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filterPrivacy="1"/>
  <bookViews>
    <workbookView xWindow="0" yWindow="0" windowWidth="22260" windowHeight="12645" activeTab="3"/>
  </bookViews>
  <sheets>
    <sheet name="VP Data" sheetId="2" r:id="rId1"/>
    <sheet name="Weather Data" sheetId="4" r:id="rId2"/>
    <sheet name="Lookups" sheetId="3" r:id="rId3"/>
    <sheet name="Simulation" sheetId="1" r:id="rId4"/>
    <sheet name="Results" sheetId="5" r:id="rId5"/>
  </sheets>
  <externalReferences>
    <externalReference r:id="rId6"/>
    <externalReference r:id="rId7"/>
    <externalReference r:id="rId8"/>
  </externalReferences>
  <definedNames>
    <definedName name="_xlchart.v1.0" hidden="1">Simulation!$D$3</definedName>
    <definedName name="_xlchart.v1.1" hidden="1">Simulation!$D$4:$D$40</definedName>
    <definedName name="_xlchart.v1.2" hidden="1">Simulation!$D$3</definedName>
    <definedName name="_xlchart.v1.3" hidden="1">Simulation!$D$4:$D$40</definedName>
    <definedName name="_xlchart.v1.4" hidden="1">Simulation!$D$4:$D$40</definedName>
    <definedName name="dens.input">Simulation!$B$4</definedName>
    <definedName name="mth.input">Simulation!$B$7</definedName>
    <definedName name="mth_num.list">Lookups!$B$2</definedName>
    <definedName name="mth_short.list">mthLkUp.tbl[Month]</definedName>
    <definedName name="sulf.input">Simulation!$B$5</definedName>
    <definedName name="temp.roll.input">Simulation!$B$6</definedName>
  </definedNames>
  <calcPr calcId="171027" calcMode="manual" iterate="1" iterateCount="100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4" i="1" l="1"/>
  <c r="BO4" i="1" s="1"/>
  <c r="V5" i="1"/>
  <c r="BO5" i="1" s="1"/>
  <c r="V6" i="1"/>
  <c r="BO6" i="1" s="1"/>
  <c r="V7" i="1"/>
  <c r="BO7" i="1" s="1"/>
  <c r="V8" i="1"/>
  <c r="BO8" i="1" s="1"/>
  <c r="V9" i="1"/>
  <c r="BO9" i="1" s="1"/>
  <c r="V10" i="1"/>
  <c r="BO10" i="1" s="1"/>
  <c r="V11" i="1"/>
  <c r="BO11" i="1" s="1"/>
  <c r="V12" i="1"/>
  <c r="BO12" i="1" s="1"/>
  <c r="V13" i="1"/>
  <c r="BO13" i="1" s="1"/>
  <c r="V14" i="1"/>
  <c r="BO14" i="1" s="1"/>
  <c r="V15" i="1"/>
  <c r="BO15" i="1" s="1"/>
  <c r="V16" i="1"/>
  <c r="BO16" i="1" s="1"/>
  <c r="V17" i="1"/>
  <c r="BO17" i="1" s="1"/>
  <c r="V18" i="1"/>
  <c r="BO18" i="1" s="1"/>
  <c r="V19" i="1"/>
  <c r="BO19" i="1" s="1"/>
  <c r="V20" i="1"/>
  <c r="BO20" i="1" s="1"/>
  <c r="V21" i="1"/>
  <c r="BO21" i="1" s="1"/>
  <c r="V22" i="1"/>
  <c r="BO22" i="1" s="1"/>
  <c r="V23" i="1"/>
  <c r="BO23" i="1" s="1"/>
  <c r="V24" i="1"/>
  <c r="BO24" i="1" s="1"/>
  <c r="V25" i="1"/>
  <c r="BO25" i="1" s="1"/>
  <c r="V26" i="1"/>
  <c r="BO26" i="1" s="1"/>
  <c r="V27" i="1"/>
  <c r="BO27" i="1" s="1"/>
  <c r="V28" i="1"/>
  <c r="BO28" i="1" s="1"/>
  <c r="V29" i="1"/>
  <c r="BO29" i="1" s="1"/>
  <c r="V30" i="1"/>
  <c r="BO30" i="1" s="1"/>
  <c r="V31" i="1"/>
  <c r="BO31" i="1" s="1"/>
  <c r="V32" i="1"/>
  <c r="BO32" i="1" s="1"/>
  <c r="V33" i="1"/>
  <c r="BO33" i="1" s="1"/>
  <c r="V34" i="1"/>
  <c r="BO34" i="1" s="1"/>
  <c r="V35" i="1"/>
  <c r="BO35" i="1" s="1"/>
  <c r="V36" i="1"/>
  <c r="BO36" i="1" s="1"/>
  <c r="V37" i="1"/>
  <c r="BO37" i="1" s="1"/>
  <c r="V38" i="1"/>
  <c r="BO38" i="1" s="1"/>
  <c r="V39" i="1"/>
  <c r="BO39" i="1" s="1"/>
  <c r="V40" i="1"/>
  <c r="BO40" i="1" s="1"/>
  <c r="T4" i="1"/>
  <c r="BM4" i="1" s="1"/>
  <c r="T5" i="1"/>
  <c r="BM5" i="1" s="1"/>
  <c r="T6" i="1"/>
  <c r="BM6" i="1" s="1"/>
  <c r="T7" i="1"/>
  <c r="BM7" i="1" s="1"/>
  <c r="T8" i="1"/>
  <c r="BM8" i="1" s="1"/>
  <c r="T9" i="1"/>
  <c r="BM9" i="1" s="1"/>
  <c r="T10" i="1"/>
  <c r="BM10" i="1" s="1"/>
  <c r="T11" i="1"/>
  <c r="BM11" i="1" s="1"/>
  <c r="T12" i="1"/>
  <c r="BM12" i="1" s="1"/>
  <c r="T13" i="1"/>
  <c r="BM13" i="1" s="1"/>
  <c r="T14" i="1"/>
  <c r="BM14" i="1" s="1"/>
  <c r="T15" i="1"/>
  <c r="BM15" i="1" s="1"/>
  <c r="T16" i="1"/>
  <c r="BM16" i="1" s="1"/>
  <c r="T17" i="1"/>
  <c r="BM17" i="1" s="1"/>
  <c r="T18" i="1"/>
  <c r="BM18" i="1" s="1"/>
  <c r="T19" i="1"/>
  <c r="BM19" i="1" s="1"/>
  <c r="T20" i="1"/>
  <c r="BM20" i="1" s="1"/>
  <c r="T21" i="1"/>
  <c r="BM21" i="1" s="1"/>
  <c r="T22" i="1"/>
  <c r="BM22" i="1" s="1"/>
  <c r="T23" i="1"/>
  <c r="BM23" i="1" s="1"/>
  <c r="T24" i="1"/>
  <c r="BM24" i="1" s="1"/>
  <c r="T25" i="1"/>
  <c r="BM25" i="1" s="1"/>
  <c r="T26" i="1"/>
  <c r="BM26" i="1" s="1"/>
  <c r="T27" i="1"/>
  <c r="BM27" i="1" s="1"/>
  <c r="T28" i="1"/>
  <c r="BM28" i="1" s="1"/>
  <c r="T29" i="1"/>
  <c r="BM29" i="1" s="1"/>
  <c r="T30" i="1"/>
  <c r="BM30" i="1" s="1"/>
  <c r="T31" i="1"/>
  <c r="BM31" i="1" s="1"/>
  <c r="T32" i="1"/>
  <c r="BM32" i="1" s="1"/>
  <c r="T33" i="1"/>
  <c r="BM33" i="1" s="1"/>
  <c r="T34" i="1"/>
  <c r="BM34" i="1" s="1"/>
  <c r="T35" i="1"/>
  <c r="BM35" i="1" s="1"/>
  <c r="T36" i="1"/>
  <c r="BM36" i="1" s="1"/>
  <c r="T37" i="1"/>
  <c r="BM37" i="1" s="1"/>
  <c r="T38" i="1"/>
  <c r="BM38" i="1" s="1"/>
  <c r="T39" i="1"/>
  <c r="BM39" i="1" s="1"/>
  <c r="T40" i="1"/>
  <c r="BM40" i="1" s="1"/>
  <c r="K2" i="3"/>
  <c r="K3" i="3"/>
  <c r="K4" i="3"/>
  <c r="K5" i="3"/>
  <c r="K6" i="3"/>
  <c r="K7" i="3"/>
  <c r="K8" i="3"/>
  <c r="K9" i="3"/>
  <c r="K10" i="3"/>
  <c r="K11" i="3"/>
  <c r="I2" i="3"/>
  <c r="I3" i="3"/>
  <c r="I4" i="3"/>
  <c r="I5" i="3"/>
  <c r="I6" i="3"/>
  <c r="I7" i="3"/>
  <c r="I8" i="3"/>
  <c r="I9" i="3"/>
  <c r="I10" i="3"/>
  <c r="I11" i="3"/>
  <c r="G2" i="3"/>
  <c r="G3" i="3"/>
  <c r="G4" i="3"/>
  <c r="G5" i="3"/>
  <c r="G6" i="3"/>
  <c r="G7" i="3"/>
  <c r="G8" i="3"/>
  <c r="G9" i="3"/>
  <c r="G10" i="3"/>
  <c r="G11" i="3"/>
  <c r="AN1733" i="2"/>
  <c r="AM1733" i="2"/>
  <c r="AI1733" i="2"/>
  <c r="Y1733" i="2"/>
  <c r="V1733" i="2" a="1"/>
  <c r="V1733" i="2" s="1"/>
  <c r="AQ1733" i="2" s="1"/>
  <c r="M1733" i="2" a="1"/>
  <c r="M1733" i="2" s="1"/>
  <c r="I1733" i="2" a="1"/>
  <c r="I1733" i="2" s="1"/>
  <c r="AN1732" i="2"/>
  <c r="AM1732" i="2"/>
  <c r="AI1732" i="2"/>
  <c r="Y1732" i="2"/>
  <c r="V1732" i="2" a="1"/>
  <c r="V1732" i="2" s="1"/>
  <c r="AQ1732" i="2" s="1"/>
  <c r="M1732" i="2" a="1"/>
  <c r="M1732" i="2" s="1"/>
  <c r="I1732" i="2" a="1"/>
  <c r="I1732" i="2" s="1"/>
  <c r="AN1731" i="2"/>
  <c r="AM1731" i="2"/>
  <c r="AI1731" i="2"/>
  <c r="Y1731" i="2"/>
  <c r="V1731" i="2" a="1"/>
  <c r="V1731" i="2" s="1"/>
  <c r="AQ1731" i="2" s="1"/>
  <c r="M1731" i="2" a="1"/>
  <c r="M1731" i="2" s="1"/>
  <c r="I1731" i="2" a="1"/>
  <c r="I1731" i="2" s="1"/>
  <c r="AN1730" i="2"/>
  <c r="AM1730" i="2"/>
  <c r="AI1730" i="2"/>
  <c r="Y1730" i="2"/>
  <c r="V1730" i="2" a="1"/>
  <c r="V1730" i="2" s="1"/>
  <c r="AQ1730" i="2" s="1"/>
  <c r="M1730" i="2" a="1"/>
  <c r="M1730" i="2" s="1"/>
  <c r="I1730" i="2" a="1"/>
  <c r="I1730" i="2" s="1"/>
  <c r="AN1729" i="2"/>
  <c r="AM1729" i="2"/>
  <c r="AI1729" i="2"/>
  <c r="Y1729" i="2"/>
  <c r="V1729" i="2" a="1"/>
  <c r="V1729" i="2" s="1"/>
  <c r="AQ1729" i="2" s="1"/>
  <c r="M1729" i="2" a="1"/>
  <c r="M1729" i="2" s="1"/>
  <c r="I1729" i="2" a="1"/>
  <c r="I1729" i="2" s="1"/>
  <c r="AN1728" i="2"/>
  <c r="AM1728" i="2"/>
  <c r="AI1728" i="2"/>
  <c r="Y1728" i="2"/>
  <c r="V1728" i="2" a="1"/>
  <c r="V1728" i="2" s="1"/>
  <c r="AQ1728" i="2" s="1"/>
  <c r="M1728" i="2" a="1"/>
  <c r="M1728" i="2" s="1"/>
  <c r="I1728" i="2" a="1"/>
  <c r="I1728" i="2" s="1"/>
  <c r="AN1727" i="2"/>
  <c r="AM1727" i="2"/>
  <c r="AI1727" i="2"/>
  <c r="Y1727" i="2"/>
  <c r="V1727" i="2" a="1"/>
  <c r="V1727" i="2" s="1"/>
  <c r="AQ1727" i="2" s="1"/>
  <c r="M1727" i="2" a="1"/>
  <c r="M1727" i="2" s="1"/>
  <c r="I1727" i="2" a="1"/>
  <c r="I1727" i="2" s="1"/>
  <c r="AN1726" i="2"/>
  <c r="AM1726" i="2"/>
  <c r="AI1726" i="2"/>
  <c r="Y1726" i="2"/>
  <c r="V1726" i="2" a="1"/>
  <c r="V1726" i="2" s="1"/>
  <c r="AQ1726" i="2" s="1"/>
  <c r="M1726" i="2" a="1"/>
  <c r="M1726" i="2" s="1"/>
  <c r="I1726" i="2" a="1"/>
  <c r="I1726" i="2" s="1"/>
  <c r="AN1725" i="2"/>
  <c r="AM1725" i="2"/>
  <c r="AI1725" i="2"/>
  <c r="Y1725" i="2"/>
  <c r="V1725" i="2" a="1"/>
  <c r="V1725" i="2" s="1"/>
  <c r="AQ1725" i="2" s="1"/>
  <c r="M1725" i="2" a="1"/>
  <c r="M1725" i="2" s="1"/>
  <c r="I1725" i="2" a="1"/>
  <c r="I1725" i="2" s="1"/>
  <c r="AQ1724" i="2"/>
  <c r="AN1724" i="2"/>
  <c r="AM1724" i="2"/>
  <c r="AI1724" i="2"/>
  <c r="Y1724" i="2"/>
  <c r="V1724" i="2" a="1"/>
  <c r="V1724" i="2" s="1"/>
  <c r="M1724" i="2" a="1"/>
  <c r="M1724" i="2" s="1"/>
  <c r="I1724" i="2" a="1"/>
  <c r="I1724" i="2" s="1"/>
  <c r="AN1723" i="2"/>
  <c r="AM1723" i="2"/>
  <c r="AI1723" i="2"/>
  <c r="Y1723" i="2"/>
  <c r="V1723" i="2" a="1"/>
  <c r="V1723" i="2" s="1"/>
  <c r="AQ1723" i="2" s="1"/>
  <c r="M1723" i="2" a="1"/>
  <c r="M1723" i="2" s="1"/>
  <c r="I1723" i="2" a="1"/>
  <c r="I1723" i="2" s="1"/>
  <c r="AN1722" i="2"/>
  <c r="AM1722" i="2"/>
  <c r="AI1722" i="2"/>
  <c r="Y1722" i="2"/>
  <c r="V1722" i="2" a="1"/>
  <c r="V1722" i="2" s="1"/>
  <c r="AQ1722" i="2" s="1"/>
  <c r="M1722" i="2" a="1"/>
  <c r="M1722" i="2" s="1"/>
  <c r="I1722" i="2" a="1"/>
  <c r="I1722" i="2" s="1"/>
  <c r="AN1721" i="2"/>
  <c r="AM1721" i="2"/>
  <c r="AI1721" i="2"/>
  <c r="Y1721" i="2"/>
  <c r="V1721" i="2" a="1"/>
  <c r="V1721" i="2" s="1"/>
  <c r="AQ1721" i="2" s="1"/>
  <c r="M1721" i="2" a="1"/>
  <c r="M1721" i="2" s="1"/>
  <c r="I1721" i="2" a="1"/>
  <c r="I1721" i="2" s="1"/>
  <c r="AQ1720" i="2"/>
  <c r="AN1720" i="2"/>
  <c r="AM1720" i="2"/>
  <c r="AI1720" i="2"/>
  <c r="Y1720" i="2"/>
  <c r="V1720" i="2" a="1"/>
  <c r="V1720" i="2" s="1"/>
  <c r="M1720" i="2" a="1"/>
  <c r="M1720" i="2" s="1"/>
  <c r="I1720" i="2" a="1"/>
  <c r="I1720" i="2" s="1"/>
  <c r="AN1719" i="2"/>
  <c r="AM1719" i="2"/>
  <c r="AI1719" i="2"/>
  <c r="Y1719" i="2"/>
  <c r="V1719" i="2" a="1"/>
  <c r="V1719" i="2" s="1"/>
  <c r="AQ1719" i="2" s="1"/>
  <c r="M1719" i="2" a="1"/>
  <c r="M1719" i="2" s="1"/>
  <c r="I1719" i="2" a="1"/>
  <c r="I1719" i="2" s="1"/>
  <c r="AN1718" i="2"/>
  <c r="AM1718" i="2"/>
  <c r="AI1718" i="2"/>
  <c r="Y1718" i="2"/>
  <c r="V1718" i="2" a="1"/>
  <c r="V1718" i="2" s="1"/>
  <c r="AQ1718" i="2" s="1"/>
  <c r="M1718" i="2" a="1"/>
  <c r="M1718" i="2" s="1"/>
  <c r="I1718" i="2" a="1"/>
  <c r="I1718" i="2" s="1"/>
  <c r="AN1717" i="2"/>
  <c r="AM1717" i="2"/>
  <c r="AI1717" i="2"/>
  <c r="Y1717" i="2"/>
  <c r="V1717" i="2" a="1"/>
  <c r="V1717" i="2" s="1"/>
  <c r="AQ1717" i="2" s="1"/>
  <c r="M1717" i="2" a="1"/>
  <c r="M1717" i="2" s="1"/>
  <c r="I1717" i="2" a="1"/>
  <c r="I1717" i="2" s="1"/>
  <c r="AN1716" i="2"/>
  <c r="AM1716" i="2"/>
  <c r="AI1716" i="2"/>
  <c r="Y1716" i="2"/>
  <c r="V1716" i="2" a="1"/>
  <c r="V1716" i="2" s="1"/>
  <c r="AQ1716" i="2" s="1"/>
  <c r="M1716" i="2" a="1"/>
  <c r="M1716" i="2" s="1"/>
  <c r="I1716" i="2" a="1"/>
  <c r="I1716" i="2" s="1"/>
  <c r="AN1715" i="2"/>
  <c r="AM1715" i="2"/>
  <c r="AI1715" i="2"/>
  <c r="Y1715" i="2"/>
  <c r="V1715" i="2" a="1"/>
  <c r="V1715" i="2" s="1"/>
  <c r="AQ1715" i="2" s="1"/>
  <c r="M1715" i="2" a="1"/>
  <c r="M1715" i="2" s="1"/>
  <c r="I1715" i="2" a="1"/>
  <c r="I1715" i="2" s="1"/>
  <c r="AN1714" i="2"/>
  <c r="AM1714" i="2"/>
  <c r="AI1714" i="2"/>
  <c r="Y1714" i="2"/>
  <c r="V1714" i="2" a="1"/>
  <c r="V1714" i="2" s="1"/>
  <c r="AQ1714" i="2" s="1"/>
  <c r="M1714" i="2" a="1"/>
  <c r="M1714" i="2" s="1"/>
  <c r="I1714" i="2" a="1"/>
  <c r="I1714" i="2" s="1"/>
  <c r="AN1713" i="2"/>
  <c r="AM1713" i="2"/>
  <c r="AI1713" i="2"/>
  <c r="Y1713" i="2"/>
  <c r="V1713" i="2" a="1"/>
  <c r="V1713" i="2" s="1"/>
  <c r="AQ1713" i="2" s="1"/>
  <c r="M1713" i="2" a="1"/>
  <c r="M1713" i="2" s="1"/>
  <c r="I1713" i="2" a="1"/>
  <c r="I1713" i="2" s="1"/>
  <c r="AQ1712" i="2"/>
  <c r="AN1712" i="2"/>
  <c r="AM1712" i="2"/>
  <c r="AI1712" i="2"/>
  <c r="Y1712" i="2"/>
  <c r="V1712" i="2" a="1"/>
  <c r="V1712" i="2" s="1"/>
  <c r="M1712" i="2" a="1"/>
  <c r="M1712" i="2" s="1"/>
  <c r="I1712" i="2" a="1"/>
  <c r="I1712" i="2" s="1"/>
  <c r="AQ1711" i="2"/>
  <c r="AN1711" i="2"/>
  <c r="AM1711" i="2"/>
  <c r="AI1711" i="2"/>
  <c r="Y1711" i="2"/>
  <c r="V1711" i="2" a="1"/>
  <c r="V1711" i="2" s="1"/>
  <c r="M1711" i="2" a="1"/>
  <c r="M1711" i="2" s="1"/>
  <c r="I1711" i="2" a="1"/>
  <c r="I1711" i="2" s="1"/>
  <c r="AN1710" i="2"/>
  <c r="AM1710" i="2"/>
  <c r="AI1710" i="2"/>
  <c r="Y1710" i="2"/>
  <c r="V1710" i="2" a="1"/>
  <c r="V1710" i="2" s="1"/>
  <c r="AQ1710" i="2" s="1"/>
  <c r="M1710" i="2" a="1"/>
  <c r="M1710" i="2" s="1"/>
  <c r="I1710" i="2" a="1"/>
  <c r="I1710" i="2" s="1"/>
  <c r="AN1709" i="2"/>
  <c r="AM1709" i="2"/>
  <c r="AI1709" i="2"/>
  <c r="Y1709" i="2"/>
  <c r="V1709" i="2" a="1"/>
  <c r="V1709" i="2" s="1"/>
  <c r="AQ1709" i="2" s="1"/>
  <c r="M1709" i="2" a="1"/>
  <c r="M1709" i="2" s="1"/>
  <c r="I1709" i="2" a="1"/>
  <c r="I1709" i="2" s="1"/>
  <c r="AQ1708" i="2"/>
  <c r="AN1708" i="2"/>
  <c r="AM1708" i="2"/>
  <c r="AI1708" i="2"/>
  <c r="Y1708" i="2"/>
  <c r="V1708" i="2" a="1"/>
  <c r="V1708" i="2" s="1"/>
  <c r="M1708" i="2" a="1"/>
  <c r="M1708" i="2" s="1"/>
  <c r="I1708" i="2" a="1"/>
  <c r="I1708" i="2" s="1"/>
  <c r="AN1707" i="2"/>
  <c r="AM1707" i="2"/>
  <c r="AI1707" i="2"/>
  <c r="Y1707" i="2"/>
  <c r="V1707" i="2" a="1"/>
  <c r="V1707" i="2" s="1"/>
  <c r="AQ1707" i="2" s="1"/>
  <c r="M1707" i="2" a="1"/>
  <c r="M1707" i="2" s="1"/>
  <c r="I1707" i="2" a="1"/>
  <c r="I1707" i="2" s="1"/>
  <c r="AN1706" i="2"/>
  <c r="AM1706" i="2"/>
  <c r="AI1706" i="2"/>
  <c r="Y1706" i="2"/>
  <c r="V1706" i="2" a="1"/>
  <c r="V1706" i="2" s="1"/>
  <c r="AQ1706" i="2" s="1"/>
  <c r="M1706" i="2" a="1"/>
  <c r="M1706" i="2" s="1"/>
  <c r="I1706" i="2" a="1"/>
  <c r="I1706" i="2" s="1"/>
  <c r="AN1705" i="2"/>
  <c r="AM1705" i="2"/>
  <c r="AI1705" i="2"/>
  <c r="Y1705" i="2"/>
  <c r="V1705" i="2" a="1"/>
  <c r="V1705" i="2" s="1"/>
  <c r="AQ1705" i="2" s="1"/>
  <c r="M1705" i="2" a="1"/>
  <c r="M1705" i="2" s="1"/>
  <c r="I1705" i="2" a="1"/>
  <c r="I1705" i="2" s="1"/>
  <c r="AN1704" i="2"/>
  <c r="AM1704" i="2"/>
  <c r="AI1704" i="2"/>
  <c r="Y1704" i="2"/>
  <c r="V1704" i="2" a="1"/>
  <c r="V1704" i="2" s="1"/>
  <c r="AQ1704" i="2" s="1"/>
  <c r="M1704" i="2" a="1"/>
  <c r="M1704" i="2" s="1"/>
  <c r="I1704" i="2" a="1"/>
  <c r="I1704" i="2" s="1"/>
  <c r="AQ1703" i="2"/>
  <c r="AN1703" i="2"/>
  <c r="AM1703" i="2"/>
  <c r="AI1703" i="2"/>
  <c r="Y1703" i="2"/>
  <c r="V1703" i="2" a="1"/>
  <c r="V1703" i="2" s="1"/>
  <c r="M1703" i="2" a="1"/>
  <c r="M1703" i="2" s="1"/>
  <c r="I1703" i="2" a="1"/>
  <c r="I1703" i="2" s="1"/>
  <c r="AN1702" i="2"/>
  <c r="AM1702" i="2"/>
  <c r="AI1702" i="2"/>
  <c r="Y1702" i="2"/>
  <c r="V1702" i="2" a="1"/>
  <c r="V1702" i="2" s="1"/>
  <c r="AQ1702" i="2" s="1"/>
  <c r="M1702" i="2" a="1"/>
  <c r="M1702" i="2" s="1"/>
  <c r="I1702" i="2" a="1"/>
  <c r="I1702" i="2" s="1"/>
  <c r="AN1701" i="2"/>
  <c r="AM1701" i="2"/>
  <c r="AI1701" i="2"/>
  <c r="Y1701" i="2"/>
  <c r="V1701" i="2" a="1"/>
  <c r="V1701" i="2" s="1"/>
  <c r="AQ1701" i="2" s="1"/>
  <c r="M1701" i="2" a="1"/>
  <c r="M1701" i="2" s="1"/>
  <c r="I1701" i="2" a="1"/>
  <c r="I1701" i="2" s="1"/>
  <c r="AQ1700" i="2"/>
  <c r="AN1700" i="2"/>
  <c r="AM1700" i="2"/>
  <c r="AI1700" i="2"/>
  <c r="Y1700" i="2"/>
  <c r="V1700" i="2" a="1"/>
  <c r="V1700" i="2" s="1"/>
  <c r="M1700" i="2" a="1"/>
  <c r="M1700" i="2" s="1"/>
  <c r="I1700" i="2" a="1"/>
  <c r="I1700" i="2" s="1"/>
  <c r="AQ1699" i="2"/>
  <c r="AN1699" i="2"/>
  <c r="AM1699" i="2"/>
  <c r="AI1699" i="2"/>
  <c r="Y1699" i="2"/>
  <c r="V1699" i="2" a="1"/>
  <c r="V1699" i="2" s="1"/>
  <c r="M1699" i="2" a="1"/>
  <c r="M1699" i="2" s="1"/>
  <c r="I1699" i="2" a="1"/>
  <c r="I1699" i="2" s="1"/>
  <c r="AN1698" i="2"/>
  <c r="AM1698" i="2"/>
  <c r="AI1698" i="2"/>
  <c r="Y1698" i="2"/>
  <c r="V1698" i="2" a="1"/>
  <c r="V1698" i="2" s="1"/>
  <c r="AQ1698" i="2" s="1"/>
  <c r="M1698" i="2" a="1"/>
  <c r="M1698" i="2" s="1"/>
  <c r="I1698" i="2" a="1"/>
  <c r="I1698" i="2" s="1"/>
  <c r="AN1697" i="2"/>
  <c r="AM1697" i="2"/>
  <c r="AI1697" i="2"/>
  <c r="Y1697" i="2"/>
  <c r="V1697" i="2" a="1"/>
  <c r="V1697" i="2" s="1"/>
  <c r="AQ1697" i="2" s="1"/>
  <c r="M1697" i="2" a="1"/>
  <c r="M1697" i="2" s="1"/>
  <c r="I1697" i="2" a="1"/>
  <c r="I1697" i="2" s="1"/>
  <c r="AN1696" i="2"/>
  <c r="AM1696" i="2"/>
  <c r="AI1696" i="2"/>
  <c r="Y1696" i="2"/>
  <c r="V1696" i="2" a="1"/>
  <c r="V1696" i="2" s="1"/>
  <c r="AQ1696" i="2" s="1"/>
  <c r="M1696" i="2" a="1"/>
  <c r="M1696" i="2" s="1"/>
  <c r="I1696" i="2" a="1"/>
  <c r="I1696" i="2" s="1"/>
  <c r="AQ1695" i="2"/>
  <c r="AN1695" i="2"/>
  <c r="AM1695" i="2"/>
  <c r="AI1695" i="2"/>
  <c r="Y1695" i="2"/>
  <c r="V1695" i="2" a="1"/>
  <c r="V1695" i="2" s="1"/>
  <c r="M1695" i="2" a="1"/>
  <c r="M1695" i="2" s="1"/>
  <c r="I1695" i="2" a="1"/>
  <c r="I1695" i="2" s="1"/>
  <c r="AN1694" i="2"/>
  <c r="AM1694" i="2"/>
  <c r="AI1694" i="2"/>
  <c r="Y1694" i="2"/>
  <c r="V1694" i="2" a="1"/>
  <c r="V1694" i="2" s="1"/>
  <c r="AQ1694" i="2" s="1"/>
  <c r="M1694" i="2" a="1"/>
  <c r="M1694" i="2" s="1"/>
  <c r="I1694" i="2" a="1"/>
  <c r="I1694" i="2" s="1"/>
  <c r="AN1693" i="2"/>
  <c r="AM1693" i="2"/>
  <c r="AI1693" i="2"/>
  <c r="Y1693" i="2"/>
  <c r="V1693" i="2" a="1"/>
  <c r="V1693" i="2" s="1"/>
  <c r="AQ1693" i="2" s="1"/>
  <c r="M1693" i="2" a="1"/>
  <c r="M1693" i="2" s="1"/>
  <c r="I1693" i="2" a="1"/>
  <c r="I1693" i="2" s="1"/>
  <c r="AQ1692" i="2"/>
  <c r="AN1692" i="2"/>
  <c r="AM1692" i="2"/>
  <c r="AI1692" i="2"/>
  <c r="Y1692" i="2"/>
  <c r="V1692" i="2" a="1"/>
  <c r="V1692" i="2" s="1"/>
  <c r="M1692" i="2" a="1"/>
  <c r="M1692" i="2" s="1"/>
  <c r="I1692" i="2" a="1"/>
  <c r="I1692" i="2" s="1"/>
  <c r="AQ1691" i="2"/>
  <c r="AN1691" i="2"/>
  <c r="AM1691" i="2"/>
  <c r="AI1691" i="2"/>
  <c r="Y1691" i="2"/>
  <c r="V1691" i="2" a="1"/>
  <c r="V1691" i="2" s="1"/>
  <c r="M1691" i="2" a="1"/>
  <c r="M1691" i="2" s="1"/>
  <c r="I1691" i="2" a="1"/>
  <c r="I1691" i="2" s="1"/>
  <c r="AN1690" i="2"/>
  <c r="AM1690" i="2"/>
  <c r="AI1690" i="2"/>
  <c r="Y1690" i="2"/>
  <c r="V1690" i="2" a="1"/>
  <c r="V1690" i="2" s="1"/>
  <c r="AQ1690" i="2" s="1"/>
  <c r="M1690" i="2" a="1"/>
  <c r="M1690" i="2" s="1"/>
  <c r="I1690" i="2" a="1"/>
  <c r="I1690" i="2" s="1"/>
  <c r="AN1689" i="2"/>
  <c r="AM1689" i="2"/>
  <c r="AI1689" i="2"/>
  <c r="Y1689" i="2"/>
  <c r="V1689" i="2" a="1"/>
  <c r="V1689" i="2" s="1"/>
  <c r="AQ1689" i="2" s="1"/>
  <c r="M1689" i="2" a="1"/>
  <c r="M1689" i="2" s="1"/>
  <c r="I1689" i="2" a="1"/>
  <c r="I1689" i="2" s="1"/>
  <c r="AN1688" i="2"/>
  <c r="AM1688" i="2"/>
  <c r="AI1688" i="2"/>
  <c r="Y1688" i="2"/>
  <c r="V1688" i="2" a="1"/>
  <c r="V1688" i="2" s="1"/>
  <c r="AQ1688" i="2" s="1"/>
  <c r="M1688" i="2" a="1"/>
  <c r="M1688" i="2" s="1"/>
  <c r="I1688" i="2" a="1"/>
  <c r="I1688" i="2" s="1"/>
  <c r="AQ1687" i="2"/>
  <c r="AN1687" i="2"/>
  <c r="AM1687" i="2"/>
  <c r="AI1687" i="2"/>
  <c r="Y1687" i="2"/>
  <c r="V1687" i="2" a="1"/>
  <c r="V1687" i="2" s="1"/>
  <c r="M1687" i="2" a="1"/>
  <c r="M1687" i="2" s="1"/>
  <c r="I1687" i="2" a="1"/>
  <c r="I1687" i="2" s="1"/>
  <c r="AN1686" i="2"/>
  <c r="AM1686" i="2"/>
  <c r="AI1686" i="2"/>
  <c r="Y1686" i="2"/>
  <c r="V1686" i="2" a="1"/>
  <c r="V1686" i="2" s="1"/>
  <c r="AQ1686" i="2" s="1"/>
  <c r="M1686" i="2" a="1"/>
  <c r="M1686" i="2" s="1"/>
  <c r="I1686" i="2" a="1"/>
  <c r="I1686" i="2" s="1"/>
  <c r="AN1685" i="2"/>
  <c r="AM1685" i="2"/>
  <c r="AI1685" i="2"/>
  <c r="Y1685" i="2"/>
  <c r="V1685" i="2" a="1"/>
  <c r="V1685" i="2" s="1"/>
  <c r="AQ1685" i="2" s="1"/>
  <c r="M1685" i="2" a="1"/>
  <c r="M1685" i="2" s="1"/>
  <c r="I1685" i="2" a="1"/>
  <c r="I1685" i="2" s="1"/>
  <c r="AN1684" i="2"/>
  <c r="AM1684" i="2"/>
  <c r="AI1684" i="2"/>
  <c r="Y1684" i="2"/>
  <c r="V1684" i="2" a="1"/>
  <c r="V1684" i="2" s="1"/>
  <c r="AQ1684" i="2" s="1"/>
  <c r="M1684" i="2" a="1"/>
  <c r="M1684" i="2" s="1"/>
  <c r="I1684" i="2" a="1"/>
  <c r="I1684" i="2" s="1"/>
  <c r="AQ1683" i="2"/>
  <c r="AN1683" i="2"/>
  <c r="AM1683" i="2"/>
  <c r="AI1683" i="2"/>
  <c r="Y1683" i="2"/>
  <c r="V1683" i="2" a="1"/>
  <c r="V1683" i="2" s="1"/>
  <c r="M1683" i="2" a="1"/>
  <c r="M1683" i="2" s="1"/>
  <c r="I1683" i="2" a="1"/>
  <c r="I1683" i="2" s="1"/>
  <c r="AN1682" i="2"/>
  <c r="AM1682" i="2"/>
  <c r="AI1682" i="2"/>
  <c r="Y1682" i="2"/>
  <c r="V1682" i="2" a="1"/>
  <c r="V1682" i="2" s="1"/>
  <c r="AQ1682" i="2" s="1"/>
  <c r="M1682" i="2" a="1"/>
  <c r="M1682" i="2" s="1"/>
  <c r="I1682" i="2" a="1"/>
  <c r="I1682" i="2" s="1"/>
  <c r="AN1681" i="2"/>
  <c r="AM1681" i="2"/>
  <c r="AI1681" i="2"/>
  <c r="Y1681" i="2"/>
  <c r="V1681" i="2" a="1"/>
  <c r="V1681" i="2" s="1"/>
  <c r="AQ1681" i="2" s="1"/>
  <c r="M1681" i="2" a="1"/>
  <c r="M1681" i="2" s="1"/>
  <c r="I1681" i="2" a="1"/>
  <c r="I1681" i="2" s="1"/>
  <c r="AQ1680" i="2"/>
  <c r="AN1680" i="2"/>
  <c r="AM1680" i="2"/>
  <c r="AI1680" i="2"/>
  <c r="Y1680" i="2"/>
  <c r="V1680" i="2" a="1"/>
  <c r="V1680" i="2" s="1"/>
  <c r="M1680" i="2" a="1"/>
  <c r="M1680" i="2" s="1"/>
  <c r="I1680" i="2" a="1"/>
  <c r="I1680" i="2" s="1"/>
  <c r="AN1679" i="2"/>
  <c r="AM1679" i="2"/>
  <c r="AI1679" i="2"/>
  <c r="Y1679" i="2"/>
  <c r="V1679" i="2" a="1"/>
  <c r="V1679" i="2"/>
  <c r="AQ1679" i="2" s="1"/>
  <c r="M1679" i="2" a="1"/>
  <c r="M1679" i="2" s="1"/>
  <c r="I1679" i="2" a="1"/>
  <c r="I1679" i="2" s="1"/>
  <c r="AQ1678" i="2"/>
  <c r="AN1678" i="2"/>
  <c r="AM1678" i="2"/>
  <c r="AI1678" i="2"/>
  <c r="Y1678" i="2"/>
  <c r="V1678" i="2" a="1"/>
  <c r="V1678" i="2" s="1"/>
  <c r="M1678" i="2" a="1"/>
  <c r="M1678" i="2" s="1"/>
  <c r="I1678" i="2" a="1"/>
  <c r="I1678" i="2" s="1"/>
  <c r="AN1677" i="2"/>
  <c r="AM1677" i="2"/>
  <c r="AI1677" i="2"/>
  <c r="Y1677" i="2"/>
  <c r="V1677" i="2" a="1"/>
  <c r="V1677" i="2" s="1"/>
  <c r="M1677" i="2" a="1"/>
  <c r="M1677" i="2" s="1"/>
  <c r="I1677" i="2" a="1"/>
  <c r="I1677" i="2"/>
  <c r="AN1676" i="2"/>
  <c r="AM1676" i="2"/>
  <c r="AI1676" i="2"/>
  <c r="Y1676" i="2"/>
  <c r="V1676" i="2" a="1"/>
  <c r="V1676" i="2" s="1"/>
  <c r="AQ1676" i="2" s="1"/>
  <c r="M1676" i="2" a="1"/>
  <c r="M1676" i="2"/>
  <c r="I1676" i="2" a="1"/>
  <c r="I1676" i="2" s="1"/>
  <c r="AN1675" i="2"/>
  <c r="AM1675" i="2"/>
  <c r="AI1675" i="2"/>
  <c r="Y1675" i="2"/>
  <c r="V1675" i="2" a="1"/>
  <c r="V1675" i="2"/>
  <c r="AQ1675" i="2" s="1"/>
  <c r="M1675" i="2" a="1"/>
  <c r="M1675" i="2" s="1"/>
  <c r="I1675" i="2" a="1"/>
  <c r="I1675" i="2" s="1"/>
  <c r="AQ1674" i="2"/>
  <c r="AN1674" i="2"/>
  <c r="AM1674" i="2"/>
  <c r="AI1674" i="2"/>
  <c r="Y1674" i="2"/>
  <c r="V1674" i="2" a="1"/>
  <c r="V1674" i="2" s="1"/>
  <c r="M1674" i="2" a="1"/>
  <c r="M1674" i="2" s="1"/>
  <c r="I1674" i="2" a="1"/>
  <c r="I1674" i="2" s="1"/>
  <c r="AN1673" i="2"/>
  <c r="AM1673" i="2"/>
  <c r="AI1673" i="2"/>
  <c r="Y1673" i="2"/>
  <c r="V1673" i="2" a="1"/>
  <c r="V1673" i="2"/>
  <c r="AQ1673" i="2" s="1"/>
  <c r="M1673" i="2" a="1"/>
  <c r="M1673" i="2"/>
  <c r="I1673" i="2" a="1"/>
  <c r="I1673" i="2" s="1"/>
  <c r="AN1672" i="2"/>
  <c r="AM1672" i="2"/>
  <c r="AI1672" i="2"/>
  <c r="Y1672" i="2"/>
  <c r="V1672" i="2" a="1"/>
  <c r="V1672" i="2" s="1"/>
  <c r="AQ1672" i="2" s="1"/>
  <c r="M1672" i="2" a="1"/>
  <c r="M1672" i="2" s="1"/>
  <c r="I1672" i="2" a="1"/>
  <c r="I1672" i="2" s="1"/>
  <c r="AN1671" i="2"/>
  <c r="AM1671" i="2"/>
  <c r="AI1671" i="2"/>
  <c r="Y1671" i="2"/>
  <c r="V1671" i="2" a="1"/>
  <c r="V1671" i="2" s="1"/>
  <c r="AQ1671" i="2" s="1"/>
  <c r="M1671" i="2" a="1"/>
  <c r="M1671" i="2" s="1"/>
  <c r="I1671" i="2" a="1"/>
  <c r="I1671" i="2" s="1"/>
  <c r="AN1670" i="2"/>
  <c r="AM1670" i="2"/>
  <c r="AI1670" i="2"/>
  <c r="Y1670" i="2"/>
  <c r="V1670" i="2" a="1"/>
  <c r="V1670" i="2" s="1"/>
  <c r="AQ1670" i="2" s="1"/>
  <c r="M1670" i="2" a="1"/>
  <c r="M1670" i="2" s="1"/>
  <c r="I1670" i="2" a="1"/>
  <c r="I1670" i="2" s="1"/>
  <c r="AN1669" i="2"/>
  <c r="AM1669" i="2"/>
  <c r="AI1669" i="2"/>
  <c r="Y1669" i="2"/>
  <c r="V1669" i="2" a="1"/>
  <c r="V1669" i="2" s="1"/>
  <c r="AQ1669" i="2" s="1"/>
  <c r="M1669" i="2" a="1"/>
  <c r="M1669" i="2" s="1"/>
  <c r="I1669" i="2" a="1"/>
  <c r="I1669" i="2" s="1"/>
  <c r="AN1668" i="2"/>
  <c r="AM1668" i="2"/>
  <c r="AI1668" i="2"/>
  <c r="Y1668" i="2"/>
  <c r="V1668" i="2" a="1"/>
  <c r="V1668" i="2" s="1"/>
  <c r="AQ1668" i="2" s="1"/>
  <c r="M1668" i="2" a="1"/>
  <c r="M1668" i="2" s="1"/>
  <c r="I1668" i="2" a="1"/>
  <c r="I1668" i="2" s="1"/>
  <c r="AN1667" i="2"/>
  <c r="AM1667" i="2"/>
  <c r="AI1667" i="2"/>
  <c r="Y1667" i="2"/>
  <c r="V1667" i="2" a="1"/>
  <c r="V1667" i="2" s="1"/>
  <c r="AQ1667" i="2" s="1"/>
  <c r="M1667" i="2" a="1"/>
  <c r="M1667" i="2" s="1"/>
  <c r="I1667" i="2" a="1"/>
  <c r="I1667" i="2" s="1"/>
  <c r="AN1666" i="2"/>
  <c r="AM1666" i="2"/>
  <c r="AI1666" i="2"/>
  <c r="Y1666" i="2"/>
  <c r="V1666" i="2" a="1"/>
  <c r="V1666" i="2" s="1"/>
  <c r="AQ1666" i="2" s="1"/>
  <c r="M1666" i="2" a="1"/>
  <c r="M1666" i="2" s="1"/>
  <c r="I1666" i="2" a="1"/>
  <c r="I1666" i="2" s="1"/>
  <c r="AN1665" i="2"/>
  <c r="AM1665" i="2"/>
  <c r="AI1665" i="2"/>
  <c r="Y1665" i="2"/>
  <c r="V1665" i="2" a="1"/>
  <c r="V1665" i="2" s="1"/>
  <c r="AQ1665" i="2" s="1"/>
  <c r="M1665" i="2" a="1"/>
  <c r="M1665" i="2" s="1"/>
  <c r="I1665" i="2" a="1"/>
  <c r="I1665" i="2" s="1"/>
  <c r="AN1664" i="2"/>
  <c r="AM1664" i="2"/>
  <c r="AI1664" i="2"/>
  <c r="Y1664" i="2"/>
  <c r="V1664" i="2" a="1"/>
  <c r="V1664" i="2" s="1"/>
  <c r="AQ1664" i="2" s="1"/>
  <c r="M1664" i="2" a="1"/>
  <c r="M1664" i="2" s="1"/>
  <c r="I1664" i="2" a="1"/>
  <c r="I1664" i="2" s="1"/>
  <c r="AN1663" i="2"/>
  <c r="AM1663" i="2"/>
  <c r="AI1663" i="2"/>
  <c r="Y1663" i="2"/>
  <c r="V1663" i="2" a="1"/>
  <c r="V1663" i="2" s="1"/>
  <c r="AQ1663" i="2" s="1"/>
  <c r="M1663" i="2" a="1"/>
  <c r="M1663" i="2" s="1"/>
  <c r="I1663" i="2" a="1"/>
  <c r="I1663" i="2" s="1"/>
  <c r="AN1662" i="2"/>
  <c r="AM1662" i="2"/>
  <c r="AI1662" i="2"/>
  <c r="Y1662" i="2"/>
  <c r="V1662" i="2" a="1"/>
  <c r="V1662" i="2" s="1"/>
  <c r="AQ1662" i="2" s="1"/>
  <c r="M1662" i="2" a="1"/>
  <c r="M1662" i="2" s="1"/>
  <c r="I1662" i="2" a="1"/>
  <c r="I1662" i="2" s="1"/>
  <c r="AN1661" i="2"/>
  <c r="AM1661" i="2"/>
  <c r="AI1661" i="2"/>
  <c r="Y1661" i="2"/>
  <c r="V1661" i="2" a="1"/>
  <c r="V1661" i="2" s="1"/>
  <c r="AQ1661" i="2" s="1"/>
  <c r="M1661" i="2" a="1"/>
  <c r="M1661" i="2" s="1"/>
  <c r="I1661" i="2" a="1"/>
  <c r="I1661" i="2" s="1"/>
  <c r="AN1660" i="2"/>
  <c r="AM1660" i="2"/>
  <c r="AI1660" i="2"/>
  <c r="Y1660" i="2"/>
  <c r="V1660" i="2" a="1"/>
  <c r="V1660" i="2" s="1"/>
  <c r="AQ1660" i="2" s="1"/>
  <c r="M1660" i="2" a="1"/>
  <c r="M1660" i="2" s="1"/>
  <c r="I1660" i="2" a="1"/>
  <c r="I1660" i="2" s="1"/>
  <c r="AN1659" i="2"/>
  <c r="AM1659" i="2"/>
  <c r="AI1659" i="2"/>
  <c r="Y1659" i="2"/>
  <c r="V1659" i="2" a="1"/>
  <c r="V1659" i="2" s="1"/>
  <c r="AQ1659" i="2" s="1"/>
  <c r="M1659" i="2" a="1"/>
  <c r="M1659" i="2" s="1"/>
  <c r="I1659" i="2" a="1"/>
  <c r="I1659" i="2" s="1"/>
  <c r="AN1658" i="2"/>
  <c r="AM1658" i="2"/>
  <c r="AI1658" i="2"/>
  <c r="Y1658" i="2"/>
  <c r="V1658" i="2" a="1"/>
  <c r="V1658" i="2" s="1"/>
  <c r="AQ1658" i="2" s="1"/>
  <c r="M1658" i="2" a="1"/>
  <c r="M1658" i="2" s="1"/>
  <c r="I1658" i="2" a="1"/>
  <c r="I1658" i="2" s="1"/>
  <c r="AN1657" i="2"/>
  <c r="AM1657" i="2"/>
  <c r="AI1657" i="2"/>
  <c r="Y1657" i="2"/>
  <c r="V1657" i="2" a="1"/>
  <c r="V1657" i="2" s="1"/>
  <c r="AQ1657" i="2" s="1"/>
  <c r="M1657" i="2" a="1"/>
  <c r="M1657" i="2" s="1"/>
  <c r="I1657" i="2" a="1"/>
  <c r="I1657" i="2" s="1"/>
  <c r="AN1656" i="2"/>
  <c r="AM1656" i="2"/>
  <c r="AI1656" i="2"/>
  <c r="Y1656" i="2"/>
  <c r="V1656" i="2" a="1"/>
  <c r="V1656" i="2" s="1"/>
  <c r="AQ1656" i="2" s="1"/>
  <c r="M1656" i="2" a="1"/>
  <c r="M1656" i="2" s="1"/>
  <c r="I1656" i="2" a="1"/>
  <c r="I1656" i="2" s="1"/>
  <c r="AN1655" i="2"/>
  <c r="AM1655" i="2"/>
  <c r="AI1655" i="2"/>
  <c r="Y1655" i="2"/>
  <c r="V1655" i="2" a="1"/>
  <c r="V1655" i="2" s="1"/>
  <c r="AQ1655" i="2" s="1"/>
  <c r="M1655" i="2" a="1"/>
  <c r="M1655" i="2" s="1"/>
  <c r="I1655" i="2" a="1"/>
  <c r="I1655" i="2" s="1"/>
  <c r="AN1654" i="2"/>
  <c r="AM1654" i="2"/>
  <c r="AI1654" i="2"/>
  <c r="Y1654" i="2"/>
  <c r="V1654" i="2" a="1"/>
  <c r="V1654" i="2" s="1"/>
  <c r="AQ1654" i="2" s="1"/>
  <c r="M1654" i="2" a="1"/>
  <c r="M1654" i="2" s="1"/>
  <c r="I1654" i="2" a="1"/>
  <c r="I1654" i="2" s="1"/>
  <c r="AN1653" i="2"/>
  <c r="AM1653" i="2"/>
  <c r="AI1653" i="2"/>
  <c r="Y1653" i="2"/>
  <c r="V1653" i="2" a="1"/>
  <c r="V1653" i="2" s="1"/>
  <c r="AQ1653" i="2" s="1"/>
  <c r="M1653" i="2" a="1"/>
  <c r="M1653" i="2" s="1"/>
  <c r="I1653" i="2" a="1"/>
  <c r="I1653" i="2" s="1"/>
  <c r="AN1652" i="2"/>
  <c r="AM1652" i="2"/>
  <c r="AI1652" i="2"/>
  <c r="Y1652" i="2"/>
  <c r="V1652" i="2" a="1"/>
  <c r="V1652" i="2" s="1"/>
  <c r="AQ1652" i="2" s="1"/>
  <c r="M1652" i="2" a="1"/>
  <c r="M1652" i="2" s="1"/>
  <c r="I1652" i="2" a="1"/>
  <c r="I1652" i="2" s="1"/>
  <c r="AN1651" i="2"/>
  <c r="AM1651" i="2"/>
  <c r="AI1651" i="2"/>
  <c r="Y1651" i="2"/>
  <c r="V1651" i="2" a="1"/>
  <c r="V1651" i="2" s="1"/>
  <c r="AQ1651" i="2" s="1"/>
  <c r="M1651" i="2" a="1"/>
  <c r="M1651" i="2" s="1"/>
  <c r="I1651" i="2" a="1"/>
  <c r="I1651" i="2" s="1"/>
  <c r="AN1650" i="2"/>
  <c r="AM1650" i="2"/>
  <c r="AI1650" i="2"/>
  <c r="Y1650" i="2"/>
  <c r="V1650" i="2" a="1"/>
  <c r="V1650" i="2" s="1"/>
  <c r="AQ1650" i="2" s="1"/>
  <c r="M1650" i="2" a="1"/>
  <c r="M1650" i="2" s="1"/>
  <c r="I1650" i="2" a="1"/>
  <c r="I1650" i="2" s="1"/>
  <c r="AN1649" i="2"/>
  <c r="AM1649" i="2"/>
  <c r="AI1649" i="2"/>
  <c r="Y1649" i="2"/>
  <c r="V1649" i="2" a="1"/>
  <c r="V1649" i="2" s="1"/>
  <c r="AQ1649" i="2" s="1"/>
  <c r="M1649" i="2" a="1"/>
  <c r="M1649" i="2" s="1"/>
  <c r="I1649" i="2" a="1"/>
  <c r="I1649" i="2" s="1"/>
  <c r="AN1648" i="2"/>
  <c r="AM1648" i="2"/>
  <c r="AI1648" i="2"/>
  <c r="Y1648" i="2"/>
  <c r="V1648" i="2" a="1"/>
  <c r="V1648" i="2" s="1"/>
  <c r="AQ1648" i="2" s="1"/>
  <c r="M1648" i="2" a="1"/>
  <c r="M1648" i="2" s="1"/>
  <c r="I1648" i="2" a="1"/>
  <c r="I1648" i="2" s="1"/>
  <c r="AN1647" i="2"/>
  <c r="AM1647" i="2"/>
  <c r="AI1647" i="2"/>
  <c r="Y1647" i="2"/>
  <c r="V1647" i="2" a="1"/>
  <c r="V1647" i="2" s="1"/>
  <c r="AQ1647" i="2" s="1"/>
  <c r="M1647" i="2" a="1"/>
  <c r="M1647" i="2" s="1"/>
  <c r="I1647" i="2" a="1"/>
  <c r="I1647" i="2" s="1"/>
  <c r="AN1646" i="2"/>
  <c r="AM1646" i="2"/>
  <c r="AI1646" i="2"/>
  <c r="Y1646" i="2"/>
  <c r="V1646" i="2" a="1"/>
  <c r="V1646" i="2" s="1"/>
  <c r="AQ1646" i="2" s="1"/>
  <c r="M1646" i="2" a="1"/>
  <c r="M1646" i="2" s="1"/>
  <c r="I1646" i="2" a="1"/>
  <c r="I1646" i="2" s="1"/>
  <c r="AN1645" i="2"/>
  <c r="AM1645" i="2"/>
  <c r="AI1645" i="2"/>
  <c r="Y1645" i="2"/>
  <c r="V1645" i="2" a="1"/>
  <c r="V1645" i="2" s="1"/>
  <c r="AQ1645" i="2" s="1"/>
  <c r="M1645" i="2" a="1"/>
  <c r="M1645" i="2" s="1"/>
  <c r="I1645" i="2" a="1"/>
  <c r="I1645" i="2" s="1"/>
  <c r="AN1644" i="2"/>
  <c r="AM1644" i="2"/>
  <c r="AI1644" i="2"/>
  <c r="Y1644" i="2"/>
  <c r="V1644" i="2" a="1"/>
  <c r="V1644" i="2" s="1"/>
  <c r="AQ1644" i="2" s="1"/>
  <c r="M1644" i="2" a="1"/>
  <c r="M1644" i="2" s="1"/>
  <c r="I1644" i="2" a="1"/>
  <c r="I1644" i="2" s="1"/>
  <c r="AN1643" i="2"/>
  <c r="AM1643" i="2"/>
  <c r="AI1643" i="2"/>
  <c r="Y1643" i="2"/>
  <c r="V1643" i="2" a="1"/>
  <c r="V1643" i="2" s="1"/>
  <c r="AQ1643" i="2" s="1"/>
  <c r="M1643" i="2" a="1"/>
  <c r="M1643" i="2" s="1"/>
  <c r="I1643" i="2" a="1"/>
  <c r="I1643" i="2" s="1"/>
  <c r="AN1642" i="2"/>
  <c r="AM1642" i="2"/>
  <c r="AI1642" i="2"/>
  <c r="Y1642" i="2"/>
  <c r="V1642" i="2" a="1"/>
  <c r="V1642" i="2" s="1"/>
  <c r="AQ1642" i="2" s="1"/>
  <c r="M1642" i="2" a="1"/>
  <c r="M1642" i="2" s="1"/>
  <c r="I1642" i="2" a="1"/>
  <c r="I1642" i="2" s="1"/>
  <c r="AN1641" i="2"/>
  <c r="AM1641" i="2"/>
  <c r="AI1641" i="2"/>
  <c r="Y1641" i="2"/>
  <c r="V1641" i="2" a="1"/>
  <c r="V1641" i="2" s="1"/>
  <c r="AQ1641" i="2" s="1"/>
  <c r="M1641" i="2" a="1"/>
  <c r="M1641" i="2" s="1"/>
  <c r="I1641" i="2" a="1"/>
  <c r="I1641" i="2" s="1"/>
  <c r="AN1640" i="2"/>
  <c r="AM1640" i="2"/>
  <c r="AI1640" i="2"/>
  <c r="Y1640" i="2"/>
  <c r="V1640" i="2" a="1"/>
  <c r="V1640" i="2" s="1"/>
  <c r="AQ1640" i="2" s="1"/>
  <c r="M1640" i="2" a="1"/>
  <c r="M1640" i="2" s="1"/>
  <c r="I1640" i="2" a="1"/>
  <c r="I1640" i="2" s="1"/>
  <c r="AN1639" i="2"/>
  <c r="AM1639" i="2"/>
  <c r="AI1639" i="2"/>
  <c r="Y1639" i="2"/>
  <c r="V1639" i="2" a="1"/>
  <c r="V1639" i="2" s="1"/>
  <c r="AQ1639" i="2" s="1"/>
  <c r="M1639" i="2" a="1"/>
  <c r="M1639" i="2" s="1"/>
  <c r="I1639" i="2" a="1"/>
  <c r="I1639" i="2" s="1"/>
  <c r="AN1638" i="2"/>
  <c r="AM1638" i="2"/>
  <c r="AI1638" i="2"/>
  <c r="Y1638" i="2"/>
  <c r="V1638" i="2" a="1"/>
  <c r="V1638" i="2" s="1"/>
  <c r="AQ1638" i="2" s="1"/>
  <c r="M1638" i="2" a="1"/>
  <c r="M1638" i="2" s="1"/>
  <c r="I1638" i="2" a="1"/>
  <c r="I1638" i="2" s="1"/>
  <c r="AN1637" i="2"/>
  <c r="AM1637" i="2"/>
  <c r="AI1637" i="2"/>
  <c r="Y1637" i="2"/>
  <c r="V1637" i="2" a="1"/>
  <c r="V1637" i="2" s="1"/>
  <c r="AQ1637" i="2" s="1"/>
  <c r="M1637" i="2" a="1"/>
  <c r="M1637" i="2" s="1"/>
  <c r="I1637" i="2" a="1"/>
  <c r="I1637" i="2" s="1"/>
  <c r="AN1636" i="2"/>
  <c r="AM1636" i="2"/>
  <c r="AI1636" i="2"/>
  <c r="Y1636" i="2"/>
  <c r="V1636" i="2" a="1"/>
  <c r="V1636" i="2" s="1"/>
  <c r="AQ1636" i="2" s="1"/>
  <c r="M1636" i="2" a="1"/>
  <c r="M1636" i="2" s="1"/>
  <c r="I1636" i="2" a="1"/>
  <c r="I1636" i="2" s="1"/>
  <c r="AN1635" i="2"/>
  <c r="AM1635" i="2"/>
  <c r="AI1635" i="2"/>
  <c r="Y1635" i="2"/>
  <c r="V1635" i="2" a="1"/>
  <c r="V1635" i="2" s="1"/>
  <c r="AQ1635" i="2" s="1"/>
  <c r="M1635" i="2" a="1"/>
  <c r="M1635" i="2" s="1"/>
  <c r="I1635" i="2" a="1"/>
  <c r="I1635" i="2" s="1"/>
  <c r="AN1634" i="2"/>
  <c r="AM1634" i="2"/>
  <c r="AI1634" i="2"/>
  <c r="Y1634" i="2"/>
  <c r="V1634" i="2" a="1"/>
  <c r="V1634" i="2" s="1"/>
  <c r="AQ1634" i="2" s="1"/>
  <c r="M1634" i="2" a="1"/>
  <c r="M1634" i="2" s="1"/>
  <c r="I1634" i="2" a="1"/>
  <c r="I1634" i="2" s="1"/>
  <c r="AN1633" i="2"/>
  <c r="AM1633" i="2"/>
  <c r="AI1633" i="2"/>
  <c r="Y1633" i="2"/>
  <c r="V1633" i="2" a="1"/>
  <c r="V1633" i="2" s="1"/>
  <c r="AQ1633" i="2" s="1"/>
  <c r="M1633" i="2" a="1"/>
  <c r="M1633" i="2" s="1"/>
  <c r="I1633" i="2" a="1"/>
  <c r="I1633" i="2" s="1"/>
  <c r="AN1632" i="2"/>
  <c r="AM1632" i="2"/>
  <c r="AI1632" i="2"/>
  <c r="Y1632" i="2"/>
  <c r="V1632" i="2" a="1"/>
  <c r="V1632" i="2" s="1"/>
  <c r="AQ1632" i="2" s="1"/>
  <c r="M1632" i="2" a="1"/>
  <c r="M1632" i="2" s="1"/>
  <c r="I1632" i="2" a="1"/>
  <c r="I1632" i="2" s="1"/>
  <c r="AN1631" i="2"/>
  <c r="AM1631" i="2"/>
  <c r="AI1631" i="2"/>
  <c r="Y1631" i="2"/>
  <c r="V1631" i="2" a="1"/>
  <c r="V1631" i="2" s="1"/>
  <c r="AQ1631" i="2" s="1"/>
  <c r="M1631" i="2" a="1"/>
  <c r="M1631" i="2" s="1"/>
  <c r="I1631" i="2" a="1"/>
  <c r="I1631" i="2" s="1"/>
  <c r="AN1630" i="2"/>
  <c r="AM1630" i="2"/>
  <c r="AI1630" i="2"/>
  <c r="Y1630" i="2"/>
  <c r="V1630" i="2" a="1"/>
  <c r="V1630" i="2" s="1"/>
  <c r="AQ1630" i="2" s="1"/>
  <c r="M1630" i="2" a="1"/>
  <c r="M1630" i="2" s="1"/>
  <c r="I1630" i="2" a="1"/>
  <c r="I1630" i="2" s="1"/>
  <c r="AN1629" i="2"/>
  <c r="AM1629" i="2"/>
  <c r="AI1629" i="2"/>
  <c r="Y1629" i="2"/>
  <c r="V1629" i="2" a="1"/>
  <c r="V1629" i="2" s="1"/>
  <c r="AQ1629" i="2" s="1"/>
  <c r="M1629" i="2" a="1"/>
  <c r="M1629" i="2" s="1"/>
  <c r="I1629" i="2" a="1"/>
  <c r="I1629" i="2" s="1"/>
  <c r="AN1628" i="2"/>
  <c r="AM1628" i="2"/>
  <c r="AI1628" i="2"/>
  <c r="Y1628" i="2"/>
  <c r="V1628" i="2" a="1"/>
  <c r="V1628" i="2" s="1"/>
  <c r="AQ1628" i="2" s="1"/>
  <c r="M1628" i="2" a="1"/>
  <c r="M1628" i="2" s="1"/>
  <c r="I1628" i="2" a="1"/>
  <c r="I1628" i="2" s="1"/>
  <c r="AN1627" i="2"/>
  <c r="AM1627" i="2"/>
  <c r="AI1627" i="2"/>
  <c r="Y1627" i="2"/>
  <c r="V1627" i="2" a="1"/>
  <c r="V1627" i="2" s="1"/>
  <c r="AQ1627" i="2" s="1"/>
  <c r="M1627" i="2" a="1"/>
  <c r="M1627" i="2" s="1"/>
  <c r="I1627" i="2" a="1"/>
  <c r="I1627" i="2" s="1"/>
  <c r="AN1626" i="2"/>
  <c r="AM1626" i="2"/>
  <c r="AI1626" i="2"/>
  <c r="Y1626" i="2"/>
  <c r="V1626" i="2" a="1"/>
  <c r="V1626" i="2" s="1"/>
  <c r="AQ1626" i="2" s="1"/>
  <c r="M1626" i="2" a="1"/>
  <c r="M1626" i="2" s="1"/>
  <c r="I1626" i="2" a="1"/>
  <c r="I1626" i="2" s="1"/>
  <c r="AN1625" i="2"/>
  <c r="AM1625" i="2"/>
  <c r="AI1625" i="2"/>
  <c r="Y1625" i="2"/>
  <c r="V1625" i="2" a="1"/>
  <c r="V1625" i="2" s="1"/>
  <c r="AQ1625" i="2" s="1"/>
  <c r="M1625" i="2" a="1"/>
  <c r="M1625" i="2" s="1"/>
  <c r="I1625" i="2" a="1"/>
  <c r="I1625" i="2" s="1"/>
  <c r="AN1624" i="2"/>
  <c r="AM1624" i="2"/>
  <c r="AI1624" i="2"/>
  <c r="Y1624" i="2"/>
  <c r="V1624" i="2" a="1"/>
  <c r="V1624" i="2" s="1"/>
  <c r="AQ1624" i="2" s="1"/>
  <c r="M1624" i="2" a="1"/>
  <c r="M1624" i="2" s="1"/>
  <c r="I1624" i="2" a="1"/>
  <c r="I1624" i="2" s="1"/>
  <c r="AN1623" i="2"/>
  <c r="AM1623" i="2"/>
  <c r="AI1623" i="2"/>
  <c r="Y1623" i="2"/>
  <c r="V1623" i="2" a="1"/>
  <c r="V1623" i="2" s="1"/>
  <c r="AQ1623" i="2" s="1"/>
  <c r="M1623" i="2" a="1"/>
  <c r="M1623" i="2" s="1"/>
  <c r="I1623" i="2" a="1"/>
  <c r="I1623" i="2" s="1"/>
  <c r="AN1622" i="2"/>
  <c r="AM1622" i="2"/>
  <c r="AI1622" i="2"/>
  <c r="Y1622" i="2"/>
  <c r="V1622" i="2" a="1"/>
  <c r="V1622" i="2" s="1"/>
  <c r="AQ1622" i="2" s="1"/>
  <c r="M1622" i="2" a="1"/>
  <c r="M1622" i="2" s="1"/>
  <c r="I1622" i="2" a="1"/>
  <c r="I1622" i="2" s="1"/>
  <c r="AN1621" i="2"/>
  <c r="AM1621" i="2"/>
  <c r="AI1621" i="2"/>
  <c r="Y1621" i="2"/>
  <c r="V1621" i="2" a="1"/>
  <c r="V1621" i="2" s="1"/>
  <c r="AQ1621" i="2" s="1"/>
  <c r="M1621" i="2" a="1"/>
  <c r="M1621" i="2" s="1"/>
  <c r="I1621" i="2" a="1"/>
  <c r="I1621" i="2" s="1"/>
  <c r="AN1620" i="2"/>
  <c r="AM1620" i="2"/>
  <c r="AI1620" i="2"/>
  <c r="Y1620" i="2"/>
  <c r="V1620" i="2" a="1"/>
  <c r="V1620" i="2" s="1"/>
  <c r="AQ1620" i="2" s="1"/>
  <c r="M1620" i="2" a="1"/>
  <c r="M1620" i="2" s="1"/>
  <c r="I1620" i="2" a="1"/>
  <c r="I1620" i="2" s="1"/>
  <c r="AN1619" i="2"/>
  <c r="AM1619" i="2"/>
  <c r="AI1619" i="2"/>
  <c r="Y1619" i="2"/>
  <c r="V1619" i="2" a="1"/>
  <c r="V1619" i="2" s="1"/>
  <c r="AQ1619" i="2" s="1"/>
  <c r="M1619" i="2" a="1"/>
  <c r="M1619" i="2" s="1"/>
  <c r="I1619" i="2" a="1"/>
  <c r="I1619" i="2" s="1"/>
  <c r="AN1618" i="2"/>
  <c r="AM1618" i="2"/>
  <c r="AI1618" i="2"/>
  <c r="Y1618" i="2"/>
  <c r="V1618" i="2" a="1"/>
  <c r="V1618" i="2" s="1"/>
  <c r="AQ1618" i="2" s="1"/>
  <c r="M1618" i="2" a="1"/>
  <c r="M1618" i="2" s="1"/>
  <c r="I1618" i="2" a="1"/>
  <c r="I1618" i="2" s="1"/>
  <c r="AN1617" i="2"/>
  <c r="AM1617" i="2"/>
  <c r="AI1617" i="2"/>
  <c r="Y1617" i="2"/>
  <c r="V1617" i="2" a="1"/>
  <c r="V1617" i="2" s="1"/>
  <c r="AQ1617" i="2" s="1"/>
  <c r="M1617" i="2" a="1"/>
  <c r="M1617" i="2" s="1"/>
  <c r="I1617" i="2" a="1"/>
  <c r="I1617" i="2" s="1"/>
  <c r="AN1616" i="2"/>
  <c r="AM1616" i="2"/>
  <c r="AI1616" i="2"/>
  <c r="Y1616" i="2"/>
  <c r="V1616" i="2" a="1"/>
  <c r="V1616" i="2" s="1"/>
  <c r="AQ1616" i="2" s="1"/>
  <c r="M1616" i="2" a="1"/>
  <c r="M1616" i="2" s="1"/>
  <c r="I1616" i="2" a="1"/>
  <c r="I1616" i="2" s="1"/>
  <c r="AN1615" i="2"/>
  <c r="AM1615" i="2"/>
  <c r="AI1615" i="2"/>
  <c r="Y1615" i="2"/>
  <c r="V1615" i="2" a="1"/>
  <c r="V1615" i="2" s="1"/>
  <c r="AQ1615" i="2" s="1"/>
  <c r="M1615" i="2" a="1"/>
  <c r="M1615" i="2" s="1"/>
  <c r="I1615" i="2" a="1"/>
  <c r="I1615" i="2" s="1"/>
  <c r="AN1614" i="2"/>
  <c r="AM1614" i="2"/>
  <c r="AI1614" i="2"/>
  <c r="Y1614" i="2"/>
  <c r="V1614" i="2" a="1"/>
  <c r="V1614" i="2" s="1"/>
  <c r="AQ1614" i="2" s="1"/>
  <c r="M1614" i="2" a="1"/>
  <c r="M1614" i="2" s="1"/>
  <c r="I1614" i="2" a="1"/>
  <c r="I1614" i="2" s="1"/>
  <c r="AN1613" i="2"/>
  <c r="AM1613" i="2"/>
  <c r="AI1613" i="2"/>
  <c r="Y1613" i="2"/>
  <c r="V1613" i="2" a="1"/>
  <c r="V1613" i="2" s="1"/>
  <c r="AQ1613" i="2" s="1"/>
  <c r="M1613" i="2" a="1"/>
  <c r="M1613" i="2" s="1"/>
  <c r="I1613" i="2" a="1"/>
  <c r="I1613" i="2" s="1"/>
  <c r="AN1612" i="2"/>
  <c r="AM1612" i="2"/>
  <c r="AI1612" i="2"/>
  <c r="Y1612" i="2"/>
  <c r="V1612" i="2" a="1"/>
  <c r="V1612" i="2" s="1"/>
  <c r="AQ1612" i="2" s="1"/>
  <c r="M1612" i="2" a="1"/>
  <c r="M1612" i="2" s="1"/>
  <c r="I1612" i="2" a="1"/>
  <c r="I1612" i="2" s="1"/>
  <c r="AN1611" i="2"/>
  <c r="AM1611" i="2"/>
  <c r="AI1611" i="2"/>
  <c r="Y1611" i="2"/>
  <c r="V1611" i="2" a="1"/>
  <c r="V1611" i="2" s="1"/>
  <c r="AQ1611" i="2" s="1"/>
  <c r="M1611" i="2" a="1"/>
  <c r="M1611" i="2" s="1"/>
  <c r="I1611" i="2" a="1"/>
  <c r="I1611" i="2" s="1"/>
  <c r="AN1610" i="2"/>
  <c r="AM1610" i="2"/>
  <c r="AI1610" i="2"/>
  <c r="Y1610" i="2"/>
  <c r="V1610" i="2" a="1"/>
  <c r="V1610" i="2" s="1"/>
  <c r="AQ1610" i="2" s="1"/>
  <c r="M1610" i="2" a="1"/>
  <c r="M1610" i="2" s="1"/>
  <c r="I1610" i="2" a="1"/>
  <c r="I1610" i="2" s="1"/>
  <c r="AN1609" i="2"/>
  <c r="AM1609" i="2"/>
  <c r="AI1609" i="2"/>
  <c r="Y1609" i="2"/>
  <c r="V1609" i="2" a="1"/>
  <c r="V1609" i="2" s="1"/>
  <c r="AQ1609" i="2" s="1"/>
  <c r="M1609" i="2" a="1"/>
  <c r="M1609" i="2" s="1"/>
  <c r="I1609" i="2" a="1"/>
  <c r="I1609" i="2" s="1"/>
  <c r="AN1608" i="2"/>
  <c r="AM1608" i="2"/>
  <c r="AI1608" i="2"/>
  <c r="Y1608" i="2"/>
  <c r="V1608" i="2" a="1"/>
  <c r="V1608" i="2" s="1"/>
  <c r="AQ1608" i="2" s="1"/>
  <c r="M1608" i="2" a="1"/>
  <c r="M1608" i="2" s="1"/>
  <c r="I1608" i="2" a="1"/>
  <c r="I1608" i="2" s="1"/>
  <c r="AN1607" i="2"/>
  <c r="AM1607" i="2"/>
  <c r="AI1607" i="2"/>
  <c r="Y1607" i="2"/>
  <c r="V1607" i="2" a="1"/>
  <c r="V1607" i="2" s="1"/>
  <c r="AQ1607" i="2" s="1"/>
  <c r="M1607" i="2" a="1"/>
  <c r="M1607" i="2" s="1"/>
  <c r="I1607" i="2" a="1"/>
  <c r="I1607" i="2" s="1"/>
  <c r="AN1606" i="2"/>
  <c r="AM1606" i="2"/>
  <c r="AI1606" i="2"/>
  <c r="Y1606" i="2"/>
  <c r="V1606" i="2" a="1"/>
  <c r="V1606" i="2" s="1"/>
  <c r="AQ1606" i="2" s="1"/>
  <c r="M1606" i="2" a="1"/>
  <c r="M1606" i="2" s="1"/>
  <c r="I1606" i="2" a="1"/>
  <c r="I1606" i="2" s="1"/>
  <c r="AN1605" i="2"/>
  <c r="AM1605" i="2"/>
  <c r="AI1605" i="2"/>
  <c r="Y1605" i="2"/>
  <c r="V1605" i="2" a="1"/>
  <c r="V1605" i="2" s="1"/>
  <c r="AQ1605" i="2" s="1"/>
  <c r="M1605" i="2" a="1"/>
  <c r="M1605" i="2" s="1"/>
  <c r="I1605" i="2" a="1"/>
  <c r="I1605" i="2" s="1"/>
  <c r="AN1604" i="2"/>
  <c r="AM1604" i="2"/>
  <c r="AI1604" i="2"/>
  <c r="Y1604" i="2"/>
  <c r="V1604" i="2" a="1"/>
  <c r="V1604" i="2" s="1"/>
  <c r="AQ1604" i="2" s="1"/>
  <c r="M1604" i="2" a="1"/>
  <c r="M1604" i="2" s="1"/>
  <c r="I1604" i="2" a="1"/>
  <c r="I1604" i="2" s="1"/>
  <c r="AN1603" i="2"/>
  <c r="AM1603" i="2"/>
  <c r="AI1603" i="2"/>
  <c r="Y1603" i="2"/>
  <c r="V1603" i="2" a="1"/>
  <c r="V1603" i="2" s="1"/>
  <c r="AQ1603" i="2" s="1"/>
  <c r="M1603" i="2" a="1"/>
  <c r="M1603" i="2" s="1"/>
  <c r="I1603" i="2" a="1"/>
  <c r="I1603" i="2" s="1"/>
  <c r="AN1602" i="2"/>
  <c r="AM1602" i="2"/>
  <c r="AI1602" i="2"/>
  <c r="Y1602" i="2"/>
  <c r="V1602" i="2" a="1"/>
  <c r="V1602" i="2" s="1"/>
  <c r="AQ1602" i="2" s="1"/>
  <c r="M1602" i="2" a="1"/>
  <c r="M1602" i="2" s="1"/>
  <c r="I1602" i="2" a="1"/>
  <c r="I1602" i="2" s="1"/>
  <c r="AN1601" i="2"/>
  <c r="AM1601" i="2"/>
  <c r="AI1601" i="2"/>
  <c r="Y1601" i="2"/>
  <c r="V1601" i="2" a="1"/>
  <c r="V1601" i="2" s="1"/>
  <c r="AQ1601" i="2" s="1"/>
  <c r="M1601" i="2" a="1"/>
  <c r="M1601" i="2" s="1"/>
  <c r="I1601" i="2" a="1"/>
  <c r="I1601" i="2" s="1"/>
  <c r="AN1600" i="2"/>
  <c r="AM1600" i="2"/>
  <c r="AI1600" i="2"/>
  <c r="Y1600" i="2"/>
  <c r="V1600" i="2" a="1"/>
  <c r="V1600" i="2" s="1"/>
  <c r="AQ1600" i="2" s="1"/>
  <c r="M1600" i="2" a="1"/>
  <c r="M1600" i="2" s="1"/>
  <c r="I1600" i="2" a="1"/>
  <c r="I1600" i="2" s="1"/>
  <c r="AN1599" i="2"/>
  <c r="AM1599" i="2"/>
  <c r="AI1599" i="2"/>
  <c r="Y1599" i="2"/>
  <c r="V1599" i="2" a="1"/>
  <c r="V1599" i="2" s="1"/>
  <c r="AQ1599" i="2" s="1"/>
  <c r="M1599" i="2" a="1"/>
  <c r="M1599" i="2" s="1"/>
  <c r="I1599" i="2" a="1"/>
  <c r="I1599" i="2" s="1"/>
  <c r="AN1598" i="2"/>
  <c r="AM1598" i="2"/>
  <c r="AI1598" i="2"/>
  <c r="Y1598" i="2"/>
  <c r="V1598" i="2" a="1"/>
  <c r="V1598" i="2" s="1"/>
  <c r="AQ1598" i="2" s="1"/>
  <c r="M1598" i="2" a="1"/>
  <c r="M1598" i="2" s="1"/>
  <c r="I1598" i="2" a="1"/>
  <c r="I1598" i="2" s="1"/>
  <c r="AN1597" i="2"/>
  <c r="AM1597" i="2"/>
  <c r="AI1597" i="2"/>
  <c r="Y1597" i="2"/>
  <c r="V1597" i="2" a="1"/>
  <c r="V1597" i="2" s="1"/>
  <c r="AQ1597" i="2" s="1"/>
  <c r="M1597" i="2" a="1"/>
  <c r="M1597" i="2" s="1"/>
  <c r="I1597" i="2" a="1"/>
  <c r="I1597" i="2" s="1"/>
  <c r="AN1596" i="2"/>
  <c r="AM1596" i="2"/>
  <c r="AI1596" i="2"/>
  <c r="Y1596" i="2"/>
  <c r="V1596" i="2" a="1"/>
  <c r="V1596" i="2" s="1"/>
  <c r="AQ1596" i="2" s="1"/>
  <c r="M1596" i="2" a="1"/>
  <c r="M1596" i="2" s="1"/>
  <c r="I1596" i="2" a="1"/>
  <c r="I1596" i="2" s="1"/>
  <c r="AN1595" i="2"/>
  <c r="AM1595" i="2"/>
  <c r="AI1595" i="2"/>
  <c r="Y1595" i="2"/>
  <c r="V1595" i="2" a="1"/>
  <c r="V1595" i="2" s="1"/>
  <c r="AQ1595" i="2" s="1"/>
  <c r="M1595" i="2" a="1"/>
  <c r="M1595" i="2" s="1"/>
  <c r="I1595" i="2" a="1"/>
  <c r="I1595" i="2" s="1"/>
  <c r="AN1594" i="2"/>
  <c r="AM1594" i="2"/>
  <c r="AI1594" i="2"/>
  <c r="Y1594" i="2"/>
  <c r="V1594" i="2" a="1"/>
  <c r="V1594" i="2" s="1"/>
  <c r="AQ1594" i="2" s="1"/>
  <c r="M1594" i="2" a="1"/>
  <c r="M1594" i="2" s="1"/>
  <c r="I1594" i="2" a="1"/>
  <c r="I1594" i="2" s="1"/>
  <c r="AN1593" i="2"/>
  <c r="AM1593" i="2"/>
  <c r="AI1593" i="2"/>
  <c r="Y1593" i="2"/>
  <c r="V1593" i="2" a="1"/>
  <c r="V1593" i="2" s="1"/>
  <c r="AQ1593" i="2" s="1"/>
  <c r="M1593" i="2" a="1"/>
  <c r="M1593" i="2" s="1"/>
  <c r="I1593" i="2" a="1"/>
  <c r="I1593" i="2" s="1"/>
  <c r="AN1592" i="2"/>
  <c r="AM1592" i="2"/>
  <c r="AI1592" i="2"/>
  <c r="Y1592" i="2"/>
  <c r="V1592" i="2" a="1"/>
  <c r="V1592" i="2" s="1"/>
  <c r="AQ1592" i="2" s="1"/>
  <c r="M1592" i="2" a="1"/>
  <c r="M1592" i="2" s="1"/>
  <c r="I1592" i="2" a="1"/>
  <c r="I1592" i="2" s="1"/>
  <c r="AN1591" i="2"/>
  <c r="AM1591" i="2"/>
  <c r="AI1591" i="2"/>
  <c r="Y1591" i="2"/>
  <c r="V1591" i="2" a="1"/>
  <c r="V1591" i="2" s="1"/>
  <c r="AQ1591" i="2" s="1"/>
  <c r="M1591" i="2" a="1"/>
  <c r="M1591" i="2" s="1"/>
  <c r="I1591" i="2" a="1"/>
  <c r="I1591" i="2" s="1"/>
  <c r="AN1590" i="2"/>
  <c r="AM1590" i="2"/>
  <c r="AI1590" i="2"/>
  <c r="Y1590" i="2"/>
  <c r="V1590" i="2" a="1"/>
  <c r="V1590" i="2" s="1"/>
  <c r="AQ1590" i="2" s="1"/>
  <c r="M1590" i="2" a="1"/>
  <c r="M1590" i="2" s="1"/>
  <c r="I1590" i="2" a="1"/>
  <c r="I1590" i="2" s="1"/>
  <c r="AN1589" i="2"/>
  <c r="AM1589" i="2"/>
  <c r="AI1589" i="2"/>
  <c r="Y1589" i="2"/>
  <c r="V1589" i="2" a="1"/>
  <c r="V1589" i="2" s="1"/>
  <c r="AQ1589" i="2" s="1"/>
  <c r="M1589" i="2" a="1"/>
  <c r="M1589" i="2" s="1"/>
  <c r="I1589" i="2" a="1"/>
  <c r="I1589" i="2" s="1"/>
  <c r="AN1588" i="2"/>
  <c r="AM1588" i="2"/>
  <c r="AI1588" i="2"/>
  <c r="Y1588" i="2"/>
  <c r="V1588" i="2" a="1"/>
  <c r="V1588" i="2" s="1"/>
  <c r="AQ1588" i="2" s="1"/>
  <c r="M1588" i="2" a="1"/>
  <c r="M1588" i="2" s="1"/>
  <c r="I1588" i="2" a="1"/>
  <c r="I1588" i="2" s="1"/>
  <c r="AN1587" i="2"/>
  <c r="AM1587" i="2"/>
  <c r="AI1587" i="2"/>
  <c r="Y1587" i="2"/>
  <c r="V1587" i="2" a="1"/>
  <c r="V1587" i="2" s="1"/>
  <c r="AQ1587" i="2" s="1"/>
  <c r="M1587" i="2" a="1"/>
  <c r="M1587" i="2" s="1"/>
  <c r="I1587" i="2" a="1"/>
  <c r="I1587" i="2" s="1"/>
  <c r="AN1586" i="2"/>
  <c r="AM1586" i="2"/>
  <c r="AI1586" i="2"/>
  <c r="Y1586" i="2"/>
  <c r="V1586" i="2" a="1"/>
  <c r="V1586" i="2" s="1"/>
  <c r="AQ1586" i="2" s="1"/>
  <c r="M1586" i="2" a="1"/>
  <c r="M1586" i="2" s="1"/>
  <c r="I1586" i="2" a="1"/>
  <c r="I1586" i="2" s="1"/>
  <c r="AN1585" i="2"/>
  <c r="AM1585" i="2"/>
  <c r="AI1585" i="2"/>
  <c r="Y1585" i="2"/>
  <c r="V1585" i="2" a="1"/>
  <c r="V1585" i="2" s="1"/>
  <c r="AQ1585" i="2" s="1"/>
  <c r="M1585" i="2" a="1"/>
  <c r="M1585" i="2" s="1"/>
  <c r="I1585" i="2" a="1"/>
  <c r="I1585" i="2" s="1"/>
  <c r="AN1584" i="2"/>
  <c r="AM1584" i="2"/>
  <c r="AI1584" i="2"/>
  <c r="Y1584" i="2"/>
  <c r="V1584" i="2" a="1"/>
  <c r="V1584" i="2" s="1"/>
  <c r="AQ1584" i="2" s="1"/>
  <c r="M1584" i="2" a="1"/>
  <c r="M1584" i="2" s="1"/>
  <c r="I1584" i="2" a="1"/>
  <c r="I1584" i="2" s="1"/>
  <c r="AN1583" i="2"/>
  <c r="AM1583" i="2"/>
  <c r="AI1583" i="2"/>
  <c r="Y1583" i="2"/>
  <c r="V1583" i="2" a="1"/>
  <c r="V1583" i="2" s="1"/>
  <c r="AQ1583" i="2" s="1"/>
  <c r="M1583" i="2" a="1"/>
  <c r="M1583" i="2" s="1"/>
  <c r="I1583" i="2" a="1"/>
  <c r="I1583" i="2" s="1"/>
  <c r="AN1582" i="2"/>
  <c r="AM1582" i="2"/>
  <c r="AI1582" i="2"/>
  <c r="Y1582" i="2"/>
  <c r="V1582" i="2" a="1"/>
  <c r="V1582" i="2" s="1"/>
  <c r="AQ1582" i="2" s="1"/>
  <c r="M1582" i="2" a="1"/>
  <c r="M1582" i="2" s="1"/>
  <c r="I1582" i="2" a="1"/>
  <c r="I1582" i="2" s="1"/>
  <c r="AN1581" i="2"/>
  <c r="AM1581" i="2"/>
  <c r="AI1581" i="2"/>
  <c r="Y1581" i="2"/>
  <c r="V1581" i="2" a="1"/>
  <c r="V1581" i="2" s="1"/>
  <c r="AQ1581" i="2" s="1"/>
  <c r="M1581" i="2" a="1"/>
  <c r="M1581" i="2" s="1"/>
  <c r="I1581" i="2" a="1"/>
  <c r="I1581" i="2" s="1"/>
  <c r="AN1580" i="2"/>
  <c r="AM1580" i="2"/>
  <c r="AI1580" i="2"/>
  <c r="Y1580" i="2"/>
  <c r="V1580" i="2" a="1"/>
  <c r="V1580" i="2" s="1"/>
  <c r="AQ1580" i="2" s="1"/>
  <c r="M1580" i="2" a="1"/>
  <c r="M1580" i="2" s="1"/>
  <c r="I1580" i="2" a="1"/>
  <c r="I1580" i="2" s="1"/>
  <c r="AN1579" i="2"/>
  <c r="AM1579" i="2"/>
  <c r="AI1579" i="2"/>
  <c r="Y1579" i="2"/>
  <c r="V1579" i="2" a="1"/>
  <c r="V1579" i="2" s="1"/>
  <c r="AQ1579" i="2" s="1"/>
  <c r="M1579" i="2" a="1"/>
  <c r="M1579" i="2" s="1"/>
  <c r="I1579" i="2" a="1"/>
  <c r="I1579" i="2" s="1"/>
  <c r="AN1578" i="2"/>
  <c r="AM1578" i="2"/>
  <c r="AI1578" i="2"/>
  <c r="Y1578" i="2"/>
  <c r="V1578" i="2" a="1"/>
  <c r="V1578" i="2" s="1"/>
  <c r="AQ1578" i="2" s="1"/>
  <c r="M1578" i="2" a="1"/>
  <c r="M1578" i="2" s="1"/>
  <c r="I1578" i="2" a="1"/>
  <c r="I1578" i="2" s="1"/>
  <c r="AN1577" i="2"/>
  <c r="AM1577" i="2"/>
  <c r="AI1577" i="2"/>
  <c r="Y1577" i="2"/>
  <c r="V1577" i="2" a="1"/>
  <c r="V1577" i="2" s="1"/>
  <c r="AQ1577" i="2" s="1"/>
  <c r="M1577" i="2" a="1"/>
  <c r="M1577" i="2" s="1"/>
  <c r="I1577" i="2" a="1"/>
  <c r="I1577" i="2" s="1"/>
  <c r="AN1576" i="2"/>
  <c r="AM1576" i="2"/>
  <c r="AI1576" i="2"/>
  <c r="Y1576" i="2"/>
  <c r="V1576" i="2" a="1"/>
  <c r="V1576" i="2" s="1"/>
  <c r="AQ1576" i="2" s="1"/>
  <c r="M1576" i="2" a="1"/>
  <c r="M1576" i="2" s="1"/>
  <c r="I1576" i="2" a="1"/>
  <c r="I1576" i="2" s="1"/>
  <c r="AN1575" i="2"/>
  <c r="AM1575" i="2"/>
  <c r="AI1575" i="2"/>
  <c r="Y1575" i="2"/>
  <c r="V1575" i="2" a="1"/>
  <c r="V1575" i="2" s="1"/>
  <c r="AQ1575" i="2" s="1"/>
  <c r="M1575" i="2" a="1"/>
  <c r="M1575" i="2" s="1"/>
  <c r="I1575" i="2" a="1"/>
  <c r="I1575" i="2" s="1"/>
  <c r="AN1574" i="2"/>
  <c r="AM1574" i="2"/>
  <c r="AI1574" i="2"/>
  <c r="Y1574" i="2"/>
  <c r="V1574" i="2" a="1"/>
  <c r="V1574" i="2" s="1"/>
  <c r="AQ1574" i="2" s="1"/>
  <c r="M1574" i="2" a="1"/>
  <c r="M1574" i="2" s="1"/>
  <c r="I1574" i="2" a="1"/>
  <c r="I1574" i="2" s="1"/>
  <c r="AN1573" i="2"/>
  <c r="AM1573" i="2"/>
  <c r="AI1573" i="2"/>
  <c r="Y1573" i="2"/>
  <c r="V1573" i="2" a="1"/>
  <c r="V1573" i="2" s="1"/>
  <c r="AQ1573" i="2" s="1"/>
  <c r="M1573" i="2" a="1"/>
  <c r="M1573" i="2" s="1"/>
  <c r="I1573" i="2" a="1"/>
  <c r="I1573" i="2" s="1"/>
  <c r="AN1572" i="2"/>
  <c r="AM1572" i="2"/>
  <c r="AI1572" i="2"/>
  <c r="Y1572" i="2"/>
  <c r="V1572" i="2" a="1"/>
  <c r="V1572" i="2" s="1"/>
  <c r="AQ1572" i="2" s="1"/>
  <c r="M1572" i="2" a="1"/>
  <c r="M1572" i="2" s="1"/>
  <c r="I1572" i="2" a="1"/>
  <c r="I1572" i="2" s="1"/>
  <c r="AN1571" i="2"/>
  <c r="AM1571" i="2"/>
  <c r="AI1571" i="2"/>
  <c r="Y1571" i="2"/>
  <c r="V1571" i="2" a="1"/>
  <c r="V1571" i="2" s="1"/>
  <c r="AQ1571" i="2" s="1"/>
  <c r="M1571" i="2" a="1"/>
  <c r="M1571" i="2" s="1"/>
  <c r="I1571" i="2" a="1"/>
  <c r="I1571" i="2" s="1"/>
  <c r="AN1570" i="2"/>
  <c r="AM1570" i="2"/>
  <c r="AI1570" i="2"/>
  <c r="Y1570" i="2"/>
  <c r="V1570" i="2" a="1"/>
  <c r="V1570" i="2" s="1"/>
  <c r="AQ1570" i="2" s="1"/>
  <c r="M1570" i="2" a="1"/>
  <c r="M1570" i="2" s="1"/>
  <c r="I1570" i="2" a="1"/>
  <c r="I1570" i="2" s="1"/>
  <c r="AN1569" i="2"/>
  <c r="AM1569" i="2"/>
  <c r="AI1569" i="2"/>
  <c r="Y1569" i="2"/>
  <c r="V1569" i="2" a="1"/>
  <c r="V1569" i="2" s="1"/>
  <c r="AQ1569" i="2" s="1"/>
  <c r="M1569" i="2" a="1"/>
  <c r="M1569" i="2" s="1"/>
  <c r="I1569" i="2" a="1"/>
  <c r="I1569" i="2" s="1"/>
  <c r="AN1568" i="2"/>
  <c r="AM1568" i="2"/>
  <c r="AI1568" i="2"/>
  <c r="Y1568" i="2"/>
  <c r="V1568" i="2" a="1"/>
  <c r="V1568" i="2" s="1"/>
  <c r="AQ1568" i="2" s="1"/>
  <c r="M1568" i="2" a="1"/>
  <c r="M1568" i="2" s="1"/>
  <c r="I1568" i="2" a="1"/>
  <c r="I1568" i="2" s="1"/>
  <c r="AN1567" i="2"/>
  <c r="AM1567" i="2"/>
  <c r="AI1567" i="2"/>
  <c r="Y1567" i="2"/>
  <c r="V1567" i="2" a="1"/>
  <c r="V1567" i="2" s="1"/>
  <c r="AQ1567" i="2" s="1"/>
  <c r="M1567" i="2" a="1"/>
  <c r="M1567" i="2" s="1"/>
  <c r="I1567" i="2" a="1"/>
  <c r="I1567" i="2" s="1"/>
  <c r="AN1566" i="2"/>
  <c r="AM1566" i="2"/>
  <c r="AI1566" i="2"/>
  <c r="Y1566" i="2"/>
  <c r="V1566" i="2" a="1"/>
  <c r="V1566" i="2" s="1"/>
  <c r="AQ1566" i="2" s="1"/>
  <c r="M1566" i="2" a="1"/>
  <c r="M1566" i="2" s="1"/>
  <c r="I1566" i="2" a="1"/>
  <c r="I1566" i="2" s="1"/>
  <c r="AN1565" i="2"/>
  <c r="AM1565" i="2"/>
  <c r="AI1565" i="2"/>
  <c r="Y1565" i="2"/>
  <c r="V1565" i="2" a="1"/>
  <c r="V1565" i="2" s="1"/>
  <c r="AQ1565" i="2" s="1"/>
  <c r="M1565" i="2" a="1"/>
  <c r="M1565" i="2" s="1"/>
  <c r="I1565" i="2" a="1"/>
  <c r="I1565" i="2" s="1"/>
  <c r="AN1564" i="2"/>
  <c r="AM1564" i="2"/>
  <c r="AI1564" i="2"/>
  <c r="Y1564" i="2"/>
  <c r="V1564" i="2" a="1"/>
  <c r="V1564" i="2" s="1"/>
  <c r="AQ1564" i="2" s="1"/>
  <c r="M1564" i="2" a="1"/>
  <c r="M1564" i="2" s="1"/>
  <c r="I1564" i="2" a="1"/>
  <c r="I1564" i="2" s="1"/>
  <c r="AN1563" i="2"/>
  <c r="AM1563" i="2"/>
  <c r="AI1563" i="2"/>
  <c r="Y1563" i="2"/>
  <c r="V1563" i="2" a="1"/>
  <c r="V1563" i="2" s="1"/>
  <c r="AQ1563" i="2" s="1"/>
  <c r="M1563" i="2" a="1"/>
  <c r="M1563" i="2" s="1"/>
  <c r="I1563" i="2" a="1"/>
  <c r="I1563" i="2" s="1"/>
  <c r="AN1562" i="2"/>
  <c r="AM1562" i="2"/>
  <c r="AI1562" i="2"/>
  <c r="Y1562" i="2"/>
  <c r="V1562" i="2" a="1"/>
  <c r="V1562" i="2" s="1"/>
  <c r="AQ1562" i="2" s="1"/>
  <c r="M1562" i="2" a="1"/>
  <c r="M1562" i="2" s="1"/>
  <c r="I1562" i="2" a="1"/>
  <c r="I1562" i="2" s="1"/>
  <c r="AN1561" i="2"/>
  <c r="AM1561" i="2"/>
  <c r="AI1561" i="2"/>
  <c r="Y1561" i="2"/>
  <c r="V1561" i="2" a="1"/>
  <c r="V1561" i="2" s="1"/>
  <c r="AQ1561" i="2" s="1"/>
  <c r="M1561" i="2" a="1"/>
  <c r="M1561" i="2" s="1"/>
  <c r="I1561" i="2" a="1"/>
  <c r="I1561" i="2" s="1"/>
  <c r="AN1560" i="2"/>
  <c r="AM1560" i="2"/>
  <c r="AI1560" i="2"/>
  <c r="Y1560" i="2"/>
  <c r="V1560" i="2" a="1"/>
  <c r="V1560" i="2" s="1"/>
  <c r="AQ1560" i="2" s="1"/>
  <c r="M1560" i="2" a="1"/>
  <c r="M1560" i="2" s="1"/>
  <c r="I1560" i="2" a="1"/>
  <c r="I1560" i="2" s="1"/>
  <c r="AN1559" i="2"/>
  <c r="AM1559" i="2"/>
  <c r="AI1559" i="2"/>
  <c r="Y1559" i="2"/>
  <c r="V1559" i="2" a="1"/>
  <c r="V1559" i="2" s="1"/>
  <c r="AQ1559" i="2" s="1"/>
  <c r="M1559" i="2" a="1"/>
  <c r="M1559" i="2" s="1"/>
  <c r="I1559" i="2" a="1"/>
  <c r="I1559" i="2" s="1"/>
  <c r="AN1558" i="2"/>
  <c r="AM1558" i="2"/>
  <c r="AI1558" i="2"/>
  <c r="Y1558" i="2"/>
  <c r="V1558" i="2" a="1"/>
  <c r="V1558" i="2" s="1"/>
  <c r="AQ1558" i="2" s="1"/>
  <c r="M1558" i="2" a="1"/>
  <c r="M1558" i="2" s="1"/>
  <c r="I1558" i="2" a="1"/>
  <c r="I1558" i="2" s="1"/>
  <c r="AN1557" i="2"/>
  <c r="AM1557" i="2"/>
  <c r="AI1557" i="2"/>
  <c r="Y1557" i="2"/>
  <c r="V1557" i="2" a="1"/>
  <c r="V1557" i="2" s="1"/>
  <c r="AQ1557" i="2" s="1"/>
  <c r="M1557" i="2" a="1"/>
  <c r="M1557" i="2" s="1"/>
  <c r="I1557" i="2" a="1"/>
  <c r="I1557" i="2" s="1"/>
  <c r="AN1556" i="2"/>
  <c r="AM1556" i="2"/>
  <c r="AI1556" i="2"/>
  <c r="Y1556" i="2"/>
  <c r="V1556" i="2" a="1"/>
  <c r="V1556" i="2" s="1"/>
  <c r="AQ1556" i="2" s="1"/>
  <c r="M1556" i="2" a="1"/>
  <c r="M1556" i="2" s="1"/>
  <c r="I1556" i="2" a="1"/>
  <c r="I1556" i="2" s="1"/>
  <c r="AN1555" i="2"/>
  <c r="AM1555" i="2"/>
  <c r="AI1555" i="2"/>
  <c r="Y1555" i="2"/>
  <c r="V1555" i="2" a="1"/>
  <c r="V1555" i="2" s="1"/>
  <c r="AQ1555" i="2" s="1"/>
  <c r="M1555" i="2" a="1"/>
  <c r="M1555" i="2" s="1"/>
  <c r="I1555" i="2" a="1"/>
  <c r="I1555" i="2" s="1"/>
  <c r="AN1554" i="2"/>
  <c r="AM1554" i="2"/>
  <c r="AI1554" i="2"/>
  <c r="Y1554" i="2"/>
  <c r="V1554" i="2" a="1"/>
  <c r="V1554" i="2" s="1"/>
  <c r="AQ1554" i="2" s="1"/>
  <c r="M1554" i="2" a="1"/>
  <c r="M1554" i="2" s="1"/>
  <c r="I1554" i="2" a="1"/>
  <c r="I1554" i="2" s="1"/>
  <c r="AN1553" i="2"/>
  <c r="AM1553" i="2"/>
  <c r="AI1553" i="2"/>
  <c r="Y1553" i="2"/>
  <c r="V1553" i="2" a="1"/>
  <c r="V1553" i="2" s="1"/>
  <c r="AQ1553" i="2" s="1"/>
  <c r="M1553" i="2" a="1"/>
  <c r="M1553" i="2" s="1"/>
  <c r="I1553" i="2" a="1"/>
  <c r="I1553" i="2" s="1"/>
  <c r="AN1552" i="2"/>
  <c r="AM1552" i="2"/>
  <c r="AI1552" i="2"/>
  <c r="Y1552" i="2"/>
  <c r="V1552" i="2" a="1"/>
  <c r="V1552" i="2" s="1"/>
  <c r="AQ1552" i="2" s="1"/>
  <c r="M1552" i="2" a="1"/>
  <c r="M1552" i="2" s="1"/>
  <c r="I1552" i="2" a="1"/>
  <c r="I1552" i="2" s="1"/>
  <c r="AN1551" i="2"/>
  <c r="AM1551" i="2"/>
  <c r="AI1551" i="2"/>
  <c r="Y1551" i="2"/>
  <c r="V1551" i="2" a="1"/>
  <c r="V1551" i="2" s="1"/>
  <c r="AQ1551" i="2" s="1"/>
  <c r="M1551" i="2" a="1"/>
  <c r="M1551" i="2" s="1"/>
  <c r="I1551" i="2" a="1"/>
  <c r="I1551" i="2" s="1"/>
  <c r="AN1550" i="2"/>
  <c r="AM1550" i="2"/>
  <c r="AI1550" i="2"/>
  <c r="Y1550" i="2"/>
  <c r="V1550" i="2" a="1"/>
  <c r="V1550" i="2" s="1"/>
  <c r="AQ1550" i="2" s="1"/>
  <c r="M1550" i="2" a="1"/>
  <c r="M1550" i="2" s="1"/>
  <c r="I1550" i="2" a="1"/>
  <c r="I1550" i="2" s="1"/>
  <c r="AN1549" i="2"/>
  <c r="AM1549" i="2"/>
  <c r="AI1549" i="2"/>
  <c r="Y1549" i="2"/>
  <c r="V1549" i="2" a="1"/>
  <c r="V1549" i="2" s="1"/>
  <c r="AQ1549" i="2" s="1"/>
  <c r="M1549" i="2" a="1"/>
  <c r="M1549" i="2" s="1"/>
  <c r="I1549" i="2" a="1"/>
  <c r="I1549" i="2" s="1"/>
  <c r="AN1548" i="2"/>
  <c r="AM1548" i="2"/>
  <c r="AI1548" i="2"/>
  <c r="Y1548" i="2"/>
  <c r="V1548" i="2" a="1"/>
  <c r="V1548" i="2" s="1"/>
  <c r="AQ1548" i="2" s="1"/>
  <c r="M1548" i="2" a="1"/>
  <c r="M1548" i="2" s="1"/>
  <c r="I1548" i="2" a="1"/>
  <c r="I1548" i="2" s="1"/>
  <c r="AN1547" i="2"/>
  <c r="AM1547" i="2"/>
  <c r="AI1547" i="2"/>
  <c r="Y1547" i="2"/>
  <c r="V1547" i="2" a="1"/>
  <c r="V1547" i="2" s="1"/>
  <c r="AQ1547" i="2" s="1"/>
  <c r="M1547" i="2" a="1"/>
  <c r="M1547" i="2" s="1"/>
  <c r="I1547" i="2" a="1"/>
  <c r="I1547" i="2" s="1"/>
  <c r="AN1546" i="2"/>
  <c r="AM1546" i="2"/>
  <c r="AI1546" i="2"/>
  <c r="Y1546" i="2"/>
  <c r="V1546" i="2" a="1"/>
  <c r="V1546" i="2" s="1"/>
  <c r="AQ1546" i="2" s="1"/>
  <c r="M1546" i="2" a="1"/>
  <c r="M1546" i="2" s="1"/>
  <c r="I1546" i="2" a="1"/>
  <c r="I1546" i="2" s="1"/>
  <c r="AN1545" i="2"/>
  <c r="AM1545" i="2"/>
  <c r="AI1545" i="2"/>
  <c r="Y1545" i="2"/>
  <c r="V1545" i="2" a="1"/>
  <c r="V1545" i="2"/>
  <c r="AQ1545" i="2" s="1"/>
  <c r="M1545" i="2" a="1"/>
  <c r="M1545" i="2" s="1"/>
  <c r="I1545" i="2" a="1"/>
  <c r="I1545" i="2" s="1"/>
  <c r="AN1544" i="2"/>
  <c r="AM1544" i="2"/>
  <c r="AI1544" i="2"/>
  <c r="Y1544" i="2"/>
  <c r="V1544" i="2" a="1"/>
  <c r="V1544" i="2" s="1"/>
  <c r="AQ1544" i="2" s="1"/>
  <c r="M1544" i="2" a="1"/>
  <c r="M1544" i="2" s="1"/>
  <c r="I1544" i="2" a="1"/>
  <c r="I1544" i="2" s="1"/>
  <c r="AN1543" i="2"/>
  <c r="AM1543" i="2"/>
  <c r="AI1543" i="2"/>
  <c r="Y1543" i="2"/>
  <c r="V1543" i="2" a="1"/>
  <c r="V1543" i="2" s="1"/>
  <c r="AQ1543" i="2" s="1"/>
  <c r="M1543" i="2" a="1"/>
  <c r="M1543" i="2" s="1"/>
  <c r="I1543" i="2" a="1"/>
  <c r="I1543" i="2"/>
  <c r="AN1542" i="2"/>
  <c r="AM1542" i="2"/>
  <c r="AI1542" i="2"/>
  <c r="Y1542" i="2"/>
  <c r="V1542" i="2" a="1"/>
  <c r="V1542" i="2" s="1"/>
  <c r="AQ1542" i="2" s="1"/>
  <c r="M1542" i="2" a="1"/>
  <c r="M1542" i="2" s="1"/>
  <c r="I1542" i="2" a="1"/>
  <c r="I1542" i="2" s="1"/>
  <c r="AN1541" i="2"/>
  <c r="AM1541" i="2"/>
  <c r="AI1541" i="2"/>
  <c r="Y1541" i="2"/>
  <c r="V1541" i="2" a="1"/>
  <c r="V1541" i="2" s="1"/>
  <c r="M1541" i="2" a="1"/>
  <c r="M1541" i="2" s="1"/>
  <c r="I1541" i="2" a="1"/>
  <c r="I1541" i="2" s="1"/>
  <c r="AN1540" i="2"/>
  <c r="AM1540" i="2"/>
  <c r="AI1540" i="2"/>
  <c r="Y1540" i="2"/>
  <c r="V1540" i="2" a="1"/>
  <c r="V1540" i="2" s="1"/>
  <c r="AQ1540" i="2" s="1"/>
  <c r="M1540" i="2" a="1"/>
  <c r="M1540" i="2" s="1"/>
  <c r="I1540" i="2" a="1"/>
  <c r="I1540" i="2" s="1"/>
  <c r="AN1539" i="2"/>
  <c r="AM1539" i="2"/>
  <c r="AI1539" i="2"/>
  <c r="Y1539" i="2"/>
  <c r="V1539" i="2" a="1"/>
  <c r="V1539" i="2" s="1"/>
  <c r="M1539" i="2" a="1"/>
  <c r="M1539" i="2" s="1"/>
  <c r="I1539" i="2" a="1"/>
  <c r="I1539" i="2"/>
  <c r="AN1538" i="2"/>
  <c r="AM1538" i="2"/>
  <c r="AI1538" i="2"/>
  <c r="Y1538" i="2"/>
  <c r="V1538" i="2" a="1"/>
  <c r="V1538" i="2" s="1"/>
  <c r="AQ1538" i="2" s="1"/>
  <c r="M1538" i="2" a="1"/>
  <c r="M1538" i="2"/>
  <c r="I1538" i="2" a="1"/>
  <c r="I1538" i="2" s="1"/>
  <c r="AN1537" i="2"/>
  <c r="AM1537" i="2"/>
  <c r="AI1537" i="2"/>
  <c r="Y1537" i="2"/>
  <c r="V1537" i="2" a="1"/>
  <c r="V1537" i="2"/>
  <c r="AQ1537" i="2" s="1"/>
  <c r="M1537" i="2" a="1"/>
  <c r="M1537" i="2" s="1"/>
  <c r="I1537" i="2" a="1"/>
  <c r="I1537" i="2" s="1"/>
  <c r="AN1536" i="2"/>
  <c r="AM1536" i="2"/>
  <c r="AI1536" i="2"/>
  <c r="Y1536" i="2"/>
  <c r="V1536" i="2" a="1"/>
  <c r="V1536" i="2" s="1"/>
  <c r="AQ1536" i="2" s="1"/>
  <c r="M1536" i="2" a="1"/>
  <c r="M1536" i="2" s="1"/>
  <c r="I1536" i="2" a="1"/>
  <c r="I1536" i="2" s="1"/>
  <c r="AN1535" i="2"/>
  <c r="AM1535" i="2"/>
  <c r="AI1535" i="2"/>
  <c r="Y1535" i="2"/>
  <c r="V1535" i="2" a="1"/>
  <c r="V1535" i="2" s="1"/>
  <c r="AQ1535" i="2" s="1"/>
  <c r="M1535" i="2" a="1"/>
  <c r="M1535" i="2" s="1"/>
  <c r="I1535" i="2" a="1"/>
  <c r="I1535" i="2"/>
  <c r="AN1534" i="2"/>
  <c r="AM1534" i="2"/>
  <c r="AI1534" i="2"/>
  <c r="Y1534" i="2"/>
  <c r="V1534" i="2" a="1"/>
  <c r="V1534" i="2" s="1"/>
  <c r="AQ1534" i="2" s="1"/>
  <c r="M1534" i="2" a="1"/>
  <c r="M1534" i="2"/>
  <c r="I1534" i="2" a="1"/>
  <c r="I1534" i="2" s="1"/>
  <c r="AN1533" i="2"/>
  <c r="AM1533" i="2"/>
  <c r="AI1533" i="2"/>
  <c r="Y1533" i="2"/>
  <c r="V1533" i="2" a="1"/>
  <c r="V1533" i="2" s="1"/>
  <c r="M1533" i="2" a="1"/>
  <c r="M1533" i="2" s="1"/>
  <c r="I1533" i="2" a="1"/>
  <c r="I1533" i="2"/>
  <c r="AQ1532" i="2"/>
  <c r="AN1532" i="2"/>
  <c r="AM1532" i="2"/>
  <c r="AI1532" i="2"/>
  <c r="Y1532" i="2"/>
  <c r="V1532" i="2" a="1"/>
  <c r="V1532" i="2" s="1"/>
  <c r="M1532" i="2" a="1"/>
  <c r="M1532" i="2" s="1"/>
  <c r="I1532" i="2" a="1"/>
  <c r="I1532" i="2" s="1"/>
  <c r="AN1531" i="2"/>
  <c r="AM1531" i="2"/>
  <c r="AI1531" i="2"/>
  <c r="Y1531" i="2"/>
  <c r="V1531" i="2" a="1"/>
  <c r="V1531" i="2" s="1"/>
  <c r="M1531" i="2" a="1"/>
  <c r="M1531" i="2" s="1"/>
  <c r="I1531" i="2" a="1"/>
  <c r="I1531" i="2"/>
  <c r="AN1530" i="2"/>
  <c r="AM1530" i="2"/>
  <c r="AI1530" i="2"/>
  <c r="Y1530" i="2"/>
  <c r="V1530" i="2" a="1"/>
  <c r="V1530" i="2" s="1"/>
  <c r="AQ1530" i="2" s="1"/>
  <c r="M1530" i="2" a="1"/>
  <c r="M1530" i="2"/>
  <c r="I1530" i="2" a="1"/>
  <c r="I1530" i="2" s="1"/>
  <c r="AN1529" i="2"/>
  <c r="AM1529" i="2"/>
  <c r="AI1529" i="2"/>
  <c r="Y1529" i="2"/>
  <c r="V1529" i="2" a="1"/>
  <c r="V1529" i="2"/>
  <c r="AQ1529" i="2" s="1"/>
  <c r="M1529" i="2" a="1"/>
  <c r="M1529" i="2" s="1"/>
  <c r="I1529" i="2" a="1"/>
  <c r="I1529" i="2" s="1"/>
  <c r="AN1528" i="2"/>
  <c r="AM1528" i="2"/>
  <c r="AI1528" i="2"/>
  <c r="Y1528" i="2"/>
  <c r="V1528" i="2" a="1"/>
  <c r="V1528" i="2" s="1"/>
  <c r="AQ1528" i="2" s="1"/>
  <c r="M1528" i="2" a="1"/>
  <c r="M1528" i="2" s="1"/>
  <c r="I1528" i="2" a="1"/>
  <c r="I1528" i="2" s="1"/>
  <c r="AN1527" i="2"/>
  <c r="AM1527" i="2"/>
  <c r="AI1527" i="2"/>
  <c r="Y1527" i="2"/>
  <c r="V1527" i="2" a="1"/>
  <c r="V1527" i="2" s="1"/>
  <c r="M1527" i="2" a="1"/>
  <c r="M1527" i="2" s="1"/>
  <c r="I1527" i="2" a="1"/>
  <c r="I1527" i="2"/>
  <c r="AN1526" i="2"/>
  <c r="AM1526" i="2"/>
  <c r="AI1526" i="2"/>
  <c r="Y1526" i="2"/>
  <c r="V1526" i="2" a="1"/>
  <c r="V1526" i="2" s="1"/>
  <c r="AQ1526" i="2" s="1"/>
  <c r="M1526" i="2" a="1"/>
  <c r="M1526" i="2"/>
  <c r="I1526" i="2" a="1"/>
  <c r="I1526" i="2" s="1"/>
  <c r="AN1525" i="2"/>
  <c r="AM1525" i="2"/>
  <c r="AI1525" i="2"/>
  <c r="Y1525" i="2"/>
  <c r="V1525" i="2" a="1"/>
  <c r="V1525" i="2" s="1"/>
  <c r="M1525" i="2" a="1"/>
  <c r="M1525" i="2" s="1"/>
  <c r="I1525" i="2" a="1"/>
  <c r="I1525" i="2"/>
  <c r="AQ1524" i="2"/>
  <c r="AN1524" i="2"/>
  <c r="AM1524" i="2"/>
  <c r="AI1524" i="2"/>
  <c r="Y1524" i="2"/>
  <c r="V1524" i="2" a="1"/>
  <c r="V1524" i="2" s="1"/>
  <c r="M1524" i="2" a="1"/>
  <c r="M1524" i="2" s="1"/>
  <c r="I1524" i="2" a="1"/>
  <c r="I1524" i="2" s="1"/>
  <c r="AN1523" i="2"/>
  <c r="AM1523" i="2"/>
  <c r="AI1523" i="2"/>
  <c r="Y1523" i="2"/>
  <c r="V1523" i="2" a="1"/>
  <c r="V1523" i="2" s="1"/>
  <c r="M1523" i="2" a="1"/>
  <c r="M1523" i="2" s="1"/>
  <c r="I1523" i="2" a="1"/>
  <c r="I1523" i="2"/>
  <c r="AN1522" i="2"/>
  <c r="AM1522" i="2"/>
  <c r="AI1522" i="2"/>
  <c r="Y1522" i="2"/>
  <c r="V1522" i="2" a="1"/>
  <c r="V1522" i="2" s="1"/>
  <c r="AQ1522" i="2" s="1"/>
  <c r="M1522" i="2" a="1"/>
  <c r="M1522" i="2"/>
  <c r="I1522" i="2" a="1"/>
  <c r="I1522" i="2" s="1"/>
  <c r="AN1521" i="2"/>
  <c r="AM1521" i="2"/>
  <c r="AI1521" i="2"/>
  <c r="Y1521" i="2"/>
  <c r="V1521" i="2" a="1"/>
  <c r="V1521" i="2"/>
  <c r="AQ1521" i="2" s="1"/>
  <c r="M1521" i="2" a="1"/>
  <c r="M1521" i="2" s="1"/>
  <c r="I1521" i="2" a="1"/>
  <c r="I1521" i="2" s="1"/>
  <c r="AN1520" i="2"/>
  <c r="AM1520" i="2"/>
  <c r="AI1520" i="2"/>
  <c r="Y1520" i="2"/>
  <c r="V1520" i="2" a="1"/>
  <c r="V1520" i="2" s="1"/>
  <c r="AQ1520" i="2" s="1"/>
  <c r="M1520" i="2" a="1"/>
  <c r="M1520" i="2" s="1"/>
  <c r="I1520" i="2" a="1"/>
  <c r="I1520" i="2" s="1"/>
  <c r="AN1519" i="2"/>
  <c r="AM1519" i="2"/>
  <c r="AI1519" i="2"/>
  <c r="Y1519" i="2"/>
  <c r="V1519" i="2" a="1"/>
  <c r="V1519" i="2" s="1"/>
  <c r="M1519" i="2" a="1"/>
  <c r="M1519" i="2" s="1"/>
  <c r="I1519" i="2" a="1"/>
  <c r="I1519" i="2"/>
  <c r="AN1518" i="2"/>
  <c r="AM1518" i="2"/>
  <c r="AI1518" i="2"/>
  <c r="Y1518" i="2"/>
  <c r="V1518" i="2" a="1"/>
  <c r="V1518" i="2" s="1"/>
  <c r="AQ1518" i="2" s="1"/>
  <c r="M1518" i="2" a="1"/>
  <c r="M1518" i="2"/>
  <c r="I1518" i="2" a="1"/>
  <c r="I1518" i="2" s="1"/>
  <c r="AN1517" i="2"/>
  <c r="AM1517" i="2"/>
  <c r="AI1517" i="2"/>
  <c r="Y1517" i="2"/>
  <c r="V1517" i="2" a="1"/>
  <c r="V1517" i="2" s="1"/>
  <c r="M1517" i="2" a="1"/>
  <c r="M1517" i="2" s="1"/>
  <c r="I1517" i="2" a="1"/>
  <c r="I1517" i="2"/>
  <c r="AN1516" i="2"/>
  <c r="AM1516" i="2"/>
  <c r="AI1516" i="2"/>
  <c r="Y1516" i="2"/>
  <c r="V1516" i="2" a="1"/>
  <c r="V1516" i="2" s="1"/>
  <c r="AQ1516" i="2" s="1"/>
  <c r="M1516" i="2" a="1"/>
  <c r="M1516" i="2" s="1"/>
  <c r="I1516" i="2" a="1"/>
  <c r="I1516" i="2" s="1"/>
  <c r="AN1515" i="2"/>
  <c r="AM1515" i="2"/>
  <c r="AI1515" i="2"/>
  <c r="Y1515" i="2"/>
  <c r="V1515" i="2" a="1"/>
  <c r="V1515" i="2" s="1"/>
  <c r="AQ1515" i="2" s="1"/>
  <c r="M1515" i="2" a="1"/>
  <c r="M1515" i="2" s="1"/>
  <c r="I1515" i="2" a="1"/>
  <c r="I1515" i="2"/>
  <c r="AN1514" i="2"/>
  <c r="AM1514" i="2"/>
  <c r="AI1514" i="2"/>
  <c r="Y1514" i="2"/>
  <c r="V1514" i="2" a="1"/>
  <c r="V1514" i="2" s="1"/>
  <c r="AQ1514" i="2" s="1"/>
  <c r="M1514" i="2" a="1"/>
  <c r="M1514" i="2"/>
  <c r="I1514" i="2" a="1"/>
  <c r="I1514" i="2" s="1"/>
  <c r="AN1513" i="2"/>
  <c r="AM1513" i="2"/>
  <c r="AI1513" i="2"/>
  <c r="Y1513" i="2"/>
  <c r="V1513" i="2" a="1"/>
  <c r="V1513" i="2"/>
  <c r="AQ1513" i="2" s="1"/>
  <c r="M1513" i="2" a="1"/>
  <c r="M1513" i="2" s="1"/>
  <c r="I1513" i="2" a="1"/>
  <c r="I1513" i="2" s="1"/>
  <c r="AN1512" i="2"/>
  <c r="AM1512" i="2"/>
  <c r="AI1512" i="2"/>
  <c r="Y1512" i="2"/>
  <c r="V1512" i="2" a="1"/>
  <c r="V1512" i="2" s="1"/>
  <c r="AQ1512" i="2" s="1"/>
  <c r="M1512" i="2" a="1"/>
  <c r="M1512" i="2" s="1"/>
  <c r="I1512" i="2" a="1"/>
  <c r="I1512" i="2" s="1"/>
  <c r="AN1511" i="2"/>
  <c r="AM1511" i="2"/>
  <c r="AI1511" i="2"/>
  <c r="Y1511" i="2"/>
  <c r="V1511" i="2" a="1"/>
  <c r="V1511" i="2" s="1"/>
  <c r="M1511" i="2" a="1"/>
  <c r="M1511" i="2" s="1"/>
  <c r="I1511" i="2" a="1"/>
  <c r="I1511" i="2"/>
  <c r="AN1510" i="2"/>
  <c r="AM1510" i="2"/>
  <c r="AI1510" i="2"/>
  <c r="Y1510" i="2"/>
  <c r="V1510" i="2" a="1"/>
  <c r="V1510" i="2" s="1"/>
  <c r="AQ1510" i="2" s="1"/>
  <c r="M1510" i="2" a="1"/>
  <c r="M1510" i="2"/>
  <c r="I1510" i="2" a="1"/>
  <c r="I1510" i="2" s="1"/>
  <c r="AN1509" i="2"/>
  <c r="AM1509" i="2"/>
  <c r="AI1509" i="2"/>
  <c r="Y1509" i="2"/>
  <c r="V1509" i="2" a="1"/>
  <c r="V1509" i="2" s="1"/>
  <c r="M1509" i="2" a="1"/>
  <c r="M1509" i="2" s="1"/>
  <c r="I1509" i="2" a="1"/>
  <c r="I1509" i="2"/>
  <c r="AQ1508" i="2"/>
  <c r="AN1508" i="2"/>
  <c r="AM1508" i="2"/>
  <c r="AI1508" i="2"/>
  <c r="Y1508" i="2"/>
  <c r="V1508" i="2" a="1"/>
  <c r="V1508" i="2" s="1"/>
  <c r="M1508" i="2" a="1"/>
  <c r="M1508" i="2" s="1"/>
  <c r="I1508" i="2" a="1"/>
  <c r="I1508" i="2" s="1"/>
  <c r="AN1507" i="2"/>
  <c r="AM1507" i="2"/>
  <c r="AI1507" i="2"/>
  <c r="Y1507" i="2"/>
  <c r="V1507" i="2" a="1"/>
  <c r="V1507" i="2" s="1"/>
  <c r="AQ1507" i="2" s="1"/>
  <c r="M1507" i="2" a="1"/>
  <c r="M1507" i="2" s="1"/>
  <c r="I1507" i="2" a="1"/>
  <c r="I1507" i="2"/>
  <c r="AN1506" i="2"/>
  <c r="AM1506" i="2"/>
  <c r="AI1506" i="2"/>
  <c r="Y1506" i="2"/>
  <c r="V1506" i="2" a="1"/>
  <c r="V1506" i="2" s="1"/>
  <c r="AQ1506" i="2" s="1"/>
  <c r="M1506" i="2" a="1"/>
  <c r="M1506" i="2"/>
  <c r="I1506" i="2" a="1"/>
  <c r="I1506" i="2" s="1"/>
  <c r="AQ1505" i="2"/>
  <c r="AN1505" i="2"/>
  <c r="AM1505" i="2"/>
  <c r="AI1505" i="2"/>
  <c r="Y1505" i="2"/>
  <c r="V1505" i="2" a="1"/>
  <c r="V1505" i="2"/>
  <c r="M1505" i="2" a="1"/>
  <c r="M1505" i="2" s="1"/>
  <c r="I1505" i="2" a="1"/>
  <c r="I1505" i="2" s="1"/>
  <c r="AN1504" i="2"/>
  <c r="AM1504" i="2"/>
  <c r="AI1504" i="2"/>
  <c r="Y1504" i="2"/>
  <c r="V1504" i="2" a="1"/>
  <c r="V1504" i="2" s="1"/>
  <c r="AQ1504" i="2" s="1"/>
  <c r="M1504" i="2" a="1"/>
  <c r="M1504" i="2" s="1"/>
  <c r="I1504" i="2" a="1"/>
  <c r="I1504" i="2" s="1"/>
  <c r="AN1503" i="2"/>
  <c r="AM1503" i="2"/>
  <c r="AI1503" i="2"/>
  <c r="Y1503" i="2"/>
  <c r="V1503" i="2" a="1"/>
  <c r="V1503" i="2" s="1"/>
  <c r="M1503" i="2" a="1"/>
  <c r="M1503" i="2" s="1"/>
  <c r="I1503" i="2" a="1"/>
  <c r="I1503" i="2"/>
  <c r="AN1502" i="2"/>
  <c r="AM1502" i="2"/>
  <c r="AI1502" i="2"/>
  <c r="Y1502" i="2"/>
  <c r="V1502" i="2" a="1"/>
  <c r="V1502" i="2" s="1"/>
  <c r="AQ1502" i="2" s="1"/>
  <c r="M1502" i="2" a="1"/>
  <c r="M1502" i="2"/>
  <c r="I1502" i="2" a="1"/>
  <c r="I1502" i="2" s="1"/>
  <c r="AN1501" i="2"/>
  <c r="AM1501" i="2"/>
  <c r="AI1501" i="2"/>
  <c r="Y1501" i="2"/>
  <c r="V1501" i="2" a="1"/>
  <c r="V1501" i="2" s="1"/>
  <c r="M1501" i="2" a="1"/>
  <c r="M1501" i="2" s="1"/>
  <c r="I1501" i="2" a="1"/>
  <c r="I1501" i="2" s="1"/>
  <c r="AQ1500" i="2"/>
  <c r="AN1500" i="2"/>
  <c r="AM1500" i="2"/>
  <c r="AI1500" i="2"/>
  <c r="Y1500" i="2"/>
  <c r="V1500" i="2" a="1"/>
  <c r="V1500" i="2" s="1"/>
  <c r="M1500" i="2" a="1"/>
  <c r="M1500" i="2" s="1"/>
  <c r="I1500" i="2" a="1"/>
  <c r="I1500" i="2" s="1"/>
  <c r="AN1499" i="2"/>
  <c r="AM1499" i="2"/>
  <c r="AI1499" i="2"/>
  <c r="Y1499" i="2"/>
  <c r="V1499" i="2" a="1"/>
  <c r="V1499" i="2" s="1"/>
  <c r="M1499" i="2" a="1"/>
  <c r="M1499" i="2" s="1"/>
  <c r="I1499" i="2" a="1"/>
  <c r="I1499" i="2"/>
  <c r="AN1498" i="2"/>
  <c r="AM1498" i="2"/>
  <c r="AI1498" i="2"/>
  <c r="Y1498" i="2"/>
  <c r="V1498" i="2" a="1"/>
  <c r="V1498" i="2" s="1"/>
  <c r="AQ1498" i="2" s="1"/>
  <c r="M1498" i="2" a="1"/>
  <c r="M1498" i="2"/>
  <c r="I1498" i="2" a="1"/>
  <c r="I1498" i="2" s="1"/>
  <c r="AN1497" i="2"/>
  <c r="AM1497" i="2"/>
  <c r="AI1497" i="2"/>
  <c r="Y1497" i="2"/>
  <c r="V1497" i="2" a="1"/>
  <c r="V1497" i="2" s="1"/>
  <c r="AQ1497" i="2" s="1"/>
  <c r="M1497" i="2" a="1"/>
  <c r="M1497" i="2" s="1"/>
  <c r="I1497" i="2" a="1"/>
  <c r="I1497" i="2" s="1"/>
  <c r="AN1496" i="2"/>
  <c r="AM1496" i="2"/>
  <c r="AI1496" i="2"/>
  <c r="Y1496" i="2"/>
  <c r="V1496" i="2" a="1"/>
  <c r="V1496" i="2" s="1"/>
  <c r="AQ1496" i="2" s="1"/>
  <c r="M1496" i="2" a="1"/>
  <c r="M1496" i="2" s="1"/>
  <c r="I1496" i="2" a="1"/>
  <c r="I1496" i="2" s="1"/>
  <c r="AN1495" i="2"/>
  <c r="AM1495" i="2"/>
  <c r="AI1495" i="2"/>
  <c r="Y1495" i="2"/>
  <c r="V1495" i="2" a="1"/>
  <c r="V1495" i="2" s="1"/>
  <c r="M1495" i="2" a="1"/>
  <c r="M1495" i="2" s="1"/>
  <c r="I1495" i="2" a="1"/>
  <c r="I1495" i="2"/>
  <c r="AN1494" i="2"/>
  <c r="AM1494" i="2"/>
  <c r="AI1494" i="2"/>
  <c r="Y1494" i="2"/>
  <c r="V1494" i="2" a="1"/>
  <c r="V1494" i="2" s="1"/>
  <c r="AQ1494" i="2" s="1"/>
  <c r="M1494" i="2" a="1"/>
  <c r="M1494" i="2"/>
  <c r="I1494" i="2" a="1"/>
  <c r="I1494" i="2" s="1"/>
  <c r="AN1493" i="2"/>
  <c r="AM1493" i="2"/>
  <c r="AI1493" i="2"/>
  <c r="Y1493" i="2"/>
  <c r="V1493" i="2" a="1"/>
  <c r="V1493" i="2" s="1"/>
  <c r="M1493" i="2" a="1"/>
  <c r="M1493" i="2" s="1"/>
  <c r="I1493" i="2" a="1"/>
  <c r="I1493" i="2" s="1"/>
  <c r="AN1492" i="2"/>
  <c r="AM1492" i="2"/>
  <c r="AI1492" i="2"/>
  <c r="Y1492" i="2"/>
  <c r="V1492" i="2" a="1"/>
  <c r="V1492" i="2" s="1"/>
  <c r="AQ1492" i="2" s="1"/>
  <c r="M1492" i="2" a="1"/>
  <c r="M1492" i="2" s="1"/>
  <c r="I1492" i="2" a="1"/>
  <c r="I1492" i="2" s="1"/>
  <c r="AN1491" i="2"/>
  <c r="AM1491" i="2"/>
  <c r="AI1491" i="2"/>
  <c r="Y1491" i="2"/>
  <c r="V1491" i="2" a="1"/>
  <c r="V1491" i="2" s="1"/>
  <c r="AQ1491" i="2" s="1"/>
  <c r="M1491" i="2" a="1"/>
  <c r="M1491" i="2" s="1"/>
  <c r="AP1491" i="2" s="1"/>
  <c r="I1491" i="2" a="1"/>
  <c r="I1491" i="2" s="1"/>
  <c r="AN1490" i="2"/>
  <c r="AM1490" i="2"/>
  <c r="AI1490" i="2"/>
  <c r="Y1490" i="2"/>
  <c r="V1490" i="2" a="1"/>
  <c r="V1490" i="2" s="1"/>
  <c r="AQ1490" i="2" s="1"/>
  <c r="M1490" i="2" a="1"/>
  <c r="M1490" i="2" s="1"/>
  <c r="I1490" i="2" a="1"/>
  <c r="I1490" i="2" s="1"/>
  <c r="AN1489" i="2"/>
  <c r="AM1489" i="2"/>
  <c r="AI1489" i="2"/>
  <c r="Y1489" i="2"/>
  <c r="V1489" i="2" a="1"/>
  <c r="V1489" i="2" s="1"/>
  <c r="M1489" i="2" a="1"/>
  <c r="M1489" i="2" s="1"/>
  <c r="I1489" i="2" a="1"/>
  <c r="I1489" i="2"/>
  <c r="AN1488" i="2"/>
  <c r="AM1488" i="2"/>
  <c r="AI1488" i="2"/>
  <c r="Y1488" i="2"/>
  <c r="V1488" i="2" a="1"/>
  <c r="V1488" i="2" s="1"/>
  <c r="AQ1488" i="2" s="1"/>
  <c r="M1488" i="2" a="1"/>
  <c r="M1488" i="2"/>
  <c r="I1488" i="2" a="1"/>
  <c r="I1488" i="2" s="1"/>
  <c r="AN1487" i="2"/>
  <c r="AM1487" i="2"/>
  <c r="AI1487" i="2"/>
  <c r="Y1487" i="2"/>
  <c r="V1487" i="2" a="1"/>
  <c r="V1487" i="2"/>
  <c r="AP1487" i="2" s="1"/>
  <c r="AO1487" i="2" s="1"/>
  <c r="M1487" i="2" a="1"/>
  <c r="M1487" i="2" s="1"/>
  <c r="I1487" i="2" a="1"/>
  <c r="I1487" i="2"/>
  <c r="AQ1486" i="2"/>
  <c r="AN1486" i="2"/>
  <c r="AM1486" i="2"/>
  <c r="AI1486" i="2"/>
  <c r="Y1486" i="2"/>
  <c r="V1486" i="2" a="1"/>
  <c r="V1486" i="2" s="1"/>
  <c r="M1486" i="2" a="1"/>
  <c r="M1486" i="2"/>
  <c r="I1486" i="2" a="1"/>
  <c r="I1486" i="2" s="1"/>
  <c r="AN1485" i="2"/>
  <c r="AM1485" i="2"/>
  <c r="AI1485" i="2"/>
  <c r="Y1485" i="2"/>
  <c r="V1485" i="2" a="1"/>
  <c r="V1485" i="2" s="1"/>
  <c r="AQ1485" i="2" s="1"/>
  <c r="M1485" i="2" a="1"/>
  <c r="M1485" i="2" s="1"/>
  <c r="I1485" i="2" a="1"/>
  <c r="I1485" i="2"/>
  <c r="AN1484" i="2"/>
  <c r="AM1484" i="2"/>
  <c r="AI1484" i="2"/>
  <c r="Y1484" i="2"/>
  <c r="V1484" i="2" a="1"/>
  <c r="V1484" i="2" s="1"/>
  <c r="AQ1484" i="2" s="1"/>
  <c r="M1484" i="2" a="1"/>
  <c r="M1484" i="2" s="1"/>
  <c r="I1484" i="2" a="1"/>
  <c r="I1484" i="2" s="1"/>
  <c r="AN1483" i="2"/>
  <c r="AM1483" i="2"/>
  <c r="AI1483" i="2"/>
  <c r="Y1483" i="2"/>
  <c r="V1483" i="2" a="1"/>
  <c r="V1483" i="2" s="1"/>
  <c r="M1483" i="2" a="1"/>
  <c r="M1483" i="2" s="1"/>
  <c r="I1483" i="2" a="1"/>
  <c r="I1483" i="2" s="1"/>
  <c r="AN1482" i="2"/>
  <c r="AM1482" i="2"/>
  <c r="AI1482" i="2"/>
  <c r="Y1482" i="2"/>
  <c r="V1482" i="2" a="1"/>
  <c r="V1482" i="2" s="1"/>
  <c r="AQ1482" i="2" s="1"/>
  <c r="M1482" i="2" a="1"/>
  <c r="M1482" i="2" s="1"/>
  <c r="I1482" i="2" a="1"/>
  <c r="I1482" i="2" s="1"/>
  <c r="AN1481" i="2"/>
  <c r="AM1481" i="2"/>
  <c r="AI1481" i="2"/>
  <c r="Y1481" i="2"/>
  <c r="V1481" i="2" a="1"/>
  <c r="V1481" i="2" s="1"/>
  <c r="M1481" i="2" a="1"/>
  <c r="M1481" i="2" s="1"/>
  <c r="I1481" i="2" a="1"/>
  <c r="I1481" i="2"/>
  <c r="AN1480" i="2"/>
  <c r="AM1480" i="2"/>
  <c r="AI1480" i="2"/>
  <c r="Y1480" i="2"/>
  <c r="V1480" i="2" a="1"/>
  <c r="V1480" i="2" s="1"/>
  <c r="AQ1480" i="2" s="1"/>
  <c r="M1480" i="2" a="1"/>
  <c r="M1480" i="2"/>
  <c r="I1480" i="2" a="1"/>
  <c r="I1480" i="2" s="1"/>
  <c r="AN1479" i="2"/>
  <c r="AM1479" i="2"/>
  <c r="AI1479" i="2"/>
  <c r="Y1479" i="2"/>
  <c r="V1479" i="2" a="1"/>
  <c r="V1479" i="2"/>
  <c r="AP1479" i="2" s="1"/>
  <c r="AO1479" i="2" s="1"/>
  <c r="M1479" i="2" a="1"/>
  <c r="M1479" i="2" s="1"/>
  <c r="I1479" i="2" a="1"/>
  <c r="I1479" i="2"/>
  <c r="AQ1478" i="2"/>
  <c r="AN1478" i="2"/>
  <c r="AM1478" i="2"/>
  <c r="AI1478" i="2"/>
  <c r="Y1478" i="2"/>
  <c r="V1478" i="2" a="1"/>
  <c r="V1478" i="2" s="1"/>
  <c r="M1478" i="2" a="1"/>
  <c r="M1478" i="2"/>
  <c r="I1478" i="2" a="1"/>
  <c r="I1478" i="2" s="1"/>
  <c r="AN1477" i="2"/>
  <c r="AM1477" i="2"/>
  <c r="AI1477" i="2"/>
  <c r="Y1477" i="2"/>
  <c r="V1477" i="2" a="1"/>
  <c r="V1477" i="2" s="1"/>
  <c r="AQ1477" i="2" s="1"/>
  <c r="M1477" i="2" a="1"/>
  <c r="M1477" i="2" s="1"/>
  <c r="I1477" i="2" a="1"/>
  <c r="I1477" i="2"/>
  <c r="AN1476" i="2"/>
  <c r="AM1476" i="2"/>
  <c r="AI1476" i="2"/>
  <c r="Y1476" i="2"/>
  <c r="V1476" i="2" a="1"/>
  <c r="V1476" i="2" s="1"/>
  <c r="AQ1476" i="2" s="1"/>
  <c r="M1476" i="2" a="1"/>
  <c r="M1476" i="2" s="1"/>
  <c r="I1476" i="2" a="1"/>
  <c r="I1476" i="2" s="1"/>
  <c r="AN1475" i="2"/>
  <c r="AM1475" i="2"/>
  <c r="AI1475" i="2"/>
  <c r="Y1475" i="2"/>
  <c r="V1475" i="2" a="1"/>
  <c r="V1475" i="2" s="1"/>
  <c r="AQ1475" i="2" s="1"/>
  <c r="M1475" i="2" a="1"/>
  <c r="M1475" i="2" s="1"/>
  <c r="AP1475" i="2" s="1"/>
  <c r="I1475" i="2" a="1"/>
  <c r="I1475" i="2" s="1"/>
  <c r="AN1474" i="2"/>
  <c r="AM1474" i="2"/>
  <c r="AI1474" i="2"/>
  <c r="Y1474" i="2"/>
  <c r="V1474" i="2" a="1"/>
  <c r="V1474" i="2" s="1"/>
  <c r="AQ1474" i="2" s="1"/>
  <c r="M1474" i="2" a="1"/>
  <c r="M1474" i="2" s="1"/>
  <c r="I1474" i="2" a="1"/>
  <c r="I1474" i="2" s="1"/>
  <c r="AN1473" i="2"/>
  <c r="AM1473" i="2"/>
  <c r="AI1473" i="2"/>
  <c r="Y1473" i="2"/>
  <c r="V1473" i="2" a="1"/>
  <c r="V1473" i="2" s="1"/>
  <c r="M1473" i="2" a="1"/>
  <c r="M1473" i="2" s="1"/>
  <c r="I1473" i="2" a="1"/>
  <c r="I1473" i="2"/>
  <c r="AN1472" i="2"/>
  <c r="AM1472" i="2"/>
  <c r="AI1472" i="2"/>
  <c r="Y1472" i="2"/>
  <c r="V1472" i="2" a="1"/>
  <c r="V1472" i="2" s="1"/>
  <c r="AQ1472" i="2" s="1"/>
  <c r="M1472" i="2" a="1"/>
  <c r="M1472" i="2"/>
  <c r="I1472" i="2" a="1"/>
  <c r="I1472" i="2" s="1"/>
  <c r="AN1471" i="2"/>
  <c r="AM1471" i="2"/>
  <c r="AI1471" i="2"/>
  <c r="Y1471" i="2"/>
  <c r="V1471" i="2" a="1"/>
  <c r="V1471" i="2"/>
  <c r="AP1471" i="2" s="1"/>
  <c r="AO1471" i="2" s="1"/>
  <c r="M1471" i="2" a="1"/>
  <c r="M1471" i="2" s="1"/>
  <c r="I1471" i="2" a="1"/>
  <c r="I1471" i="2"/>
  <c r="AQ1470" i="2"/>
  <c r="AN1470" i="2"/>
  <c r="AM1470" i="2"/>
  <c r="AI1470" i="2"/>
  <c r="Y1470" i="2"/>
  <c r="V1470" i="2" a="1"/>
  <c r="V1470" i="2" s="1"/>
  <c r="M1470" i="2" a="1"/>
  <c r="M1470" i="2"/>
  <c r="I1470" i="2" a="1"/>
  <c r="I1470" i="2" s="1"/>
  <c r="AN1469" i="2"/>
  <c r="AM1469" i="2"/>
  <c r="AI1469" i="2"/>
  <c r="Y1469" i="2"/>
  <c r="V1469" i="2" a="1"/>
  <c r="V1469" i="2" s="1"/>
  <c r="AQ1469" i="2" s="1"/>
  <c r="M1469" i="2" a="1"/>
  <c r="M1469" i="2" s="1"/>
  <c r="I1469" i="2" a="1"/>
  <c r="I1469" i="2"/>
  <c r="AN1468" i="2"/>
  <c r="AM1468" i="2"/>
  <c r="AI1468" i="2"/>
  <c r="Y1468" i="2"/>
  <c r="V1468" i="2" a="1"/>
  <c r="V1468" i="2" s="1"/>
  <c r="AQ1468" i="2" s="1"/>
  <c r="M1468" i="2" a="1"/>
  <c r="M1468" i="2" s="1"/>
  <c r="I1468" i="2" a="1"/>
  <c r="I1468" i="2" s="1"/>
  <c r="AN1467" i="2"/>
  <c r="AM1467" i="2"/>
  <c r="AI1467" i="2"/>
  <c r="Y1467" i="2"/>
  <c r="V1467" i="2" a="1"/>
  <c r="V1467" i="2" s="1"/>
  <c r="M1467" i="2" a="1"/>
  <c r="M1467" i="2" s="1"/>
  <c r="I1467" i="2" a="1"/>
  <c r="I1467" i="2" s="1"/>
  <c r="AN1466" i="2"/>
  <c r="AM1466" i="2"/>
  <c r="AI1466" i="2"/>
  <c r="Y1466" i="2"/>
  <c r="V1466" i="2" a="1"/>
  <c r="V1466" i="2" s="1"/>
  <c r="AQ1466" i="2" s="1"/>
  <c r="M1466" i="2" a="1"/>
  <c r="M1466" i="2" s="1"/>
  <c r="I1466" i="2" a="1"/>
  <c r="I1466" i="2" s="1"/>
  <c r="AN1465" i="2"/>
  <c r="AM1465" i="2"/>
  <c r="AI1465" i="2"/>
  <c r="Y1465" i="2"/>
  <c r="V1465" i="2" a="1"/>
  <c r="V1465" i="2" s="1"/>
  <c r="M1465" i="2" a="1"/>
  <c r="M1465" i="2" s="1"/>
  <c r="I1465" i="2" a="1"/>
  <c r="I1465" i="2"/>
  <c r="AN1464" i="2"/>
  <c r="AM1464" i="2"/>
  <c r="AI1464" i="2"/>
  <c r="Y1464" i="2"/>
  <c r="V1464" i="2" a="1"/>
  <c r="V1464" i="2" s="1"/>
  <c r="AQ1464" i="2" s="1"/>
  <c r="M1464" i="2" a="1"/>
  <c r="M1464" i="2"/>
  <c r="I1464" i="2" a="1"/>
  <c r="I1464" i="2" s="1"/>
  <c r="AN1463" i="2"/>
  <c r="AM1463" i="2"/>
  <c r="AI1463" i="2"/>
  <c r="Y1463" i="2"/>
  <c r="V1463" i="2" a="1"/>
  <c r="V1463" i="2"/>
  <c r="AQ1463" i="2" s="1"/>
  <c r="M1463" i="2" a="1"/>
  <c r="M1463" i="2" s="1"/>
  <c r="I1463" i="2" a="1"/>
  <c r="I1463" i="2"/>
  <c r="AQ1462" i="2"/>
  <c r="AN1462" i="2"/>
  <c r="AM1462" i="2"/>
  <c r="AI1462" i="2"/>
  <c r="Y1462" i="2"/>
  <c r="V1462" i="2" a="1"/>
  <c r="V1462" i="2" s="1"/>
  <c r="M1462" i="2" a="1"/>
  <c r="M1462" i="2"/>
  <c r="I1462" i="2" a="1"/>
  <c r="I1462" i="2" s="1"/>
  <c r="AN1461" i="2"/>
  <c r="AM1461" i="2"/>
  <c r="AI1461" i="2"/>
  <c r="Y1461" i="2"/>
  <c r="V1461" i="2" a="1"/>
  <c r="V1461" i="2" s="1"/>
  <c r="AQ1461" i="2" s="1"/>
  <c r="M1461" i="2" a="1"/>
  <c r="M1461" i="2" s="1"/>
  <c r="I1461" i="2" a="1"/>
  <c r="I1461" i="2"/>
  <c r="AN1460" i="2"/>
  <c r="AM1460" i="2"/>
  <c r="AI1460" i="2"/>
  <c r="Y1460" i="2"/>
  <c r="V1460" i="2" a="1"/>
  <c r="V1460" i="2" s="1"/>
  <c r="AQ1460" i="2" s="1"/>
  <c r="M1460" i="2" a="1"/>
  <c r="M1460" i="2" s="1"/>
  <c r="I1460" i="2" a="1"/>
  <c r="I1460" i="2" s="1"/>
  <c r="AN1459" i="2"/>
  <c r="AM1459" i="2"/>
  <c r="AI1459" i="2"/>
  <c r="Y1459" i="2"/>
  <c r="V1459" i="2" a="1"/>
  <c r="V1459" i="2" s="1"/>
  <c r="M1459" i="2" a="1"/>
  <c r="M1459" i="2" s="1"/>
  <c r="I1459" i="2" a="1"/>
  <c r="I1459" i="2" s="1"/>
  <c r="AN1458" i="2"/>
  <c r="AM1458" i="2"/>
  <c r="AI1458" i="2"/>
  <c r="Y1458" i="2"/>
  <c r="V1458" i="2" a="1"/>
  <c r="V1458" i="2" s="1"/>
  <c r="AQ1458" i="2" s="1"/>
  <c r="M1458" i="2" a="1"/>
  <c r="M1458" i="2" s="1"/>
  <c r="I1458" i="2" a="1"/>
  <c r="I1458" i="2" s="1"/>
  <c r="AN1457" i="2"/>
  <c r="AM1457" i="2"/>
  <c r="AI1457" i="2"/>
  <c r="Y1457" i="2"/>
  <c r="V1457" i="2" a="1"/>
  <c r="V1457" i="2" s="1"/>
  <c r="M1457" i="2" a="1"/>
  <c r="M1457" i="2" s="1"/>
  <c r="I1457" i="2" a="1"/>
  <c r="I1457" i="2"/>
  <c r="AN1456" i="2"/>
  <c r="AM1456" i="2"/>
  <c r="AI1456" i="2"/>
  <c r="Y1456" i="2"/>
  <c r="V1456" i="2" a="1"/>
  <c r="V1456" i="2" s="1"/>
  <c r="AQ1456" i="2" s="1"/>
  <c r="M1456" i="2" a="1"/>
  <c r="M1456" i="2"/>
  <c r="I1456" i="2" a="1"/>
  <c r="I1456" i="2" s="1"/>
  <c r="AN1455" i="2"/>
  <c r="AM1455" i="2"/>
  <c r="AI1455" i="2"/>
  <c r="Y1455" i="2"/>
  <c r="V1455" i="2" a="1"/>
  <c r="V1455" i="2"/>
  <c r="AP1455" i="2" s="1"/>
  <c r="AO1455" i="2" s="1"/>
  <c r="M1455" i="2" a="1"/>
  <c r="M1455" i="2" s="1"/>
  <c r="I1455" i="2" a="1"/>
  <c r="I1455" i="2"/>
  <c r="AQ1454" i="2"/>
  <c r="AN1454" i="2"/>
  <c r="AM1454" i="2"/>
  <c r="AI1454" i="2"/>
  <c r="Y1454" i="2"/>
  <c r="V1454" i="2" a="1"/>
  <c r="V1454" i="2" s="1"/>
  <c r="M1454" i="2" a="1"/>
  <c r="M1454" i="2"/>
  <c r="I1454" i="2" a="1"/>
  <c r="I1454" i="2" s="1"/>
  <c r="AN1453" i="2"/>
  <c r="AM1453" i="2"/>
  <c r="AI1453" i="2"/>
  <c r="Y1453" i="2"/>
  <c r="V1453" i="2" a="1"/>
  <c r="V1453" i="2" s="1"/>
  <c r="AQ1453" i="2" s="1"/>
  <c r="M1453" i="2" a="1"/>
  <c r="M1453" i="2" s="1"/>
  <c r="I1453" i="2" a="1"/>
  <c r="I1453" i="2"/>
  <c r="AN1452" i="2"/>
  <c r="AM1452" i="2"/>
  <c r="AI1452" i="2"/>
  <c r="Y1452" i="2"/>
  <c r="V1452" i="2" a="1"/>
  <c r="V1452" i="2" s="1"/>
  <c r="AQ1452" i="2" s="1"/>
  <c r="M1452" i="2" a="1"/>
  <c r="M1452" i="2" s="1"/>
  <c r="I1452" i="2" a="1"/>
  <c r="I1452" i="2" s="1"/>
  <c r="AN1451" i="2"/>
  <c r="AM1451" i="2"/>
  <c r="AI1451" i="2"/>
  <c r="Y1451" i="2"/>
  <c r="V1451" i="2" a="1"/>
  <c r="V1451" i="2" s="1"/>
  <c r="AQ1451" i="2" s="1"/>
  <c r="M1451" i="2" a="1"/>
  <c r="M1451" i="2" s="1"/>
  <c r="I1451" i="2" a="1"/>
  <c r="I1451" i="2" s="1"/>
  <c r="AN1450" i="2"/>
  <c r="AM1450" i="2"/>
  <c r="AI1450" i="2"/>
  <c r="Y1450" i="2"/>
  <c r="V1450" i="2" a="1"/>
  <c r="V1450" i="2" s="1"/>
  <c r="AQ1450" i="2" s="1"/>
  <c r="M1450" i="2" a="1"/>
  <c r="M1450" i="2" s="1"/>
  <c r="I1450" i="2" a="1"/>
  <c r="I1450" i="2" s="1"/>
  <c r="AN1449" i="2"/>
  <c r="AM1449" i="2"/>
  <c r="AI1449" i="2"/>
  <c r="Y1449" i="2"/>
  <c r="V1449" i="2" a="1"/>
  <c r="V1449" i="2" s="1"/>
  <c r="M1449" i="2" a="1"/>
  <c r="M1449" i="2" s="1"/>
  <c r="I1449" i="2" a="1"/>
  <c r="I1449" i="2"/>
  <c r="AN1448" i="2"/>
  <c r="AM1448" i="2"/>
  <c r="AI1448" i="2"/>
  <c r="Y1448" i="2"/>
  <c r="V1448" i="2" a="1"/>
  <c r="V1448" i="2" s="1"/>
  <c r="AQ1448" i="2" s="1"/>
  <c r="M1448" i="2" a="1"/>
  <c r="M1448" i="2"/>
  <c r="I1448" i="2" a="1"/>
  <c r="I1448" i="2" s="1"/>
  <c r="AN1447" i="2"/>
  <c r="AM1447" i="2"/>
  <c r="AI1447" i="2"/>
  <c r="Y1447" i="2"/>
  <c r="V1447" i="2" a="1"/>
  <c r="V1447" i="2"/>
  <c r="AP1447" i="2" s="1"/>
  <c r="AO1447" i="2" s="1"/>
  <c r="M1447" i="2" a="1"/>
  <c r="M1447" i="2" s="1"/>
  <c r="I1447" i="2" a="1"/>
  <c r="I1447" i="2"/>
  <c r="AQ1446" i="2"/>
  <c r="AN1446" i="2"/>
  <c r="AM1446" i="2"/>
  <c r="AI1446" i="2"/>
  <c r="Y1446" i="2"/>
  <c r="V1446" i="2" a="1"/>
  <c r="V1446" i="2" s="1"/>
  <c r="M1446" i="2" a="1"/>
  <c r="M1446" i="2"/>
  <c r="I1446" i="2" a="1"/>
  <c r="I1446" i="2" s="1"/>
  <c r="AN1445" i="2"/>
  <c r="AM1445" i="2"/>
  <c r="AI1445" i="2"/>
  <c r="Y1445" i="2"/>
  <c r="V1445" i="2" a="1"/>
  <c r="V1445" i="2" s="1"/>
  <c r="AQ1445" i="2" s="1"/>
  <c r="M1445" i="2" a="1"/>
  <c r="M1445" i="2" s="1"/>
  <c r="I1445" i="2" a="1"/>
  <c r="I1445" i="2" s="1"/>
  <c r="AN1444" i="2"/>
  <c r="AM1444" i="2"/>
  <c r="AI1444" i="2"/>
  <c r="Y1444" i="2"/>
  <c r="V1444" i="2" a="1"/>
  <c r="V1444" i="2" s="1"/>
  <c r="AQ1444" i="2" s="1"/>
  <c r="M1444" i="2" a="1"/>
  <c r="M1444" i="2" s="1"/>
  <c r="I1444" i="2" a="1"/>
  <c r="I1444" i="2" s="1"/>
  <c r="AN1443" i="2"/>
  <c r="AM1443" i="2"/>
  <c r="AI1443" i="2"/>
  <c r="Y1443" i="2"/>
  <c r="V1443" i="2" a="1"/>
  <c r="V1443" i="2" s="1"/>
  <c r="M1443" i="2" a="1"/>
  <c r="M1443" i="2" s="1"/>
  <c r="I1443" i="2" a="1"/>
  <c r="I1443" i="2" s="1"/>
  <c r="AN1442" i="2"/>
  <c r="AM1442" i="2"/>
  <c r="AI1442" i="2"/>
  <c r="Y1442" i="2"/>
  <c r="V1442" i="2" a="1"/>
  <c r="V1442" i="2" s="1"/>
  <c r="AQ1442" i="2" s="1"/>
  <c r="M1442" i="2" a="1"/>
  <c r="M1442" i="2" s="1"/>
  <c r="I1442" i="2" a="1"/>
  <c r="I1442" i="2" s="1"/>
  <c r="AN1441" i="2"/>
  <c r="AM1441" i="2"/>
  <c r="AI1441" i="2"/>
  <c r="Y1441" i="2"/>
  <c r="V1441" i="2" a="1"/>
  <c r="V1441" i="2" s="1"/>
  <c r="M1441" i="2" a="1"/>
  <c r="M1441" i="2" s="1"/>
  <c r="I1441" i="2" a="1"/>
  <c r="I1441" i="2"/>
  <c r="AQ1440" i="2"/>
  <c r="AN1440" i="2"/>
  <c r="AM1440" i="2"/>
  <c r="AI1440" i="2"/>
  <c r="Y1440" i="2"/>
  <c r="V1440" i="2" a="1"/>
  <c r="V1440" i="2" s="1"/>
  <c r="M1440" i="2" a="1"/>
  <c r="M1440" i="2"/>
  <c r="I1440" i="2" a="1"/>
  <c r="I1440" i="2" s="1"/>
  <c r="AN1439" i="2"/>
  <c r="AM1439" i="2"/>
  <c r="AI1439" i="2"/>
  <c r="Y1439" i="2"/>
  <c r="V1439" i="2" a="1"/>
  <c r="V1439" i="2"/>
  <c r="AP1439" i="2" s="1"/>
  <c r="AO1439" i="2" s="1"/>
  <c r="M1439" i="2" a="1"/>
  <c r="M1439" i="2" s="1"/>
  <c r="I1439" i="2" a="1"/>
  <c r="I1439" i="2"/>
  <c r="AQ1438" i="2"/>
  <c r="AN1438" i="2"/>
  <c r="AM1438" i="2"/>
  <c r="AI1438" i="2"/>
  <c r="Y1438" i="2"/>
  <c r="V1438" i="2" a="1"/>
  <c r="V1438" i="2" s="1"/>
  <c r="M1438" i="2" a="1"/>
  <c r="M1438" i="2"/>
  <c r="I1438" i="2" a="1"/>
  <c r="I1438" i="2" s="1"/>
  <c r="AN1437" i="2"/>
  <c r="AM1437" i="2"/>
  <c r="AI1437" i="2"/>
  <c r="Y1437" i="2"/>
  <c r="V1437" i="2" a="1"/>
  <c r="V1437" i="2"/>
  <c r="AQ1437" i="2" s="1"/>
  <c r="M1437" i="2" a="1"/>
  <c r="M1437" i="2" s="1"/>
  <c r="I1437" i="2" a="1"/>
  <c r="I1437" i="2" s="1"/>
  <c r="AN1436" i="2"/>
  <c r="AM1436" i="2"/>
  <c r="AI1436" i="2"/>
  <c r="Y1436" i="2"/>
  <c r="V1436" i="2" a="1"/>
  <c r="V1436" i="2" s="1"/>
  <c r="AQ1436" i="2" s="1"/>
  <c r="M1436" i="2" a="1"/>
  <c r="M1436" i="2" s="1"/>
  <c r="I1436" i="2" a="1"/>
  <c r="I1436" i="2" s="1"/>
  <c r="AQ1435" i="2"/>
  <c r="AN1435" i="2"/>
  <c r="AM1435" i="2"/>
  <c r="AI1435" i="2"/>
  <c r="Y1435" i="2"/>
  <c r="V1435" i="2" a="1"/>
  <c r="V1435" i="2" s="1"/>
  <c r="M1435" i="2" a="1"/>
  <c r="M1435" i="2" s="1"/>
  <c r="AP1435" i="2" s="1"/>
  <c r="I1435" i="2" a="1"/>
  <c r="I1435" i="2" s="1"/>
  <c r="AN1434" i="2"/>
  <c r="AM1434" i="2"/>
  <c r="AI1434" i="2"/>
  <c r="Y1434" i="2"/>
  <c r="V1434" i="2" a="1"/>
  <c r="V1434" i="2" s="1"/>
  <c r="AQ1434" i="2" s="1"/>
  <c r="M1434" i="2" a="1"/>
  <c r="M1434" i="2" s="1"/>
  <c r="I1434" i="2" a="1"/>
  <c r="I1434" i="2" s="1"/>
  <c r="AN1433" i="2"/>
  <c r="AM1433" i="2"/>
  <c r="AI1433" i="2"/>
  <c r="Y1433" i="2"/>
  <c r="V1433" i="2" a="1"/>
  <c r="V1433" i="2" s="1"/>
  <c r="AQ1433" i="2" s="1"/>
  <c r="M1433" i="2" a="1"/>
  <c r="M1433" i="2" s="1"/>
  <c r="I1433" i="2" a="1"/>
  <c r="I1433" i="2"/>
  <c r="AQ1432" i="2"/>
  <c r="AN1432" i="2"/>
  <c r="AM1432" i="2"/>
  <c r="AI1432" i="2"/>
  <c r="Y1432" i="2"/>
  <c r="V1432" i="2" a="1"/>
  <c r="V1432" i="2" s="1"/>
  <c r="M1432" i="2" a="1"/>
  <c r="M1432" i="2"/>
  <c r="I1432" i="2" a="1"/>
  <c r="I1432" i="2" s="1"/>
  <c r="AN1431" i="2"/>
  <c r="AM1431" i="2"/>
  <c r="AI1431" i="2"/>
  <c r="Y1431" i="2"/>
  <c r="V1431" i="2" a="1"/>
  <c r="V1431" i="2"/>
  <c r="M1431" i="2" a="1"/>
  <c r="M1431" i="2" s="1"/>
  <c r="I1431" i="2" a="1"/>
  <c r="I1431" i="2"/>
  <c r="AQ1430" i="2"/>
  <c r="AN1430" i="2"/>
  <c r="AM1430" i="2"/>
  <c r="AI1430" i="2"/>
  <c r="Y1430" i="2"/>
  <c r="V1430" i="2" a="1"/>
  <c r="V1430" i="2" s="1"/>
  <c r="M1430" i="2" a="1"/>
  <c r="M1430" i="2"/>
  <c r="I1430" i="2" a="1"/>
  <c r="I1430" i="2" s="1"/>
  <c r="AN1429" i="2"/>
  <c r="AM1429" i="2"/>
  <c r="AI1429" i="2"/>
  <c r="Y1429" i="2"/>
  <c r="V1429" i="2" a="1"/>
  <c r="V1429" i="2" s="1"/>
  <c r="AQ1429" i="2" s="1"/>
  <c r="M1429" i="2" a="1"/>
  <c r="M1429" i="2" s="1"/>
  <c r="I1429" i="2" a="1"/>
  <c r="I1429" i="2" s="1"/>
  <c r="AN1428" i="2"/>
  <c r="AM1428" i="2"/>
  <c r="AI1428" i="2"/>
  <c r="Y1428" i="2"/>
  <c r="V1428" i="2" a="1"/>
  <c r="V1428" i="2" s="1"/>
  <c r="AQ1428" i="2" s="1"/>
  <c r="M1428" i="2" a="1"/>
  <c r="M1428" i="2" s="1"/>
  <c r="I1428" i="2" a="1"/>
  <c r="I1428" i="2" s="1"/>
  <c r="AN1427" i="2"/>
  <c r="AM1427" i="2"/>
  <c r="AI1427" i="2"/>
  <c r="Y1427" i="2"/>
  <c r="V1427" i="2" a="1"/>
  <c r="V1427" i="2"/>
  <c r="AQ1427" i="2" s="1"/>
  <c r="M1427" i="2" a="1"/>
  <c r="M1427" i="2" s="1"/>
  <c r="I1427" i="2" a="1"/>
  <c r="I1427" i="2" s="1"/>
  <c r="AN1426" i="2"/>
  <c r="AM1426" i="2"/>
  <c r="AI1426" i="2"/>
  <c r="Y1426" i="2"/>
  <c r="V1426" i="2" a="1"/>
  <c r="V1426" i="2" s="1"/>
  <c r="AQ1426" i="2" s="1"/>
  <c r="M1426" i="2" a="1"/>
  <c r="M1426" i="2" s="1"/>
  <c r="I1426" i="2" a="1"/>
  <c r="I1426" i="2" s="1"/>
  <c r="AN1425" i="2"/>
  <c r="AM1425" i="2"/>
  <c r="AI1425" i="2"/>
  <c r="Y1425" i="2"/>
  <c r="V1425" i="2" a="1"/>
  <c r="V1425" i="2" s="1"/>
  <c r="M1425" i="2" a="1"/>
  <c r="M1425" i="2" s="1"/>
  <c r="I1425" i="2" a="1"/>
  <c r="I1425" i="2" s="1"/>
  <c r="AN1424" i="2"/>
  <c r="AM1424" i="2"/>
  <c r="AI1424" i="2"/>
  <c r="Y1424" i="2"/>
  <c r="V1424" i="2" a="1"/>
  <c r="V1424" i="2" s="1"/>
  <c r="AQ1424" i="2" s="1"/>
  <c r="M1424" i="2" a="1"/>
  <c r="M1424" i="2" s="1"/>
  <c r="I1424" i="2" a="1"/>
  <c r="I1424" i="2" s="1"/>
  <c r="AN1423" i="2"/>
  <c r="AM1423" i="2"/>
  <c r="AI1423" i="2"/>
  <c r="Y1423" i="2"/>
  <c r="V1423" i="2" a="1"/>
  <c r="V1423" i="2" s="1"/>
  <c r="M1423" i="2" a="1"/>
  <c r="M1423" i="2" s="1"/>
  <c r="I1423" i="2" a="1"/>
  <c r="I1423" i="2"/>
  <c r="AQ1422" i="2"/>
  <c r="AN1422" i="2"/>
  <c r="AM1422" i="2"/>
  <c r="AI1422" i="2"/>
  <c r="Y1422" i="2"/>
  <c r="V1422" i="2" a="1"/>
  <c r="V1422" i="2" s="1"/>
  <c r="M1422" i="2" a="1"/>
  <c r="M1422" i="2"/>
  <c r="I1422" i="2" a="1"/>
  <c r="I1422" i="2" s="1"/>
  <c r="AN1421" i="2"/>
  <c r="AM1421" i="2"/>
  <c r="AI1421" i="2"/>
  <c r="Y1421" i="2"/>
  <c r="V1421" i="2" a="1"/>
  <c r="V1421" i="2"/>
  <c r="AQ1421" i="2" s="1"/>
  <c r="M1421" i="2" a="1"/>
  <c r="M1421" i="2" s="1"/>
  <c r="I1421" i="2" a="1"/>
  <c r="I1421" i="2"/>
  <c r="AQ1420" i="2"/>
  <c r="AN1420" i="2"/>
  <c r="AM1420" i="2"/>
  <c r="AI1420" i="2"/>
  <c r="Y1420" i="2"/>
  <c r="V1420" i="2" a="1"/>
  <c r="V1420" i="2" s="1"/>
  <c r="M1420" i="2" a="1"/>
  <c r="M1420" i="2"/>
  <c r="I1420" i="2" a="1"/>
  <c r="I1420" i="2" s="1"/>
  <c r="AQ1419" i="2"/>
  <c r="AN1419" i="2"/>
  <c r="AM1419" i="2"/>
  <c r="AI1419" i="2"/>
  <c r="Y1419" i="2"/>
  <c r="V1419" i="2" a="1"/>
  <c r="V1419" i="2"/>
  <c r="M1419" i="2" a="1"/>
  <c r="M1419" i="2" s="1"/>
  <c r="I1419" i="2" a="1"/>
  <c r="I1419" i="2" s="1"/>
  <c r="AN1418" i="2"/>
  <c r="AM1418" i="2"/>
  <c r="AI1418" i="2"/>
  <c r="Y1418" i="2"/>
  <c r="V1418" i="2" a="1"/>
  <c r="V1418" i="2" s="1"/>
  <c r="AQ1418" i="2" s="1"/>
  <c r="M1418" i="2" a="1"/>
  <c r="M1418" i="2" s="1"/>
  <c r="I1418" i="2" a="1"/>
  <c r="I1418" i="2" s="1"/>
  <c r="AN1417" i="2"/>
  <c r="AM1417" i="2"/>
  <c r="AI1417" i="2"/>
  <c r="Y1417" i="2"/>
  <c r="V1417" i="2" a="1"/>
  <c r="V1417" i="2" s="1"/>
  <c r="M1417" i="2" a="1"/>
  <c r="M1417" i="2" s="1"/>
  <c r="I1417" i="2" a="1"/>
  <c r="I1417" i="2" s="1"/>
  <c r="AN1416" i="2"/>
  <c r="AM1416" i="2"/>
  <c r="AI1416" i="2"/>
  <c r="Y1416" i="2"/>
  <c r="V1416" i="2" a="1"/>
  <c r="V1416" i="2" s="1"/>
  <c r="AQ1416" i="2" s="1"/>
  <c r="M1416" i="2" a="1"/>
  <c r="M1416" i="2" s="1"/>
  <c r="I1416" i="2" a="1"/>
  <c r="I1416" i="2" s="1"/>
  <c r="AN1415" i="2"/>
  <c r="AM1415" i="2"/>
  <c r="AI1415" i="2"/>
  <c r="Y1415" i="2"/>
  <c r="V1415" i="2" a="1"/>
  <c r="V1415" i="2" s="1"/>
  <c r="M1415" i="2" a="1"/>
  <c r="M1415" i="2" s="1"/>
  <c r="I1415" i="2" a="1"/>
  <c r="I1415" i="2"/>
  <c r="AQ1414" i="2"/>
  <c r="AN1414" i="2"/>
  <c r="AM1414" i="2"/>
  <c r="AI1414" i="2"/>
  <c r="Y1414" i="2"/>
  <c r="V1414" i="2" a="1"/>
  <c r="V1414" i="2" s="1"/>
  <c r="M1414" i="2" a="1"/>
  <c r="M1414" i="2"/>
  <c r="I1414" i="2" a="1"/>
  <c r="I1414" i="2" s="1"/>
  <c r="AN1413" i="2"/>
  <c r="AM1413" i="2"/>
  <c r="AI1413" i="2"/>
  <c r="Y1413" i="2"/>
  <c r="V1413" i="2" a="1"/>
  <c r="V1413" i="2"/>
  <c r="AQ1413" i="2" s="1"/>
  <c r="M1413" i="2" a="1"/>
  <c r="M1413" i="2" s="1"/>
  <c r="I1413" i="2" a="1"/>
  <c r="I1413" i="2"/>
  <c r="AQ1412" i="2"/>
  <c r="AN1412" i="2"/>
  <c r="AM1412" i="2"/>
  <c r="AI1412" i="2"/>
  <c r="Y1412" i="2"/>
  <c r="V1412" i="2" a="1"/>
  <c r="V1412" i="2" s="1"/>
  <c r="M1412" i="2" a="1"/>
  <c r="M1412" i="2"/>
  <c r="I1412" i="2" a="1"/>
  <c r="I1412" i="2" s="1"/>
  <c r="AN1411" i="2"/>
  <c r="AM1411" i="2"/>
  <c r="AI1411" i="2"/>
  <c r="Y1411" i="2"/>
  <c r="V1411" i="2" a="1"/>
  <c r="V1411" i="2" s="1"/>
  <c r="AQ1411" i="2" s="1"/>
  <c r="M1411" i="2" a="1"/>
  <c r="M1411" i="2"/>
  <c r="I1411" i="2" a="1"/>
  <c r="I1411" i="2" s="1"/>
  <c r="AN1410" i="2"/>
  <c r="AM1410" i="2"/>
  <c r="AI1410" i="2"/>
  <c r="Y1410" i="2"/>
  <c r="V1410" i="2" a="1"/>
  <c r="V1410" i="2"/>
  <c r="AQ1410" i="2" s="1"/>
  <c r="M1410" i="2" a="1"/>
  <c r="M1410" i="2" s="1"/>
  <c r="I1410" i="2" a="1"/>
  <c r="I1410" i="2" s="1"/>
  <c r="AN1409" i="2"/>
  <c r="AM1409" i="2"/>
  <c r="AI1409" i="2"/>
  <c r="Y1409" i="2"/>
  <c r="V1409" i="2" a="1"/>
  <c r="V1409" i="2" s="1"/>
  <c r="AQ1409" i="2" s="1"/>
  <c r="M1409" i="2" a="1"/>
  <c r="M1409" i="2" s="1"/>
  <c r="I1409" i="2" a="1"/>
  <c r="I1409" i="2"/>
  <c r="AN1408" i="2"/>
  <c r="AM1408" i="2"/>
  <c r="AI1408" i="2"/>
  <c r="Y1408" i="2"/>
  <c r="V1408" i="2" a="1"/>
  <c r="V1408" i="2" s="1"/>
  <c r="AQ1408" i="2" s="1"/>
  <c r="M1408" i="2" a="1"/>
  <c r="M1408" i="2"/>
  <c r="I1408" i="2" a="1"/>
  <c r="I1408" i="2" s="1"/>
  <c r="AQ1407" i="2"/>
  <c r="AN1407" i="2"/>
  <c r="AM1407" i="2"/>
  <c r="AI1407" i="2"/>
  <c r="Y1407" i="2"/>
  <c r="V1407" i="2" a="1"/>
  <c r="V1407" i="2"/>
  <c r="AP1407" i="2" s="1"/>
  <c r="M1407" i="2" a="1"/>
  <c r="M1407" i="2" s="1"/>
  <c r="I1407" i="2" a="1"/>
  <c r="I1407" i="2" s="1"/>
  <c r="AQ1406" i="2"/>
  <c r="AN1406" i="2"/>
  <c r="AM1406" i="2"/>
  <c r="AI1406" i="2"/>
  <c r="Y1406" i="2"/>
  <c r="V1406" i="2" a="1"/>
  <c r="V1406" i="2" s="1"/>
  <c r="M1406" i="2" a="1"/>
  <c r="M1406" i="2" s="1"/>
  <c r="I1406" i="2" a="1"/>
  <c r="I1406" i="2" s="1"/>
  <c r="AN1405" i="2"/>
  <c r="AM1405" i="2"/>
  <c r="AI1405" i="2"/>
  <c r="Y1405" i="2"/>
  <c r="V1405" i="2" a="1"/>
  <c r="V1405" i="2" s="1"/>
  <c r="M1405" i="2" a="1"/>
  <c r="M1405" i="2" s="1"/>
  <c r="I1405" i="2" a="1"/>
  <c r="I1405" i="2"/>
  <c r="AN1404" i="2"/>
  <c r="AM1404" i="2"/>
  <c r="AI1404" i="2"/>
  <c r="Y1404" i="2"/>
  <c r="V1404" i="2" a="1"/>
  <c r="V1404" i="2" s="1"/>
  <c r="AQ1404" i="2" s="1"/>
  <c r="M1404" i="2" a="1"/>
  <c r="M1404" i="2"/>
  <c r="I1404" i="2" a="1"/>
  <c r="I1404" i="2" s="1"/>
  <c r="AN1403" i="2"/>
  <c r="AM1403" i="2"/>
  <c r="AI1403" i="2"/>
  <c r="Y1403" i="2"/>
  <c r="V1403" i="2" a="1"/>
  <c r="V1403" i="2"/>
  <c r="AP1403" i="2" s="1"/>
  <c r="M1403" i="2" a="1"/>
  <c r="M1403" i="2" s="1"/>
  <c r="I1403" i="2" a="1"/>
  <c r="I1403" i="2" s="1"/>
  <c r="AQ1402" i="2"/>
  <c r="AN1402" i="2"/>
  <c r="AM1402" i="2"/>
  <c r="AI1402" i="2"/>
  <c r="Y1402" i="2"/>
  <c r="V1402" i="2" a="1"/>
  <c r="V1402" i="2" s="1"/>
  <c r="M1402" i="2" a="1"/>
  <c r="M1402" i="2" s="1"/>
  <c r="I1402" i="2" a="1"/>
  <c r="I1402" i="2" s="1"/>
  <c r="AN1401" i="2"/>
  <c r="AM1401" i="2"/>
  <c r="AI1401" i="2"/>
  <c r="Y1401" i="2"/>
  <c r="V1401" i="2" a="1"/>
  <c r="V1401" i="2" s="1"/>
  <c r="AQ1401" i="2" s="1"/>
  <c r="M1401" i="2" a="1"/>
  <c r="M1401" i="2" s="1"/>
  <c r="I1401" i="2" a="1"/>
  <c r="I1401" i="2"/>
  <c r="AN1400" i="2"/>
  <c r="AM1400" i="2"/>
  <c r="AI1400" i="2"/>
  <c r="Y1400" i="2"/>
  <c r="V1400" i="2" a="1"/>
  <c r="V1400" i="2" s="1"/>
  <c r="AQ1400" i="2" s="1"/>
  <c r="M1400" i="2" a="1"/>
  <c r="M1400" i="2"/>
  <c r="I1400" i="2" a="1"/>
  <c r="I1400" i="2" s="1"/>
  <c r="AQ1399" i="2"/>
  <c r="AN1399" i="2"/>
  <c r="AM1399" i="2"/>
  <c r="AI1399" i="2"/>
  <c r="Y1399" i="2"/>
  <c r="V1399" i="2" a="1"/>
  <c r="V1399" i="2"/>
  <c r="M1399" i="2" a="1"/>
  <c r="M1399" i="2" s="1"/>
  <c r="AP1399" i="2" s="1"/>
  <c r="I1399" i="2" a="1"/>
  <c r="I1399" i="2" s="1"/>
  <c r="AQ1398" i="2"/>
  <c r="AN1398" i="2"/>
  <c r="AM1398" i="2"/>
  <c r="AI1398" i="2"/>
  <c r="Y1398" i="2"/>
  <c r="V1398" i="2" a="1"/>
  <c r="V1398" i="2" s="1"/>
  <c r="M1398" i="2" a="1"/>
  <c r="M1398" i="2" s="1"/>
  <c r="I1398" i="2" a="1"/>
  <c r="I1398" i="2" s="1"/>
  <c r="AN1397" i="2"/>
  <c r="AM1397" i="2"/>
  <c r="AI1397" i="2"/>
  <c r="Y1397" i="2"/>
  <c r="V1397" i="2" a="1"/>
  <c r="V1397" i="2" s="1"/>
  <c r="M1397" i="2" a="1"/>
  <c r="M1397" i="2" s="1"/>
  <c r="I1397" i="2" a="1"/>
  <c r="I1397" i="2"/>
  <c r="AN1396" i="2"/>
  <c r="AM1396" i="2"/>
  <c r="AI1396" i="2"/>
  <c r="Y1396" i="2"/>
  <c r="V1396" i="2" a="1"/>
  <c r="V1396" i="2" s="1"/>
  <c r="AQ1396" i="2" s="1"/>
  <c r="M1396" i="2" a="1"/>
  <c r="M1396" i="2"/>
  <c r="I1396" i="2" a="1"/>
  <c r="I1396" i="2" s="1"/>
  <c r="AN1395" i="2"/>
  <c r="AM1395" i="2"/>
  <c r="AI1395" i="2"/>
  <c r="Y1395" i="2"/>
  <c r="V1395" i="2" a="1"/>
  <c r="V1395" i="2"/>
  <c r="AP1395" i="2" s="1"/>
  <c r="M1395" i="2" a="1"/>
  <c r="M1395" i="2" s="1"/>
  <c r="I1395" i="2" a="1"/>
  <c r="I1395" i="2" s="1"/>
  <c r="AQ1394" i="2"/>
  <c r="AN1394" i="2"/>
  <c r="AM1394" i="2"/>
  <c r="AI1394" i="2"/>
  <c r="Y1394" i="2"/>
  <c r="V1394" i="2" a="1"/>
  <c r="V1394" i="2" s="1"/>
  <c r="M1394" i="2" a="1"/>
  <c r="M1394" i="2" s="1"/>
  <c r="I1394" i="2" a="1"/>
  <c r="I1394" i="2" s="1"/>
  <c r="AN1393" i="2"/>
  <c r="AM1393" i="2"/>
  <c r="AI1393" i="2"/>
  <c r="Y1393" i="2"/>
  <c r="V1393" i="2" a="1"/>
  <c r="V1393" i="2" s="1"/>
  <c r="AQ1393" i="2" s="1"/>
  <c r="M1393" i="2" a="1"/>
  <c r="M1393" i="2" s="1"/>
  <c r="I1393" i="2" a="1"/>
  <c r="I1393" i="2"/>
  <c r="AN1392" i="2"/>
  <c r="AM1392" i="2"/>
  <c r="AI1392" i="2"/>
  <c r="Y1392" i="2"/>
  <c r="V1392" i="2" a="1"/>
  <c r="V1392" i="2" s="1"/>
  <c r="AQ1392" i="2" s="1"/>
  <c r="M1392" i="2" a="1"/>
  <c r="M1392" i="2"/>
  <c r="I1392" i="2" a="1"/>
  <c r="I1392" i="2" s="1"/>
  <c r="AQ1391" i="2"/>
  <c r="AN1391" i="2"/>
  <c r="AM1391" i="2"/>
  <c r="AI1391" i="2"/>
  <c r="Y1391" i="2"/>
  <c r="V1391" i="2" a="1"/>
  <c r="V1391" i="2"/>
  <c r="AP1391" i="2" s="1"/>
  <c r="M1391" i="2" a="1"/>
  <c r="M1391" i="2" s="1"/>
  <c r="I1391" i="2" a="1"/>
  <c r="I1391" i="2" s="1"/>
  <c r="AQ1390" i="2"/>
  <c r="AN1390" i="2"/>
  <c r="AM1390" i="2"/>
  <c r="AI1390" i="2"/>
  <c r="Y1390" i="2"/>
  <c r="V1390" i="2" a="1"/>
  <c r="V1390" i="2" s="1"/>
  <c r="M1390" i="2" a="1"/>
  <c r="M1390" i="2" s="1"/>
  <c r="I1390" i="2" a="1"/>
  <c r="I1390" i="2" s="1"/>
  <c r="AN1389" i="2"/>
  <c r="AM1389" i="2"/>
  <c r="AI1389" i="2"/>
  <c r="Y1389" i="2"/>
  <c r="V1389" i="2" a="1"/>
  <c r="V1389" i="2" s="1"/>
  <c r="M1389" i="2" a="1"/>
  <c r="M1389" i="2" s="1"/>
  <c r="I1389" i="2" a="1"/>
  <c r="I1389" i="2"/>
  <c r="AN1388" i="2"/>
  <c r="AM1388" i="2"/>
  <c r="AI1388" i="2"/>
  <c r="Y1388" i="2"/>
  <c r="V1388" i="2" a="1"/>
  <c r="V1388" i="2" s="1"/>
  <c r="AQ1388" i="2" s="1"/>
  <c r="M1388" i="2" a="1"/>
  <c r="M1388" i="2"/>
  <c r="I1388" i="2" a="1"/>
  <c r="I1388" i="2" s="1"/>
  <c r="AN1387" i="2"/>
  <c r="AM1387" i="2"/>
  <c r="AI1387" i="2"/>
  <c r="Y1387" i="2"/>
  <c r="V1387" i="2" a="1"/>
  <c r="V1387" i="2"/>
  <c r="AP1387" i="2" s="1"/>
  <c r="M1387" i="2" a="1"/>
  <c r="M1387" i="2" s="1"/>
  <c r="I1387" i="2" a="1"/>
  <c r="I1387" i="2" s="1"/>
  <c r="AQ1386" i="2"/>
  <c r="AN1386" i="2"/>
  <c r="AM1386" i="2"/>
  <c r="AI1386" i="2"/>
  <c r="Y1386" i="2"/>
  <c r="V1386" i="2" a="1"/>
  <c r="V1386" i="2" s="1"/>
  <c r="M1386" i="2" a="1"/>
  <c r="M1386" i="2" s="1"/>
  <c r="I1386" i="2" a="1"/>
  <c r="I1386" i="2" s="1"/>
  <c r="AN1385" i="2"/>
  <c r="AM1385" i="2"/>
  <c r="AI1385" i="2"/>
  <c r="Y1385" i="2"/>
  <c r="V1385" i="2" a="1"/>
  <c r="V1385" i="2" s="1"/>
  <c r="AQ1385" i="2" s="1"/>
  <c r="M1385" i="2" a="1"/>
  <c r="M1385" i="2" s="1"/>
  <c r="I1385" i="2" a="1"/>
  <c r="I1385" i="2"/>
  <c r="AN1384" i="2"/>
  <c r="AM1384" i="2"/>
  <c r="AI1384" i="2"/>
  <c r="Y1384" i="2"/>
  <c r="V1384" i="2" a="1"/>
  <c r="V1384" i="2" s="1"/>
  <c r="AQ1384" i="2" s="1"/>
  <c r="M1384" i="2" a="1"/>
  <c r="M1384" i="2"/>
  <c r="I1384" i="2" a="1"/>
  <c r="I1384" i="2" s="1"/>
  <c r="AQ1383" i="2"/>
  <c r="AN1383" i="2"/>
  <c r="AM1383" i="2"/>
  <c r="AI1383" i="2"/>
  <c r="Y1383" i="2"/>
  <c r="V1383" i="2" a="1"/>
  <c r="V1383" i="2"/>
  <c r="AP1383" i="2" s="1"/>
  <c r="M1383" i="2" a="1"/>
  <c r="M1383" i="2" s="1"/>
  <c r="I1383" i="2" a="1"/>
  <c r="I1383" i="2" s="1"/>
  <c r="AQ1382" i="2"/>
  <c r="AN1382" i="2"/>
  <c r="AM1382" i="2"/>
  <c r="AI1382" i="2"/>
  <c r="Y1382" i="2"/>
  <c r="V1382" i="2" a="1"/>
  <c r="V1382" i="2" s="1"/>
  <c r="M1382" i="2" a="1"/>
  <c r="M1382" i="2" s="1"/>
  <c r="I1382" i="2" a="1"/>
  <c r="I1382" i="2" s="1"/>
  <c r="AN1381" i="2"/>
  <c r="AM1381" i="2"/>
  <c r="AI1381" i="2"/>
  <c r="Y1381" i="2"/>
  <c r="V1381" i="2" a="1"/>
  <c r="V1381" i="2" s="1"/>
  <c r="M1381" i="2" a="1"/>
  <c r="M1381" i="2" s="1"/>
  <c r="I1381" i="2" a="1"/>
  <c r="I1381" i="2"/>
  <c r="AN1380" i="2"/>
  <c r="AM1380" i="2"/>
  <c r="AI1380" i="2"/>
  <c r="Y1380" i="2"/>
  <c r="V1380" i="2" a="1"/>
  <c r="V1380" i="2" s="1"/>
  <c r="AQ1380" i="2" s="1"/>
  <c r="M1380" i="2" a="1"/>
  <c r="M1380" i="2"/>
  <c r="I1380" i="2" a="1"/>
  <c r="I1380" i="2" s="1"/>
  <c r="AN1379" i="2"/>
  <c r="AM1379" i="2"/>
  <c r="AI1379" i="2"/>
  <c r="Y1379" i="2"/>
  <c r="V1379" i="2" a="1"/>
  <c r="V1379" i="2"/>
  <c r="AP1379" i="2" s="1"/>
  <c r="M1379" i="2" a="1"/>
  <c r="M1379" i="2" s="1"/>
  <c r="I1379" i="2" a="1"/>
  <c r="I1379" i="2" s="1"/>
  <c r="AQ1378" i="2"/>
  <c r="AN1378" i="2"/>
  <c r="AM1378" i="2"/>
  <c r="AI1378" i="2"/>
  <c r="Y1378" i="2"/>
  <c r="V1378" i="2" a="1"/>
  <c r="V1378" i="2" s="1"/>
  <c r="M1378" i="2" a="1"/>
  <c r="M1378" i="2" s="1"/>
  <c r="I1378" i="2" a="1"/>
  <c r="I1378" i="2" s="1"/>
  <c r="AN1377" i="2"/>
  <c r="AM1377" i="2"/>
  <c r="AI1377" i="2"/>
  <c r="Y1377" i="2"/>
  <c r="V1377" i="2" a="1"/>
  <c r="V1377" i="2" s="1"/>
  <c r="AQ1377" i="2" s="1"/>
  <c r="M1377" i="2" a="1"/>
  <c r="M1377" i="2" s="1"/>
  <c r="I1377" i="2" a="1"/>
  <c r="I1377" i="2"/>
  <c r="AN1376" i="2"/>
  <c r="AM1376" i="2"/>
  <c r="AI1376" i="2"/>
  <c r="Y1376" i="2"/>
  <c r="V1376" i="2" a="1"/>
  <c r="V1376" i="2" s="1"/>
  <c r="AQ1376" i="2" s="1"/>
  <c r="M1376" i="2" a="1"/>
  <c r="M1376" i="2"/>
  <c r="I1376" i="2" a="1"/>
  <c r="I1376" i="2" s="1"/>
  <c r="AQ1375" i="2"/>
  <c r="AN1375" i="2"/>
  <c r="AM1375" i="2"/>
  <c r="AI1375" i="2"/>
  <c r="Y1375" i="2"/>
  <c r="V1375" i="2" a="1"/>
  <c r="V1375" i="2"/>
  <c r="M1375" i="2" a="1"/>
  <c r="M1375" i="2" s="1"/>
  <c r="AP1375" i="2" s="1"/>
  <c r="I1375" i="2" a="1"/>
  <c r="I1375" i="2" s="1"/>
  <c r="AQ1374" i="2"/>
  <c r="AN1374" i="2"/>
  <c r="AM1374" i="2"/>
  <c r="AI1374" i="2"/>
  <c r="Y1374" i="2"/>
  <c r="V1374" i="2" a="1"/>
  <c r="V1374" i="2" s="1"/>
  <c r="M1374" i="2" a="1"/>
  <c r="M1374" i="2" s="1"/>
  <c r="I1374" i="2" a="1"/>
  <c r="I1374" i="2" s="1"/>
  <c r="AN1373" i="2"/>
  <c r="AM1373" i="2"/>
  <c r="AI1373" i="2"/>
  <c r="Y1373" i="2"/>
  <c r="V1373" i="2" a="1"/>
  <c r="V1373" i="2" s="1"/>
  <c r="M1373" i="2" a="1"/>
  <c r="M1373" i="2" s="1"/>
  <c r="I1373" i="2" a="1"/>
  <c r="I1373" i="2"/>
  <c r="AN1372" i="2"/>
  <c r="AM1372" i="2"/>
  <c r="AI1372" i="2"/>
  <c r="Y1372" i="2"/>
  <c r="V1372" i="2" a="1"/>
  <c r="V1372" i="2" s="1"/>
  <c r="AQ1372" i="2" s="1"/>
  <c r="M1372" i="2" a="1"/>
  <c r="M1372" i="2"/>
  <c r="I1372" i="2" a="1"/>
  <c r="I1372" i="2" s="1"/>
  <c r="AN1371" i="2"/>
  <c r="AM1371" i="2"/>
  <c r="AI1371" i="2"/>
  <c r="Y1371" i="2"/>
  <c r="V1371" i="2" a="1"/>
  <c r="V1371" i="2"/>
  <c r="AQ1371" i="2" s="1"/>
  <c r="M1371" i="2" a="1"/>
  <c r="M1371" i="2" s="1"/>
  <c r="I1371" i="2" a="1"/>
  <c r="I1371" i="2" s="1"/>
  <c r="AQ1370" i="2"/>
  <c r="AN1370" i="2"/>
  <c r="AM1370" i="2"/>
  <c r="AI1370" i="2"/>
  <c r="Y1370" i="2"/>
  <c r="V1370" i="2" a="1"/>
  <c r="V1370" i="2" s="1"/>
  <c r="M1370" i="2" a="1"/>
  <c r="M1370" i="2" s="1"/>
  <c r="I1370" i="2" a="1"/>
  <c r="I1370" i="2" s="1"/>
  <c r="AN1369" i="2"/>
  <c r="AM1369" i="2"/>
  <c r="AI1369" i="2"/>
  <c r="Y1369" i="2"/>
  <c r="V1369" i="2" a="1"/>
  <c r="V1369" i="2" s="1"/>
  <c r="AQ1369" i="2" s="1"/>
  <c r="M1369" i="2" a="1"/>
  <c r="M1369" i="2" s="1"/>
  <c r="I1369" i="2" a="1"/>
  <c r="I1369" i="2"/>
  <c r="AN1368" i="2"/>
  <c r="AM1368" i="2"/>
  <c r="AI1368" i="2"/>
  <c r="Y1368" i="2"/>
  <c r="V1368" i="2" a="1"/>
  <c r="V1368" i="2" s="1"/>
  <c r="AQ1368" i="2" s="1"/>
  <c r="M1368" i="2" a="1"/>
  <c r="M1368" i="2"/>
  <c r="I1368" i="2" a="1"/>
  <c r="I1368" i="2" s="1"/>
  <c r="AQ1367" i="2"/>
  <c r="AN1367" i="2"/>
  <c r="AM1367" i="2"/>
  <c r="AI1367" i="2"/>
  <c r="Y1367" i="2"/>
  <c r="V1367" i="2" a="1"/>
  <c r="V1367" i="2"/>
  <c r="AP1367" i="2" s="1"/>
  <c r="M1367" i="2" a="1"/>
  <c r="M1367" i="2" s="1"/>
  <c r="I1367" i="2" a="1"/>
  <c r="I1367" i="2" s="1"/>
  <c r="AQ1366" i="2"/>
  <c r="AN1366" i="2"/>
  <c r="AM1366" i="2"/>
  <c r="AI1366" i="2"/>
  <c r="Y1366" i="2"/>
  <c r="V1366" i="2" a="1"/>
  <c r="V1366" i="2" s="1"/>
  <c r="M1366" i="2" a="1"/>
  <c r="M1366" i="2" s="1"/>
  <c r="I1366" i="2" a="1"/>
  <c r="I1366" i="2" s="1"/>
  <c r="AN1365" i="2"/>
  <c r="AM1365" i="2"/>
  <c r="AI1365" i="2"/>
  <c r="Y1365" i="2"/>
  <c r="V1365" i="2" a="1"/>
  <c r="V1365" i="2" s="1"/>
  <c r="M1365" i="2" a="1"/>
  <c r="M1365" i="2" s="1"/>
  <c r="I1365" i="2" a="1"/>
  <c r="I1365" i="2"/>
  <c r="AN1364" i="2"/>
  <c r="AM1364" i="2"/>
  <c r="AI1364" i="2"/>
  <c r="Y1364" i="2"/>
  <c r="V1364" i="2" a="1"/>
  <c r="V1364" i="2" s="1"/>
  <c r="AQ1364" i="2" s="1"/>
  <c r="M1364" i="2" a="1"/>
  <c r="M1364" i="2"/>
  <c r="I1364" i="2" a="1"/>
  <c r="I1364" i="2" s="1"/>
  <c r="AN1363" i="2"/>
  <c r="AM1363" i="2"/>
  <c r="AI1363" i="2"/>
  <c r="Y1363" i="2"/>
  <c r="V1363" i="2" a="1"/>
  <c r="V1363" i="2"/>
  <c r="AQ1363" i="2" s="1"/>
  <c r="M1363" i="2" a="1"/>
  <c r="M1363" i="2" s="1"/>
  <c r="I1363" i="2" a="1"/>
  <c r="I1363" i="2" s="1"/>
  <c r="AQ1362" i="2"/>
  <c r="AN1362" i="2"/>
  <c r="AM1362" i="2"/>
  <c r="AI1362" i="2"/>
  <c r="Y1362" i="2"/>
  <c r="V1362" i="2" a="1"/>
  <c r="V1362" i="2" s="1"/>
  <c r="M1362" i="2" a="1"/>
  <c r="M1362" i="2" s="1"/>
  <c r="I1362" i="2" a="1"/>
  <c r="I1362" i="2" s="1"/>
  <c r="AN1361" i="2"/>
  <c r="AM1361" i="2"/>
  <c r="AI1361" i="2"/>
  <c r="Y1361" i="2"/>
  <c r="V1361" i="2" a="1"/>
  <c r="V1361" i="2" s="1"/>
  <c r="AQ1361" i="2" s="1"/>
  <c r="M1361" i="2" a="1"/>
  <c r="M1361" i="2" s="1"/>
  <c r="I1361" i="2" a="1"/>
  <c r="I1361" i="2"/>
  <c r="AN1360" i="2"/>
  <c r="AM1360" i="2"/>
  <c r="AI1360" i="2"/>
  <c r="Y1360" i="2"/>
  <c r="V1360" i="2" a="1"/>
  <c r="V1360" i="2" s="1"/>
  <c r="AQ1360" i="2" s="1"/>
  <c r="M1360" i="2" a="1"/>
  <c r="M1360" i="2"/>
  <c r="I1360" i="2" a="1"/>
  <c r="I1360" i="2" s="1"/>
  <c r="AQ1359" i="2"/>
  <c r="AN1359" i="2"/>
  <c r="AM1359" i="2"/>
  <c r="AI1359" i="2"/>
  <c r="Y1359" i="2"/>
  <c r="V1359" i="2" a="1"/>
  <c r="V1359" i="2"/>
  <c r="M1359" i="2" a="1"/>
  <c r="M1359" i="2" s="1"/>
  <c r="AP1359" i="2" s="1"/>
  <c r="I1359" i="2" a="1"/>
  <c r="I1359" i="2" s="1"/>
  <c r="AQ1358" i="2"/>
  <c r="AN1358" i="2"/>
  <c r="AM1358" i="2"/>
  <c r="AI1358" i="2"/>
  <c r="Y1358" i="2"/>
  <c r="V1358" i="2" a="1"/>
  <c r="V1358" i="2" s="1"/>
  <c r="M1358" i="2" a="1"/>
  <c r="M1358" i="2" s="1"/>
  <c r="I1358" i="2" a="1"/>
  <c r="I1358" i="2" s="1"/>
  <c r="AN1357" i="2"/>
  <c r="AM1357" i="2"/>
  <c r="AI1357" i="2"/>
  <c r="Y1357" i="2"/>
  <c r="V1357" i="2" a="1"/>
  <c r="V1357" i="2" s="1"/>
  <c r="M1357" i="2" a="1"/>
  <c r="M1357" i="2" s="1"/>
  <c r="I1357" i="2" a="1"/>
  <c r="I1357" i="2"/>
  <c r="AN1356" i="2"/>
  <c r="AM1356" i="2"/>
  <c r="AI1356" i="2"/>
  <c r="Y1356" i="2"/>
  <c r="V1356" i="2" a="1"/>
  <c r="V1356" i="2" s="1"/>
  <c r="AQ1356" i="2" s="1"/>
  <c r="M1356" i="2" a="1"/>
  <c r="M1356" i="2"/>
  <c r="I1356" i="2" a="1"/>
  <c r="I1356" i="2" s="1"/>
  <c r="AN1355" i="2"/>
  <c r="AM1355" i="2"/>
  <c r="AI1355" i="2"/>
  <c r="Y1355" i="2"/>
  <c r="V1355" i="2" a="1"/>
  <c r="V1355" i="2"/>
  <c r="AQ1355" i="2" s="1"/>
  <c r="M1355" i="2" a="1"/>
  <c r="M1355" i="2" s="1"/>
  <c r="I1355" i="2" a="1"/>
  <c r="I1355" i="2" s="1"/>
  <c r="AQ1354" i="2"/>
  <c r="AN1354" i="2"/>
  <c r="AM1354" i="2"/>
  <c r="AI1354" i="2"/>
  <c r="Y1354" i="2"/>
  <c r="V1354" i="2" a="1"/>
  <c r="V1354" i="2" s="1"/>
  <c r="M1354" i="2" a="1"/>
  <c r="M1354" i="2" s="1"/>
  <c r="I1354" i="2" a="1"/>
  <c r="I1354" i="2" s="1"/>
  <c r="AN1353" i="2"/>
  <c r="AM1353" i="2"/>
  <c r="AI1353" i="2"/>
  <c r="Y1353" i="2"/>
  <c r="V1353" i="2" a="1"/>
  <c r="V1353" i="2" s="1"/>
  <c r="AQ1353" i="2" s="1"/>
  <c r="M1353" i="2" a="1"/>
  <c r="M1353" i="2" s="1"/>
  <c r="I1353" i="2" a="1"/>
  <c r="I1353" i="2"/>
  <c r="AN1352" i="2"/>
  <c r="AM1352" i="2"/>
  <c r="AI1352" i="2"/>
  <c r="Y1352" i="2"/>
  <c r="V1352" i="2" a="1"/>
  <c r="V1352" i="2" s="1"/>
  <c r="AQ1352" i="2" s="1"/>
  <c r="M1352" i="2" a="1"/>
  <c r="M1352" i="2"/>
  <c r="I1352" i="2" a="1"/>
  <c r="I1352" i="2" s="1"/>
  <c r="AQ1351" i="2"/>
  <c r="AN1351" i="2"/>
  <c r="AM1351" i="2"/>
  <c r="AI1351" i="2"/>
  <c r="Y1351" i="2"/>
  <c r="V1351" i="2" a="1"/>
  <c r="V1351" i="2"/>
  <c r="M1351" i="2" a="1"/>
  <c r="M1351" i="2" s="1"/>
  <c r="AP1351" i="2" s="1"/>
  <c r="I1351" i="2" a="1"/>
  <c r="I1351" i="2" s="1"/>
  <c r="AQ1350" i="2"/>
  <c r="AN1350" i="2"/>
  <c r="AM1350" i="2"/>
  <c r="AI1350" i="2"/>
  <c r="Y1350" i="2"/>
  <c r="V1350" i="2" a="1"/>
  <c r="V1350" i="2" s="1"/>
  <c r="M1350" i="2" a="1"/>
  <c r="M1350" i="2" s="1"/>
  <c r="I1350" i="2" a="1"/>
  <c r="I1350" i="2" s="1"/>
  <c r="AN1349" i="2"/>
  <c r="AM1349" i="2"/>
  <c r="AI1349" i="2"/>
  <c r="Y1349" i="2"/>
  <c r="V1349" i="2" a="1"/>
  <c r="V1349" i="2" s="1"/>
  <c r="M1349" i="2" a="1"/>
  <c r="M1349" i="2" s="1"/>
  <c r="I1349" i="2" a="1"/>
  <c r="I1349" i="2"/>
  <c r="AN1348" i="2"/>
  <c r="AM1348" i="2"/>
  <c r="AI1348" i="2"/>
  <c r="Y1348" i="2"/>
  <c r="V1348" i="2" a="1"/>
  <c r="V1348" i="2" s="1"/>
  <c r="AQ1348" i="2" s="1"/>
  <c r="M1348" i="2" a="1"/>
  <c r="M1348" i="2"/>
  <c r="I1348" i="2" a="1"/>
  <c r="I1348" i="2" s="1"/>
  <c r="AN1347" i="2"/>
  <c r="AM1347" i="2"/>
  <c r="AI1347" i="2"/>
  <c r="Y1347" i="2"/>
  <c r="V1347" i="2" a="1"/>
  <c r="V1347" i="2"/>
  <c r="AQ1347" i="2" s="1"/>
  <c r="M1347" i="2" a="1"/>
  <c r="M1347" i="2" s="1"/>
  <c r="I1347" i="2" a="1"/>
  <c r="I1347" i="2" s="1"/>
  <c r="AQ1346" i="2"/>
  <c r="AN1346" i="2"/>
  <c r="AM1346" i="2"/>
  <c r="AI1346" i="2"/>
  <c r="Y1346" i="2"/>
  <c r="V1346" i="2" a="1"/>
  <c r="V1346" i="2" s="1"/>
  <c r="M1346" i="2" a="1"/>
  <c r="M1346" i="2" s="1"/>
  <c r="I1346" i="2" a="1"/>
  <c r="I1346" i="2" s="1"/>
  <c r="AN1345" i="2"/>
  <c r="AM1345" i="2"/>
  <c r="AI1345" i="2"/>
  <c r="Y1345" i="2"/>
  <c r="V1345" i="2" a="1"/>
  <c r="V1345" i="2" s="1"/>
  <c r="AQ1345" i="2" s="1"/>
  <c r="M1345" i="2" a="1"/>
  <c r="M1345" i="2" s="1"/>
  <c r="I1345" i="2" a="1"/>
  <c r="I1345" i="2"/>
  <c r="AN1344" i="2"/>
  <c r="AM1344" i="2"/>
  <c r="AI1344" i="2"/>
  <c r="Y1344" i="2"/>
  <c r="V1344" i="2" a="1"/>
  <c r="V1344" i="2" s="1"/>
  <c r="AQ1344" i="2" s="1"/>
  <c r="M1344" i="2" a="1"/>
  <c r="M1344" i="2"/>
  <c r="I1344" i="2" a="1"/>
  <c r="I1344" i="2" s="1"/>
  <c r="AQ1343" i="2"/>
  <c r="AN1343" i="2"/>
  <c r="AM1343" i="2"/>
  <c r="AI1343" i="2"/>
  <c r="Y1343" i="2"/>
  <c r="V1343" i="2" a="1"/>
  <c r="V1343" i="2"/>
  <c r="M1343" i="2" a="1"/>
  <c r="M1343" i="2" s="1"/>
  <c r="AP1343" i="2" s="1"/>
  <c r="I1343" i="2" a="1"/>
  <c r="I1343" i="2" s="1"/>
  <c r="AQ1342" i="2"/>
  <c r="AN1342" i="2"/>
  <c r="AM1342" i="2"/>
  <c r="AI1342" i="2"/>
  <c r="Y1342" i="2"/>
  <c r="V1342" i="2" a="1"/>
  <c r="V1342" i="2" s="1"/>
  <c r="M1342" i="2" a="1"/>
  <c r="M1342" i="2" s="1"/>
  <c r="I1342" i="2" a="1"/>
  <c r="I1342" i="2" s="1"/>
  <c r="AN1341" i="2"/>
  <c r="AM1341" i="2"/>
  <c r="AI1341" i="2"/>
  <c r="Y1341" i="2"/>
  <c r="V1341" i="2" a="1"/>
  <c r="V1341" i="2" s="1"/>
  <c r="M1341" i="2" a="1"/>
  <c r="M1341" i="2" s="1"/>
  <c r="I1341" i="2" a="1"/>
  <c r="I1341" i="2"/>
  <c r="AN1340" i="2"/>
  <c r="AM1340" i="2"/>
  <c r="AI1340" i="2"/>
  <c r="Y1340" i="2"/>
  <c r="V1340" i="2" a="1"/>
  <c r="V1340" i="2" s="1"/>
  <c r="AQ1340" i="2" s="1"/>
  <c r="M1340" i="2" a="1"/>
  <c r="M1340" i="2"/>
  <c r="I1340" i="2" a="1"/>
  <c r="I1340" i="2" s="1"/>
  <c r="AN1339" i="2"/>
  <c r="AM1339" i="2"/>
  <c r="AI1339" i="2"/>
  <c r="Y1339" i="2"/>
  <c r="V1339" i="2" a="1"/>
  <c r="V1339" i="2"/>
  <c r="AQ1339" i="2" s="1"/>
  <c r="M1339" i="2" a="1"/>
  <c r="M1339" i="2" s="1"/>
  <c r="I1339" i="2" a="1"/>
  <c r="I1339" i="2" s="1"/>
  <c r="AQ1338" i="2"/>
  <c r="AN1338" i="2"/>
  <c r="AM1338" i="2"/>
  <c r="AI1338" i="2"/>
  <c r="Y1338" i="2"/>
  <c r="V1338" i="2" a="1"/>
  <c r="V1338" i="2" s="1"/>
  <c r="M1338" i="2" a="1"/>
  <c r="M1338" i="2" s="1"/>
  <c r="I1338" i="2" a="1"/>
  <c r="I1338" i="2" s="1"/>
  <c r="AN1337" i="2"/>
  <c r="AM1337" i="2"/>
  <c r="AI1337" i="2"/>
  <c r="Y1337" i="2"/>
  <c r="V1337" i="2" a="1"/>
  <c r="V1337" i="2" s="1"/>
  <c r="AQ1337" i="2" s="1"/>
  <c r="M1337" i="2" a="1"/>
  <c r="M1337" i="2" s="1"/>
  <c r="I1337" i="2" a="1"/>
  <c r="I1337" i="2"/>
  <c r="AN1336" i="2"/>
  <c r="AM1336" i="2"/>
  <c r="AI1336" i="2"/>
  <c r="Y1336" i="2"/>
  <c r="V1336" i="2" a="1"/>
  <c r="V1336" i="2" s="1"/>
  <c r="AQ1336" i="2" s="1"/>
  <c r="M1336" i="2" a="1"/>
  <c r="M1336" i="2"/>
  <c r="I1336" i="2" a="1"/>
  <c r="I1336" i="2" s="1"/>
  <c r="AQ1335" i="2"/>
  <c r="AN1335" i="2"/>
  <c r="AM1335" i="2"/>
  <c r="AI1335" i="2"/>
  <c r="Y1335" i="2"/>
  <c r="V1335" i="2" a="1"/>
  <c r="V1335" i="2"/>
  <c r="AP1335" i="2" s="1"/>
  <c r="M1335" i="2" a="1"/>
  <c r="M1335" i="2" s="1"/>
  <c r="I1335" i="2" a="1"/>
  <c r="I1335" i="2" s="1"/>
  <c r="AQ1334" i="2"/>
  <c r="AN1334" i="2"/>
  <c r="AM1334" i="2"/>
  <c r="AI1334" i="2"/>
  <c r="Y1334" i="2"/>
  <c r="V1334" i="2" a="1"/>
  <c r="V1334" i="2" s="1"/>
  <c r="M1334" i="2" a="1"/>
  <c r="M1334" i="2" s="1"/>
  <c r="I1334" i="2" a="1"/>
  <c r="I1334" i="2" s="1"/>
  <c r="AN1333" i="2"/>
  <c r="AM1333" i="2"/>
  <c r="AI1333" i="2"/>
  <c r="Y1333" i="2"/>
  <c r="V1333" i="2" a="1"/>
  <c r="V1333" i="2" s="1"/>
  <c r="M1333" i="2" a="1"/>
  <c r="M1333" i="2" s="1"/>
  <c r="I1333" i="2" a="1"/>
  <c r="I1333" i="2"/>
  <c r="AN1332" i="2"/>
  <c r="AM1332" i="2"/>
  <c r="AI1332" i="2"/>
  <c r="Y1332" i="2"/>
  <c r="V1332" i="2" a="1"/>
  <c r="V1332" i="2" s="1"/>
  <c r="AQ1332" i="2" s="1"/>
  <c r="M1332" i="2" a="1"/>
  <c r="M1332" i="2"/>
  <c r="I1332" i="2" a="1"/>
  <c r="I1332" i="2" s="1"/>
  <c r="AN1331" i="2"/>
  <c r="AM1331" i="2"/>
  <c r="AI1331" i="2"/>
  <c r="Y1331" i="2"/>
  <c r="V1331" i="2" a="1"/>
  <c r="V1331" i="2"/>
  <c r="AQ1331" i="2" s="1"/>
  <c r="M1331" i="2" a="1"/>
  <c r="M1331" i="2" s="1"/>
  <c r="I1331" i="2" a="1"/>
  <c r="I1331" i="2" s="1"/>
  <c r="AQ1330" i="2"/>
  <c r="AN1330" i="2"/>
  <c r="AM1330" i="2"/>
  <c r="AI1330" i="2"/>
  <c r="Y1330" i="2"/>
  <c r="V1330" i="2" a="1"/>
  <c r="V1330" i="2" s="1"/>
  <c r="M1330" i="2" a="1"/>
  <c r="M1330" i="2" s="1"/>
  <c r="I1330" i="2" a="1"/>
  <c r="I1330" i="2" s="1"/>
  <c r="AN1329" i="2"/>
  <c r="AM1329" i="2"/>
  <c r="AI1329" i="2"/>
  <c r="Y1329" i="2"/>
  <c r="V1329" i="2" a="1"/>
  <c r="V1329" i="2" s="1"/>
  <c r="AQ1329" i="2" s="1"/>
  <c r="M1329" i="2" a="1"/>
  <c r="M1329" i="2" s="1"/>
  <c r="I1329" i="2" a="1"/>
  <c r="I1329" i="2"/>
  <c r="AN1328" i="2"/>
  <c r="AM1328" i="2"/>
  <c r="AI1328" i="2"/>
  <c r="Y1328" i="2"/>
  <c r="V1328" i="2" a="1"/>
  <c r="V1328" i="2" s="1"/>
  <c r="AQ1328" i="2" s="1"/>
  <c r="M1328" i="2" a="1"/>
  <c r="M1328" i="2"/>
  <c r="I1328" i="2" a="1"/>
  <c r="I1328" i="2" s="1"/>
  <c r="AQ1327" i="2"/>
  <c r="AN1327" i="2"/>
  <c r="AM1327" i="2"/>
  <c r="AI1327" i="2"/>
  <c r="Y1327" i="2"/>
  <c r="V1327" i="2" a="1"/>
  <c r="V1327" i="2"/>
  <c r="AP1327" i="2" s="1"/>
  <c r="M1327" i="2" a="1"/>
  <c r="M1327" i="2" s="1"/>
  <c r="I1327" i="2" a="1"/>
  <c r="I1327" i="2" s="1"/>
  <c r="AQ1326" i="2"/>
  <c r="AN1326" i="2"/>
  <c r="AM1326" i="2"/>
  <c r="AI1326" i="2"/>
  <c r="Y1326" i="2"/>
  <c r="V1326" i="2" a="1"/>
  <c r="V1326" i="2" s="1"/>
  <c r="M1326" i="2" a="1"/>
  <c r="M1326" i="2" s="1"/>
  <c r="I1326" i="2" a="1"/>
  <c r="I1326" i="2" s="1"/>
  <c r="AN1325" i="2"/>
  <c r="AM1325" i="2"/>
  <c r="AI1325" i="2"/>
  <c r="Y1325" i="2"/>
  <c r="V1325" i="2" a="1"/>
  <c r="V1325" i="2" s="1"/>
  <c r="M1325" i="2" a="1"/>
  <c r="M1325" i="2" s="1"/>
  <c r="I1325" i="2" a="1"/>
  <c r="I1325" i="2"/>
  <c r="AN1324" i="2"/>
  <c r="AM1324" i="2"/>
  <c r="AI1324" i="2"/>
  <c r="Y1324" i="2"/>
  <c r="V1324" i="2" a="1"/>
  <c r="V1324" i="2" s="1"/>
  <c r="AQ1324" i="2" s="1"/>
  <c r="M1324" i="2" a="1"/>
  <c r="M1324" i="2"/>
  <c r="I1324" i="2" a="1"/>
  <c r="I1324" i="2" s="1"/>
  <c r="AN1323" i="2"/>
  <c r="AM1323" i="2"/>
  <c r="AI1323" i="2"/>
  <c r="Y1323" i="2"/>
  <c r="V1323" i="2" a="1"/>
  <c r="V1323" i="2"/>
  <c r="AQ1323" i="2" s="1"/>
  <c r="M1323" i="2" a="1"/>
  <c r="M1323" i="2" s="1"/>
  <c r="I1323" i="2" a="1"/>
  <c r="I1323" i="2" s="1"/>
  <c r="AQ1322" i="2"/>
  <c r="AN1322" i="2"/>
  <c r="AM1322" i="2"/>
  <c r="AI1322" i="2"/>
  <c r="Y1322" i="2"/>
  <c r="V1322" i="2" a="1"/>
  <c r="V1322" i="2" s="1"/>
  <c r="M1322" i="2" a="1"/>
  <c r="M1322" i="2" s="1"/>
  <c r="I1322" i="2" a="1"/>
  <c r="I1322" i="2" s="1"/>
  <c r="AN1321" i="2"/>
  <c r="AM1321" i="2"/>
  <c r="AI1321" i="2"/>
  <c r="Y1321" i="2"/>
  <c r="V1321" i="2" a="1"/>
  <c r="V1321" i="2" s="1"/>
  <c r="AQ1321" i="2" s="1"/>
  <c r="M1321" i="2" a="1"/>
  <c r="M1321" i="2" s="1"/>
  <c r="I1321" i="2" a="1"/>
  <c r="I1321" i="2"/>
  <c r="AN1320" i="2"/>
  <c r="AM1320" i="2"/>
  <c r="AI1320" i="2"/>
  <c r="Y1320" i="2"/>
  <c r="V1320" i="2" a="1"/>
  <c r="V1320" i="2" s="1"/>
  <c r="AQ1320" i="2" s="1"/>
  <c r="M1320" i="2" a="1"/>
  <c r="M1320" i="2"/>
  <c r="I1320" i="2" a="1"/>
  <c r="I1320" i="2" s="1"/>
  <c r="AQ1319" i="2"/>
  <c r="AN1319" i="2"/>
  <c r="AM1319" i="2"/>
  <c r="AI1319" i="2"/>
  <c r="Y1319" i="2"/>
  <c r="V1319" i="2" a="1"/>
  <c r="V1319" i="2"/>
  <c r="AP1319" i="2" s="1"/>
  <c r="M1319" i="2" a="1"/>
  <c r="M1319" i="2" s="1"/>
  <c r="I1319" i="2" a="1"/>
  <c r="I1319" i="2" s="1"/>
  <c r="AQ1318" i="2"/>
  <c r="AN1318" i="2"/>
  <c r="AM1318" i="2"/>
  <c r="AI1318" i="2"/>
  <c r="Y1318" i="2"/>
  <c r="V1318" i="2" a="1"/>
  <c r="V1318" i="2" s="1"/>
  <c r="M1318" i="2" a="1"/>
  <c r="M1318" i="2" s="1"/>
  <c r="I1318" i="2" a="1"/>
  <c r="I1318" i="2" s="1"/>
  <c r="AN1317" i="2"/>
  <c r="AM1317" i="2"/>
  <c r="AI1317" i="2"/>
  <c r="Y1317" i="2"/>
  <c r="V1317" i="2" a="1"/>
  <c r="V1317" i="2" s="1"/>
  <c r="M1317" i="2" a="1"/>
  <c r="M1317" i="2" s="1"/>
  <c r="I1317" i="2" a="1"/>
  <c r="I1317" i="2"/>
  <c r="AN1316" i="2"/>
  <c r="AM1316" i="2"/>
  <c r="AI1316" i="2"/>
  <c r="Y1316" i="2"/>
  <c r="V1316" i="2" a="1"/>
  <c r="V1316" i="2" s="1"/>
  <c r="AQ1316" i="2" s="1"/>
  <c r="M1316" i="2" a="1"/>
  <c r="M1316" i="2"/>
  <c r="I1316" i="2" a="1"/>
  <c r="I1316" i="2" s="1"/>
  <c r="AN1315" i="2"/>
  <c r="AM1315" i="2"/>
  <c r="AI1315" i="2"/>
  <c r="Y1315" i="2"/>
  <c r="V1315" i="2" a="1"/>
  <c r="V1315" i="2"/>
  <c r="AQ1315" i="2" s="1"/>
  <c r="M1315" i="2" a="1"/>
  <c r="M1315" i="2" s="1"/>
  <c r="I1315" i="2" a="1"/>
  <c r="I1315" i="2" s="1"/>
  <c r="AQ1314" i="2"/>
  <c r="AN1314" i="2"/>
  <c r="AM1314" i="2"/>
  <c r="AI1314" i="2"/>
  <c r="Y1314" i="2"/>
  <c r="V1314" i="2" a="1"/>
  <c r="V1314" i="2" s="1"/>
  <c r="M1314" i="2" a="1"/>
  <c r="M1314" i="2" s="1"/>
  <c r="I1314" i="2" a="1"/>
  <c r="I1314" i="2" s="1"/>
  <c r="AN1313" i="2"/>
  <c r="AM1313" i="2"/>
  <c r="AI1313" i="2"/>
  <c r="Y1313" i="2"/>
  <c r="V1313" i="2" a="1"/>
  <c r="V1313" i="2" s="1"/>
  <c r="AQ1313" i="2" s="1"/>
  <c r="M1313" i="2" a="1"/>
  <c r="M1313" i="2" s="1"/>
  <c r="I1313" i="2" a="1"/>
  <c r="I1313" i="2"/>
  <c r="AN1312" i="2"/>
  <c r="AM1312" i="2"/>
  <c r="AI1312" i="2"/>
  <c r="Y1312" i="2"/>
  <c r="V1312" i="2" a="1"/>
  <c r="V1312" i="2" s="1"/>
  <c r="AQ1312" i="2" s="1"/>
  <c r="M1312" i="2" a="1"/>
  <c r="M1312" i="2"/>
  <c r="I1312" i="2" a="1"/>
  <c r="I1312" i="2" s="1"/>
  <c r="AQ1311" i="2"/>
  <c r="AN1311" i="2"/>
  <c r="AM1311" i="2"/>
  <c r="AI1311" i="2"/>
  <c r="Y1311" i="2"/>
  <c r="V1311" i="2" a="1"/>
  <c r="V1311" i="2"/>
  <c r="AP1311" i="2" s="1"/>
  <c r="M1311" i="2" a="1"/>
  <c r="M1311" i="2" s="1"/>
  <c r="I1311" i="2" a="1"/>
  <c r="I1311" i="2" s="1"/>
  <c r="AQ1310" i="2"/>
  <c r="AN1310" i="2"/>
  <c r="AM1310" i="2"/>
  <c r="AI1310" i="2"/>
  <c r="Y1310" i="2"/>
  <c r="V1310" i="2" a="1"/>
  <c r="V1310" i="2" s="1"/>
  <c r="M1310" i="2" a="1"/>
  <c r="M1310" i="2" s="1"/>
  <c r="I1310" i="2" a="1"/>
  <c r="I1310" i="2" s="1"/>
  <c r="AN1309" i="2"/>
  <c r="AM1309" i="2"/>
  <c r="AI1309" i="2"/>
  <c r="Y1309" i="2"/>
  <c r="V1309" i="2" a="1"/>
  <c r="V1309" i="2" s="1"/>
  <c r="M1309" i="2" a="1"/>
  <c r="M1309" i="2" s="1"/>
  <c r="I1309" i="2" a="1"/>
  <c r="I1309" i="2"/>
  <c r="AN1308" i="2"/>
  <c r="AM1308" i="2"/>
  <c r="AI1308" i="2"/>
  <c r="Y1308" i="2"/>
  <c r="V1308" i="2" a="1"/>
  <c r="V1308" i="2" s="1"/>
  <c r="AQ1308" i="2" s="1"/>
  <c r="M1308" i="2" a="1"/>
  <c r="M1308" i="2"/>
  <c r="I1308" i="2" a="1"/>
  <c r="I1308" i="2" s="1"/>
  <c r="AN1307" i="2"/>
  <c r="AM1307" i="2"/>
  <c r="AI1307" i="2"/>
  <c r="Y1307" i="2"/>
  <c r="V1307" i="2" a="1"/>
  <c r="V1307" i="2"/>
  <c r="AQ1307" i="2" s="1"/>
  <c r="M1307" i="2" a="1"/>
  <c r="M1307" i="2" s="1"/>
  <c r="I1307" i="2" a="1"/>
  <c r="I1307" i="2" s="1"/>
  <c r="AQ1306" i="2"/>
  <c r="AN1306" i="2"/>
  <c r="AM1306" i="2"/>
  <c r="AI1306" i="2"/>
  <c r="Y1306" i="2"/>
  <c r="V1306" i="2" a="1"/>
  <c r="V1306" i="2" s="1"/>
  <c r="M1306" i="2" a="1"/>
  <c r="M1306" i="2" s="1"/>
  <c r="I1306" i="2" a="1"/>
  <c r="I1306" i="2" s="1"/>
  <c r="AN1305" i="2"/>
  <c r="AM1305" i="2"/>
  <c r="AI1305" i="2"/>
  <c r="Y1305" i="2"/>
  <c r="V1305" i="2" a="1"/>
  <c r="V1305" i="2" s="1"/>
  <c r="AQ1305" i="2" s="1"/>
  <c r="M1305" i="2" a="1"/>
  <c r="M1305" i="2" s="1"/>
  <c r="I1305" i="2" a="1"/>
  <c r="I1305" i="2"/>
  <c r="AN1304" i="2"/>
  <c r="AM1304" i="2"/>
  <c r="AI1304" i="2"/>
  <c r="Y1304" i="2"/>
  <c r="V1304" i="2" a="1"/>
  <c r="V1304" i="2" s="1"/>
  <c r="AQ1304" i="2" s="1"/>
  <c r="M1304" i="2" a="1"/>
  <c r="M1304" i="2"/>
  <c r="I1304" i="2" a="1"/>
  <c r="I1304" i="2" s="1"/>
  <c r="AQ1303" i="2"/>
  <c r="AN1303" i="2"/>
  <c r="AM1303" i="2"/>
  <c r="AI1303" i="2"/>
  <c r="Y1303" i="2"/>
  <c r="V1303" i="2" a="1"/>
  <c r="V1303" i="2"/>
  <c r="AP1303" i="2" s="1"/>
  <c r="M1303" i="2" a="1"/>
  <c r="M1303" i="2" s="1"/>
  <c r="I1303" i="2" a="1"/>
  <c r="I1303" i="2" s="1"/>
  <c r="AQ1302" i="2"/>
  <c r="AN1302" i="2"/>
  <c r="AM1302" i="2"/>
  <c r="AI1302" i="2"/>
  <c r="Y1302" i="2"/>
  <c r="V1302" i="2" a="1"/>
  <c r="V1302" i="2" s="1"/>
  <c r="M1302" i="2" a="1"/>
  <c r="M1302" i="2" s="1"/>
  <c r="I1302" i="2" a="1"/>
  <c r="I1302" i="2" s="1"/>
  <c r="AN1301" i="2"/>
  <c r="AM1301" i="2"/>
  <c r="AI1301" i="2"/>
  <c r="Y1301" i="2"/>
  <c r="V1301" i="2" a="1"/>
  <c r="V1301" i="2" s="1"/>
  <c r="M1301" i="2" a="1"/>
  <c r="M1301" i="2" s="1"/>
  <c r="I1301" i="2" a="1"/>
  <c r="I1301" i="2"/>
  <c r="AN1300" i="2"/>
  <c r="AM1300" i="2"/>
  <c r="AI1300" i="2"/>
  <c r="Y1300" i="2"/>
  <c r="V1300" i="2" a="1"/>
  <c r="V1300" i="2" s="1"/>
  <c r="AQ1300" i="2" s="1"/>
  <c r="M1300" i="2" a="1"/>
  <c r="M1300" i="2"/>
  <c r="I1300" i="2" a="1"/>
  <c r="I1300" i="2" s="1"/>
  <c r="AN1299" i="2"/>
  <c r="AM1299" i="2"/>
  <c r="AI1299" i="2"/>
  <c r="Y1299" i="2"/>
  <c r="V1299" i="2" a="1"/>
  <c r="V1299" i="2"/>
  <c r="AQ1299" i="2" s="1"/>
  <c r="M1299" i="2" a="1"/>
  <c r="M1299" i="2" s="1"/>
  <c r="I1299" i="2" a="1"/>
  <c r="I1299" i="2" s="1"/>
  <c r="AQ1298" i="2"/>
  <c r="AN1298" i="2"/>
  <c r="AM1298" i="2"/>
  <c r="AI1298" i="2"/>
  <c r="Y1298" i="2"/>
  <c r="V1298" i="2" a="1"/>
  <c r="V1298" i="2" s="1"/>
  <c r="M1298" i="2" a="1"/>
  <c r="M1298" i="2" s="1"/>
  <c r="I1298" i="2" a="1"/>
  <c r="I1298" i="2" s="1"/>
  <c r="AN1297" i="2"/>
  <c r="AM1297" i="2"/>
  <c r="AI1297" i="2"/>
  <c r="Y1297" i="2"/>
  <c r="V1297" i="2" a="1"/>
  <c r="V1297" i="2" s="1"/>
  <c r="AQ1297" i="2" s="1"/>
  <c r="M1297" i="2" a="1"/>
  <c r="M1297" i="2" s="1"/>
  <c r="I1297" i="2" a="1"/>
  <c r="I1297" i="2"/>
  <c r="AN1296" i="2"/>
  <c r="AM1296" i="2"/>
  <c r="AI1296" i="2"/>
  <c r="Y1296" i="2"/>
  <c r="V1296" i="2" a="1"/>
  <c r="V1296" i="2" s="1"/>
  <c r="AQ1296" i="2" s="1"/>
  <c r="M1296" i="2" a="1"/>
  <c r="M1296" i="2"/>
  <c r="I1296" i="2" a="1"/>
  <c r="I1296" i="2" s="1"/>
  <c r="AQ1295" i="2"/>
  <c r="AN1295" i="2"/>
  <c r="AM1295" i="2"/>
  <c r="AI1295" i="2"/>
  <c r="Y1295" i="2"/>
  <c r="V1295" i="2" a="1"/>
  <c r="V1295" i="2"/>
  <c r="AP1295" i="2" s="1"/>
  <c r="M1295" i="2" a="1"/>
  <c r="M1295" i="2" s="1"/>
  <c r="I1295" i="2" a="1"/>
  <c r="I1295" i="2" s="1"/>
  <c r="AQ1294" i="2"/>
  <c r="AN1294" i="2"/>
  <c r="AM1294" i="2"/>
  <c r="AI1294" i="2"/>
  <c r="Y1294" i="2"/>
  <c r="V1294" i="2" a="1"/>
  <c r="V1294" i="2" s="1"/>
  <c r="M1294" i="2" a="1"/>
  <c r="M1294" i="2" s="1"/>
  <c r="I1294" i="2" a="1"/>
  <c r="I1294" i="2" s="1"/>
  <c r="AN1293" i="2"/>
  <c r="AM1293" i="2"/>
  <c r="AI1293" i="2"/>
  <c r="Y1293" i="2"/>
  <c r="V1293" i="2" a="1"/>
  <c r="V1293" i="2" s="1"/>
  <c r="M1293" i="2" a="1"/>
  <c r="M1293" i="2" s="1"/>
  <c r="I1293" i="2" a="1"/>
  <c r="I1293" i="2"/>
  <c r="AN1292" i="2"/>
  <c r="AM1292" i="2"/>
  <c r="AI1292" i="2"/>
  <c r="Y1292" i="2"/>
  <c r="V1292" i="2" a="1"/>
  <c r="V1292" i="2" s="1"/>
  <c r="AQ1292" i="2" s="1"/>
  <c r="M1292" i="2" a="1"/>
  <c r="M1292" i="2"/>
  <c r="I1292" i="2" a="1"/>
  <c r="I1292" i="2" s="1"/>
  <c r="AN1291" i="2"/>
  <c r="AM1291" i="2"/>
  <c r="AI1291" i="2"/>
  <c r="Y1291" i="2"/>
  <c r="V1291" i="2" a="1"/>
  <c r="V1291" i="2"/>
  <c r="AP1291" i="2" s="1"/>
  <c r="M1291" i="2" a="1"/>
  <c r="M1291" i="2" s="1"/>
  <c r="I1291" i="2" a="1"/>
  <c r="I1291" i="2" s="1"/>
  <c r="AQ1290" i="2"/>
  <c r="AN1290" i="2"/>
  <c r="AM1290" i="2"/>
  <c r="AI1290" i="2"/>
  <c r="Y1290" i="2"/>
  <c r="V1290" i="2" a="1"/>
  <c r="V1290" i="2" s="1"/>
  <c r="M1290" i="2" a="1"/>
  <c r="M1290" i="2" s="1"/>
  <c r="I1290" i="2" a="1"/>
  <c r="I1290" i="2" s="1"/>
  <c r="AN1289" i="2"/>
  <c r="AM1289" i="2"/>
  <c r="AI1289" i="2"/>
  <c r="Y1289" i="2"/>
  <c r="V1289" i="2" a="1"/>
  <c r="V1289" i="2" s="1"/>
  <c r="AQ1289" i="2" s="1"/>
  <c r="M1289" i="2" a="1"/>
  <c r="M1289" i="2" s="1"/>
  <c r="I1289" i="2" a="1"/>
  <c r="I1289" i="2"/>
  <c r="AN1288" i="2"/>
  <c r="AM1288" i="2"/>
  <c r="AI1288" i="2"/>
  <c r="Y1288" i="2"/>
  <c r="V1288" i="2" a="1"/>
  <c r="V1288" i="2" s="1"/>
  <c r="AQ1288" i="2" s="1"/>
  <c r="M1288" i="2" a="1"/>
  <c r="M1288" i="2"/>
  <c r="I1288" i="2" a="1"/>
  <c r="I1288" i="2" s="1"/>
  <c r="AN1287" i="2"/>
  <c r="AM1287" i="2"/>
  <c r="AI1287" i="2"/>
  <c r="Y1287" i="2"/>
  <c r="V1287" i="2" a="1"/>
  <c r="V1287" i="2" s="1"/>
  <c r="M1287" i="2" a="1"/>
  <c r="M1287" i="2" s="1"/>
  <c r="I1287" i="2" a="1"/>
  <c r="I1287" i="2" s="1"/>
  <c r="AQ1286" i="2"/>
  <c r="AN1286" i="2"/>
  <c r="AM1286" i="2"/>
  <c r="AI1286" i="2"/>
  <c r="Y1286" i="2"/>
  <c r="V1286" i="2" a="1"/>
  <c r="V1286" i="2" s="1"/>
  <c r="M1286" i="2" a="1"/>
  <c r="M1286" i="2" s="1"/>
  <c r="I1286" i="2" a="1"/>
  <c r="I1286" i="2" s="1"/>
  <c r="AN1285" i="2"/>
  <c r="AM1285" i="2"/>
  <c r="AI1285" i="2"/>
  <c r="Y1285" i="2"/>
  <c r="V1285" i="2" a="1"/>
  <c r="V1285" i="2" s="1"/>
  <c r="M1285" i="2" a="1"/>
  <c r="M1285" i="2" s="1"/>
  <c r="I1285" i="2" a="1"/>
  <c r="I1285" i="2"/>
  <c r="AN1284" i="2"/>
  <c r="AM1284" i="2"/>
  <c r="AI1284" i="2"/>
  <c r="Y1284" i="2"/>
  <c r="V1284" i="2" a="1"/>
  <c r="V1284" i="2" s="1"/>
  <c r="AQ1284" i="2" s="1"/>
  <c r="M1284" i="2" a="1"/>
  <c r="M1284" i="2"/>
  <c r="I1284" i="2" a="1"/>
  <c r="I1284" i="2" s="1"/>
  <c r="AN1283" i="2"/>
  <c r="AM1283" i="2"/>
  <c r="AI1283" i="2"/>
  <c r="Y1283" i="2"/>
  <c r="V1283" i="2" a="1"/>
  <c r="V1283" i="2"/>
  <c r="AQ1283" i="2" s="1"/>
  <c r="M1283" i="2" a="1"/>
  <c r="M1283" i="2" s="1"/>
  <c r="I1283" i="2" a="1"/>
  <c r="I1283" i="2" s="1"/>
  <c r="AQ1282" i="2"/>
  <c r="AN1282" i="2"/>
  <c r="AM1282" i="2"/>
  <c r="AI1282" i="2"/>
  <c r="Y1282" i="2"/>
  <c r="V1282" i="2" a="1"/>
  <c r="V1282" i="2" s="1"/>
  <c r="M1282" i="2" a="1"/>
  <c r="M1282" i="2" s="1"/>
  <c r="I1282" i="2" a="1"/>
  <c r="I1282" i="2" s="1"/>
  <c r="AN1281" i="2"/>
  <c r="AM1281" i="2"/>
  <c r="AI1281" i="2"/>
  <c r="Y1281" i="2"/>
  <c r="V1281" i="2" a="1"/>
  <c r="V1281" i="2" s="1"/>
  <c r="M1281" i="2" a="1"/>
  <c r="M1281" i="2" s="1"/>
  <c r="I1281" i="2" a="1"/>
  <c r="I1281" i="2"/>
  <c r="AN1280" i="2"/>
  <c r="AM1280" i="2"/>
  <c r="AI1280" i="2"/>
  <c r="Y1280" i="2"/>
  <c r="V1280" i="2" a="1"/>
  <c r="V1280" i="2" s="1"/>
  <c r="AQ1280" i="2" s="1"/>
  <c r="M1280" i="2" a="1"/>
  <c r="M1280" i="2"/>
  <c r="I1280" i="2" a="1"/>
  <c r="I1280" i="2" s="1"/>
  <c r="AN1279" i="2"/>
  <c r="AM1279" i="2"/>
  <c r="AI1279" i="2"/>
  <c r="Y1279" i="2"/>
  <c r="V1279" i="2" a="1"/>
  <c r="V1279" i="2"/>
  <c r="AQ1279" i="2" s="1"/>
  <c r="M1279" i="2" a="1"/>
  <c r="M1279" i="2" s="1"/>
  <c r="I1279" i="2" a="1"/>
  <c r="I1279" i="2" s="1"/>
  <c r="AQ1278" i="2"/>
  <c r="AN1278" i="2"/>
  <c r="AM1278" i="2"/>
  <c r="AI1278" i="2"/>
  <c r="Y1278" i="2"/>
  <c r="V1278" i="2" a="1"/>
  <c r="V1278" i="2" s="1"/>
  <c r="M1278" i="2" a="1"/>
  <c r="M1278" i="2" s="1"/>
  <c r="I1278" i="2" a="1"/>
  <c r="I1278" i="2" s="1"/>
  <c r="AN1277" i="2"/>
  <c r="AM1277" i="2"/>
  <c r="AI1277" i="2"/>
  <c r="Y1277" i="2"/>
  <c r="V1277" i="2" a="1"/>
  <c r="V1277" i="2" s="1"/>
  <c r="AQ1277" i="2" s="1"/>
  <c r="M1277" i="2" a="1"/>
  <c r="M1277" i="2" s="1"/>
  <c r="I1277" i="2" a="1"/>
  <c r="I1277" i="2"/>
  <c r="AN1276" i="2"/>
  <c r="AM1276" i="2"/>
  <c r="AI1276" i="2"/>
  <c r="Y1276" i="2"/>
  <c r="V1276" i="2" a="1"/>
  <c r="V1276" i="2" s="1"/>
  <c r="AQ1276" i="2" s="1"/>
  <c r="M1276" i="2" a="1"/>
  <c r="M1276" i="2"/>
  <c r="I1276" i="2" a="1"/>
  <c r="I1276" i="2" s="1"/>
  <c r="AQ1275" i="2"/>
  <c r="AN1275" i="2"/>
  <c r="AM1275" i="2"/>
  <c r="AI1275" i="2"/>
  <c r="Y1275" i="2"/>
  <c r="V1275" i="2" a="1"/>
  <c r="V1275" i="2"/>
  <c r="M1275" i="2" a="1"/>
  <c r="M1275" i="2" s="1"/>
  <c r="I1275" i="2" a="1"/>
  <c r="I1275" i="2" s="1"/>
  <c r="AN1274" i="2"/>
  <c r="AM1274" i="2"/>
  <c r="AI1274" i="2"/>
  <c r="Y1274" i="2"/>
  <c r="V1274" i="2" a="1"/>
  <c r="V1274" i="2" s="1"/>
  <c r="AQ1274" i="2" s="1"/>
  <c r="M1274" i="2" a="1"/>
  <c r="M1274" i="2" s="1"/>
  <c r="I1274" i="2" a="1"/>
  <c r="I1274" i="2" s="1"/>
  <c r="AN1273" i="2"/>
  <c r="AM1273" i="2"/>
  <c r="AI1273" i="2"/>
  <c r="Y1273" i="2"/>
  <c r="V1273" i="2" a="1"/>
  <c r="V1273" i="2" s="1"/>
  <c r="M1273" i="2" a="1"/>
  <c r="M1273" i="2" s="1"/>
  <c r="I1273" i="2" a="1"/>
  <c r="I1273" i="2"/>
  <c r="AN1272" i="2"/>
  <c r="AM1272" i="2"/>
  <c r="AI1272" i="2"/>
  <c r="Y1272" i="2"/>
  <c r="V1272" i="2" a="1"/>
  <c r="V1272" i="2" s="1"/>
  <c r="AQ1272" i="2" s="1"/>
  <c r="M1272" i="2" a="1"/>
  <c r="M1272" i="2"/>
  <c r="I1272" i="2" a="1"/>
  <c r="I1272" i="2" s="1"/>
  <c r="AN1271" i="2"/>
  <c r="AM1271" i="2"/>
  <c r="AI1271" i="2"/>
  <c r="Y1271" i="2"/>
  <c r="V1271" i="2" a="1"/>
  <c r="V1271" i="2"/>
  <c r="AQ1271" i="2" s="1"/>
  <c r="M1271" i="2" a="1"/>
  <c r="M1271" i="2" s="1"/>
  <c r="I1271" i="2" a="1"/>
  <c r="I1271" i="2" s="1"/>
  <c r="AQ1270" i="2"/>
  <c r="AN1270" i="2"/>
  <c r="AM1270" i="2"/>
  <c r="AI1270" i="2"/>
  <c r="Y1270" i="2"/>
  <c r="V1270" i="2" a="1"/>
  <c r="V1270" i="2" s="1"/>
  <c r="M1270" i="2" a="1"/>
  <c r="M1270" i="2" s="1"/>
  <c r="I1270" i="2" a="1"/>
  <c r="I1270" i="2" s="1"/>
  <c r="AN1269" i="2"/>
  <c r="AM1269" i="2"/>
  <c r="AI1269" i="2"/>
  <c r="Y1269" i="2"/>
  <c r="V1269" i="2" a="1"/>
  <c r="V1269" i="2" s="1"/>
  <c r="M1269" i="2" a="1"/>
  <c r="M1269" i="2" s="1"/>
  <c r="I1269" i="2" a="1"/>
  <c r="I1269" i="2"/>
  <c r="AN1268" i="2"/>
  <c r="AM1268" i="2"/>
  <c r="AI1268" i="2"/>
  <c r="Y1268" i="2"/>
  <c r="V1268" i="2" a="1"/>
  <c r="V1268" i="2" s="1"/>
  <c r="AQ1268" i="2" s="1"/>
  <c r="M1268" i="2" a="1"/>
  <c r="M1268" i="2"/>
  <c r="I1268" i="2" a="1"/>
  <c r="I1268" i="2" s="1"/>
  <c r="AN1267" i="2"/>
  <c r="AM1267" i="2"/>
  <c r="AI1267" i="2"/>
  <c r="Y1267" i="2"/>
  <c r="V1267" i="2" a="1"/>
  <c r="V1267" i="2"/>
  <c r="AQ1267" i="2" s="1"/>
  <c r="M1267" i="2" a="1"/>
  <c r="M1267" i="2" s="1"/>
  <c r="I1267" i="2" a="1"/>
  <c r="I1267" i="2" s="1"/>
  <c r="AQ1266" i="2"/>
  <c r="AN1266" i="2"/>
  <c r="AM1266" i="2"/>
  <c r="AI1266" i="2"/>
  <c r="Y1266" i="2"/>
  <c r="V1266" i="2" a="1"/>
  <c r="V1266" i="2" s="1"/>
  <c r="M1266" i="2" a="1"/>
  <c r="M1266" i="2" s="1"/>
  <c r="I1266" i="2" a="1"/>
  <c r="I1266" i="2" s="1"/>
  <c r="AN1265" i="2"/>
  <c r="AM1265" i="2"/>
  <c r="AI1265" i="2"/>
  <c r="Y1265" i="2"/>
  <c r="V1265" i="2" a="1"/>
  <c r="V1265" i="2" s="1"/>
  <c r="AQ1265" i="2" s="1"/>
  <c r="M1265" i="2" a="1"/>
  <c r="M1265" i="2" s="1"/>
  <c r="I1265" i="2" a="1"/>
  <c r="I1265" i="2"/>
  <c r="AN1264" i="2"/>
  <c r="AM1264" i="2"/>
  <c r="AI1264" i="2"/>
  <c r="Y1264" i="2"/>
  <c r="V1264" i="2" a="1"/>
  <c r="V1264" i="2" s="1"/>
  <c r="AQ1264" i="2" s="1"/>
  <c r="M1264" i="2" a="1"/>
  <c r="M1264" i="2"/>
  <c r="I1264" i="2" a="1"/>
  <c r="I1264" i="2" s="1"/>
  <c r="AQ1263" i="2"/>
  <c r="AN1263" i="2"/>
  <c r="AM1263" i="2"/>
  <c r="AI1263" i="2"/>
  <c r="Y1263" i="2"/>
  <c r="V1263" i="2" a="1"/>
  <c r="V1263" i="2"/>
  <c r="AP1263" i="2" s="1"/>
  <c r="M1263" i="2" a="1"/>
  <c r="M1263" i="2" s="1"/>
  <c r="I1263" i="2" a="1"/>
  <c r="I1263" i="2" s="1"/>
  <c r="AQ1262" i="2"/>
  <c r="AN1262" i="2"/>
  <c r="AM1262" i="2"/>
  <c r="AI1262" i="2"/>
  <c r="Y1262" i="2"/>
  <c r="V1262" i="2" a="1"/>
  <c r="V1262" i="2" s="1"/>
  <c r="M1262" i="2" a="1"/>
  <c r="M1262" i="2" s="1"/>
  <c r="I1262" i="2" a="1"/>
  <c r="I1262" i="2" s="1"/>
  <c r="AN1261" i="2"/>
  <c r="AM1261" i="2"/>
  <c r="AI1261" i="2"/>
  <c r="Y1261" i="2"/>
  <c r="V1261" i="2" a="1"/>
  <c r="V1261" i="2" s="1"/>
  <c r="M1261" i="2" a="1"/>
  <c r="M1261" i="2" s="1"/>
  <c r="I1261" i="2" a="1"/>
  <c r="I1261" i="2"/>
  <c r="AN1260" i="2"/>
  <c r="AM1260" i="2"/>
  <c r="AI1260" i="2"/>
  <c r="Y1260" i="2"/>
  <c r="V1260" i="2" a="1"/>
  <c r="V1260" i="2" s="1"/>
  <c r="AQ1260" i="2" s="1"/>
  <c r="M1260" i="2" a="1"/>
  <c r="M1260" i="2"/>
  <c r="I1260" i="2" a="1"/>
  <c r="I1260" i="2" s="1"/>
  <c r="AN1259" i="2"/>
  <c r="AM1259" i="2"/>
  <c r="AI1259" i="2"/>
  <c r="Y1259" i="2"/>
  <c r="V1259" i="2" a="1"/>
  <c r="V1259" i="2"/>
  <c r="AQ1259" i="2" s="1"/>
  <c r="M1259" i="2" a="1"/>
  <c r="M1259" i="2" s="1"/>
  <c r="I1259" i="2" a="1"/>
  <c r="I1259" i="2" s="1"/>
  <c r="AQ1258" i="2"/>
  <c r="AN1258" i="2"/>
  <c r="AM1258" i="2"/>
  <c r="AI1258" i="2"/>
  <c r="Y1258" i="2"/>
  <c r="V1258" i="2" a="1"/>
  <c r="V1258" i="2" s="1"/>
  <c r="M1258" i="2" a="1"/>
  <c r="M1258" i="2" s="1"/>
  <c r="I1258" i="2" a="1"/>
  <c r="I1258" i="2" s="1"/>
  <c r="AN1257" i="2"/>
  <c r="AM1257" i="2"/>
  <c r="AI1257" i="2"/>
  <c r="Y1257" i="2"/>
  <c r="V1257" i="2" a="1"/>
  <c r="V1257" i="2" s="1"/>
  <c r="AQ1257" i="2" s="1"/>
  <c r="M1257" i="2" a="1"/>
  <c r="M1257" i="2" s="1"/>
  <c r="I1257" i="2" a="1"/>
  <c r="I1257" i="2"/>
  <c r="AN1256" i="2"/>
  <c r="AM1256" i="2"/>
  <c r="AI1256" i="2"/>
  <c r="Y1256" i="2"/>
  <c r="V1256" i="2" a="1"/>
  <c r="V1256" i="2" s="1"/>
  <c r="AQ1256" i="2" s="1"/>
  <c r="M1256" i="2" a="1"/>
  <c r="M1256" i="2"/>
  <c r="I1256" i="2" a="1"/>
  <c r="I1256" i="2" s="1"/>
  <c r="AQ1255" i="2"/>
  <c r="AN1255" i="2"/>
  <c r="AM1255" i="2"/>
  <c r="AI1255" i="2"/>
  <c r="Y1255" i="2"/>
  <c r="V1255" i="2" a="1"/>
  <c r="V1255" i="2"/>
  <c r="AP1255" i="2" s="1"/>
  <c r="M1255" i="2" a="1"/>
  <c r="M1255" i="2" s="1"/>
  <c r="I1255" i="2" a="1"/>
  <c r="I1255" i="2" s="1"/>
  <c r="AQ1254" i="2"/>
  <c r="AN1254" i="2"/>
  <c r="AM1254" i="2"/>
  <c r="AI1254" i="2"/>
  <c r="Y1254" i="2"/>
  <c r="V1254" i="2" a="1"/>
  <c r="V1254" i="2" s="1"/>
  <c r="M1254" i="2" a="1"/>
  <c r="M1254" i="2" s="1"/>
  <c r="I1254" i="2" a="1"/>
  <c r="I1254" i="2" s="1"/>
  <c r="AN1253" i="2"/>
  <c r="AM1253" i="2"/>
  <c r="AI1253" i="2"/>
  <c r="Y1253" i="2"/>
  <c r="V1253" i="2" a="1"/>
  <c r="V1253" i="2" s="1"/>
  <c r="M1253" i="2" a="1"/>
  <c r="M1253" i="2" s="1"/>
  <c r="I1253" i="2" a="1"/>
  <c r="I1253" i="2"/>
  <c r="AN1252" i="2"/>
  <c r="AM1252" i="2"/>
  <c r="AI1252" i="2"/>
  <c r="Y1252" i="2"/>
  <c r="V1252" i="2" a="1"/>
  <c r="V1252" i="2" s="1"/>
  <c r="AQ1252" i="2" s="1"/>
  <c r="M1252" i="2" a="1"/>
  <c r="M1252" i="2"/>
  <c r="I1252" i="2" a="1"/>
  <c r="I1252" i="2" s="1"/>
  <c r="AN1251" i="2"/>
  <c r="AM1251" i="2"/>
  <c r="AI1251" i="2"/>
  <c r="Y1251" i="2"/>
  <c r="V1251" i="2" a="1"/>
  <c r="V1251" i="2"/>
  <c r="AQ1251" i="2" s="1"/>
  <c r="M1251" i="2" a="1"/>
  <c r="M1251" i="2" s="1"/>
  <c r="I1251" i="2" a="1"/>
  <c r="I1251" i="2" s="1"/>
  <c r="AQ1250" i="2"/>
  <c r="AN1250" i="2"/>
  <c r="AM1250" i="2"/>
  <c r="AI1250" i="2"/>
  <c r="Y1250" i="2"/>
  <c r="V1250" i="2" a="1"/>
  <c r="V1250" i="2" s="1"/>
  <c r="M1250" i="2" a="1"/>
  <c r="M1250" i="2" s="1"/>
  <c r="I1250" i="2" a="1"/>
  <c r="I1250" i="2" s="1"/>
  <c r="AN1249" i="2"/>
  <c r="AM1249" i="2"/>
  <c r="AI1249" i="2"/>
  <c r="Y1249" i="2"/>
  <c r="V1249" i="2" a="1"/>
  <c r="V1249" i="2" s="1"/>
  <c r="AQ1249" i="2" s="1"/>
  <c r="M1249" i="2" a="1"/>
  <c r="M1249" i="2" s="1"/>
  <c r="I1249" i="2" a="1"/>
  <c r="I1249" i="2"/>
  <c r="AN1248" i="2"/>
  <c r="AM1248" i="2"/>
  <c r="AI1248" i="2"/>
  <c r="Y1248" i="2"/>
  <c r="V1248" i="2" a="1"/>
  <c r="V1248" i="2" s="1"/>
  <c r="AQ1248" i="2" s="1"/>
  <c r="M1248" i="2" a="1"/>
  <c r="M1248" i="2"/>
  <c r="I1248" i="2" a="1"/>
  <c r="I1248" i="2" s="1"/>
  <c r="AQ1247" i="2"/>
  <c r="AN1247" i="2"/>
  <c r="AM1247" i="2"/>
  <c r="AI1247" i="2"/>
  <c r="Y1247" i="2"/>
  <c r="V1247" i="2" a="1"/>
  <c r="V1247" i="2"/>
  <c r="AP1247" i="2" s="1"/>
  <c r="M1247" i="2" a="1"/>
  <c r="M1247" i="2" s="1"/>
  <c r="I1247" i="2" a="1"/>
  <c r="I1247" i="2" s="1"/>
  <c r="AQ1246" i="2"/>
  <c r="AN1246" i="2"/>
  <c r="AM1246" i="2"/>
  <c r="AI1246" i="2"/>
  <c r="Y1246" i="2"/>
  <c r="V1246" i="2" a="1"/>
  <c r="V1246" i="2" s="1"/>
  <c r="M1246" i="2" a="1"/>
  <c r="M1246" i="2" s="1"/>
  <c r="I1246" i="2" a="1"/>
  <c r="I1246" i="2" s="1"/>
  <c r="AN1245" i="2"/>
  <c r="AM1245" i="2"/>
  <c r="AI1245" i="2"/>
  <c r="Y1245" i="2"/>
  <c r="V1245" i="2" a="1"/>
  <c r="V1245" i="2" s="1"/>
  <c r="M1245" i="2" a="1"/>
  <c r="M1245" i="2" s="1"/>
  <c r="I1245" i="2" a="1"/>
  <c r="I1245" i="2"/>
  <c r="AN1244" i="2"/>
  <c r="AM1244" i="2"/>
  <c r="AI1244" i="2"/>
  <c r="Y1244" i="2"/>
  <c r="V1244" i="2" a="1"/>
  <c r="V1244" i="2" s="1"/>
  <c r="AQ1244" i="2" s="1"/>
  <c r="M1244" i="2" a="1"/>
  <c r="M1244" i="2"/>
  <c r="I1244" i="2" a="1"/>
  <c r="I1244" i="2" s="1"/>
  <c r="AN1243" i="2"/>
  <c r="AM1243" i="2"/>
  <c r="AI1243" i="2"/>
  <c r="Y1243" i="2"/>
  <c r="V1243" i="2" a="1"/>
  <c r="V1243" i="2"/>
  <c r="AQ1243" i="2" s="1"/>
  <c r="M1243" i="2" a="1"/>
  <c r="M1243" i="2" s="1"/>
  <c r="I1243" i="2" a="1"/>
  <c r="I1243" i="2" s="1"/>
  <c r="AQ1242" i="2"/>
  <c r="AN1242" i="2"/>
  <c r="AM1242" i="2"/>
  <c r="AI1242" i="2"/>
  <c r="Y1242" i="2"/>
  <c r="V1242" i="2" a="1"/>
  <c r="V1242" i="2" s="1"/>
  <c r="M1242" i="2" a="1"/>
  <c r="M1242" i="2" s="1"/>
  <c r="I1242" i="2" a="1"/>
  <c r="I1242" i="2" s="1"/>
  <c r="AN1241" i="2"/>
  <c r="AM1241" i="2"/>
  <c r="AI1241" i="2"/>
  <c r="Y1241" i="2"/>
  <c r="V1241" i="2" a="1"/>
  <c r="V1241" i="2" s="1"/>
  <c r="AQ1241" i="2" s="1"/>
  <c r="M1241" i="2" a="1"/>
  <c r="M1241" i="2" s="1"/>
  <c r="I1241" i="2" a="1"/>
  <c r="I1241" i="2"/>
  <c r="AN1240" i="2"/>
  <c r="AM1240" i="2"/>
  <c r="AI1240" i="2"/>
  <c r="Y1240" i="2"/>
  <c r="V1240" i="2" a="1"/>
  <c r="V1240" i="2" s="1"/>
  <c r="AQ1240" i="2" s="1"/>
  <c r="M1240" i="2" a="1"/>
  <c r="M1240" i="2"/>
  <c r="I1240" i="2" a="1"/>
  <c r="I1240" i="2" s="1"/>
  <c r="AQ1239" i="2"/>
  <c r="AN1239" i="2"/>
  <c r="AM1239" i="2"/>
  <c r="AI1239" i="2"/>
  <c r="Y1239" i="2"/>
  <c r="V1239" i="2" a="1"/>
  <c r="V1239" i="2"/>
  <c r="AP1239" i="2" s="1"/>
  <c r="M1239" i="2" a="1"/>
  <c r="M1239" i="2" s="1"/>
  <c r="I1239" i="2" a="1"/>
  <c r="I1239" i="2" s="1"/>
  <c r="AQ1238" i="2"/>
  <c r="AN1238" i="2"/>
  <c r="AM1238" i="2"/>
  <c r="AI1238" i="2"/>
  <c r="Y1238" i="2"/>
  <c r="V1238" i="2" a="1"/>
  <c r="V1238" i="2" s="1"/>
  <c r="M1238" i="2" a="1"/>
  <c r="M1238" i="2" s="1"/>
  <c r="I1238" i="2" a="1"/>
  <c r="I1238" i="2" s="1"/>
  <c r="AN1237" i="2"/>
  <c r="AM1237" i="2"/>
  <c r="AI1237" i="2"/>
  <c r="Y1237" i="2"/>
  <c r="V1237" i="2" a="1"/>
  <c r="V1237" i="2" s="1"/>
  <c r="M1237" i="2" a="1"/>
  <c r="M1237" i="2" s="1"/>
  <c r="I1237" i="2" a="1"/>
  <c r="I1237" i="2"/>
  <c r="AN1236" i="2"/>
  <c r="AM1236" i="2"/>
  <c r="AI1236" i="2"/>
  <c r="Y1236" i="2"/>
  <c r="V1236" i="2" a="1"/>
  <c r="V1236" i="2" s="1"/>
  <c r="AQ1236" i="2" s="1"/>
  <c r="M1236" i="2" a="1"/>
  <c r="M1236" i="2"/>
  <c r="I1236" i="2" a="1"/>
  <c r="I1236" i="2" s="1"/>
  <c r="AN1235" i="2"/>
  <c r="AM1235" i="2"/>
  <c r="AI1235" i="2"/>
  <c r="Y1235" i="2"/>
  <c r="V1235" i="2" a="1"/>
  <c r="V1235" i="2"/>
  <c r="AQ1235" i="2" s="1"/>
  <c r="M1235" i="2" a="1"/>
  <c r="M1235" i="2" s="1"/>
  <c r="I1235" i="2" a="1"/>
  <c r="I1235" i="2" s="1"/>
  <c r="AQ1234" i="2"/>
  <c r="AN1234" i="2"/>
  <c r="AM1234" i="2"/>
  <c r="AI1234" i="2"/>
  <c r="Y1234" i="2"/>
  <c r="V1234" i="2" a="1"/>
  <c r="V1234" i="2" s="1"/>
  <c r="M1234" i="2" a="1"/>
  <c r="M1234" i="2" s="1"/>
  <c r="I1234" i="2" a="1"/>
  <c r="I1234" i="2" s="1"/>
  <c r="AN1233" i="2"/>
  <c r="AM1233" i="2"/>
  <c r="AI1233" i="2"/>
  <c r="Y1233" i="2"/>
  <c r="V1233" i="2" a="1"/>
  <c r="V1233" i="2" s="1"/>
  <c r="AQ1233" i="2" s="1"/>
  <c r="M1233" i="2" a="1"/>
  <c r="M1233" i="2" s="1"/>
  <c r="I1233" i="2" a="1"/>
  <c r="I1233" i="2"/>
  <c r="AN1232" i="2"/>
  <c r="AM1232" i="2"/>
  <c r="AI1232" i="2"/>
  <c r="Y1232" i="2"/>
  <c r="V1232" i="2" a="1"/>
  <c r="V1232" i="2" s="1"/>
  <c r="AQ1232" i="2" s="1"/>
  <c r="M1232" i="2" a="1"/>
  <c r="M1232" i="2"/>
  <c r="I1232" i="2" a="1"/>
  <c r="I1232" i="2" s="1"/>
  <c r="AN1231" i="2"/>
  <c r="AM1231" i="2"/>
  <c r="AI1231" i="2"/>
  <c r="Y1231" i="2"/>
  <c r="V1231" i="2" a="1"/>
  <c r="V1231" i="2" s="1"/>
  <c r="M1231" i="2" a="1"/>
  <c r="M1231" i="2" s="1"/>
  <c r="I1231" i="2" a="1"/>
  <c r="I1231" i="2" s="1"/>
  <c r="AQ1230" i="2"/>
  <c r="AN1230" i="2"/>
  <c r="AM1230" i="2"/>
  <c r="AI1230" i="2"/>
  <c r="Y1230" i="2"/>
  <c r="V1230" i="2" a="1"/>
  <c r="V1230" i="2" s="1"/>
  <c r="M1230" i="2" a="1"/>
  <c r="M1230" i="2" s="1"/>
  <c r="I1230" i="2" a="1"/>
  <c r="I1230" i="2" s="1"/>
  <c r="AN1229" i="2"/>
  <c r="AM1229" i="2"/>
  <c r="AI1229" i="2"/>
  <c r="Y1229" i="2"/>
  <c r="V1229" i="2" a="1"/>
  <c r="V1229" i="2" s="1"/>
  <c r="M1229" i="2" a="1"/>
  <c r="M1229" i="2" s="1"/>
  <c r="I1229" i="2" a="1"/>
  <c r="I1229" i="2"/>
  <c r="AN1228" i="2"/>
  <c r="AM1228" i="2"/>
  <c r="AI1228" i="2"/>
  <c r="Y1228" i="2"/>
  <c r="V1228" i="2" a="1"/>
  <c r="V1228" i="2" s="1"/>
  <c r="AQ1228" i="2" s="1"/>
  <c r="M1228" i="2" a="1"/>
  <c r="M1228" i="2"/>
  <c r="I1228" i="2" a="1"/>
  <c r="I1228" i="2" s="1"/>
  <c r="AN1227" i="2"/>
  <c r="AM1227" i="2"/>
  <c r="AI1227" i="2"/>
  <c r="Y1227" i="2"/>
  <c r="V1227" i="2" a="1"/>
  <c r="V1227" i="2"/>
  <c r="AQ1227" i="2" s="1"/>
  <c r="M1227" i="2" a="1"/>
  <c r="M1227" i="2" s="1"/>
  <c r="I1227" i="2" a="1"/>
  <c r="I1227" i="2" s="1"/>
  <c r="AQ1226" i="2"/>
  <c r="AN1226" i="2"/>
  <c r="AM1226" i="2"/>
  <c r="AI1226" i="2"/>
  <c r="Y1226" i="2"/>
  <c r="V1226" i="2" a="1"/>
  <c r="V1226" i="2" s="1"/>
  <c r="M1226" i="2" a="1"/>
  <c r="M1226" i="2" s="1"/>
  <c r="I1226" i="2" a="1"/>
  <c r="I1226" i="2" s="1"/>
  <c r="AN1225" i="2"/>
  <c r="AM1225" i="2"/>
  <c r="AI1225" i="2"/>
  <c r="Y1225" i="2"/>
  <c r="V1225" i="2" a="1"/>
  <c r="V1225" i="2" s="1"/>
  <c r="AQ1225" i="2" s="1"/>
  <c r="M1225" i="2" a="1"/>
  <c r="M1225" i="2" s="1"/>
  <c r="I1225" i="2" a="1"/>
  <c r="I1225" i="2"/>
  <c r="AN1224" i="2"/>
  <c r="AM1224" i="2"/>
  <c r="AI1224" i="2"/>
  <c r="Y1224" i="2"/>
  <c r="V1224" i="2" a="1"/>
  <c r="V1224" i="2" s="1"/>
  <c r="AQ1224" i="2" s="1"/>
  <c r="M1224" i="2" a="1"/>
  <c r="M1224" i="2"/>
  <c r="I1224" i="2" a="1"/>
  <c r="I1224" i="2" s="1"/>
  <c r="AN1223" i="2"/>
  <c r="AM1223" i="2"/>
  <c r="AI1223" i="2"/>
  <c r="Y1223" i="2"/>
  <c r="V1223" i="2" a="1"/>
  <c r="V1223" i="2" s="1"/>
  <c r="M1223" i="2" a="1"/>
  <c r="M1223" i="2" s="1"/>
  <c r="I1223" i="2" a="1"/>
  <c r="I1223" i="2" s="1"/>
  <c r="AQ1222" i="2"/>
  <c r="AN1222" i="2"/>
  <c r="AM1222" i="2"/>
  <c r="AI1222" i="2"/>
  <c r="Y1222" i="2"/>
  <c r="V1222" i="2" a="1"/>
  <c r="V1222" i="2" s="1"/>
  <c r="M1222" i="2" a="1"/>
  <c r="M1222" i="2" s="1"/>
  <c r="I1222" i="2" a="1"/>
  <c r="I1222" i="2" s="1"/>
  <c r="AN1221" i="2"/>
  <c r="AM1221" i="2"/>
  <c r="AI1221" i="2"/>
  <c r="Y1221" i="2"/>
  <c r="V1221" i="2" a="1"/>
  <c r="V1221" i="2" s="1"/>
  <c r="M1221" i="2" a="1"/>
  <c r="M1221" i="2" s="1"/>
  <c r="I1221" i="2" a="1"/>
  <c r="I1221" i="2"/>
  <c r="AN1220" i="2"/>
  <c r="AM1220" i="2"/>
  <c r="AI1220" i="2"/>
  <c r="Y1220" i="2"/>
  <c r="V1220" i="2" a="1"/>
  <c r="V1220" i="2" s="1"/>
  <c r="AQ1220" i="2" s="1"/>
  <c r="M1220" i="2" a="1"/>
  <c r="M1220" i="2"/>
  <c r="I1220" i="2" a="1"/>
  <c r="I1220" i="2" s="1"/>
  <c r="AN1219" i="2"/>
  <c r="AM1219" i="2"/>
  <c r="AI1219" i="2"/>
  <c r="Y1219" i="2"/>
  <c r="V1219" i="2" a="1"/>
  <c r="V1219" i="2"/>
  <c r="AQ1219" i="2" s="1"/>
  <c r="M1219" i="2" a="1"/>
  <c r="M1219" i="2" s="1"/>
  <c r="I1219" i="2" a="1"/>
  <c r="I1219" i="2" s="1"/>
  <c r="AQ1218" i="2"/>
  <c r="AN1218" i="2"/>
  <c r="AM1218" i="2"/>
  <c r="AI1218" i="2"/>
  <c r="Y1218" i="2"/>
  <c r="V1218" i="2" a="1"/>
  <c r="V1218" i="2" s="1"/>
  <c r="M1218" i="2" a="1"/>
  <c r="M1218" i="2" s="1"/>
  <c r="I1218" i="2" a="1"/>
  <c r="I1218" i="2" s="1"/>
  <c r="AN1217" i="2"/>
  <c r="AM1217" i="2"/>
  <c r="AI1217" i="2"/>
  <c r="Y1217" i="2"/>
  <c r="V1217" i="2" a="1"/>
  <c r="V1217" i="2" s="1"/>
  <c r="AQ1217" i="2" s="1"/>
  <c r="M1217" i="2" a="1"/>
  <c r="M1217" i="2" s="1"/>
  <c r="I1217" i="2" a="1"/>
  <c r="I1217" i="2" s="1"/>
  <c r="AN1216" i="2"/>
  <c r="AM1216" i="2"/>
  <c r="AI1216" i="2"/>
  <c r="Y1216" i="2"/>
  <c r="V1216" i="2" a="1"/>
  <c r="V1216" i="2" s="1"/>
  <c r="AQ1216" i="2" s="1"/>
  <c r="M1216" i="2" a="1"/>
  <c r="M1216" i="2" s="1"/>
  <c r="I1216" i="2" a="1"/>
  <c r="I1216" i="2" s="1"/>
  <c r="AN1215" i="2"/>
  <c r="AM1215" i="2"/>
  <c r="AI1215" i="2"/>
  <c r="Y1215" i="2"/>
  <c r="V1215" i="2" a="1"/>
  <c r="V1215" i="2" s="1"/>
  <c r="M1215" i="2" a="1"/>
  <c r="M1215" i="2" s="1"/>
  <c r="I1215" i="2" a="1"/>
  <c r="I1215" i="2" s="1"/>
  <c r="AQ1214" i="2"/>
  <c r="AN1214" i="2"/>
  <c r="AM1214" i="2"/>
  <c r="AI1214" i="2"/>
  <c r="Y1214" i="2"/>
  <c r="V1214" i="2" a="1"/>
  <c r="V1214" i="2" s="1"/>
  <c r="M1214" i="2" a="1"/>
  <c r="M1214" i="2" s="1"/>
  <c r="I1214" i="2" a="1"/>
  <c r="I1214" i="2" s="1"/>
  <c r="AN1213" i="2"/>
  <c r="AM1213" i="2"/>
  <c r="AI1213" i="2"/>
  <c r="Y1213" i="2"/>
  <c r="V1213" i="2" a="1"/>
  <c r="V1213" i="2" s="1"/>
  <c r="M1213" i="2" a="1"/>
  <c r="M1213" i="2" s="1"/>
  <c r="I1213" i="2" a="1"/>
  <c r="I1213" i="2"/>
  <c r="AQ1212" i="2"/>
  <c r="AN1212" i="2"/>
  <c r="AM1212" i="2"/>
  <c r="AI1212" i="2"/>
  <c r="Y1212" i="2"/>
  <c r="V1212" i="2" a="1"/>
  <c r="V1212" i="2" s="1"/>
  <c r="M1212" i="2" a="1"/>
  <c r="M1212" i="2"/>
  <c r="I1212" i="2" a="1"/>
  <c r="I1212" i="2" s="1"/>
  <c r="AN1211" i="2"/>
  <c r="AM1211" i="2"/>
  <c r="AI1211" i="2"/>
  <c r="Y1211" i="2"/>
  <c r="V1211" i="2" a="1"/>
  <c r="V1211" i="2"/>
  <c r="AQ1211" i="2" s="1"/>
  <c r="M1211" i="2" a="1"/>
  <c r="M1211" i="2" s="1"/>
  <c r="I1211" i="2" a="1"/>
  <c r="I1211" i="2" s="1"/>
  <c r="AQ1210" i="2"/>
  <c r="AN1210" i="2"/>
  <c r="AM1210" i="2"/>
  <c r="AI1210" i="2"/>
  <c r="Y1210" i="2"/>
  <c r="V1210" i="2" a="1"/>
  <c r="V1210" i="2" s="1"/>
  <c r="M1210" i="2" a="1"/>
  <c r="M1210" i="2" s="1"/>
  <c r="I1210" i="2" a="1"/>
  <c r="I1210" i="2" s="1"/>
  <c r="AN1209" i="2"/>
  <c r="AM1209" i="2"/>
  <c r="AI1209" i="2"/>
  <c r="Y1209" i="2"/>
  <c r="V1209" i="2" a="1"/>
  <c r="V1209" i="2" s="1"/>
  <c r="AQ1209" i="2" s="1"/>
  <c r="M1209" i="2" a="1"/>
  <c r="M1209" i="2" s="1"/>
  <c r="I1209" i="2" a="1"/>
  <c r="I1209" i="2" s="1"/>
  <c r="AN1208" i="2"/>
  <c r="AM1208" i="2"/>
  <c r="AI1208" i="2"/>
  <c r="Y1208" i="2"/>
  <c r="V1208" i="2" a="1"/>
  <c r="V1208" i="2" s="1"/>
  <c r="AQ1208" i="2" s="1"/>
  <c r="M1208" i="2" a="1"/>
  <c r="M1208" i="2" s="1"/>
  <c r="I1208" i="2" a="1"/>
  <c r="I1208" i="2" s="1"/>
  <c r="AN1207" i="2"/>
  <c r="AM1207" i="2"/>
  <c r="AI1207" i="2"/>
  <c r="Y1207" i="2"/>
  <c r="V1207" i="2" a="1"/>
  <c r="V1207" i="2" s="1"/>
  <c r="M1207" i="2" a="1"/>
  <c r="M1207" i="2" s="1"/>
  <c r="I1207" i="2" a="1"/>
  <c r="I1207" i="2" s="1"/>
  <c r="AQ1206" i="2"/>
  <c r="AN1206" i="2"/>
  <c r="AM1206" i="2"/>
  <c r="AI1206" i="2"/>
  <c r="Y1206" i="2"/>
  <c r="V1206" i="2" a="1"/>
  <c r="V1206" i="2" s="1"/>
  <c r="M1206" i="2" a="1"/>
  <c r="M1206" i="2" s="1"/>
  <c r="I1206" i="2" a="1"/>
  <c r="I1206" i="2" s="1"/>
  <c r="AN1205" i="2"/>
  <c r="AM1205" i="2"/>
  <c r="AI1205" i="2"/>
  <c r="Y1205" i="2"/>
  <c r="V1205" i="2" a="1"/>
  <c r="V1205" i="2" s="1"/>
  <c r="M1205" i="2" a="1"/>
  <c r="M1205" i="2" s="1"/>
  <c r="I1205" i="2" a="1"/>
  <c r="I1205" i="2"/>
  <c r="AQ1204" i="2"/>
  <c r="AN1204" i="2"/>
  <c r="AM1204" i="2"/>
  <c r="AI1204" i="2"/>
  <c r="Y1204" i="2"/>
  <c r="V1204" i="2" a="1"/>
  <c r="V1204" i="2" s="1"/>
  <c r="M1204" i="2" a="1"/>
  <c r="M1204" i="2"/>
  <c r="I1204" i="2" a="1"/>
  <c r="I1204" i="2" s="1"/>
  <c r="AN1203" i="2"/>
  <c r="AM1203" i="2"/>
  <c r="AI1203" i="2"/>
  <c r="Y1203" i="2"/>
  <c r="V1203" i="2" a="1"/>
  <c r="V1203" i="2"/>
  <c r="AQ1203" i="2" s="1"/>
  <c r="M1203" i="2" a="1"/>
  <c r="M1203" i="2" s="1"/>
  <c r="I1203" i="2" a="1"/>
  <c r="I1203" i="2" s="1"/>
  <c r="AQ1202" i="2"/>
  <c r="AN1202" i="2"/>
  <c r="AM1202" i="2"/>
  <c r="AI1202" i="2"/>
  <c r="Y1202" i="2"/>
  <c r="V1202" i="2" a="1"/>
  <c r="V1202" i="2" s="1"/>
  <c r="M1202" i="2" a="1"/>
  <c r="M1202" i="2" s="1"/>
  <c r="I1202" i="2" a="1"/>
  <c r="I1202" i="2" s="1"/>
  <c r="AN1201" i="2"/>
  <c r="AM1201" i="2"/>
  <c r="AI1201" i="2"/>
  <c r="Y1201" i="2"/>
  <c r="V1201" i="2" a="1"/>
  <c r="V1201" i="2" s="1"/>
  <c r="AQ1201" i="2" s="1"/>
  <c r="M1201" i="2" a="1"/>
  <c r="M1201" i="2" s="1"/>
  <c r="I1201" i="2" a="1"/>
  <c r="I1201" i="2" s="1"/>
  <c r="AN1200" i="2"/>
  <c r="AM1200" i="2"/>
  <c r="AI1200" i="2"/>
  <c r="Y1200" i="2"/>
  <c r="V1200" i="2" a="1"/>
  <c r="V1200" i="2" s="1"/>
  <c r="AQ1200" i="2" s="1"/>
  <c r="M1200" i="2" a="1"/>
  <c r="M1200" i="2" s="1"/>
  <c r="I1200" i="2" a="1"/>
  <c r="I1200" i="2" s="1"/>
  <c r="AN1199" i="2"/>
  <c r="AM1199" i="2"/>
  <c r="AI1199" i="2"/>
  <c r="Y1199" i="2"/>
  <c r="V1199" i="2" a="1"/>
  <c r="V1199" i="2" s="1"/>
  <c r="M1199" i="2" a="1"/>
  <c r="M1199" i="2" s="1"/>
  <c r="I1199" i="2" a="1"/>
  <c r="I1199" i="2" s="1"/>
  <c r="AQ1198" i="2"/>
  <c r="AN1198" i="2"/>
  <c r="AM1198" i="2"/>
  <c r="AI1198" i="2"/>
  <c r="Y1198" i="2"/>
  <c r="V1198" i="2" a="1"/>
  <c r="V1198" i="2" s="1"/>
  <c r="M1198" i="2" a="1"/>
  <c r="M1198" i="2" s="1"/>
  <c r="I1198" i="2" a="1"/>
  <c r="I1198" i="2" s="1"/>
  <c r="AN1197" i="2"/>
  <c r="AM1197" i="2"/>
  <c r="AI1197" i="2"/>
  <c r="Y1197" i="2"/>
  <c r="V1197" i="2" a="1"/>
  <c r="V1197" i="2" s="1"/>
  <c r="M1197" i="2" a="1"/>
  <c r="M1197" i="2" s="1"/>
  <c r="I1197" i="2" a="1"/>
  <c r="I1197" i="2"/>
  <c r="AQ1196" i="2"/>
  <c r="AN1196" i="2"/>
  <c r="AM1196" i="2"/>
  <c r="AI1196" i="2"/>
  <c r="Y1196" i="2"/>
  <c r="V1196" i="2" a="1"/>
  <c r="V1196" i="2" s="1"/>
  <c r="M1196" i="2" a="1"/>
  <c r="M1196" i="2"/>
  <c r="I1196" i="2" a="1"/>
  <c r="I1196" i="2" s="1"/>
  <c r="AN1195" i="2"/>
  <c r="AM1195" i="2"/>
  <c r="AI1195" i="2"/>
  <c r="Y1195" i="2"/>
  <c r="V1195" i="2" a="1"/>
  <c r="V1195" i="2"/>
  <c r="AQ1195" i="2" s="1"/>
  <c r="M1195" i="2" a="1"/>
  <c r="M1195" i="2" s="1"/>
  <c r="I1195" i="2" a="1"/>
  <c r="I1195" i="2" s="1"/>
  <c r="AQ1194" i="2"/>
  <c r="AN1194" i="2"/>
  <c r="AM1194" i="2"/>
  <c r="AI1194" i="2"/>
  <c r="Y1194" i="2"/>
  <c r="V1194" i="2" a="1"/>
  <c r="V1194" i="2" s="1"/>
  <c r="M1194" i="2" a="1"/>
  <c r="M1194" i="2" s="1"/>
  <c r="I1194" i="2" a="1"/>
  <c r="I1194" i="2" s="1"/>
  <c r="AN1193" i="2"/>
  <c r="AM1193" i="2"/>
  <c r="AI1193" i="2"/>
  <c r="Y1193" i="2"/>
  <c r="V1193" i="2" a="1"/>
  <c r="V1193" i="2" s="1"/>
  <c r="AQ1193" i="2" s="1"/>
  <c r="M1193" i="2" a="1"/>
  <c r="M1193" i="2" s="1"/>
  <c r="I1193" i="2" a="1"/>
  <c r="I1193" i="2" s="1"/>
  <c r="AN1192" i="2"/>
  <c r="AM1192" i="2"/>
  <c r="AI1192" i="2"/>
  <c r="Y1192" i="2"/>
  <c r="V1192" i="2" a="1"/>
  <c r="V1192" i="2" s="1"/>
  <c r="AQ1192" i="2" s="1"/>
  <c r="M1192" i="2" a="1"/>
  <c r="M1192" i="2" s="1"/>
  <c r="I1192" i="2" a="1"/>
  <c r="I1192" i="2" s="1"/>
  <c r="AN1191" i="2"/>
  <c r="AM1191" i="2"/>
  <c r="AI1191" i="2"/>
  <c r="Y1191" i="2"/>
  <c r="V1191" i="2" a="1"/>
  <c r="V1191" i="2" s="1"/>
  <c r="M1191" i="2" a="1"/>
  <c r="M1191" i="2" s="1"/>
  <c r="I1191" i="2" a="1"/>
  <c r="I1191" i="2" s="1"/>
  <c r="AQ1190" i="2"/>
  <c r="AN1190" i="2"/>
  <c r="AM1190" i="2"/>
  <c r="AI1190" i="2"/>
  <c r="Y1190" i="2"/>
  <c r="V1190" i="2" a="1"/>
  <c r="V1190" i="2" s="1"/>
  <c r="M1190" i="2" a="1"/>
  <c r="M1190" i="2" s="1"/>
  <c r="I1190" i="2" a="1"/>
  <c r="I1190" i="2" s="1"/>
  <c r="AN1189" i="2"/>
  <c r="AM1189" i="2"/>
  <c r="AI1189" i="2"/>
  <c r="Y1189" i="2"/>
  <c r="V1189" i="2" a="1"/>
  <c r="V1189" i="2" s="1"/>
  <c r="M1189" i="2" a="1"/>
  <c r="M1189" i="2" s="1"/>
  <c r="I1189" i="2" a="1"/>
  <c r="I1189" i="2"/>
  <c r="AQ1188" i="2"/>
  <c r="AN1188" i="2"/>
  <c r="AM1188" i="2"/>
  <c r="AI1188" i="2"/>
  <c r="Y1188" i="2"/>
  <c r="V1188" i="2" a="1"/>
  <c r="V1188" i="2" s="1"/>
  <c r="M1188" i="2" a="1"/>
  <c r="M1188" i="2"/>
  <c r="I1188" i="2" a="1"/>
  <c r="I1188" i="2" s="1"/>
  <c r="AN1187" i="2"/>
  <c r="AM1187" i="2"/>
  <c r="AI1187" i="2"/>
  <c r="Y1187" i="2"/>
  <c r="V1187" i="2" a="1"/>
  <c r="V1187" i="2"/>
  <c r="AQ1187" i="2" s="1"/>
  <c r="M1187" i="2" a="1"/>
  <c r="M1187" i="2" s="1"/>
  <c r="I1187" i="2" a="1"/>
  <c r="I1187" i="2" s="1"/>
  <c r="AQ1186" i="2"/>
  <c r="AN1186" i="2"/>
  <c r="AM1186" i="2"/>
  <c r="AI1186" i="2"/>
  <c r="Y1186" i="2"/>
  <c r="V1186" i="2" a="1"/>
  <c r="V1186" i="2" s="1"/>
  <c r="M1186" i="2" a="1"/>
  <c r="M1186" i="2" s="1"/>
  <c r="I1186" i="2" a="1"/>
  <c r="I1186" i="2" s="1"/>
  <c r="AN1185" i="2"/>
  <c r="AM1185" i="2"/>
  <c r="AI1185" i="2"/>
  <c r="Y1185" i="2"/>
  <c r="V1185" i="2" a="1"/>
  <c r="V1185" i="2" s="1"/>
  <c r="AQ1185" i="2" s="1"/>
  <c r="M1185" i="2" a="1"/>
  <c r="M1185" i="2" s="1"/>
  <c r="I1185" i="2" a="1"/>
  <c r="I1185" i="2" s="1"/>
  <c r="AN1184" i="2"/>
  <c r="AM1184" i="2"/>
  <c r="AI1184" i="2"/>
  <c r="Y1184" i="2"/>
  <c r="V1184" i="2" a="1"/>
  <c r="V1184" i="2" s="1"/>
  <c r="AQ1184" i="2" s="1"/>
  <c r="M1184" i="2" a="1"/>
  <c r="M1184" i="2" s="1"/>
  <c r="I1184" i="2" a="1"/>
  <c r="I1184" i="2" s="1"/>
  <c r="AN1183" i="2"/>
  <c r="AM1183" i="2"/>
  <c r="AI1183" i="2"/>
  <c r="Y1183" i="2"/>
  <c r="V1183" i="2" a="1"/>
  <c r="V1183" i="2" s="1"/>
  <c r="M1183" i="2" a="1"/>
  <c r="M1183" i="2" s="1"/>
  <c r="I1183" i="2" a="1"/>
  <c r="I1183" i="2" s="1"/>
  <c r="AQ1182" i="2"/>
  <c r="AN1182" i="2"/>
  <c r="AM1182" i="2"/>
  <c r="AI1182" i="2"/>
  <c r="Y1182" i="2"/>
  <c r="V1182" i="2" a="1"/>
  <c r="V1182" i="2" s="1"/>
  <c r="M1182" i="2" a="1"/>
  <c r="M1182" i="2" s="1"/>
  <c r="I1182" i="2" a="1"/>
  <c r="I1182" i="2" s="1"/>
  <c r="AN1181" i="2"/>
  <c r="AM1181" i="2"/>
  <c r="AI1181" i="2"/>
  <c r="Y1181" i="2"/>
  <c r="V1181" i="2" a="1"/>
  <c r="V1181" i="2" s="1"/>
  <c r="M1181" i="2" a="1"/>
  <c r="M1181" i="2" s="1"/>
  <c r="I1181" i="2" a="1"/>
  <c r="I1181" i="2"/>
  <c r="AQ1180" i="2"/>
  <c r="AN1180" i="2"/>
  <c r="AM1180" i="2"/>
  <c r="AI1180" i="2"/>
  <c r="Y1180" i="2"/>
  <c r="V1180" i="2" a="1"/>
  <c r="V1180" i="2" s="1"/>
  <c r="M1180" i="2" a="1"/>
  <c r="M1180" i="2"/>
  <c r="I1180" i="2" a="1"/>
  <c r="I1180" i="2" s="1"/>
  <c r="AN1179" i="2"/>
  <c r="AM1179" i="2"/>
  <c r="AI1179" i="2"/>
  <c r="Y1179" i="2"/>
  <c r="V1179" i="2" a="1"/>
  <c r="V1179" i="2"/>
  <c r="AQ1179" i="2" s="1"/>
  <c r="M1179" i="2" a="1"/>
  <c r="M1179" i="2" s="1"/>
  <c r="I1179" i="2" a="1"/>
  <c r="I1179" i="2" s="1"/>
  <c r="AQ1178" i="2"/>
  <c r="AN1178" i="2"/>
  <c r="AM1178" i="2"/>
  <c r="AI1178" i="2"/>
  <c r="Y1178" i="2"/>
  <c r="V1178" i="2" a="1"/>
  <c r="V1178" i="2" s="1"/>
  <c r="M1178" i="2" a="1"/>
  <c r="M1178" i="2" s="1"/>
  <c r="I1178" i="2" a="1"/>
  <c r="I1178" i="2" s="1"/>
  <c r="AN1177" i="2"/>
  <c r="AM1177" i="2"/>
  <c r="AI1177" i="2"/>
  <c r="Y1177" i="2"/>
  <c r="V1177" i="2" a="1"/>
  <c r="V1177" i="2" s="1"/>
  <c r="AQ1177" i="2" s="1"/>
  <c r="M1177" i="2" a="1"/>
  <c r="M1177" i="2" s="1"/>
  <c r="I1177" i="2" a="1"/>
  <c r="I1177" i="2" s="1"/>
  <c r="AN1176" i="2"/>
  <c r="AM1176" i="2"/>
  <c r="AI1176" i="2"/>
  <c r="Y1176" i="2"/>
  <c r="V1176" i="2" a="1"/>
  <c r="V1176" i="2" s="1"/>
  <c r="AQ1176" i="2" s="1"/>
  <c r="M1176" i="2" a="1"/>
  <c r="M1176" i="2" s="1"/>
  <c r="I1176" i="2" a="1"/>
  <c r="I1176" i="2" s="1"/>
  <c r="AN1175" i="2"/>
  <c r="AM1175" i="2"/>
  <c r="AI1175" i="2"/>
  <c r="Y1175" i="2"/>
  <c r="V1175" i="2" a="1"/>
  <c r="V1175" i="2" s="1"/>
  <c r="M1175" i="2" a="1"/>
  <c r="M1175" i="2" s="1"/>
  <c r="I1175" i="2" a="1"/>
  <c r="I1175" i="2" s="1"/>
  <c r="AQ1174" i="2"/>
  <c r="AN1174" i="2"/>
  <c r="AM1174" i="2"/>
  <c r="AI1174" i="2"/>
  <c r="Y1174" i="2"/>
  <c r="V1174" i="2" a="1"/>
  <c r="V1174" i="2" s="1"/>
  <c r="M1174" i="2" a="1"/>
  <c r="M1174" i="2" s="1"/>
  <c r="I1174" i="2" a="1"/>
  <c r="I1174" i="2" s="1"/>
  <c r="AN1173" i="2"/>
  <c r="AM1173" i="2"/>
  <c r="AI1173" i="2"/>
  <c r="Y1173" i="2"/>
  <c r="V1173" i="2" a="1"/>
  <c r="V1173" i="2" s="1"/>
  <c r="M1173" i="2" a="1"/>
  <c r="M1173" i="2" s="1"/>
  <c r="I1173" i="2" a="1"/>
  <c r="I1173" i="2"/>
  <c r="AQ1172" i="2"/>
  <c r="AN1172" i="2"/>
  <c r="AM1172" i="2"/>
  <c r="AI1172" i="2"/>
  <c r="Y1172" i="2"/>
  <c r="V1172" i="2" a="1"/>
  <c r="V1172" i="2" s="1"/>
  <c r="M1172" i="2" a="1"/>
  <c r="M1172" i="2"/>
  <c r="I1172" i="2" a="1"/>
  <c r="I1172" i="2" s="1"/>
  <c r="AN1171" i="2"/>
  <c r="AM1171" i="2"/>
  <c r="AI1171" i="2"/>
  <c r="Y1171" i="2"/>
  <c r="V1171" i="2" a="1"/>
  <c r="V1171" i="2"/>
  <c r="AQ1171" i="2" s="1"/>
  <c r="M1171" i="2" a="1"/>
  <c r="M1171" i="2" s="1"/>
  <c r="I1171" i="2" a="1"/>
  <c r="I1171" i="2" s="1"/>
  <c r="AQ1170" i="2"/>
  <c r="AN1170" i="2"/>
  <c r="AM1170" i="2"/>
  <c r="AI1170" i="2"/>
  <c r="Y1170" i="2"/>
  <c r="V1170" i="2" a="1"/>
  <c r="V1170" i="2" s="1"/>
  <c r="M1170" i="2" a="1"/>
  <c r="M1170" i="2" s="1"/>
  <c r="I1170" i="2" a="1"/>
  <c r="I1170" i="2" s="1"/>
  <c r="AN1169" i="2"/>
  <c r="AM1169" i="2"/>
  <c r="AI1169" i="2"/>
  <c r="Y1169" i="2"/>
  <c r="V1169" i="2" a="1"/>
  <c r="V1169" i="2" s="1"/>
  <c r="AQ1169" i="2" s="1"/>
  <c r="M1169" i="2" a="1"/>
  <c r="M1169" i="2" s="1"/>
  <c r="I1169" i="2" a="1"/>
  <c r="I1169" i="2" s="1"/>
  <c r="AN1168" i="2"/>
  <c r="AM1168" i="2"/>
  <c r="AI1168" i="2"/>
  <c r="Y1168" i="2"/>
  <c r="V1168" i="2" a="1"/>
  <c r="V1168" i="2" s="1"/>
  <c r="AQ1168" i="2" s="1"/>
  <c r="M1168" i="2" a="1"/>
  <c r="M1168" i="2" s="1"/>
  <c r="I1168" i="2" a="1"/>
  <c r="I1168" i="2" s="1"/>
  <c r="AN1167" i="2"/>
  <c r="AM1167" i="2"/>
  <c r="AI1167" i="2"/>
  <c r="Y1167" i="2"/>
  <c r="V1167" i="2" a="1"/>
  <c r="V1167" i="2" s="1"/>
  <c r="M1167" i="2" a="1"/>
  <c r="M1167" i="2" s="1"/>
  <c r="I1167" i="2" a="1"/>
  <c r="I1167" i="2" s="1"/>
  <c r="AQ1166" i="2"/>
  <c r="AN1166" i="2"/>
  <c r="AM1166" i="2"/>
  <c r="AI1166" i="2"/>
  <c r="Y1166" i="2"/>
  <c r="V1166" i="2" a="1"/>
  <c r="V1166" i="2" s="1"/>
  <c r="M1166" i="2" a="1"/>
  <c r="M1166" i="2" s="1"/>
  <c r="I1166" i="2" a="1"/>
  <c r="I1166" i="2" s="1"/>
  <c r="AN1165" i="2"/>
  <c r="AM1165" i="2"/>
  <c r="AI1165" i="2"/>
  <c r="Y1165" i="2"/>
  <c r="V1165" i="2" a="1"/>
  <c r="V1165" i="2" s="1"/>
  <c r="M1165" i="2" a="1"/>
  <c r="M1165" i="2" s="1"/>
  <c r="I1165" i="2" a="1"/>
  <c r="I1165" i="2"/>
  <c r="AQ1164" i="2"/>
  <c r="AN1164" i="2"/>
  <c r="AM1164" i="2"/>
  <c r="AI1164" i="2"/>
  <c r="Y1164" i="2"/>
  <c r="V1164" i="2" a="1"/>
  <c r="V1164" i="2" s="1"/>
  <c r="M1164" i="2" a="1"/>
  <c r="M1164" i="2"/>
  <c r="I1164" i="2" a="1"/>
  <c r="I1164" i="2" s="1"/>
  <c r="AN1163" i="2"/>
  <c r="AM1163" i="2"/>
  <c r="AI1163" i="2"/>
  <c r="Y1163" i="2"/>
  <c r="V1163" i="2" a="1"/>
  <c r="V1163" i="2"/>
  <c r="AQ1163" i="2" s="1"/>
  <c r="M1163" i="2" a="1"/>
  <c r="M1163" i="2" s="1"/>
  <c r="I1163" i="2" a="1"/>
  <c r="I1163" i="2" s="1"/>
  <c r="AQ1162" i="2"/>
  <c r="AN1162" i="2"/>
  <c r="AM1162" i="2"/>
  <c r="AI1162" i="2"/>
  <c r="Y1162" i="2"/>
  <c r="V1162" i="2" a="1"/>
  <c r="V1162" i="2" s="1"/>
  <c r="M1162" i="2" a="1"/>
  <c r="M1162" i="2" s="1"/>
  <c r="I1162" i="2" a="1"/>
  <c r="I1162" i="2" s="1"/>
  <c r="AN1161" i="2"/>
  <c r="AM1161" i="2"/>
  <c r="AI1161" i="2"/>
  <c r="Y1161" i="2"/>
  <c r="V1161" i="2" a="1"/>
  <c r="V1161" i="2" s="1"/>
  <c r="AQ1161" i="2" s="1"/>
  <c r="M1161" i="2" a="1"/>
  <c r="M1161" i="2" s="1"/>
  <c r="I1161" i="2" a="1"/>
  <c r="I1161" i="2" s="1"/>
  <c r="AN1160" i="2"/>
  <c r="AM1160" i="2"/>
  <c r="AI1160" i="2"/>
  <c r="Y1160" i="2"/>
  <c r="V1160" i="2" a="1"/>
  <c r="V1160" i="2" s="1"/>
  <c r="AQ1160" i="2" s="1"/>
  <c r="M1160" i="2" a="1"/>
  <c r="M1160" i="2" s="1"/>
  <c r="I1160" i="2" a="1"/>
  <c r="I1160" i="2" s="1"/>
  <c r="AN1159" i="2"/>
  <c r="AM1159" i="2"/>
  <c r="AI1159" i="2"/>
  <c r="Y1159" i="2"/>
  <c r="V1159" i="2" a="1"/>
  <c r="V1159" i="2" s="1"/>
  <c r="AP1159" i="2" s="1"/>
  <c r="M1159" i="2" a="1"/>
  <c r="M1159" i="2" s="1"/>
  <c r="I1159" i="2" a="1"/>
  <c r="I1159" i="2" s="1"/>
  <c r="AQ1158" i="2"/>
  <c r="AN1158" i="2"/>
  <c r="AM1158" i="2"/>
  <c r="AI1158" i="2"/>
  <c r="Y1158" i="2"/>
  <c r="V1158" i="2" a="1"/>
  <c r="V1158" i="2" s="1"/>
  <c r="M1158" i="2" a="1"/>
  <c r="M1158" i="2" s="1"/>
  <c r="I1158" i="2" a="1"/>
  <c r="I1158" i="2" s="1"/>
  <c r="AN1157" i="2"/>
  <c r="AM1157" i="2"/>
  <c r="AI1157" i="2"/>
  <c r="Y1157" i="2"/>
  <c r="V1157" i="2" a="1"/>
  <c r="V1157" i="2" s="1"/>
  <c r="AQ1157" i="2" s="1"/>
  <c r="M1157" i="2" a="1"/>
  <c r="M1157" i="2" s="1"/>
  <c r="I1157" i="2" a="1"/>
  <c r="I1157" i="2"/>
  <c r="AQ1156" i="2"/>
  <c r="AN1156" i="2"/>
  <c r="AM1156" i="2"/>
  <c r="AI1156" i="2"/>
  <c r="Y1156" i="2"/>
  <c r="V1156" i="2" a="1"/>
  <c r="V1156" i="2" s="1"/>
  <c r="M1156" i="2" a="1"/>
  <c r="M1156" i="2"/>
  <c r="I1156" i="2" a="1"/>
  <c r="I1156" i="2" s="1"/>
  <c r="AN1155" i="2"/>
  <c r="AM1155" i="2"/>
  <c r="AI1155" i="2"/>
  <c r="Y1155" i="2"/>
  <c r="V1155" i="2" a="1"/>
  <c r="V1155" i="2"/>
  <c r="AQ1155" i="2" s="1"/>
  <c r="M1155" i="2" a="1"/>
  <c r="M1155" i="2" s="1"/>
  <c r="I1155" i="2" a="1"/>
  <c r="I1155" i="2" s="1"/>
  <c r="AQ1154" i="2"/>
  <c r="AN1154" i="2"/>
  <c r="AM1154" i="2"/>
  <c r="AI1154" i="2"/>
  <c r="Y1154" i="2"/>
  <c r="V1154" i="2" a="1"/>
  <c r="V1154" i="2" s="1"/>
  <c r="M1154" i="2" a="1"/>
  <c r="M1154" i="2" s="1"/>
  <c r="I1154" i="2" a="1"/>
  <c r="I1154" i="2" s="1"/>
  <c r="X1154" i="2" s="1"/>
  <c r="AN1153" i="2"/>
  <c r="AM1153" i="2"/>
  <c r="AI1153" i="2"/>
  <c r="Y1153" i="2"/>
  <c r="V1153" i="2" a="1"/>
  <c r="V1153" i="2" s="1"/>
  <c r="AQ1153" i="2" s="1"/>
  <c r="M1153" i="2" a="1"/>
  <c r="M1153" i="2" s="1"/>
  <c r="I1153" i="2" a="1"/>
  <c r="I1153" i="2" s="1"/>
  <c r="AN1152" i="2"/>
  <c r="AM1152" i="2"/>
  <c r="AI1152" i="2"/>
  <c r="Y1152" i="2"/>
  <c r="V1152" i="2" a="1"/>
  <c r="V1152" i="2" s="1"/>
  <c r="AQ1152" i="2" s="1"/>
  <c r="M1152" i="2" a="1"/>
  <c r="M1152" i="2" s="1"/>
  <c r="I1152" i="2" a="1"/>
  <c r="I1152" i="2" s="1"/>
  <c r="AN1151" i="2"/>
  <c r="AM1151" i="2"/>
  <c r="AI1151" i="2"/>
  <c r="Y1151" i="2"/>
  <c r="V1151" i="2" a="1"/>
  <c r="V1151" i="2" s="1"/>
  <c r="AP1151" i="2" s="1"/>
  <c r="M1151" i="2" a="1"/>
  <c r="M1151" i="2" s="1"/>
  <c r="I1151" i="2" a="1"/>
  <c r="I1151" i="2" s="1"/>
  <c r="AQ1150" i="2"/>
  <c r="AN1150" i="2"/>
  <c r="AM1150" i="2"/>
  <c r="AI1150" i="2"/>
  <c r="Y1150" i="2"/>
  <c r="V1150" i="2" a="1"/>
  <c r="V1150" i="2" s="1"/>
  <c r="M1150" i="2" a="1"/>
  <c r="M1150" i="2" s="1"/>
  <c r="I1150" i="2" a="1"/>
  <c r="I1150" i="2" s="1"/>
  <c r="AN1149" i="2"/>
  <c r="AM1149" i="2"/>
  <c r="AI1149" i="2"/>
  <c r="Y1149" i="2"/>
  <c r="V1149" i="2" a="1"/>
  <c r="V1149" i="2" s="1"/>
  <c r="AQ1149" i="2" s="1"/>
  <c r="M1149" i="2" a="1"/>
  <c r="M1149" i="2" s="1"/>
  <c r="I1149" i="2" a="1"/>
  <c r="I1149" i="2"/>
  <c r="AQ1148" i="2"/>
  <c r="AN1148" i="2"/>
  <c r="AM1148" i="2"/>
  <c r="AI1148" i="2"/>
  <c r="Y1148" i="2"/>
  <c r="V1148" i="2" a="1"/>
  <c r="V1148" i="2" s="1"/>
  <c r="M1148" i="2" a="1"/>
  <c r="M1148" i="2"/>
  <c r="I1148" i="2" a="1"/>
  <c r="I1148" i="2" s="1"/>
  <c r="AN1147" i="2"/>
  <c r="AM1147" i="2"/>
  <c r="AI1147" i="2"/>
  <c r="Y1147" i="2"/>
  <c r="V1147" i="2" a="1"/>
  <c r="V1147" i="2"/>
  <c r="AQ1147" i="2" s="1"/>
  <c r="M1147" i="2" a="1"/>
  <c r="M1147" i="2" s="1"/>
  <c r="I1147" i="2" a="1"/>
  <c r="I1147" i="2" s="1"/>
  <c r="AQ1146" i="2"/>
  <c r="AN1146" i="2"/>
  <c r="AM1146" i="2"/>
  <c r="AI1146" i="2"/>
  <c r="Y1146" i="2"/>
  <c r="X1146" i="2"/>
  <c r="V1146" i="2" a="1"/>
  <c r="V1146" i="2" s="1"/>
  <c r="M1146" i="2" a="1"/>
  <c r="M1146" i="2" s="1"/>
  <c r="I1146" i="2" a="1"/>
  <c r="I1146" i="2" s="1"/>
  <c r="AN1145" i="2"/>
  <c r="AM1145" i="2"/>
  <c r="AI1145" i="2"/>
  <c r="Y1145" i="2"/>
  <c r="V1145" i="2" a="1"/>
  <c r="V1145" i="2" s="1"/>
  <c r="AQ1145" i="2" s="1"/>
  <c r="M1145" i="2" a="1"/>
  <c r="M1145" i="2" s="1"/>
  <c r="I1145" i="2" a="1"/>
  <c r="I1145" i="2" s="1"/>
  <c r="AN1144" i="2"/>
  <c r="AM1144" i="2"/>
  <c r="AI1144" i="2"/>
  <c r="Y1144" i="2"/>
  <c r="V1144" i="2" a="1"/>
  <c r="V1144" i="2" s="1"/>
  <c r="AQ1144" i="2" s="1"/>
  <c r="M1144" i="2" a="1"/>
  <c r="M1144" i="2" s="1"/>
  <c r="I1144" i="2" a="1"/>
  <c r="I1144" i="2" s="1"/>
  <c r="AN1143" i="2"/>
  <c r="AM1143" i="2"/>
  <c r="AI1143" i="2"/>
  <c r="Y1143" i="2"/>
  <c r="V1143" i="2" a="1"/>
  <c r="V1143" i="2" s="1"/>
  <c r="AP1143" i="2" s="1"/>
  <c r="M1143" i="2" a="1"/>
  <c r="M1143" i="2" s="1"/>
  <c r="I1143" i="2" a="1"/>
  <c r="I1143" i="2" s="1"/>
  <c r="AQ1142" i="2"/>
  <c r="AN1142" i="2"/>
  <c r="AM1142" i="2"/>
  <c r="AI1142" i="2"/>
  <c r="Y1142" i="2"/>
  <c r="V1142" i="2" a="1"/>
  <c r="V1142" i="2" s="1"/>
  <c r="M1142" i="2" a="1"/>
  <c r="M1142" i="2" s="1"/>
  <c r="I1142" i="2" a="1"/>
  <c r="I1142" i="2" s="1"/>
  <c r="AN1141" i="2"/>
  <c r="AM1141" i="2"/>
  <c r="AI1141" i="2"/>
  <c r="Y1141" i="2"/>
  <c r="V1141" i="2" a="1"/>
  <c r="V1141" i="2" s="1"/>
  <c r="AQ1141" i="2" s="1"/>
  <c r="M1141" i="2" a="1"/>
  <c r="M1141" i="2" s="1"/>
  <c r="I1141" i="2" a="1"/>
  <c r="I1141" i="2"/>
  <c r="AN1140" i="2"/>
  <c r="AM1140" i="2"/>
  <c r="AI1140" i="2"/>
  <c r="Y1140" i="2"/>
  <c r="V1140" i="2" a="1"/>
  <c r="V1140" i="2" s="1"/>
  <c r="AQ1140" i="2" s="1"/>
  <c r="M1140" i="2" a="1"/>
  <c r="M1140" i="2"/>
  <c r="I1140" i="2" a="1"/>
  <c r="I1140" i="2" s="1"/>
  <c r="AN1139" i="2"/>
  <c r="AM1139" i="2"/>
  <c r="AI1139" i="2"/>
  <c r="Y1139" i="2"/>
  <c r="V1139" i="2" a="1"/>
  <c r="V1139" i="2"/>
  <c r="AQ1139" i="2" s="1"/>
  <c r="M1139" i="2" a="1"/>
  <c r="M1139" i="2" s="1"/>
  <c r="I1139" i="2" a="1"/>
  <c r="I1139" i="2" s="1"/>
  <c r="AN1138" i="2"/>
  <c r="AM1138" i="2"/>
  <c r="AI1138" i="2"/>
  <c r="Y1138" i="2"/>
  <c r="V1138" i="2" a="1"/>
  <c r="V1138" i="2" s="1"/>
  <c r="AQ1138" i="2" s="1"/>
  <c r="M1138" i="2" a="1"/>
  <c r="M1138" i="2" s="1"/>
  <c r="I1138" i="2" a="1"/>
  <c r="I1138" i="2" s="1"/>
  <c r="AN1137" i="2"/>
  <c r="AM1137" i="2"/>
  <c r="AI1137" i="2"/>
  <c r="Y1137" i="2"/>
  <c r="V1137" i="2" a="1"/>
  <c r="V1137" i="2" s="1"/>
  <c r="AQ1137" i="2" s="1"/>
  <c r="M1137" i="2" a="1"/>
  <c r="M1137" i="2" s="1"/>
  <c r="I1137" i="2" a="1"/>
  <c r="I1137" i="2" s="1"/>
  <c r="AN1136" i="2"/>
  <c r="AM1136" i="2"/>
  <c r="AI1136" i="2"/>
  <c r="Y1136" i="2"/>
  <c r="V1136" i="2" a="1"/>
  <c r="V1136" i="2" s="1"/>
  <c r="AQ1136" i="2" s="1"/>
  <c r="M1136" i="2" a="1"/>
  <c r="M1136" i="2"/>
  <c r="I1136" i="2" a="1"/>
  <c r="I1136" i="2" s="1"/>
  <c r="AN1135" i="2"/>
  <c r="AM1135" i="2"/>
  <c r="AI1135" i="2"/>
  <c r="Y1135" i="2"/>
  <c r="V1135" i="2" a="1"/>
  <c r="V1135" i="2"/>
  <c r="AQ1135" i="2" s="1"/>
  <c r="M1135" i="2" a="1"/>
  <c r="M1135" i="2" s="1"/>
  <c r="I1135" i="2" a="1"/>
  <c r="I1135" i="2" s="1"/>
  <c r="AQ1134" i="2"/>
  <c r="AN1134" i="2"/>
  <c r="AM1134" i="2"/>
  <c r="AI1134" i="2"/>
  <c r="Y1134" i="2"/>
  <c r="V1134" i="2" a="1"/>
  <c r="V1134" i="2" s="1"/>
  <c r="M1134" i="2" a="1"/>
  <c r="M1134" i="2"/>
  <c r="I1134" i="2" a="1"/>
  <c r="I1134" i="2" s="1"/>
  <c r="AN1133" i="2"/>
  <c r="AM1133" i="2"/>
  <c r="AI1133" i="2"/>
  <c r="Y1133" i="2"/>
  <c r="V1133" i="2" a="1"/>
  <c r="V1133" i="2"/>
  <c r="AQ1133" i="2" s="1"/>
  <c r="M1133" i="2" a="1"/>
  <c r="M1133" i="2" s="1"/>
  <c r="I1133" i="2" a="1"/>
  <c r="I1133" i="2"/>
  <c r="AQ1132" i="2"/>
  <c r="AN1132" i="2"/>
  <c r="AM1132" i="2"/>
  <c r="AI1132" i="2"/>
  <c r="Y1132" i="2"/>
  <c r="V1132" i="2" a="1"/>
  <c r="V1132" i="2" s="1"/>
  <c r="M1132" i="2" a="1"/>
  <c r="M1132" i="2"/>
  <c r="I1132" i="2" a="1"/>
  <c r="I1132" i="2" s="1"/>
  <c r="AN1131" i="2"/>
  <c r="AM1131" i="2"/>
  <c r="AI1131" i="2"/>
  <c r="Y1131" i="2"/>
  <c r="V1131" i="2" a="1"/>
  <c r="V1131" i="2"/>
  <c r="AQ1131" i="2" s="1"/>
  <c r="M1131" i="2" a="1"/>
  <c r="M1131" i="2" s="1"/>
  <c r="I1131" i="2" a="1"/>
  <c r="I1131" i="2"/>
  <c r="AN1130" i="2"/>
  <c r="AM1130" i="2"/>
  <c r="AI1130" i="2"/>
  <c r="Y1130" i="2"/>
  <c r="V1130" i="2" a="1"/>
  <c r="V1130" i="2" s="1"/>
  <c r="AQ1130" i="2" s="1"/>
  <c r="M1130" i="2" a="1"/>
  <c r="M1130" i="2"/>
  <c r="I1130" i="2" a="1"/>
  <c r="I1130" i="2" s="1"/>
  <c r="AQ1129" i="2"/>
  <c r="AN1129" i="2"/>
  <c r="AM1129" i="2"/>
  <c r="AI1129" i="2"/>
  <c r="Y1129" i="2"/>
  <c r="V1129" i="2" a="1"/>
  <c r="V1129" i="2"/>
  <c r="M1129" i="2" a="1"/>
  <c r="M1129" i="2" s="1"/>
  <c r="I1129" i="2" a="1"/>
  <c r="I1129" i="2" s="1"/>
  <c r="AQ1128" i="2"/>
  <c r="AN1128" i="2"/>
  <c r="AM1128" i="2"/>
  <c r="AI1128" i="2"/>
  <c r="Y1128" i="2"/>
  <c r="V1128" i="2" a="1"/>
  <c r="V1128" i="2" s="1"/>
  <c r="M1128" i="2" a="1"/>
  <c r="M1128" i="2" s="1"/>
  <c r="I1128" i="2" a="1"/>
  <c r="I1128" i="2" s="1"/>
  <c r="AN1127" i="2"/>
  <c r="AM1127" i="2"/>
  <c r="AI1127" i="2"/>
  <c r="Y1127" i="2"/>
  <c r="V1127" i="2" a="1"/>
  <c r="V1127" i="2" s="1"/>
  <c r="AQ1127" i="2" s="1"/>
  <c r="M1127" i="2" a="1"/>
  <c r="M1127" i="2" s="1"/>
  <c r="I1127" i="2" a="1"/>
  <c r="I1127" i="2"/>
  <c r="AN1126" i="2"/>
  <c r="AM1126" i="2"/>
  <c r="AI1126" i="2"/>
  <c r="Y1126" i="2"/>
  <c r="V1126" i="2" a="1"/>
  <c r="V1126" i="2" s="1"/>
  <c r="AQ1126" i="2" s="1"/>
  <c r="M1126" i="2" a="1"/>
  <c r="M1126" i="2"/>
  <c r="I1126" i="2" a="1"/>
  <c r="I1126" i="2" s="1"/>
  <c r="AN1125" i="2"/>
  <c r="AM1125" i="2"/>
  <c r="AI1125" i="2"/>
  <c r="Y1125" i="2"/>
  <c r="V1125" i="2" a="1"/>
  <c r="V1125" i="2"/>
  <c r="AQ1125" i="2" s="1"/>
  <c r="M1125" i="2" a="1"/>
  <c r="M1125" i="2"/>
  <c r="AP1125" i="2" s="1"/>
  <c r="I1125" i="2" a="1"/>
  <c r="I1125" i="2"/>
  <c r="AN1124" i="2"/>
  <c r="AM1124" i="2"/>
  <c r="AI1124" i="2"/>
  <c r="Y1124" i="2"/>
  <c r="V1124" i="2" a="1"/>
  <c r="V1124" i="2"/>
  <c r="AQ1124" i="2" s="1"/>
  <c r="M1124" i="2" a="1"/>
  <c r="M1124" i="2"/>
  <c r="I1124" i="2" a="1"/>
  <c r="I1124" i="2"/>
  <c r="AN1123" i="2"/>
  <c r="AM1123" i="2"/>
  <c r="AI1123" i="2"/>
  <c r="Y1123" i="2"/>
  <c r="V1123" i="2" a="1"/>
  <c r="V1123" i="2" s="1"/>
  <c r="M1123" i="2" a="1"/>
  <c r="M1123" i="2"/>
  <c r="I1123" i="2" a="1"/>
  <c r="I1123" i="2" s="1"/>
  <c r="AN1122" i="2"/>
  <c r="AM1122" i="2"/>
  <c r="AI1122" i="2"/>
  <c r="Y1122" i="2"/>
  <c r="V1122" i="2" a="1"/>
  <c r="V1122" i="2" s="1"/>
  <c r="AQ1122" i="2" s="1"/>
  <c r="M1122" i="2" a="1"/>
  <c r="M1122" i="2" s="1"/>
  <c r="I1122" i="2" a="1"/>
  <c r="I1122" i="2" s="1"/>
  <c r="AN1121" i="2"/>
  <c r="AM1121" i="2"/>
  <c r="AI1121" i="2"/>
  <c r="Y1121" i="2"/>
  <c r="V1121" i="2" a="1"/>
  <c r="V1121" i="2" s="1"/>
  <c r="AQ1121" i="2" s="1"/>
  <c r="M1121" i="2" a="1"/>
  <c r="M1121" i="2" s="1"/>
  <c r="AP1121" i="2" s="1"/>
  <c r="I1121" i="2" a="1"/>
  <c r="I1121" i="2" s="1"/>
  <c r="AN1120" i="2"/>
  <c r="AM1120" i="2"/>
  <c r="AI1120" i="2"/>
  <c r="Y1120" i="2"/>
  <c r="V1120" i="2" a="1"/>
  <c r="V1120" i="2" s="1"/>
  <c r="AQ1120" i="2" s="1"/>
  <c r="M1120" i="2" a="1"/>
  <c r="M1120" i="2" s="1"/>
  <c r="I1120" i="2" a="1"/>
  <c r="I1120" i="2" s="1"/>
  <c r="AN1119" i="2"/>
  <c r="AM1119" i="2"/>
  <c r="AI1119" i="2"/>
  <c r="Y1119" i="2"/>
  <c r="V1119" i="2" a="1"/>
  <c r="V1119" i="2" s="1"/>
  <c r="M1119" i="2" a="1"/>
  <c r="M1119" i="2" s="1"/>
  <c r="I1119" i="2" a="1"/>
  <c r="I1119" i="2"/>
  <c r="AQ1118" i="2"/>
  <c r="AN1118" i="2"/>
  <c r="AM1118" i="2"/>
  <c r="AI1118" i="2"/>
  <c r="Y1118" i="2"/>
  <c r="V1118" i="2" a="1"/>
  <c r="V1118" i="2" s="1"/>
  <c r="M1118" i="2" a="1"/>
  <c r="M1118" i="2"/>
  <c r="I1118" i="2" a="1"/>
  <c r="I1118" i="2" s="1"/>
  <c r="AN1117" i="2"/>
  <c r="AM1117" i="2"/>
  <c r="AI1117" i="2"/>
  <c r="Y1117" i="2"/>
  <c r="V1117" i="2" a="1"/>
  <c r="V1117" i="2"/>
  <c r="AQ1117" i="2" s="1"/>
  <c r="M1117" i="2" a="1"/>
  <c r="M1117" i="2" s="1"/>
  <c r="I1117" i="2" a="1"/>
  <c r="I1117" i="2"/>
  <c r="AQ1116" i="2"/>
  <c r="AN1116" i="2"/>
  <c r="AM1116" i="2"/>
  <c r="AI1116" i="2"/>
  <c r="Y1116" i="2"/>
  <c r="V1116" i="2" a="1"/>
  <c r="V1116" i="2" s="1"/>
  <c r="M1116" i="2" a="1"/>
  <c r="M1116" i="2"/>
  <c r="I1116" i="2" a="1"/>
  <c r="I1116" i="2" s="1"/>
  <c r="AN1115" i="2"/>
  <c r="AM1115" i="2"/>
  <c r="AI1115" i="2"/>
  <c r="Y1115" i="2"/>
  <c r="V1115" i="2" a="1"/>
  <c r="V1115" i="2"/>
  <c r="AQ1115" i="2" s="1"/>
  <c r="M1115" i="2" a="1"/>
  <c r="M1115" i="2" s="1"/>
  <c r="I1115" i="2" a="1"/>
  <c r="I1115" i="2" s="1"/>
  <c r="AN1114" i="2"/>
  <c r="AM1114" i="2"/>
  <c r="AI1114" i="2"/>
  <c r="Y1114" i="2"/>
  <c r="V1114" i="2" a="1"/>
  <c r="V1114" i="2" s="1"/>
  <c r="AQ1114" i="2" s="1"/>
  <c r="M1114" i="2" a="1"/>
  <c r="M1114" i="2" s="1"/>
  <c r="I1114" i="2" a="1"/>
  <c r="I1114" i="2" s="1"/>
  <c r="AN1113" i="2"/>
  <c r="AM1113" i="2"/>
  <c r="AI1113" i="2"/>
  <c r="Y1113" i="2"/>
  <c r="V1113" i="2" a="1"/>
  <c r="V1113" i="2" s="1"/>
  <c r="AQ1113" i="2" s="1"/>
  <c r="M1113" i="2" a="1"/>
  <c r="M1113" i="2" s="1"/>
  <c r="AP1113" i="2" s="1"/>
  <c r="I1113" i="2" a="1"/>
  <c r="I1113" i="2" s="1"/>
  <c r="AN1112" i="2"/>
  <c r="AM1112" i="2"/>
  <c r="AI1112" i="2"/>
  <c r="Y1112" i="2"/>
  <c r="V1112" i="2" a="1"/>
  <c r="V1112" i="2" s="1"/>
  <c r="AQ1112" i="2" s="1"/>
  <c r="M1112" i="2" a="1"/>
  <c r="M1112" i="2" s="1"/>
  <c r="I1112" i="2" a="1"/>
  <c r="I1112" i="2" s="1"/>
  <c r="AN1111" i="2"/>
  <c r="AM1111" i="2"/>
  <c r="AI1111" i="2"/>
  <c r="Y1111" i="2"/>
  <c r="V1111" i="2" a="1"/>
  <c r="V1111" i="2" s="1"/>
  <c r="M1111" i="2" a="1"/>
  <c r="M1111" i="2" s="1"/>
  <c r="I1111" i="2" a="1"/>
  <c r="I1111" i="2"/>
  <c r="AQ1110" i="2"/>
  <c r="AN1110" i="2"/>
  <c r="AM1110" i="2"/>
  <c r="AI1110" i="2"/>
  <c r="Y1110" i="2"/>
  <c r="V1110" i="2" a="1"/>
  <c r="V1110" i="2" s="1"/>
  <c r="M1110" i="2" a="1"/>
  <c r="M1110" i="2"/>
  <c r="I1110" i="2" a="1"/>
  <c r="I1110" i="2" s="1"/>
  <c r="AN1109" i="2"/>
  <c r="AM1109" i="2"/>
  <c r="AI1109" i="2"/>
  <c r="Y1109" i="2"/>
  <c r="V1109" i="2" a="1"/>
  <c r="V1109" i="2" s="1"/>
  <c r="M1109" i="2" a="1"/>
  <c r="M1109" i="2" s="1"/>
  <c r="I1109" i="2" a="1"/>
  <c r="I1109" i="2"/>
  <c r="AQ1108" i="2"/>
  <c r="AN1108" i="2"/>
  <c r="AM1108" i="2"/>
  <c r="AI1108" i="2"/>
  <c r="Y1108" i="2"/>
  <c r="V1108" i="2" a="1"/>
  <c r="V1108" i="2" s="1"/>
  <c r="M1108" i="2" a="1"/>
  <c r="M1108" i="2"/>
  <c r="I1108" i="2" a="1"/>
  <c r="I1108" i="2" s="1"/>
  <c r="AN1107" i="2"/>
  <c r="AM1107" i="2"/>
  <c r="AI1107" i="2"/>
  <c r="Y1107" i="2"/>
  <c r="V1107" i="2" a="1"/>
  <c r="V1107" i="2"/>
  <c r="AQ1107" i="2" s="1"/>
  <c r="M1107" i="2" a="1"/>
  <c r="M1107" i="2" s="1"/>
  <c r="I1107" i="2" a="1"/>
  <c r="I1107" i="2" s="1"/>
  <c r="AN1106" i="2"/>
  <c r="AM1106" i="2"/>
  <c r="AI1106" i="2"/>
  <c r="Y1106" i="2"/>
  <c r="V1106" i="2" a="1"/>
  <c r="V1106" i="2" s="1"/>
  <c r="AQ1106" i="2" s="1"/>
  <c r="M1106" i="2" a="1"/>
  <c r="M1106" i="2" s="1"/>
  <c r="I1106" i="2" a="1"/>
  <c r="I1106" i="2" s="1"/>
  <c r="AN1105" i="2"/>
  <c r="AM1105" i="2"/>
  <c r="AI1105" i="2"/>
  <c r="Y1105" i="2"/>
  <c r="V1105" i="2" a="1"/>
  <c r="V1105" i="2" s="1"/>
  <c r="AQ1105" i="2" s="1"/>
  <c r="M1105" i="2" a="1"/>
  <c r="M1105" i="2" s="1"/>
  <c r="I1105" i="2" a="1"/>
  <c r="I1105" i="2" s="1"/>
  <c r="AN1104" i="2"/>
  <c r="AM1104" i="2"/>
  <c r="AI1104" i="2"/>
  <c r="Y1104" i="2"/>
  <c r="V1104" i="2" a="1"/>
  <c r="V1104" i="2" s="1"/>
  <c r="AQ1104" i="2" s="1"/>
  <c r="M1104" i="2" a="1"/>
  <c r="M1104" i="2" s="1"/>
  <c r="I1104" i="2" a="1"/>
  <c r="I1104" i="2" s="1"/>
  <c r="AN1103" i="2"/>
  <c r="AM1103" i="2"/>
  <c r="AI1103" i="2"/>
  <c r="Y1103" i="2"/>
  <c r="V1103" i="2" a="1"/>
  <c r="V1103" i="2" s="1"/>
  <c r="M1103" i="2" a="1"/>
  <c r="M1103" i="2" s="1"/>
  <c r="I1103" i="2" a="1"/>
  <c r="I1103" i="2"/>
  <c r="AQ1102" i="2"/>
  <c r="AN1102" i="2"/>
  <c r="AM1102" i="2"/>
  <c r="AI1102" i="2"/>
  <c r="Y1102" i="2"/>
  <c r="V1102" i="2" a="1"/>
  <c r="V1102" i="2" s="1"/>
  <c r="M1102" i="2" a="1"/>
  <c r="M1102" i="2"/>
  <c r="I1102" i="2" a="1"/>
  <c r="I1102" i="2" s="1"/>
  <c r="AN1101" i="2"/>
  <c r="AM1101" i="2"/>
  <c r="AI1101" i="2"/>
  <c r="Y1101" i="2"/>
  <c r="V1101" i="2" a="1"/>
  <c r="V1101" i="2" s="1"/>
  <c r="M1101" i="2" a="1"/>
  <c r="M1101" i="2" s="1"/>
  <c r="I1101" i="2" a="1"/>
  <c r="I1101" i="2"/>
  <c r="AQ1100" i="2"/>
  <c r="AN1100" i="2"/>
  <c r="AM1100" i="2"/>
  <c r="AI1100" i="2"/>
  <c r="Y1100" i="2"/>
  <c r="V1100" i="2" a="1"/>
  <c r="V1100" i="2" s="1"/>
  <c r="M1100" i="2" a="1"/>
  <c r="M1100" i="2"/>
  <c r="I1100" i="2" a="1"/>
  <c r="I1100" i="2" s="1"/>
  <c r="AN1099" i="2"/>
  <c r="AM1099" i="2"/>
  <c r="AI1099" i="2"/>
  <c r="Y1099" i="2"/>
  <c r="V1099" i="2" a="1"/>
  <c r="V1099" i="2"/>
  <c r="AQ1099" i="2" s="1"/>
  <c r="M1099" i="2" a="1"/>
  <c r="M1099" i="2" s="1"/>
  <c r="I1099" i="2" a="1"/>
  <c r="I1099" i="2" s="1"/>
  <c r="AN1098" i="2"/>
  <c r="AM1098" i="2"/>
  <c r="AI1098" i="2"/>
  <c r="Y1098" i="2"/>
  <c r="V1098" i="2" a="1"/>
  <c r="V1098" i="2" s="1"/>
  <c r="AQ1098" i="2" s="1"/>
  <c r="M1098" i="2" a="1"/>
  <c r="M1098" i="2" s="1"/>
  <c r="I1098" i="2" a="1"/>
  <c r="I1098" i="2" s="1"/>
  <c r="AN1097" i="2"/>
  <c r="AM1097" i="2"/>
  <c r="AI1097" i="2"/>
  <c r="Y1097" i="2"/>
  <c r="V1097" i="2" a="1"/>
  <c r="V1097" i="2" s="1"/>
  <c r="AQ1097" i="2" s="1"/>
  <c r="M1097" i="2" a="1"/>
  <c r="M1097" i="2" s="1"/>
  <c r="AP1097" i="2" s="1"/>
  <c r="I1097" i="2" a="1"/>
  <c r="I1097" i="2" s="1"/>
  <c r="AN1096" i="2"/>
  <c r="AM1096" i="2"/>
  <c r="AI1096" i="2"/>
  <c r="Y1096" i="2"/>
  <c r="V1096" i="2" a="1"/>
  <c r="V1096" i="2" s="1"/>
  <c r="AQ1096" i="2" s="1"/>
  <c r="M1096" i="2" a="1"/>
  <c r="M1096" i="2" s="1"/>
  <c r="I1096" i="2" a="1"/>
  <c r="I1096" i="2" s="1"/>
  <c r="AN1095" i="2"/>
  <c r="AM1095" i="2"/>
  <c r="AI1095" i="2"/>
  <c r="Y1095" i="2"/>
  <c r="V1095" i="2" a="1"/>
  <c r="V1095" i="2" s="1"/>
  <c r="M1095" i="2" a="1"/>
  <c r="M1095" i="2" s="1"/>
  <c r="I1095" i="2" a="1"/>
  <c r="I1095" i="2"/>
  <c r="AN1094" i="2"/>
  <c r="AM1094" i="2"/>
  <c r="AI1094" i="2"/>
  <c r="Y1094" i="2"/>
  <c r="V1094" i="2" a="1"/>
  <c r="V1094" i="2" s="1"/>
  <c r="AQ1094" i="2" s="1"/>
  <c r="M1094" i="2" a="1"/>
  <c r="M1094" i="2"/>
  <c r="I1094" i="2" a="1"/>
  <c r="I1094" i="2" s="1"/>
  <c r="AN1093" i="2"/>
  <c r="AM1093" i="2"/>
  <c r="AI1093" i="2"/>
  <c r="Y1093" i="2"/>
  <c r="V1093" i="2" a="1"/>
  <c r="V1093" i="2"/>
  <c r="AQ1093" i="2" s="1"/>
  <c r="M1093" i="2" a="1"/>
  <c r="M1093" i="2" s="1"/>
  <c r="I1093" i="2" a="1"/>
  <c r="I1093" i="2"/>
  <c r="AQ1092" i="2"/>
  <c r="AN1092" i="2"/>
  <c r="AM1092" i="2"/>
  <c r="AI1092" i="2"/>
  <c r="Y1092" i="2"/>
  <c r="V1092" i="2" a="1"/>
  <c r="V1092" i="2" s="1"/>
  <c r="M1092" i="2" a="1"/>
  <c r="M1092" i="2"/>
  <c r="I1092" i="2" a="1"/>
  <c r="I1092" i="2" s="1"/>
  <c r="AN1091" i="2"/>
  <c r="AM1091" i="2"/>
  <c r="AI1091" i="2"/>
  <c r="Y1091" i="2"/>
  <c r="V1091" i="2" a="1"/>
  <c r="V1091" i="2"/>
  <c r="AQ1091" i="2" s="1"/>
  <c r="M1091" i="2" a="1"/>
  <c r="M1091" i="2" s="1"/>
  <c r="I1091" i="2" a="1"/>
  <c r="I1091" i="2" s="1"/>
  <c r="AN1090" i="2"/>
  <c r="AM1090" i="2"/>
  <c r="AI1090" i="2"/>
  <c r="Y1090" i="2"/>
  <c r="V1090" i="2" a="1"/>
  <c r="V1090" i="2" s="1"/>
  <c r="AQ1090" i="2" s="1"/>
  <c r="M1090" i="2" a="1"/>
  <c r="M1090" i="2" s="1"/>
  <c r="I1090" i="2" a="1"/>
  <c r="I1090" i="2" s="1"/>
  <c r="AN1089" i="2"/>
  <c r="AM1089" i="2"/>
  <c r="AI1089" i="2"/>
  <c r="Y1089" i="2"/>
  <c r="V1089" i="2" a="1"/>
  <c r="V1089" i="2" s="1"/>
  <c r="AQ1089" i="2" s="1"/>
  <c r="M1089" i="2" a="1"/>
  <c r="M1089" i="2" s="1"/>
  <c r="I1089" i="2" a="1"/>
  <c r="I1089" i="2" s="1"/>
  <c r="AN1088" i="2"/>
  <c r="AM1088" i="2"/>
  <c r="AI1088" i="2"/>
  <c r="Y1088" i="2"/>
  <c r="V1088" i="2" a="1"/>
  <c r="V1088" i="2" s="1"/>
  <c r="AQ1088" i="2" s="1"/>
  <c r="M1088" i="2" a="1"/>
  <c r="M1088" i="2" s="1"/>
  <c r="I1088" i="2" a="1"/>
  <c r="I1088" i="2" s="1"/>
  <c r="AN1087" i="2"/>
  <c r="AM1087" i="2"/>
  <c r="AI1087" i="2"/>
  <c r="Y1087" i="2"/>
  <c r="V1087" i="2" a="1"/>
  <c r="V1087" i="2" s="1"/>
  <c r="M1087" i="2" a="1"/>
  <c r="M1087" i="2" s="1"/>
  <c r="I1087" i="2" a="1"/>
  <c r="I1087" i="2"/>
  <c r="AQ1086" i="2"/>
  <c r="AN1086" i="2"/>
  <c r="AM1086" i="2"/>
  <c r="AI1086" i="2"/>
  <c r="Y1086" i="2"/>
  <c r="V1086" i="2" a="1"/>
  <c r="V1086" i="2" s="1"/>
  <c r="M1086" i="2" a="1"/>
  <c r="M1086" i="2"/>
  <c r="I1086" i="2" a="1"/>
  <c r="I1086" i="2" s="1"/>
  <c r="AN1085" i="2"/>
  <c r="AM1085" i="2"/>
  <c r="AI1085" i="2"/>
  <c r="Y1085" i="2"/>
  <c r="V1085" i="2" a="1"/>
  <c r="V1085" i="2"/>
  <c r="AQ1085" i="2" s="1"/>
  <c r="M1085" i="2" a="1"/>
  <c r="M1085" i="2" s="1"/>
  <c r="I1085" i="2" a="1"/>
  <c r="I1085" i="2"/>
  <c r="AQ1084" i="2"/>
  <c r="AN1084" i="2"/>
  <c r="AM1084" i="2"/>
  <c r="AI1084" i="2"/>
  <c r="Y1084" i="2"/>
  <c r="V1084" i="2" a="1"/>
  <c r="V1084" i="2" s="1"/>
  <c r="M1084" i="2" a="1"/>
  <c r="M1084" i="2"/>
  <c r="I1084" i="2" a="1"/>
  <c r="I1084" i="2" s="1"/>
  <c r="AN1083" i="2"/>
  <c r="AM1083" i="2"/>
  <c r="AI1083" i="2"/>
  <c r="Y1083" i="2"/>
  <c r="V1083" i="2" a="1"/>
  <c r="V1083" i="2"/>
  <c r="AQ1083" i="2" s="1"/>
  <c r="M1083" i="2" a="1"/>
  <c r="M1083" i="2" s="1"/>
  <c r="I1083" i="2" a="1"/>
  <c r="I1083" i="2" s="1"/>
  <c r="AN1082" i="2"/>
  <c r="AM1082" i="2"/>
  <c r="AI1082" i="2"/>
  <c r="Y1082" i="2"/>
  <c r="V1082" i="2" a="1"/>
  <c r="V1082" i="2" s="1"/>
  <c r="AQ1082" i="2" s="1"/>
  <c r="M1082" i="2" a="1"/>
  <c r="M1082" i="2" s="1"/>
  <c r="I1082" i="2" a="1"/>
  <c r="I1082" i="2" s="1"/>
  <c r="AN1081" i="2"/>
  <c r="AM1081" i="2"/>
  <c r="AI1081" i="2"/>
  <c r="Y1081" i="2"/>
  <c r="V1081" i="2" a="1"/>
  <c r="V1081" i="2" s="1"/>
  <c r="AQ1081" i="2" s="1"/>
  <c r="M1081" i="2" a="1"/>
  <c r="M1081" i="2" s="1"/>
  <c r="AP1081" i="2" s="1"/>
  <c r="I1081" i="2" a="1"/>
  <c r="I1081" i="2" s="1"/>
  <c r="AN1080" i="2"/>
  <c r="AM1080" i="2"/>
  <c r="AI1080" i="2"/>
  <c r="Y1080" i="2"/>
  <c r="V1080" i="2" a="1"/>
  <c r="V1080" i="2" s="1"/>
  <c r="AQ1080" i="2" s="1"/>
  <c r="M1080" i="2" a="1"/>
  <c r="M1080" i="2" s="1"/>
  <c r="I1080" i="2" a="1"/>
  <c r="I1080" i="2" s="1"/>
  <c r="AN1079" i="2"/>
  <c r="AM1079" i="2"/>
  <c r="AI1079" i="2"/>
  <c r="Y1079" i="2"/>
  <c r="V1079" i="2" a="1"/>
  <c r="V1079" i="2" s="1"/>
  <c r="M1079" i="2" a="1"/>
  <c r="M1079" i="2" s="1"/>
  <c r="I1079" i="2" a="1"/>
  <c r="I1079" i="2"/>
  <c r="AQ1078" i="2"/>
  <c r="AN1078" i="2"/>
  <c r="AM1078" i="2"/>
  <c r="AI1078" i="2"/>
  <c r="Y1078" i="2"/>
  <c r="V1078" i="2" a="1"/>
  <c r="V1078" i="2" s="1"/>
  <c r="M1078" i="2" a="1"/>
  <c r="M1078" i="2"/>
  <c r="I1078" i="2" a="1"/>
  <c r="I1078" i="2" s="1"/>
  <c r="AN1077" i="2"/>
  <c r="AM1077" i="2"/>
  <c r="AI1077" i="2"/>
  <c r="Y1077" i="2"/>
  <c r="V1077" i="2" a="1"/>
  <c r="V1077" i="2"/>
  <c r="AQ1077" i="2" s="1"/>
  <c r="M1077" i="2" a="1"/>
  <c r="M1077" i="2" s="1"/>
  <c r="I1077" i="2" a="1"/>
  <c r="I1077" i="2"/>
  <c r="AQ1076" i="2"/>
  <c r="AN1076" i="2"/>
  <c r="AM1076" i="2"/>
  <c r="AI1076" i="2"/>
  <c r="Y1076" i="2"/>
  <c r="V1076" i="2" a="1"/>
  <c r="V1076" i="2" s="1"/>
  <c r="M1076" i="2" a="1"/>
  <c r="M1076" i="2"/>
  <c r="I1076" i="2" a="1"/>
  <c r="I1076" i="2" s="1"/>
  <c r="AN1075" i="2"/>
  <c r="AM1075" i="2"/>
  <c r="AI1075" i="2"/>
  <c r="Y1075" i="2"/>
  <c r="V1075" i="2" a="1"/>
  <c r="V1075" i="2"/>
  <c r="AQ1075" i="2" s="1"/>
  <c r="M1075" i="2" a="1"/>
  <c r="M1075" i="2" s="1"/>
  <c r="I1075" i="2" a="1"/>
  <c r="I1075" i="2" s="1"/>
  <c r="AN1074" i="2"/>
  <c r="AM1074" i="2"/>
  <c r="AI1074" i="2"/>
  <c r="Y1074" i="2"/>
  <c r="V1074" i="2" a="1"/>
  <c r="V1074" i="2" s="1"/>
  <c r="AQ1074" i="2" s="1"/>
  <c r="M1074" i="2" a="1"/>
  <c r="M1074" i="2" s="1"/>
  <c r="I1074" i="2" a="1"/>
  <c r="I1074" i="2" s="1"/>
  <c r="AN1073" i="2"/>
  <c r="AM1073" i="2"/>
  <c r="AI1073" i="2"/>
  <c r="Y1073" i="2"/>
  <c r="V1073" i="2" a="1"/>
  <c r="V1073" i="2" s="1"/>
  <c r="AQ1073" i="2" s="1"/>
  <c r="M1073" i="2" a="1"/>
  <c r="M1073" i="2" s="1"/>
  <c r="AP1073" i="2" s="1"/>
  <c r="I1073" i="2" a="1"/>
  <c r="I1073" i="2" s="1"/>
  <c r="AN1072" i="2"/>
  <c r="AM1072" i="2"/>
  <c r="AI1072" i="2"/>
  <c r="Y1072" i="2"/>
  <c r="V1072" i="2" a="1"/>
  <c r="V1072" i="2" s="1"/>
  <c r="AQ1072" i="2" s="1"/>
  <c r="M1072" i="2" a="1"/>
  <c r="M1072" i="2" s="1"/>
  <c r="I1072" i="2" a="1"/>
  <c r="I1072" i="2" s="1"/>
  <c r="AN1071" i="2"/>
  <c r="AM1071" i="2"/>
  <c r="AI1071" i="2"/>
  <c r="Y1071" i="2"/>
  <c r="V1071" i="2" a="1"/>
  <c r="V1071" i="2" s="1"/>
  <c r="M1071" i="2" a="1"/>
  <c r="M1071" i="2" s="1"/>
  <c r="I1071" i="2" a="1"/>
  <c r="I1071" i="2"/>
  <c r="AQ1070" i="2"/>
  <c r="AN1070" i="2"/>
  <c r="AM1070" i="2"/>
  <c r="AI1070" i="2"/>
  <c r="Y1070" i="2"/>
  <c r="V1070" i="2" a="1"/>
  <c r="V1070" i="2" s="1"/>
  <c r="M1070" i="2" a="1"/>
  <c r="M1070" i="2"/>
  <c r="I1070" i="2" a="1"/>
  <c r="I1070" i="2" s="1"/>
  <c r="AN1069" i="2"/>
  <c r="AM1069" i="2"/>
  <c r="AI1069" i="2"/>
  <c r="Y1069" i="2"/>
  <c r="V1069" i="2" a="1"/>
  <c r="V1069" i="2"/>
  <c r="AQ1069" i="2" s="1"/>
  <c r="M1069" i="2" a="1"/>
  <c r="M1069" i="2" s="1"/>
  <c r="I1069" i="2" a="1"/>
  <c r="I1069" i="2"/>
  <c r="AQ1068" i="2"/>
  <c r="AN1068" i="2"/>
  <c r="AM1068" i="2"/>
  <c r="AI1068" i="2"/>
  <c r="Y1068" i="2"/>
  <c r="V1068" i="2" a="1"/>
  <c r="V1068" i="2" s="1"/>
  <c r="M1068" i="2" a="1"/>
  <c r="M1068" i="2"/>
  <c r="I1068" i="2" a="1"/>
  <c r="I1068" i="2" s="1"/>
  <c r="AN1067" i="2"/>
  <c r="AM1067" i="2"/>
  <c r="AI1067" i="2"/>
  <c r="Y1067" i="2"/>
  <c r="V1067" i="2" a="1"/>
  <c r="V1067" i="2"/>
  <c r="AQ1067" i="2" s="1"/>
  <c r="M1067" i="2" a="1"/>
  <c r="M1067" i="2" s="1"/>
  <c r="I1067" i="2" a="1"/>
  <c r="I1067" i="2" s="1"/>
  <c r="AN1066" i="2"/>
  <c r="AM1066" i="2"/>
  <c r="AI1066" i="2"/>
  <c r="Y1066" i="2"/>
  <c r="V1066" i="2" a="1"/>
  <c r="V1066" i="2" s="1"/>
  <c r="AQ1066" i="2" s="1"/>
  <c r="M1066" i="2" a="1"/>
  <c r="M1066" i="2" s="1"/>
  <c r="I1066" i="2" a="1"/>
  <c r="I1066" i="2" s="1"/>
  <c r="AN1065" i="2"/>
  <c r="AM1065" i="2"/>
  <c r="AI1065" i="2"/>
  <c r="Y1065" i="2"/>
  <c r="V1065" i="2" a="1"/>
  <c r="V1065" i="2" s="1"/>
  <c r="AQ1065" i="2" s="1"/>
  <c r="M1065" i="2" a="1"/>
  <c r="M1065" i="2" s="1"/>
  <c r="AP1065" i="2" s="1"/>
  <c r="I1065" i="2" a="1"/>
  <c r="I1065" i="2" s="1"/>
  <c r="AN1064" i="2"/>
  <c r="AM1064" i="2"/>
  <c r="AI1064" i="2"/>
  <c r="Y1064" i="2"/>
  <c r="V1064" i="2" a="1"/>
  <c r="V1064" i="2" s="1"/>
  <c r="AQ1064" i="2" s="1"/>
  <c r="M1064" i="2" a="1"/>
  <c r="M1064" i="2" s="1"/>
  <c r="I1064" i="2" a="1"/>
  <c r="I1064" i="2" s="1"/>
  <c r="AN1063" i="2"/>
  <c r="AM1063" i="2"/>
  <c r="AI1063" i="2"/>
  <c r="Y1063" i="2"/>
  <c r="V1063" i="2" a="1"/>
  <c r="V1063" i="2" s="1"/>
  <c r="M1063" i="2" a="1"/>
  <c r="M1063" i="2" s="1"/>
  <c r="I1063" i="2" a="1"/>
  <c r="I1063" i="2"/>
  <c r="AQ1062" i="2"/>
  <c r="AN1062" i="2"/>
  <c r="AM1062" i="2"/>
  <c r="AI1062" i="2"/>
  <c r="Y1062" i="2"/>
  <c r="V1062" i="2" a="1"/>
  <c r="V1062" i="2" s="1"/>
  <c r="M1062" i="2" a="1"/>
  <c r="M1062" i="2"/>
  <c r="I1062" i="2" a="1"/>
  <c r="I1062" i="2" s="1"/>
  <c r="AN1061" i="2"/>
  <c r="AM1061" i="2"/>
  <c r="AI1061" i="2"/>
  <c r="Y1061" i="2"/>
  <c r="V1061" i="2" a="1"/>
  <c r="V1061" i="2"/>
  <c r="AQ1061" i="2" s="1"/>
  <c r="M1061" i="2" a="1"/>
  <c r="M1061" i="2" s="1"/>
  <c r="I1061" i="2" a="1"/>
  <c r="I1061" i="2"/>
  <c r="AQ1060" i="2"/>
  <c r="AN1060" i="2"/>
  <c r="AM1060" i="2"/>
  <c r="AI1060" i="2"/>
  <c r="Y1060" i="2"/>
  <c r="V1060" i="2" a="1"/>
  <c r="V1060" i="2" s="1"/>
  <c r="M1060" i="2" a="1"/>
  <c r="M1060" i="2"/>
  <c r="I1060" i="2" a="1"/>
  <c r="I1060" i="2" s="1"/>
  <c r="AN1059" i="2"/>
  <c r="AM1059" i="2"/>
  <c r="AI1059" i="2"/>
  <c r="Y1059" i="2"/>
  <c r="V1059" i="2" a="1"/>
  <c r="V1059" i="2"/>
  <c r="AQ1059" i="2" s="1"/>
  <c r="M1059" i="2" a="1"/>
  <c r="M1059" i="2" s="1"/>
  <c r="I1059" i="2" a="1"/>
  <c r="I1059" i="2" s="1"/>
  <c r="AN1058" i="2"/>
  <c r="AM1058" i="2"/>
  <c r="AI1058" i="2"/>
  <c r="Y1058" i="2"/>
  <c r="V1058" i="2" a="1"/>
  <c r="V1058" i="2" s="1"/>
  <c r="AQ1058" i="2" s="1"/>
  <c r="M1058" i="2" a="1"/>
  <c r="M1058" i="2" s="1"/>
  <c r="I1058" i="2" a="1"/>
  <c r="I1058" i="2" s="1"/>
  <c r="AN1057" i="2"/>
  <c r="AM1057" i="2"/>
  <c r="AI1057" i="2"/>
  <c r="Y1057" i="2"/>
  <c r="V1057" i="2" a="1"/>
  <c r="V1057" i="2" s="1"/>
  <c r="AQ1057" i="2" s="1"/>
  <c r="M1057" i="2" a="1"/>
  <c r="M1057" i="2" s="1"/>
  <c r="AP1057" i="2" s="1"/>
  <c r="I1057" i="2" a="1"/>
  <c r="I1057" i="2" s="1"/>
  <c r="AN1056" i="2"/>
  <c r="AM1056" i="2"/>
  <c r="AI1056" i="2"/>
  <c r="Y1056" i="2"/>
  <c r="V1056" i="2" a="1"/>
  <c r="V1056" i="2" s="1"/>
  <c r="AQ1056" i="2" s="1"/>
  <c r="M1056" i="2" a="1"/>
  <c r="M1056" i="2" s="1"/>
  <c r="I1056" i="2" a="1"/>
  <c r="I1056" i="2" s="1"/>
  <c r="AN1055" i="2"/>
  <c r="AM1055" i="2"/>
  <c r="AI1055" i="2"/>
  <c r="Y1055" i="2"/>
  <c r="V1055" i="2" a="1"/>
  <c r="V1055" i="2" s="1"/>
  <c r="M1055" i="2" a="1"/>
  <c r="M1055" i="2" s="1"/>
  <c r="I1055" i="2" a="1"/>
  <c r="I1055" i="2"/>
  <c r="AQ1054" i="2"/>
  <c r="AN1054" i="2"/>
  <c r="AM1054" i="2"/>
  <c r="AI1054" i="2"/>
  <c r="Y1054" i="2"/>
  <c r="V1054" i="2" a="1"/>
  <c r="V1054" i="2" s="1"/>
  <c r="M1054" i="2" a="1"/>
  <c r="M1054" i="2"/>
  <c r="I1054" i="2" a="1"/>
  <c r="I1054" i="2" s="1"/>
  <c r="AN1053" i="2"/>
  <c r="AM1053" i="2"/>
  <c r="AI1053" i="2"/>
  <c r="Y1053" i="2"/>
  <c r="V1053" i="2" a="1"/>
  <c r="V1053" i="2"/>
  <c r="AQ1053" i="2" s="1"/>
  <c r="M1053" i="2" a="1"/>
  <c r="M1053" i="2" s="1"/>
  <c r="I1053" i="2" a="1"/>
  <c r="I1053" i="2"/>
  <c r="AQ1052" i="2"/>
  <c r="AN1052" i="2"/>
  <c r="AM1052" i="2"/>
  <c r="AI1052" i="2"/>
  <c r="Y1052" i="2"/>
  <c r="V1052" i="2" a="1"/>
  <c r="V1052" i="2" s="1"/>
  <c r="M1052" i="2" a="1"/>
  <c r="M1052" i="2"/>
  <c r="I1052" i="2" a="1"/>
  <c r="I1052" i="2" s="1"/>
  <c r="AQ1051" i="2"/>
  <c r="AN1051" i="2"/>
  <c r="AM1051" i="2"/>
  <c r="AI1051" i="2"/>
  <c r="Y1051" i="2"/>
  <c r="V1051" i="2" a="1"/>
  <c r="V1051" i="2"/>
  <c r="M1051" i="2" a="1"/>
  <c r="M1051" i="2" s="1"/>
  <c r="I1051" i="2" a="1"/>
  <c r="I1051" i="2" s="1"/>
  <c r="AN1050" i="2"/>
  <c r="AM1050" i="2"/>
  <c r="AI1050" i="2"/>
  <c r="Y1050" i="2"/>
  <c r="V1050" i="2" a="1"/>
  <c r="V1050" i="2" s="1"/>
  <c r="AQ1050" i="2" s="1"/>
  <c r="M1050" i="2" a="1"/>
  <c r="M1050" i="2" s="1"/>
  <c r="I1050" i="2" a="1"/>
  <c r="I1050" i="2" s="1"/>
  <c r="AN1049" i="2"/>
  <c r="AM1049" i="2"/>
  <c r="AI1049" i="2"/>
  <c r="Y1049" i="2"/>
  <c r="V1049" i="2" a="1"/>
  <c r="V1049" i="2" s="1"/>
  <c r="M1049" i="2" a="1"/>
  <c r="M1049" i="2" s="1"/>
  <c r="I1049" i="2" a="1"/>
  <c r="I1049" i="2" s="1"/>
  <c r="AN1048" i="2"/>
  <c r="AM1048" i="2"/>
  <c r="AI1048" i="2"/>
  <c r="Y1048" i="2"/>
  <c r="V1048" i="2" a="1"/>
  <c r="V1048" i="2" s="1"/>
  <c r="AQ1048" i="2" s="1"/>
  <c r="M1048" i="2" a="1"/>
  <c r="M1048" i="2" s="1"/>
  <c r="I1048" i="2" a="1"/>
  <c r="I1048" i="2" s="1"/>
  <c r="AN1047" i="2"/>
  <c r="AM1047" i="2"/>
  <c r="AI1047" i="2"/>
  <c r="Y1047" i="2"/>
  <c r="V1047" i="2" a="1"/>
  <c r="V1047" i="2" s="1"/>
  <c r="M1047" i="2" a="1"/>
  <c r="M1047" i="2" s="1"/>
  <c r="I1047" i="2" a="1"/>
  <c r="I1047" i="2"/>
  <c r="AQ1046" i="2"/>
  <c r="AN1046" i="2"/>
  <c r="AM1046" i="2"/>
  <c r="AI1046" i="2"/>
  <c r="Y1046" i="2"/>
  <c r="V1046" i="2" a="1"/>
  <c r="V1046" i="2" s="1"/>
  <c r="M1046" i="2" a="1"/>
  <c r="M1046" i="2"/>
  <c r="I1046" i="2" a="1"/>
  <c r="I1046" i="2" s="1"/>
  <c r="AN1045" i="2"/>
  <c r="AM1045" i="2"/>
  <c r="AI1045" i="2"/>
  <c r="Y1045" i="2"/>
  <c r="V1045" i="2" a="1"/>
  <c r="V1045" i="2"/>
  <c r="AQ1045" i="2" s="1"/>
  <c r="M1045" i="2" a="1"/>
  <c r="M1045" i="2" s="1"/>
  <c r="I1045" i="2" a="1"/>
  <c r="I1045" i="2"/>
  <c r="AQ1044" i="2"/>
  <c r="AN1044" i="2"/>
  <c r="AM1044" i="2"/>
  <c r="AI1044" i="2"/>
  <c r="Y1044" i="2"/>
  <c r="V1044" i="2" a="1"/>
  <c r="V1044" i="2" s="1"/>
  <c r="M1044" i="2" a="1"/>
  <c r="M1044" i="2"/>
  <c r="I1044" i="2" a="1"/>
  <c r="I1044" i="2" s="1"/>
  <c r="AN1043" i="2"/>
  <c r="AM1043" i="2"/>
  <c r="AI1043" i="2"/>
  <c r="Y1043" i="2"/>
  <c r="V1043" i="2" a="1"/>
  <c r="V1043" i="2"/>
  <c r="AQ1043" i="2" s="1"/>
  <c r="M1043" i="2" a="1"/>
  <c r="M1043" i="2" s="1"/>
  <c r="I1043" i="2" a="1"/>
  <c r="I1043" i="2" s="1"/>
  <c r="AN1042" i="2"/>
  <c r="AM1042" i="2"/>
  <c r="AI1042" i="2"/>
  <c r="Y1042" i="2"/>
  <c r="V1042" i="2" a="1"/>
  <c r="V1042" i="2" s="1"/>
  <c r="AQ1042" i="2" s="1"/>
  <c r="M1042" i="2" a="1"/>
  <c r="M1042" i="2" s="1"/>
  <c r="I1042" i="2" a="1"/>
  <c r="I1042" i="2" s="1"/>
  <c r="AN1041" i="2"/>
  <c r="AM1041" i="2"/>
  <c r="AI1041" i="2"/>
  <c r="Y1041" i="2"/>
  <c r="V1041" i="2" a="1"/>
  <c r="V1041" i="2" s="1"/>
  <c r="AQ1041" i="2" s="1"/>
  <c r="M1041" i="2" a="1"/>
  <c r="M1041" i="2" s="1"/>
  <c r="I1041" i="2" a="1"/>
  <c r="I1041" i="2" s="1"/>
  <c r="AN1040" i="2"/>
  <c r="AM1040" i="2"/>
  <c r="AI1040" i="2"/>
  <c r="Y1040" i="2"/>
  <c r="V1040" i="2" a="1"/>
  <c r="V1040" i="2" s="1"/>
  <c r="AQ1040" i="2" s="1"/>
  <c r="M1040" i="2" a="1"/>
  <c r="M1040" i="2" s="1"/>
  <c r="I1040" i="2" a="1"/>
  <c r="I1040" i="2" s="1"/>
  <c r="AN1039" i="2"/>
  <c r="AM1039" i="2"/>
  <c r="AI1039" i="2"/>
  <c r="Y1039" i="2"/>
  <c r="V1039" i="2" a="1"/>
  <c r="V1039" i="2" s="1"/>
  <c r="M1039" i="2" a="1"/>
  <c r="M1039" i="2" s="1"/>
  <c r="I1039" i="2" a="1"/>
  <c r="I1039" i="2"/>
  <c r="AQ1038" i="2"/>
  <c r="AN1038" i="2"/>
  <c r="AM1038" i="2"/>
  <c r="AI1038" i="2"/>
  <c r="Y1038" i="2"/>
  <c r="V1038" i="2" a="1"/>
  <c r="V1038" i="2" s="1"/>
  <c r="M1038" i="2" a="1"/>
  <c r="M1038" i="2"/>
  <c r="I1038" i="2" a="1"/>
  <c r="I1038" i="2" s="1"/>
  <c r="AN1037" i="2"/>
  <c r="AM1037" i="2"/>
  <c r="AI1037" i="2"/>
  <c r="Y1037" i="2"/>
  <c r="V1037" i="2" a="1"/>
  <c r="V1037" i="2" s="1"/>
  <c r="M1037" i="2" a="1"/>
  <c r="M1037" i="2" s="1"/>
  <c r="I1037" i="2" a="1"/>
  <c r="I1037" i="2"/>
  <c r="AQ1036" i="2"/>
  <c r="AN1036" i="2"/>
  <c r="AM1036" i="2"/>
  <c r="AI1036" i="2"/>
  <c r="Y1036" i="2"/>
  <c r="V1036" i="2" a="1"/>
  <c r="V1036" i="2" s="1"/>
  <c r="M1036" i="2" a="1"/>
  <c r="M1036" i="2"/>
  <c r="I1036" i="2" a="1"/>
  <c r="I1036" i="2" s="1"/>
  <c r="AN1035" i="2"/>
  <c r="AM1035" i="2"/>
  <c r="AI1035" i="2"/>
  <c r="Y1035" i="2"/>
  <c r="V1035" i="2" a="1"/>
  <c r="V1035" i="2"/>
  <c r="AQ1035" i="2" s="1"/>
  <c r="M1035" i="2" a="1"/>
  <c r="M1035" i="2" s="1"/>
  <c r="I1035" i="2" a="1"/>
  <c r="I1035" i="2" s="1"/>
  <c r="AQ1034" i="2"/>
  <c r="AN1034" i="2"/>
  <c r="AM1034" i="2"/>
  <c r="AI1034" i="2"/>
  <c r="Y1034" i="2"/>
  <c r="V1034" i="2" a="1"/>
  <c r="V1034" i="2" s="1"/>
  <c r="M1034" i="2" a="1"/>
  <c r="M1034" i="2" s="1"/>
  <c r="I1034" i="2" a="1"/>
  <c r="I1034" i="2" s="1"/>
  <c r="AN1033" i="2"/>
  <c r="AM1033" i="2"/>
  <c r="AI1033" i="2"/>
  <c r="Y1033" i="2"/>
  <c r="V1033" i="2" a="1"/>
  <c r="V1033" i="2" s="1"/>
  <c r="AQ1033" i="2" s="1"/>
  <c r="M1033" i="2" a="1"/>
  <c r="M1033" i="2" s="1"/>
  <c r="I1033" i="2" a="1"/>
  <c r="I1033" i="2" s="1"/>
  <c r="AN1032" i="2"/>
  <c r="AM1032" i="2"/>
  <c r="AI1032" i="2"/>
  <c r="Y1032" i="2"/>
  <c r="V1032" i="2" a="1"/>
  <c r="V1032" i="2" s="1"/>
  <c r="AQ1032" i="2" s="1"/>
  <c r="M1032" i="2" a="1"/>
  <c r="M1032" i="2" s="1"/>
  <c r="I1032" i="2" a="1"/>
  <c r="I1032" i="2" s="1"/>
  <c r="AN1031" i="2"/>
  <c r="AM1031" i="2"/>
  <c r="AI1031" i="2"/>
  <c r="Y1031" i="2"/>
  <c r="V1031" i="2" a="1"/>
  <c r="V1031" i="2" s="1"/>
  <c r="M1031" i="2" a="1"/>
  <c r="M1031" i="2" s="1"/>
  <c r="I1031" i="2" a="1"/>
  <c r="I1031" i="2" s="1"/>
  <c r="AQ1030" i="2"/>
  <c r="AN1030" i="2"/>
  <c r="AM1030" i="2"/>
  <c r="AI1030" i="2"/>
  <c r="Y1030" i="2"/>
  <c r="V1030" i="2" a="1"/>
  <c r="V1030" i="2" s="1"/>
  <c r="M1030" i="2" a="1"/>
  <c r="M1030" i="2" s="1"/>
  <c r="I1030" i="2" a="1"/>
  <c r="I1030" i="2" s="1"/>
  <c r="AN1029" i="2"/>
  <c r="AM1029" i="2"/>
  <c r="AI1029" i="2"/>
  <c r="Y1029" i="2"/>
  <c r="V1029" i="2" a="1"/>
  <c r="V1029" i="2" s="1"/>
  <c r="M1029" i="2" a="1"/>
  <c r="M1029" i="2" s="1"/>
  <c r="I1029" i="2" a="1"/>
  <c r="I1029" i="2"/>
  <c r="AQ1028" i="2"/>
  <c r="AN1028" i="2"/>
  <c r="AM1028" i="2"/>
  <c r="AI1028" i="2"/>
  <c r="Y1028" i="2"/>
  <c r="V1028" i="2" a="1"/>
  <c r="V1028" i="2" s="1"/>
  <c r="M1028" i="2" a="1"/>
  <c r="M1028" i="2"/>
  <c r="I1028" i="2" a="1"/>
  <c r="I1028" i="2" s="1"/>
  <c r="AN1027" i="2"/>
  <c r="AM1027" i="2"/>
  <c r="AI1027" i="2"/>
  <c r="Y1027" i="2"/>
  <c r="V1027" i="2" a="1"/>
  <c r="V1027" i="2"/>
  <c r="AQ1027" i="2" s="1"/>
  <c r="M1027" i="2" a="1"/>
  <c r="M1027" i="2" s="1"/>
  <c r="I1027" i="2" a="1"/>
  <c r="I1027" i="2" s="1"/>
  <c r="AQ1026" i="2"/>
  <c r="AN1026" i="2"/>
  <c r="AM1026" i="2"/>
  <c r="AI1026" i="2"/>
  <c r="Y1026" i="2"/>
  <c r="V1026" i="2" a="1"/>
  <c r="V1026" i="2" s="1"/>
  <c r="M1026" i="2" a="1"/>
  <c r="M1026" i="2" s="1"/>
  <c r="I1026" i="2" a="1"/>
  <c r="I1026" i="2" s="1"/>
  <c r="AN1025" i="2"/>
  <c r="AM1025" i="2"/>
  <c r="AI1025" i="2"/>
  <c r="Y1025" i="2"/>
  <c r="V1025" i="2" a="1"/>
  <c r="V1025" i="2" s="1"/>
  <c r="AQ1025" i="2" s="1"/>
  <c r="M1025" i="2" a="1"/>
  <c r="M1025" i="2" s="1"/>
  <c r="I1025" i="2" a="1"/>
  <c r="I1025" i="2" s="1"/>
  <c r="AN1024" i="2"/>
  <c r="AM1024" i="2"/>
  <c r="AI1024" i="2"/>
  <c r="Y1024" i="2"/>
  <c r="V1024" i="2" a="1"/>
  <c r="V1024" i="2" s="1"/>
  <c r="AQ1024" i="2" s="1"/>
  <c r="M1024" i="2" a="1"/>
  <c r="M1024" i="2" s="1"/>
  <c r="I1024" i="2" a="1"/>
  <c r="I1024" i="2" s="1"/>
  <c r="AN1023" i="2"/>
  <c r="AM1023" i="2"/>
  <c r="AI1023" i="2"/>
  <c r="Y1023" i="2"/>
  <c r="V1023" i="2" a="1"/>
  <c r="V1023" i="2" s="1"/>
  <c r="M1023" i="2" a="1"/>
  <c r="M1023" i="2" s="1"/>
  <c r="I1023" i="2" a="1"/>
  <c r="I1023" i="2" s="1"/>
  <c r="AQ1022" i="2"/>
  <c r="AN1022" i="2"/>
  <c r="AM1022" i="2"/>
  <c r="AI1022" i="2"/>
  <c r="Y1022" i="2"/>
  <c r="V1022" i="2" a="1"/>
  <c r="V1022" i="2" s="1"/>
  <c r="M1022" i="2" a="1"/>
  <c r="M1022" i="2" s="1"/>
  <c r="I1022" i="2" a="1"/>
  <c r="I1022" i="2" s="1"/>
  <c r="AN1021" i="2"/>
  <c r="AM1021" i="2"/>
  <c r="AI1021" i="2"/>
  <c r="Y1021" i="2"/>
  <c r="V1021" i="2" a="1"/>
  <c r="V1021" i="2" s="1"/>
  <c r="M1021" i="2" a="1"/>
  <c r="M1021" i="2" s="1"/>
  <c r="I1021" i="2" a="1"/>
  <c r="I1021" i="2"/>
  <c r="AQ1020" i="2"/>
  <c r="AN1020" i="2"/>
  <c r="AM1020" i="2"/>
  <c r="AI1020" i="2"/>
  <c r="Y1020" i="2"/>
  <c r="V1020" i="2" a="1"/>
  <c r="V1020" i="2" s="1"/>
  <c r="M1020" i="2" a="1"/>
  <c r="M1020" i="2"/>
  <c r="I1020" i="2" a="1"/>
  <c r="I1020" i="2" s="1"/>
  <c r="AN1019" i="2"/>
  <c r="AM1019" i="2"/>
  <c r="AI1019" i="2"/>
  <c r="Y1019" i="2"/>
  <c r="V1019" i="2" a="1"/>
  <c r="V1019" i="2"/>
  <c r="AQ1019" i="2" s="1"/>
  <c r="M1019" i="2" a="1"/>
  <c r="M1019" i="2" s="1"/>
  <c r="I1019" i="2" a="1"/>
  <c r="I1019" i="2" s="1"/>
  <c r="AQ1018" i="2"/>
  <c r="AN1018" i="2"/>
  <c r="AM1018" i="2"/>
  <c r="AI1018" i="2"/>
  <c r="Y1018" i="2"/>
  <c r="V1018" i="2" a="1"/>
  <c r="V1018" i="2" s="1"/>
  <c r="M1018" i="2" a="1"/>
  <c r="M1018" i="2" s="1"/>
  <c r="I1018" i="2" a="1"/>
  <c r="I1018" i="2" s="1"/>
  <c r="AN1017" i="2"/>
  <c r="AM1017" i="2"/>
  <c r="AI1017" i="2"/>
  <c r="Y1017" i="2"/>
  <c r="V1017" i="2" a="1"/>
  <c r="V1017" i="2" s="1"/>
  <c r="AQ1017" i="2" s="1"/>
  <c r="M1017" i="2" a="1"/>
  <c r="M1017" i="2" s="1"/>
  <c r="I1017" i="2" a="1"/>
  <c r="I1017" i="2" s="1"/>
  <c r="AN1016" i="2"/>
  <c r="AM1016" i="2"/>
  <c r="AI1016" i="2"/>
  <c r="Y1016" i="2"/>
  <c r="V1016" i="2" a="1"/>
  <c r="V1016" i="2" s="1"/>
  <c r="AQ1016" i="2" s="1"/>
  <c r="M1016" i="2" a="1"/>
  <c r="M1016" i="2" s="1"/>
  <c r="I1016" i="2" a="1"/>
  <c r="I1016" i="2" s="1"/>
  <c r="AN1015" i="2"/>
  <c r="AM1015" i="2"/>
  <c r="AI1015" i="2"/>
  <c r="Y1015" i="2"/>
  <c r="V1015" i="2" a="1"/>
  <c r="V1015" i="2" s="1"/>
  <c r="M1015" i="2" a="1"/>
  <c r="M1015" i="2" s="1"/>
  <c r="I1015" i="2" a="1"/>
  <c r="I1015" i="2" s="1"/>
  <c r="AQ1014" i="2"/>
  <c r="AN1014" i="2"/>
  <c r="AM1014" i="2"/>
  <c r="AI1014" i="2"/>
  <c r="Y1014" i="2"/>
  <c r="V1014" i="2" a="1"/>
  <c r="V1014" i="2" s="1"/>
  <c r="M1014" i="2" a="1"/>
  <c r="M1014" i="2" s="1"/>
  <c r="I1014" i="2" a="1"/>
  <c r="I1014" i="2" s="1"/>
  <c r="AN1013" i="2"/>
  <c r="AM1013" i="2"/>
  <c r="AI1013" i="2"/>
  <c r="Y1013" i="2"/>
  <c r="V1013" i="2" a="1"/>
  <c r="V1013" i="2" s="1"/>
  <c r="M1013" i="2" a="1"/>
  <c r="M1013" i="2" s="1"/>
  <c r="I1013" i="2" a="1"/>
  <c r="I1013" i="2"/>
  <c r="AQ1012" i="2"/>
  <c r="AN1012" i="2"/>
  <c r="AM1012" i="2"/>
  <c r="AI1012" i="2"/>
  <c r="Y1012" i="2"/>
  <c r="V1012" i="2" a="1"/>
  <c r="V1012" i="2" s="1"/>
  <c r="M1012" i="2" a="1"/>
  <c r="M1012" i="2"/>
  <c r="I1012" i="2" a="1"/>
  <c r="I1012" i="2" s="1"/>
  <c r="AN1011" i="2"/>
  <c r="AM1011" i="2"/>
  <c r="AI1011" i="2"/>
  <c r="Y1011" i="2"/>
  <c r="V1011" i="2" a="1"/>
  <c r="V1011" i="2"/>
  <c r="AQ1011" i="2" s="1"/>
  <c r="M1011" i="2" a="1"/>
  <c r="M1011" i="2" s="1"/>
  <c r="I1011" i="2" a="1"/>
  <c r="I1011" i="2" s="1"/>
  <c r="AQ1010" i="2"/>
  <c r="AN1010" i="2"/>
  <c r="AM1010" i="2"/>
  <c r="AI1010" i="2"/>
  <c r="Y1010" i="2"/>
  <c r="V1010" i="2" a="1"/>
  <c r="V1010" i="2" s="1"/>
  <c r="M1010" i="2" a="1"/>
  <c r="M1010" i="2" s="1"/>
  <c r="I1010" i="2" a="1"/>
  <c r="I1010" i="2" s="1"/>
  <c r="AN1009" i="2"/>
  <c r="AM1009" i="2"/>
  <c r="AI1009" i="2"/>
  <c r="Y1009" i="2"/>
  <c r="V1009" i="2" a="1"/>
  <c r="V1009" i="2" s="1"/>
  <c r="AQ1009" i="2" s="1"/>
  <c r="M1009" i="2" a="1"/>
  <c r="M1009" i="2" s="1"/>
  <c r="I1009" i="2" a="1"/>
  <c r="I1009" i="2" s="1"/>
  <c r="AN1008" i="2"/>
  <c r="AM1008" i="2"/>
  <c r="AI1008" i="2"/>
  <c r="Y1008" i="2"/>
  <c r="V1008" i="2" a="1"/>
  <c r="V1008" i="2" s="1"/>
  <c r="AQ1008" i="2" s="1"/>
  <c r="M1008" i="2" a="1"/>
  <c r="M1008" i="2" s="1"/>
  <c r="I1008" i="2" a="1"/>
  <c r="I1008" i="2" s="1"/>
  <c r="AN1007" i="2"/>
  <c r="AM1007" i="2"/>
  <c r="AI1007" i="2"/>
  <c r="Y1007" i="2"/>
  <c r="V1007" i="2" a="1"/>
  <c r="V1007" i="2" s="1"/>
  <c r="M1007" i="2" a="1"/>
  <c r="M1007" i="2" s="1"/>
  <c r="I1007" i="2" a="1"/>
  <c r="I1007" i="2" s="1"/>
  <c r="AQ1006" i="2"/>
  <c r="AN1006" i="2"/>
  <c r="AM1006" i="2"/>
  <c r="AI1006" i="2"/>
  <c r="Y1006" i="2"/>
  <c r="V1006" i="2" a="1"/>
  <c r="V1006" i="2" s="1"/>
  <c r="M1006" i="2" a="1"/>
  <c r="M1006" i="2" s="1"/>
  <c r="I1006" i="2" a="1"/>
  <c r="I1006" i="2" s="1"/>
  <c r="AN1005" i="2"/>
  <c r="AM1005" i="2"/>
  <c r="AI1005" i="2"/>
  <c r="Y1005" i="2"/>
  <c r="V1005" i="2" a="1"/>
  <c r="V1005" i="2" s="1"/>
  <c r="M1005" i="2" a="1"/>
  <c r="M1005" i="2" s="1"/>
  <c r="I1005" i="2" a="1"/>
  <c r="I1005" i="2"/>
  <c r="AQ1004" i="2"/>
  <c r="AN1004" i="2"/>
  <c r="AM1004" i="2"/>
  <c r="AI1004" i="2"/>
  <c r="Y1004" i="2"/>
  <c r="V1004" i="2" a="1"/>
  <c r="V1004" i="2" s="1"/>
  <c r="M1004" i="2" a="1"/>
  <c r="M1004" i="2"/>
  <c r="I1004" i="2" a="1"/>
  <c r="I1004" i="2" s="1"/>
  <c r="AN1003" i="2"/>
  <c r="AM1003" i="2"/>
  <c r="AI1003" i="2"/>
  <c r="Y1003" i="2"/>
  <c r="V1003" i="2" a="1"/>
  <c r="V1003" i="2"/>
  <c r="AQ1003" i="2" s="1"/>
  <c r="M1003" i="2" a="1"/>
  <c r="M1003" i="2" s="1"/>
  <c r="I1003" i="2" a="1"/>
  <c r="I1003" i="2" s="1"/>
  <c r="AQ1002" i="2"/>
  <c r="AN1002" i="2"/>
  <c r="AM1002" i="2"/>
  <c r="AI1002" i="2"/>
  <c r="Y1002" i="2"/>
  <c r="V1002" i="2" a="1"/>
  <c r="V1002" i="2" s="1"/>
  <c r="M1002" i="2" a="1"/>
  <c r="M1002" i="2" s="1"/>
  <c r="I1002" i="2" a="1"/>
  <c r="I1002" i="2" s="1"/>
  <c r="AN1001" i="2"/>
  <c r="AM1001" i="2"/>
  <c r="AI1001" i="2"/>
  <c r="Y1001" i="2"/>
  <c r="V1001" i="2" a="1"/>
  <c r="V1001" i="2" s="1"/>
  <c r="AQ1001" i="2" s="1"/>
  <c r="M1001" i="2" a="1"/>
  <c r="M1001" i="2" s="1"/>
  <c r="I1001" i="2" a="1"/>
  <c r="I1001" i="2" s="1"/>
  <c r="AN1000" i="2"/>
  <c r="AM1000" i="2"/>
  <c r="AI1000" i="2"/>
  <c r="Y1000" i="2"/>
  <c r="V1000" i="2" a="1"/>
  <c r="V1000" i="2" s="1"/>
  <c r="AQ1000" i="2" s="1"/>
  <c r="M1000" i="2" a="1"/>
  <c r="M1000" i="2" s="1"/>
  <c r="I1000" i="2" a="1"/>
  <c r="I1000" i="2" s="1"/>
  <c r="AN999" i="2"/>
  <c r="AM999" i="2"/>
  <c r="AI999" i="2"/>
  <c r="Y999" i="2"/>
  <c r="V999" i="2" a="1"/>
  <c r="V999" i="2" s="1"/>
  <c r="M999" i="2" a="1"/>
  <c r="M999" i="2" s="1"/>
  <c r="I999" i="2" a="1"/>
  <c r="I999" i="2" s="1"/>
  <c r="AQ998" i="2"/>
  <c r="AN998" i="2"/>
  <c r="AM998" i="2"/>
  <c r="AI998" i="2"/>
  <c r="Y998" i="2"/>
  <c r="V998" i="2" a="1"/>
  <c r="V998" i="2" s="1"/>
  <c r="M998" i="2" a="1"/>
  <c r="M998" i="2" s="1"/>
  <c r="I998" i="2" a="1"/>
  <c r="I998" i="2" s="1"/>
  <c r="AN997" i="2"/>
  <c r="AM997" i="2"/>
  <c r="AI997" i="2"/>
  <c r="Y997" i="2"/>
  <c r="V997" i="2" a="1"/>
  <c r="V997" i="2" s="1"/>
  <c r="M997" i="2" a="1"/>
  <c r="M997" i="2" s="1"/>
  <c r="I997" i="2" a="1"/>
  <c r="I997" i="2"/>
  <c r="AQ996" i="2"/>
  <c r="AN996" i="2"/>
  <c r="AM996" i="2"/>
  <c r="AI996" i="2"/>
  <c r="Y996" i="2"/>
  <c r="V996" i="2" a="1"/>
  <c r="V996" i="2" s="1"/>
  <c r="M996" i="2" a="1"/>
  <c r="M996" i="2"/>
  <c r="I996" i="2" a="1"/>
  <c r="I996" i="2" s="1"/>
  <c r="AN995" i="2"/>
  <c r="AM995" i="2"/>
  <c r="AI995" i="2"/>
  <c r="Y995" i="2"/>
  <c r="V995" i="2" a="1"/>
  <c r="V995" i="2"/>
  <c r="AQ995" i="2" s="1"/>
  <c r="M995" i="2" a="1"/>
  <c r="M995" i="2" s="1"/>
  <c r="I995" i="2" a="1"/>
  <c r="I995" i="2" s="1"/>
  <c r="AQ994" i="2"/>
  <c r="AN994" i="2"/>
  <c r="AM994" i="2"/>
  <c r="AI994" i="2"/>
  <c r="Y994" i="2"/>
  <c r="V994" i="2" a="1"/>
  <c r="V994" i="2" s="1"/>
  <c r="M994" i="2" a="1"/>
  <c r="M994" i="2" s="1"/>
  <c r="I994" i="2" a="1"/>
  <c r="I994" i="2" s="1"/>
  <c r="AN993" i="2"/>
  <c r="AM993" i="2"/>
  <c r="AI993" i="2"/>
  <c r="Y993" i="2"/>
  <c r="V993" i="2" a="1"/>
  <c r="V993" i="2" s="1"/>
  <c r="AQ993" i="2" s="1"/>
  <c r="M993" i="2" a="1"/>
  <c r="M993" i="2" s="1"/>
  <c r="I993" i="2" a="1"/>
  <c r="I993" i="2" s="1"/>
  <c r="AN992" i="2"/>
  <c r="AM992" i="2"/>
  <c r="AI992" i="2"/>
  <c r="Y992" i="2"/>
  <c r="V992" i="2" a="1"/>
  <c r="V992" i="2" s="1"/>
  <c r="AQ992" i="2" s="1"/>
  <c r="M992" i="2" a="1"/>
  <c r="M992" i="2" s="1"/>
  <c r="I992" i="2" a="1"/>
  <c r="I992" i="2" s="1"/>
  <c r="AN991" i="2"/>
  <c r="AM991" i="2"/>
  <c r="AI991" i="2"/>
  <c r="Y991" i="2"/>
  <c r="V991" i="2" a="1"/>
  <c r="V991" i="2" s="1"/>
  <c r="M991" i="2" a="1"/>
  <c r="M991" i="2" s="1"/>
  <c r="I991" i="2" a="1"/>
  <c r="I991" i="2" s="1"/>
  <c r="AQ990" i="2"/>
  <c r="AN990" i="2"/>
  <c r="AM990" i="2"/>
  <c r="AI990" i="2"/>
  <c r="Y990" i="2"/>
  <c r="V990" i="2" a="1"/>
  <c r="V990" i="2" s="1"/>
  <c r="M990" i="2" a="1"/>
  <c r="M990" i="2" s="1"/>
  <c r="I990" i="2" a="1"/>
  <c r="I990" i="2" s="1"/>
  <c r="AN989" i="2"/>
  <c r="AM989" i="2"/>
  <c r="AI989" i="2"/>
  <c r="Y989" i="2"/>
  <c r="V989" i="2" a="1"/>
  <c r="V989" i="2" s="1"/>
  <c r="M989" i="2" a="1"/>
  <c r="M989" i="2" s="1"/>
  <c r="I989" i="2" a="1"/>
  <c r="I989" i="2"/>
  <c r="AQ988" i="2"/>
  <c r="AN988" i="2"/>
  <c r="AM988" i="2"/>
  <c r="AI988" i="2"/>
  <c r="Y988" i="2"/>
  <c r="V988" i="2" a="1"/>
  <c r="V988" i="2" s="1"/>
  <c r="M988" i="2" a="1"/>
  <c r="M988" i="2"/>
  <c r="I988" i="2" a="1"/>
  <c r="I988" i="2" s="1"/>
  <c r="AN987" i="2"/>
  <c r="AM987" i="2"/>
  <c r="AI987" i="2"/>
  <c r="Y987" i="2"/>
  <c r="V987" i="2" a="1"/>
  <c r="V987" i="2"/>
  <c r="AQ987" i="2" s="1"/>
  <c r="M987" i="2" a="1"/>
  <c r="M987" i="2" s="1"/>
  <c r="I987" i="2" a="1"/>
  <c r="I987" i="2" s="1"/>
  <c r="AQ986" i="2"/>
  <c r="AN986" i="2"/>
  <c r="AM986" i="2"/>
  <c r="AI986" i="2"/>
  <c r="Y986" i="2"/>
  <c r="V986" i="2" a="1"/>
  <c r="V986" i="2" s="1"/>
  <c r="M986" i="2" a="1"/>
  <c r="M986" i="2" s="1"/>
  <c r="I986" i="2" a="1"/>
  <c r="I986" i="2" s="1"/>
  <c r="AN985" i="2"/>
  <c r="AM985" i="2"/>
  <c r="AI985" i="2"/>
  <c r="Y985" i="2"/>
  <c r="V985" i="2" a="1"/>
  <c r="V985" i="2" s="1"/>
  <c r="AQ985" i="2" s="1"/>
  <c r="M985" i="2" a="1"/>
  <c r="M985" i="2" s="1"/>
  <c r="I985" i="2" a="1"/>
  <c r="I985" i="2" s="1"/>
  <c r="AN984" i="2"/>
  <c r="AM984" i="2"/>
  <c r="AI984" i="2"/>
  <c r="Y984" i="2"/>
  <c r="V984" i="2" a="1"/>
  <c r="V984" i="2" s="1"/>
  <c r="AQ984" i="2" s="1"/>
  <c r="M984" i="2" a="1"/>
  <c r="M984" i="2" s="1"/>
  <c r="I984" i="2" a="1"/>
  <c r="I984" i="2" s="1"/>
  <c r="AN983" i="2"/>
  <c r="AM983" i="2"/>
  <c r="AI983" i="2"/>
  <c r="Y983" i="2"/>
  <c r="V983" i="2" a="1"/>
  <c r="V983" i="2" s="1"/>
  <c r="M983" i="2" a="1"/>
  <c r="M983" i="2" s="1"/>
  <c r="I983" i="2" a="1"/>
  <c r="I983" i="2" s="1"/>
  <c r="AQ982" i="2"/>
  <c r="AN982" i="2"/>
  <c r="AM982" i="2"/>
  <c r="AI982" i="2"/>
  <c r="Y982" i="2"/>
  <c r="V982" i="2" a="1"/>
  <c r="V982" i="2" s="1"/>
  <c r="M982" i="2" a="1"/>
  <c r="M982" i="2" s="1"/>
  <c r="I982" i="2" a="1"/>
  <c r="I982" i="2" s="1"/>
  <c r="AN981" i="2"/>
  <c r="AM981" i="2"/>
  <c r="AI981" i="2"/>
  <c r="Y981" i="2"/>
  <c r="V981" i="2" a="1"/>
  <c r="V981" i="2" s="1"/>
  <c r="M981" i="2" a="1"/>
  <c r="M981" i="2" s="1"/>
  <c r="I981" i="2" a="1"/>
  <c r="I981" i="2"/>
  <c r="AQ980" i="2"/>
  <c r="AN980" i="2"/>
  <c r="AM980" i="2"/>
  <c r="AI980" i="2"/>
  <c r="Y980" i="2"/>
  <c r="V980" i="2" a="1"/>
  <c r="V980" i="2" s="1"/>
  <c r="M980" i="2" a="1"/>
  <c r="M980" i="2"/>
  <c r="I980" i="2" a="1"/>
  <c r="I980" i="2" s="1"/>
  <c r="AN979" i="2"/>
  <c r="AM979" i="2"/>
  <c r="AI979" i="2"/>
  <c r="Y979" i="2"/>
  <c r="V979" i="2" a="1"/>
  <c r="V979" i="2"/>
  <c r="AQ979" i="2" s="1"/>
  <c r="M979" i="2" a="1"/>
  <c r="M979" i="2" s="1"/>
  <c r="I979" i="2" a="1"/>
  <c r="I979" i="2" s="1"/>
  <c r="AQ978" i="2"/>
  <c r="AN978" i="2"/>
  <c r="AM978" i="2"/>
  <c r="AI978" i="2"/>
  <c r="Y978" i="2"/>
  <c r="V978" i="2" a="1"/>
  <c r="V978" i="2" s="1"/>
  <c r="M978" i="2" a="1"/>
  <c r="M978" i="2" s="1"/>
  <c r="I978" i="2" a="1"/>
  <c r="I978" i="2" s="1"/>
  <c r="AN977" i="2"/>
  <c r="AM977" i="2"/>
  <c r="AI977" i="2"/>
  <c r="Y977" i="2"/>
  <c r="V977" i="2" a="1"/>
  <c r="V977" i="2" s="1"/>
  <c r="AQ977" i="2" s="1"/>
  <c r="M977" i="2" a="1"/>
  <c r="M977" i="2" s="1"/>
  <c r="I977" i="2" a="1"/>
  <c r="I977" i="2" s="1"/>
  <c r="AN976" i="2"/>
  <c r="AM976" i="2"/>
  <c r="AI976" i="2"/>
  <c r="Y976" i="2"/>
  <c r="V976" i="2" a="1"/>
  <c r="V976" i="2" s="1"/>
  <c r="AQ976" i="2" s="1"/>
  <c r="M976" i="2" a="1"/>
  <c r="M976" i="2" s="1"/>
  <c r="I976" i="2" a="1"/>
  <c r="I976" i="2" s="1"/>
  <c r="AN975" i="2"/>
  <c r="AM975" i="2"/>
  <c r="AI975" i="2"/>
  <c r="Y975" i="2"/>
  <c r="V975" i="2" a="1"/>
  <c r="V975" i="2" s="1"/>
  <c r="M975" i="2" a="1"/>
  <c r="M975" i="2" s="1"/>
  <c r="I975" i="2" a="1"/>
  <c r="I975" i="2" s="1"/>
  <c r="AQ974" i="2"/>
  <c r="AN974" i="2"/>
  <c r="AM974" i="2"/>
  <c r="AI974" i="2"/>
  <c r="Y974" i="2"/>
  <c r="V974" i="2" a="1"/>
  <c r="V974" i="2" s="1"/>
  <c r="M974" i="2" a="1"/>
  <c r="M974" i="2" s="1"/>
  <c r="I974" i="2" a="1"/>
  <c r="I974" i="2" s="1"/>
  <c r="AN973" i="2"/>
  <c r="AM973" i="2"/>
  <c r="AI973" i="2"/>
  <c r="Y973" i="2"/>
  <c r="V973" i="2" a="1"/>
  <c r="V973" i="2" s="1"/>
  <c r="M973" i="2" a="1"/>
  <c r="M973" i="2" s="1"/>
  <c r="I973" i="2" a="1"/>
  <c r="I973" i="2"/>
  <c r="AQ972" i="2"/>
  <c r="AN972" i="2"/>
  <c r="AM972" i="2"/>
  <c r="AI972" i="2"/>
  <c r="Y972" i="2"/>
  <c r="V972" i="2" a="1"/>
  <c r="V972" i="2" s="1"/>
  <c r="M972" i="2" a="1"/>
  <c r="M972" i="2"/>
  <c r="I972" i="2" a="1"/>
  <c r="I972" i="2" s="1"/>
  <c r="AN971" i="2"/>
  <c r="AM971" i="2"/>
  <c r="AI971" i="2"/>
  <c r="Y971" i="2"/>
  <c r="V971" i="2" a="1"/>
  <c r="V971" i="2"/>
  <c r="AQ971" i="2" s="1"/>
  <c r="M971" i="2" a="1"/>
  <c r="M971" i="2" s="1"/>
  <c r="I971" i="2" a="1"/>
  <c r="I971" i="2" s="1"/>
  <c r="AQ970" i="2"/>
  <c r="AN970" i="2"/>
  <c r="AM970" i="2"/>
  <c r="AI970" i="2"/>
  <c r="Y970" i="2"/>
  <c r="V970" i="2" a="1"/>
  <c r="V970" i="2" s="1"/>
  <c r="M970" i="2" a="1"/>
  <c r="M970" i="2" s="1"/>
  <c r="I970" i="2" a="1"/>
  <c r="I970" i="2" s="1"/>
  <c r="AN969" i="2"/>
  <c r="AM969" i="2"/>
  <c r="AI969" i="2"/>
  <c r="Y969" i="2"/>
  <c r="V969" i="2" a="1"/>
  <c r="V969" i="2" s="1"/>
  <c r="AQ969" i="2" s="1"/>
  <c r="M969" i="2" a="1"/>
  <c r="M969" i="2" s="1"/>
  <c r="I969" i="2" a="1"/>
  <c r="I969" i="2" s="1"/>
  <c r="AN968" i="2"/>
  <c r="AM968" i="2"/>
  <c r="AI968" i="2"/>
  <c r="Y968" i="2"/>
  <c r="V968" i="2" a="1"/>
  <c r="V968" i="2" s="1"/>
  <c r="AQ968" i="2" s="1"/>
  <c r="M968" i="2" a="1"/>
  <c r="M968" i="2" s="1"/>
  <c r="I968" i="2" a="1"/>
  <c r="I968" i="2" s="1"/>
  <c r="AN967" i="2"/>
  <c r="AM967" i="2"/>
  <c r="AI967" i="2"/>
  <c r="Y967" i="2"/>
  <c r="V967" i="2" a="1"/>
  <c r="V967" i="2" s="1"/>
  <c r="M967" i="2" a="1"/>
  <c r="M967" i="2" s="1"/>
  <c r="I967" i="2" a="1"/>
  <c r="I967" i="2" s="1"/>
  <c r="AQ966" i="2"/>
  <c r="AN966" i="2"/>
  <c r="AM966" i="2"/>
  <c r="AI966" i="2"/>
  <c r="Y966" i="2"/>
  <c r="V966" i="2" a="1"/>
  <c r="V966" i="2" s="1"/>
  <c r="M966" i="2" a="1"/>
  <c r="M966" i="2" s="1"/>
  <c r="I966" i="2" a="1"/>
  <c r="I966" i="2" s="1"/>
  <c r="AN965" i="2"/>
  <c r="AM965" i="2"/>
  <c r="AI965" i="2"/>
  <c r="Y965" i="2"/>
  <c r="V965" i="2" a="1"/>
  <c r="V965" i="2" s="1"/>
  <c r="M965" i="2" a="1"/>
  <c r="M965" i="2" s="1"/>
  <c r="I965" i="2" a="1"/>
  <c r="I965" i="2"/>
  <c r="AQ964" i="2"/>
  <c r="AN964" i="2"/>
  <c r="AM964" i="2"/>
  <c r="AI964" i="2"/>
  <c r="Y964" i="2"/>
  <c r="V964" i="2" a="1"/>
  <c r="V964" i="2" s="1"/>
  <c r="M964" i="2" a="1"/>
  <c r="M964" i="2"/>
  <c r="I964" i="2" a="1"/>
  <c r="I964" i="2" s="1"/>
  <c r="AN963" i="2"/>
  <c r="AM963" i="2"/>
  <c r="AI963" i="2"/>
  <c r="Y963" i="2"/>
  <c r="V963" i="2" a="1"/>
  <c r="V963" i="2"/>
  <c r="AQ963" i="2" s="1"/>
  <c r="M963" i="2" a="1"/>
  <c r="M963" i="2" s="1"/>
  <c r="I963" i="2" a="1"/>
  <c r="I963" i="2" s="1"/>
  <c r="AQ962" i="2"/>
  <c r="AN962" i="2"/>
  <c r="AM962" i="2"/>
  <c r="AI962" i="2"/>
  <c r="Y962" i="2"/>
  <c r="V962" i="2" a="1"/>
  <c r="V962" i="2" s="1"/>
  <c r="M962" i="2" a="1"/>
  <c r="M962" i="2" s="1"/>
  <c r="I962" i="2" a="1"/>
  <c r="I962" i="2" s="1"/>
  <c r="AN961" i="2"/>
  <c r="AM961" i="2"/>
  <c r="AI961" i="2"/>
  <c r="Y961" i="2"/>
  <c r="V961" i="2" a="1"/>
  <c r="V961" i="2" s="1"/>
  <c r="AQ961" i="2" s="1"/>
  <c r="M961" i="2" a="1"/>
  <c r="M961" i="2" s="1"/>
  <c r="I961" i="2" a="1"/>
  <c r="I961" i="2" s="1"/>
  <c r="AN960" i="2"/>
  <c r="AM960" i="2"/>
  <c r="AI960" i="2"/>
  <c r="Y960" i="2"/>
  <c r="V960" i="2" a="1"/>
  <c r="V960" i="2" s="1"/>
  <c r="AQ960" i="2" s="1"/>
  <c r="M960" i="2" a="1"/>
  <c r="M960" i="2" s="1"/>
  <c r="I960" i="2" a="1"/>
  <c r="I960" i="2" s="1"/>
  <c r="AN959" i="2"/>
  <c r="AM959" i="2"/>
  <c r="AI959" i="2"/>
  <c r="Y959" i="2"/>
  <c r="V959" i="2" a="1"/>
  <c r="V959" i="2" s="1"/>
  <c r="M959" i="2" a="1"/>
  <c r="M959" i="2" s="1"/>
  <c r="I959" i="2" a="1"/>
  <c r="I959" i="2" s="1"/>
  <c r="AQ958" i="2"/>
  <c r="AN958" i="2"/>
  <c r="AM958" i="2"/>
  <c r="AI958" i="2"/>
  <c r="Y958" i="2"/>
  <c r="V958" i="2" a="1"/>
  <c r="V958" i="2" s="1"/>
  <c r="M958" i="2" a="1"/>
  <c r="M958" i="2" s="1"/>
  <c r="I958" i="2" a="1"/>
  <c r="I958" i="2" s="1"/>
  <c r="AN957" i="2"/>
  <c r="AM957" i="2"/>
  <c r="AI957" i="2"/>
  <c r="Y957" i="2"/>
  <c r="V957" i="2" a="1"/>
  <c r="V957" i="2" s="1"/>
  <c r="M957" i="2" a="1"/>
  <c r="M957" i="2" s="1"/>
  <c r="I957" i="2" a="1"/>
  <c r="I957" i="2"/>
  <c r="AQ956" i="2"/>
  <c r="AN956" i="2"/>
  <c r="AM956" i="2"/>
  <c r="AI956" i="2"/>
  <c r="Y956" i="2"/>
  <c r="V956" i="2" a="1"/>
  <c r="V956" i="2" s="1"/>
  <c r="M956" i="2" a="1"/>
  <c r="M956" i="2"/>
  <c r="I956" i="2" a="1"/>
  <c r="I956" i="2" s="1"/>
  <c r="AN955" i="2"/>
  <c r="AM955" i="2"/>
  <c r="AI955" i="2"/>
  <c r="Y955" i="2"/>
  <c r="V955" i="2" a="1"/>
  <c r="V955" i="2"/>
  <c r="AQ955" i="2" s="1"/>
  <c r="M955" i="2" a="1"/>
  <c r="M955" i="2" s="1"/>
  <c r="I955" i="2" a="1"/>
  <c r="I955" i="2" s="1"/>
  <c r="AQ954" i="2"/>
  <c r="AN954" i="2"/>
  <c r="AM954" i="2"/>
  <c r="AI954" i="2"/>
  <c r="Y954" i="2"/>
  <c r="V954" i="2" a="1"/>
  <c r="V954" i="2" s="1"/>
  <c r="M954" i="2" a="1"/>
  <c r="M954" i="2" s="1"/>
  <c r="I954" i="2" a="1"/>
  <c r="I954" i="2" s="1"/>
  <c r="AN953" i="2"/>
  <c r="AM953" i="2"/>
  <c r="AI953" i="2"/>
  <c r="Y953" i="2"/>
  <c r="V953" i="2" a="1"/>
  <c r="V953" i="2" s="1"/>
  <c r="AQ953" i="2" s="1"/>
  <c r="M953" i="2" a="1"/>
  <c r="M953" i="2" s="1"/>
  <c r="I953" i="2" a="1"/>
  <c r="I953" i="2" s="1"/>
  <c r="AN952" i="2"/>
  <c r="AM952" i="2"/>
  <c r="AI952" i="2"/>
  <c r="Y952" i="2"/>
  <c r="V952" i="2" a="1"/>
  <c r="V952" i="2" s="1"/>
  <c r="AQ952" i="2" s="1"/>
  <c r="M952" i="2" a="1"/>
  <c r="M952" i="2" s="1"/>
  <c r="I952" i="2" a="1"/>
  <c r="I952" i="2" s="1"/>
  <c r="AN951" i="2"/>
  <c r="AM951" i="2"/>
  <c r="AI951" i="2"/>
  <c r="Y951" i="2"/>
  <c r="V951" i="2" a="1"/>
  <c r="V951" i="2" s="1"/>
  <c r="M951" i="2" a="1"/>
  <c r="M951" i="2" s="1"/>
  <c r="I951" i="2" a="1"/>
  <c r="I951" i="2" s="1"/>
  <c r="AN950" i="2"/>
  <c r="AM950" i="2"/>
  <c r="AI950" i="2"/>
  <c r="Y950" i="2"/>
  <c r="V950" i="2" a="1"/>
  <c r="V950" i="2" s="1"/>
  <c r="AQ950" i="2" s="1"/>
  <c r="M950" i="2" a="1"/>
  <c r="M950" i="2" s="1"/>
  <c r="I950" i="2" a="1"/>
  <c r="I950" i="2" s="1"/>
  <c r="AN949" i="2"/>
  <c r="AM949" i="2"/>
  <c r="AI949" i="2"/>
  <c r="Y949" i="2"/>
  <c r="V949" i="2" a="1"/>
  <c r="V949" i="2" s="1"/>
  <c r="M949" i="2" a="1"/>
  <c r="M949" i="2" s="1"/>
  <c r="I949" i="2" a="1"/>
  <c r="I949" i="2"/>
  <c r="AQ948" i="2"/>
  <c r="AN948" i="2"/>
  <c r="AM948" i="2"/>
  <c r="AI948" i="2"/>
  <c r="Y948" i="2"/>
  <c r="V948" i="2" a="1"/>
  <c r="V948" i="2" s="1"/>
  <c r="M948" i="2" a="1"/>
  <c r="M948" i="2"/>
  <c r="I948" i="2" a="1"/>
  <c r="I948" i="2" s="1"/>
  <c r="AN947" i="2"/>
  <c r="AM947" i="2"/>
  <c r="AI947" i="2"/>
  <c r="Y947" i="2"/>
  <c r="V947" i="2" a="1"/>
  <c r="V947" i="2"/>
  <c r="AQ947" i="2" s="1"/>
  <c r="M947" i="2" a="1"/>
  <c r="M947" i="2" s="1"/>
  <c r="I947" i="2" a="1"/>
  <c r="I947" i="2"/>
  <c r="AQ946" i="2"/>
  <c r="AN946" i="2"/>
  <c r="AM946" i="2"/>
  <c r="AI946" i="2"/>
  <c r="Y946" i="2"/>
  <c r="V946" i="2" a="1"/>
  <c r="V946" i="2" s="1"/>
  <c r="M946" i="2" a="1"/>
  <c r="M946" i="2"/>
  <c r="I946" i="2" a="1"/>
  <c r="I946" i="2" s="1"/>
  <c r="AN945" i="2"/>
  <c r="AM945" i="2"/>
  <c r="AI945" i="2"/>
  <c r="Y945" i="2"/>
  <c r="V945" i="2" a="1"/>
  <c r="V945" i="2" s="1"/>
  <c r="AQ945" i="2" s="1"/>
  <c r="M945" i="2" a="1"/>
  <c r="M945" i="2" s="1"/>
  <c r="I945" i="2" a="1"/>
  <c r="I945" i="2" s="1"/>
  <c r="AN944" i="2"/>
  <c r="AM944" i="2"/>
  <c r="AI944" i="2"/>
  <c r="Y944" i="2"/>
  <c r="V944" i="2" a="1"/>
  <c r="V944" i="2" s="1"/>
  <c r="AQ944" i="2" s="1"/>
  <c r="M944" i="2" a="1"/>
  <c r="M944" i="2" s="1"/>
  <c r="I944" i="2" a="1"/>
  <c r="I944" i="2" s="1"/>
  <c r="AN943" i="2"/>
  <c r="AM943" i="2"/>
  <c r="AI943" i="2"/>
  <c r="Y943" i="2"/>
  <c r="V943" i="2" a="1"/>
  <c r="V943" i="2" s="1"/>
  <c r="M943" i="2" a="1"/>
  <c r="M943" i="2" s="1"/>
  <c r="I943" i="2" a="1"/>
  <c r="I943" i="2" s="1"/>
  <c r="AN942" i="2"/>
  <c r="AM942" i="2"/>
  <c r="AI942" i="2"/>
  <c r="Y942" i="2"/>
  <c r="V942" i="2" a="1"/>
  <c r="V942" i="2" s="1"/>
  <c r="AQ942" i="2" s="1"/>
  <c r="M942" i="2" a="1"/>
  <c r="M942" i="2" s="1"/>
  <c r="I942" i="2" a="1"/>
  <c r="I942" i="2" s="1"/>
  <c r="AN941" i="2"/>
  <c r="AM941" i="2"/>
  <c r="AI941" i="2"/>
  <c r="Y941" i="2"/>
  <c r="V941" i="2" a="1"/>
  <c r="V941" i="2" s="1"/>
  <c r="M941" i="2" a="1"/>
  <c r="M941" i="2" s="1"/>
  <c r="I941" i="2" a="1"/>
  <c r="I941" i="2"/>
  <c r="AQ940" i="2"/>
  <c r="AN940" i="2"/>
  <c r="AM940" i="2"/>
  <c r="AI940" i="2"/>
  <c r="Y940" i="2"/>
  <c r="V940" i="2" a="1"/>
  <c r="V940" i="2" s="1"/>
  <c r="M940" i="2" a="1"/>
  <c r="M940" i="2"/>
  <c r="I940" i="2" a="1"/>
  <c r="I940" i="2" s="1"/>
  <c r="AN939" i="2"/>
  <c r="AM939" i="2"/>
  <c r="AI939" i="2"/>
  <c r="Y939" i="2"/>
  <c r="V939" i="2" a="1"/>
  <c r="V939" i="2"/>
  <c r="AQ939" i="2" s="1"/>
  <c r="M939" i="2" a="1"/>
  <c r="M939" i="2" s="1"/>
  <c r="I939" i="2" a="1"/>
  <c r="I939" i="2" s="1"/>
  <c r="AQ938" i="2"/>
  <c r="AN938" i="2"/>
  <c r="AM938" i="2"/>
  <c r="AI938" i="2"/>
  <c r="Y938" i="2"/>
  <c r="V938" i="2" a="1"/>
  <c r="V938" i="2" s="1"/>
  <c r="M938" i="2" a="1"/>
  <c r="M938" i="2" s="1"/>
  <c r="I938" i="2" a="1"/>
  <c r="I938" i="2" s="1"/>
  <c r="AN937" i="2"/>
  <c r="AM937" i="2"/>
  <c r="AI937" i="2"/>
  <c r="Y937" i="2"/>
  <c r="V937" i="2" a="1"/>
  <c r="V937" i="2" s="1"/>
  <c r="AQ937" i="2" s="1"/>
  <c r="M937" i="2" a="1"/>
  <c r="M937" i="2" s="1"/>
  <c r="I937" i="2" a="1"/>
  <c r="I937" i="2" s="1"/>
  <c r="AN936" i="2"/>
  <c r="AM936" i="2"/>
  <c r="AI936" i="2"/>
  <c r="Y936" i="2"/>
  <c r="V936" i="2" a="1"/>
  <c r="V936" i="2" s="1"/>
  <c r="AQ936" i="2" s="1"/>
  <c r="M936" i="2" a="1"/>
  <c r="M936" i="2" s="1"/>
  <c r="I936" i="2" a="1"/>
  <c r="I936" i="2" s="1"/>
  <c r="AN935" i="2"/>
  <c r="AM935" i="2"/>
  <c r="AI935" i="2"/>
  <c r="Y935" i="2"/>
  <c r="V935" i="2" a="1"/>
  <c r="V935" i="2" s="1"/>
  <c r="M935" i="2" a="1"/>
  <c r="M935" i="2" s="1"/>
  <c r="I935" i="2" a="1"/>
  <c r="I935" i="2" s="1"/>
  <c r="AN934" i="2"/>
  <c r="AM934" i="2"/>
  <c r="AI934" i="2"/>
  <c r="Y934" i="2"/>
  <c r="V934" i="2" a="1"/>
  <c r="V934" i="2" s="1"/>
  <c r="AQ934" i="2" s="1"/>
  <c r="M934" i="2" a="1"/>
  <c r="M934" i="2" s="1"/>
  <c r="I934" i="2" a="1"/>
  <c r="I934" i="2" s="1"/>
  <c r="AN933" i="2"/>
  <c r="AM933" i="2"/>
  <c r="AI933" i="2"/>
  <c r="Y933" i="2"/>
  <c r="V933" i="2" a="1"/>
  <c r="V933" i="2" s="1"/>
  <c r="M933" i="2" a="1"/>
  <c r="M933" i="2" s="1"/>
  <c r="I933" i="2" a="1"/>
  <c r="I933" i="2"/>
  <c r="AQ932" i="2"/>
  <c r="AN932" i="2"/>
  <c r="AM932" i="2"/>
  <c r="AI932" i="2"/>
  <c r="Y932" i="2"/>
  <c r="V932" i="2" a="1"/>
  <c r="V932" i="2" s="1"/>
  <c r="M932" i="2" a="1"/>
  <c r="M932" i="2"/>
  <c r="I932" i="2" a="1"/>
  <c r="I932" i="2" s="1"/>
  <c r="AN931" i="2"/>
  <c r="AM931" i="2"/>
  <c r="AI931" i="2"/>
  <c r="Y931" i="2"/>
  <c r="V931" i="2" a="1"/>
  <c r="V931" i="2"/>
  <c r="AQ931" i="2" s="1"/>
  <c r="M931" i="2" a="1"/>
  <c r="M931" i="2" s="1"/>
  <c r="I931" i="2" a="1"/>
  <c r="I931" i="2" s="1"/>
  <c r="AQ930" i="2"/>
  <c r="AN930" i="2"/>
  <c r="AM930" i="2"/>
  <c r="AI930" i="2"/>
  <c r="Y930" i="2"/>
  <c r="V930" i="2" a="1"/>
  <c r="V930" i="2" s="1"/>
  <c r="M930" i="2" a="1"/>
  <c r="M930" i="2" s="1"/>
  <c r="I930" i="2" a="1"/>
  <c r="I930" i="2" s="1"/>
  <c r="AN929" i="2"/>
  <c r="AM929" i="2"/>
  <c r="AI929" i="2"/>
  <c r="Y929" i="2"/>
  <c r="V929" i="2" a="1"/>
  <c r="V929" i="2" s="1"/>
  <c r="AQ929" i="2" s="1"/>
  <c r="M929" i="2" a="1"/>
  <c r="M929" i="2" s="1"/>
  <c r="I929" i="2" a="1"/>
  <c r="I929" i="2" s="1"/>
  <c r="AN928" i="2"/>
  <c r="AM928" i="2"/>
  <c r="AI928" i="2"/>
  <c r="Y928" i="2"/>
  <c r="V928" i="2" a="1"/>
  <c r="V928" i="2" s="1"/>
  <c r="AQ928" i="2" s="1"/>
  <c r="M928" i="2" a="1"/>
  <c r="M928" i="2" s="1"/>
  <c r="I928" i="2" a="1"/>
  <c r="I928" i="2" s="1"/>
  <c r="AN927" i="2"/>
  <c r="AM927" i="2"/>
  <c r="AI927" i="2"/>
  <c r="Y927" i="2"/>
  <c r="V927" i="2" a="1"/>
  <c r="V927" i="2" s="1"/>
  <c r="M927" i="2" a="1"/>
  <c r="M927" i="2" s="1"/>
  <c r="I927" i="2" a="1"/>
  <c r="I927" i="2" s="1"/>
  <c r="AQ926" i="2"/>
  <c r="AN926" i="2"/>
  <c r="AM926" i="2"/>
  <c r="AI926" i="2"/>
  <c r="Y926" i="2"/>
  <c r="V926" i="2" a="1"/>
  <c r="V926" i="2" s="1"/>
  <c r="M926" i="2" a="1"/>
  <c r="M926" i="2" s="1"/>
  <c r="I926" i="2" a="1"/>
  <c r="I926" i="2" s="1"/>
  <c r="AN925" i="2"/>
  <c r="AM925" i="2"/>
  <c r="AI925" i="2"/>
  <c r="Y925" i="2"/>
  <c r="V925" i="2" a="1"/>
  <c r="V925" i="2" s="1"/>
  <c r="M925" i="2" a="1"/>
  <c r="M925" i="2" s="1"/>
  <c r="I925" i="2" a="1"/>
  <c r="I925" i="2"/>
  <c r="AQ924" i="2"/>
  <c r="AN924" i="2"/>
  <c r="AM924" i="2"/>
  <c r="AI924" i="2"/>
  <c r="Y924" i="2"/>
  <c r="V924" i="2" a="1"/>
  <c r="V924" i="2" s="1"/>
  <c r="M924" i="2" a="1"/>
  <c r="M924" i="2"/>
  <c r="I924" i="2" a="1"/>
  <c r="I924" i="2" s="1"/>
  <c r="AN923" i="2"/>
  <c r="AM923" i="2"/>
  <c r="AI923" i="2"/>
  <c r="Y923" i="2"/>
  <c r="V923" i="2" a="1"/>
  <c r="V923" i="2"/>
  <c r="AQ923" i="2" s="1"/>
  <c r="M923" i="2" a="1"/>
  <c r="M923" i="2" s="1"/>
  <c r="I923" i="2" a="1"/>
  <c r="I923" i="2" s="1"/>
  <c r="AQ922" i="2"/>
  <c r="AN922" i="2"/>
  <c r="AM922" i="2"/>
  <c r="AI922" i="2"/>
  <c r="Y922" i="2"/>
  <c r="V922" i="2" a="1"/>
  <c r="V922" i="2" s="1"/>
  <c r="M922" i="2" a="1"/>
  <c r="M922" i="2" s="1"/>
  <c r="I922" i="2" a="1"/>
  <c r="I922" i="2" s="1"/>
  <c r="AN921" i="2"/>
  <c r="AM921" i="2"/>
  <c r="AI921" i="2"/>
  <c r="Y921" i="2"/>
  <c r="V921" i="2" a="1"/>
  <c r="V921" i="2" s="1"/>
  <c r="AQ921" i="2" s="1"/>
  <c r="M921" i="2" a="1"/>
  <c r="M921" i="2" s="1"/>
  <c r="I921" i="2" a="1"/>
  <c r="I921" i="2" s="1"/>
  <c r="AN920" i="2"/>
  <c r="AM920" i="2"/>
  <c r="AI920" i="2"/>
  <c r="Y920" i="2"/>
  <c r="V920" i="2" a="1"/>
  <c r="V920" i="2" s="1"/>
  <c r="AQ920" i="2" s="1"/>
  <c r="M920" i="2" a="1"/>
  <c r="M920" i="2" s="1"/>
  <c r="I920" i="2" a="1"/>
  <c r="I920" i="2" s="1"/>
  <c r="AN919" i="2"/>
  <c r="AM919" i="2"/>
  <c r="AI919" i="2"/>
  <c r="Y919" i="2"/>
  <c r="V919" i="2" a="1"/>
  <c r="V919" i="2" s="1"/>
  <c r="M919" i="2" a="1"/>
  <c r="M919" i="2" s="1"/>
  <c r="I919" i="2" a="1"/>
  <c r="I919" i="2" s="1"/>
  <c r="AQ918" i="2"/>
  <c r="AN918" i="2"/>
  <c r="AM918" i="2"/>
  <c r="AI918" i="2"/>
  <c r="Y918" i="2"/>
  <c r="V918" i="2" a="1"/>
  <c r="V918" i="2" s="1"/>
  <c r="M918" i="2" a="1"/>
  <c r="M918" i="2" s="1"/>
  <c r="I918" i="2" a="1"/>
  <c r="I918" i="2" s="1"/>
  <c r="AN917" i="2"/>
  <c r="AM917" i="2"/>
  <c r="AI917" i="2"/>
  <c r="Y917" i="2"/>
  <c r="V917" i="2" a="1"/>
  <c r="V917" i="2" s="1"/>
  <c r="M917" i="2" a="1"/>
  <c r="M917" i="2" s="1"/>
  <c r="I917" i="2" a="1"/>
  <c r="I917" i="2"/>
  <c r="AQ916" i="2"/>
  <c r="AN916" i="2"/>
  <c r="AM916" i="2"/>
  <c r="AI916" i="2"/>
  <c r="Y916" i="2"/>
  <c r="V916" i="2" a="1"/>
  <c r="V916" i="2" s="1"/>
  <c r="M916" i="2" a="1"/>
  <c r="M916" i="2"/>
  <c r="I916" i="2" a="1"/>
  <c r="I916" i="2" s="1"/>
  <c r="AN915" i="2"/>
  <c r="AM915" i="2"/>
  <c r="AI915" i="2"/>
  <c r="Y915" i="2"/>
  <c r="V915" i="2" a="1"/>
  <c r="V915" i="2"/>
  <c r="AQ915" i="2" s="1"/>
  <c r="M915" i="2" a="1"/>
  <c r="M915" i="2" s="1"/>
  <c r="I915" i="2" a="1"/>
  <c r="I915" i="2" s="1"/>
  <c r="AQ914" i="2"/>
  <c r="AN914" i="2"/>
  <c r="AM914" i="2"/>
  <c r="AI914" i="2"/>
  <c r="Y914" i="2"/>
  <c r="V914" i="2" a="1"/>
  <c r="V914" i="2" s="1"/>
  <c r="M914" i="2" a="1"/>
  <c r="M914" i="2" s="1"/>
  <c r="I914" i="2" a="1"/>
  <c r="I914" i="2" s="1"/>
  <c r="AN913" i="2"/>
  <c r="AM913" i="2"/>
  <c r="AI913" i="2"/>
  <c r="Y913" i="2"/>
  <c r="V913" i="2" a="1"/>
  <c r="V913" i="2" s="1"/>
  <c r="AQ913" i="2" s="1"/>
  <c r="M913" i="2" a="1"/>
  <c r="M913" i="2" s="1"/>
  <c r="I913" i="2" a="1"/>
  <c r="I913" i="2" s="1"/>
  <c r="AN912" i="2"/>
  <c r="AM912" i="2"/>
  <c r="AI912" i="2"/>
  <c r="Y912" i="2"/>
  <c r="V912" i="2" a="1"/>
  <c r="V912" i="2" s="1"/>
  <c r="AQ912" i="2" s="1"/>
  <c r="M912" i="2" a="1"/>
  <c r="M912" i="2" s="1"/>
  <c r="I912" i="2" a="1"/>
  <c r="I912" i="2" s="1"/>
  <c r="AN911" i="2"/>
  <c r="AM911" i="2"/>
  <c r="AI911" i="2"/>
  <c r="Y911" i="2"/>
  <c r="V911" i="2" a="1"/>
  <c r="V911" i="2" s="1"/>
  <c r="M911" i="2" a="1"/>
  <c r="M911" i="2" s="1"/>
  <c r="I911" i="2" a="1"/>
  <c r="I911" i="2" s="1"/>
  <c r="AN910" i="2"/>
  <c r="AM910" i="2"/>
  <c r="AI910" i="2"/>
  <c r="Y910" i="2"/>
  <c r="V910" i="2" a="1"/>
  <c r="V910" i="2" s="1"/>
  <c r="AQ910" i="2" s="1"/>
  <c r="M910" i="2" a="1"/>
  <c r="M910" i="2" s="1"/>
  <c r="I910" i="2" a="1"/>
  <c r="I910" i="2" s="1"/>
  <c r="AN909" i="2"/>
  <c r="AM909" i="2"/>
  <c r="AI909" i="2"/>
  <c r="Y909" i="2"/>
  <c r="V909" i="2" a="1"/>
  <c r="V909" i="2" s="1"/>
  <c r="M909" i="2" a="1"/>
  <c r="M909" i="2" s="1"/>
  <c r="I909" i="2" a="1"/>
  <c r="I909" i="2"/>
  <c r="AQ908" i="2"/>
  <c r="AN908" i="2"/>
  <c r="AM908" i="2"/>
  <c r="AI908" i="2"/>
  <c r="Y908" i="2"/>
  <c r="V908" i="2" a="1"/>
  <c r="V908" i="2" s="1"/>
  <c r="M908" i="2" a="1"/>
  <c r="M908" i="2"/>
  <c r="I908" i="2" a="1"/>
  <c r="I908" i="2" s="1"/>
  <c r="AN907" i="2"/>
  <c r="AM907" i="2"/>
  <c r="AI907" i="2"/>
  <c r="Y907" i="2"/>
  <c r="V907" i="2" a="1"/>
  <c r="V907" i="2"/>
  <c r="AQ907" i="2" s="1"/>
  <c r="M907" i="2" a="1"/>
  <c r="M907" i="2" s="1"/>
  <c r="I907" i="2" a="1"/>
  <c r="I907" i="2" s="1"/>
  <c r="AQ906" i="2"/>
  <c r="AN906" i="2"/>
  <c r="AM906" i="2"/>
  <c r="AI906" i="2"/>
  <c r="Y906" i="2"/>
  <c r="V906" i="2" a="1"/>
  <c r="V906" i="2" s="1"/>
  <c r="M906" i="2" a="1"/>
  <c r="M906" i="2" s="1"/>
  <c r="I906" i="2" a="1"/>
  <c r="I906" i="2" s="1"/>
  <c r="AN905" i="2"/>
  <c r="AM905" i="2"/>
  <c r="AI905" i="2"/>
  <c r="Y905" i="2"/>
  <c r="V905" i="2" a="1"/>
  <c r="V905" i="2" s="1"/>
  <c r="AQ905" i="2" s="1"/>
  <c r="M905" i="2" a="1"/>
  <c r="M905" i="2" s="1"/>
  <c r="I905" i="2" a="1"/>
  <c r="I905" i="2" s="1"/>
  <c r="AN904" i="2"/>
  <c r="AM904" i="2"/>
  <c r="AI904" i="2"/>
  <c r="Y904" i="2"/>
  <c r="V904" i="2" a="1"/>
  <c r="V904" i="2" s="1"/>
  <c r="AQ904" i="2" s="1"/>
  <c r="M904" i="2" a="1"/>
  <c r="M904" i="2" s="1"/>
  <c r="I904" i="2" a="1"/>
  <c r="I904" i="2" s="1"/>
  <c r="AN903" i="2"/>
  <c r="AM903" i="2"/>
  <c r="AI903" i="2"/>
  <c r="Y903" i="2"/>
  <c r="V903" i="2" a="1"/>
  <c r="V903" i="2" s="1"/>
  <c r="M903" i="2" a="1"/>
  <c r="M903" i="2" s="1"/>
  <c r="I903" i="2" a="1"/>
  <c r="I903" i="2" s="1"/>
  <c r="AQ902" i="2"/>
  <c r="AN902" i="2"/>
  <c r="AM902" i="2"/>
  <c r="AI902" i="2"/>
  <c r="Y902" i="2"/>
  <c r="V902" i="2" a="1"/>
  <c r="V902" i="2" s="1"/>
  <c r="M902" i="2" a="1"/>
  <c r="M902" i="2" s="1"/>
  <c r="I902" i="2" a="1"/>
  <c r="I902" i="2" s="1"/>
  <c r="AN901" i="2"/>
  <c r="AM901" i="2"/>
  <c r="AI901" i="2"/>
  <c r="Y901" i="2"/>
  <c r="V901" i="2" a="1"/>
  <c r="V901" i="2" s="1"/>
  <c r="M901" i="2" a="1"/>
  <c r="M901" i="2" s="1"/>
  <c r="I901" i="2" a="1"/>
  <c r="I901" i="2"/>
  <c r="AQ900" i="2"/>
  <c r="AN900" i="2"/>
  <c r="AM900" i="2"/>
  <c r="AI900" i="2"/>
  <c r="Y900" i="2"/>
  <c r="V900" i="2" a="1"/>
  <c r="V900" i="2" s="1"/>
  <c r="M900" i="2" a="1"/>
  <c r="M900" i="2"/>
  <c r="I900" i="2" a="1"/>
  <c r="I900" i="2" s="1"/>
  <c r="AN899" i="2"/>
  <c r="AM899" i="2"/>
  <c r="AI899" i="2"/>
  <c r="Y899" i="2"/>
  <c r="V899" i="2" a="1"/>
  <c r="V899" i="2"/>
  <c r="AQ899" i="2" s="1"/>
  <c r="M899" i="2" a="1"/>
  <c r="M899" i="2" s="1"/>
  <c r="I899" i="2" a="1"/>
  <c r="I899" i="2" s="1"/>
  <c r="AQ898" i="2"/>
  <c r="AN898" i="2"/>
  <c r="AM898" i="2"/>
  <c r="AI898" i="2"/>
  <c r="Y898" i="2"/>
  <c r="V898" i="2" a="1"/>
  <c r="V898" i="2" s="1"/>
  <c r="M898" i="2" a="1"/>
  <c r="M898" i="2" s="1"/>
  <c r="I898" i="2" a="1"/>
  <c r="I898" i="2" s="1"/>
  <c r="AN897" i="2"/>
  <c r="AM897" i="2"/>
  <c r="AI897" i="2"/>
  <c r="Y897" i="2"/>
  <c r="V897" i="2" a="1"/>
  <c r="V897" i="2" s="1"/>
  <c r="M897" i="2" a="1"/>
  <c r="M897" i="2" s="1"/>
  <c r="I897" i="2" a="1"/>
  <c r="I897" i="2"/>
  <c r="AN896" i="2"/>
  <c r="AM896" i="2"/>
  <c r="AI896" i="2"/>
  <c r="Y896" i="2"/>
  <c r="V896" i="2" a="1"/>
  <c r="V896" i="2" s="1"/>
  <c r="AQ896" i="2" s="1"/>
  <c r="M896" i="2" a="1"/>
  <c r="M896" i="2"/>
  <c r="I896" i="2" a="1"/>
  <c r="I896" i="2" s="1"/>
  <c r="AN895" i="2"/>
  <c r="AM895" i="2"/>
  <c r="AI895" i="2"/>
  <c r="Y895" i="2"/>
  <c r="V895" i="2" a="1"/>
  <c r="V895" i="2"/>
  <c r="AQ895" i="2" s="1"/>
  <c r="M895" i="2" a="1"/>
  <c r="M895" i="2" s="1"/>
  <c r="I895" i="2" a="1"/>
  <c r="I895" i="2" s="1"/>
  <c r="AQ894" i="2"/>
  <c r="AN894" i="2"/>
  <c r="AM894" i="2"/>
  <c r="AI894" i="2"/>
  <c r="Y894" i="2"/>
  <c r="V894" i="2" a="1"/>
  <c r="V894" i="2" s="1"/>
  <c r="M894" i="2" a="1"/>
  <c r="M894" i="2" s="1"/>
  <c r="I894" i="2" a="1"/>
  <c r="I894" i="2" s="1"/>
  <c r="AN893" i="2"/>
  <c r="AM893" i="2"/>
  <c r="AI893" i="2"/>
  <c r="Y893" i="2"/>
  <c r="V893" i="2" a="1"/>
  <c r="V893" i="2" s="1"/>
  <c r="AQ893" i="2" s="1"/>
  <c r="M893" i="2" a="1"/>
  <c r="M893" i="2" s="1"/>
  <c r="I893" i="2" a="1"/>
  <c r="I893" i="2"/>
  <c r="AN892" i="2"/>
  <c r="AM892" i="2"/>
  <c r="AI892" i="2"/>
  <c r="Y892" i="2"/>
  <c r="V892" i="2" a="1"/>
  <c r="V892" i="2" s="1"/>
  <c r="AQ892" i="2" s="1"/>
  <c r="M892" i="2" a="1"/>
  <c r="M892" i="2"/>
  <c r="I892" i="2" a="1"/>
  <c r="I892" i="2" s="1"/>
  <c r="AQ891" i="2"/>
  <c r="AN891" i="2"/>
  <c r="AM891" i="2"/>
  <c r="AI891" i="2"/>
  <c r="Y891" i="2"/>
  <c r="V891" i="2" a="1"/>
  <c r="V891" i="2"/>
  <c r="M891" i="2" a="1"/>
  <c r="M891" i="2" s="1"/>
  <c r="I891" i="2" a="1"/>
  <c r="I891" i="2" s="1"/>
  <c r="AQ890" i="2"/>
  <c r="AN890" i="2"/>
  <c r="AM890" i="2"/>
  <c r="AI890" i="2"/>
  <c r="Y890" i="2"/>
  <c r="V890" i="2" a="1"/>
  <c r="V890" i="2" s="1"/>
  <c r="M890" i="2" a="1"/>
  <c r="M890" i="2" s="1"/>
  <c r="I890" i="2" a="1"/>
  <c r="I890" i="2" s="1"/>
  <c r="AN889" i="2"/>
  <c r="AM889" i="2"/>
  <c r="AI889" i="2"/>
  <c r="Y889" i="2"/>
  <c r="V889" i="2" a="1"/>
  <c r="V889" i="2" s="1"/>
  <c r="M889" i="2" a="1"/>
  <c r="M889" i="2" s="1"/>
  <c r="I889" i="2" a="1"/>
  <c r="I889" i="2"/>
  <c r="AN888" i="2"/>
  <c r="AM888" i="2"/>
  <c r="AI888" i="2"/>
  <c r="Y888" i="2"/>
  <c r="V888" i="2" a="1"/>
  <c r="V888" i="2" s="1"/>
  <c r="AQ888" i="2" s="1"/>
  <c r="M888" i="2" a="1"/>
  <c r="M888" i="2"/>
  <c r="I888" i="2" a="1"/>
  <c r="I888" i="2" s="1"/>
  <c r="AN887" i="2"/>
  <c r="AM887" i="2"/>
  <c r="AI887" i="2"/>
  <c r="Y887" i="2"/>
  <c r="V887" i="2" a="1"/>
  <c r="V887" i="2"/>
  <c r="AQ887" i="2" s="1"/>
  <c r="M887" i="2" a="1"/>
  <c r="M887" i="2" s="1"/>
  <c r="I887" i="2" a="1"/>
  <c r="I887" i="2" s="1"/>
  <c r="AQ886" i="2"/>
  <c r="AN886" i="2"/>
  <c r="AM886" i="2"/>
  <c r="AI886" i="2"/>
  <c r="Y886" i="2"/>
  <c r="V886" i="2" a="1"/>
  <c r="V886" i="2" s="1"/>
  <c r="M886" i="2" a="1"/>
  <c r="M886" i="2" s="1"/>
  <c r="I886" i="2" a="1"/>
  <c r="I886" i="2" s="1"/>
  <c r="AN885" i="2"/>
  <c r="AM885" i="2"/>
  <c r="AI885" i="2"/>
  <c r="Y885" i="2"/>
  <c r="V885" i="2" a="1"/>
  <c r="V885" i="2" s="1"/>
  <c r="AQ885" i="2" s="1"/>
  <c r="M885" i="2" a="1"/>
  <c r="M885" i="2" s="1"/>
  <c r="I885" i="2" a="1"/>
  <c r="I885" i="2"/>
  <c r="AN884" i="2"/>
  <c r="AM884" i="2"/>
  <c r="AI884" i="2"/>
  <c r="Y884" i="2"/>
  <c r="V884" i="2" a="1"/>
  <c r="V884" i="2" s="1"/>
  <c r="AQ884" i="2" s="1"/>
  <c r="M884" i="2" a="1"/>
  <c r="M884" i="2"/>
  <c r="I884" i="2" a="1"/>
  <c r="I884" i="2" s="1"/>
  <c r="AQ883" i="2"/>
  <c r="AN883" i="2"/>
  <c r="AM883" i="2"/>
  <c r="AI883" i="2"/>
  <c r="Y883" i="2"/>
  <c r="V883" i="2" a="1"/>
  <c r="V883" i="2"/>
  <c r="M883" i="2" a="1"/>
  <c r="M883" i="2" s="1"/>
  <c r="I883" i="2" a="1"/>
  <c r="I883" i="2" s="1"/>
  <c r="AQ882" i="2"/>
  <c r="AN882" i="2"/>
  <c r="AM882" i="2"/>
  <c r="AI882" i="2"/>
  <c r="Y882" i="2"/>
  <c r="V882" i="2" a="1"/>
  <c r="V882" i="2" s="1"/>
  <c r="M882" i="2" a="1"/>
  <c r="M882" i="2" s="1"/>
  <c r="I882" i="2" a="1"/>
  <c r="I882" i="2" s="1"/>
  <c r="AN881" i="2"/>
  <c r="AM881" i="2"/>
  <c r="AI881" i="2"/>
  <c r="Y881" i="2"/>
  <c r="V881" i="2" a="1"/>
  <c r="V881" i="2" s="1"/>
  <c r="AQ881" i="2" s="1"/>
  <c r="M881" i="2" a="1"/>
  <c r="M881" i="2" s="1"/>
  <c r="I881" i="2" a="1"/>
  <c r="I881" i="2"/>
  <c r="AN880" i="2"/>
  <c r="AM880" i="2"/>
  <c r="AI880" i="2"/>
  <c r="Y880" i="2"/>
  <c r="V880" i="2" a="1"/>
  <c r="V880" i="2" s="1"/>
  <c r="AQ880" i="2" s="1"/>
  <c r="M880" i="2" a="1"/>
  <c r="M880" i="2"/>
  <c r="I880" i="2" a="1"/>
  <c r="I880" i="2" s="1"/>
  <c r="AQ879" i="2"/>
  <c r="AN879" i="2"/>
  <c r="AM879" i="2"/>
  <c r="AI879" i="2"/>
  <c r="Y879" i="2"/>
  <c r="V879" i="2" a="1"/>
  <c r="V879" i="2"/>
  <c r="AP879" i="2" s="1"/>
  <c r="M879" i="2" a="1"/>
  <c r="M879" i="2" s="1"/>
  <c r="I879" i="2" a="1"/>
  <c r="I879" i="2" s="1"/>
  <c r="AQ878" i="2"/>
  <c r="AN878" i="2"/>
  <c r="AM878" i="2"/>
  <c r="AI878" i="2"/>
  <c r="Y878" i="2"/>
  <c r="V878" i="2" a="1"/>
  <c r="V878" i="2" s="1"/>
  <c r="M878" i="2" a="1"/>
  <c r="M878" i="2" s="1"/>
  <c r="I878" i="2" a="1"/>
  <c r="I878" i="2" s="1"/>
  <c r="AN877" i="2"/>
  <c r="AM877" i="2"/>
  <c r="AI877" i="2"/>
  <c r="Y877" i="2"/>
  <c r="V877" i="2" a="1"/>
  <c r="V877" i="2" s="1"/>
  <c r="AQ877" i="2" s="1"/>
  <c r="M877" i="2" a="1"/>
  <c r="M877" i="2" s="1"/>
  <c r="I877" i="2" a="1"/>
  <c r="I877" i="2"/>
  <c r="AN876" i="2"/>
  <c r="AM876" i="2"/>
  <c r="AI876" i="2"/>
  <c r="Y876" i="2"/>
  <c r="V876" i="2" a="1"/>
  <c r="V876" i="2" s="1"/>
  <c r="AQ876" i="2" s="1"/>
  <c r="M876" i="2" a="1"/>
  <c r="M876" i="2"/>
  <c r="I876" i="2" a="1"/>
  <c r="I876" i="2" s="1"/>
  <c r="AQ875" i="2"/>
  <c r="AN875" i="2"/>
  <c r="AM875" i="2"/>
  <c r="AI875" i="2"/>
  <c r="Y875" i="2"/>
  <c r="V875" i="2" a="1"/>
  <c r="V875" i="2"/>
  <c r="M875" i="2" a="1"/>
  <c r="M875" i="2" s="1"/>
  <c r="I875" i="2" a="1"/>
  <c r="I875" i="2" s="1"/>
  <c r="AQ874" i="2"/>
  <c r="AN874" i="2"/>
  <c r="AM874" i="2"/>
  <c r="AI874" i="2"/>
  <c r="Y874" i="2"/>
  <c r="V874" i="2" a="1"/>
  <c r="V874" i="2" s="1"/>
  <c r="M874" i="2" a="1"/>
  <c r="M874" i="2" s="1"/>
  <c r="I874" i="2" a="1"/>
  <c r="I874" i="2" s="1"/>
  <c r="X874" i="2" s="1"/>
  <c r="AN873" i="2"/>
  <c r="AM873" i="2"/>
  <c r="AI873" i="2"/>
  <c r="Y873" i="2"/>
  <c r="V873" i="2" a="1"/>
  <c r="V873" i="2" s="1"/>
  <c r="AQ873" i="2" s="1"/>
  <c r="M873" i="2" a="1"/>
  <c r="M873" i="2" s="1"/>
  <c r="I873" i="2" a="1"/>
  <c r="I873" i="2"/>
  <c r="AN872" i="2"/>
  <c r="AM872" i="2"/>
  <c r="AI872" i="2"/>
  <c r="Y872" i="2"/>
  <c r="V872" i="2" a="1"/>
  <c r="V872" i="2" s="1"/>
  <c r="AQ872" i="2" s="1"/>
  <c r="M872" i="2" a="1"/>
  <c r="M872" i="2"/>
  <c r="I872" i="2" a="1"/>
  <c r="I872" i="2" s="1"/>
  <c r="AN871" i="2"/>
  <c r="AM871" i="2"/>
  <c r="AI871" i="2"/>
  <c r="Y871" i="2"/>
  <c r="V871" i="2" a="1"/>
  <c r="V871" i="2"/>
  <c r="AP871" i="2" s="1"/>
  <c r="M871" i="2" a="1"/>
  <c r="M871" i="2" s="1"/>
  <c r="I871" i="2" a="1"/>
  <c r="I871" i="2" s="1"/>
  <c r="AO871" i="2" s="1"/>
  <c r="AQ870" i="2"/>
  <c r="AN870" i="2"/>
  <c r="AM870" i="2"/>
  <c r="AI870" i="2"/>
  <c r="Y870" i="2"/>
  <c r="V870" i="2" a="1"/>
  <c r="V870" i="2" s="1"/>
  <c r="M870" i="2" a="1"/>
  <c r="M870" i="2" s="1"/>
  <c r="I870" i="2" a="1"/>
  <c r="I870" i="2" s="1"/>
  <c r="X870" i="2" s="1"/>
  <c r="AN869" i="2"/>
  <c r="AM869" i="2"/>
  <c r="AI869" i="2"/>
  <c r="Y869" i="2"/>
  <c r="V869" i="2" a="1"/>
  <c r="V869" i="2" s="1"/>
  <c r="AQ869" i="2" s="1"/>
  <c r="M869" i="2" a="1"/>
  <c r="M869" i="2" s="1"/>
  <c r="I869" i="2" a="1"/>
  <c r="I869" i="2"/>
  <c r="AN868" i="2"/>
  <c r="AM868" i="2"/>
  <c r="AI868" i="2"/>
  <c r="Y868" i="2"/>
  <c r="V868" i="2" a="1"/>
  <c r="V868" i="2" s="1"/>
  <c r="AQ868" i="2" s="1"/>
  <c r="M868" i="2" a="1"/>
  <c r="M868" i="2"/>
  <c r="I868" i="2" a="1"/>
  <c r="I868" i="2" s="1"/>
  <c r="AN867" i="2"/>
  <c r="AM867" i="2"/>
  <c r="AI867" i="2"/>
  <c r="Y867" i="2"/>
  <c r="V867" i="2" a="1"/>
  <c r="V867" i="2"/>
  <c r="AQ867" i="2" s="1"/>
  <c r="M867" i="2" a="1"/>
  <c r="M867" i="2" s="1"/>
  <c r="I867" i="2" a="1"/>
  <c r="I867" i="2" s="1"/>
  <c r="AQ866" i="2"/>
  <c r="AN866" i="2"/>
  <c r="AM866" i="2"/>
  <c r="AI866" i="2"/>
  <c r="Y866" i="2"/>
  <c r="X866" i="2"/>
  <c r="V866" i="2" a="1"/>
  <c r="V866" i="2" s="1"/>
  <c r="M866" i="2" a="1"/>
  <c r="M866" i="2" s="1"/>
  <c r="I866" i="2" a="1"/>
  <c r="I866" i="2" s="1"/>
  <c r="AN865" i="2"/>
  <c r="AM865" i="2"/>
  <c r="AI865" i="2"/>
  <c r="Y865" i="2"/>
  <c r="V865" i="2" a="1"/>
  <c r="V865" i="2" s="1"/>
  <c r="AQ865" i="2" s="1"/>
  <c r="M865" i="2" a="1"/>
  <c r="M865" i="2" s="1"/>
  <c r="I865" i="2" a="1"/>
  <c r="I865" i="2"/>
  <c r="AN864" i="2"/>
  <c r="AM864" i="2"/>
  <c r="AI864" i="2"/>
  <c r="Y864" i="2"/>
  <c r="V864" i="2" a="1"/>
  <c r="V864" i="2" s="1"/>
  <c r="AQ864" i="2" s="1"/>
  <c r="M864" i="2" a="1"/>
  <c r="M864" i="2"/>
  <c r="I864" i="2" a="1"/>
  <c r="I864" i="2" s="1"/>
  <c r="AQ863" i="2"/>
  <c r="AN863" i="2"/>
  <c r="AM863" i="2"/>
  <c r="AI863" i="2"/>
  <c r="Y863" i="2"/>
  <c r="V863" i="2" a="1"/>
  <c r="V863" i="2"/>
  <c r="AP863" i="2" s="1"/>
  <c r="M863" i="2" a="1"/>
  <c r="M863" i="2" s="1"/>
  <c r="I863" i="2" a="1"/>
  <c r="I863" i="2" s="1"/>
  <c r="AQ862" i="2"/>
  <c r="AN862" i="2"/>
  <c r="AM862" i="2"/>
  <c r="AI862" i="2"/>
  <c r="Y862" i="2"/>
  <c r="V862" i="2" a="1"/>
  <c r="V862" i="2" s="1"/>
  <c r="M862" i="2" a="1"/>
  <c r="M862" i="2" s="1"/>
  <c r="I862" i="2" a="1"/>
  <c r="I862" i="2" s="1"/>
  <c r="AN861" i="2"/>
  <c r="AM861" i="2"/>
  <c r="AI861" i="2"/>
  <c r="Y861" i="2"/>
  <c r="V861" i="2" a="1"/>
  <c r="V861" i="2" s="1"/>
  <c r="AQ861" i="2" s="1"/>
  <c r="M861" i="2" a="1"/>
  <c r="M861" i="2" s="1"/>
  <c r="I861" i="2" a="1"/>
  <c r="I861" i="2"/>
  <c r="AN860" i="2"/>
  <c r="AM860" i="2"/>
  <c r="AI860" i="2"/>
  <c r="Y860" i="2"/>
  <c r="V860" i="2" a="1"/>
  <c r="V860" i="2" s="1"/>
  <c r="AQ860" i="2" s="1"/>
  <c r="M860" i="2" a="1"/>
  <c r="M860" i="2"/>
  <c r="I860" i="2" a="1"/>
  <c r="I860" i="2" s="1"/>
  <c r="AQ859" i="2"/>
  <c r="AN859" i="2"/>
  <c r="AM859" i="2"/>
  <c r="AI859" i="2"/>
  <c r="Y859" i="2"/>
  <c r="V859" i="2" a="1"/>
  <c r="V859" i="2"/>
  <c r="M859" i="2" a="1"/>
  <c r="M859" i="2" s="1"/>
  <c r="I859" i="2" a="1"/>
  <c r="I859" i="2" s="1"/>
  <c r="AQ858" i="2"/>
  <c r="AN858" i="2"/>
  <c r="AM858" i="2"/>
  <c r="AI858" i="2"/>
  <c r="Y858" i="2"/>
  <c r="V858" i="2" a="1"/>
  <c r="V858" i="2" s="1"/>
  <c r="M858" i="2" a="1"/>
  <c r="M858" i="2" s="1"/>
  <c r="I858" i="2" a="1"/>
  <c r="I858" i="2" s="1"/>
  <c r="X858" i="2" s="1"/>
  <c r="AN857" i="2"/>
  <c r="AM857" i="2"/>
  <c r="AI857" i="2"/>
  <c r="Y857" i="2"/>
  <c r="V857" i="2" a="1"/>
  <c r="V857" i="2" s="1"/>
  <c r="AQ857" i="2" s="1"/>
  <c r="M857" i="2" a="1"/>
  <c r="M857" i="2" s="1"/>
  <c r="I857" i="2" a="1"/>
  <c r="I857" i="2"/>
  <c r="AN856" i="2"/>
  <c r="AM856" i="2"/>
  <c r="AI856" i="2"/>
  <c r="Y856" i="2"/>
  <c r="V856" i="2" a="1"/>
  <c r="V856" i="2" s="1"/>
  <c r="AQ856" i="2" s="1"/>
  <c r="M856" i="2" a="1"/>
  <c r="M856" i="2" s="1"/>
  <c r="I856" i="2" a="1"/>
  <c r="I856" i="2" s="1"/>
  <c r="AP855" i="2"/>
  <c r="AN855" i="2"/>
  <c r="AM855" i="2"/>
  <c r="AI855" i="2"/>
  <c r="Y855" i="2"/>
  <c r="V855" i="2" a="1"/>
  <c r="V855" i="2"/>
  <c r="AQ855" i="2" s="1"/>
  <c r="M855" i="2" a="1"/>
  <c r="M855" i="2" s="1"/>
  <c r="I855" i="2" a="1"/>
  <c r="I855" i="2" s="1"/>
  <c r="AQ854" i="2"/>
  <c r="AN854" i="2"/>
  <c r="AM854" i="2"/>
  <c r="AI854" i="2"/>
  <c r="Y854" i="2"/>
  <c r="V854" i="2" a="1"/>
  <c r="V854" i="2" s="1"/>
  <c r="M854" i="2" a="1"/>
  <c r="M854" i="2"/>
  <c r="I854" i="2" a="1"/>
  <c r="I854" i="2" s="1"/>
  <c r="AN853" i="2"/>
  <c r="AM853" i="2"/>
  <c r="AI853" i="2"/>
  <c r="Y853" i="2"/>
  <c r="V853" i="2" a="1"/>
  <c r="V853" i="2" s="1"/>
  <c r="M853" i="2" a="1"/>
  <c r="M853" i="2" s="1"/>
  <c r="I853" i="2" a="1"/>
  <c r="I853" i="2"/>
  <c r="AN852" i="2"/>
  <c r="AM852" i="2"/>
  <c r="AI852" i="2"/>
  <c r="Y852" i="2"/>
  <c r="V852" i="2" a="1"/>
  <c r="V852" i="2" s="1"/>
  <c r="AQ852" i="2" s="1"/>
  <c r="M852" i="2" a="1"/>
  <c r="M852" i="2"/>
  <c r="I852" i="2" a="1"/>
  <c r="I852" i="2" s="1"/>
  <c r="AN851" i="2"/>
  <c r="AM851" i="2"/>
  <c r="AI851" i="2"/>
  <c r="Y851" i="2"/>
  <c r="V851" i="2" a="1"/>
  <c r="V851" i="2"/>
  <c r="AQ851" i="2" s="1"/>
  <c r="M851" i="2" a="1"/>
  <c r="M851" i="2" s="1"/>
  <c r="I851" i="2" a="1"/>
  <c r="I851" i="2" s="1"/>
  <c r="AN850" i="2"/>
  <c r="AM850" i="2"/>
  <c r="AI850" i="2"/>
  <c r="Y850" i="2"/>
  <c r="V850" i="2" a="1"/>
  <c r="V850" i="2" s="1"/>
  <c r="AQ850" i="2" s="1"/>
  <c r="M850" i="2" a="1"/>
  <c r="M850" i="2" s="1"/>
  <c r="AF850" i="2" s="1"/>
  <c r="I850" i="2" a="1"/>
  <c r="I850" i="2" s="1"/>
  <c r="X850" i="2" s="1"/>
  <c r="AN849" i="2"/>
  <c r="AM849" i="2"/>
  <c r="AI849" i="2"/>
  <c r="Y849" i="2"/>
  <c r="V849" i="2" a="1"/>
  <c r="V849" i="2" s="1"/>
  <c r="AQ849" i="2" s="1"/>
  <c r="M849" i="2" a="1"/>
  <c r="M849" i="2" s="1"/>
  <c r="I849" i="2" a="1"/>
  <c r="I849" i="2"/>
  <c r="AN848" i="2"/>
  <c r="AM848" i="2"/>
  <c r="AI848" i="2"/>
  <c r="Y848" i="2"/>
  <c r="V848" i="2" a="1"/>
  <c r="V848" i="2" s="1"/>
  <c r="AQ848" i="2" s="1"/>
  <c r="M848" i="2" a="1"/>
  <c r="M848" i="2"/>
  <c r="I848" i="2" a="1"/>
  <c r="I848" i="2" s="1"/>
  <c r="AN847" i="2"/>
  <c r="AM847" i="2"/>
  <c r="AI847" i="2"/>
  <c r="Y847" i="2"/>
  <c r="V847" i="2" a="1"/>
  <c r="V847" i="2" s="1"/>
  <c r="M847" i="2" a="1"/>
  <c r="M847" i="2" s="1"/>
  <c r="I847" i="2" a="1"/>
  <c r="I847" i="2" s="1"/>
  <c r="AQ846" i="2"/>
  <c r="AN846" i="2"/>
  <c r="AM846" i="2"/>
  <c r="AI846" i="2"/>
  <c r="Y846" i="2"/>
  <c r="V846" i="2" a="1"/>
  <c r="V846" i="2" s="1"/>
  <c r="M846" i="2" a="1"/>
  <c r="M846" i="2" s="1"/>
  <c r="I846" i="2" a="1"/>
  <c r="I846" i="2" s="1"/>
  <c r="AN845" i="2"/>
  <c r="AM845" i="2"/>
  <c r="AI845" i="2"/>
  <c r="Y845" i="2"/>
  <c r="V845" i="2" a="1"/>
  <c r="V845" i="2"/>
  <c r="AQ845" i="2" s="1"/>
  <c r="M845" i="2" a="1"/>
  <c r="M845" i="2" s="1"/>
  <c r="I845" i="2" a="1"/>
  <c r="I845" i="2"/>
  <c r="AQ844" i="2"/>
  <c r="AN844" i="2"/>
  <c r="AM844" i="2"/>
  <c r="AI844" i="2"/>
  <c r="Y844" i="2"/>
  <c r="V844" i="2" a="1"/>
  <c r="V844" i="2" s="1"/>
  <c r="M844" i="2" a="1"/>
  <c r="M844" i="2"/>
  <c r="I844" i="2" a="1"/>
  <c r="I844" i="2" s="1"/>
  <c r="AN843" i="2"/>
  <c r="AM843" i="2"/>
  <c r="AI843" i="2"/>
  <c r="Y843" i="2"/>
  <c r="V843" i="2" a="1"/>
  <c r="V843" i="2"/>
  <c r="AQ843" i="2" s="1"/>
  <c r="M843" i="2" a="1"/>
  <c r="M843" i="2" s="1"/>
  <c r="I843" i="2" a="1"/>
  <c r="I843" i="2" s="1"/>
  <c r="AN842" i="2"/>
  <c r="AM842" i="2"/>
  <c r="AI842" i="2"/>
  <c r="Y842" i="2"/>
  <c r="V842" i="2" a="1"/>
  <c r="V842" i="2" s="1"/>
  <c r="M842" i="2" a="1"/>
  <c r="M842" i="2" s="1"/>
  <c r="I842" i="2" a="1"/>
  <c r="I842" i="2"/>
  <c r="AQ841" i="2"/>
  <c r="AN841" i="2"/>
  <c r="AM841" i="2"/>
  <c r="AI841" i="2"/>
  <c r="Y841" i="2"/>
  <c r="V841" i="2" a="1"/>
  <c r="V841" i="2" s="1"/>
  <c r="M841" i="2" a="1"/>
  <c r="M841" i="2"/>
  <c r="I841" i="2" a="1"/>
  <c r="I841" i="2" s="1"/>
  <c r="AN840" i="2"/>
  <c r="AM840" i="2"/>
  <c r="AI840" i="2"/>
  <c r="Y840" i="2"/>
  <c r="V840" i="2" a="1"/>
  <c r="V840" i="2"/>
  <c r="AQ840" i="2" s="1"/>
  <c r="M840" i="2" a="1"/>
  <c r="M840" i="2" s="1"/>
  <c r="I840" i="2" a="1"/>
  <c r="I840" i="2" s="1"/>
  <c r="AN839" i="2"/>
  <c r="AM839" i="2"/>
  <c r="AI839" i="2"/>
  <c r="Y839" i="2"/>
  <c r="V839" i="2" a="1"/>
  <c r="V839" i="2" s="1"/>
  <c r="AQ839" i="2" s="1"/>
  <c r="M839" i="2" a="1"/>
  <c r="M839" i="2" s="1"/>
  <c r="I839" i="2" a="1"/>
  <c r="I839" i="2" s="1"/>
  <c r="AN838" i="2"/>
  <c r="AM838" i="2"/>
  <c r="AI838" i="2"/>
  <c r="Y838" i="2"/>
  <c r="V838" i="2" a="1"/>
  <c r="V838" i="2" s="1"/>
  <c r="AQ838" i="2" s="1"/>
  <c r="M838" i="2" a="1"/>
  <c r="M838" i="2" s="1"/>
  <c r="I838" i="2" a="1"/>
  <c r="I838" i="2" s="1"/>
  <c r="AN837" i="2"/>
  <c r="AM837" i="2"/>
  <c r="AI837" i="2"/>
  <c r="Y837" i="2"/>
  <c r="V837" i="2" a="1"/>
  <c r="V837" i="2" s="1"/>
  <c r="AQ837" i="2" s="1"/>
  <c r="M837" i="2" a="1"/>
  <c r="M837" i="2" s="1"/>
  <c r="I837" i="2" a="1"/>
  <c r="I837" i="2" s="1"/>
  <c r="AN836" i="2"/>
  <c r="AM836" i="2"/>
  <c r="AI836" i="2"/>
  <c r="Y836" i="2"/>
  <c r="V836" i="2" a="1"/>
  <c r="V836" i="2" s="1"/>
  <c r="M836" i="2" a="1"/>
  <c r="M836" i="2" s="1"/>
  <c r="I836" i="2" a="1"/>
  <c r="I836" i="2" s="1"/>
  <c r="AQ835" i="2"/>
  <c r="AN835" i="2"/>
  <c r="AM835" i="2"/>
  <c r="AI835" i="2"/>
  <c r="Y835" i="2"/>
  <c r="V835" i="2" a="1"/>
  <c r="V835" i="2" s="1"/>
  <c r="M835" i="2" a="1"/>
  <c r="M835" i="2" s="1"/>
  <c r="I835" i="2" a="1"/>
  <c r="I835" i="2" s="1"/>
  <c r="AN834" i="2"/>
  <c r="AM834" i="2"/>
  <c r="AI834" i="2"/>
  <c r="Y834" i="2"/>
  <c r="V834" i="2" a="1"/>
  <c r="V834" i="2" s="1"/>
  <c r="M834" i="2" a="1"/>
  <c r="M834" i="2" s="1"/>
  <c r="I834" i="2" a="1"/>
  <c r="I834" i="2"/>
  <c r="AQ833" i="2"/>
  <c r="AN833" i="2"/>
  <c r="AM833" i="2"/>
  <c r="AI833" i="2"/>
  <c r="Y833" i="2"/>
  <c r="V833" i="2" a="1"/>
  <c r="V833" i="2" s="1"/>
  <c r="M833" i="2" a="1"/>
  <c r="M833" i="2"/>
  <c r="I833" i="2" a="1"/>
  <c r="I833" i="2" s="1"/>
  <c r="AN832" i="2"/>
  <c r="AM832" i="2"/>
  <c r="AI832" i="2"/>
  <c r="Y832" i="2"/>
  <c r="V832" i="2" a="1"/>
  <c r="V832" i="2"/>
  <c r="AQ832" i="2" s="1"/>
  <c r="M832" i="2" a="1"/>
  <c r="M832" i="2" s="1"/>
  <c r="I832" i="2" a="1"/>
  <c r="I832" i="2" s="1"/>
  <c r="AQ831" i="2"/>
  <c r="AN831" i="2"/>
  <c r="AM831" i="2"/>
  <c r="AI831" i="2"/>
  <c r="Y831" i="2"/>
  <c r="V831" i="2" a="1"/>
  <c r="V831" i="2" s="1"/>
  <c r="M831" i="2" a="1"/>
  <c r="M831" i="2" s="1"/>
  <c r="I831" i="2" a="1"/>
  <c r="I831" i="2" s="1"/>
  <c r="AN830" i="2"/>
  <c r="AM830" i="2"/>
  <c r="AI830" i="2"/>
  <c r="Y830" i="2"/>
  <c r="V830" i="2" a="1"/>
  <c r="V830" i="2" s="1"/>
  <c r="AQ830" i="2" s="1"/>
  <c r="M830" i="2" a="1"/>
  <c r="M830" i="2" s="1"/>
  <c r="I830" i="2" a="1"/>
  <c r="I830" i="2" s="1"/>
  <c r="AN829" i="2"/>
  <c r="AM829" i="2"/>
  <c r="AI829" i="2"/>
  <c r="Y829" i="2"/>
  <c r="V829" i="2" a="1"/>
  <c r="V829" i="2" s="1"/>
  <c r="AQ829" i="2" s="1"/>
  <c r="M829" i="2" a="1"/>
  <c r="M829" i="2" s="1"/>
  <c r="I829" i="2" a="1"/>
  <c r="I829" i="2" s="1"/>
  <c r="AN828" i="2"/>
  <c r="AM828" i="2"/>
  <c r="AI828" i="2"/>
  <c r="Y828" i="2"/>
  <c r="V828" i="2" a="1"/>
  <c r="V828" i="2" s="1"/>
  <c r="M828" i="2" a="1"/>
  <c r="M828" i="2" s="1"/>
  <c r="I828" i="2" a="1"/>
  <c r="I828" i="2" s="1"/>
  <c r="AQ827" i="2"/>
  <c r="AN827" i="2"/>
  <c r="AM827" i="2"/>
  <c r="AI827" i="2"/>
  <c r="Y827" i="2"/>
  <c r="V827" i="2" a="1"/>
  <c r="V827" i="2" s="1"/>
  <c r="M827" i="2" a="1"/>
  <c r="M827" i="2" s="1"/>
  <c r="I827" i="2" a="1"/>
  <c r="I827" i="2" s="1"/>
  <c r="AN826" i="2"/>
  <c r="AM826" i="2"/>
  <c r="AI826" i="2"/>
  <c r="Y826" i="2"/>
  <c r="V826" i="2" a="1"/>
  <c r="V826" i="2" s="1"/>
  <c r="M826" i="2" a="1"/>
  <c r="M826" i="2" s="1"/>
  <c r="I826" i="2" a="1"/>
  <c r="I826" i="2"/>
  <c r="AQ825" i="2"/>
  <c r="AN825" i="2"/>
  <c r="AM825" i="2"/>
  <c r="AI825" i="2"/>
  <c r="Y825" i="2"/>
  <c r="V825" i="2" a="1"/>
  <c r="V825" i="2" s="1"/>
  <c r="M825" i="2" a="1"/>
  <c r="M825" i="2"/>
  <c r="I825" i="2" a="1"/>
  <c r="I825" i="2" s="1"/>
  <c r="AN824" i="2"/>
  <c r="AM824" i="2"/>
  <c r="AI824" i="2"/>
  <c r="Y824" i="2"/>
  <c r="V824" i="2" a="1"/>
  <c r="V824" i="2"/>
  <c r="AQ824" i="2" s="1"/>
  <c r="M824" i="2" a="1"/>
  <c r="M824" i="2" s="1"/>
  <c r="I824" i="2" a="1"/>
  <c r="I824" i="2" s="1"/>
  <c r="AN823" i="2"/>
  <c r="AM823" i="2"/>
  <c r="AI823" i="2"/>
  <c r="Y823" i="2"/>
  <c r="V823" i="2" a="1"/>
  <c r="V823" i="2" s="1"/>
  <c r="AQ823" i="2" s="1"/>
  <c r="M823" i="2" a="1"/>
  <c r="M823" i="2" s="1"/>
  <c r="I823" i="2" a="1"/>
  <c r="I823" i="2" s="1"/>
  <c r="AN822" i="2"/>
  <c r="AM822" i="2"/>
  <c r="AI822" i="2"/>
  <c r="Y822" i="2"/>
  <c r="V822" i="2" a="1"/>
  <c r="V822" i="2" s="1"/>
  <c r="AQ822" i="2" s="1"/>
  <c r="M822" i="2" a="1"/>
  <c r="M822" i="2" s="1"/>
  <c r="I822" i="2" a="1"/>
  <c r="I822" i="2" s="1"/>
  <c r="AN821" i="2"/>
  <c r="AM821" i="2"/>
  <c r="AI821" i="2"/>
  <c r="Y821" i="2"/>
  <c r="V821" i="2" a="1"/>
  <c r="V821" i="2" s="1"/>
  <c r="AQ821" i="2" s="1"/>
  <c r="M821" i="2" a="1"/>
  <c r="M821" i="2" s="1"/>
  <c r="I821" i="2" a="1"/>
  <c r="I821" i="2" s="1"/>
  <c r="AN820" i="2"/>
  <c r="AM820" i="2"/>
  <c r="AI820" i="2"/>
  <c r="Y820" i="2"/>
  <c r="V820" i="2" a="1"/>
  <c r="V820" i="2" s="1"/>
  <c r="M820" i="2" a="1"/>
  <c r="M820" i="2" s="1"/>
  <c r="I820" i="2" a="1"/>
  <c r="I820" i="2"/>
  <c r="AQ819" i="2"/>
  <c r="AN819" i="2"/>
  <c r="AM819" i="2"/>
  <c r="AI819" i="2"/>
  <c r="Y819" i="2"/>
  <c r="V819" i="2" a="1"/>
  <c r="V819" i="2" s="1"/>
  <c r="M819" i="2" a="1"/>
  <c r="M819" i="2"/>
  <c r="I819" i="2" a="1"/>
  <c r="I819" i="2" s="1"/>
  <c r="AN818" i="2"/>
  <c r="AM818" i="2"/>
  <c r="AI818" i="2"/>
  <c r="Y818" i="2"/>
  <c r="V818" i="2" a="1"/>
  <c r="V818" i="2"/>
  <c r="AQ818" i="2" s="1"/>
  <c r="M818" i="2" a="1"/>
  <c r="M818" i="2" s="1"/>
  <c r="I818" i="2" a="1"/>
  <c r="I818" i="2"/>
  <c r="AQ817" i="2"/>
  <c r="AN817" i="2"/>
  <c r="AM817" i="2"/>
  <c r="AI817" i="2"/>
  <c r="Y817" i="2"/>
  <c r="V817" i="2" a="1"/>
  <c r="V817" i="2" s="1"/>
  <c r="M817" i="2" a="1"/>
  <c r="M817" i="2"/>
  <c r="I817" i="2" a="1"/>
  <c r="I817" i="2" s="1"/>
  <c r="AN816" i="2"/>
  <c r="AM816" i="2"/>
  <c r="AI816" i="2"/>
  <c r="Y816" i="2"/>
  <c r="V816" i="2" a="1"/>
  <c r="V816" i="2"/>
  <c r="AQ816" i="2" s="1"/>
  <c r="M816" i="2" a="1"/>
  <c r="M816" i="2" s="1"/>
  <c r="I816" i="2" a="1"/>
  <c r="I816" i="2" s="1"/>
  <c r="AN815" i="2"/>
  <c r="AM815" i="2"/>
  <c r="AI815" i="2"/>
  <c r="Y815" i="2"/>
  <c r="V815" i="2" a="1"/>
  <c r="V815" i="2" s="1"/>
  <c r="AQ815" i="2" s="1"/>
  <c r="M815" i="2" a="1"/>
  <c r="M815" i="2" s="1"/>
  <c r="I815" i="2" a="1"/>
  <c r="I815" i="2" s="1"/>
  <c r="AN814" i="2"/>
  <c r="AM814" i="2"/>
  <c r="AI814" i="2"/>
  <c r="Y814" i="2"/>
  <c r="V814" i="2" a="1"/>
  <c r="V814" i="2" s="1"/>
  <c r="AQ814" i="2" s="1"/>
  <c r="M814" i="2" a="1"/>
  <c r="M814" i="2" s="1"/>
  <c r="I814" i="2" a="1"/>
  <c r="I814" i="2" s="1"/>
  <c r="AN813" i="2"/>
  <c r="AM813" i="2"/>
  <c r="AI813" i="2"/>
  <c r="Y813" i="2"/>
  <c r="V813" i="2" a="1"/>
  <c r="V813" i="2" s="1"/>
  <c r="AQ813" i="2" s="1"/>
  <c r="M813" i="2" a="1"/>
  <c r="M813" i="2" s="1"/>
  <c r="I813" i="2" a="1"/>
  <c r="I813" i="2" s="1"/>
  <c r="AN812" i="2"/>
  <c r="AM812" i="2"/>
  <c r="AI812" i="2"/>
  <c r="Y812" i="2"/>
  <c r="V812" i="2" a="1"/>
  <c r="V812" i="2" s="1"/>
  <c r="M812" i="2" a="1"/>
  <c r="M812" i="2" s="1"/>
  <c r="I812" i="2" a="1"/>
  <c r="I812" i="2" s="1"/>
  <c r="AQ811" i="2"/>
  <c r="AN811" i="2"/>
  <c r="AM811" i="2"/>
  <c r="AI811" i="2"/>
  <c r="Y811" i="2"/>
  <c r="V811" i="2" a="1"/>
  <c r="V811" i="2" s="1"/>
  <c r="M811" i="2" a="1"/>
  <c r="M811" i="2"/>
  <c r="I811" i="2" a="1"/>
  <c r="I811" i="2" s="1"/>
  <c r="AN810" i="2"/>
  <c r="AM810" i="2"/>
  <c r="AI810" i="2"/>
  <c r="Y810" i="2"/>
  <c r="V810" i="2" a="1"/>
  <c r="V810" i="2" s="1"/>
  <c r="M810" i="2" a="1"/>
  <c r="M810" i="2" s="1"/>
  <c r="I810" i="2" a="1"/>
  <c r="I810" i="2"/>
  <c r="AQ809" i="2"/>
  <c r="AN809" i="2"/>
  <c r="AM809" i="2"/>
  <c r="AI809" i="2"/>
  <c r="Y809" i="2"/>
  <c r="V809" i="2" a="1"/>
  <c r="V809" i="2" s="1"/>
  <c r="M809" i="2" a="1"/>
  <c r="M809" i="2"/>
  <c r="I809" i="2" a="1"/>
  <c r="I809" i="2" s="1"/>
  <c r="AN808" i="2"/>
  <c r="AM808" i="2"/>
  <c r="AI808" i="2"/>
  <c r="Y808" i="2"/>
  <c r="V808" i="2" a="1"/>
  <c r="V808" i="2"/>
  <c r="AQ808" i="2" s="1"/>
  <c r="M808" i="2" a="1"/>
  <c r="M808" i="2" s="1"/>
  <c r="I808" i="2" a="1"/>
  <c r="I808" i="2" s="1"/>
  <c r="AN807" i="2"/>
  <c r="AM807" i="2"/>
  <c r="AI807" i="2"/>
  <c r="Y807" i="2"/>
  <c r="V807" i="2" a="1"/>
  <c r="V807" i="2" s="1"/>
  <c r="AQ807" i="2" s="1"/>
  <c r="M807" i="2" a="1"/>
  <c r="M807" i="2" s="1"/>
  <c r="I807" i="2" a="1"/>
  <c r="I807" i="2" s="1"/>
  <c r="AN806" i="2"/>
  <c r="AM806" i="2"/>
  <c r="AI806" i="2"/>
  <c r="Y806" i="2"/>
  <c r="V806" i="2" a="1"/>
  <c r="V806" i="2" s="1"/>
  <c r="AQ806" i="2" s="1"/>
  <c r="M806" i="2" a="1"/>
  <c r="M806" i="2" s="1"/>
  <c r="I806" i="2" a="1"/>
  <c r="I806" i="2" s="1"/>
  <c r="AN805" i="2"/>
  <c r="AM805" i="2"/>
  <c r="AI805" i="2"/>
  <c r="Y805" i="2"/>
  <c r="V805" i="2" a="1"/>
  <c r="V805" i="2" s="1"/>
  <c r="AQ805" i="2" s="1"/>
  <c r="M805" i="2" a="1"/>
  <c r="M805" i="2" s="1"/>
  <c r="I805" i="2" a="1"/>
  <c r="I805" i="2" s="1"/>
  <c r="AN804" i="2"/>
  <c r="AM804" i="2"/>
  <c r="AI804" i="2"/>
  <c r="Y804" i="2"/>
  <c r="V804" i="2" a="1"/>
  <c r="V804" i="2" s="1"/>
  <c r="M804" i="2" a="1"/>
  <c r="M804" i="2" s="1"/>
  <c r="I804" i="2" a="1"/>
  <c r="I804" i="2"/>
  <c r="AQ803" i="2"/>
  <c r="AN803" i="2"/>
  <c r="AM803" i="2"/>
  <c r="AI803" i="2"/>
  <c r="Y803" i="2"/>
  <c r="V803" i="2" a="1"/>
  <c r="V803" i="2" s="1"/>
  <c r="M803" i="2" a="1"/>
  <c r="M803" i="2"/>
  <c r="I803" i="2" a="1"/>
  <c r="I803" i="2" s="1"/>
  <c r="AN802" i="2"/>
  <c r="AM802" i="2"/>
  <c r="AI802" i="2"/>
  <c r="Y802" i="2"/>
  <c r="V802" i="2" a="1"/>
  <c r="V802" i="2" s="1"/>
  <c r="M802" i="2" a="1"/>
  <c r="M802" i="2" s="1"/>
  <c r="I802" i="2" a="1"/>
  <c r="I802" i="2"/>
  <c r="AQ801" i="2"/>
  <c r="AN801" i="2"/>
  <c r="AM801" i="2"/>
  <c r="AI801" i="2"/>
  <c r="Y801" i="2"/>
  <c r="V801" i="2" a="1"/>
  <c r="V801" i="2" s="1"/>
  <c r="M801" i="2" a="1"/>
  <c r="M801" i="2"/>
  <c r="I801" i="2" a="1"/>
  <c r="I801" i="2" s="1"/>
  <c r="AN800" i="2"/>
  <c r="AM800" i="2"/>
  <c r="AI800" i="2"/>
  <c r="Y800" i="2"/>
  <c r="V800" i="2" a="1"/>
  <c r="V800" i="2"/>
  <c r="AQ800" i="2" s="1"/>
  <c r="M800" i="2" a="1"/>
  <c r="M800" i="2" s="1"/>
  <c r="I800" i="2" a="1"/>
  <c r="I800" i="2" s="1"/>
  <c r="AN799" i="2"/>
  <c r="AM799" i="2"/>
  <c r="AI799" i="2"/>
  <c r="Y799" i="2"/>
  <c r="V799" i="2" a="1"/>
  <c r="V799" i="2" s="1"/>
  <c r="AQ799" i="2" s="1"/>
  <c r="M799" i="2" a="1"/>
  <c r="M799" i="2" s="1"/>
  <c r="I799" i="2" a="1"/>
  <c r="I799" i="2" s="1"/>
  <c r="AN798" i="2"/>
  <c r="AM798" i="2"/>
  <c r="AI798" i="2"/>
  <c r="Y798" i="2"/>
  <c r="V798" i="2" a="1"/>
  <c r="V798" i="2" s="1"/>
  <c r="AQ798" i="2" s="1"/>
  <c r="M798" i="2" a="1"/>
  <c r="M798" i="2" s="1"/>
  <c r="I798" i="2" a="1"/>
  <c r="I798" i="2" s="1"/>
  <c r="AN797" i="2"/>
  <c r="AM797" i="2"/>
  <c r="AI797" i="2"/>
  <c r="Y797" i="2"/>
  <c r="V797" i="2" a="1"/>
  <c r="V797" i="2" s="1"/>
  <c r="AQ797" i="2" s="1"/>
  <c r="M797" i="2" a="1"/>
  <c r="M797" i="2" s="1"/>
  <c r="I797" i="2" a="1"/>
  <c r="I797" i="2" s="1"/>
  <c r="AN796" i="2"/>
  <c r="AM796" i="2"/>
  <c r="AI796" i="2"/>
  <c r="Y796" i="2"/>
  <c r="V796" i="2" a="1"/>
  <c r="V796" i="2" s="1"/>
  <c r="M796" i="2" a="1"/>
  <c r="M796" i="2" s="1"/>
  <c r="I796" i="2" a="1"/>
  <c r="I796" i="2" s="1"/>
  <c r="AQ795" i="2"/>
  <c r="AN795" i="2"/>
  <c r="AM795" i="2"/>
  <c r="AI795" i="2"/>
  <c r="Y795" i="2"/>
  <c r="V795" i="2" a="1"/>
  <c r="V795" i="2" s="1"/>
  <c r="M795" i="2" a="1"/>
  <c r="M795" i="2" s="1"/>
  <c r="I795" i="2" a="1"/>
  <c r="I795" i="2" s="1"/>
  <c r="AN794" i="2"/>
  <c r="AM794" i="2"/>
  <c r="AI794" i="2"/>
  <c r="Y794" i="2"/>
  <c r="V794" i="2" a="1"/>
  <c r="V794" i="2" s="1"/>
  <c r="M794" i="2" a="1"/>
  <c r="M794" i="2" s="1"/>
  <c r="I794" i="2" a="1"/>
  <c r="I794" i="2"/>
  <c r="AQ793" i="2"/>
  <c r="AN793" i="2"/>
  <c r="AM793" i="2"/>
  <c r="AI793" i="2"/>
  <c r="Y793" i="2"/>
  <c r="V793" i="2" a="1"/>
  <c r="V793" i="2" s="1"/>
  <c r="M793" i="2" a="1"/>
  <c r="M793" i="2"/>
  <c r="I793" i="2" a="1"/>
  <c r="I793" i="2" s="1"/>
  <c r="AN792" i="2"/>
  <c r="AM792" i="2"/>
  <c r="AI792" i="2"/>
  <c r="Y792" i="2"/>
  <c r="V792" i="2" a="1"/>
  <c r="V792" i="2"/>
  <c r="AQ792" i="2" s="1"/>
  <c r="M792" i="2" a="1"/>
  <c r="M792" i="2" s="1"/>
  <c r="I792" i="2" a="1"/>
  <c r="I792" i="2" s="1"/>
  <c r="AQ791" i="2"/>
  <c r="AN791" i="2"/>
  <c r="AM791" i="2"/>
  <c r="AI791" i="2"/>
  <c r="Y791" i="2"/>
  <c r="V791" i="2" a="1"/>
  <c r="V791" i="2" s="1"/>
  <c r="M791" i="2" a="1"/>
  <c r="M791" i="2" s="1"/>
  <c r="I791" i="2" a="1"/>
  <c r="I791" i="2" s="1"/>
  <c r="AN790" i="2"/>
  <c r="AM790" i="2"/>
  <c r="AI790" i="2"/>
  <c r="Y790" i="2"/>
  <c r="V790" i="2" a="1"/>
  <c r="V790" i="2" s="1"/>
  <c r="AQ790" i="2" s="1"/>
  <c r="M790" i="2" a="1"/>
  <c r="M790" i="2" s="1"/>
  <c r="I790" i="2" a="1"/>
  <c r="I790" i="2" s="1"/>
  <c r="AN789" i="2"/>
  <c r="AM789" i="2"/>
  <c r="AI789" i="2"/>
  <c r="Y789" i="2"/>
  <c r="V789" i="2" a="1"/>
  <c r="V789" i="2" s="1"/>
  <c r="AQ789" i="2" s="1"/>
  <c r="M789" i="2" a="1"/>
  <c r="M789" i="2" s="1"/>
  <c r="I789" i="2" a="1"/>
  <c r="I789" i="2" s="1"/>
  <c r="AN788" i="2"/>
  <c r="AM788" i="2"/>
  <c r="AI788" i="2"/>
  <c r="Y788" i="2"/>
  <c r="V788" i="2" a="1"/>
  <c r="V788" i="2" s="1"/>
  <c r="M788" i="2" a="1"/>
  <c r="M788" i="2" s="1"/>
  <c r="I788" i="2" a="1"/>
  <c r="I788" i="2" s="1"/>
  <c r="AQ787" i="2"/>
  <c r="AN787" i="2"/>
  <c r="AM787" i="2"/>
  <c r="AI787" i="2"/>
  <c r="Y787" i="2"/>
  <c r="V787" i="2" a="1"/>
  <c r="V787" i="2" s="1"/>
  <c r="M787" i="2" a="1"/>
  <c r="M787" i="2" s="1"/>
  <c r="I787" i="2" a="1"/>
  <c r="I787" i="2" s="1"/>
  <c r="AN786" i="2"/>
  <c r="AM786" i="2"/>
  <c r="AI786" i="2"/>
  <c r="Y786" i="2"/>
  <c r="V786" i="2" a="1"/>
  <c r="V786" i="2" s="1"/>
  <c r="M786" i="2" a="1"/>
  <c r="M786" i="2" s="1"/>
  <c r="I786" i="2" a="1"/>
  <c r="I786" i="2"/>
  <c r="AQ785" i="2"/>
  <c r="AN785" i="2"/>
  <c r="AM785" i="2"/>
  <c r="AI785" i="2"/>
  <c r="Y785" i="2"/>
  <c r="V785" i="2" a="1"/>
  <c r="V785" i="2" s="1"/>
  <c r="M785" i="2" a="1"/>
  <c r="M785" i="2"/>
  <c r="I785" i="2" a="1"/>
  <c r="I785" i="2" s="1"/>
  <c r="AN784" i="2"/>
  <c r="AM784" i="2"/>
  <c r="AI784" i="2"/>
  <c r="Y784" i="2"/>
  <c r="V784" i="2" a="1"/>
  <c r="V784" i="2"/>
  <c r="AQ784" i="2" s="1"/>
  <c r="M784" i="2" a="1"/>
  <c r="M784" i="2" s="1"/>
  <c r="I784" i="2" a="1"/>
  <c r="I784" i="2" s="1"/>
  <c r="AQ783" i="2"/>
  <c r="AN783" i="2"/>
  <c r="AM783" i="2"/>
  <c r="AI783" i="2"/>
  <c r="Y783" i="2"/>
  <c r="V783" i="2" a="1"/>
  <c r="V783" i="2" s="1"/>
  <c r="M783" i="2" a="1"/>
  <c r="M783" i="2" s="1"/>
  <c r="I783" i="2" a="1"/>
  <c r="I783" i="2" s="1"/>
  <c r="AN782" i="2"/>
  <c r="AM782" i="2"/>
  <c r="AI782" i="2"/>
  <c r="Y782" i="2"/>
  <c r="V782" i="2" a="1"/>
  <c r="V782" i="2" s="1"/>
  <c r="AQ782" i="2" s="1"/>
  <c r="M782" i="2" a="1"/>
  <c r="M782" i="2" s="1"/>
  <c r="I782" i="2" a="1"/>
  <c r="I782" i="2" s="1"/>
  <c r="AN781" i="2"/>
  <c r="AM781" i="2"/>
  <c r="AI781" i="2"/>
  <c r="Y781" i="2"/>
  <c r="V781" i="2" a="1"/>
  <c r="V781" i="2" s="1"/>
  <c r="AQ781" i="2" s="1"/>
  <c r="M781" i="2" a="1"/>
  <c r="M781" i="2" s="1"/>
  <c r="I781" i="2" a="1"/>
  <c r="I781" i="2" s="1"/>
  <c r="AN780" i="2"/>
  <c r="AM780" i="2"/>
  <c r="AI780" i="2"/>
  <c r="Y780" i="2"/>
  <c r="V780" i="2" a="1"/>
  <c r="V780" i="2" s="1"/>
  <c r="M780" i="2" a="1"/>
  <c r="M780" i="2" s="1"/>
  <c r="I780" i="2" a="1"/>
  <c r="I780" i="2" s="1"/>
  <c r="AQ779" i="2"/>
  <c r="AN779" i="2"/>
  <c r="AM779" i="2"/>
  <c r="AI779" i="2"/>
  <c r="Y779" i="2"/>
  <c r="V779" i="2" a="1"/>
  <c r="V779" i="2" s="1"/>
  <c r="M779" i="2" a="1"/>
  <c r="M779" i="2" s="1"/>
  <c r="I779" i="2" a="1"/>
  <c r="I779" i="2" s="1"/>
  <c r="AN778" i="2"/>
  <c r="AM778" i="2"/>
  <c r="AI778" i="2"/>
  <c r="Y778" i="2"/>
  <c r="V778" i="2" a="1"/>
  <c r="V778" i="2" s="1"/>
  <c r="M778" i="2" a="1"/>
  <c r="M778" i="2" s="1"/>
  <c r="I778" i="2" a="1"/>
  <c r="I778" i="2"/>
  <c r="AQ777" i="2"/>
  <c r="AN777" i="2"/>
  <c r="AM777" i="2"/>
  <c r="AI777" i="2"/>
  <c r="Y777" i="2"/>
  <c r="V777" i="2" a="1"/>
  <c r="V777" i="2" s="1"/>
  <c r="M777" i="2" a="1"/>
  <c r="M777" i="2"/>
  <c r="I777" i="2" a="1"/>
  <c r="I777" i="2" s="1"/>
  <c r="AN776" i="2"/>
  <c r="AM776" i="2"/>
  <c r="AI776" i="2"/>
  <c r="Y776" i="2"/>
  <c r="V776" i="2" a="1"/>
  <c r="V776" i="2"/>
  <c r="AQ776" i="2" s="1"/>
  <c r="M776" i="2" a="1"/>
  <c r="M776" i="2" s="1"/>
  <c r="I776" i="2" a="1"/>
  <c r="I776" i="2" s="1"/>
  <c r="AQ775" i="2"/>
  <c r="AN775" i="2"/>
  <c r="AM775" i="2"/>
  <c r="AI775" i="2"/>
  <c r="Y775" i="2"/>
  <c r="V775" i="2" a="1"/>
  <c r="V775" i="2" s="1"/>
  <c r="M775" i="2" a="1"/>
  <c r="M775" i="2" s="1"/>
  <c r="I775" i="2" a="1"/>
  <c r="I775" i="2" s="1"/>
  <c r="AN774" i="2"/>
  <c r="AM774" i="2"/>
  <c r="AI774" i="2"/>
  <c r="Y774" i="2"/>
  <c r="V774" i="2" a="1"/>
  <c r="V774" i="2" s="1"/>
  <c r="AQ774" i="2" s="1"/>
  <c r="M774" i="2" a="1"/>
  <c r="M774" i="2" s="1"/>
  <c r="I774" i="2" a="1"/>
  <c r="I774" i="2" s="1"/>
  <c r="AN773" i="2"/>
  <c r="AM773" i="2"/>
  <c r="AI773" i="2"/>
  <c r="Y773" i="2"/>
  <c r="V773" i="2" a="1"/>
  <c r="V773" i="2" s="1"/>
  <c r="AQ773" i="2" s="1"/>
  <c r="M773" i="2" a="1"/>
  <c r="M773" i="2" s="1"/>
  <c r="I773" i="2" a="1"/>
  <c r="I773" i="2" s="1"/>
  <c r="AN772" i="2"/>
  <c r="AM772" i="2"/>
  <c r="AI772" i="2"/>
  <c r="Y772" i="2"/>
  <c r="V772" i="2" a="1"/>
  <c r="V772" i="2" s="1"/>
  <c r="M772" i="2" a="1"/>
  <c r="M772" i="2" s="1"/>
  <c r="I772" i="2" a="1"/>
  <c r="I772" i="2" s="1"/>
  <c r="AQ771" i="2"/>
  <c r="AN771" i="2"/>
  <c r="AM771" i="2"/>
  <c r="AI771" i="2"/>
  <c r="Y771" i="2"/>
  <c r="V771" i="2" a="1"/>
  <c r="V771" i="2" s="1"/>
  <c r="M771" i="2" a="1"/>
  <c r="M771" i="2" s="1"/>
  <c r="I771" i="2" a="1"/>
  <c r="I771" i="2" s="1"/>
  <c r="AN770" i="2"/>
  <c r="AM770" i="2"/>
  <c r="AI770" i="2"/>
  <c r="Y770" i="2"/>
  <c r="V770" i="2" a="1"/>
  <c r="V770" i="2" s="1"/>
  <c r="M770" i="2" a="1"/>
  <c r="M770" i="2" s="1"/>
  <c r="I770" i="2" a="1"/>
  <c r="I770" i="2"/>
  <c r="AQ769" i="2"/>
  <c r="AN769" i="2"/>
  <c r="AM769" i="2"/>
  <c r="AI769" i="2"/>
  <c r="Y769" i="2"/>
  <c r="V769" i="2" a="1"/>
  <c r="V769" i="2" s="1"/>
  <c r="M769" i="2" a="1"/>
  <c r="M769" i="2"/>
  <c r="I769" i="2" a="1"/>
  <c r="I769" i="2" s="1"/>
  <c r="AN768" i="2"/>
  <c r="AM768" i="2"/>
  <c r="AI768" i="2"/>
  <c r="Y768" i="2"/>
  <c r="V768" i="2" a="1"/>
  <c r="V768" i="2"/>
  <c r="AQ768" i="2" s="1"/>
  <c r="M768" i="2" a="1"/>
  <c r="M768" i="2" s="1"/>
  <c r="I768" i="2" a="1"/>
  <c r="I768" i="2" s="1"/>
  <c r="AQ767" i="2"/>
  <c r="AN767" i="2"/>
  <c r="AM767" i="2"/>
  <c r="AI767" i="2"/>
  <c r="Y767" i="2"/>
  <c r="V767" i="2" a="1"/>
  <c r="V767" i="2" s="1"/>
  <c r="M767" i="2" a="1"/>
  <c r="M767" i="2" s="1"/>
  <c r="I767" i="2" a="1"/>
  <c r="I767" i="2" s="1"/>
  <c r="AN766" i="2"/>
  <c r="AM766" i="2"/>
  <c r="AI766" i="2"/>
  <c r="Y766" i="2"/>
  <c r="V766" i="2" a="1"/>
  <c r="V766" i="2" s="1"/>
  <c r="AQ766" i="2" s="1"/>
  <c r="M766" i="2" a="1"/>
  <c r="M766" i="2" s="1"/>
  <c r="I766" i="2" a="1"/>
  <c r="I766" i="2" s="1"/>
  <c r="AN765" i="2"/>
  <c r="AM765" i="2"/>
  <c r="AI765" i="2"/>
  <c r="Y765" i="2"/>
  <c r="V765" i="2" a="1"/>
  <c r="V765" i="2" s="1"/>
  <c r="AQ765" i="2" s="1"/>
  <c r="M765" i="2" a="1"/>
  <c r="M765" i="2" s="1"/>
  <c r="I765" i="2" a="1"/>
  <c r="I765" i="2" s="1"/>
  <c r="AN764" i="2"/>
  <c r="AM764" i="2"/>
  <c r="AI764" i="2"/>
  <c r="Y764" i="2"/>
  <c r="V764" i="2" a="1"/>
  <c r="V764" i="2" s="1"/>
  <c r="M764" i="2" a="1"/>
  <c r="M764" i="2" s="1"/>
  <c r="I764" i="2" a="1"/>
  <c r="I764" i="2" s="1"/>
  <c r="AQ763" i="2"/>
  <c r="AN763" i="2"/>
  <c r="AM763" i="2"/>
  <c r="AI763" i="2"/>
  <c r="Y763" i="2"/>
  <c r="V763" i="2" a="1"/>
  <c r="V763" i="2" s="1"/>
  <c r="M763" i="2" a="1"/>
  <c r="M763" i="2" s="1"/>
  <c r="I763" i="2" a="1"/>
  <c r="I763" i="2" s="1"/>
  <c r="AN762" i="2"/>
  <c r="AM762" i="2"/>
  <c r="AI762" i="2"/>
  <c r="Y762" i="2"/>
  <c r="V762" i="2" a="1"/>
  <c r="V762" i="2" s="1"/>
  <c r="M762" i="2" a="1"/>
  <c r="M762" i="2" s="1"/>
  <c r="I762" i="2" a="1"/>
  <c r="I762" i="2"/>
  <c r="AQ761" i="2"/>
  <c r="AN761" i="2"/>
  <c r="AM761" i="2"/>
  <c r="AI761" i="2"/>
  <c r="Y761" i="2"/>
  <c r="V761" i="2" a="1"/>
  <c r="V761" i="2" s="1"/>
  <c r="M761" i="2" a="1"/>
  <c r="M761" i="2"/>
  <c r="I761" i="2" a="1"/>
  <c r="I761" i="2" s="1"/>
  <c r="AN760" i="2"/>
  <c r="AM760" i="2"/>
  <c r="AI760" i="2"/>
  <c r="Y760" i="2"/>
  <c r="V760" i="2" a="1"/>
  <c r="V760" i="2"/>
  <c r="AQ760" i="2" s="1"/>
  <c r="M760" i="2" a="1"/>
  <c r="M760" i="2" s="1"/>
  <c r="I760" i="2" a="1"/>
  <c r="I760" i="2"/>
  <c r="AQ759" i="2"/>
  <c r="AN759" i="2"/>
  <c r="AM759" i="2"/>
  <c r="AI759" i="2"/>
  <c r="Y759" i="2"/>
  <c r="V759" i="2" a="1"/>
  <c r="V759" i="2" s="1"/>
  <c r="M759" i="2" a="1"/>
  <c r="M759" i="2"/>
  <c r="I759" i="2" a="1"/>
  <c r="I759" i="2" s="1"/>
  <c r="AN758" i="2"/>
  <c r="AM758" i="2"/>
  <c r="AI758" i="2"/>
  <c r="Y758" i="2"/>
  <c r="V758" i="2" a="1"/>
  <c r="V758" i="2" s="1"/>
  <c r="AQ758" i="2" s="1"/>
  <c r="M758" i="2" a="1"/>
  <c r="M758" i="2" s="1"/>
  <c r="I758" i="2" a="1"/>
  <c r="I758" i="2" s="1"/>
  <c r="AN757" i="2"/>
  <c r="AM757" i="2"/>
  <c r="AI757" i="2"/>
  <c r="Y757" i="2"/>
  <c r="V757" i="2" a="1"/>
  <c r="V757" i="2" s="1"/>
  <c r="AQ757" i="2" s="1"/>
  <c r="M757" i="2" a="1"/>
  <c r="M757" i="2" s="1"/>
  <c r="I757" i="2" a="1"/>
  <c r="I757" i="2" s="1"/>
  <c r="AN756" i="2"/>
  <c r="AM756" i="2"/>
  <c r="AI756" i="2"/>
  <c r="Y756" i="2"/>
  <c r="V756" i="2" a="1"/>
  <c r="V756" i="2" s="1"/>
  <c r="M756" i="2" a="1"/>
  <c r="M756" i="2" s="1"/>
  <c r="I756" i="2" a="1"/>
  <c r="I756" i="2" s="1"/>
  <c r="AN755" i="2"/>
  <c r="AM755" i="2"/>
  <c r="AI755" i="2"/>
  <c r="Y755" i="2"/>
  <c r="V755" i="2" a="1"/>
  <c r="V755" i="2" s="1"/>
  <c r="AQ755" i="2" s="1"/>
  <c r="M755" i="2" a="1"/>
  <c r="M755" i="2" s="1"/>
  <c r="I755" i="2" a="1"/>
  <c r="I755" i="2" s="1"/>
  <c r="AN754" i="2"/>
  <c r="AM754" i="2"/>
  <c r="AI754" i="2"/>
  <c r="Y754" i="2"/>
  <c r="V754" i="2" a="1"/>
  <c r="V754" i="2" s="1"/>
  <c r="M754" i="2" a="1"/>
  <c r="M754" i="2" s="1"/>
  <c r="I754" i="2" a="1"/>
  <c r="I754" i="2"/>
  <c r="AQ753" i="2"/>
  <c r="AN753" i="2"/>
  <c r="AM753" i="2"/>
  <c r="AI753" i="2"/>
  <c r="Y753" i="2"/>
  <c r="V753" i="2" a="1"/>
  <c r="V753" i="2" s="1"/>
  <c r="M753" i="2" a="1"/>
  <c r="M753" i="2"/>
  <c r="I753" i="2" a="1"/>
  <c r="I753" i="2" s="1"/>
  <c r="AN752" i="2"/>
  <c r="AM752" i="2"/>
  <c r="AI752" i="2"/>
  <c r="Y752" i="2"/>
  <c r="V752" i="2" a="1"/>
  <c r="V752" i="2"/>
  <c r="AQ752" i="2" s="1"/>
  <c r="M752" i="2" a="1"/>
  <c r="M752" i="2" s="1"/>
  <c r="I752" i="2" a="1"/>
  <c r="I752" i="2" s="1"/>
  <c r="AQ751" i="2"/>
  <c r="AN751" i="2"/>
  <c r="AM751" i="2"/>
  <c r="AI751" i="2"/>
  <c r="Y751" i="2"/>
  <c r="V751" i="2" a="1"/>
  <c r="V751" i="2" s="1"/>
  <c r="M751" i="2" a="1"/>
  <c r="M751" i="2" s="1"/>
  <c r="I751" i="2" a="1"/>
  <c r="I751" i="2" s="1"/>
  <c r="AN750" i="2"/>
  <c r="AM750" i="2"/>
  <c r="AI750" i="2"/>
  <c r="Y750" i="2"/>
  <c r="V750" i="2" a="1"/>
  <c r="V750" i="2" s="1"/>
  <c r="AQ750" i="2" s="1"/>
  <c r="M750" i="2" a="1"/>
  <c r="M750" i="2" s="1"/>
  <c r="I750" i="2" a="1"/>
  <c r="I750" i="2" s="1"/>
  <c r="AN749" i="2"/>
  <c r="AM749" i="2"/>
  <c r="AI749" i="2"/>
  <c r="Y749" i="2"/>
  <c r="V749" i="2" a="1"/>
  <c r="V749" i="2" s="1"/>
  <c r="AQ749" i="2" s="1"/>
  <c r="M749" i="2" a="1"/>
  <c r="M749" i="2" s="1"/>
  <c r="I749" i="2" a="1"/>
  <c r="I749" i="2" s="1"/>
  <c r="AN748" i="2"/>
  <c r="AM748" i="2"/>
  <c r="AI748" i="2"/>
  <c r="Y748" i="2"/>
  <c r="V748" i="2" a="1"/>
  <c r="V748" i="2" s="1"/>
  <c r="M748" i="2" a="1"/>
  <c r="M748" i="2" s="1"/>
  <c r="I748" i="2" a="1"/>
  <c r="I748" i="2" s="1"/>
  <c r="AN747" i="2"/>
  <c r="AM747" i="2"/>
  <c r="AI747" i="2"/>
  <c r="Y747" i="2"/>
  <c r="V747" i="2" a="1"/>
  <c r="V747" i="2" s="1"/>
  <c r="AQ747" i="2" s="1"/>
  <c r="M747" i="2" a="1"/>
  <c r="M747" i="2" s="1"/>
  <c r="I747" i="2" a="1"/>
  <c r="I747" i="2" s="1"/>
  <c r="AN746" i="2"/>
  <c r="AM746" i="2"/>
  <c r="AI746" i="2"/>
  <c r="Y746" i="2"/>
  <c r="V746" i="2" a="1"/>
  <c r="V746" i="2" s="1"/>
  <c r="M746" i="2" a="1"/>
  <c r="M746" i="2" s="1"/>
  <c r="I746" i="2" a="1"/>
  <c r="I746" i="2"/>
  <c r="AQ745" i="2"/>
  <c r="AN745" i="2"/>
  <c r="AM745" i="2"/>
  <c r="AI745" i="2"/>
  <c r="Y745" i="2"/>
  <c r="V745" i="2" a="1"/>
  <c r="V745" i="2" s="1"/>
  <c r="M745" i="2" a="1"/>
  <c r="M745" i="2"/>
  <c r="I745" i="2" a="1"/>
  <c r="I745" i="2" s="1"/>
  <c r="AN744" i="2"/>
  <c r="AM744" i="2"/>
  <c r="AI744" i="2"/>
  <c r="Y744" i="2"/>
  <c r="V744" i="2" a="1"/>
  <c r="V744" i="2"/>
  <c r="AQ744" i="2" s="1"/>
  <c r="M744" i="2" a="1"/>
  <c r="M744" i="2" s="1"/>
  <c r="I744" i="2" a="1"/>
  <c r="I744" i="2"/>
  <c r="AQ743" i="2"/>
  <c r="AN743" i="2"/>
  <c r="AM743" i="2"/>
  <c r="AI743" i="2"/>
  <c r="Y743" i="2"/>
  <c r="V743" i="2" a="1"/>
  <c r="V743" i="2" s="1"/>
  <c r="M743" i="2" a="1"/>
  <c r="M743" i="2"/>
  <c r="I743" i="2" a="1"/>
  <c r="I743" i="2" s="1"/>
  <c r="AN742" i="2"/>
  <c r="AM742" i="2"/>
  <c r="AI742" i="2"/>
  <c r="Y742" i="2"/>
  <c r="V742" i="2" a="1"/>
  <c r="V742" i="2" s="1"/>
  <c r="AQ742" i="2" s="1"/>
  <c r="M742" i="2" a="1"/>
  <c r="M742" i="2" s="1"/>
  <c r="I742" i="2" a="1"/>
  <c r="I742" i="2" s="1"/>
  <c r="AN741" i="2"/>
  <c r="AM741" i="2"/>
  <c r="AI741" i="2"/>
  <c r="Y741" i="2"/>
  <c r="V741" i="2" a="1"/>
  <c r="V741" i="2" s="1"/>
  <c r="AQ741" i="2" s="1"/>
  <c r="M741" i="2" a="1"/>
  <c r="M741" i="2" s="1"/>
  <c r="I741" i="2" a="1"/>
  <c r="I741" i="2" s="1"/>
  <c r="AN740" i="2"/>
  <c r="AM740" i="2"/>
  <c r="AI740" i="2"/>
  <c r="Y740" i="2"/>
  <c r="V740" i="2" a="1"/>
  <c r="V740" i="2" s="1"/>
  <c r="M740" i="2" a="1"/>
  <c r="M740" i="2" s="1"/>
  <c r="I740" i="2" a="1"/>
  <c r="I740" i="2" s="1"/>
  <c r="AN739" i="2"/>
  <c r="AM739" i="2"/>
  <c r="AI739" i="2"/>
  <c r="Y739" i="2"/>
  <c r="V739" i="2" a="1"/>
  <c r="V739" i="2" s="1"/>
  <c r="AQ739" i="2" s="1"/>
  <c r="M739" i="2" a="1"/>
  <c r="M739" i="2" s="1"/>
  <c r="I739" i="2" a="1"/>
  <c r="I739" i="2" s="1"/>
  <c r="AN738" i="2"/>
  <c r="AM738" i="2"/>
  <c r="AI738" i="2"/>
  <c r="Y738" i="2"/>
  <c r="V738" i="2" a="1"/>
  <c r="V738" i="2" s="1"/>
  <c r="M738" i="2" a="1"/>
  <c r="M738" i="2" s="1"/>
  <c r="I738" i="2" a="1"/>
  <c r="I738" i="2"/>
  <c r="AQ737" i="2"/>
  <c r="AN737" i="2"/>
  <c r="AM737" i="2"/>
  <c r="AI737" i="2"/>
  <c r="Y737" i="2"/>
  <c r="V737" i="2" a="1"/>
  <c r="V737" i="2" s="1"/>
  <c r="M737" i="2" a="1"/>
  <c r="M737" i="2"/>
  <c r="I737" i="2" a="1"/>
  <c r="I737" i="2" s="1"/>
  <c r="AN736" i="2"/>
  <c r="AM736" i="2"/>
  <c r="AI736" i="2"/>
  <c r="Y736" i="2"/>
  <c r="V736" i="2" a="1"/>
  <c r="V736" i="2"/>
  <c r="AQ736" i="2" s="1"/>
  <c r="M736" i="2" a="1"/>
  <c r="M736" i="2" s="1"/>
  <c r="I736" i="2" a="1"/>
  <c r="I736" i="2"/>
  <c r="AQ735" i="2"/>
  <c r="AN735" i="2"/>
  <c r="AM735" i="2"/>
  <c r="AI735" i="2"/>
  <c r="Y735" i="2"/>
  <c r="V735" i="2" a="1"/>
  <c r="V735" i="2" s="1"/>
  <c r="M735" i="2" a="1"/>
  <c r="M735" i="2"/>
  <c r="I735" i="2" a="1"/>
  <c r="I735" i="2" s="1"/>
  <c r="AQ734" i="2"/>
  <c r="AN734" i="2"/>
  <c r="AM734" i="2"/>
  <c r="AI734" i="2"/>
  <c r="Y734" i="2"/>
  <c r="V734" i="2" a="1"/>
  <c r="V734" i="2"/>
  <c r="M734" i="2" a="1"/>
  <c r="M734" i="2" s="1"/>
  <c r="I734" i="2" a="1"/>
  <c r="I734" i="2" s="1"/>
  <c r="AN733" i="2"/>
  <c r="AM733" i="2"/>
  <c r="AI733" i="2"/>
  <c r="Y733" i="2"/>
  <c r="V733" i="2" a="1"/>
  <c r="V733" i="2" s="1"/>
  <c r="AQ733" i="2" s="1"/>
  <c r="M733" i="2" a="1"/>
  <c r="M733" i="2" s="1"/>
  <c r="I733" i="2" a="1"/>
  <c r="I733" i="2" s="1"/>
  <c r="AN732" i="2"/>
  <c r="AM732" i="2"/>
  <c r="AI732" i="2"/>
  <c r="Y732" i="2"/>
  <c r="V732" i="2" a="1"/>
  <c r="V732" i="2" s="1"/>
  <c r="M732" i="2" a="1"/>
  <c r="M732" i="2" s="1"/>
  <c r="I732" i="2" a="1"/>
  <c r="I732" i="2" s="1"/>
  <c r="AN731" i="2"/>
  <c r="AM731" i="2"/>
  <c r="AI731" i="2"/>
  <c r="Y731" i="2"/>
  <c r="V731" i="2" a="1"/>
  <c r="V731" i="2" s="1"/>
  <c r="AQ731" i="2" s="1"/>
  <c r="M731" i="2" a="1"/>
  <c r="M731" i="2" s="1"/>
  <c r="I731" i="2" a="1"/>
  <c r="I731" i="2" s="1"/>
  <c r="AN730" i="2"/>
  <c r="AM730" i="2"/>
  <c r="AI730" i="2"/>
  <c r="Y730" i="2"/>
  <c r="V730" i="2" a="1"/>
  <c r="V730" i="2" s="1"/>
  <c r="M730" i="2" a="1"/>
  <c r="M730" i="2" s="1"/>
  <c r="I730" i="2" a="1"/>
  <c r="I730" i="2"/>
  <c r="AQ729" i="2"/>
  <c r="AN729" i="2"/>
  <c r="AM729" i="2"/>
  <c r="AI729" i="2"/>
  <c r="Y729" i="2"/>
  <c r="V729" i="2" a="1"/>
  <c r="V729" i="2" s="1"/>
  <c r="M729" i="2" a="1"/>
  <c r="M729" i="2"/>
  <c r="I729" i="2" a="1"/>
  <c r="I729" i="2" s="1"/>
  <c r="AN728" i="2"/>
  <c r="AM728" i="2"/>
  <c r="AI728" i="2"/>
  <c r="Y728" i="2"/>
  <c r="V728" i="2" a="1"/>
  <c r="V728" i="2"/>
  <c r="AQ728" i="2" s="1"/>
  <c r="M728" i="2" a="1"/>
  <c r="M728" i="2" s="1"/>
  <c r="I728" i="2" a="1"/>
  <c r="I728" i="2"/>
  <c r="AQ727" i="2"/>
  <c r="AN727" i="2"/>
  <c r="AM727" i="2"/>
  <c r="AI727" i="2"/>
  <c r="Y727" i="2"/>
  <c r="V727" i="2" a="1"/>
  <c r="V727" i="2" s="1"/>
  <c r="M727" i="2" a="1"/>
  <c r="M727" i="2"/>
  <c r="I727" i="2" a="1"/>
  <c r="I727" i="2" s="1"/>
  <c r="AN726" i="2"/>
  <c r="AM726" i="2"/>
  <c r="AI726" i="2"/>
  <c r="Y726" i="2"/>
  <c r="V726" i="2" a="1"/>
  <c r="V726" i="2" s="1"/>
  <c r="AQ726" i="2" s="1"/>
  <c r="M726" i="2" a="1"/>
  <c r="M726" i="2" s="1"/>
  <c r="I726" i="2" a="1"/>
  <c r="I726" i="2" s="1"/>
  <c r="AN725" i="2"/>
  <c r="AM725" i="2"/>
  <c r="AI725" i="2"/>
  <c r="Y725" i="2"/>
  <c r="V725" i="2" a="1"/>
  <c r="V725" i="2" s="1"/>
  <c r="AQ725" i="2" s="1"/>
  <c r="M725" i="2" a="1"/>
  <c r="M725" i="2" s="1"/>
  <c r="I725" i="2" a="1"/>
  <c r="I725" i="2" s="1"/>
  <c r="AP724" i="2"/>
  <c r="AN724" i="2"/>
  <c r="AM724" i="2"/>
  <c r="AI724" i="2"/>
  <c r="Y724" i="2"/>
  <c r="V724" i="2" a="1"/>
  <c r="V724" i="2" s="1"/>
  <c r="AQ724" i="2" s="1"/>
  <c r="M724" i="2" a="1"/>
  <c r="M724" i="2" s="1"/>
  <c r="I724" i="2" a="1"/>
  <c r="I724" i="2" s="1"/>
  <c r="AN723" i="2"/>
  <c r="AM723" i="2"/>
  <c r="AI723" i="2"/>
  <c r="Y723" i="2"/>
  <c r="V723" i="2" a="1"/>
  <c r="V723" i="2" s="1"/>
  <c r="AQ723" i="2" s="1"/>
  <c r="M723" i="2" a="1"/>
  <c r="M723" i="2"/>
  <c r="I723" i="2" a="1"/>
  <c r="I723" i="2" s="1"/>
  <c r="AN722" i="2"/>
  <c r="AM722" i="2"/>
  <c r="AI722" i="2"/>
  <c r="Y722" i="2"/>
  <c r="V722" i="2" a="1"/>
  <c r="V722" i="2" s="1"/>
  <c r="M722" i="2" a="1"/>
  <c r="M722" i="2" s="1"/>
  <c r="I722" i="2" a="1"/>
  <c r="I722" i="2"/>
  <c r="AQ721" i="2"/>
  <c r="AN721" i="2"/>
  <c r="AM721" i="2"/>
  <c r="AI721" i="2"/>
  <c r="Y721" i="2"/>
  <c r="V721" i="2" a="1"/>
  <c r="V721" i="2" s="1"/>
  <c r="M721" i="2" a="1"/>
  <c r="M721" i="2"/>
  <c r="I721" i="2" a="1"/>
  <c r="I721" i="2" s="1"/>
  <c r="AN720" i="2"/>
  <c r="AM720" i="2"/>
  <c r="AI720" i="2"/>
  <c r="Y720" i="2"/>
  <c r="V720" i="2" a="1"/>
  <c r="V720" i="2"/>
  <c r="AQ720" i="2" s="1"/>
  <c r="M720" i="2" a="1"/>
  <c r="M720" i="2" s="1"/>
  <c r="I720" i="2" a="1"/>
  <c r="I720" i="2"/>
  <c r="AN719" i="2"/>
  <c r="AM719" i="2"/>
  <c r="AI719" i="2"/>
  <c r="Y719" i="2"/>
  <c r="V719" i="2" a="1"/>
  <c r="V719" i="2" s="1"/>
  <c r="AQ719" i="2" s="1"/>
  <c r="M719" i="2" a="1"/>
  <c r="M719" i="2"/>
  <c r="I719" i="2" a="1"/>
  <c r="I719" i="2" s="1"/>
  <c r="AQ718" i="2"/>
  <c r="AN718" i="2"/>
  <c r="AM718" i="2"/>
  <c r="AI718" i="2"/>
  <c r="Y718" i="2"/>
  <c r="V718" i="2" a="1"/>
  <c r="V718" i="2"/>
  <c r="M718" i="2" a="1"/>
  <c r="M718" i="2" s="1"/>
  <c r="I718" i="2" a="1"/>
  <c r="I718" i="2" s="1"/>
  <c r="AN717" i="2"/>
  <c r="AM717" i="2"/>
  <c r="AI717" i="2"/>
  <c r="Y717" i="2"/>
  <c r="V717" i="2" a="1"/>
  <c r="V717" i="2" s="1"/>
  <c r="AQ717" i="2" s="1"/>
  <c r="M717" i="2" a="1"/>
  <c r="M717" i="2" s="1"/>
  <c r="I717" i="2" a="1"/>
  <c r="I717" i="2" s="1"/>
  <c r="AN716" i="2"/>
  <c r="AM716" i="2"/>
  <c r="AI716" i="2"/>
  <c r="Y716" i="2"/>
  <c r="V716" i="2" a="1"/>
  <c r="V716" i="2" s="1"/>
  <c r="AQ716" i="2" s="1"/>
  <c r="M716" i="2" a="1"/>
  <c r="M716" i="2" s="1"/>
  <c r="I716" i="2" a="1"/>
  <c r="I716" i="2"/>
  <c r="AN715" i="2"/>
  <c r="AM715" i="2"/>
  <c r="AI715" i="2"/>
  <c r="Y715" i="2"/>
  <c r="V715" i="2" a="1"/>
  <c r="V715" i="2" s="1"/>
  <c r="AQ715" i="2" s="1"/>
  <c r="M715" i="2" a="1"/>
  <c r="M715" i="2"/>
  <c r="I715" i="2" a="1"/>
  <c r="I715" i="2" s="1"/>
  <c r="AN714" i="2"/>
  <c r="AM714" i="2"/>
  <c r="AI714" i="2"/>
  <c r="Y714" i="2"/>
  <c r="V714" i="2" a="1"/>
  <c r="V714" i="2" s="1"/>
  <c r="AQ714" i="2" s="1"/>
  <c r="M714" i="2" a="1"/>
  <c r="M714" i="2" s="1"/>
  <c r="I714" i="2" a="1"/>
  <c r="I714" i="2" s="1"/>
  <c r="AN713" i="2"/>
  <c r="AM713" i="2"/>
  <c r="AI713" i="2"/>
  <c r="Y713" i="2"/>
  <c r="V713" i="2" a="1"/>
  <c r="V713" i="2" s="1"/>
  <c r="AQ713" i="2" s="1"/>
  <c r="M713" i="2" a="1"/>
  <c r="M713" i="2" s="1"/>
  <c r="I713" i="2" a="1"/>
  <c r="I713" i="2" s="1"/>
  <c r="AN712" i="2"/>
  <c r="AM712" i="2"/>
  <c r="AI712" i="2"/>
  <c r="Y712" i="2"/>
  <c r="V712" i="2" a="1"/>
  <c r="V712" i="2" s="1"/>
  <c r="AQ712" i="2" s="1"/>
  <c r="M712" i="2" a="1"/>
  <c r="M712" i="2" s="1"/>
  <c r="I712" i="2" a="1"/>
  <c r="I712" i="2" s="1"/>
  <c r="AN711" i="2"/>
  <c r="AM711" i="2"/>
  <c r="AI711" i="2"/>
  <c r="Y711" i="2"/>
  <c r="V711" i="2" a="1"/>
  <c r="V711" i="2" s="1"/>
  <c r="M711" i="2" a="1"/>
  <c r="M711" i="2" s="1"/>
  <c r="I711" i="2" a="1"/>
  <c r="I711" i="2" s="1"/>
  <c r="AQ710" i="2"/>
  <c r="AN710" i="2"/>
  <c r="AM710" i="2"/>
  <c r="AI710" i="2"/>
  <c r="Y710" i="2"/>
  <c r="V710" i="2" a="1"/>
  <c r="V710" i="2" s="1"/>
  <c r="M710" i="2" a="1"/>
  <c r="M710" i="2" s="1"/>
  <c r="I710" i="2" a="1"/>
  <c r="I710" i="2" s="1"/>
  <c r="AN709" i="2"/>
  <c r="AM709" i="2"/>
  <c r="AI709" i="2"/>
  <c r="Y709" i="2"/>
  <c r="V709" i="2" a="1"/>
  <c r="V709" i="2" s="1"/>
  <c r="M709" i="2" a="1"/>
  <c r="M709" i="2" s="1"/>
  <c r="I709" i="2" a="1"/>
  <c r="I709" i="2"/>
  <c r="AN708" i="2"/>
  <c r="AM708" i="2"/>
  <c r="AI708" i="2"/>
  <c r="Y708" i="2"/>
  <c r="V708" i="2" a="1"/>
  <c r="V708" i="2" s="1"/>
  <c r="AQ708" i="2" s="1"/>
  <c r="M708" i="2" a="1"/>
  <c r="M708" i="2"/>
  <c r="I708" i="2" a="1"/>
  <c r="I708" i="2" s="1"/>
  <c r="AN707" i="2"/>
  <c r="AM707" i="2"/>
  <c r="AI707" i="2"/>
  <c r="Y707" i="2"/>
  <c r="V707" i="2" a="1"/>
  <c r="V707" i="2"/>
  <c r="AQ707" i="2" s="1"/>
  <c r="M707" i="2" a="1"/>
  <c r="M707" i="2" s="1"/>
  <c r="I707" i="2" a="1"/>
  <c r="I707" i="2" s="1"/>
  <c r="AQ706" i="2"/>
  <c r="AN706" i="2"/>
  <c r="AM706" i="2"/>
  <c r="AI706" i="2"/>
  <c r="Y706" i="2"/>
  <c r="V706" i="2" a="1"/>
  <c r="V706" i="2" s="1"/>
  <c r="M706" i="2" a="1"/>
  <c r="M706" i="2" s="1"/>
  <c r="I706" i="2" a="1"/>
  <c r="I706" i="2" s="1"/>
  <c r="AN705" i="2"/>
  <c r="AM705" i="2"/>
  <c r="AI705" i="2"/>
  <c r="Y705" i="2"/>
  <c r="V705" i="2" a="1"/>
  <c r="V705" i="2" s="1"/>
  <c r="AQ705" i="2" s="1"/>
  <c r="M705" i="2" a="1"/>
  <c r="M705" i="2" s="1"/>
  <c r="I705" i="2" a="1"/>
  <c r="I705" i="2"/>
  <c r="AN704" i="2"/>
  <c r="AM704" i="2"/>
  <c r="AI704" i="2"/>
  <c r="Y704" i="2"/>
  <c r="V704" i="2" a="1"/>
  <c r="V704" i="2" s="1"/>
  <c r="AQ704" i="2" s="1"/>
  <c r="M704" i="2" a="1"/>
  <c r="M704" i="2"/>
  <c r="I704" i="2" a="1"/>
  <c r="I704" i="2" s="1"/>
  <c r="AQ703" i="2"/>
  <c r="AN703" i="2"/>
  <c r="AM703" i="2"/>
  <c r="AI703" i="2"/>
  <c r="Y703" i="2"/>
  <c r="V703" i="2" a="1"/>
  <c r="V703" i="2"/>
  <c r="AP703" i="2" s="1"/>
  <c r="M703" i="2" a="1"/>
  <c r="M703" i="2" s="1"/>
  <c r="I703" i="2" a="1"/>
  <c r="I703" i="2" s="1"/>
  <c r="AQ702" i="2"/>
  <c r="AN702" i="2"/>
  <c r="AM702" i="2"/>
  <c r="AI702" i="2"/>
  <c r="Y702" i="2"/>
  <c r="V702" i="2" a="1"/>
  <c r="V702" i="2" s="1"/>
  <c r="M702" i="2" a="1"/>
  <c r="M702" i="2" s="1"/>
  <c r="I702" i="2" a="1"/>
  <c r="I702" i="2" s="1"/>
  <c r="AN701" i="2"/>
  <c r="AM701" i="2"/>
  <c r="AI701" i="2"/>
  <c r="Y701" i="2"/>
  <c r="V701" i="2" a="1"/>
  <c r="V701" i="2" s="1"/>
  <c r="M701" i="2" a="1"/>
  <c r="M701" i="2" s="1"/>
  <c r="I701" i="2" a="1"/>
  <c r="I701" i="2"/>
  <c r="AN700" i="2"/>
  <c r="AM700" i="2"/>
  <c r="AI700" i="2"/>
  <c r="Y700" i="2"/>
  <c r="V700" i="2" a="1"/>
  <c r="V700" i="2" s="1"/>
  <c r="AQ700" i="2" s="1"/>
  <c r="M700" i="2" a="1"/>
  <c r="M700" i="2"/>
  <c r="I700" i="2" a="1"/>
  <c r="I700" i="2" s="1"/>
  <c r="AN699" i="2"/>
  <c r="AM699" i="2"/>
  <c r="AI699" i="2"/>
  <c r="Y699" i="2"/>
  <c r="V699" i="2" a="1"/>
  <c r="V699" i="2"/>
  <c r="AQ699" i="2" s="1"/>
  <c r="M699" i="2" a="1"/>
  <c r="M699" i="2" s="1"/>
  <c r="I699" i="2" a="1"/>
  <c r="I699" i="2" s="1"/>
  <c r="AQ698" i="2"/>
  <c r="AN698" i="2"/>
  <c r="AM698" i="2"/>
  <c r="AI698" i="2"/>
  <c r="Y698" i="2"/>
  <c r="V698" i="2" a="1"/>
  <c r="V698" i="2" s="1"/>
  <c r="M698" i="2" a="1"/>
  <c r="M698" i="2" s="1"/>
  <c r="I698" i="2" a="1"/>
  <c r="I698" i="2" s="1"/>
  <c r="AN697" i="2"/>
  <c r="AM697" i="2"/>
  <c r="AI697" i="2"/>
  <c r="Y697" i="2"/>
  <c r="V697" i="2" a="1"/>
  <c r="V697" i="2" s="1"/>
  <c r="AQ697" i="2" s="1"/>
  <c r="M697" i="2" a="1"/>
  <c r="M697" i="2" s="1"/>
  <c r="I697" i="2" a="1"/>
  <c r="I697" i="2"/>
  <c r="AN696" i="2"/>
  <c r="AM696" i="2"/>
  <c r="AI696" i="2"/>
  <c r="Y696" i="2"/>
  <c r="V696" i="2" a="1"/>
  <c r="V696" i="2" s="1"/>
  <c r="AQ696" i="2" s="1"/>
  <c r="M696" i="2" a="1"/>
  <c r="M696" i="2"/>
  <c r="I696" i="2" a="1"/>
  <c r="I696" i="2" s="1"/>
  <c r="AN695" i="2"/>
  <c r="AM695" i="2"/>
  <c r="AI695" i="2"/>
  <c r="Y695" i="2"/>
  <c r="V695" i="2" a="1"/>
  <c r="V695" i="2" s="1"/>
  <c r="M695" i="2" a="1"/>
  <c r="M695" i="2" s="1"/>
  <c r="I695" i="2" a="1"/>
  <c r="I695" i="2" s="1"/>
  <c r="AQ694" i="2"/>
  <c r="AN694" i="2"/>
  <c r="AM694" i="2"/>
  <c r="AI694" i="2"/>
  <c r="Y694" i="2"/>
  <c r="V694" i="2" a="1"/>
  <c r="V694" i="2" s="1"/>
  <c r="M694" i="2" a="1"/>
  <c r="M694" i="2" s="1"/>
  <c r="I694" i="2" a="1"/>
  <c r="I694" i="2" s="1"/>
  <c r="AN693" i="2"/>
  <c r="AM693" i="2"/>
  <c r="AI693" i="2"/>
  <c r="Y693" i="2"/>
  <c r="V693" i="2" a="1"/>
  <c r="V693" i="2" s="1"/>
  <c r="M693" i="2" a="1"/>
  <c r="M693" i="2" s="1"/>
  <c r="I693" i="2" a="1"/>
  <c r="I693" i="2"/>
  <c r="AN692" i="2"/>
  <c r="AM692" i="2"/>
  <c r="AI692" i="2"/>
  <c r="Y692" i="2"/>
  <c r="V692" i="2" a="1"/>
  <c r="V692" i="2" s="1"/>
  <c r="AQ692" i="2" s="1"/>
  <c r="M692" i="2" a="1"/>
  <c r="M692" i="2"/>
  <c r="I692" i="2" a="1"/>
  <c r="I692" i="2" s="1"/>
  <c r="AN691" i="2"/>
  <c r="AM691" i="2"/>
  <c r="AI691" i="2"/>
  <c r="Y691" i="2"/>
  <c r="V691" i="2" a="1"/>
  <c r="V691" i="2"/>
  <c r="AQ691" i="2" s="1"/>
  <c r="M691" i="2" a="1"/>
  <c r="M691" i="2" s="1"/>
  <c r="I691" i="2" a="1"/>
  <c r="I691" i="2" s="1"/>
  <c r="AQ690" i="2"/>
  <c r="AN690" i="2"/>
  <c r="AM690" i="2"/>
  <c r="AI690" i="2"/>
  <c r="Y690" i="2"/>
  <c r="V690" i="2" a="1"/>
  <c r="V690" i="2" s="1"/>
  <c r="M690" i="2" a="1"/>
  <c r="M690" i="2" s="1"/>
  <c r="I690" i="2" a="1"/>
  <c r="I690" i="2" s="1"/>
  <c r="AN689" i="2"/>
  <c r="AM689" i="2"/>
  <c r="AI689" i="2"/>
  <c r="Y689" i="2"/>
  <c r="V689" i="2" a="1"/>
  <c r="V689" i="2" s="1"/>
  <c r="AQ689" i="2" s="1"/>
  <c r="M689" i="2" a="1"/>
  <c r="M689" i="2" s="1"/>
  <c r="I689" i="2" a="1"/>
  <c r="I689" i="2" s="1"/>
  <c r="AN688" i="2"/>
  <c r="AM688" i="2"/>
  <c r="AI688" i="2"/>
  <c r="Y688" i="2"/>
  <c r="V688" i="2" a="1"/>
  <c r="V688" i="2" s="1"/>
  <c r="AQ688" i="2" s="1"/>
  <c r="M688" i="2" a="1"/>
  <c r="M688" i="2" s="1"/>
  <c r="I688" i="2" a="1"/>
  <c r="I688" i="2" s="1"/>
  <c r="AN687" i="2"/>
  <c r="AM687" i="2"/>
  <c r="AI687" i="2"/>
  <c r="Y687" i="2"/>
  <c r="V687" i="2" a="1"/>
  <c r="V687" i="2" s="1"/>
  <c r="M687" i="2" a="1"/>
  <c r="M687" i="2" s="1"/>
  <c r="I687" i="2" a="1"/>
  <c r="I687" i="2"/>
  <c r="AQ686" i="2"/>
  <c r="AN686" i="2"/>
  <c r="AM686" i="2"/>
  <c r="AI686" i="2"/>
  <c r="Y686" i="2"/>
  <c r="V686" i="2" a="1"/>
  <c r="V686" i="2" s="1"/>
  <c r="M686" i="2" a="1"/>
  <c r="M686" i="2"/>
  <c r="I686" i="2" a="1"/>
  <c r="I686" i="2" s="1"/>
  <c r="AN685" i="2"/>
  <c r="AM685" i="2"/>
  <c r="AI685" i="2"/>
  <c r="Y685" i="2"/>
  <c r="V685" i="2" a="1"/>
  <c r="V685" i="2"/>
  <c r="AQ685" i="2" s="1"/>
  <c r="M685" i="2" a="1"/>
  <c r="M685" i="2" s="1"/>
  <c r="I685" i="2" a="1"/>
  <c r="I685" i="2"/>
  <c r="AQ684" i="2"/>
  <c r="AN684" i="2"/>
  <c r="AM684" i="2"/>
  <c r="AI684" i="2"/>
  <c r="Y684" i="2"/>
  <c r="V684" i="2" a="1"/>
  <c r="V684" i="2" s="1"/>
  <c r="M684" i="2" a="1"/>
  <c r="M684" i="2"/>
  <c r="I684" i="2" a="1"/>
  <c r="I684" i="2" s="1"/>
  <c r="AN683" i="2"/>
  <c r="AM683" i="2"/>
  <c r="AI683" i="2"/>
  <c r="Y683" i="2"/>
  <c r="V683" i="2" a="1"/>
  <c r="V683" i="2"/>
  <c r="AQ683" i="2" s="1"/>
  <c r="M683" i="2" a="1"/>
  <c r="M683" i="2" s="1"/>
  <c r="I683" i="2" a="1"/>
  <c r="I683" i="2" s="1"/>
  <c r="AN682" i="2"/>
  <c r="AM682" i="2"/>
  <c r="AI682" i="2"/>
  <c r="Y682" i="2"/>
  <c r="V682" i="2" a="1"/>
  <c r="V682" i="2" s="1"/>
  <c r="AQ682" i="2" s="1"/>
  <c r="M682" i="2" a="1"/>
  <c r="M682" i="2" s="1"/>
  <c r="I682" i="2" a="1"/>
  <c r="I682" i="2" s="1"/>
  <c r="AN681" i="2"/>
  <c r="AM681" i="2"/>
  <c r="AI681" i="2"/>
  <c r="Y681" i="2"/>
  <c r="V681" i="2" a="1"/>
  <c r="V681" i="2" s="1"/>
  <c r="AQ681" i="2" s="1"/>
  <c r="M681" i="2" a="1"/>
  <c r="M681" i="2" s="1"/>
  <c r="AP681" i="2" s="1"/>
  <c r="I681" i="2" a="1"/>
  <c r="I681" i="2" s="1"/>
  <c r="AN680" i="2"/>
  <c r="AM680" i="2"/>
  <c r="AI680" i="2"/>
  <c r="Y680" i="2"/>
  <c r="V680" i="2" a="1"/>
  <c r="V680" i="2" s="1"/>
  <c r="AQ680" i="2" s="1"/>
  <c r="M680" i="2" a="1"/>
  <c r="M680" i="2" s="1"/>
  <c r="I680" i="2" a="1"/>
  <c r="I680" i="2" s="1"/>
  <c r="AN679" i="2"/>
  <c r="AM679" i="2"/>
  <c r="AI679" i="2"/>
  <c r="Y679" i="2"/>
  <c r="V679" i="2" a="1"/>
  <c r="V679" i="2" s="1"/>
  <c r="M679" i="2" a="1"/>
  <c r="M679" i="2" s="1"/>
  <c r="I679" i="2" a="1"/>
  <c r="I679" i="2"/>
  <c r="AQ678" i="2"/>
  <c r="AN678" i="2"/>
  <c r="AM678" i="2"/>
  <c r="AI678" i="2"/>
  <c r="Y678" i="2"/>
  <c r="V678" i="2" a="1"/>
  <c r="V678" i="2" s="1"/>
  <c r="M678" i="2" a="1"/>
  <c r="M678" i="2"/>
  <c r="I678" i="2" a="1"/>
  <c r="I678" i="2" s="1"/>
  <c r="AN677" i="2"/>
  <c r="AM677" i="2"/>
  <c r="AI677" i="2"/>
  <c r="Y677" i="2"/>
  <c r="V677" i="2" a="1"/>
  <c r="V677" i="2"/>
  <c r="AQ677" i="2" s="1"/>
  <c r="M677" i="2" a="1"/>
  <c r="M677" i="2" s="1"/>
  <c r="I677" i="2" a="1"/>
  <c r="I677" i="2"/>
  <c r="AQ676" i="2"/>
  <c r="AN676" i="2"/>
  <c r="AM676" i="2"/>
  <c r="AI676" i="2"/>
  <c r="Y676" i="2"/>
  <c r="V676" i="2" a="1"/>
  <c r="V676" i="2" s="1"/>
  <c r="M676" i="2" a="1"/>
  <c r="M676" i="2"/>
  <c r="I676" i="2" a="1"/>
  <c r="I676" i="2" s="1"/>
  <c r="AN675" i="2"/>
  <c r="AM675" i="2"/>
  <c r="AI675" i="2"/>
  <c r="Y675" i="2"/>
  <c r="V675" i="2" a="1"/>
  <c r="V675" i="2"/>
  <c r="AQ675" i="2" s="1"/>
  <c r="M675" i="2" a="1"/>
  <c r="M675" i="2" s="1"/>
  <c r="I675" i="2" a="1"/>
  <c r="I675" i="2" s="1"/>
  <c r="AN674" i="2"/>
  <c r="AM674" i="2"/>
  <c r="AI674" i="2"/>
  <c r="Y674" i="2"/>
  <c r="V674" i="2" a="1"/>
  <c r="V674" i="2" s="1"/>
  <c r="AQ674" i="2" s="1"/>
  <c r="M674" i="2" a="1"/>
  <c r="M674" i="2" s="1"/>
  <c r="I674" i="2" a="1"/>
  <c r="I674" i="2" s="1"/>
  <c r="AN673" i="2"/>
  <c r="AM673" i="2"/>
  <c r="AI673" i="2"/>
  <c r="Y673" i="2"/>
  <c r="V673" i="2" a="1"/>
  <c r="V673" i="2" s="1"/>
  <c r="M673" i="2" a="1"/>
  <c r="M673" i="2" s="1"/>
  <c r="I673" i="2" a="1"/>
  <c r="I673" i="2" s="1"/>
  <c r="AN672" i="2"/>
  <c r="AM672" i="2"/>
  <c r="AI672" i="2"/>
  <c r="Y672" i="2"/>
  <c r="V672" i="2" a="1"/>
  <c r="V672" i="2" s="1"/>
  <c r="AQ672" i="2" s="1"/>
  <c r="M672" i="2" a="1"/>
  <c r="M672" i="2" s="1"/>
  <c r="I672" i="2" a="1"/>
  <c r="I672" i="2" s="1"/>
  <c r="AN671" i="2"/>
  <c r="AM671" i="2"/>
  <c r="AI671" i="2"/>
  <c r="Y671" i="2"/>
  <c r="V671" i="2" a="1"/>
  <c r="V671" i="2" s="1"/>
  <c r="M671" i="2" a="1"/>
  <c r="M671" i="2" s="1"/>
  <c r="I671" i="2" a="1"/>
  <c r="I671" i="2"/>
  <c r="AQ670" i="2"/>
  <c r="AN670" i="2"/>
  <c r="AM670" i="2"/>
  <c r="AI670" i="2"/>
  <c r="Y670" i="2"/>
  <c r="V670" i="2" a="1"/>
  <c r="V670" i="2" s="1"/>
  <c r="M670" i="2" a="1"/>
  <c r="M670" i="2"/>
  <c r="I670" i="2" a="1"/>
  <c r="I670" i="2" s="1"/>
  <c r="AN669" i="2"/>
  <c r="AM669" i="2"/>
  <c r="AI669" i="2"/>
  <c r="Y669" i="2"/>
  <c r="V669" i="2" a="1"/>
  <c r="V669" i="2"/>
  <c r="AQ669" i="2" s="1"/>
  <c r="M669" i="2" a="1"/>
  <c r="M669" i="2" s="1"/>
  <c r="I669" i="2" a="1"/>
  <c r="I669" i="2"/>
  <c r="AN668" i="2"/>
  <c r="AM668" i="2"/>
  <c r="AI668" i="2"/>
  <c r="Y668" i="2"/>
  <c r="V668" i="2" a="1"/>
  <c r="V668" i="2" s="1"/>
  <c r="AQ668" i="2" s="1"/>
  <c r="M668" i="2" a="1"/>
  <c r="M668" i="2"/>
  <c r="I668" i="2" a="1"/>
  <c r="I668" i="2" s="1"/>
  <c r="AQ667" i="2"/>
  <c r="AN667" i="2"/>
  <c r="AM667" i="2"/>
  <c r="AI667" i="2"/>
  <c r="Y667" i="2"/>
  <c r="V667" i="2" a="1"/>
  <c r="V667" i="2"/>
  <c r="M667" i="2" a="1"/>
  <c r="M667" i="2" s="1"/>
  <c r="I667" i="2" a="1"/>
  <c r="I667" i="2" s="1"/>
  <c r="AN666" i="2"/>
  <c r="AM666" i="2"/>
  <c r="AI666" i="2"/>
  <c r="Y666" i="2"/>
  <c r="V666" i="2" a="1"/>
  <c r="V666" i="2" s="1"/>
  <c r="AQ666" i="2" s="1"/>
  <c r="M666" i="2" a="1"/>
  <c r="M666" i="2" s="1"/>
  <c r="I666" i="2" a="1"/>
  <c r="I666" i="2" s="1"/>
  <c r="AN665" i="2"/>
  <c r="AM665" i="2"/>
  <c r="AI665" i="2"/>
  <c r="Y665" i="2"/>
  <c r="V665" i="2" a="1"/>
  <c r="V665" i="2" s="1"/>
  <c r="M665" i="2" a="1"/>
  <c r="M665" i="2" s="1"/>
  <c r="I665" i="2" a="1"/>
  <c r="I665" i="2"/>
  <c r="AN664" i="2"/>
  <c r="AM664" i="2"/>
  <c r="AI664" i="2"/>
  <c r="Y664" i="2"/>
  <c r="V664" i="2" a="1"/>
  <c r="V664" i="2" s="1"/>
  <c r="AQ664" i="2" s="1"/>
  <c r="M664" i="2" a="1"/>
  <c r="M664" i="2"/>
  <c r="I664" i="2" a="1"/>
  <c r="I664" i="2" s="1"/>
  <c r="AN663" i="2"/>
  <c r="AM663" i="2"/>
  <c r="AI663" i="2"/>
  <c r="Y663" i="2"/>
  <c r="V663" i="2" a="1"/>
  <c r="V663" i="2"/>
  <c r="AQ663" i="2" s="1"/>
  <c r="M663" i="2" a="1"/>
  <c r="M663" i="2" s="1"/>
  <c r="I663" i="2" a="1"/>
  <c r="I663" i="2"/>
  <c r="AQ662" i="2"/>
  <c r="AN662" i="2"/>
  <c r="AM662" i="2"/>
  <c r="AI662" i="2"/>
  <c r="Y662" i="2"/>
  <c r="V662" i="2" a="1"/>
  <c r="V662" i="2" s="1"/>
  <c r="M662" i="2" a="1"/>
  <c r="M662" i="2"/>
  <c r="I662" i="2" a="1"/>
  <c r="I662" i="2" s="1"/>
  <c r="AN661" i="2"/>
  <c r="AM661" i="2"/>
  <c r="AI661" i="2"/>
  <c r="Y661" i="2"/>
  <c r="V661" i="2" a="1"/>
  <c r="V661" i="2"/>
  <c r="AQ661" i="2" s="1"/>
  <c r="M661" i="2" a="1"/>
  <c r="M661" i="2" s="1"/>
  <c r="I661" i="2" a="1"/>
  <c r="I661" i="2"/>
  <c r="AN660" i="2"/>
  <c r="AM660" i="2"/>
  <c r="AI660" i="2"/>
  <c r="Y660" i="2"/>
  <c r="V660" i="2" a="1"/>
  <c r="V660" i="2" s="1"/>
  <c r="AQ660" i="2" s="1"/>
  <c r="M660" i="2" a="1"/>
  <c r="M660" i="2"/>
  <c r="I660" i="2" a="1"/>
  <c r="I660" i="2" s="1"/>
  <c r="AQ659" i="2"/>
  <c r="AN659" i="2"/>
  <c r="AM659" i="2"/>
  <c r="AI659" i="2"/>
  <c r="Y659" i="2"/>
  <c r="V659" i="2" a="1"/>
  <c r="V659" i="2"/>
  <c r="M659" i="2" a="1"/>
  <c r="M659" i="2" s="1"/>
  <c r="I659" i="2" a="1"/>
  <c r="I659" i="2" s="1"/>
  <c r="AN658" i="2"/>
  <c r="AM658" i="2"/>
  <c r="AI658" i="2"/>
  <c r="Y658" i="2"/>
  <c r="V658" i="2" a="1"/>
  <c r="V658" i="2" s="1"/>
  <c r="AQ658" i="2" s="1"/>
  <c r="M658" i="2" a="1"/>
  <c r="M658" i="2" s="1"/>
  <c r="I658" i="2" a="1"/>
  <c r="I658" i="2" s="1"/>
  <c r="AN657" i="2"/>
  <c r="AM657" i="2"/>
  <c r="AI657" i="2"/>
  <c r="Y657" i="2"/>
  <c r="V657" i="2" a="1"/>
  <c r="V657" i="2" s="1"/>
  <c r="M657" i="2" a="1"/>
  <c r="M657" i="2" s="1"/>
  <c r="I657" i="2" a="1"/>
  <c r="I657" i="2"/>
  <c r="AN656" i="2"/>
  <c r="AM656" i="2"/>
  <c r="AI656" i="2"/>
  <c r="Y656" i="2"/>
  <c r="V656" i="2" a="1"/>
  <c r="V656" i="2" s="1"/>
  <c r="AQ656" i="2" s="1"/>
  <c r="M656" i="2" a="1"/>
  <c r="M656" i="2"/>
  <c r="I656" i="2" a="1"/>
  <c r="I656" i="2" s="1"/>
  <c r="AN655" i="2"/>
  <c r="AM655" i="2"/>
  <c r="AI655" i="2"/>
  <c r="Y655" i="2"/>
  <c r="V655" i="2" a="1"/>
  <c r="V655" i="2" s="1"/>
  <c r="M655" i="2" a="1"/>
  <c r="M655" i="2" s="1"/>
  <c r="I655" i="2" a="1"/>
  <c r="I655" i="2"/>
  <c r="AQ654" i="2"/>
  <c r="AN654" i="2"/>
  <c r="AM654" i="2"/>
  <c r="AI654" i="2"/>
  <c r="Y654" i="2"/>
  <c r="V654" i="2" a="1"/>
  <c r="V654" i="2" s="1"/>
  <c r="M654" i="2" a="1"/>
  <c r="M654" i="2"/>
  <c r="I654" i="2" a="1"/>
  <c r="I654" i="2" s="1"/>
  <c r="AN653" i="2"/>
  <c r="AM653" i="2"/>
  <c r="AI653" i="2"/>
  <c r="Y653" i="2"/>
  <c r="V653" i="2" a="1"/>
  <c r="V653" i="2"/>
  <c r="AQ653" i="2" s="1"/>
  <c r="M653" i="2" a="1"/>
  <c r="M653" i="2" s="1"/>
  <c r="I653" i="2" a="1"/>
  <c r="I653" i="2"/>
  <c r="AN652" i="2"/>
  <c r="AM652" i="2"/>
  <c r="AI652" i="2"/>
  <c r="Y652" i="2"/>
  <c r="V652" i="2" a="1"/>
  <c r="V652" i="2" s="1"/>
  <c r="AQ652" i="2" s="1"/>
  <c r="M652" i="2" a="1"/>
  <c r="M652" i="2"/>
  <c r="I652" i="2" a="1"/>
  <c r="I652" i="2" s="1"/>
  <c r="AQ651" i="2"/>
  <c r="AN651" i="2"/>
  <c r="AM651" i="2"/>
  <c r="AI651" i="2"/>
  <c r="Y651" i="2"/>
  <c r="V651" i="2" a="1"/>
  <c r="V651" i="2"/>
  <c r="M651" i="2" a="1"/>
  <c r="M651" i="2" s="1"/>
  <c r="I651" i="2" a="1"/>
  <c r="I651" i="2" s="1"/>
  <c r="AN650" i="2"/>
  <c r="AM650" i="2"/>
  <c r="AI650" i="2"/>
  <c r="Y650" i="2"/>
  <c r="V650" i="2" a="1"/>
  <c r="V650" i="2" s="1"/>
  <c r="AQ650" i="2" s="1"/>
  <c r="M650" i="2" a="1"/>
  <c r="M650" i="2" s="1"/>
  <c r="I650" i="2" a="1"/>
  <c r="I650" i="2" s="1"/>
  <c r="AN649" i="2"/>
  <c r="AM649" i="2"/>
  <c r="AI649" i="2"/>
  <c r="Y649" i="2"/>
  <c r="V649" i="2" a="1"/>
  <c r="V649" i="2" s="1"/>
  <c r="M649" i="2" a="1"/>
  <c r="M649" i="2" s="1"/>
  <c r="I649" i="2" a="1"/>
  <c r="I649" i="2"/>
  <c r="AN648" i="2"/>
  <c r="AM648" i="2"/>
  <c r="AI648" i="2"/>
  <c r="Y648" i="2"/>
  <c r="V648" i="2" a="1"/>
  <c r="V648" i="2" s="1"/>
  <c r="AQ648" i="2" s="1"/>
  <c r="M648" i="2" a="1"/>
  <c r="M648" i="2"/>
  <c r="I648" i="2" a="1"/>
  <c r="I648" i="2" s="1"/>
  <c r="AN647" i="2"/>
  <c r="AM647" i="2"/>
  <c r="AI647" i="2"/>
  <c r="Y647" i="2"/>
  <c r="V647" i="2" a="1"/>
  <c r="V647" i="2" s="1"/>
  <c r="M647" i="2" a="1"/>
  <c r="M647" i="2" s="1"/>
  <c r="I647" i="2" a="1"/>
  <c r="I647" i="2"/>
  <c r="AQ646" i="2"/>
  <c r="AN646" i="2"/>
  <c r="AM646" i="2"/>
  <c r="AI646" i="2"/>
  <c r="Y646" i="2"/>
  <c r="V646" i="2" a="1"/>
  <c r="V646" i="2" s="1"/>
  <c r="M646" i="2" a="1"/>
  <c r="M646" i="2"/>
  <c r="I646" i="2" a="1"/>
  <c r="I646" i="2" s="1"/>
  <c r="AN645" i="2"/>
  <c r="AM645" i="2"/>
  <c r="AI645" i="2"/>
  <c r="Y645" i="2"/>
  <c r="V645" i="2" a="1"/>
  <c r="V645" i="2" s="1"/>
  <c r="AQ645" i="2" s="1"/>
  <c r="M645" i="2" a="1"/>
  <c r="M645" i="2" s="1"/>
  <c r="I645" i="2" a="1"/>
  <c r="I645" i="2"/>
  <c r="AN644" i="2"/>
  <c r="AM644" i="2"/>
  <c r="AI644" i="2"/>
  <c r="Y644" i="2"/>
  <c r="V644" i="2" a="1"/>
  <c r="V644" i="2" s="1"/>
  <c r="AQ644" i="2" s="1"/>
  <c r="M644" i="2" a="1"/>
  <c r="M644" i="2"/>
  <c r="I644" i="2" a="1"/>
  <c r="I644" i="2" s="1"/>
  <c r="AN643" i="2"/>
  <c r="AM643" i="2"/>
  <c r="AI643" i="2"/>
  <c r="Y643" i="2"/>
  <c r="V643" i="2" a="1"/>
  <c r="V643" i="2"/>
  <c r="AQ643" i="2" s="1"/>
  <c r="M643" i="2" a="1"/>
  <c r="M643" i="2" s="1"/>
  <c r="I643" i="2" a="1"/>
  <c r="I643" i="2" s="1"/>
  <c r="AN642" i="2"/>
  <c r="AM642" i="2"/>
  <c r="AI642" i="2"/>
  <c r="Y642" i="2"/>
  <c r="V642" i="2" a="1"/>
  <c r="V642" i="2" s="1"/>
  <c r="AQ642" i="2" s="1"/>
  <c r="M642" i="2" a="1"/>
  <c r="M642" i="2" s="1"/>
  <c r="I642" i="2" a="1"/>
  <c r="I642" i="2" s="1"/>
  <c r="AN641" i="2"/>
  <c r="AM641" i="2"/>
  <c r="AI641" i="2"/>
  <c r="Y641" i="2"/>
  <c r="V641" i="2" a="1"/>
  <c r="V641" i="2" s="1"/>
  <c r="AQ641" i="2" s="1"/>
  <c r="M641" i="2" a="1"/>
  <c r="M641" i="2" s="1"/>
  <c r="I641" i="2" a="1"/>
  <c r="I641" i="2"/>
  <c r="AN640" i="2"/>
  <c r="AM640" i="2"/>
  <c r="AI640" i="2"/>
  <c r="Y640" i="2"/>
  <c r="V640" i="2" a="1"/>
  <c r="V640" i="2" s="1"/>
  <c r="AQ640" i="2" s="1"/>
  <c r="M640" i="2" a="1"/>
  <c r="M640" i="2"/>
  <c r="I640" i="2" a="1"/>
  <c r="I640" i="2" s="1"/>
  <c r="AN639" i="2"/>
  <c r="AM639" i="2"/>
  <c r="AI639" i="2"/>
  <c r="Y639" i="2"/>
  <c r="V639" i="2" a="1"/>
  <c r="V639" i="2" s="1"/>
  <c r="M639" i="2" a="1"/>
  <c r="M639" i="2" s="1"/>
  <c r="I639" i="2" a="1"/>
  <c r="I639" i="2"/>
  <c r="AQ638" i="2"/>
  <c r="AN638" i="2"/>
  <c r="AM638" i="2"/>
  <c r="AI638" i="2"/>
  <c r="Y638" i="2"/>
  <c r="V638" i="2" a="1"/>
  <c r="V638" i="2" s="1"/>
  <c r="M638" i="2" a="1"/>
  <c r="M638" i="2"/>
  <c r="I638" i="2" a="1"/>
  <c r="I638" i="2" s="1"/>
  <c r="AN637" i="2"/>
  <c r="AM637" i="2"/>
  <c r="AI637" i="2"/>
  <c r="Y637" i="2"/>
  <c r="V637" i="2" a="1"/>
  <c r="V637" i="2" s="1"/>
  <c r="M637" i="2" a="1"/>
  <c r="M637" i="2" s="1"/>
  <c r="I637" i="2" a="1"/>
  <c r="I637" i="2"/>
  <c r="AN636" i="2"/>
  <c r="AM636" i="2"/>
  <c r="AI636" i="2"/>
  <c r="Y636" i="2"/>
  <c r="V636" i="2" a="1"/>
  <c r="V636" i="2" s="1"/>
  <c r="AQ636" i="2" s="1"/>
  <c r="M636" i="2" a="1"/>
  <c r="M636" i="2"/>
  <c r="I636" i="2" a="1"/>
  <c r="I636" i="2" s="1"/>
  <c r="AN635" i="2"/>
  <c r="AM635" i="2"/>
  <c r="AI635" i="2"/>
  <c r="Y635" i="2"/>
  <c r="V635" i="2" a="1"/>
  <c r="V635" i="2"/>
  <c r="AQ635" i="2" s="1"/>
  <c r="M635" i="2" a="1"/>
  <c r="M635" i="2" s="1"/>
  <c r="I635" i="2" a="1"/>
  <c r="I635" i="2" s="1"/>
  <c r="AN634" i="2"/>
  <c r="AM634" i="2"/>
  <c r="AI634" i="2"/>
  <c r="Y634" i="2"/>
  <c r="V634" i="2" a="1"/>
  <c r="V634" i="2" s="1"/>
  <c r="AQ634" i="2" s="1"/>
  <c r="M634" i="2" a="1"/>
  <c r="M634" i="2" s="1"/>
  <c r="I634" i="2" a="1"/>
  <c r="I634" i="2" s="1"/>
  <c r="AN633" i="2"/>
  <c r="AM633" i="2"/>
  <c r="AI633" i="2"/>
  <c r="Y633" i="2"/>
  <c r="V633" i="2" a="1"/>
  <c r="V633" i="2" s="1"/>
  <c r="AQ633" i="2" s="1"/>
  <c r="M633" i="2" a="1"/>
  <c r="M633" i="2" s="1"/>
  <c r="I633" i="2" a="1"/>
  <c r="I633" i="2" s="1"/>
  <c r="AN632" i="2"/>
  <c r="AM632" i="2"/>
  <c r="AI632" i="2"/>
  <c r="Y632" i="2"/>
  <c r="V632" i="2" a="1"/>
  <c r="V632" i="2" s="1"/>
  <c r="AQ632" i="2" s="1"/>
  <c r="M632" i="2" a="1"/>
  <c r="M632" i="2" s="1"/>
  <c r="I632" i="2" a="1"/>
  <c r="I632" i="2" s="1"/>
  <c r="AN631" i="2"/>
  <c r="AM631" i="2"/>
  <c r="AI631" i="2"/>
  <c r="Y631" i="2"/>
  <c r="V631" i="2" a="1"/>
  <c r="V631" i="2" s="1"/>
  <c r="M631" i="2" a="1"/>
  <c r="M631" i="2" s="1"/>
  <c r="I631" i="2" a="1"/>
  <c r="I631" i="2"/>
  <c r="AQ630" i="2"/>
  <c r="AN630" i="2"/>
  <c r="AM630" i="2"/>
  <c r="AI630" i="2"/>
  <c r="Y630" i="2"/>
  <c r="V630" i="2" a="1"/>
  <c r="V630" i="2" s="1"/>
  <c r="M630" i="2" a="1"/>
  <c r="M630" i="2" s="1"/>
  <c r="I630" i="2" a="1"/>
  <c r="I630" i="2" s="1"/>
  <c r="AN629" i="2"/>
  <c r="AM629" i="2"/>
  <c r="AI629" i="2"/>
  <c r="Y629" i="2"/>
  <c r="V629" i="2" a="1"/>
  <c r="V629" i="2" s="1"/>
  <c r="AQ629" i="2" s="1"/>
  <c r="M629" i="2" a="1"/>
  <c r="M629" i="2" s="1"/>
  <c r="I629" i="2" a="1"/>
  <c r="I629" i="2"/>
  <c r="AN628" i="2"/>
  <c r="AM628" i="2"/>
  <c r="AI628" i="2"/>
  <c r="Y628" i="2"/>
  <c r="V628" i="2" a="1"/>
  <c r="V628" i="2" s="1"/>
  <c r="AQ628" i="2" s="1"/>
  <c r="M628" i="2" a="1"/>
  <c r="M628" i="2"/>
  <c r="I628" i="2" a="1"/>
  <c r="I628" i="2" s="1"/>
  <c r="AN627" i="2"/>
  <c r="AM627" i="2"/>
  <c r="AI627" i="2"/>
  <c r="Y627" i="2"/>
  <c r="V627" i="2" a="1"/>
  <c r="V627" i="2"/>
  <c r="AQ627" i="2" s="1"/>
  <c r="M627" i="2" a="1"/>
  <c r="M627" i="2" s="1"/>
  <c r="I627" i="2" a="1"/>
  <c r="I627" i="2" s="1"/>
  <c r="AN626" i="2"/>
  <c r="AM626" i="2"/>
  <c r="AI626" i="2"/>
  <c r="Y626" i="2"/>
  <c r="V626" i="2" a="1"/>
  <c r="V626" i="2" s="1"/>
  <c r="AQ626" i="2" s="1"/>
  <c r="M626" i="2" a="1"/>
  <c r="M626" i="2" s="1"/>
  <c r="I626" i="2" a="1"/>
  <c r="I626" i="2" s="1"/>
  <c r="AN625" i="2"/>
  <c r="AM625" i="2"/>
  <c r="AI625" i="2"/>
  <c r="Y625" i="2"/>
  <c r="V625" i="2" a="1"/>
  <c r="V625" i="2" s="1"/>
  <c r="M625" i="2" a="1"/>
  <c r="M625" i="2" s="1"/>
  <c r="I625" i="2" a="1"/>
  <c r="I625" i="2" s="1"/>
  <c r="AN624" i="2"/>
  <c r="AM624" i="2"/>
  <c r="AI624" i="2"/>
  <c r="Y624" i="2"/>
  <c r="V624" i="2" a="1"/>
  <c r="V624" i="2" s="1"/>
  <c r="AQ624" i="2" s="1"/>
  <c r="M624" i="2" a="1"/>
  <c r="M624" i="2" s="1"/>
  <c r="I624" i="2" a="1"/>
  <c r="I624" i="2" s="1"/>
  <c r="AN623" i="2"/>
  <c r="AM623" i="2"/>
  <c r="AI623" i="2"/>
  <c r="Y623" i="2"/>
  <c r="V623" i="2" a="1"/>
  <c r="V623" i="2" s="1"/>
  <c r="M623" i="2" a="1"/>
  <c r="M623" i="2" s="1"/>
  <c r="I623" i="2" a="1"/>
  <c r="I623" i="2"/>
  <c r="AQ622" i="2"/>
  <c r="AN622" i="2"/>
  <c r="AM622" i="2"/>
  <c r="AI622" i="2"/>
  <c r="Y622" i="2"/>
  <c r="V622" i="2" a="1"/>
  <c r="V622" i="2" s="1"/>
  <c r="M622" i="2" a="1"/>
  <c r="M622" i="2"/>
  <c r="I622" i="2" a="1"/>
  <c r="I622" i="2" s="1"/>
  <c r="AN621" i="2"/>
  <c r="AM621" i="2"/>
  <c r="AI621" i="2"/>
  <c r="Y621" i="2"/>
  <c r="V621" i="2" a="1"/>
  <c r="V621" i="2" s="1"/>
  <c r="M621" i="2" a="1"/>
  <c r="M621" i="2" s="1"/>
  <c r="I621" i="2" a="1"/>
  <c r="I621" i="2"/>
  <c r="AN620" i="2"/>
  <c r="AM620" i="2"/>
  <c r="AI620" i="2"/>
  <c r="Y620" i="2"/>
  <c r="V620" i="2" a="1"/>
  <c r="V620" i="2" s="1"/>
  <c r="AQ620" i="2" s="1"/>
  <c r="M620" i="2" a="1"/>
  <c r="M620" i="2"/>
  <c r="I620" i="2" a="1"/>
  <c r="I620" i="2" s="1"/>
  <c r="AQ619" i="2"/>
  <c r="AN619" i="2"/>
  <c r="AM619" i="2"/>
  <c r="AI619" i="2"/>
  <c r="Y619" i="2"/>
  <c r="V619" i="2" a="1"/>
  <c r="V619" i="2"/>
  <c r="M619" i="2" a="1"/>
  <c r="M619" i="2" s="1"/>
  <c r="I619" i="2" a="1"/>
  <c r="I619" i="2" s="1"/>
  <c r="AN618" i="2"/>
  <c r="AM618" i="2"/>
  <c r="AI618" i="2"/>
  <c r="Y618" i="2"/>
  <c r="V618" i="2" a="1"/>
  <c r="V618" i="2" s="1"/>
  <c r="AQ618" i="2" s="1"/>
  <c r="M618" i="2" a="1"/>
  <c r="M618" i="2" s="1"/>
  <c r="I618" i="2" a="1"/>
  <c r="I618" i="2" s="1"/>
  <c r="AN617" i="2"/>
  <c r="AM617" i="2"/>
  <c r="AI617" i="2"/>
  <c r="Y617" i="2"/>
  <c r="V617" i="2" a="1"/>
  <c r="V617" i="2" s="1"/>
  <c r="AQ617" i="2" s="1"/>
  <c r="M617" i="2" a="1"/>
  <c r="M617" i="2" s="1"/>
  <c r="I617" i="2" a="1"/>
  <c r="I617" i="2"/>
  <c r="AN616" i="2"/>
  <c r="AM616" i="2"/>
  <c r="AI616" i="2"/>
  <c r="Y616" i="2"/>
  <c r="V616" i="2" a="1"/>
  <c r="V616" i="2" s="1"/>
  <c r="AQ616" i="2" s="1"/>
  <c r="M616" i="2" a="1"/>
  <c r="M616" i="2"/>
  <c r="I616" i="2" a="1"/>
  <c r="I616" i="2" s="1"/>
  <c r="AN615" i="2"/>
  <c r="AM615" i="2"/>
  <c r="AI615" i="2"/>
  <c r="Y615" i="2"/>
  <c r="V615" i="2" a="1"/>
  <c r="V615" i="2" s="1"/>
  <c r="M615" i="2" a="1"/>
  <c r="M615" i="2" s="1"/>
  <c r="I615" i="2" a="1"/>
  <c r="I615" i="2" s="1"/>
  <c r="AQ614" i="2"/>
  <c r="AN614" i="2"/>
  <c r="AM614" i="2"/>
  <c r="AI614" i="2"/>
  <c r="Y614" i="2"/>
  <c r="V614" i="2" a="1"/>
  <c r="V614" i="2" s="1"/>
  <c r="M614" i="2" a="1"/>
  <c r="M614" i="2" s="1"/>
  <c r="I614" i="2" a="1"/>
  <c r="I614" i="2" s="1"/>
  <c r="AN613" i="2"/>
  <c r="AM613" i="2"/>
  <c r="AI613" i="2"/>
  <c r="Y613" i="2"/>
  <c r="V613" i="2" a="1"/>
  <c r="V613" i="2" s="1"/>
  <c r="AQ613" i="2" s="1"/>
  <c r="M613" i="2" a="1"/>
  <c r="M613" i="2" s="1"/>
  <c r="I613" i="2" a="1"/>
  <c r="I613" i="2"/>
  <c r="AN612" i="2"/>
  <c r="AM612" i="2"/>
  <c r="AI612" i="2"/>
  <c r="Y612" i="2"/>
  <c r="V612" i="2" a="1"/>
  <c r="V612" i="2" s="1"/>
  <c r="AQ612" i="2" s="1"/>
  <c r="M612" i="2" a="1"/>
  <c r="M612" i="2"/>
  <c r="I612" i="2" a="1"/>
  <c r="I612" i="2" s="1"/>
  <c r="AN611" i="2"/>
  <c r="AM611" i="2"/>
  <c r="AI611" i="2"/>
  <c r="Y611" i="2"/>
  <c r="V611" i="2" a="1"/>
  <c r="V611" i="2"/>
  <c r="AQ611" i="2" s="1"/>
  <c r="M611" i="2" a="1"/>
  <c r="M611" i="2" s="1"/>
  <c r="I611" i="2" a="1"/>
  <c r="I611" i="2" s="1"/>
  <c r="AN610" i="2"/>
  <c r="AM610" i="2"/>
  <c r="AI610" i="2"/>
  <c r="Y610" i="2"/>
  <c r="V610" i="2" a="1"/>
  <c r="V610" i="2" s="1"/>
  <c r="AQ610" i="2" s="1"/>
  <c r="M610" i="2" a="1"/>
  <c r="M610" i="2" s="1"/>
  <c r="I610" i="2" a="1"/>
  <c r="I610" i="2" s="1"/>
  <c r="AN609" i="2"/>
  <c r="AM609" i="2"/>
  <c r="AI609" i="2"/>
  <c r="Y609" i="2"/>
  <c r="V609" i="2" a="1"/>
  <c r="V609" i="2" s="1"/>
  <c r="AQ609" i="2" s="1"/>
  <c r="M609" i="2" a="1"/>
  <c r="M609" i="2" s="1"/>
  <c r="I609" i="2" a="1"/>
  <c r="I609" i="2"/>
  <c r="AN608" i="2"/>
  <c r="AM608" i="2"/>
  <c r="AI608" i="2"/>
  <c r="Y608" i="2"/>
  <c r="V608" i="2" a="1"/>
  <c r="V608" i="2" s="1"/>
  <c r="AQ608" i="2" s="1"/>
  <c r="M608" i="2" a="1"/>
  <c r="M608" i="2"/>
  <c r="I608" i="2" a="1"/>
  <c r="I608" i="2" s="1"/>
  <c r="AN607" i="2"/>
  <c r="AM607" i="2"/>
  <c r="AI607" i="2"/>
  <c r="Y607" i="2"/>
  <c r="V607" i="2" a="1"/>
  <c r="V607" i="2" s="1"/>
  <c r="M607" i="2" a="1"/>
  <c r="M607" i="2" s="1"/>
  <c r="I607" i="2" a="1"/>
  <c r="I607" i="2" s="1"/>
  <c r="AQ606" i="2"/>
  <c r="AN606" i="2"/>
  <c r="AM606" i="2"/>
  <c r="AI606" i="2"/>
  <c r="Y606" i="2"/>
  <c r="V606" i="2" a="1"/>
  <c r="V606" i="2" s="1"/>
  <c r="M606" i="2" a="1"/>
  <c r="M606" i="2" s="1"/>
  <c r="I606" i="2" a="1"/>
  <c r="I606" i="2" s="1"/>
  <c r="AN605" i="2"/>
  <c r="AM605" i="2"/>
  <c r="AI605" i="2"/>
  <c r="Y605" i="2"/>
  <c r="V605" i="2" a="1"/>
  <c r="V605" i="2" s="1"/>
  <c r="AQ605" i="2" s="1"/>
  <c r="M605" i="2" a="1"/>
  <c r="M605" i="2" s="1"/>
  <c r="I605" i="2" a="1"/>
  <c r="I605" i="2"/>
  <c r="AN604" i="2"/>
  <c r="AM604" i="2"/>
  <c r="AI604" i="2"/>
  <c r="Y604" i="2"/>
  <c r="V604" i="2" a="1"/>
  <c r="V604" i="2" s="1"/>
  <c r="AQ604" i="2" s="1"/>
  <c r="M604" i="2" a="1"/>
  <c r="M604" i="2"/>
  <c r="I604" i="2" a="1"/>
  <c r="I604" i="2" s="1"/>
  <c r="AQ603" i="2"/>
  <c r="AN603" i="2"/>
  <c r="AM603" i="2"/>
  <c r="AI603" i="2"/>
  <c r="Y603" i="2"/>
  <c r="V603" i="2" a="1"/>
  <c r="V603" i="2"/>
  <c r="M603" i="2" a="1"/>
  <c r="M603" i="2" s="1"/>
  <c r="I603" i="2" a="1"/>
  <c r="I603" i="2" s="1"/>
  <c r="AN602" i="2"/>
  <c r="AM602" i="2"/>
  <c r="AI602" i="2"/>
  <c r="Y602" i="2"/>
  <c r="V602" i="2" a="1"/>
  <c r="V602" i="2" s="1"/>
  <c r="AQ602" i="2" s="1"/>
  <c r="M602" i="2" a="1"/>
  <c r="M602" i="2" s="1"/>
  <c r="I602" i="2" a="1"/>
  <c r="I602" i="2" s="1"/>
  <c r="AN601" i="2"/>
  <c r="AM601" i="2"/>
  <c r="AI601" i="2"/>
  <c r="Y601" i="2"/>
  <c r="V601" i="2" a="1"/>
  <c r="V601" i="2" s="1"/>
  <c r="M601" i="2" a="1"/>
  <c r="M601" i="2" s="1"/>
  <c r="I601" i="2" a="1"/>
  <c r="I601" i="2"/>
  <c r="AN600" i="2"/>
  <c r="AM600" i="2"/>
  <c r="AI600" i="2"/>
  <c r="Y600" i="2"/>
  <c r="V600" i="2" a="1"/>
  <c r="V600" i="2" s="1"/>
  <c r="AQ600" i="2" s="1"/>
  <c r="M600" i="2" a="1"/>
  <c r="M600" i="2"/>
  <c r="I600" i="2" a="1"/>
  <c r="I600" i="2" s="1"/>
  <c r="AN599" i="2"/>
  <c r="AM599" i="2"/>
  <c r="AI599" i="2"/>
  <c r="Y599" i="2"/>
  <c r="V599" i="2" a="1"/>
  <c r="V599" i="2" s="1"/>
  <c r="M599" i="2" a="1"/>
  <c r="M599" i="2" s="1"/>
  <c r="I599" i="2" a="1"/>
  <c r="I599" i="2" s="1"/>
  <c r="AQ598" i="2"/>
  <c r="AN598" i="2"/>
  <c r="AM598" i="2"/>
  <c r="AI598" i="2"/>
  <c r="Y598" i="2"/>
  <c r="V598" i="2" a="1"/>
  <c r="V598" i="2" s="1"/>
  <c r="M598" i="2" a="1"/>
  <c r="M598" i="2" s="1"/>
  <c r="I598" i="2" a="1"/>
  <c r="I598" i="2" s="1"/>
  <c r="AN597" i="2"/>
  <c r="AM597" i="2"/>
  <c r="AI597" i="2"/>
  <c r="Y597" i="2"/>
  <c r="V597" i="2" a="1"/>
  <c r="V597" i="2" s="1"/>
  <c r="AQ597" i="2" s="1"/>
  <c r="M597" i="2" a="1"/>
  <c r="M597" i="2" s="1"/>
  <c r="I597" i="2" a="1"/>
  <c r="I597" i="2"/>
  <c r="AN596" i="2"/>
  <c r="AM596" i="2"/>
  <c r="AI596" i="2"/>
  <c r="Y596" i="2"/>
  <c r="V596" i="2" a="1"/>
  <c r="V596" i="2" s="1"/>
  <c r="AQ596" i="2" s="1"/>
  <c r="M596" i="2" a="1"/>
  <c r="M596" i="2"/>
  <c r="I596" i="2" a="1"/>
  <c r="I596" i="2" s="1"/>
  <c r="AQ595" i="2"/>
  <c r="AN595" i="2"/>
  <c r="AM595" i="2"/>
  <c r="AI595" i="2"/>
  <c r="Y595" i="2"/>
  <c r="V595" i="2" a="1"/>
  <c r="V595" i="2"/>
  <c r="M595" i="2" a="1"/>
  <c r="M595" i="2" s="1"/>
  <c r="I595" i="2" a="1"/>
  <c r="I595" i="2" s="1"/>
  <c r="AN594" i="2"/>
  <c r="AM594" i="2"/>
  <c r="AI594" i="2"/>
  <c r="Y594" i="2"/>
  <c r="V594" i="2" a="1"/>
  <c r="V594" i="2" s="1"/>
  <c r="AQ594" i="2" s="1"/>
  <c r="M594" i="2" a="1"/>
  <c r="M594" i="2" s="1"/>
  <c r="I594" i="2" a="1"/>
  <c r="I594" i="2" s="1"/>
  <c r="AN593" i="2"/>
  <c r="AM593" i="2"/>
  <c r="AI593" i="2"/>
  <c r="Y593" i="2"/>
  <c r="V593" i="2" a="1"/>
  <c r="V593" i="2" s="1"/>
  <c r="M593" i="2" a="1"/>
  <c r="M593" i="2" s="1"/>
  <c r="I593" i="2" a="1"/>
  <c r="I593" i="2"/>
  <c r="AN592" i="2"/>
  <c r="AM592" i="2"/>
  <c r="AI592" i="2"/>
  <c r="Y592" i="2"/>
  <c r="V592" i="2" a="1"/>
  <c r="V592" i="2" s="1"/>
  <c r="AQ592" i="2" s="1"/>
  <c r="M592" i="2" a="1"/>
  <c r="M592" i="2"/>
  <c r="I592" i="2" a="1"/>
  <c r="I592" i="2" s="1"/>
  <c r="AN591" i="2"/>
  <c r="AM591" i="2"/>
  <c r="AI591" i="2"/>
  <c r="Y591" i="2"/>
  <c r="V591" i="2" a="1"/>
  <c r="V591" i="2" s="1"/>
  <c r="M591" i="2" a="1"/>
  <c r="M591" i="2" s="1"/>
  <c r="I591" i="2" a="1"/>
  <c r="I591" i="2" s="1"/>
  <c r="AQ590" i="2"/>
  <c r="AN590" i="2"/>
  <c r="AM590" i="2"/>
  <c r="AI590" i="2"/>
  <c r="Y590" i="2"/>
  <c r="V590" i="2" a="1"/>
  <c r="V590" i="2" s="1"/>
  <c r="M590" i="2" a="1"/>
  <c r="M590" i="2" s="1"/>
  <c r="I590" i="2" a="1"/>
  <c r="I590" i="2" s="1"/>
  <c r="AN589" i="2"/>
  <c r="AM589" i="2"/>
  <c r="AI589" i="2"/>
  <c r="Y589" i="2"/>
  <c r="V589" i="2" a="1"/>
  <c r="V589" i="2" s="1"/>
  <c r="AQ589" i="2" s="1"/>
  <c r="M589" i="2" a="1"/>
  <c r="M589" i="2" s="1"/>
  <c r="I589" i="2" a="1"/>
  <c r="I589" i="2"/>
  <c r="AN588" i="2"/>
  <c r="AM588" i="2"/>
  <c r="AI588" i="2"/>
  <c r="Y588" i="2"/>
  <c r="V588" i="2" a="1"/>
  <c r="V588" i="2" s="1"/>
  <c r="AQ588" i="2" s="1"/>
  <c r="M588" i="2" a="1"/>
  <c r="M588" i="2"/>
  <c r="I588" i="2" a="1"/>
  <c r="I588" i="2" s="1"/>
  <c r="AQ587" i="2"/>
  <c r="AN587" i="2"/>
  <c r="AM587" i="2"/>
  <c r="AI587" i="2"/>
  <c r="Y587" i="2"/>
  <c r="V587" i="2" a="1"/>
  <c r="V587" i="2"/>
  <c r="M587" i="2" a="1"/>
  <c r="M587" i="2" s="1"/>
  <c r="I587" i="2" a="1"/>
  <c r="I587" i="2" s="1"/>
  <c r="AN586" i="2"/>
  <c r="AM586" i="2"/>
  <c r="AI586" i="2"/>
  <c r="Y586" i="2"/>
  <c r="V586" i="2" a="1"/>
  <c r="V586" i="2" s="1"/>
  <c r="AQ586" i="2" s="1"/>
  <c r="M586" i="2" a="1"/>
  <c r="M586" i="2" s="1"/>
  <c r="I586" i="2" a="1"/>
  <c r="I586" i="2" s="1"/>
  <c r="AN585" i="2"/>
  <c r="AM585" i="2"/>
  <c r="AI585" i="2"/>
  <c r="Y585" i="2"/>
  <c r="V585" i="2" a="1"/>
  <c r="V585" i="2" s="1"/>
  <c r="M585" i="2" a="1"/>
  <c r="M585" i="2" s="1"/>
  <c r="I585" i="2" a="1"/>
  <c r="I585" i="2"/>
  <c r="AN584" i="2"/>
  <c r="AM584" i="2"/>
  <c r="AI584" i="2"/>
  <c r="Y584" i="2"/>
  <c r="V584" i="2" a="1"/>
  <c r="V584" i="2" s="1"/>
  <c r="AQ584" i="2" s="1"/>
  <c r="M584" i="2" a="1"/>
  <c r="M584" i="2"/>
  <c r="I584" i="2" a="1"/>
  <c r="I584" i="2" s="1"/>
  <c r="AN583" i="2"/>
  <c r="AM583" i="2"/>
  <c r="AI583" i="2"/>
  <c r="Y583" i="2"/>
  <c r="V583" i="2" a="1"/>
  <c r="V583" i="2" s="1"/>
  <c r="M583" i="2" a="1"/>
  <c r="M583" i="2" s="1"/>
  <c r="I583" i="2" a="1"/>
  <c r="I583" i="2"/>
  <c r="AQ582" i="2"/>
  <c r="AN582" i="2"/>
  <c r="AM582" i="2"/>
  <c r="AI582" i="2"/>
  <c r="Y582" i="2"/>
  <c r="V582" i="2" a="1"/>
  <c r="V582" i="2" s="1"/>
  <c r="M582" i="2" a="1"/>
  <c r="M582" i="2"/>
  <c r="I582" i="2" a="1"/>
  <c r="I582" i="2" s="1"/>
  <c r="AN581" i="2"/>
  <c r="AM581" i="2"/>
  <c r="AI581" i="2"/>
  <c r="Y581" i="2"/>
  <c r="V581" i="2" a="1"/>
  <c r="V581" i="2" s="1"/>
  <c r="AQ581" i="2" s="1"/>
  <c r="M581" i="2" a="1"/>
  <c r="M581" i="2" s="1"/>
  <c r="I581" i="2" a="1"/>
  <c r="I581" i="2"/>
  <c r="AN580" i="2"/>
  <c r="AM580" i="2"/>
  <c r="AI580" i="2"/>
  <c r="Y580" i="2"/>
  <c r="V580" i="2" a="1"/>
  <c r="V580" i="2" s="1"/>
  <c r="AQ580" i="2" s="1"/>
  <c r="M580" i="2" a="1"/>
  <c r="M580" i="2"/>
  <c r="I580" i="2" a="1"/>
  <c r="I580" i="2" s="1"/>
  <c r="AQ579" i="2"/>
  <c r="AN579" i="2"/>
  <c r="AM579" i="2"/>
  <c r="AI579" i="2"/>
  <c r="Y579" i="2"/>
  <c r="V579" i="2" a="1"/>
  <c r="V579" i="2"/>
  <c r="M579" i="2" a="1"/>
  <c r="M579" i="2" s="1"/>
  <c r="I579" i="2" a="1"/>
  <c r="I579" i="2" s="1"/>
  <c r="AN578" i="2"/>
  <c r="AM578" i="2"/>
  <c r="AI578" i="2"/>
  <c r="Y578" i="2"/>
  <c r="V578" i="2" a="1"/>
  <c r="V578" i="2" s="1"/>
  <c r="AQ578" i="2" s="1"/>
  <c r="M578" i="2" a="1"/>
  <c r="M578" i="2" s="1"/>
  <c r="I578" i="2" a="1"/>
  <c r="I578" i="2" s="1"/>
  <c r="AN577" i="2"/>
  <c r="AM577" i="2"/>
  <c r="AI577" i="2"/>
  <c r="Y577" i="2"/>
  <c r="V577" i="2" a="1"/>
  <c r="V577" i="2" s="1"/>
  <c r="M577" i="2" a="1"/>
  <c r="M577" i="2" s="1"/>
  <c r="I577" i="2" a="1"/>
  <c r="I577" i="2"/>
  <c r="AN576" i="2"/>
  <c r="AM576" i="2"/>
  <c r="AI576" i="2"/>
  <c r="Y576" i="2"/>
  <c r="V576" i="2" a="1"/>
  <c r="V576" i="2" s="1"/>
  <c r="AQ576" i="2" s="1"/>
  <c r="M576" i="2" a="1"/>
  <c r="M576" i="2"/>
  <c r="I576" i="2" a="1"/>
  <c r="I576" i="2" s="1"/>
  <c r="AN575" i="2"/>
  <c r="AM575" i="2"/>
  <c r="AI575" i="2"/>
  <c r="Y575" i="2"/>
  <c r="V575" i="2" a="1"/>
  <c r="V575" i="2" s="1"/>
  <c r="M575" i="2" a="1"/>
  <c r="M575" i="2" s="1"/>
  <c r="I575" i="2" a="1"/>
  <c r="I575" i="2" s="1"/>
  <c r="AQ574" i="2"/>
  <c r="AN574" i="2"/>
  <c r="AM574" i="2"/>
  <c r="AI574" i="2"/>
  <c r="Y574" i="2"/>
  <c r="V574" i="2" a="1"/>
  <c r="V574" i="2" s="1"/>
  <c r="M574" i="2" a="1"/>
  <c r="M574" i="2" s="1"/>
  <c r="I574" i="2" a="1"/>
  <c r="I574" i="2" s="1"/>
  <c r="AN573" i="2"/>
  <c r="AM573" i="2"/>
  <c r="AI573" i="2"/>
  <c r="Y573" i="2"/>
  <c r="V573" i="2" a="1"/>
  <c r="V573" i="2" s="1"/>
  <c r="M573" i="2" a="1"/>
  <c r="M573" i="2" s="1"/>
  <c r="I573" i="2" a="1"/>
  <c r="I573" i="2"/>
  <c r="AN572" i="2"/>
  <c r="AM572" i="2"/>
  <c r="AI572" i="2"/>
  <c r="Y572" i="2"/>
  <c r="V572" i="2" a="1"/>
  <c r="V572" i="2" s="1"/>
  <c r="AQ572" i="2" s="1"/>
  <c r="M572" i="2" a="1"/>
  <c r="M572" i="2"/>
  <c r="I572" i="2" a="1"/>
  <c r="I572" i="2" s="1"/>
  <c r="AN571" i="2"/>
  <c r="AM571" i="2"/>
  <c r="AI571" i="2"/>
  <c r="Y571" i="2"/>
  <c r="V571" i="2" a="1"/>
  <c r="V571" i="2"/>
  <c r="AQ571" i="2" s="1"/>
  <c r="M571" i="2" a="1"/>
  <c r="M571" i="2" s="1"/>
  <c r="I571" i="2" a="1"/>
  <c r="I571" i="2" s="1"/>
  <c r="AN570" i="2"/>
  <c r="AM570" i="2"/>
  <c r="AI570" i="2"/>
  <c r="Y570" i="2"/>
  <c r="V570" i="2" a="1"/>
  <c r="V570" i="2" s="1"/>
  <c r="AQ570" i="2" s="1"/>
  <c r="M570" i="2" a="1"/>
  <c r="M570" i="2" s="1"/>
  <c r="I570" i="2" a="1"/>
  <c r="I570" i="2" s="1"/>
  <c r="AN569" i="2"/>
  <c r="AM569" i="2"/>
  <c r="AI569" i="2"/>
  <c r="Y569" i="2"/>
  <c r="V569" i="2" a="1"/>
  <c r="V569" i="2" s="1"/>
  <c r="AQ569" i="2" s="1"/>
  <c r="M569" i="2" a="1"/>
  <c r="M569" i="2" s="1"/>
  <c r="I569" i="2" a="1"/>
  <c r="I569" i="2"/>
  <c r="AN568" i="2"/>
  <c r="AM568" i="2"/>
  <c r="AI568" i="2"/>
  <c r="Y568" i="2"/>
  <c r="V568" i="2" a="1"/>
  <c r="V568" i="2" s="1"/>
  <c r="AQ568" i="2" s="1"/>
  <c r="M568" i="2" a="1"/>
  <c r="M568" i="2" s="1"/>
  <c r="I568" i="2" a="1"/>
  <c r="I568" i="2" s="1"/>
  <c r="AN567" i="2"/>
  <c r="AM567" i="2"/>
  <c r="AI567" i="2"/>
  <c r="Y567" i="2"/>
  <c r="V567" i="2" a="1"/>
  <c r="V567" i="2" s="1"/>
  <c r="M567" i="2" a="1"/>
  <c r="M567" i="2" s="1"/>
  <c r="I567" i="2" a="1"/>
  <c r="I567" i="2"/>
  <c r="AQ566" i="2"/>
  <c r="AN566" i="2"/>
  <c r="AM566" i="2"/>
  <c r="AI566" i="2"/>
  <c r="Y566" i="2"/>
  <c r="V566" i="2" a="1"/>
  <c r="V566" i="2" s="1"/>
  <c r="M566" i="2" a="1"/>
  <c r="M566" i="2"/>
  <c r="I566" i="2" a="1"/>
  <c r="I566" i="2" s="1"/>
  <c r="AN565" i="2"/>
  <c r="AM565" i="2"/>
  <c r="AI565" i="2"/>
  <c r="Y565" i="2"/>
  <c r="V565" i="2" a="1"/>
  <c r="V565" i="2" s="1"/>
  <c r="M565" i="2" a="1"/>
  <c r="M565" i="2" s="1"/>
  <c r="I565" i="2" a="1"/>
  <c r="I565" i="2"/>
  <c r="AQ564" i="2"/>
  <c r="AN564" i="2"/>
  <c r="AM564" i="2"/>
  <c r="AI564" i="2"/>
  <c r="Y564" i="2"/>
  <c r="V564" i="2" a="1"/>
  <c r="V564" i="2" s="1"/>
  <c r="M564" i="2" a="1"/>
  <c r="M564" i="2"/>
  <c r="I564" i="2" a="1"/>
  <c r="I564" i="2" s="1"/>
  <c r="AN563" i="2"/>
  <c r="AM563" i="2"/>
  <c r="AI563" i="2"/>
  <c r="Y563" i="2"/>
  <c r="V563" i="2" a="1"/>
  <c r="V563" i="2"/>
  <c r="AQ563" i="2" s="1"/>
  <c r="M563" i="2" a="1"/>
  <c r="M563" i="2" s="1"/>
  <c r="I563" i="2" a="1"/>
  <c r="I563" i="2" s="1"/>
  <c r="AN562" i="2"/>
  <c r="AM562" i="2"/>
  <c r="AI562" i="2"/>
  <c r="Y562" i="2"/>
  <c r="V562" i="2" a="1"/>
  <c r="V562" i="2" s="1"/>
  <c r="AQ562" i="2" s="1"/>
  <c r="M562" i="2" a="1"/>
  <c r="M562" i="2" s="1"/>
  <c r="I562" i="2" a="1"/>
  <c r="I562" i="2" s="1"/>
  <c r="AN561" i="2"/>
  <c r="AM561" i="2"/>
  <c r="AI561" i="2"/>
  <c r="Y561" i="2"/>
  <c r="V561" i="2" a="1"/>
  <c r="V561" i="2" s="1"/>
  <c r="AQ561" i="2" s="1"/>
  <c r="M561" i="2" a="1"/>
  <c r="M561" i="2" s="1"/>
  <c r="AP561" i="2" s="1"/>
  <c r="I561" i="2" a="1"/>
  <c r="I561" i="2" s="1"/>
  <c r="AN560" i="2"/>
  <c r="AM560" i="2"/>
  <c r="AI560" i="2"/>
  <c r="Y560" i="2"/>
  <c r="V560" i="2" a="1"/>
  <c r="V560" i="2" s="1"/>
  <c r="AQ560" i="2" s="1"/>
  <c r="M560" i="2" a="1"/>
  <c r="M560" i="2" s="1"/>
  <c r="I560" i="2" a="1"/>
  <c r="I560" i="2" s="1"/>
  <c r="AN559" i="2"/>
  <c r="AM559" i="2"/>
  <c r="AI559" i="2"/>
  <c r="Y559" i="2"/>
  <c r="V559" i="2" a="1"/>
  <c r="V559" i="2" s="1"/>
  <c r="M559" i="2" a="1"/>
  <c r="M559" i="2" s="1"/>
  <c r="I559" i="2" a="1"/>
  <c r="I559" i="2"/>
  <c r="AQ558" i="2"/>
  <c r="AN558" i="2"/>
  <c r="AM558" i="2"/>
  <c r="AI558" i="2"/>
  <c r="Y558" i="2"/>
  <c r="V558" i="2" a="1"/>
  <c r="V558" i="2" s="1"/>
  <c r="M558" i="2" a="1"/>
  <c r="M558" i="2"/>
  <c r="I558" i="2" a="1"/>
  <c r="I558" i="2" s="1"/>
  <c r="AN557" i="2"/>
  <c r="AM557" i="2"/>
  <c r="AI557" i="2"/>
  <c r="Y557" i="2"/>
  <c r="V557" i="2" a="1"/>
  <c r="V557" i="2"/>
  <c r="AQ557" i="2" s="1"/>
  <c r="M557" i="2" a="1"/>
  <c r="M557" i="2" s="1"/>
  <c r="I557" i="2" a="1"/>
  <c r="I557" i="2"/>
  <c r="AQ556" i="2"/>
  <c r="AN556" i="2"/>
  <c r="AM556" i="2"/>
  <c r="AI556" i="2"/>
  <c r="Y556" i="2"/>
  <c r="V556" i="2" a="1"/>
  <c r="V556" i="2" s="1"/>
  <c r="M556" i="2" a="1"/>
  <c r="M556" i="2"/>
  <c r="I556" i="2" a="1"/>
  <c r="I556" i="2" s="1"/>
  <c r="AN555" i="2"/>
  <c r="AM555" i="2"/>
  <c r="AI555" i="2"/>
  <c r="Y555" i="2"/>
  <c r="V555" i="2" a="1"/>
  <c r="V555" i="2"/>
  <c r="AQ555" i="2" s="1"/>
  <c r="M555" i="2" a="1"/>
  <c r="M555" i="2" s="1"/>
  <c r="I555" i="2" a="1"/>
  <c r="I555" i="2" s="1"/>
  <c r="AN554" i="2"/>
  <c r="AM554" i="2"/>
  <c r="AI554" i="2"/>
  <c r="Y554" i="2"/>
  <c r="V554" i="2" a="1"/>
  <c r="V554" i="2" s="1"/>
  <c r="AQ554" i="2" s="1"/>
  <c r="M554" i="2" a="1"/>
  <c r="M554" i="2" s="1"/>
  <c r="I554" i="2" a="1"/>
  <c r="I554" i="2" s="1"/>
  <c r="AN553" i="2"/>
  <c r="AM553" i="2"/>
  <c r="AI553" i="2"/>
  <c r="Y553" i="2"/>
  <c r="V553" i="2" a="1"/>
  <c r="V553" i="2" s="1"/>
  <c r="AQ553" i="2" s="1"/>
  <c r="M553" i="2" a="1"/>
  <c r="M553" i="2" s="1"/>
  <c r="AP553" i="2" s="1"/>
  <c r="I553" i="2" a="1"/>
  <c r="I553" i="2" s="1"/>
  <c r="AN552" i="2"/>
  <c r="AM552" i="2"/>
  <c r="AI552" i="2"/>
  <c r="Y552" i="2"/>
  <c r="V552" i="2" a="1"/>
  <c r="V552" i="2" s="1"/>
  <c r="AQ552" i="2" s="1"/>
  <c r="M552" i="2" a="1"/>
  <c r="M552" i="2" s="1"/>
  <c r="I552" i="2" a="1"/>
  <c r="I552" i="2" s="1"/>
  <c r="AN551" i="2"/>
  <c r="AM551" i="2"/>
  <c r="AI551" i="2"/>
  <c r="Y551" i="2"/>
  <c r="V551" i="2" a="1"/>
  <c r="V551" i="2" s="1"/>
  <c r="M551" i="2" a="1"/>
  <c r="M551" i="2" s="1"/>
  <c r="I551" i="2" a="1"/>
  <c r="I551" i="2"/>
  <c r="AQ550" i="2"/>
  <c r="AN550" i="2"/>
  <c r="AM550" i="2"/>
  <c r="AI550" i="2"/>
  <c r="Y550" i="2"/>
  <c r="V550" i="2" a="1"/>
  <c r="V550" i="2" s="1"/>
  <c r="M550" i="2" a="1"/>
  <c r="M550" i="2"/>
  <c r="I550" i="2" a="1"/>
  <c r="I550" i="2" s="1"/>
  <c r="AN549" i="2"/>
  <c r="AM549" i="2"/>
  <c r="AI549" i="2"/>
  <c r="Y549" i="2"/>
  <c r="V549" i="2" a="1"/>
  <c r="V549" i="2"/>
  <c r="AQ549" i="2" s="1"/>
  <c r="M549" i="2" a="1"/>
  <c r="M549" i="2" s="1"/>
  <c r="I549" i="2" a="1"/>
  <c r="I549" i="2"/>
  <c r="AQ548" i="2"/>
  <c r="AN548" i="2"/>
  <c r="AM548" i="2"/>
  <c r="AI548" i="2"/>
  <c r="Y548" i="2"/>
  <c r="V548" i="2" a="1"/>
  <c r="V548" i="2" s="1"/>
  <c r="M548" i="2" a="1"/>
  <c r="M548" i="2"/>
  <c r="I548" i="2" a="1"/>
  <c r="I548" i="2" s="1"/>
  <c r="AN547" i="2"/>
  <c r="AM547" i="2"/>
  <c r="AI547" i="2"/>
  <c r="Y547" i="2"/>
  <c r="V547" i="2" a="1"/>
  <c r="V547" i="2"/>
  <c r="AQ547" i="2" s="1"/>
  <c r="M547" i="2" a="1"/>
  <c r="M547" i="2" s="1"/>
  <c r="I547" i="2" a="1"/>
  <c r="I547" i="2" s="1"/>
  <c r="AN546" i="2"/>
  <c r="AM546" i="2"/>
  <c r="AI546" i="2"/>
  <c r="Y546" i="2"/>
  <c r="V546" i="2" a="1"/>
  <c r="V546" i="2" s="1"/>
  <c r="AQ546" i="2" s="1"/>
  <c r="M546" i="2" a="1"/>
  <c r="M546" i="2" s="1"/>
  <c r="I546" i="2" a="1"/>
  <c r="I546" i="2" s="1"/>
  <c r="AN545" i="2"/>
  <c r="AM545" i="2"/>
  <c r="AI545" i="2"/>
  <c r="Y545" i="2"/>
  <c r="V545" i="2" a="1"/>
  <c r="V545" i="2" s="1"/>
  <c r="AQ545" i="2" s="1"/>
  <c r="M545" i="2" a="1"/>
  <c r="M545" i="2" s="1"/>
  <c r="AP545" i="2" s="1"/>
  <c r="I545" i="2" a="1"/>
  <c r="I545" i="2" s="1"/>
  <c r="AN544" i="2"/>
  <c r="AM544" i="2"/>
  <c r="AI544" i="2"/>
  <c r="Y544" i="2"/>
  <c r="V544" i="2" a="1"/>
  <c r="V544" i="2" s="1"/>
  <c r="AQ544" i="2" s="1"/>
  <c r="M544" i="2" a="1"/>
  <c r="M544" i="2" s="1"/>
  <c r="I544" i="2" a="1"/>
  <c r="I544" i="2" s="1"/>
  <c r="AN543" i="2"/>
  <c r="AM543" i="2"/>
  <c r="AI543" i="2"/>
  <c r="Y543" i="2"/>
  <c r="V543" i="2" a="1"/>
  <c r="V543" i="2" s="1"/>
  <c r="M543" i="2" a="1"/>
  <c r="M543" i="2" s="1"/>
  <c r="I543" i="2" a="1"/>
  <c r="I543" i="2"/>
  <c r="AQ542" i="2"/>
  <c r="AN542" i="2"/>
  <c r="AM542" i="2"/>
  <c r="AI542" i="2"/>
  <c r="Y542" i="2"/>
  <c r="V542" i="2" a="1"/>
  <c r="V542" i="2" s="1"/>
  <c r="M542" i="2" a="1"/>
  <c r="M542" i="2"/>
  <c r="I542" i="2" a="1"/>
  <c r="I542" i="2" s="1"/>
  <c r="AN541" i="2"/>
  <c r="AM541" i="2"/>
  <c r="AI541" i="2"/>
  <c r="Y541" i="2"/>
  <c r="V541" i="2" a="1"/>
  <c r="V541" i="2"/>
  <c r="AQ541" i="2" s="1"/>
  <c r="M541" i="2" a="1"/>
  <c r="M541" i="2" s="1"/>
  <c r="I541" i="2" a="1"/>
  <c r="I541" i="2"/>
  <c r="AQ540" i="2"/>
  <c r="AN540" i="2"/>
  <c r="AM540" i="2"/>
  <c r="AI540" i="2"/>
  <c r="Y540" i="2"/>
  <c r="V540" i="2" a="1"/>
  <c r="V540" i="2" s="1"/>
  <c r="M540" i="2" a="1"/>
  <c r="M540" i="2"/>
  <c r="I540" i="2" a="1"/>
  <c r="I540" i="2" s="1"/>
  <c r="AQ539" i="2"/>
  <c r="AN539" i="2"/>
  <c r="AM539" i="2"/>
  <c r="AI539" i="2"/>
  <c r="Y539" i="2"/>
  <c r="V539" i="2" a="1"/>
  <c r="V539" i="2"/>
  <c r="M539" i="2" a="1"/>
  <c r="M539" i="2" s="1"/>
  <c r="I539" i="2" a="1"/>
  <c r="I539" i="2" s="1"/>
  <c r="AN538" i="2"/>
  <c r="AM538" i="2"/>
  <c r="AI538" i="2"/>
  <c r="Y538" i="2"/>
  <c r="V538" i="2" a="1"/>
  <c r="V538" i="2" s="1"/>
  <c r="AQ538" i="2" s="1"/>
  <c r="M538" i="2" a="1"/>
  <c r="M538" i="2" s="1"/>
  <c r="I538" i="2" a="1"/>
  <c r="I538" i="2" s="1"/>
  <c r="AN537" i="2"/>
  <c r="AM537" i="2"/>
  <c r="AI537" i="2"/>
  <c r="Y537" i="2"/>
  <c r="V537" i="2" a="1"/>
  <c r="V537" i="2" s="1"/>
  <c r="M537" i="2" a="1"/>
  <c r="M537" i="2" s="1"/>
  <c r="I537" i="2" a="1"/>
  <c r="I537" i="2" s="1"/>
  <c r="AN536" i="2"/>
  <c r="AM536" i="2"/>
  <c r="AI536" i="2"/>
  <c r="Y536" i="2"/>
  <c r="V536" i="2" a="1"/>
  <c r="V536" i="2" s="1"/>
  <c r="AQ536" i="2" s="1"/>
  <c r="M536" i="2" a="1"/>
  <c r="M536" i="2" s="1"/>
  <c r="I536" i="2" a="1"/>
  <c r="I536" i="2" s="1"/>
  <c r="AN535" i="2"/>
  <c r="AM535" i="2"/>
  <c r="AI535" i="2"/>
  <c r="Y535" i="2"/>
  <c r="V535" i="2" a="1"/>
  <c r="V535" i="2" s="1"/>
  <c r="M535" i="2" a="1"/>
  <c r="M535" i="2" s="1"/>
  <c r="I535" i="2" a="1"/>
  <c r="I535" i="2"/>
  <c r="AQ534" i="2"/>
  <c r="AN534" i="2"/>
  <c r="AM534" i="2"/>
  <c r="AI534" i="2"/>
  <c r="Y534" i="2"/>
  <c r="V534" i="2" a="1"/>
  <c r="V534" i="2" s="1"/>
  <c r="M534" i="2" a="1"/>
  <c r="M534" i="2"/>
  <c r="I534" i="2" a="1"/>
  <c r="I534" i="2" s="1"/>
  <c r="AN533" i="2"/>
  <c r="AM533" i="2"/>
  <c r="AI533" i="2"/>
  <c r="Y533" i="2"/>
  <c r="V533" i="2" a="1"/>
  <c r="V533" i="2" s="1"/>
  <c r="AQ533" i="2" s="1"/>
  <c r="M533" i="2" a="1"/>
  <c r="M533" i="2" s="1"/>
  <c r="I533" i="2" a="1"/>
  <c r="I533" i="2"/>
  <c r="AQ532" i="2"/>
  <c r="AN532" i="2"/>
  <c r="AM532" i="2"/>
  <c r="AI532" i="2"/>
  <c r="Y532" i="2"/>
  <c r="V532" i="2" a="1"/>
  <c r="V532" i="2" s="1"/>
  <c r="M532" i="2" a="1"/>
  <c r="M532" i="2"/>
  <c r="I532" i="2" a="1"/>
  <c r="I532" i="2" s="1"/>
  <c r="AN531" i="2"/>
  <c r="AM531" i="2"/>
  <c r="AI531" i="2"/>
  <c r="Y531" i="2"/>
  <c r="V531" i="2" a="1"/>
  <c r="V531" i="2"/>
  <c r="AQ531" i="2" s="1"/>
  <c r="M531" i="2" a="1"/>
  <c r="M531" i="2" s="1"/>
  <c r="I531" i="2" a="1"/>
  <c r="I531" i="2" s="1"/>
  <c r="AN530" i="2"/>
  <c r="AM530" i="2"/>
  <c r="AI530" i="2"/>
  <c r="Y530" i="2"/>
  <c r="V530" i="2" a="1"/>
  <c r="V530" i="2" s="1"/>
  <c r="AQ530" i="2" s="1"/>
  <c r="M530" i="2" a="1"/>
  <c r="M530" i="2" s="1"/>
  <c r="I530" i="2" a="1"/>
  <c r="I530" i="2" s="1"/>
  <c r="AN529" i="2"/>
  <c r="AM529" i="2"/>
  <c r="AI529" i="2"/>
  <c r="Y529" i="2"/>
  <c r="V529" i="2" a="1"/>
  <c r="V529" i="2" s="1"/>
  <c r="AQ529" i="2" s="1"/>
  <c r="M529" i="2" a="1"/>
  <c r="M529" i="2" s="1"/>
  <c r="I529" i="2" a="1"/>
  <c r="I529" i="2" s="1"/>
  <c r="AN528" i="2"/>
  <c r="AM528" i="2"/>
  <c r="AI528" i="2"/>
  <c r="Y528" i="2"/>
  <c r="V528" i="2" a="1"/>
  <c r="V528" i="2" s="1"/>
  <c r="AQ528" i="2" s="1"/>
  <c r="M528" i="2" a="1"/>
  <c r="M528" i="2" s="1"/>
  <c r="I528" i="2" a="1"/>
  <c r="I528" i="2" s="1"/>
  <c r="AN527" i="2"/>
  <c r="AM527" i="2"/>
  <c r="AI527" i="2"/>
  <c r="Y527" i="2"/>
  <c r="V527" i="2" a="1"/>
  <c r="V527" i="2" s="1"/>
  <c r="M527" i="2" a="1"/>
  <c r="M527" i="2" s="1"/>
  <c r="I527" i="2" a="1"/>
  <c r="I527" i="2" s="1"/>
  <c r="AQ526" i="2"/>
  <c r="AN526" i="2"/>
  <c r="AM526" i="2"/>
  <c r="AI526" i="2"/>
  <c r="Y526" i="2"/>
  <c r="V526" i="2" a="1"/>
  <c r="V526" i="2" s="1"/>
  <c r="M526" i="2" a="1"/>
  <c r="M526" i="2" s="1"/>
  <c r="I526" i="2" a="1"/>
  <c r="I526" i="2" s="1"/>
  <c r="AN525" i="2"/>
  <c r="AM525" i="2"/>
  <c r="AI525" i="2"/>
  <c r="Y525" i="2"/>
  <c r="V525" i="2" a="1"/>
  <c r="V525" i="2" s="1"/>
  <c r="M525" i="2" a="1"/>
  <c r="M525" i="2" s="1"/>
  <c r="I525" i="2" a="1"/>
  <c r="I525" i="2"/>
  <c r="AQ524" i="2"/>
  <c r="AN524" i="2"/>
  <c r="AM524" i="2"/>
  <c r="AI524" i="2"/>
  <c r="Y524" i="2"/>
  <c r="V524" i="2" a="1"/>
  <c r="V524" i="2" s="1"/>
  <c r="M524" i="2" a="1"/>
  <c r="M524" i="2"/>
  <c r="I524" i="2" a="1"/>
  <c r="I524" i="2" s="1"/>
  <c r="AN523" i="2"/>
  <c r="AM523" i="2"/>
  <c r="AI523" i="2"/>
  <c r="Y523" i="2"/>
  <c r="V523" i="2" a="1"/>
  <c r="V523" i="2"/>
  <c r="AQ523" i="2" s="1"/>
  <c r="M523" i="2" a="1"/>
  <c r="M523" i="2" s="1"/>
  <c r="I523" i="2" a="1"/>
  <c r="I523" i="2" s="1"/>
  <c r="AN522" i="2"/>
  <c r="AM522" i="2"/>
  <c r="AI522" i="2"/>
  <c r="Y522" i="2"/>
  <c r="V522" i="2" a="1"/>
  <c r="V522" i="2" s="1"/>
  <c r="AQ522" i="2" s="1"/>
  <c r="M522" i="2" a="1"/>
  <c r="M522" i="2" s="1"/>
  <c r="I522" i="2" a="1"/>
  <c r="I522" i="2" s="1"/>
  <c r="AN521" i="2"/>
  <c r="AM521" i="2"/>
  <c r="AI521" i="2"/>
  <c r="Y521" i="2"/>
  <c r="V521" i="2" a="1"/>
  <c r="V521" i="2" s="1"/>
  <c r="AQ521" i="2" s="1"/>
  <c r="M521" i="2" a="1"/>
  <c r="M521" i="2" s="1"/>
  <c r="AP521" i="2" s="1"/>
  <c r="I521" i="2" a="1"/>
  <c r="I521" i="2" s="1"/>
  <c r="AN520" i="2"/>
  <c r="AM520" i="2"/>
  <c r="AI520" i="2"/>
  <c r="Y520" i="2"/>
  <c r="V520" i="2" a="1"/>
  <c r="V520" i="2" s="1"/>
  <c r="AQ520" i="2" s="1"/>
  <c r="M520" i="2" a="1"/>
  <c r="M520" i="2" s="1"/>
  <c r="I520" i="2" a="1"/>
  <c r="I520" i="2" s="1"/>
  <c r="AN519" i="2"/>
  <c r="AM519" i="2"/>
  <c r="AI519" i="2"/>
  <c r="Y519" i="2"/>
  <c r="V519" i="2" a="1"/>
  <c r="V519" i="2" s="1"/>
  <c r="M519" i="2" a="1"/>
  <c r="M519" i="2" s="1"/>
  <c r="I519" i="2" a="1"/>
  <c r="I519" i="2"/>
  <c r="AQ518" i="2"/>
  <c r="AN518" i="2"/>
  <c r="AM518" i="2"/>
  <c r="AI518" i="2"/>
  <c r="Y518" i="2"/>
  <c r="V518" i="2" a="1"/>
  <c r="V518" i="2" s="1"/>
  <c r="M518" i="2" a="1"/>
  <c r="M518" i="2" s="1"/>
  <c r="I518" i="2" a="1"/>
  <c r="I518" i="2" s="1"/>
  <c r="AN517" i="2"/>
  <c r="AM517" i="2"/>
  <c r="AI517" i="2"/>
  <c r="Y517" i="2"/>
  <c r="V517" i="2" a="1"/>
  <c r="V517" i="2" s="1"/>
  <c r="M517" i="2" a="1"/>
  <c r="M517" i="2" s="1"/>
  <c r="I517" i="2" a="1"/>
  <c r="I517" i="2"/>
  <c r="AQ516" i="2"/>
  <c r="AN516" i="2"/>
  <c r="AM516" i="2"/>
  <c r="AI516" i="2"/>
  <c r="Y516" i="2"/>
  <c r="V516" i="2" a="1"/>
  <c r="V516" i="2" s="1"/>
  <c r="M516" i="2" a="1"/>
  <c r="M516" i="2"/>
  <c r="I516" i="2" a="1"/>
  <c r="I516" i="2" s="1"/>
  <c r="AN515" i="2"/>
  <c r="AM515" i="2"/>
  <c r="AI515" i="2"/>
  <c r="Y515" i="2"/>
  <c r="V515" i="2" a="1"/>
  <c r="V515" i="2"/>
  <c r="AQ515" i="2" s="1"/>
  <c r="M515" i="2" a="1"/>
  <c r="M515" i="2" s="1"/>
  <c r="I515" i="2" a="1"/>
  <c r="I515" i="2" s="1"/>
  <c r="AN514" i="2"/>
  <c r="AM514" i="2"/>
  <c r="AI514" i="2"/>
  <c r="Y514" i="2"/>
  <c r="V514" i="2" a="1"/>
  <c r="V514" i="2" s="1"/>
  <c r="AQ514" i="2" s="1"/>
  <c r="M514" i="2" a="1"/>
  <c r="M514" i="2" s="1"/>
  <c r="I514" i="2" a="1"/>
  <c r="I514" i="2" s="1"/>
  <c r="AN513" i="2"/>
  <c r="AM513" i="2"/>
  <c r="AI513" i="2"/>
  <c r="Y513" i="2"/>
  <c r="V513" i="2" a="1"/>
  <c r="V513" i="2" s="1"/>
  <c r="AQ513" i="2" s="1"/>
  <c r="M513" i="2" a="1"/>
  <c r="M513" i="2" s="1"/>
  <c r="AP513" i="2" s="1"/>
  <c r="I513" i="2" a="1"/>
  <c r="I513" i="2" s="1"/>
  <c r="AN512" i="2"/>
  <c r="AM512" i="2"/>
  <c r="AI512" i="2"/>
  <c r="Y512" i="2"/>
  <c r="V512" i="2" a="1"/>
  <c r="V512" i="2" s="1"/>
  <c r="AQ512" i="2" s="1"/>
  <c r="M512" i="2" a="1"/>
  <c r="M512" i="2" s="1"/>
  <c r="I512" i="2" a="1"/>
  <c r="I512" i="2" s="1"/>
  <c r="AN511" i="2"/>
  <c r="AM511" i="2"/>
  <c r="AI511" i="2"/>
  <c r="Y511" i="2"/>
  <c r="V511" i="2" a="1"/>
  <c r="V511" i="2" s="1"/>
  <c r="M511" i="2" a="1"/>
  <c r="M511" i="2" s="1"/>
  <c r="I511" i="2" a="1"/>
  <c r="I511" i="2"/>
  <c r="AQ510" i="2"/>
  <c r="AN510" i="2"/>
  <c r="AM510" i="2"/>
  <c r="AI510" i="2"/>
  <c r="Y510" i="2"/>
  <c r="V510" i="2" a="1"/>
  <c r="V510" i="2" s="1"/>
  <c r="M510" i="2" a="1"/>
  <c r="M510" i="2"/>
  <c r="I510" i="2" a="1"/>
  <c r="I510" i="2" s="1"/>
  <c r="AN509" i="2"/>
  <c r="AM509" i="2"/>
  <c r="AI509" i="2"/>
  <c r="Y509" i="2"/>
  <c r="V509" i="2" a="1"/>
  <c r="V509" i="2" s="1"/>
  <c r="M509" i="2" a="1"/>
  <c r="M509" i="2" s="1"/>
  <c r="I509" i="2" a="1"/>
  <c r="I509" i="2"/>
  <c r="AQ508" i="2"/>
  <c r="AN508" i="2"/>
  <c r="AM508" i="2"/>
  <c r="AI508" i="2"/>
  <c r="Y508" i="2"/>
  <c r="V508" i="2" a="1"/>
  <c r="V508" i="2" s="1"/>
  <c r="M508" i="2" a="1"/>
  <c r="M508" i="2"/>
  <c r="I508" i="2" a="1"/>
  <c r="I508" i="2" s="1"/>
  <c r="AN507" i="2"/>
  <c r="AM507" i="2"/>
  <c r="AI507" i="2"/>
  <c r="Y507" i="2"/>
  <c r="V507" i="2" a="1"/>
  <c r="V507" i="2"/>
  <c r="AQ507" i="2" s="1"/>
  <c r="M507" i="2" a="1"/>
  <c r="M507" i="2" s="1"/>
  <c r="I507" i="2" a="1"/>
  <c r="I507" i="2" s="1"/>
  <c r="AN506" i="2"/>
  <c r="AM506" i="2"/>
  <c r="AI506" i="2"/>
  <c r="Y506" i="2"/>
  <c r="V506" i="2" a="1"/>
  <c r="V506" i="2" s="1"/>
  <c r="AQ506" i="2" s="1"/>
  <c r="M506" i="2" a="1"/>
  <c r="M506" i="2" s="1"/>
  <c r="I506" i="2" a="1"/>
  <c r="I506" i="2" s="1"/>
  <c r="AN505" i="2"/>
  <c r="AM505" i="2"/>
  <c r="AI505" i="2"/>
  <c r="Y505" i="2"/>
  <c r="V505" i="2" a="1"/>
  <c r="V505" i="2" s="1"/>
  <c r="AQ505" i="2" s="1"/>
  <c r="M505" i="2" a="1"/>
  <c r="M505" i="2" s="1"/>
  <c r="I505" i="2" a="1"/>
  <c r="I505" i="2" s="1"/>
  <c r="AN504" i="2"/>
  <c r="AM504" i="2"/>
  <c r="AI504" i="2"/>
  <c r="Y504" i="2"/>
  <c r="V504" i="2" a="1"/>
  <c r="V504" i="2" s="1"/>
  <c r="AQ504" i="2" s="1"/>
  <c r="M504" i="2" a="1"/>
  <c r="M504" i="2" s="1"/>
  <c r="I504" i="2" a="1"/>
  <c r="I504" i="2" s="1"/>
  <c r="AN503" i="2"/>
  <c r="AM503" i="2"/>
  <c r="AI503" i="2"/>
  <c r="Y503" i="2"/>
  <c r="V503" i="2" a="1"/>
  <c r="V503" i="2" s="1"/>
  <c r="M503" i="2" a="1"/>
  <c r="M503" i="2" s="1"/>
  <c r="I503" i="2" a="1"/>
  <c r="I503" i="2" s="1"/>
  <c r="AQ502" i="2"/>
  <c r="AN502" i="2"/>
  <c r="AM502" i="2"/>
  <c r="AI502" i="2"/>
  <c r="Y502" i="2"/>
  <c r="V502" i="2" a="1"/>
  <c r="V502" i="2" s="1"/>
  <c r="M502" i="2" a="1"/>
  <c r="M502" i="2" s="1"/>
  <c r="I502" i="2" a="1"/>
  <c r="I502" i="2" s="1"/>
  <c r="AN501" i="2"/>
  <c r="AM501" i="2"/>
  <c r="AI501" i="2"/>
  <c r="Y501" i="2"/>
  <c r="V501" i="2" a="1"/>
  <c r="V501" i="2" s="1"/>
  <c r="M501" i="2" a="1"/>
  <c r="M501" i="2" s="1"/>
  <c r="I501" i="2" a="1"/>
  <c r="I501" i="2"/>
  <c r="AQ500" i="2"/>
  <c r="AN500" i="2"/>
  <c r="AM500" i="2"/>
  <c r="AI500" i="2"/>
  <c r="Y500" i="2"/>
  <c r="V500" i="2" a="1"/>
  <c r="V500" i="2" s="1"/>
  <c r="M500" i="2" a="1"/>
  <c r="M500" i="2"/>
  <c r="I500" i="2" a="1"/>
  <c r="I500" i="2" s="1"/>
  <c r="AN499" i="2"/>
  <c r="AM499" i="2"/>
  <c r="AI499" i="2"/>
  <c r="Y499" i="2"/>
  <c r="V499" i="2" a="1"/>
  <c r="V499" i="2"/>
  <c r="AQ499" i="2" s="1"/>
  <c r="M499" i="2" a="1"/>
  <c r="M499" i="2" s="1"/>
  <c r="I499" i="2" a="1"/>
  <c r="I499" i="2" s="1"/>
  <c r="AN498" i="2"/>
  <c r="AM498" i="2"/>
  <c r="AI498" i="2"/>
  <c r="Y498" i="2"/>
  <c r="V498" i="2" a="1"/>
  <c r="V498" i="2" s="1"/>
  <c r="AQ498" i="2" s="1"/>
  <c r="M498" i="2" a="1"/>
  <c r="M498" i="2" s="1"/>
  <c r="I498" i="2" a="1"/>
  <c r="I498" i="2" s="1"/>
  <c r="AN497" i="2"/>
  <c r="AM497" i="2"/>
  <c r="AI497" i="2"/>
  <c r="Y497" i="2"/>
  <c r="V497" i="2" a="1"/>
  <c r="V497" i="2" s="1"/>
  <c r="AQ497" i="2" s="1"/>
  <c r="M497" i="2" a="1"/>
  <c r="M497" i="2" s="1"/>
  <c r="AP497" i="2" s="1"/>
  <c r="I497" i="2" a="1"/>
  <c r="I497" i="2" s="1"/>
  <c r="AN496" i="2"/>
  <c r="AM496" i="2"/>
  <c r="AI496" i="2"/>
  <c r="Y496" i="2"/>
  <c r="V496" i="2" a="1"/>
  <c r="V496" i="2" s="1"/>
  <c r="AQ496" i="2" s="1"/>
  <c r="M496" i="2" a="1"/>
  <c r="M496" i="2" s="1"/>
  <c r="I496" i="2" a="1"/>
  <c r="I496" i="2" s="1"/>
  <c r="AN495" i="2"/>
  <c r="AM495" i="2"/>
  <c r="AI495" i="2"/>
  <c r="Y495" i="2"/>
  <c r="V495" i="2" a="1"/>
  <c r="V495" i="2" s="1"/>
  <c r="M495" i="2" a="1"/>
  <c r="M495" i="2" s="1"/>
  <c r="I495" i="2" a="1"/>
  <c r="I495" i="2"/>
  <c r="AQ494" i="2"/>
  <c r="AN494" i="2"/>
  <c r="AM494" i="2"/>
  <c r="AI494" i="2"/>
  <c r="Y494" i="2"/>
  <c r="V494" i="2" a="1"/>
  <c r="V494" i="2" s="1"/>
  <c r="M494" i="2" a="1"/>
  <c r="M494" i="2"/>
  <c r="I494" i="2" a="1"/>
  <c r="I494" i="2" s="1"/>
  <c r="AN493" i="2"/>
  <c r="AM493" i="2"/>
  <c r="AI493" i="2"/>
  <c r="Y493" i="2"/>
  <c r="V493" i="2" a="1"/>
  <c r="V493" i="2" s="1"/>
  <c r="M493" i="2" a="1"/>
  <c r="M493" i="2" s="1"/>
  <c r="I493" i="2" a="1"/>
  <c r="I493" i="2"/>
  <c r="AQ492" i="2"/>
  <c r="AN492" i="2"/>
  <c r="AM492" i="2"/>
  <c r="AI492" i="2"/>
  <c r="Y492" i="2"/>
  <c r="V492" i="2" a="1"/>
  <c r="V492" i="2" s="1"/>
  <c r="M492" i="2" a="1"/>
  <c r="M492" i="2"/>
  <c r="I492" i="2" a="1"/>
  <c r="I492" i="2" s="1"/>
  <c r="AN491" i="2"/>
  <c r="AM491" i="2"/>
  <c r="AI491" i="2"/>
  <c r="Y491" i="2"/>
  <c r="V491" i="2" a="1"/>
  <c r="V491" i="2"/>
  <c r="AQ491" i="2" s="1"/>
  <c r="M491" i="2" a="1"/>
  <c r="M491" i="2" s="1"/>
  <c r="I491" i="2" a="1"/>
  <c r="I491" i="2" s="1"/>
  <c r="AN490" i="2"/>
  <c r="AM490" i="2"/>
  <c r="AI490" i="2"/>
  <c r="Y490" i="2"/>
  <c r="V490" i="2" a="1"/>
  <c r="V490" i="2" s="1"/>
  <c r="AQ490" i="2" s="1"/>
  <c r="M490" i="2" a="1"/>
  <c r="M490" i="2" s="1"/>
  <c r="I490" i="2" a="1"/>
  <c r="I490" i="2" s="1"/>
  <c r="AN489" i="2"/>
  <c r="AM489" i="2"/>
  <c r="AI489" i="2"/>
  <c r="Y489" i="2"/>
  <c r="V489" i="2" a="1"/>
  <c r="V489" i="2" s="1"/>
  <c r="AQ489" i="2" s="1"/>
  <c r="M489" i="2" a="1"/>
  <c r="M489" i="2" s="1"/>
  <c r="I489" i="2" a="1"/>
  <c r="I489" i="2" s="1"/>
  <c r="AN488" i="2"/>
  <c r="AM488" i="2"/>
  <c r="AI488" i="2"/>
  <c r="Y488" i="2"/>
  <c r="V488" i="2" a="1"/>
  <c r="V488" i="2" s="1"/>
  <c r="AQ488" i="2" s="1"/>
  <c r="M488" i="2" a="1"/>
  <c r="M488" i="2" s="1"/>
  <c r="I488" i="2" a="1"/>
  <c r="I488" i="2" s="1"/>
  <c r="AN487" i="2"/>
  <c r="AM487" i="2"/>
  <c r="AI487" i="2"/>
  <c r="Y487" i="2"/>
  <c r="V487" i="2" a="1"/>
  <c r="V487" i="2" s="1"/>
  <c r="M487" i="2" a="1"/>
  <c r="M487" i="2" s="1"/>
  <c r="I487" i="2" a="1"/>
  <c r="I487" i="2" s="1"/>
  <c r="AQ486" i="2"/>
  <c r="AN486" i="2"/>
  <c r="AM486" i="2"/>
  <c r="AI486" i="2"/>
  <c r="Y486" i="2"/>
  <c r="V486" i="2" a="1"/>
  <c r="V486" i="2" s="1"/>
  <c r="M486" i="2" a="1"/>
  <c r="M486" i="2" s="1"/>
  <c r="I486" i="2" a="1"/>
  <c r="I486" i="2" s="1"/>
  <c r="AN485" i="2"/>
  <c r="AM485" i="2"/>
  <c r="AI485" i="2"/>
  <c r="Y485" i="2"/>
  <c r="V485" i="2" a="1"/>
  <c r="V485" i="2" s="1"/>
  <c r="M485" i="2" a="1"/>
  <c r="M485" i="2" s="1"/>
  <c r="I485" i="2" a="1"/>
  <c r="I485" i="2"/>
  <c r="AQ484" i="2"/>
  <c r="AN484" i="2"/>
  <c r="AM484" i="2"/>
  <c r="AI484" i="2"/>
  <c r="Y484" i="2"/>
  <c r="V484" i="2" a="1"/>
  <c r="V484" i="2" s="1"/>
  <c r="M484" i="2" a="1"/>
  <c r="M484" i="2"/>
  <c r="I484" i="2" a="1"/>
  <c r="I484" i="2" s="1"/>
  <c r="AN483" i="2"/>
  <c r="AM483" i="2"/>
  <c r="AI483" i="2"/>
  <c r="Y483" i="2"/>
  <c r="V483" i="2" a="1"/>
  <c r="V483" i="2"/>
  <c r="AQ483" i="2" s="1"/>
  <c r="M483" i="2" a="1"/>
  <c r="M483" i="2" s="1"/>
  <c r="I483" i="2" a="1"/>
  <c r="I483" i="2" s="1"/>
  <c r="AN482" i="2"/>
  <c r="AM482" i="2"/>
  <c r="AI482" i="2"/>
  <c r="Y482" i="2"/>
  <c r="V482" i="2" a="1"/>
  <c r="V482" i="2" s="1"/>
  <c r="AQ482" i="2" s="1"/>
  <c r="M482" i="2" a="1"/>
  <c r="M482" i="2" s="1"/>
  <c r="I482" i="2" a="1"/>
  <c r="I482" i="2" s="1"/>
  <c r="AN481" i="2"/>
  <c r="AM481" i="2"/>
  <c r="AI481" i="2"/>
  <c r="Y481" i="2"/>
  <c r="V481" i="2" a="1"/>
  <c r="V481" i="2" s="1"/>
  <c r="AQ481" i="2" s="1"/>
  <c r="M481" i="2" a="1"/>
  <c r="M481" i="2" s="1"/>
  <c r="I481" i="2" a="1"/>
  <c r="I481" i="2" s="1"/>
  <c r="AN480" i="2"/>
  <c r="AM480" i="2"/>
  <c r="AI480" i="2"/>
  <c r="Y480" i="2"/>
  <c r="V480" i="2" a="1"/>
  <c r="V480" i="2" s="1"/>
  <c r="AQ480" i="2" s="1"/>
  <c r="M480" i="2" a="1"/>
  <c r="M480" i="2" s="1"/>
  <c r="I480" i="2" a="1"/>
  <c r="I480" i="2" s="1"/>
  <c r="AN479" i="2"/>
  <c r="AM479" i="2"/>
  <c r="AI479" i="2"/>
  <c r="Y479" i="2"/>
  <c r="V479" i="2" a="1"/>
  <c r="V479" i="2" s="1"/>
  <c r="M479" i="2" a="1"/>
  <c r="M479" i="2" s="1"/>
  <c r="I479" i="2" a="1"/>
  <c r="I479" i="2" s="1"/>
  <c r="AQ478" i="2"/>
  <c r="AN478" i="2"/>
  <c r="AM478" i="2"/>
  <c r="AI478" i="2"/>
  <c r="Y478" i="2"/>
  <c r="V478" i="2" a="1"/>
  <c r="V478" i="2" s="1"/>
  <c r="M478" i="2" a="1"/>
  <c r="M478" i="2" s="1"/>
  <c r="I478" i="2" a="1"/>
  <c r="I478" i="2" s="1"/>
  <c r="AN477" i="2"/>
  <c r="AM477" i="2"/>
  <c r="AI477" i="2"/>
  <c r="Y477" i="2"/>
  <c r="V477" i="2" a="1"/>
  <c r="V477" i="2" s="1"/>
  <c r="M477" i="2" a="1"/>
  <c r="M477" i="2" s="1"/>
  <c r="I477" i="2" a="1"/>
  <c r="I477" i="2"/>
  <c r="AQ476" i="2"/>
  <c r="AN476" i="2"/>
  <c r="AM476" i="2"/>
  <c r="AI476" i="2"/>
  <c r="Y476" i="2"/>
  <c r="V476" i="2" a="1"/>
  <c r="V476" i="2" s="1"/>
  <c r="M476" i="2" a="1"/>
  <c r="M476" i="2"/>
  <c r="I476" i="2" a="1"/>
  <c r="I476" i="2" s="1"/>
  <c r="AN475" i="2"/>
  <c r="AM475" i="2"/>
  <c r="AI475" i="2"/>
  <c r="Y475" i="2"/>
  <c r="V475" i="2" a="1"/>
  <c r="V475" i="2"/>
  <c r="AQ475" i="2" s="1"/>
  <c r="M475" i="2" a="1"/>
  <c r="M475" i="2" s="1"/>
  <c r="I475" i="2" a="1"/>
  <c r="I475" i="2" s="1"/>
  <c r="AQ474" i="2"/>
  <c r="AN474" i="2"/>
  <c r="AM474" i="2"/>
  <c r="AI474" i="2"/>
  <c r="Y474" i="2"/>
  <c r="V474" i="2" a="1"/>
  <c r="V474" i="2" s="1"/>
  <c r="M474" i="2" a="1"/>
  <c r="M474" i="2" s="1"/>
  <c r="I474" i="2" a="1"/>
  <c r="I474" i="2" s="1"/>
  <c r="AN473" i="2"/>
  <c r="AM473" i="2"/>
  <c r="AI473" i="2"/>
  <c r="Y473" i="2"/>
  <c r="V473" i="2" a="1"/>
  <c r="V473" i="2" s="1"/>
  <c r="AQ473" i="2" s="1"/>
  <c r="M473" i="2" a="1"/>
  <c r="M473" i="2" s="1"/>
  <c r="I473" i="2" a="1"/>
  <c r="I473" i="2" s="1"/>
  <c r="AN472" i="2"/>
  <c r="AM472" i="2"/>
  <c r="AI472" i="2"/>
  <c r="Y472" i="2"/>
  <c r="V472" i="2" a="1"/>
  <c r="V472" i="2" s="1"/>
  <c r="AQ472" i="2" s="1"/>
  <c r="M472" i="2" a="1"/>
  <c r="M472" i="2" s="1"/>
  <c r="I472" i="2" a="1"/>
  <c r="I472" i="2" s="1"/>
  <c r="AN471" i="2"/>
  <c r="AM471" i="2"/>
  <c r="AI471" i="2"/>
  <c r="Y471" i="2"/>
  <c r="V471" i="2" a="1"/>
  <c r="V471" i="2" s="1"/>
  <c r="M471" i="2" a="1"/>
  <c r="M471" i="2" s="1"/>
  <c r="I471" i="2" a="1"/>
  <c r="I471" i="2" s="1"/>
  <c r="AQ470" i="2"/>
  <c r="AN470" i="2"/>
  <c r="AM470" i="2"/>
  <c r="AI470" i="2"/>
  <c r="Y470" i="2"/>
  <c r="V470" i="2" a="1"/>
  <c r="V470" i="2" s="1"/>
  <c r="M470" i="2" a="1"/>
  <c r="M470" i="2" s="1"/>
  <c r="I470" i="2" a="1"/>
  <c r="I470" i="2" s="1"/>
  <c r="AN469" i="2"/>
  <c r="AM469" i="2"/>
  <c r="AI469" i="2"/>
  <c r="Y469" i="2"/>
  <c r="V469" i="2" a="1"/>
  <c r="V469" i="2" s="1"/>
  <c r="M469" i="2" a="1"/>
  <c r="M469" i="2" s="1"/>
  <c r="I469" i="2" a="1"/>
  <c r="I469" i="2"/>
  <c r="AQ468" i="2"/>
  <c r="AN468" i="2"/>
  <c r="AM468" i="2"/>
  <c r="AI468" i="2"/>
  <c r="Y468" i="2"/>
  <c r="V468" i="2" a="1"/>
  <c r="V468" i="2" s="1"/>
  <c r="M468" i="2" a="1"/>
  <c r="M468" i="2"/>
  <c r="I468" i="2" a="1"/>
  <c r="I468" i="2" s="1"/>
  <c r="AN467" i="2"/>
  <c r="AM467" i="2"/>
  <c r="AI467" i="2"/>
  <c r="Y467" i="2"/>
  <c r="V467" i="2" a="1"/>
  <c r="V467" i="2"/>
  <c r="AQ467" i="2" s="1"/>
  <c r="M467" i="2" a="1"/>
  <c r="M467" i="2" s="1"/>
  <c r="I467" i="2" a="1"/>
  <c r="I467" i="2" s="1"/>
  <c r="AN466" i="2"/>
  <c r="AM466" i="2"/>
  <c r="AI466" i="2"/>
  <c r="Y466" i="2"/>
  <c r="V466" i="2" a="1"/>
  <c r="V466" i="2" s="1"/>
  <c r="AQ466" i="2" s="1"/>
  <c r="M466" i="2" a="1"/>
  <c r="M466" i="2" s="1"/>
  <c r="I466" i="2" a="1"/>
  <c r="I466" i="2" s="1"/>
  <c r="AN465" i="2"/>
  <c r="AM465" i="2"/>
  <c r="AI465" i="2"/>
  <c r="Y465" i="2"/>
  <c r="V465" i="2" a="1"/>
  <c r="V465" i="2" s="1"/>
  <c r="AQ465" i="2" s="1"/>
  <c r="M465" i="2" a="1"/>
  <c r="M465" i="2" s="1"/>
  <c r="I465" i="2" a="1"/>
  <c r="I465" i="2" s="1"/>
  <c r="AN464" i="2"/>
  <c r="AM464" i="2"/>
  <c r="AI464" i="2"/>
  <c r="Y464" i="2"/>
  <c r="V464" i="2" a="1"/>
  <c r="V464" i="2" s="1"/>
  <c r="AQ464" i="2" s="1"/>
  <c r="M464" i="2" a="1"/>
  <c r="M464" i="2" s="1"/>
  <c r="I464" i="2" a="1"/>
  <c r="I464" i="2" s="1"/>
  <c r="AN463" i="2"/>
  <c r="AM463" i="2"/>
  <c r="AI463" i="2"/>
  <c r="Y463" i="2"/>
  <c r="V463" i="2" a="1"/>
  <c r="V463" i="2" s="1"/>
  <c r="M463" i="2" a="1"/>
  <c r="M463" i="2" s="1"/>
  <c r="I463" i="2" a="1"/>
  <c r="I463" i="2" s="1"/>
  <c r="AQ462" i="2"/>
  <c r="AN462" i="2"/>
  <c r="AM462" i="2"/>
  <c r="AI462" i="2"/>
  <c r="Y462" i="2"/>
  <c r="V462" i="2" a="1"/>
  <c r="V462" i="2" s="1"/>
  <c r="M462" i="2" a="1"/>
  <c r="M462" i="2" s="1"/>
  <c r="I462" i="2" a="1"/>
  <c r="I462" i="2" s="1"/>
  <c r="AN461" i="2"/>
  <c r="AM461" i="2"/>
  <c r="AI461" i="2"/>
  <c r="Y461" i="2"/>
  <c r="V461" i="2" a="1"/>
  <c r="V461" i="2" s="1"/>
  <c r="M461" i="2" a="1"/>
  <c r="M461" i="2" s="1"/>
  <c r="I461" i="2" a="1"/>
  <c r="I461" i="2"/>
  <c r="AQ460" i="2"/>
  <c r="AN460" i="2"/>
  <c r="AM460" i="2"/>
  <c r="AI460" i="2"/>
  <c r="Y460" i="2"/>
  <c r="V460" i="2" a="1"/>
  <c r="V460" i="2" s="1"/>
  <c r="M460" i="2" a="1"/>
  <c r="M460" i="2"/>
  <c r="I460" i="2" a="1"/>
  <c r="I460" i="2" s="1"/>
  <c r="AN459" i="2"/>
  <c r="AM459" i="2"/>
  <c r="AI459" i="2"/>
  <c r="Y459" i="2"/>
  <c r="V459" i="2" a="1"/>
  <c r="V459" i="2"/>
  <c r="AQ459" i="2" s="1"/>
  <c r="M459" i="2" a="1"/>
  <c r="M459" i="2" s="1"/>
  <c r="I459" i="2" a="1"/>
  <c r="I459" i="2" s="1"/>
  <c r="AQ458" i="2"/>
  <c r="AN458" i="2"/>
  <c r="AM458" i="2"/>
  <c r="AI458" i="2"/>
  <c r="Y458" i="2"/>
  <c r="V458" i="2" a="1"/>
  <c r="V458" i="2" s="1"/>
  <c r="M458" i="2" a="1"/>
  <c r="M458" i="2" s="1"/>
  <c r="I458" i="2" a="1"/>
  <c r="I458" i="2" s="1"/>
  <c r="AN457" i="2"/>
  <c r="AM457" i="2"/>
  <c r="AI457" i="2"/>
  <c r="Y457" i="2"/>
  <c r="V457" i="2" a="1"/>
  <c r="V457" i="2" s="1"/>
  <c r="AQ457" i="2" s="1"/>
  <c r="M457" i="2" a="1"/>
  <c r="M457" i="2" s="1"/>
  <c r="I457" i="2" a="1"/>
  <c r="I457" i="2" s="1"/>
  <c r="AN456" i="2"/>
  <c r="AM456" i="2"/>
  <c r="AI456" i="2"/>
  <c r="Y456" i="2"/>
  <c r="V456" i="2" a="1"/>
  <c r="V456" i="2" s="1"/>
  <c r="AQ456" i="2" s="1"/>
  <c r="M456" i="2" a="1"/>
  <c r="M456" i="2" s="1"/>
  <c r="I456" i="2" a="1"/>
  <c r="I456" i="2" s="1"/>
  <c r="AN455" i="2"/>
  <c r="AM455" i="2"/>
  <c r="AI455" i="2"/>
  <c r="Y455" i="2"/>
  <c r="V455" i="2" a="1"/>
  <c r="V455" i="2" s="1"/>
  <c r="M455" i="2" a="1"/>
  <c r="M455" i="2" s="1"/>
  <c r="I455" i="2" a="1"/>
  <c r="I455" i="2" s="1"/>
  <c r="AQ454" i="2"/>
  <c r="AN454" i="2"/>
  <c r="AM454" i="2"/>
  <c r="AI454" i="2"/>
  <c r="Y454" i="2"/>
  <c r="V454" i="2" a="1"/>
  <c r="V454" i="2" s="1"/>
  <c r="M454" i="2" a="1"/>
  <c r="M454" i="2" s="1"/>
  <c r="I454" i="2" a="1"/>
  <c r="I454" i="2" s="1"/>
  <c r="AN453" i="2"/>
  <c r="AM453" i="2"/>
  <c r="AI453" i="2"/>
  <c r="Y453" i="2"/>
  <c r="V453" i="2" a="1"/>
  <c r="V453" i="2" s="1"/>
  <c r="M453" i="2" a="1"/>
  <c r="M453" i="2" s="1"/>
  <c r="I453" i="2" a="1"/>
  <c r="I453" i="2"/>
  <c r="AQ452" i="2"/>
  <c r="AN452" i="2"/>
  <c r="AM452" i="2"/>
  <c r="AI452" i="2"/>
  <c r="Y452" i="2"/>
  <c r="V452" i="2" a="1"/>
  <c r="V452" i="2" s="1"/>
  <c r="M452" i="2" a="1"/>
  <c r="M452" i="2"/>
  <c r="I452" i="2" a="1"/>
  <c r="I452" i="2" s="1"/>
  <c r="AN451" i="2"/>
  <c r="AM451" i="2"/>
  <c r="AI451" i="2"/>
  <c r="Y451" i="2"/>
  <c r="V451" i="2" a="1"/>
  <c r="V451" i="2"/>
  <c r="AQ451" i="2" s="1"/>
  <c r="M451" i="2" a="1"/>
  <c r="M451" i="2" s="1"/>
  <c r="I451" i="2" a="1"/>
  <c r="I451" i="2" s="1"/>
  <c r="AQ450" i="2"/>
  <c r="AN450" i="2"/>
  <c r="AM450" i="2"/>
  <c r="AI450" i="2"/>
  <c r="Y450" i="2"/>
  <c r="V450" i="2" a="1"/>
  <c r="V450" i="2" s="1"/>
  <c r="M450" i="2" a="1"/>
  <c r="M450" i="2" s="1"/>
  <c r="I450" i="2" a="1"/>
  <c r="I450" i="2" s="1"/>
  <c r="AN449" i="2"/>
  <c r="AM449" i="2"/>
  <c r="AI449" i="2"/>
  <c r="Y449" i="2"/>
  <c r="V449" i="2" a="1"/>
  <c r="V449" i="2" s="1"/>
  <c r="AQ449" i="2" s="1"/>
  <c r="M449" i="2" a="1"/>
  <c r="M449" i="2" s="1"/>
  <c r="I449" i="2" a="1"/>
  <c r="I449" i="2" s="1"/>
  <c r="AN448" i="2"/>
  <c r="AM448" i="2"/>
  <c r="AI448" i="2"/>
  <c r="Y448" i="2"/>
  <c r="V448" i="2" a="1"/>
  <c r="V448" i="2" s="1"/>
  <c r="AQ448" i="2" s="1"/>
  <c r="M448" i="2" a="1"/>
  <c r="M448" i="2" s="1"/>
  <c r="I448" i="2" a="1"/>
  <c r="I448" i="2" s="1"/>
  <c r="AN447" i="2"/>
  <c r="AM447" i="2"/>
  <c r="AI447" i="2"/>
  <c r="Y447" i="2"/>
  <c r="V447" i="2" a="1"/>
  <c r="V447" i="2" s="1"/>
  <c r="M447" i="2" a="1"/>
  <c r="M447" i="2" s="1"/>
  <c r="I447" i="2" a="1"/>
  <c r="I447" i="2"/>
  <c r="AQ446" i="2"/>
  <c r="AN446" i="2"/>
  <c r="AM446" i="2"/>
  <c r="AI446" i="2"/>
  <c r="Y446" i="2"/>
  <c r="V446" i="2" a="1"/>
  <c r="V446" i="2" s="1"/>
  <c r="M446" i="2" a="1"/>
  <c r="M446" i="2"/>
  <c r="I446" i="2" a="1"/>
  <c r="I446" i="2" s="1"/>
  <c r="AN445" i="2"/>
  <c r="AM445" i="2"/>
  <c r="AI445" i="2"/>
  <c r="Y445" i="2"/>
  <c r="V445" i="2" a="1"/>
  <c r="V445" i="2"/>
  <c r="AQ445" i="2" s="1"/>
  <c r="M445" i="2" a="1"/>
  <c r="M445" i="2" s="1"/>
  <c r="I445" i="2" a="1"/>
  <c r="I445" i="2"/>
  <c r="AQ444" i="2"/>
  <c r="AN444" i="2"/>
  <c r="AM444" i="2"/>
  <c r="AI444" i="2"/>
  <c r="Y444" i="2"/>
  <c r="V444" i="2" a="1"/>
  <c r="V444" i="2" s="1"/>
  <c r="M444" i="2" a="1"/>
  <c r="M444" i="2"/>
  <c r="I444" i="2" a="1"/>
  <c r="I444" i="2" s="1"/>
  <c r="AN443" i="2"/>
  <c r="AM443" i="2"/>
  <c r="AI443" i="2"/>
  <c r="Y443" i="2"/>
  <c r="V443" i="2" a="1"/>
  <c r="V443" i="2"/>
  <c r="AQ443" i="2" s="1"/>
  <c r="M443" i="2" a="1"/>
  <c r="M443" i="2" s="1"/>
  <c r="I443" i="2" a="1"/>
  <c r="I443" i="2" s="1"/>
  <c r="AN442" i="2"/>
  <c r="AM442" i="2"/>
  <c r="AI442" i="2"/>
  <c r="Y442" i="2"/>
  <c r="V442" i="2" a="1"/>
  <c r="V442" i="2" s="1"/>
  <c r="AQ442" i="2" s="1"/>
  <c r="M442" i="2" a="1"/>
  <c r="M442" i="2" s="1"/>
  <c r="I442" i="2" a="1"/>
  <c r="I442" i="2" s="1"/>
  <c r="AN441" i="2"/>
  <c r="AM441" i="2"/>
  <c r="AI441" i="2"/>
  <c r="Y441" i="2"/>
  <c r="V441" i="2" a="1"/>
  <c r="V441" i="2" s="1"/>
  <c r="AQ441" i="2" s="1"/>
  <c r="M441" i="2" a="1"/>
  <c r="M441" i="2" s="1"/>
  <c r="I441" i="2" a="1"/>
  <c r="I441" i="2" s="1"/>
  <c r="AN440" i="2"/>
  <c r="AM440" i="2"/>
  <c r="AI440" i="2"/>
  <c r="Y440" i="2"/>
  <c r="V440" i="2" a="1"/>
  <c r="V440" i="2" s="1"/>
  <c r="AQ440" i="2" s="1"/>
  <c r="M440" i="2" a="1"/>
  <c r="M440" i="2" s="1"/>
  <c r="I440" i="2" a="1"/>
  <c r="I440" i="2" s="1"/>
  <c r="AN439" i="2"/>
  <c r="AM439" i="2"/>
  <c r="AI439" i="2"/>
  <c r="Y439" i="2"/>
  <c r="V439" i="2" a="1"/>
  <c r="V439" i="2" s="1"/>
  <c r="M439" i="2" a="1"/>
  <c r="M439" i="2" s="1"/>
  <c r="I439" i="2" a="1"/>
  <c r="I439" i="2"/>
  <c r="AQ438" i="2"/>
  <c r="AN438" i="2"/>
  <c r="AM438" i="2"/>
  <c r="AI438" i="2"/>
  <c r="Y438" i="2"/>
  <c r="V438" i="2" a="1"/>
  <c r="V438" i="2" s="1"/>
  <c r="M438" i="2" a="1"/>
  <c r="M438" i="2"/>
  <c r="I438" i="2" a="1"/>
  <c r="I438" i="2" s="1"/>
  <c r="AN437" i="2"/>
  <c r="AM437" i="2"/>
  <c r="AI437" i="2"/>
  <c r="Y437" i="2"/>
  <c r="V437" i="2" a="1"/>
  <c r="V437" i="2"/>
  <c r="AQ437" i="2" s="1"/>
  <c r="M437" i="2" a="1"/>
  <c r="M437" i="2" s="1"/>
  <c r="I437" i="2" a="1"/>
  <c r="I437" i="2"/>
  <c r="AQ436" i="2"/>
  <c r="AN436" i="2"/>
  <c r="AM436" i="2"/>
  <c r="AI436" i="2"/>
  <c r="Y436" i="2"/>
  <c r="V436" i="2" a="1"/>
  <c r="V436" i="2" s="1"/>
  <c r="M436" i="2" a="1"/>
  <c r="M436" i="2"/>
  <c r="I436" i="2" a="1"/>
  <c r="I436" i="2" s="1"/>
  <c r="AN435" i="2"/>
  <c r="AM435" i="2"/>
  <c r="AI435" i="2"/>
  <c r="Y435" i="2"/>
  <c r="V435" i="2" a="1"/>
  <c r="V435" i="2"/>
  <c r="AQ435" i="2" s="1"/>
  <c r="M435" i="2" a="1"/>
  <c r="M435" i="2" s="1"/>
  <c r="I435" i="2" a="1"/>
  <c r="I435" i="2" s="1"/>
  <c r="AN434" i="2"/>
  <c r="AM434" i="2"/>
  <c r="AI434" i="2"/>
  <c r="Y434" i="2"/>
  <c r="V434" i="2" a="1"/>
  <c r="V434" i="2" s="1"/>
  <c r="AQ434" i="2" s="1"/>
  <c r="M434" i="2" a="1"/>
  <c r="M434" i="2" s="1"/>
  <c r="I434" i="2" a="1"/>
  <c r="I434" i="2" s="1"/>
  <c r="AN433" i="2"/>
  <c r="AM433" i="2"/>
  <c r="AI433" i="2"/>
  <c r="Y433" i="2"/>
  <c r="V433" i="2" a="1"/>
  <c r="V433" i="2" s="1"/>
  <c r="AQ433" i="2" s="1"/>
  <c r="M433" i="2" a="1"/>
  <c r="M433" i="2" s="1"/>
  <c r="I433" i="2" a="1"/>
  <c r="I433" i="2" s="1"/>
  <c r="AN432" i="2"/>
  <c r="AM432" i="2"/>
  <c r="AI432" i="2"/>
  <c r="Y432" i="2"/>
  <c r="V432" i="2" a="1"/>
  <c r="V432" i="2" s="1"/>
  <c r="AQ432" i="2" s="1"/>
  <c r="M432" i="2" a="1"/>
  <c r="M432" i="2" s="1"/>
  <c r="I432" i="2" a="1"/>
  <c r="I432" i="2" s="1"/>
  <c r="AN431" i="2"/>
  <c r="AM431" i="2"/>
  <c r="AI431" i="2"/>
  <c r="Y431" i="2"/>
  <c r="V431" i="2" a="1"/>
  <c r="V431" i="2" s="1"/>
  <c r="M431" i="2" a="1"/>
  <c r="M431" i="2" s="1"/>
  <c r="I431" i="2" a="1"/>
  <c r="I431" i="2"/>
  <c r="AQ430" i="2"/>
  <c r="AN430" i="2"/>
  <c r="AM430" i="2"/>
  <c r="AI430" i="2"/>
  <c r="Y430" i="2"/>
  <c r="V430" i="2" a="1"/>
  <c r="V430" i="2" s="1"/>
  <c r="M430" i="2" a="1"/>
  <c r="M430" i="2"/>
  <c r="I430" i="2" a="1"/>
  <c r="I430" i="2" s="1"/>
  <c r="AN429" i="2"/>
  <c r="AM429" i="2"/>
  <c r="AI429" i="2"/>
  <c r="Y429" i="2"/>
  <c r="V429" i="2" a="1"/>
  <c r="V429" i="2"/>
  <c r="AQ429" i="2" s="1"/>
  <c r="M429" i="2" a="1"/>
  <c r="M429" i="2" s="1"/>
  <c r="I429" i="2" a="1"/>
  <c r="I429" i="2"/>
  <c r="AQ428" i="2"/>
  <c r="AN428" i="2"/>
  <c r="AM428" i="2"/>
  <c r="AI428" i="2"/>
  <c r="Y428" i="2"/>
  <c r="V428" i="2" a="1"/>
  <c r="V428" i="2" s="1"/>
  <c r="M428" i="2" a="1"/>
  <c r="M428" i="2"/>
  <c r="I428" i="2" a="1"/>
  <c r="I428" i="2" s="1"/>
  <c r="AN427" i="2"/>
  <c r="AM427" i="2"/>
  <c r="AI427" i="2"/>
  <c r="Y427" i="2"/>
  <c r="V427" i="2" a="1"/>
  <c r="V427" i="2"/>
  <c r="AQ427" i="2" s="1"/>
  <c r="M427" i="2" a="1"/>
  <c r="M427" i="2" s="1"/>
  <c r="I427" i="2" a="1"/>
  <c r="I427" i="2" s="1"/>
  <c r="AN426" i="2"/>
  <c r="AM426" i="2"/>
  <c r="AI426" i="2"/>
  <c r="Y426" i="2"/>
  <c r="V426" i="2" a="1"/>
  <c r="V426" i="2" s="1"/>
  <c r="AQ426" i="2" s="1"/>
  <c r="M426" i="2" a="1"/>
  <c r="M426" i="2" s="1"/>
  <c r="I426" i="2" a="1"/>
  <c r="I426" i="2" s="1"/>
  <c r="AN425" i="2"/>
  <c r="AM425" i="2"/>
  <c r="AI425" i="2"/>
  <c r="Y425" i="2"/>
  <c r="V425" i="2" a="1"/>
  <c r="V425" i="2" s="1"/>
  <c r="AQ425" i="2" s="1"/>
  <c r="M425" i="2" a="1"/>
  <c r="M425" i="2" s="1"/>
  <c r="I425" i="2" a="1"/>
  <c r="I425" i="2" s="1"/>
  <c r="AN424" i="2"/>
  <c r="AM424" i="2"/>
  <c r="AI424" i="2"/>
  <c r="Y424" i="2"/>
  <c r="V424" i="2" a="1"/>
  <c r="V424" i="2" s="1"/>
  <c r="AQ424" i="2" s="1"/>
  <c r="M424" i="2" a="1"/>
  <c r="M424" i="2" s="1"/>
  <c r="I424" i="2" a="1"/>
  <c r="I424" i="2" s="1"/>
  <c r="AN423" i="2"/>
  <c r="AM423" i="2"/>
  <c r="AI423" i="2"/>
  <c r="Y423" i="2"/>
  <c r="V423" i="2" a="1"/>
  <c r="V423" i="2" s="1"/>
  <c r="M423" i="2" a="1"/>
  <c r="M423" i="2" s="1"/>
  <c r="I423" i="2" a="1"/>
  <c r="I423" i="2"/>
  <c r="AQ422" i="2"/>
  <c r="AN422" i="2"/>
  <c r="AM422" i="2"/>
  <c r="AI422" i="2"/>
  <c r="Y422" i="2"/>
  <c r="V422" i="2" a="1"/>
  <c r="V422" i="2" s="1"/>
  <c r="M422" i="2" a="1"/>
  <c r="M422" i="2"/>
  <c r="I422" i="2" a="1"/>
  <c r="I422" i="2" s="1"/>
  <c r="AN421" i="2"/>
  <c r="AM421" i="2"/>
  <c r="AI421" i="2"/>
  <c r="Y421" i="2"/>
  <c r="V421" i="2" a="1"/>
  <c r="V421" i="2"/>
  <c r="AQ421" i="2" s="1"/>
  <c r="M421" i="2" a="1"/>
  <c r="M421" i="2" s="1"/>
  <c r="I421" i="2" a="1"/>
  <c r="I421" i="2"/>
  <c r="AQ420" i="2"/>
  <c r="AN420" i="2"/>
  <c r="AM420" i="2"/>
  <c r="AI420" i="2"/>
  <c r="Y420" i="2"/>
  <c r="V420" i="2" a="1"/>
  <c r="V420" i="2" s="1"/>
  <c r="M420" i="2" a="1"/>
  <c r="M420" i="2"/>
  <c r="I420" i="2" a="1"/>
  <c r="I420" i="2" s="1"/>
  <c r="AN419" i="2"/>
  <c r="AM419" i="2"/>
  <c r="AI419" i="2"/>
  <c r="Y419" i="2"/>
  <c r="V419" i="2" a="1"/>
  <c r="V419" i="2"/>
  <c r="AQ419" i="2" s="1"/>
  <c r="M419" i="2" a="1"/>
  <c r="M419" i="2" s="1"/>
  <c r="I419" i="2" a="1"/>
  <c r="I419" i="2" s="1"/>
  <c r="AN418" i="2"/>
  <c r="AM418" i="2"/>
  <c r="AI418" i="2"/>
  <c r="Y418" i="2"/>
  <c r="V418" i="2" a="1"/>
  <c r="V418" i="2" s="1"/>
  <c r="AQ418" i="2" s="1"/>
  <c r="M418" i="2" a="1"/>
  <c r="M418" i="2" s="1"/>
  <c r="I418" i="2" a="1"/>
  <c r="I418" i="2" s="1"/>
  <c r="AN417" i="2"/>
  <c r="AM417" i="2"/>
  <c r="AI417" i="2"/>
  <c r="Y417" i="2"/>
  <c r="V417" i="2" a="1"/>
  <c r="V417" i="2" s="1"/>
  <c r="M417" i="2" a="1"/>
  <c r="M417" i="2" s="1"/>
  <c r="I417" i="2" a="1"/>
  <c r="I417" i="2" s="1"/>
  <c r="AN416" i="2"/>
  <c r="AM416" i="2"/>
  <c r="AI416" i="2"/>
  <c r="Y416" i="2"/>
  <c r="V416" i="2" a="1"/>
  <c r="V416" i="2" s="1"/>
  <c r="AQ416" i="2" s="1"/>
  <c r="M416" i="2" a="1"/>
  <c r="M416" i="2" s="1"/>
  <c r="I416" i="2" a="1"/>
  <c r="I416" i="2" s="1"/>
  <c r="AN415" i="2"/>
  <c r="AM415" i="2"/>
  <c r="AI415" i="2"/>
  <c r="Y415" i="2"/>
  <c r="V415" i="2" a="1"/>
  <c r="V415" i="2" s="1"/>
  <c r="M415" i="2" a="1"/>
  <c r="M415" i="2" s="1"/>
  <c r="I415" i="2" a="1"/>
  <c r="I415" i="2"/>
  <c r="AQ414" i="2"/>
  <c r="AN414" i="2"/>
  <c r="AM414" i="2"/>
  <c r="AI414" i="2"/>
  <c r="Y414" i="2"/>
  <c r="V414" i="2" a="1"/>
  <c r="V414" i="2" s="1"/>
  <c r="M414" i="2" a="1"/>
  <c r="M414" i="2"/>
  <c r="I414" i="2" a="1"/>
  <c r="I414" i="2" s="1"/>
  <c r="AN413" i="2"/>
  <c r="AM413" i="2"/>
  <c r="AI413" i="2"/>
  <c r="Y413" i="2"/>
  <c r="V413" i="2" a="1"/>
  <c r="V413" i="2"/>
  <c r="AQ413" i="2" s="1"/>
  <c r="M413" i="2" a="1"/>
  <c r="M413" i="2" s="1"/>
  <c r="I413" i="2" a="1"/>
  <c r="I413" i="2"/>
  <c r="AQ412" i="2"/>
  <c r="AN412" i="2"/>
  <c r="AM412" i="2"/>
  <c r="AI412" i="2"/>
  <c r="Y412" i="2"/>
  <c r="V412" i="2" a="1"/>
  <c r="V412" i="2" s="1"/>
  <c r="M412" i="2" a="1"/>
  <c r="M412" i="2"/>
  <c r="I412" i="2" a="1"/>
  <c r="I412" i="2" s="1"/>
  <c r="AQ411" i="2"/>
  <c r="AN411" i="2"/>
  <c r="AM411" i="2"/>
  <c r="AI411" i="2"/>
  <c r="Y411" i="2"/>
  <c r="V411" i="2" a="1"/>
  <c r="V411" i="2"/>
  <c r="M411" i="2" a="1"/>
  <c r="M411" i="2" s="1"/>
  <c r="I411" i="2" a="1"/>
  <c r="I411" i="2" s="1"/>
  <c r="AN410" i="2"/>
  <c r="AM410" i="2"/>
  <c r="AI410" i="2"/>
  <c r="Y410" i="2"/>
  <c r="V410" i="2" a="1"/>
  <c r="V410" i="2" s="1"/>
  <c r="AQ410" i="2" s="1"/>
  <c r="M410" i="2" a="1"/>
  <c r="M410" i="2" s="1"/>
  <c r="I410" i="2" a="1"/>
  <c r="I410" i="2" s="1"/>
  <c r="AN409" i="2"/>
  <c r="AM409" i="2"/>
  <c r="AI409" i="2"/>
  <c r="Y409" i="2"/>
  <c r="V409" i="2" a="1"/>
  <c r="V409" i="2" s="1"/>
  <c r="M409" i="2" a="1"/>
  <c r="M409" i="2" s="1"/>
  <c r="I409" i="2" a="1"/>
  <c r="I409" i="2" s="1"/>
  <c r="AN408" i="2"/>
  <c r="AM408" i="2"/>
  <c r="AI408" i="2"/>
  <c r="Y408" i="2"/>
  <c r="V408" i="2" a="1"/>
  <c r="V408" i="2" s="1"/>
  <c r="AQ408" i="2" s="1"/>
  <c r="M408" i="2" a="1"/>
  <c r="M408" i="2" s="1"/>
  <c r="I408" i="2" a="1"/>
  <c r="I408" i="2" s="1"/>
  <c r="AN407" i="2"/>
  <c r="AM407" i="2"/>
  <c r="AI407" i="2"/>
  <c r="Y407" i="2"/>
  <c r="V407" i="2" a="1"/>
  <c r="V407" i="2" s="1"/>
  <c r="M407" i="2" a="1"/>
  <c r="M407" i="2" s="1"/>
  <c r="I407" i="2" a="1"/>
  <c r="I407" i="2"/>
  <c r="AQ406" i="2"/>
  <c r="AN406" i="2"/>
  <c r="AM406" i="2"/>
  <c r="AI406" i="2"/>
  <c r="Y406" i="2"/>
  <c r="V406" i="2" a="1"/>
  <c r="V406" i="2" s="1"/>
  <c r="M406" i="2" a="1"/>
  <c r="M406" i="2"/>
  <c r="I406" i="2" a="1"/>
  <c r="I406" i="2" s="1"/>
  <c r="AN405" i="2"/>
  <c r="AM405" i="2"/>
  <c r="AI405" i="2"/>
  <c r="Y405" i="2"/>
  <c r="V405" i="2" a="1"/>
  <c r="V405" i="2"/>
  <c r="AQ405" i="2" s="1"/>
  <c r="M405" i="2" a="1"/>
  <c r="M405" i="2" s="1"/>
  <c r="I405" i="2" a="1"/>
  <c r="I405" i="2"/>
  <c r="AQ404" i="2"/>
  <c r="AN404" i="2"/>
  <c r="AM404" i="2"/>
  <c r="AI404" i="2"/>
  <c r="Y404" i="2"/>
  <c r="V404" i="2" a="1"/>
  <c r="V404" i="2" s="1"/>
  <c r="M404" i="2" a="1"/>
  <c r="M404" i="2"/>
  <c r="I404" i="2" a="1"/>
  <c r="I404" i="2" s="1"/>
  <c r="AQ403" i="2"/>
  <c r="AN403" i="2"/>
  <c r="AM403" i="2"/>
  <c r="AI403" i="2"/>
  <c r="Y403" i="2"/>
  <c r="V403" i="2" a="1"/>
  <c r="V403" i="2"/>
  <c r="M403" i="2" a="1"/>
  <c r="M403" i="2" s="1"/>
  <c r="I403" i="2" a="1"/>
  <c r="I403" i="2" s="1"/>
  <c r="AN402" i="2"/>
  <c r="AM402" i="2"/>
  <c r="AI402" i="2"/>
  <c r="Y402" i="2"/>
  <c r="V402" i="2" a="1"/>
  <c r="V402" i="2" s="1"/>
  <c r="AQ402" i="2" s="1"/>
  <c r="M402" i="2" a="1"/>
  <c r="M402" i="2" s="1"/>
  <c r="I402" i="2" a="1"/>
  <c r="I402" i="2" s="1"/>
  <c r="AN401" i="2"/>
  <c r="AM401" i="2"/>
  <c r="AI401" i="2"/>
  <c r="Y401" i="2"/>
  <c r="V401" i="2" a="1"/>
  <c r="V401" i="2" s="1"/>
  <c r="M401" i="2" a="1"/>
  <c r="M401" i="2" s="1"/>
  <c r="I401" i="2" a="1"/>
  <c r="I401" i="2" s="1"/>
  <c r="AN400" i="2"/>
  <c r="AM400" i="2"/>
  <c r="AI400" i="2"/>
  <c r="Y400" i="2"/>
  <c r="V400" i="2" a="1"/>
  <c r="V400" i="2" s="1"/>
  <c r="AQ400" i="2" s="1"/>
  <c r="M400" i="2" a="1"/>
  <c r="M400" i="2" s="1"/>
  <c r="I400" i="2" a="1"/>
  <c r="I400" i="2" s="1"/>
  <c r="AN399" i="2"/>
  <c r="AM399" i="2"/>
  <c r="AI399" i="2"/>
  <c r="Y399" i="2"/>
  <c r="V399" i="2" a="1"/>
  <c r="V399" i="2" s="1"/>
  <c r="M399" i="2" a="1"/>
  <c r="M399" i="2" s="1"/>
  <c r="I399" i="2" a="1"/>
  <c r="I399" i="2"/>
  <c r="AQ398" i="2"/>
  <c r="AN398" i="2"/>
  <c r="AM398" i="2"/>
  <c r="AI398" i="2"/>
  <c r="Y398" i="2"/>
  <c r="V398" i="2" a="1"/>
  <c r="V398" i="2" s="1"/>
  <c r="M398" i="2" a="1"/>
  <c r="M398" i="2"/>
  <c r="I398" i="2" a="1"/>
  <c r="I398" i="2" s="1"/>
  <c r="AN397" i="2"/>
  <c r="AM397" i="2"/>
  <c r="AI397" i="2"/>
  <c r="Y397" i="2"/>
  <c r="V397" i="2" a="1"/>
  <c r="V397" i="2"/>
  <c r="AQ397" i="2" s="1"/>
  <c r="M397" i="2" a="1"/>
  <c r="M397" i="2" s="1"/>
  <c r="I397" i="2" a="1"/>
  <c r="I397" i="2"/>
  <c r="AQ396" i="2"/>
  <c r="AN396" i="2"/>
  <c r="AM396" i="2"/>
  <c r="AI396" i="2"/>
  <c r="Y396" i="2"/>
  <c r="V396" i="2" a="1"/>
  <c r="V396" i="2" s="1"/>
  <c r="M396" i="2" a="1"/>
  <c r="M396" i="2"/>
  <c r="I396" i="2" a="1"/>
  <c r="I396" i="2" s="1"/>
  <c r="AQ395" i="2"/>
  <c r="AN395" i="2"/>
  <c r="AM395" i="2"/>
  <c r="AI395" i="2"/>
  <c r="Y395" i="2"/>
  <c r="V395" i="2" a="1"/>
  <c r="V395" i="2"/>
  <c r="M395" i="2" a="1"/>
  <c r="M395" i="2" s="1"/>
  <c r="I395" i="2" a="1"/>
  <c r="I395" i="2" s="1"/>
  <c r="AN394" i="2"/>
  <c r="AM394" i="2"/>
  <c r="AI394" i="2"/>
  <c r="Y394" i="2"/>
  <c r="V394" i="2" a="1"/>
  <c r="V394" i="2" s="1"/>
  <c r="AQ394" i="2" s="1"/>
  <c r="M394" i="2" a="1"/>
  <c r="M394" i="2" s="1"/>
  <c r="I394" i="2" a="1"/>
  <c r="I394" i="2" s="1"/>
  <c r="AN393" i="2"/>
  <c r="AM393" i="2"/>
  <c r="AI393" i="2"/>
  <c r="Y393" i="2"/>
  <c r="V393" i="2" a="1"/>
  <c r="V393" i="2" s="1"/>
  <c r="M393" i="2" a="1"/>
  <c r="M393" i="2" s="1"/>
  <c r="I393" i="2" a="1"/>
  <c r="I393" i="2" s="1"/>
  <c r="AN392" i="2"/>
  <c r="AM392" i="2"/>
  <c r="AI392" i="2"/>
  <c r="Y392" i="2"/>
  <c r="V392" i="2" a="1"/>
  <c r="V392" i="2" s="1"/>
  <c r="AQ392" i="2" s="1"/>
  <c r="M392" i="2" a="1"/>
  <c r="M392" i="2" s="1"/>
  <c r="I392" i="2" a="1"/>
  <c r="I392" i="2" s="1"/>
  <c r="AN391" i="2"/>
  <c r="AM391" i="2"/>
  <c r="AI391" i="2"/>
  <c r="Y391" i="2"/>
  <c r="V391" i="2" a="1"/>
  <c r="V391" i="2" s="1"/>
  <c r="M391" i="2" a="1"/>
  <c r="M391" i="2" s="1"/>
  <c r="I391" i="2" a="1"/>
  <c r="I391" i="2"/>
  <c r="AQ390" i="2"/>
  <c r="AN390" i="2"/>
  <c r="AM390" i="2"/>
  <c r="AI390" i="2"/>
  <c r="Y390" i="2"/>
  <c r="V390" i="2" a="1"/>
  <c r="V390" i="2" s="1"/>
  <c r="M390" i="2" a="1"/>
  <c r="M390" i="2"/>
  <c r="I390" i="2" a="1"/>
  <c r="I390" i="2" s="1"/>
  <c r="AN389" i="2"/>
  <c r="AM389" i="2"/>
  <c r="AI389" i="2"/>
  <c r="Y389" i="2"/>
  <c r="V389" i="2" a="1"/>
  <c r="V389" i="2"/>
  <c r="AQ389" i="2" s="1"/>
  <c r="M389" i="2" a="1"/>
  <c r="M389" i="2" s="1"/>
  <c r="I389" i="2" a="1"/>
  <c r="I389" i="2"/>
  <c r="AQ388" i="2"/>
  <c r="AN388" i="2"/>
  <c r="AM388" i="2"/>
  <c r="AI388" i="2"/>
  <c r="Y388" i="2"/>
  <c r="V388" i="2" a="1"/>
  <c r="V388" i="2" s="1"/>
  <c r="M388" i="2" a="1"/>
  <c r="M388" i="2"/>
  <c r="I388" i="2" a="1"/>
  <c r="I388" i="2" s="1"/>
  <c r="AQ387" i="2"/>
  <c r="AN387" i="2"/>
  <c r="AM387" i="2"/>
  <c r="AI387" i="2"/>
  <c r="Y387" i="2"/>
  <c r="V387" i="2" a="1"/>
  <c r="V387" i="2"/>
  <c r="M387" i="2" a="1"/>
  <c r="M387" i="2" s="1"/>
  <c r="I387" i="2" a="1"/>
  <c r="I387" i="2" s="1"/>
  <c r="AN386" i="2"/>
  <c r="AM386" i="2"/>
  <c r="AI386" i="2"/>
  <c r="Y386" i="2"/>
  <c r="V386" i="2" a="1"/>
  <c r="V386" i="2" s="1"/>
  <c r="AQ386" i="2" s="1"/>
  <c r="M386" i="2" a="1"/>
  <c r="M386" i="2" s="1"/>
  <c r="I386" i="2" a="1"/>
  <c r="I386" i="2" s="1"/>
  <c r="AN385" i="2"/>
  <c r="AM385" i="2"/>
  <c r="AI385" i="2"/>
  <c r="Y385" i="2"/>
  <c r="V385" i="2" a="1"/>
  <c r="V385" i="2" s="1"/>
  <c r="M385" i="2" a="1"/>
  <c r="M385" i="2" s="1"/>
  <c r="I385" i="2" a="1"/>
  <c r="I385" i="2" s="1"/>
  <c r="AN384" i="2"/>
  <c r="AM384" i="2"/>
  <c r="AI384" i="2"/>
  <c r="Y384" i="2"/>
  <c r="V384" i="2" a="1"/>
  <c r="V384" i="2" s="1"/>
  <c r="AQ384" i="2" s="1"/>
  <c r="M384" i="2" a="1"/>
  <c r="M384" i="2" s="1"/>
  <c r="I384" i="2" a="1"/>
  <c r="I384" i="2" s="1"/>
  <c r="AN383" i="2"/>
  <c r="AM383" i="2"/>
  <c r="AI383" i="2"/>
  <c r="Y383" i="2"/>
  <c r="V383" i="2" a="1"/>
  <c r="V383" i="2" s="1"/>
  <c r="M383" i="2" a="1"/>
  <c r="M383" i="2" s="1"/>
  <c r="I383" i="2" a="1"/>
  <c r="I383" i="2"/>
  <c r="AQ382" i="2"/>
  <c r="AN382" i="2"/>
  <c r="AM382" i="2"/>
  <c r="AI382" i="2"/>
  <c r="Y382" i="2"/>
  <c r="V382" i="2" a="1"/>
  <c r="V382" i="2" s="1"/>
  <c r="M382" i="2" a="1"/>
  <c r="M382" i="2"/>
  <c r="I382" i="2" a="1"/>
  <c r="I382" i="2" s="1"/>
  <c r="AN381" i="2"/>
  <c r="AM381" i="2"/>
  <c r="AI381" i="2"/>
  <c r="Y381" i="2"/>
  <c r="V381" i="2" a="1"/>
  <c r="V381" i="2"/>
  <c r="AQ381" i="2" s="1"/>
  <c r="M381" i="2" a="1"/>
  <c r="M381" i="2" s="1"/>
  <c r="I381" i="2" a="1"/>
  <c r="I381" i="2"/>
  <c r="AQ380" i="2"/>
  <c r="AN380" i="2"/>
  <c r="AM380" i="2"/>
  <c r="AI380" i="2"/>
  <c r="Y380" i="2"/>
  <c r="V380" i="2" a="1"/>
  <c r="V380" i="2" s="1"/>
  <c r="M380" i="2" a="1"/>
  <c r="M380" i="2"/>
  <c r="I380" i="2" a="1"/>
  <c r="I380" i="2" s="1"/>
  <c r="AQ379" i="2"/>
  <c r="AN379" i="2"/>
  <c r="AM379" i="2"/>
  <c r="AI379" i="2"/>
  <c r="Y379" i="2"/>
  <c r="V379" i="2" a="1"/>
  <c r="V379" i="2"/>
  <c r="M379" i="2" a="1"/>
  <c r="M379" i="2" s="1"/>
  <c r="I379" i="2" a="1"/>
  <c r="I379" i="2" s="1"/>
  <c r="AN378" i="2"/>
  <c r="AM378" i="2"/>
  <c r="AI378" i="2"/>
  <c r="Y378" i="2"/>
  <c r="V378" i="2" a="1"/>
  <c r="V378" i="2" s="1"/>
  <c r="AQ378" i="2" s="1"/>
  <c r="M378" i="2" a="1"/>
  <c r="M378" i="2" s="1"/>
  <c r="I378" i="2" a="1"/>
  <c r="I378" i="2" s="1"/>
  <c r="AN377" i="2"/>
  <c r="AM377" i="2"/>
  <c r="AI377" i="2"/>
  <c r="Y377" i="2"/>
  <c r="V377" i="2" a="1"/>
  <c r="V377" i="2" s="1"/>
  <c r="M377" i="2" a="1"/>
  <c r="M377" i="2" s="1"/>
  <c r="I377" i="2" a="1"/>
  <c r="I377" i="2" s="1"/>
  <c r="AN376" i="2"/>
  <c r="AM376" i="2"/>
  <c r="AI376" i="2"/>
  <c r="Y376" i="2"/>
  <c r="V376" i="2" a="1"/>
  <c r="V376" i="2" s="1"/>
  <c r="AQ376" i="2" s="1"/>
  <c r="M376" i="2" a="1"/>
  <c r="M376" i="2" s="1"/>
  <c r="I376" i="2" a="1"/>
  <c r="I376" i="2" s="1"/>
  <c r="AN375" i="2"/>
  <c r="AM375" i="2"/>
  <c r="AI375" i="2"/>
  <c r="Y375" i="2"/>
  <c r="V375" i="2" a="1"/>
  <c r="V375" i="2" s="1"/>
  <c r="M375" i="2" a="1"/>
  <c r="M375" i="2" s="1"/>
  <c r="I375" i="2" a="1"/>
  <c r="I375" i="2"/>
  <c r="AQ374" i="2"/>
  <c r="AN374" i="2"/>
  <c r="AM374" i="2"/>
  <c r="AI374" i="2"/>
  <c r="Y374" i="2"/>
  <c r="V374" i="2" a="1"/>
  <c r="V374" i="2" s="1"/>
  <c r="M374" i="2" a="1"/>
  <c r="M374" i="2"/>
  <c r="I374" i="2" a="1"/>
  <c r="I374" i="2" s="1"/>
  <c r="AN373" i="2"/>
  <c r="AM373" i="2"/>
  <c r="AI373" i="2"/>
  <c r="Y373" i="2"/>
  <c r="V373" i="2" a="1"/>
  <c r="V373" i="2"/>
  <c r="AQ373" i="2" s="1"/>
  <c r="M373" i="2" a="1"/>
  <c r="M373" i="2" s="1"/>
  <c r="I373" i="2" a="1"/>
  <c r="I373" i="2"/>
  <c r="AQ372" i="2"/>
  <c r="AN372" i="2"/>
  <c r="AM372" i="2"/>
  <c r="AI372" i="2"/>
  <c r="Y372" i="2"/>
  <c r="V372" i="2" a="1"/>
  <c r="V372" i="2" s="1"/>
  <c r="M372" i="2" a="1"/>
  <c r="M372" i="2"/>
  <c r="I372" i="2" a="1"/>
  <c r="I372" i="2" s="1"/>
  <c r="AN371" i="2"/>
  <c r="AM371" i="2"/>
  <c r="AI371" i="2"/>
  <c r="Y371" i="2"/>
  <c r="V371" i="2" a="1"/>
  <c r="V371" i="2"/>
  <c r="AQ371" i="2" s="1"/>
  <c r="M371" i="2" a="1"/>
  <c r="M371" i="2" s="1"/>
  <c r="I371" i="2" a="1"/>
  <c r="I371" i="2" s="1"/>
  <c r="AN370" i="2"/>
  <c r="AM370" i="2"/>
  <c r="AI370" i="2"/>
  <c r="Y370" i="2"/>
  <c r="V370" i="2" a="1"/>
  <c r="V370" i="2" s="1"/>
  <c r="AQ370" i="2" s="1"/>
  <c r="M370" i="2" a="1"/>
  <c r="M370" i="2" s="1"/>
  <c r="I370" i="2" a="1"/>
  <c r="I370" i="2" s="1"/>
  <c r="AN369" i="2"/>
  <c r="AM369" i="2"/>
  <c r="AI369" i="2"/>
  <c r="Y369" i="2"/>
  <c r="V369" i="2" a="1"/>
  <c r="V369" i="2" s="1"/>
  <c r="AQ369" i="2" s="1"/>
  <c r="M369" i="2" a="1"/>
  <c r="M369" i="2" s="1"/>
  <c r="I369" i="2" a="1"/>
  <c r="I369" i="2" s="1"/>
  <c r="AN368" i="2"/>
  <c r="AM368" i="2"/>
  <c r="AI368" i="2"/>
  <c r="Y368" i="2"/>
  <c r="V368" i="2" a="1"/>
  <c r="V368" i="2" s="1"/>
  <c r="AQ368" i="2" s="1"/>
  <c r="M368" i="2" a="1"/>
  <c r="M368" i="2" s="1"/>
  <c r="I368" i="2" a="1"/>
  <c r="I368" i="2" s="1"/>
  <c r="AN367" i="2"/>
  <c r="AM367" i="2"/>
  <c r="AI367" i="2"/>
  <c r="Y367" i="2"/>
  <c r="V367" i="2" a="1"/>
  <c r="V367" i="2" s="1"/>
  <c r="M367" i="2" a="1"/>
  <c r="M367" i="2" s="1"/>
  <c r="I367" i="2" a="1"/>
  <c r="I367" i="2"/>
  <c r="AQ366" i="2"/>
  <c r="AN366" i="2"/>
  <c r="AM366" i="2"/>
  <c r="AI366" i="2"/>
  <c r="Y366" i="2"/>
  <c r="V366" i="2" a="1"/>
  <c r="V366" i="2" s="1"/>
  <c r="M366" i="2" a="1"/>
  <c r="M366" i="2"/>
  <c r="I366" i="2" a="1"/>
  <c r="I366" i="2" s="1"/>
  <c r="AN365" i="2"/>
  <c r="AM365" i="2"/>
  <c r="AI365" i="2"/>
  <c r="Y365" i="2"/>
  <c r="V365" i="2" a="1"/>
  <c r="V365" i="2"/>
  <c r="AQ365" i="2" s="1"/>
  <c r="M365" i="2" a="1"/>
  <c r="M365" i="2" s="1"/>
  <c r="I365" i="2" a="1"/>
  <c r="I365" i="2"/>
  <c r="AQ364" i="2"/>
  <c r="AN364" i="2"/>
  <c r="AM364" i="2"/>
  <c r="AI364" i="2"/>
  <c r="Y364" i="2"/>
  <c r="V364" i="2" a="1"/>
  <c r="V364" i="2" s="1"/>
  <c r="M364" i="2" a="1"/>
  <c r="M364" i="2"/>
  <c r="I364" i="2" a="1"/>
  <c r="I364" i="2" s="1"/>
  <c r="AN363" i="2"/>
  <c r="AM363" i="2"/>
  <c r="AI363" i="2"/>
  <c r="Y363" i="2"/>
  <c r="V363" i="2" a="1"/>
  <c r="V363" i="2"/>
  <c r="AQ363" i="2" s="1"/>
  <c r="M363" i="2" a="1"/>
  <c r="M363" i="2" s="1"/>
  <c r="I363" i="2" a="1"/>
  <c r="I363" i="2" s="1"/>
  <c r="AN362" i="2"/>
  <c r="AM362" i="2"/>
  <c r="AI362" i="2"/>
  <c r="Y362" i="2"/>
  <c r="V362" i="2" a="1"/>
  <c r="V362" i="2" s="1"/>
  <c r="AQ362" i="2" s="1"/>
  <c r="M362" i="2" a="1"/>
  <c r="M362" i="2" s="1"/>
  <c r="I362" i="2" a="1"/>
  <c r="I362" i="2" s="1"/>
  <c r="AN361" i="2"/>
  <c r="AM361" i="2"/>
  <c r="AI361" i="2"/>
  <c r="Y361" i="2"/>
  <c r="V361" i="2" a="1"/>
  <c r="V361" i="2" s="1"/>
  <c r="AQ361" i="2" s="1"/>
  <c r="M361" i="2" a="1"/>
  <c r="M361" i="2" s="1"/>
  <c r="I361" i="2" a="1"/>
  <c r="I361" i="2" s="1"/>
  <c r="AN360" i="2"/>
  <c r="AM360" i="2"/>
  <c r="AI360" i="2"/>
  <c r="Y360" i="2"/>
  <c r="V360" i="2" a="1"/>
  <c r="V360" i="2" s="1"/>
  <c r="AQ360" i="2" s="1"/>
  <c r="M360" i="2" a="1"/>
  <c r="M360" i="2" s="1"/>
  <c r="I360" i="2" a="1"/>
  <c r="I360" i="2" s="1"/>
  <c r="AN359" i="2"/>
  <c r="AM359" i="2"/>
  <c r="AI359" i="2"/>
  <c r="Y359" i="2"/>
  <c r="V359" i="2" a="1"/>
  <c r="V359" i="2" s="1"/>
  <c r="M359" i="2" a="1"/>
  <c r="M359" i="2" s="1"/>
  <c r="I359" i="2" a="1"/>
  <c r="I359" i="2"/>
  <c r="AQ358" i="2"/>
  <c r="AN358" i="2"/>
  <c r="AM358" i="2"/>
  <c r="AI358" i="2"/>
  <c r="Y358" i="2"/>
  <c r="V358" i="2" a="1"/>
  <c r="V358" i="2" s="1"/>
  <c r="M358" i="2" a="1"/>
  <c r="M358" i="2"/>
  <c r="I358" i="2" a="1"/>
  <c r="I358" i="2" s="1"/>
  <c r="AN357" i="2"/>
  <c r="AM357" i="2"/>
  <c r="AI357" i="2"/>
  <c r="Y357" i="2"/>
  <c r="V357" i="2" a="1"/>
  <c r="V357" i="2"/>
  <c r="AQ357" i="2" s="1"/>
  <c r="M357" i="2" a="1"/>
  <c r="M357" i="2" s="1"/>
  <c r="I357" i="2" a="1"/>
  <c r="I357" i="2"/>
  <c r="AQ356" i="2"/>
  <c r="AN356" i="2"/>
  <c r="AM356" i="2"/>
  <c r="AI356" i="2"/>
  <c r="Y356" i="2"/>
  <c r="V356" i="2" a="1"/>
  <c r="V356" i="2" s="1"/>
  <c r="M356" i="2" a="1"/>
  <c r="M356" i="2"/>
  <c r="I356" i="2" a="1"/>
  <c r="I356" i="2" s="1"/>
  <c r="AN355" i="2"/>
  <c r="AM355" i="2"/>
  <c r="AI355" i="2"/>
  <c r="Y355" i="2"/>
  <c r="V355" i="2" a="1"/>
  <c r="V355" i="2"/>
  <c r="AQ355" i="2" s="1"/>
  <c r="M355" i="2" a="1"/>
  <c r="M355" i="2" s="1"/>
  <c r="I355" i="2" a="1"/>
  <c r="I355" i="2" s="1"/>
  <c r="AN354" i="2"/>
  <c r="AM354" i="2"/>
  <c r="AI354" i="2"/>
  <c r="Y354" i="2"/>
  <c r="V354" i="2" a="1"/>
  <c r="V354" i="2" s="1"/>
  <c r="AQ354" i="2" s="1"/>
  <c r="M354" i="2" a="1"/>
  <c r="M354" i="2" s="1"/>
  <c r="I354" i="2" a="1"/>
  <c r="I354" i="2" s="1"/>
  <c r="AN353" i="2"/>
  <c r="AM353" i="2"/>
  <c r="AI353" i="2"/>
  <c r="Y353" i="2"/>
  <c r="V353" i="2" a="1"/>
  <c r="V353" i="2" s="1"/>
  <c r="AQ353" i="2" s="1"/>
  <c r="M353" i="2" a="1"/>
  <c r="M353" i="2" s="1"/>
  <c r="AP353" i="2" s="1"/>
  <c r="I353" i="2" a="1"/>
  <c r="I353" i="2" s="1"/>
  <c r="AN352" i="2"/>
  <c r="AM352" i="2"/>
  <c r="AI352" i="2"/>
  <c r="Y352" i="2"/>
  <c r="V352" i="2" a="1"/>
  <c r="V352" i="2" s="1"/>
  <c r="AQ352" i="2" s="1"/>
  <c r="M352" i="2" a="1"/>
  <c r="M352" i="2" s="1"/>
  <c r="I352" i="2" a="1"/>
  <c r="I352" i="2" s="1"/>
  <c r="AN351" i="2"/>
  <c r="AM351" i="2"/>
  <c r="AI351" i="2"/>
  <c r="Y351" i="2"/>
  <c r="V351" i="2" a="1"/>
  <c r="V351" i="2" s="1"/>
  <c r="M351" i="2" a="1"/>
  <c r="M351" i="2" s="1"/>
  <c r="I351" i="2" a="1"/>
  <c r="I351" i="2"/>
  <c r="AQ350" i="2"/>
  <c r="AN350" i="2"/>
  <c r="AM350" i="2"/>
  <c r="AI350" i="2"/>
  <c r="Y350" i="2"/>
  <c r="V350" i="2" a="1"/>
  <c r="V350" i="2" s="1"/>
  <c r="M350" i="2" a="1"/>
  <c r="M350" i="2"/>
  <c r="I350" i="2" a="1"/>
  <c r="I350" i="2" s="1"/>
  <c r="AN349" i="2"/>
  <c r="AM349" i="2"/>
  <c r="AI349" i="2"/>
  <c r="Y349" i="2"/>
  <c r="V349" i="2" a="1"/>
  <c r="V349" i="2"/>
  <c r="AQ349" i="2" s="1"/>
  <c r="M349" i="2" a="1"/>
  <c r="M349" i="2" s="1"/>
  <c r="I349" i="2" a="1"/>
  <c r="I349" i="2"/>
  <c r="AQ348" i="2"/>
  <c r="AN348" i="2"/>
  <c r="AM348" i="2"/>
  <c r="AI348" i="2"/>
  <c r="Y348" i="2"/>
  <c r="V348" i="2" a="1"/>
  <c r="V348" i="2" s="1"/>
  <c r="M348" i="2" a="1"/>
  <c r="M348" i="2"/>
  <c r="I348" i="2" a="1"/>
  <c r="I348" i="2" s="1"/>
  <c r="AQ347" i="2"/>
  <c r="AN347" i="2"/>
  <c r="AM347" i="2"/>
  <c r="AI347" i="2"/>
  <c r="Y347" i="2"/>
  <c r="V347" i="2" a="1"/>
  <c r="V347" i="2"/>
  <c r="M347" i="2" a="1"/>
  <c r="M347" i="2" s="1"/>
  <c r="I347" i="2" a="1"/>
  <c r="I347" i="2" s="1"/>
  <c r="AN346" i="2"/>
  <c r="AM346" i="2"/>
  <c r="AI346" i="2"/>
  <c r="Y346" i="2"/>
  <c r="V346" i="2" a="1"/>
  <c r="V346" i="2" s="1"/>
  <c r="AQ346" i="2" s="1"/>
  <c r="M346" i="2" a="1"/>
  <c r="M346" i="2" s="1"/>
  <c r="I346" i="2" a="1"/>
  <c r="I346" i="2" s="1"/>
  <c r="AN345" i="2"/>
  <c r="AM345" i="2"/>
  <c r="AI345" i="2"/>
  <c r="Y345" i="2"/>
  <c r="V345" i="2" a="1"/>
  <c r="V345" i="2" s="1"/>
  <c r="AQ345" i="2" s="1"/>
  <c r="M345" i="2" a="1"/>
  <c r="M345" i="2" s="1"/>
  <c r="AP345" i="2" s="1"/>
  <c r="I345" i="2" a="1"/>
  <c r="I345" i="2" s="1"/>
  <c r="AN344" i="2"/>
  <c r="AM344" i="2"/>
  <c r="AI344" i="2"/>
  <c r="Y344" i="2"/>
  <c r="V344" i="2" a="1"/>
  <c r="V344" i="2" s="1"/>
  <c r="AQ344" i="2" s="1"/>
  <c r="M344" i="2" a="1"/>
  <c r="M344" i="2" s="1"/>
  <c r="I344" i="2" a="1"/>
  <c r="I344" i="2" s="1"/>
  <c r="AN343" i="2"/>
  <c r="AM343" i="2"/>
  <c r="AI343" i="2"/>
  <c r="Y343" i="2"/>
  <c r="V343" i="2" a="1"/>
  <c r="V343" i="2" s="1"/>
  <c r="M343" i="2" a="1"/>
  <c r="M343" i="2" s="1"/>
  <c r="I343" i="2" a="1"/>
  <c r="I343" i="2"/>
  <c r="AQ342" i="2"/>
  <c r="AN342" i="2"/>
  <c r="AM342" i="2"/>
  <c r="AI342" i="2"/>
  <c r="Y342" i="2"/>
  <c r="V342" i="2" a="1"/>
  <c r="V342" i="2" s="1"/>
  <c r="M342" i="2" a="1"/>
  <c r="M342" i="2"/>
  <c r="I342" i="2" a="1"/>
  <c r="I342" i="2" s="1"/>
  <c r="AN341" i="2"/>
  <c r="AM341" i="2"/>
  <c r="AI341" i="2"/>
  <c r="Y341" i="2"/>
  <c r="V341" i="2" a="1"/>
  <c r="V341" i="2"/>
  <c r="AQ341" i="2" s="1"/>
  <c r="M341" i="2" a="1"/>
  <c r="M341" i="2" s="1"/>
  <c r="I341" i="2" a="1"/>
  <c r="I341" i="2"/>
  <c r="AQ340" i="2"/>
  <c r="AN340" i="2"/>
  <c r="AM340" i="2"/>
  <c r="AI340" i="2"/>
  <c r="Y340" i="2"/>
  <c r="V340" i="2" a="1"/>
  <c r="V340" i="2" s="1"/>
  <c r="M340" i="2" a="1"/>
  <c r="M340" i="2"/>
  <c r="I340" i="2" a="1"/>
  <c r="I340" i="2" s="1"/>
  <c r="AN339" i="2"/>
  <c r="AM339" i="2"/>
  <c r="AI339" i="2"/>
  <c r="Y339" i="2"/>
  <c r="V339" i="2" a="1"/>
  <c r="V339" i="2"/>
  <c r="AQ339" i="2" s="1"/>
  <c r="M339" i="2" a="1"/>
  <c r="M339" i="2" s="1"/>
  <c r="I339" i="2" a="1"/>
  <c r="I339" i="2" s="1"/>
  <c r="AN338" i="2"/>
  <c r="AM338" i="2"/>
  <c r="AI338" i="2"/>
  <c r="Y338" i="2"/>
  <c r="V338" i="2" a="1"/>
  <c r="V338" i="2" s="1"/>
  <c r="AQ338" i="2" s="1"/>
  <c r="M338" i="2" a="1"/>
  <c r="M338" i="2" s="1"/>
  <c r="I338" i="2" a="1"/>
  <c r="I338" i="2" s="1"/>
  <c r="AN337" i="2"/>
  <c r="AM337" i="2"/>
  <c r="AI337" i="2"/>
  <c r="Y337" i="2"/>
  <c r="V337" i="2" a="1"/>
  <c r="V337" i="2" s="1"/>
  <c r="AQ337" i="2" s="1"/>
  <c r="M337" i="2" a="1"/>
  <c r="M337" i="2" s="1"/>
  <c r="AP337" i="2" s="1"/>
  <c r="I337" i="2" a="1"/>
  <c r="I337" i="2" s="1"/>
  <c r="AN336" i="2"/>
  <c r="AM336" i="2"/>
  <c r="AI336" i="2"/>
  <c r="Y336" i="2"/>
  <c r="V336" i="2" a="1"/>
  <c r="V336" i="2" s="1"/>
  <c r="AQ336" i="2" s="1"/>
  <c r="M336" i="2" a="1"/>
  <c r="M336" i="2" s="1"/>
  <c r="I336" i="2" a="1"/>
  <c r="I336" i="2" s="1"/>
  <c r="AN335" i="2"/>
  <c r="AM335" i="2"/>
  <c r="AI335" i="2"/>
  <c r="Y335" i="2"/>
  <c r="V335" i="2" a="1"/>
  <c r="V335" i="2" s="1"/>
  <c r="M335" i="2" a="1"/>
  <c r="M335" i="2" s="1"/>
  <c r="I335" i="2" a="1"/>
  <c r="I335" i="2"/>
  <c r="AQ334" i="2"/>
  <c r="AN334" i="2"/>
  <c r="AM334" i="2"/>
  <c r="AI334" i="2"/>
  <c r="Y334" i="2"/>
  <c r="V334" i="2" a="1"/>
  <c r="V334" i="2" s="1"/>
  <c r="M334" i="2" a="1"/>
  <c r="M334" i="2"/>
  <c r="I334" i="2" a="1"/>
  <c r="I334" i="2" s="1"/>
  <c r="AN333" i="2"/>
  <c r="AM333" i="2"/>
  <c r="AI333" i="2"/>
  <c r="Y333" i="2"/>
  <c r="V333" i="2" a="1"/>
  <c r="V333" i="2"/>
  <c r="AQ333" i="2" s="1"/>
  <c r="M333" i="2" a="1"/>
  <c r="M333" i="2" s="1"/>
  <c r="I333" i="2" a="1"/>
  <c r="I333" i="2"/>
  <c r="AQ332" i="2"/>
  <c r="AN332" i="2"/>
  <c r="AM332" i="2"/>
  <c r="AI332" i="2"/>
  <c r="Y332" i="2"/>
  <c r="V332" i="2" a="1"/>
  <c r="V332" i="2" s="1"/>
  <c r="M332" i="2" a="1"/>
  <c r="M332" i="2"/>
  <c r="I332" i="2" a="1"/>
  <c r="I332" i="2" s="1"/>
  <c r="AN331" i="2"/>
  <c r="AM331" i="2"/>
  <c r="AI331" i="2"/>
  <c r="Y331" i="2"/>
  <c r="V331" i="2" a="1"/>
  <c r="V331" i="2"/>
  <c r="AQ331" i="2" s="1"/>
  <c r="M331" i="2" a="1"/>
  <c r="M331" i="2" s="1"/>
  <c r="I331" i="2" a="1"/>
  <c r="I331" i="2" s="1"/>
  <c r="AN330" i="2"/>
  <c r="AM330" i="2"/>
  <c r="AI330" i="2"/>
  <c r="Y330" i="2"/>
  <c r="V330" i="2" a="1"/>
  <c r="V330" i="2" s="1"/>
  <c r="AQ330" i="2" s="1"/>
  <c r="M330" i="2" a="1"/>
  <c r="M330" i="2" s="1"/>
  <c r="I330" i="2" a="1"/>
  <c r="I330" i="2" s="1"/>
  <c r="AN329" i="2"/>
  <c r="AM329" i="2"/>
  <c r="AI329" i="2"/>
  <c r="Y329" i="2"/>
  <c r="V329" i="2" a="1"/>
  <c r="V329" i="2" s="1"/>
  <c r="AQ329" i="2" s="1"/>
  <c r="M329" i="2" a="1"/>
  <c r="M329" i="2" s="1"/>
  <c r="AP329" i="2" s="1"/>
  <c r="I329" i="2" a="1"/>
  <c r="I329" i="2" s="1"/>
  <c r="AN328" i="2"/>
  <c r="AM328" i="2"/>
  <c r="AI328" i="2"/>
  <c r="Y328" i="2"/>
  <c r="V328" i="2" a="1"/>
  <c r="V328" i="2" s="1"/>
  <c r="AQ328" i="2" s="1"/>
  <c r="M328" i="2" a="1"/>
  <c r="M328" i="2" s="1"/>
  <c r="I328" i="2" a="1"/>
  <c r="I328" i="2" s="1"/>
  <c r="AN327" i="2"/>
  <c r="AM327" i="2"/>
  <c r="AI327" i="2"/>
  <c r="Y327" i="2"/>
  <c r="V327" i="2" a="1"/>
  <c r="V327" i="2" s="1"/>
  <c r="M327" i="2" a="1"/>
  <c r="M327" i="2" s="1"/>
  <c r="I327" i="2" a="1"/>
  <c r="I327" i="2"/>
  <c r="AQ326" i="2"/>
  <c r="AN326" i="2"/>
  <c r="AM326" i="2"/>
  <c r="AI326" i="2"/>
  <c r="Y326" i="2"/>
  <c r="V326" i="2" a="1"/>
  <c r="V326" i="2" s="1"/>
  <c r="M326" i="2" a="1"/>
  <c r="M326" i="2"/>
  <c r="I326" i="2" a="1"/>
  <c r="I326" i="2" s="1"/>
  <c r="AN325" i="2"/>
  <c r="AM325" i="2"/>
  <c r="AI325" i="2"/>
  <c r="Y325" i="2"/>
  <c r="V325" i="2" a="1"/>
  <c r="V325" i="2"/>
  <c r="AQ325" i="2" s="1"/>
  <c r="M325" i="2" a="1"/>
  <c r="M325" i="2" s="1"/>
  <c r="I325" i="2" a="1"/>
  <c r="I325" i="2"/>
  <c r="AQ324" i="2"/>
  <c r="AN324" i="2"/>
  <c r="AM324" i="2"/>
  <c r="AI324" i="2"/>
  <c r="Y324" i="2"/>
  <c r="V324" i="2" a="1"/>
  <c r="V324" i="2" s="1"/>
  <c r="M324" i="2" a="1"/>
  <c r="M324" i="2"/>
  <c r="I324" i="2" a="1"/>
  <c r="I324" i="2" s="1"/>
  <c r="AN323" i="2"/>
  <c r="AM323" i="2"/>
  <c r="AI323" i="2"/>
  <c r="Y323" i="2"/>
  <c r="V323" i="2" a="1"/>
  <c r="V323" i="2"/>
  <c r="AQ323" i="2" s="1"/>
  <c r="M323" i="2" a="1"/>
  <c r="M323" i="2" s="1"/>
  <c r="I323" i="2" a="1"/>
  <c r="I323" i="2" s="1"/>
  <c r="AN322" i="2"/>
  <c r="AM322" i="2"/>
  <c r="AI322" i="2"/>
  <c r="Y322" i="2"/>
  <c r="V322" i="2" a="1"/>
  <c r="V322" i="2" s="1"/>
  <c r="AQ322" i="2" s="1"/>
  <c r="M322" i="2" a="1"/>
  <c r="M322" i="2" s="1"/>
  <c r="I322" i="2" a="1"/>
  <c r="I322" i="2" s="1"/>
  <c r="AN321" i="2"/>
  <c r="AM321" i="2"/>
  <c r="AI321" i="2"/>
  <c r="Y321" i="2"/>
  <c r="V321" i="2" a="1"/>
  <c r="V321" i="2" s="1"/>
  <c r="AQ321" i="2" s="1"/>
  <c r="M321" i="2" a="1"/>
  <c r="M321" i="2" s="1"/>
  <c r="AP321" i="2" s="1"/>
  <c r="I321" i="2" a="1"/>
  <c r="I321" i="2" s="1"/>
  <c r="AN320" i="2"/>
  <c r="AM320" i="2"/>
  <c r="AI320" i="2"/>
  <c r="Y320" i="2"/>
  <c r="V320" i="2" a="1"/>
  <c r="V320" i="2" s="1"/>
  <c r="AQ320" i="2" s="1"/>
  <c r="M320" i="2" a="1"/>
  <c r="M320" i="2" s="1"/>
  <c r="I320" i="2" a="1"/>
  <c r="I320" i="2" s="1"/>
  <c r="AN319" i="2"/>
  <c r="AM319" i="2"/>
  <c r="AI319" i="2"/>
  <c r="Y319" i="2"/>
  <c r="V319" i="2" a="1"/>
  <c r="V319" i="2" s="1"/>
  <c r="M319" i="2" a="1"/>
  <c r="M319" i="2" s="1"/>
  <c r="I319" i="2" a="1"/>
  <c r="I319" i="2"/>
  <c r="AQ318" i="2"/>
  <c r="AN318" i="2"/>
  <c r="AM318" i="2"/>
  <c r="AI318" i="2"/>
  <c r="Y318" i="2"/>
  <c r="V318" i="2" a="1"/>
  <c r="V318" i="2" s="1"/>
  <c r="M318" i="2" a="1"/>
  <c r="M318" i="2"/>
  <c r="I318" i="2" a="1"/>
  <c r="I318" i="2" s="1"/>
  <c r="AN317" i="2"/>
  <c r="AM317" i="2"/>
  <c r="AI317" i="2"/>
  <c r="Y317" i="2"/>
  <c r="V317" i="2" a="1"/>
  <c r="V317" i="2"/>
  <c r="AQ317" i="2" s="1"/>
  <c r="M317" i="2" a="1"/>
  <c r="M317" i="2" s="1"/>
  <c r="I317" i="2" a="1"/>
  <c r="I317" i="2"/>
  <c r="AQ316" i="2"/>
  <c r="AN316" i="2"/>
  <c r="AM316" i="2"/>
  <c r="AI316" i="2"/>
  <c r="Y316" i="2"/>
  <c r="V316" i="2" a="1"/>
  <c r="V316" i="2" s="1"/>
  <c r="M316" i="2" a="1"/>
  <c r="M316" i="2"/>
  <c r="I316" i="2" a="1"/>
  <c r="I316" i="2" s="1"/>
  <c r="AN315" i="2"/>
  <c r="AM315" i="2"/>
  <c r="AI315" i="2"/>
  <c r="Y315" i="2"/>
  <c r="V315" i="2" a="1"/>
  <c r="V315" i="2"/>
  <c r="AQ315" i="2" s="1"/>
  <c r="M315" i="2" a="1"/>
  <c r="M315" i="2" s="1"/>
  <c r="I315" i="2" a="1"/>
  <c r="I315" i="2" s="1"/>
  <c r="AN314" i="2"/>
  <c r="AM314" i="2"/>
  <c r="AI314" i="2"/>
  <c r="Y314" i="2"/>
  <c r="V314" i="2" a="1"/>
  <c r="V314" i="2" s="1"/>
  <c r="AQ314" i="2" s="1"/>
  <c r="M314" i="2" a="1"/>
  <c r="M314" i="2" s="1"/>
  <c r="I314" i="2" a="1"/>
  <c r="I314" i="2" s="1"/>
  <c r="AN313" i="2"/>
  <c r="AM313" i="2"/>
  <c r="AI313" i="2"/>
  <c r="Y313" i="2"/>
  <c r="V313" i="2" a="1"/>
  <c r="V313" i="2" s="1"/>
  <c r="AQ313" i="2" s="1"/>
  <c r="M313" i="2" a="1"/>
  <c r="M313" i="2" s="1"/>
  <c r="AP313" i="2" s="1"/>
  <c r="I313" i="2" a="1"/>
  <c r="I313" i="2" s="1"/>
  <c r="AN312" i="2"/>
  <c r="AM312" i="2"/>
  <c r="AI312" i="2"/>
  <c r="Y312" i="2"/>
  <c r="V312" i="2" a="1"/>
  <c r="V312" i="2" s="1"/>
  <c r="AQ312" i="2" s="1"/>
  <c r="M312" i="2" a="1"/>
  <c r="M312" i="2" s="1"/>
  <c r="I312" i="2" a="1"/>
  <c r="I312" i="2" s="1"/>
  <c r="AN311" i="2"/>
  <c r="AM311" i="2"/>
  <c r="AI311" i="2"/>
  <c r="Y311" i="2"/>
  <c r="V311" i="2" a="1"/>
  <c r="V311" i="2" s="1"/>
  <c r="M311" i="2" a="1"/>
  <c r="M311" i="2" s="1"/>
  <c r="I311" i="2" a="1"/>
  <c r="I311" i="2"/>
  <c r="AQ310" i="2"/>
  <c r="AN310" i="2"/>
  <c r="AM310" i="2"/>
  <c r="AI310" i="2"/>
  <c r="Y310" i="2"/>
  <c r="V310" i="2" a="1"/>
  <c r="V310" i="2" s="1"/>
  <c r="M310" i="2" a="1"/>
  <c r="M310" i="2"/>
  <c r="I310" i="2" a="1"/>
  <c r="I310" i="2" s="1"/>
  <c r="AN309" i="2"/>
  <c r="AM309" i="2"/>
  <c r="AI309" i="2"/>
  <c r="Y309" i="2"/>
  <c r="V309" i="2" a="1"/>
  <c r="V309" i="2"/>
  <c r="AQ309" i="2" s="1"/>
  <c r="M309" i="2" a="1"/>
  <c r="M309" i="2" s="1"/>
  <c r="I309" i="2" a="1"/>
  <c r="I309" i="2"/>
  <c r="AQ308" i="2"/>
  <c r="AN308" i="2"/>
  <c r="AM308" i="2"/>
  <c r="AI308" i="2"/>
  <c r="Y308" i="2"/>
  <c r="V308" i="2" a="1"/>
  <c r="V308" i="2" s="1"/>
  <c r="M308" i="2" a="1"/>
  <c r="M308" i="2"/>
  <c r="I308" i="2" a="1"/>
  <c r="I308" i="2" s="1"/>
  <c r="AN307" i="2"/>
  <c r="AM307" i="2"/>
  <c r="AI307" i="2"/>
  <c r="Y307" i="2"/>
  <c r="V307" i="2" a="1"/>
  <c r="V307" i="2"/>
  <c r="AQ307" i="2" s="1"/>
  <c r="M307" i="2" a="1"/>
  <c r="M307" i="2" s="1"/>
  <c r="I307" i="2" a="1"/>
  <c r="I307" i="2" s="1"/>
  <c r="AN306" i="2"/>
  <c r="AM306" i="2"/>
  <c r="AI306" i="2"/>
  <c r="Y306" i="2"/>
  <c r="V306" i="2" a="1"/>
  <c r="V306" i="2" s="1"/>
  <c r="AQ306" i="2" s="1"/>
  <c r="M306" i="2" a="1"/>
  <c r="M306" i="2" s="1"/>
  <c r="I306" i="2" a="1"/>
  <c r="I306" i="2" s="1"/>
  <c r="AN305" i="2"/>
  <c r="AM305" i="2"/>
  <c r="AI305" i="2"/>
  <c r="Y305" i="2"/>
  <c r="V305" i="2" a="1"/>
  <c r="V305" i="2" s="1"/>
  <c r="AQ305" i="2" s="1"/>
  <c r="M305" i="2" a="1"/>
  <c r="M305" i="2" s="1"/>
  <c r="AP305" i="2" s="1"/>
  <c r="I305" i="2" a="1"/>
  <c r="I305" i="2" s="1"/>
  <c r="AN304" i="2"/>
  <c r="AM304" i="2"/>
  <c r="AI304" i="2"/>
  <c r="Y304" i="2"/>
  <c r="V304" i="2" a="1"/>
  <c r="V304" i="2" s="1"/>
  <c r="AQ304" i="2" s="1"/>
  <c r="M304" i="2" a="1"/>
  <c r="M304" i="2" s="1"/>
  <c r="I304" i="2" a="1"/>
  <c r="I304" i="2" s="1"/>
  <c r="AN303" i="2"/>
  <c r="AM303" i="2"/>
  <c r="AI303" i="2"/>
  <c r="Y303" i="2"/>
  <c r="V303" i="2" a="1"/>
  <c r="V303" i="2" s="1"/>
  <c r="M303" i="2" a="1"/>
  <c r="M303" i="2" s="1"/>
  <c r="I303" i="2" a="1"/>
  <c r="I303" i="2"/>
  <c r="AQ302" i="2"/>
  <c r="AN302" i="2"/>
  <c r="AM302" i="2"/>
  <c r="AI302" i="2"/>
  <c r="Y302" i="2"/>
  <c r="V302" i="2" a="1"/>
  <c r="V302" i="2" s="1"/>
  <c r="M302" i="2" a="1"/>
  <c r="M302" i="2"/>
  <c r="I302" i="2" a="1"/>
  <c r="I302" i="2" s="1"/>
  <c r="AN301" i="2"/>
  <c r="AM301" i="2"/>
  <c r="AI301" i="2"/>
  <c r="Y301" i="2"/>
  <c r="V301" i="2" a="1"/>
  <c r="V301" i="2"/>
  <c r="AQ301" i="2" s="1"/>
  <c r="M301" i="2" a="1"/>
  <c r="M301" i="2" s="1"/>
  <c r="I301" i="2" a="1"/>
  <c r="I301" i="2"/>
  <c r="AQ300" i="2"/>
  <c r="AN300" i="2"/>
  <c r="AM300" i="2"/>
  <c r="AI300" i="2"/>
  <c r="Y300" i="2"/>
  <c r="V300" i="2" a="1"/>
  <c r="V300" i="2" s="1"/>
  <c r="M300" i="2" a="1"/>
  <c r="M300" i="2"/>
  <c r="I300" i="2" a="1"/>
  <c r="I300" i="2" s="1"/>
  <c r="AN299" i="2"/>
  <c r="AM299" i="2"/>
  <c r="AI299" i="2"/>
  <c r="Y299" i="2"/>
  <c r="V299" i="2" a="1"/>
  <c r="V299" i="2"/>
  <c r="AQ299" i="2" s="1"/>
  <c r="M299" i="2" a="1"/>
  <c r="M299" i="2" s="1"/>
  <c r="I299" i="2" a="1"/>
  <c r="I299" i="2" s="1"/>
  <c r="AN298" i="2"/>
  <c r="AM298" i="2"/>
  <c r="AI298" i="2"/>
  <c r="Y298" i="2"/>
  <c r="V298" i="2" a="1"/>
  <c r="V298" i="2" s="1"/>
  <c r="AQ298" i="2" s="1"/>
  <c r="M298" i="2" a="1"/>
  <c r="M298" i="2" s="1"/>
  <c r="I298" i="2" a="1"/>
  <c r="I298" i="2" s="1"/>
  <c r="AN297" i="2"/>
  <c r="AM297" i="2"/>
  <c r="AI297" i="2"/>
  <c r="Y297" i="2"/>
  <c r="V297" i="2" a="1"/>
  <c r="V297" i="2" s="1"/>
  <c r="AQ297" i="2" s="1"/>
  <c r="M297" i="2" a="1"/>
  <c r="M297" i="2" s="1"/>
  <c r="AP297" i="2" s="1"/>
  <c r="I297" i="2" a="1"/>
  <c r="I297" i="2" s="1"/>
  <c r="AN296" i="2"/>
  <c r="AM296" i="2"/>
  <c r="AI296" i="2"/>
  <c r="Y296" i="2"/>
  <c r="V296" i="2" a="1"/>
  <c r="V296" i="2" s="1"/>
  <c r="AQ296" i="2" s="1"/>
  <c r="M296" i="2" a="1"/>
  <c r="M296" i="2" s="1"/>
  <c r="I296" i="2" a="1"/>
  <c r="I296" i="2" s="1"/>
  <c r="AN295" i="2"/>
  <c r="AM295" i="2"/>
  <c r="AI295" i="2"/>
  <c r="Y295" i="2"/>
  <c r="V295" i="2" a="1"/>
  <c r="V295" i="2" s="1"/>
  <c r="M295" i="2" a="1"/>
  <c r="M295" i="2" s="1"/>
  <c r="I295" i="2" a="1"/>
  <c r="I295" i="2"/>
  <c r="AQ294" i="2"/>
  <c r="AN294" i="2"/>
  <c r="AM294" i="2"/>
  <c r="AI294" i="2"/>
  <c r="Y294" i="2"/>
  <c r="V294" i="2" a="1"/>
  <c r="V294" i="2" s="1"/>
  <c r="M294" i="2" a="1"/>
  <c r="M294" i="2"/>
  <c r="I294" i="2" a="1"/>
  <c r="I294" i="2" s="1"/>
  <c r="AN293" i="2"/>
  <c r="AM293" i="2"/>
  <c r="AI293" i="2"/>
  <c r="Y293" i="2"/>
  <c r="V293" i="2" a="1"/>
  <c r="V293" i="2"/>
  <c r="AQ293" i="2" s="1"/>
  <c r="M293" i="2" a="1"/>
  <c r="M293" i="2" s="1"/>
  <c r="I293" i="2" a="1"/>
  <c r="I293" i="2"/>
  <c r="AQ292" i="2"/>
  <c r="AN292" i="2"/>
  <c r="AM292" i="2"/>
  <c r="AI292" i="2"/>
  <c r="Y292" i="2"/>
  <c r="V292" i="2" a="1"/>
  <c r="V292" i="2" s="1"/>
  <c r="M292" i="2" a="1"/>
  <c r="M292" i="2"/>
  <c r="I292" i="2" a="1"/>
  <c r="I292" i="2" s="1"/>
  <c r="AN291" i="2"/>
  <c r="AM291" i="2"/>
  <c r="AI291" i="2"/>
  <c r="Y291" i="2"/>
  <c r="V291" i="2" a="1"/>
  <c r="V291" i="2"/>
  <c r="AQ291" i="2" s="1"/>
  <c r="M291" i="2" a="1"/>
  <c r="M291" i="2" s="1"/>
  <c r="I291" i="2" a="1"/>
  <c r="I291" i="2" s="1"/>
  <c r="AN290" i="2"/>
  <c r="AM290" i="2"/>
  <c r="AI290" i="2"/>
  <c r="Y290" i="2"/>
  <c r="V290" i="2" a="1"/>
  <c r="V290" i="2" s="1"/>
  <c r="AQ290" i="2" s="1"/>
  <c r="M290" i="2" a="1"/>
  <c r="M290" i="2" s="1"/>
  <c r="I290" i="2" a="1"/>
  <c r="I290" i="2" s="1"/>
  <c r="AN289" i="2"/>
  <c r="AM289" i="2"/>
  <c r="AI289" i="2"/>
  <c r="Y289" i="2"/>
  <c r="V289" i="2" a="1"/>
  <c r="V289" i="2" s="1"/>
  <c r="AQ289" i="2" s="1"/>
  <c r="M289" i="2" a="1"/>
  <c r="M289" i="2" s="1"/>
  <c r="AP289" i="2" s="1"/>
  <c r="I289" i="2" a="1"/>
  <c r="I289" i="2" s="1"/>
  <c r="AN288" i="2"/>
  <c r="AM288" i="2"/>
  <c r="AI288" i="2"/>
  <c r="Y288" i="2"/>
  <c r="V288" i="2" a="1"/>
  <c r="V288" i="2" s="1"/>
  <c r="AQ288" i="2" s="1"/>
  <c r="M288" i="2" a="1"/>
  <c r="M288" i="2" s="1"/>
  <c r="I288" i="2" a="1"/>
  <c r="I288" i="2" s="1"/>
  <c r="AN287" i="2"/>
  <c r="AM287" i="2"/>
  <c r="AI287" i="2"/>
  <c r="Y287" i="2"/>
  <c r="V287" i="2" a="1"/>
  <c r="V287" i="2" s="1"/>
  <c r="M287" i="2" a="1"/>
  <c r="M287" i="2" s="1"/>
  <c r="I287" i="2" a="1"/>
  <c r="I287" i="2"/>
  <c r="AQ286" i="2"/>
  <c r="AN286" i="2"/>
  <c r="AM286" i="2"/>
  <c r="AI286" i="2"/>
  <c r="Y286" i="2"/>
  <c r="V286" i="2" a="1"/>
  <c r="V286" i="2" s="1"/>
  <c r="M286" i="2" a="1"/>
  <c r="M286" i="2"/>
  <c r="I286" i="2" a="1"/>
  <c r="I286" i="2" s="1"/>
  <c r="AN285" i="2"/>
  <c r="AM285" i="2"/>
  <c r="AI285" i="2"/>
  <c r="Y285" i="2"/>
  <c r="V285" i="2" a="1"/>
  <c r="V285" i="2"/>
  <c r="AQ285" i="2" s="1"/>
  <c r="M285" i="2" a="1"/>
  <c r="M285" i="2" s="1"/>
  <c r="I285" i="2" a="1"/>
  <c r="I285" i="2"/>
  <c r="AQ284" i="2"/>
  <c r="AN284" i="2"/>
  <c r="AM284" i="2"/>
  <c r="AI284" i="2"/>
  <c r="Y284" i="2"/>
  <c r="V284" i="2" a="1"/>
  <c r="V284" i="2" s="1"/>
  <c r="M284" i="2" a="1"/>
  <c r="M284" i="2"/>
  <c r="I284" i="2" a="1"/>
  <c r="I284" i="2" s="1"/>
  <c r="AN283" i="2"/>
  <c r="AM283" i="2"/>
  <c r="AI283" i="2"/>
  <c r="Y283" i="2"/>
  <c r="V283" i="2" a="1"/>
  <c r="V283" i="2"/>
  <c r="AQ283" i="2" s="1"/>
  <c r="M283" i="2" a="1"/>
  <c r="M283" i="2" s="1"/>
  <c r="I283" i="2" a="1"/>
  <c r="I283" i="2" s="1"/>
  <c r="AN282" i="2"/>
  <c r="AM282" i="2"/>
  <c r="AI282" i="2"/>
  <c r="Y282" i="2"/>
  <c r="V282" i="2" a="1"/>
  <c r="V282" i="2" s="1"/>
  <c r="AQ282" i="2" s="1"/>
  <c r="M282" i="2" a="1"/>
  <c r="M282" i="2" s="1"/>
  <c r="I282" i="2" a="1"/>
  <c r="I282" i="2" s="1"/>
  <c r="AN281" i="2"/>
  <c r="AM281" i="2"/>
  <c r="AI281" i="2"/>
  <c r="Y281" i="2"/>
  <c r="V281" i="2" a="1"/>
  <c r="V281" i="2" s="1"/>
  <c r="AQ281" i="2" s="1"/>
  <c r="M281" i="2" a="1"/>
  <c r="M281" i="2" s="1"/>
  <c r="AP281" i="2" s="1"/>
  <c r="I281" i="2" a="1"/>
  <c r="I281" i="2" s="1"/>
  <c r="AN280" i="2"/>
  <c r="AM280" i="2"/>
  <c r="AI280" i="2"/>
  <c r="Y280" i="2"/>
  <c r="V280" i="2" a="1"/>
  <c r="V280" i="2" s="1"/>
  <c r="AQ280" i="2" s="1"/>
  <c r="M280" i="2" a="1"/>
  <c r="M280" i="2" s="1"/>
  <c r="I280" i="2" a="1"/>
  <c r="I280" i="2" s="1"/>
  <c r="AN279" i="2"/>
  <c r="AM279" i="2"/>
  <c r="AI279" i="2"/>
  <c r="Y279" i="2"/>
  <c r="V279" i="2" a="1"/>
  <c r="V279" i="2" s="1"/>
  <c r="M279" i="2" a="1"/>
  <c r="M279" i="2" s="1"/>
  <c r="I279" i="2" a="1"/>
  <c r="I279" i="2"/>
  <c r="AQ278" i="2"/>
  <c r="AN278" i="2"/>
  <c r="AM278" i="2"/>
  <c r="AI278" i="2"/>
  <c r="Y278" i="2"/>
  <c r="V278" i="2" a="1"/>
  <c r="V278" i="2" s="1"/>
  <c r="M278" i="2" a="1"/>
  <c r="M278" i="2"/>
  <c r="I278" i="2" a="1"/>
  <c r="I278" i="2" s="1"/>
  <c r="AN277" i="2"/>
  <c r="AM277" i="2"/>
  <c r="AI277" i="2"/>
  <c r="Y277" i="2"/>
  <c r="V277" i="2" a="1"/>
  <c r="V277" i="2"/>
  <c r="AQ277" i="2" s="1"/>
  <c r="M277" i="2" a="1"/>
  <c r="M277" i="2" s="1"/>
  <c r="I277" i="2" a="1"/>
  <c r="I277" i="2"/>
  <c r="AQ276" i="2"/>
  <c r="AN276" i="2"/>
  <c r="AM276" i="2"/>
  <c r="AI276" i="2"/>
  <c r="Y276" i="2"/>
  <c r="V276" i="2" a="1"/>
  <c r="V276" i="2" s="1"/>
  <c r="M276" i="2" a="1"/>
  <c r="M276" i="2"/>
  <c r="I276" i="2" a="1"/>
  <c r="I276" i="2" s="1"/>
  <c r="AN275" i="2"/>
  <c r="AM275" i="2"/>
  <c r="AI275" i="2"/>
  <c r="Y275" i="2"/>
  <c r="V275" i="2" a="1"/>
  <c r="V275" i="2"/>
  <c r="AQ275" i="2" s="1"/>
  <c r="M275" i="2" a="1"/>
  <c r="M275" i="2" s="1"/>
  <c r="I275" i="2" a="1"/>
  <c r="I275" i="2" s="1"/>
  <c r="AN274" i="2"/>
  <c r="AM274" i="2"/>
  <c r="AI274" i="2"/>
  <c r="Y274" i="2"/>
  <c r="V274" i="2" a="1"/>
  <c r="V274" i="2" s="1"/>
  <c r="AQ274" i="2" s="1"/>
  <c r="M274" i="2" a="1"/>
  <c r="M274" i="2" s="1"/>
  <c r="I274" i="2" a="1"/>
  <c r="I274" i="2" s="1"/>
  <c r="AN273" i="2"/>
  <c r="AM273" i="2"/>
  <c r="AI273" i="2"/>
  <c r="Y273" i="2"/>
  <c r="V273" i="2" a="1"/>
  <c r="V273" i="2" s="1"/>
  <c r="AQ273" i="2" s="1"/>
  <c r="M273" i="2" a="1"/>
  <c r="M273" i="2" s="1"/>
  <c r="AP273" i="2" s="1"/>
  <c r="I273" i="2" a="1"/>
  <c r="I273" i="2" s="1"/>
  <c r="AN272" i="2"/>
  <c r="AM272" i="2"/>
  <c r="AI272" i="2"/>
  <c r="Y272" i="2"/>
  <c r="V272" i="2" a="1"/>
  <c r="V272" i="2" s="1"/>
  <c r="AQ272" i="2" s="1"/>
  <c r="M272" i="2" a="1"/>
  <c r="M272" i="2" s="1"/>
  <c r="I272" i="2" a="1"/>
  <c r="I272" i="2" s="1"/>
  <c r="AN271" i="2"/>
  <c r="AM271" i="2"/>
  <c r="AI271" i="2"/>
  <c r="Y271" i="2"/>
  <c r="V271" i="2" a="1"/>
  <c r="V271" i="2" s="1"/>
  <c r="M271" i="2" a="1"/>
  <c r="M271" i="2" s="1"/>
  <c r="I271" i="2" a="1"/>
  <c r="I271" i="2"/>
  <c r="AQ270" i="2"/>
  <c r="AN270" i="2"/>
  <c r="AM270" i="2"/>
  <c r="AI270" i="2"/>
  <c r="Y270" i="2"/>
  <c r="V270" i="2" a="1"/>
  <c r="V270" i="2" s="1"/>
  <c r="M270" i="2" a="1"/>
  <c r="M270" i="2"/>
  <c r="I270" i="2" a="1"/>
  <c r="I270" i="2" s="1"/>
  <c r="AN269" i="2"/>
  <c r="AM269" i="2"/>
  <c r="AI269" i="2"/>
  <c r="Y269" i="2"/>
  <c r="V269" i="2" a="1"/>
  <c r="V269" i="2"/>
  <c r="AQ269" i="2" s="1"/>
  <c r="M269" i="2" a="1"/>
  <c r="M269" i="2" s="1"/>
  <c r="I269" i="2" a="1"/>
  <c r="I269" i="2"/>
  <c r="AQ268" i="2"/>
  <c r="AN268" i="2"/>
  <c r="AM268" i="2"/>
  <c r="AI268" i="2"/>
  <c r="Y268" i="2"/>
  <c r="V268" i="2" a="1"/>
  <c r="V268" i="2" s="1"/>
  <c r="M268" i="2" a="1"/>
  <c r="M268" i="2"/>
  <c r="I268" i="2" a="1"/>
  <c r="I268" i="2" s="1"/>
  <c r="AN267" i="2"/>
  <c r="AM267" i="2"/>
  <c r="AI267" i="2"/>
  <c r="Y267" i="2"/>
  <c r="V267" i="2" a="1"/>
  <c r="V267" i="2"/>
  <c r="AQ267" i="2" s="1"/>
  <c r="M267" i="2" a="1"/>
  <c r="M267" i="2" s="1"/>
  <c r="I267" i="2" a="1"/>
  <c r="I267" i="2" s="1"/>
  <c r="AN266" i="2"/>
  <c r="AM266" i="2"/>
  <c r="AI266" i="2"/>
  <c r="Y266" i="2"/>
  <c r="V266" i="2" a="1"/>
  <c r="V266" i="2" s="1"/>
  <c r="AQ266" i="2" s="1"/>
  <c r="M266" i="2" a="1"/>
  <c r="M266" i="2" s="1"/>
  <c r="I266" i="2" a="1"/>
  <c r="I266" i="2" s="1"/>
  <c r="AN265" i="2"/>
  <c r="AM265" i="2"/>
  <c r="AI265" i="2"/>
  <c r="Y265" i="2"/>
  <c r="V265" i="2" a="1"/>
  <c r="V265" i="2" s="1"/>
  <c r="AQ265" i="2" s="1"/>
  <c r="M265" i="2" a="1"/>
  <c r="M265" i="2" s="1"/>
  <c r="AP265" i="2" s="1"/>
  <c r="I265" i="2" a="1"/>
  <c r="I265" i="2" s="1"/>
  <c r="AN264" i="2"/>
  <c r="AM264" i="2"/>
  <c r="AI264" i="2"/>
  <c r="Y264" i="2"/>
  <c r="V264" i="2" a="1"/>
  <c r="V264" i="2" s="1"/>
  <c r="AQ264" i="2" s="1"/>
  <c r="M264" i="2" a="1"/>
  <c r="M264" i="2" s="1"/>
  <c r="I264" i="2" a="1"/>
  <c r="I264" i="2" s="1"/>
  <c r="AN263" i="2"/>
  <c r="AM263" i="2"/>
  <c r="AI263" i="2"/>
  <c r="Y263" i="2"/>
  <c r="V263" i="2" a="1"/>
  <c r="V263" i="2" s="1"/>
  <c r="M263" i="2" a="1"/>
  <c r="M263" i="2" s="1"/>
  <c r="I263" i="2" a="1"/>
  <c r="I263" i="2"/>
  <c r="AQ262" i="2"/>
  <c r="AN262" i="2"/>
  <c r="AM262" i="2"/>
  <c r="AI262" i="2"/>
  <c r="Y262" i="2"/>
  <c r="V262" i="2" a="1"/>
  <c r="V262" i="2" s="1"/>
  <c r="M262" i="2" a="1"/>
  <c r="M262" i="2"/>
  <c r="I262" i="2" a="1"/>
  <c r="I262" i="2" s="1"/>
  <c r="AN261" i="2"/>
  <c r="AM261" i="2"/>
  <c r="AI261" i="2"/>
  <c r="Y261" i="2"/>
  <c r="V261" i="2" a="1"/>
  <c r="V261" i="2"/>
  <c r="AQ261" i="2" s="1"/>
  <c r="M261" i="2" a="1"/>
  <c r="M261" i="2" s="1"/>
  <c r="I261" i="2" a="1"/>
  <c r="I261" i="2"/>
  <c r="AQ260" i="2"/>
  <c r="AN260" i="2"/>
  <c r="AM260" i="2"/>
  <c r="AI260" i="2"/>
  <c r="Y260" i="2"/>
  <c r="V260" i="2" a="1"/>
  <c r="V260" i="2" s="1"/>
  <c r="M260" i="2" a="1"/>
  <c r="M260" i="2"/>
  <c r="I260" i="2" a="1"/>
  <c r="I260" i="2" s="1"/>
  <c r="AN259" i="2"/>
  <c r="AM259" i="2"/>
  <c r="AI259" i="2"/>
  <c r="Y259" i="2"/>
  <c r="V259" i="2" a="1"/>
  <c r="V259" i="2"/>
  <c r="AQ259" i="2" s="1"/>
  <c r="M259" i="2" a="1"/>
  <c r="M259" i="2" s="1"/>
  <c r="I259" i="2" a="1"/>
  <c r="I259" i="2" s="1"/>
  <c r="AN258" i="2"/>
  <c r="AM258" i="2"/>
  <c r="AI258" i="2"/>
  <c r="Y258" i="2"/>
  <c r="V258" i="2" a="1"/>
  <c r="V258" i="2" s="1"/>
  <c r="AQ258" i="2" s="1"/>
  <c r="M258" i="2" a="1"/>
  <c r="M258" i="2" s="1"/>
  <c r="I258" i="2" a="1"/>
  <c r="I258" i="2" s="1"/>
  <c r="AN257" i="2"/>
  <c r="AM257" i="2"/>
  <c r="AI257" i="2"/>
  <c r="Y257" i="2"/>
  <c r="V257" i="2" a="1"/>
  <c r="V257" i="2" s="1"/>
  <c r="AQ257" i="2" s="1"/>
  <c r="M257" i="2" a="1"/>
  <c r="M257" i="2" s="1"/>
  <c r="AP257" i="2" s="1"/>
  <c r="I257" i="2" a="1"/>
  <c r="I257" i="2" s="1"/>
  <c r="AN256" i="2"/>
  <c r="AM256" i="2"/>
  <c r="AI256" i="2"/>
  <c r="Y256" i="2"/>
  <c r="V256" i="2" a="1"/>
  <c r="V256" i="2" s="1"/>
  <c r="AQ256" i="2" s="1"/>
  <c r="M256" i="2" a="1"/>
  <c r="M256" i="2" s="1"/>
  <c r="I256" i="2" a="1"/>
  <c r="I256" i="2" s="1"/>
  <c r="AN255" i="2"/>
  <c r="AM255" i="2"/>
  <c r="AI255" i="2"/>
  <c r="Y255" i="2"/>
  <c r="V255" i="2" a="1"/>
  <c r="V255" i="2" s="1"/>
  <c r="M255" i="2" a="1"/>
  <c r="M255" i="2" s="1"/>
  <c r="I255" i="2" a="1"/>
  <c r="I255" i="2"/>
  <c r="AQ254" i="2"/>
  <c r="AN254" i="2"/>
  <c r="AM254" i="2"/>
  <c r="AI254" i="2"/>
  <c r="Y254" i="2"/>
  <c r="V254" i="2" a="1"/>
  <c r="V254" i="2" s="1"/>
  <c r="M254" i="2" a="1"/>
  <c r="M254" i="2"/>
  <c r="I254" i="2" a="1"/>
  <c r="I254" i="2" s="1"/>
  <c r="AN253" i="2"/>
  <c r="AM253" i="2"/>
  <c r="AI253" i="2"/>
  <c r="Y253" i="2"/>
  <c r="V253" i="2" a="1"/>
  <c r="V253" i="2"/>
  <c r="AQ253" i="2" s="1"/>
  <c r="M253" i="2" a="1"/>
  <c r="M253" i="2" s="1"/>
  <c r="I253" i="2" a="1"/>
  <c r="I253" i="2"/>
  <c r="AQ252" i="2"/>
  <c r="AN252" i="2"/>
  <c r="AM252" i="2"/>
  <c r="AI252" i="2"/>
  <c r="Y252" i="2"/>
  <c r="V252" i="2" a="1"/>
  <c r="V252" i="2" s="1"/>
  <c r="M252" i="2" a="1"/>
  <c r="M252" i="2"/>
  <c r="I252" i="2" a="1"/>
  <c r="I252" i="2" s="1"/>
  <c r="AN251" i="2"/>
  <c r="AM251" i="2"/>
  <c r="AI251" i="2"/>
  <c r="Y251" i="2"/>
  <c r="V251" i="2" a="1"/>
  <c r="V251" i="2"/>
  <c r="AQ251" i="2" s="1"/>
  <c r="M251" i="2" a="1"/>
  <c r="M251" i="2" s="1"/>
  <c r="I251" i="2" a="1"/>
  <c r="I251" i="2" s="1"/>
  <c r="AN250" i="2"/>
  <c r="AM250" i="2"/>
  <c r="AI250" i="2"/>
  <c r="Y250" i="2"/>
  <c r="V250" i="2" a="1"/>
  <c r="V250" i="2" s="1"/>
  <c r="AQ250" i="2" s="1"/>
  <c r="M250" i="2" a="1"/>
  <c r="M250" i="2" s="1"/>
  <c r="I250" i="2" a="1"/>
  <c r="I250" i="2" s="1"/>
  <c r="AN249" i="2"/>
  <c r="AM249" i="2"/>
  <c r="AI249" i="2"/>
  <c r="Y249" i="2"/>
  <c r="V249" i="2" a="1"/>
  <c r="V249" i="2" s="1"/>
  <c r="AQ249" i="2" s="1"/>
  <c r="M249" i="2" a="1"/>
  <c r="M249" i="2" s="1"/>
  <c r="AP249" i="2" s="1"/>
  <c r="I249" i="2" a="1"/>
  <c r="I249" i="2" s="1"/>
  <c r="AN248" i="2"/>
  <c r="AM248" i="2"/>
  <c r="AI248" i="2"/>
  <c r="Y248" i="2"/>
  <c r="V248" i="2" a="1"/>
  <c r="V248" i="2" s="1"/>
  <c r="AQ248" i="2" s="1"/>
  <c r="M248" i="2" a="1"/>
  <c r="M248" i="2" s="1"/>
  <c r="I248" i="2" a="1"/>
  <c r="I248" i="2" s="1"/>
  <c r="AN247" i="2"/>
  <c r="AM247" i="2"/>
  <c r="AI247" i="2"/>
  <c r="Y247" i="2"/>
  <c r="V247" i="2" a="1"/>
  <c r="V247" i="2" s="1"/>
  <c r="M247" i="2" a="1"/>
  <c r="M247" i="2" s="1"/>
  <c r="I247" i="2" a="1"/>
  <c r="I247" i="2"/>
  <c r="AQ246" i="2"/>
  <c r="AN246" i="2"/>
  <c r="AM246" i="2"/>
  <c r="AI246" i="2"/>
  <c r="Y246" i="2"/>
  <c r="V246" i="2" a="1"/>
  <c r="V246" i="2" s="1"/>
  <c r="M246" i="2" a="1"/>
  <c r="M246" i="2"/>
  <c r="I246" i="2" a="1"/>
  <c r="I246" i="2" s="1"/>
  <c r="AN245" i="2"/>
  <c r="AM245" i="2"/>
  <c r="AI245" i="2"/>
  <c r="Y245" i="2"/>
  <c r="V245" i="2" a="1"/>
  <c r="V245" i="2"/>
  <c r="AQ245" i="2" s="1"/>
  <c r="M245" i="2" a="1"/>
  <c r="M245" i="2" s="1"/>
  <c r="I245" i="2" a="1"/>
  <c r="I245" i="2"/>
  <c r="AQ244" i="2"/>
  <c r="AN244" i="2"/>
  <c r="AM244" i="2"/>
  <c r="AI244" i="2"/>
  <c r="Y244" i="2"/>
  <c r="V244" i="2" a="1"/>
  <c r="V244" i="2" s="1"/>
  <c r="M244" i="2" a="1"/>
  <c r="M244" i="2"/>
  <c r="I244" i="2" a="1"/>
  <c r="I244" i="2" s="1"/>
  <c r="AN243" i="2"/>
  <c r="AM243" i="2"/>
  <c r="AI243" i="2"/>
  <c r="Y243" i="2"/>
  <c r="V243" i="2" a="1"/>
  <c r="V243" i="2"/>
  <c r="AQ243" i="2" s="1"/>
  <c r="M243" i="2" a="1"/>
  <c r="M243" i="2" s="1"/>
  <c r="I243" i="2" a="1"/>
  <c r="I243" i="2" s="1"/>
  <c r="AN242" i="2"/>
  <c r="AM242" i="2"/>
  <c r="AI242" i="2"/>
  <c r="Y242" i="2"/>
  <c r="V242" i="2" a="1"/>
  <c r="V242" i="2" s="1"/>
  <c r="AQ242" i="2" s="1"/>
  <c r="M242" i="2" a="1"/>
  <c r="M242" i="2" s="1"/>
  <c r="I242" i="2" a="1"/>
  <c r="I242" i="2" s="1"/>
  <c r="AN241" i="2"/>
  <c r="AM241" i="2"/>
  <c r="AI241" i="2"/>
  <c r="Y241" i="2"/>
  <c r="V241" i="2" a="1"/>
  <c r="V241" i="2" s="1"/>
  <c r="AQ241" i="2" s="1"/>
  <c r="M241" i="2" a="1"/>
  <c r="M241" i="2" s="1"/>
  <c r="AP241" i="2" s="1"/>
  <c r="I241" i="2" a="1"/>
  <c r="I241" i="2" s="1"/>
  <c r="AN240" i="2"/>
  <c r="AM240" i="2"/>
  <c r="AI240" i="2"/>
  <c r="Y240" i="2"/>
  <c r="V240" i="2" a="1"/>
  <c r="V240" i="2" s="1"/>
  <c r="AQ240" i="2" s="1"/>
  <c r="M240" i="2" a="1"/>
  <c r="M240" i="2" s="1"/>
  <c r="I240" i="2" a="1"/>
  <c r="I240" i="2" s="1"/>
  <c r="AN239" i="2"/>
  <c r="AM239" i="2"/>
  <c r="AI239" i="2"/>
  <c r="Y239" i="2"/>
  <c r="V239" i="2" a="1"/>
  <c r="V239" i="2" s="1"/>
  <c r="M239" i="2" a="1"/>
  <c r="M239" i="2" s="1"/>
  <c r="I239" i="2" a="1"/>
  <c r="I239" i="2"/>
  <c r="AQ238" i="2"/>
  <c r="AN238" i="2"/>
  <c r="AM238" i="2"/>
  <c r="AI238" i="2"/>
  <c r="Y238" i="2"/>
  <c r="V238" i="2" a="1"/>
  <c r="V238" i="2" s="1"/>
  <c r="M238" i="2" a="1"/>
  <c r="M238" i="2"/>
  <c r="I238" i="2" a="1"/>
  <c r="I238" i="2" s="1"/>
  <c r="AN237" i="2"/>
  <c r="AM237" i="2"/>
  <c r="AI237" i="2"/>
  <c r="Y237" i="2"/>
  <c r="V237" i="2" a="1"/>
  <c r="V237" i="2"/>
  <c r="AQ237" i="2" s="1"/>
  <c r="M237" i="2" a="1"/>
  <c r="M237" i="2" s="1"/>
  <c r="I237" i="2" a="1"/>
  <c r="I237" i="2"/>
  <c r="AQ236" i="2"/>
  <c r="AN236" i="2"/>
  <c r="AM236" i="2"/>
  <c r="AI236" i="2"/>
  <c r="Y236" i="2"/>
  <c r="V236" i="2" a="1"/>
  <c r="V236" i="2" s="1"/>
  <c r="M236" i="2" a="1"/>
  <c r="M236" i="2"/>
  <c r="I236" i="2" a="1"/>
  <c r="I236" i="2" s="1"/>
  <c r="AN235" i="2"/>
  <c r="AM235" i="2"/>
  <c r="AI235" i="2"/>
  <c r="Y235" i="2"/>
  <c r="V235" i="2" a="1"/>
  <c r="V235" i="2"/>
  <c r="AQ235" i="2" s="1"/>
  <c r="M235" i="2" a="1"/>
  <c r="M235" i="2" s="1"/>
  <c r="I235" i="2" a="1"/>
  <c r="I235" i="2" s="1"/>
  <c r="AN234" i="2"/>
  <c r="AM234" i="2"/>
  <c r="AI234" i="2"/>
  <c r="Y234" i="2"/>
  <c r="V234" i="2" a="1"/>
  <c r="V234" i="2" s="1"/>
  <c r="AQ234" i="2" s="1"/>
  <c r="M234" i="2" a="1"/>
  <c r="M234" i="2" s="1"/>
  <c r="I234" i="2" a="1"/>
  <c r="I234" i="2" s="1"/>
  <c r="AN233" i="2"/>
  <c r="AM233" i="2"/>
  <c r="AI233" i="2"/>
  <c r="Y233" i="2"/>
  <c r="V233" i="2" a="1"/>
  <c r="V233" i="2" s="1"/>
  <c r="AQ233" i="2" s="1"/>
  <c r="M233" i="2" a="1"/>
  <c r="M233" i="2" s="1"/>
  <c r="AP233" i="2" s="1"/>
  <c r="I233" i="2" a="1"/>
  <c r="I233" i="2" s="1"/>
  <c r="AN232" i="2"/>
  <c r="AM232" i="2"/>
  <c r="AI232" i="2"/>
  <c r="Y232" i="2"/>
  <c r="V232" i="2" a="1"/>
  <c r="V232" i="2" s="1"/>
  <c r="AQ232" i="2" s="1"/>
  <c r="M232" i="2" a="1"/>
  <c r="M232" i="2" s="1"/>
  <c r="I232" i="2" a="1"/>
  <c r="I232" i="2" s="1"/>
  <c r="AN231" i="2"/>
  <c r="AM231" i="2"/>
  <c r="AI231" i="2"/>
  <c r="Y231" i="2"/>
  <c r="V231" i="2" a="1"/>
  <c r="V231" i="2" s="1"/>
  <c r="M231" i="2" a="1"/>
  <c r="M231" i="2" s="1"/>
  <c r="I231" i="2" a="1"/>
  <c r="I231" i="2"/>
  <c r="AQ230" i="2"/>
  <c r="AN230" i="2"/>
  <c r="AM230" i="2"/>
  <c r="AI230" i="2"/>
  <c r="Y230" i="2"/>
  <c r="V230" i="2" a="1"/>
  <c r="V230" i="2" s="1"/>
  <c r="M230" i="2" a="1"/>
  <c r="M230" i="2"/>
  <c r="I230" i="2" a="1"/>
  <c r="I230" i="2" s="1"/>
  <c r="AN229" i="2"/>
  <c r="AM229" i="2"/>
  <c r="AI229" i="2"/>
  <c r="Y229" i="2"/>
  <c r="V229" i="2" a="1"/>
  <c r="V229" i="2" s="1"/>
  <c r="M229" i="2" a="1"/>
  <c r="M229" i="2" s="1"/>
  <c r="I229" i="2" a="1"/>
  <c r="I229" i="2"/>
  <c r="AQ228" i="2"/>
  <c r="AN228" i="2"/>
  <c r="AM228" i="2"/>
  <c r="AI228" i="2"/>
  <c r="Y228" i="2"/>
  <c r="V228" i="2" a="1"/>
  <c r="V228" i="2" s="1"/>
  <c r="M228" i="2" a="1"/>
  <c r="M228" i="2"/>
  <c r="I228" i="2" a="1"/>
  <c r="I228" i="2" s="1"/>
  <c r="AN227" i="2"/>
  <c r="AM227" i="2"/>
  <c r="AI227" i="2"/>
  <c r="Y227" i="2"/>
  <c r="V227" i="2" a="1"/>
  <c r="V227" i="2"/>
  <c r="AQ227" i="2" s="1"/>
  <c r="M227" i="2" a="1"/>
  <c r="M227" i="2" s="1"/>
  <c r="I227" i="2" a="1"/>
  <c r="I227" i="2" s="1"/>
  <c r="AN226" i="2"/>
  <c r="AM226" i="2"/>
  <c r="AI226" i="2"/>
  <c r="Y226" i="2"/>
  <c r="V226" i="2" a="1"/>
  <c r="V226" i="2" s="1"/>
  <c r="AQ226" i="2" s="1"/>
  <c r="M226" i="2" a="1"/>
  <c r="M226" i="2" s="1"/>
  <c r="I226" i="2" a="1"/>
  <c r="I226" i="2" s="1"/>
  <c r="AN225" i="2"/>
  <c r="AM225" i="2"/>
  <c r="AI225" i="2"/>
  <c r="Y225" i="2"/>
  <c r="V225" i="2" a="1"/>
  <c r="V225" i="2" s="1"/>
  <c r="AQ225" i="2" s="1"/>
  <c r="M225" i="2" a="1"/>
  <c r="M225" i="2" s="1"/>
  <c r="I225" i="2" a="1"/>
  <c r="I225" i="2" s="1"/>
  <c r="AN224" i="2"/>
  <c r="AM224" i="2"/>
  <c r="AI224" i="2"/>
  <c r="Y224" i="2"/>
  <c r="V224" i="2" a="1"/>
  <c r="V224" i="2" s="1"/>
  <c r="AQ224" i="2" s="1"/>
  <c r="M224" i="2" a="1"/>
  <c r="M224" i="2" s="1"/>
  <c r="I224" i="2" a="1"/>
  <c r="I224" i="2" s="1"/>
  <c r="AN223" i="2"/>
  <c r="AM223" i="2"/>
  <c r="AI223" i="2"/>
  <c r="Y223" i="2"/>
  <c r="V223" i="2" a="1"/>
  <c r="V223" i="2" s="1"/>
  <c r="M223" i="2" a="1"/>
  <c r="M223" i="2" s="1"/>
  <c r="I223" i="2" a="1"/>
  <c r="I223" i="2"/>
  <c r="AQ222" i="2"/>
  <c r="AN222" i="2"/>
  <c r="AM222" i="2"/>
  <c r="AI222" i="2"/>
  <c r="Y222" i="2"/>
  <c r="V222" i="2" a="1"/>
  <c r="V222" i="2" s="1"/>
  <c r="M222" i="2" a="1"/>
  <c r="M222" i="2"/>
  <c r="I222" i="2" a="1"/>
  <c r="I222" i="2" s="1"/>
  <c r="AN221" i="2"/>
  <c r="AM221" i="2"/>
  <c r="AI221" i="2"/>
  <c r="Y221" i="2"/>
  <c r="V221" i="2" a="1"/>
  <c r="V221" i="2"/>
  <c r="M221" i="2" a="1"/>
  <c r="M221" i="2" s="1"/>
  <c r="I221" i="2" a="1"/>
  <c r="I221" i="2"/>
  <c r="AQ220" i="2"/>
  <c r="AN220" i="2"/>
  <c r="AM220" i="2"/>
  <c r="AI220" i="2"/>
  <c r="Y220" i="2"/>
  <c r="V220" i="2" a="1"/>
  <c r="V220" i="2" s="1"/>
  <c r="M220" i="2" a="1"/>
  <c r="M220" i="2"/>
  <c r="I220" i="2" a="1"/>
  <c r="I220" i="2" s="1"/>
  <c r="AN219" i="2"/>
  <c r="AM219" i="2"/>
  <c r="AI219" i="2"/>
  <c r="Y219" i="2"/>
  <c r="V219" i="2" a="1"/>
  <c r="V219" i="2"/>
  <c r="AQ219" i="2" s="1"/>
  <c r="M219" i="2" a="1"/>
  <c r="M219" i="2" s="1"/>
  <c r="I219" i="2" a="1"/>
  <c r="I219" i="2" s="1"/>
  <c r="AN218" i="2"/>
  <c r="AM218" i="2"/>
  <c r="AI218" i="2"/>
  <c r="Y218" i="2"/>
  <c r="V218" i="2" a="1"/>
  <c r="V218" i="2" s="1"/>
  <c r="AQ218" i="2" s="1"/>
  <c r="M218" i="2" a="1"/>
  <c r="M218" i="2" s="1"/>
  <c r="I218" i="2" a="1"/>
  <c r="I218" i="2" s="1"/>
  <c r="AN217" i="2"/>
  <c r="AM217" i="2"/>
  <c r="AI217" i="2"/>
  <c r="Y217" i="2"/>
  <c r="V217" i="2" a="1"/>
  <c r="V217" i="2" s="1"/>
  <c r="AQ217" i="2" s="1"/>
  <c r="M217" i="2" a="1"/>
  <c r="M217" i="2" s="1"/>
  <c r="I217" i="2" a="1"/>
  <c r="I217" i="2" s="1"/>
  <c r="AN216" i="2"/>
  <c r="AM216" i="2"/>
  <c r="AI216" i="2"/>
  <c r="Y216" i="2"/>
  <c r="V216" i="2" a="1"/>
  <c r="V216" i="2" s="1"/>
  <c r="AQ216" i="2" s="1"/>
  <c r="M216" i="2" a="1"/>
  <c r="M216" i="2" s="1"/>
  <c r="I216" i="2" a="1"/>
  <c r="I216" i="2" s="1"/>
  <c r="AN215" i="2"/>
  <c r="AM215" i="2"/>
  <c r="AI215" i="2"/>
  <c r="Y215" i="2"/>
  <c r="V215" i="2" a="1"/>
  <c r="V215" i="2" s="1"/>
  <c r="AQ215" i="2" s="1"/>
  <c r="M215" i="2" a="1"/>
  <c r="M215" i="2" s="1"/>
  <c r="I215" i="2" a="1"/>
  <c r="I215" i="2" s="1"/>
  <c r="AQ214" i="2"/>
  <c r="AN214" i="2"/>
  <c r="AM214" i="2"/>
  <c r="AI214" i="2"/>
  <c r="Y214" i="2"/>
  <c r="V214" i="2" a="1"/>
  <c r="V214" i="2" s="1"/>
  <c r="M214" i="2" a="1"/>
  <c r="M214" i="2"/>
  <c r="I214" i="2" a="1"/>
  <c r="I214" i="2" s="1"/>
  <c r="AN213" i="2"/>
  <c r="AM213" i="2"/>
  <c r="AI213" i="2"/>
  <c r="Y213" i="2"/>
  <c r="V213" i="2" a="1"/>
  <c r="V213" i="2"/>
  <c r="AQ213" i="2" s="1"/>
  <c r="M213" i="2" a="1"/>
  <c r="M213" i="2" s="1"/>
  <c r="I213" i="2" a="1"/>
  <c r="I213" i="2"/>
  <c r="AQ212" i="2"/>
  <c r="AN212" i="2"/>
  <c r="AM212" i="2"/>
  <c r="AI212" i="2"/>
  <c r="Y212" i="2"/>
  <c r="V212" i="2" a="1"/>
  <c r="V212" i="2"/>
  <c r="M212" i="2" a="1"/>
  <c r="M212" i="2" s="1"/>
  <c r="I212" i="2" a="1"/>
  <c r="I212" i="2"/>
  <c r="AN211" i="2"/>
  <c r="AM211" i="2"/>
  <c r="AI211" i="2"/>
  <c r="Y211" i="2"/>
  <c r="V211" i="2" a="1"/>
  <c r="V211" i="2" s="1"/>
  <c r="AQ211" i="2" s="1"/>
  <c r="M211" i="2" a="1"/>
  <c r="M211" i="2"/>
  <c r="I211" i="2" a="1"/>
  <c r="I211" i="2" s="1"/>
  <c r="AN210" i="2"/>
  <c r="AM210" i="2"/>
  <c r="AI210" i="2"/>
  <c r="Y210" i="2"/>
  <c r="V210" i="2" a="1"/>
  <c r="V210" i="2"/>
  <c r="AQ210" i="2" s="1"/>
  <c r="M210" i="2" a="1"/>
  <c r="M210" i="2" s="1"/>
  <c r="I210" i="2" a="1"/>
  <c r="I210" i="2"/>
  <c r="AN209" i="2"/>
  <c r="AM209" i="2"/>
  <c r="AI209" i="2"/>
  <c r="Y209" i="2"/>
  <c r="V209" i="2" a="1"/>
  <c r="V209" i="2" s="1"/>
  <c r="AQ209" i="2" s="1"/>
  <c r="M209" i="2" a="1"/>
  <c r="M209" i="2"/>
  <c r="I209" i="2" a="1"/>
  <c r="I209" i="2" s="1"/>
  <c r="AN208" i="2"/>
  <c r="AM208" i="2"/>
  <c r="AI208" i="2"/>
  <c r="Y208" i="2"/>
  <c r="V208" i="2" a="1"/>
  <c r="V208" i="2"/>
  <c r="AQ208" i="2" s="1"/>
  <c r="M208" i="2" a="1"/>
  <c r="M208" i="2" s="1"/>
  <c r="I208" i="2" a="1"/>
  <c r="I208" i="2"/>
  <c r="AN207" i="2"/>
  <c r="AM207" i="2"/>
  <c r="AI207" i="2"/>
  <c r="Y207" i="2"/>
  <c r="V207" i="2" a="1"/>
  <c r="V207" i="2" s="1"/>
  <c r="AQ207" i="2" s="1"/>
  <c r="M207" i="2" a="1"/>
  <c r="M207" i="2"/>
  <c r="AP207" i="2" s="1"/>
  <c r="I207" i="2" a="1"/>
  <c r="I207" i="2" s="1"/>
  <c r="AN206" i="2"/>
  <c r="AM206" i="2"/>
  <c r="AI206" i="2"/>
  <c r="Y206" i="2"/>
  <c r="V206" i="2" a="1"/>
  <c r="V206" i="2"/>
  <c r="AQ206" i="2" s="1"/>
  <c r="M206" i="2" a="1"/>
  <c r="M206" i="2"/>
  <c r="I206" i="2" a="1"/>
  <c r="I206" i="2"/>
  <c r="AN205" i="2"/>
  <c r="AM205" i="2"/>
  <c r="AI205" i="2"/>
  <c r="Y205" i="2"/>
  <c r="V205" i="2" a="1"/>
  <c r="V205" i="2"/>
  <c r="AQ205" i="2" s="1"/>
  <c r="M205" i="2" a="1"/>
  <c r="M205" i="2"/>
  <c r="I205" i="2" a="1"/>
  <c r="I205" i="2"/>
  <c r="AN204" i="2"/>
  <c r="AM204" i="2"/>
  <c r="AI204" i="2"/>
  <c r="Y204" i="2"/>
  <c r="V204" i="2" a="1"/>
  <c r="V204" i="2"/>
  <c r="AQ204" i="2" s="1"/>
  <c r="M204" i="2" a="1"/>
  <c r="M204" i="2" s="1"/>
  <c r="I204" i="2" a="1"/>
  <c r="I204" i="2"/>
  <c r="AN203" i="2"/>
  <c r="AM203" i="2"/>
  <c r="AI203" i="2"/>
  <c r="Y203" i="2"/>
  <c r="V203" i="2" a="1"/>
  <c r="V203" i="2" s="1"/>
  <c r="AQ203" i="2" s="1"/>
  <c r="M203" i="2" a="1"/>
  <c r="M203" i="2"/>
  <c r="I203" i="2" a="1"/>
  <c r="I203" i="2" s="1"/>
  <c r="AN202" i="2"/>
  <c r="AM202" i="2"/>
  <c r="AI202" i="2"/>
  <c r="Y202" i="2"/>
  <c r="V202" i="2" a="1"/>
  <c r="V202" i="2"/>
  <c r="AQ202" i="2" s="1"/>
  <c r="M202" i="2" a="1"/>
  <c r="M202" i="2"/>
  <c r="I202" i="2" a="1"/>
  <c r="I202" i="2"/>
  <c r="AN201" i="2"/>
  <c r="AM201" i="2"/>
  <c r="AI201" i="2"/>
  <c r="Y201" i="2"/>
  <c r="V201" i="2" a="1"/>
  <c r="V201" i="2"/>
  <c r="AQ201" i="2" s="1"/>
  <c r="M201" i="2" a="1"/>
  <c r="M201" i="2"/>
  <c r="I201" i="2" a="1"/>
  <c r="I201" i="2" s="1"/>
  <c r="AN200" i="2"/>
  <c r="AM200" i="2"/>
  <c r="AI200" i="2"/>
  <c r="Y200" i="2"/>
  <c r="V200" i="2" a="1"/>
  <c r="V200" i="2"/>
  <c r="AQ200" i="2" s="1"/>
  <c r="M200" i="2" a="1"/>
  <c r="M200" i="2"/>
  <c r="I200" i="2" a="1"/>
  <c r="I200" i="2"/>
  <c r="AN199" i="2"/>
  <c r="AM199" i="2"/>
  <c r="AI199" i="2"/>
  <c r="Y199" i="2"/>
  <c r="V199" i="2" a="1"/>
  <c r="V199" i="2"/>
  <c r="AQ199" i="2" s="1"/>
  <c r="M199" i="2" a="1"/>
  <c r="M199" i="2"/>
  <c r="I199" i="2" a="1"/>
  <c r="I199" i="2"/>
  <c r="AN198" i="2"/>
  <c r="AM198" i="2"/>
  <c r="AI198" i="2"/>
  <c r="Y198" i="2"/>
  <c r="V198" i="2" a="1"/>
  <c r="V198" i="2"/>
  <c r="AQ198" i="2" s="1"/>
  <c r="M198" i="2" a="1"/>
  <c r="M198" i="2"/>
  <c r="I198" i="2" a="1"/>
  <c r="I198" i="2"/>
  <c r="AN197" i="2"/>
  <c r="AM197" i="2"/>
  <c r="AI197" i="2"/>
  <c r="Y197" i="2"/>
  <c r="V197" i="2" a="1"/>
  <c r="V197" i="2" s="1"/>
  <c r="M197" i="2" a="1"/>
  <c r="M197" i="2"/>
  <c r="I197" i="2" a="1"/>
  <c r="I197" i="2" s="1"/>
  <c r="AN196" i="2"/>
  <c r="AM196" i="2"/>
  <c r="AI196" i="2"/>
  <c r="Y196" i="2"/>
  <c r="V196" i="2" a="1"/>
  <c r="V196" i="2"/>
  <c r="AQ196" i="2" s="1"/>
  <c r="M196" i="2" a="1"/>
  <c r="M196" i="2" s="1"/>
  <c r="I196" i="2" a="1"/>
  <c r="I196" i="2"/>
  <c r="AN195" i="2"/>
  <c r="AM195" i="2"/>
  <c r="AI195" i="2"/>
  <c r="Y195" i="2"/>
  <c r="V195" i="2" a="1"/>
  <c r="V195" i="2" s="1"/>
  <c r="M195" i="2" a="1"/>
  <c r="M195" i="2"/>
  <c r="I195" i="2" a="1"/>
  <c r="I195" i="2" s="1"/>
  <c r="AN194" i="2"/>
  <c r="AM194" i="2"/>
  <c r="AI194" i="2"/>
  <c r="Y194" i="2"/>
  <c r="V194" i="2" a="1"/>
  <c r="V194" i="2"/>
  <c r="AQ194" i="2" s="1"/>
  <c r="M194" i="2" a="1"/>
  <c r="M194" i="2" s="1"/>
  <c r="I194" i="2" a="1"/>
  <c r="I194" i="2"/>
  <c r="AN193" i="2"/>
  <c r="AM193" i="2"/>
  <c r="AI193" i="2"/>
  <c r="Y193" i="2"/>
  <c r="V193" i="2" a="1"/>
  <c r="V193" i="2" s="1"/>
  <c r="M193" i="2" a="1"/>
  <c r="M193" i="2"/>
  <c r="I193" i="2" a="1"/>
  <c r="I193" i="2" s="1"/>
  <c r="AN192" i="2"/>
  <c r="AM192" i="2"/>
  <c r="AI192" i="2"/>
  <c r="Y192" i="2"/>
  <c r="V192" i="2" a="1"/>
  <c r="V192" i="2" s="1"/>
  <c r="AQ192" i="2" s="1"/>
  <c r="M192" i="2" a="1"/>
  <c r="M192" i="2" s="1"/>
  <c r="I192" i="2" a="1"/>
  <c r="I192" i="2" s="1"/>
  <c r="AN191" i="2"/>
  <c r="AM191" i="2"/>
  <c r="AI191" i="2"/>
  <c r="Y191" i="2"/>
  <c r="V191" i="2" a="1"/>
  <c r="V191" i="2" s="1"/>
  <c r="AQ191" i="2" s="1"/>
  <c r="M191" i="2" a="1"/>
  <c r="M191" i="2" s="1"/>
  <c r="I191" i="2" a="1"/>
  <c r="I191" i="2" s="1"/>
  <c r="AN190" i="2"/>
  <c r="AM190" i="2"/>
  <c r="AI190" i="2"/>
  <c r="Y190" i="2"/>
  <c r="V190" i="2" a="1"/>
  <c r="V190" i="2" s="1"/>
  <c r="AQ190" i="2" s="1"/>
  <c r="M190" i="2" a="1"/>
  <c r="M190" i="2" s="1"/>
  <c r="I190" i="2" a="1"/>
  <c r="I190" i="2" s="1"/>
  <c r="AN189" i="2"/>
  <c r="AM189" i="2"/>
  <c r="AI189" i="2"/>
  <c r="Y189" i="2"/>
  <c r="V189" i="2" a="1"/>
  <c r="V189" i="2" s="1"/>
  <c r="AQ189" i="2" s="1"/>
  <c r="M189" i="2" a="1"/>
  <c r="M189" i="2" s="1"/>
  <c r="I189" i="2" a="1"/>
  <c r="I189" i="2" s="1"/>
  <c r="AN188" i="2"/>
  <c r="AM188" i="2"/>
  <c r="AI188" i="2"/>
  <c r="Y188" i="2"/>
  <c r="V188" i="2" a="1"/>
  <c r="V188" i="2" s="1"/>
  <c r="AQ188" i="2" s="1"/>
  <c r="M188" i="2" a="1"/>
  <c r="M188" i="2" s="1"/>
  <c r="I188" i="2" a="1"/>
  <c r="I188" i="2" s="1"/>
  <c r="AN187" i="2"/>
  <c r="AM187" i="2"/>
  <c r="AI187" i="2"/>
  <c r="Y187" i="2"/>
  <c r="V187" i="2" a="1"/>
  <c r="V187" i="2" s="1"/>
  <c r="AQ187" i="2" s="1"/>
  <c r="M187" i="2" a="1"/>
  <c r="M187" i="2" s="1"/>
  <c r="I187" i="2" a="1"/>
  <c r="I187" i="2" s="1"/>
  <c r="AN186" i="2"/>
  <c r="AM186" i="2"/>
  <c r="AI186" i="2"/>
  <c r="Y186" i="2"/>
  <c r="V186" i="2" a="1"/>
  <c r="V186" i="2" s="1"/>
  <c r="AQ186" i="2" s="1"/>
  <c r="M186" i="2" a="1"/>
  <c r="M186" i="2" s="1"/>
  <c r="I186" i="2" a="1"/>
  <c r="I186" i="2" s="1"/>
  <c r="AN185" i="2"/>
  <c r="AM185" i="2"/>
  <c r="AI185" i="2"/>
  <c r="Y185" i="2"/>
  <c r="V185" i="2" a="1"/>
  <c r="V185" i="2" s="1"/>
  <c r="AQ185" i="2" s="1"/>
  <c r="M185" i="2" a="1"/>
  <c r="M185" i="2" s="1"/>
  <c r="I185" i="2" a="1"/>
  <c r="I185" i="2" s="1"/>
  <c r="AN184" i="2"/>
  <c r="AM184" i="2"/>
  <c r="AI184" i="2"/>
  <c r="Y184" i="2"/>
  <c r="V184" i="2" a="1"/>
  <c r="V184" i="2" s="1"/>
  <c r="AQ184" i="2" s="1"/>
  <c r="M184" i="2" a="1"/>
  <c r="M184" i="2" s="1"/>
  <c r="I184" i="2" a="1"/>
  <c r="I184" i="2" s="1"/>
  <c r="AN183" i="2"/>
  <c r="AM183" i="2"/>
  <c r="AI183" i="2"/>
  <c r="Y183" i="2"/>
  <c r="V183" i="2" a="1"/>
  <c r="V183" i="2" s="1"/>
  <c r="AQ183" i="2" s="1"/>
  <c r="M183" i="2" a="1"/>
  <c r="M183" i="2" s="1"/>
  <c r="I183" i="2" a="1"/>
  <c r="I183" i="2" s="1"/>
  <c r="AN182" i="2"/>
  <c r="AM182" i="2"/>
  <c r="AI182" i="2"/>
  <c r="Y182" i="2"/>
  <c r="V182" i="2" a="1"/>
  <c r="V182" i="2" s="1"/>
  <c r="AQ182" i="2" s="1"/>
  <c r="M182" i="2" a="1"/>
  <c r="M182" i="2" s="1"/>
  <c r="I182" i="2" a="1"/>
  <c r="I182" i="2" s="1"/>
  <c r="AN181" i="2"/>
  <c r="AM181" i="2"/>
  <c r="AI181" i="2"/>
  <c r="Y181" i="2"/>
  <c r="V181" i="2" a="1"/>
  <c r="V181" i="2" s="1"/>
  <c r="AQ181" i="2" s="1"/>
  <c r="M181" i="2" a="1"/>
  <c r="M181" i="2" s="1"/>
  <c r="I181" i="2" a="1"/>
  <c r="I181" i="2" s="1"/>
  <c r="AN180" i="2"/>
  <c r="AM180" i="2"/>
  <c r="AI180" i="2"/>
  <c r="Y180" i="2"/>
  <c r="V180" i="2" a="1"/>
  <c r="V180" i="2" s="1"/>
  <c r="AQ180" i="2" s="1"/>
  <c r="M180" i="2" a="1"/>
  <c r="M180" i="2" s="1"/>
  <c r="I180" i="2" a="1"/>
  <c r="I180" i="2" s="1"/>
  <c r="AN179" i="2"/>
  <c r="AM179" i="2"/>
  <c r="AI179" i="2"/>
  <c r="Y179" i="2"/>
  <c r="V179" i="2" a="1"/>
  <c r="V179" i="2" s="1"/>
  <c r="AQ179" i="2" s="1"/>
  <c r="M179" i="2" a="1"/>
  <c r="M179" i="2" s="1"/>
  <c r="I179" i="2" a="1"/>
  <c r="I179" i="2" s="1"/>
  <c r="AN178" i="2"/>
  <c r="AM178" i="2"/>
  <c r="AI178" i="2"/>
  <c r="Y178" i="2"/>
  <c r="V178" i="2" a="1"/>
  <c r="V178" i="2" s="1"/>
  <c r="AQ178" i="2" s="1"/>
  <c r="M178" i="2" a="1"/>
  <c r="M178" i="2" s="1"/>
  <c r="I178" i="2" a="1"/>
  <c r="I178" i="2" s="1"/>
  <c r="AN177" i="2"/>
  <c r="AM177" i="2"/>
  <c r="AI177" i="2"/>
  <c r="Y177" i="2"/>
  <c r="V177" i="2" a="1"/>
  <c r="V177" i="2" s="1"/>
  <c r="AQ177" i="2" s="1"/>
  <c r="M177" i="2" a="1"/>
  <c r="M177" i="2" s="1"/>
  <c r="I177" i="2" a="1"/>
  <c r="I177" i="2" s="1"/>
  <c r="AN176" i="2"/>
  <c r="AM176" i="2"/>
  <c r="AI176" i="2"/>
  <c r="Y176" i="2"/>
  <c r="V176" i="2" a="1"/>
  <c r="V176" i="2" s="1"/>
  <c r="AQ176" i="2" s="1"/>
  <c r="M176" i="2" a="1"/>
  <c r="M176" i="2" s="1"/>
  <c r="I176" i="2" a="1"/>
  <c r="I176" i="2" s="1"/>
  <c r="AN175" i="2"/>
  <c r="AM175" i="2"/>
  <c r="AI175" i="2"/>
  <c r="Y175" i="2"/>
  <c r="V175" i="2" a="1"/>
  <c r="V175" i="2" s="1"/>
  <c r="AQ175" i="2" s="1"/>
  <c r="M175" i="2" a="1"/>
  <c r="M175" i="2" s="1"/>
  <c r="I175" i="2" a="1"/>
  <c r="I175" i="2" s="1"/>
  <c r="AN174" i="2"/>
  <c r="AM174" i="2"/>
  <c r="AI174" i="2"/>
  <c r="Y174" i="2"/>
  <c r="V174" i="2" a="1"/>
  <c r="V174" i="2" s="1"/>
  <c r="AQ174" i="2" s="1"/>
  <c r="M174" i="2" a="1"/>
  <c r="M174" i="2" s="1"/>
  <c r="I174" i="2" a="1"/>
  <c r="I174" i="2" s="1"/>
  <c r="AN173" i="2"/>
  <c r="AM173" i="2"/>
  <c r="AI173" i="2"/>
  <c r="Y173" i="2"/>
  <c r="V173" i="2" a="1"/>
  <c r="V173" i="2" s="1"/>
  <c r="AQ173" i="2" s="1"/>
  <c r="M173" i="2" a="1"/>
  <c r="M173" i="2" s="1"/>
  <c r="I173" i="2" a="1"/>
  <c r="I173" i="2" s="1"/>
  <c r="AN172" i="2"/>
  <c r="AM172" i="2"/>
  <c r="AI172" i="2"/>
  <c r="Y172" i="2"/>
  <c r="V172" i="2" a="1"/>
  <c r="V172" i="2" s="1"/>
  <c r="AQ172" i="2" s="1"/>
  <c r="M172" i="2" a="1"/>
  <c r="M172" i="2" s="1"/>
  <c r="I172" i="2" a="1"/>
  <c r="I172" i="2" s="1"/>
  <c r="AN171" i="2"/>
  <c r="AM171" i="2"/>
  <c r="AI171" i="2"/>
  <c r="Y171" i="2"/>
  <c r="V171" i="2" a="1"/>
  <c r="V171" i="2" s="1"/>
  <c r="AQ171" i="2" s="1"/>
  <c r="M171" i="2" a="1"/>
  <c r="M171" i="2" s="1"/>
  <c r="I171" i="2" a="1"/>
  <c r="I171" i="2" s="1"/>
  <c r="AN170" i="2"/>
  <c r="AM170" i="2"/>
  <c r="AI170" i="2"/>
  <c r="Y170" i="2"/>
  <c r="V170" i="2" a="1"/>
  <c r="V170" i="2" s="1"/>
  <c r="AQ170" i="2" s="1"/>
  <c r="M170" i="2" a="1"/>
  <c r="M170" i="2" s="1"/>
  <c r="I170" i="2" a="1"/>
  <c r="I170" i="2" s="1"/>
  <c r="AN169" i="2"/>
  <c r="AM169" i="2"/>
  <c r="AI169" i="2"/>
  <c r="Y169" i="2"/>
  <c r="V169" i="2" a="1"/>
  <c r="V169" i="2" s="1"/>
  <c r="AQ169" i="2" s="1"/>
  <c r="M169" i="2" a="1"/>
  <c r="M169" i="2" s="1"/>
  <c r="I169" i="2" a="1"/>
  <c r="I169" i="2" s="1"/>
  <c r="AN168" i="2"/>
  <c r="AM168" i="2"/>
  <c r="AI168" i="2"/>
  <c r="Y168" i="2"/>
  <c r="V168" i="2" a="1"/>
  <c r="V168" i="2" s="1"/>
  <c r="AQ168" i="2" s="1"/>
  <c r="M168" i="2" a="1"/>
  <c r="M168" i="2" s="1"/>
  <c r="I168" i="2" a="1"/>
  <c r="I168" i="2" s="1"/>
  <c r="AN167" i="2"/>
  <c r="AM167" i="2"/>
  <c r="AI167" i="2"/>
  <c r="Y167" i="2"/>
  <c r="V167" i="2" a="1"/>
  <c r="V167" i="2" s="1"/>
  <c r="AQ167" i="2" s="1"/>
  <c r="M167" i="2" a="1"/>
  <c r="M167" i="2" s="1"/>
  <c r="I167" i="2" a="1"/>
  <c r="I167" i="2" s="1"/>
  <c r="AN166" i="2"/>
  <c r="AM166" i="2"/>
  <c r="AI166" i="2"/>
  <c r="Y166" i="2"/>
  <c r="V166" i="2" a="1"/>
  <c r="V166" i="2" s="1"/>
  <c r="AQ166" i="2" s="1"/>
  <c r="M166" i="2" a="1"/>
  <c r="M166" i="2" s="1"/>
  <c r="I166" i="2" a="1"/>
  <c r="I166" i="2" s="1"/>
  <c r="AN165" i="2"/>
  <c r="AM165" i="2"/>
  <c r="AI165" i="2"/>
  <c r="Y165" i="2"/>
  <c r="V165" i="2" a="1"/>
  <c r="V165" i="2" s="1"/>
  <c r="AQ165" i="2" s="1"/>
  <c r="M165" i="2" a="1"/>
  <c r="M165" i="2" s="1"/>
  <c r="I165" i="2" a="1"/>
  <c r="I165" i="2" s="1"/>
  <c r="AN164" i="2"/>
  <c r="AM164" i="2"/>
  <c r="AI164" i="2"/>
  <c r="Y164" i="2"/>
  <c r="V164" i="2" a="1"/>
  <c r="V164" i="2" s="1"/>
  <c r="AQ164" i="2" s="1"/>
  <c r="M164" i="2" a="1"/>
  <c r="M164" i="2" s="1"/>
  <c r="I164" i="2" a="1"/>
  <c r="I164" i="2" s="1"/>
  <c r="AN163" i="2"/>
  <c r="AM163" i="2"/>
  <c r="AI163" i="2"/>
  <c r="Y163" i="2"/>
  <c r="V163" i="2" a="1"/>
  <c r="V163" i="2" s="1"/>
  <c r="AQ163" i="2" s="1"/>
  <c r="M163" i="2" a="1"/>
  <c r="M163" i="2" s="1"/>
  <c r="I163" i="2" a="1"/>
  <c r="I163" i="2" s="1"/>
  <c r="AN162" i="2"/>
  <c r="AM162" i="2"/>
  <c r="AI162" i="2"/>
  <c r="Y162" i="2"/>
  <c r="V162" i="2" a="1"/>
  <c r="V162" i="2" s="1"/>
  <c r="AQ162" i="2" s="1"/>
  <c r="M162" i="2" a="1"/>
  <c r="M162" i="2" s="1"/>
  <c r="I162" i="2" a="1"/>
  <c r="I162" i="2" s="1"/>
  <c r="AN161" i="2"/>
  <c r="AM161" i="2"/>
  <c r="AI161" i="2"/>
  <c r="Y161" i="2"/>
  <c r="V161" i="2" a="1"/>
  <c r="V161" i="2" s="1"/>
  <c r="AQ161" i="2" s="1"/>
  <c r="M161" i="2" a="1"/>
  <c r="M161" i="2" s="1"/>
  <c r="I161" i="2" a="1"/>
  <c r="I161" i="2" s="1"/>
  <c r="AN160" i="2"/>
  <c r="AM160" i="2"/>
  <c r="AI160" i="2"/>
  <c r="Y160" i="2"/>
  <c r="V160" i="2" a="1"/>
  <c r="V160" i="2" s="1"/>
  <c r="AQ160" i="2" s="1"/>
  <c r="M160" i="2" a="1"/>
  <c r="M160" i="2" s="1"/>
  <c r="I160" i="2" a="1"/>
  <c r="I160" i="2" s="1"/>
  <c r="AN159" i="2"/>
  <c r="AM159" i="2"/>
  <c r="AI159" i="2"/>
  <c r="Y159" i="2"/>
  <c r="V159" i="2" a="1"/>
  <c r="V159" i="2" s="1"/>
  <c r="AQ159" i="2" s="1"/>
  <c r="M159" i="2" a="1"/>
  <c r="M159" i="2" s="1"/>
  <c r="I159" i="2" a="1"/>
  <c r="I159" i="2" s="1"/>
  <c r="AN158" i="2"/>
  <c r="AM158" i="2"/>
  <c r="AI158" i="2"/>
  <c r="Y158" i="2"/>
  <c r="V158" i="2" a="1"/>
  <c r="V158" i="2" s="1"/>
  <c r="AQ158" i="2" s="1"/>
  <c r="M158" i="2" a="1"/>
  <c r="M158" i="2" s="1"/>
  <c r="I158" i="2" a="1"/>
  <c r="I158" i="2" s="1"/>
  <c r="AN157" i="2"/>
  <c r="AM157" i="2"/>
  <c r="AI157" i="2"/>
  <c r="Y157" i="2"/>
  <c r="V157" i="2" a="1"/>
  <c r="V157" i="2" s="1"/>
  <c r="AQ157" i="2" s="1"/>
  <c r="M157" i="2" a="1"/>
  <c r="M157" i="2" s="1"/>
  <c r="I157" i="2" a="1"/>
  <c r="I157" i="2" s="1"/>
  <c r="AN156" i="2"/>
  <c r="AM156" i="2"/>
  <c r="AI156" i="2"/>
  <c r="Y156" i="2"/>
  <c r="V156" i="2" a="1"/>
  <c r="V156" i="2" s="1"/>
  <c r="AQ156" i="2" s="1"/>
  <c r="M156" i="2" a="1"/>
  <c r="M156" i="2" s="1"/>
  <c r="I156" i="2" a="1"/>
  <c r="I156" i="2" s="1"/>
  <c r="AN155" i="2"/>
  <c r="AM155" i="2"/>
  <c r="AI155" i="2"/>
  <c r="Y155" i="2"/>
  <c r="V155" i="2" a="1"/>
  <c r="V155" i="2" s="1"/>
  <c r="AQ155" i="2" s="1"/>
  <c r="M155" i="2" a="1"/>
  <c r="M155" i="2" s="1"/>
  <c r="I155" i="2" a="1"/>
  <c r="I155" i="2" s="1"/>
  <c r="AN154" i="2"/>
  <c r="AM154" i="2"/>
  <c r="AI154" i="2"/>
  <c r="Y154" i="2"/>
  <c r="V154" i="2" a="1"/>
  <c r="V154" i="2" s="1"/>
  <c r="AQ154" i="2" s="1"/>
  <c r="M154" i="2" a="1"/>
  <c r="M154" i="2" s="1"/>
  <c r="I154" i="2" a="1"/>
  <c r="I154" i="2" s="1"/>
  <c r="AN153" i="2"/>
  <c r="AM153" i="2"/>
  <c r="AI153" i="2"/>
  <c r="Y153" i="2"/>
  <c r="V153" i="2" a="1"/>
  <c r="V153" i="2" s="1"/>
  <c r="AQ153" i="2" s="1"/>
  <c r="M153" i="2" a="1"/>
  <c r="M153" i="2" s="1"/>
  <c r="I153" i="2" a="1"/>
  <c r="I153" i="2" s="1"/>
  <c r="AN152" i="2"/>
  <c r="AM152" i="2"/>
  <c r="AI152" i="2"/>
  <c r="Y152" i="2"/>
  <c r="V152" i="2" a="1"/>
  <c r="V152" i="2" s="1"/>
  <c r="AQ152" i="2" s="1"/>
  <c r="M152" i="2" a="1"/>
  <c r="M152" i="2" s="1"/>
  <c r="I152" i="2" a="1"/>
  <c r="I152" i="2" s="1"/>
  <c r="AN151" i="2"/>
  <c r="AM151" i="2"/>
  <c r="AI151" i="2"/>
  <c r="Y151" i="2"/>
  <c r="V151" i="2" a="1"/>
  <c r="V151" i="2" s="1"/>
  <c r="AQ151" i="2" s="1"/>
  <c r="M151" i="2" a="1"/>
  <c r="M151" i="2" s="1"/>
  <c r="I151" i="2" a="1"/>
  <c r="I151" i="2" s="1"/>
  <c r="AN150" i="2"/>
  <c r="AM150" i="2"/>
  <c r="AI150" i="2"/>
  <c r="Y150" i="2"/>
  <c r="V150" i="2" a="1"/>
  <c r="V150" i="2" s="1"/>
  <c r="AQ150" i="2" s="1"/>
  <c r="M150" i="2" a="1"/>
  <c r="M150" i="2" s="1"/>
  <c r="I150" i="2" a="1"/>
  <c r="I150" i="2" s="1"/>
  <c r="AN149" i="2"/>
  <c r="AM149" i="2"/>
  <c r="AI149" i="2"/>
  <c r="Y149" i="2"/>
  <c r="V149" i="2" a="1"/>
  <c r="V149" i="2" s="1"/>
  <c r="AQ149" i="2" s="1"/>
  <c r="M149" i="2" a="1"/>
  <c r="M149" i="2" s="1"/>
  <c r="I149" i="2" a="1"/>
  <c r="I149" i="2" s="1"/>
  <c r="AN148" i="2"/>
  <c r="AM148" i="2"/>
  <c r="AI148" i="2"/>
  <c r="Y148" i="2"/>
  <c r="V148" i="2" a="1"/>
  <c r="V148" i="2" s="1"/>
  <c r="AQ148" i="2" s="1"/>
  <c r="M148" i="2" a="1"/>
  <c r="M148" i="2" s="1"/>
  <c r="I148" i="2" a="1"/>
  <c r="I148" i="2" s="1"/>
  <c r="AN147" i="2"/>
  <c r="AM147" i="2"/>
  <c r="AI147" i="2"/>
  <c r="Y147" i="2"/>
  <c r="V147" i="2" a="1"/>
  <c r="V147" i="2" s="1"/>
  <c r="AQ147" i="2" s="1"/>
  <c r="M147" i="2" a="1"/>
  <c r="M147" i="2" s="1"/>
  <c r="I147" i="2" a="1"/>
  <c r="I147" i="2" s="1"/>
  <c r="AN146" i="2"/>
  <c r="AM146" i="2"/>
  <c r="AI146" i="2"/>
  <c r="Y146" i="2"/>
  <c r="V146" i="2" a="1"/>
  <c r="V146" i="2" s="1"/>
  <c r="AQ146" i="2" s="1"/>
  <c r="M146" i="2" a="1"/>
  <c r="M146" i="2" s="1"/>
  <c r="I146" i="2" a="1"/>
  <c r="I146" i="2" s="1"/>
  <c r="AN145" i="2"/>
  <c r="AM145" i="2"/>
  <c r="AI145" i="2"/>
  <c r="Y145" i="2"/>
  <c r="V145" i="2" a="1"/>
  <c r="V145" i="2" s="1"/>
  <c r="AQ145" i="2" s="1"/>
  <c r="M145" i="2" a="1"/>
  <c r="M145" i="2" s="1"/>
  <c r="I145" i="2" a="1"/>
  <c r="I145" i="2" s="1"/>
  <c r="AN144" i="2"/>
  <c r="AM144" i="2"/>
  <c r="AI144" i="2"/>
  <c r="Y144" i="2"/>
  <c r="V144" i="2" a="1"/>
  <c r="V144" i="2" s="1"/>
  <c r="AQ144" i="2" s="1"/>
  <c r="M144" i="2" a="1"/>
  <c r="M144" i="2" s="1"/>
  <c r="I144" i="2" a="1"/>
  <c r="I144" i="2" s="1"/>
  <c r="AN143" i="2"/>
  <c r="AM143" i="2"/>
  <c r="AI143" i="2"/>
  <c r="Y143" i="2"/>
  <c r="V143" i="2" a="1"/>
  <c r="V143" i="2" s="1"/>
  <c r="AQ143" i="2" s="1"/>
  <c r="M143" i="2" a="1"/>
  <c r="M143" i="2" s="1"/>
  <c r="I143" i="2" a="1"/>
  <c r="I143" i="2" s="1"/>
  <c r="AN142" i="2"/>
  <c r="AM142" i="2"/>
  <c r="AI142" i="2"/>
  <c r="Y142" i="2"/>
  <c r="V142" i="2" a="1"/>
  <c r="V142" i="2" s="1"/>
  <c r="AQ142" i="2" s="1"/>
  <c r="M142" i="2" a="1"/>
  <c r="M142" i="2" s="1"/>
  <c r="I142" i="2" a="1"/>
  <c r="I142" i="2" s="1"/>
  <c r="AN141" i="2"/>
  <c r="AM141" i="2"/>
  <c r="AI141" i="2"/>
  <c r="Y141" i="2"/>
  <c r="V141" i="2" a="1"/>
  <c r="V141" i="2" s="1"/>
  <c r="AQ141" i="2" s="1"/>
  <c r="M141" i="2" a="1"/>
  <c r="M141" i="2" s="1"/>
  <c r="I141" i="2" a="1"/>
  <c r="I141" i="2" s="1"/>
  <c r="AN140" i="2"/>
  <c r="AM140" i="2"/>
  <c r="AI140" i="2"/>
  <c r="Y140" i="2"/>
  <c r="V140" i="2" a="1"/>
  <c r="V140" i="2" s="1"/>
  <c r="AQ140" i="2" s="1"/>
  <c r="M140" i="2" a="1"/>
  <c r="M140" i="2" s="1"/>
  <c r="I140" i="2" a="1"/>
  <c r="I140" i="2" s="1"/>
  <c r="AN139" i="2"/>
  <c r="AM139" i="2"/>
  <c r="AI139" i="2"/>
  <c r="Y139" i="2"/>
  <c r="V139" i="2" a="1"/>
  <c r="V139" i="2" s="1"/>
  <c r="AQ139" i="2" s="1"/>
  <c r="M139" i="2" a="1"/>
  <c r="M139" i="2" s="1"/>
  <c r="I139" i="2" a="1"/>
  <c r="I139" i="2" s="1"/>
  <c r="AN138" i="2"/>
  <c r="AM138" i="2"/>
  <c r="AI138" i="2"/>
  <c r="Y138" i="2"/>
  <c r="V138" i="2" a="1"/>
  <c r="V138" i="2" s="1"/>
  <c r="AQ138" i="2" s="1"/>
  <c r="M138" i="2" a="1"/>
  <c r="M138" i="2" s="1"/>
  <c r="I138" i="2" a="1"/>
  <c r="I138" i="2" s="1"/>
  <c r="AN137" i="2"/>
  <c r="AM137" i="2"/>
  <c r="AI137" i="2"/>
  <c r="Y137" i="2"/>
  <c r="V137" i="2" a="1"/>
  <c r="V137" i="2" s="1"/>
  <c r="AQ137" i="2" s="1"/>
  <c r="M137" i="2" a="1"/>
  <c r="M137" i="2" s="1"/>
  <c r="I137" i="2" a="1"/>
  <c r="I137" i="2" s="1"/>
  <c r="AN136" i="2"/>
  <c r="AM136" i="2"/>
  <c r="AI136" i="2"/>
  <c r="Y136" i="2"/>
  <c r="V136" i="2" a="1"/>
  <c r="V136" i="2" s="1"/>
  <c r="AQ136" i="2" s="1"/>
  <c r="M136" i="2" a="1"/>
  <c r="M136" i="2" s="1"/>
  <c r="I136" i="2" a="1"/>
  <c r="I136" i="2" s="1"/>
  <c r="AN135" i="2"/>
  <c r="AM135" i="2"/>
  <c r="AI135" i="2"/>
  <c r="Y135" i="2"/>
  <c r="V135" i="2" a="1"/>
  <c r="V135" i="2" s="1"/>
  <c r="AQ135" i="2" s="1"/>
  <c r="M135" i="2" a="1"/>
  <c r="M135" i="2" s="1"/>
  <c r="I135" i="2" a="1"/>
  <c r="I135" i="2" s="1"/>
  <c r="AN134" i="2"/>
  <c r="AM134" i="2"/>
  <c r="AI134" i="2"/>
  <c r="Y134" i="2"/>
  <c r="V134" i="2" a="1"/>
  <c r="V134" i="2" s="1"/>
  <c r="AQ134" i="2" s="1"/>
  <c r="M134" i="2" a="1"/>
  <c r="M134" i="2" s="1"/>
  <c r="I134" i="2" a="1"/>
  <c r="I134" i="2" s="1"/>
  <c r="AN133" i="2"/>
  <c r="AM133" i="2"/>
  <c r="AI133" i="2"/>
  <c r="Y133" i="2"/>
  <c r="V133" i="2" a="1"/>
  <c r="V133" i="2" s="1"/>
  <c r="AQ133" i="2" s="1"/>
  <c r="M133" i="2" a="1"/>
  <c r="M133" i="2" s="1"/>
  <c r="I133" i="2" a="1"/>
  <c r="I133" i="2" s="1"/>
  <c r="AN132" i="2"/>
  <c r="AM132" i="2"/>
  <c r="AI132" i="2"/>
  <c r="Y132" i="2"/>
  <c r="V132" i="2" a="1"/>
  <c r="V132" i="2" s="1"/>
  <c r="AQ132" i="2" s="1"/>
  <c r="M132" i="2" a="1"/>
  <c r="M132" i="2" s="1"/>
  <c r="I132" i="2" a="1"/>
  <c r="I132" i="2" s="1"/>
  <c r="AN131" i="2"/>
  <c r="AM131" i="2"/>
  <c r="AI131" i="2"/>
  <c r="Y131" i="2"/>
  <c r="V131" i="2" a="1"/>
  <c r="V131" i="2" s="1"/>
  <c r="AQ131" i="2" s="1"/>
  <c r="M131" i="2" a="1"/>
  <c r="M131" i="2" s="1"/>
  <c r="I131" i="2" a="1"/>
  <c r="I131" i="2" s="1"/>
  <c r="AN130" i="2"/>
  <c r="AM130" i="2"/>
  <c r="AI130" i="2"/>
  <c r="Y130" i="2"/>
  <c r="V130" i="2" a="1"/>
  <c r="V130" i="2" s="1"/>
  <c r="AQ130" i="2" s="1"/>
  <c r="M130" i="2" a="1"/>
  <c r="M130" i="2" s="1"/>
  <c r="I130" i="2" a="1"/>
  <c r="I130" i="2" s="1"/>
  <c r="AN129" i="2"/>
  <c r="AM129" i="2"/>
  <c r="AI129" i="2"/>
  <c r="Y129" i="2"/>
  <c r="V129" i="2" a="1"/>
  <c r="V129" i="2" s="1"/>
  <c r="AQ129" i="2" s="1"/>
  <c r="M129" i="2" a="1"/>
  <c r="M129" i="2" s="1"/>
  <c r="I129" i="2" a="1"/>
  <c r="I129" i="2" s="1"/>
  <c r="AN128" i="2"/>
  <c r="AM128" i="2"/>
  <c r="AI128" i="2"/>
  <c r="Y128" i="2"/>
  <c r="V128" i="2" a="1"/>
  <c r="V128" i="2" s="1"/>
  <c r="AQ128" i="2" s="1"/>
  <c r="M128" i="2" a="1"/>
  <c r="M128" i="2" s="1"/>
  <c r="I128" i="2" a="1"/>
  <c r="I128" i="2" s="1"/>
  <c r="AN127" i="2"/>
  <c r="AM127" i="2"/>
  <c r="AI127" i="2"/>
  <c r="Y127" i="2"/>
  <c r="V127" i="2" a="1"/>
  <c r="V127" i="2" s="1"/>
  <c r="AQ127" i="2" s="1"/>
  <c r="M127" i="2" a="1"/>
  <c r="M127" i="2" s="1"/>
  <c r="I127" i="2" a="1"/>
  <c r="I127" i="2" s="1"/>
  <c r="AN126" i="2"/>
  <c r="AM126" i="2"/>
  <c r="AI126" i="2"/>
  <c r="Y126" i="2"/>
  <c r="V126" i="2" a="1"/>
  <c r="V126" i="2" s="1"/>
  <c r="AQ126" i="2" s="1"/>
  <c r="M126" i="2" a="1"/>
  <c r="M126" i="2" s="1"/>
  <c r="I126" i="2" a="1"/>
  <c r="I126" i="2" s="1"/>
  <c r="AN125" i="2"/>
  <c r="AM125" i="2"/>
  <c r="AI125" i="2"/>
  <c r="Y125" i="2"/>
  <c r="V125" i="2" a="1"/>
  <c r="V125" i="2" s="1"/>
  <c r="AQ125" i="2" s="1"/>
  <c r="M125" i="2" a="1"/>
  <c r="M125" i="2" s="1"/>
  <c r="I125" i="2" a="1"/>
  <c r="I125" i="2" s="1"/>
  <c r="AN124" i="2"/>
  <c r="AM124" i="2"/>
  <c r="AI124" i="2"/>
  <c r="Y124" i="2"/>
  <c r="V124" i="2" a="1"/>
  <c r="V124" i="2" s="1"/>
  <c r="AQ124" i="2" s="1"/>
  <c r="M124" i="2" a="1"/>
  <c r="M124" i="2" s="1"/>
  <c r="I124" i="2" a="1"/>
  <c r="I124" i="2" s="1"/>
  <c r="AN123" i="2"/>
  <c r="AM123" i="2"/>
  <c r="AI123" i="2"/>
  <c r="Y123" i="2"/>
  <c r="V123" i="2" a="1"/>
  <c r="V123" i="2" s="1"/>
  <c r="AQ123" i="2" s="1"/>
  <c r="M123" i="2" a="1"/>
  <c r="M123" i="2" s="1"/>
  <c r="I123" i="2" a="1"/>
  <c r="I123" i="2" s="1"/>
  <c r="AN122" i="2"/>
  <c r="AM122" i="2"/>
  <c r="AI122" i="2"/>
  <c r="Y122" i="2"/>
  <c r="V122" i="2" a="1"/>
  <c r="V122" i="2" s="1"/>
  <c r="AQ122" i="2" s="1"/>
  <c r="M122" i="2" a="1"/>
  <c r="M122" i="2" s="1"/>
  <c r="I122" i="2" a="1"/>
  <c r="I122" i="2" s="1"/>
  <c r="AN121" i="2"/>
  <c r="AM121" i="2"/>
  <c r="AI121" i="2"/>
  <c r="Y121" i="2"/>
  <c r="V121" i="2" a="1"/>
  <c r="V121" i="2" s="1"/>
  <c r="AQ121" i="2" s="1"/>
  <c r="M121" i="2" a="1"/>
  <c r="M121" i="2" s="1"/>
  <c r="I121" i="2" a="1"/>
  <c r="I121" i="2" s="1"/>
  <c r="AN120" i="2"/>
  <c r="AM120" i="2"/>
  <c r="AI120" i="2"/>
  <c r="Y120" i="2"/>
  <c r="V120" i="2" a="1"/>
  <c r="V120" i="2" s="1"/>
  <c r="AQ120" i="2" s="1"/>
  <c r="M120" i="2" a="1"/>
  <c r="M120" i="2" s="1"/>
  <c r="I120" i="2" a="1"/>
  <c r="I120" i="2" s="1"/>
  <c r="AN119" i="2"/>
  <c r="AM119" i="2"/>
  <c r="AI119" i="2"/>
  <c r="Y119" i="2"/>
  <c r="V119" i="2" a="1"/>
  <c r="V119" i="2" s="1"/>
  <c r="AQ119" i="2" s="1"/>
  <c r="M119" i="2" a="1"/>
  <c r="M119" i="2" s="1"/>
  <c r="I119" i="2" a="1"/>
  <c r="I119" i="2" s="1"/>
  <c r="AN118" i="2"/>
  <c r="AM118" i="2"/>
  <c r="AI118" i="2"/>
  <c r="Y118" i="2"/>
  <c r="V118" i="2" a="1"/>
  <c r="V118" i="2" s="1"/>
  <c r="AQ118" i="2" s="1"/>
  <c r="M118" i="2" a="1"/>
  <c r="M118" i="2" s="1"/>
  <c r="I118" i="2" a="1"/>
  <c r="I118" i="2" s="1"/>
  <c r="AN117" i="2"/>
  <c r="AM117" i="2"/>
  <c r="AI117" i="2"/>
  <c r="Y117" i="2"/>
  <c r="V117" i="2" a="1"/>
  <c r="V117" i="2" s="1"/>
  <c r="AQ117" i="2" s="1"/>
  <c r="M117" i="2" a="1"/>
  <c r="M117" i="2" s="1"/>
  <c r="I117" i="2" a="1"/>
  <c r="I117" i="2" s="1"/>
  <c r="AN116" i="2"/>
  <c r="AM116" i="2"/>
  <c r="AI116" i="2"/>
  <c r="Y116" i="2"/>
  <c r="V116" i="2" a="1"/>
  <c r="V116" i="2" s="1"/>
  <c r="AQ116" i="2" s="1"/>
  <c r="M116" i="2" a="1"/>
  <c r="M116" i="2" s="1"/>
  <c r="I116" i="2" a="1"/>
  <c r="I116" i="2" s="1"/>
  <c r="AN115" i="2"/>
  <c r="AM115" i="2"/>
  <c r="AI115" i="2"/>
  <c r="Y115" i="2"/>
  <c r="V115" i="2" a="1"/>
  <c r="V115" i="2" s="1"/>
  <c r="AQ115" i="2" s="1"/>
  <c r="M115" i="2" a="1"/>
  <c r="M115" i="2" s="1"/>
  <c r="I115" i="2" a="1"/>
  <c r="I115" i="2" s="1"/>
  <c r="AN114" i="2"/>
  <c r="AM114" i="2"/>
  <c r="AI114" i="2"/>
  <c r="Y114" i="2"/>
  <c r="V114" i="2" a="1"/>
  <c r="V114" i="2" s="1"/>
  <c r="AQ114" i="2" s="1"/>
  <c r="M114" i="2" a="1"/>
  <c r="M114" i="2" s="1"/>
  <c r="I114" i="2" a="1"/>
  <c r="I114" i="2" s="1"/>
  <c r="AN113" i="2"/>
  <c r="AM113" i="2"/>
  <c r="AI113" i="2"/>
  <c r="Y113" i="2"/>
  <c r="V113" i="2" a="1"/>
  <c r="V113" i="2" s="1"/>
  <c r="AQ113" i="2" s="1"/>
  <c r="M113" i="2" a="1"/>
  <c r="M113" i="2" s="1"/>
  <c r="I113" i="2" a="1"/>
  <c r="I113" i="2" s="1"/>
  <c r="AN112" i="2"/>
  <c r="AM112" i="2"/>
  <c r="AI112" i="2"/>
  <c r="Y112" i="2"/>
  <c r="V112" i="2" a="1"/>
  <c r="V112" i="2" s="1"/>
  <c r="AQ112" i="2" s="1"/>
  <c r="M112" i="2" a="1"/>
  <c r="M112" i="2" s="1"/>
  <c r="I112" i="2" a="1"/>
  <c r="I112" i="2" s="1"/>
  <c r="AN111" i="2"/>
  <c r="AM111" i="2"/>
  <c r="AI111" i="2"/>
  <c r="Y111" i="2"/>
  <c r="V111" i="2" a="1"/>
  <c r="V111" i="2" s="1"/>
  <c r="AQ111" i="2" s="1"/>
  <c r="M111" i="2" a="1"/>
  <c r="M111" i="2" s="1"/>
  <c r="I111" i="2" a="1"/>
  <c r="I111" i="2" s="1"/>
  <c r="AN110" i="2"/>
  <c r="AM110" i="2"/>
  <c r="AI110" i="2"/>
  <c r="Y110" i="2"/>
  <c r="V110" i="2" a="1"/>
  <c r="V110" i="2" s="1"/>
  <c r="AQ110" i="2" s="1"/>
  <c r="M110" i="2" a="1"/>
  <c r="M110" i="2" s="1"/>
  <c r="I110" i="2" a="1"/>
  <c r="I110" i="2" s="1"/>
  <c r="AN109" i="2"/>
  <c r="AM109" i="2"/>
  <c r="AI109" i="2"/>
  <c r="Y109" i="2"/>
  <c r="V109" i="2" a="1"/>
  <c r="V109" i="2" s="1"/>
  <c r="AQ109" i="2" s="1"/>
  <c r="M109" i="2" a="1"/>
  <c r="M109" i="2" s="1"/>
  <c r="I109" i="2" a="1"/>
  <c r="I109" i="2" s="1"/>
  <c r="AN108" i="2"/>
  <c r="AM108" i="2"/>
  <c r="AI108" i="2"/>
  <c r="Y108" i="2"/>
  <c r="V108" i="2" a="1"/>
  <c r="V108" i="2" s="1"/>
  <c r="AQ108" i="2" s="1"/>
  <c r="M108" i="2" a="1"/>
  <c r="M108" i="2" s="1"/>
  <c r="I108" i="2" a="1"/>
  <c r="I108" i="2" s="1"/>
  <c r="AN107" i="2"/>
  <c r="AM107" i="2"/>
  <c r="AI107" i="2"/>
  <c r="Y107" i="2"/>
  <c r="V107" i="2" a="1"/>
  <c r="V107" i="2" s="1"/>
  <c r="AQ107" i="2" s="1"/>
  <c r="M107" i="2" a="1"/>
  <c r="M107" i="2" s="1"/>
  <c r="I107" i="2" a="1"/>
  <c r="I107" i="2" s="1"/>
  <c r="AN106" i="2"/>
  <c r="AM106" i="2"/>
  <c r="AI106" i="2"/>
  <c r="Y106" i="2"/>
  <c r="V106" i="2" a="1"/>
  <c r="V106" i="2" s="1"/>
  <c r="AQ106" i="2" s="1"/>
  <c r="M106" i="2" a="1"/>
  <c r="M106" i="2" s="1"/>
  <c r="I106" i="2" a="1"/>
  <c r="I106" i="2" s="1"/>
  <c r="AN105" i="2"/>
  <c r="AM105" i="2"/>
  <c r="AI105" i="2"/>
  <c r="Y105" i="2"/>
  <c r="V105" i="2" a="1"/>
  <c r="V105" i="2" s="1"/>
  <c r="AQ105" i="2" s="1"/>
  <c r="M105" i="2" a="1"/>
  <c r="M105" i="2" s="1"/>
  <c r="I105" i="2" a="1"/>
  <c r="I105" i="2" s="1"/>
  <c r="AN104" i="2"/>
  <c r="AM104" i="2"/>
  <c r="AI104" i="2"/>
  <c r="Y104" i="2"/>
  <c r="V104" i="2" a="1"/>
  <c r="V104" i="2" s="1"/>
  <c r="AQ104" i="2" s="1"/>
  <c r="M104" i="2" a="1"/>
  <c r="M104" i="2" s="1"/>
  <c r="I104" i="2" a="1"/>
  <c r="I104" i="2" s="1"/>
  <c r="AN103" i="2"/>
  <c r="AM103" i="2"/>
  <c r="AI103" i="2"/>
  <c r="Y103" i="2"/>
  <c r="V103" i="2" a="1"/>
  <c r="V103" i="2" s="1"/>
  <c r="AQ103" i="2" s="1"/>
  <c r="M103" i="2" a="1"/>
  <c r="M103" i="2" s="1"/>
  <c r="I103" i="2" a="1"/>
  <c r="I103" i="2" s="1"/>
  <c r="AN102" i="2"/>
  <c r="AM102" i="2"/>
  <c r="AI102" i="2"/>
  <c r="Y102" i="2"/>
  <c r="V102" i="2" a="1"/>
  <c r="V102" i="2" s="1"/>
  <c r="AQ102" i="2" s="1"/>
  <c r="M102" i="2" a="1"/>
  <c r="M102" i="2" s="1"/>
  <c r="I102" i="2" a="1"/>
  <c r="I102" i="2" s="1"/>
  <c r="AN101" i="2"/>
  <c r="AM101" i="2"/>
  <c r="AI101" i="2"/>
  <c r="Y101" i="2"/>
  <c r="V101" i="2" a="1"/>
  <c r="V101" i="2" s="1"/>
  <c r="AQ101" i="2" s="1"/>
  <c r="M101" i="2" a="1"/>
  <c r="M101" i="2" s="1"/>
  <c r="I101" i="2" a="1"/>
  <c r="I101" i="2" s="1"/>
  <c r="AN100" i="2"/>
  <c r="AM100" i="2"/>
  <c r="AI100" i="2"/>
  <c r="Y100" i="2"/>
  <c r="V100" i="2" a="1"/>
  <c r="V100" i="2" s="1"/>
  <c r="AQ100" i="2" s="1"/>
  <c r="M100" i="2" a="1"/>
  <c r="M100" i="2" s="1"/>
  <c r="I100" i="2" a="1"/>
  <c r="I100" i="2" s="1"/>
  <c r="AN99" i="2"/>
  <c r="AM99" i="2"/>
  <c r="AI99" i="2"/>
  <c r="Y99" i="2"/>
  <c r="V99" i="2" a="1"/>
  <c r="V99" i="2" s="1"/>
  <c r="AQ99" i="2" s="1"/>
  <c r="M99" i="2" a="1"/>
  <c r="M99" i="2" s="1"/>
  <c r="I99" i="2" a="1"/>
  <c r="I99" i="2" s="1"/>
  <c r="AN98" i="2"/>
  <c r="AM98" i="2"/>
  <c r="AI98" i="2"/>
  <c r="Y98" i="2"/>
  <c r="V98" i="2" a="1"/>
  <c r="V98" i="2" s="1"/>
  <c r="AQ98" i="2" s="1"/>
  <c r="M98" i="2" a="1"/>
  <c r="M98" i="2" s="1"/>
  <c r="I98" i="2" a="1"/>
  <c r="I98" i="2" s="1"/>
  <c r="AN97" i="2"/>
  <c r="AM97" i="2"/>
  <c r="AI97" i="2"/>
  <c r="Y97" i="2"/>
  <c r="V97" i="2" a="1"/>
  <c r="V97" i="2" s="1"/>
  <c r="AQ97" i="2" s="1"/>
  <c r="M97" i="2" a="1"/>
  <c r="M97" i="2" s="1"/>
  <c r="I97" i="2" a="1"/>
  <c r="I97" i="2" s="1"/>
  <c r="AN96" i="2"/>
  <c r="AM96" i="2"/>
  <c r="AI96" i="2"/>
  <c r="Y96" i="2"/>
  <c r="V96" i="2" a="1"/>
  <c r="V96" i="2" s="1"/>
  <c r="AQ96" i="2" s="1"/>
  <c r="M96" i="2" a="1"/>
  <c r="M96" i="2" s="1"/>
  <c r="I96" i="2" a="1"/>
  <c r="I96" i="2" s="1"/>
  <c r="AN95" i="2"/>
  <c r="AM95" i="2"/>
  <c r="AI95" i="2"/>
  <c r="Y95" i="2"/>
  <c r="V95" i="2" a="1"/>
  <c r="V95" i="2" s="1"/>
  <c r="AQ95" i="2" s="1"/>
  <c r="M95" i="2" a="1"/>
  <c r="M95" i="2" s="1"/>
  <c r="I95" i="2" a="1"/>
  <c r="I95" i="2" s="1"/>
  <c r="AN94" i="2"/>
  <c r="AM94" i="2"/>
  <c r="AI94" i="2"/>
  <c r="Y94" i="2"/>
  <c r="V94" i="2" a="1"/>
  <c r="V94" i="2" s="1"/>
  <c r="AQ94" i="2" s="1"/>
  <c r="M94" i="2" a="1"/>
  <c r="M94" i="2" s="1"/>
  <c r="I94" i="2" a="1"/>
  <c r="I94" i="2" s="1"/>
  <c r="AN93" i="2"/>
  <c r="AM93" i="2"/>
  <c r="AI93" i="2"/>
  <c r="Y93" i="2"/>
  <c r="V93" i="2" a="1"/>
  <c r="V93" i="2" s="1"/>
  <c r="AQ93" i="2" s="1"/>
  <c r="M93" i="2" a="1"/>
  <c r="M93" i="2" s="1"/>
  <c r="I93" i="2" a="1"/>
  <c r="I93" i="2" s="1"/>
  <c r="AN92" i="2"/>
  <c r="AM92" i="2"/>
  <c r="AI92" i="2"/>
  <c r="Y92" i="2"/>
  <c r="V92" i="2" a="1"/>
  <c r="V92" i="2" s="1"/>
  <c r="AQ92" i="2" s="1"/>
  <c r="M92" i="2" a="1"/>
  <c r="M92" i="2" s="1"/>
  <c r="I92" i="2" a="1"/>
  <c r="I92" i="2" s="1"/>
  <c r="AN91" i="2"/>
  <c r="AM91" i="2"/>
  <c r="AI91" i="2"/>
  <c r="Y91" i="2"/>
  <c r="V91" i="2" a="1"/>
  <c r="V91" i="2" s="1"/>
  <c r="AQ91" i="2" s="1"/>
  <c r="M91" i="2" a="1"/>
  <c r="M91" i="2" s="1"/>
  <c r="I91" i="2" a="1"/>
  <c r="I91" i="2" s="1"/>
  <c r="AN90" i="2"/>
  <c r="AM90" i="2"/>
  <c r="AI90" i="2"/>
  <c r="Y90" i="2"/>
  <c r="V90" i="2" a="1"/>
  <c r="V90" i="2" s="1"/>
  <c r="AQ90" i="2" s="1"/>
  <c r="M90" i="2" a="1"/>
  <c r="M90" i="2" s="1"/>
  <c r="I90" i="2" a="1"/>
  <c r="I90" i="2" s="1"/>
  <c r="AN89" i="2"/>
  <c r="AM89" i="2"/>
  <c r="AI89" i="2"/>
  <c r="Y89" i="2"/>
  <c r="V89" i="2" a="1"/>
  <c r="V89" i="2" s="1"/>
  <c r="AQ89" i="2" s="1"/>
  <c r="M89" i="2" a="1"/>
  <c r="M89" i="2" s="1"/>
  <c r="I89" i="2" a="1"/>
  <c r="I89" i="2" s="1"/>
  <c r="AN88" i="2"/>
  <c r="AM88" i="2"/>
  <c r="AI88" i="2"/>
  <c r="Y88" i="2"/>
  <c r="V88" i="2" a="1"/>
  <c r="V88" i="2" s="1"/>
  <c r="AQ88" i="2" s="1"/>
  <c r="M88" i="2" a="1"/>
  <c r="M88" i="2" s="1"/>
  <c r="I88" i="2" a="1"/>
  <c r="I88" i="2" s="1"/>
  <c r="AN87" i="2"/>
  <c r="AM87" i="2"/>
  <c r="AI87" i="2"/>
  <c r="Y87" i="2"/>
  <c r="V87" i="2" a="1"/>
  <c r="V87" i="2" s="1"/>
  <c r="AQ87" i="2" s="1"/>
  <c r="M87" i="2" a="1"/>
  <c r="M87" i="2" s="1"/>
  <c r="I87" i="2" a="1"/>
  <c r="I87" i="2" s="1"/>
  <c r="AN86" i="2"/>
  <c r="AM86" i="2"/>
  <c r="AI86" i="2"/>
  <c r="Y86" i="2"/>
  <c r="V86" i="2" a="1"/>
  <c r="V86" i="2" s="1"/>
  <c r="AQ86" i="2" s="1"/>
  <c r="M86" i="2" a="1"/>
  <c r="M86" i="2" s="1"/>
  <c r="I86" i="2" a="1"/>
  <c r="I86" i="2" s="1"/>
  <c r="AN85" i="2"/>
  <c r="AM85" i="2"/>
  <c r="AI85" i="2"/>
  <c r="Y85" i="2"/>
  <c r="V85" i="2" a="1"/>
  <c r="V85" i="2" s="1"/>
  <c r="AQ85" i="2" s="1"/>
  <c r="M85" i="2" a="1"/>
  <c r="M85" i="2" s="1"/>
  <c r="I85" i="2" a="1"/>
  <c r="I85" i="2" s="1"/>
  <c r="AN84" i="2"/>
  <c r="AM84" i="2"/>
  <c r="AI84" i="2"/>
  <c r="Y84" i="2"/>
  <c r="V84" i="2" a="1"/>
  <c r="V84" i="2" s="1"/>
  <c r="AQ84" i="2" s="1"/>
  <c r="M84" i="2" a="1"/>
  <c r="M84" i="2" s="1"/>
  <c r="I84" i="2" a="1"/>
  <c r="I84" i="2" s="1"/>
  <c r="AN83" i="2"/>
  <c r="AM83" i="2"/>
  <c r="AI83" i="2"/>
  <c r="Y83" i="2"/>
  <c r="V83" i="2" a="1"/>
  <c r="V83" i="2" s="1"/>
  <c r="AQ83" i="2" s="1"/>
  <c r="M83" i="2" a="1"/>
  <c r="M83" i="2" s="1"/>
  <c r="I83" i="2" a="1"/>
  <c r="I83" i="2" s="1"/>
  <c r="AN82" i="2"/>
  <c r="AM82" i="2"/>
  <c r="AI82" i="2"/>
  <c r="Y82" i="2"/>
  <c r="V82" i="2" a="1"/>
  <c r="V82" i="2" s="1"/>
  <c r="AQ82" i="2" s="1"/>
  <c r="M82" i="2" a="1"/>
  <c r="M82" i="2" s="1"/>
  <c r="I82" i="2" a="1"/>
  <c r="I82" i="2" s="1"/>
  <c r="AN81" i="2"/>
  <c r="AM81" i="2"/>
  <c r="AI81" i="2"/>
  <c r="Y81" i="2"/>
  <c r="V81" i="2" a="1"/>
  <c r="V81" i="2" s="1"/>
  <c r="AQ81" i="2" s="1"/>
  <c r="M81" i="2" a="1"/>
  <c r="M81" i="2" s="1"/>
  <c r="I81" i="2" a="1"/>
  <c r="I81" i="2" s="1"/>
  <c r="AN80" i="2"/>
  <c r="AM80" i="2"/>
  <c r="AI80" i="2"/>
  <c r="Y80" i="2"/>
  <c r="V80" i="2" a="1"/>
  <c r="V80" i="2" s="1"/>
  <c r="AQ80" i="2" s="1"/>
  <c r="M80" i="2" a="1"/>
  <c r="M80" i="2" s="1"/>
  <c r="I80" i="2" a="1"/>
  <c r="I80" i="2" s="1"/>
  <c r="AN79" i="2"/>
  <c r="AM79" i="2"/>
  <c r="AI79" i="2"/>
  <c r="Y79" i="2"/>
  <c r="V79" i="2" a="1"/>
  <c r="V79" i="2" s="1"/>
  <c r="AQ79" i="2" s="1"/>
  <c r="M79" i="2" a="1"/>
  <c r="M79" i="2" s="1"/>
  <c r="I79" i="2" a="1"/>
  <c r="I79" i="2" s="1"/>
  <c r="AN78" i="2"/>
  <c r="AM78" i="2"/>
  <c r="AI78" i="2"/>
  <c r="Y78" i="2"/>
  <c r="V78" i="2" a="1"/>
  <c r="V78" i="2" s="1"/>
  <c r="AQ78" i="2" s="1"/>
  <c r="M78" i="2" a="1"/>
  <c r="M78" i="2" s="1"/>
  <c r="I78" i="2" a="1"/>
  <c r="I78" i="2" s="1"/>
  <c r="AN77" i="2"/>
  <c r="AM77" i="2"/>
  <c r="AI77" i="2"/>
  <c r="Y77" i="2"/>
  <c r="V77" i="2" a="1"/>
  <c r="V77" i="2" s="1"/>
  <c r="AQ77" i="2" s="1"/>
  <c r="M77" i="2" a="1"/>
  <c r="M77" i="2" s="1"/>
  <c r="I77" i="2" a="1"/>
  <c r="I77" i="2" s="1"/>
  <c r="AN76" i="2"/>
  <c r="AM76" i="2"/>
  <c r="AI76" i="2"/>
  <c r="Y76" i="2"/>
  <c r="V76" i="2" a="1"/>
  <c r="V76" i="2" s="1"/>
  <c r="AQ76" i="2" s="1"/>
  <c r="M76" i="2" a="1"/>
  <c r="M76" i="2" s="1"/>
  <c r="I76" i="2" a="1"/>
  <c r="I76" i="2" s="1"/>
  <c r="AN75" i="2"/>
  <c r="AM75" i="2"/>
  <c r="AI75" i="2"/>
  <c r="Y75" i="2"/>
  <c r="V75" i="2" a="1"/>
  <c r="V75" i="2" s="1"/>
  <c r="AQ75" i="2" s="1"/>
  <c r="M75" i="2" a="1"/>
  <c r="M75" i="2" s="1"/>
  <c r="I75" i="2" a="1"/>
  <c r="I75" i="2" s="1"/>
  <c r="AN74" i="2"/>
  <c r="AM74" i="2"/>
  <c r="AI74" i="2"/>
  <c r="Y74" i="2"/>
  <c r="V74" i="2" a="1"/>
  <c r="V74" i="2" s="1"/>
  <c r="AQ74" i="2" s="1"/>
  <c r="M74" i="2" a="1"/>
  <c r="M74" i="2" s="1"/>
  <c r="I74" i="2" a="1"/>
  <c r="I74" i="2" s="1"/>
  <c r="AN73" i="2"/>
  <c r="AM73" i="2"/>
  <c r="AI73" i="2"/>
  <c r="Y73" i="2"/>
  <c r="V73" i="2" a="1"/>
  <c r="V73" i="2" s="1"/>
  <c r="AQ73" i="2" s="1"/>
  <c r="M73" i="2" a="1"/>
  <c r="M73" i="2" s="1"/>
  <c r="I73" i="2" a="1"/>
  <c r="I73" i="2" s="1"/>
  <c r="AN72" i="2"/>
  <c r="AM72" i="2"/>
  <c r="AI72" i="2"/>
  <c r="Y72" i="2"/>
  <c r="V72" i="2" a="1"/>
  <c r="V72" i="2" s="1"/>
  <c r="AQ72" i="2" s="1"/>
  <c r="M72" i="2" a="1"/>
  <c r="M72" i="2" s="1"/>
  <c r="I72" i="2" a="1"/>
  <c r="I72" i="2" s="1"/>
  <c r="AN71" i="2"/>
  <c r="AM71" i="2"/>
  <c r="AI71" i="2"/>
  <c r="Y71" i="2"/>
  <c r="V71" i="2" a="1"/>
  <c r="V71" i="2" s="1"/>
  <c r="AQ71" i="2" s="1"/>
  <c r="M71" i="2" a="1"/>
  <c r="M71" i="2" s="1"/>
  <c r="I71" i="2" a="1"/>
  <c r="I71" i="2" s="1"/>
  <c r="AN70" i="2"/>
  <c r="AM70" i="2"/>
  <c r="AI70" i="2"/>
  <c r="Y70" i="2"/>
  <c r="V70" i="2" a="1"/>
  <c r="V70" i="2" s="1"/>
  <c r="AQ70" i="2" s="1"/>
  <c r="M70" i="2" a="1"/>
  <c r="M70" i="2" s="1"/>
  <c r="I70" i="2" a="1"/>
  <c r="I70" i="2" s="1"/>
  <c r="AN69" i="2"/>
  <c r="AM69" i="2"/>
  <c r="AI69" i="2"/>
  <c r="Y69" i="2"/>
  <c r="V69" i="2" a="1"/>
  <c r="V69" i="2" s="1"/>
  <c r="AQ69" i="2" s="1"/>
  <c r="M69" i="2" a="1"/>
  <c r="M69" i="2" s="1"/>
  <c r="I69" i="2" a="1"/>
  <c r="I69" i="2" s="1"/>
  <c r="AN68" i="2"/>
  <c r="AM68" i="2"/>
  <c r="AI68" i="2"/>
  <c r="Y68" i="2"/>
  <c r="V68" i="2" a="1"/>
  <c r="V68" i="2" s="1"/>
  <c r="AQ68" i="2" s="1"/>
  <c r="M68" i="2" a="1"/>
  <c r="M68" i="2" s="1"/>
  <c r="I68" i="2" a="1"/>
  <c r="I68" i="2" s="1"/>
  <c r="AN67" i="2"/>
  <c r="AM67" i="2"/>
  <c r="AI67" i="2"/>
  <c r="Y67" i="2"/>
  <c r="V67" i="2" a="1"/>
  <c r="V67" i="2" s="1"/>
  <c r="AQ67" i="2" s="1"/>
  <c r="M67" i="2" a="1"/>
  <c r="M67" i="2" s="1"/>
  <c r="I67" i="2" a="1"/>
  <c r="I67" i="2" s="1"/>
  <c r="AN66" i="2"/>
  <c r="AM66" i="2"/>
  <c r="AI66" i="2"/>
  <c r="Y66" i="2"/>
  <c r="V66" i="2" a="1"/>
  <c r="V66" i="2" s="1"/>
  <c r="AQ66" i="2" s="1"/>
  <c r="M66" i="2" a="1"/>
  <c r="M66" i="2" s="1"/>
  <c r="I66" i="2" a="1"/>
  <c r="I66" i="2" s="1"/>
  <c r="AN65" i="2"/>
  <c r="AM65" i="2"/>
  <c r="AI65" i="2"/>
  <c r="Y65" i="2"/>
  <c r="V65" i="2" a="1"/>
  <c r="V65" i="2" s="1"/>
  <c r="AQ65" i="2" s="1"/>
  <c r="M65" i="2" a="1"/>
  <c r="M65" i="2" s="1"/>
  <c r="I65" i="2" a="1"/>
  <c r="I65" i="2" s="1"/>
  <c r="AN64" i="2"/>
  <c r="AM64" i="2"/>
  <c r="AI64" i="2"/>
  <c r="Y64" i="2"/>
  <c r="V64" i="2" a="1"/>
  <c r="V64" i="2" s="1"/>
  <c r="AQ64" i="2" s="1"/>
  <c r="M64" i="2" a="1"/>
  <c r="M64" i="2" s="1"/>
  <c r="I64" i="2" a="1"/>
  <c r="I64" i="2" s="1"/>
  <c r="AN63" i="2"/>
  <c r="AM63" i="2"/>
  <c r="AI63" i="2"/>
  <c r="Y63" i="2"/>
  <c r="V63" i="2" a="1"/>
  <c r="V63" i="2" s="1"/>
  <c r="AQ63" i="2" s="1"/>
  <c r="M63" i="2" a="1"/>
  <c r="M63" i="2" s="1"/>
  <c r="I63" i="2" a="1"/>
  <c r="I63" i="2" s="1"/>
  <c r="AN62" i="2"/>
  <c r="AM62" i="2"/>
  <c r="AI62" i="2"/>
  <c r="Y62" i="2"/>
  <c r="V62" i="2" a="1"/>
  <c r="V62" i="2" s="1"/>
  <c r="AQ62" i="2" s="1"/>
  <c r="M62" i="2" a="1"/>
  <c r="M62" i="2" s="1"/>
  <c r="I62" i="2" a="1"/>
  <c r="I62" i="2" s="1"/>
  <c r="AN61" i="2"/>
  <c r="AM61" i="2"/>
  <c r="AI61" i="2"/>
  <c r="Y61" i="2"/>
  <c r="V61" i="2" a="1"/>
  <c r="V61" i="2" s="1"/>
  <c r="AQ61" i="2" s="1"/>
  <c r="M61" i="2" a="1"/>
  <c r="M61" i="2" s="1"/>
  <c r="I61" i="2" a="1"/>
  <c r="I61" i="2" s="1"/>
  <c r="AN60" i="2"/>
  <c r="AM60" i="2"/>
  <c r="AI60" i="2"/>
  <c r="Y60" i="2"/>
  <c r="V60" i="2" a="1"/>
  <c r="V60" i="2" s="1"/>
  <c r="AQ60" i="2" s="1"/>
  <c r="M60" i="2" a="1"/>
  <c r="M60" i="2" s="1"/>
  <c r="I60" i="2" a="1"/>
  <c r="I60" i="2" s="1"/>
  <c r="AN59" i="2"/>
  <c r="AM59" i="2"/>
  <c r="AI59" i="2"/>
  <c r="Y59" i="2"/>
  <c r="V59" i="2" a="1"/>
  <c r="V59" i="2" s="1"/>
  <c r="AQ59" i="2" s="1"/>
  <c r="M59" i="2" a="1"/>
  <c r="M59" i="2" s="1"/>
  <c r="I59" i="2" a="1"/>
  <c r="I59" i="2" s="1"/>
  <c r="AN58" i="2"/>
  <c r="AM58" i="2"/>
  <c r="AI58" i="2"/>
  <c r="Y58" i="2"/>
  <c r="V58" i="2" a="1"/>
  <c r="V58" i="2" s="1"/>
  <c r="AQ58" i="2" s="1"/>
  <c r="M58" i="2" a="1"/>
  <c r="M58" i="2" s="1"/>
  <c r="I58" i="2" a="1"/>
  <c r="I58" i="2" s="1"/>
  <c r="AN57" i="2"/>
  <c r="AM57" i="2"/>
  <c r="AI57" i="2"/>
  <c r="Y57" i="2"/>
  <c r="V57" i="2" a="1"/>
  <c r="V57" i="2" s="1"/>
  <c r="AQ57" i="2" s="1"/>
  <c r="M57" i="2" a="1"/>
  <c r="M57" i="2" s="1"/>
  <c r="I57" i="2" a="1"/>
  <c r="I57" i="2" s="1"/>
  <c r="AN56" i="2"/>
  <c r="AM56" i="2"/>
  <c r="AI56" i="2"/>
  <c r="Y56" i="2"/>
  <c r="V56" i="2" a="1"/>
  <c r="V56" i="2" s="1"/>
  <c r="AQ56" i="2" s="1"/>
  <c r="M56" i="2" a="1"/>
  <c r="M56" i="2" s="1"/>
  <c r="I56" i="2" a="1"/>
  <c r="I56" i="2" s="1"/>
  <c r="AN55" i="2"/>
  <c r="AM55" i="2"/>
  <c r="AI55" i="2"/>
  <c r="Y55" i="2"/>
  <c r="V55" i="2" a="1"/>
  <c r="V55" i="2" s="1"/>
  <c r="AQ55" i="2" s="1"/>
  <c r="M55" i="2" a="1"/>
  <c r="M55" i="2" s="1"/>
  <c r="I55" i="2" a="1"/>
  <c r="I55" i="2" s="1"/>
  <c r="AN54" i="2"/>
  <c r="AM54" i="2"/>
  <c r="AI54" i="2"/>
  <c r="Y54" i="2"/>
  <c r="V54" i="2" a="1"/>
  <c r="V54" i="2" s="1"/>
  <c r="AQ54" i="2" s="1"/>
  <c r="M54" i="2" a="1"/>
  <c r="M54" i="2" s="1"/>
  <c r="I54" i="2" a="1"/>
  <c r="I54" i="2" s="1"/>
  <c r="AN53" i="2"/>
  <c r="AM53" i="2"/>
  <c r="AI53" i="2"/>
  <c r="Y53" i="2"/>
  <c r="V53" i="2" a="1"/>
  <c r="V53" i="2" s="1"/>
  <c r="AQ53" i="2" s="1"/>
  <c r="M53" i="2" a="1"/>
  <c r="M53" i="2" s="1"/>
  <c r="I53" i="2" a="1"/>
  <c r="I53" i="2" s="1"/>
  <c r="AN52" i="2"/>
  <c r="AM52" i="2"/>
  <c r="AI52" i="2"/>
  <c r="Y52" i="2"/>
  <c r="V52" i="2" a="1"/>
  <c r="V52" i="2" s="1"/>
  <c r="AQ52" i="2" s="1"/>
  <c r="M52" i="2" a="1"/>
  <c r="M52" i="2" s="1"/>
  <c r="I52" i="2" a="1"/>
  <c r="I52" i="2" s="1"/>
  <c r="AN51" i="2"/>
  <c r="AM51" i="2"/>
  <c r="AI51" i="2"/>
  <c r="Y51" i="2"/>
  <c r="V51" i="2" a="1"/>
  <c r="V51" i="2" s="1"/>
  <c r="AQ51" i="2" s="1"/>
  <c r="M51" i="2" a="1"/>
  <c r="M51" i="2" s="1"/>
  <c r="I51" i="2" a="1"/>
  <c r="I51" i="2" s="1"/>
  <c r="AN50" i="2"/>
  <c r="AM50" i="2"/>
  <c r="AI50" i="2"/>
  <c r="Y50" i="2"/>
  <c r="V50" i="2" a="1"/>
  <c r="V50" i="2" s="1"/>
  <c r="AQ50" i="2" s="1"/>
  <c r="M50" i="2" a="1"/>
  <c r="M50" i="2" s="1"/>
  <c r="I50" i="2" a="1"/>
  <c r="I50" i="2" s="1"/>
  <c r="AN49" i="2"/>
  <c r="AM49" i="2"/>
  <c r="AI49" i="2"/>
  <c r="Y49" i="2"/>
  <c r="V49" i="2" a="1"/>
  <c r="V49" i="2" s="1"/>
  <c r="AQ49" i="2" s="1"/>
  <c r="M49" i="2" a="1"/>
  <c r="M49" i="2" s="1"/>
  <c r="I49" i="2" a="1"/>
  <c r="I49" i="2" s="1"/>
  <c r="AN48" i="2"/>
  <c r="AM48" i="2"/>
  <c r="AI48" i="2"/>
  <c r="Y48" i="2"/>
  <c r="V48" i="2" a="1"/>
  <c r="V48" i="2" s="1"/>
  <c r="AQ48" i="2" s="1"/>
  <c r="M48" i="2" a="1"/>
  <c r="M48" i="2" s="1"/>
  <c r="I48" i="2" a="1"/>
  <c r="I48" i="2" s="1"/>
  <c r="AN47" i="2"/>
  <c r="AM47" i="2"/>
  <c r="AI47" i="2"/>
  <c r="Y47" i="2"/>
  <c r="V47" i="2" a="1"/>
  <c r="V47" i="2" s="1"/>
  <c r="AQ47" i="2" s="1"/>
  <c r="M47" i="2" a="1"/>
  <c r="M47" i="2" s="1"/>
  <c r="I47" i="2" a="1"/>
  <c r="I47" i="2" s="1"/>
  <c r="AN46" i="2"/>
  <c r="AM46" i="2"/>
  <c r="AI46" i="2"/>
  <c r="Y46" i="2"/>
  <c r="V46" i="2" a="1"/>
  <c r="V46" i="2" s="1"/>
  <c r="AQ46" i="2" s="1"/>
  <c r="M46" i="2" a="1"/>
  <c r="M46" i="2" s="1"/>
  <c r="I46" i="2" a="1"/>
  <c r="I46" i="2" s="1"/>
  <c r="AN45" i="2"/>
  <c r="AM45" i="2"/>
  <c r="AI45" i="2"/>
  <c r="Y45" i="2"/>
  <c r="V45" i="2" a="1"/>
  <c r="V45" i="2" s="1"/>
  <c r="AQ45" i="2" s="1"/>
  <c r="M45" i="2" a="1"/>
  <c r="M45" i="2" s="1"/>
  <c r="I45" i="2" a="1"/>
  <c r="I45" i="2" s="1"/>
  <c r="AN44" i="2"/>
  <c r="AM44" i="2"/>
  <c r="AI44" i="2"/>
  <c r="Y44" i="2"/>
  <c r="V44" i="2" a="1"/>
  <c r="V44" i="2" s="1"/>
  <c r="AQ44" i="2" s="1"/>
  <c r="M44" i="2" a="1"/>
  <c r="M44" i="2" s="1"/>
  <c r="I44" i="2" a="1"/>
  <c r="I44" i="2" s="1"/>
  <c r="AN43" i="2"/>
  <c r="AM43" i="2"/>
  <c r="AI43" i="2"/>
  <c r="Y43" i="2"/>
  <c r="V43" i="2" a="1"/>
  <c r="V43" i="2" s="1"/>
  <c r="AQ43" i="2" s="1"/>
  <c r="M43" i="2" a="1"/>
  <c r="M43" i="2" s="1"/>
  <c r="I43" i="2" a="1"/>
  <c r="I43" i="2" s="1"/>
  <c r="AN42" i="2"/>
  <c r="AM42" i="2"/>
  <c r="AI42" i="2"/>
  <c r="Y42" i="2"/>
  <c r="V42" i="2" a="1"/>
  <c r="V42" i="2" s="1"/>
  <c r="AQ42" i="2" s="1"/>
  <c r="M42" i="2" a="1"/>
  <c r="M42" i="2" s="1"/>
  <c r="I42" i="2" a="1"/>
  <c r="I42" i="2" s="1"/>
  <c r="AN41" i="2"/>
  <c r="AM41" i="2"/>
  <c r="AI41" i="2"/>
  <c r="Y41" i="2"/>
  <c r="V41" i="2" a="1"/>
  <c r="V41" i="2" s="1"/>
  <c r="AQ41" i="2" s="1"/>
  <c r="M41" i="2" a="1"/>
  <c r="M41" i="2" s="1"/>
  <c r="I41" i="2" a="1"/>
  <c r="I41" i="2" s="1"/>
  <c r="AN40" i="2"/>
  <c r="AM40" i="2"/>
  <c r="AI40" i="2"/>
  <c r="Y40" i="2"/>
  <c r="V40" i="2" a="1"/>
  <c r="V40" i="2" s="1"/>
  <c r="AQ40" i="2" s="1"/>
  <c r="M40" i="2" a="1"/>
  <c r="M40" i="2" s="1"/>
  <c r="I40" i="2" a="1"/>
  <c r="I40" i="2" s="1"/>
  <c r="AN39" i="2"/>
  <c r="AM39" i="2"/>
  <c r="AI39" i="2"/>
  <c r="Y39" i="2"/>
  <c r="V39" i="2" a="1"/>
  <c r="V39" i="2" s="1"/>
  <c r="AQ39" i="2" s="1"/>
  <c r="M39" i="2" a="1"/>
  <c r="M39" i="2" s="1"/>
  <c r="I39" i="2" a="1"/>
  <c r="I39" i="2" s="1"/>
  <c r="AN38" i="2"/>
  <c r="AM38" i="2"/>
  <c r="AI38" i="2"/>
  <c r="Y38" i="2"/>
  <c r="V38" i="2" a="1"/>
  <c r="V38" i="2" s="1"/>
  <c r="AQ38" i="2" s="1"/>
  <c r="M38" i="2" a="1"/>
  <c r="M38" i="2" s="1"/>
  <c r="I38" i="2" a="1"/>
  <c r="I38" i="2" s="1"/>
  <c r="AN37" i="2"/>
  <c r="AM37" i="2"/>
  <c r="AI37" i="2"/>
  <c r="Y37" i="2"/>
  <c r="V37" i="2" a="1"/>
  <c r="V37" i="2" s="1"/>
  <c r="AQ37" i="2" s="1"/>
  <c r="M37" i="2" a="1"/>
  <c r="M37" i="2" s="1"/>
  <c r="I37" i="2" a="1"/>
  <c r="I37" i="2" s="1"/>
  <c r="AN36" i="2"/>
  <c r="AM36" i="2"/>
  <c r="AI36" i="2"/>
  <c r="Y36" i="2"/>
  <c r="V36" i="2" a="1"/>
  <c r="V36" i="2" s="1"/>
  <c r="AQ36" i="2" s="1"/>
  <c r="M36" i="2" a="1"/>
  <c r="M36" i="2" s="1"/>
  <c r="I36" i="2" a="1"/>
  <c r="I36" i="2" s="1"/>
  <c r="AN35" i="2"/>
  <c r="AM35" i="2"/>
  <c r="AI35" i="2"/>
  <c r="Y35" i="2"/>
  <c r="V35" i="2" a="1"/>
  <c r="V35" i="2" s="1"/>
  <c r="AQ35" i="2" s="1"/>
  <c r="M35" i="2" a="1"/>
  <c r="M35" i="2" s="1"/>
  <c r="I35" i="2" a="1"/>
  <c r="I35" i="2" s="1"/>
  <c r="AN34" i="2"/>
  <c r="AM34" i="2"/>
  <c r="AI34" i="2"/>
  <c r="Y34" i="2"/>
  <c r="V34" i="2" a="1"/>
  <c r="V34" i="2" s="1"/>
  <c r="AQ34" i="2" s="1"/>
  <c r="M34" i="2" a="1"/>
  <c r="M34" i="2" s="1"/>
  <c r="I34" i="2" a="1"/>
  <c r="I34" i="2" s="1"/>
  <c r="AN33" i="2"/>
  <c r="AM33" i="2"/>
  <c r="AI33" i="2"/>
  <c r="Y33" i="2"/>
  <c r="V33" i="2" a="1"/>
  <c r="V33" i="2" s="1"/>
  <c r="AQ33" i="2" s="1"/>
  <c r="M33" i="2" a="1"/>
  <c r="M33" i="2" s="1"/>
  <c r="I33" i="2" a="1"/>
  <c r="I33" i="2" s="1"/>
  <c r="AN32" i="2"/>
  <c r="AM32" i="2"/>
  <c r="AI32" i="2"/>
  <c r="Y32" i="2"/>
  <c r="V32" i="2" a="1"/>
  <c r="V32" i="2" s="1"/>
  <c r="AQ32" i="2" s="1"/>
  <c r="M32" i="2" a="1"/>
  <c r="M32" i="2" s="1"/>
  <c r="I32" i="2" a="1"/>
  <c r="I32" i="2" s="1"/>
  <c r="AN31" i="2"/>
  <c r="AM31" i="2"/>
  <c r="AI31" i="2"/>
  <c r="Y31" i="2"/>
  <c r="V31" i="2" a="1"/>
  <c r="V31" i="2" s="1"/>
  <c r="AQ31" i="2" s="1"/>
  <c r="M31" i="2" a="1"/>
  <c r="M31" i="2" s="1"/>
  <c r="I31" i="2" a="1"/>
  <c r="I31" i="2" s="1"/>
  <c r="AN30" i="2"/>
  <c r="AM30" i="2"/>
  <c r="AI30" i="2"/>
  <c r="Y30" i="2"/>
  <c r="V30" i="2" a="1"/>
  <c r="V30" i="2" s="1"/>
  <c r="AQ30" i="2" s="1"/>
  <c r="M30" i="2" a="1"/>
  <c r="M30" i="2" s="1"/>
  <c r="I30" i="2" a="1"/>
  <c r="I30" i="2" s="1"/>
  <c r="AN29" i="2"/>
  <c r="AM29" i="2"/>
  <c r="AI29" i="2"/>
  <c r="Y29" i="2"/>
  <c r="V29" i="2" a="1"/>
  <c r="V29" i="2" s="1"/>
  <c r="AQ29" i="2" s="1"/>
  <c r="M29" i="2" a="1"/>
  <c r="M29" i="2" s="1"/>
  <c r="I29" i="2" a="1"/>
  <c r="I29" i="2" s="1"/>
  <c r="AN28" i="2"/>
  <c r="AM28" i="2"/>
  <c r="AI28" i="2"/>
  <c r="Y28" i="2"/>
  <c r="V28" i="2" a="1"/>
  <c r="V28" i="2" s="1"/>
  <c r="AQ28" i="2" s="1"/>
  <c r="M28" i="2" a="1"/>
  <c r="M28" i="2" s="1"/>
  <c r="I28" i="2" a="1"/>
  <c r="I28" i="2" s="1"/>
  <c r="AN27" i="2"/>
  <c r="AM27" i="2"/>
  <c r="AI27" i="2"/>
  <c r="Y27" i="2"/>
  <c r="V27" i="2" a="1"/>
  <c r="V27" i="2" s="1"/>
  <c r="AQ27" i="2" s="1"/>
  <c r="M27" i="2" a="1"/>
  <c r="M27" i="2" s="1"/>
  <c r="I27" i="2" a="1"/>
  <c r="I27" i="2" s="1"/>
  <c r="AN26" i="2"/>
  <c r="AM26" i="2"/>
  <c r="AI26" i="2"/>
  <c r="Y26" i="2"/>
  <c r="V26" i="2" a="1"/>
  <c r="V26" i="2" s="1"/>
  <c r="AQ26" i="2" s="1"/>
  <c r="M26" i="2" a="1"/>
  <c r="M26" i="2" s="1"/>
  <c r="I26" i="2" a="1"/>
  <c r="I26" i="2" s="1"/>
  <c r="AN25" i="2"/>
  <c r="AM25" i="2"/>
  <c r="AI25" i="2"/>
  <c r="Y25" i="2"/>
  <c r="V25" i="2" a="1"/>
  <c r="V25" i="2" s="1"/>
  <c r="AQ25" i="2" s="1"/>
  <c r="M25" i="2" a="1"/>
  <c r="M25" i="2" s="1"/>
  <c r="I25" i="2" a="1"/>
  <c r="I25" i="2" s="1"/>
  <c r="AN24" i="2"/>
  <c r="AM24" i="2"/>
  <c r="AI24" i="2"/>
  <c r="Y24" i="2"/>
  <c r="V24" i="2" a="1"/>
  <c r="V24" i="2" s="1"/>
  <c r="AQ24" i="2" s="1"/>
  <c r="M24" i="2" a="1"/>
  <c r="M24" i="2" s="1"/>
  <c r="I24" i="2" a="1"/>
  <c r="I24" i="2" s="1"/>
  <c r="AN23" i="2"/>
  <c r="AM23" i="2"/>
  <c r="AI23" i="2"/>
  <c r="Y23" i="2"/>
  <c r="V23" i="2" a="1"/>
  <c r="V23" i="2" s="1"/>
  <c r="AQ23" i="2" s="1"/>
  <c r="M23" i="2" a="1"/>
  <c r="M23" i="2" s="1"/>
  <c r="I23" i="2" a="1"/>
  <c r="I23" i="2" s="1"/>
  <c r="AN22" i="2"/>
  <c r="AM22" i="2"/>
  <c r="AI22" i="2"/>
  <c r="Y22" i="2"/>
  <c r="V22" i="2" a="1"/>
  <c r="V22" i="2" s="1"/>
  <c r="AQ22" i="2" s="1"/>
  <c r="M22" i="2" a="1"/>
  <c r="M22" i="2" s="1"/>
  <c r="I22" i="2" a="1"/>
  <c r="I22" i="2" s="1"/>
  <c r="AN21" i="2"/>
  <c r="AM21" i="2"/>
  <c r="AI21" i="2"/>
  <c r="Y21" i="2"/>
  <c r="V21" i="2" a="1"/>
  <c r="V21" i="2" s="1"/>
  <c r="AQ21" i="2" s="1"/>
  <c r="M21" i="2" a="1"/>
  <c r="M21" i="2" s="1"/>
  <c r="I21" i="2" a="1"/>
  <c r="I21" i="2" s="1"/>
  <c r="AN20" i="2"/>
  <c r="AM20" i="2"/>
  <c r="AI20" i="2"/>
  <c r="Y20" i="2"/>
  <c r="V20" i="2" a="1"/>
  <c r="V20" i="2" s="1"/>
  <c r="AQ20" i="2" s="1"/>
  <c r="M20" i="2" a="1"/>
  <c r="M20" i="2" s="1"/>
  <c r="I20" i="2" a="1"/>
  <c r="I20" i="2" s="1"/>
  <c r="AN19" i="2"/>
  <c r="AM19" i="2"/>
  <c r="AI19" i="2"/>
  <c r="Y19" i="2"/>
  <c r="V19" i="2" a="1"/>
  <c r="V19" i="2" s="1"/>
  <c r="AQ19" i="2" s="1"/>
  <c r="M19" i="2" a="1"/>
  <c r="M19" i="2" s="1"/>
  <c r="I19" i="2" a="1"/>
  <c r="I19" i="2" s="1"/>
  <c r="AN18" i="2"/>
  <c r="AM18" i="2"/>
  <c r="AI18" i="2"/>
  <c r="Y18" i="2"/>
  <c r="V18" i="2" a="1"/>
  <c r="V18" i="2" s="1"/>
  <c r="AQ18" i="2" s="1"/>
  <c r="M18" i="2" a="1"/>
  <c r="M18" i="2" s="1"/>
  <c r="I18" i="2" a="1"/>
  <c r="I18" i="2" s="1"/>
  <c r="AN17" i="2"/>
  <c r="AM17" i="2"/>
  <c r="AI17" i="2"/>
  <c r="Y17" i="2"/>
  <c r="V17" i="2" a="1"/>
  <c r="V17" i="2" s="1"/>
  <c r="AQ17" i="2" s="1"/>
  <c r="M17" i="2" a="1"/>
  <c r="M17" i="2" s="1"/>
  <c r="I17" i="2" a="1"/>
  <c r="I17" i="2" s="1"/>
  <c r="AN16" i="2"/>
  <c r="AM16" i="2"/>
  <c r="AI16" i="2"/>
  <c r="Y16" i="2"/>
  <c r="V16" i="2" a="1"/>
  <c r="V16" i="2" s="1"/>
  <c r="AQ16" i="2" s="1"/>
  <c r="M16" i="2" a="1"/>
  <c r="M16" i="2" s="1"/>
  <c r="I16" i="2" a="1"/>
  <c r="I16" i="2" s="1"/>
  <c r="AN15" i="2"/>
  <c r="AM15" i="2"/>
  <c r="AI15" i="2"/>
  <c r="Y15" i="2"/>
  <c r="V15" i="2" a="1"/>
  <c r="V15" i="2" s="1"/>
  <c r="AQ15" i="2" s="1"/>
  <c r="M15" i="2" a="1"/>
  <c r="M15" i="2" s="1"/>
  <c r="I15" i="2" a="1"/>
  <c r="I15" i="2" s="1"/>
  <c r="AN14" i="2"/>
  <c r="AM14" i="2"/>
  <c r="AI14" i="2"/>
  <c r="Y14" i="2"/>
  <c r="V14" i="2" a="1"/>
  <c r="V14" i="2" s="1"/>
  <c r="AQ14" i="2" s="1"/>
  <c r="M14" i="2" a="1"/>
  <c r="M14" i="2" s="1"/>
  <c r="I14" i="2" a="1"/>
  <c r="I14" i="2" s="1"/>
  <c r="AN13" i="2"/>
  <c r="AM13" i="2"/>
  <c r="AI13" i="2"/>
  <c r="Y13" i="2"/>
  <c r="V13" i="2" a="1"/>
  <c r="V13" i="2" s="1"/>
  <c r="AQ13" i="2" s="1"/>
  <c r="M13" i="2" a="1"/>
  <c r="M13" i="2" s="1"/>
  <c r="I13" i="2" a="1"/>
  <c r="I13" i="2" s="1"/>
  <c r="AN12" i="2"/>
  <c r="AM12" i="2"/>
  <c r="AI12" i="2"/>
  <c r="Y12" i="2"/>
  <c r="V12" i="2" a="1"/>
  <c r="V12" i="2" s="1"/>
  <c r="AQ12" i="2" s="1"/>
  <c r="M12" i="2" a="1"/>
  <c r="M12" i="2" s="1"/>
  <c r="I12" i="2" a="1"/>
  <c r="I12" i="2" s="1"/>
  <c r="AN11" i="2"/>
  <c r="AM11" i="2"/>
  <c r="AI11" i="2"/>
  <c r="Y11" i="2"/>
  <c r="V11" i="2" a="1"/>
  <c r="V11" i="2" s="1"/>
  <c r="AQ11" i="2" s="1"/>
  <c r="M11" i="2" a="1"/>
  <c r="M11" i="2" s="1"/>
  <c r="I11" i="2" a="1"/>
  <c r="I11" i="2" s="1"/>
  <c r="AN10" i="2"/>
  <c r="AM10" i="2"/>
  <c r="AI10" i="2"/>
  <c r="Y10" i="2"/>
  <c r="V10" i="2" a="1"/>
  <c r="V10" i="2" s="1"/>
  <c r="AQ10" i="2" s="1"/>
  <c r="M10" i="2" a="1"/>
  <c r="M10" i="2" s="1"/>
  <c r="I10" i="2" a="1"/>
  <c r="I10" i="2" s="1"/>
  <c r="AN9" i="2"/>
  <c r="AM9" i="2"/>
  <c r="AI9" i="2"/>
  <c r="Y9" i="2"/>
  <c r="V9" i="2" a="1"/>
  <c r="V9" i="2" s="1"/>
  <c r="AQ9" i="2" s="1"/>
  <c r="M9" i="2" a="1"/>
  <c r="M9" i="2" s="1"/>
  <c r="I9" i="2" a="1"/>
  <c r="I9" i="2" s="1"/>
  <c r="AN8" i="2"/>
  <c r="AM8" i="2"/>
  <c r="AI8" i="2"/>
  <c r="Y8" i="2"/>
  <c r="V8" i="2" a="1"/>
  <c r="V8" i="2" s="1"/>
  <c r="AQ8" i="2" s="1"/>
  <c r="M8" i="2" a="1"/>
  <c r="M8" i="2" s="1"/>
  <c r="I8" i="2" a="1"/>
  <c r="I8" i="2" s="1"/>
  <c r="AN7" i="2"/>
  <c r="AM7" i="2"/>
  <c r="AI7" i="2"/>
  <c r="Y7" i="2"/>
  <c r="V7" i="2" a="1"/>
  <c r="V7" i="2" s="1"/>
  <c r="AQ7" i="2" s="1"/>
  <c r="M7" i="2" a="1"/>
  <c r="M7" i="2" s="1"/>
  <c r="I7" i="2" a="1"/>
  <c r="I7" i="2" s="1"/>
  <c r="AN6" i="2"/>
  <c r="AM6" i="2"/>
  <c r="AI6" i="2"/>
  <c r="Y6" i="2"/>
  <c r="V6" i="2" a="1"/>
  <c r="V6" i="2" s="1"/>
  <c r="AQ6" i="2" s="1"/>
  <c r="M6" i="2" a="1"/>
  <c r="M6" i="2" s="1"/>
  <c r="I6" i="2" a="1"/>
  <c r="I6" i="2" s="1"/>
  <c r="AN5" i="2"/>
  <c r="AM5" i="2"/>
  <c r="AI5" i="2"/>
  <c r="Y5" i="2"/>
  <c r="V5" i="2" a="1"/>
  <c r="V5" i="2" s="1"/>
  <c r="AQ5" i="2" s="1"/>
  <c r="M5" i="2" a="1"/>
  <c r="M5" i="2" s="1"/>
  <c r="I5" i="2" a="1"/>
  <c r="I5" i="2" s="1"/>
  <c r="AN4" i="2"/>
  <c r="AM4" i="2"/>
  <c r="AI4" i="2"/>
  <c r="Y4" i="2"/>
  <c r="V4" i="2" a="1"/>
  <c r="V4" i="2" s="1"/>
  <c r="AQ4" i="2" s="1"/>
  <c r="M4" i="2" a="1"/>
  <c r="M4" i="2" s="1"/>
  <c r="I4" i="2" a="1"/>
  <c r="I4" i="2" s="1"/>
  <c r="AN3" i="2"/>
  <c r="AM3" i="2"/>
  <c r="AI3" i="2"/>
  <c r="Y3" i="2"/>
  <c r="V3" i="2" a="1"/>
  <c r="V3" i="2" s="1"/>
  <c r="AQ3" i="2" s="1"/>
  <c r="M3" i="2" a="1"/>
  <c r="M3" i="2" s="1"/>
  <c r="I3" i="2" a="1"/>
  <c r="I3" i="2" s="1"/>
  <c r="AN2" i="2"/>
  <c r="AM2" i="2"/>
  <c r="AI2" i="2"/>
  <c r="Y2" i="2"/>
  <c r="V2" i="2" a="1"/>
  <c r="V2" i="2" s="1"/>
  <c r="AQ2" i="2" s="1"/>
  <c r="M2" i="2" a="1"/>
  <c r="M2" i="2" s="1"/>
  <c r="I2" i="2" a="1"/>
  <c r="I2" i="2" s="1"/>
  <c r="X2" i="2" l="1"/>
  <c r="AP3" i="2"/>
  <c r="X6" i="2"/>
  <c r="AP7" i="2"/>
  <c r="X10" i="2"/>
  <c r="AP11" i="2"/>
  <c r="X14" i="2"/>
  <c r="AP15" i="2"/>
  <c r="X18" i="2"/>
  <c r="AP19" i="2"/>
  <c r="X22" i="2"/>
  <c r="AP23" i="2"/>
  <c r="X26" i="2"/>
  <c r="AP27" i="2"/>
  <c r="X30" i="2"/>
  <c r="AP31" i="2"/>
  <c r="X34" i="2"/>
  <c r="AP35" i="2"/>
  <c r="X38" i="2"/>
  <c r="AP39" i="2"/>
  <c r="X42" i="2"/>
  <c r="AP43" i="2"/>
  <c r="X46" i="2"/>
  <c r="AP47" i="2"/>
  <c r="X50" i="2"/>
  <c r="AP51" i="2"/>
  <c r="X54" i="2"/>
  <c r="AP55" i="2"/>
  <c r="X58" i="2"/>
  <c r="AP59" i="2"/>
  <c r="X62" i="2"/>
  <c r="AP63" i="2"/>
  <c r="X66" i="2"/>
  <c r="AP67" i="2"/>
  <c r="X70" i="2"/>
  <c r="AP71" i="2"/>
  <c r="X74" i="2"/>
  <c r="AP75" i="2"/>
  <c r="X78" i="2"/>
  <c r="AP79" i="2"/>
  <c r="X82" i="2"/>
  <c r="AP83" i="2"/>
  <c r="X86" i="2"/>
  <c r="AP87" i="2"/>
  <c r="X90" i="2"/>
  <c r="AP91" i="2"/>
  <c r="X94" i="2"/>
  <c r="AP95" i="2"/>
  <c r="X98" i="2"/>
  <c r="AP99" i="2"/>
  <c r="X102" i="2"/>
  <c r="AP103" i="2"/>
  <c r="X106" i="2"/>
  <c r="AP107" i="2"/>
  <c r="X110" i="2"/>
  <c r="AP111" i="2"/>
  <c r="X114" i="2"/>
  <c r="AP115" i="2"/>
  <c r="X118" i="2"/>
  <c r="AP119" i="2"/>
  <c r="X122" i="2"/>
  <c r="AP123" i="2"/>
  <c r="X126" i="2"/>
  <c r="AP127" i="2"/>
  <c r="X130" i="2"/>
  <c r="AP131" i="2"/>
  <c r="X134" i="2"/>
  <c r="AP135" i="2"/>
  <c r="X138" i="2"/>
  <c r="AP139" i="2"/>
  <c r="X142" i="2"/>
  <c r="AP143" i="2"/>
  <c r="X146" i="2"/>
  <c r="AP147" i="2"/>
  <c r="X150" i="2"/>
  <c r="AP151" i="2"/>
  <c r="X154" i="2"/>
  <c r="AP155" i="2"/>
  <c r="X158" i="2"/>
  <c r="AP159" i="2"/>
  <c r="X162" i="2"/>
  <c r="AP163" i="2"/>
  <c r="X166" i="2"/>
  <c r="AP167" i="2"/>
  <c r="X170" i="2"/>
  <c r="AP171" i="2"/>
  <c r="X174" i="2"/>
  <c r="AP175" i="2"/>
  <c r="X178" i="2"/>
  <c r="AP179" i="2"/>
  <c r="X182" i="2"/>
  <c r="AP183" i="2"/>
  <c r="X186" i="2"/>
  <c r="AP187" i="2"/>
  <c r="X190" i="2"/>
  <c r="AP191" i="2"/>
  <c r="AQ193" i="2"/>
  <c r="AP193" i="2"/>
  <c r="AP196" i="2"/>
  <c r="AO196" i="2" s="1"/>
  <c r="AD196" i="2"/>
  <c r="AB196" i="2"/>
  <c r="X196" i="2"/>
  <c r="X203" i="2"/>
  <c r="AE2" i="2"/>
  <c r="AA2" i="2"/>
  <c r="AP2" i="2"/>
  <c r="AO2" i="2" s="1"/>
  <c r="AD2" i="2"/>
  <c r="Z2" i="2"/>
  <c r="AC2" i="2"/>
  <c r="AF2" i="2"/>
  <c r="AB2" i="2"/>
  <c r="X5" i="2"/>
  <c r="AP6" i="2"/>
  <c r="AO6" i="2" s="1"/>
  <c r="AD6" i="2"/>
  <c r="Z6" i="2"/>
  <c r="AF6" i="2"/>
  <c r="AB6" i="2"/>
  <c r="AE6" i="2"/>
  <c r="AA6" i="2"/>
  <c r="AC6" i="2"/>
  <c r="X9" i="2"/>
  <c r="AP10" i="2"/>
  <c r="AO10" i="2" s="1"/>
  <c r="AD10" i="2"/>
  <c r="Z10" i="2"/>
  <c r="AC10" i="2"/>
  <c r="AF10" i="2"/>
  <c r="AB10" i="2"/>
  <c r="AE10" i="2"/>
  <c r="AA10" i="2"/>
  <c r="X13" i="2"/>
  <c r="AP14" i="2"/>
  <c r="AO14" i="2" s="1"/>
  <c r="AD14" i="2"/>
  <c r="Z14" i="2"/>
  <c r="AC14" i="2"/>
  <c r="AF14" i="2"/>
  <c r="AB14" i="2"/>
  <c r="AE14" i="2"/>
  <c r="AA14" i="2"/>
  <c r="X17" i="2"/>
  <c r="AP18" i="2"/>
  <c r="AO18" i="2" s="1"/>
  <c r="AD18" i="2"/>
  <c r="Z18" i="2"/>
  <c r="AC18" i="2"/>
  <c r="AF18" i="2"/>
  <c r="AB18" i="2"/>
  <c r="AE18" i="2"/>
  <c r="AA18" i="2"/>
  <c r="X21" i="2"/>
  <c r="AE22" i="2"/>
  <c r="AA22" i="2"/>
  <c r="AP22" i="2"/>
  <c r="AO22" i="2" s="1"/>
  <c r="AD22" i="2"/>
  <c r="Z22" i="2"/>
  <c r="AC22" i="2"/>
  <c r="AF22" i="2"/>
  <c r="AB22" i="2"/>
  <c r="X25" i="2"/>
  <c r="AE26" i="2"/>
  <c r="AA26" i="2"/>
  <c r="AP26" i="2"/>
  <c r="AO26" i="2" s="1"/>
  <c r="AD26" i="2"/>
  <c r="Z26" i="2"/>
  <c r="AC26" i="2"/>
  <c r="AF26" i="2"/>
  <c r="AB26" i="2"/>
  <c r="X29" i="2"/>
  <c r="AE30" i="2"/>
  <c r="AA30" i="2"/>
  <c r="AP30" i="2"/>
  <c r="AO30" i="2" s="1"/>
  <c r="AD30" i="2"/>
  <c r="Z30" i="2"/>
  <c r="AC30" i="2"/>
  <c r="AF30" i="2"/>
  <c r="AB30" i="2"/>
  <c r="X33" i="2"/>
  <c r="AE34" i="2"/>
  <c r="AA34" i="2"/>
  <c r="AP34" i="2"/>
  <c r="AO34" i="2" s="1"/>
  <c r="AD34" i="2"/>
  <c r="Z34" i="2"/>
  <c r="AC34" i="2"/>
  <c r="AF34" i="2"/>
  <c r="AB34" i="2"/>
  <c r="X37" i="2"/>
  <c r="AE38" i="2"/>
  <c r="AA38" i="2"/>
  <c r="AP38" i="2"/>
  <c r="AO38" i="2" s="1"/>
  <c r="AD38" i="2"/>
  <c r="Z38" i="2"/>
  <c r="AC38" i="2"/>
  <c r="AF38" i="2"/>
  <c r="AB38" i="2"/>
  <c r="X41" i="2"/>
  <c r="AE42" i="2"/>
  <c r="AA42" i="2"/>
  <c r="AP42" i="2"/>
  <c r="AO42" i="2" s="1"/>
  <c r="AD42" i="2"/>
  <c r="Z42" i="2"/>
  <c r="AC42" i="2"/>
  <c r="AF42" i="2"/>
  <c r="AB42" i="2"/>
  <c r="X45" i="2"/>
  <c r="AP46" i="2"/>
  <c r="AO46" i="2" s="1"/>
  <c r="AD46" i="2"/>
  <c r="Z46" i="2"/>
  <c r="AC46" i="2"/>
  <c r="AF46" i="2"/>
  <c r="AB46" i="2"/>
  <c r="AE46" i="2"/>
  <c r="AA46" i="2"/>
  <c r="X49" i="2"/>
  <c r="AE50" i="2"/>
  <c r="AA50" i="2"/>
  <c r="AP50" i="2"/>
  <c r="AO50" i="2" s="1"/>
  <c r="AD50" i="2"/>
  <c r="Z50" i="2"/>
  <c r="AC50" i="2"/>
  <c r="AF50" i="2"/>
  <c r="AB50" i="2"/>
  <c r="X53" i="2"/>
  <c r="AE54" i="2"/>
  <c r="AA54" i="2"/>
  <c r="AP54" i="2"/>
  <c r="AO54" i="2" s="1"/>
  <c r="AD54" i="2"/>
  <c r="Z54" i="2"/>
  <c r="AC54" i="2"/>
  <c r="AF54" i="2"/>
  <c r="AB54" i="2"/>
  <c r="X57" i="2"/>
  <c r="AE58" i="2"/>
  <c r="AA58" i="2"/>
  <c r="AP58" i="2"/>
  <c r="AO58" i="2" s="1"/>
  <c r="AD58" i="2"/>
  <c r="Z58" i="2"/>
  <c r="AC58" i="2"/>
  <c r="AF58" i="2"/>
  <c r="AB58" i="2"/>
  <c r="X61" i="2"/>
  <c r="AE62" i="2"/>
  <c r="AA62" i="2"/>
  <c r="AP62" i="2"/>
  <c r="AO62" i="2" s="1"/>
  <c r="AD62" i="2"/>
  <c r="Z62" i="2"/>
  <c r="AC62" i="2"/>
  <c r="AF62" i="2"/>
  <c r="AB62" i="2"/>
  <c r="X65" i="2"/>
  <c r="AP66" i="2"/>
  <c r="AO66" i="2" s="1"/>
  <c r="AD66" i="2"/>
  <c r="Z66" i="2"/>
  <c r="AC66" i="2"/>
  <c r="AF66" i="2"/>
  <c r="AB66" i="2"/>
  <c r="AE66" i="2"/>
  <c r="AA66" i="2"/>
  <c r="X69" i="2"/>
  <c r="AP70" i="2"/>
  <c r="AO70" i="2" s="1"/>
  <c r="AD70" i="2"/>
  <c r="Z70" i="2"/>
  <c r="AC70" i="2"/>
  <c r="AF70" i="2"/>
  <c r="AB70" i="2"/>
  <c r="AE70" i="2"/>
  <c r="AA70" i="2"/>
  <c r="X73" i="2"/>
  <c r="AP74" i="2"/>
  <c r="AO74" i="2" s="1"/>
  <c r="AD74" i="2"/>
  <c r="Z74" i="2"/>
  <c r="AC74" i="2"/>
  <c r="AF74" i="2"/>
  <c r="AB74" i="2"/>
  <c r="AE74" i="2"/>
  <c r="AA74" i="2"/>
  <c r="X77" i="2"/>
  <c r="AP78" i="2"/>
  <c r="AO78" i="2" s="1"/>
  <c r="AD78" i="2"/>
  <c r="Z78" i="2"/>
  <c r="AC78" i="2"/>
  <c r="AF78" i="2"/>
  <c r="AB78" i="2"/>
  <c r="AE78" i="2"/>
  <c r="AA78" i="2"/>
  <c r="X81" i="2"/>
  <c r="AE82" i="2"/>
  <c r="AA82" i="2"/>
  <c r="AP82" i="2"/>
  <c r="AO82" i="2" s="1"/>
  <c r="AD82" i="2"/>
  <c r="Z82" i="2"/>
  <c r="AC82" i="2"/>
  <c r="AF82" i="2"/>
  <c r="AB82" i="2"/>
  <c r="X85" i="2"/>
  <c r="AP86" i="2"/>
  <c r="AO86" i="2" s="1"/>
  <c r="AD86" i="2"/>
  <c r="Z86" i="2"/>
  <c r="AC86" i="2"/>
  <c r="AF86" i="2"/>
  <c r="AB86" i="2"/>
  <c r="AE86" i="2"/>
  <c r="AA86" i="2"/>
  <c r="X89" i="2"/>
  <c r="AP90" i="2"/>
  <c r="AO90" i="2" s="1"/>
  <c r="AD90" i="2"/>
  <c r="Z90" i="2"/>
  <c r="AC90" i="2"/>
  <c r="AF90" i="2"/>
  <c r="AB90" i="2"/>
  <c r="AE90" i="2"/>
  <c r="AA90" i="2"/>
  <c r="X93" i="2"/>
  <c r="AP94" i="2"/>
  <c r="AO94" i="2" s="1"/>
  <c r="AD94" i="2"/>
  <c r="Z94" i="2"/>
  <c r="AC94" i="2"/>
  <c r="AF94" i="2"/>
  <c r="AB94" i="2"/>
  <c r="AE94" i="2"/>
  <c r="AA94" i="2"/>
  <c r="X97" i="2"/>
  <c r="AE98" i="2"/>
  <c r="AA98" i="2"/>
  <c r="AP98" i="2"/>
  <c r="AO98" i="2" s="1"/>
  <c r="AD98" i="2"/>
  <c r="Z98" i="2"/>
  <c r="AC98" i="2"/>
  <c r="AF98" i="2"/>
  <c r="AB98" i="2"/>
  <c r="X101" i="2"/>
  <c r="AE102" i="2"/>
  <c r="AA102" i="2"/>
  <c r="AP102" i="2"/>
  <c r="AO102" i="2" s="1"/>
  <c r="AD102" i="2"/>
  <c r="Z102" i="2"/>
  <c r="AC102" i="2"/>
  <c r="AF102" i="2"/>
  <c r="AB102" i="2"/>
  <c r="X105" i="2"/>
  <c r="AE106" i="2"/>
  <c r="AA106" i="2"/>
  <c r="AP106" i="2"/>
  <c r="AO106" i="2" s="1"/>
  <c r="AD106" i="2"/>
  <c r="Z106" i="2"/>
  <c r="AC106" i="2"/>
  <c r="AF106" i="2"/>
  <c r="AB106" i="2"/>
  <c r="X109" i="2"/>
  <c r="AE110" i="2"/>
  <c r="AA110" i="2"/>
  <c r="AP110" i="2"/>
  <c r="AO110" i="2" s="1"/>
  <c r="AD110" i="2"/>
  <c r="Z110" i="2"/>
  <c r="AC110" i="2"/>
  <c r="AF110" i="2"/>
  <c r="AB110" i="2"/>
  <c r="X113" i="2"/>
  <c r="AE114" i="2"/>
  <c r="AA114" i="2"/>
  <c r="AP114" i="2"/>
  <c r="AO114" i="2" s="1"/>
  <c r="AD114" i="2"/>
  <c r="Z114" i="2"/>
  <c r="AC114" i="2"/>
  <c r="AF114" i="2"/>
  <c r="AB114" i="2"/>
  <c r="X117" i="2"/>
  <c r="AE118" i="2"/>
  <c r="AA118" i="2"/>
  <c r="AP118" i="2"/>
  <c r="AO118" i="2" s="1"/>
  <c r="AD118" i="2"/>
  <c r="Z118" i="2"/>
  <c r="AC118" i="2"/>
  <c r="AF118" i="2"/>
  <c r="AB118" i="2"/>
  <c r="X121" i="2"/>
  <c r="AP122" i="2"/>
  <c r="AO122" i="2" s="1"/>
  <c r="AD122" i="2"/>
  <c r="Z122" i="2"/>
  <c r="AC122" i="2"/>
  <c r="AF122" i="2"/>
  <c r="AB122" i="2"/>
  <c r="AE122" i="2"/>
  <c r="AA122" i="2"/>
  <c r="X125" i="2"/>
  <c r="AP126" i="2"/>
  <c r="AO126" i="2" s="1"/>
  <c r="AD126" i="2"/>
  <c r="Z126" i="2"/>
  <c r="AC126" i="2"/>
  <c r="AF126" i="2"/>
  <c r="AB126" i="2"/>
  <c r="AE126" i="2"/>
  <c r="AA126" i="2"/>
  <c r="X129" i="2"/>
  <c r="AP130" i="2"/>
  <c r="AO130" i="2" s="1"/>
  <c r="AD130" i="2"/>
  <c r="Z130" i="2"/>
  <c r="AC130" i="2"/>
  <c r="AF130" i="2"/>
  <c r="AB130" i="2"/>
  <c r="AE130" i="2"/>
  <c r="AA130" i="2"/>
  <c r="X133" i="2"/>
  <c r="AE134" i="2"/>
  <c r="AA134" i="2"/>
  <c r="AP134" i="2"/>
  <c r="AO134" i="2" s="1"/>
  <c r="AD134" i="2"/>
  <c r="Z134" i="2"/>
  <c r="AC134" i="2"/>
  <c r="AF134" i="2"/>
  <c r="AB134" i="2"/>
  <c r="X137" i="2"/>
  <c r="AE138" i="2"/>
  <c r="AA138" i="2"/>
  <c r="AP138" i="2"/>
  <c r="AO138" i="2" s="1"/>
  <c r="AD138" i="2"/>
  <c r="Z138" i="2"/>
  <c r="AC138" i="2"/>
  <c r="AF138" i="2"/>
  <c r="AB138" i="2"/>
  <c r="X141" i="2"/>
  <c r="AE142" i="2"/>
  <c r="AA142" i="2"/>
  <c r="AP142" i="2"/>
  <c r="AO142" i="2" s="1"/>
  <c r="AD142" i="2"/>
  <c r="Z142" i="2"/>
  <c r="AC142" i="2"/>
  <c r="AF142" i="2"/>
  <c r="AB142" i="2"/>
  <c r="X145" i="2"/>
  <c r="AP146" i="2"/>
  <c r="AO146" i="2" s="1"/>
  <c r="AD146" i="2"/>
  <c r="Z146" i="2"/>
  <c r="AC146" i="2"/>
  <c r="AF146" i="2"/>
  <c r="AB146" i="2"/>
  <c r="AE146" i="2"/>
  <c r="AA146" i="2"/>
  <c r="X149" i="2"/>
  <c r="AP150" i="2"/>
  <c r="AO150" i="2" s="1"/>
  <c r="AD150" i="2"/>
  <c r="Z150" i="2"/>
  <c r="AC150" i="2"/>
  <c r="AF150" i="2"/>
  <c r="AB150" i="2"/>
  <c r="AE150" i="2"/>
  <c r="AA150" i="2"/>
  <c r="X153" i="2"/>
  <c r="AE154" i="2"/>
  <c r="AA154" i="2"/>
  <c r="AP154" i="2"/>
  <c r="AO154" i="2" s="1"/>
  <c r="AD154" i="2"/>
  <c r="Z154" i="2"/>
  <c r="AC154" i="2"/>
  <c r="AF154" i="2"/>
  <c r="AB154" i="2"/>
  <c r="X157" i="2"/>
  <c r="AP158" i="2"/>
  <c r="AO158" i="2" s="1"/>
  <c r="AD158" i="2"/>
  <c r="Z158" i="2"/>
  <c r="AC158" i="2"/>
  <c r="AF158" i="2"/>
  <c r="AB158" i="2"/>
  <c r="AE158" i="2"/>
  <c r="AA158" i="2"/>
  <c r="X161" i="2"/>
  <c r="AP162" i="2"/>
  <c r="AO162" i="2" s="1"/>
  <c r="AD162" i="2"/>
  <c r="Z162" i="2"/>
  <c r="AC162" i="2"/>
  <c r="AF162" i="2"/>
  <c r="AB162" i="2"/>
  <c r="AE162" i="2"/>
  <c r="AA162" i="2"/>
  <c r="X165" i="2"/>
  <c r="AE166" i="2"/>
  <c r="AA166" i="2"/>
  <c r="AP166" i="2"/>
  <c r="AO166" i="2" s="1"/>
  <c r="AD166" i="2"/>
  <c r="Z166" i="2"/>
  <c r="AC166" i="2"/>
  <c r="AF166" i="2"/>
  <c r="AB166" i="2"/>
  <c r="X169" i="2"/>
  <c r="AP170" i="2"/>
  <c r="AO170" i="2" s="1"/>
  <c r="AD170" i="2"/>
  <c r="Z170" i="2"/>
  <c r="AC170" i="2"/>
  <c r="AF170" i="2"/>
  <c r="AB170" i="2"/>
  <c r="AE170" i="2"/>
  <c r="AA170" i="2"/>
  <c r="X173" i="2"/>
  <c r="AE174" i="2"/>
  <c r="AA174" i="2"/>
  <c r="AP174" i="2"/>
  <c r="AO174" i="2" s="1"/>
  <c r="AD174" i="2"/>
  <c r="Z174" i="2"/>
  <c r="AC174" i="2"/>
  <c r="AF174" i="2"/>
  <c r="AB174" i="2"/>
  <c r="X177" i="2"/>
  <c r="AE178" i="2"/>
  <c r="AA178" i="2"/>
  <c r="AP178" i="2"/>
  <c r="AO178" i="2" s="1"/>
  <c r="AD178" i="2"/>
  <c r="Z178" i="2"/>
  <c r="AC178" i="2"/>
  <c r="AF178" i="2"/>
  <c r="AB178" i="2"/>
  <c r="X181" i="2"/>
  <c r="AE182" i="2"/>
  <c r="AA182" i="2"/>
  <c r="AP182" i="2"/>
  <c r="AO182" i="2" s="1"/>
  <c r="AD182" i="2"/>
  <c r="Z182" i="2"/>
  <c r="AC182" i="2"/>
  <c r="AF182" i="2"/>
  <c r="AB182" i="2"/>
  <c r="X185" i="2"/>
  <c r="AP186" i="2"/>
  <c r="AO186" i="2" s="1"/>
  <c r="AD186" i="2"/>
  <c r="Z186" i="2"/>
  <c r="AC186" i="2"/>
  <c r="AF186" i="2"/>
  <c r="AB186" i="2"/>
  <c r="AE186" i="2"/>
  <c r="AA186" i="2"/>
  <c r="X189" i="2"/>
  <c r="AP190" i="2"/>
  <c r="AO190" i="2" s="1"/>
  <c r="AD190" i="2"/>
  <c r="Z190" i="2"/>
  <c r="AC190" i="2"/>
  <c r="AF190" i="2"/>
  <c r="AB190" i="2"/>
  <c r="AE190" i="2"/>
  <c r="AA190" i="2"/>
  <c r="AO193" i="2"/>
  <c r="X193" i="2"/>
  <c r="AE193" i="2"/>
  <c r="AD193" i="2"/>
  <c r="Z193" i="2"/>
  <c r="AQ195" i="2"/>
  <c r="AP195" i="2"/>
  <c r="X201" i="2"/>
  <c r="AF201" i="2" s="1"/>
  <c r="AA201" i="2"/>
  <c r="Z201" i="2"/>
  <c r="AP203" i="2"/>
  <c r="AO203" i="2" s="1"/>
  <c r="AO207" i="2"/>
  <c r="X207" i="2"/>
  <c r="X4" i="2"/>
  <c r="AC5" i="2"/>
  <c r="AF5" i="2"/>
  <c r="AB5" i="2"/>
  <c r="AP5" i="2"/>
  <c r="AO5" i="2" s="1"/>
  <c r="AD5" i="2"/>
  <c r="Z5" i="2"/>
  <c r="AE5" i="2"/>
  <c r="AA5" i="2"/>
  <c r="X8" i="2"/>
  <c r="AC9" i="2"/>
  <c r="AF9" i="2"/>
  <c r="AB9" i="2"/>
  <c r="AE9" i="2"/>
  <c r="AA9" i="2"/>
  <c r="AP9" i="2"/>
  <c r="AO9" i="2" s="1"/>
  <c r="AD9" i="2"/>
  <c r="Z9" i="2"/>
  <c r="X12" i="2"/>
  <c r="AC13" i="2"/>
  <c r="AF13" i="2"/>
  <c r="AB13" i="2"/>
  <c r="AE13" i="2"/>
  <c r="AA13" i="2"/>
  <c r="AP13" i="2"/>
  <c r="AO13" i="2" s="1"/>
  <c r="AD13" i="2"/>
  <c r="Z13" i="2"/>
  <c r="X16" i="2"/>
  <c r="AF17" i="2"/>
  <c r="AB17" i="2"/>
  <c r="AE17" i="2"/>
  <c r="AA17" i="2"/>
  <c r="AP17" i="2"/>
  <c r="AO17" i="2" s="1"/>
  <c r="AD17" i="2"/>
  <c r="Z17" i="2"/>
  <c r="AC17" i="2"/>
  <c r="X20" i="2"/>
  <c r="AC21" i="2"/>
  <c r="AF21" i="2"/>
  <c r="AB21" i="2"/>
  <c r="AE21" i="2"/>
  <c r="AA21" i="2"/>
  <c r="AP21" i="2"/>
  <c r="AO21" i="2" s="1"/>
  <c r="AD21" i="2"/>
  <c r="Z21" i="2"/>
  <c r="X24" i="2"/>
  <c r="AC25" i="2"/>
  <c r="AF25" i="2"/>
  <c r="AB25" i="2"/>
  <c r="AE25" i="2"/>
  <c r="AA25" i="2"/>
  <c r="AP25" i="2"/>
  <c r="AO25" i="2" s="1"/>
  <c r="AD25" i="2"/>
  <c r="Z25" i="2"/>
  <c r="X28" i="2"/>
  <c r="AC29" i="2"/>
  <c r="AF29" i="2"/>
  <c r="AB29" i="2"/>
  <c r="AE29" i="2"/>
  <c r="AA29" i="2"/>
  <c r="AP29" i="2"/>
  <c r="AO29" i="2" s="1"/>
  <c r="AD29" i="2"/>
  <c r="Z29" i="2"/>
  <c r="X32" i="2"/>
  <c r="AC33" i="2"/>
  <c r="AF33" i="2"/>
  <c r="AB33" i="2"/>
  <c r="AE33" i="2"/>
  <c r="AA33" i="2"/>
  <c r="AP33" i="2"/>
  <c r="AO33" i="2" s="1"/>
  <c r="AD33" i="2"/>
  <c r="Z33" i="2"/>
  <c r="X36" i="2"/>
  <c r="AF37" i="2"/>
  <c r="AB37" i="2"/>
  <c r="AE37" i="2"/>
  <c r="AA37" i="2"/>
  <c r="AP37" i="2"/>
  <c r="AO37" i="2" s="1"/>
  <c r="AD37" i="2"/>
  <c r="Z37" i="2"/>
  <c r="AC37" i="2"/>
  <c r="X40" i="2"/>
  <c r="AC41" i="2"/>
  <c r="AF41" i="2"/>
  <c r="AB41" i="2"/>
  <c r="AE41" i="2"/>
  <c r="AA41" i="2"/>
  <c r="AP41" i="2"/>
  <c r="AO41" i="2" s="1"/>
  <c r="AD41" i="2"/>
  <c r="Z41" i="2"/>
  <c r="X44" i="2"/>
  <c r="AF45" i="2"/>
  <c r="AB45" i="2"/>
  <c r="AE45" i="2"/>
  <c r="AA45" i="2"/>
  <c r="AP45" i="2"/>
  <c r="AO45" i="2" s="1"/>
  <c r="AD45" i="2"/>
  <c r="Z45" i="2"/>
  <c r="AC45" i="2"/>
  <c r="X48" i="2"/>
  <c r="AF49" i="2"/>
  <c r="AB49" i="2"/>
  <c r="AE49" i="2"/>
  <c r="AA49" i="2"/>
  <c r="AP49" i="2"/>
  <c r="AO49" i="2" s="1"/>
  <c r="AD49" i="2"/>
  <c r="Z49" i="2"/>
  <c r="AC49" i="2"/>
  <c r="X52" i="2"/>
  <c r="AC53" i="2"/>
  <c r="AF53" i="2"/>
  <c r="AB53" i="2"/>
  <c r="AE53" i="2"/>
  <c r="AA53" i="2"/>
  <c r="AP53" i="2"/>
  <c r="AO53" i="2" s="1"/>
  <c r="AD53" i="2"/>
  <c r="Z53" i="2"/>
  <c r="X56" i="2"/>
  <c r="AF57" i="2"/>
  <c r="AB57" i="2"/>
  <c r="AE57" i="2"/>
  <c r="AA57" i="2"/>
  <c r="AP57" i="2"/>
  <c r="AO57" i="2" s="1"/>
  <c r="AD57" i="2"/>
  <c r="Z57" i="2"/>
  <c r="AC57" i="2"/>
  <c r="X60" i="2"/>
  <c r="AF61" i="2"/>
  <c r="AB61" i="2"/>
  <c r="AE61" i="2"/>
  <c r="AA61" i="2"/>
  <c r="AP61" i="2"/>
  <c r="AO61" i="2" s="1"/>
  <c r="AD61" i="2"/>
  <c r="Z61" i="2"/>
  <c r="AC61" i="2"/>
  <c r="X64" i="2"/>
  <c r="AF65" i="2"/>
  <c r="AB65" i="2"/>
  <c r="AE65" i="2"/>
  <c r="AA65" i="2"/>
  <c r="AP65" i="2"/>
  <c r="AO65" i="2" s="1"/>
  <c r="AD65" i="2"/>
  <c r="Z65" i="2"/>
  <c r="AC65" i="2"/>
  <c r="X68" i="2"/>
  <c r="AF69" i="2"/>
  <c r="AB69" i="2"/>
  <c r="AE69" i="2"/>
  <c r="AA69" i="2"/>
  <c r="AP69" i="2"/>
  <c r="AO69" i="2" s="1"/>
  <c r="AD69" i="2"/>
  <c r="Z69" i="2"/>
  <c r="AC69" i="2"/>
  <c r="X72" i="2"/>
  <c r="AF73" i="2"/>
  <c r="AB73" i="2"/>
  <c r="AE73" i="2"/>
  <c r="AA73" i="2"/>
  <c r="AP73" i="2"/>
  <c r="AO73" i="2" s="1"/>
  <c r="AD73" i="2"/>
  <c r="Z73" i="2"/>
  <c r="AC73" i="2"/>
  <c r="X76" i="2"/>
  <c r="AF77" i="2"/>
  <c r="AB77" i="2"/>
  <c r="AE77" i="2"/>
  <c r="AA77" i="2"/>
  <c r="AP77" i="2"/>
  <c r="AO77" i="2" s="1"/>
  <c r="AD77" i="2"/>
  <c r="Z77" i="2"/>
  <c r="AC77" i="2"/>
  <c r="X80" i="2"/>
  <c r="AC81" i="2"/>
  <c r="AF81" i="2"/>
  <c r="AB81" i="2"/>
  <c r="AE81" i="2"/>
  <c r="AA81" i="2"/>
  <c r="AP81" i="2"/>
  <c r="AO81" i="2" s="1"/>
  <c r="AD81" i="2"/>
  <c r="Z81" i="2"/>
  <c r="X84" i="2"/>
  <c r="AC85" i="2"/>
  <c r="AF85" i="2"/>
  <c r="AB85" i="2"/>
  <c r="AE85" i="2"/>
  <c r="AA85" i="2"/>
  <c r="AP85" i="2"/>
  <c r="AO85" i="2" s="1"/>
  <c r="AD85" i="2"/>
  <c r="Z85" i="2"/>
  <c r="X88" i="2"/>
  <c r="AF89" i="2"/>
  <c r="AB89" i="2"/>
  <c r="AE89" i="2"/>
  <c r="AA89" i="2"/>
  <c r="AP89" i="2"/>
  <c r="AO89" i="2" s="1"/>
  <c r="AD89" i="2"/>
  <c r="Z89" i="2"/>
  <c r="AC89" i="2"/>
  <c r="X92" i="2"/>
  <c r="AF93" i="2"/>
  <c r="AB93" i="2"/>
  <c r="AE93" i="2"/>
  <c r="AA93" i="2"/>
  <c r="AP93" i="2"/>
  <c r="AO93" i="2" s="1"/>
  <c r="AD93" i="2"/>
  <c r="Z93" i="2"/>
  <c r="AC93" i="2"/>
  <c r="X96" i="2"/>
  <c r="AF97" i="2"/>
  <c r="AB97" i="2"/>
  <c r="AE97" i="2"/>
  <c r="AA97" i="2"/>
  <c r="AP97" i="2"/>
  <c r="AO97" i="2" s="1"/>
  <c r="AD97" i="2"/>
  <c r="Z97" i="2"/>
  <c r="AC97" i="2"/>
  <c r="X100" i="2"/>
  <c r="AC101" i="2"/>
  <c r="AF101" i="2"/>
  <c r="AB101" i="2"/>
  <c r="AE101" i="2"/>
  <c r="AA101" i="2"/>
  <c r="AP101" i="2"/>
  <c r="AO101" i="2" s="1"/>
  <c r="AD101" i="2"/>
  <c r="Z101" i="2"/>
  <c r="X104" i="2"/>
  <c r="AF105" i="2"/>
  <c r="AB105" i="2"/>
  <c r="AE105" i="2"/>
  <c r="AA105" i="2"/>
  <c r="AP105" i="2"/>
  <c r="AO105" i="2" s="1"/>
  <c r="AD105" i="2"/>
  <c r="Z105" i="2"/>
  <c r="AC105" i="2"/>
  <c r="X108" i="2"/>
  <c r="AC109" i="2"/>
  <c r="AF109" i="2"/>
  <c r="AB109" i="2"/>
  <c r="AE109" i="2"/>
  <c r="AA109" i="2"/>
  <c r="AP109" i="2"/>
  <c r="AO109" i="2" s="1"/>
  <c r="AD109" i="2"/>
  <c r="Z109" i="2"/>
  <c r="X112" i="2"/>
  <c r="AC113" i="2"/>
  <c r="AF113" i="2"/>
  <c r="AB113" i="2"/>
  <c r="AE113" i="2"/>
  <c r="AA113" i="2"/>
  <c r="AP113" i="2"/>
  <c r="AO113" i="2" s="1"/>
  <c r="AD113" i="2"/>
  <c r="Z113" i="2"/>
  <c r="X116" i="2"/>
  <c r="AC117" i="2"/>
  <c r="AF117" i="2"/>
  <c r="AB117" i="2"/>
  <c r="AE117" i="2"/>
  <c r="AA117" i="2"/>
  <c r="AP117" i="2"/>
  <c r="AO117" i="2" s="1"/>
  <c r="AD117" i="2"/>
  <c r="Z117" i="2"/>
  <c r="X120" i="2"/>
  <c r="AF121" i="2"/>
  <c r="AB121" i="2"/>
  <c r="AE121" i="2"/>
  <c r="AA121" i="2"/>
  <c r="AP121" i="2"/>
  <c r="AO121" i="2" s="1"/>
  <c r="AD121" i="2"/>
  <c r="Z121" i="2"/>
  <c r="AC121" i="2"/>
  <c r="X124" i="2"/>
  <c r="AF125" i="2"/>
  <c r="AB125" i="2"/>
  <c r="AE125" i="2"/>
  <c r="AA125" i="2"/>
  <c r="AP125" i="2"/>
  <c r="AO125" i="2" s="1"/>
  <c r="AD125" i="2"/>
  <c r="Z125" i="2"/>
  <c r="AC125" i="2"/>
  <c r="X128" i="2"/>
  <c r="AF129" i="2"/>
  <c r="AB129" i="2"/>
  <c r="AE129" i="2"/>
  <c r="AA129" i="2"/>
  <c r="AP129" i="2"/>
  <c r="AO129" i="2" s="1"/>
  <c r="AD129" i="2"/>
  <c r="Z129" i="2"/>
  <c r="AC129" i="2"/>
  <c r="X132" i="2"/>
  <c r="AF133" i="2"/>
  <c r="AB133" i="2"/>
  <c r="AE133" i="2"/>
  <c r="AA133" i="2"/>
  <c r="AP133" i="2"/>
  <c r="AO133" i="2" s="1"/>
  <c r="AD133" i="2"/>
  <c r="Z133" i="2"/>
  <c r="AC133" i="2"/>
  <c r="X136" i="2"/>
  <c r="AC137" i="2"/>
  <c r="AF137" i="2"/>
  <c r="AB137" i="2"/>
  <c r="AE137" i="2"/>
  <c r="AA137" i="2"/>
  <c r="AP137" i="2"/>
  <c r="AO137" i="2" s="1"/>
  <c r="AD137" i="2"/>
  <c r="Z137" i="2"/>
  <c r="X140" i="2"/>
  <c r="AF141" i="2"/>
  <c r="AB141" i="2"/>
  <c r="AE141" i="2"/>
  <c r="AA141" i="2"/>
  <c r="AP141" i="2"/>
  <c r="AO141" i="2" s="1"/>
  <c r="AD141" i="2"/>
  <c r="Z141" i="2"/>
  <c r="AC141" i="2"/>
  <c r="X144" i="2"/>
  <c r="AF145" i="2"/>
  <c r="AB145" i="2"/>
  <c r="AE145" i="2"/>
  <c r="AA145" i="2"/>
  <c r="AP145" i="2"/>
  <c r="AO145" i="2" s="1"/>
  <c r="AD145" i="2"/>
  <c r="Z145" i="2"/>
  <c r="AC145" i="2"/>
  <c r="X148" i="2"/>
  <c r="AF149" i="2"/>
  <c r="AB149" i="2"/>
  <c r="AE149" i="2"/>
  <c r="AA149" i="2"/>
  <c r="AP149" i="2"/>
  <c r="AO149" i="2" s="1"/>
  <c r="AD149" i="2"/>
  <c r="Z149" i="2"/>
  <c r="AC149" i="2"/>
  <c r="X152" i="2"/>
  <c r="AF153" i="2"/>
  <c r="AB153" i="2"/>
  <c r="AE153" i="2"/>
  <c r="AA153" i="2"/>
  <c r="AP153" i="2"/>
  <c r="AO153" i="2" s="1"/>
  <c r="AD153" i="2"/>
  <c r="Z153" i="2"/>
  <c r="AC153" i="2"/>
  <c r="X156" i="2"/>
  <c r="AF157" i="2"/>
  <c r="AB157" i="2"/>
  <c r="AE157" i="2"/>
  <c r="AA157" i="2"/>
  <c r="AP157" i="2"/>
  <c r="AO157" i="2" s="1"/>
  <c r="AD157" i="2"/>
  <c r="Z157" i="2"/>
  <c r="AC157" i="2"/>
  <c r="X160" i="2"/>
  <c r="AC161" i="2"/>
  <c r="AF161" i="2"/>
  <c r="AB161" i="2"/>
  <c r="AE161" i="2"/>
  <c r="AA161" i="2"/>
  <c r="AP161" i="2"/>
  <c r="AO161" i="2" s="1"/>
  <c r="AD161" i="2"/>
  <c r="Z161" i="2"/>
  <c r="X164" i="2"/>
  <c r="AF165" i="2"/>
  <c r="AB165" i="2"/>
  <c r="AE165" i="2"/>
  <c r="AA165" i="2"/>
  <c r="AP165" i="2"/>
  <c r="AO165" i="2" s="1"/>
  <c r="AD165" i="2"/>
  <c r="Z165" i="2"/>
  <c r="AC165" i="2"/>
  <c r="X168" i="2"/>
  <c r="AF169" i="2"/>
  <c r="AB169" i="2"/>
  <c r="AE169" i="2"/>
  <c r="AA169" i="2"/>
  <c r="AP169" i="2"/>
  <c r="AO169" i="2" s="1"/>
  <c r="AD169" i="2"/>
  <c r="Z169" i="2"/>
  <c r="AC169" i="2"/>
  <c r="X172" i="2"/>
  <c r="AF173" i="2"/>
  <c r="AB173" i="2"/>
  <c r="AE173" i="2"/>
  <c r="AA173" i="2"/>
  <c r="AP173" i="2"/>
  <c r="AO173" i="2" s="1"/>
  <c r="AD173" i="2"/>
  <c r="Z173" i="2"/>
  <c r="AC173" i="2"/>
  <c r="X176" i="2"/>
  <c r="AF177" i="2"/>
  <c r="AB177" i="2"/>
  <c r="AE177" i="2"/>
  <c r="AA177" i="2"/>
  <c r="AP177" i="2"/>
  <c r="AO177" i="2" s="1"/>
  <c r="AD177" i="2"/>
  <c r="Z177" i="2"/>
  <c r="AC177" i="2"/>
  <c r="X180" i="2"/>
  <c r="AC181" i="2"/>
  <c r="AF181" i="2"/>
  <c r="AB181" i="2"/>
  <c r="AE181" i="2"/>
  <c r="AA181" i="2"/>
  <c r="AP181" i="2"/>
  <c r="AO181" i="2" s="1"/>
  <c r="AD181" i="2"/>
  <c r="Z181" i="2"/>
  <c r="X184" i="2"/>
  <c r="AF185" i="2"/>
  <c r="AB185" i="2"/>
  <c r="AE185" i="2"/>
  <c r="AA185" i="2"/>
  <c r="AP185" i="2"/>
  <c r="AO185" i="2" s="1"/>
  <c r="AD185" i="2"/>
  <c r="Z185" i="2"/>
  <c r="AC185" i="2"/>
  <c r="X188" i="2"/>
  <c r="AF189" i="2"/>
  <c r="AB189" i="2"/>
  <c r="AE189" i="2"/>
  <c r="AA189" i="2"/>
  <c r="AP189" i="2"/>
  <c r="AO189" i="2" s="1"/>
  <c r="AD189" i="2"/>
  <c r="Z189" i="2"/>
  <c r="AC189" i="2"/>
  <c r="X192" i="2"/>
  <c r="AO195" i="2"/>
  <c r="X195" i="2"/>
  <c r="AE195" i="2" s="1"/>
  <c r="AA195" i="2"/>
  <c r="Z195" i="2"/>
  <c r="AQ197" i="2"/>
  <c r="AP197" i="2"/>
  <c r="AB204" i="2"/>
  <c r="AP204" i="2"/>
  <c r="X204" i="2"/>
  <c r="AA204" i="2" s="1"/>
  <c r="AO3" i="2"/>
  <c r="X3" i="2"/>
  <c r="AF3" i="2" s="1"/>
  <c r="AE4" i="2"/>
  <c r="AA4" i="2"/>
  <c r="AP4" i="2"/>
  <c r="AO4" i="2" s="1"/>
  <c r="AD4" i="2"/>
  <c r="Z4" i="2"/>
  <c r="AC4" i="2"/>
  <c r="AF4" i="2"/>
  <c r="AB4" i="2"/>
  <c r="X7" i="2"/>
  <c r="AO7" i="2"/>
  <c r="AE8" i="2"/>
  <c r="AA8" i="2"/>
  <c r="AP8" i="2"/>
  <c r="AO8" i="2" s="1"/>
  <c r="AD8" i="2"/>
  <c r="Z8" i="2"/>
  <c r="AC8" i="2"/>
  <c r="AF8" i="2"/>
  <c r="AB8" i="2"/>
  <c r="X11" i="2"/>
  <c r="AO11" i="2"/>
  <c r="AE12" i="2"/>
  <c r="AP12" i="2"/>
  <c r="AO12" i="2" s="1"/>
  <c r="AD12" i="2"/>
  <c r="Z12" i="2"/>
  <c r="AC12" i="2"/>
  <c r="AF12" i="2"/>
  <c r="AB12" i="2"/>
  <c r="AA12" i="2"/>
  <c r="X15" i="2"/>
  <c r="AO15" i="2"/>
  <c r="AP16" i="2"/>
  <c r="AO16" i="2" s="1"/>
  <c r="AD16" i="2"/>
  <c r="Z16" i="2"/>
  <c r="AC16" i="2"/>
  <c r="AF16" i="2"/>
  <c r="AB16" i="2"/>
  <c r="AE16" i="2"/>
  <c r="AA16" i="2"/>
  <c r="AO19" i="2"/>
  <c r="X19" i="2"/>
  <c r="AF19" i="2" s="1"/>
  <c r="AE20" i="2"/>
  <c r="AA20" i="2"/>
  <c r="AP20" i="2"/>
  <c r="AO20" i="2" s="1"/>
  <c r="AD20" i="2"/>
  <c r="Z20" i="2"/>
  <c r="AC20" i="2"/>
  <c r="AF20" i="2"/>
  <c r="AB20" i="2"/>
  <c r="AO23" i="2"/>
  <c r="X23" i="2"/>
  <c r="AF23" i="2" s="1"/>
  <c r="AP24" i="2"/>
  <c r="AO24" i="2" s="1"/>
  <c r="AD24" i="2"/>
  <c r="Z24" i="2"/>
  <c r="AC24" i="2"/>
  <c r="AF24" i="2"/>
  <c r="AB24" i="2"/>
  <c r="AE24" i="2"/>
  <c r="AA24" i="2"/>
  <c r="AO27" i="2"/>
  <c r="X27" i="2"/>
  <c r="AF27" i="2" s="1"/>
  <c r="AE28" i="2"/>
  <c r="AA28" i="2"/>
  <c r="AP28" i="2"/>
  <c r="AO28" i="2" s="1"/>
  <c r="AD28" i="2"/>
  <c r="Z28" i="2"/>
  <c r="AC28" i="2"/>
  <c r="AF28" i="2"/>
  <c r="AB28" i="2"/>
  <c r="AO31" i="2"/>
  <c r="X31" i="2"/>
  <c r="AF31" i="2" s="1"/>
  <c r="AE32" i="2"/>
  <c r="AA32" i="2"/>
  <c r="AP32" i="2"/>
  <c r="AO32" i="2" s="1"/>
  <c r="AD32" i="2"/>
  <c r="Z32" i="2"/>
  <c r="AC32" i="2"/>
  <c r="AF32" i="2"/>
  <c r="AB32" i="2"/>
  <c r="AO35" i="2"/>
  <c r="X35" i="2"/>
  <c r="AF35" i="2" s="1"/>
  <c r="AP36" i="2"/>
  <c r="AO36" i="2" s="1"/>
  <c r="AD36" i="2"/>
  <c r="Z36" i="2"/>
  <c r="AC36" i="2"/>
  <c r="AF36" i="2"/>
  <c r="AB36" i="2"/>
  <c r="AE36" i="2"/>
  <c r="AA36" i="2"/>
  <c r="AO39" i="2"/>
  <c r="X39" i="2"/>
  <c r="AF39" i="2" s="1"/>
  <c r="AE40" i="2"/>
  <c r="AA40" i="2"/>
  <c r="AP40" i="2"/>
  <c r="AO40" i="2" s="1"/>
  <c r="AD40" i="2"/>
  <c r="Z40" i="2"/>
  <c r="AC40" i="2"/>
  <c r="AF40" i="2"/>
  <c r="AB40" i="2"/>
  <c r="AO43" i="2"/>
  <c r="X43" i="2"/>
  <c r="AF43" i="2" s="1"/>
  <c r="AE44" i="2"/>
  <c r="AA44" i="2"/>
  <c r="AP44" i="2"/>
  <c r="AO44" i="2" s="1"/>
  <c r="AD44" i="2"/>
  <c r="Z44" i="2"/>
  <c r="AC44" i="2"/>
  <c r="AF44" i="2"/>
  <c r="AB44" i="2"/>
  <c r="AO47" i="2"/>
  <c r="X47" i="2"/>
  <c r="AF47" i="2" s="1"/>
  <c r="AP48" i="2"/>
  <c r="AO48" i="2" s="1"/>
  <c r="AD48" i="2"/>
  <c r="Z48" i="2"/>
  <c r="AC48" i="2"/>
  <c r="AF48" i="2"/>
  <c r="AB48" i="2"/>
  <c r="AE48" i="2"/>
  <c r="AA48" i="2"/>
  <c r="AO51" i="2"/>
  <c r="X51" i="2"/>
  <c r="AF51" i="2" s="1"/>
  <c r="AE52" i="2"/>
  <c r="AA52" i="2"/>
  <c r="AP52" i="2"/>
  <c r="AO52" i="2" s="1"/>
  <c r="AD52" i="2"/>
  <c r="Z52" i="2"/>
  <c r="AC52" i="2"/>
  <c r="AF52" i="2"/>
  <c r="AB52" i="2"/>
  <c r="AO55" i="2"/>
  <c r="X55" i="2"/>
  <c r="AF55" i="2" s="1"/>
  <c r="AP56" i="2"/>
  <c r="AO56" i="2" s="1"/>
  <c r="AD56" i="2"/>
  <c r="Z56" i="2"/>
  <c r="AC56" i="2"/>
  <c r="AF56" i="2"/>
  <c r="AB56" i="2"/>
  <c r="AE56" i="2"/>
  <c r="AA56" i="2"/>
  <c r="X59" i="2"/>
  <c r="AO59" i="2"/>
  <c r="AE60" i="2"/>
  <c r="AA60" i="2"/>
  <c r="AP60" i="2"/>
  <c r="AO60" i="2" s="1"/>
  <c r="AD60" i="2"/>
  <c r="Z60" i="2"/>
  <c r="AC60" i="2"/>
  <c r="AF60" i="2"/>
  <c r="AB60" i="2"/>
  <c r="AO63" i="2"/>
  <c r="X63" i="2"/>
  <c r="AF63" i="2" s="1"/>
  <c r="AE64" i="2"/>
  <c r="AA64" i="2"/>
  <c r="AP64" i="2"/>
  <c r="AO64" i="2" s="1"/>
  <c r="AD64" i="2"/>
  <c r="Z64" i="2"/>
  <c r="AC64" i="2"/>
  <c r="AF64" i="2"/>
  <c r="AB64" i="2"/>
  <c r="AO67" i="2"/>
  <c r="X67" i="2"/>
  <c r="AB67" i="2" s="1"/>
  <c r="AP68" i="2"/>
  <c r="AO68" i="2" s="1"/>
  <c r="AD68" i="2"/>
  <c r="Z68" i="2"/>
  <c r="AC68" i="2"/>
  <c r="AF68" i="2"/>
  <c r="AB68" i="2"/>
  <c r="AE68" i="2"/>
  <c r="AA68" i="2"/>
  <c r="AO71" i="2"/>
  <c r="X71" i="2"/>
  <c r="AB71" i="2" s="1"/>
  <c r="AP72" i="2"/>
  <c r="AO72" i="2" s="1"/>
  <c r="AD72" i="2"/>
  <c r="Z72" i="2"/>
  <c r="AC72" i="2"/>
  <c r="AF72" i="2"/>
  <c r="AB72" i="2"/>
  <c r="AE72" i="2"/>
  <c r="AA72" i="2"/>
  <c r="X75" i="2"/>
  <c r="AO75" i="2"/>
  <c r="AP76" i="2"/>
  <c r="AO76" i="2" s="1"/>
  <c r="AD76" i="2"/>
  <c r="Z76" i="2"/>
  <c r="AC76" i="2"/>
  <c r="AF76" i="2"/>
  <c r="AB76" i="2"/>
  <c r="AE76" i="2"/>
  <c r="AA76" i="2"/>
  <c r="X79" i="2"/>
  <c r="AO79" i="2"/>
  <c r="AE80" i="2"/>
  <c r="AA80" i="2"/>
  <c r="AP80" i="2"/>
  <c r="AO80" i="2" s="1"/>
  <c r="AD80" i="2"/>
  <c r="Z80" i="2"/>
  <c r="AC80" i="2"/>
  <c r="AF80" i="2"/>
  <c r="AB80" i="2"/>
  <c r="AO83" i="2"/>
  <c r="X83" i="2"/>
  <c r="AF83" i="2" s="1"/>
  <c r="AE84" i="2"/>
  <c r="AA84" i="2"/>
  <c r="AP84" i="2"/>
  <c r="AO84" i="2" s="1"/>
  <c r="AD84" i="2"/>
  <c r="Z84" i="2"/>
  <c r="AC84" i="2"/>
  <c r="AF84" i="2"/>
  <c r="AB84" i="2"/>
  <c r="X87" i="2"/>
  <c r="AO87" i="2"/>
  <c r="AP88" i="2"/>
  <c r="AO88" i="2" s="1"/>
  <c r="AD88" i="2"/>
  <c r="Z88" i="2"/>
  <c r="AC88" i="2"/>
  <c r="AF88" i="2"/>
  <c r="AB88" i="2"/>
  <c r="AE88" i="2"/>
  <c r="AA88" i="2"/>
  <c r="X91" i="2"/>
  <c r="AO91" i="2"/>
  <c r="AP92" i="2"/>
  <c r="AO92" i="2" s="1"/>
  <c r="AD92" i="2"/>
  <c r="Z92" i="2"/>
  <c r="AC92" i="2"/>
  <c r="AF92" i="2"/>
  <c r="AB92" i="2"/>
  <c r="AE92" i="2"/>
  <c r="AA92" i="2"/>
  <c r="X95" i="2"/>
  <c r="AO95" i="2"/>
  <c r="AP96" i="2"/>
  <c r="AO96" i="2" s="1"/>
  <c r="AD96" i="2"/>
  <c r="Z96" i="2"/>
  <c r="AC96" i="2"/>
  <c r="AF96" i="2"/>
  <c r="AB96" i="2"/>
  <c r="AE96" i="2"/>
  <c r="AA96" i="2"/>
  <c r="AO99" i="2"/>
  <c r="X99" i="2"/>
  <c r="AF99" i="2" s="1"/>
  <c r="AE100" i="2"/>
  <c r="AA100" i="2"/>
  <c r="AP100" i="2"/>
  <c r="AO100" i="2" s="1"/>
  <c r="AD100" i="2"/>
  <c r="Z100" i="2"/>
  <c r="AC100" i="2"/>
  <c r="AF100" i="2"/>
  <c r="AB100" i="2"/>
  <c r="AO103" i="2"/>
  <c r="X103" i="2"/>
  <c r="AF103" i="2" s="1"/>
  <c r="AP104" i="2"/>
  <c r="AO104" i="2" s="1"/>
  <c r="AD104" i="2"/>
  <c r="Z104" i="2"/>
  <c r="AC104" i="2"/>
  <c r="AF104" i="2"/>
  <c r="AB104" i="2"/>
  <c r="AE104" i="2"/>
  <c r="AA104" i="2"/>
  <c r="AO107" i="2"/>
  <c r="X107" i="2"/>
  <c r="AF107" i="2" s="1"/>
  <c r="AE108" i="2"/>
  <c r="AA108" i="2"/>
  <c r="AP108" i="2"/>
  <c r="AO108" i="2" s="1"/>
  <c r="AD108" i="2"/>
  <c r="Z108" i="2"/>
  <c r="AC108" i="2"/>
  <c r="AF108" i="2"/>
  <c r="AB108" i="2"/>
  <c r="AO111" i="2"/>
  <c r="X111" i="2"/>
  <c r="AF111" i="2" s="1"/>
  <c r="AE112" i="2"/>
  <c r="AA112" i="2"/>
  <c r="AP112" i="2"/>
  <c r="AO112" i="2" s="1"/>
  <c r="AD112" i="2"/>
  <c r="Z112" i="2"/>
  <c r="AC112" i="2"/>
  <c r="AF112" i="2"/>
  <c r="AB112" i="2"/>
  <c r="AO115" i="2"/>
  <c r="X115" i="2"/>
  <c r="AF115" i="2" s="1"/>
  <c r="AE116" i="2"/>
  <c r="AA116" i="2"/>
  <c r="AP116" i="2"/>
  <c r="AO116" i="2" s="1"/>
  <c r="AD116" i="2"/>
  <c r="Z116" i="2"/>
  <c r="AC116" i="2"/>
  <c r="AF116" i="2"/>
  <c r="AB116" i="2"/>
  <c r="AO119" i="2"/>
  <c r="X119" i="2"/>
  <c r="AF119" i="2" s="1"/>
  <c r="AE120" i="2"/>
  <c r="AA120" i="2"/>
  <c r="AP120" i="2"/>
  <c r="AO120" i="2" s="1"/>
  <c r="AD120" i="2"/>
  <c r="Z120" i="2"/>
  <c r="AC120" i="2"/>
  <c r="AF120" i="2"/>
  <c r="AB120" i="2"/>
  <c r="AO123" i="2"/>
  <c r="X123" i="2"/>
  <c r="AF123" i="2" s="1"/>
  <c r="AE124" i="2"/>
  <c r="AA124" i="2"/>
  <c r="AP124" i="2"/>
  <c r="AO124" i="2" s="1"/>
  <c r="AD124" i="2"/>
  <c r="Z124" i="2"/>
  <c r="AC124" i="2"/>
  <c r="AF124" i="2"/>
  <c r="AB124" i="2"/>
  <c r="X127" i="2"/>
  <c r="AO127" i="2"/>
  <c r="AP128" i="2"/>
  <c r="AO128" i="2" s="1"/>
  <c r="AD128" i="2"/>
  <c r="Z128" i="2"/>
  <c r="AC128" i="2"/>
  <c r="AF128" i="2"/>
  <c r="AB128" i="2"/>
  <c r="AE128" i="2"/>
  <c r="AA128" i="2"/>
  <c r="X131" i="2"/>
  <c r="AO131" i="2"/>
  <c r="AE132" i="2"/>
  <c r="AP132" i="2"/>
  <c r="AO132" i="2" s="1"/>
  <c r="AD132" i="2"/>
  <c r="Z132" i="2"/>
  <c r="AC132" i="2"/>
  <c r="AF132" i="2"/>
  <c r="AB132" i="2"/>
  <c r="AA132" i="2"/>
  <c r="AO135" i="2"/>
  <c r="X135" i="2"/>
  <c r="AF135" i="2" s="1"/>
  <c r="AP136" i="2"/>
  <c r="AO136" i="2" s="1"/>
  <c r="AD136" i="2"/>
  <c r="Z136" i="2"/>
  <c r="AC136" i="2"/>
  <c r="AF136" i="2"/>
  <c r="AB136" i="2"/>
  <c r="AE136" i="2"/>
  <c r="AA136" i="2"/>
  <c r="X139" i="2"/>
  <c r="AO139" i="2"/>
  <c r="AE140" i="2"/>
  <c r="AA140" i="2"/>
  <c r="AP140" i="2"/>
  <c r="AO140" i="2" s="1"/>
  <c r="AD140" i="2"/>
  <c r="Z140" i="2"/>
  <c r="AC140" i="2"/>
  <c r="AF140" i="2"/>
  <c r="AB140" i="2"/>
  <c r="AO143" i="2"/>
  <c r="X143" i="2"/>
  <c r="AF143" i="2" s="1"/>
  <c r="AP144" i="2"/>
  <c r="AO144" i="2" s="1"/>
  <c r="AD144" i="2"/>
  <c r="Z144" i="2"/>
  <c r="AC144" i="2"/>
  <c r="AF144" i="2"/>
  <c r="AB144" i="2"/>
  <c r="AE144" i="2"/>
  <c r="AA144" i="2"/>
  <c r="AO147" i="2"/>
  <c r="X147" i="2"/>
  <c r="AF147" i="2" s="1"/>
  <c r="AE148" i="2"/>
  <c r="AA148" i="2"/>
  <c r="AP148" i="2"/>
  <c r="AO148" i="2" s="1"/>
  <c r="AD148" i="2"/>
  <c r="Z148" i="2"/>
  <c r="AC148" i="2"/>
  <c r="AF148" i="2"/>
  <c r="AB148" i="2"/>
  <c r="AO151" i="2"/>
  <c r="X151" i="2"/>
  <c r="AF151" i="2" s="1"/>
  <c r="AP152" i="2"/>
  <c r="AO152" i="2" s="1"/>
  <c r="AD152" i="2"/>
  <c r="Z152" i="2"/>
  <c r="AC152" i="2"/>
  <c r="AF152" i="2"/>
  <c r="AB152" i="2"/>
  <c r="AE152" i="2"/>
  <c r="AA152" i="2"/>
  <c r="X155" i="2"/>
  <c r="AO155" i="2"/>
  <c r="AP156" i="2"/>
  <c r="AO156" i="2" s="1"/>
  <c r="AD156" i="2"/>
  <c r="Z156" i="2"/>
  <c r="AC156" i="2"/>
  <c r="AF156" i="2"/>
  <c r="AB156" i="2"/>
  <c r="AE156" i="2"/>
  <c r="AA156" i="2"/>
  <c r="X159" i="2"/>
  <c r="AO159" i="2"/>
  <c r="AE160" i="2"/>
  <c r="AA160" i="2"/>
  <c r="AP160" i="2"/>
  <c r="AO160" i="2" s="1"/>
  <c r="AD160" i="2"/>
  <c r="Z160" i="2"/>
  <c r="AC160" i="2"/>
  <c r="AF160" i="2"/>
  <c r="AB160" i="2"/>
  <c r="X163" i="2"/>
  <c r="AO163" i="2"/>
  <c r="AP164" i="2"/>
  <c r="AO164" i="2" s="1"/>
  <c r="AD164" i="2"/>
  <c r="Z164" i="2"/>
  <c r="AC164" i="2"/>
  <c r="AF164" i="2"/>
  <c r="AB164" i="2"/>
  <c r="AE164" i="2"/>
  <c r="AA164" i="2"/>
  <c r="AO167" i="2"/>
  <c r="X167" i="2"/>
  <c r="AF167" i="2" s="1"/>
  <c r="AP168" i="2"/>
  <c r="AO168" i="2" s="1"/>
  <c r="AD168" i="2"/>
  <c r="Z168" i="2"/>
  <c r="AC168" i="2"/>
  <c r="AF168" i="2"/>
  <c r="AB168" i="2"/>
  <c r="AE168" i="2"/>
  <c r="AA168" i="2"/>
  <c r="X171" i="2"/>
  <c r="AO171" i="2"/>
  <c r="AP172" i="2"/>
  <c r="AO172" i="2" s="1"/>
  <c r="AD172" i="2"/>
  <c r="Z172" i="2"/>
  <c r="AC172" i="2"/>
  <c r="AF172" i="2"/>
  <c r="AB172" i="2"/>
  <c r="AE172" i="2"/>
  <c r="AA172" i="2"/>
  <c r="AO175" i="2"/>
  <c r="X175" i="2"/>
  <c r="AB175" i="2" s="1"/>
  <c r="AP176" i="2"/>
  <c r="AO176" i="2" s="1"/>
  <c r="AD176" i="2"/>
  <c r="Z176" i="2"/>
  <c r="AC176" i="2"/>
  <c r="AF176" i="2"/>
  <c r="AB176" i="2"/>
  <c r="AE176" i="2"/>
  <c r="AA176" i="2"/>
  <c r="X179" i="2"/>
  <c r="AO179" i="2"/>
  <c r="AP180" i="2"/>
  <c r="AO180" i="2" s="1"/>
  <c r="AD180" i="2"/>
  <c r="Z180" i="2"/>
  <c r="AC180" i="2"/>
  <c r="AF180" i="2"/>
  <c r="AB180" i="2"/>
  <c r="AE180" i="2"/>
  <c r="AA180" i="2"/>
  <c r="AO183" i="2"/>
  <c r="X183" i="2"/>
  <c r="AF183" i="2" s="1"/>
  <c r="AP184" i="2"/>
  <c r="AO184" i="2" s="1"/>
  <c r="AD184" i="2"/>
  <c r="Z184" i="2"/>
  <c r="AC184" i="2"/>
  <c r="AF184" i="2"/>
  <c r="AB184" i="2"/>
  <c r="AE184" i="2"/>
  <c r="AA184" i="2"/>
  <c r="X187" i="2"/>
  <c r="AO187" i="2"/>
  <c r="AP188" i="2"/>
  <c r="AO188" i="2" s="1"/>
  <c r="AD188" i="2"/>
  <c r="Z188" i="2"/>
  <c r="AC188" i="2"/>
  <c r="AF188" i="2"/>
  <c r="AB188" i="2"/>
  <c r="AE188" i="2"/>
  <c r="AA188" i="2"/>
  <c r="X191" i="2"/>
  <c r="AO191" i="2"/>
  <c r="AE192" i="2"/>
  <c r="AA192" i="2"/>
  <c r="AP192" i="2"/>
  <c r="AO192" i="2" s="1"/>
  <c r="AD192" i="2"/>
  <c r="Z192" i="2"/>
  <c r="AC192" i="2"/>
  <c r="AF192" i="2"/>
  <c r="AB192" i="2"/>
  <c r="AP194" i="2"/>
  <c r="AO194" i="2" s="1"/>
  <c r="X194" i="2"/>
  <c r="AO197" i="2"/>
  <c r="X197" i="2"/>
  <c r="AE197" i="2"/>
  <c r="AA197" i="2"/>
  <c r="AD197" i="2"/>
  <c r="Z197" i="2"/>
  <c r="X215" i="2"/>
  <c r="AC215" i="2"/>
  <c r="X198" i="2"/>
  <c r="AB198" i="2" s="1"/>
  <c r="AF198" i="2"/>
  <c r="AP199" i="2"/>
  <c r="X200" i="2"/>
  <c r="AP200" i="2"/>
  <c r="AA203" i="2"/>
  <c r="AF203" i="2"/>
  <c r="AA207" i="2"/>
  <c r="AF207" i="2"/>
  <c r="AP208" i="2"/>
  <c r="X212" i="2"/>
  <c r="AE212" i="2" s="1"/>
  <c r="AP214" i="2"/>
  <c r="AP216" i="2"/>
  <c r="AO216" i="2" s="1"/>
  <c r="AP217" i="2"/>
  <c r="AP219" i="2"/>
  <c r="X220" i="2"/>
  <c r="X221" i="2"/>
  <c r="AQ231" i="2"/>
  <c r="AP231" i="2"/>
  <c r="X233" i="2"/>
  <c r="AD233" i="2" s="1"/>
  <c r="AO233" i="2"/>
  <c r="AP234" i="2"/>
  <c r="AO234" i="2" s="1"/>
  <c r="AQ239" i="2"/>
  <c r="AP239" i="2"/>
  <c r="X241" i="2"/>
  <c r="AO241" i="2"/>
  <c r="AP242" i="2"/>
  <c r="AO242" i="2" s="1"/>
  <c r="AQ247" i="2"/>
  <c r="AP247" i="2"/>
  <c r="X249" i="2"/>
  <c r="AO249" i="2"/>
  <c r="AD249" i="2"/>
  <c r="AP250" i="2"/>
  <c r="AO250" i="2" s="1"/>
  <c r="AQ255" i="2"/>
  <c r="AP255" i="2"/>
  <c r="X257" i="2"/>
  <c r="AO257" i="2"/>
  <c r="AD257" i="2"/>
  <c r="AP258" i="2"/>
  <c r="AO258" i="2" s="1"/>
  <c r="AQ263" i="2"/>
  <c r="AP263" i="2"/>
  <c r="X265" i="2"/>
  <c r="AD265" i="2" s="1"/>
  <c r="AO265" i="2"/>
  <c r="AP266" i="2"/>
  <c r="AO266" i="2" s="1"/>
  <c r="AQ271" i="2"/>
  <c r="AP271" i="2"/>
  <c r="X273" i="2"/>
  <c r="AO273" i="2"/>
  <c r="AP274" i="2"/>
  <c r="AO274" i="2" s="1"/>
  <c r="AQ279" i="2"/>
  <c r="AP279" i="2"/>
  <c r="X281" i="2"/>
  <c r="AO281" i="2"/>
  <c r="AD281" i="2"/>
  <c r="AP282" i="2"/>
  <c r="AO282" i="2" s="1"/>
  <c r="AQ287" i="2"/>
  <c r="AP287" i="2"/>
  <c r="X289" i="2"/>
  <c r="AO289" i="2"/>
  <c r="AD289" i="2"/>
  <c r="AP290" i="2"/>
  <c r="AO290" i="2" s="1"/>
  <c r="AQ295" i="2"/>
  <c r="AP295" i="2"/>
  <c r="X297" i="2"/>
  <c r="AD297" i="2" s="1"/>
  <c r="AO297" i="2"/>
  <c r="AP298" i="2"/>
  <c r="AO298" i="2" s="1"/>
  <c r="AQ303" i="2"/>
  <c r="AP303" i="2"/>
  <c r="X305" i="2"/>
  <c r="AO305" i="2"/>
  <c r="AP306" i="2"/>
  <c r="AO306" i="2" s="1"/>
  <c r="AQ311" i="2"/>
  <c r="AP311" i="2"/>
  <c r="X313" i="2"/>
  <c r="AO313" i="2"/>
  <c r="AD313" i="2"/>
  <c r="AP314" i="2"/>
  <c r="AO314" i="2" s="1"/>
  <c r="AQ319" i="2"/>
  <c r="AP319" i="2"/>
  <c r="X321" i="2"/>
  <c r="AO321" i="2"/>
  <c r="AD321" i="2"/>
  <c r="AP322" i="2"/>
  <c r="AO322" i="2" s="1"/>
  <c r="AQ327" i="2"/>
  <c r="AP327" i="2"/>
  <c r="X329" i="2"/>
  <c r="AD329" i="2" s="1"/>
  <c r="AO329" i="2"/>
  <c r="AP330" i="2"/>
  <c r="AO330" i="2" s="1"/>
  <c r="AQ335" i="2"/>
  <c r="AP335" i="2"/>
  <c r="X337" i="2"/>
  <c r="AO337" i="2"/>
  <c r="AP338" i="2"/>
  <c r="AO338" i="2" s="1"/>
  <c r="AQ343" i="2"/>
  <c r="AP343" i="2"/>
  <c r="X345" i="2"/>
  <c r="AO345" i="2"/>
  <c r="AD345" i="2"/>
  <c r="AC345" i="2"/>
  <c r="AP346" i="2"/>
  <c r="AO346" i="2" s="1"/>
  <c r="AP384" i="2"/>
  <c r="AO384" i="2" s="1"/>
  <c r="AQ385" i="2"/>
  <c r="AP385" i="2"/>
  <c r="X387" i="2"/>
  <c r="AQ399" i="2"/>
  <c r="AP399" i="2"/>
  <c r="X401" i="2"/>
  <c r="AP402" i="2"/>
  <c r="AO402" i="2" s="1"/>
  <c r="AP416" i="2"/>
  <c r="AO416" i="2" s="1"/>
  <c r="AQ417" i="2"/>
  <c r="AP417" i="2"/>
  <c r="X419" i="2"/>
  <c r="AP424" i="2"/>
  <c r="AO424" i="2" s="1"/>
  <c r="X427" i="2"/>
  <c r="AP432" i="2"/>
  <c r="AO432" i="2" s="1"/>
  <c r="X435" i="2"/>
  <c r="AP440" i="2"/>
  <c r="AO440" i="2" s="1"/>
  <c r="X443" i="2"/>
  <c r="AP448" i="2"/>
  <c r="AO448" i="2" s="1"/>
  <c r="AQ455" i="2"/>
  <c r="AP455" i="2"/>
  <c r="X457" i="2"/>
  <c r="AP458" i="2"/>
  <c r="X463" i="2"/>
  <c r="AA463" i="2"/>
  <c r="AP464" i="2"/>
  <c r="AO464" i="2" s="1"/>
  <c r="X467" i="2"/>
  <c r="AA467" i="2"/>
  <c r="AQ469" i="2"/>
  <c r="AP469" i="2"/>
  <c r="AP478" i="2"/>
  <c r="X487" i="2"/>
  <c r="AA487" i="2"/>
  <c r="AP488" i="2"/>
  <c r="AO488" i="2" s="1"/>
  <c r="X491" i="2"/>
  <c r="AA491" i="2"/>
  <c r="AQ493" i="2"/>
  <c r="AP493" i="2"/>
  <c r="X503" i="2"/>
  <c r="AD503" i="2" s="1"/>
  <c r="AC503" i="2"/>
  <c r="AA503" i="2"/>
  <c r="AP504" i="2"/>
  <c r="AO504" i="2" s="1"/>
  <c r="X507" i="2"/>
  <c r="AQ509" i="2"/>
  <c r="AP509" i="2"/>
  <c r="AQ527" i="2"/>
  <c r="AP527" i="2"/>
  <c r="X529" i="2"/>
  <c r="AP530" i="2"/>
  <c r="AQ543" i="2"/>
  <c r="AP543" i="2"/>
  <c r="X545" i="2"/>
  <c r="AO545" i="2"/>
  <c r="AD545" i="2"/>
  <c r="AP546" i="2"/>
  <c r="AO546" i="2" s="1"/>
  <c r="AQ551" i="2"/>
  <c r="AP551" i="2"/>
  <c r="X553" i="2"/>
  <c r="AO553" i="2"/>
  <c r="AD553" i="2"/>
  <c r="AP554" i="2"/>
  <c r="AO554" i="2" s="1"/>
  <c r="AQ559" i="2"/>
  <c r="AP559" i="2"/>
  <c r="X561" i="2"/>
  <c r="AO561" i="2"/>
  <c r="AP562" i="2"/>
  <c r="AP570" i="2"/>
  <c r="AQ575" i="2"/>
  <c r="AP575" i="2"/>
  <c r="AQ577" i="2"/>
  <c r="AP577" i="2"/>
  <c r="X579" i="2"/>
  <c r="AQ591" i="2"/>
  <c r="AP591" i="2"/>
  <c r="AQ593" i="2"/>
  <c r="AP593" i="2"/>
  <c r="X595" i="2"/>
  <c r="AA595" i="2"/>
  <c r="AD595" i="2"/>
  <c r="X607" i="2"/>
  <c r="AD607" i="2"/>
  <c r="AC607" i="2"/>
  <c r="AA607" i="2"/>
  <c r="AP610" i="2"/>
  <c r="AQ615" i="2"/>
  <c r="AP615" i="2"/>
  <c r="X619" i="2"/>
  <c r="AA619" i="2"/>
  <c r="AQ621" i="2"/>
  <c r="AP621" i="2"/>
  <c r="AP630" i="2"/>
  <c r="AP632" i="2"/>
  <c r="AO632" i="2" s="1"/>
  <c r="X635" i="2"/>
  <c r="AA635" i="2"/>
  <c r="AQ639" i="2"/>
  <c r="AP639" i="2"/>
  <c r="X643" i="2"/>
  <c r="AA643" i="2"/>
  <c r="AQ647" i="2"/>
  <c r="AP647" i="2"/>
  <c r="AQ649" i="2"/>
  <c r="AP649" i="2"/>
  <c r="X651" i="2"/>
  <c r="AD651" i="2"/>
  <c r="AP658" i="2"/>
  <c r="AO658" i="2" s="1"/>
  <c r="AQ695" i="2"/>
  <c r="AP695" i="2"/>
  <c r="AQ701" i="2"/>
  <c r="AP701" i="2"/>
  <c r="AQ711" i="2"/>
  <c r="AP711" i="2"/>
  <c r="X713" i="2"/>
  <c r="AP714" i="2"/>
  <c r="X724" i="2"/>
  <c r="AO724" i="2"/>
  <c r="AD724" i="2"/>
  <c r="AC198" i="2"/>
  <c r="AD200" i="2"/>
  <c r="AC203" i="2"/>
  <c r="AB203" i="2"/>
  <c r="AC207" i="2"/>
  <c r="AB207" i="2"/>
  <c r="X209" i="2"/>
  <c r="AP210" i="2"/>
  <c r="AO210" i="2" s="1"/>
  <c r="X213" i="2"/>
  <c r="AP215" i="2"/>
  <c r="AO215" i="2" s="1"/>
  <c r="X218" i="2"/>
  <c r="AP220" i="2"/>
  <c r="AO220" i="2" s="1"/>
  <c r="AD220" i="2"/>
  <c r="Z220" i="2"/>
  <c r="AF220" i="2"/>
  <c r="AA220" i="2"/>
  <c r="AB220" i="2"/>
  <c r="AP222" i="2"/>
  <c r="AQ223" i="2"/>
  <c r="AP223" i="2"/>
  <c r="X225" i="2"/>
  <c r="AD225" i="2"/>
  <c r="AP226" i="2"/>
  <c r="AO226" i="2" s="1"/>
  <c r="AO231" i="2"/>
  <c r="AO239" i="2"/>
  <c r="AO247" i="2"/>
  <c r="AO255" i="2"/>
  <c r="AO263" i="2"/>
  <c r="AO271" i="2"/>
  <c r="AO279" i="2"/>
  <c r="AO287" i="2"/>
  <c r="AO295" i="2"/>
  <c r="AO303" i="2"/>
  <c r="AO311" i="2"/>
  <c r="AO319" i="2"/>
  <c r="AO327" i="2"/>
  <c r="AO335" i="2"/>
  <c r="AO343" i="2"/>
  <c r="AQ351" i="2"/>
  <c r="AP351" i="2"/>
  <c r="X353" i="2"/>
  <c r="AO353" i="2"/>
  <c r="AP354" i="2"/>
  <c r="AO354" i="2" s="1"/>
  <c r="AQ359" i="2"/>
  <c r="AP359" i="2"/>
  <c r="X361" i="2"/>
  <c r="AD361" i="2"/>
  <c r="AC361" i="2"/>
  <c r="AP362" i="2"/>
  <c r="AO362" i="2" s="1"/>
  <c r="AQ367" i="2"/>
  <c r="AP367" i="2"/>
  <c r="X369" i="2"/>
  <c r="AD369" i="2"/>
  <c r="AP370" i="2"/>
  <c r="AO370" i="2" s="1"/>
  <c r="AQ375" i="2"/>
  <c r="AP375" i="2"/>
  <c r="X377" i="2"/>
  <c r="AD377" i="2"/>
  <c r="AP378" i="2"/>
  <c r="AO378" i="2" s="1"/>
  <c r="AD387" i="2"/>
  <c r="AP392" i="2"/>
  <c r="AO392" i="2" s="1"/>
  <c r="AQ393" i="2"/>
  <c r="AP393" i="2"/>
  <c r="X395" i="2"/>
  <c r="AO399" i="2"/>
  <c r="AQ407" i="2"/>
  <c r="AP407" i="2"/>
  <c r="X409" i="2"/>
  <c r="AD409" i="2"/>
  <c r="AC409" i="2"/>
  <c r="AP410" i="2"/>
  <c r="AO410" i="2" s="1"/>
  <c r="AD419" i="2"/>
  <c r="AD427" i="2"/>
  <c r="AD435" i="2"/>
  <c r="AD443" i="2"/>
  <c r="X451" i="2"/>
  <c r="AA451" i="2"/>
  <c r="AQ453" i="2"/>
  <c r="AP453" i="2"/>
  <c r="AD457" i="2"/>
  <c r="AP462" i="2"/>
  <c r="AD467" i="2"/>
  <c r="AO469" i="2"/>
  <c r="X471" i="2"/>
  <c r="AD471" i="2"/>
  <c r="AC471" i="2"/>
  <c r="AA471" i="2"/>
  <c r="AP472" i="2"/>
  <c r="AO472" i="2" s="1"/>
  <c r="AQ479" i="2"/>
  <c r="AP479" i="2"/>
  <c r="X481" i="2"/>
  <c r="AP482" i="2"/>
  <c r="AO482" i="2" s="1"/>
  <c r="AP486" i="2"/>
  <c r="AD491" i="2"/>
  <c r="AO493" i="2"/>
  <c r="AQ495" i="2"/>
  <c r="AP495" i="2"/>
  <c r="X497" i="2"/>
  <c r="AO497" i="2"/>
  <c r="AD497" i="2"/>
  <c r="AP498" i="2"/>
  <c r="AO498" i="2" s="1"/>
  <c r="AP502" i="2"/>
  <c r="AD507" i="2"/>
  <c r="AO509" i="2"/>
  <c r="AQ511" i="2"/>
  <c r="AP511" i="2"/>
  <c r="X513" i="2"/>
  <c r="AO513" i="2"/>
  <c r="AD513" i="2"/>
  <c r="AP514" i="2"/>
  <c r="AO514" i="2" s="1"/>
  <c r="AP518" i="2"/>
  <c r="AP520" i="2"/>
  <c r="AO520" i="2" s="1"/>
  <c r="X523" i="2"/>
  <c r="AQ525" i="2"/>
  <c r="AP525" i="2"/>
  <c r="AD529" i="2"/>
  <c r="AP536" i="2"/>
  <c r="AO536" i="2" s="1"/>
  <c r="AQ537" i="2"/>
  <c r="AP537" i="2"/>
  <c r="X539" i="2"/>
  <c r="AO543" i="2"/>
  <c r="AO551" i="2"/>
  <c r="AO559" i="2"/>
  <c r="AP568" i="2"/>
  <c r="AO568" i="2" s="1"/>
  <c r="AQ573" i="2"/>
  <c r="AP573" i="2"/>
  <c r="AQ583" i="2"/>
  <c r="AP583" i="2"/>
  <c r="AQ585" i="2"/>
  <c r="AP585" i="2"/>
  <c r="X587" i="2"/>
  <c r="AA587" i="2"/>
  <c r="AD587" i="2"/>
  <c r="X599" i="2"/>
  <c r="AD599" i="2"/>
  <c r="AC599" i="2"/>
  <c r="AA599" i="2"/>
  <c r="AP602" i="2"/>
  <c r="AO602" i="2" s="1"/>
  <c r="AP606" i="2"/>
  <c r="AO621" i="2"/>
  <c r="AQ623" i="2"/>
  <c r="AP623" i="2"/>
  <c r="X625" i="2"/>
  <c r="AC625" i="2"/>
  <c r="AP626" i="2"/>
  <c r="AO626" i="2" s="1"/>
  <c r="AD635" i="2"/>
  <c r="AO639" i="2"/>
  <c r="AO647" i="2"/>
  <c r="AQ665" i="2"/>
  <c r="AP665" i="2"/>
  <c r="X667" i="2"/>
  <c r="AD667" i="2"/>
  <c r="AP672" i="2"/>
  <c r="AO672" i="2" s="1"/>
  <c r="AQ673" i="2"/>
  <c r="AP673" i="2"/>
  <c r="X675" i="2"/>
  <c r="AP680" i="2"/>
  <c r="AO680" i="2" s="1"/>
  <c r="X683" i="2"/>
  <c r="AP688" i="2"/>
  <c r="AO688" i="2" s="1"/>
  <c r="AQ693" i="2"/>
  <c r="AP693" i="2"/>
  <c r="X699" i="2"/>
  <c r="AA699" i="2"/>
  <c r="AD699" i="2"/>
  <c r="AO701" i="2"/>
  <c r="X703" i="2"/>
  <c r="AD703" i="2"/>
  <c r="AC703" i="2"/>
  <c r="AO703" i="2"/>
  <c r="AA703" i="2"/>
  <c r="AQ709" i="2"/>
  <c r="AP709" i="2"/>
  <c r="AD713" i="2"/>
  <c r="AB193" i="2"/>
  <c r="AF193" i="2"/>
  <c r="AB195" i="2"/>
  <c r="AF195" i="2"/>
  <c r="AB197" i="2"/>
  <c r="AF197" i="2"/>
  <c r="Z198" i="2"/>
  <c r="AD198" i="2"/>
  <c r="AP198" i="2"/>
  <c r="AO198" i="2" s="1"/>
  <c r="X199" i="2"/>
  <c r="Z199" i="2" s="1"/>
  <c r="AB199" i="2"/>
  <c r="AF199" i="2"/>
  <c r="Z200" i="2"/>
  <c r="AF200" i="2"/>
  <c r="AP201" i="2"/>
  <c r="AO201" i="2" s="1"/>
  <c r="AA202" i="2"/>
  <c r="X202" i="2"/>
  <c r="Z202" i="2" s="1"/>
  <c r="AP202" i="2"/>
  <c r="AO202" i="2" s="1"/>
  <c r="AD203" i="2"/>
  <c r="AP205" i="2"/>
  <c r="AO205" i="2" s="1"/>
  <c r="X206" i="2"/>
  <c r="AC206" i="2" s="1"/>
  <c r="AP206" i="2"/>
  <c r="AO206" i="2" s="1"/>
  <c r="AD207" i="2"/>
  <c r="X208" i="2"/>
  <c r="AF208" i="2" s="1"/>
  <c r="AD208" i="2"/>
  <c r="AC209" i="2"/>
  <c r="AP209" i="2"/>
  <c r="AO209" i="2" s="1"/>
  <c r="AD209" i="2"/>
  <c r="Z209" i="2"/>
  <c r="AF209" i="2"/>
  <c r="X211" i="2"/>
  <c r="AB211" i="2" s="1"/>
  <c r="AE211" i="2"/>
  <c r="AP212" i="2"/>
  <c r="AO212" i="2" s="1"/>
  <c r="AD212" i="2"/>
  <c r="AF212" i="2"/>
  <c r="AA212" i="2"/>
  <c r="AB212" i="2"/>
  <c r="Z212" i="2"/>
  <c r="AP213" i="2"/>
  <c r="AO213" i="2" s="1"/>
  <c r="AC220" i="2"/>
  <c r="AA221" i="2"/>
  <c r="X223" i="2"/>
  <c r="AD223" i="2"/>
  <c r="AC223" i="2"/>
  <c r="AO223" i="2"/>
  <c r="AA223" i="2"/>
  <c r="AP225" i="2"/>
  <c r="AO225" i="2" s="1"/>
  <c r="AP232" i="2"/>
  <c r="AO232" i="2" s="1"/>
  <c r="X235" i="2"/>
  <c r="AP240" i="2"/>
  <c r="AO240" i="2" s="1"/>
  <c r="X243" i="2"/>
  <c r="AP248" i="2"/>
  <c r="AO248" i="2" s="1"/>
  <c r="X251" i="2"/>
  <c r="AP256" i="2"/>
  <c r="AO256" i="2" s="1"/>
  <c r="X259" i="2"/>
  <c r="AP264" i="2"/>
  <c r="AO264" i="2" s="1"/>
  <c r="X267" i="2"/>
  <c r="AP272" i="2"/>
  <c r="AO272" i="2" s="1"/>
  <c r="X275" i="2"/>
  <c r="AP280" i="2"/>
  <c r="AO280" i="2" s="1"/>
  <c r="X283" i="2"/>
  <c r="AP288" i="2"/>
  <c r="AO288" i="2" s="1"/>
  <c r="X291" i="2"/>
  <c r="AP296" i="2"/>
  <c r="AO296" i="2" s="1"/>
  <c r="X299" i="2"/>
  <c r="AP304" i="2"/>
  <c r="AO304" i="2" s="1"/>
  <c r="X307" i="2"/>
  <c r="AP312" i="2"/>
  <c r="AO312" i="2" s="1"/>
  <c r="X315" i="2"/>
  <c r="AP320" i="2"/>
  <c r="AO320" i="2" s="1"/>
  <c r="X323" i="2"/>
  <c r="AP328" i="2"/>
  <c r="AO328" i="2" s="1"/>
  <c r="X331" i="2"/>
  <c r="AP336" i="2"/>
  <c r="AO336" i="2" s="1"/>
  <c r="X339" i="2"/>
  <c r="AP344" i="2"/>
  <c r="AO344" i="2" s="1"/>
  <c r="X347" i="2"/>
  <c r="AO351" i="2"/>
  <c r="AO359" i="2"/>
  <c r="AP361" i="2"/>
  <c r="AO361" i="2" s="1"/>
  <c r="AO367" i="2"/>
  <c r="AP369" i="2"/>
  <c r="AO369" i="2" s="1"/>
  <c r="AO375" i="2"/>
  <c r="AQ383" i="2"/>
  <c r="AP383" i="2"/>
  <c r="X385" i="2"/>
  <c r="AD385" i="2" s="1"/>
  <c r="AO385" i="2"/>
  <c r="AP386" i="2"/>
  <c r="AO386" i="2" s="1"/>
  <c r="AD395" i="2"/>
  <c r="AP400" i="2"/>
  <c r="AO400" i="2" s="1"/>
  <c r="AQ401" i="2"/>
  <c r="AP401" i="2"/>
  <c r="AO401" i="2" s="1"/>
  <c r="X403" i="2"/>
  <c r="AO407" i="2"/>
  <c r="AQ415" i="2"/>
  <c r="AP415" i="2"/>
  <c r="X417" i="2"/>
  <c r="AO417" i="2"/>
  <c r="AD417" i="2"/>
  <c r="AC417" i="2"/>
  <c r="AP418" i="2"/>
  <c r="AO418" i="2" s="1"/>
  <c r="AQ423" i="2"/>
  <c r="AP423" i="2"/>
  <c r="X425" i="2"/>
  <c r="AD425" i="2"/>
  <c r="AP426" i="2"/>
  <c r="AO426" i="2" s="1"/>
  <c r="AQ431" i="2"/>
  <c r="AP431" i="2"/>
  <c r="X433" i="2"/>
  <c r="AD433" i="2"/>
  <c r="AP434" i="2"/>
  <c r="AO434" i="2" s="1"/>
  <c r="AQ439" i="2"/>
  <c r="AP439" i="2"/>
  <c r="X441" i="2"/>
  <c r="AD441" i="2" s="1"/>
  <c r="AP442" i="2"/>
  <c r="AO442" i="2" s="1"/>
  <c r="AQ447" i="2"/>
  <c r="AP447" i="2"/>
  <c r="X449" i="2"/>
  <c r="AP450" i="2"/>
  <c r="AO450" i="2" s="1"/>
  <c r="AD451" i="2"/>
  <c r="AO453" i="2"/>
  <c r="X455" i="2"/>
  <c r="AD455" i="2"/>
  <c r="AC455" i="2"/>
  <c r="AO455" i="2"/>
  <c r="AA455" i="2"/>
  <c r="AP456" i="2"/>
  <c r="AO456" i="2" s="1"/>
  <c r="AQ463" i="2"/>
  <c r="AP463" i="2"/>
  <c r="AO463" i="2" s="1"/>
  <c r="X465" i="2"/>
  <c r="AP466" i="2"/>
  <c r="AO466" i="2" s="1"/>
  <c r="AP470" i="2"/>
  <c r="X475" i="2"/>
  <c r="AA475" i="2"/>
  <c r="AQ477" i="2"/>
  <c r="AP477" i="2"/>
  <c r="AD481" i="2"/>
  <c r="AQ487" i="2"/>
  <c r="AP487" i="2"/>
  <c r="AO487" i="2" s="1"/>
  <c r="X489" i="2"/>
  <c r="AP490" i="2"/>
  <c r="AO490" i="2" s="1"/>
  <c r="AO495" i="2"/>
  <c r="AQ503" i="2"/>
  <c r="AP503" i="2"/>
  <c r="AO503" i="2" s="1"/>
  <c r="X505" i="2"/>
  <c r="AP506" i="2"/>
  <c r="AO506" i="2" s="1"/>
  <c r="AO511" i="2"/>
  <c r="AD523" i="2"/>
  <c r="AO525" i="2"/>
  <c r="X527" i="2"/>
  <c r="AD527" i="2"/>
  <c r="AC527" i="2"/>
  <c r="AO527" i="2"/>
  <c r="AA527" i="2"/>
  <c r="AP528" i="2"/>
  <c r="AO528" i="2" s="1"/>
  <c r="X531" i="2"/>
  <c r="AA531" i="2"/>
  <c r="AD539" i="2"/>
  <c r="AP544" i="2"/>
  <c r="AO544" i="2" s="1"/>
  <c r="X547" i="2"/>
  <c r="AP552" i="2"/>
  <c r="AO552" i="2" s="1"/>
  <c r="X555" i="2"/>
  <c r="AP560" i="2"/>
  <c r="AO560" i="2" s="1"/>
  <c r="X563" i="2"/>
  <c r="AQ565" i="2"/>
  <c r="AP565" i="2"/>
  <c r="X571" i="2"/>
  <c r="AA571" i="2"/>
  <c r="AD571" i="2"/>
  <c r="AO573" i="2"/>
  <c r="X575" i="2"/>
  <c r="AC575" i="2" s="1"/>
  <c r="AD575" i="2"/>
  <c r="AO575" i="2"/>
  <c r="AA575" i="2"/>
  <c r="AP578" i="2"/>
  <c r="AO578" i="2" s="1"/>
  <c r="AO583" i="2"/>
  <c r="X591" i="2"/>
  <c r="AD591" i="2"/>
  <c r="AC591" i="2"/>
  <c r="AO591" i="2"/>
  <c r="AA591" i="2"/>
  <c r="AP594" i="2"/>
  <c r="AO594" i="2" s="1"/>
  <c r="AP598" i="2"/>
  <c r="AQ607" i="2"/>
  <c r="AP607" i="2"/>
  <c r="AO607" i="2" s="1"/>
  <c r="X611" i="2"/>
  <c r="AA611" i="2"/>
  <c r="AD611" i="2"/>
  <c r="X615" i="2"/>
  <c r="AD615" i="2" s="1"/>
  <c r="AO615" i="2"/>
  <c r="AA615" i="2"/>
  <c r="AP618" i="2"/>
  <c r="AO618" i="2" s="1"/>
  <c r="AO623" i="2"/>
  <c r="AD625" i="2"/>
  <c r="AQ631" i="2"/>
  <c r="AP631" i="2"/>
  <c r="X633" i="2"/>
  <c r="AP634" i="2"/>
  <c r="AO634" i="2" s="1"/>
  <c r="AP642" i="2"/>
  <c r="AO642" i="2" s="1"/>
  <c r="AP650" i="2"/>
  <c r="AO650" i="2" s="1"/>
  <c r="AQ655" i="2"/>
  <c r="AP655" i="2"/>
  <c r="AQ657" i="2"/>
  <c r="AP657" i="2"/>
  <c r="X659" i="2"/>
  <c r="AD659" i="2"/>
  <c r="AD675" i="2"/>
  <c r="AD683" i="2"/>
  <c r="X691" i="2"/>
  <c r="AA691" i="2"/>
  <c r="AO693" i="2"/>
  <c r="X695" i="2"/>
  <c r="AD695" i="2" s="1"/>
  <c r="AC695" i="2"/>
  <c r="AO695" i="2"/>
  <c r="AA695" i="2"/>
  <c r="AP698" i="2"/>
  <c r="AO698" i="2" s="1"/>
  <c r="AP702" i="2"/>
  <c r="X707" i="2"/>
  <c r="AO709" i="2"/>
  <c r="X711" i="2"/>
  <c r="AD711" i="2" s="1"/>
  <c r="AC711" i="2"/>
  <c r="AO711" i="2"/>
  <c r="AA711" i="2"/>
  <c r="AP712" i="2"/>
  <c r="AO712" i="2" s="1"/>
  <c r="X715" i="2"/>
  <c r="Z715" i="2" s="1"/>
  <c r="AF715" i="2"/>
  <c r="AA715" i="2"/>
  <c r="AC193" i="2"/>
  <c r="AC195" i="2"/>
  <c r="AC197" i="2"/>
  <c r="AA198" i="2"/>
  <c r="AE198" i="2"/>
  <c r="AC199" i="2"/>
  <c r="AO199" i="2"/>
  <c r="AB200" i="2"/>
  <c r="AO200" i="2"/>
  <c r="AC201" i="2"/>
  <c r="AB201" i="2"/>
  <c r="AD202" i="2"/>
  <c r="Z203" i="2"/>
  <c r="AE203" i="2"/>
  <c r="AO204" i="2"/>
  <c r="AC205" i="2"/>
  <c r="X205" i="2"/>
  <c r="AD205" i="2" s="1"/>
  <c r="AB205" i="2"/>
  <c r="AD206" i="2"/>
  <c r="Z207" i="2"/>
  <c r="AE207" i="2"/>
  <c r="AO208" i="2"/>
  <c r="AA209" i="2"/>
  <c r="X210" i="2"/>
  <c r="AF210" i="2" s="1"/>
  <c r="AD210" i="2"/>
  <c r="AC211" i="2"/>
  <c r="AP211" i="2"/>
  <c r="AO211" i="2" s="1"/>
  <c r="AD211" i="2"/>
  <c r="Z211" i="2"/>
  <c r="AF211" i="2"/>
  <c r="AC212" i="2"/>
  <c r="AA213" i="2"/>
  <c r="X217" i="2"/>
  <c r="AF217" i="2" s="1"/>
  <c r="AO217" i="2"/>
  <c r="AP218" i="2"/>
  <c r="AO218" i="2" s="1"/>
  <c r="AD218" i="2"/>
  <c r="Z218" i="2"/>
  <c r="AE218" i="2"/>
  <c r="AF218" i="2"/>
  <c r="AA218" i="2"/>
  <c r="AB218" i="2"/>
  <c r="X219" i="2"/>
  <c r="AB219" i="2" s="1"/>
  <c r="AO219" i="2"/>
  <c r="AE220" i="2"/>
  <c r="AQ221" i="2"/>
  <c r="AP221" i="2"/>
  <c r="AO221" i="2"/>
  <c r="AP224" i="2"/>
  <c r="AO224" i="2" s="1"/>
  <c r="X227" i="2"/>
  <c r="AD227" i="2" s="1"/>
  <c r="AQ229" i="2"/>
  <c r="AP229" i="2"/>
  <c r="AO229" i="2" s="1"/>
  <c r="AD235" i="2"/>
  <c r="AD243" i="2"/>
  <c r="AD251" i="2"/>
  <c r="AD259" i="2"/>
  <c r="AD267" i="2"/>
  <c r="AD275" i="2"/>
  <c r="AD283" i="2"/>
  <c r="AD291" i="2"/>
  <c r="AD299" i="2"/>
  <c r="AD307" i="2"/>
  <c r="AD315" i="2"/>
  <c r="AD323" i="2"/>
  <c r="AD331" i="2"/>
  <c r="AD339" i="2"/>
  <c r="AD347" i="2"/>
  <c r="AP352" i="2"/>
  <c r="AO352" i="2" s="1"/>
  <c r="X355" i="2"/>
  <c r="AP360" i="2"/>
  <c r="AO360" i="2" s="1"/>
  <c r="X363" i="2"/>
  <c r="AP368" i="2"/>
  <c r="AO368" i="2" s="1"/>
  <c r="X371" i="2"/>
  <c r="AP376" i="2"/>
  <c r="AO376" i="2" s="1"/>
  <c r="AQ377" i="2"/>
  <c r="AP377" i="2"/>
  <c r="AO377" i="2" s="1"/>
  <c r="X379" i="2"/>
  <c r="AO383" i="2"/>
  <c r="AQ391" i="2"/>
  <c r="AP391" i="2"/>
  <c r="AO391" i="2" s="1"/>
  <c r="X393" i="2"/>
  <c r="AO393" i="2"/>
  <c r="AP394" i="2"/>
  <c r="AO394" i="2" s="1"/>
  <c r="AD403" i="2"/>
  <c r="AP408" i="2"/>
  <c r="AO408" i="2" s="1"/>
  <c r="AQ409" i="2"/>
  <c r="AP409" i="2"/>
  <c r="AO409" i="2" s="1"/>
  <c r="X411" i="2"/>
  <c r="AO415" i="2"/>
  <c r="AO423" i="2"/>
  <c r="AP425" i="2"/>
  <c r="AO425" i="2" s="1"/>
  <c r="AO431" i="2"/>
  <c r="AP433" i="2"/>
  <c r="AO433" i="2" s="1"/>
  <c r="AO439" i="2"/>
  <c r="AP441" i="2"/>
  <c r="AO441" i="2" s="1"/>
  <c r="AO447" i="2"/>
  <c r="AD449" i="2"/>
  <c r="AP454" i="2"/>
  <c r="AO458" i="2"/>
  <c r="X459" i="2"/>
  <c r="AD459" i="2" s="1"/>
  <c r="AQ461" i="2"/>
  <c r="AP461" i="2"/>
  <c r="AO461" i="2" s="1"/>
  <c r="AD465" i="2"/>
  <c r="AQ471" i="2"/>
  <c r="AP471" i="2"/>
  <c r="AO471" i="2" s="1"/>
  <c r="X473" i="2"/>
  <c r="AP474" i="2"/>
  <c r="AO474" i="2" s="1"/>
  <c r="AD475" i="2"/>
  <c r="AO477" i="2"/>
  <c r="X479" i="2"/>
  <c r="AD479" i="2" s="1"/>
  <c r="AO479" i="2"/>
  <c r="AA479" i="2"/>
  <c r="AP480" i="2"/>
  <c r="AO480" i="2" s="1"/>
  <c r="X483" i="2"/>
  <c r="AD483" i="2" s="1"/>
  <c r="AA483" i="2"/>
  <c r="AQ485" i="2"/>
  <c r="AP485" i="2"/>
  <c r="AO485" i="2" s="1"/>
  <c r="AD489" i="2"/>
  <c r="AP496" i="2"/>
  <c r="AO496" i="2" s="1"/>
  <c r="X499" i="2"/>
  <c r="AQ501" i="2"/>
  <c r="AP501" i="2"/>
  <c r="AO501" i="2" s="1"/>
  <c r="AD505" i="2"/>
  <c r="AP512" i="2"/>
  <c r="AO512" i="2" s="1"/>
  <c r="X515" i="2"/>
  <c r="AA515" i="2"/>
  <c r="AQ517" i="2"/>
  <c r="AP517" i="2"/>
  <c r="AO517" i="2" s="1"/>
  <c r="AQ519" i="2"/>
  <c r="AP519" i="2"/>
  <c r="AO519" i="2" s="1"/>
  <c r="X521" i="2"/>
  <c r="AO521" i="2"/>
  <c r="AD521" i="2"/>
  <c r="AP522" i="2"/>
  <c r="AO522" i="2" s="1"/>
  <c r="AP526" i="2"/>
  <c r="AO530" i="2"/>
  <c r="AD531" i="2"/>
  <c r="AQ535" i="2"/>
  <c r="AP535" i="2"/>
  <c r="AO535" i="2" s="1"/>
  <c r="X537" i="2"/>
  <c r="AO537" i="2"/>
  <c r="AD537" i="2"/>
  <c r="AC537" i="2"/>
  <c r="AP538" i="2"/>
  <c r="AO538" i="2" s="1"/>
  <c r="AD547" i="2"/>
  <c r="AD555" i="2"/>
  <c r="AO562" i="2"/>
  <c r="AD563" i="2"/>
  <c r="AO565" i="2"/>
  <c r="AQ567" i="2"/>
  <c r="AP567" i="2"/>
  <c r="AO567" i="2" s="1"/>
  <c r="AO570" i="2"/>
  <c r="AP574" i="2"/>
  <c r="AP586" i="2"/>
  <c r="AO586" i="2" s="1"/>
  <c r="AP590" i="2"/>
  <c r="AQ599" i="2"/>
  <c r="AP599" i="2"/>
  <c r="AO599" i="2" s="1"/>
  <c r="AQ601" i="2"/>
  <c r="AP601" i="2"/>
  <c r="X603" i="2"/>
  <c r="AA603" i="2"/>
  <c r="AD603" i="2"/>
  <c r="AO610" i="2"/>
  <c r="AP614" i="2"/>
  <c r="AP624" i="2"/>
  <c r="AO624" i="2" s="1"/>
  <c r="AQ625" i="2"/>
  <c r="AP625" i="2"/>
  <c r="AO625" i="2" s="1"/>
  <c r="X627" i="2"/>
  <c r="AO631" i="2"/>
  <c r="AD633" i="2"/>
  <c r="AQ637" i="2"/>
  <c r="AP637" i="2"/>
  <c r="AO637" i="2" s="1"/>
  <c r="AP641" i="2"/>
  <c r="AO655" i="2"/>
  <c r="AP666" i="2"/>
  <c r="AO666" i="2" s="1"/>
  <c r="AQ671" i="2"/>
  <c r="AP671" i="2"/>
  <c r="AO671" i="2" s="1"/>
  <c r="X673" i="2"/>
  <c r="AC673" i="2" s="1"/>
  <c r="AO673" i="2"/>
  <c r="AD673" i="2"/>
  <c r="AP674" i="2"/>
  <c r="AO674" i="2" s="1"/>
  <c r="AQ679" i="2"/>
  <c r="AP679" i="2"/>
  <c r="AO679" i="2" s="1"/>
  <c r="X681" i="2"/>
  <c r="AO681" i="2"/>
  <c r="AD681" i="2"/>
  <c r="AP682" i="2"/>
  <c r="AO682" i="2" s="1"/>
  <c r="AQ687" i="2"/>
  <c r="AP687" i="2"/>
  <c r="AO687" i="2" s="1"/>
  <c r="X689" i="2"/>
  <c r="AP690" i="2"/>
  <c r="AO690" i="2" s="1"/>
  <c r="AD691" i="2"/>
  <c r="AP694" i="2"/>
  <c r="AP706" i="2"/>
  <c r="AO706" i="2" s="1"/>
  <c r="AD707" i="2"/>
  <c r="AP710" i="2"/>
  <c r="AQ722" i="2"/>
  <c r="AP722" i="2"/>
  <c r="AF213" i="2"/>
  <c r="AB213" i="2"/>
  <c r="Z213" i="2"/>
  <c r="AE213" i="2"/>
  <c r="X214" i="2"/>
  <c r="AF221" i="2"/>
  <c r="AB221" i="2"/>
  <c r="Z221" i="2"/>
  <c r="AE221" i="2"/>
  <c r="X222" i="2"/>
  <c r="AF222" i="2" s="1"/>
  <c r="AC225" i="2"/>
  <c r="X230" i="2"/>
  <c r="AC233" i="2"/>
  <c r="X238" i="2"/>
  <c r="AC241" i="2"/>
  <c r="X246" i="2"/>
  <c r="AC246" i="2" s="1"/>
  <c r="AC249" i="2"/>
  <c r="X254" i="2"/>
  <c r="AC257" i="2"/>
  <c r="X262" i="2"/>
  <c r="AC265" i="2"/>
  <c r="X270" i="2"/>
  <c r="AC273" i="2"/>
  <c r="X278" i="2"/>
  <c r="AC278" i="2" s="1"/>
  <c r="AC281" i="2"/>
  <c r="X286" i="2"/>
  <c r="AC289" i="2"/>
  <c r="X294" i="2"/>
  <c r="AC297" i="2"/>
  <c r="X302" i="2"/>
  <c r="AC305" i="2"/>
  <c r="X310" i="2"/>
  <c r="AC310" i="2" s="1"/>
  <c r="AC313" i="2"/>
  <c r="X318" i="2"/>
  <c r="AC321" i="2"/>
  <c r="X326" i="2"/>
  <c r="AC329" i="2"/>
  <c r="X334" i="2"/>
  <c r="AC337" i="2"/>
  <c r="X342" i="2"/>
  <c r="AC342" i="2" s="1"/>
  <c r="X350" i="2"/>
  <c r="AC353" i="2"/>
  <c r="X358" i="2"/>
  <c r="X366" i="2"/>
  <c r="AC369" i="2"/>
  <c r="X374" i="2"/>
  <c r="X382" i="2"/>
  <c r="AC382" i="2" s="1"/>
  <c r="X390" i="2"/>
  <c r="AC390" i="2" s="1"/>
  <c r="X398" i="2"/>
  <c r="AC398" i="2" s="1"/>
  <c r="X406" i="2"/>
  <c r="X414" i="2"/>
  <c r="X422" i="2"/>
  <c r="AC425" i="2"/>
  <c r="X430" i="2"/>
  <c r="AC430" i="2" s="1"/>
  <c r="AC433" i="2"/>
  <c r="X438" i="2"/>
  <c r="AC441" i="2"/>
  <c r="X446" i="2"/>
  <c r="AC446" i="2" s="1"/>
  <c r="AC449" i="2"/>
  <c r="AP449" i="2"/>
  <c r="AO449" i="2" s="1"/>
  <c r="X454" i="2"/>
  <c r="AB454" i="2" s="1"/>
  <c r="AC457" i="2"/>
  <c r="AP457" i="2"/>
  <c r="AO457" i="2" s="1"/>
  <c r="X462" i="2"/>
  <c r="AC465" i="2"/>
  <c r="AP465" i="2"/>
  <c r="AO465" i="2" s="1"/>
  <c r="X470" i="2"/>
  <c r="Z470" i="2" s="1"/>
  <c r="AC473" i="2"/>
  <c r="AP473" i="2"/>
  <c r="AO473" i="2" s="1"/>
  <c r="X478" i="2"/>
  <c r="AC481" i="2"/>
  <c r="AP481" i="2"/>
  <c r="AO481" i="2" s="1"/>
  <c r="X486" i="2"/>
  <c r="Z486" i="2" s="1"/>
  <c r="AC489" i="2"/>
  <c r="AP489" i="2"/>
  <c r="AO489" i="2" s="1"/>
  <c r="X494" i="2"/>
  <c r="AC497" i="2"/>
  <c r="X502" i="2"/>
  <c r="Z502" i="2" s="1"/>
  <c r="AC505" i="2"/>
  <c r="AP505" i="2"/>
  <c r="AO505" i="2" s="1"/>
  <c r="X510" i="2"/>
  <c r="AC513" i="2"/>
  <c r="X518" i="2"/>
  <c r="Z518" i="2" s="1"/>
  <c r="AC521" i="2"/>
  <c r="X526" i="2"/>
  <c r="AC529" i="2"/>
  <c r="AP529" i="2"/>
  <c r="AO529" i="2" s="1"/>
  <c r="X534" i="2"/>
  <c r="X542" i="2"/>
  <c r="AC542" i="2" s="1"/>
  <c r="AC545" i="2"/>
  <c r="X550" i="2"/>
  <c r="AC553" i="2"/>
  <c r="X558" i="2"/>
  <c r="AC561" i="2"/>
  <c r="X566" i="2"/>
  <c r="AC566" i="2" s="1"/>
  <c r="X569" i="2"/>
  <c r="AD569" i="2" s="1"/>
  <c r="AC569" i="2"/>
  <c r="AP569" i="2"/>
  <c r="X574" i="2"/>
  <c r="AF574" i="2" s="1"/>
  <c r="AP576" i="2"/>
  <c r="AO576" i="2" s="1"/>
  <c r="X577" i="2"/>
  <c r="AD577" i="2" s="1"/>
  <c r="AC577" i="2"/>
  <c r="X582" i="2"/>
  <c r="AC582" i="2" s="1"/>
  <c r="AP584" i="2"/>
  <c r="AO584" i="2" s="1"/>
  <c r="X585" i="2"/>
  <c r="AC585" i="2" s="1"/>
  <c r="X590" i="2"/>
  <c r="AP592" i="2"/>
  <c r="AO592" i="2" s="1"/>
  <c r="X593" i="2"/>
  <c r="AD593" i="2" s="1"/>
  <c r="X598" i="2"/>
  <c r="AP600" i="2"/>
  <c r="AO600" i="2" s="1"/>
  <c r="X601" i="2"/>
  <c r="AC601" i="2" s="1"/>
  <c r="X606" i="2"/>
  <c r="AP608" i="2"/>
  <c r="AO608" i="2" s="1"/>
  <c r="X609" i="2"/>
  <c r="AC609" i="2"/>
  <c r="AP609" i="2"/>
  <c r="X614" i="2"/>
  <c r="AD614" i="2" s="1"/>
  <c r="AP616" i="2"/>
  <c r="AO616" i="2" s="1"/>
  <c r="X617" i="2"/>
  <c r="AP617" i="2"/>
  <c r="X622" i="2"/>
  <c r="AC622" i="2" s="1"/>
  <c r="X630" i="2"/>
  <c r="AF630" i="2" s="1"/>
  <c r="AC633" i="2"/>
  <c r="AP633" i="2"/>
  <c r="AO633" i="2" s="1"/>
  <c r="X638" i="2"/>
  <c r="AC638" i="2" s="1"/>
  <c r="AP640" i="2"/>
  <c r="AO640" i="2" s="1"/>
  <c r="X641" i="2"/>
  <c r="AC641" i="2"/>
  <c r="X646" i="2"/>
  <c r="AP648" i="2"/>
  <c r="AO648" i="2" s="1"/>
  <c r="X649" i="2"/>
  <c r="AC649" i="2" s="1"/>
  <c r="X654" i="2"/>
  <c r="AP656" i="2"/>
  <c r="AO656" i="2" s="1"/>
  <c r="X657" i="2"/>
  <c r="AC657" i="2" s="1"/>
  <c r="X662" i="2"/>
  <c r="AC662" i="2" s="1"/>
  <c r="AP664" i="2"/>
  <c r="AO664" i="2" s="1"/>
  <c r="X665" i="2"/>
  <c r="AC665" i="2" s="1"/>
  <c r="X670" i="2"/>
  <c r="X678" i="2"/>
  <c r="AC681" i="2"/>
  <c r="X686" i="2"/>
  <c r="AC689" i="2"/>
  <c r="AP689" i="2"/>
  <c r="AO689" i="2" s="1"/>
  <c r="X694" i="2"/>
  <c r="AP696" i="2"/>
  <c r="AO696" i="2" s="1"/>
  <c r="X697" i="2"/>
  <c r="AC697" i="2" s="1"/>
  <c r="AP697" i="2"/>
  <c r="X702" i="2"/>
  <c r="AD702" i="2" s="1"/>
  <c r="AP704" i="2"/>
  <c r="AO704" i="2" s="1"/>
  <c r="X705" i="2"/>
  <c r="AP705" i="2"/>
  <c r="X710" i="2"/>
  <c r="AF710" i="2" s="1"/>
  <c r="AC713" i="2"/>
  <c r="AP713" i="2"/>
  <c r="AO713" i="2" s="1"/>
  <c r="AP716" i="2"/>
  <c r="AP725" i="2"/>
  <c r="AO725" i="2" s="1"/>
  <c r="AP726" i="2"/>
  <c r="AB727" i="2"/>
  <c r="X727" i="2"/>
  <c r="AP729" i="2"/>
  <c r="AQ730" i="2"/>
  <c r="AP730" i="2"/>
  <c r="X732" i="2"/>
  <c r="AC732" i="2"/>
  <c r="AD732" i="2"/>
  <c r="AP733" i="2"/>
  <c r="AO733" i="2" s="1"/>
  <c r="AQ746" i="2"/>
  <c r="AP746" i="2"/>
  <c r="X748" i="2"/>
  <c r="AC748" i="2"/>
  <c r="AA748" i="2"/>
  <c r="AD748" i="2"/>
  <c r="AP749" i="2"/>
  <c r="AO749" i="2" s="1"/>
  <c r="AQ762" i="2"/>
  <c r="AP762" i="2"/>
  <c r="AP771" i="2"/>
  <c r="X776" i="2"/>
  <c r="AA776" i="2"/>
  <c r="AQ778" i="2"/>
  <c r="AP778" i="2"/>
  <c r="AP787" i="2"/>
  <c r="X792" i="2"/>
  <c r="AA792" i="2"/>
  <c r="AQ794" i="2"/>
  <c r="AP794" i="2"/>
  <c r="AP805" i="2"/>
  <c r="AO805" i="2" s="1"/>
  <c r="X808" i="2"/>
  <c r="AQ810" i="2"/>
  <c r="AP810" i="2"/>
  <c r="AP812" i="2"/>
  <c r="AQ812" i="2"/>
  <c r="X814" i="2"/>
  <c r="AD814" i="2"/>
  <c r="AP815" i="2"/>
  <c r="AO815" i="2" s="1"/>
  <c r="AP820" i="2"/>
  <c r="AQ820" i="2"/>
  <c r="X822" i="2"/>
  <c r="AP823" i="2"/>
  <c r="AP827" i="2"/>
  <c r="X832" i="2"/>
  <c r="AA832" i="2"/>
  <c r="AQ834" i="2"/>
  <c r="AP834" i="2"/>
  <c r="X847" i="2"/>
  <c r="AD847" i="2"/>
  <c r="AC847" i="2"/>
  <c r="AA847" i="2"/>
  <c r="AF227" i="2"/>
  <c r="AB227" i="2"/>
  <c r="Z227" i="2"/>
  <c r="AE227" i="2"/>
  <c r="X228" i="2"/>
  <c r="AC228" i="2" s="1"/>
  <c r="AP230" i="2"/>
  <c r="AD230" i="2"/>
  <c r="Z230" i="2"/>
  <c r="AE230" i="2"/>
  <c r="X231" i="2"/>
  <c r="AC231" i="2"/>
  <c r="AF235" i="2"/>
  <c r="AB235" i="2"/>
  <c r="Z235" i="2"/>
  <c r="AE235" i="2"/>
  <c r="X236" i="2"/>
  <c r="AC236" i="2" s="1"/>
  <c r="AP238" i="2"/>
  <c r="AD238" i="2"/>
  <c r="Z238" i="2"/>
  <c r="AE238" i="2"/>
  <c r="X239" i="2"/>
  <c r="AC239" i="2" s="1"/>
  <c r="AF243" i="2"/>
  <c r="AB243" i="2"/>
  <c r="Z243" i="2"/>
  <c r="AE243" i="2"/>
  <c r="X244" i="2"/>
  <c r="AC244" i="2" s="1"/>
  <c r="AP246" i="2"/>
  <c r="AD246" i="2"/>
  <c r="Z246" i="2"/>
  <c r="AE246" i="2"/>
  <c r="X247" i="2"/>
  <c r="AA247" i="2" s="1"/>
  <c r="AF251" i="2"/>
  <c r="AB251" i="2"/>
  <c r="Z251" i="2"/>
  <c r="AE251" i="2"/>
  <c r="X252" i="2"/>
  <c r="AC252" i="2" s="1"/>
  <c r="AP254" i="2"/>
  <c r="AD254" i="2"/>
  <c r="Z254" i="2"/>
  <c r="AE254" i="2"/>
  <c r="X255" i="2"/>
  <c r="AC255" i="2" s="1"/>
  <c r="AF259" i="2"/>
  <c r="AB259" i="2"/>
  <c r="Z259" i="2"/>
  <c r="AE259" i="2"/>
  <c r="X260" i="2"/>
  <c r="AC260" i="2" s="1"/>
  <c r="AP262" i="2"/>
  <c r="AD262" i="2"/>
  <c r="Z262" i="2"/>
  <c r="AE262" i="2"/>
  <c r="X263" i="2"/>
  <c r="AC263" i="2" s="1"/>
  <c r="AF267" i="2"/>
  <c r="AB267" i="2"/>
  <c r="Z267" i="2"/>
  <c r="AE267" i="2"/>
  <c r="X268" i="2"/>
  <c r="AC268" i="2" s="1"/>
  <c r="AP270" i="2"/>
  <c r="AD270" i="2"/>
  <c r="Z270" i="2"/>
  <c r="AE270" i="2"/>
  <c r="X271" i="2"/>
  <c r="AC271" i="2" s="1"/>
  <c r="AF275" i="2"/>
  <c r="AB275" i="2"/>
  <c r="Z275" i="2"/>
  <c r="AE275" i="2"/>
  <c r="X276" i="2"/>
  <c r="AC276" i="2" s="1"/>
  <c r="AP278" i="2"/>
  <c r="AD278" i="2"/>
  <c r="Z278" i="2"/>
  <c r="AE278" i="2"/>
  <c r="X279" i="2"/>
  <c r="AA279" i="2" s="1"/>
  <c r="AF283" i="2"/>
  <c r="AB283" i="2"/>
  <c r="Z283" i="2"/>
  <c r="AE283" i="2"/>
  <c r="X284" i="2"/>
  <c r="AC284" i="2" s="1"/>
  <c r="AP286" i="2"/>
  <c r="AD286" i="2"/>
  <c r="Z286" i="2"/>
  <c r="AE286" i="2"/>
  <c r="X287" i="2"/>
  <c r="AC287" i="2" s="1"/>
  <c r="AF291" i="2"/>
  <c r="AB291" i="2"/>
  <c r="Z291" i="2"/>
  <c r="AE291" i="2"/>
  <c r="X292" i="2"/>
  <c r="AC292" i="2" s="1"/>
  <c r="AP294" i="2"/>
  <c r="AD294" i="2"/>
  <c r="Z294" i="2"/>
  <c r="AE294" i="2"/>
  <c r="X295" i="2"/>
  <c r="AC295" i="2" s="1"/>
  <c r="AF299" i="2"/>
  <c r="AB299" i="2"/>
  <c r="Z299" i="2"/>
  <c r="AE299" i="2"/>
  <c r="X300" i="2"/>
  <c r="AC300" i="2" s="1"/>
  <c r="AP302" i="2"/>
  <c r="AD302" i="2"/>
  <c r="Z302" i="2"/>
  <c r="AE302" i="2"/>
  <c r="X303" i="2"/>
  <c r="AC303" i="2" s="1"/>
  <c r="AF307" i="2"/>
  <c r="AB307" i="2"/>
  <c r="Z307" i="2"/>
  <c r="AE307" i="2"/>
  <c r="X308" i="2"/>
  <c r="AC308" i="2" s="1"/>
  <c r="AP310" i="2"/>
  <c r="AD310" i="2"/>
  <c r="Z310" i="2"/>
  <c r="AE310" i="2"/>
  <c r="X311" i="2"/>
  <c r="AA311" i="2" s="1"/>
  <c r="AF315" i="2"/>
  <c r="AB315" i="2"/>
  <c r="Z315" i="2"/>
  <c r="AE315" i="2"/>
  <c r="X316" i="2"/>
  <c r="AC316" i="2" s="1"/>
  <c r="AP318" i="2"/>
  <c r="AD318" i="2"/>
  <c r="Z318" i="2"/>
  <c r="AE318" i="2"/>
  <c r="X319" i="2"/>
  <c r="AC319" i="2" s="1"/>
  <c r="AF323" i="2"/>
  <c r="AB323" i="2"/>
  <c r="Z323" i="2"/>
  <c r="AE323" i="2"/>
  <c r="X324" i="2"/>
  <c r="AC324" i="2" s="1"/>
  <c r="AP326" i="2"/>
  <c r="AD326" i="2"/>
  <c r="Z326" i="2"/>
  <c r="AE326" i="2"/>
  <c r="X327" i="2"/>
  <c r="AC327" i="2" s="1"/>
  <c r="AF331" i="2"/>
  <c r="AB331" i="2"/>
  <c r="Z331" i="2"/>
  <c r="AE331" i="2"/>
  <c r="X332" i="2"/>
  <c r="AC332" i="2" s="1"/>
  <c r="AP334" i="2"/>
  <c r="AD334" i="2"/>
  <c r="Z334" i="2"/>
  <c r="AE334" i="2"/>
  <c r="X335" i="2"/>
  <c r="AC335" i="2" s="1"/>
  <c r="AF339" i="2"/>
  <c r="AB339" i="2"/>
  <c r="Z339" i="2"/>
  <c r="AE339" i="2"/>
  <c r="X340" i="2"/>
  <c r="AC340" i="2" s="1"/>
  <c r="AP342" i="2"/>
  <c r="AD342" i="2"/>
  <c r="Z342" i="2"/>
  <c r="AE342" i="2"/>
  <c r="X343" i="2"/>
  <c r="AA343" i="2" s="1"/>
  <c r="AF347" i="2"/>
  <c r="AB347" i="2"/>
  <c r="Z347" i="2"/>
  <c r="AE347" i="2"/>
  <c r="X348" i="2"/>
  <c r="AC348" i="2" s="1"/>
  <c r="AP350" i="2"/>
  <c r="AD350" i="2"/>
  <c r="Z350" i="2"/>
  <c r="AE350" i="2"/>
  <c r="X351" i="2"/>
  <c r="AA351" i="2" s="1"/>
  <c r="AF355" i="2"/>
  <c r="AB355" i="2"/>
  <c r="Z355" i="2"/>
  <c r="AE355" i="2"/>
  <c r="X356" i="2"/>
  <c r="AC356" i="2" s="1"/>
  <c r="AP358" i="2"/>
  <c r="AD358" i="2"/>
  <c r="Z358" i="2"/>
  <c r="AE358" i="2"/>
  <c r="X359" i="2"/>
  <c r="AC359" i="2" s="1"/>
  <c r="AF363" i="2"/>
  <c r="AB363" i="2"/>
  <c r="Z363" i="2"/>
  <c r="AE363" i="2"/>
  <c r="X364" i="2"/>
  <c r="AC364" i="2" s="1"/>
  <c r="AP366" i="2"/>
  <c r="AD366" i="2"/>
  <c r="Z366" i="2"/>
  <c r="AE366" i="2"/>
  <c r="X367" i="2"/>
  <c r="AC367" i="2" s="1"/>
  <c r="AF371" i="2"/>
  <c r="AB371" i="2"/>
  <c r="Z371" i="2"/>
  <c r="AE371" i="2"/>
  <c r="X372" i="2"/>
  <c r="AC372" i="2" s="1"/>
  <c r="AP374" i="2"/>
  <c r="AD374" i="2"/>
  <c r="Z374" i="2"/>
  <c r="AE374" i="2"/>
  <c r="X375" i="2"/>
  <c r="AC375" i="2" s="1"/>
  <c r="AF379" i="2"/>
  <c r="AB379" i="2"/>
  <c r="Z379" i="2"/>
  <c r="AE379" i="2"/>
  <c r="X380" i="2"/>
  <c r="AC380" i="2" s="1"/>
  <c r="AP382" i="2"/>
  <c r="AD382" i="2"/>
  <c r="Z382" i="2"/>
  <c r="AE382" i="2"/>
  <c r="X383" i="2"/>
  <c r="AC383" i="2" s="1"/>
  <c r="AF387" i="2"/>
  <c r="AB387" i="2"/>
  <c r="Z387" i="2"/>
  <c r="AE387" i="2"/>
  <c r="X388" i="2"/>
  <c r="AB388" i="2" s="1"/>
  <c r="AP390" i="2"/>
  <c r="AD390" i="2"/>
  <c r="Z390" i="2"/>
  <c r="AE390" i="2"/>
  <c r="X391" i="2"/>
  <c r="AA391" i="2" s="1"/>
  <c r="AF395" i="2"/>
  <c r="AB395" i="2"/>
  <c r="Z395" i="2"/>
  <c r="AE395" i="2"/>
  <c r="X396" i="2"/>
  <c r="AC396" i="2" s="1"/>
  <c r="AP398" i="2"/>
  <c r="AD398" i="2"/>
  <c r="Z398" i="2"/>
  <c r="AE398" i="2"/>
  <c r="X399" i="2"/>
  <c r="AA399" i="2" s="1"/>
  <c r="AF403" i="2"/>
  <c r="AB403" i="2"/>
  <c r="Z403" i="2"/>
  <c r="AE403" i="2"/>
  <c r="X404" i="2"/>
  <c r="AC404" i="2" s="1"/>
  <c r="AP406" i="2"/>
  <c r="AD406" i="2"/>
  <c r="Z406" i="2"/>
  <c r="AE406" i="2"/>
  <c r="X407" i="2"/>
  <c r="AC407" i="2" s="1"/>
  <c r="AF411" i="2"/>
  <c r="AB411" i="2"/>
  <c r="Z411" i="2"/>
  <c r="AE411" i="2"/>
  <c r="X412" i="2"/>
  <c r="AC412" i="2" s="1"/>
  <c r="AP414" i="2"/>
  <c r="AD414" i="2"/>
  <c r="Z414" i="2"/>
  <c r="AE414" i="2"/>
  <c r="X415" i="2"/>
  <c r="AC415" i="2" s="1"/>
  <c r="AF419" i="2"/>
  <c r="AB419" i="2"/>
  <c r="Z419" i="2"/>
  <c r="AE419" i="2"/>
  <c r="X420" i="2"/>
  <c r="AC420" i="2" s="1"/>
  <c r="AP422" i="2"/>
  <c r="AD422" i="2"/>
  <c r="Z422" i="2"/>
  <c r="AE422" i="2"/>
  <c r="X423" i="2"/>
  <c r="AC423" i="2" s="1"/>
  <c r="AF427" i="2"/>
  <c r="AB427" i="2"/>
  <c r="Z427" i="2"/>
  <c r="AE427" i="2"/>
  <c r="X428" i="2"/>
  <c r="AC428" i="2" s="1"/>
  <c r="AP430" i="2"/>
  <c r="AD430" i="2"/>
  <c r="Z430" i="2"/>
  <c r="AE430" i="2"/>
  <c r="X431" i="2"/>
  <c r="AC431" i="2" s="1"/>
  <c r="AF435" i="2"/>
  <c r="AB435" i="2"/>
  <c r="Z435" i="2"/>
  <c r="AE435" i="2"/>
  <c r="X436" i="2"/>
  <c r="AC436" i="2" s="1"/>
  <c r="AP438" i="2"/>
  <c r="AD438" i="2"/>
  <c r="Z438" i="2"/>
  <c r="AE438" i="2"/>
  <c r="X439" i="2"/>
  <c r="AA439" i="2" s="1"/>
  <c r="AF443" i="2"/>
  <c r="AB443" i="2"/>
  <c r="Z443" i="2"/>
  <c r="AE443" i="2"/>
  <c r="X444" i="2"/>
  <c r="AC444" i="2" s="1"/>
  <c r="AP446" i="2"/>
  <c r="AD446" i="2"/>
  <c r="Z446" i="2"/>
  <c r="AE446" i="2"/>
  <c r="X447" i="2"/>
  <c r="AC447" i="2" s="1"/>
  <c r="AF451" i="2"/>
  <c r="AB451" i="2"/>
  <c r="Z451" i="2"/>
  <c r="AE451" i="2"/>
  <c r="X452" i="2"/>
  <c r="AB452" i="2" s="1"/>
  <c r="AF459" i="2"/>
  <c r="AB459" i="2"/>
  <c r="Z459" i="2"/>
  <c r="AE459" i="2"/>
  <c r="X460" i="2"/>
  <c r="AF467" i="2"/>
  <c r="AB467" i="2"/>
  <c r="Z467" i="2"/>
  <c r="AE467" i="2"/>
  <c r="X468" i="2"/>
  <c r="AB468" i="2" s="1"/>
  <c r="AF475" i="2"/>
  <c r="AB475" i="2"/>
  <c r="Z475" i="2"/>
  <c r="AE475" i="2"/>
  <c r="X476" i="2"/>
  <c r="AC476" i="2" s="1"/>
  <c r="AF483" i="2"/>
  <c r="AB483" i="2"/>
  <c r="Z483" i="2"/>
  <c r="AE483" i="2"/>
  <c r="X484" i="2"/>
  <c r="AB484" i="2" s="1"/>
  <c r="AF491" i="2"/>
  <c r="AB491" i="2"/>
  <c r="Z491" i="2"/>
  <c r="AE491" i="2"/>
  <c r="X492" i="2"/>
  <c r="AC492" i="2" s="1"/>
  <c r="AP494" i="2"/>
  <c r="AD494" i="2"/>
  <c r="Z494" i="2"/>
  <c r="AE494" i="2"/>
  <c r="X495" i="2"/>
  <c r="AC495" i="2" s="1"/>
  <c r="AF499" i="2"/>
  <c r="AB499" i="2"/>
  <c r="Z499" i="2"/>
  <c r="AE499" i="2"/>
  <c r="X500" i="2"/>
  <c r="AC500" i="2" s="1"/>
  <c r="AF507" i="2"/>
  <c r="AB507" i="2"/>
  <c r="Z507" i="2"/>
  <c r="AE507" i="2"/>
  <c r="X508" i="2"/>
  <c r="AC508" i="2" s="1"/>
  <c r="AP510" i="2"/>
  <c r="AD510" i="2"/>
  <c r="Z510" i="2"/>
  <c r="AE510" i="2"/>
  <c r="X511" i="2"/>
  <c r="AC511" i="2" s="1"/>
  <c r="AF515" i="2"/>
  <c r="AB515" i="2"/>
  <c r="Z515" i="2"/>
  <c r="AE515" i="2"/>
  <c r="X516" i="2"/>
  <c r="AB516" i="2" s="1"/>
  <c r="X519" i="2"/>
  <c r="AA519" i="2" s="1"/>
  <c r="AC519" i="2"/>
  <c r="AF523" i="2"/>
  <c r="AB523" i="2"/>
  <c r="Z523" i="2"/>
  <c r="AE523" i="2"/>
  <c r="X524" i="2"/>
  <c r="AC524" i="2" s="1"/>
  <c r="AF531" i="2"/>
  <c r="AB531" i="2"/>
  <c r="Z531" i="2"/>
  <c r="AE531" i="2"/>
  <c r="X532" i="2"/>
  <c r="AB532" i="2" s="1"/>
  <c r="AP534" i="2"/>
  <c r="AD534" i="2"/>
  <c r="Z534" i="2"/>
  <c r="AE534" i="2"/>
  <c r="X535" i="2"/>
  <c r="AA535" i="2" s="1"/>
  <c r="AC535" i="2"/>
  <c r="AF539" i="2"/>
  <c r="AB539" i="2"/>
  <c r="Z539" i="2"/>
  <c r="AE539" i="2"/>
  <c r="X540" i="2"/>
  <c r="AB540" i="2" s="1"/>
  <c r="AC540" i="2"/>
  <c r="AP542" i="2"/>
  <c r="AD542" i="2"/>
  <c r="Z542" i="2"/>
  <c r="AE542" i="2"/>
  <c r="X543" i="2"/>
  <c r="AA543" i="2" s="1"/>
  <c r="AC543" i="2"/>
  <c r="AF547" i="2"/>
  <c r="AB547" i="2"/>
  <c r="Z547" i="2"/>
  <c r="AE547" i="2"/>
  <c r="X548" i="2"/>
  <c r="AB548" i="2" s="1"/>
  <c r="AC548" i="2"/>
  <c r="AP550" i="2"/>
  <c r="AD550" i="2"/>
  <c r="Z550" i="2"/>
  <c r="AE550" i="2"/>
  <c r="X551" i="2"/>
  <c r="AA551" i="2" s="1"/>
  <c r="AC551" i="2"/>
  <c r="AF555" i="2"/>
  <c r="AB555" i="2"/>
  <c r="Z555" i="2"/>
  <c r="AE555" i="2"/>
  <c r="X556" i="2"/>
  <c r="AB556" i="2" s="1"/>
  <c r="AC556" i="2"/>
  <c r="AP558" i="2"/>
  <c r="AD558" i="2"/>
  <c r="Z558" i="2"/>
  <c r="AE558" i="2"/>
  <c r="X559" i="2"/>
  <c r="AC559" i="2"/>
  <c r="AF563" i="2"/>
  <c r="AB563" i="2"/>
  <c r="Z563" i="2"/>
  <c r="AE563" i="2"/>
  <c r="X564" i="2"/>
  <c r="AB564" i="2" s="1"/>
  <c r="AP566" i="2"/>
  <c r="AD566" i="2"/>
  <c r="Z566" i="2"/>
  <c r="AE566" i="2"/>
  <c r="X567" i="2"/>
  <c r="AA567" i="2" s="1"/>
  <c r="AC567" i="2"/>
  <c r="AF571" i="2"/>
  <c r="AB571" i="2"/>
  <c r="Z571" i="2"/>
  <c r="AE571" i="2"/>
  <c r="X572" i="2"/>
  <c r="AC572" i="2" s="1"/>
  <c r="AF579" i="2"/>
  <c r="AB579" i="2"/>
  <c r="Z579" i="2"/>
  <c r="AE579" i="2"/>
  <c r="X580" i="2"/>
  <c r="AB580" i="2" s="1"/>
  <c r="AP582" i="2"/>
  <c r="AD582" i="2"/>
  <c r="Z582" i="2"/>
  <c r="AE582" i="2"/>
  <c r="X583" i="2"/>
  <c r="AA583" i="2" s="1"/>
  <c r="AD585" i="2"/>
  <c r="AF587" i="2"/>
  <c r="AB587" i="2"/>
  <c r="Z587" i="2"/>
  <c r="AE587" i="2"/>
  <c r="X588" i="2"/>
  <c r="AF595" i="2"/>
  <c r="AB595" i="2"/>
  <c r="Z595" i="2"/>
  <c r="AE595" i="2"/>
  <c r="X596" i="2"/>
  <c r="AF603" i="2"/>
  <c r="AB603" i="2"/>
  <c r="Z603" i="2"/>
  <c r="AE603" i="2"/>
  <c r="X604" i="2"/>
  <c r="AC604" i="2" s="1"/>
  <c r="AF611" i="2"/>
  <c r="AB611" i="2"/>
  <c r="Z611" i="2"/>
  <c r="AE611" i="2"/>
  <c r="X612" i="2"/>
  <c r="AF619" i="2"/>
  <c r="AB619" i="2"/>
  <c r="Z619" i="2"/>
  <c r="AE619" i="2"/>
  <c r="X620" i="2"/>
  <c r="AC620" i="2" s="1"/>
  <c r="AP622" i="2"/>
  <c r="AD622" i="2"/>
  <c r="Z622" i="2"/>
  <c r="AE622" i="2"/>
  <c r="X623" i="2"/>
  <c r="AA623" i="2" s="1"/>
  <c r="AF627" i="2"/>
  <c r="AB627" i="2"/>
  <c r="Z627" i="2"/>
  <c r="AE627" i="2"/>
  <c r="X628" i="2"/>
  <c r="AB628" i="2" s="1"/>
  <c r="X631" i="2"/>
  <c r="AA631" i="2" s="1"/>
  <c r="AC631" i="2"/>
  <c r="AF635" i="2"/>
  <c r="AB635" i="2"/>
  <c r="Z635" i="2"/>
  <c r="AE635" i="2"/>
  <c r="X636" i="2"/>
  <c r="AC636" i="2" s="1"/>
  <c r="AP638" i="2"/>
  <c r="AD638" i="2"/>
  <c r="Z638" i="2"/>
  <c r="AE638" i="2"/>
  <c r="X639" i="2"/>
  <c r="AA639" i="2" s="1"/>
  <c r="AC639" i="2"/>
  <c r="AD641" i="2"/>
  <c r="AF643" i="2"/>
  <c r="AB643" i="2"/>
  <c r="Z643" i="2"/>
  <c r="AE643" i="2"/>
  <c r="X644" i="2"/>
  <c r="AP646" i="2"/>
  <c r="AD646" i="2"/>
  <c r="Z646" i="2"/>
  <c r="AE646" i="2"/>
  <c r="X647" i="2"/>
  <c r="AC647" i="2"/>
  <c r="AD649" i="2"/>
  <c r="AF651" i="2"/>
  <c r="AB651" i="2"/>
  <c r="Z651" i="2"/>
  <c r="AE651" i="2"/>
  <c r="X652" i="2"/>
  <c r="AC652" i="2" s="1"/>
  <c r="AP654" i="2"/>
  <c r="AD654" i="2"/>
  <c r="Z654" i="2"/>
  <c r="AE654" i="2"/>
  <c r="X655" i="2"/>
  <c r="AA655" i="2" s="1"/>
  <c r="AD657" i="2"/>
  <c r="AF659" i="2"/>
  <c r="AB659" i="2"/>
  <c r="Z659" i="2"/>
  <c r="AE659" i="2"/>
  <c r="X660" i="2"/>
  <c r="AC660" i="2" s="1"/>
  <c r="AP662" i="2"/>
  <c r="AD662" i="2"/>
  <c r="Z662" i="2"/>
  <c r="AE662" i="2"/>
  <c r="X663" i="2"/>
  <c r="AC663" i="2" s="1"/>
  <c r="AP663" i="2"/>
  <c r="AO663" i="2" s="1"/>
  <c r="AD665" i="2"/>
  <c r="AF667" i="2"/>
  <c r="AB667" i="2"/>
  <c r="Z667" i="2"/>
  <c r="AE667" i="2"/>
  <c r="X668" i="2"/>
  <c r="AC668" i="2" s="1"/>
  <c r="AP670" i="2"/>
  <c r="AD670" i="2"/>
  <c r="Z670" i="2"/>
  <c r="AE670" i="2"/>
  <c r="X671" i="2"/>
  <c r="AC671" i="2" s="1"/>
  <c r="AF675" i="2"/>
  <c r="AB675" i="2"/>
  <c r="Z675" i="2"/>
  <c r="AE675" i="2"/>
  <c r="X676" i="2"/>
  <c r="AC676" i="2" s="1"/>
  <c r="AP678" i="2"/>
  <c r="AD678" i="2"/>
  <c r="Z678" i="2"/>
  <c r="AE678" i="2"/>
  <c r="X679" i="2"/>
  <c r="AC679" i="2" s="1"/>
  <c r="AF683" i="2"/>
  <c r="AB683" i="2"/>
  <c r="Z683" i="2"/>
  <c r="AE683" i="2"/>
  <c r="X684" i="2"/>
  <c r="AB684" i="2" s="1"/>
  <c r="AP686" i="2"/>
  <c r="AD686" i="2"/>
  <c r="Z686" i="2"/>
  <c r="AE686" i="2"/>
  <c r="X687" i="2"/>
  <c r="AC687" i="2" s="1"/>
  <c r="AF691" i="2"/>
  <c r="AB691" i="2"/>
  <c r="Z691" i="2"/>
  <c r="AE691" i="2"/>
  <c r="X692" i="2"/>
  <c r="AC692" i="2" s="1"/>
  <c r="AF699" i="2"/>
  <c r="AB699" i="2"/>
  <c r="Z699" i="2"/>
  <c r="AE699" i="2"/>
  <c r="X700" i="2"/>
  <c r="AB700" i="2" s="1"/>
  <c r="AF707" i="2"/>
  <c r="AB707" i="2"/>
  <c r="Z707" i="2"/>
  <c r="AE707" i="2"/>
  <c r="X708" i="2"/>
  <c r="AP723" i="2"/>
  <c r="AO723" i="2" s="1"/>
  <c r="X730" i="2"/>
  <c r="AO730" i="2"/>
  <c r="AD730" i="2"/>
  <c r="AC730" i="2"/>
  <c r="AQ738" i="2"/>
  <c r="AP738" i="2"/>
  <c r="X740" i="2"/>
  <c r="AC740" i="2"/>
  <c r="AD740" i="2"/>
  <c r="AP741" i="2"/>
  <c r="AO741" i="2" s="1"/>
  <c r="X752" i="2"/>
  <c r="AA752" i="2"/>
  <c r="AQ754" i="2"/>
  <c r="AP754" i="2"/>
  <c r="X756" i="2"/>
  <c r="AC756" i="2" s="1"/>
  <c r="AA756" i="2"/>
  <c r="AD756" i="2"/>
  <c r="AP757" i="2"/>
  <c r="AO757" i="2" s="1"/>
  <c r="X764" i="2"/>
  <c r="AC764" i="2"/>
  <c r="AA764" i="2"/>
  <c r="AD764" i="2"/>
  <c r="AP765" i="2"/>
  <c r="AO765" i="2" s="1"/>
  <c r="AP772" i="2"/>
  <c r="AQ772" i="2"/>
  <c r="X774" i="2"/>
  <c r="AP775" i="2"/>
  <c r="AD776" i="2"/>
  <c r="X780" i="2"/>
  <c r="AC780" i="2"/>
  <c r="AA780" i="2"/>
  <c r="AD780" i="2"/>
  <c r="AP781" i="2"/>
  <c r="AO781" i="2" s="1"/>
  <c r="AP788" i="2"/>
  <c r="AQ788" i="2"/>
  <c r="X790" i="2"/>
  <c r="AP791" i="2"/>
  <c r="AD792" i="2"/>
  <c r="X796" i="2"/>
  <c r="AC796" i="2"/>
  <c r="AA796" i="2"/>
  <c r="AD796" i="2"/>
  <c r="AP797" i="2"/>
  <c r="AO797" i="2" s="1"/>
  <c r="X800" i="2"/>
  <c r="AQ802" i="2"/>
  <c r="AP802" i="2"/>
  <c r="AD808" i="2"/>
  <c r="AO820" i="2"/>
  <c r="AP828" i="2"/>
  <c r="AQ828" i="2"/>
  <c r="X830" i="2"/>
  <c r="AP831" i="2"/>
  <c r="AD832" i="2"/>
  <c r="X836" i="2"/>
  <c r="AC836" i="2"/>
  <c r="AA836" i="2"/>
  <c r="AD836" i="2"/>
  <c r="AP837" i="2"/>
  <c r="AO837" i="2" s="1"/>
  <c r="X840" i="2"/>
  <c r="AQ842" i="2"/>
  <c r="AP842" i="2"/>
  <c r="AP846" i="2"/>
  <c r="AQ853" i="2"/>
  <c r="AP853" i="2"/>
  <c r="AP856" i="2"/>
  <c r="AO856" i="2" s="1"/>
  <c r="AF225" i="2"/>
  <c r="AB225" i="2"/>
  <c r="Z225" i="2"/>
  <c r="AE225" i="2"/>
  <c r="X226" i="2"/>
  <c r="AD226" i="2" s="1"/>
  <c r="AA227" i="2"/>
  <c r="AP228" i="2"/>
  <c r="AO228" i="2" s="1"/>
  <c r="AD228" i="2"/>
  <c r="Z228" i="2"/>
  <c r="AE228" i="2"/>
  <c r="X229" i="2"/>
  <c r="AB229" i="2" s="1"/>
  <c r="AA230" i="2"/>
  <c r="AF230" i="2"/>
  <c r="AD231" i="2"/>
  <c r="AF233" i="2"/>
  <c r="AB233" i="2"/>
  <c r="Z233" i="2"/>
  <c r="AE233" i="2"/>
  <c r="X234" i="2"/>
  <c r="Z234" i="2" s="1"/>
  <c r="AA235" i="2"/>
  <c r="AP236" i="2"/>
  <c r="AO236" i="2" s="1"/>
  <c r="AD236" i="2"/>
  <c r="Z236" i="2"/>
  <c r="AE236" i="2"/>
  <c r="X237" i="2"/>
  <c r="AE237" i="2" s="1"/>
  <c r="AP237" i="2"/>
  <c r="AO237" i="2" s="1"/>
  <c r="AA238" i="2"/>
  <c r="AF238" i="2"/>
  <c r="AD239" i="2"/>
  <c r="AF241" i="2"/>
  <c r="AB241" i="2"/>
  <c r="Z241" i="2"/>
  <c r="AE241" i="2"/>
  <c r="X242" i="2"/>
  <c r="AE242" i="2" s="1"/>
  <c r="AA243" i="2"/>
  <c r="AP244" i="2"/>
  <c r="AO244" i="2" s="1"/>
  <c r="AD244" i="2"/>
  <c r="Z244" i="2"/>
  <c r="AE244" i="2"/>
  <c r="X245" i="2"/>
  <c r="Z245" i="2" s="1"/>
  <c r="AP245" i="2"/>
  <c r="AO245" i="2" s="1"/>
  <c r="AA246" i="2"/>
  <c r="AF246" i="2"/>
  <c r="AD247" i="2"/>
  <c r="AF249" i="2"/>
  <c r="AB249" i="2"/>
  <c r="Z249" i="2"/>
  <c r="AE249" i="2"/>
  <c r="X250" i="2"/>
  <c r="AC250" i="2" s="1"/>
  <c r="AA251" i="2"/>
  <c r="AP252" i="2"/>
  <c r="AO252" i="2" s="1"/>
  <c r="AD252" i="2"/>
  <c r="Z252" i="2"/>
  <c r="AE252" i="2"/>
  <c r="X253" i="2"/>
  <c r="AB253" i="2" s="1"/>
  <c r="AP253" i="2"/>
  <c r="AO253" i="2" s="1"/>
  <c r="AA254" i="2"/>
  <c r="AF254" i="2"/>
  <c r="AD255" i="2"/>
  <c r="AF257" i="2"/>
  <c r="AB257" i="2"/>
  <c r="Z257" i="2"/>
  <c r="AE257" i="2"/>
  <c r="X258" i="2"/>
  <c r="AD258" i="2" s="1"/>
  <c r="AA259" i="2"/>
  <c r="AP260" i="2"/>
  <c r="AO260" i="2" s="1"/>
  <c r="AD260" i="2"/>
  <c r="Z260" i="2"/>
  <c r="AE260" i="2"/>
  <c r="X261" i="2"/>
  <c r="AF261" i="2" s="1"/>
  <c r="AP261" i="2"/>
  <c r="AO261" i="2" s="1"/>
  <c r="AA262" i="2"/>
  <c r="AF262" i="2"/>
  <c r="AD263" i="2"/>
  <c r="AF265" i="2"/>
  <c r="AB265" i="2"/>
  <c r="Z265" i="2"/>
  <c r="AE265" i="2"/>
  <c r="X266" i="2"/>
  <c r="Z266" i="2" s="1"/>
  <c r="AA267" i="2"/>
  <c r="AP268" i="2"/>
  <c r="AO268" i="2" s="1"/>
  <c r="AD268" i="2"/>
  <c r="Z268" i="2"/>
  <c r="AE268" i="2"/>
  <c r="X269" i="2"/>
  <c r="AE269" i="2" s="1"/>
  <c r="AP269" i="2"/>
  <c r="AO269" i="2" s="1"/>
  <c r="AA270" i="2"/>
  <c r="AF270" i="2"/>
  <c r="AD271" i="2"/>
  <c r="AF273" i="2"/>
  <c r="AB273" i="2"/>
  <c r="Z273" i="2"/>
  <c r="AE273" i="2"/>
  <c r="X274" i="2"/>
  <c r="AE274" i="2" s="1"/>
  <c r="AA275" i="2"/>
  <c r="AP276" i="2"/>
  <c r="AO276" i="2" s="1"/>
  <c r="AD276" i="2"/>
  <c r="Z276" i="2"/>
  <c r="AE276" i="2"/>
  <c r="X277" i="2"/>
  <c r="Z277" i="2" s="1"/>
  <c r="AP277" i="2"/>
  <c r="AO277" i="2" s="1"/>
  <c r="AA278" i="2"/>
  <c r="AF278" i="2"/>
  <c r="AD279" i="2"/>
  <c r="AF281" i="2"/>
  <c r="AB281" i="2"/>
  <c r="Z281" i="2"/>
  <c r="AE281" i="2"/>
  <c r="X282" i="2"/>
  <c r="AC282" i="2" s="1"/>
  <c r="AA283" i="2"/>
  <c r="AP284" i="2"/>
  <c r="AO284" i="2" s="1"/>
  <c r="AD284" i="2"/>
  <c r="Z284" i="2"/>
  <c r="AE284" i="2"/>
  <c r="X285" i="2"/>
  <c r="AB285" i="2" s="1"/>
  <c r="AP285" i="2"/>
  <c r="AO285" i="2" s="1"/>
  <c r="AA286" i="2"/>
  <c r="AF286" i="2"/>
  <c r="AD287" i="2"/>
  <c r="AF289" i="2"/>
  <c r="AB289" i="2"/>
  <c r="Z289" i="2"/>
  <c r="AE289" i="2"/>
  <c r="X290" i="2"/>
  <c r="AD290" i="2" s="1"/>
  <c r="AA291" i="2"/>
  <c r="AP292" i="2"/>
  <c r="AO292" i="2" s="1"/>
  <c r="AD292" i="2"/>
  <c r="Z292" i="2"/>
  <c r="AE292" i="2"/>
  <c r="X293" i="2"/>
  <c r="AF293" i="2" s="1"/>
  <c r="AP293" i="2"/>
  <c r="AO293" i="2" s="1"/>
  <c r="AA294" i="2"/>
  <c r="AF294" i="2"/>
  <c r="AD295" i="2"/>
  <c r="AF297" i="2"/>
  <c r="AB297" i="2"/>
  <c r="Z297" i="2"/>
  <c r="AE297" i="2"/>
  <c r="X298" i="2"/>
  <c r="Z298" i="2" s="1"/>
  <c r="AA299" i="2"/>
  <c r="AP300" i="2"/>
  <c r="AO300" i="2" s="1"/>
  <c r="AD300" i="2"/>
  <c r="Z300" i="2"/>
  <c r="AE300" i="2"/>
  <c r="X301" i="2"/>
  <c r="AE301" i="2" s="1"/>
  <c r="AP301" i="2"/>
  <c r="AO301" i="2" s="1"/>
  <c r="AA302" i="2"/>
  <c r="AF302" i="2"/>
  <c r="AD303" i="2"/>
  <c r="AF305" i="2"/>
  <c r="AB305" i="2"/>
  <c r="Z305" i="2"/>
  <c r="AE305" i="2"/>
  <c r="X306" i="2"/>
  <c r="AE306" i="2" s="1"/>
  <c r="AA307" i="2"/>
  <c r="AP308" i="2"/>
  <c r="AO308" i="2" s="1"/>
  <c r="AD308" i="2"/>
  <c r="Z308" i="2"/>
  <c r="AE308" i="2"/>
  <c r="X309" i="2"/>
  <c r="Z309" i="2" s="1"/>
  <c r="AP309" i="2"/>
  <c r="AO309" i="2" s="1"/>
  <c r="AA310" i="2"/>
  <c r="AF310" i="2"/>
  <c r="AD311" i="2"/>
  <c r="AF313" i="2"/>
  <c r="AB313" i="2"/>
  <c r="Z313" i="2"/>
  <c r="AE313" i="2"/>
  <c r="X314" i="2"/>
  <c r="AC314" i="2" s="1"/>
  <c r="AA315" i="2"/>
  <c r="AP316" i="2"/>
  <c r="AO316" i="2" s="1"/>
  <c r="AD316" i="2"/>
  <c r="Z316" i="2"/>
  <c r="AE316" i="2"/>
  <c r="X317" i="2"/>
  <c r="AB317" i="2" s="1"/>
  <c r="AP317" i="2"/>
  <c r="AO317" i="2" s="1"/>
  <c r="AA318" i="2"/>
  <c r="AF318" i="2"/>
  <c r="AD319" i="2"/>
  <c r="AF321" i="2"/>
  <c r="AB321" i="2"/>
  <c r="Z321" i="2"/>
  <c r="AE321" i="2"/>
  <c r="X322" i="2"/>
  <c r="AD322" i="2" s="1"/>
  <c r="AA323" i="2"/>
  <c r="AP324" i="2"/>
  <c r="AO324" i="2" s="1"/>
  <c r="AD324" i="2"/>
  <c r="Z324" i="2"/>
  <c r="AE324" i="2"/>
  <c r="X325" i="2"/>
  <c r="AF325" i="2" s="1"/>
  <c r="AP325" i="2"/>
  <c r="AO325" i="2" s="1"/>
  <c r="AA326" i="2"/>
  <c r="AF326" i="2"/>
  <c r="AD327" i="2"/>
  <c r="AF329" i="2"/>
  <c r="AB329" i="2"/>
  <c r="Z329" i="2"/>
  <c r="AE329" i="2"/>
  <c r="X330" i="2"/>
  <c r="Z330" i="2" s="1"/>
  <c r="AA331" i="2"/>
  <c r="AP332" i="2"/>
  <c r="AO332" i="2" s="1"/>
  <c r="AD332" i="2"/>
  <c r="Z332" i="2"/>
  <c r="AE332" i="2"/>
  <c r="X333" i="2"/>
  <c r="AE333" i="2" s="1"/>
  <c r="AP333" i="2"/>
  <c r="AO333" i="2" s="1"/>
  <c r="AA334" i="2"/>
  <c r="AF334" i="2"/>
  <c r="AD335" i="2"/>
  <c r="AF337" i="2"/>
  <c r="AB337" i="2"/>
  <c r="Z337" i="2"/>
  <c r="AE337" i="2"/>
  <c r="X338" i="2"/>
  <c r="AE338" i="2" s="1"/>
  <c r="AA339" i="2"/>
  <c r="AP340" i="2"/>
  <c r="AO340" i="2" s="1"/>
  <c r="AD340" i="2"/>
  <c r="Z340" i="2"/>
  <c r="AE340" i="2"/>
  <c r="X341" i="2"/>
  <c r="Z341" i="2" s="1"/>
  <c r="AP341" i="2"/>
  <c r="AO341" i="2" s="1"/>
  <c r="AA342" i="2"/>
  <c r="AF342" i="2"/>
  <c r="AD343" i="2"/>
  <c r="AF345" i="2"/>
  <c r="AB345" i="2"/>
  <c r="Z345" i="2"/>
  <c r="AE345" i="2"/>
  <c r="X346" i="2"/>
  <c r="AE346" i="2" s="1"/>
  <c r="AA347" i="2"/>
  <c r="AP348" i="2"/>
  <c r="AO348" i="2" s="1"/>
  <c r="AD348" i="2"/>
  <c r="Z348" i="2"/>
  <c r="AE348" i="2"/>
  <c r="X349" i="2"/>
  <c r="Z349" i="2" s="1"/>
  <c r="AP349" i="2"/>
  <c r="AO349" i="2" s="1"/>
  <c r="AA350" i="2"/>
  <c r="AF350" i="2"/>
  <c r="AD351" i="2"/>
  <c r="AF353" i="2"/>
  <c r="AB353" i="2"/>
  <c r="Z353" i="2"/>
  <c r="AE353" i="2"/>
  <c r="X354" i="2"/>
  <c r="AE354" i="2" s="1"/>
  <c r="AA355" i="2"/>
  <c r="AP356" i="2"/>
  <c r="AO356" i="2" s="1"/>
  <c r="AD356" i="2"/>
  <c r="Z356" i="2"/>
  <c r="AE356" i="2"/>
  <c r="X357" i="2"/>
  <c r="AB357" i="2" s="1"/>
  <c r="AP357" i="2"/>
  <c r="AO357" i="2" s="1"/>
  <c r="AA358" i="2"/>
  <c r="AF358" i="2"/>
  <c r="AD359" i="2"/>
  <c r="AF361" i="2"/>
  <c r="AB361" i="2"/>
  <c r="Z361" i="2"/>
  <c r="AE361" i="2"/>
  <c r="X362" i="2"/>
  <c r="AE362" i="2" s="1"/>
  <c r="AA363" i="2"/>
  <c r="AP364" i="2"/>
  <c r="AO364" i="2" s="1"/>
  <c r="AD364" i="2"/>
  <c r="Z364" i="2"/>
  <c r="AE364" i="2"/>
  <c r="X365" i="2"/>
  <c r="AB365" i="2" s="1"/>
  <c r="AP365" i="2"/>
  <c r="AO365" i="2" s="1"/>
  <c r="AA366" i="2"/>
  <c r="AF366" i="2"/>
  <c r="AD367" i="2"/>
  <c r="AF369" i="2"/>
  <c r="AB369" i="2"/>
  <c r="Z369" i="2"/>
  <c r="AE369" i="2"/>
  <c r="X370" i="2"/>
  <c r="AC370" i="2" s="1"/>
  <c r="AA371" i="2"/>
  <c r="AP372" i="2"/>
  <c r="AO372" i="2" s="1"/>
  <c r="AD372" i="2"/>
  <c r="Z372" i="2"/>
  <c r="AE372" i="2"/>
  <c r="X373" i="2"/>
  <c r="AF373" i="2" s="1"/>
  <c r="AP373" i="2"/>
  <c r="AO373" i="2" s="1"/>
  <c r="AA374" i="2"/>
  <c r="AF374" i="2"/>
  <c r="AD375" i="2"/>
  <c r="AF377" i="2"/>
  <c r="AB377" i="2"/>
  <c r="Z377" i="2"/>
  <c r="AE377" i="2"/>
  <c r="X378" i="2"/>
  <c r="AC378" i="2" s="1"/>
  <c r="AA379" i="2"/>
  <c r="AP380" i="2"/>
  <c r="AO380" i="2" s="1"/>
  <c r="AD380" i="2"/>
  <c r="Z380" i="2"/>
  <c r="AE380" i="2"/>
  <c r="X381" i="2"/>
  <c r="AE381" i="2" s="1"/>
  <c r="AP381" i="2"/>
  <c r="AO381" i="2" s="1"/>
  <c r="AA382" i="2"/>
  <c r="AF382" i="2"/>
  <c r="AD383" i="2"/>
  <c r="AF385" i="2"/>
  <c r="AB385" i="2"/>
  <c r="Z385" i="2"/>
  <c r="AE385" i="2"/>
  <c r="X386" i="2"/>
  <c r="AC386" i="2" s="1"/>
  <c r="AA387" i="2"/>
  <c r="AP388" i="2"/>
  <c r="AO388" i="2" s="1"/>
  <c r="AD388" i="2"/>
  <c r="Z388" i="2"/>
  <c r="AE388" i="2"/>
  <c r="X389" i="2"/>
  <c r="Z389" i="2" s="1"/>
  <c r="AP389" i="2"/>
  <c r="AO389" i="2" s="1"/>
  <c r="AA390" i="2"/>
  <c r="AF390" i="2"/>
  <c r="AD391" i="2"/>
  <c r="AF393" i="2"/>
  <c r="AB393" i="2"/>
  <c r="Z393" i="2"/>
  <c r="AE393" i="2"/>
  <c r="X394" i="2"/>
  <c r="AE394" i="2" s="1"/>
  <c r="AA395" i="2"/>
  <c r="AP396" i="2"/>
  <c r="AO396" i="2" s="1"/>
  <c r="AD396" i="2"/>
  <c r="Z396" i="2"/>
  <c r="AE396" i="2"/>
  <c r="X397" i="2"/>
  <c r="Z397" i="2" s="1"/>
  <c r="AP397" i="2"/>
  <c r="AO397" i="2" s="1"/>
  <c r="AA398" i="2"/>
  <c r="AF398" i="2"/>
  <c r="AD399" i="2"/>
  <c r="AF401" i="2"/>
  <c r="AB401" i="2"/>
  <c r="Z401" i="2"/>
  <c r="AE401" i="2"/>
  <c r="X402" i="2"/>
  <c r="Z402" i="2" s="1"/>
  <c r="AA403" i="2"/>
  <c r="AP404" i="2"/>
  <c r="AO404" i="2" s="1"/>
  <c r="AD404" i="2"/>
  <c r="Z404" i="2"/>
  <c r="AE404" i="2"/>
  <c r="X405" i="2"/>
  <c r="AB405" i="2" s="1"/>
  <c r="AP405" i="2"/>
  <c r="AO405" i="2" s="1"/>
  <c r="AA406" i="2"/>
  <c r="AF406" i="2"/>
  <c r="AD407" i="2"/>
  <c r="AF409" i="2"/>
  <c r="AB409" i="2"/>
  <c r="Z409" i="2"/>
  <c r="AE409" i="2"/>
  <c r="X410" i="2"/>
  <c r="Z410" i="2" s="1"/>
  <c r="AA411" i="2"/>
  <c r="AP412" i="2"/>
  <c r="AO412" i="2" s="1"/>
  <c r="AD412" i="2"/>
  <c r="Z412" i="2"/>
  <c r="AE412" i="2"/>
  <c r="X413" i="2"/>
  <c r="AF413" i="2" s="1"/>
  <c r="AP413" i="2"/>
  <c r="AO413" i="2" s="1"/>
  <c r="AA414" i="2"/>
  <c r="AF414" i="2"/>
  <c r="AD415" i="2"/>
  <c r="AF417" i="2"/>
  <c r="AB417" i="2"/>
  <c r="Z417" i="2"/>
  <c r="AE417" i="2"/>
  <c r="X418" i="2"/>
  <c r="Z418" i="2" s="1"/>
  <c r="AA419" i="2"/>
  <c r="AP420" i="2"/>
  <c r="AO420" i="2" s="1"/>
  <c r="AD420" i="2"/>
  <c r="Z420" i="2"/>
  <c r="AE420" i="2"/>
  <c r="X421" i="2"/>
  <c r="AF421" i="2" s="1"/>
  <c r="AP421" i="2"/>
  <c r="AO421" i="2" s="1"/>
  <c r="AA422" i="2"/>
  <c r="AF422" i="2"/>
  <c r="AD423" i="2"/>
  <c r="AF425" i="2"/>
  <c r="AB425" i="2"/>
  <c r="Z425" i="2"/>
  <c r="AE425" i="2"/>
  <c r="X426" i="2"/>
  <c r="AE426" i="2" s="1"/>
  <c r="AA427" i="2"/>
  <c r="AP428" i="2"/>
  <c r="AO428" i="2" s="1"/>
  <c r="AD428" i="2"/>
  <c r="Z428" i="2"/>
  <c r="AE428" i="2"/>
  <c r="X429" i="2"/>
  <c r="AE429" i="2" s="1"/>
  <c r="AP429" i="2"/>
  <c r="AO429" i="2" s="1"/>
  <c r="AA430" i="2"/>
  <c r="AF430" i="2"/>
  <c r="AD431" i="2"/>
  <c r="AF433" i="2"/>
  <c r="AB433" i="2"/>
  <c r="Z433" i="2"/>
  <c r="AE433" i="2"/>
  <c r="X434" i="2"/>
  <c r="AC434" i="2" s="1"/>
  <c r="AA435" i="2"/>
  <c r="AP436" i="2"/>
  <c r="AO436" i="2" s="1"/>
  <c r="AD436" i="2"/>
  <c r="Z436" i="2"/>
  <c r="AE436" i="2"/>
  <c r="X437" i="2"/>
  <c r="Z437" i="2" s="1"/>
  <c r="AP437" i="2"/>
  <c r="AO437" i="2" s="1"/>
  <c r="AA438" i="2"/>
  <c r="AF438" i="2"/>
  <c r="AD439" i="2"/>
  <c r="AF441" i="2"/>
  <c r="AB441" i="2"/>
  <c r="Z441" i="2"/>
  <c r="AE441" i="2"/>
  <c r="X442" i="2"/>
  <c r="AD442" i="2" s="1"/>
  <c r="AA443" i="2"/>
  <c r="AP444" i="2"/>
  <c r="AO444" i="2" s="1"/>
  <c r="AD444" i="2"/>
  <c r="Z444" i="2"/>
  <c r="AE444" i="2"/>
  <c r="X445" i="2"/>
  <c r="AB445" i="2" s="1"/>
  <c r="AP445" i="2"/>
  <c r="AO445" i="2" s="1"/>
  <c r="AA446" i="2"/>
  <c r="AF446" i="2"/>
  <c r="AD447" i="2"/>
  <c r="AF449" i="2"/>
  <c r="AB449" i="2"/>
  <c r="Z449" i="2"/>
  <c r="AE449" i="2"/>
  <c r="X450" i="2"/>
  <c r="AE450" i="2" s="1"/>
  <c r="AP452" i="2"/>
  <c r="AO452" i="2" s="1"/>
  <c r="AD452" i="2"/>
  <c r="Z452" i="2"/>
  <c r="AE452" i="2"/>
  <c r="X453" i="2"/>
  <c r="AB453" i="2" s="1"/>
  <c r="AC453" i="2"/>
  <c r="AF457" i="2"/>
  <c r="AB457" i="2"/>
  <c r="Z457" i="2"/>
  <c r="AE457" i="2"/>
  <c r="X458" i="2"/>
  <c r="Z458" i="2" s="1"/>
  <c r="AP460" i="2"/>
  <c r="AO460" i="2" s="1"/>
  <c r="AD460" i="2"/>
  <c r="Z460" i="2"/>
  <c r="AE460" i="2"/>
  <c r="X461" i="2"/>
  <c r="AF465" i="2"/>
  <c r="AB465" i="2"/>
  <c r="Z465" i="2"/>
  <c r="AE465" i="2"/>
  <c r="X466" i="2"/>
  <c r="AP468" i="2"/>
  <c r="AO468" i="2" s="1"/>
  <c r="AD468" i="2"/>
  <c r="Z468" i="2"/>
  <c r="AE468" i="2"/>
  <c r="X469" i="2"/>
  <c r="AE469" i="2" s="1"/>
  <c r="AF473" i="2"/>
  <c r="AB473" i="2"/>
  <c r="Z473" i="2"/>
  <c r="AE473" i="2"/>
  <c r="X474" i="2"/>
  <c r="AD474" i="2" s="1"/>
  <c r="AP476" i="2"/>
  <c r="AO476" i="2" s="1"/>
  <c r="AD476" i="2"/>
  <c r="Z476" i="2"/>
  <c r="AE476" i="2"/>
  <c r="X477" i="2"/>
  <c r="AF477" i="2" s="1"/>
  <c r="AF481" i="2"/>
  <c r="AB481" i="2"/>
  <c r="Z481" i="2"/>
  <c r="AE481" i="2"/>
  <c r="X482" i="2"/>
  <c r="AE482" i="2" s="1"/>
  <c r="AP484" i="2"/>
  <c r="AO484" i="2" s="1"/>
  <c r="AD484" i="2"/>
  <c r="Z484" i="2"/>
  <c r="AE484" i="2"/>
  <c r="X485" i="2"/>
  <c r="AB485" i="2" s="1"/>
  <c r="AC485" i="2"/>
  <c r="AF489" i="2"/>
  <c r="AB489" i="2"/>
  <c r="Z489" i="2"/>
  <c r="AE489" i="2"/>
  <c r="X490" i="2"/>
  <c r="Z490" i="2" s="1"/>
  <c r="AP492" i="2"/>
  <c r="AO492" i="2" s="1"/>
  <c r="AD492" i="2"/>
  <c r="Z492" i="2"/>
  <c r="AE492" i="2"/>
  <c r="X493" i="2"/>
  <c r="AA494" i="2"/>
  <c r="AF494" i="2"/>
  <c r="AD495" i="2"/>
  <c r="AF497" i="2"/>
  <c r="AB497" i="2"/>
  <c r="Z497" i="2"/>
  <c r="AE497" i="2"/>
  <c r="X498" i="2"/>
  <c r="AC498" i="2" s="1"/>
  <c r="AP500" i="2"/>
  <c r="AO500" i="2" s="1"/>
  <c r="AD500" i="2"/>
  <c r="Z500" i="2"/>
  <c r="AE500" i="2"/>
  <c r="X501" i="2"/>
  <c r="Z501" i="2" s="1"/>
  <c r="AF505" i="2"/>
  <c r="AB505" i="2"/>
  <c r="Z505" i="2"/>
  <c r="AE505" i="2"/>
  <c r="X506" i="2"/>
  <c r="AE506" i="2" s="1"/>
  <c r="AA507" i="2"/>
  <c r="AP508" i="2"/>
  <c r="AO508" i="2" s="1"/>
  <c r="AD508" i="2"/>
  <c r="Z508" i="2"/>
  <c r="AE508" i="2"/>
  <c r="X509" i="2"/>
  <c r="AF509" i="2" s="1"/>
  <c r="AA510" i="2"/>
  <c r="AF510" i="2"/>
  <c r="AD511" i="2"/>
  <c r="AF513" i="2"/>
  <c r="AB513" i="2"/>
  <c r="Z513" i="2"/>
  <c r="AE513" i="2"/>
  <c r="X514" i="2"/>
  <c r="Z514" i="2" s="1"/>
  <c r="AP516" i="2"/>
  <c r="AO516" i="2" s="1"/>
  <c r="AD516" i="2"/>
  <c r="Z516" i="2"/>
  <c r="AE516" i="2"/>
  <c r="X517" i="2"/>
  <c r="AD519" i="2"/>
  <c r="AF521" i="2"/>
  <c r="AB521" i="2"/>
  <c r="Z521" i="2"/>
  <c r="AE521" i="2"/>
  <c r="X522" i="2"/>
  <c r="AD522" i="2" s="1"/>
  <c r="AA523" i="2"/>
  <c r="AP524" i="2"/>
  <c r="AO524" i="2" s="1"/>
  <c r="AD524" i="2"/>
  <c r="Z524" i="2"/>
  <c r="AE524" i="2"/>
  <c r="X525" i="2"/>
  <c r="AE525" i="2" s="1"/>
  <c r="AC525" i="2"/>
  <c r="AF529" i="2"/>
  <c r="AB529" i="2"/>
  <c r="Z529" i="2"/>
  <c r="AE529" i="2"/>
  <c r="X530" i="2"/>
  <c r="AD530" i="2" s="1"/>
  <c r="AP532" i="2"/>
  <c r="AO532" i="2" s="1"/>
  <c r="AD532" i="2"/>
  <c r="Z532" i="2"/>
  <c r="AE532" i="2"/>
  <c r="X533" i="2"/>
  <c r="AC533" i="2"/>
  <c r="AP533" i="2"/>
  <c r="AO533" i="2" s="1"/>
  <c r="AA534" i="2"/>
  <c r="AF534" i="2"/>
  <c r="AD535" i="2"/>
  <c r="AF537" i="2"/>
  <c r="AB537" i="2"/>
  <c r="Z537" i="2"/>
  <c r="AE537" i="2"/>
  <c r="X538" i="2"/>
  <c r="AA539" i="2"/>
  <c r="AP540" i="2"/>
  <c r="AO540" i="2" s="1"/>
  <c r="AD540" i="2"/>
  <c r="Z540" i="2"/>
  <c r="AE540" i="2"/>
  <c r="X541" i="2"/>
  <c r="AC541" i="2"/>
  <c r="AP541" i="2"/>
  <c r="AO541" i="2" s="1"/>
  <c r="AA542" i="2"/>
  <c r="AF542" i="2"/>
  <c r="AD543" i="2"/>
  <c r="AF545" i="2"/>
  <c r="AB545" i="2"/>
  <c r="Z545" i="2"/>
  <c r="AE545" i="2"/>
  <c r="X546" i="2"/>
  <c r="AA547" i="2"/>
  <c r="AP548" i="2"/>
  <c r="AO548" i="2" s="1"/>
  <c r="AD548" i="2"/>
  <c r="Z548" i="2"/>
  <c r="AE548" i="2"/>
  <c r="X549" i="2"/>
  <c r="AP549" i="2"/>
  <c r="AO549" i="2" s="1"/>
  <c r="AA550" i="2"/>
  <c r="AF550" i="2"/>
  <c r="AD551" i="2"/>
  <c r="AF553" i="2"/>
  <c r="AB553" i="2"/>
  <c r="Z553" i="2"/>
  <c r="AE553" i="2"/>
  <c r="X554" i="2"/>
  <c r="AA555" i="2"/>
  <c r="AP556" i="2"/>
  <c r="AO556" i="2" s="1"/>
  <c r="AD556" i="2"/>
  <c r="Z556" i="2"/>
  <c r="AE556" i="2"/>
  <c r="X557" i="2"/>
  <c r="AP557" i="2"/>
  <c r="AO557" i="2" s="1"/>
  <c r="AA558" i="2"/>
  <c r="AF558" i="2"/>
  <c r="AD559" i="2"/>
  <c r="AF561" i="2"/>
  <c r="AB561" i="2"/>
  <c r="Z561" i="2"/>
  <c r="AE561" i="2"/>
  <c r="X562" i="2"/>
  <c r="AA563" i="2"/>
  <c r="AP564" i="2"/>
  <c r="AO564" i="2" s="1"/>
  <c r="AD564" i="2"/>
  <c r="Z564" i="2"/>
  <c r="AE564" i="2"/>
  <c r="X565" i="2"/>
  <c r="AA566" i="2"/>
  <c r="AF566" i="2"/>
  <c r="AD567" i="2"/>
  <c r="AF569" i="2"/>
  <c r="AB569" i="2"/>
  <c r="Z569" i="2"/>
  <c r="AE569" i="2"/>
  <c r="X570" i="2"/>
  <c r="AD570" i="2" s="1"/>
  <c r="AP572" i="2"/>
  <c r="AO572" i="2" s="1"/>
  <c r="AD572" i="2"/>
  <c r="Z572" i="2"/>
  <c r="AE572" i="2"/>
  <c r="X573" i="2"/>
  <c r="AB573" i="2" s="1"/>
  <c r="AF577" i="2"/>
  <c r="AB577" i="2"/>
  <c r="Z577" i="2"/>
  <c r="AE577" i="2"/>
  <c r="X578" i="2"/>
  <c r="AD578" i="2" s="1"/>
  <c r="AP580" i="2"/>
  <c r="AO580" i="2" s="1"/>
  <c r="AD580" i="2"/>
  <c r="Z580" i="2"/>
  <c r="AE580" i="2"/>
  <c r="X581" i="2"/>
  <c r="AB581" i="2" s="1"/>
  <c r="AP581" i="2"/>
  <c r="AO581" i="2" s="1"/>
  <c r="AA582" i="2"/>
  <c r="AF582" i="2"/>
  <c r="AD583" i="2"/>
  <c r="AF585" i="2"/>
  <c r="AB585" i="2"/>
  <c r="Z585" i="2"/>
  <c r="AE585" i="2"/>
  <c r="X586" i="2"/>
  <c r="Z586" i="2" s="1"/>
  <c r="AP588" i="2"/>
  <c r="AO588" i="2" s="1"/>
  <c r="AD588" i="2"/>
  <c r="Z588" i="2"/>
  <c r="AE588" i="2"/>
  <c r="X589" i="2"/>
  <c r="AF589" i="2" s="1"/>
  <c r="AP589" i="2"/>
  <c r="AO589" i="2" s="1"/>
  <c r="AF593" i="2"/>
  <c r="AB593" i="2"/>
  <c r="Z593" i="2"/>
  <c r="AE593" i="2"/>
  <c r="X594" i="2"/>
  <c r="AP596" i="2"/>
  <c r="AO596" i="2" s="1"/>
  <c r="AD596" i="2"/>
  <c r="Z596" i="2"/>
  <c r="AE596" i="2"/>
  <c r="X597" i="2"/>
  <c r="AB597" i="2" s="1"/>
  <c r="AP597" i="2"/>
  <c r="AO597" i="2" s="1"/>
  <c r="AF601" i="2"/>
  <c r="AB601" i="2"/>
  <c r="Z601" i="2"/>
  <c r="AE601" i="2"/>
  <c r="X602" i="2"/>
  <c r="AE602" i="2" s="1"/>
  <c r="AP604" i="2"/>
  <c r="AO604" i="2" s="1"/>
  <c r="AD604" i="2"/>
  <c r="Z604" i="2"/>
  <c r="AE604" i="2"/>
  <c r="X605" i="2"/>
  <c r="AP605" i="2"/>
  <c r="AO605" i="2" s="1"/>
  <c r="AF609" i="2"/>
  <c r="AB609" i="2"/>
  <c r="Z609" i="2"/>
  <c r="AE609" i="2"/>
  <c r="X610" i="2"/>
  <c r="AC610" i="2" s="1"/>
  <c r="AP612" i="2"/>
  <c r="AO612" i="2" s="1"/>
  <c r="AD612" i="2"/>
  <c r="Z612" i="2"/>
  <c r="AE612" i="2"/>
  <c r="X613" i="2"/>
  <c r="Z613" i="2" s="1"/>
  <c r="AC613" i="2"/>
  <c r="AP613" i="2"/>
  <c r="AO613" i="2" s="1"/>
  <c r="AF617" i="2"/>
  <c r="AB617" i="2"/>
  <c r="Z617" i="2"/>
  <c r="AE617" i="2"/>
  <c r="X618" i="2"/>
  <c r="AD618" i="2" s="1"/>
  <c r="AP620" i="2"/>
  <c r="AO620" i="2" s="1"/>
  <c r="AD620" i="2"/>
  <c r="Z620" i="2"/>
  <c r="AE620" i="2"/>
  <c r="X621" i="2"/>
  <c r="Z621" i="2" s="1"/>
  <c r="AA622" i="2"/>
  <c r="AF622" i="2"/>
  <c r="AD623" i="2"/>
  <c r="AF625" i="2"/>
  <c r="AB625" i="2"/>
  <c r="Z625" i="2"/>
  <c r="AE625" i="2"/>
  <c r="X626" i="2"/>
  <c r="Z626" i="2" s="1"/>
  <c r="AA627" i="2"/>
  <c r="AP628" i="2"/>
  <c r="AO628" i="2" s="1"/>
  <c r="AD628" i="2"/>
  <c r="Z628" i="2"/>
  <c r="AE628" i="2"/>
  <c r="X629" i="2"/>
  <c r="AF629" i="2" s="1"/>
  <c r="AC629" i="2"/>
  <c r="AP629" i="2"/>
  <c r="AO629" i="2" s="1"/>
  <c r="AD631" i="2"/>
  <c r="AF633" i="2"/>
  <c r="AB633" i="2"/>
  <c r="Z633" i="2"/>
  <c r="AE633" i="2"/>
  <c r="X634" i="2"/>
  <c r="AE634" i="2" s="1"/>
  <c r="AP636" i="2"/>
  <c r="AO636" i="2" s="1"/>
  <c r="AD636" i="2"/>
  <c r="Z636" i="2"/>
  <c r="AE636" i="2"/>
  <c r="X637" i="2"/>
  <c r="Z637" i="2" s="1"/>
  <c r="AA638" i="2"/>
  <c r="AF638" i="2"/>
  <c r="AD639" i="2"/>
  <c r="AF641" i="2"/>
  <c r="AB641" i="2"/>
  <c r="Z641" i="2"/>
  <c r="AE641" i="2"/>
  <c r="X642" i="2"/>
  <c r="AD642" i="2" s="1"/>
  <c r="AP644" i="2"/>
  <c r="AO644" i="2" s="1"/>
  <c r="AD644" i="2"/>
  <c r="Z644" i="2"/>
  <c r="AE644" i="2"/>
  <c r="X645" i="2"/>
  <c r="AF645" i="2" s="1"/>
  <c r="AC645" i="2"/>
  <c r="AP645" i="2"/>
  <c r="AO645" i="2" s="1"/>
  <c r="AA646" i="2"/>
  <c r="AF646" i="2"/>
  <c r="AD647" i="2"/>
  <c r="AF649" i="2"/>
  <c r="AB649" i="2"/>
  <c r="Z649" i="2"/>
  <c r="AE649" i="2"/>
  <c r="X650" i="2"/>
  <c r="AC650" i="2" s="1"/>
  <c r="AA651" i="2"/>
  <c r="AP652" i="2"/>
  <c r="AO652" i="2" s="1"/>
  <c r="AD652" i="2"/>
  <c r="Z652" i="2"/>
  <c r="AE652" i="2"/>
  <c r="X653" i="2"/>
  <c r="AB653" i="2" s="1"/>
  <c r="AP653" i="2"/>
  <c r="AO653" i="2" s="1"/>
  <c r="AA654" i="2"/>
  <c r="AF654" i="2"/>
  <c r="AD655" i="2"/>
  <c r="AF657" i="2"/>
  <c r="AB657" i="2"/>
  <c r="Z657" i="2"/>
  <c r="AE657" i="2"/>
  <c r="X658" i="2"/>
  <c r="AE658" i="2" s="1"/>
  <c r="AA659" i="2"/>
  <c r="AP660" i="2"/>
  <c r="AO660" i="2" s="1"/>
  <c r="AD660" i="2"/>
  <c r="Z660" i="2"/>
  <c r="AE660" i="2"/>
  <c r="X661" i="2"/>
  <c r="Z661" i="2" s="1"/>
  <c r="AP661" i="2"/>
  <c r="AO661" i="2" s="1"/>
  <c r="AA662" i="2"/>
  <c r="AF662" i="2"/>
  <c r="AD663" i="2"/>
  <c r="AF665" i="2"/>
  <c r="AB665" i="2"/>
  <c r="Z665" i="2"/>
  <c r="AE665" i="2"/>
  <c r="X666" i="2"/>
  <c r="AA667" i="2"/>
  <c r="AP668" i="2"/>
  <c r="AO668" i="2" s="1"/>
  <c r="AD668" i="2"/>
  <c r="Z668" i="2"/>
  <c r="AE668" i="2"/>
  <c r="X669" i="2"/>
  <c r="AP669" i="2"/>
  <c r="AO669" i="2" s="1"/>
  <c r="AA670" i="2"/>
  <c r="AF670" i="2"/>
  <c r="AD671" i="2"/>
  <c r="AF673" i="2"/>
  <c r="AB673" i="2"/>
  <c r="Z673" i="2"/>
  <c r="AE673" i="2"/>
  <c r="X674" i="2"/>
  <c r="AA675" i="2"/>
  <c r="AP676" i="2"/>
  <c r="AO676" i="2" s="1"/>
  <c r="AD676" i="2"/>
  <c r="Z676" i="2"/>
  <c r="AE676" i="2"/>
  <c r="X677" i="2"/>
  <c r="AP677" i="2"/>
  <c r="AO677" i="2" s="1"/>
  <c r="AA678" i="2"/>
  <c r="AF678" i="2"/>
  <c r="AD679" i="2"/>
  <c r="AF681" i="2"/>
  <c r="AB681" i="2"/>
  <c r="Z681" i="2"/>
  <c r="AE681" i="2"/>
  <c r="X682" i="2"/>
  <c r="AA683" i="2"/>
  <c r="AP684" i="2"/>
  <c r="AO684" i="2" s="1"/>
  <c r="AD684" i="2"/>
  <c r="Z684" i="2"/>
  <c r="AE684" i="2"/>
  <c r="X685" i="2"/>
  <c r="AP685" i="2"/>
  <c r="AO685" i="2" s="1"/>
  <c r="AA686" i="2"/>
  <c r="AF686" i="2"/>
  <c r="AD687" i="2"/>
  <c r="AF689" i="2"/>
  <c r="AB689" i="2"/>
  <c r="Z689" i="2"/>
  <c r="AE689" i="2"/>
  <c r="X690" i="2"/>
  <c r="AP692" i="2"/>
  <c r="AO692" i="2" s="1"/>
  <c r="AD692" i="2"/>
  <c r="Z692" i="2"/>
  <c r="AE692" i="2"/>
  <c r="X693" i="2"/>
  <c r="AB693" i="2" s="1"/>
  <c r="AF697" i="2"/>
  <c r="AB697" i="2"/>
  <c r="Z697" i="2"/>
  <c r="AE697" i="2"/>
  <c r="X698" i="2"/>
  <c r="AP700" i="2"/>
  <c r="AO700" i="2" s="1"/>
  <c r="AD700" i="2"/>
  <c r="Z700" i="2"/>
  <c r="AE700" i="2"/>
  <c r="X701" i="2"/>
  <c r="AF701" i="2" s="1"/>
  <c r="AF705" i="2"/>
  <c r="AB705" i="2"/>
  <c r="Z705" i="2"/>
  <c r="AE705" i="2"/>
  <c r="X706" i="2"/>
  <c r="AP708" i="2"/>
  <c r="AO708" i="2" s="1"/>
  <c r="AD708" i="2"/>
  <c r="Z708" i="2"/>
  <c r="AE708" i="2"/>
  <c r="X709" i="2"/>
  <c r="AE709" i="2" s="1"/>
  <c r="AF713" i="2"/>
  <c r="AB713" i="2"/>
  <c r="Z713" i="2"/>
  <c r="AE713" i="2"/>
  <c r="X714" i="2"/>
  <c r="AA714" i="2" s="1"/>
  <c r="X716" i="2"/>
  <c r="AD716" i="2" s="1"/>
  <c r="AO716" i="2"/>
  <c r="X718" i="2"/>
  <c r="X719" i="2"/>
  <c r="AP720" i="2"/>
  <c r="AO720" i="2" s="1"/>
  <c r="X721" i="2"/>
  <c r="AE721" i="2" s="1"/>
  <c r="X722" i="2"/>
  <c r="AO722" i="2"/>
  <c r="AC727" i="2"/>
  <c r="AP731" i="2"/>
  <c r="AO731" i="2" s="1"/>
  <c r="AP732" i="2"/>
  <c r="AO732" i="2" s="1"/>
  <c r="AQ732" i="2"/>
  <c r="X734" i="2"/>
  <c r="AP747" i="2"/>
  <c r="AO747" i="2" s="1"/>
  <c r="AP748" i="2"/>
  <c r="AO748" i="2" s="1"/>
  <c r="AQ748" i="2"/>
  <c r="X750" i="2"/>
  <c r="AP751" i="2"/>
  <c r="AD752" i="2"/>
  <c r="AP763" i="2"/>
  <c r="AO763" i="2" s="1"/>
  <c r="X768" i="2"/>
  <c r="AA768" i="2"/>
  <c r="AQ770" i="2"/>
  <c r="AP770" i="2"/>
  <c r="AP779" i="2"/>
  <c r="AO779" i="2" s="1"/>
  <c r="X784" i="2"/>
  <c r="AA784" i="2"/>
  <c r="AQ786" i="2"/>
  <c r="AP786" i="2"/>
  <c r="AP795" i="2"/>
  <c r="AO795" i="2" s="1"/>
  <c r="AD800" i="2"/>
  <c r="AP804" i="2"/>
  <c r="AQ804" i="2"/>
  <c r="X806" i="2"/>
  <c r="AP807" i="2"/>
  <c r="X812" i="2"/>
  <c r="AC812" i="2"/>
  <c r="AO812" i="2"/>
  <c r="AA812" i="2"/>
  <c r="AD812" i="2"/>
  <c r="AP813" i="2"/>
  <c r="AO813" i="2" s="1"/>
  <c r="X816" i="2"/>
  <c r="AP821" i="2"/>
  <c r="AO821" i="2" s="1"/>
  <c r="X824" i="2"/>
  <c r="AA824" i="2"/>
  <c r="AQ826" i="2"/>
  <c r="AP826" i="2"/>
  <c r="AP835" i="2"/>
  <c r="AO835" i="2" s="1"/>
  <c r="AD840" i="2"/>
  <c r="AQ847" i="2"/>
  <c r="AP847" i="2"/>
  <c r="AO847" i="2" s="1"/>
  <c r="AC870" i="2"/>
  <c r="AD213" i="2"/>
  <c r="AO214" i="2"/>
  <c r="AF215" i="2"/>
  <c r="AB215" i="2"/>
  <c r="Z215" i="2"/>
  <c r="AE215" i="2"/>
  <c r="X216" i="2"/>
  <c r="AE216" i="2" s="1"/>
  <c r="AD221" i="2"/>
  <c r="AO222" i="2"/>
  <c r="AF223" i="2"/>
  <c r="AB223" i="2"/>
  <c r="Z223" i="2"/>
  <c r="AE223" i="2"/>
  <c r="X224" i="2"/>
  <c r="AA225" i="2"/>
  <c r="AC227" i="2"/>
  <c r="AP227" i="2"/>
  <c r="AO227" i="2" s="1"/>
  <c r="AA228" i="2"/>
  <c r="AF228" i="2"/>
  <c r="AD229" i="2"/>
  <c r="AB230" i="2"/>
  <c r="AO230" i="2"/>
  <c r="AF231" i="2"/>
  <c r="AB231" i="2"/>
  <c r="Z231" i="2"/>
  <c r="AE231" i="2"/>
  <c r="X232" i="2"/>
  <c r="AB232" i="2" s="1"/>
  <c r="AA233" i="2"/>
  <c r="AC235" i="2"/>
  <c r="AP235" i="2"/>
  <c r="AO235" i="2" s="1"/>
  <c r="AA236" i="2"/>
  <c r="AF236" i="2"/>
  <c r="AD237" i="2"/>
  <c r="AB238" i="2"/>
  <c r="AO238" i="2"/>
  <c r="AF239" i="2"/>
  <c r="AB239" i="2"/>
  <c r="Z239" i="2"/>
  <c r="AE239" i="2"/>
  <c r="X240" i="2"/>
  <c r="Z240" i="2" s="1"/>
  <c r="AA241" i="2"/>
  <c r="AC243" i="2"/>
  <c r="AP243" i="2"/>
  <c r="AO243" i="2" s="1"/>
  <c r="AA244" i="2"/>
  <c r="AF244" i="2"/>
  <c r="AD245" i="2"/>
  <c r="AB246" i="2"/>
  <c r="AO246" i="2"/>
  <c r="AF247" i="2"/>
  <c r="AB247" i="2"/>
  <c r="Z247" i="2"/>
  <c r="AE247" i="2"/>
  <c r="X248" i="2"/>
  <c r="AB248" i="2" s="1"/>
  <c r="AA249" i="2"/>
  <c r="AC251" i="2"/>
  <c r="AP251" i="2"/>
  <c r="AO251" i="2" s="1"/>
  <c r="AA252" i="2"/>
  <c r="AF252" i="2"/>
  <c r="AD253" i="2"/>
  <c r="AB254" i="2"/>
  <c r="AO254" i="2"/>
  <c r="AF255" i="2"/>
  <c r="AB255" i="2"/>
  <c r="Z255" i="2"/>
  <c r="AE255" i="2"/>
  <c r="X256" i="2"/>
  <c r="AA257" i="2"/>
  <c r="AC259" i="2"/>
  <c r="AP259" i="2"/>
  <c r="AO259" i="2" s="1"/>
  <c r="AA260" i="2"/>
  <c r="AF260" i="2"/>
  <c r="AD261" i="2"/>
  <c r="AB262" i="2"/>
  <c r="AO262" i="2"/>
  <c r="AF263" i="2"/>
  <c r="AB263" i="2"/>
  <c r="Z263" i="2"/>
  <c r="AE263" i="2"/>
  <c r="X264" i="2"/>
  <c r="AB264" i="2" s="1"/>
  <c r="AA265" i="2"/>
  <c r="AC267" i="2"/>
  <c r="AP267" i="2"/>
  <c r="AO267" i="2" s="1"/>
  <c r="AA268" i="2"/>
  <c r="AF268" i="2"/>
  <c r="AD269" i="2"/>
  <c r="AB270" i="2"/>
  <c r="AO270" i="2"/>
  <c r="AF271" i="2"/>
  <c r="AB271" i="2"/>
  <c r="Z271" i="2"/>
  <c r="AE271" i="2"/>
  <c r="X272" i="2"/>
  <c r="Z272" i="2" s="1"/>
  <c r="AA273" i="2"/>
  <c r="AC275" i="2"/>
  <c r="AP275" i="2"/>
  <c r="AO275" i="2" s="1"/>
  <c r="AA276" i="2"/>
  <c r="AF276" i="2"/>
  <c r="AD277" i="2"/>
  <c r="AB278" i="2"/>
  <c r="AO278" i="2"/>
  <c r="AF279" i="2"/>
  <c r="AB279" i="2"/>
  <c r="Z279" i="2"/>
  <c r="AE279" i="2"/>
  <c r="X280" i="2"/>
  <c r="AB280" i="2" s="1"/>
  <c r="AA281" i="2"/>
  <c r="AC283" i="2"/>
  <c r="AP283" i="2"/>
  <c r="AO283" i="2" s="1"/>
  <c r="AA284" i="2"/>
  <c r="AF284" i="2"/>
  <c r="AD285" i="2"/>
  <c r="AB286" i="2"/>
  <c r="AO286" i="2"/>
  <c r="AF287" i="2"/>
  <c r="AB287" i="2"/>
  <c r="Z287" i="2"/>
  <c r="AE287" i="2"/>
  <c r="X288" i="2"/>
  <c r="AA289" i="2"/>
  <c r="AC291" i="2"/>
  <c r="AP291" i="2"/>
  <c r="AO291" i="2" s="1"/>
  <c r="AA292" i="2"/>
  <c r="AF292" i="2"/>
  <c r="AD293" i="2"/>
  <c r="AB294" i="2"/>
  <c r="AO294" i="2"/>
  <c r="AF295" i="2"/>
  <c r="AB295" i="2"/>
  <c r="Z295" i="2"/>
  <c r="AE295" i="2"/>
  <c r="X296" i="2"/>
  <c r="AB296" i="2" s="1"/>
  <c r="AA297" i="2"/>
  <c r="AC299" i="2"/>
  <c r="AP299" i="2"/>
  <c r="AO299" i="2" s="1"/>
  <c r="AA300" i="2"/>
  <c r="AF300" i="2"/>
  <c r="AD301" i="2"/>
  <c r="AB302" i="2"/>
  <c r="AO302" i="2"/>
  <c r="AF303" i="2"/>
  <c r="AB303" i="2"/>
  <c r="Z303" i="2"/>
  <c r="AE303" i="2"/>
  <c r="X304" i="2"/>
  <c r="Z304" i="2" s="1"/>
  <c r="AA305" i="2"/>
  <c r="AC307" i="2"/>
  <c r="AP307" i="2"/>
  <c r="AO307" i="2" s="1"/>
  <c r="AA308" i="2"/>
  <c r="AF308" i="2"/>
  <c r="AD309" i="2"/>
  <c r="AB310" i="2"/>
  <c r="AO310" i="2"/>
  <c r="AF311" i="2"/>
  <c r="AB311" i="2"/>
  <c r="Z311" i="2"/>
  <c r="AE311" i="2"/>
  <c r="X312" i="2"/>
  <c r="AB312" i="2" s="1"/>
  <c r="AA313" i="2"/>
  <c r="AC315" i="2"/>
  <c r="AP315" i="2"/>
  <c r="AO315" i="2" s="1"/>
  <c r="AA316" i="2"/>
  <c r="AF316" i="2"/>
  <c r="AD317" i="2"/>
  <c r="AB318" i="2"/>
  <c r="AO318" i="2"/>
  <c r="AF319" i="2"/>
  <c r="AB319" i="2"/>
  <c r="Z319" i="2"/>
  <c r="AE319" i="2"/>
  <c r="X320" i="2"/>
  <c r="AA321" i="2"/>
  <c r="AC323" i="2"/>
  <c r="AP323" i="2"/>
  <c r="AO323" i="2" s="1"/>
  <c r="AA324" i="2"/>
  <c r="AF324" i="2"/>
  <c r="AD325" i="2"/>
  <c r="AB326" i="2"/>
  <c r="AO326" i="2"/>
  <c r="AF327" i="2"/>
  <c r="AB327" i="2"/>
  <c r="Z327" i="2"/>
  <c r="AE327" i="2"/>
  <c r="X328" i="2"/>
  <c r="AB328" i="2" s="1"/>
  <c r="AA329" i="2"/>
  <c r="AC331" i="2"/>
  <c r="AP331" i="2"/>
  <c r="AO331" i="2" s="1"/>
  <c r="AA332" i="2"/>
  <c r="AF332" i="2"/>
  <c r="AD333" i="2"/>
  <c r="AB334" i="2"/>
  <c r="AO334" i="2"/>
  <c r="AF335" i="2"/>
  <c r="AB335" i="2"/>
  <c r="Z335" i="2"/>
  <c r="AE335" i="2"/>
  <c r="X336" i="2"/>
  <c r="Z336" i="2" s="1"/>
  <c r="AA337" i="2"/>
  <c r="AC339" i="2"/>
  <c r="AP339" i="2"/>
  <c r="AO339" i="2" s="1"/>
  <c r="AA340" i="2"/>
  <c r="AF340" i="2"/>
  <c r="AD341" i="2"/>
  <c r="AB342" i="2"/>
  <c r="AO342" i="2"/>
  <c r="AF343" i="2"/>
  <c r="AB343" i="2"/>
  <c r="Z343" i="2"/>
  <c r="AE343" i="2"/>
  <c r="X344" i="2"/>
  <c r="AB344" i="2" s="1"/>
  <c r="AA345" i="2"/>
  <c r="AC347" i="2"/>
  <c r="AP347" i="2"/>
  <c r="AO347" i="2" s="1"/>
  <c r="AA348" i="2"/>
  <c r="AF348" i="2"/>
  <c r="AD349" i="2"/>
  <c r="AB350" i="2"/>
  <c r="AO350" i="2"/>
  <c r="AF351" i="2"/>
  <c r="AB351" i="2"/>
  <c r="Z351" i="2"/>
  <c r="AE351" i="2"/>
  <c r="X352" i="2"/>
  <c r="AA353" i="2"/>
  <c r="AC355" i="2"/>
  <c r="AP355" i="2"/>
  <c r="AO355" i="2" s="1"/>
  <c r="AA356" i="2"/>
  <c r="AF356" i="2"/>
  <c r="AD357" i="2"/>
  <c r="AB358" i="2"/>
  <c r="AO358" i="2"/>
  <c r="AF359" i="2"/>
  <c r="AB359" i="2"/>
  <c r="Z359" i="2"/>
  <c r="AE359" i="2"/>
  <c r="X360" i="2"/>
  <c r="AD360" i="2" s="1"/>
  <c r="AA361" i="2"/>
  <c r="AC363" i="2"/>
  <c r="AP363" i="2"/>
  <c r="AO363" i="2" s="1"/>
  <c r="AA364" i="2"/>
  <c r="AF364" i="2"/>
  <c r="AD365" i="2"/>
  <c r="AB366" i="2"/>
  <c r="AO366" i="2"/>
  <c r="AF367" i="2"/>
  <c r="AB367" i="2"/>
  <c r="Z367" i="2"/>
  <c r="AE367" i="2"/>
  <c r="X368" i="2"/>
  <c r="AC368" i="2" s="1"/>
  <c r="AA369" i="2"/>
  <c r="AC371" i="2"/>
  <c r="AP371" i="2"/>
  <c r="AO371" i="2" s="1"/>
  <c r="AA372" i="2"/>
  <c r="AF372" i="2"/>
  <c r="AD373" i="2"/>
  <c r="AB374" i="2"/>
  <c r="AO374" i="2"/>
  <c r="AF375" i="2"/>
  <c r="AB375" i="2"/>
  <c r="Z375" i="2"/>
  <c r="AE375" i="2"/>
  <c r="X376" i="2"/>
  <c r="AD376" i="2" s="1"/>
  <c r="AA377" i="2"/>
  <c r="AC379" i="2"/>
  <c r="AP379" i="2"/>
  <c r="AO379" i="2" s="1"/>
  <c r="AA380" i="2"/>
  <c r="AF380" i="2"/>
  <c r="AD381" i="2"/>
  <c r="AB382" i="2"/>
  <c r="AO382" i="2"/>
  <c r="AF383" i="2"/>
  <c r="AB383" i="2"/>
  <c r="Z383" i="2"/>
  <c r="AE383" i="2"/>
  <c r="X384" i="2"/>
  <c r="AA385" i="2"/>
  <c r="AC387" i="2"/>
  <c r="AP387" i="2"/>
  <c r="AO387" i="2" s="1"/>
  <c r="AA388" i="2"/>
  <c r="AF388" i="2"/>
  <c r="AD389" i="2"/>
  <c r="AB390" i="2"/>
  <c r="AO390" i="2"/>
  <c r="AF391" i="2"/>
  <c r="AB391" i="2"/>
  <c r="Z391" i="2"/>
  <c r="AE391" i="2"/>
  <c r="X392" i="2"/>
  <c r="Z392" i="2" s="1"/>
  <c r="AA393" i="2"/>
  <c r="AC395" i="2"/>
  <c r="AP395" i="2"/>
  <c r="AO395" i="2" s="1"/>
  <c r="AA396" i="2"/>
  <c r="AF396" i="2"/>
  <c r="AD397" i="2"/>
  <c r="AB398" i="2"/>
  <c r="AO398" i="2"/>
  <c r="AF399" i="2"/>
  <c r="AB399" i="2"/>
  <c r="Z399" i="2"/>
  <c r="AE399" i="2"/>
  <c r="X400" i="2"/>
  <c r="AD400" i="2" s="1"/>
  <c r="AA401" i="2"/>
  <c r="AC403" i="2"/>
  <c r="AP403" i="2"/>
  <c r="AO403" i="2" s="1"/>
  <c r="AA404" i="2"/>
  <c r="AF404" i="2"/>
  <c r="AD405" i="2"/>
  <c r="AB406" i="2"/>
  <c r="AO406" i="2"/>
  <c r="AF407" i="2"/>
  <c r="AB407" i="2"/>
  <c r="Z407" i="2"/>
  <c r="AE407" i="2"/>
  <c r="X408" i="2"/>
  <c r="Z408" i="2" s="1"/>
  <c r="AA409" i="2"/>
  <c r="AC411" i="2"/>
  <c r="AP411" i="2"/>
  <c r="AO411" i="2" s="1"/>
  <c r="AA412" i="2"/>
  <c r="AF412" i="2"/>
  <c r="AD413" i="2"/>
  <c r="AB414" i="2"/>
  <c r="AO414" i="2"/>
  <c r="AF415" i="2"/>
  <c r="AB415" i="2"/>
  <c r="Z415" i="2"/>
  <c r="AE415" i="2"/>
  <c r="X416" i="2"/>
  <c r="AA417" i="2"/>
  <c r="AC419" i="2"/>
  <c r="AP419" i="2"/>
  <c r="AO419" i="2" s="1"/>
  <c r="AA420" i="2"/>
  <c r="AF420" i="2"/>
  <c r="AD421" i="2"/>
  <c r="AB422" i="2"/>
  <c r="AO422" i="2"/>
  <c r="AF423" i="2"/>
  <c r="AB423" i="2"/>
  <c r="Z423" i="2"/>
  <c r="AE423" i="2"/>
  <c r="X424" i="2"/>
  <c r="AD424" i="2" s="1"/>
  <c r="AA425" i="2"/>
  <c r="AC427" i="2"/>
  <c r="AP427" i="2"/>
  <c r="AO427" i="2" s="1"/>
  <c r="AA428" i="2"/>
  <c r="AF428" i="2"/>
  <c r="AD429" i="2"/>
  <c r="AB430" i="2"/>
  <c r="AO430" i="2"/>
  <c r="AF431" i="2"/>
  <c r="AB431" i="2"/>
  <c r="Z431" i="2"/>
  <c r="AE431" i="2"/>
  <c r="X432" i="2"/>
  <c r="AC432" i="2" s="1"/>
  <c r="AA433" i="2"/>
  <c r="AC435" i="2"/>
  <c r="AP435" i="2"/>
  <c r="AO435" i="2" s="1"/>
  <c r="AA436" i="2"/>
  <c r="AF436" i="2"/>
  <c r="AD437" i="2"/>
  <c r="AB438" i="2"/>
  <c r="AO438" i="2"/>
  <c r="AF439" i="2"/>
  <c r="AB439" i="2"/>
  <c r="Z439" i="2"/>
  <c r="AE439" i="2"/>
  <c r="X440" i="2"/>
  <c r="AD440" i="2" s="1"/>
  <c r="AA441" i="2"/>
  <c r="AC443" i="2"/>
  <c r="AP443" i="2"/>
  <c r="AO443" i="2" s="1"/>
  <c r="AA444" i="2"/>
  <c r="AF444" i="2"/>
  <c r="AD445" i="2"/>
  <c r="AB446" i="2"/>
  <c r="AO446" i="2"/>
  <c r="AF447" i="2"/>
  <c r="AB447" i="2"/>
  <c r="Z447" i="2"/>
  <c r="AE447" i="2"/>
  <c r="X448" i="2"/>
  <c r="AA449" i="2"/>
  <c r="AC451" i="2"/>
  <c r="AP451" i="2"/>
  <c r="AO451" i="2" s="1"/>
  <c r="AA452" i="2"/>
  <c r="AF452" i="2"/>
  <c r="AD453" i="2"/>
  <c r="AO454" i="2"/>
  <c r="AF455" i="2"/>
  <c r="AB455" i="2"/>
  <c r="Z455" i="2"/>
  <c r="AE455" i="2"/>
  <c r="X456" i="2"/>
  <c r="AD456" i="2" s="1"/>
  <c r="AA457" i="2"/>
  <c r="AC459" i="2"/>
  <c r="AP459" i="2"/>
  <c r="AO459" i="2" s="1"/>
  <c r="AA460" i="2"/>
  <c r="AF460" i="2"/>
  <c r="AD461" i="2"/>
  <c r="AO462" i="2"/>
  <c r="AF463" i="2"/>
  <c r="AB463" i="2"/>
  <c r="Z463" i="2"/>
  <c r="AE463" i="2"/>
  <c r="X464" i="2"/>
  <c r="AA465" i="2"/>
  <c r="AC467" i="2"/>
  <c r="AP467" i="2"/>
  <c r="AO467" i="2" s="1"/>
  <c r="AA468" i="2"/>
  <c r="AF468" i="2"/>
  <c r="AD469" i="2"/>
  <c r="AO470" i="2"/>
  <c r="AF471" i="2"/>
  <c r="AB471" i="2"/>
  <c r="Z471" i="2"/>
  <c r="AE471" i="2"/>
  <c r="X472" i="2"/>
  <c r="AD472" i="2" s="1"/>
  <c r="AA473" i="2"/>
  <c r="AC475" i="2"/>
  <c r="AP475" i="2"/>
  <c r="AO475" i="2" s="1"/>
  <c r="AA476" i="2"/>
  <c r="AF476" i="2"/>
  <c r="AD477" i="2"/>
  <c r="AO478" i="2"/>
  <c r="AF479" i="2"/>
  <c r="AB479" i="2"/>
  <c r="Z479" i="2"/>
  <c r="AE479" i="2"/>
  <c r="X480" i="2"/>
  <c r="AA481" i="2"/>
  <c r="AC483" i="2"/>
  <c r="AP483" i="2"/>
  <c r="AO483" i="2" s="1"/>
  <c r="AA484" i="2"/>
  <c r="AF484" i="2"/>
  <c r="AD485" i="2"/>
  <c r="AO486" i="2"/>
  <c r="AF487" i="2"/>
  <c r="AB487" i="2"/>
  <c r="Z487" i="2"/>
  <c r="AE487" i="2"/>
  <c r="X488" i="2"/>
  <c r="AD488" i="2" s="1"/>
  <c r="AA489" i="2"/>
  <c r="AC491" i="2"/>
  <c r="AP491" i="2"/>
  <c r="AO491" i="2" s="1"/>
  <c r="AA492" i="2"/>
  <c r="AF492" i="2"/>
  <c r="AD493" i="2"/>
  <c r="AB494" i="2"/>
  <c r="AO494" i="2"/>
  <c r="AF495" i="2"/>
  <c r="AB495" i="2"/>
  <c r="Z495" i="2"/>
  <c r="AE495" i="2"/>
  <c r="X496" i="2"/>
  <c r="AB496" i="2" s="1"/>
  <c r="AA497" i="2"/>
  <c r="AC499" i="2"/>
  <c r="AP499" i="2"/>
  <c r="AO499" i="2" s="1"/>
  <c r="AA500" i="2"/>
  <c r="AF500" i="2"/>
  <c r="AD501" i="2"/>
  <c r="AO502" i="2"/>
  <c r="AF503" i="2"/>
  <c r="AB503" i="2"/>
  <c r="Z503" i="2"/>
  <c r="AE503" i="2"/>
  <c r="X504" i="2"/>
  <c r="AB504" i="2" s="1"/>
  <c r="AA505" i="2"/>
  <c r="AC507" i="2"/>
  <c r="AP507" i="2"/>
  <c r="AO507" i="2" s="1"/>
  <c r="AA508" i="2"/>
  <c r="AF508" i="2"/>
  <c r="AD509" i="2"/>
  <c r="AB510" i="2"/>
  <c r="AO510" i="2"/>
  <c r="AF511" i="2"/>
  <c r="AB511" i="2"/>
  <c r="Z511" i="2"/>
  <c r="AE511" i="2"/>
  <c r="X512" i="2"/>
  <c r="AB512" i="2" s="1"/>
  <c r="AA513" i="2"/>
  <c r="AC515" i="2"/>
  <c r="AP515" i="2"/>
  <c r="AO515" i="2" s="1"/>
  <c r="AA516" i="2"/>
  <c r="AF516" i="2"/>
  <c r="AD517" i="2"/>
  <c r="AO518" i="2"/>
  <c r="AF519" i="2"/>
  <c r="AB519" i="2"/>
  <c r="Z519" i="2"/>
  <c r="AE519" i="2"/>
  <c r="X520" i="2"/>
  <c r="AA521" i="2"/>
  <c r="AC523" i="2"/>
  <c r="AP523" i="2"/>
  <c r="AO523" i="2" s="1"/>
  <c r="AA524" i="2"/>
  <c r="AF524" i="2"/>
  <c r="AD525" i="2"/>
  <c r="AO526" i="2"/>
  <c r="AF527" i="2"/>
  <c r="AB527" i="2"/>
  <c r="Z527" i="2"/>
  <c r="AE527" i="2"/>
  <c r="X528" i="2"/>
  <c r="Z528" i="2" s="1"/>
  <c r="AA529" i="2"/>
  <c r="AC531" i="2"/>
  <c r="AP531" i="2"/>
  <c r="AO531" i="2" s="1"/>
  <c r="AA532" i="2"/>
  <c r="AF532" i="2"/>
  <c r="AD533" i="2"/>
  <c r="AB534" i="2"/>
  <c r="AO534" i="2"/>
  <c r="AF535" i="2"/>
  <c r="AB535" i="2"/>
  <c r="Z535" i="2"/>
  <c r="AE535" i="2"/>
  <c r="X536" i="2"/>
  <c r="AB536" i="2" s="1"/>
  <c r="AA537" i="2"/>
  <c r="AC539" i="2"/>
  <c r="AP539" i="2"/>
  <c r="AO539" i="2" s="1"/>
  <c r="AA540" i="2"/>
  <c r="AF540" i="2"/>
  <c r="AD541" i="2"/>
  <c r="AB542" i="2"/>
  <c r="AO542" i="2"/>
  <c r="AF543" i="2"/>
  <c r="AB543" i="2"/>
  <c r="Z543" i="2"/>
  <c r="AE543" i="2"/>
  <c r="X544" i="2"/>
  <c r="AA545" i="2"/>
  <c r="AC547" i="2"/>
  <c r="AP547" i="2"/>
  <c r="AO547" i="2" s="1"/>
  <c r="AA548" i="2"/>
  <c r="AF548" i="2"/>
  <c r="AD549" i="2"/>
  <c r="AB550" i="2"/>
  <c r="AO550" i="2"/>
  <c r="AF551" i="2"/>
  <c r="AB551" i="2"/>
  <c r="Z551" i="2"/>
  <c r="AE551" i="2"/>
  <c r="X552" i="2"/>
  <c r="Z552" i="2" s="1"/>
  <c r="AA553" i="2"/>
  <c r="AC555" i="2"/>
  <c r="AP555" i="2"/>
  <c r="AO555" i="2" s="1"/>
  <c r="AA556" i="2"/>
  <c r="AF556" i="2"/>
  <c r="AD557" i="2"/>
  <c r="AB558" i="2"/>
  <c r="AO558" i="2"/>
  <c r="AF559" i="2"/>
  <c r="AB559" i="2"/>
  <c r="Z559" i="2"/>
  <c r="AE559" i="2"/>
  <c r="X560" i="2"/>
  <c r="AB560" i="2" s="1"/>
  <c r="AA561" i="2"/>
  <c r="AC563" i="2"/>
  <c r="AP563" i="2"/>
  <c r="AO563" i="2" s="1"/>
  <c r="AA564" i="2"/>
  <c r="AF564" i="2"/>
  <c r="AD565" i="2"/>
  <c r="AB566" i="2"/>
  <c r="AO566" i="2"/>
  <c r="AF567" i="2"/>
  <c r="AB567" i="2"/>
  <c r="Z567" i="2"/>
  <c r="AE567" i="2"/>
  <c r="X568" i="2"/>
  <c r="AB568" i="2" s="1"/>
  <c r="AA569" i="2"/>
  <c r="AO569" i="2"/>
  <c r="AC571" i="2"/>
  <c r="AP571" i="2"/>
  <c r="AO571" i="2" s="1"/>
  <c r="AA572" i="2"/>
  <c r="AF572" i="2"/>
  <c r="AD573" i="2"/>
  <c r="AO574" i="2"/>
  <c r="AF575" i="2"/>
  <c r="AB575" i="2"/>
  <c r="Z575" i="2"/>
  <c r="AE575" i="2"/>
  <c r="X576" i="2"/>
  <c r="AA577" i="2"/>
  <c r="AO577" i="2"/>
  <c r="AC579" i="2"/>
  <c r="AP579" i="2"/>
  <c r="AO579" i="2" s="1"/>
  <c r="AA580" i="2"/>
  <c r="AF580" i="2"/>
  <c r="AD581" i="2"/>
  <c r="AB582" i="2"/>
  <c r="AO582" i="2"/>
  <c r="AF583" i="2"/>
  <c r="AB583" i="2"/>
  <c r="Z583" i="2"/>
  <c r="AE583" i="2"/>
  <c r="X584" i="2"/>
  <c r="AF584" i="2" s="1"/>
  <c r="AC584" i="2"/>
  <c r="AA585" i="2"/>
  <c r="AO585" i="2"/>
  <c r="AC587" i="2"/>
  <c r="AP587" i="2"/>
  <c r="AO587" i="2" s="1"/>
  <c r="AA588" i="2"/>
  <c r="AF588" i="2"/>
  <c r="AD589" i="2"/>
  <c r="AO590" i="2"/>
  <c r="AF591" i="2"/>
  <c r="AB591" i="2"/>
  <c r="Z591" i="2"/>
  <c r="AE591" i="2"/>
  <c r="X592" i="2"/>
  <c r="AD592" i="2" s="1"/>
  <c r="AC592" i="2"/>
  <c r="AA593" i="2"/>
  <c r="AO593" i="2"/>
  <c r="AC595" i="2"/>
  <c r="AP595" i="2"/>
  <c r="AO595" i="2" s="1"/>
  <c r="AA596" i="2"/>
  <c r="AF596" i="2"/>
  <c r="AD597" i="2"/>
  <c r="AO598" i="2"/>
  <c r="AF599" i="2"/>
  <c r="AB599" i="2"/>
  <c r="Z599" i="2"/>
  <c r="AE599" i="2"/>
  <c r="X600" i="2"/>
  <c r="AA600" i="2" s="1"/>
  <c r="AC600" i="2"/>
  <c r="AA601" i="2"/>
  <c r="AO601" i="2"/>
  <c r="AC603" i="2"/>
  <c r="AP603" i="2"/>
  <c r="AO603" i="2" s="1"/>
  <c r="AA604" i="2"/>
  <c r="AF604" i="2"/>
  <c r="AD605" i="2"/>
  <c r="AO606" i="2"/>
  <c r="AF607" i="2"/>
  <c r="AB607" i="2"/>
  <c r="Z607" i="2"/>
  <c r="AE607" i="2"/>
  <c r="X608" i="2"/>
  <c r="AD608" i="2" s="1"/>
  <c r="AC608" i="2"/>
  <c r="AA609" i="2"/>
  <c r="AO609" i="2"/>
  <c r="AC611" i="2"/>
  <c r="AP611" i="2"/>
  <c r="AO611" i="2" s="1"/>
  <c r="AA612" i="2"/>
  <c r="AF612" i="2"/>
  <c r="AD613" i="2"/>
  <c r="AO614" i="2"/>
  <c r="AF615" i="2"/>
  <c r="AB615" i="2"/>
  <c r="Z615" i="2"/>
  <c r="AE615" i="2"/>
  <c r="X616" i="2"/>
  <c r="AE616" i="2" s="1"/>
  <c r="AC616" i="2"/>
  <c r="AA617" i="2"/>
  <c r="AO617" i="2"/>
  <c r="AC619" i="2"/>
  <c r="AP619" i="2"/>
  <c r="AO619" i="2" s="1"/>
  <c r="AA620" i="2"/>
  <c r="AF620" i="2"/>
  <c r="AD621" i="2"/>
  <c r="AB622" i="2"/>
  <c r="AO622" i="2"/>
  <c r="AF623" i="2"/>
  <c r="AB623" i="2"/>
  <c r="Z623" i="2"/>
  <c r="AE623" i="2"/>
  <c r="X624" i="2"/>
  <c r="AB624" i="2" s="1"/>
  <c r="AA625" i="2"/>
  <c r="AC627" i="2"/>
  <c r="AP627" i="2"/>
  <c r="AO627" i="2" s="1"/>
  <c r="AA628" i="2"/>
  <c r="AF628" i="2"/>
  <c r="AD629" i="2"/>
  <c r="AO630" i="2"/>
  <c r="AF631" i="2"/>
  <c r="AB631" i="2"/>
  <c r="Z631" i="2"/>
  <c r="AE631" i="2"/>
  <c r="X632" i="2"/>
  <c r="AA633" i="2"/>
  <c r="AC635" i="2"/>
  <c r="AP635" i="2"/>
  <c r="AO635" i="2" s="1"/>
  <c r="AA636" i="2"/>
  <c r="AF636" i="2"/>
  <c r="AD637" i="2"/>
  <c r="AB638" i="2"/>
  <c r="AO638" i="2"/>
  <c r="AF639" i="2"/>
  <c r="AB639" i="2"/>
  <c r="Z639" i="2"/>
  <c r="AE639" i="2"/>
  <c r="X640" i="2"/>
  <c r="AE640" i="2" s="1"/>
  <c r="AA641" i="2"/>
  <c r="AO641" i="2"/>
  <c r="AC643" i="2"/>
  <c r="AP643" i="2"/>
  <c r="AO643" i="2" s="1"/>
  <c r="AA644" i="2"/>
  <c r="AF644" i="2"/>
  <c r="AD645" i="2"/>
  <c r="AB646" i="2"/>
  <c r="AO646" i="2"/>
  <c r="AF647" i="2"/>
  <c r="AB647" i="2"/>
  <c r="Z647" i="2"/>
  <c r="AE647" i="2"/>
  <c r="X648" i="2"/>
  <c r="AA649" i="2"/>
  <c r="AO649" i="2"/>
  <c r="AC651" i="2"/>
  <c r="AP651" i="2"/>
  <c r="AO651" i="2" s="1"/>
  <c r="AA652" i="2"/>
  <c r="AF652" i="2"/>
  <c r="AD653" i="2"/>
  <c r="AB654" i="2"/>
  <c r="AO654" i="2"/>
  <c r="AF655" i="2"/>
  <c r="AB655" i="2"/>
  <c r="Z655" i="2"/>
  <c r="AE655" i="2"/>
  <c r="X656" i="2"/>
  <c r="AF656" i="2" s="1"/>
  <c r="AC656" i="2"/>
  <c r="AA657" i="2"/>
  <c r="AO657" i="2"/>
  <c r="AC659" i="2"/>
  <c r="AP659" i="2"/>
  <c r="AO659" i="2" s="1"/>
  <c r="AA660" i="2"/>
  <c r="AF660" i="2"/>
  <c r="AD661" i="2"/>
  <c r="AB662" i="2"/>
  <c r="AO662" i="2"/>
  <c r="AF663" i="2"/>
  <c r="AB663" i="2"/>
  <c r="Z663" i="2"/>
  <c r="AE663" i="2"/>
  <c r="X664" i="2"/>
  <c r="AD664" i="2" s="1"/>
  <c r="AA665" i="2"/>
  <c r="AO665" i="2"/>
  <c r="AC667" i="2"/>
  <c r="AP667" i="2"/>
  <c r="AO667" i="2" s="1"/>
  <c r="AA668" i="2"/>
  <c r="AF668" i="2"/>
  <c r="AD669" i="2"/>
  <c r="AB670" i="2"/>
  <c r="AO670" i="2"/>
  <c r="AF671" i="2"/>
  <c r="AB671" i="2"/>
  <c r="Z671" i="2"/>
  <c r="AE671" i="2"/>
  <c r="X672" i="2"/>
  <c r="AC672" i="2" s="1"/>
  <c r="AA673" i="2"/>
  <c r="AC675" i="2"/>
  <c r="AP675" i="2"/>
  <c r="AO675" i="2" s="1"/>
  <c r="AA676" i="2"/>
  <c r="AF676" i="2"/>
  <c r="AD677" i="2"/>
  <c r="AB678" i="2"/>
  <c r="AO678" i="2"/>
  <c r="AF679" i="2"/>
  <c r="AB679" i="2"/>
  <c r="Z679" i="2"/>
  <c r="AE679" i="2"/>
  <c r="X680" i="2"/>
  <c r="AC680" i="2" s="1"/>
  <c r="AA681" i="2"/>
  <c r="AC683" i="2"/>
  <c r="AP683" i="2"/>
  <c r="AO683" i="2" s="1"/>
  <c r="AA684" i="2"/>
  <c r="AF684" i="2"/>
  <c r="AD685" i="2"/>
  <c r="AB686" i="2"/>
  <c r="AO686" i="2"/>
  <c r="AF687" i="2"/>
  <c r="AB687" i="2"/>
  <c r="Z687" i="2"/>
  <c r="AE687" i="2"/>
  <c r="X688" i="2"/>
  <c r="AD688" i="2" s="1"/>
  <c r="AA689" i="2"/>
  <c r="AC691" i="2"/>
  <c r="AP691" i="2"/>
  <c r="AO691" i="2" s="1"/>
  <c r="AA692" i="2"/>
  <c r="AF692" i="2"/>
  <c r="AD693" i="2"/>
  <c r="AO694" i="2"/>
  <c r="AF695" i="2"/>
  <c r="AB695" i="2"/>
  <c r="Z695" i="2"/>
  <c r="AE695" i="2"/>
  <c r="X696" i="2"/>
  <c r="Z696" i="2" s="1"/>
  <c r="AA697" i="2"/>
  <c r="AO697" i="2"/>
  <c r="AC699" i="2"/>
  <c r="AP699" i="2"/>
  <c r="AO699" i="2" s="1"/>
  <c r="AA700" i="2"/>
  <c r="AF700" i="2"/>
  <c r="AD701" i="2"/>
  <c r="AO702" i="2"/>
  <c r="AF703" i="2"/>
  <c r="AB703" i="2"/>
  <c r="Z703" i="2"/>
  <c r="AE703" i="2"/>
  <c r="X704" i="2"/>
  <c r="AD704" i="2" s="1"/>
  <c r="AA705" i="2"/>
  <c r="AO705" i="2"/>
  <c r="AC707" i="2"/>
  <c r="AP707" i="2"/>
  <c r="AO707" i="2" s="1"/>
  <c r="AA708" i="2"/>
  <c r="AF708" i="2"/>
  <c r="AD709" i="2"/>
  <c r="AO710" i="2"/>
  <c r="AF711" i="2"/>
  <c r="AB711" i="2"/>
  <c r="Z711" i="2"/>
  <c r="AE711" i="2"/>
  <c r="X712" i="2"/>
  <c r="AD712" i="2" s="1"/>
  <c r="AA713" i="2"/>
  <c r="AO714" i="2"/>
  <c r="AC716" i="2"/>
  <c r="AP717" i="2"/>
  <c r="AO717" i="2" s="1"/>
  <c r="AF718" i="2"/>
  <c r="AB718" i="2"/>
  <c r="AP718" i="2"/>
  <c r="AO718" i="2" s="1"/>
  <c r="AC718" i="2"/>
  <c r="AA718" i="2"/>
  <c r="Z718" i="2"/>
  <c r="AP721" i="2"/>
  <c r="AO721" i="2" s="1"/>
  <c r="AD721" i="2"/>
  <c r="Z721" i="2"/>
  <c r="AB721" i="2"/>
  <c r="AF721" i="2"/>
  <c r="AA721" i="2"/>
  <c r="X726" i="2"/>
  <c r="AO726" i="2"/>
  <c r="Z726" i="2"/>
  <c r="AO729" i="2"/>
  <c r="AP739" i="2"/>
  <c r="AO739" i="2" s="1"/>
  <c r="AP740" i="2"/>
  <c r="AO740" i="2" s="1"/>
  <c r="AQ740" i="2"/>
  <c r="X742" i="2"/>
  <c r="AP755" i="2"/>
  <c r="AO755" i="2" s="1"/>
  <c r="AP756" i="2"/>
  <c r="AO756" i="2" s="1"/>
  <c r="AQ756" i="2"/>
  <c r="X758" i="2"/>
  <c r="AP764" i="2"/>
  <c r="AO764" i="2" s="1"/>
  <c r="AQ764" i="2"/>
  <c r="X766" i="2"/>
  <c r="AP767" i="2"/>
  <c r="Z767" i="2"/>
  <c r="AE767" i="2"/>
  <c r="AD768" i="2"/>
  <c r="AO771" i="2"/>
  <c r="X772" i="2"/>
  <c r="AC772" i="2" s="1"/>
  <c r="AO772" i="2"/>
  <c r="AA772" i="2"/>
  <c r="AD772" i="2"/>
  <c r="AP773" i="2"/>
  <c r="AO773" i="2" s="1"/>
  <c r="AP780" i="2"/>
  <c r="AO780" i="2" s="1"/>
  <c r="AQ780" i="2"/>
  <c r="X782" i="2"/>
  <c r="AP783" i="2"/>
  <c r="Z783" i="2"/>
  <c r="AE783" i="2"/>
  <c r="AD784" i="2"/>
  <c r="AO787" i="2"/>
  <c r="X788" i="2"/>
  <c r="AC788" i="2" s="1"/>
  <c r="AO788" i="2"/>
  <c r="AA788" i="2"/>
  <c r="AD788" i="2"/>
  <c r="AP789" i="2"/>
  <c r="AO789" i="2" s="1"/>
  <c r="AP796" i="2"/>
  <c r="AO796" i="2" s="1"/>
  <c r="AQ796" i="2"/>
  <c r="X798" i="2"/>
  <c r="AD798" i="2"/>
  <c r="AP799" i="2"/>
  <c r="AD799" i="2"/>
  <c r="AA799" i="2"/>
  <c r="AO804" i="2"/>
  <c r="AD816" i="2"/>
  <c r="AD824" i="2"/>
  <c r="AO827" i="2"/>
  <c r="X828" i="2"/>
  <c r="AO828" i="2"/>
  <c r="AA828" i="2"/>
  <c r="AD828" i="2"/>
  <c r="AP829" i="2"/>
  <c r="AO829" i="2" s="1"/>
  <c r="AP836" i="2"/>
  <c r="AO836" i="2" s="1"/>
  <c r="AQ836" i="2"/>
  <c r="X838" i="2"/>
  <c r="AD838" i="2" s="1"/>
  <c r="AP839" i="2"/>
  <c r="X855" i="2"/>
  <c r="AA855" i="2" s="1"/>
  <c r="AO855" i="2"/>
  <c r="AD855" i="2"/>
  <c r="AC855" i="2"/>
  <c r="AF870" i="2"/>
  <c r="AF734" i="2"/>
  <c r="AB734" i="2"/>
  <c r="Z734" i="2"/>
  <c r="AE734" i="2"/>
  <c r="X735" i="2"/>
  <c r="AC735" i="2" s="1"/>
  <c r="AP737" i="2"/>
  <c r="AO737" i="2" s="1"/>
  <c r="X738" i="2"/>
  <c r="AC738" i="2" s="1"/>
  <c r="AF742" i="2"/>
  <c r="AB742" i="2"/>
  <c r="Z742" i="2"/>
  <c r="AE742" i="2"/>
  <c r="X743" i="2"/>
  <c r="AC743" i="2" s="1"/>
  <c r="AP745" i="2"/>
  <c r="AO745" i="2" s="1"/>
  <c r="X746" i="2"/>
  <c r="AC746" i="2" s="1"/>
  <c r="AF750" i="2"/>
  <c r="AB750" i="2"/>
  <c r="Z750" i="2"/>
  <c r="AE750" i="2"/>
  <c r="X751" i="2"/>
  <c r="AB751" i="2" s="1"/>
  <c r="AP753" i="2"/>
  <c r="AO753" i="2" s="1"/>
  <c r="X754" i="2"/>
  <c r="AD754" i="2" s="1"/>
  <c r="AC754" i="2"/>
  <c r="AF758" i="2"/>
  <c r="AB758" i="2"/>
  <c r="Z758" i="2"/>
  <c r="AE758" i="2"/>
  <c r="X759" i="2"/>
  <c r="AC759" i="2"/>
  <c r="AP761" i="2"/>
  <c r="AO761" i="2" s="1"/>
  <c r="X762" i="2"/>
  <c r="AC762" i="2"/>
  <c r="AF766" i="2"/>
  <c r="AB766" i="2"/>
  <c r="Z766" i="2"/>
  <c r="AE766" i="2"/>
  <c r="X767" i="2"/>
  <c r="AB767" i="2" s="1"/>
  <c r="AP769" i="2"/>
  <c r="AO769" i="2" s="1"/>
  <c r="X770" i="2"/>
  <c r="AC770" i="2"/>
  <c r="AF774" i="2"/>
  <c r="AB774" i="2"/>
  <c r="Z774" i="2"/>
  <c r="AE774" i="2"/>
  <c r="X775" i="2"/>
  <c r="AP777" i="2"/>
  <c r="AO777" i="2" s="1"/>
  <c r="X778" i="2"/>
  <c r="AC778" i="2" s="1"/>
  <c r="AF782" i="2"/>
  <c r="AB782" i="2"/>
  <c r="Z782" i="2"/>
  <c r="AE782" i="2"/>
  <c r="X783" i="2"/>
  <c r="AF783" i="2" s="1"/>
  <c r="AP785" i="2"/>
  <c r="AO785" i="2" s="1"/>
  <c r="X786" i="2"/>
  <c r="AC786" i="2" s="1"/>
  <c r="AF790" i="2"/>
  <c r="AB790" i="2"/>
  <c r="Z790" i="2"/>
  <c r="AE790" i="2"/>
  <c r="X791" i="2"/>
  <c r="Z791" i="2" s="1"/>
  <c r="AP793" i="2"/>
  <c r="AO793" i="2" s="1"/>
  <c r="X794" i="2"/>
  <c r="AC794" i="2"/>
  <c r="AF798" i="2"/>
  <c r="AB798" i="2"/>
  <c r="Z798" i="2"/>
  <c r="AE798" i="2"/>
  <c r="X799" i="2"/>
  <c r="Z799" i="2" s="1"/>
  <c r="AP801" i="2"/>
  <c r="AO801" i="2" s="1"/>
  <c r="X802" i="2"/>
  <c r="AC802" i="2"/>
  <c r="AF806" i="2"/>
  <c r="AB806" i="2"/>
  <c r="Z806" i="2"/>
  <c r="AE806" i="2"/>
  <c r="X807" i="2"/>
  <c r="AD807" i="2" s="1"/>
  <c r="AP809" i="2"/>
  <c r="AO809" i="2" s="1"/>
  <c r="X810" i="2"/>
  <c r="AD810" i="2" s="1"/>
  <c r="AF814" i="2"/>
  <c r="AB814" i="2"/>
  <c r="Z814" i="2"/>
  <c r="AE814" i="2"/>
  <c r="X815" i="2"/>
  <c r="AA816" i="2"/>
  <c r="AP817" i="2"/>
  <c r="AO817" i="2" s="1"/>
  <c r="X818" i="2"/>
  <c r="AC818" i="2"/>
  <c r="AP818" i="2"/>
  <c r="AO818" i="2" s="1"/>
  <c r="AF822" i="2"/>
  <c r="AB822" i="2"/>
  <c r="Z822" i="2"/>
  <c r="AE822" i="2"/>
  <c r="X823" i="2"/>
  <c r="AP825" i="2"/>
  <c r="AO825" i="2" s="1"/>
  <c r="X826" i="2"/>
  <c r="AC826" i="2" s="1"/>
  <c r="AF830" i="2"/>
  <c r="AB830" i="2"/>
  <c r="Z830" i="2"/>
  <c r="AE830" i="2"/>
  <c r="X831" i="2"/>
  <c r="AB831" i="2" s="1"/>
  <c r="AP833" i="2"/>
  <c r="AO833" i="2" s="1"/>
  <c r="X834" i="2"/>
  <c r="AC834" i="2" s="1"/>
  <c r="AB838" i="2"/>
  <c r="X839" i="2"/>
  <c r="AD839" i="2" s="1"/>
  <c r="AP841" i="2"/>
  <c r="AO841" i="2" s="1"/>
  <c r="X842" i="2"/>
  <c r="AD842" i="2" s="1"/>
  <c r="AC842" i="2"/>
  <c r="X845" i="2"/>
  <c r="AC845" i="2"/>
  <c r="AO846" i="2"/>
  <c r="X846" i="2"/>
  <c r="AB846" i="2" s="1"/>
  <c r="X849" i="2"/>
  <c r="AE849" i="2"/>
  <c r="AP849" i="2"/>
  <c r="AO849" i="2" s="1"/>
  <c r="AB850" i="2"/>
  <c r="X852" i="2"/>
  <c r="AE852" i="2" s="1"/>
  <c r="AP854" i="2"/>
  <c r="AP858" i="2"/>
  <c r="AD858" i="2"/>
  <c r="Z858" i="2"/>
  <c r="AG858" i="2" s="1"/>
  <c r="AE858" i="2"/>
  <c r="AB858" i="2"/>
  <c r="AA858" i="2"/>
  <c r="X861" i="2"/>
  <c r="X863" i="2"/>
  <c r="AC863" i="2"/>
  <c r="AP865" i="2"/>
  <c r="AF866" i="2"/>
  <c r="AP872" i="2"/>
  <c r="AO872" i="2" s="1"/>
  <c r="AP874" i="2"/>
  <c r="AD874" i="2"/>
  <c r="Z874" i="2"/>
  <c r="AG874" i="2" s="1"/>
  <c r="AE874" i="2"/>
  <c r="AB874" i="2"/>
  <c r="AA874" i="2"/>
  <c r="X877" i="2"/>
  <c r="X879" i="2"/>
  <c r="AC879" i="2"/>
  <c r="AP881" i="2"/>
  <c r="AQ889" i="2"/>
  <c r="AP889" i="2"/>
  <c r="AP902" i="2"/>
  <c r="X907" i="2"/>
  <c r="AQ909" i="2"/>
  <c r="AP909" i="2"/>
  <c r="X911" i="2"/>
  <c r="AD911" i="2" s="1"/>
  <c r="AA911" i="2"/>
  <c r="AP912" i="2"/>
  <c r="AO912" i="2" s="1"/>
  <c r="AQ919" i="2"/>
  <c r="AP919" i="2"/>
  <c r="X921" i="2"/>
  <c r="AP922" i="2"/>
  <c r="X927" i="2"/>
  <c r="AD927" i="2" s="1"/>
  <c r="AA927" i="2"/>
  <c r="AP928" i="2"/>
  <c r="AO928" i="2" s="1"/>
  <c r="AP942" i="2"/>
  <c r="AQ943" i="2"/>
  <c r="AP943" i="2"/>
  <c r="X945" i="2"/>
  <c r="AP958" i="2"/>
  <c r="X963" i="2"/>
  <c r="AA963" i="2"/>
  <c r="AQ965" i="2"/>
  <c r="AP965" i="2"/>
  <c r="AP974" i="2"/>
  <c r="X979" i="2"/>
  <c r="AA979" i="2" s="1"/>
  <c r="AQ981" i="2"/>
  <c r="AP981" i="2"/>
  <c r="AP990" i="2"/>
  <c r="X995" i="2"/>
  <c r="AA995" i="2"/>
  <c r="AQ997" i="2"/>
  <c r="AP997" i="2"/>
  <c r="AP1006" i="2"/>
  <c r="X1011" i="2"/>
  <c r="AA1011" i="2" s="1"/>
  <c r="AQ1013" i="2"/>
  <c r="AP1013" i="2"/>
  <c r="AP1022" i="2"/>
  <c r="X1027" i="2"/>
  <c r="AA1027" i="2"/>
  <c r="AQ1029" i="2"/>
  <c r="AP1029" i="2"/>
  <c r="AP1041" i="2"/>
  <c r="AQ1055" i="2"/>
  <c r="AP1055" i="2"/>
  <c r="X1057" i="2"/>
  <c r="AO1057" i="2"/>
  <c r="AC1057" i="2"/>
  <c r="AP1058" i="2"/>
  <c r="AO1058" i="2" s="1"/>
  <c r="AQ1063" i="2"/>
  <c r="AP1063" i="2"/>
  <c r="X1065" i="2"/>
  <c r="AO1065" i="2"/>
  <c r="AP1066" i="2"/>
  <c r="AO1066" i="2" s="1"/>
  <c r="AQ1071" i="2"/>
  <c r="AP1071" i="2"/>
  <c r="X1073" i="2"/>
  <c r="AD1073" i="2" s="1"/>
  <c r="AO1073" i="2"/>
  <c r="AP1074" i="2"/>
  <c r="AO1074" i="2" s="1"/>
  <c r="AQ1079" i="2"/>
  <c r="AP1079" i="2"/>
  <c r="X1081" i="2"/>
  <c r="AO1081" i="2"/>
  <c r="AD1081" i="2"/>
  <c r="AP1082" i="2"/>
  <c r="AO1082" i="2" s="1"/>
  <c r="AQ1087" i="2"/>
  <c r="AP1087" i="2"/>
  <c r="X1089" i="2"/>
  <c r="AD1089" i="2"/>
  <c r="AP1090" i="2"/>
  <c r="AO1090" i="2" s="1"/>
  <c r="AP1104" i="2"/>
  <c r="AO1104" i="2" s="1"/>
  <c r="X1107" i="2"/>
  <c r="AQ1109" i="2"/>
  <c r="AP1109" i="2"/>
  <c r="AP715" i="2"/>
  <c r="AO715" i="2" s="1"/>
  <c r="AD715" i="2"/>
  <c r="AB715" i="2"/>
  <c r="AF716" i="2"/>
  <c r="AB716" i="2"/>
  <c r="Z716" i="2"/>
  <c r="AE716" i="2"/>
  <c r="X717" i="2"/>
  <c r="AE717" i="2" s="1"/>
  <c r="AP719" i="2"/>
  <c r="AO719" i="2" s="1"/>
  <c r="AD719" i="2"/>
  <c r="Z719" i="2"/>
  <c r="AE719" i="2"/>
  <c r="X720" i="2"/>
  <c r="AF720" i="2" s="1"/>
  <c r="AF724" i="2"/>
  <c r="AB724" i="2"/>
  <c r="Z724" i="2"/>
  <c r="AE724" i="2"/>
  <c r="X725" i="2"/>
  <c r="AP727" i="2"/>
  <c r="AO727" i="2" s="1"/>
  <c r="AD727" i="2"/>
  <c r="Z727" i="2"/>
  <c r="AE727" i="2"/>
  <c r="X728" i="2"/>
  <c r="AC728" i="2" s="1"/>
  <c r="AP728" i="2"/>
  <c r="AO728" i="2" s="1"/>
  <c r="AF732" i="2"/>
  <c r="AB732" i="2"/>
  <c r="Z732" i="2"/>
  <c r="AE732" i="2"/>
  <c r="X733" i="2"/>
  <c r="AA734" i="2"/>
  <c r="AP735" i="2"/>
  <c r="AD735" i="2"/>
  <c r="Z735" i="2"/>
  <c r="AE735" i="2"/>
  <c r="X736" i="2"/>
  <c r="AP736" i="2"/>
  <c r="AO736" i="2" s="1"/>
  <c r="AD738" i="2"/>
  <c r="AF740" i="2"/>
  <c r="AB740" i="2"/>
  <c r="Z740" i="2"/>
  <c r="AE740" i="2"/>
  <c r="X741" i="2"/>
  <c r="AA742" i="2"/>
  <c r="AP743" i="2"/>
  <c r="AD743" i="2"/>
  <c r="Z743" i="2"/>
  <c r="AE743" i="2"/>
  <c r="X744" i="2"/>
  <c r="AP744" i="2"/>
  <c r="AO744" i="2" s="1"/>
  <c r="AF748" i="2"/>
  <c r="AB748" i="2"/>
  <c r="Z748" i="2"/>
  <c r="AE748" i="2"/>
  <c r="X749" i="2"/>
  <c r="AA749" i="2" s="1"/>
  <c r="AA750" i="2"/>
  <c r="AC752" i="2"/>
  <c r="AP752" i="2"/>
  <c r="AO752" i="2" s="1"/>
  <c r="AF756" i="2"/>
  <c r="AB756" i="2"/>
  <c r="Z756" i="2"/>
  <c r="AE756" i="2"/>
  <c r="X757" i="2"/>
  <c r="AF757" i="2" s="1"/>
  <c r="AA758" i="2"/>
  <c r="AP759" i="2"/>
  <c r="AD759" i="2"/>
  <c r="Z759" i="2"/>
  <c r="AE759" i="2"/>
  <c r="X760" i="2"/>
  <c r="AC760" i="2" s="1"/>
  <c r="AP760" i="2"/>
  <c r="AO760" i="2" s="1"/>
  <c r="AF764" i="2"/>
  <c r="AB764" i="2"/>
  <c r="Z764" i="2"/>
  <c r="AE764" i="2"/>
  <c r="X765" i="2"/>
  <c r="AD765" i="2" s="1"/>
  <c r="AA766" i="2"/>
  <c r="AC768" i="2"/>
  <c r="AP768" i="2"/>
  <c r="AO768" i="2" s="1"/>
  <c r="AF772" i="2"/>
  <c r="AB772" i="2"/>
  <c r="Z772" i="2"/>
  <c r="AE772" i="2"/>
  <c r="X773" i="2"/>
  <c r="Z773" i="2" s="1"/>
  <c r="AA774" i="2"/>
  <c r="AC776" i="2"/>
  <c r="AP776" i="2"/>
  <c r="AO776" i="2" s="1"/>
  <c r="AF780" i="2"/>
  <c r="AB780" i="2"/>
  <c r="Z780" i="2"/>
  <c r="AE780" i="2"/>
  <c r="X781" i="2"/>
  <c r="AD781" i="2" s="1"/>
  <c r="AA782" i="2"/>
  <c r="AC784" i="2"/>
  <c r="AP784" i="2"/>
  <c r="AO784" i="2" s="1"/>
  <c r="AF788" i="2"/>
  <c r="AB788" i="2"/>
  <c r="Z788" i="2"/>
  <c r="AE788" i="2"/>
  <c r="X789" i="2"/>
  <c r="Z789" i="2" s="1"/>
  <c r="AA790" i="2"/>
  <c r="AC792" i="2"/>
  <c r="AP792" i="2"/>
  <c r="AO792" i="2" s="1"/>
  <c r="AF796" i="2"/>
  <c r="AB796" i="2"/>
  <c r="Z796" i="2"/>
  <c r="AE796" i="2"/>
  <c r="X797" i="2"/>
  <c r="AD797" i="2" s="1"/>
  <c r="AA798" i="2"/>
  <c r="AC800" i="2"/>
  <c r="AP800" i="2"/>
  <c r="AO800" i="2" s="1"/>
  <c r="X805" i="2"/>
  <c r="Z805" i="2" s="1"/>
  <c r="AA806" i="2"/>
  <c r="AC808" i="2"/>
  <c r="AP808" i="2"/>
  <c r="AO808" i="2" s="1"/>
  <c r="AF812" i="2"/>
  <c r="AB812" i="2"/>
  <c r="Z812" i="2"/>
  <c r="AE812" i="2"/>
  <c r="X813" i="2"/>
  <c r="AA814" i="2"/>
  <c r="AC816" i="2"/>
  <c r="AP816" i="2"/>
  <c r="AO816" i="2" s="1"/>
  <c r="X821" i="2"/>
  <c r="Z821" i="2" s="1"/>
  <c r="AA822" i="2"/>
  <c r="AC824" i="2"/>
  <c r="AP824" i="2"/>
  <c r="AO824" i="2" s="1"/>
  <c r="AF828" i="2"/>
  <c r="AB828" i="2"/>
  <c r="Z828" i="2"/>
  <c r="AE828" i="2"/>
  <c r="X829" i="2"/>
  <c r="AA829" i="2" s="1"/>
  <c r="AA830" i="2"/>
  <c r="AC832" i="2"/>
  <c r="AP832" i="2"/>
  <c r="AO832" i="2" s="1"/>
  <c r="AF836" i="2"/>
  <c r="AB836" i="2"/>
  <c r="Z836" i="2"/>
  <c r="AE836" i="2"/>
  <c r="X837" i="2"/>
  <c r="AA837" i="2" s="1"/>
  <c r="AA838" i="2"/>
  <c r="AC840" i="2"/>
  <c r="AP840" i="2"/>
  <c r="AO840" i="2" s="1"/>
  <c r="X844" i="2"/>
  <c r="AE844" i="2" s="1"/>
  <c r="AC850" i="2"/>
  <c r="X851" i="2"/>
  <c r="AP852" i="2"/>
  <c r="AO852" i="2" s="1"/>
  <c r="AD852" i="2"/>
  <c r="Z852" i="2"/>
  <c r="AF852" i="2"/>
  <c r="AA852" i="2"/>
  <c r="AO853" i="2"/>
  <c r="AC858" i="2"/>
  <c r="AP860" i="2"/>
  <c r="AO860" i="2" s="1"/>
  <c r="AP862" i="2"/>
  <c r="AO862" i="2" s="1"/>
  <c r="AA863" i="2"/>
  <c r="X865" i="2"/>
  <c r="AO865" i="2"/>
  <c r="X867" i="2"/>
  <c r="AP869" i="2"/>
  <c r="AC874" i="2"/>
  <c r="AP876" i="2"/>
  <c r="AO876" i="2" s="1"/>
  <c r="AP878" i="2"/>
  <c r="AO878" i="2" s="1"/>
  <c r="AA879" i="2"/>
  <c r="X881" i="2"/>
  <c r="AO881" i="2"/>
  <c r="X882" i="2"/>
  <c r="AA882" i="2" s="1"/>
  <c r="X887" i="2"/>
  <c r="AD887" i="2" s="1"/>
  <c r="AA887" i="2"/>
  <c r="X891" i="2"/>
  <c r="AA891" i="2"/>
  <c r="AD891" i="2"/>
  <c r="AQ897" i="2"/>
  <c r="AP897" i="2"/>
  <c r="AQ903" i="2"/>
  <c r="AP903" i="2"/>
  <c r="X905" i="2"/>
  <c r="AP906" i="2"/>
  <c r="AO906" i="2" s="1"/>
  <c r="AD907" i="2"/>
  <c r="AO909" i="2"/>
  <c r="X915" i="2"/>
  <c r="AA915" i="2" s="1"/>
  <c r="AQ917" i="2"/>
  <c r="AP917" i="2"/>
  <c r="AD921" i="2"/>
  <c r="AP926" i="2"/>
  <c r="X931" i="2"/>
  <c r="AA931" i="2"/>
  <c r="AQ933" i="2"/>
  <c r="AP933" i="2"/>
  <c r="X935" i="2"/>
  <c r="AD935" i="2" s="1"/>
  <c r="AA935" i="2"/>
  <c r="AP936" i="2"/>
  <c r="AO936" i="2" s="1"/>
  <c r="AD945" i="2"/>
  <c r="AQ949" i="2"/>
  <c r="AP949" i="2"/>
  <c r="X951" i="2"/>
  <c r="AD951" i="2" s="1"/>
  <c r="AP952" i="2"/>
  <c r="AO952" i="2" s="1"/>
  <c r="AQ959" i="2"/>
  <c r="AP959" i="2"/>
  <c r="X961" i="2"/>
  <c r="AP962" i="2"/>
  <c r="AO962" i="2" s="1"/>
  <c r="AD963" i="2"/>
  <c r="AO965" i="2"/>
  <c r="X967" i="2"/>
  <c r="AD967" i="2"/>
  <c r="AC967" i="2"/>
  <c r="AA967" i="2"/>
  <c r="AP968" i="2"/>
  <c r="AO968" i="2" s="1"/>
  <c r="AQ975" i="2"/>
  <c r="AP975" i="2"/>
  <c r="X977" i="2"/>
  <c r="AP978" i="2"/>
  <c r="AO978" i="2" s="1"/>
  <c r="AD979" i="2"/>
  <c r="AO981" i="2"/>
  <c r="X983" i="2"/>
  <c r="AD983" i="2"/>
  <c r="AC983" i="2"/>
  <c r="AA983" i="2"/>
  <c r="AP984" i="2"/>
  <c r="AO984" i="2" s="1"/>
  <c r="AQ991" i="2"/>
  <c r="AP991" i="2"/>
  <c r="X993" i="2"/>
  <c r="AP994" i="2"/>
  <c r="AO994" i="2" s="1"/>
  <c r="AD995" i="2"/>
  <c r="AO997" i="2"/>
  <c r="X999" i="2"/>
  <c r="AD999" i="2"/>
  <c r="AC999" i="2"/>
  <c r="AA999" i="2"/>
  <c r="AP1000" i="2"/>
  <c r="AO1000" i="2" s="1"/>
  <c r="AQ1007" i="2"/>
  <c r="AP1007" i="2"/>
  <c r="X1009" i="2"/>
  <c r="AP1010" i="2"/>
  <c r="AO1010" i="2" s="1"/>
  <c r="AD1011" i="2"/>
  <c r="AO1013" i="2"/>
  <c r="X1015" i="2"/>
  <c r="AD1015" i="2"/>
  <c r="AC1015" i="2"/>
  <c r="AA1015" i="2"/>
  <c r="AP1016" i="2"/>
  <c r="AO1016" i="2" s="1"/>
  <c r="AQ1023" i="2"/>
  <c r="AP1023" i="2"/>
  <c r="X1025" i="2"/>
  <c r="AP1026" i="2"/>
  <c r="AO1026" i="2" s="1"/>
  <c r="AD1027" i="2"/>
  <c r="AO1029" i="2"/>
  <c r="X1031" i="2"/>
  <c r="AD1031" i="2"/>
  <c r="AC1031" i="2"/>
  <c r="AA1031" i="2"/>
  <c r="AP1032" i="2"/>
  <c r="AO1032" i="2" s="1"/>
  <c r="AP1040" i="2"/>
  <c r="AO1040" i="2" s="1"/>
  <c r="X1043" i="2"/>
  <c r="AP1048" i="2"/>
  <c r="AO1048" i="2" s="1"/>
  <c r="AQ1049" i="2"/>
  <c r="AP1049" i="2"/>
  <c r="X1051" i="2"/>
  <c r="AO1055" i="2"/>
  <c r="AO1063" i="2"/>
  <c r="AO1071" i="2"/>
  <c r="AO1079" i="2"/>
  <c r="AO1087" i="2"/>
  <c r="AP1089" i="2"/>
  <c r="AO1089" i="2" s="1"/>
  <c r="AP1096" i="2"/>
  <c r="AO1096" i="2" s="1"/>
  <c r="X1099" i="2"/>
  <c r="AQ1101" i="2"/>
  <c r="AP1101" i="2"/>
  <c r="AD1107" i="2"/>
  <c r="AO1109" i="2"/>
  <c r="AQ1111" i="2"/>
  <c r="AP1111" i="2"/>
  <c r="X1113" i="2"/>
  <c r="AO1113" i="2"/>
  <c r="AD1113" i="2"/>
  <c r="AP1114" i="2"/>
  <c r="AO1114" i="2" s="1"/>
  <c r="AQ1119" i="2"/>
  <c r="AP1119" i="2"/>
  <c r="X1121" i="2"/>
  <c r="AO1121" i="2"/>
  <c r="AP1122" i="2"/>
  <c r="AC715" i="2"/>
  <c r="AA716" i="2"/>
  <c r="AA719" i="2"/>
  <c r="AF719" i="2"/>
  <c r="AF722" i="2"/>
  <c r="AB722" i="2"/>
  <c r="Z722" i="2"/>
  <c r="AE722" i="2"/>
  <c r="X723" i="2"/>
  <c r="AD723" i="2" s="1"/>
  <c r="AA724" i="2"/>
  <c r="AA727" i="2"/>
  <c r="AF727" i="2"/>
  <c r="AF730" i="2"/>
  <c r="AB730" i="2"/>
  <c r="Z730" i="2"/>
  <c r="AE730" i="2"/>
  <c r="X731" i="2"/>
  <c r="AA732" i="2"/>
  <c r="AC734" i="2"/>
  <c r="AP734" i="2"/>
  <c r="AO734" i="2" s="1"/>
  <c r="AA735" i="2"/>
  <c r="AF735" i="2"/>
  <c r="AF738" i="2"/>
  <c r="AB738" i="2"/>
  <c r="Z738" i="2"/>
  <c r="AE738" i="2"/>
  <c r="X739" i="2"/>
  <c r="AD739" i="2" s="1"/>
  <c r="AA740" i="2"/>
  <c r="AC742" i="2"/>
  <c r="AP742" i="2"/>
  <c r="AO742" i="2" s="1"/>
  <c r="AA743" i="2"/>
  <c r="AF743" i="2"/>
  <c r="AF746" i="2"/>
  <c r="AB746" i="2"/>
  <c r="Z746" i="2"/>
  <c r="AE746" i="2"/>
  <c r="X747" i="2"/>
  <c r="AD747" i="2" s="1"/>
  <c r="AC750" i="2"/>
  <c r="AP750" i="2"/>
  <c r="AO750" i="2" s="1"/>
  <c r="AF754" i="2"/>
  <c r="AB754" i="2"/>
  <c r="Z754" i="2"/>
  <c r="AE754" i="2"/>
  <c r="X755" i="2"/>
  <c r="AC758" i="2"/>
  <c r="AP758" i="2"/>
  <c r="AO758" i="2" s="1"/>
  <c r="AA759" i="2"/>
  <c r="AF759" i="2"/>
  <c r="AF762" i="2"/>
  <c r="AB762" i="2"/>
  <c r="Z762" i="2"/>
  <c r="AE762" i="2"/>
  <c r="X763" i="2"/>
  <c r="AC766" i="2"/>
  <c r="AP766" i="2"/>
  <c r="AO766" i="2" s="1"/>
  <c r="AF770" i="2"/>
  <c r="AB770" i="2"/>
  <c r="Z770" i="2"/>
  <c r="AE770" i="2"/>
  <c r="X771" i="2"/>
  <c r="Z771" i="2" s="1"/>
  <c r="AC774" i="2"/>
  <c r="AP774" i="2"/>
  <c r="AO774" i="2" s="1"/>
  <c r="AF778" i="2"/>
  <c r="AB778" i="2"/>
  <c r="Z778" i="2"/>
  <c r="AE778" i="2"/>
  <c r="X779" i="2"/>
  <c r="AC782" i="2"/>
  <c r="AP782" i="2"/>
  <c r="AO782" i="2" s="1"/>
  <c r="AF786" i="2"/>
  <c r="AB786" i="2"/>
  <c r="Z786" i="2"/>
  <c r="AE786" i="2"/>
  <c r="X787" i="2"/>
  <c r="Z787" i="2" s="1"/>
  <c r="AC790" i="2"/>
  <c r="AP790" i="2"/>
  <c r="AO790" i="2" s="1"/>
  <c r="AF794" i="2"/>
  <c r="AB794" i="2"/>
  <c r="Z794" i="2"/>
  <c r="AE794" i="2"/>
  <c r="X795" i="2"/>
  <c r="AC798" i="2"/>
  <c r="AP798" i="2"/>
  <c r="AO798" i="2" s="1"/>
  <c r="AF802" i="2"/>
  <c r="AB802" i="2"/>
  <c r="Z802" i="2"/>
  <c r="AE802" i="2"/>
  <c r="X803" i="2"/>
  <c r="AF803" i="2" s="1"/>
  <c r="AC806" i="2"/>
  <c r="AP806" i="2"/>
  <c r="AO806" i="2" s="1"/>
  <c r="AF810" i="2"/>
  <c r="AB810" i="2"/>
  <c r="Z810" i="2"/>
  <c r="AE810" i="2"/>
  <c r="X811" i="2"/>
  <c r="AC811" i="2" s="1"/>
  <c r="AC814" i="2"/>
  <c r="AP814" i="2"/>
  <c r="AO814" i="2" s="1"/>
  <c r="AF818" i="2"/>
  <c r="AB818" i="2"/>
  <c r="Z818" i="2"/>
  <c r="AE818" i="2"/>
  <c r="X819" i="2"/>
  <c r="AC819" i="2" s="1"/>
  <c r="AC822" i="2"/>
  <c r="AP822" i="2"/>
  <c r="AO822" i="2" s="1"/>
  <c r="AF826" i="2"/>
  <c r="AB826" i="2"/>
  <c r="Z826" i="2"/>
  <c r="AE826" i="2"/>
  <c r="X827" i="2"/>
  <c r="AE827" i="2" s="1"/>
  <c r="AC830" i="2"/>
  <c r="AP830" i="2"/>
  <c r="AO830" i="2" s="1"/>
  <c r="AF834" i="2"/>
  <c r="AB834" i="2"/>
  <c r="Z834" i="2"/>
  <c r="AE834" i="2"/>
  <c r="X835" i="2"/>
  <c r="AC838" i="2"/>
  <c r="AP838" i="2"/>
  <c r="AO838" i="2" s="1"/>
  <c r="AF842" i="2"/>
  <c r="AB842" i="2"/>
  <c r="Z842" i="2"/>
  <c r="AE842" i="2"/>
  <c r="X843" i="2"/>
  <c r="AA843" i="2" s="1"/>
  <c r="AP844" i="2"/>
  <c r="AO844" i="2" s="1"/>
  <c r="AD844" i="2"/>
  <c r="Z844" i="2"/>
  <c r="AF844" i="2"/>
  <c r="AA844" i="2"/>
  <c r="AF845" i="2"/>
  <c r="AB845" i="2"/>
  <c r="AD845" i="2"/>
  <c r="Z845" i="2"/>
  <c r="AF849" i="2"/>
  <c r="AB849" i="2"/>
  <c r="AA849" i="2"/>
  <c r="AC849" i="2"/>
  <c r="AF851" i="2"/>
  <c r="AB851" i="2"/>
  <c r="AP851" i="2"/>
  <c r="AO851" i="2" s="1"/>
  <c r="AC851" i="2"/>
  <c r="Z851" i="2"/>
  <c r="AB852" i="2"/>
  <c r="AP857" i="2"/>
  <c r="AF858" i="2"/>
  <c r="AF861" i="2"/>
  <c r="AB861" i="2"/>
  <c r="AD861" i="2"/>
  <c r="AA861" i="2"/>
  <c r="AC861" i="2"/>
  <c r="AD863" i="2"/>
  <c r="AP864" i="2"/>
  <c r="AO864" i="2" s="1"/>
  <c r="AP866" i="2"/>
  <c r="AO866" i="2" s="1"/>
  <c r="AD866" i="2"/>
  <c r="Z866" i="2"/>
  <c r="AG866" i="2" s="1"/>
  <c r="AE866" i="2"/>
  <c r="AB866" i="2"/>
  <c r="AA866" i="2"/>
  <c r="X869" i="2"/>
  <c r="AB869" i="2" s="1"/>
  <c r="AO869" i="2"/>
  <c r="X871" i="2"/>
  <c r="AC871" i="2"/>
  <c r="AQ871" i="2"/>
  <c r="AP873" i="2"/>
  <c r="AF874" i="2"/>
  <c r="AF877" i="2"/>
  <c r="AB877" i="2"/>
  <c r="AD877" i="2"/>
  <c r="AA877" i="2"/>
  <c r="AC877" i="2"/>
  <c r="AD879" i="2"/>
  <c r="AP880" i="2"/>
  <c r="AO880" i="2" s="1"/>
  <c r="AP882" i="2"/>
  <c r="AO882" i="2" s="1"/>
  <c r="AD882" i="2"/>
  <c r="Z882" i="2"/>
  <c r="AE882" i="2"/>
  <c r="AC882" i="2"/>
  <c r="AB882" i="2"/>
  <c r="AF882" i="2"/>
  <c r="AP886" i="2"/>
  <c r="AP890" i="2"/>
  <c r="AO890" i="2" s="1"/>
  <c r="X895" i="2"/>
  <c r="AD895" i="2" s="1"/>
  <c r="AA895" i="2"/>
  <c r="X899" i="2"/>
  <c r="AA899" i="2" s="1"/>
  <c r="AQ901" i="2"/>
  <c r="AP901" i="2"/>
  <c r="AD905" i="2"/>
  <c r="AP910" i="2"/>
  <c r="AQ911" i="2"/>
  <c r="AP911" i="2"/>
  <c r="AO911" i="2" s="1"/>
  <c r="X913" i="2"/>
  <c r="AP914" i="2"/>
  <c r="AO914" i="2" s="1"/>
  <c r="AD915" i="2"/>
  <c r="AO917" i="2"/>
  <c r="X919" i="2"/>
  <c r="AD919" i="2"/>
  <c r="AC919" i="2"/>
  <c r="AO919" i="2"/>
  <c r="AA919" i="2"/>
  <c r="AP920" i="2"/>
  <c r="AO920" i="2" s="1"/>
  <c r="AQ927" i="2"/>
  <c r="AP927" i="2"/>
  <c r="AO927" i="2" s="1"/>
  <c r="X929" i="2"/>
  <c r="AP930" i="2"/>
  <c r="AO930" i="2" s="1"/>
  <c r="AD931" i="2"/>
  <c r="AO933" i="2"/>
  <c r="X939" i="2"/>
  <c r="AA939" i="2"/>
  <c r="AQ941" i="2"/>
  <c r="AP941" i="2"/>
  <c r="X943" i="2"/>
  <c r="AD943" i="2"/>
  <c r="AC943" i="2"/>
  <c r="AO943" i="2"/>
  <c r="AA943" i="2"/>
  <c r="AP944" i="2"/>
  <c r="AO944" i="2" s="1"/>
  <c r="AO949" i="2"/>
  <c r="AA951" i="2"/>
  <c r="X955" i="2"/>
  <c r="AA955" i="2"/>
  <c r="AQ957" i="2"/>
  <c r="AP957" i="2"/>
  <c r="AD961" i="2"/>
  <c r="AP966" i="2"/>
  <c r="X971" i="2"/>
  <c r="AA971" i="2" s="1"/>
  <c r="AQ973" i="2"/>
  <c r="AP973" i="2"/>
  <c r="AD977" i="2"/>
  <c r="AP982" i="2"/>
  <c r="X987" i="2"/>
  <c r="AA987" i="2"/>
  <c r="AQ989" i="2"/>
  <c r="AP989" i="2"/>
  <c r="AD993" i="2"/>
  <c r="AP998" i="2"/>
  <c r="X1003" i="2"/>
  <c r="AA1003" i="2" s="1"/>
  <c r="AQ1005" i="2"/>
  <c r="AP1005" i="2"/>
  <c r="AD1009" i="2"/>
  <c r="AP1014" i="2"/>
  <c r="X1019" i="2"/>
  <c r="AA1019" i="2"/>
  <c r="AQ1021" i="2"/>
  <c r="AP1021" i="2"/>
  <c r="AD1025" i="2"/>
  <c r="AP1030" i="2"/>
  <c r="X1035" i="2"/>
  <c r="AA1035" i="2" s="1"/>
  <c r="AQ1037" i="2"/>
  <c r="AP1037" i="2"/>
  <c r="AD1043" i="2"/>
  <c r="AD1051" i="2"/>
  <c r="AP1056" i="2"/>
  <c r="AO1056" i="2" s="1"/>
  <c r="X1059" i="2"/>
  <c r="AP1064" i="2"/>
  <c r="AO1064" i="2" s="1"/>
  <c r="X1067" i="2"/>
  <c r="AP1072" i="2"/>
  <c r="AO1072" i="2" s="1"/>
  <c r="X1075" i="2"/>
  <c r="AP1080" i="2"/>
  <c r="AO1080" i="2" s="1"/>
  <c r="X1083" i="2"/>
  <c r="AP1088" i="2"/>
  <c r="AO1088" i="2" s="1"/>
  <c r="X1091" i="2"/>
  <c r="AD1099" i="2"/>
  <c r="AO1101" i="2"/>
  <c r="AQ1103" i="2"/>
  <c r="AP1103" i="2"/>
  <c r="X1105" i="2"/>
  <c r="AD1105" i="2"/>
  <c r="AP1106" i="2"/>
  <c r="AO1106" i="2" s="1"/>
  <c r="AO1111" i="2"/>
  <c r="AO1119" i="2"/>
  <c r="AQ1123" i="2"/>
  <c r="AP1123" i="2"/>
  <c r="AF728" i="2"/>
  <c r="AB728" i="2"/>
  <c r="Z728" i="2"/>
  <c r="AE728" i="2"/>
  <c r="X729" i="2"/>
  <c r="AD734" i="2"/>
  <c r="AB735" i="2"/>
  <c r="AO735" i="2"/>
  <c r="AF736" i="2"/>
  <c r="AB736" i="2"/>
  <c r="Z736" i="2"/>
  <c r="AE736" i="2"/>
  <c r="X737" i="2"/>
  <c r="Z737" i="2" s="1"/>
  <c r="AA738" i="2"/>
  <c r="AO738" i="2"/>
  <c r="AD742" i="2"/>
  <c r="AB743" i="2"/>
  <c r="AO743" i="2"/>
  <c r="AF744" i="2"/>
  <c r="AB744" i="2"/>
  <c r="Z744" i="2"/>
  <c r="AE744" i="2"/>
  <c r="X745" i="2"/>
  <c r="AE745" i="2" s="1"/>
  <c r="AC745" i="2"/>
  <c r="AA746" i="2"/>
  <c r="AO746" i="2"/>
  <c r="AD750" i="2"/>
  <c r="AO751" i="2"/>
  <c r="AF752" i="2"/>
  <c r="AB752" i="2"/>
  <c r="Z752" i="2"/>
  <c r="AE752" i="2"/>
  <c r="X753" i="2"/>
  <c r="AF753" i="2" s="1"/>
  <c r="AA754" i="2"/>
  <c r="AO754" i="2"/>
  <c r="AD758" i="2"/>
  <c r="AB759" i="2"/>
  <c r="AO759" i="2"/>
  <c r="AF760" i="2"/>
  <c r="AB760" i="2"/>
  <c r="Z760" i="2"/>
  <c r="AE760" i="2"/>
  <c r="X761" i="2"/>
  <c r="AA762" i="2"/>
  <c r="AO762" i="2"/>
  <c r="AD766" i="2"/>
  <c r="AO767" i="2"/>
  <c r="AF768" i="2"/>
  <c r="AB768" i="2"/>
  <c r="Z768" i="2"/>
  <c r="AE768" i="2"/>
  <c r="X769" i="2"/>
  <c r="AA770" i="2"/>
  <c r="AO770" i="2"/>
  <c r="AD774" i="2"/>
  <c r="AO775" i="2"/>
  <c r="AF776" i="2"/>
  <c r="AB776" i="2"/>
  <c r="Z776" i="2"/>
  <c r="AE776" i="2"/>
  <c r="X777" i="2"/>
  <c r="AA778" i="2"/>
  <c r="AO778" i="2"/>
  <c r="AD782" i="2"/>
  <c r="AO783" i="2"/>
  <c r="AF784" i="2"/>
  <c r="AB784" i="2"/>
  <c r="Z784" i="2"/>
  <c r="AE784" i="2"/>
  <c r="X785" i="2"/>
  <c r="AA786" i="2"/>
  <c r="AO786" i="2"/>
  <c r="AD790" i="2"/>
  <c r="AO791" i="2"/>
  <c r="AF792" i="2"/>
  <c r="AB792" i="2"/>
  <c r="Z792" i="2"/>
  <c r="AE792" i="2"/>
  <c r="X793" i="2"/>
  <c r="AA794" i="2"/>
  <c r="AO794" i="2"/>
  <c r="AO799" i="2"/>
  <c r="AF800" i="2"/>
  <c r="AB800" i="2"/>
  <c r="Z800" i="2"/>
  <c r="AE800" i="2"/>
  <c r="X801" i="2"/>
  <c r="AD801" i="2" s="1"/>
  <c r="AC801" i="2"/>
  <c r="AA802" i="2"/>
  <c r="AO802" i="2"/>
  <c r="AP803" i="2"/>
  <c r="AO803" i="2" s="1"/>
  <c r="AD803" i="2"/>
  <c r="Z803" i="2"/>
  <c r="AE803" i="2"/>
  <c r="X804" i="2"/>
  <c r="AF804" i="2" s="1"/>
  <c r="AC804" i="2"/>
  <c r="AD806" i="2"/>
  <c r="AO807" i="2"/>
  <c r="AF808" i="2"/>
  <c r="AB808" i="2"/>
  <c r="Z808" i="2"/>
  <c r="AE808" i="2"/>
  <c r="X809" i="2"/>
  <c r="AE809" i="2" s="1"/>
  <c r="AC809" i="2"/>
  <c r="AA810" i="2"/>
  <c r="AO810" i="2"/>
  <c r="AP811" i="2"/>
  <c r="AO811" i="2" s="1"/>
  <c r="AD811" i="2"/>
  <c r="Z811" i="2"/>
  <c r="AE811" i="2"/>
  <c r="AF816" i="2"/>
  <c r="AB816" i="2"/>
  <c r="Z816" i="2"/>
  <c r="AE816" i="2"/>
  <c r="X817" i="2"/>
  <c r="AC817" i="2" s="1"/>
  <c r="AP819" i="2"/>
  <c r="AO819" i="2" s="1"/>
  <c r="AD819" i="2"/>
  <c r="Z819" i="2"/>
  <c r="AE819" i="2"/>
  <c r="X820" i="2"/>
  <c r="AE820" i="2" s="1"/>
  <c r="AD822" i="2"/>
  <c r="AO823" i="2"/>
  <c r="AF824" i="2"/>
  <c r="AB824" i="2"/>
  <c r="Z824" i="2"/>
  <c r="AE824" i="2"/>
  <c r="X825" i="2"/>
  <c r="AA826" i="2"/>
  <c r="AO826" i="2"/>
  <c r="AD830" i="2"/>
  <c r="AO831" i="2"/>
  <c r="AF832" i="2"/>
  <c r="AB832" i="2"/>
  <c r="Z832" i="2"/>
  <c r="AE832" i="2"/>
  <c r="X833" i="2"/>
  <c r="AA834" i="2"/>
  <c r="AO834" i="2"/>
  <c r="AO839" i="2"/>
  <c r="AF840" i="2"/>
  <c r="AB840" i="2"/>
  <c r="Z840" i="2"/>
  <c r="AE840" i="2"/>
  <c r="X841" i="2"/>
  <c r="AC841" i="2"/>
  <c r="AA842" i="2"/>
  <c r="AO842" i="2"/>
  <c r="AF843" i="2"/>
  <c r="AB843" i="2"/>
  <c r="AP843" i="2"/>
  <c r="AO843" i="2" s="1"/>
  <c r="AC843" i="2"/>
  <c r="Z843" i="2"/>
  <c r="AP845" i="2"/>
  <c r="AO845" i="2" s="1"/>
  <c r="AP848" i="2"/>
  <c r="AO848" i="2" s="1"/>
  <c r="AP850" i="2"/>
  <c r="AO850" i="2" s="1"/>
  <c r="AD850" i="2"/>
  <c r="Z850" i="2"/>
  <c r="AG850" i="2" s="1"/>
  <c r="AE850" i="2"/>
  <c r="AA850" i="2"/>
  <c r="X853" i="2"/>
  <c r="AE853" i="2" s="1"/>
  <c r="AC853" i="2"/>
  <c r="AO854" i="2"/>
  <c r="X854" i="2"/>
  <c r="Z854" i="2" s="1"/>
  <c r="AE854" i="2"/>
  <c r="X857" i="2"/>
  <c r="Z857" i="2" s="1"/>
  <c r="AO857" i="2"/>
  <c r="AO858" i="2"/>
  <c r="X859" i="2"/>
  <c r="AE861" i="2"/>
  <c r="AP861" i="2"/>
  <c r="AO861" i="2" s="1"/>
  <c r="X862" i="2"/>
  <c r="Z862" i="2" s="1"/>
  <c r="AO863" i="2"/>
  <c r="AF865" i="2"/>
  <c r="AB865" i="2"/>
  <c r="AA865" i="2"/>
  <c r="AD865" i="2"/>
  <c r="AC865" i="2"/>
  <c r="AC866" i="2"/>
  <c r="AP868" i="2"/>
  <c r="AO868" i="2" s="1"/>
  <c r="Z869" i="2"/>
  <c r="AP870" i="2"/>
  <c r="AO870" i="2" s="1"/>
  <c r="AD870" i="2"/>
  <c r="Z870" i="2"/>
  <c r="AG870" i="2" s="1"/>
  <c r="AB870" i="2"/>
  <c r="AE870" i="2"/>
  <c r="AA870" i="2"/>
  <c r="X873" i="2"/>
  <c r="AE873" i="2" s="1"/>
  <c r="AO873" i="2"/>
  <c r="AO874" i="2"/>
  <c r="X875" i="2"/>
  <c r="AE877" i="2"/>
  <c r="AP877" i="2"/>
  <c r="AO877" i="2" s="1"/>
  <c r="X878" i="2"/>
  <c r="AE878" i="2" s="1"/>
  <c r="AO879" i="2"/>
  <c r="AF881" i="2"/>
  <c r="AB881" i="2"/>
  <c r="AA881" i="2"/>
  <c r="AD881" i="2"/>
  <c r="AC881" i="2"/>
  <c r="X883" i="2"/>
  <c r="AA883" i="2"/>
  <c r="AP894" i="2"/>
  <c r="AF894" i="2"/>
  <c r="AP898" i="2"/>
  <c r="AO898" i="2" s="1"/>
  <c r="AD899" i="2"/>
  <c r="AO901" i="2"/>
  <c r="X903" i="2"/>
  <c r="AD903" i="2"/>
  <c r="AO903" i="2"/>
  <c r="AA903" i="2"/>
  <c r="AP904" i="2"/>
  <c r="AO904" i="2" s="1"/>
  <c r="AD913" i="2"/>
  <c r="AP918" i="2"/>
  <c r="AB918" i="2"/>
  <c r="AC918" i="2"/>
  <c r="AO922" i="2"/>
  <c r="X923" i="2"/>
  <c r="AD923" i="2" s="1"/>
  <c r="AA923" i="2"/>
  <c r="AQ925" i="2"/>
  <c r="AP925" i="2"/>
  <c r="AO925" i="2" s="1"/>
  <c r="AD929" i="2"/>
  <c r="AP934" i="2"/>
  <c r="AD934" i="2"/>
  <c r="AA934" i="2"/>
  <c r="AQ935" i="2"/>
  <c r="AP935" i="2"/>
  <c r="AO935" i="2" s="1"/>
  <c r="X937" i="2"/>
  <c r="AP938" i="2"/>
  <c r="AO938" i="2" s="1"/>
  <c r="AD939" i="2"/>
  <c r="AO941" i="2"/>
  <c r="AP950" i="2"/>
  <c r="AO950" i="2" s="1"/>
  <c r="AE950" i="2"/>
  <c r="AQ951" i="2"/>
  <c r="AP951" i="2"/>
  <c r="AO951" i="2" s="1"/>
  <c r="X953" i="2"/>
  <c r="AD953" i="2" s="1"/>
  <c r="AP954" i="2"/>
  <c r="AO954" i="2" s="1"/>
  <c r="AD955" i="2"/>
  <c r="AO957" i="2"/>
  <c r="X959" i="2"/>
  <c r="AD959" i="2" s="1"/>
  <c r="AO959" i="2"/>
  <c r="AA959" i="2"/>
  <c r="AP960" i="2"/>
  <c r="AO960" i="2" s="1"/>
  <c r="AQ967" i="2"/>
  <c r="AP967" i="2"/>
  <c r="AO967" i="2" s="1"/>
  <c r="X969" i="2"/>
  <c r="AP970" i="2"/>
  <c r="AO970" i="2" s="1"/>
  <c r="AD971" i="2"/>
  <c r="AO973" i="2"/>
  <c r="X975" i="2"/>
  <c r="AD975" i="2" s="1"/>
  <c r="AO975" i="2"/>
  <c r="AA975" i="2"/>
  <c r="AP976" i="2"/>
  <c r="AO976" i="2" s="1"/>
  <c r="AQ983" i="2"/>
  <c r="AP983" i="2"/>
  <c r="AO983" i="2" s="1"/>
  <c r="X985" i="2"/>
  <c r="AD985" i="2" s="1"/>
  <c r="AP986" i="2"/>
  <c r="AO986" i="2" s="1"/>
  <c r="AD987" i="2"/>
  <c r="AO989" i="2"/>
  <c r="X991" i="2"/>
  <c r="AD991" i="2" s="1"/>
  <c r="AO991" i="2"/>
  <c r="AA991" i="2"/>
  <c r="AP992" i="2"/>
  <c r="AO992" i="2" s="1"/>
  <c r="AQ999" i="2"/>
  <c r="AP999" i="2"/>
  <c r="AO999" i="2" s="1"/>
  <c r="X1001" i="2"/>
  <c r="AP1002" i="2"/>
  <c r="AO1002" i="2" s="1"/>
  <c r="AD1003" i="2"/>
  <c r="AO1005" i="2"/>
  <c r="X1007" i="2"/>
  <c r="AD1007" i="2" s="1"/>
  <c r="AO1007" i="2"/>
  <c r="AA1007" i="2"/>
  <c r="AP1008" i="2"/>
  <c r="AO1008" i="2" s="1"/>
  <c r="AQ1015" i="2"/>
  <c r="AP1015" i="2"/>
  <c r="AO1015" i="2" s="1"/>
  <c r="X1017" i="2"/>
  <c r="AD1017" i="2" s="1"/>
  <c r="AP1018" i="2"/>
  <c r="AO1018" i="2" s="1"/>
  <c r="AD1019" i="2"/>
  <c r="AO1021" i="2"/>
  <c r="X1023" i="2"/>
  <c r="AD1023" i="2" s="1"/>
  <c r="AO1023" i="2"/>
  <c r="AA1023" i="2"/>
  <c r="AP1024" i="2"/>
  <c r="AO1024" i="2" s="1"/>
  <c r="AQ1031" i="2"/>
  <c r="AP1031" i="2"/>
  <c r="AO1031" i="2" s="1"/>
  <c r="X1033" i="2"/>
  <c r="AP1034" i="2"/>
  <c r="AO1034" i="2" s="1"/>
  <c r="AD1035" i="2"/>
  <c r="AO1037" i="2"/>
  <c r="AQ1039" i="2"/>
  <c r="AP1039" i="2"/>
  <c r="AO1039" i="2" s="1"/>
  <c r="X1041" i="2"/>
  <c r="AO1041" i="2"/>
  <c r="AD1041" i="2"/>
  <c r="AP1042" i="2"/>
  <c r="AO1042" i="2" s="1"/>
  <c r="AQ1047" i="2"/>
  <c r="AP1047" i="2"/>
  <c r="AO1047" i="2" s="1"/>
  <c r="X1049" i="2"/>
  <c r="AO1049" i="2"/>
  <c r="AC1049" i="2"/>
  <c r="AP1050" i="2"/>
  <c r="AO1050" i="2" s="1"/>
  <c r="AD1059" i="2"/>
  <c r="AD1067" i="2"/>
  <c r="AD1075" i="2"/>
  <c r="AD1083" i="2"/>
  <c r="AD1091" i="2"/>
  <c r="AQ1095" i="2"/>
  <c r="AP1095" i="2"/>
  <c r="AO1095" i="2" s="1"/>
  <c r="X1097" i="2"/>
  <c r="AD1097" i="2" s="1"/>
  <c r="AO1097" i="2"/>
  <c r="AP1098" i="2"/>
  <c r="AO1098" i="2" s="1"/>
  <c r="AC1102" i="2"/>
  <c r="AO1103" i="2"/>
  <c r="AP1105" i="2"/>
  <c r="AO1105" i="2" s="1"/>
  <c r="AP1112" i="2"/>
  <c r="AO1112" i="2" s="1"/>
  <c r="X1115" i="2"/>
  <c r="AP1120" i="2"/>
  <c r="AO1120" i="2" s="1"/>
  <c r="AO1123" i="2"/>
  <c r="X1123" i="2"/>
  <c r="Z1123" i="2"/>
  <c r="AE1123" i="2"/>
  <c r="AD1123" i="2"/>
  <c r="AA1123" i="2"/>
  <c r="X886" i="2"/>
  <c r="AP888" i="2"/>
  <c r="AO888" i="2" s="1"/>
  <c r="X889" i="2"/>
  <c r="AC889" i="2"/>
  <c r="X894" i="2"/>
  <c r="Z894" i="2" s="1"/>
  <c r="AP896" i="2"/>
  <c r="AO896" i="2" s="1"/>
  <c r="X897" i="2"/>
  <c r="AD897" i="2" s="1"/>
  <c r="X902" i="2"/>
  <c r="AB902" i="2" s="1"/>
  <c r="AC905" i="2"/>
  <c r="AP905" i="2"/>
  <c r="AO905" i="2" s="1"/>
  <c r="X910" i="2"/>
  <c r="AF910" i="2" s="1"/>
  <c r="AC913" i="2"/>
  <c r="AP913" i="2"/>
  <c r="AO913" i="2" s="1"/>
  <c r="X918" i="2"/>
  <c r="AD918" i="2" s="1"/>
  <c r="AC921" i="2"/>
  <c r="AP921" i="2"/>
  <c r="AO921" i="2" s="1"/>
  <c r="X926" i="2"/>
  <c r="AF926" i="2" s="1"/>
  <c r="AC929" i="2"/>
  <c r="AP929" i="2"/>
  <c r="AO929" i="2" s="1"/>
  <c r="X934" i="2"/>
  <c r="AB934" i="2" s="1"/>
  <c r="AC937" i="2"/>
  <c r="AP937" i="2"/>
  <c r="AO937" i="2" s="1"/>
  <c r="X942" i="2"/>
  <c r="AF942" i="2" s="1"/>
  <c r="AC945" i="2"/>
  <c r="AP945" i="2"/>
  <c r="AO945" i="2" s="1"/>
  <c r="X950" i="2"/>
  <c r="AC953" i="2"/>
  <c r="AP953" i="2"/>
  <c r="AO953" i="2" s="1"/>
  <c r="X958" i="2"/>
  <c r="AD958" i="2" s="1"/>
  <c r="AC961" i="2"/>
  <c r="AP961" i="2"/>
  <c r="AO961" i="2" s="1"/>
  <c r="X966" i="2"/>
  <c r="AC969" i="2"/>
  <c r="AP969" i="2"/>
  <c r="AO969" i="2" s="1"/>
  <c r="X974" i="2"/>
  <c r="AB974" i="2" s="1"/>
  <c r="AC977" i="2"/>
  <c r="AP977" i="2"/>
  <c r="AO977" i="2" s="1"/>
  <c r="X982" i="2"/>
  <c r="AC985" i="2"/>
  <c r="AP985" i="2"/>
  <c r="AO985" i="2" s="1"/>
  <c r="X990" i="2"/>
  <c r="AD990" i="2" s="1"/>
  <c r="AC993" i="2"/>
  <c r="AP993" i="2"/>
  <c r="AO993" i="2" s="1"/>
  <c r="X998" i="2"/>
  <c r="AC1001" i="2"/>
  <c r="AP1001" i="2"/>
  <c r="AO1001" i="2" s="1"/>
  <c r="X1006" i="2"/>
  <c r="AB1006" i="2" s="1"/>
  <c r="AC1009" i="2"/>
  <c r="AP1009" i="2"/>
  <c r="AO1009" i="2" s="1"/>
  <c r="X1014" i="2"/>
  <c r="AC1017" i="2"/>
  <c r="AP1017" i="2"/>
  <c r="AO1017" i="2" s="1"/>
  <c r="X1022" i="2"/>
  <c r="AD1022" i="2" s="1"/>
  <c r="AC1025" i="2"/>
  <c r="AP1025" i="2"/>
  <c r="AO1025" i="2" s="1"/>
  <c r="X1030" i="2"/>
  <c r="AC1033" i="2"/>
  <c r="AP1033" i="2"/>
  <c r="AO1033" i="2" s="1"/>
  <c r="X1038" i="2"/>
  <c r="AC1038" i="2" s="1"/>
  <c r="AC1041" i="2"/>
  <c r="X1046" i="2"/>
  <c r="X1054" i="2"/>
  <c r="X1062" i="2"/>
  <c r="AC1062" i="2" s="1"/>
  <c r="AC1065" i="2"/>
  <c r="X1070" i="2"/>
  <c r="AC1073" i="2"/>
  <c r="X1078" i="2"/>
  <c r="AC1078" i="2" s="1"/>
  <c r="AC1081" i="2"/>
  <c r="X1086" i="2"/>
  <c r="AC1089" i="2"/>
  <c r="X1094" i="2"/>
  <c r="X1102" i="2"/>
  <c r="AC1105" i="2"/>
  <c r="X1110" i="2"/>
  <c r="AC1110" i="2" s="1"/>
  <c r="AC1113" i="2"/>
  <c r="X1118" i="2"/>
  <c r="AC1121" i="2"/>
  <c r="X1125" i="2"/>
  <c r="AO1125" i="2"/>
  <c r="X1135" i="2"/>
  <c r="AD1135" i="2"/>
  <c r="AA1135" i="2"/>
  <c r="X1137" i="2"/>
  <c r="AD1137" i="2" s="1"/>
  <c r="AF859" i="2"/>
  <c r="AB859" i="2"/>
  <c r="Z859" i="2"/>
  <c r="AE859" i="2"/>
  <c r="X860" i="2"/>
  <c r="AF860" i="2" s="1"/>
  <c r="AF867" i="2"/>
  <c r="AB867" i="2"/>
  <c r="Z867" i="2"/>
  <c r="AE867" i="2"/>
  <c r="X868" i="2"/>
  <c r="AD868" i="2" s="1"/>
  <c r="AF875" i="2"/>
  <c r="AB875" i="2"/>
  <c r="Z875" i="2"/>
  <c r="AE875" i="2"/>
  <c r="X876" i="2"/>
  <c r="AF876" i="2" s="1"/>
  <c r="AF883" i="2"/>
  <c r="AB883" i="2"/>
  <c r="Z883" i="2"/>
  <c r="AE883" i="2"/>
  <c r="X884" i="2"/>
  <c r="AP887" i="2"/>
  <c r="AO887" i="2" s="1"/>
  <c r="AF891" i="2"/>
  <c r="AB891" i="2"/>
  <c r="Z891" i="2"/>
  <c r="AE891" i="2"/>
  <c r="X892" i="2"/>
  <c r="AC892" i="2" s="1"/>
  <c r="AP895" i="2"/>
  <c r="AO895" i="2" s="1"/>
  <c r="AF899" i="2"/>
  <c r="AB899" i="2"/>
  <c r="Z899" i="2"/>
  <c r="AE899" i="2"/>
  <c r="X900" i="2"/>
  <c r="AC900" i="2" s="1"/>
  <c r="AF907" i="2"/>
  <c r="AB907" i="2"/>
  <c r="Z907" i="2"/>
  <c r="AE907" i="2"/>
  <c r="X908" i="2"/>
  <c r="AF915" i="2"/>
  <c r="AB915" i="2"/>
  <c r="Z915" i="2"/>
  <c r="AE915" i="2"/>
  <c r="X916" i="2"/>
  <c r="AB916" i="2" s="1"/>
  <c r="AF923" i="2"/>
  <c r="AB923" i="2"/>
  <c r="Z923" i="2"/>
  <c r="AE923" i="2"/>
  <c r="X924" i="2"/>
  <c r="AC924" i="2" s="1"/>
  <c r="AF931" i="2"/>
  <c r="AB931" i="2"/>
  <c r="Z931" i="2"/>
  <c r="AE931" i="2"/>
  <c r="X932" i="2"/>
  <c r="AB932" i="2" s="1"/>
  <c r="AF939" i="2"/>
  <c r="AB939" i="2"/>
  <c r="Z939" i="2"/>
  <c r="AE939" i="2"/>
  <c r="X940" i="2"/>
  <c r="AC940" i="2" s="1"/>
  <c r="X948" i="2"/>
  <c r="AF955" i="2"/>
  <c r="AB955" i="2"/>
  <c r="Z955" i="2"/>
  <c r="AE955" i="2"/>
  <c r="X956" i="2"/>
  <c r="AF963" i="2"/>
  <c r="AB963" i="2"/>
  <c r="Z963" i="2"/>
  <c r="AE963" i="2"/>
  <c r="X964" i="2"/>
  <c r="AF971" i="2"/>
  <c r="AB971" i="2"/>
  <c r="Z971" i="2"/>
  <c r="AE971" i="2"/>
  <c r="X972" i="2"/>
  <c r="AF979" i="2"/>
  <c r="AB979" i="2"/>
  <c r="Z979" i="2"/>
  <c r="AE979" i="2"/>
  <c r="X980" i="2"/>
  <c r="AF987" i="2"/>
  <c r="AB987" i="2"/>
  <c r="Z987" i="2"/>
  <c r="AE987" i="2"/>
  <c r="X988" i="2"/>
  <c r="AF995" i="2"/>
  <c r="AB995" i="2"/>
  <c r="Z995" i="2"/>
  <c r="AE995" i="2"/>
  <c r="X996" i="2"/>
  <c r="AF1003" i="2"/>
  <c r="AB1003" i="2"/>
  <c r="Z1003" i="2"/>
  <c r="AE1003" i="2"/>
  <c r="X1004" i="2"/>
  <c r="AF1011" i="2"/>
  <c r="AB1011" i="2"/>
  <c r="Z1011" i="2"/>
  <c r="AE1011" i="2"/>
  <c r="X1012" i="2"/>
  <c r="AF1019" i="2"/>
  <c r="AB1019" i="2"/>
  <c r="Z1019" i="2"/>
  <c r="AE1019" i="2"/>
  <c r="X1020" i="2"/>
  <c r="AF1027" i="2"/>
  <c r="AB1027" i="2"/>
  <c r="Z1027" i="2"/>
  <c r="AE1027" i="2"/>
  <c r="X1028" i="2"/>
  <c r="AF1035" i="2"/>
  <c r="AB1035" i="2"/>
  <c r="Z1035" i="2"/>
  <c r="AE1035" i="2"/>
  <c r="X1036" i="2"/>
  <c r="AP1038" i="2"/>
  <c r="X1039" i="2"/>
  <c r="AC1039" i="2"/>
  <c r="AF1043" i="2"/>
  <c r="AB1043" i="2"/>
  <c r="Z1043" i="2"/>
  <c r="AE1043" i="2"/>
  <c r="X1044" i="2"/>
  <c r="AC1044" i="2"/>
  <c r="AP1046" i="2"/>
  <c r="AD1046" i="2"/>
  <c r="Z1046" i="2"/>
  <c r="AE1046" i="2"/>
  <c r="X1047" i="2"/>
  <c r="AA1047" i="2" s="1"/>
  <c r="AC1047" i="2"/>
  <c r="AF1051" i="2"/>
  <c r="AB1051" i="2"/>
  <c r="Z1051" i="2"/>
  <c r="AE1051" i="2"/>
  <c r="X1052" i="2"/>
  <c r="AB1052" i="2" s="1"/>
  <c r="AC1052" i="2"/>
  <c r="AP1054" i="2"/>
  <c r="AD1054" i="2"/>
  <c r="Z1054" i="2"/>
  <c r="AE1054" i="2"/>
  <c r="X1055" i="2"/>
  <c r="AA1055" i="2" s="1"/>
  <c r="AC1055" i="2"/>
  <c r="AF1059" i="2"/>
  <c r="AB1059" i="2"/>
  <c r="Z1059" i="2"/>
  <c r="AE1059" i="2"/>
  <c r="X1060" i="2"/>
  <c r="AC1060" i="2"/>
  <c r="AP1062" i="2"/>
  <c r="AD1062" i="2"/>
  <c r="Z1062" i="2"/>
  <c r="AE1062" i="2"/>
  <c r="X1063" i="2"/>
  <c r="AA1063" i="2" s="1"/>
  <c r="AC1063" i="2"/>
  <c r="AF1067" i="2"/>
  <c r="AB1067" i="2"/>
  <c r="Z1067" i="2"/>
  <c r="AE1067" i="2"/>
  <c r="X1068" i="2"/>
  <c r="AB1068" i="2" s="1"/>
  <c r="AC1068" i="2"/>
  <c r="AP1070" i="2"/>
  <c r="AD1070" i="2"/>
  <c r="Z1070" i="2"/>
  <c r="AE1070" i="2"/>
  <c r="X1071" i="2"/>
  <c r="AC1071" i="2"/>
  <c r="AF1075" i="2"/>
  <c r="AB1075" i="2"/>
  <c r="Z1075" i="2"/>
  <c r="AE1075" i="2"/>
  <c r="X1076" i="2"/>
  <c r="AC1076" i="2"/>
  <c r="AP1078" i="2"/>
  <c r="AD1078" i="2"/>
  <c r="Z1078" i="2"/>
  <c r="AE1078" i="2"/>
  <c r="X1079" i="2"/>
  <c r="AC1079" i="2"/>
  <c r="AF1083" i="2"/>
  <c r="AB1083" i="2"/>
  <c r="Z1083" i="2"/>
  <c r="AE1083" i="2"/>
  <c r="X1084" i="2"/>
  <c r="AB1084" i="2" s="1"/>
  <c r="AC1084" i="2"/>
  <c r="AP1086" i="2"/>
  <c r="AD1086" i="2"/>
  <c r="Z1086" i="2"/>
  <c r="X1087" i="2"/>
  <c r="AC1087" i="2"/>
  <c r="AF1091" i="2"/>
  <c r="AB1091" i="2"/>
  <c r="Z1091" i="2"/>
  <c r="AE1091" i="2"/>
  <c r="X1092" i="2"/>
  <c r="AC1092" i="2" s="1"/>
  <c r="AP1094" i="2"/>
  <c r="AD1094" i="2"/>
  <c r="Z1094" i="2"/>
  <c r="AE1094" i="2"/>
  <c r="X1095" i="2"/>
  <c r="AA1095" i="2" s="1"/>
  <c r="AF1099" i="2"/>
  <c r="AB1099" i="2"/>
  <c r="Z1099" i="2"/>
  <c r="AE1099" i="2"/>
  <c r="X1100" i="2"/>
  <c r="AP1102" i="2"/>
  <c r="AD1102" i="2"/>
  <c r="Z1102" i="2"/>
  <c r="AE1102" i="2"/>
  <c r="X1103" i="2"/>
  <c r="AC1103" i="2" s="1"/>
  <c r="AF1107" i="2"/>
  <c r="AB1107" i="2"/>
  <c r="Z1107" i="2"/>
  <c r="AE1107" i="2"/>
  <c r="X1108" i="2"/>
  <c r="AB1108" i="2" s="1"/>
  <c r="AP1110" i="2"/>
  <c r="AD1110" i="2"/>
  <c r="Z1110" i="2"/>
  <c r="AE1110" i="2"/>
  <c r="X1111" i="2"/>
  <c r="AA1111" i="2" s="1"/>
  <c r="AF1115" i="2"/>
  <c r="AB1115" i="2"/>
  <c r="Z1115" i="2"/>
  <c r="AE1115" i="2"/>
  <c r="X1116" i="2"/>
  <c r="AC1116" i="2" s="1"/>
  <c r="AP1118" i="2"/>
  <c r="AD1118" i="2"/>
  <c r="Z1118" i="2"/>
  <c r="AE1118" i="2"/>
  <c r="X1119" i="2"/>
  <c r="AC1119" i="2" s="1"/>
  <c r="AP1128" i="2"/>
  <c r="AO1128" i="2" s="1"/>
  <c r="AE1137" i="2"/>
  <c r="AP884" i="2"/>
  <c r="AO884" i="2" s="1"/>
  <c r="AD884" i="2"/>
  <c r="Z884" i="2"/>
  <c r="AE884" i="2"/>
  <c r="X885" i="2"/>
  <c r="AE885" i="2" s="1"/>
  <c r="AC885" i="2"/>
  <c r="AP885" i="2"/>
  <c r="AO885" i="2" s="1"/>
  <c r="AF889" i="2"/>
  <c r="AB889" i="2"/>
  <c r="Z889" i="2"/>
  <c r="AE889" i="2"/>
  <c r="X890" i="2"/>
  <c r="AE890" i="2" s="1"/>
  <c r="AP892" i="2"/>
  <c r="AO892" i="2" s="1"/>
  <c r="AD892" i="2"/>
  <c r="Z892" i="2"/>
  <c r="AE892" i="2"/>
  <c r="X893" i="2"/>
  <c r="AB893" i="2" s="1"/>
  <c r="AP893" i="2"/>
  <c r="AO893" i="2" s="1"/>
  <c r="AF897" i="2"/>
  <c r="AB897" i="2"/>
  <c r="Z897" i="2"/>
  <c r="AE897" i="2"/>
  <c r="X898" i="2"/>
  <c r="AP900" i="2"/>
  <c r="AO900" i="2" s="1"/>
  <c r="AD900" i="2"/>
  <c r="Z900" i="2"/>
  <c r="X901" i="2"/>
  <c r="Z901" i="2" s="1"/>
  <c r="AF905" i="2"/>
  <c r="AB905" i="2"/>
  <c r="Z905" i="2"/>
  <c r="AE905" i="2"/>
  <c r="X906" i="2"/>
  <c r="AE906" i="2" s="1"/>
  <c r="AP908" i="2"/>
  <c r="AO908" i="2" s="1"/>
  <c r="AD908" i="2"/>
  <c r="Z908" i="2"/>
  <c r="AE908" i="2"/>
  <c r="X909" i="2"/>
  <c r="AE909" i="2" s="1"/>
  <c r="AF913" i="2"/>
  <c r="AB913" i="2"/>
  <c r="Z913" i="2"/>
  <c r="AE913" i="2"/>
  <c r="X914" i="2"/>
  <c r="AE914" i="2" s="1"/>
  <c r="AP916" i="2"/>
  <c r="AO916" i="2" s="1"/>
  <c r="Z916" i="2"/>
  <c r="AE916" i="2"/>
  <c r="X917" i="2"/>
  <c r="AF917" i="2" s="1"/>
  <c r="AC917" i="2"/>
  <c r="AF921" i="2"/>
  <c r="AB921" i="2"/>
  <c r="Z921" i="2"/>
  <c r="AE921" i="2"/>
  <c r="X922" i="2"/>
  <c r="AC922" i="2" s="1"/>
  <c r="AP924" i="2"/>
  <c r="AO924" i="2" s="1"/>
  <c r="AD924" i="2"/>
  <c r="AE924" i="2"/>
  <c r="X925" i="2"/>
  <c r="AF929" i="2"/>
  <c r="AB929" i="2"/>
  <c r="Z929" i="2"/>
  <c r="AE929" i="2"/>
  <c r="X930" i="2"/>
  <c r="AP932" i="2"/>
  <c r="AO932" i="2" s="1"/>
  <c r="AD932" i="2"/>
  <c r="Z932" i="2"/>
  <c r="X933" i="2"/>
  <c r="Z933" i="2" s="1"/>
  <c r="AF937" i="2"/>
  <c r="AB937" i="2"/>
  <c r="Z937" i="2"/>
  <c r="AE937" i="2"/>
  <c r="X938" i="2"/>
  <c r="AD938" i="2" s="1"/>
  <c r="AP940" i="2"/>
  <c r="AO940" i="2" s="1"/>
  <c r="AD940" i="2"/>
  <c r="Z940" i="2"/>
  <c r="AE940" i="2"/>
  <c r="X941" i="2"/>
  <c r="AE941" i="2" s="1"/>
  <c r="AF945" i="2"/>
  <c r="AB945" i="2"/>
  <c r="Z945" i="2"/>
  <c r="AE945" i="2"/>
  <c r="X946" i="2"/>
  <c r="AF946" i="2" s="1"/>
  <c r="AP948" i="2"/>
  <c r="AO948" i="2" s="1"/>
  <c r="AD948" i="2"/>
  <c r="Z948" i="2"/>
  <c r="AE948" i="2"/>
  <c r="X949" i="2"/>
  <c r="AF949" i="2" s="1"/>
  <c r="AF953" i="2"/>
  <c r="AB953" i="2"/>
  <c r="Z953" i="2"/>
  <c r="AE953" i="2"/>
  <c r="X954" i="2"/>
  <c r="AD954" i="2" s="1"/>
  <c r="AP956" i="2"/>
  <c r="AO956" i="2" s="1"/>
  <c r="AD956" i="2"/>
  <c r="Z956" i="2"/>
  <c r="AE956" i="2"/>
  <c r="X957" i="2"/>
  <c r="AB957" i="2" s="1"/>
  <c r="AC957" i="2"/>
  <c r="AF961" i="2"/>
  <c r="AB961" i="2"/>
  <c r="Z961" i="2"/>
  <c r="AE961" i="2"/>
  <c r="X962" i="2"/>
  <c r="AD962" i="2" s="1"/>
  <c r="AP964" i="2"/>
  <c r="AO964" i="2" s="1"/>
  <c r="AD964" i="2"/>
  <c r="Z964" i="2"/>
  <c r="AE964" i="2"/>
  <c r="X965" i="2"/>
  <c r="AF969" i="2"/>
  <c r="AB969" i="2"/>
  <c r="Z969" i="2"/>
  <c r="AE969" i="2"/>
  <c r="X970" i="2"/>
  <c r="AP972" i="2"/>
  <c r="AO972" i="2" s="1"/>
  <c r="AD972" i="2"/>
  <c r="Z972" i="2"/>
  <c r="AE972" i="2"/>
  <c r="X973" i="2"/>
  <c r="AE973" i="2" s="1"/>
  <c r="AF977" i="2"/>
  <c r="AB977" i="2"/>
  <c r="Z977" i="2"/>
  <c r="AE977" i="2"/>
  <c r="X978" i="2"/>
  <c r="AE978" i="2" s="1"/>
  <c r="AP980" i="2"/>
  <c r="AO980" i="2" s="1"/>
  <c r="AD980" i="2"/>
  <c r="Z980" i="2"/>
  <c r="AE980" i="2"/>
  <c r="X981" i="2"/>
  <c r="AF981" i="2" s="1"/>
  <c r="AF985" i="2"/>
  <c r="AB985" i="2"/>
  <c r="Z985" i="2"/>
  <c r="AE985" i="2"/>
  <c r="X986" i="2"/>
  <c r="AD986" i="2" s="1"/>
  <c r="AP988" i="2"/>
  <c r="AO988" i="2" s="1"/>
  <c r="AD988" i="2"/>
  <c r="Z988" i="2"/>
  <c r="AE988" i="2"/>
  <c r="X989" i="2"/>
  <c r="AB989" i="2" s="1"/>
  <c r="AC989" i="2"/>
  <c r="AF993" i="2"/>
  <c r="AB993" i="2"/>
  <c r="Z993" i="2"/>
  <c r="AE993" i="2"/>
  <c r="X994" i="2"/>
  <c r="AD994" i="2" s="1"/>
  <c r="AP996" i="2"/>
  <c r="AO996" i="2" s="1"/>
  <c r="AD996" i="2"/>
  <c r="Z996" i="2"/>
  <c r="AE996" i="2"/>
  <c r="X997" i="2"/>
  <c r="AF1001" i="2"/>
  <c r="AB1001" i="2"/>
  <c r="Z1001" i="2"/>
  <c r="AE1001" i="2"/>
  <c r="X1002" i="2"/>
  <c r="AP1004" i="2"/>
  <c r="AO1004" i="2" s="1"/>
  <c r="AD1004" i="2"/>
  <c r="Z1004" i="2"/>
  <c r="AE1004" i="2"/>
  <c r="X1005" i="2"/>
  <c r="AE1005" i="2" s="1"/>
  <c r="AF1009" i="2"/>
  <c r="AB1009" i="2"/>
  <c r="Z1009" i="2"/>
  <c r="AE1009" i="2"/>
  <c r="X1010" i="2"/>
  <c r="AE1010" i="2" s="1"/>
  <c r="AP1012" i="2"/>
  <c r="AO1012" i="2" s="1"/>
  <c r="AD1012" i="2"/>
  <c r="Z1012" i="2"/>
  <c r="AE1012" i="2"/>
  <c r="X1013" i="2"/>
  <c r="AF1013" i="2" s="1"/>
  <c r="AF1017" i="2"/>
  <c r="AB1017" i="2"/>
  <c r="Z1017" i="2"/>
  <c r="AE1017" i="2"/>
  <c r="X1018" i="2"/>
  <c r="AD1018" i="2" s="1"/>
  <c r="AP1020" i="2"/>
  <c r="AO1020" i="2" s="1"/>
  <c r="AD1020" i="2"/>
  <c r="Z1020" i="2"/>
  <c r="AE1020" i="2"/>
  <c r="X1021" i="2"/>
  <c r="AB1021" i="2" s="1"/>
  <c r="AC1021" i="2"/>
  <c r="AF1025" i="2"/>
  <c r="AB1025" i="2"/>
  <c r="Z1025" i="2"/>
  <c r="AE1025" i="2"/>
  <c r="X1026" i="2"/>
  <c r="AD1026" i="2" s="1"/>
  <c r="AP1028" i="2"/>
  <c r="AO1028" i="2" s="1"/>
  <c r="AD1028" i="2"/>
  <c r="Z1028" i="2"/>
  <c r="AE1028" i="2"/>
  <c r="X1029" i="2"/>
  <c r="AF1033" i="2"/>
  <c r="AB1033" i="2"/>
  <c r="Z1033" i="2"/>
  <c r="AE1033" i="2"/>
  <c r="X1034" i="2"/>
  <c r="AP1036" i="2"/>
  <c r="AO1036" i="2" s="1"/>
  <c r="AD1036" i="2"/>
  <c r="Z1036" i="2"/>
  <c r="AE1036" i="2"/>
  <c r="X1037" i="2"/>
  <c r="AE1037" i="2" s="1"/>
  <c r="AA1038" i="2"/>
  <c r="AF1038" i="2"/>
  <c r="AD1039" i="2"/>
  <c r="AF1041" i="2"/>
  <c r="AB1041" i="2"/>
  <c r="Z1041" i="2"/>
  <c r="AE1041" i="2"/>
  <c r="X1042" i="2"/>
  <c r="AE1042" i="2" s="1"/>
  <c r="AA1043" i="2"/>
  <c r="AP1044" i="2"/>
  <c r="AO1044" i="2" s="1"/>
  <c r="AD1044" i="2"/>
  <c r="Z1044" i="2"/>
  <c r="AE1044" i="2"/>
  <c r="X1045" i="2"/>
  <c r="AB1045" i="2" s="1"/>
  <c r="AP1045" i="2"/>
  <c r="AO1045" i="2" s="1"/>
  <c r="AA1046" i="2"/>
  <c r="AF1046" i="2"/>
  <c r="AD1047" i="2"/>
  <c r="AF1049" i="2"/>
  <c r="AB1049" i="2"/>
  <c r="Z1049" i="2"/>
  <c r="AE1049" i="2"/>
  <c r="X1050" i="2"/>
  <c r="AE1050" i="2" s="1"/>
  <c r="AA1051" i="2"/>
  <c r="AP1052" i="2"/>
  <c r="AO1052" i="2" s="1"/>
  <c r="AD1052" i="2"/>
  <c r="Z1052" i="2"/>
  <c r="AE1052" i="2"/>
  <c r="X1053" i="2"/>
  <c r="AB1053" i="2" s="1"/>
  <c r="AP1053" i="2"/>
  <c r="AO1053" i="2" s="1"/>
  <c r="AA1054" i="2"/>
  <c r="AF1054" i="2"/>
  <c r="AD1055" i="2"/>
  <c r="AF1057" i="2"/>
  <c r="AB1057" i="2"/>
  <c r="Z1057" i="2"/>
  <c r="AE1057" i="2"/>
  <c r="X1058" i="2"/>
  <c r="AE1058" i="2" s="1"/>
  <c r="AA1059" i="2"/>
  <c r="AP1060" i="2"/>
  <c r="AO1060" i="2" s="1"/>
  <c r="AD1060" i="2"/>
  <c r="Z1060" i="2"/>
  <c r="AE1060" i="2"/>
  <c r="X1061" i="2"/>
  <c r="AB1061" i="2" s="1"/>
  <c r="AP1061" i="2"/>
  <c r="AO1061" i="2" s="1"/>
  <c r="AA1062" i="2"/>
  <c r="AF1062" i="2"/>
  <c r="AD1063" i="2"/>
  <c r="AF1065" i="2"/>
  <c r="AB1065" i="2"/>
  <c r="Z1065" i="2"/>
  <c r="AE1065" i="2"/>
  <c r="X1066" i="2"/>
  <c r="AC1066" i="2" s="1"/>
  <c r="AA1067" i="2"/>
  <c r="AP1068" i="2"/>
  <c r="AO1068" i="2" s="1"/>
  <c r="AD1068" i="2"/>
  <c r="Z1068" i="2"/>
  <c r="AE1068" i="2"/>
  <c r="X1069" i="2"/>
  <c r="AF1069" i="2" s="1"/>
  <c r="AP1069" i="2"/>
  <c r="AO1069" i="2" s="1"/>
  <c r="AA1070" i="2"/>
  <c r="AF1070" i="2"/>
  <c r="AD1071" i="2"/>
  <c r="AF1073" i="2"/>
  <c r="AB1073" i="2"/>
  <c r="Z1073" i="2"/>
  <c r="AE1073" i="2"/>
  <c r="X1074" i="2"/>
  <c r="AD1074" i="2" s="1"/>
  <c r="AA1075" i="2"/>
  <c r="AP1076" i="2"/>
  <c r="AO1076" i="2" s="1"/>
  <c r="AD1076" i="2"/>
  <c r="Z1076" i="2"/>
  <c r="AE1076" i="2"/>
  <c r="X1077" i="2"/>
  <c r="AE1077" i="2" s="1"/>
  <c r="AP1077" i="2"/>
  <c r="AO1077" i="2" s="1"/>
  <c r="AA1078" i="2"/>
  <c r="AF1078" i="2"/>
  <c r="AD1079" i="2"/>
  <c r="AF1081" i="2"/>
  <c r="AB1081" i="2"/>
  <c r="Z1081" i="2"/>
  <c r="AE1081" i="2"/>
  <c r="X1082" i="2"/>
  <c r="Z1082" i="2" s="1"/>
  <c r="AA1083" i="2"/>
  <c r="AP1084" i="2"/>
  <c r="AO1084" i="2" s="1"/>
  <c r="AD1084" i="2"/>
  <c r="Z1084" i="2"/>
  <c r="AE1084" i="2"/>
  <c r="X1085" i="2"/>
  <c r="Z1085" i="2" s="1"/>
  <c r="AP1085" i="2"/>
  <c r="AO1085" i="2" s="1"/>
  <c r="AA1086" i="2"/>
  <c r="AF1086" i="2"/>
  <c r="AD1087" i="2"/>
  <c r="AF1089" i="2"/>
  <c r="AB1089" i="2"/>
  <c r="Z1089" i="2"/>
  <c r="AE1089" i="2"/>
  <c r="X1090" i="2"/>
  <c r="AE1090" i="2" s="1"/>
  <c r="AA1091" i="2"/>
  <c r="AP1092" i="2"/>
  <c r="AO1092" i="2" s="1"/>
  <c r="AD1092" i="2"/>
  <c r="Z1092" i="2"/>
  <c r="AE1092" i="2"/>
  <c r="X1093" i="2"/>
  <c r="AB1093" i="2" s="1"/>
  <c r="AP1093" i="2"/>
  <c r="AO1093" i="2" s="1"/>
  <c r="AA1094" i="2"/>
  <c r="AF1094" i="2"/>
  <c r="AD1095" i="2"/>
  <c r="AF1097" i="2"/>
  <c r="AB1097" i="2"/>
  <c r="Z1097" i="2"/>
  <c r="AE1097" i="2"/>
  <c r="X1098" i="2"/>
  <c r="AD1098" i="2" s="1"/>
  <c r="AA1099" i="2"/>
  <c r="AP1100" i="2"/>
  <c r="AO1100" i="2" s="1"/>
  <c r="AD1100" i="2"/>
  <c r="Z1100" i="2"/>
  <c r="AE1100" i="2"/>
  <c r="X1101" i="2"/>
  <c r="AE1101" i="2" s="1"/>
  <c r="AA1102" i="2"/>
  <c r="AF1102" i="2"/>
  <c r="AD1103" i="2"/>
  <c r="AF1105" i="2"/>
  <c r="AB1105" i="2"/>
  <c r="Z1105" i="2"/>
  <c r="AE1105" i="2"/>
  <c r="X1106" i="2"/>
  <c r="Z1106" i="2" s="1"/>
  <c r="AP1108" i="2"/>
  <c r="AO1108" i="2" s="1"/>
  <c r="AD1108" i="2"/>
  <c r="Z1108" i="2"/>
  <c r="AE1108" i="2"/>
  <c r="X1109" i="2"/>
  <c r="AA1110" i="2"/>
  <c r="AF1110" i="2"/>
  <c r="AD1111" i="2"/>
  <c r="AF1113" i="2"/>
  <c r="AB1113" i="2"/>
  <c r="Z1113" i="2"/>
  <c r="AE1113" i="2"/>
  <c r="X1114" i="2"/>
  <c r="AC1114" i="2" s="1"/>
  <c r="AA1115" i="2"/>
  <c r="AP1116" i="2"/>
  <c r="AO1116" i="2" s="1"/>
  <c r="AD1116" i="2"/>
  <c r="Z1116" i="2"/>
  <c r="AE1116" i="2"/>
  <c r="X1117" i="2"/>
  <c r="AB1117" i="2" s="1"/>
  <c r="AP1117" i="2"/>
  <c r="AO1117" i="2" s="1"/>
  <c r="AA1118" i="2"/>
  <c r="AF1118" i="2"/>
  <c r="AD1119" i="2"/>
  <c r="AF1121" i="2"/>
  <c r="AB1121" i="2"/>
  <c r="Z1121" i="2"/>
  <c r="AE1121" i="2"/>
  <c r="X1122" i="2"/>
  <c r="AA1122" i="2" s="1"/>
  <c r="AP1124" i="2"/>
  <c r="AO1124" i="2" s="1"/>
  <c r="X1124" i="2"/>
  <c r="AC1124" i="2" s="1"/>
  <c r="AP1126" i="2"/>
  <c r="AO1126" i="2" s="1"/>
  <c r="X1127" i="2"/>
  <c r="AD1127" i="2" s="1"/>
  <c r="X1129" i="2"/>
  <c r="AA1129" i="2"/>
  <c r="AF847" i="2"/>
  <c r="AB847" i="2"/>
  <c r="Z847" i="2"/>
  <c r="AE847" i="2"/>
  <c r="X848" i="2"/>
  <c r="AF848" i="2" s="1"/>
  <c r="AF855" i="2"/>
  <c r="AB855" i="2"/>
  <c r="Z855" i="2"/>
  <c r="AE855" i="2"/>
  <c r="X856" i="2"/>
  <c r="AC859" i="2"/>
  <c r="AP859" i="2"/>
  <c r="AO859" i="2" s="1"/>
  <c r="AF863" i="2"/>
  <c r="AB863" i="2"/>
  <c r="Z863" i="2"/>
  <c r="AE863" i="2"/>
  <c r="X864" i="2"/>
  <c r="Z864" i="2" s="1"/>
  <c r="AC867" i="2"/>
  <c r="AP867" i="2"/>
  <c r="AO867" i="2" s="1"/>
  <c r="AF871" i="2"/>
  <c r="AB871" i="2"/>
  <c r="Z871" i="2"/>
  <c r="AE871" i="2"/>
  <c r="X872" i="2"/>
  <c r="Z872" i="2" s="1"/>
  <c r="AC875" i="2"/>
  <c r="AP875" i="2"/>
  <c r="AO875" i="2" s="1"/>
  <c r="AF879" i="2"/>
  <c r="AB879" i="2"/>
  <c r="Z879" i="2"/>
  <c r="AE879" i="2"/>
  <c r="X880" i="2"/>
  <c r="AD880" i="2" s="1"/>
  <c r="AC883" i="2"/>
  <c r="AP883" i="2"/>
  <c r="AO883" i="2" s="1"/>
  <c r="AA884" i="2"/>
  <c r="AF884" i="2"/>
  <c r="AD885" i="2"/>
  <c r="AO886" i="2"/>
  <c r="AF887" i="2"/>
  <c r="AB887" i="2"/>
  <c r="Z887" i="2"/>
  <c r="AE887" i="2"/>
  <c r="X888" i="2"/>
  <c r="AA889" i="2"/>
  <c r="AO889" i="2"/>
  <c r="AC891" i="2"/>
  <c r="AP891" i="2"/>
  <c r="AO891" i="2" s="1"/>
  <c r="AA892" i="2"/>
  <c r="AF892" i="2"/>
  <c r="AD893" i="2"/>
  <c r="AO894" i="2"/>
  <c r="AF895" i="2"/>
  <c r="AB895" i="2"/>
  <c r="Z895" i="2"/>
  <c r="AE895" i="2"/>
  <c r="X896" i="2"/>
  <c r="AA897" i="2"/>
  <c r="AO897" i="2"/>
  <c r="AC899" i="2"/>
  <c r="AP899" i="2"/>
  <c r="AO899" i="2" s="1"/>
  <c r="AA900" i="2"/>
  <c r="AF900" i="2"/>
  <c r="AD901" i="2"/>
  <c r="AO902" i="2"/>
  <c r="AF903" i="2"/>
  <c r="AB903" i="2"/>
  <c r="Z903" i="2"/>
  <c r="AE903" i="2"/>
  <c r="X904" i="2"/>
  <c r="AA905" i="2"/>
  <c r="AC907" i="2"/>
  <c r="AP907" i="2"/>
  <c r="AO907" i="2" s="1"/>
  <c r="AA908" i="2"/>
  <c r="AF908" i="2"/>
  <c r="AD909" i="2"/>
  <c r="AO910" i="2"/>
  <c r="AF911" i="2"/>
  <c r="AB911" i="2"/>
  <c r="Z911" i="2"/>
  <c r="AE911" i="2"/>
  <c r="X912" i="2"/>
  <c r="AC912" i="2" s="1"/>
  <c r="AA913" i="2"/>
  <c r="AC915" i="2"/>
  <c r="AP915" i="2"/>
  <c r="AO915" i="2" s="1"/>
  <c r="AA916" i="2"/>
  <c r="AF916" i="2"/>
  <c r="AD917" i="2"/>
  <c r="AO918" i="2"/>
  <c r="AF919" i="2"/>
  <c r="AB919" i="2"/>
  <c r="Z919" i="2"/>
  <c r="AE919" i="2"/>
  <c r="X920" i="2"/>
  <c r="AA921" i="2"/>
  <c r="AC923" i="2"/>
  <c r="AP923" i="2"/>
  <c r="AO923" i="2" s="1"/>
  <c r="AA924" i="2"/>
  <c r="AF924" i="2"/>
  <c r="AD925" i="2"/>
  <c r="AO926" i="2"/>
  <c r="AF927" i="2"/>
  <c r="AB927" i="2"/>
  <c r="Z927" i="2"/>
  <c r="AE927" i="2"/>
  <c r="X928" i="2"/>
  <c r="AC928" i="2" s="1"/>
  <c r="AA929" i="2"/>
  <c r="AC931" i="2"/>
  <c r="AP931" i="2"/>
  <c r="AO931" i="2" s="1"/>
  <c r="AA932" i="2"/>
  <c r="AF932" i="2"/>
  <c r="AD933" i="2"/>
  <c r="AO934" i="2"/>
  <c r="AF935" i="2"/>
  <c r="AB935" i="2"/>
  <c r="Z935" i="2"/>
  <c r="AE935" i="2"/>
  <c r="X936" i="2"/>
  <c r="AA937" i="2"/>
  <c r="AC939" i="2"/>
  <c r="AP939" i="2"/>
  <c r="AO939" i="2" s="1"/>
  <c r="AA940" i="2"/>
  <c r="AF940" i="2"/>
  <c r="AD941" i="2"/>
  <c r="AO942" i="2"/>
  <c r="AF943" i="2"/>
  <c r="AB943" i="2"/>
  <c r="Z943" i="2"/>
  <c r="AE943" i="2"/>
  <c r="X944" i="2"/>
  <c r="AD944" i="2" s="1"/>
  <c r="AA945" i="2"/>
  <c r="AP946" i="2"/>
  <c r="AO946" i="2" s="1"/>
  <c r="AD946" i="2"/>
  <c r="Z946" i="2"/>
  <c r="AE946" i="2"/>
  <c r="X947" i="2"/>
  <c r="AB947" i="2" s="1"/>
  <c r="AP947" i="2"/>
  <c r="AO947" i="2" s="1"/>
  <c r="AA948" i="2"/>
  <c r="AF948" i="2"/>
  <c r="AD949" i="2"/>
  <c r="AF951" i="2"/>
  <c r="AB951" i="2"/>
  <c r="Z951" i="2"/>
  <c r="AE951" i="2"/>
  <c r="X952" i="2"/>
  <c r="AB952" i="2" s="1"/>
  <c r="AA953" i="2"/>
  <c r="AC955" i="2"/>
  <c r="AP955" i="2"/>
  <c r="AO955" i="2" s="1"/>
  <c r="AA956" i="2"/>
  <c r="AF956" i="2"/>
  <c r="AD957" i="2"/>
  <c r="AO958" i="2"/>
  <c r="AF959" i="2"/>
  <c r="AB959" i="2"/>
  <c r="Z959" i="2"/>
  <c r="AE959" i="2"/>
  <c r="X960" i="2"/>
  <c r="AA961" i="2"/>
  <c r="AC963" i="2"/>
  <c r="AP963" i="2"/>
  <c r="AO963" i="2" s="1"/>
  <c r="AA964" i="2"/>
  <c r="AF964" i="2"/>
  <c r="AD965" i="2"/>
  <c r="AO966" i="2"/>
  <c r="AF967" i="2"/>
  <c r="AB967" i="2"/>
  <c r="Z967" i="2"/>
  <c r="AE967" i="2"/>
  <c r="X968" i="2"/>
  <c r="AB968" i="2" s="1"/>
  <c r="AA969" i="2"/>
  <c r="AC971" i="2"/>
  <c r="AP971" i="2"/>
  <c r="AO971" i="2" s="1"/>
  <c r="AA972" i="2"/>
  <c r="AF972" i="2"/>
  <c r="AD973" i="2"/>
  <c r="AO974" i="2"/>
  <c r="AF975" i="2"/>
  <c r="AB975" i="2"/>
  <c r="Z975" i="2"/>
  <c r="AE975" i="2"/>
  <c r="X976" i="2"/>
  <c r="AA977" i="2"/>
  <c r="AC979" i="2"/>
  <c r="AP979" i="2"/>
  <c r="AO979" i="2" s="1"/>
  <c r="AA980" i="2"/>
  <c r="AF980" i="2"/>
  <c r="AD981" i="2"/>
  <c r="AO982" i="2"/>
  <c r="AF983" i="2"/>
  <c r="AB983" i="2"/>
  <c r="Z983" i="2"/>
  <c r="AE983" i="2"/>
  <c r="X984" i="2"/>
  <c r="AB984" i="2" s="1"/>
  <c r="AA985" i="2"/>
  <c r="AC987" i="2"/>
  <c r="AP987" i="2"/>
  <c r="AO987" i="2" s="1"/>
  <c r="AA988" i="2"/>
  <c r="AF988" i="2"/>
  <c r="AD989" i="2"/>
  <c r="AO990" i="2"/>
  <c r="AF991" i="2"/>
  <c r="AB991" i="2"/>
  <c r="Z991" i="2"/>
  <c r="AE991" i="2"/>
  <c r="X992" i="2"/>
  <c r="AA993" i="2"/>
  <c r="AC995" i="2"/>
  <c r="AP995" i="2"/>
  <c r="AO995" i="2" s="1"/>
  <c r="AA996" i="2"/>
  <c r="AF996" i="2"/>
  <c r="AD997" i="2"/>
  <c r="AO998" i="2"/>
  <c r="AF999" i="2"/>
  <c r="AB999" i="2"/>
  <c r="Z999" i="2"/>
  <c r="AE999" i="2"/>
  <c r="X1000" i="2"/>
  <c r="AB1000" i="2" s="1"/>
  <c r="AA1001" i="2"/>
  <c r="AC1003" i="2"/>
  <c r="AP1003" i="2"/>
  <c r="AO1003" i="2" s="1"/>
  <c r="AA1004" i="2"/>
  <c r="AF1004" i="2"/>
  <c r="AD1005" i="2"/>
  <c r="AO1006" i="2"/>
  <c r="AF1007" i="2"/>
  <c r="AB1007" i="2"/>
  <c r="Z1007" i="2"/>
  <c r="AE1007" i="2"/>
  <c r="X1008" i="2"/>
  <c r="AA1009" i="2"/>
  <c r="AC1011" i="2"/>
  <c r="AP1011" i="2"/>
  <c r="AO1011" i="2" s="1"/>
  <c r="AA1012" i="2"/>
  <c r="AF1012" i="2"/>
  <c r="AD1013" i="2"/>
  <c r="AO1014" i="2"/>
  <c r="AF1015" i="2"/>
  <c r="AB1015" i="2"/>
  <c r="Z1015" i="2"/>
  <c r="AE1015" i="2"/>
  <c r="X1016" i="2"/>
  <c r="AB1016" i="2" s="1"/>
  <c r="AA1017" i="2"/>
  <c r="AC1019" i="2"/>
  <c r="AP1019" i="2"/>
  <c r="AO1019" i="2" s="1"/>
  <c r="AA1020" i="2"/>
  <c r="AF1020" i="2"/>
  <c r="AD1021" i="2"/>
  <c r="AO1022" i="2"/>
  <c r="AF1023" i="2"/>
  <c r="AB1023" i="2"/>
  <c r="Z1023" i="2"/>
  <c r="AE1023" i="2"/>
  <c r="X1024" i="2"/>
  <c r="AA1025" i="2"/>
  <c r="AC1027" i="2"/>
  <c r="AP1027" i="2"/>
  <c r="AO1027" i="2" s="1"/>
  <c r="AA1028" i="2"/>
  <c r="AF1028" i="2"/>
  <c r="AD1029" i="2"/>
  <c r="AO1030" i="2"/>
  <c r="AF1031" i="2"/>
  <c r="AB1031" i="2"/>
  <c r="Z1031" i="2"/>
  <c r="AE1031" i="2"/>
  <c r="X1032" i="2"/>
  <c r="AB1032" i="2" s="1"/>
  <c r="AA1033" i="2"/>
  <c r="AC1035" i="2"/>
  <c r="AP1035" i="2"/>
  <c r="AO1035" i="2" s="1"/>
  <c r="AA1036" i="2"/>
  <c r="AF1036" i="2"/>
  <c r="AD1037" i="2"/>
  <c r="AB1038" i="2"/>
  <c r="AO1038" i="2"/>
  <c r="AF1039" i="2"/>
  <c r="AB1039" i="2"/>
  <c r="Z1039" i="2"/>
  <c r="AE1039" i="2"/>
  <c r="X1040" i="2"/>
  <c r="Z1040" i="2" s="1"/>
  <c r="AA1041" i="2"/>
  <c r="AC1043" i="2"/>
  <c r="AP1043" i="2"/>
  <c r="AO1043" i="2" s="1"/>
  <c r="AA1044" i="2"/>
  <c r="AF1044" i="2"/>
  <c r="AD1045" i="2"/>
  <c r="AB1046" i="2"/>
  <c r="AO1046" i="2"/>
  <c r="AF1047" i="2"/>
  <c r="AB1047" i="2"/>
  <c r="Z1047" i="2"/>
  <c r="AE1047" i="2"/>
  <c r="X1048" i="2"/>
  <c r="AA1049" i="2"/>
  <c r="AC1051" i="2"/>
  <c r="AP1051" i="2"/>
  <c r="AO1051" i="2" s="1"/>
  <c r="AA1052" i="2"/>
  <c r="AF1052" i="2"/>
  <c r="AD1053" i="2"/>
  <c r="AB1054" i="2"/>
  <c r="AO1054" i="2"/>
  <c r="AF1055" i="2"/>
  <c r="AB1055" i="2"/>
  <c r="Z1055" i="2"/>
  <c r="AE1055" i="2"/>
  <c r="X1056" i="2"/>
  <c r="AC1056" i="2" s="1"/>
  <c r="AA1057" i="2"/>
  <c r="AC1059" i="2"/>
  <c r="AP1059" i="2"/>
  <c r="AO1059" i="2" s="1"/>
  <c r="AA1060" i="2"/>
  <c r="AF1060" i="2"/>
  <c r="AB1062" i="2"/>
  <c r="AO1062" i="2"/>
  <c r="AF1063" i="2"/>
  <c r="AB1063" i="2"/>
  <c r="Z1063" i="2"/>
  <c r="AE1063" i="2"/>
  <c r="X1064" i="2"/>
  <c r="AD1064" i="2" s="1"/>
  <c r="AA1065" i="2"/>
  <c r="AC1067" i="2"/>
  <c r="AP1067" i="2"/>
  <c r="AO1067" i="2" s="1"/>
  <c r="AA1068" i="2"/>
  <c r="AF1068" i="2"/>
  <c r="AD1069" i="2"/>
  <c r="AB1070" i="2"/>
  <c r="AO1070" i="2"/>
  <c r="AF1071" i="2"/>
  <c r="AB1071" i="2"/>
  <c r="Z1071" i="2"/>
  <c r="AE1071" i="2"/>
  <c r="X1072" i="2"/>
  <c r="AC1072" i="2" s="1"/>
  <c r="AA1073" i="2"/>
  <c r="AC1075" i="2"/>
  <c r="AP1075" i="2"/>
  <c r="AO1075" i="2" s="1"/>
  <c r="AA1076" i="2"/>
  <c r="AF1076" i="2"/>
  <c r="AD1077" i="2"/>
  <c r="AB1078" i="2"/>
  <c r="AO1078" i="2"/>
  <c r="AF1079" i="2"/>
  <c r="AB1079" i="2"/>
  <c r="Z1079" i="2"/>
  <c r="AE1079" i="2"/>
  <c r="X1080" i="2"/>
  <c r="AA1081" i="2"/>
  <c r="AC1083" i="2"/>
  <c r="AP1083" i="2"/>
  <c r="AO1083" i="2" s="1"/>
  <c r="AA1084" i="2"/>
  <c r="AF1084" i="2"/>
  <c r="AD1085" i="2"/>
  <c r="AB1086" i="2"/>
  <c r="AO1086" i="2"/>
  <c r="AF1087" i="2"/>
  <c r="AB1087" i="2"/>
  <c r="Z1087" i="2"/>
  <c r="AE1087" i="2"/>
  <c r="X1088" i="2"/>
  <c r="AC1088" i="2" s="1"/>
  <c r="AA1089" i="2"/>
  <c r="AC1091" i="2"/>
  <c r="AP1091" i="2"/>
  <c r="AO1091" i="2" s="1"/>
  <c r="AA1092" i="2"/>
  <c r="AF1092" i="2"/>
  <c r="AB1094" i="2"/>
  <c r="AO1094" i="2"/>
  <c r="AF1095" i="2"/>
  <c r="AB1095" i="2"/>
  <c r="Z1095" i="2"/>
  <c r="AE1095" i="2"/>
  <c r="X1096" i="2"/>
  <c r="AB1096" i="2" s="1"/>
  <c r="AA1097" i="2"/>
  <c r="AC1099" i="2"/>
  <c r="AP1099" i="2"/>
  <c r="AO1099" i="2" s="1"/>
  <c r="AA1100" i="2"/>
  <c r="AF1100" i="2"/>
  <c r="AD1101" i="2"/>
  <c r="AB1102" i="2"/>
  <c r="AO1102" i="2"/>
  <c r="AF1103" i="2"/>
  <c r="AB1103" i="2"/>
  <c r="Z1103" i="2"/>
  <c r="AE1103" i="2"/>
  <c r="X1104" i="2"/>
  <c r="AB1104" i="2" s="1"/>
  <c r="AA1105" i="2"/>
  <c r="AC1107" i="2"/>
  <c r="AP1107" i="2"/>
  <c r="AO1107" i="2" s="1"/>
  <c r="AA1108" i="2"/>
  <c r="AF1108" i="2"/>
  <c r="AD1109" i="2"/>
  <c r="AB1110" i="2"/>
  <c r="AO1110" i="2"/>
  <c r="AF1111" i="2"/>
  <c r="AB1111" i="2"/>
  <c r="Z1111" i="2"/>
  <c r="AE1111" i="2"/>
  <c r="X1112" i="2"/>
  <c r="AA1113" i="2"/>
  <c r="AC1115" i="2"/>
  <c r="AP1115" i="2"/>
  <c r="AO1115" i="2" s="1"/>
  <c r="AA1116" i="2"/>
  <c r="AF1116" i="2"/>
  <c r="AD1117" i="2"/>
  <c r="AB1118" i="2"/>
  <c r="AO1118" i="2"/>
  <c r="AF1119" i="2"/>
  <c r="AB1119" i="2"/>
  <c r="Z1119" i="2"/>
  <c r="AE1119" i="2"/>
  <c r="X1120" i="2"/>
  <c r="AD1120" i="2" s="1"/>
  <c r="AA1121" i="2"/>
  <c r="AO1122" i="2"/>
  <c r="AA1125" i="2"/>
  <c r="AC1127" i="2"/>
  <c r="AP1127" i="2"/>
  <c r="AO1127" i="2" s="1"/>
  <c r="AD1129" i="2"/>
  <c r="AC1125" i="2"/>
  <c r="AF1129" i="2"/>
  <c r="AB1129" i="2"/>
  <c r="Z1129" i="2"/>
  <c r="AE1129" i="2"/>
  <c r="X1130" i="2"/>
  <c r="X1133" i="2"/>
  <c r="X1134" i="2"/>
  <c r="Z1134" i="2" s="1"/>
  <c r="AP1135" i="2"/>
  <c r="AO1135" i="2" s="1"/>
  <c r="X1138" i="2"/>
  <c r="AP1140" i="2"/>
  <c r="X1141" i="2"/>
  <c r="AA1141" i="2"/>
  <c r="X1143" i="2"/>
  <c r="AC1143" i="2"/>
  <c r="AO1143" i="2"/>
  <c r="AA1143" i="2"/>
  <c r="AD1143" i="2"/>
  <c r="AQ1143" i="2"/>
  <c r="AP1145" i="2"/>
  <c r="AP1149" i="2"/>
  <c r="AP1154" i="2"/>
  <c r="AD1154" i="2"/>
  <c r="Z1154" i="2"/>
  <c r="AE1154" i="2"/>
  <c r="AB1154" i="2"/>
  <c r="AG1154" i="2" s="1"/>
  <c r="AF1154" i="2"/>
  <c r="AA1154" i="2"/>
  <c r="AC1154" i="2"/>
  <c r="AP1160" i="2"/>
  <c r="AO1160" i="2" s="1"/>
  <c r="X1163" i="2"/>
  <c r="AA1163" i="2" s="1"/>
  <c r="AQ1165" i="2"/>
  <c r="AP1165" i="2"/>
  <c r="AP1174" i="2"/>
  <c r="X1179" i="2"/>
  <c r="AA1179" i="2"/>
  <c r="AQ1181" i="2"/>
  <c r="AP1181" i="2"/>
  <c r="AP1190" i="2"/>
  <c r="X1195" i="2"/>
  <c r="AA1195" i="2" s="1"/>
  <c r="AQ1197" i="2"/>
  <c r="AP1197" i="2"/>
  <c r="AP1206" i="2"/>
  <c r="X1211" i="2"/>
  <c r="AA1211" i="2"/>
  <c r="AQ1213" i="2"/>
  <c r="AP1213" i="2"/>
  <c r="AQ1223" i="2"/>
  <c r="AP1223" i="2"/>
  <c r="AQ1229" i="2"/>
  <c r="AP1229" i="2"/>
  <c r="AO1229" i="2" s="1"/>
  <c r="X1235" i="2"/>
  <c r="AA1235" i="2"/>
  <c r="AD1235" i="2"/>
  <c r="X1239" i="2"/>
  <c r="AD1239" i="2"/>
  <c r="AO1239" i="2"/>
  <c r="AA1239" i="2"/>
  <c r="AQ1245" i="2"/>
  <c r="AP1245" i="2"/>
  <c r="AP1258" i="2"/>
  <c r="AP1262" i="2"/>
  <c r="X1267" i="2"/>
  <c r="AA1267" i="2"/>
  <c r="X1271" i="2"/>
  <c r="AD1271" i="2" s="1"/>
  <c r="AA1271" i="2"/>
  <c r="X1279" i="2"/>
  <c r="AD1279" i="2" s="1"/>
  <c r="AA1279" i="2"/>
  <c r="X1283" i="2"/>
  <c r="AA1283" i="2"/>
  <c r="AD1283" i="2"/>
  <c r="X1287" i="2"/>
  <c r="AC1287" i="2"/>
  <c r="AA1287" i="2"/>
  <c r="AP1290" i="2"/>
  <c r="AP1294" i="2"/>
  <c r="X1299" i="2"/>
  <c r="AG1299" i="2" s="1"/>
  <c r="X1303" i="2"/>
  <c r="AG1303" i="2" s="1"/>
  <c r="AC1303" i="2"/>
  <c r="AO1303" i="2"/>
  <c r="AA1303" i="2"/>
  <c r="AQ1309" i="2"/>
  <c r="AP1309" i="2"/>
  <c r="AP1322" i="2"/>
  <c r="AP1326" i="2"/>
  <c r="X1331" i="2"/>
  <c r="AG1331" i="2" s="1"/>
  <c r="AA1331" i="2"/>
  <c r="AD1331" i="2"/>
  <c r="X1335" i="2"/>
  <c r="AG1335" i="2" s="1"/>
  <c r="AD1335" i="2"/>
  <c r="AO1335" i="2"/>
  <c r="AA1335" i="2"/>
  <c r="AQ1341" i="2"/>
  <c r="AP1341" i="2"/>
  <c r="AP1354" i="2"/>
  <c r="AP1358" i="2"/>
  <c r="X1363" i="2"/>
  <c r="AA1363" i="2"/>
  <c r="X1367" i="2"/>
  <c r="AD1367" i="2"/>
  <c r="AO1367" i="2"/>
  <c r="AA1367" i="2"/>
  <c r="AQ1373" i="2"/>
  <c r="AP1373" i="2"/>
  <c r="AP1386" i="2"/>
  <c r="AP1390" i="2"/>
  <c r="X1395" i="2"/>
  <c r="AO1395" i="2"/>
  <c r="AD1395" i="2"/>
  <c r="X1399" i="2"/>
  <c r="AD1399" i="2"/>
  <c r="AO1399" i="2"/>
  <c r="AA1399" i="2"/>
  <c r="AQ1405" i="2"/>
  <c r="AP1405" i="2"/>
  <c r="AB1123" i="2"/>
  <c r="AF1123" i="2"/>
  <c r="AF1125" i="2"/>
  <c r="AB1125" i="2"/>
  <c r="AD1125" i="2"/>
  <c r="AF1127" i="2"/>
  <c r="AB1127" i="2"/>
  <c r="Z1127" i="2"/>
  <c r="AE1127" i="2"/>
  <c r="X1128" i="2"/>
  <c r="AP1130" i="2"/>
  <c r="AO1130" i="2" s="1"/>
  <c r="AD1130" i="2"/>
  <c r="Z1130" i="2"/>
  <c r="AE1130" i="2"/>
  <c r="X1131" i="2"/>
  <c r="AE1131" i="2" s="1"/>
  <c r="AD1131" i="2"/>
  <c r="X1132" i="2"/>
  <c r="AE1132" i="2" s="1"/>
  <c r="AP1134" i="2"/>
  <c r="AO1134" i="2" s="1"/>
  <c r="AD1134" i="2"/>
  <c r="AB1134" i="2"/>
  <c r="AP1141" i="2"/>
  <c r="AO1141" i="2" s="1"/>
  <c r="AP1146" i="2"/>
  <c r="AO1146" i="2" s="1"/>
  <c r="AD1146" i="2"/>
  <c r="Z1146" i="2"/>
  <c r="AE1146" i="2"/>
  <c r="AB1146" i="2"/>
  <c r="AF1146" i="2"/>
  <c r="AA1146" i="2"/>
  <c r="AC1146" i="2"/>
  <c r="AP1152" i="2"/>
  <c r="AO1152" i="2" s="1"/>
  <c r="X1155" i="2"/>
  <c r="AP1156" i="2"/>
  <c r="AO1156" i="2" s="1"/>
  <c r="AP1158" i="2"/>
  <c r="X1161" i="2"/>
  <c r="AP1162" i="2"/>
  <c r="AO1162" i="2" s="1"/>
  <c r="AD1163" i="2"/>
  <c r="AO1165" i="2"/>
  <c r="X1167" i="2"/>
  <c r="AD1167" i="2" s="1"/>
  <c r="AA1167" i="2"/>
  <c r="AP1168" i="2"/>
  <c r="AO1168" i="2" s="1"/>
  <c r="AQ1175" i="2"/>
  <c r="AP1175" i="2"/>
  <c r="X1177" i="2"/>
  <c r="AP1178" i="2"/>
  <c r="AO1178" i="2" s="1"/>
  <c r="AD1179" i="2"/>
  <c r="AO1181" i="2"/>
  <c r="X1183" i="2"/>
  <c r="AD1183" i="2" s="1"/>
  <c r="AA1183" i="2"/>
  <c r="AP1184" i="2"/>
  <c r="AO1184" i="2" s="1"/>
  <c r="AQ1191" i="2"/>
  <c r="AP1191" i="2"/>
  <c r="X1193" i="2"/>
  <c r="AP1194" i="2"/>
  <c r="AO1194" i="2" s="1"/>
  <c r="AD1195" i="2"/>
  <c r="AO1197" i="2"/>
  <c r="X1199" i="2"/>
  <c r="AD1199" i="2" s="1"/>
  <c r="AA1199" i="2"/>
  <c r="AP1200" i="2"/>
  <c r="AO1200" i="2" s="1"/>
  <c r="AQ1207" i="2"/>
  <c r="AP1207" i="2"/>
  <c r="X1209" i="2"/>
  <c r="AP1210" i="2"/>
  <c r="AO1210" i="2" s="1"/>
  <c r="AD1211" i="2"/>
  <c r="AO1213" i="2"/>
  <c r="X1215" i="2"/>
  <c r="AD1215" i="2" s="1"/>
  <c r="AA1215" i="2"/>
  <c r="AP1216" i="2"/>
  <c r="AO1216" i="2" s="1"/>
  <c r="AQ1221" i="2"/>
  <c r="AP1221" i="2"/>
  <c r="AO1226" i="2"/>
  <c r="X1227" i="2"/>
  <c r="AA1227" i="2"/>
  <c r="X1231" i="2"/>
  <c r="AD1231" i="2"/>
  <c r="AA1231" i="2"/>
  <c r="AP1234" i="2"/>
  <c r="AO1234" i="2" s="1"/>
  <c r="AP1238" i="2"/>
  <c r="X1243" i="2"/>
  <c r="AA1243" i="2"/>
  <c r="AD1243" i="2"/>
  <c r="AO1245" i="2"/>
  <c r="X1247" i="2"/>
  <c r="AD1247" i="2"/>
  <c r="AO1247" i="2"/>
  <c r="AA1247" i="2"/>
  <c r="AQ1253" i="2"/>
  <c r="AP1253" i="2"/>
  <c r="AP1266" i="2"/>
  <c r="AO1266" i="2" s="1"/>
  <c r="AP1270" i="2"/>
  <c r="AP1274" i="2"/>
  <c r="AO1274" i="2" s="1"/>
  <c r="AP1278" i="2"/>
  <c r="AP1282" i="2"/>
  <c r="AO1282" i="2" s="1"/>
  <c r="AP1286" i="2"/>
  <c r="AP1298" i="2"/>
  <c r="AO1298" i="2" s="1"/>
  <c r="AP1302" i="2"/>
  <c r="X1307" i="2"/>
  <c r="AG1307" i="2" s="1"/>
  <c r="AO1309" i="2"/>
  <c r="X1311" i="2"/>
  <c r="AG1311" i="2" s="1"/>
  <c r="AC1311" i="2"/>
  <c r="AO1311" i="2"/>
  <c r="AA1311" i="2"/>
  <c r="AQ1317" i="2"/>
  <c r="AP1317" i="2"/>
  <c r="AO1317" i="2" s="1"/>
  <c r="AP1330" i="2"/>
  <c r="AO1330" i="2" s="1"/>
  <c r="AP1334" i="2"/>
  <c r="X1339" i="2"/>
  <c r="AG1339" i="2" s="1"/>
  <c r="AA1339" i="2"/>
  <c r="AD1339" i="2"/>
  <c r="AO1341" i="2"/>
  <c r="X1343" i="2"/>
  <c r="AG1343" i="2" s="1"/>
  <c r="AD1343" i="2"/>
  <c r="AO1343" i="2"/>
  <c r="AA1343" i="2"/>
  <c r="AQ1349" i="2"/>
  <c r="AP1349" i="2"/>
  <c r="AP1362" i="2"/>
  <c r="AO1362" i="2" s="1"/>
  <c r="AP1366" i="2"/>
  <c r="X1371" i="2"/>
  <c r="AD1371" i="2"/>
  <c r="AO1373" i="2"/>
  <c r="X1375" i="2"/>
  <c r="AD1375" i="2" s="1"/>
  <c r="AO1375" i="2"/>
  <c r="AQ1381" i="2"/>
  <c r="AP1381" i="2"/>
  <c r="AP1394" i="2"/>
  <c r="AO1394" i="2" s="1"/>
  <c r="AP1398" i="2"/>
  <c r="X1403" i="2"/>
  <c r="AC1403" i="2" s="1"/>
  <c r="AO1403" i="2"/>
  <c r="AD1403" i="2"/>
  <c r="AO1405" i="2"/>
  <c r="X1407" i="2"/>
  <c r="AD1407" i="2"/>
  <c r="AC1407" i="2"/>
  <c r="AO1407" i="2"/>
  <c r="AA1407" i="2"/>
  <c r="AC1123" i="2"/>
  <c r="Z1125" i="2"/>
  <c r="AE1125" i="2"/>
  <c r="X1126" i="2"/>
  <c r="Z1126" i="2" s="1"/>
  <c r="AA1127" i="2"/>
  <c r="AC1129" i="2"/>
  <c r="AP1129" i="2"/>
  <c r="AO1129" i="2" s="1"/>
  <c r="AA1130" i="2"/>
  <c r="AF1130" i="2"/>
  <c r="AP1132" i="2"/>
  <c r="AD1132" i="2"/>
  <c r="Z1132" i="2"/>
  <c r="AF1132" i="2"/>
  <c r="AO1132" i="2"/>
  <c r="AF1133" i="2"/>
  <c r="AB1133" i="2"/>
  <c r="AD1133" i="2"/>
  <c r="Z1133" i="2"/>
  <c r="AA1134" i="2"/>
  <c r="AF1137" i="2"/>
  <c r="AB1137" i="2"/>
  <c r="AA1137" i="2"/>
  <c r="AP1137" i="2"/>
  <c r="AO1137" i="2" s="1"/>
  <c r="AC1137" i="2"/>
  <c r="AP1138" i="2"/>
  <c r="AO1138" i="2" s="1"/>
  <c r="AD1138" i="2"/>
  <c r="Z1138" i="2"/>
  <c r="AE1138" i="2"/>
  <c r="AF1138" i="2"/>
  <c r="AA1138" i="2"/>
  <c r="AB1138" i="2"/>
  <c r="X1139" i="2"/>
  <c r="AA1139" i="2" s="1"/>
  <c r="AP1144" i="2"/>
  <c r="AO1144" i="2" s="1"/>
  <c r="X1147" i="2"/>
  <c r="AP1148" i="2"/>
  <c r="AO1148" i="2" s="1"/>
  <c r="AP1150" i="2"/>
  <c r="X1153" i="2"/>
  <c r="AD1155" i="2"/>
  <c r="AA1155" i="2"/>
  <c r="X1157" i="2"/>
  <c r="AA1157" i="2"/>
  <c r="X1159" i="2"/>
  <c r="AO1159" i="2"/>
  <c r="AD1159" i="2"/>
  <c r="AQ1159" i="2"/>
  <c r="AF1161" i="2"/>
  <c r="AB1161" i="2"/>
  <c r="AA1161" i="2"/>
  <c r="AE1161" i="2"/>
  <c r="Z1161" i="2"/>
  <c r="AD1161" i="2"/>
  <c r="AP1161" i="2"/>
  <c r="AO1161" i="2" s="1"/>
  <c r="AC1161" i="2"/>
  <c r="AP1166" i="2"/>
  <c r="X1171" i="2"/>
  <c r="AD1171" i="2" s="1"/>
  <c r="AQ1173" i="2"/>
  <c r="AP1173" i="2"/>
  <c r="AD1177" i="2"/>
  <c r="AP1182" i="2"/>
  <c r="AO1186" i="2"/>
  <c r="X1187" i="2"/>
  <c r="AA1187" i="2"/>
  <c r="AQ1189" i="2"/>
  <c r="AP1189" i="2"/>
  <c r="AD1193" i="2"/>
  <c r="AP1198" i="2"/>
  <c r="X1203" i="2"/>
  <c r="AD1203" i="2" s="1"/>
  <c r="AQ1205" i="2"/>
  <c r="AP1205" i="2"/>
  <c r="AD1209" i="2"/>
  <c r="AP1214" i="2"/>
  <c r="AO1218" i="2"/>
  <c r="X1219" i="2"/>
  <c r="AA1219" i="2"/>
  <c r="AO1221" i="2"/>
  <c r="X1223" i="2"/>
  <c r="AD1223" i="2"/>
  <c r="AO1223" i="2"/>
  <c r="AA1223" i="2"/>
  <c r="AP1226" i="2"/>
  <c r="AP1230" i="2"/>
  <c r="AP1242" i="2"/>
  <c r="AO1242" i="2" s="1"/>
  <c r="AP1246" i="2"/>
  <c r="X1251" i="2"/>
  <c r="AA1251" i="2"/>
  <c r="AD1251" i="2"/>
  <c r="AO1253" i="2"/>
  <c r="X1255" i="2"/>
  <c r="AD1255" i="2"/>
  <c r="AO1255" i="2"/>
  <c r="AA1255" i="2"/>
  <c r="AQ1261" i="2"/>
  <c r="AP1261" i="2"/>
  <c r="AQ1287" i="2"/>
  <c r="AP1287" i="2"/>
  <c r="AO1287" i="2" s="1"/>
  <c r="AQ1293" i="2"/>
  <c r="AP1293" i="2"/>
  <c r="AP1306" i="2"/>
  <c r="AO1306" i="2" s="1"/>
  <c r="AP1310" i="2"/>
  <c r="X1315" i="2"/>
  <c r="AG1315" i="2" s="1"/>
  <c r="AD1315" i="2"/>
  <c r="X1319" i="2"/>
  <c r="AG1319" i="2" s="1"/>
  <c r="AD1319" i="2"/>
  <c r="AC1319" i="2"/>
  <c r="AO1319" i="2"/>
  <c r="AA1319" i="2"/>
  <c r="AQ1325" i="2"/>
  <c r="AP1325" i="2"/>
  <c r="AP1338" i="2"/>
  <c r="AO1338" i="2" s="1"/>
  <c r="AP1342" i="2"/>
  <c r="X1347" i="2"/>
  <c r="AG1347" i="2" s="1"/>
  <c r="AO1349" i="2"/>
  <c r="X1351" i="2"/>
  <c r="AG1351" i="2" s="1"/>
  <c r="AO1351" i="2"/>
  <c r="AQ1357" i="2"/>
  <c r="AP1357" i="2"/>
  <c r="AP1370" i="2"/>
  <c r="AO1370" i="2" s="1"/>
  <c r="AP1374" i="2"/>
  <c r="AO1378" i="2"/>
  <c r="X1379" i="2"/>
  <c r="AO1379" i="2"/>
  <c r="AD1379" i="2"/>
  <c r="AO1381" i="2"/>
  <c r="X1383" i="2"/>
  <c r="AD1383" i="2"/>
  <c r="AO1383" i="2"/>
  <c r="AA1383" i="2"/>
  <c r="AQ1389" i="2"/>
  <c r="AP1389" i="2"/>
  <c r="AP1402" i="2"/>
  <c r="AO1402" i="2" s="1"/>
  <c r="AP1406" i="2"/>
  <c r="AO1410" i="2"/>
  <c r="X1411" i="2"/>
  <c r="AE1411" i="2"/>
  <c r="AD1411" i="2"/>
  <c r="AA1411" i="2"/>
  <c r="Z1411" i="2"/>
  <c r="AF1131" i="2"/>
  <c r="AB1131" i="2"/>
  <c r="AP1131" i="2"/>
  <c r="AO1131" i="2" s="1"/>
  <c r="AC1131" i="2"/>
  <c r="Z1131" i="2"/>
  <c r="AP1133" i="2"/>
  <c r="AO1133" i="2" s="1"/>
  <c r="AP1136" i="2"/>
  <c r="AO1136" i="2" s="1"/>
  <c r="AF1139" i="2"/>
  <c r="AB1139" i="2"/>
  <c r="AP1139" i="2"/>
  <c r="AO1139" i="2" s="1"/>
  <c r="AC1139" i="2"/>
  <c r="AD1139" i="2"/>
  <c r="Z1139" i="2"/>
  <c r="X1140" i="2"/>
  <c r="AA1140" i="2" s="1"/>
  <c r="AO1140" i="2"/>
  <c r="AP1142" i="2"/>
  <c r="AE1142" i="2"/>
  <c r="X1145" i="2"/>
  <c r="AD1145" i="2" s="1"/>
  <c r="AO1145" i="2"/>
  <c r="AG1146" i="2"/>
  <c r="AD1147" i="2"/>
  <c r="AA1147" i="2"/>
  <c r="X1149" i="2"/>
  <c r="AO1149" i="2"/>
  <c r="AA1149" i="2"/>
  <c r="X1151" i="2"/>
  <c r="AC1151" i="2"/>
  <c r="AO1151" i="2"/>
  <c r="AA1151" i="2"/>
  <c r="AD1151" i="2"/>
  <c r="AQ1151" i="2"/>
  <c r="AF1153" i="2"/>
  <c r="AB1153" i="2"/>
  <c r="AA1153" i="2"/>
  <c r="AD1153" i="2"/>
  <c r="AP1153" i="2"/>
  <c r="AO1153" i="2" s="1"/>
  <c r="AC1153" i="2"/>
  <c r="AE1153" i="2"/>
  <c r="AO1154" i="2"/>
  <c r="AC1157" i="2"/>
  <c r="AP1157" i="2"/>
  <c r="AO1157" i="2" s="1"/>
  <c r="AQ1167" i="2"/>
  <c r="AP1167" i="2"/>
  <c r="AO1167" i="2" s="1"/>
  <c r="X1169" i="2"/>
  <c r="AP1170" i="2"/>
  <c r="AO1170" i="2" s="1"/>
  <c r="AO1173" i="2"/>
  <c r="X1175" i="2"/>
  <c r="AD1175" i="2"/>
  <c r="AO1175" i="2"/>
  <c r="AA1175" i="2"/>
  <c r="AP1176" i="2"/>
  <c r="AO1176" i="2" s="1"/>
  <c r="AQ1183" i="2"/>
  <c r="AP1183" i="2"/>
  <c r="AO1183" i="2" s="1"/>
  <c r="X1185" i="2"/>
  <c r="AP1186" i="2"/>
  <c r="AD1187" i="2"/>
  <c r="AO1189" i="2"/>
  <c r="X1191" i="2"/>
  <c r="AD1191" i="2"/>
  <c r="AO1191" i="2"/>
  <c r="AA1191" i="2"/>
  <c r="AP1192" i="2"/>
  <c r="AO1192" i="2" s="1"/>
  <c r="AQ1199" i="2"/>
  <c r="AP1199" i="2"/>
  <c r="AO1199" i="2" s="1"/>
  <c r="X1201" i="2"/>
  <c r="AP1202" i="2"/>
  <c r="AO1202" i="2" s="1"/>
  <c r="AO1205" i="2"/>
  <c r="X1207" i="2"/>
  <c r="AD1207" i="2"/>
  <c r="AO1207" i="2"/>
  <c r="AA1207" i="2"/>
  <c r="AP1208" i="2"/>
  <c r="AO1208" i="2" s="1"/>
  <c r="AQ1215" i="2"/>
  <c r="AP1215" i="2"/>
  <c r="AO1215" i="2" s="1"/>
  <c r="X1217" i="2"/>
  <c r="AP1218" i="2"/>
  <c r="AP1222" i="2"/>
  <c r="AD1222" i="2"/>
  <c r="AB1222" i="2"/>
  <c r="AA1222" i="2"/>
  <c r="AC1222" i="2"/>
  <c r="AQ1231" i="2"/>
  <c r="AP1231" i="2"/>
  <c r="AO1231" i="2" s="1"/>
  <c r="AQ1237" i="2"/>
  <c r="AP1237" i="2"/>
  <c r="AO1237" i="2" s="1"/>
  <c r="AP1250" i="2"/>
  <c r="AO1250" i="2" s="1"/>
  <c r="AP1254" i="2"/>
  <c r="AF1254" i="2"/>
  <c r="AO1258" i="2"/>
  <c r="X1259" i="2"/>
  <c r="AA1259" i="2"/>
  <c r="AO1261" i="2"/>
  <c r="X1263" i="2"/>
  <c r="AD1263" i="2" s="1"/>
  <c r="AO1263" i="2"/>
  <c r="AA1263" i="2"/>
  <c r="AQ1269" i="2"/>
  <c r="AP1269" i="2"/>
  <c r="AO1269" i="2" s="1"/>
  <c r="AQ1273" i="2"/>
  <c r="AP1273" i="2"/>
  <c r="X1275" i="2"/>
  <c r="AA1275" i="2"/>
  <c r="AQ1281" i="2"/>
  <c r="AP1281" i="2"/>
  <c r="AQ1285" i="2"/>
  <c r="AP1285" i="2"/>
  <c r="AO1285" i="2" s="1"/>
  <c r="AO1290" i="2"/>
  <c r="X1291" i="2"/>
  <c r="AC1291" i="2" s="1"/>
  <c r="AO1291" i="2"/>
  <c r="AD1291" i="2"/>
  <c r="AO1293" i="2"/>
  <c r="X1295" i="2"/>
  <c r="AD1295" i="2"/>
  <c r="AC1295" i="2"/>
  <c r="AO1295" i="2"/>
  <c r="AA1295" i="2"/>
  <c r="AQ1301" i="2"/>
  <c r="AP1301" i="2"/>
  <c r="AO1301" i="2" s="1"/>
  <c r="AP1314" i="2"/>
  <c r="AO1314" i="2" s="1"/>
  <c r="AP1318" i="2"/>
  <c r="AO1322" i="2"/>
  <c r="X1323" i="2"/>
  <c r="AG1323" i="2" s="1"/>
  <c r="AO1325" i="2"/>
  <c r="X1327" i="2"/>
  <c r="AG1327" i="2" s="1"/>
  <c r="AC1327" i="2"/>
  <c r="AO1327" i="2"/>
  <c r="AA1327" i="2"/>
  <c r="AQ1333" i="2"/>
  <c r="AP1333" i="2"/>
  <c r="AO1333" i="2" s="1"/>
  <c r="AP1346" i="2"/>
  <c r="AO1346" i="2" s="1"/>
  <c r="AP1350" i="2"/>
  <c r="AO1354" i="2"/>
  <c r="X1355" i="2"/>
  <c r="AG1355" i="2" s="1"/>
  <c r="AA1355" i="2"/>
  <c r="AD1355" i="2"/>
  <c r="AO1357" i="2"/>
  <c r="X1359" i="2"/>
  <c r="AG1359" i="2" s="1"/>
  <c r="AD1359" i="2"/>
  <c r="AO1359" i="2"/>
  <c r="AA1359" i="2"/>
  <c r="AQ1365" i="2"/>
  <c r="AP1365" i="2"/>
  <c r="AO1365" i="2" s="1"/>
  <c r="AP1378" i="2"/>
  <c r="AP1382" i="2"/>
  <c r="AO1386" i="2"/>
  <c r="X1387" i="2"/>
  <c r="AC1387" i="2"/>
  <c r="AO1387" i="2"/>
  <c r="AA1387" i="2"/>
  <c r="AD1387" i="2"/>
  <c r="AO1389" i="2"/>
  <c r="X1391" i="2"/>
  <c r="AD1391" i="2" s="1"/>
  <c r="AO1391" i="2"/>
  <c r="AA1391" i="2"/>
  <c r="AQ1397" i="2"/>
  <c r="AP1397" i="2"/>
  <c r="AO1397" i="2" s="1"/>
  <c r="AP1410" i="2"/>
  <c r="AF1141" i="2"/>
  <c r="AB1141" i="2"/>
  <c r="Z1141" i="2"/>
  <c r="AE1141" i="2"/>
  <c r="X1142" i="2"/>
  <c r="AD1142" i="2" s="1"/>
  <c r="AF1149" i="2"/>
  <c r="AB1149" i="2"/>
  <c r="Z1149" i="2"/>
  <c r="AE1149" i="2"/>
  <c r="X1150" i="2"/>
  <c r="AF1157" i="2"/>
  <c r="AB1157" i="2"/>
  <c r="Z1157" i="2"/>
  <c r="AE1157" i="2"/>
  <c r="X1158" i="2"/>
  <c r="AA1158" i="2" s="1"/>
  <c r="X1166" i="2"/>
  <c r="AF1166" i="2" s="1"/>
  <c r="AC1169" i="2"/>
  <c r="AP1169" i="2"/>
  <c r="AO1169" i="2" s="1"/>
  <c r="X1174" i="2"/>
  <c r="AF1174" i="2" s="1"/>
  <c r="AC1177" i="2"/>
  <c r="AP1177" i="2"/>
  <c r="AO1177" i="2" s="1"/>
  <c r="X1182" i="2"/>
  <c r="Z1182" i="2" s="1"/>
  <c r="AC1185" i="2"/>
  <c r="AP1185" i="2"/>
  <c r="AO1185" i="2" s="1"/>
  <c r="X1190" i="2"/>
  <c r="Z1190" i="2" s="1"/>
  <c r="AC1193" i="2"/>
  <c r="AP1193" i="2"/>
  <c r="AO1193" i="2" s="1"/>
  <c r="X1198" i="2"/>
  <c r="AF1198" i="2" s="1"/>
  <c r="AC1201" i="2"/>
  <c r="AP1201" i="2"/>
  <c r="AO1201" i="2" s="1"/>
  <c r="X1206" i="2"/>
  <c r="AF1206" i="2" s="1"/>
  <c r="AC1209" i="2"/>
  <c r="AP1209" i="2"/>
  <c r="AO1209" i="2" s="1"/>
  <c r="X1214" i="2"/>
  <c r="Z1214" i="2" s="1"/>
  <c r="AC1217" i="2"/>
  <c r="AP1217" i="2"/>
  <c r="AO1217" i="2" s="1"/>
  <c r="X1222" i="2"/>
  <c r="Z1222" i="2" s="1"/>
  <c r="AP1224" i="2"/>
  <c r="AO1224" i="2" s="1"/>
  <c r="X1225" i="2"/>
  <c r="AP1225" i="2"/>
  <c r="X1230" i="2"/>
  <c r="AF1230" i="2" s="1"/>
  <c r="AP1232" i="2"/>
  <c r="AO1232" i="2" s="1"/>
  <c r="X1233" i="2"/>
  <c r="AD1233" i="2" s="1"/>
  <c r="AC1233" i="2"/>
  <c r="AP1233" i="2"/>
  <c r="X1238" i="2"/>
  <c r="AD1238" i="2" s="1"/>
  <c r="AP1240" i="2"/>
  <c r="AO1240" i="2" s="1"/>
  <c r="X1241" i="2"/>
  <c r="AC1241" i="2" s="1"/>
  <c r="AP1241" i="2"/>
  <c r="X1246" i="2"/>
  <c r="AP1248" i="2"/>
  <c r="AO1248" i="2" s="1"/>
  <c r="X1249" i="2"/>
  <c r="AC1249" i="2"/>
  <c r="AP1249" i="2"/>
  <c r="X1254" i="2"/>
  <c r="AD1254" i="2" s="1"/>
  <c r="AP1256" i="2"/>
  <c r="AO1256" i="2" s="1"/>
  <c r="X1257" i="2"/>
  <c r="AP1257" i="2"/>
  <c r="X1262" i="2"/>
  <c r="AD1262" i="2" s="1"/>
  <c r="AP1264" i="2"/>
  <c r="AO1264" i="2" s="1"/>
  <c r="X1265" i="2"/>
  <c r="AD1265" i="2" s="1"/>
  <c r="AC1265" i="2"/>
  <c r="AP1265" i="2"/>
  <c r="X1270" i="2"/>
  <c r="Z1270" i="2" s="1"/>
  <c r="AP1272" i="2"/>
  <c r="AO1272" i="2" s="1"/>
  <c r="X1273" i="2"/>
  <c r="AD1273" i="2" s="1"/>
  <c r="X1278" i="2"/>
  <c r="Z1278" i="2" s="1"/>
  <c r="AP1280" i="2"/>
  <c r="AO1280" i="2" s="1"/>
  <c r="X1281" i="2"/>
  <c r="AD1281" i="2" s="1"/>
  <c r="AC1281" i="2"/>
  <c r="X1286" i="2"/>
  <c r="AB1286" i="2" s="1"/>
  <c r="AP1288" i="2"/>
  <c r="AO1288" i="2" s="1"/>
  <c r="X1289" i="2"/>
  <c r="AD1289" i="2" s="1"/>
  <c r="AC1289" i="2"/>
  <c r="AP1289" i="2"/>
  <c r="AQ1291" i="2"/>
  <c r="X1294" i="2"/>
  <c r="AP1296" i="2"/>
  <c r="AO1296" i="2" s="1"/>
  <c r="X1297" i="2"/>
  <c r="AG1297" i="2" s="1"/>
  <c r="AC1297" i="2"/>
  <c r="AP1297" i="2"/>
  <c r="X1302" i="2"/>
  <c r="AG1302" i="2" s="1"/>
  <c r="AP1304" i="2"/>
  <c r="AO1304" i="2" s="1"/>
  <c r="X1305" i="2"/>
  <c r="AG1305" i="2" s="1"/>
  <c r="AP1305" i="2"/>
  <c r="X1310" i="2"/>
  <c r="AG1310" i="2" s="1"/>
  <c r="AP1312" i="2"/>
  <c r="AO1312" i="2" s="1"/>
  <c r="X1313" i="2"/>
  <c r="AG1313" i="2" s="1"/>
  <c r="AC1313" i="2"/>
  <c r="AP1313" i="2"/>
  <c r="X1318" i="2"/>
  <c r="AG1318" i="2" s="1"/>
  <c r="AP1320" i="2"/>
  <c r="AO1320" i="2" s="1"/>
  <c r="X1321" i="2"/>
  <c r="AG1321" i="2" s="1"/>
  <c r="AP1321" i="2"/>
  <c r="X1326" i="2"/>
  <c r="AG1326" i="2" s="1"/>
  <c r="AP1328" i="2"/>
  <c r="AO1328" i="2" s="1"/>
  <c r="X1329" i="2"/>
  <c r="AG1329" i="2" s="1"/>
  <c r="AC1329" i="2"/>
  <c r="AP1329" i="2"/>
  <c r="X1334" i="2"/>
  <c r="AG1334" i="2" s="1"/>
  <c r="AP1336" i="2"/>
  <c r="AO1336" i="2" s="1"/>
  <c r="X1337" i="2"/>
  <c r="AG1337" i="2" s="1"/>
  <c r="AP1337" i="2"/>
  <c r="X1342" i="2"/>
  <c r="AG1342" i="2" s="1"/>
  <c r="AP1344" i="2"/>
  <c r="AO1344" i="2" s="1"/>
  <c r="X1345" i="2"/>
  <c r="AG1345" i="2" s="1"/>
  <c r="AC1345" i="2"/>
  <c r="AP1345" i="2"/>
  <c r="X1350" i="2"/>
  <c r="AG1350" i="2" s="1"/>
  <c r="AP1352" i="2"/>
  <c r="AO1352" i="2" s="1"/>
  <c r="X1353" i="2"/>
  <c r="AG1353" i="2" s="1"/>
  <c r="AP1353" i="2"/>
  <c r="X1358" i="2"/>
  <c r="AG1358" i="2" s="1"/>
  <c r="AP1360" i="2"/>
  <c r="AO1360" i="2" s="1"/>
  <c r="X1361" i="2"/>
  <c r="AG1361" i="2" s="1"/>
  <c r="AC1361" i="2"/>
  <c r="AP1361" i="2"/>
  <c r="X1366" i="2"/>
  <c r="AD1366" i="2" s="1"/>
  <c r="AP1368" i="2"/>
  <c r="AO1368" i="2" s="1"/>
  <c r="X1369" i="2"/>
  <c r="AP1369" i="2"/>
  <c r="X1374" i="2"/>
  <c r="AD1374" i="2" s="1"/>
  <c r="AP1376" i="2"/>
  <c r="AO1376" i="2" s="1"/>
  <c r="X1377" i="2"/>
  <c r="AD1377" i="2" s="1"/>
  <c r="AC1377" i="2"/>
  <c r="AP1377" i="2"/>
  <c r="AQ1379" i="2"/>
  <c r="X1382" i="2"/>
  <c r="AP1384" i="2"/>
  <c r="AO1384" i="2" s="1"/>
  <c r="X1385" i="2"/>
  <c r="AD1385" i="2" s="1"/>
  <c r="AC1385" i="2"/>
  <c r="AP1385" i="2"/>
  <c r="AQ1387" i="2"/>
  <c r="X1390" i="2"/>
  <c r="AD1390" i="2" s="1"/>
  <c r="AP1392" i="2"/>
  <c r="AO1392" i="2" s="1"/>
  <c r="X1393" i="2"/>
  <c r="AD1393" i="2" s="1"/>
  <c r="AC1393" i="2"/>
  <c r="AP1393" i="2"/>
  <c r="AQ1395" i="2"/>
  <c r="X1398" i="2"/>
  <c r="AP1400" i="2"/>
  <c r="AO1400" i="2" s="1"/>
  <c r="X1401" i="2"/>
  <c r="AC1401" i="2"/>
  <c r="AP1401" i="2"/>
  <c r="AQ1403" i="2"/>
  <c r="X1406" i="2"/>
  <c r="AD1406" i="2" s="1"/>
  <c r="AP1408" i="2"/>
  <c r="AO1408" i="2" s="1"/>
  <c r="X1409" i="2"/>
  <c r="AC1409" i="2"/>
  <c r="AP1409" i="2"/>
  <c r="X1412" i="2"/>
  <c r="AP1414" i="2"/>
  <c r="AQ1415" i="2"/>
  <c r="AP1415" i="2"/>
  <c r="X1417" i="2"/>
  <c r="AC1417" i="2"/>
  <c r="AP1418" i="2"/>
  <c r="AO1418" i="2" s="1"/>
  <c r="AF1147" i="2"/>
  <c r="AB1147" i="2"/>
  <c r="Z1147" i="2"/>
  <c r="AE1147" i="2"/>
  <c r="X1148" i="2"/>
  <c r="AA1148" i="2" s="1"/>
  <c r="AF1155" i="2"/>
  <c r="AB1155" i="2"/>
  <c r="Z1155" i="2"/>
  <c r="AE1155" i="2"/>
  <c r="X1156" i="2"/>
  <c r="AF1163" i="2"/>
  <c r="AB1163" i="2"/>
  <c r="Z1163" i="2"/>
  <c r="AE1163" i="2"/>
  <c r="X1164" i="2"/>
  <c r="AB1164" i="2" s="1"/>
  <c r="AF1171" i="2"/>
  <c r="AB1171" i="2"/>
  <c r="Z1171" i="2"/>
  <c r="AE1171" i="2"/>
  <c r="X1172" i="2"/>
  <c r="AC1172" i="2" s="1"/>
  <c r="AF1179" i="2"/>
  <c r="AB1179" i="2"/>
  <c r="Z1179" i="2"/>
  <c r="AE1179" i="2"/>
  <c r="X1180" i="2"/>
  <c r="AB1180" i="2" s="1"/>
  <c r="AF1187" i="2"/>
  <c r="AB1187" i="2"/>
  <c r="Z1187" i="2"/>
  <c r="AE1187" i="2"/>
  <c r="X1188" i="2"/>
  <c r="AC1188" i="2" s="1"/>
  <c r="AF1195" i="2"/>
  <c r="AB1195" i="2"/>
  <c r="Z1195" i="2"/>
  <c r="AE1195" i="2"/>
  <c r="X1196" i="2"/>
  <c r="AB1196" i="2" s="1"/>
  <c r="AF1203" i="2"/>
  <c r="AB1203" i="2"/>
  <c r="Z1203" i="2"/>
  <c r="AE1203" i="2"/>
  <c r="X1204" i="2"/>
  <c r="AC1204" i="2" s="1"/>
  <c r="AF1211" i="2"/>
  <c r="AB1211" i="2"/>
  <c r="Z1211" i="2"/>
  <c r="AE1211" i="2"/>
  <c r="X1212" i="2"/>
  <c r="AB1212" i="2" s="1"/>
  <c r="AF1219" i="2"/>
  <c r="AB1219" i="2"/>
  <c r="Z1219" i="2"/>
  <c r="AE1219" i="2"/>
  <c r="X1220" i="2"/>
  <c r="AF1227" i="2"/>
  <c r="AB1227" i="2"/>
  <c r="Z1227" i="2"/>
  <c r="AE1227" i="2"/>
  <c r="X1228" i="2"/>
  <c r="AB1228" i="2" s="1"/>
  <c r="AF1235" i="2"/>
  <c r="AB1235" i="2"/>
  <c r="Z1235" i="2"/>
  <c r="AE1235" i="2"/>
  <c r="X1236" i="2"/>
  <c r="AB1236" i="2" s="1"/>
  <c r="AF1243" i="2"/>
  <c r="AB1243" i="2"/>
  <c r="Z1243" i="2"/>
  <c r="AE1243" i="2"/>
  <c r="X1244" i="2"/>
  <c r="AF1251" i="2"/>
  <c r="AB1251" i="2"/>
  <c r="Z1251" i="2"/>
  <c r="AE1251" i="2"/>
  <c r="X1252" i="2"/>
  <c r="AC1252" i="2" s="1"/>
  <c r="AF1259" i="2"/>
  <c r="AB1259" i="2"/>
  <c r="Z1259" i="2"/>
  <c r="AE1259" i="2"/>
  <c r="X1260" i="2"/>
  <c r="AB1260" i="2" s="1"/>
  <c r="AF1267" i="2"/>
  <c r="AB1267" i="2"/>
  <c r="Z1267" i="2"/>
  <c r="AE1267" i="2"/>
  <c r="X1268" i="2"/>
  <c r="AC1268" i="2" s="1"/>
  <c r="AP1271" i="2"/>
  <c r="AO1271" i="2" s="1"/>
  <c r="AF1275" i="2"/>
  <c r="AB1275" i="2"/>
  <c r="Z1275" i="2"/>
  <c r="AE1275" i="2"/>
  <c r="X1276" i="2"/>
  <c r="AC1276" i="2" s="1"/>
  <c r="AP1279" i="2"/>
  <c r="AO1279" i="2" s="1"/>
  <c r="AF1283" i="2"/>
  <c r="AB1283" i="2"/>
  <c r="Z1283" i="2"/>
  <c r="AE1283" i="2"/>
  <c r="X1284" i="2"/>
  <c r="AC1284" i="2" s="1"/>
  <c r="AF1291" i="2"/>
  <c r="AB1291" i="2"/>
  <c r="Z1291" i="2"/>
  <c r="AE1291" i="2"/>
  <c r="X1292" i="2"/>
  <c r="AF1299" i="2"/>
  <c r="AB1299" i="2"/>
  <c r="Z1299" i="2"/>
  <c r="AE1299" i="2"/>
  <c r="X1300" i="2"/>
  <c r="AG1300" i="2" s="1"/>
  <c r="AF1307" i="2"/>
  <c r="AB1307" i="2"/>
  <c r="Z1307" i="2"/>
  <c r="AE1307" i="2"/>
  <c r="X1308" i="2"/>
  <c r="AG1308" i="2" s="1"/>
  <c r="AF1315" i="2"/>
  <c r="AB1315" i="2"/>
  <c r="Z1315" i="2"/>
  <c r="AE1315" i="2"/>
  <c r="X1316" i="2"/>
  <c r="AG1316" i="2" s="1"/>
  <c r="AF1323" i="2"/>
  <c r="AB1323" i="2"/>
  <c r="Z1323" i="2"/>
  <c r="AE1323" i="2"/>
  <c r="X1324" i="2"/>
  <c r="AG1324" i="2" s="1"/>
  <c r="AF1331" i="2"/>
  <c r="AB1331" i="2"/>
  <c r="Z1331" i="2"/>
  <c r="AE1331" i="2"/>
  <c r="X1332" i="2"/>
  <c r="AG1332" i="2" s="1"/>
  <c r="AF1339" i="2"/>
  <c r="AB1339" i="2"/>
  <c r="Z1339" i="2"/>
  <c r="AE1339" i="2"/>
  <c r="X1340" i="2"/>
  <c r="AG1340" i="2" s="1"/>
  <c r="AC1343" i="2"/>
  <c r="AF1347" i="2"/>
  <c r="AB1347" i="2"/>
  <c r="Z1347" i="2"/>
  <c r="AE1347" i="2"/>
  <c r="X1348" i="2"/>
  <c r="AG1348" i="2" s="1"/>
  <c r="AC1351" i="2"/>
  <c r="AF1355" i="2"/>
  <c r="AB1355" i="2"/>
  <c r="Z1355" i="2"/>
  <c r="AE1355" i="2"/>
  <c r="X1356" i="2"/>
  <c r="AG1356" i="2" s="1"/>
  <c r="AC1359" i="2"/>
  <c r="AF1363" i="2"/>
  <c r="AB1363" i="2"/>
  <c r="Z1363" i="2"/>
  <c r="AE1363" i="2"/>
  <c r="X1364" i="2"/>
  <c r="AF1371" i="2"/>
  <c r="AB1371" i="2"/>
  <c r="Z1371" i="2"/>
  <c r="AE1371" i="2"/>
  <c r="X1372" i="2"/>
  <c r="AB1372" i="2" s="1"/>
  <c r="AC1375" i="2"/>
  <c r="AF1379" i="2"/>
  <c r="AB1379" i="2"/>
  <c r="Z1379" i="2"/>
  <c r="AE1379" i="2"/>
  <c r="X1380" i="2"/>
  <c r="AC1380" i="2" s="1"/>
  <c r="AF1387" i="2"/>
  <c r="AB1387" i="2"/>
  <c r="Z1387" i="2"/>
  <c r="AE1387" i="2"/>
  <c r="X1388" i="2"/>
  <c r="AC1388" i="2" s="1"/>
  <c r="AF1395" i="2"/>
  <c r="AB1395" i="2"/>
  <c r="Z1395" i="2"/>
  <c r="AE1395" i="2"/>
  <c r="X1396" i="2"/>
  <c r="AC1396" i="2" s="1"/>
  <c r="AC1399" i="2"/>
  <c r="AF1403" i="2"/>
  <c r="AB1403" i="2"/>
  <c r="Z1403" i="2"/>
  <c r="AE1403" i="2"/>
  <c r="X1404" i="2"/>
  <c r="AB1412" i="2"/>
  <c r="X1415" i="2"/>
  <c r="AD1415" i="2" s="1"/>
  <c r="AO1415" i="2"/>
  <c r="AA1415" i="2"/>
  <c r="AQ1423" i="2"/>
  <c r="AP1423" i="2"/>
  <c r="X1425" i="2"/>
  <c r="AD1425" i="2" s="1"/>
  <c r="AP1426" i="2"/>
  <c r="AO1426" i="2" s="1"/>
  <c r="X1162" i="2"/>
  <c r="AP1164" i="2"/>
  <c r="AO1164" i="2" s="1"/>
  <c r="AD1164" i="2"/>
  <c r="Z1164" i="2"/>
  <c r="AE1164" i="2"/>
  <c r="X1165" i="2"/>
  <c r="Z1165" i="2" s="1"/>
  <c r="AC1165" i="2"/>
  <c r="AF1169" i="2"/>
  <c r="AB1169" i="2"/>
  <c r="Z1169" i="2"/>
  <c r="AE1169" i="2"/>
  <c r="X1170" i="2"/>
  <c r="AD1170" i="2" s="1"/>
  <c r="AP1172" i="2"/>
  <c r="AO1172" i="2" s="1"/>
  <c r="AD1172" i="2"/>
  <c r="Z1172" i="2"/>
  <c r="AE1172" i="2"/>
  <c r="X1173" i="2"/>
  <c r="AE1173" i="2" s="1"/>
  <c r="AF1177" i="2"/>
  <c r="AB1177" i="2"/>
  <c r="Z1177" i="2"/>
  <c r="AE1177" i="2"/>
  <c r="X1178" i="2"/>
  <c r="AD1178" i="2" s="1"/>
  <c r="AP1180" i="2"/>
  <c r="AO1180" i="2" s="1"/>
  <c r="AD1180" i="2"/>
  <c r="Z1180" i="2"/>
  <c r="AE1180" i="2"/>
  <c r="X1181" i="2"/>
  <c r="AF1181" i="2" s="1"/>
  <c r="AC1181" i="2"/>
  <c r="AF1185" i="2"/>
  <c r="AB1185" i="2"/>
  <c r="Z1185" i="2"/>
  <c r="AE1185" i="2"/>
  <c r="X1186" i="2"/>
  <c r="AE1186" i="2" s="1"/>
  <c r="AP1188" i="2"/>
  <c r="AO1188" i="2" s="1"/>
  <c r="AD1188" i="2"/>
  <c r="Z1188" i="2"/>
  <c r="AE1188" i="2"/>
  <c r="X1189" i="2"/>
  <c r="AF1193" i="2"/>
  <c r="AB1193" i="2"/>
  <c r="Z1193" i="2"/>
  <c r="AE1193" i="2"/>
  <c r="X1194" i="2"/>
  <c r="AP1196" i="2"/>
  <c r="AO1196" i="2" s="1"/>
  <c r="AD1196" i="2"/>
  <c r="Z1196" i="2"/>
  <c r="AE1196" i="2"/>
  <c r="X1197" i="2"/>
  <c r="Z1197" i="2" s="1"/>
  <c r="AC1197" i="2"/>
  <c r="AF1201" i="2"/>
  <c r="AB1201" i="2"/>
  <c r="Z1201" i="2"/>
  <c r="AE1201" i="2"/>
  <c r="X1202" i="2"/>
  <c r="AD1202" i="2" s="1"/>
  <c r="AP1204" i="2"/>
  <c r="AO1204" i="2" s="1"/>
  <c r="AD1204" i="2"/>
  <c r="Z1204" i="2"/>
  <c r="AE1204" i="2"/>
  <c r="X1205" i="2"/>
  <c r="AE1205" i="2" s="1"/>
  <c r="AF1209" i="2"/>
  <c r="AB1209" i="2"/>
  <c r="Z1209" i="2"/>
  <c r="AE1209" i="2"/>
  <c r="X1210" i="2"/>
  <c r="AD1210" i="2" s="1"/>
  <c r="AP1212" i="2"/>
  <c r="AO1212" i="2" s="1"/>
  <c r="AD1212" i="2"/>
  <c r="Z1212" i="2"/>
  <c r="AE1212" i="2"/>
  <c r="X1213" i="2"/>
  <c r="AF1213" i="2" s="1"/>
  <c r="AC1213" i="2"/>
  <c r="AF1217" i="2"/>
  <c r="AB1217" i="2"/>
  <c r="Z1217" i="2"/>
  <c r="AE1217" i="2"/>
  <c r="X1218" i="2"/>
  <c r="AE1218" i="2" s="1"/>
  <c r="AP1220" i="2"/>
  <c r="AO1220" i="2" s="1"/>
  <c r="AD1220" i="2"/>
  <c r="Z1220" i="2"/>
  <c r="AE1220" i="2"/>
  <c r="X1221" i="2"/>
  <c r="AF1225" i="2"/>
  <c r="AB1225" i="2"/>
  <c r="Z1225" i="2"/>
  <c r="AE1225" i="2"/>
  <c r="X1226" i="2"/>
  <c r="AP1228" i="2"/>
  <c r="AO1228" i="2" s="1"/>
  <c r="AD1228" i="2"/>
  <c r="Z1228" i="2"/>
  <c r="AE1228" i="2"/>
  <c r="X1229" i="2"/>
  <c r="AE1229" i="2" s="1"/>
  <c r="AC1229" i="2"/>
  <c r="AF1233" i="2"/>
  <c r="AB1233" i="2"/>
  <c r="Z1233" i="2"/>
  <c r="AE1233" i="2"/>
  <c r="X1234" i="2"/>
  <c r="AE1234" i="2" s="1"/>
  <c r="AP1236" i="2"/>
  <c r="AO1236" i="2" s="1"/>
  <c r="AD1236" i="2"/>
  <c r="Z1236" i="2"/>
  <c r="AE1236" i="2"/>
  <c r="X1237" i="2"/>
  <c r="AB1237" i="2" s="1"/>
  <c r="AF1241" i="2"/>
  <c r="AB1241" i="2"/>
  <c r="Z1241" i="2"/>
  <c r="AE1241" i="2"/>
  <c r="X1242" i="2"/>
  <c r="Z1242" i="2" s="1"/>
  <c r="AP1244" i="2"/>
  <c r="AO1244" i="2" s="1"/>
  <c r="AD1244" i="2"/>
  <c r="Z1244" i="2"/>
  <c r="AE1244" i="2"/>
  <c r="X1245" i="2"/>
  <c r="AE1245" i="2" s="1"/>
  <c r="AC1245" i="2"/>
  <c r="AF1249" i="2"/>
  <c r="AB1249" i="2"/>
  <c r="Z1249" i="2"/>
  <c r="AE1249" i="2"/>
  <c r="X1250" i="2"/>
  <c r="Z1250" i="2" s="1"/>
  <c r="AP1252" i="2"/>
  <c r="AO1252" i="2" s="1"/>
  <c r="AD1252" i="2"/>
  <c r="Z1252" i="2"/>
  <c r="AE1252" i="2"/>
  <c r="X1253" i="2"/>
  <c r="AF1257" i="2"/>
  <c r="AB1257" i="2"/>
  <c r="Z1257" i="2"/>
  <c r="AE1257" i="2"/>
  <c r="X1258" i="2"/>
  <c r="AP1260" i="2"/>
  <c r="AO1260" i="2" s="1"/>
  <c r="AD1260" i="2"/>
  <c r="Z1260" i="2"/>
  <c r="AE1260" i="2"/>
  <c r="X1261" i="2"/>
  <c r="AE1261" i="2" s="1"/>
  <c r="AC1261" i="2"/>
  <c r="AF1265" i="2"/>
  <c r="AB1265" i="2"/>
  <c r="Z1265" i="2"/>
  <c r="AE1265" i="2"/>
  <c r="X1266" i="2"/>
  <c r="AC1266" i="2" s="1"/>
  <c r="AP1268" i="2"/>
  <c r="AO1268" i="2" s="1"/>
  <c r="AD1268" i="2"/>
  <c r="Z1268" i="2"/>
  <c r="AE1268" i="2"/>
  <c r="X1269" i="2"/>
  <c r="AB1269" i="2" s="1"/>
  <c r="AF1273" i="2"/>
  <c r="AB1273" i="2"/>
  <c r="Z1273" i="2"/>
  <c r="AE1273" i="2"/>
  <c r="X1274" i="2"/>
  <c r="AD1274" i="2" s="1"/>
  <c r="AP1276" i="2"/>
  <c r="AO1276" i="2" s="1"/>
  <c r="AD1276" i="2"/>
  <c r="Z1276" i="2"/>
  <c r="AE1276" i="2"/>
  <c r="X1277" i="2"/>
  <c r="Z1277" i="2" s="1"/>
  <c r="AP1277" i="2"/>
  <c r="AO1277" i="2" s="1"/>
  <c r="AF1281" i="2"/>
  <c r="AB1281" i="2"/>
  <c r="Z1281" i="2"/>
  <c r="AE1281" i="2"/>
  <c r="X1282" i="2"/>
  <c r="AP1284" i="2"/>
  <c r="AO1284" i="2" s="1"/>
  <c r="AD1284" i="2"/>
  <c r="Z1284" i="2"/>
  <c r="AE1284" i="2"/>
  <c r="X1285" i="2"/>
  <c r="AE1285" i="2" s="1"/>
  <c r="AC1285" i="2"/>
  <c r="AF1289" i="2"/>
  <c r="AB1289" i="2"/>
  <c r="Z1289" i="2"/>
  <c r="AE1289" i="2"/>
  <c r="X1290" i="2"/>
  <c r="AP1292" i="2"/>
  <c r="AO1292" i="2" s="1"/>
  <c r="AD1292" i="2"/>
  <c r="Z1292" i="2"/>
  <c r="AE1292" i="2"/>
  <c r="X1293" i="2"/>
  <c r="AB1293" i="2" s="1"/>
  <c r="AC1293" i="2"/>
  <c r="AF1297" i="2"/>
  <c r="AB1297" i="2"/>
  <c r="Z1297" i="2"/>
  <c r="AE1297" i="2"/>
  <c r="X1298" i="2"/>
  <c r="AG1298" i="2" s="1"/>
  <c r="AP1300" i="2"/>
  <c r="AO1300" i="2" s="1"/>
  <c r="AD1300" i="2"/>
  <c r="Z1300" i="2"/>
  <c r="AE1300" i="2"/>
  <c r="X1301" i="2"/>
  <c r="AG1301" i="2" s="1"/>
  <c r="AF1305" i="2"/>
  <c r="AB1305" i="2"/>
  <c r="Z1305" i="2"/>
  <c r="AE1305" i="2"/>
  <c r="X1306" i="2"/>
  <c r="AG1306" i="2" s="1"/>
  <c r="AP1308" i="2"/>
  <c r="AO1308" i="2" s="1"/>
  <c r="AD1308" i="2"/>
  <c r="Z1308" i="2"/>
  <c r="AE1308" i="2"/>
  <c r="X1309" i="2"/>
  <c r="AG1309" i="2" s="1"/>
  <c r="AC1309" i="2"/>
  <c r="AF1313" i="2"/>
  <c r="AB1313" i="2"/>
  <c r="Z1313" i="2"/>
  <c r="AE1313" i="2"/>
  <c r="X1314" i="2"/>
  <c r="AG1314" i="2" s="1"/>
  <c r="AP1316" i="2"/>
  <c r="AO1316" i="2" s="1"/>
  <c r="AD1316" i="2"/>
  <c r="Z1316" i="2"/>
  <c r="AE1316" i="2"/>
  <c r="X1317" i="2"/>
  <c r="AG1317" i="2" s="1"/>
  <c r="AF1321" i="2"/>
  <c r="AB1321" i="2"/>
  <c r="Z1321" i="2"/>
  <c r="AE1321" i="2"/>
  <c r="X1322" i="2"/>
  <c r="AG1322" i="2" s="1"/>
  <c r="AP1324" i="2"/>
  <c r="AO1324" i="2" s="1"/>
  <c r="AD1324" i="2"/>
  <c r="Z1324" i="2"/>
  <c r="AE1324" i="2"/>
  <c r="X1325" i="2"/>
  <c r="AG1325" i="2" s="1"/>
  <c r="AC1325" i="2"/>
  <c r="AF1329" i="2"/>
  <c r="AB1329" i="2"/>
  <c r="Z1329" i="2"/>
  <c r="AE1329" i="2"/>
  <c r="X1330" i="2"/>
  <c r="AG1330" i="2" s="1"/>
  <c r="AP1332" i="2"/>
  <c r="AO1332" i="2" s="1"/>
  <c r="AD1332" i="2"/>
  <c r="Z1332" i="2"/>
  <c r="AE1332" i="2"/>
  <c r="X1333" i="2"/>
  <c r="AG1333" i="2" s="1"/>
  <c r="AF1337" i="2"/>
  <c r="AB1337" i="2"/>
  <c r="Z1337" i="2"/>
  <c r="AE1337" i="2"/>
  <c r="X1338" i="2"/>
  <c r="AG1338" i="2" s="1"/>
  <c r="AP1340" i="2"/>
  <c r="AO1340" i="2" s="1"/>
  <c r="AD1340" i="2"/>
  <c r="Z1340" i="2"/>
  <c r="AE1340" i="2"/>
  <c r="X1341" i="2"/>
  <c r="AG1341" i="2" s="1"/>
  <c r="AC1341" i="2"/>
  <c r="AF1345" i="2"/>
  <c r="AB1345" i="2"/>
  <c r="Z1345" i="2"/>
  <c r="AE1345" i="2"/>
  <c r="X1346" i="2"/>
  <c r="AG1346" i="2" s="1"/>
  <c r="AP1348" i="2"/>
  <c r="AO1348" i="2" s="1"/>
  <c r="AD1348" i="2"/>
  <c r="Z1348" i="2"/>
  <c r="AE1348" i="2"/>
  <c r="X1349" i="2"/>
  <c r="AG1349" i="2" s="1"/>
  <c r="AF1353" i="2"/>
  <c r="AB1353" i="2"/>
  <c r="Z1353" i="2"/>
  <c r="AE1353" i="2"/>
  <c r="X1354" i="2"/>
  <c r="AG1354" i="2" s="1"/>
  <c r="AP1356" i="2"/>
  <c r="AO1356" i="2" s="1"/>
  <c r="AD1356" i="2"/>
  <c r="Z1356" i="2"/>
  <c r="AE1356" i="2"/>
  <c r="X1357" i="2"/>
  <c r="AG1357" i="2" s="1"/>
  <c r="AC1357" i="2"/>
  <c r="AF1361" i="2"/>
  <c r="AB1361" i="2"/>
  <c r="Z1361" i="2"/>
  <c r="AE1361" i="2"/>
  <c r="X1362" i="2"/>
  <c r="AD1362" i="2" s="1"/>
  <c r="AP1364" i="2"/>
  <c r="AO1364" i="2" s="1"/>
  <c r="AD1364" i="2"/>
  <c r="Z1364" i="2"/>
  <c r="AE1364" i="2"/>
  <c r="X1365" i="2"/>
  <c r="AE1365" i="2" s="1"/>
  <c r="AF1369" i="2"/>
  <c r="AB1369" i="2"/>
  <c r="Z1369" i="2"/>
  <c r="AE1369" i="2"/>
  <c r="X1370" i="2"/>
  <c r="AC1370" i="2" s="1"/>
  <c r="AP1372" i="2"/>
  <c r="AO1372" i="2" s="1"/>
  <c r="AD1372" i="2"/>
  <c r="Z1372" i="2"/>
  <c r="AE1372" i="2"/>
  <c r="X1373" i="2"/>
  <c r="Z1373" i="2" s="1"/>
  <c r="AF1377" i="2"/>
  <c r="AB1377" i="2"/>
  <c r="Z1377" i="2"/>
  <c r="AE1377" i="2"/>
  <c r="X1378" i="2"/>
  <c r="AC1378" i="2" s="1"/>
  <c r="AP1380" i="2"/>
  <c r="AO1380" i="2" s="1"/>
  <c r="AD1380" i="2"/>
  <c r="Z1380" i="2"/>
  <c r="AE1380" i="2"/>
  <c r="X1381" i="2"/>
  <c r="AE1381" i="2" s="1"/>
  <c r="AC1381" i="2"/>
  <c r="AF1385" i="2"/>
  <c r="AB1385" i="2"/>
  <c r="Z1385" i="2"/>
  <c r="AE1385" i="2"/>
  <c r="X1386" i="2"/>
  <c r="Z1386" i="2" s="1"/>
  <c r="AP1388" i="2"/>
  <c r="AO1388" i="2" s="1"/>
  <c r="AD1388" i="2"/>
  <c r="Z1388" i="2"/>
  <c r="AE1388" i="2"/>
  <c r="X1389" i="2"/>
  <c r="AF1393" i="2"/>
  <c r="AB1393" i="2"/>
  <c r="Z1393" i="2"/>
  <c r="AE1393" i="2"/>
  <c r="X1394" i="2"/>
  <c r="AP1396" i="2"/>
  <c r="AO1396" i="2" s="1"/>
  <c r="AD1396" i="2"/>
  <c r="Z1396" i="2"/>
  <c r="AE1396" i="2"/>
  <c r="X1397" i="2"/>
  <c r="AB1397" i="2" s="1"/>
  <c r="AC1397" i="2"/>
  <c r="AF1401" i="2"/>
  <c r="AB1401" i="2"/>
  <c r="Z1401" i="2"/>
  <c r="AE1401" i="2"/>
  <c r="X1402" i="2"/>
  <c r="AP1404" i="2"/>
  <c r="AO1404" i="2" s="1"/>
  <c r="AD1404" i="2"/>
  <c r="Z1404" i="2"/>
  <c r="AE1404" i="2"/>
  <c r="X1405" i="2"/>
  <c r="AE1405" i="2" s="1"/>
  <c r="AC1405" i="2"/>
  <c r="AF1409" i="2"/>
  <c r="AB1409" i="2"/>
  <c r="Z1409" i="2"/>
  <c r="AE1409" i="2"/>
  <c r="AC1412" i="2"/>
  <c r="AP1416" i="2"/>
  <c r="AO1416" i="2" s="1"/>
  <c r="AQ1417" i="2"/>
  <c r="AP1417" i="2"/>
  <c r="AO1417" i="2" s="1"/>
  <c r="X1419" i="2"/>
  <c r="AO1423" i="2"/>
  <c r="AF1135" i="2"/>
  <c r="AB1135" i="2"/>
  <c r="Z1135" i="2"/>
  <c r="AE1135" i="2"/>
  <c r="X1136" i="2"/>
  <c r="AB1136" i="2" s="1"/>
  <c r="AD1141" i="2"/>
  <c r="AO1142" i="2"/>
  <c r="AF1143" i="2"/>
  <c r="AB1143" i="2"/>
  <c r="Z1143" i="2"/>
  <c r="AE1143" i="2"/>
  <c r="X1144" i="2"/>
  <c r="AC1147" i="2"/>
  <c r="AP1147" i="2"/>
  <c r="AO1147" i="2" s="1"/>
  <c r="AD1149" i="2"/>
  <c r="AO1150" i="2"/>
  <c r="AF1151" i="2"/>
  <c r="AB1151" i="2"/>
  <c r="Z1151" i="2"/>
  <c r="AE1151" i="2"/>
  <c r="X1152" i="2"/>
  <c r="AF1152" i="2" s="1"/>
  <c r="AC1155" i="2"/>
  <c r="AP1155" i="2"/>
  <c r="AO1155" i="2" s="1"/>
  <c r="AD1157" i="2"/>
  <c r="AO1158" i="2"/>
  <c r="AF1159" i="2"/>
  <c r="AB1159" i="2"/>
  <c r="Z1159" i="2"/>
  <c r="AE1159" i="2"/>
  <c r="X1160" i="2"/>
  <c r="Z1160" i="2" s="1"/>
  <c r="AC1163" i="2"/>
  <c r="AP1163" i="2"/>
  <c r="AO1163" i="2" s="1"/>
  <c r="AA1164" i="2"/>
  <c r="AF1164" i="2"/>
  <c r="AD1165" i="2"/>
  <c r="AO1166" i="2"/>
  <c r="AF1167" i="2"/>
  <c r="AB1167" i="2"/>
  <c r="Z1167" i="2"/>
  <c r="AE1167" i="2"/>
  <c r="X1168" i="2"/>
  <c r="AB1168" i="2" s="1"/>
  <c r="AA1169" i="2"/>
  <c r="AC1171" i="2"/>
  <c r="AP1171" i="2"/>
  <c r="AO1171" i="2" s="1"/>
  <c r="AA1172" i="2"/>
  <c r="AF1172" i="2"/>
  <c r="AD1173" i="2"/>
  <c r="AO1174" i="2"/>
  <c r="AF1175" i="2"/>
  <c r="AB1175" i="2"/>
  <c r="Z1175" i="2"/>
  <c r="AE1175" i="2"/>
  <c r="X1176" i="2"/>
  <c r="AD1176" i="2" s="1"/>
  <c r="AA1177" i="2"/>
  <c r="AC1179" i="2"/>
  <c r="AP1179" i="2"/>
  <c r="AO1179" i="2" s="1"/>
  <c r="AA1180" i="2"/>
  <c r="AF1180" i="2"/>
  <c r="AD1181" i="2"/>
  <c r="AO1182" i="2"/>
  <c r="AF1183" i="2"/>
  <c r="AB1183" i="2"/>
  <c r="Z1183" i="2"/>
  <c r="AE1183" i="2"/>
  <c r="X1184" i="2"/>
  <c r="AB1184" i="2" s="1"/>
  <c r="AA1185" i="2"/>
  <c r="AC1187" i="2"/>
  <c r="AP1187" i="2"/>
  <c r="AO1187" i="2" s="1"/>
  <c r="AA1188" i="2"/>
  <c r="AF1188" i="2"/>
  <c r="AD1189" i="2"/>
  <c r="AO1190" i="2"/>
  <c r="AF1191" i="2"/>
  <c r="AB1191" i="2"/>
  <c r="Z1191" i="2"/>
  <c r="AE1191" i="2"/>
  <c r="X1192" i="2"/>
  <c r="AD1192" i="2" s="1"/>
  <c r="AA1193" i="2"/>
  <c r="AC1195" i="2"/>
  <c r="AP1195" i="2"/>
  <c r="AO1195" i="2" s="1"/>
  <c r="AA1196" i="2"/>
  <c r="AF1196" i="2"/>
  <c r="AD1197" i="2"/>
  <c r="AO1198" i="2"/>
  <c r="AF1199" i="2"/>
  <c r="AB1199" i="2"/>
  <c r="Z1199" i="2"/>
  <c r="AE1199" i="2"/>
  <c r="X1200" i="2"/>
  <c r="AB1200" i="2" s="1"/>
  <c r="AA1201" i="2"/>
  <c r="AC1203" i="2"/>
  <c r="AP1203" i="2"/>
  <c r="AO1203" i="2" s="1"/>
  <c r="AA1204" i="2"/>
  <c r="AF1204" i="2"/>
  <c r="AD1205" i="2"/>
  <c r="AO1206" i="2"/>
  <c r="AF1207" i="2"/>
  <c r="AB1207" i="2"/>
  <c r="Z1207" i="2"/>
  <c r="AE1207" i="2"/>
  <c r="X1208" i="2"/>
  <c r="AD1208" i="2" s="1"/>
  <c r="AA1209" i="2"/>
  <c r="AC1211" i="2"/>
  <c r="AP1211" i="2"/>
  <c r="AO1211" i="2" s="1"/>
  <c r="AA1212" i="2"/>
  <c r="AF1212" i="2"/>
  <c r="AD1213" i="2"/>
  <c r="AO1214" i="2"/>
  <c r="AF1215" i="2"/>
  <c r="AB1215" i="2"/>
  <c r="Z1215" i="2"/>
  <c r="AE1215" i="2"/>
  <c r="X1216" i="2"/>
  <c r="AB1216" i="2" s="1"/>
  <c r="AA1217" i="2"/>
  <c r="AC1219" i="2"/>
  <c r="AP1219" i="2"/>
  <c r="AO1219" i="2" s="1"/>
  <c r="AA1220" i="2"/>
  <c r="AF1220" i="2"/>
  <c r="AD1221" i="2"/>
  <c r="AO1222" i="2"/>
  <c r="AF1223" i="2"/>
  <c r="AB1223" i="2"/>
  <c r="Z1223" i="2"/>
  <c r="AE1223" i="2"/>
  <c r="X1224" i="2"/>
  <c r="AE1224" i="2" s="1"/>
  <c r="AC1224" i="2"/>
  <c r="AA1225" i="2"/>
  <c r="AO1225" i="2"/>
  <c r="AC1227" i="2"/>
  <c r="AP1227" i="2"/>
  <c r="AO1227" i="2" s="1"/>
  <c r="AA1228" i="2"/>
  <c r="AF1228" i="2"/>
  <c r="AD1229" i="2"/>
  <c r="AO1230" i="2"/>
  <c r="AF1231" i="2"/>
  <c r="AB1231" i="2"/>
  <c r="Z1231" i="2"/>
  <c r="AE1231" i="2"/>
  <c r="X1232" i="2"/>
  <c r="Z1232" i="2" s="1"/>
  <c r="AC1232" i="2"/>
  <c r="AA1233" i="2"/>
  <c r="AO1233" i="2"/>
  <c r="AC1235" i="2"/>
  <c r="AP1235" i="2"/>
  <c r="AO1235" i="2" s="1"/>
  <c r="AA1236" i="2"/>
  <c r="AF1236" i="2"/>
  <c r="AD1237" i="2"/>
  <c r="AO1238" i="2"/>
  <c r="AF1239" i="2"/>
  <c r="AB1239" i="2"/>
  <c r="Z1239" i="2"/>
  <c r="AE1239" i="2"/>
  <c r="X1240" i="2"/>
  <c r="AD1240" i="2" s="1"/>
  <c r="AC1240" i="2"/>
  <c r="AA1241" i="2"/>
  <c r="AO1241" i="2"/>
  <c r="AC1243" i="2"/>
  <c r="AP1243" i="2"/>
  <c r="AO1243" i="2" s="1"/>
  <c r="AA1244" i="2"/>
  <c r="AF1244" i="2"/>
  <c r="AD1245" i="2"/>
  <c r="AO1246" i="2"/>
  <c r="AF1247" i="2"/>
  <c r="AB1247" i="2"/>
  <c r="Z1247" i="2"/>
  <c r="AE1247" i="2"/>
  <c r="X1248" i="2"/>
  <c r="AD1248" i="2" s="1"/>
  <c r="AC1248" i="2"/>
  <c r="AA1249" i="2"/>
  <c r="AO1249" i="2"/>
  <c r="AC1251" i="2"/>
  <c r="AP1251" i="2"/>
  <c r="AO1251" i="2" s="1"/>
  <c r="AA1252" i="2"/>
  <c r="AF1252" i="2"/>
  <c r="AD1253" i="2"/>
  <c r="AO1254" i="2"/>
  <c r="AF1255" i="2"/>
  <c r="AB1255" i="2"/>
  <c r="Z1255" i="2"/>
  <c r="AE1255" i="2"/>
  <c r="X1256" i="2"/>
  <c r="AE1256" i="2" s="1"/>
  <c r="AC1256" i="2"/>
  <c r="AA1257" i="2"/>
  <c r="AO1257" i="2"/>
  <c r="AC1259" i="2"/>
  <c r="AP1259" i="2"/>
  <c r="AO1259" i="2" s="1"/>
  <c r="AA1260" i="2"/>
  <c r="AF1260" i="2"/>
  <c r="AD1261" i="2"/>
  <c r="AO1262" i="2"/>
  <c r="AF1263" i="2"/>
  <c r="AB1263" i="2"/>
  <c r="Z1263" i="2"/>
  <c r="AE1263" i="2"/>
  <c r="X1264" i="2"/>
  <c r="Z1264" i="2" s="1"/>
  <c r="AC1264" i="2"/>
  <c r="AA1265" i="2"/>
  <c r="AO1265" i="2"/>
  <c r="AC1267" i="2"/>
  <c r="AP1267" i="2"/>
  <c r="AO1267" i="2" s="1"/>
  <c r="AA1268" i="2"/>
  <c r="AF1268" i="2"/>
  <c r="AD1269" i="2"/>
  <c r="AO1270" i="2"/>
  <c r="AF1271" i="2"/>
  <c r="AB1271" i="2"/>
  <c r="Z1271" i="2"/>
  <c r="AE1271" i="2"/>
  <c r="X1272" i="2"/>
  <c r="AD1272" i="2" s="1"/>
  <c r="AC1272" i="2"/>
  <c r="AA1273" i="2"/>
  <c r="AO1273" i="2"/>
  <c r="AC1275" i="2"/>
  <c r="AP1275" i="2"/>
  <c r="AO1275" i="2" s="1"/>
  <c r="AA1276" i="2"/>
  <c r="AF1276" i="2"/>
  <c r="AD1277" i="2"/>
  <c r="AO1278" i="2"/>
  <c r="AF1279" i="2"/>
  <c r="AB1279" i="2"/>
  <c r="Z1279" i="2"/>
  <c r="AE1279" i="2"/>
  <c r="X1280" i="2"/>
  <c r="Z1280" i="2" s="1"/>
  <c r="AC1280" i="2"/>
  <c r="AA1281" i="2"/>
  <c r="AO1281" i="2"/>
  <c r="AC1283" i="2"/>
  <c r="AP1283" i="2"/>
  <c r="AO1283" i="2" s="1"/>
  <c r="AA1284" i="2"/>
  <c r="AF1284" i="2"/>
  <c r="AD1285" i="2"/>
  <c r="AO1286" i="2"/>
  <c r="AF1287" i="2"/>
  <c r="AB1287" i="2"/>
  <c r="Z1287" i="2"/>
  <c r="AE1287" i="2"/>
  <c r="X1288" i="2"/>
  <c r="Z1288" i="2" s="1"/>
  <c r="AC1288" i="2"/>
  <c r="AA1289" i="2"/>
  <c r="AO1289" i="2"/>
  <c r="AA1292" i="2"/>
  <c r="AF1292" i="2"/>
  <c r="AD1293" i="2"/>
  <c r="AO1294" i="2"/>
  <c r="AF1295" i="2"/>
  <c r="AB1295" i="2"/>
  <c r="Z1295" i="2"/>
  <c r="AE1295" i="2"/>
  <c r="X1296" i="2"/>
  <c r="Z1296" i="2" s="1"/>
  <c r="AC1296" i="2"/>
  <c r="AA1297" i="2"/>
  <c r="AO1297" i="2"/>
  <c r="AC1299" i="2"/>
  <c r="AP1299" i="2"/>
  <c r="AO1299" i="2" s="1"/>
  <c r="AA1300" i="2"/>
  <c r="AF1300" i="2"/>
  <c r="AD1301" i="2"/>
  <c r="AO1302" i="2"/>
  <c r="AF1303" i="2"/>
  <c r="AB1303" i="2"/>
  <c r="Z1303" i="2"/>
  <c r="AE1303" i="2"/>
  <c r="X1304" i="2"/>
  <c r="AD1304" i="2" s="1"/>
  <c r="AC1304" i="2"/>
  <c r="AA1305" i="2"/>
  <c r="AO1305" i="2"/>
  <c r="AC1307" i="2"/>
  <c r="AP1307" i="2"/>
  <c r="AO1307" i="2" s="1"/>
  <c r="AA1308" i="2"/>
  <c r="AF1308" i="2"/>
  <c r="AD1309" i="2"/>
  <c r="AO1310" i="2"/>
  <c r="AF1311" i="2"/>
  <c r="AB1311" i="2"/>
  <c r="Z1311" i="2"/>
  <c r="AE1311" i="2"/>
  <c r="X1312" i="2"/>
  <c r="AC1312" i="2"/>
  <c r="AA1313" i="2"/>
  <c r="AO1313" i="2"/>
  <c r="AC1315" i="2"/>
  <c r="AP1315" i="2"/>
  <c r="AO1315" i="2" s="1"/>
  <c r="AA1316" i="2"/>
  <c r="AF1316" i="2"/>
  <c r="AD1317" i="2"/>
  <c r="AO1318" i="2"/>
  <c r="AF1319" i="2"/>
  <c r="AB1319" i="2"/>
  <c r="Z1319" i="2"/>
  <c r="AE1319" i="2"/>
  <c r="X1320" i="2"/>
  <c r="AE1320" i="2" s="1"/>
  <c r="AC1320" i="2"/>
  <c r="AA1321" i="2"/>
  <c r="AO1321" i="2"/>
  <c r="AC1323" i="2"/>
  <c r="AP1323" i="2"/>
  <c r="AO1323" i="2" s="1"/>
  <c r="AA1324" i="2"/>
  <c r="AF1324" i="2"/>
  <c r="AD1325" i="2"/>
  <c r="AO1326" i="2"/>
  <c r="AF1327" i="2"/>
  <c r="AB1327" i="2"/>
  <c r="Z1327" i="2"/>
  <c r="AE1327" i="2"/>
  <c r="X1328" i="2"/>
  <c r="Z1328" i="2" s="1"/>
  <c r="AC1328" i="2"/>
  <c r="AA1329" i="2"/>
  <c r="AO1329" i="2"/>
  <c r="AC1331" i="2"/>
  <c r="AP1331" i="2"/>
  <c r="AO1331" i="2" s="1"/>
  <c r="AA1332" i="2"/>
  <c r="AF1332" i="2"/>
  <c r="AD1333" i="2"/>
  <c r="AO1334" i="2"/>
  <c r="AF1335" i="2"/>
  <c r="AB1335" i="2"/>
  <c r="Z1335" i="2"/>
  <c r="AE1335" i="2"/>
  <c r="X1336" i="2"/>
  <c r="AD1336" i="2" s="1"/>
  <c r="AC1336" i="2"/>
  <c r="AA1337" i="2"/>
  <c r="AO1337" i="2"/>
  <c r="AC1339" i="2"/>
  <c r="AP1339" i="2"/>
  <c r="AO1339" i="2" s="1"/>
  <c r="AA1340" i="2"/>
  <c r="AF1340" i="2"/>
  <c r="AD1341" i="2"/>
  <c r="AO1342" i="2"/>
  <c r="AF1343" i="2"/>
  <c r="AB1343" i="2"/>
  <c r="Z1343" i="2"/>
  <c r="AE1343" i="2"/>
  <c r="X1344" i="2"/>
  <c r="AC1344" i="2"/>
  <c r="AA1345" i="2"/>
  <c r="AO1345" i="2"/>
  <c r="AC1347" i="2"/>
  <c r="AP1347" i="2"/>
  <c r="AO1347" i="2" s="1"/>
  <c r="AA1348" i="2"/>
  <c r="AF1348" i="2"/>
  <c r="AD1349" i="2"/>
  <c r="AO1350" i="2"/>
  <c r="AF1351" i="2"/>
  <c r="AB1351" i="2"/>
  <c r="Z1351" i="2"/>
  <c r="AE1351" i="2"/>
  <c r="X1352" i="2"/>
  <c r="AE1352" i="2" s="1"/>
  <c r="AC1352" i="2"/>
  <c r="AA1353" i="2"/>
  <c r="AO1353" i="2"/>
  <c r="AC1355" i="2"/>
  <c r="AP1355" i="2"/>
  <c r="AO1355" i="2" s="1"/>
  <c r="AA1356" i="2"/>
  <c r="AF1356" i="2"/>
  <c r="AD1357" i="2"/>
  <c r="AO1358" i="2"/>
  <c r="AF1359" i="2"/>
  <c r="AB1359" i="2"/>
  <c r="Z1359" i="2"/>
  <c r="AE1359" i="2"/>
  <c r="X1360" i="2"/>
  <c r="Z1360" i="2" s="1"/>
  <c r="AC1360" i="2"/>
  <c r="AA1361" i="2"/>
  <c r="AO1361" i="2"/>
  <c r="AC1363" i="2"/>
  <c r="AP1363" i="2"/>
  <c r="AO1363" i="2" s="1"/>
  <c r="AA1364" i="2"/>
  <c r="AF1364" i="2"/>
  <c r="AD1365" i="2"/>
  <c r="AO1366" i="2"/>
  <c r="AF1367" i="2"/>
  <c r="AB1367" i="2"/>
  <c r="Z1367" i="2"/>
  <c r="AE1367" i="2"/>
  <c r="X1368" i="2"/>
  <c r="AD1368" i="2" s="1"/>
  <c r="AC1368" i="2"/>
  <c r="AA1369" i="2"/>
  <c r="AO1369" i="2"/>
  <c r="AC1371" i="2"/>
  <c r="AP1371" i="2"/>
  <c r="AO1371" i="2" s="1"/>
  <c r="AA1372" i="2"/>
  <c r="AF1372" i="2"/>
  <c r="AD1373" i="2"/>
  <c r="AO1374" i="2"/>
  <c r="AF1375" i="2"/>
  <c r="AB1375" i="2"/>
  <c r="Z1375" i="2"/>
  <c r="AE1375" i="2"/>
  <c r="X1376" i="2"/>
  <c r="AC1376" i="2"/>
  <c r="AA1377" i="2"/>
  <c r="AO1377" i="2"/>
  <c r="AA1380" i="2"/>
  <c r="AF1380" i="2"/>
  <c r="AD1381" i="2"/>
  <c r="AO1382" i="2"/>
  <c r="AF1383" i="2"/>
  <c r="AB1383" i="2"/>
  <c r="Z1383" i="2"/>
  <c r="AE1383" i="2"/>
  <c r="X1384" i="2"/>
  <c r="AD1384" i="2" s="1"/>
  <c r="AC1384" i="2"/>
  <c r="AA1385" i="2"/>
  <c r="AO1385" i="2"/>
  <c r="AA1388" i="2"/>
  <c r="AF1388" i="2"/>
  <c r="AD1389" i="2"/>
  <c r="AO1390" i="2"/>
  <c r="AF1391" i="2"/>
  <c r="AB1391" i="2"/>
  <c r="Z1391" i="2"/>
  <c r="AE1391" i="2"/>
  <c r="X1392" i="2"/>
  <c r="AC1392" i="2"/>
  <c r="AA1393" i="2"/>
  <c r="AO1393" i="2"/>
  <c r="AA1396" i="2"/>
  <c r="AF1396" i="2"/>
  <c r="AD1397" i="2"/>
  <c r="AO1398" i="2"/>
  <c r="AF1399" i="2"/>
  <c r="AB1399" i="2"/>
  <c r="Z1399" i="2"/>
  <c r="AE1399" i="2"/>
  <c r="X1400" i="2"/>
  <c r="AD1400" i="2" s="1"/>
  <c r="AC1400" i="2"/>
  <c r="AA1401" i="2"/>
  <c r="AO1401" i="2"/>
  <c r="AA1404" i="2"/>
  <c r="AF1404" i="2"/>
  <c r="AD1405" i="2"/>
  <c r="AO1406" i="2"/>
  <c r="AF1407" i="2"/>
  <c r="AB1407" i="2"/>
  <c r="Z1407" i="2"/>
  <c r="AE1407" i="2"/>
  <c r="X1408" i="2"/>
  <c r="AC1408" i="2"/>
  <c r="AA1409" i="2"/>
  <c r="AO1409" i="2"/>
  <c r="X1410" i="2"/>
  <c r="AA1410" i="2" s="1"/>
  <c r="AD1419" i="2"/>
  <c r="AP1424" i="2"/>
  <c r="AO1424" i="2" s="1"/>
  <c r="AQ1425" i="2"/>
  <c r="AP1425" i="2"/>
  <c r="AO1425" i="2" s="1"/>
  <c r="X1427" i="2"/>
  <c r="X1414" i="2"/>
  <c r="AF1414" i="2" s="1"/>
  <c r="X1422" i="2"/>
  <c r="AC1422" i="2" s="1"/>
  <c r="X1428" i="2"/>
  <c r="AA1428" i="2" s="1"/>
  <c r="X1429" i="2"/>
  <c r="Z1429" i="2" s="1"/>
  <c r="X1437" i="2"/>
  <c r="AQ1441" i="2"/>
  <c r="AP1441" i="2"/>
  <c r="X1443" i="2"/>
  <c r="AD1443" i="2"/>
  <c r="AC1443" i="2"/>
  <c r="AP1444" i="2"/>
  <c r="AO1444" i="2" s="1"/>
  <c r="AP1450" i="2"/>
  <c r="AO1450" i="2" s="1"/>
  <c r="AQ1465" i="2"/>
  <c r="AP1465" i="2"/>
  <c r="X1467" i="2"/>
  <c r="AD1467" i="2" s="1"/>
  <c r="AP1468" i="2"/>
  <c r="AO1468" i="2" s="1"/>
  <c r="AP1482" i="2"/>
  <c r="AQ1483" i="2"/>
  <c r="AP1483" i="2"/>
  <c r="X1501" i="2"/>
  <c r="AA1501" i="2"/>
  <c r="AD1501" i="2"/>
  <c r="AC1501" i="2"/>
  <c r="AP1504" i="2"/>
  <c r="AP1508" i="2"/>
  <c r="AP1512" i="2"/>
  <c r="AQ1517" i="2"/>
  <c r="AP1517" i="2"/>
  <c r="AP1519" i="2"/>
  <c r="AQ1519" i="2"/>
  <c r="X1521" i="2"/>
  <c r="AD1521" i="2" s="1"/>
  <c r="AP1532" i="2"/>
  <c r="AP1536" i="2"/>
  <c r="AP1544" i="2"/>
  <c r="AF1419" i="2"/>
  <c r="AB1419" i="2"/>
  <c r="Z1419" i="2"/>
  <c r="AE1419" i="2"/>
  <c r="X1420" i="2"/>
  <c r="AC1420" i="2" s="1"/>
  <c r="AP1422" i="2"/>
  <c r="AD1422" i="2"/>
  <c r="Z1422" i="2"/>
  <c r="AE1422" i="2"/>
  <c r="X1423" i="2"/>
  <c r="AA1423" i="2" s="1"/>
  <c r="AF1427" i="2"/>
  <c r="AB1427" i="2"/>
  <c r="Z1427" i="2"/>
  <c r="AE1427" i="2"/>
  <c r="AP1428" i="2"/>
  <c r="AD1428" i="2"/>
  <c r="Z1428" i="2"/>
  <c r="AC1428" i="2"/>
  <c r="AE1428" i="2"/>
  <c r="AB1428" i="2"/>
  <c r="AF1429" i="2"/>
  <c r="AB1429" i="2"/>
  <c r="AA1429" i="2"/>
  <c r="AD1429" i="2"/>
  <c r="AP1429" i="2"/>
  <c r="AO1429" i="2" s="1"/>
  <c r="AC1429" i="2"/>
  <c r="AE1429" i="2"/>
  <c r="X1430" i="2"/>
  <c r="AP1432" i="2"/>
  <c r="AO1432" i="2" s="1"/>
  <c r="AP1434" i="2"/>
  <c r="AO1434" i="2" s="1"/>
  <c r="X1435" i="2"/>
  <c r="AO1435" i="2"/>
  <c r="AD1435" i="2"/>
  <c r="AF1437" i="2"/>
  <c r="AB1437" i="2"/>
  <c r="AA1437" i="2"/>
  <c r="AD1437" i="2"/>
  <c r="AP1437" i="2"/>
  <c r="AO1437" i="2" s="1"/>
  <c r="AC1437" i="2"/>
  <c r="Z1437" i="2"/>
  <c r="AO1441" i="2"/>
  <c r="AA1443" i="2"/>
  <c r="AQ1457" i="2"/>
  <c r="AP1457" i="2"/>
  <c r="X1459" i="2"/>
  <c r="AD1459" i="2"/>
  <c r="AC1459" i="2"/>
  <c r="AP1460" i="2"/>
  <c r="AO1460" i="2" s="1"/>
  <c r="AO1465" i="2"/>
  <c r="AA1467" i="2"/>
  <c r="AP1474" i="2"/>
  <c r="AO1474" i="2" s="1"/>
  <c r="AQ1489" i="2"/>
  <c r="AP1489" i="2"/>
  <c r="X1491" i="2"/>
  <c r="AD1491" i="2" s="1"/>
  <c r="AO1491" i="2"/>
  <c r="AP1492" i="2"/>
  <c r="AO1492" i="2" s="1"/>
  <c r="AQ1493" i="2"/>
  <c r="AP1493" i="2"/>
  <c r="AP1495" i="2"/>
  <c r="AQ1495" i="2"/>
  <c r="X1497" i="2"/>
  <c r="AD1497" i="2" s="1"/>
  <c r="AP1500" i="2"/>
  <c r="AO1500" i="2" s="1"/>
  <c r="AO1519" i="2"/>
  <c r="AP1524" i="2"/>
  <c r="AO1524" i="2" s="1"/>
  <c r="AP1528" i="2"/>
  <c r="AO1528" i="2" s="1"/>
  <c r="AQ1539" i="2"/>
  <c r="AP1539" i="2"/>
  <c r="X1541" i="2"/>
  <c r="AA1541" i="2" s="1"/>
  <c r="AC1541" i="2"/>
  <c r="AP1542" i="2"/>
  <c r="AO1542" i="2" s="1"/>
  <c r="AF1411" i="2"/>
  <c r="AB1411" i="2"/>
  <c r="AP1412" i="2"/>
  <c r="AO1412" i="2" s="1"/>
  <c r="AD1412" i="2"/>
  <c r="Z1412" i="2"/>
  <c r="AE1412" i="2"/>
  <c r="X1413" i="2"/>
  <c r="AB1413" i="2" s="1"/>
  <c r="AP1413" i="2"/>
  <c r="AO1413" i="2" s="1"/>
  <c r="AF1417" i="2"/>
  <c r="AB1417" i="2"/>
  <c r="Z1417" i="2"/>
  <c r="AE1417" i="2"/>
  <c r="X1418" i="2"/>
  <c r="AC1418" i="2" s="1"/>
  <c r="AA1419" i="2"/>
  <c r="AP1420" i="2"/>
  <c r="AO1420" i="2" s="1"/>
  <c r="AD1420" i="2"/>
  <c r="Z1420" i="2"/>
  <c r="AE1420" i="2"/>
  <c r="X1421" i="2"/>
  <c r="AE1421" i="2" s="1"/>
  <c r="AP1421" i="2"/>
  <c r="AO1421" i="2" s="1"/>
  <c r="AA1422" i="2"/>
  <c r="AF1422" i="2"/>
  <c r="AD1423" i="2"/>
  <c r="AF1425" i="2"/>
  <c r="AB1425" i="2"/>
  <c r="Z1425" i="2"/>
  <c r="AE1425" i="2"/>
  <c r="X1426" i="2"/>
  <c r="AD1426" i="2" s="1"/>
  <c r="AA1427" i="2"/>
  <c r="AP1427" i="2"/>
  <c r="AO1427" i="2" s="1"/>
  <c r="AF1428" i="2"/>
  <c r="AB1430" i="2"/>
  <c r="X1433" i="2"/>
  <c r="AD1433" i="2" s="1"/>
  <c r="AE1437" i="2"/>
  <c r="AC1438" i="2"/>
  <c r="X1438" i="2"/>
  <c r="AP1442" i="2"/>
  <c r="AQ1443" i="2"/>
  <c r="AP1443" i="2"/>
  <c r="AO1443" i="2" s="1"/>
  <c r="X1445" i="2"/>
  <c r="AQ1449" i="2"/>
  <c r="AP1449" i="2"/>
  <c r="X1451" i="2"/>
  <c r="AD1451" i="2"/>
  <c r="AP1452" i="2"/>
  <c r="AO1452" i="2" s="1"/>
  <c r="AO1457" i="2"/>
  <c r="AA1459" i="2"/>
  <c r="AP1466" i="2"/>
  <c r="AQ1467" i="2"/>
  <c r="AP1467" i="2"/>
  <c r="AO1467" i="2" s="1"/>
  <c r="AQ1481" i="2"/>
  <c r="AP1481" i="2"/>
  <c r="X1483" i="2"/>
  <c r="AD1483" i="2" s="1"/>
  <c r="AO1483" i="2"/>
  <c r="AP1484" i="2"/>
  <c r="AO1484" i="2" s="1"/>
  <c r="AO1489" i="2"/>
  <c r="AO1495" i="2"/>
  <c r="AQ1501" i="2"/>
  <c r="AP1501" i="2"/>
  <c r="AO1501" i="2" s="1"/>
  <c r="AP1503" i="2"/>
  <c r="AQ1503" i="2"/>
  <c r="X1505" i="2"/>
  <c r="AD1505" i="2" s="1"/>
  <c r="AA1505" i="2"/>
  <c r="AQ1509" i="2"/>
  <c r="AP1509" i="2"/>
  <c r="AP1511" i="2"/>
  <c r="AQ1511" i="2"/>
  <c r="X1513" i="2"/>
  <c r="AA1513" i="2"/>
  <c r="AP1520" i="2"/>
  <c r="AO1520" i="2" s="1"/>
  <c r="AQ1531" i="2"/>
  <c r="AP1531" i="2"/>
  <c r="AQ1533" i="2"/>
  <c r="AP1533" i="2"/>
  <c r="X1537" i="2"/>
  <c r="AD1537" i="2" s="1"/>
  <c r="AA1537" i="2"/>
  <c r="AO1539" i="2"/>
  <c r="X1545" i="2"/>
  <c r="AA1545" i="2" s="1"/>
  <c r="AC1411" i="2"/>
  <c r="AP1411" i="2"/>
  <c r="AO1411" i="2" s="1"/>
  <c r="AA1412" i="2"/>
  <c r="AF1412" i="2"/>
  <c r="AD1413" i="2"/>
  <c r="AO1414" i="2"/>
  <c r="AF1415" i="2"/>
  <c r="AB1415" i="2"/>
  <c r="Z1415" i="2"/>
  <c r="AE1415" i="2"/>
  <c r="X1416" i="2"/>
  <c r="AB1416" i="2" s="1"/>
  <c r="AA1417" i="2"/>
  <c r="AC1419" i="2"/>
  <c r="AP1419" i="2"/>
  <c r="AO1419" i="2" s="1"/>
  <c r="AA1420" i="2"/>
  <c r="AF1420" i="2"/>
  <c r="AD1421" i="2"/>
  <c r="AB1422" i="2"/>
  <c r="AO1422" i="2"/>
  <c r="AF1423" i="2"/>
  <c r="AB1423" i="2"/>
  <c r="Z1423" i="2"/>
  <c r="AE1423" i="2"/>
  <c r="X1424" i="2"/>
  <c r="AA1425" i="2"/>
  <c r="AC1427" i="2"/>
  <c r="AO1428" i="2"/>
  <c r="AC1430" i="2"/>
  <c r="AP1431" i="2"/>
  <c r="AO1431" i="2" s="1"/>
  <c r="AQ1431" i="2"/>
  <c r="AC1433" i="2"/>
  <c r="AP1433" i="2"/>
  <c r="AO1433" i="2" s="1"/>
  <c r="AP1436" i="2"/>
  <c r="AO1436" i="2" s="1"/>
  <c r="AB1438" i="2"/>
  <c r="AD1445" i="2"/>
  <c r="AO1449" i="2"/>
  <c r="AP1451" i="2"/>
  <c r="AO1451" i="2" s="1"/>
  <c r="AP1458" i="2"/>
  <c r="AQ1459" i="2"/>
  <c r="AP1459" i="2"/>
  <c r="AO1459" i="2" s="1"/>
  <c r="AQ1473" i="2"/>
  <c r="AP1473" i="2"/>
  <c r="AO1473" i="2" s="1"/>
  <c r="X1475" i="2"/>
  <c r="AO1475" i="2"/>
  <c r="AP1476" i="2"/>
  <c r="AO1476" i="2" s="1"/>
  <c r="AO1481" i="2"/>
  <c r="AA1483" i="2"/>
  <c r="AP1490" i="2"/>
  <c r="AO1490" i="2" s="1"/>
  <c r="X1493" i="2"/>
  <c r="AO1493" i="2"/>
  <c r="AA1493" i="2"/>
  <c r="AD1493" i="2"/>
  <c r="AC1493" i="2"/>
  <c r="AP1496" i="2"/>
  <c r="AO1496" i="2" s="1"/>
  <c r="AQ1499" i="2"/>
  <c r="AP1499" i="2"/>
  <c r="AO1499" i="2" s="1"/>
  <c r="AO1503" i="2"/>
  <c r="AO1504" i="2"/>
  <c r="AO1508" i="2"/>
  <c r="AO1511" i="2"/>
  <c r="AO1512" i="2"/>
  <c r="AP1516" i="2"/>
  <c r="AO1516" i="2" s="1"/>
  <c r="AQ1523" i="2"/>
  <c r="AP1523" i="2"/>
  <c r="AO1523" i="2" s="1"/>
  <c r="AQ1525" i="2"/>
  <c r="AP1525" i="2"/>
  <c r="AP1527" i="2"/>
  <c r="AO1527" i="2" s="1"/>
  <c r="AQ1527" i="2"/>
  <c r="X1529" i="2"/>
  <c r="AO1531" i="2"/>
  <c r="AO1532" i="2"/>
  <c r="AO1536" i="2"/>
  <c r="AP1540" i="2"/>
  <c r="AO1540" i="2" s="1"/>
  <c r="AQ1541" i="2"/>
  <c r="AP1541" i="2"/>
  <c r="AO1541" i="2" s="1"/>
  <c r="AO1544" i="2"/>
  <c r="AA1430" i="2"/>
  <c r="AF1430" i="2"/>
  <c r="AF1433" i="2"/>
  <c r="AB1433" i="2"/>
  <c r="Z1433" i="2"/>
  <c r="AE1433" i="2"/>
  <c r="X1434" i="2"/>
  <c r="Z1434" i="2" s="1"/>
  <c r="AA1435" i="2"/>
  <c r="AA1438" i="2"/>
  <c r="AF1438" i="2"/>
  <c r="AQ1439" i="2"/>
  <c r="X1442" i="2"/>
  <c r="AB1442" i="2" s="1"/>
  <c r="AC1445" i="2"/>
  <c r="AP1445" i="2"/>
  <c r="AO1445" i="2" s="1"/>
  <c r="AQ1447" i="2"/>
  <c r="X1450" i="2"/>
  <c r="AB1450" i="2" s="1"/>
  <c r="AA1451" i="2"/>
  <c r="X1453" i="2"/>
  <c r="AC1453" i="2" s="1"/>
  <c r="AP1453" i="2"/>
  <c r="AQ1455" i="2"/>
  <c r="X1458" i="2"/>
  <c r="AB1458" i="2" s="1"/>
  <c r="X1461" i="2"/>
  <c r="AD1461" i="2" s="1"/>
  <c r="AC1461" i="2"/>
  <c r="AP1461" i="2"/>
  <c r="X1466" i="2"/>
  <c r="Z1466" i="2" s="1"/>
  <c r="X1469" i="2"/>
  <c r="AC1469" i="2" s="1"/>
  <c r="AP1469" i="2"/>
  <c r="AQ1471" i="2"/>
  <c r="X1474" i="2"/>
  <c r="AA1475" i="2"/>
  <c r="X1477" i="2"/>
  <c r="AD1477" i="2" s="1"/>
  <c r="AP1477" i="2"/>
  <c r="AQ1479" i="2"/>
  <c r="X1482" i="2"/>
  <c r="X1485" i="2"/>
  <c r="AC1485" i="2" s="1"/>
  <c r="AP1485" i="2"/>
  <c r="AQ1487" i="2"/>
  <c r="X1490" i="2"/>
  <c r="AD1490" i="2" s="1"/>
  <c r="AA1491" i="2"/>
  <c r="AF1497" i="2"/>
  <c r="AB1497" i="2"/>
  <c r="Z1497" i="2"/>
  <c r="AE1497" i="2"/>
  <c r="X1498" i="2"/>
  <c r="AC1498" i="2" s="1"/>
  <c r="AF1505" i="2"/>
  <c r="AB1505" i="2"/>
  <c r="Z1505" i="2"/>
  <c r="AE1505" i="2"/>
  <c r="X1506" i="2"/>
  <c r="AC1506" i="2" s="1"/>
  <c r="X1509" i="2"/>
  <c r="AC1509" i="2" s="1"/>
  <c r="AF1513" i="2"/>
  <c r="AB1513" i="2"/>
  <c r="Z1513" i="2"/>
  <c r="AE1513" i="2"/>
  <c r="X1514" i="2"/>
  <c r="X1517" i="2"/>
  <c r="AC1517" i="2" s="1"/>
  <c r="AF1521" i="2"/>
  <c r="AB1521" i="2"/>
  <c r="Z1521" i="2"/>
  <c r="AE1521" i="2"/>
  <c r="X1522" i="2"/>
  <c r="X1525" i="2"/>
  <c r="AC1525" i="2"/>
  <c r="AF1529" i="2"/>
  <c r="AB1529" i="2"/>
  <c r="Z1529" i="2"/>
  <c r="AE1529" i="2"/>
  <c r="X1530" i="2"/>
  <c r="X1533" i="2"/>
  <c r="AC1533" i="2"/>
  <c r="AF1537" i="2"/>
  <c r="AB1537" i="2"/>
  <c r="Z1537" i="2"/>
  <c r="AE1537" i="2"/>
  <c r="X1538" i="2"/>
  <c r="AP1545" i="2"/>
  <c r="AO1545" i="2" s="1"/>
  <c r="AD1545" i="2"/>
  <c r="AF1545" i="2"/>
  <c r="AB1545" i="2"/>
  <c r="Z1545" i="2"/>
  <c r="AP1547" i="2"/>
  <c r="AO1547" i="2" s="1"/>
  <c r="X1432" i="2"/>
  <c r="AC1435" i="2"/>
  <c r="X1440" i="2"/>
  <c r="X1448" i="2"/>
  <c r="AC1451" i="2"/>
  <c r="X1456" i="2"/>
  <c r="AC1456" i="2" s="1"/>
  <c r="X1464" i="2"/>
  <c r="AC1464" i="2" s="1"/>
  <c r="X1472" i="2"/>
  <c r="AC1472" i="2" s="1"/>
  <c r="AC1475" i="2"/>
  <c r="X1480" i="2"/>
  <c r="AC1480" i="2" s="1"/>
  <c r="X1488" i="2"/>
  <c r="AB1488" i="2" s="1"/>
  <c r="AC1491" i="2"/>
  <c r="X1496" i="2"/>
  <c r="AA1497" i="2"/>
  <c r="AP1498" i="2"/>
  <c r="AO1498" i="2" s="1"/>
  <c r="AD1498" i="2"/>
  <c r="Z1498" i="2"/>
  <c r="AE1498" i="2"/>
  <c r="X1499" i="2"/>
  <c r="AC1499" i="2"/>
  <c r="X1504" i="2"/>
  <c r="Z1504" i="2" s="1"/>
  <c r="AP1506" i="2"/>
  <c r="AO1506" i="2" s="1"/>
  <c r="AD1506" i="2"/>
  <c r="Z1506" i="2"/>
  <c r="AE1506" i="2"/>
  <c r="X1507" i="2"/>
  <c r="AC1507" i="2"/>
  <c r="AP1507" i="2"/>
  <c r="AO1507" i="2" s="1"/>
  <c r="AD1509" i="2"/>
  <c r="X1512" i="2"/>
  <c r="AA1512" i="2" s="1"/>
  <c r="AP1514" i="2"/>
  <c r="AD1514" i="2"/>
  <c r="Z1514" i="2"/>
  <c r="AE1514" i="2"/>
  <c r="X1515" i="2"/>
  <c r="AC1515" i="2" s="1"/>
  <c r="AP1515" i="2"/>
  <c r="AO1515" i="2" s="1"/>
  <c r="AD1517" i="2"/>
  <c r="X1520" i="2"/>
  <c r="Z1520" i="2" s="1"/>
  <c r="AP1522" i="2"/>
  <c r="AD1522" i="2"/>
  <c r="Z1522" i="2"/>
  <c r="AE1522" i="2"/>
  <c r="X1523" i="2"/>
  <c r="AC1523" i="2"/>
  <c r="AD1525" i="2"/>
  <c r="X1528" i="2"/>
  <c r="Z1528" i="2" s="1"/>
  <c r="AA1529" i="2"/>
  <c r="AP1530" i="2"/>
  <c r="AO1530" i="2" s="1"/>
  <c r="AD1530" i="2"/>
  <c r="Z1530" i="2"/>
  <c r="AE1530" i="2"/>
  <c r="X1531" i="2"/>
  <c r="AA1531" i="2" s="1"/>
  <c r="AD1533" i="2"/>
  <c r="X1536" i="2"/>
  <c r="AP1538" i="2"/>
  <c r="AO1538" i="2" s="1"/>
  <c r="AD1538" i="2"/>
  <c r="Z1538" i="2"/>
  <c r="AE1538" i="2"/>
  <c r="X1539" i="2"/>
  <c r="AA1539" i="2" s="1"/>
  <c r="X1544" i="2"/>
  <c r="AA1544" i="2" s="1"/>
  <c r="X1546" i="2"/>
  <c r="AP1440" i="2"/>
  <c r="AO1440" i="2" s="1"/>
  <c r="AD1440" i="2"/>
  <c r="Z1440" i="2"/>
  <c r="AE1440" i="2"/>
  <c r="X1441" i="2"/>
  <c r="AB1441" i="2" s="1"/>
  <c r="AC1441" i="2"/>
  <c r="AF1445" i="2"/>
  <c r="AB1445" i="2"/>
  <c r="Z1445" i="2"/>
  <c r="AE1445" i="2"/>
  <c r="X1446" i="2"/>
  <c r="AF1446" i="2" s="1"/>
  <c r="AC1446" i="2"/>
  <c r="AP1448" i="2"/>
  <c r="AO1448" i="2" s="1"/>
  <c r="AD1448" i="2"/>
  <c r="Z1448" i="2"/>
  <c r="AE1448" i="2"/>
  <c r="X1449" i="2"/>
  <c r="AF1449" i="2" s="1"/>
  <c r="AC1449" i="2"/>
  <c r="AF1453" i="2"/>
  <c r="AB1453" i="2"/>
  <c r="Z1453" i="2"/>
  <c r="AE1453" i="2"/>
  <c r="X1454" i="2"/>
  <c r="AF1454" i="2" s="1"/>
  <c r="AC1454" i="2"/>
  <c r="AP1456" i="2"/>
  <c r="AO1456" i="2" s="1"/>
  <c r="AD1456" i="2"/>
  <c r="Z1456" i="2"/>
  <c r="AE1456" i="2"/>
  <c r="X1457" i="2"/>
  <c r="AF1457" i="2" s="1"/>
  <c r="AC1457" i="2"/>
  <c r="AF1461" i="2"/>
  <c r="AB1461" i="2"/>
  <c r="Z1461" i="2"/>
  <c r="AE1461" i="2"/>
  <c r="X1462" i="2"/>
  <c r="AB1462" i="2" s="1"/>
  <c r="AC1462" i="2"/>
  <c r="AP1464" i="2"/>
  <c r="AO1464" i="2" s="1"/>
  <c r="AD1464" i="2"/>
  <c r="Z1464" i="2"/>
  <c r="AE1464" i="2"/>
  <c r="X1465" i="2"/>
  <c r="Z1465" i="2" s="1"/>
  <c r="AC1465" i="2"/>
  <c r="AF1469" i="2"/>
  <c r="AB1469" i="2"/>
  <c r="Z1469" i="2"/>
  <c r="AE1469" i="2"/>
  <c r="X1470" i="2"/>
  <c r="AA1470" i="2" s="1"/>
  <c r="AC1470" i="2"/>
  <c r="AP1472" i="2"/>
  <c r="AO1472" i="2" s="1"/>
  <c r="AD1472" i="2"/>
  <c r="Z1472" i="2"/>
  <c r="AE1472" i="2"/>
  <c r="X1473" i="2"/>
  <c r="AE1473" i="2" s="1"/>
  <c r="AC1473" i="2"/>
  <c r="AF1477" i="2"/>
  <c r="AB1477" i="2"/>
  <c r="Z1477" i="2"/>
  <c r="AE1477" i="2"/>
  <c r="X1478" i="2"/>
  <c r="AA1478" i="2" s="1"/>
  <c r="AC1478" i="2"/>
  <c r="AP1480" i="2"/>
  <c r="AO1480" i="2" s="1"/>
  <c r="AD1480" i="2"/>
  <c r="Z1480" i="2"/>
  <c r="AE1480" i="2"/>
  <c r="X1481" i="2"/>
  <c r="AE1481" i="2" s="1"/>
  <c r="AF1485" i="2"/>
  <c r="AB1485" i="2"/>
  <c r="Z1485" i="2"/>
  <c r="AE1485" i="2"/>
  <c r="X1486" i="2"/>
  <c r="AB1486" i="2" s="1"/>
  <c r="AP1488" i="2"/>
  <c r="AO1488" i="2" s="1"/>
  <c r="AD1488" i="2"/>
  <c r="Z1488" i="2"/>
  <c r="AE1488" i="2"/>
  <c r="X1489" i="2"/>
  <c r="AF1489" i="2" s="1"/>
  <c r="AF1493" i="2"/>
  <c r="AB1493" i="2"/>
  <c r="Z1493" i="2"/>
  <c r="AE1493" i="2"/>
  <c r="X1494" i="2"/>
  <c r="AF1494" i="2" s="1"/>
  <c r="AC1497" i="2"/>
  <c r="AP1497" i="2"/>
  <c r="AO1497" i="2" s="1"/>
  <c r="AA1498" i="2"/>
  <c r="AF1498" i="2"/>
  <c r="AF1501" i="2"/>
  <c r="AB1501" i="2"/>
  <c r="Z1501" i="2"/>
  <c r="AE1501" i="2"/>
  <c r="X1502" i="2"/>
  <c r="AC1502" i="2" s="1"/>
  <c r="AC1505" i="2"/>
  <c r="AP1505" i="2"/>
  <c r="AO1505" i="2" s="1"/>
  <c r="AA1506" i="2"/>
  <c r="AF1506" i="2"/>
  <c r="AF1509" i="2"/>
  <c r="AB1509" i="2"/>
  <c r="Z1509" i="2"/>
  <c r="AE1509" i="2"/>
  <c r="X1510" i="2"/>
  <c r="AC1510" i="2" s="1"/>
  <c r="AC1513" i="2"/>
  <c r="AP1513" i="2"/>
  <c r="AO1513" i="2" s="1"/>
  <c r="AA1514" i="2"/>
  <c r="AF1514" i="2"/>
  <c r="AF1517" i="2"/>
  <c r="AB1517" i="2"/>
  <c r="Z1517" i="2"/>
  <c r="AE1517" i="2"/>
  <c r="X1518" i="2"/>
  <c r="AC1518" i="2" s="1"/>
  <c r="AC1521" i="2"/>
  <c r="AP1521" i="2"/>
  <c r="AO1521" i="2" s="1"/>
  <c r="AA1522" i="2"/>
  <c r="AF1522" i="2"/>
  <c r="AF1525" i="2"/>
  <c r="AB1525" i="2"/>
  <c r="Z1525" i="2"/>
  <c r="AE1525" i="2"/>
  <c r="X1526" i="2"/>
  <c r="AA1526" i="2" s="1"/>
  <c r="AC1529" i="2"/>
  <c r="AP1529" i="2"/>
  <c r="AO1529" i="2" s="1"/>
  <c r="AA1530" i="2"/>
  <c r="AF1530" i="2"/>
  <c r="AF1533" i="2"/>
  <c r="AB1533" i="2"/>
  <c r="Z1533" i="2"/>
  <c r="AE1533" i="2"/>
  <c r="X1534" i="2"/>
  <c r="AA1534" i="2" s="1"/>
  <c r="AC1537" i="2"/>
  <c r="AP1537" i="2"/>
  <c r="AO1537" i="2" s="1"/>
  <c r="AA1538" i="2"/>
  <c r="AF1538" i="2"/>
  <c r="AF1541" i="2"/>
  <c r="AB1541" i="2"/>
  <c r="Z1541" i="2"/>
  <c r="AE1541" i="2"/>
  <c r="X1542" i="2"/>
  <c r="Z1542" i="2" s="1"/>
  <c r="AC1545" i="2"/>
  <c r="AF1546" i="2"/>
  <c r="AB1546" i="2"/>
  <c r="AP1546" i="2"/>
  <c r="AO1546" i="2" s="1"/>
  <c r="AD1546" i="2"/>
  <c r="Z1546" i="2"/>
  <c r="AC1546" i="2"/>
  <c r="AE1546" i="2"/>
  <c r="AP1430" i="2"/>
  <c r="AO1430" i="2" s="1"/>
  <c r="AD1430" i="2"/>
  <c r="Z1430" i="2"/>
  <c r="AE1430" i="2"/>
  <c r="X1431" i="2"/>
  <c r="AC1431" i="2"/>
  <c r="AF1435" i="2"/>
  <c r="AB1435" i="2"/>
  <c r="Z1435" i="2"/>
  <c r="AE1435" i="2"/>
  <c r="X1436" i="2"/>
  <c r="AP1438" i="2"/>
  <c r="AO1438" i="2" s="1"/>
  <c r="AD1438" i="2"/>
  <c r="Z1438" i="2"/>
  <c r="AE1438" i="2"/>
  <c r="X1439" i="2"/>
  <c r="AD1439" i="2" s="1"/>
  <c r="AA1440" i="2"/>
  <c r="AF1440" i="2"/>
  <c r="AD1441" i="2"/>
  <c r="AO1442" i="2"/>
  <c r="AF1443" i="2"/>
  <c r="AB1443" i="2"/>
  <c r="Z1443" i="2"/>
  <c r="AE1443" i="2"/>
  <c r="X1444" i="2"/>
  <c r="Z1444" i="2" s="1"/>
  <c r="AA1445" i="2"/>
  <c r="AP1446" i="2"/>
  <c r="AO1446" i="2" s="1"/>
  <c r="AD1446" i="2"/>
  <c r="Z1446" i="2"/>
  <c r="AE1446" i="2"/>
  <c r="X1447" i="2"/>
  <c r="AB1447" i="2" s="1"/>
  <c r="AA1448" i="2"/>
  <c r="AF1448" i="2"/>
  <c r="AD1449" i="2"/>
  <c r="AF1451" i="2"/>
  <c r="AB1451" i="2"/>
  <c r="Z1451" i="2"/>
  <c r="AE1451" i="2"/>
  <c r="X1452" i="2"/>
  <c r="Z1452" i="2" s="1"/>
  <c r="AA1453" i="2"/>
  <c r="AO1453" i="2"/>
  <c r="AP1454" i="2"/>
  <c r="AO1454" i="2" s="1"/>
  <c r="AD1454" i="2"/>
  <c r="Z1454" i="2"/>
  <c r="AE1454" i="2"/>
  <c r="X1455" i="2"/>
  <c r="AF1455" i="2" s="1"/>
  <c r="AA1456" i="2"/>
  <c r="AF1456" i="2"/>
  <c r="AD1457" i="2"/>
  <c r="AO1458" i="2"/>
  <c r="AF1459" i="2"/>
  <c r="AB1459" i="2"/>
  <c r="Z1459" i="2"/>
  <c r="AE1459" i="2"/>
  <c r="X1460" i="2"/>
  <c r="AG1460" i="2" s="1"/>
  <c r="AA1461" i="2"/>
  <c r="AO1461" i="2"/>
  <c r="AP1462" i="2"/>
  <c r="AO1462" i="2" s="1"/>
  <c r="AD1462" i="2"/>
  <c r="Z1462" i="2"/>
  <c r="AE1462" i="2"/>
  <c r="X1463" i="2"/>
  <c r="AC1463" i="2"/>
  <c r="AP1463" i="2"/>
  <c r="AO1463" i="2" s="1"/>
  <c r="AA1464" i="2"/>
  <c r="AF1464" i="2"/>
  <c r="AD1465" i="2"/>
  <c r="AO1466" i="2"/>
  <c r="AF1467" i="2"/>
  <c r="AB1467" i="2"/>
  <c r="Z1467" i="2"/>
  <c r="AE1467" i="2"/>
  <c r="X1468" i="2"/>
  <c r="AC1468" i="2" s="1"/>
  <c r="AA1469" i="2"/>
  <c r="AO1469" i="2"/>
  <c r="AP1470" i="2"/>
  <c r="AO1470" i="2" s="1"/>
  <c r="AD1470" i="2"/>
  <c r="Z1470" i="2"/>
  <c r="AE1470" i="2"/>
  <c r="X1471" i="2"/>
  <c r="AE1471" i="2" s="1"/>
  <c r="AA1472" i="2"/>
  <c r="AF1472" i="2"/>
  <c r="AD1473" i="2"/>
  <c r="AF1475" i="2"/>
  <c r="AB1475" i="2"/>
  <c r="Z1475" i="2"/>
  <c r="AE1475" i="2"/>
  <c r="X1476" i="2"/>
  <c r="Z1476" i="2" s="1"/>
  <c r="AA1477" i="2"/>
  <c r="AO1477" i="2"/>
  <c r="AP1478" i="2"/>
  <c r="AO1478" i="2" s="1"/>
  <c r="AD1478" i="2"/>
  <c r="Z1478" i="2"/>
  <c r="AE1478" i="2"/>
  <c r="X1479" i="2"/>
  <c r="Z1479" i="2" s="1"/>
  <c r="AA1480" i="2"/>
  <c r="AF1480" i="2"/>
  <c r="AD1481" i="2"/>
  <c r="AO1482" i="2"/>
  <c r="AF1483" i="2"/>
  <c r="AB1483" i="2"/>
  <c r="Z1483" i="2"/>
  <c r="AE1483" i="2"/>
  <c r="X1484" i="2"/>
  <c r="AC1484" i="2" s="1"/>
  <c r="AA1485" i="2"/>
  <c r="AO1485" i="2"/>
  <c r="AP1486" i="2"/>
  <c r="AO1486" i="2" s="1"/>
  <c r="AD1486" i="2"/>
  <c r="Z1486" i="2"/>
  <c r="AE1486" i="2"/>
  <c r="X1487" i="2"/>
  <c r="AD1487" i="2" s="1"/>
  <c r="AA1488" i="2"/>
  <c r="AF1488" i="2"/>
  <c r="AD1489" i="2"/>
  <c r="AF1491" i="2"/>
  <c r="AB1491" i="2"/>
  <c r="Z1491" i="2"/>
  <c r="AE1491" i="2"/>
  <c r="X1492" i="2"/>
  <c r="AD1492" i="2" s="1"/>
  <c r="AP1494" i="2"/>
  <c r="AO1494" i="2" s="1"/>
  <c r="AD1494" i="2"/>
  <c r="Z1494" i="2"/>
  <c r="AE1494" i="2"/>
  <c r="X1495" i="2"/>
  <c r="AE1495" i="2" s="1"/>
  <c r="AB1498" i="2"/>
  <c r="AF1499" i="2"/>
  <c r="AB1499" i="2"/>
  <c r="Z1499" i="2"/>
  <c r="AE1499" i="2"/>
  <c r="X1500" i="2"/>
  <c r="AC1500" i="2" s="1"/>
  <c r="AP1502" i="2"/>
  <c r="AO1502" i="2" s="1"/>
  <c r="AD1502" i="2"/>
  <c r="Z1502" i="2"/>
  <c r="AE1502" i="2"/>
  <c r="X1503" i="2"/>
  <c r="Z1503" i="2" s="1"/>
  <c r="AB1506" i="2"/>
  <c r="AF1507" i="2"/>
  <c r="AB1507" i="2"/>
  <c r="Z1507" i="2"/>
  <c r="AE1507" i="2"/>
  <c r="X1508" i="2"/>
  <c r="AD1508" i="2" s="1"/>
  <c r="AA1509" i="2"/>
  <c r="AO1509" i="2"/>
  <c r="AP1510" i="2"/>
  <c r="AO1510" i="2" s="1"/>
  <c r="AD1510" i="2"/>
  <c r="Z1510" i="2"/>
  <c r="AE1510" i="2"/>
  <c r="X1511" i="2"/>
  <c r="Z1511" i="2" s="1"/>
  <c r="AB1514" i="2"/>
  <c r="AO1514" i="2"/>
  <c r="AF1515" i="2"/>
  <c r="AB1515" i="2"/>
  <c r="Z1515" i="2"/>
  <c r="AE1515" i="2"/>
  <c r="X1516" i="2"/>
  <c r="AD1516" i="2" s="1"/>
  <c r="AA1517" i="2"/>
  <c r="AO1517" i="2"/>
  <c r="AP1518" i="2"/>
  <c r="AO1518" i="2" s="1"/>
  <c r="AD1518" i="2"/>
  <c r="Z1518" i="2"/>
  <c r="AE1518" i="2"/>
  <c r="X1519" i="2"/>
  <c r="AE1519" i="2" s="1"/>
  <c r="AB1522" i="2"/>
  <c r="AO1522" i="2"/>
  <c r="AF1523" i="2"/>
  <c r="AB1523" i="2"/>
  <c r="Z1523" i="2"/>
  <c r="AE1523" i="2"/>
  <c r="X1524" i="2"/>
  <c r="AA1525" i="2"/>
  <c r="AO1525" i="2"/>
  <c r="AP1526" i="2"/>
  <c r="AO1526" i="2" s="1"/>
  <c r="AD1526" i="2"/>
  <c r="Z1526" i="2"/>
  <c r="AE1526" i="2"/>
  <c r="X1527" i="2"/>
  <c r="AB1527" i="2" s="1"/>
  <c r="AD1529" i="2"/>
  <c r="AB1530" i="2"/>
  <c r="AF1531" i="2"/>
  <c r="AB1531" i="2"/>
  <c r="Z1531" i="2"/>
  <c r="AE1531" i="2"/>
  <c r="X1532" i="2"/>
  <c r="AB1532" i="2" s="1"/>
  <c r="AA1533" i="2"/>
  <c r="AO1533" i="2"/>
  <c r="AP1534" i="2"/>
  <c r="AO1534" i="2" s="1"/>
  <c r="AD1534" i="2"/>
  <c r="Z1534" i="2"/>
  <c r="AE1534" i="2"/>
  <c r="X1535" i="2"/>
  <c r="AC1535" i="2"/>
  <c r="AP1535" i="2"/>
  <c r="AO1535" i="2" s="1"/>
  <c r="AB1538" i="2"/>
  <c r="AF1539" i="2"/>
  <c r="AB1539" i="2"/>
  <c r="Z1539" i="2"/>
  <c r="AE1539" i="2"/>
  <c r="X1540" i="2"/>
  <c r="Z1540" i="2" s="1"/>
  <c r="X1543" i="2"/>
  <c r="AC1543" i="2"/>
  <c r="AP1543" i="2"/>
  <c r="AO1543" i="2" s="1"/>
  <c r="AE1545" i="2"/>
  <c r="X1547" i="2"/>
  <c r="Z1547" i="2" s="1"/>
  <c r="AP1550" i="2"/>
  <c r="AO1550" i="2" s="1"/>
  <c r="X1551" i="2"/>
  <c r="AP1554" i="2"/>
  <c r="AO1554" i="2" s="1"/>
  <c r="X1555" i="2"/>
  <c r="AA1555" i="2" s="1"/>
  <c r="AP1558" i="2"/>
  <c r="AO1558" i="2" s="1"/>
  <c r="X1559" i="2"/>
  <c r="AP1562" i="2"/>
  <c r="AO1562" i="2" s="1"/>
  <c r="X1563" i="2"/>
  <c r="AA1563" i="2" s="1"/>
  <c r="AP1566" i="2"/>
  <c r="AO1566" i="2" s="1"/>
  <c r="X1567" i="2"/>
  <c r="AP1570" i="2"/>
  <c r="AO1570" i="2" s="1"/>
  <c r="X1571" i="2"/>
  <c r="AA1571" i="2" s="1"/>
  <c r="AP1574" i="2"/>
  <c r="AO1574" i="2" s="1"/>
  <c r="X1575" i="2"/>
  <c r="AP1578" i="2"/>
  <c r="AO1578" i="2" s="1"/>
  <c r="X1579" i="2"/>
  <c r="AA1579" i="2" s="1"/>
  <c r="AP1582" i="2"/>
  <c r="AO1582" i="2" s="1"/>
  <c r="X1583" i="2"/>
  <c r="X1548" i="2"/>
  <c r="AA1548" i="2"/>
  <c r="AP1551" i="2"/>
  <c r="AO1551" i="2" s="1"/>
  <c r="AD1551" i="2"/>
  <c r="Z1551" i="2"/>
  <c r="AF1551" i="2"/>
  <c r="AB1551" i="2"/>
  <c r="AC1551" i="2"/>
  <c r="X1552" i="2"/>
  <c r="AA1552" i="2" s="1"/>
  <c r="AP1555" i="2"/>
  <c r="AO1555" i="2" s="1"/>
  <c r="AD1555" i="2"/>
  <c r="Z1555" i="2"/>
  <c r="AF1555" i="2"/>
  <c r="AC1555" i="2"/>
  <c r="X1556" i="2"/>
  <c r="AA1556" i="2" s="1"/>
  <c r="AP1559" i="2"/>
  <c r="AO1559" i="2" s="1"/>
  <c r="AD1559" i="2"/>
  <c r="Z1559" i="2"/>
  <c r="AF1559" i="2"/>
  <c r="AB1559" i="2"/>
  <c r="AC1559" i="2"/>
  <c r="X1560" i="2"/>
  <c r="AA1560" i="2" s="1"/>
  <c r="AP1563" i="2"/>
  <c r="AO1563" i="2" s="1"/>
  <c r="AD1563" i="2"/>
  <c r="Z1563" i="2"/>
  <c r="AB1563" i="2"/>
  <c r="AC1563" i="2"/>
  <c r="X1564" i="2"/>
  <c r="AA1564" i="2"/>
  <c r="AP1567" i="2"/>
  <c r="AO1567" i="2" s="1"/>
  <c r="AD1567" i="2"/>
  <c r="Z1567" i="2"/>
  <c r="AF1567" i="2"/>
  <c r="AB1567" i="2"/>
  <c r="AC1567" i="2"/>
  <c r="X1568" i="2"/>
  <c r="AA1568" i="2" s="1"/>
  <c r="AP1571" i="2"/>
  <c r="AO1571" i="2" s="1"/>
  <c r="Z1571" i="2"/>
  <c r="AF1571" i="2"/>
  <c r="AB1571" i="2"/>
  <c r="X1572" i="2"/>
  <c r="AP1575" i="2"/>
  <c r="AO1575" i="2" s="1"/>
  <c r="AD1575" i="2"/>
  <c r="Z1575" i="2"/>
  <c r="AF1575" i="2"/>
  <c r="AB1575" i="2"/>
  <c r="AC1575" i="2"/>
  <c r="X1576" i="2"/>
  <c r="AA1576" i="2"/>
  <c r="AP1579" i="2"/>
  <c r="AO1579" i="2" s="1"/>
  <c r="AD1579" i="2"/>
  <c r="Z1579" i="2"/>
  <c r="AF1579" i="2"/>
  <c r="AC1579" i="2"/>
  <c r="X1580" i="2"/>
  <c r="AP1583" i="2"/>
  <c r="AO1583" i="2" s="1"/>
  <c r="AD1583" i="2"/>
  <c r="Z1583" i="2"/>
  <c r="AF1583" i="2"/>
  <c r="AB1583" i="2"/>
  <c r="AC1583" i="2"/>
  <c r="X1584" i="2"/>
  <c r="AA1584" i="2" s="1"/>
  <c r="AF1548" i="2"/>
  <c r="AB1548" i="2"/>
  <c r="AP1548" i="2"/>
  <c r="AO1548" i="2" s="1"/>
  <c r="AD1548" i="2"/>
  <c r="Z1548" i="2"/>
  <c r="AC1548" i="2"/>
  <c r="X1549" i="2"/>
  <c r="AE1551" i="2"/>
  <c r="AF1552" i="2"/>
  <c r="AB1552" i="2"/>
  <c r="AP1552" i="2"/>
  <c r="AO1552" i="2" s="1"/>
  <c r="Z1552" i="2"/>
  <c r="AC1552" i="2"/>
  <c r="X1553" i="2"/>
  <c r="AE1555" i="2"/>
  <c r="AF1556" i="2"/>
  <c r="AB1556" i="2"/>
  <c r="AP1556" i="2"/>
  <c r="AO1556" i="2" s="1"/>
  <c r="AD1556" i="2"/>
  <c r="Z1556" i="2"/>
  <c r="AC1556" i="2"/>
  <c r="X1557" i="2"/>
  <c r="AE1559" i="2"/>
  <c r="AF1560" i="2"/>
  <c r="AB1560" i="2"/>
  <c r="AP1560" i="2"/>
  <c r="AO1560" i="2" s="1"/>
  <c r="Z1560" i="2"/>
  <c r="AC1560" i="2"/>
  <c r="X1561" i="2"/>
  <c r="AE1563" i="2"/>
  <c r="AF1564" i="2"/>
  <c r="AB1564" i="2"/>
  <c r="AP1564" i="2"/>
  <c r="AO1564" i="2" s="1"/>
  <c r="AD1564" i="2"/>
  <c r="Z1564" i="2"/>
  <c r="AC1564" i="2"/>
  <c r="X1565" i="2"/>
  <c r="AE1567" i="2"/>
  <c r="AF1568" i="2"/>
  <c r="AB1568" i="2"/>
  <c r="AP1568" i="2"/>
  <c r="AO1568" i="2" s="1"/>
  <c r="AD1568" i="2"/>
  <c r="Z1568" i="2"/>
  <c r="AC1568" i="2"/>
  <c r="X1569" i="2"/>
  <c r="AE1571" i="2"/>
  <c r="AF1572" i="2"/>
  <c r="AB1572" i="2"/>
  <c r="AP1572" i="2"/>
  <c r="AO1572" i="2" s="1"/>
  <c r="AD1572" i="2"/>
  <c r="Z1572" i="2"/>
  <c r="AC1572" i="2"/>
  <c r="X1573" i="2"/>
  <c r="AE1575" i="2"/>
  <c r="AF1576" i="2"/>
  <c r="AB1576" i="2"/>
  <c r="AP1576" i="2"/>
  <c r="AO1576" i="2" s="1"/>
  <c r="AD1576" i="2"/>
  <c r="Z1576" i="2"/>
  <c r="AC1576" i="2"/>
  <c r="X1577" i="2"/>
  <c r="AE1579" i="2"/>
  <c r="AF1580" i="2"/>
  <c r="AB1580" i="2"/>
  <c r="AP1580" i="2"/>
  <c r="AO1580" i="2" s="1"/>
  <c r="AD1580" i="2"/>
  <c r="Z1580" i="2"/>
  <c r="AC1580" i="2"/>
  <c r="X1581" i="2"/>
  <c r="AE1583" i="2"/>
  <c r="AF1584" i="2"/>
  <c r="AB1584" i="2"/>
  <c r="AP1584" i="2"/>
  <c r="AO1584" i="2" s="1"/>
  <c r="Z1584" i="2"/>
  <c r="AC1584" i="2"/>
  <c r="AE1584" i="2"/>
  <c r="AP1585" i="2"/>
  <c r="AO1585" i="2" s="1"/>
  <c r="AP1549" i="2"/>
  <c r="AO1549" i="2" s="1"/>
  <c r="AD1549" i="2"/>
  <c r="Z1549" i="2"/>
  <c r="AF1549" i="2"/>
  <c r="AB1549" i="2"/>
  <c r="AC1549" i="2"/>
  <c r="X1550" i="2"/>
  <c r="AA1550" i="2" s="1"/>
  <c r="AP1553" i="2"/>
  <c r="AO1553" i="2" s="1"/>
  <c r="AD1553" i="2"/>
  <c r="Z1553" i="2"/>
  <c r="AF1553" i="2"/>
  <c r="AB1553" i="2"/>
  <c r="AC1553" i="2"/>
  <c r="X1554" i="2"/>
  <c r="AA1554" i="2" s="1"/>
  <c r="AP1557" i="2"/>
  <c r="AO1557" i="2" s="1"/>
  <c r="AD1557" i="2"/>
  <c r="Z1557" i="2"/>
  <c r="AF1557" i="2"/>
  <c r="AB1557" i="2"/>
  <c r="AC1557" i="2"/>
  <c r="X1558" i="2"/>
  <c r="AA1558" i="2" s="1"/>
  <c r="AP1561" i="2"/>
  <c r="AO1561" i="2" s="1"/>
  <c r="AD1561" i="2"/>
  <c r="Z1561" i="2"/>
  <c r="AF1561" i="2"/>
  <c r="AB1561" i="2"/>
  <c r="AC1561" i="2"/>
  <c r="X1562" i="2"/>
  <c r="AA1562" i="2" s="1"/>
  <c r="AP1565" i="2"/>
  <c r="AO1565" i="2" s="1"/>
  <c r="AD1565" i="2"/>
  <c r="Z1565" i="2"/>
  <c r="AF1565" i="2"/>
  <c r="AB1565" i="2"/>
  <c r="AC1565" i="2"/>
  <c r="X1566" i="2"/>
  <c r="AE1566" i="2" s="1"/>
  <c r="AA1566" i="2"/>
  <c r="AP1569" i="2"/>
  <c r="AO1569" i="2" s="1"/>
  <c r="AD1569" i="2"/>
  <c r="Z1569" i="2"/>
  <c r="AF1569" i="2"/>
  <c r="AB1569" i="2"/>
  <c r="AC1569" i="2"/>
  <c r="X1570" i="2"/>
  <c r="AA1570" i="2" s="1"/>
  <c r="AP1573" i="2"/>
  <c r="AO1573" i="2" s="1"/>
  <c r="AD1573" i="2"/>
  <c r="Z1573" i="2"/>
  <c r="AF1573" i="2"/>
  <c r="AB1573" i="2"/>
  <c r="AC1573" i="2"/>
  <c r="X1574" i="2"/>
  <c r="AD1574" i="2" s="1"/>
  <c r="AA1574" i="2"/>
  <c r="AP1577" i="2"/>
  <c r="AO1577" i="2" s="1"/>
  <c r="AD1577" i="2"/>
  <c r="Z1577" i="2"/>
  <c r="AF1577" i="2"/>
  <c r="AB1577" i="2"/>
  <c r="AC1577" i="2"/>
  <c r="X1578" i="2"/>
  <c r="AA1578" i="2" s="1"/>
  <c r="AP1581" i="2"/>
  <c r="AO1581" i="2" s="1"/>
  <c r="AD1581" i="2"/>
  <c r="Z1581" i="2"/>
  <c r="AF1581" i="2"/>
  <c r="AB1581" i="2"/>
  <c r="AC1581" i="2"/>
  <c r="X1582" i="2"/>
  <c r="AD1582" i="2" s="1"/>
  <c r="AA1582" i="2"/>
  <c r="AP1586" i="2"/>
  <c r="AO1586" i="2" s="1"/>
  <c r="AP1587" i="2"/>
  <c r="AO1587" i="2" s="1"/>
  <c r="X1588" i="2"/>
  <c r="AP1591" i="2"/>
  <c r="AO1591" i="2" s="1"/>
  <c r="X1592" i="2"/>
  <c r="AG1592" i="2" s="1"/>
  <c r="AP1595" i="2"/>
  <c r="AO1595" i="2" s="1"/>
  <c r="X1596" i="2"/>
  <c r="AG1596" i="2" s="1"/>
  <c r="AP1599" i="2"/>
  <c r="AO1599" i="2" s="1"/>
  <c r="X1600" i="2"/>
  <c r="AG1600" i="2" s="1"/>
  <c r="AP1603" i="2"/>
  <c r="AO1603" i="2" s="1"/>
  <c r="X1604" i="2"/>
  <c r="AG1604" i="2" s="1"/>
  <c r="AP1607" i="2"/>
  <c r="AO1607" i="2" s="1"/>
  <c r="X1608" i="2"/>
  <c r="AP1611" i="2"/>
  <c r="AO1611" i="2" s="1"/>
  <c r="X1612" i="2"/>
  <c r="AG1612" i="2" s="1"/>
  <c r="AP1615" i="2"/>
  <c r="AO1615" i="2" s="1"/>
  <c r="X1616" i="2"/>
  <c r="AP1619" i="2"/>
  <c r="AO1619" i="2" s="1"/>
  <c r="X1620" i="2"/>
  <c r="AG1620" i="2" s="1"/>
  <c r="AP1623" i="2"/>
  <c r="AO1623" i="2" s="1"/>
  <c r="X1624" i="2"/>
  <c r="AP1627" i="2"/>
  <c r="AO1627" i="2" s="1"/>
  <c r="X1628" i="2"/>
  <c r="AG1628" i="2" s="1"/>
  <c r="AP1631" i="2"/>
  <c r="AO1631" i="2" s="1"/>
  <c r="X1632" i="2"/>
  <c r="AP1635" i="2"/>
  <c r="AO1635" i="2" s="1"/>
  <c r="X1636" i="2"/>
  <c r="AP1639" i="2"/>
  <c r="AO1639" i="2" s="1"/>
  <c r="X1640" i="2"/>
  <c r="AP1643" i="2"/>
  <c r="AO1643" i="2" s="1"/>
  <c r="X1644" i="2"/>
  <c r="AP1647" i="2"/>
  <c r="AO1647" i="2" s="1"/>
  <c r="X1648" i="2"/>
  <c r="AP1651" i="2"/>
  <c r="AO1651" i="2" s="1"/>
  <c r="X1652" i="2"/>
  <c r="AP1655" i="2"/>
  <c r="AO1655" i="2" s="1"/>
  <c r="X1656" i="2"/>
  <c r="AP1659" i="2"/>
  <c r="AO1659" i="2" s="1"/>
  <c r="X1660" i="2"/>
  <c r="AP1663" i="2"/>
  <c r="AO1663" i="2" s="1"/>
  <c r="X1664" i="2"/>
  <c r="AP1667" i="2"/>
  <c r="AO1667" i="2" s="1"/>
  <c r="X1668" i="2"/>
  <c r="AP1671" i="2"/>
  <c r="AO1671" i="2" s="1"/>
  <c r="X1672" i="2"/>
  <c r="AG1672" i="2" s="1"/>
  <c r="X1675" i="2"/>
  <c r="AG1675" i="2" s="1"/>
  <c r="AA1675" i="2"/>
  <c r="AC1675" i="2"/>
  <c r="X1679" i="2"/>
  <c r="AG1679" i="2" s="1"/>
  <c r="X1585" i="2"/>
  <c r="AF1588" i="2"/>
  <c r="AB1588" i="2"/>
  <c r="AP1588" i="2"/>
  <c r="AO1588" i="2" s="1"/>
  <c r="AD1588" i="2"/>
  <c r="Z1588" i="2"/>
  <c r="AC1588" i="2"/>
  <c r="X1589" i="2"/>
  <c r="AF1592" i="2"/>
  <c r="AB1592" i="2"/>
  <c r="AP1592" i="2"/>
  <c r="AD1592" i="2"/>
  <c r="Z1592" i="2"/>
  <c r="AC1592" i="2"/>
  <c r="X1593" i="2"/>
  <c r="AF1596" i="2"/>
  <c r="AB1596" i="2"/>
  <c r="AP1596" i="2"/>
  <c r="AD1596" i="2"/>
  <c r="Z1596" i="2"/>
  <c r="AC1596" i="2"/>
  <c r="X1597" i="2"/>
  <c r="AF1600" i="2"/>
  <c r="AB1600" i="2"/>
  <c r="AP1600" i="2"/>
  <c r="AO1600" i="2" s="1"/>
  <c r="AD1600" i="2"/>
  <c r="Z1600" i="2"/>
  <c r="AC1600" i="2"/>
  <c r="X1601" i="2"/>
  <c r="AF1604" i="2"/>
  <c r="AB1604" i="2"/>
  <c r="AP1604" i="2"/>
  <c r="AO1604" i="2" s="1"/>
  <c r="AD1604" i="2"/>
  <c r="Z1604" i="2"/>
  <c r="AC1604" i="2"/>
  <c r="X1605" i="2"/>
  <c r="AF1608" i="2"/>
  <c r="AB1608" i="2"/>
  <c r="AP1608" i="2"/>
  <c r="AD1608" i="2"/>
  <c r="Z1608" i="2"/>
  <c r="AC1608" i="2"/>
  <c r="X1609" i="2"/>
  <c r="AF1612" i="2"/>
  <c r="AB1612" i="2"/>
  <c r="AP1612" i="2"/>
  <c r="AD1612" i="2"/>
  <c r="Z1612" i="2"/>
  <c r="AC1612" i="2"/>
  <c r="X1613" i="2"/>
  <c r="AF1616" i="2"/>
  <c r="AB1616" i="2"/>
  <c r="AP1616" i="2"/>
  <c r="AO1616" i="2" s="1"/>
  <c r="AD1616" i="2"/>
  <c r="Z1616" i="2"/>
  <c r="AC1616" i="2"/>
  <c r="X1617" i="2"/>
  <c r="AF1620" i="2"/>
  <c r="AB1620" i="2"/>
  <c r="AP1620" i="2"/>
  <c r="AO1620" i="2" s="1"/>
  <c r="AD1620" i="2"/>
  <c r="Z1620" i="2"/>
  <c r="AC1620" i="2"/>
  <c r="X1621" i="2"/>
  <c r="AF1624" i="2"/>
  <c r="AB1624" i="2"/>
  <c r="AP1624" i="2"/>
  <c r="AO1624" i="2" s="1"/>
  <c r="AD1624" i="2"/>
  <c r="Z1624" i="2"/>
  <c r="AC1624" i="2"/>
  <c r="X1625" i="2"/>
  <c r="AF1628" i="2"/>
  <c r="AB1628" i="2"/>
  <c r="AP1628" i="2"/>
  <c r="AO1628" i="2" s="1"/>
  <c r="AD1628" i="2"/>
  <c r="Z1628" i="2"/>
  <c r="AC1628" i="2"/>
  <c r="X1629" i="2"/>
  <c r="AF1632" i="2"/>
  <c r="AB1632" i="2"/>
  <c r="AP1632" i="2"/>
  <c r="AO1632" i="2" s="1"/>
  <c r="AD1632" i="2"/>
  <c r="Z1632" i="2"/>
  <c r="AC1632" i="2"/>
  <c r="X1633" i="2"/>
  <c r="AF1636" i="2"/>
  <c r="AB1636" i="2"/>
  <c r="AP1636" i="2"/>
  <c r="AO1636" i="2" s="1"/>
  <c r="AD1636" i="2"/>
  <c r="Z1636" i="2"/>
  <c r="AC1636" i="2"/>
  <c r="X1637" i="2"/>
  <c r="AF1640" i="2"/>
  <c r="AB1640" i="2"/>
  <c r="AP1640" i="2"/>
  <c r="AO1640" i="2" s="1"/>
  <c r="AD1640" i="2"/>
  <c r="Z1640" i="2"/>
  <c r="AC1640" i="2"/>
  <c r="X1641" i="2"/>
  <c r="AF1644" i="2"/>
  <c r="AB1644" i="2"/>
  <c r="AP1644" i="2"/>
  <c r="AO1644" i="2" s="1"/>
  <c r="AD1644" i="2"/>
  <c r="Z1644" i="2"/>
  <c r="AC1644" i="2"/>
  <c r="X1645" i="2"/>
  <c r="AF1648" i="2"/>
  <c r="AB1648" i="2"/>
  <c r="AP1648" i="2"/>
  <c r="AO1648" i="2" s="1"/>
  <c r="AD1648" i="2"/>
  <c r="Z1648" i="2"/>
  <c r="AC1648" i="2"/>
  <c r="X1649" i="2"/>
  <c r="AF1652" i="2"/>
  <c r="AB1652" i="2"/>
  <c r="AP1652" i="2"/>
  <c r="AO1652" i="2" s="1"/>
  <c r="AD1652" i="2"/>
  <c r="Z1652" i="2"/>
  <c r="AC1652" i="2"/>
  <c r="X1653" i="2"/>
  <c r="AF1656" i="2"/>
  <c r="AB1656" i="2"/>
  <c r="AP1656" i="2"/>
  <c r="AO1656" i="2" s="1"/>
  <c r="AD1656" i="2"/>
  <c r="Z1656" i="2"/>
  <c r="AC1656" i="2"/>
  <c r="X1657" i="2"/>
  <c r="AF1660" i="2"/>
  <c r="AB1660" i="2"/>
  <c r="AP1660" i="2"/>
  <c r="AO1660" i="2" s="1"/>
  <c r="AD1660" i="2"/>
  <c r="Z1660" i="2"/>
  <c r="AC1660" i="2"/>
  <c r="X1661" i="2"/>
  <c r="AF1664" i="2"/>
  <c r="AB1664" i="2"/>
  <c r="AP1664" i="2"/>
  <c r="AO1664" i="2" s="1"/>
  <c r="AD1664" i="2"/>
  <c r="Z1664" i="2"/>
  <c r="AC1664" i="2"/>
  <c r="X1665" i="2"/>
  <c r="AF1668" i="2"/>
  <c r="AB1668" i="2"/>
  <c r="AP1668" i="2"/>
  <c r="AO1668" i="2" s="1"/>
  <c r="AD1668" i="2"/>
  <c r="Z1668" i="2"/>
  <c r="AC1668" i="2"/>
  <c r="X1669" i="2"/>
  <c r="AF1672" i="2"/>
  <c r="AB1672" i="2"/>
  <c r="AE1672" i="2"/>
  <c r="AA1672" i="2"/>
  <c r="AP1672" i="2"/>
  <c r="AO1672" i="2" s="1"/>
  <c r="AD1672" i="2"/>
  <c r="Z1672" i="2"/>
  <c r="AC1672" i="2"/>
  <c r="AP1674" i="2"/>
  <c r="AO1674" i="2" s="1"/>
  <c r="AP1678" i="2"/>
  <c r="AO1678" i="2" s="1"/>
  <c r="X1586" i="2"/>
  <c r="AE1588" i="2"/>
  <c r="AP1589" i="2"/>
  <c r="AO1589" i="2" s="1"/>
  <c r="AD1589" i="2"/>
  <c r="Z1589" i="2"/>
  <c r="AF1589" i="2"/>
  <c r="AB1589" i="2"/>
  <c r="AC1589" i="2"/>
  <c r="X1590" i="2"/>
  <c r="AE1592" i="2"/>
  <c r="AP1593" i="2"/>
  <c r="AO1593" i="2" s="1"/>
  <c r="AD1593" i="2"/>
  <c r="Z1593" i="2"/>
  <c r="AF1593" i="2"/>
  <c r="AB1593" i="2"/>
  <c r="AC1593" i="2"/>
  <c r="X1594" i="2"/>
  <c r="AE1596" i="2"/>
  <c r="AP1597" i="2"/>
  <c r="AO1597" i="2" s="1"/>
  <c r="AD1597" i="2"/>
  <c r="Z1597" i="2"/>
  <c r="AF1597" i="2"/>
  <c r="AB1597" i="2"/>
  <c r="AC1597" i="2"/>
  <c r="X1598" i="2"/>
  <c r="AE1600" i="2"/>
  <c r="AP1601" i="2"/>
  <c r="AO1601" i="2" s="1"/>
  <c r="AD1601" i="2"/>
  <c r="Z1601" i="2"/>
  <c r="AF1601" i="2"/>
  <c r="AB1601" i="2"/>
  <c r="AC1601" i="2"/>
  <c r="X1602" i="2"/>
  <c r="AE1604" i="2"/>
  <c r="AP1605" i="2"/>
  <c r="AO1605" i="2" s="1"/>
  <c r="AD1605" i="2"/>
  <c r="Z1605" i="2"/>
  <c r="AF1605" i="2"/>
  <c r="AB1605" i="2"/>
  <c r="AC1605" i="2"/>
  <c r="X1606" i="2"/>
  <c r="AE1608" i="2"/>
  <c r="AP1609" i="2"/>
  <c r="AO1609" i="2" s="1"/>
  <c r="AD1609" i="2"/>
  <c r="Z1609" i="2"/>
  <c r="AF1609" i="2"/>
  <c r="AB1609" i="2"/>
  <c r="AC1609" i="2"/>
  <c r="X1610" i="2"/>
  <c r="AE1612" i="2"/>
  <c r="AP1613" i="2"/>
  <c r="AO1613" i="2" s="1"/>
  <c r="AD1613" i="2"/>
  <c r="Z1613" i="2"/>
  <c r="AF1613" i="2"/>
  <c r="AB1613" i="2"/>
  <c r="AC1613" i="2"/>
  <c r="X1614" i="2"/>
  <c r="AE1616" i="2"/>
  <c r="AP1617" i="2"/>
  <c r="AO1617" i="2" s="1"/>
  <c r="AD1617" i="2"/>
  <c r="Z1617" i="2"/>
  <c r="AF1617" i="2"/>
  <c r="AB1617" i="2"/>
  <c r="AC1617" i="2"/>
  <c r="X1618" i="2"/>
  <c r="AE1620" i="2"/>
  <c r="AP1621" i="2"/>
  <c r="AO1621" i="2" s="1"/>
  <c r="AD1621" i="2"/>
  <c r="Z1621" i="2"/>
  <c r="AF1621" i="2"/>
  <c r="AB1621" i="2"/>
  <c r="AC1621" i="2"/>
  <c r="X1622" i="2"/>
  <c r="AE1624" i="2"/>
  <c r="AP1625" i="2"/>
  <c r="AO1625" i="2" s="1"/>
  <c r="AD1625" i="2"/>
  <c r="Z1625" i="2"/>
  <c r="AF1625" i="2"/>
  <c r="AB1625" i="2"/>
  <c r="AC1625" i="2"/>
  <c r="X1626" i="2"/>
  <c r="AE1628" i="2"/>
  <c r="AP1629" i="2"/>
  <c r="AO1629" i="2" s="1"/>
  <c r="AD1629" i="2"/>
  <c r="Z1629" i="2"/>
  <c r="AF1629" i="2"/>
  <c r="AB1629" i="2"/>
  <c r="AC1629" i="2"/>
  <c r="X1630" i="2"/>
  <c r="AE1632" i="2"/>
  <c r="AP1633" i="2"/>
  <c r="AO1633" i="2" s="1"/>
  <c r="AD1633" i="2"/>
  <c r="Z1633" i="2"/>
  <c r="AF1633" i="2"/>
  <c r="AB1633" i="2"/>
  <c r="AC1633" i="2"/>
  <c r="X1634" i="2"/>
  <c r="AE1636" i="2"/>
  <c r="AP1637" i="2"/>
  <c r="AO1637" i="2" s="1"/>
  <c r="AD1637" i="2"/>
  <c r="Z1637" i="2"/>
  <c r="AF1637" i="2"/>
  <c r="AB1637" i="2"/>
  <c r="AC1637" i="2"/>
  <c r="X1638" i="2"/>
  <c r="AE1638" i="2" s="1"/>
  <c r="AE1640" i="2"/>
  <c r="AP1641" i="2"/>
  <c r="AO1641" i="2" s="1"/>
  <c r="AD1641" i="2"/>
  <c r="Z1641" i="2"/>
  <c r="AF1641" i="2"/>
  <c r="AB1641" i="2"/>
  <c r="AC1641" i="2"/>
  <c r="X1642" i="2"/>
  <c r="AE1644" i="2"/>
  <c r="AP1645" i="2"/>
  <c r="AO1645" i="2" s="1"/>
  <c r="AD1645" i="2"/>
  <c r="Z1645" i="2"/>
  <c r="AF1645" i="2"/>
  <c r="AB1645" i="2"/>
  <c r="AC1645" i="2"/>
  <c r="X1646" i="2"/>
  <c r="AE1646" i="2" s="1"/>
  <c r="AE1648" i="2"/>
  <c r="AP1649" i="2"/>
  <c r="AO1649" i="2" s="1"/>
  <c r="AD1649" i="2"/>
  <c r="Z1649" i="2"/>
  <c r="AF1649" i="2"/>
  <c r="AB1649" i="2"/>
  <c r="AC1649" i="2"/>
  <c r="X1650" i="2"/>
  <c r="AE1652" i="2"/>
  <c r="AP1653" i="2"/>
  <c r="AO1653" i="2" s="1"/>
  <c r="AD1653" i="2"/>
  <c r="Z1653" i="2"/>
  <c r="AF1653" i="2"/>
  <c r="AB1653" i="2"/>
  <c r="AC1653" i="2"/>
  <c r="X1654" i="2"/>
  <c r="AE1654" i="2" s="1"/>
  <c r="AE1656" i="2"/>
  <c r="AP1657" i="2"/>
  <c r="AO1657" i="2" s="1"/>
  <c r="AD1657" i="2"/>
  <c r="Z1657" i="2"/>
  <c r="AF1657" i="2"/>
  <c r="AB1657" i="2"/>
  <c r="AC1657" i="2"/>
  <c r="X1658" i="2"/>
  <c r="AE1660" i="2"/>
  <c r="AP1661" i="2"/>
  <c r="AO1661" i="2" s="1"/>
  <c r="AD1661" i="2"/>
  <c r="Z1661" i="2"/>
  <c r="AF1661" i="2"/>
  <c r="AB1661" i="2"/>
  <c r="AC1661" i="2"/>
  <c r="X1662" i="2"/>
  <c r="AE1662" i="2" s="1"/>
  <c r="AE1664" i="2"/>
  <c r="AP1665" i="2"/>
  <c r="AO1665" i="2" s="1"/>
  <c r="AD1665" i="2"/>
  <c r="Z1665" i="2"/>
  <c r="AF1665" i="2"/>
  <c r="AB1665" i="2"/>
  <c r="AC1665" i="2"/>
  <c r="X1666" i="2"/>
  <c r="AE1668" i="2"/>
  <c r="AP1669" i="2"/>
  <c r="AO1669" i="2" s="1"/>
  <c r="AD1669" i="2"/>
  <c r="Z1669" i="2"/>
  <c r="AF1669" i="2"/>
  <c r="AB1669" i="2"/>
  <c r="AC1669" i="2"/>
  <c r="X1670" i="2"/>
  <c r="AE1670" i="2" s="1"/>
  <c r="X1587" i="2"/>
  <c r="AA1587" i="2"/>
  <c r="AE1589" i="2"/>
  <c r="AF1590" i="2"/>
  <c r="AB1590" i="2"/>
  <c r="AP1590" i="2"/>
  <c r="AO1590" i="2" s="1"/>
  <c r="AD1590" i="2"/>
  <c r="Z1590" i="2"/>
  <c r="AC1590" i="2"/>
  <c r="X1591" i="2"/>
  <c r="AA1591" i="2" s="1"/>
  <c r="AO1592" i="2"/>
  <c r="AE1593" i="2"/>
  <c r="AF1594" i="2"/>
  <c r="AB1594" i="2"/>
  <c r="AP1594" i="2"/>
  <c r="AO1594" i="2" s="1"/>
  <c r="AD1594" i="2"/>
  <c r="Z1594" i="2"/>
  <c r="AC1594" i="2"/>
  <c r="X1595" i="2"/>
  <c r="AE1595" i="2" s="1"/>
  <c r="AO1596" i="2"/>
  <c r="AE1597" i="2"/>
  <c r="AF1598" i="2"/>
  <c r="AB1598" i="2"/>
  <c r="AP1598" i="2"/>
  <c r="AO1598" i="2" s="1"/>
  <c r="AD1598" i="2"/>
  <c r="Z1598" i="2"/>
  <c r="AC1598" i="2"/>
  <c r="X1599" i="2"/>
  <c r="AA1599" i="2" s="1"/>
  <c r="AE1601" i="2"/>
  <c r="AF1602" i="2"/>
  <c r="AB1602" i="2"/>
  <c r="AP1602" i="2"/>
  <c r="AO1602" i="2" s="1"/>
  <c r="AD1602" i="2"/>
  <c r="Z1602" i="2"/>
  <c r="AC1602" i="2"/>
  <c r="X1603" i="2"/>
  <c r="AA1603" i="2"/>
  <c r="AE1605" i="2"/>
  <c r="AF1606" i="2"/>
  <c r="AB1606" i="2"/>
  <c r="AP1606" i="2"/>
  <c r="AO1606" i="2" s="1"/>
  <c r="AD1606" i="2"/>
  <c r="Z1606" i="2"/>
  <c r="AC1606" i="2"/>
  <c r="X1607" i="2"/>
  <c r="AE1607" i="2" s="1"/>
  <c r="AO1608" i="2"/>
  <c r="AE1609" i="2"/>
  <c r="AF1610" i="2"/>
  <c r="AB1610" i="2"/>
  <c r="AP1610" i="2"/>
  <c r="AO1610" i="2" s="1"/>
  <c r="AD1610" i="2"/>
  <c r="Z1610" i="2"/>
  <c r="AC1610" i="2"/>
  <c r="X1611" i="2"/>
  <c r="AC1611" i="2" s="1"/>
  <c r="AO1612" i="2"/>
  <c r="AE1613" i="2"/>
  <c r="AF1614" i="2"/>
  <c r="AB1614" i="2"/>
  <c r="AP1614" i="2"/>
  <c r="AO1614" i="2" s="1"/>
  <c r="AD1614" i="2"/>
  <c r="Z1614" i="2"/>
  <c r="AC1614" i="2"/>
  <c r="X1615" i="2"/>
  <c r="AE1615" i="2" s="1"/>
  <c r="AE1617" i="2"/>
  <c r="AF1618" i="2"/>
  <c r="AB1618" i="2"/>
  <c r="AP1618" i="2"/>
  <c r="AO1618" i="2" s="1"/>
  <c r="AD1618" i="2"/>
  <c r="Z1618" i="2"/>
  <c r="AC1618" i="2"/>
  <c r="X1619" i="2"/>
  <c r="AB1619" i="2" s="1"/>
  <c r="AA1619" i="2"/>
  <c r="AF1622" i="2"/>
  <c r="AB1622" i="2"/>
  <c r="AP1622" i="2"/>
  <c r="AO1622" i="2" s="1"/>
  <c r="AD1622" i="2"/>
  <c r="Z1622" i="2"/>
  <c r="AC1622" i="2"/>
  <c r="X1623" i="2"/>
  <c r="AA1623" i="2"/>
  <c r="AF1626" i="2"/>
  <c r="AB1626" i="2"/>
  <c r="AP1626" i="2"/>
  <c r="AO1626" i="2" s="1"/>
  <c r="AD1626" i="2"/>
  <c r="Z1626" i="2"/>
  <c r="AC1626" i="2"/>
  <c r="X1627" i="2"/>
  <c r="AB1627" i="2" s="1"/>
  <c r="AA1627" i="2"/>
  <c r="AF1630" i="2"/>
  <c r="AB1630" i="2"/>
  <c r="AP1630" i="2"/>
  <c r="AO1630" i="2" s="1"/>
  <c r="AD1630" i="2"/>
  <c r="Z1630" i="2"/>
  <c r="AC1630" i="2"/>
  <c r="X1631" i="2"/>
  <c r="AA1631" i="2"/>
  <c r="AE1633" i="2"/>
  <c r="AF1634" i="2"/>
  <c r="AB1634" i="2"/>
  <c r="AP1634" i="2"/>
  <c r="AO1634" i="2" s="1"/>
  <c r="AD1634" i="2"/>
  <c r="Z1634" i="2"/>
  <c r="AC1634" i="2"/>
  <c r="X1635" i="2"/>
  <c r="AG1635" i="2" s="1"/>
  <c r="AF1638" i="2"/>
  <c r="AB1638" i="2"/>
  <c r="AP1638" i="2"/>
  <c r="AO1638" i="2" s="1"/>
  <c r="AD1638" i="2"/>
  <c r="Z1638" i="2"/>
  <c r="AC1638" i="2"/>
  <c r="X1639" i="2"/>
  <c r="AG1639" i="2" s="1"/>
  <c r="AF1642" i="2"/>
  <c r="AB1642" i="2"/>
  <c r="AP1642" i="2"/>
  <c r="AO1642" i="2" s="1"/>
  <c r="AD1642" i="2"/>
  <c r="Z1642" i="2"/>
  <c r="AC1642" i="2"/>
  <c r="X1643" i="2"/>
  <c r="AG1643" i="2" s="1"/>
  <c r="AF1646" i="2"/>
  <c r="AB1646" i="2"/>
  <c r="AP1646" i="2"/>
  <c r="AO1646" i="2" s="1"/>
  <c r="AD1646" i="2"/>
  <c r="Z1646" i="2"/>
  <c r="AC1646" i="2"/>
  <c r="X1647" i="2"/>
  <c r="AG1647" i="2" s="1"/>
  <c r="AF1650" i="2"/>
  <c r="AB1650" i="2"/>
  <c r="AP1650" i="2"/>
  <c r="AO1650" i="2" s="1"/>
  <c r="AD1650" i="2"/>
  <c r="Z1650" i="2"/>
  <c r="AC1650" i="2"/>
  <c r="X1651" i="2"/>
  <c r="AG1651" i="2" s="1"/>
  <c r="AF1654" i="2"/>
  <c r="AB1654" i="2"/>
  <c r="AP1654" i="2"/>
  <c r="AO1654" i="2" s="1"/>
  <c r="AD1654" i="2"/>
  <c r="Z1654" i="2"/>
  <c r="AC1654" i="2"/>
  <c r="X1655" i="2"/>
  <c r="AG1655" i="2" s="1"/>
  <c r="AE1657" i="2"/>
  <c r="AF1658" i="2"/>
  <c r="AB1658" i="2"/>
  <c r="AP1658" i="2"/>
  <c r="AO1658" i="2" s="1"/>
  <c r="AD1658" i="2"/>
  <c r="Z1658" i="2"/>
  <c r="AC1658" i="2"/>
  <c r="X1659" i="2"/>
  <c r="AG1659" i="2" s="1"/>
  <c r="AA1659" i="2"/>
  <c r="AE1661" i="2"/>
  <c r="AF1662" i="2"/>
  <c r="AB1662" i="2"/>
  <c r="AP1662" i="2"/>
  <c r="AO1662" i="2" s="1"/>
  <c r="AD1662" i="2"/>
  <c r="Z1662" i="2"/>
  <c r="AC1662" i="2"/>
  <c r="X1663" i="2"/>
  <c r="AG1663" i="2" s="1"/>
  <c r="AE1665" i="2"/>
  <c r="AF1666" i="2"/>
  <c r="AB1666" i="2"/>
  <c r="AP1666" i="2"/>
  <c r="AO1666" i="2" s="1"/>
  <c r="AD1666" i="2"/>
  <c r="Z1666" i="2"/>
  <c r="AC1666" i="2"/>
  <c r="X1667" i="2"/>
  <c r="AG1667" i="2" s="1"/>
  <c r="AA1667" i="2"/>
  <c r="AF1670" i="2"/>
  <c r="AB1670" i="2"/>
  <c r="AP1670" i="2"/>
  <c r="AO1670" i="2" s="1"/>
  <c r="AD1670" i="2"/>
  <c r="Z1670" i="2"/>
  <c r="AC1670" i="2"/>
  <c r="X1671" i="2"/>
  <c r="AG1671" i="2" s="1"/>
  <c r="AA1671" i="2"/>
  <c r="X1673" i="2"/>
  <c r="AG1673" i="2" s="1"/>
  <c r="AP1677" i="2"/>
  <c r="AO1677" i="2" s="1"/>
  <c r="AQ1677" i="2"/>
  <c r="AO1700" i="2"/>
  <c r="AP1675" i="2"/>
  <c r="AO1675" i="2" s="1"/>
  <c r="AF1679" i="2"/>
  <c r="AB1679" i="2"/>
  <c r="AP1679" i="2"/>
  <c r="AO1679" i="2" s="1"/>
  <c r="Z1679" i="2"/>
  <c r="AE1679" i="2"/>
  <c r="AP1680" i="2"/>
  <c r="AO1680" i="2" s="1"/>
  <c r="X1681" i="2"/>
  <c r="AG1681" i="2" s="1"/>
  <c r="AP1684" i="2"/>
  <c r="AO1684" i="2" s="1"/>
  <c r="X1685" i="2"/>
  <c r="AG1685" i="2" s="1"/>
  <c r="AP1688" i="2"/>
  <c r="AO1688" i="2" s="1"/>
  <c r="X1689" i="2"/>
  <c r="AG1689" i="2" s="1"/>
  <c r="AP1692" i="2"/>
  <c r="AO1692" i="2" s="1"/>
  <c r="X1693" i="2"/>
  <c r="AG1693" i="2" s="1"/>
  <c r="AP1696" i="2"/>
  <c r="AO1696" i="2" s="1"/>
  <c r="X1697" i="2"/>
  <c r="AG1697" i="2" s="1"/>
  <c r="AP1700" i="2"/>
  <c r="X1701" i="2"/>
  <c r="AG1701" i="2" s="1"/>
  <c r="AP1704" i="2"/>
  <c r="AO1704" i="2" s="1"/>
  <c r="X1705" i="2"/>
  <c r="AG1705" i="2" s="1"/>
  <c r="AP1708" i="2"/>
  <c r="AO1708" i="2" s="1"/>
  <c r="X1709" i="2"/>
  <c r="AG1709" i="2" s="1"/>
  <c r="AP1712" i="2"/>
  <c r="AO1712" i="2" s="1"/>
  <c r="X1713" i="2"/>
  <c r="AG1713" i="2" s="1"/>
  <c r="AP1716" i="2"/>
  <c r="AO1716" i="2" s="1"/>
  <c r="X1717" i="2"/>
  <c r="AG1717" i="2" s="1"/>
  <c r="AP1720" i="2"/>
  <c r="AO1720" i="2" s="1"/>
  <c r="X1721" i="2"/>
  <c r="AG1721" i="2" s="1"/>
  <c r="AP1724" i="2"/>
  <c r="AO1724" i="2" s="1"/>
  <c r="X1725" i="2"/>
  <c r="AG1725" i="2" s="1"/>
  <c r="AP1728" i="2"/>
  <c r="AO1728" i="2" s="1"/>
  <c r="X1729" i="2"/>
  <c r="AG1729" i="2" s="1"/>
  <c r="X1733" i="2"/>
  <c r="AG1733" i="2" s="1"/>
  <c r="AF1673" i="2"/>
  <c r="AB1673" i="2"/>
  <c r="AC1673" i="2"/>
  <c r="AP1673" i="2"/>
  <c r="AO1673" i="2" s="1"/>
  <c r="X1678" i="2"/>
  <c r="AG1678" i="2" s="1"/>
  <c r="AF1681" i="2"/>
  <c r="AB1681" i="2"/>
  <c r="AP1681" i="2"/>
  <c r="AO1681" i="2" s="1"/>
  <c r="AD1681" i="2"/>
  <c r="Z1681" i="2"/>
  <c r="AC1681" i="2"/>
  <c r="X1682" i="2"/>
  <c r="AF1685" i="2"/>
  <c r="AB1685" i="2"/>
  <c r="AP1685" i="2"/>
  <c r="AO1685" i="2" s="1"/>
  <c r="AD1685" i="2"/>
  <c r="Z1685" i="2"/>
  <c r="AC1685" i="2"/>
  <c r="X1686" i="2"/>
  <c r="AA1686" i="2" s="1"/>
  <c r="AF1689" i="2"/>
  <c r="AB1689" i="2"/>
  <c r="AP1689" i="2"/>
  <c r="AO1689" i="2" s="1"/>
  <c r="AD1689" i="2"/>
  <c r="Z1689" i="2"/>
  <c r="AC1689" i="2"/>
  <c r="X1690" i="2"/>
  <c r="AB1690" i="2" s="1"/>
  <c r="AF1693" i="2"/>
  <c r="AB1693" i="2"/>
  <c r="AP1693" i="2"/>
  <c r="AO1693" i="2" s="1"/>
  <c r="AD1693" i="2"/>
  <c r="Z1693" i="2"/>
  <c r="AC1693" i="2"/>
  <c r="X1694" i="2"/>
  <c r="AA1694" i="2" s="1"/>
  <c r="AF1697" i="2"/>
  <c r="AB1697" i="2"/>
  <c r="AP1697" i="2"/>
  <c r="AO1697" i="2" s="1"/>
  <c r="AD1697" i="2"/>
  <c r="Z1697" i="2"/>
  <c r="AC1697" i="2"/>
  <c r="X1698" i="2"/>
  <c r="AB1698" i="2" s="1"/>
  <c r="AF1701" i="2"/>
  <c r="AB1701" i="2"/>
  <c r="AP1701" i="2"/>
  <c r="AO1701" i="2" s="1"/>
  <c r="AD1701" i="2"/>
  <c r="Z1701" i="2"/>
  <c r="AC1701" i="2"/>
  <c r="X1702" i="2"/>
  <c r="AA1702" i="2" s="1"/>
  <c r="AF1705" i="2"/>
  <c r="AB1705" i="2"/>
  <c r="AP1705" i="2"/>
  <c r="AO1705" i="2" s="1"/>
  <c r="AD1705" i="2"/>
  <c r="Z1705" i="2"/>
  <c r="AC1705" i="2"/>
  <c r="X1706" i="2"/>
  <c r="AA1706" i="2" s="1"/>
  <c r="AF1709" i="2"/>
  <c r="AB1709" i="2"/>
  <c r="AP1709" i="2"/>
  <c r="AO1709" i="2" s="1"/>
  <c r="AD1709" i="2"/>
  <c r="Z1709" i="2"/>
  <c r="AC1709" i="2"/>
  <c r="X1710" i="2"/>
  <c r="AA1710" i="2" s="1"/>
  <c r="AF1713" i="2"/>
  <c r="AB1713" i="2"/>
  <c r="AP1713" i="2"/>
  <c r="AO1713" i="2" s="1"/>
  <c r="AD1713" i="2"/>
  <c r="Z1713" i="2"/>
  <c r="AC1713" i="2"/>
  <c r="X1714" i="2"/>
  <c r="AB1714" i="2" s="1"/>
  <c r="AF1717" i="2"/>
  <c r="AB1717" i="2"/>
  <c r="AP1717" i="2"/>
  <c r="AO1717" i="2" s="1"/>
  <c r="AD1717" i="2"/>
  <c r="Z1717" i="2"/>
  <c r="AC1717" i="2"/>
  <c r="X1718" i="2"/>
  <c r="AA1718" i="2" s="1"/>
  <c r="AF1721" i="2"/>
  <c r="AB1721" i="2"/>
  <c r="AP1721" i="2"/>
  <c r="AO1721" i="2" s="1"/>
  <c r="AD1721" i="2"/>
  <c r="Z1721" i="2"/>
  <c r="AC1721" i="2"/>
  <c r="X1722" i="2"/>
  <c r="AB1722" i="2" s="1"/>
  <c r="AF1725" i="2"/>
  <c r="AB1725" i="2"/>
  <c r="AP1725" i="2"/>
  <c r="AO1725" i="2" s="1"/>
  <c r="AD1725" i="2"/>
  <c r="Z1725" i="2"/>
  <c r="AC1725" i="2"/>
  <c r="X1726" i="2"/>
  <c r="Z1726" i="2" s="1"/>
  <c r="AF1729" i="2"/>
  <c r="AB1729" i="2"/>
  <c r="AP1729" i="2"/>
  <c r="AO1729" i="2" s="1"/>
  <c r="AD1729" i="2"/>
  <c r="Z1729" i="2"/>
  <c r="AC1729" i="2"/>
  <c r="X1730" i="2"/>
  <c r="AB1730" i="2" s="1"/>
  <c r="X1732" i="2"/>
  <c r="AG1732" i="2" s="1"/>
  <c r="AF1733" i="2"/>
  <c r="AB1733" i="2"/>
  <c r="AE1733" i="2"/>
  <c r="AA1733" i="2"/>
  <c r="AP1733" i="2"/>
  <c r="AO1733" i="2" s="1"/>
  <c r="AD1733" i="2"/>
  <c r="Z1733" i="2"/>
  <c r="AC1733" i="2"/>
  <c r="AD1673" i="2"/>
  <c r="AF1675" i="2"/>
  <c r="AB1675" i="2"/>
  <c r="Z1675" i="2"/>
  <c r="AE1675" i="2"/>
  <c r="X1676" i="2"/>
  <c r="AG1676" i="2" s="1"/>
  <c r="AC1679" i="2"/>
  <c r="AE1681" i="2"/>
  <c r="AP1682" i="2"/>
  <c r="AO1682" i="2" s="1"/>
  <c r="AD1682" i="2"/>
  <c r="Z1682" i="2"/>
  <c r="AF1682" i="2"/>
  <c r="AB1682" i="2"/>
  <c r="AC1682" i="2"/>
  <c r="X1683" i="2"/>
  <c r="AG1683" i="2" s="1"/>
  <c r="AE1685" i="2"/>
  <c r="AP1686" i="2"/>
  <c r="AO1686" i="2" s="1"/>
  <c r="AD1686" i="2"/>
  <c r="Z1686" i="2"/>
  <c r="AF1686" i="2"/>
  <c r="AB1686" i="2"/>
  <c r="AC1686" i="2"/>
  <c r="X1687" i="2"/>
  <c r="AG1687" i="2" s="1"/>
  <c r="AE1689" i="2"/>
  <c r="AP1690" i="2"/>
  <c r="AO1690" i="2" s="1"/>
  <c r="AD1690" i="2"/>
  <c r="AF1690" i="2"/>
  <c r="AC1690" i="2"/>
  <c r="X1691" i="2"/>
  <c r="AG1691" i="2" s="1"/>
  <c r="AE1693" i="2"/>
  <c r="AP1694" i="2"/>
  <c r="AO1694" i="2" s="1"/>
  <c r="AD1694" i="2"/>
  <c r="Z1694" i="2"/>
  <c r="AF1694" i="2"/>
  <c r="AB1694" i="2"/>
  <c r="AC1694" i="2"/>
  <c r="X1695" i="2"/>
  <c r="AG1695" i="2" s="1"/>
  <c r="AE1697" i="2"/>
  <c r="AP1698" i="2"/>
  <c r="AO1698" i="2" s="1"/>
  <c r="AD1698" i="2"/>
  <c r="AF1698" i="2"/>
  <c r="AC1698" i="2"/>
  <c r="X1699" i="2"/>
  <c r="AG1699" i="2" s="1"/>
  <c r="AE1701" i="2"/>
  <c r="AP1702" i="2"/>
  <c r="AO1702" i="2" s="1"/>
  <c r="AD1702" i="2"/>
  <c r="Z1702" i="2"/>
  <c r="AF1702" i="2"/>
  <c r="AB1702" i="2"/>
  <c r="AC1702" i="2"/>
  <c r="X1703" i="2"/>
  <c r="AG1703" i="2" s="1"/>
  <c r="AE1705" i="2"/>
  <c r="AP1706" i="2"/>
  <c r="AO1706" i="2" s="1"/>
  <c r="AD1706" i="2"/>
  <c r="AF1706" i="2"/>
  <c r="AC1706" i="2"/>
  <c r="X1707" i="2"/>
  <c r="AG1707" i="2" s="1"/>
  <c r="AE1709" i="2"/>
  <c r="AP1710" i="2"/>
  <c r="AO1710" i="2" s="1"/>
  <c r="AD1710" i="2"/>
  <c r="Z1710" i="2"/>
  <c r="AF1710" i="2"/>
  <c r="AB1710" i="2"/>
  <c r="AC1710" i="2"/>
  <c r="X1711" i="2"/>
  <c r="AG1711" i="2" s="1"/>
  <c r="AE1713" i="2"/>
  <c r="AP1714" i="2"/>
  <c r="AO1714" i="2" s="1"/>
  <c r="AD1714" i="2"/>
  <c r="AF1714" i="2"/>
  <c r="AC1714" i="2"/>
  <c r="X1715" i="2"/>
  <c r="AG1715" i="2" s="1"/>
  <c r="AE1717" i="2"/>
  <c r="AP1718" i="2"/>
  <c r="AO1718" i="2" s="1"/>
  <c r="AD1718" i="2"/>
  <c r="AF1718" i="2"/>
  <c r="AB1718" i="2"/>
  <c r="AC1718" i="2"/>
  <c r="X1719" i="2"/>
  <c r="AG1719" i="2" s="1"/>
  <c r="AE1721" i="2"/>
  <c r="AP1722" i="2"/>
  <c r="AO1722" i="2" s="1"/>
  <c r="AD1722" i="2"/>
  <c r="AF1722" i="2"/>
  <c r="AC1722" i="2"/>
  <c r="X1723" i="2"/>
  <c r="AG1723" i="2" s="1"/>
  <c r="AE1725" i="2"/>
  <c r="AP1726" i="2"/>
  <c r="AO1726" i="2" s="1"/>
  <c r="AD1726" i="2"/>
  <c r="AF1726" i="2"/>
  <c r="AB1726" i="2"/>
  <c r="AC1726" i="2"/>
  <c r="X1727" i="2"/>
  <c r="AG1727" i="2" s="1"/>
  <c r="AE1729" i="2"/>
  <c r="AP1730" i="2"/>
  <c r="AO1730" i="2" s="1"/>
  <c r="AD1730" i="2"/>
  <c r="AF1730" i="2"/>
  <c r="AC1730" i="2"/>
  <c r="X1731" i="2"/>
  <c r="AG1731" i="2" s="1"/>
  <c r="AP1732" i="2"/>
  <c r="AO1732" i="2" s="1"/>
  <c r="AD1732" i="2"/>
  <c r="Z1732" i="2"/>
  <c r="AB1732" i="2"/>
  <c r="AC1732" i="2"/>
  <c r="Z1673" i="2"/>
  <c r="AE1673" i="2"/>
  <c r="X1674" i="2"/>
  <c r="AG1674" i="2" s="1"/>
  <c r="AP1676" i="2"/>
  <c r="AO1676" i="2" s="1"/>
  <c r="AD1676" i="2"/>
  <c r="AE1676" i="2"/>
  <c r="X1677" i="2"/>
  <c r="AG1677" i="2" s="1"/>
  <c r="X1680" i="2"/>
  <c r="AG1680" i="2" s="1"/>
  <c r="AA1680" i="2"/>
  <c r="AF1683" i="2"/>
  <c r="AP1683" i="2"/>
  <c r="AO1683" i="2" s="1"/>
  <c r="Z1683" i="2"/>
  <c r="X1684" i="2"/>
  <c r="AG1684" i="2" s="1"/>
  <c r="AA1684" i="2"/>
  <c r="AF1687" i="2"/>
  <c r="AB1687" i="2"/>
  <c r="AP1687" i="2"/>
  <c r="AO1687" i="2" s="1"/>
  <c r="Z1687" i="2"/>
  <c r="AC1687" i="2"/>
  <c r="X1688" i="2"/>
  <c r="AG1688" i="2" s="1"/>
  <c r="AA1688" i="2"/>
  <c r="AF1691" i="2"/>
  <c r="AP1691" i="2"/>
  <c r="AO1691" i="2" s="1"/>
  <c r="Z1691" i="2"/>
  <c r="X1692" i="2"/>
  <c r="AG1692" i="2" s="1"/>
  <c r="AA1692" i="2"/>
  <c r="AF1695" i="2"/>
  <c r="AB1695" i="2"/>
  <c r="AP1695" i="2"/>
  <c r="AO1695" i="2" s="1"/>
  <c r="Z1695" i="2"/>
  <c r="AC1695" i="2"/>
  <c r="X1696" i="2"/>
  <c r="AG1696" i="2" s="1"/>
  <c r="AA1696" i="2"/>
  <c r="AF1699" i="2"/>
  <c r="AP1699" i="2"/>
  <c r="AO1699" i="2" s="1"/>
  <c r="Z1699" i="2"/>
  <c r="X1700" i="2"/>
  <c r="AG1700" i="2" s="1"/>
  <c r="AA1700" i="2"/>
  <c r="AF1703" i="2"/>
  <c r="AB1703" i="2"/>
  <c r="AP1703" i="2"/>
  <c r="AO1703" i="2" s="1"/>
  <c r="Z1703" i="2"/>
  <c r="AC1703" i="2"/>
  <c r="X1704" i="2"/>
  <c r="AG1704" i="2" s="1"/>
  <c r="AA1704" i="2"/>
  <c r="AF1707" i="2"/>
  <c r="AP1707" i="2"/>
  <c r="AO1707" i="2" s="1"/>
  <c r="AD1707" i="2"/>
  <c r="Z1707" i="2"/>
  <c r="X1708" i="2"/>
  <c r="AG1708" i="2" s="1"/>
  <c r="AA1708" i="2"/>
  <c r="AF1711" i="2"/>
  <c r="AB1711" i="2"/>
  <c r="AP1711" i="2"/>
  <c r="AO1711" i="2" s="1"/>
  <c r="Z1711" i="2"/>
  <c r="AC1711" i="2"/>
  <c r="X1712" i="2"/>
  <c r="AG1712" i="2" s="1"/>
  <c r="AA1712" i="2"/>
  <c r="AF1715" i="2"/>
  <c r="AP1715" i="2"/>
  <c r="AO1715" i="2" s="1"/>
  <c r="AD1715" i="2"/>
  <c r="Z1715" i="2"/>
  <c r="X1716" i="2"/>
  <c r="AG1716" i="2" s="1"/>
  <c r="AA1716" i="2"/>
  <c r="AF1719" i="2"/>
  <c r="AB1719" i="2"/>
  <c r="AP1719" i="2"/>
  <c r="AO1719" i="2" s="1"/>
  <c r="Z1719" i="2"/>
  <c r="AC1719" i="2"/>
  <c r="X1720" i="2"/>
  <c r="AG1720" i="2" s="1"/>
  <c r="AA1720" i="2"/>
  <c r="AF1723" i="2"/>
  <c r="AP1723" i="2"/>
  <c r="AO1723" i="2" s="1"/>
  <c r="AD1723" i="2"/>
  <c r="Z1723" i="2"/>
  <c r="X1724" i="2"/>
  <c r="AG1724" i="2" s="1"/>
  <c r="AA1724" i="2"/>
  <c r="AF1727" i="2"/>
  <c r="AB1727" i="2"/>
  <c r="AP1727" i="2"/>
  <c r="AO1727" i="2" s="1"/>
  <c r="Z1727" i="2"/>
  <c r="AC1727" i="2"/>
  <c r="X1728" i="2"/>
  <c r="AG1728" i="2" s="1"/>
  <c r="AA1728" i="2"/>
  <c r="AF1731" i="2"/>
  <c r="AP1731" i="2"/>
  <c r="AO1731" i="2" s="1"/>
  <c r="AD1731" i="2"/>
  <c r="Z1731" i="2"/>
  <c r="AE1731" i="2"/>
  <c r="AE1732" i="2"/>
  <c r="AA1731" i="2" l="1"/>
  <c r="AB1731" i="2"/>
  <c r="AH1728" i="2"/>
  <c r="AD1727" i="2"/>
  <c r="AC1723" i="2"/>
  <c r="AB1723" i="2"/>
  <c r="AH1720" i="2"/>
  <c r="AD1719" i="2"/>
  <c r="AC1715" i="2"/>
  <c r="AB1715" i="2"/>
  <c r="AH1712" i="2"/>
  <c r="AD1711" i="2"/>
  <c r="AC1707" i="2"/>
  <c r="AB1707" i="2"/>
  <c r="AH1704" i="2"/>
  <c r="AD1703" i="2"/>
  <c r="AC1699" i="2"/>
  <c r="AB1699" i="2"/>
  <c r="AH1696" i="2"/>
  <c r="AD1695" i="2"/>
  <c r="AC1691" i="2"/>
  <c r="AB1691" i="2"/>
  <c r="AH1688" i="2"/>
  <c r="AD1687" i="2"/>
  <c r="AC1683" i="2"/>
  <c r="AB1683" i="2"/>
  <c r="AH1680" i="2"/>
  <c r="AF1732" i="2"/>
  <c r="Z1718" i="2"/>
  <c r="AB1706" i="2"/>
  <c r="AA1677" i="2"/>
  <c r="AE1724" i="2"/>
  <c r="AE1716" i="2"/>
  <c r="AE1708" i="2"/>
  <c r="AE1700" i="2"/>
  <c r="AE1692" i="2"/>
  <c r="AE1684" i="2"/>
  <c r="AF1677" i="2"/>
  <c r="Z1728" i="2"/>
  <c r="AE1727" i="2"/>
  <c r="AB1724" i="2"/>
  <c r="Z1720" i="2"/>
  <c r="AE1719" i="2"/>
  <c r="AB1716" i="2"/>
  <c r="Z1712" i="2"/>
  <c r="AE1711" i="2"/>
  <c r="AB1708" i="2"/>
  <c r="Z1704" i="2"/>
  <c r="AE1703" i="2"/>
  <c r="AB1700" i="2"/>
  <c r="Z1696" i="2"/>
  <c r="AE1695" i="2"/>
  <c r="AB1692" i="2"/>
  <c r="Z1688" i="2"/>
  <c r="AE1687" i="2"/>
  <c r="AB1684" i="2"/>
  <c r="Z1680" i="2"/>
  <c r="AA1723" i="2"/>
  <c r="AA1683" i="2"/>
  <c r="AH1671" i="2"/>
  <c r="AA1663" i="2"/>
  <c r="AH1659" i="2"/>
  <c r="AA1651" i="2"/>
  <c r="AA1643" i="2"/>
  <c r="AA1635" i="2"/>
  <c r="AG1631" i="2"/>
  <c r="AD1631" i="2"/>
  <c r="AC1631" i="2"/>
  <c r="AG1623" i="2"/>
  <c r="AB1623" i="2"/>
  <c r="AD1623" i="2"/>
  <c r="AC1623" i="2"/>
  <c r="AA1615" i="2"/>
  <c r="AA1611" i="2"/>
  <c r="AA1607" i="2"/>
  <c r="AG1603" i="2"/>
  <c r="AB1603" i="2"/>
  <c r="Z1603" i="2"/>
  <c r="AF1603" i="2"/>
  <c r="AA1729" i="2"/>
  <c r="AA1703" i="2"/>
  <c r="AG1666" i="2"/>
  <c r="AA1666" i="2"/>
  <c r="AG1658" i="2"/>
  <c r="AA1658" i="2"/>
  <c r="AG1650" i="2"/>
  <c r="AA1650" i="2"/>
  <c r="AG1642" i="2"/>
  <c r="AA1642" i="2"/>
  <c r="AG1634" i="2"/>
  <c r="AA1634" i="2"/>
  <c r="AG1626" i="2"/>
  <c r="AA1626" i="2"/>
  <c r="AE1626" i="2"/>
  <c r="AG1618" i="2"/>
  <c r="AA1618" i="2"/>
  <c r="AE1618" i="2"/>
  <c r="AG1610" i="2"/>
  <c r="AA1610" i="2"/>
  <c r="AE1610" i="2"/>
  <c r="AG1602" i="2"/>
  <c r="AA1602" i="2"/>
  <c r="AE1602" i="2"/>
  <c r="AG1594" i="2"/>
  <c r="AA1594" i="2"/>
  <c r="AE1594" i="2"/>
  <c r="AB1586" i="2"/>
  <c r="AC1586" i="2"/>
  <c r="AA1586" i="2"/>
  <c r="AD1586" i="2"/>
  <c r="AE1586" i="2"/>
  <c r="AF1586" i="2"/>
  <c r="Z1586" i="2"/>
  <c r="AG1586" i="2" s="1"/>
  <c r="AA1705" i="2"/>
  <c r="AA1691" i="2"/>
  <c r="AB1678" i="2"/>
  <c r="AF1678" i="2"/>
  <c r="AF1674" i="2"/>
  <c r="AD1674" i="2"/>
  <c r="AE1671" i="2"/>
  <c r="AE1663" i="2"/>
  <c r="AE1655" i="2"/>
  <c r="AE1647" i="2"/>
  <c r="AE1639" i="2"/>
  <c r="AE1631" i="2"/>
  <c r="AE1623" i="2"/>
  <c r="AE1599" i="2"/>
  <c r="AE1591" i="2"/>
  <c r="Z1671" i="2"/>
  <c r="AB1667" i="2"/>
  <c r="Z1663" i="2"/>
  <c r="AB1659" i="2"/>
  <c r="Z1655" i="2"/>
  <c r="AB1651" i="2"/>
  <c r="Z1647" i="2"/>
  <c r="AB1643" i="2"/>
  <c r="Z1639" i="2"/>
  <c r="AB1635" i="2"/>
  <c r="AC1627" i="2"/>
  <c r="AG1624" i="2"/>
  <c r="AA1624" i="2"/>
  <c r="AC1619" i="2"/>
  <c r="AG1616" i="2"/>
  <c r="AA1616" i="2"/>
  <c r="AG1608" i="2"/>
  <c r="AA1608" i="2"/>
  <c r="AH874" i="2"/>
  <c r="AH858" i="2"/>
  <c r="AH1731" i="2"/>
  <c r="AH1723" i="2"/>
  <c r="AH1715" i="2"/>
  <c r="AH1707" i="2"/>
  <c r="AH1699" i="2"/>
  <c r="AH1691" i="2"/>
  <c r="AH1683" i="2"/>
  <c r="AH1676" i="2"/>
  <c r="AE1730" i="2"/>
  <c r="AG1730" i="2"/>
  <c r="AE1722" i="2"/>
  <c r="AG1722" i="2"/>
  <c r="AE1714" i="2"/>
  <c r="AG1714" i="2"/>
  <c r="AE1706" i="2"/>
  <c r="AG1706" i="2"/>
  <c r="AE1698" i="2"/>
  <c r="AG1698" i="2"/>
  <c r="AE1690" i="2"/>
  <c r="AG1690" i="2"/>
  <c r="AE1682" i="2"/>
  <c r="AG1682" i="2"/>
  <c r="AE1677" i="2"/>
  <c r="AH1733" i="2"/>
  <c r="AC1728" i="2"/>
  <c r="AD1728" i="2"/>
  <c r="AH1725" i="2"/>
  <c r="AF1724" i="2"/>
  <c r="AC1720" i="2"/>
  <c r="AD1720" i="2"/>
  <c r="AH1717" i="2"/>
  <c r="AF1716" i="2"/>
  <c r="AC1712" i="2"/>
  <c r="AD1712" i="2"/>
  <c r="AH1709" i="2"/>
  <c r="AF1708" i="2"/>
  <c r="AC1704" i="2"/>
  <c r="AD1704" i="2"/>
  <c r="AH1701" i="2"/>
  <c r="AF1700" i="2"/>
  <c r="AC1696" i="2"/>
  <c r="AD1696" i="2"/>
  <c r="AH1693" i="2"/>
  <c r="AF1692" i="2"/>
  <c r="AC1688" i="2"/>
  <c r="AD1688" i="2"/>
  <c r="AH1685" i="2"/>
  <c r="AF1684" i="2"/>
  <c r="AC1680" i="2"/>
  <c r="AD1680" i="2"/>
  <c r="AA1732" i="2"/>
  <c r="AA1689" i="2"/>
  <c r="AH1673" i="2"/>
  <c r="AH1663" i="2"/>
  <c r="AH1651" i="2"/>
  <c r="AH1643" i="2"/>
  <c r="AH1635" i="2"/>
  <c r="AG1615" i="2"/>
  <c r="AB1615" i="2"/>
  <c r="AD1615" i="2"/>
  <c r="AC1615" i="2"/>
  <c r="AG1611" i="2"/>
  <c r="Z1611" i="2"/>
  <c r="AF1611" i="2"/>
  <c r="AG1607" i="2"/>
  <c r="Z1607" i="2"/>
  <c r="AB1607" i="2"/>
  <c r="AD1607" i="2"/>
  <c r="AC1607" i="2"/>
  <c r="AA1715" i="2"/>
  <c r="AA1690" i="2"/>
  <c r="AD1677" i="2"/>
  <c r="AA1721" i="2"/>
  <c r="AC1678" i="2"/>
  <c r="Z1678" i="2"/>
  <c r="AC1676" i="2"/>
  <c r="AB1674" i="2"/>
  <c r="AE1669" i="2"/>
  <c r="AG1669" i="2"/>
  <c r="AA1669" i="2"/>
  <c r="AG1661" i="2"/>
  <c r="AA1661" i="2"/>
  <c r="AE1653" i="2"/>
  <c r="AG1653" i="2"/>
  <c r="AA1653" i="2"/>
  <c r="AE1645" i="2"/>
  <c r="AG1645" i="2"/>
  <c r="AA1645" i="2"/>
  <c r="AE1637" i="2"/>
  <c r="AG1637" i="2"/>
  <c r="AA1637" i="2"/>
  <c r="AE1629" i="2"/>
  <c r="AG1629" i="2"/>
  <c r="AA1629" i="2"/>
  <c r="AE1621" i="2"/>
  <c r="AG1621" i="2"/>
  <c r="AA1621" i="2"/>
  <c r="AG1613" i="2"/>
  <c r="AA1613" i="2"/>
  <c r="AG1605" i="2"/>
  <c r="AA1605" i="2"/>
  <c r="AG1597" i="2"/>
  <c r="AA1597" i="2"/>
  <c r="AG1589" i="2"/>
  <c r="AA1589" i="2"/>
  <c r="AC1731" i="2"/>
  <c r="AA1722" i="2"/>
  <c r="AA1713" i="2"/>
  <c r="AA1701" i="2"/>
  <c r="AA1682" i="2"/>
  <c r="AD1679" i="2"/>
  <c r="AA1673" i="2"/>
  <c r="AC1671" i="2"/>
  <c r="AD1671" i="2"/>
  <c r="AG1668" i="2"/>
  <c r="AA1668" i="2"/>
  <c r="AF1667" i="2"/>
  <c r="AC1663" i="2"/>
  <c r="AD1663" i="2"/>
  <c r="AG1660" i="2"/>
  <c r="AA1660" i="2"/>
  <c r="AF1659" i="2"/>
  <c r="AC1655" i="2"/>
  <c r="AD1655" i="2"/>
  <c r="AG1652" i="2"/>
  <c r="AA1652" i="2"/>
  <c r="AF1651" i="2"/>
  <c r="AC1647" i="2"/>
  <c r="AD1647" i="2"/>
  <c r="AG1644" i="2"/>
  <c r="AA1644" i="2"/>
  <c r="AF1643" i="2"/>
  <c r="AC1639" i="2"/>
  <c r="AD1639" i="2"/>
  <c r="AG1636" i="2"/>
  <c r="AA1636" i="2"/>
  <c r="AF1635" i="2"/>
  <c r="AB1631" i="2"/>
  <c r="AB1611" i="2"/>
  <c r="AH870" i="2"/>
  <c r="AH866" i="2"/>
  <c r="AH1724" i="2"/>
  <c r="AH1716" i="2"/>
  <c r="AH1708" i="2"/>
  <c r="AH1700" i="2"/>
  <c r="AD1699" i="2"/>
  <c r="AH1692" i="2"/>
  <c r="AD1691" i="2"/>
  <c r="AH1684" i="2"/>
  <c r="AD1683" i="2"/>
  <c r="AC1677" i="2"/>
  <c r="Z1676" i="2"/>
  <c r="AH1674" i="2"/>
  <c r="Z1730" i="2"/>
  <c r="Z1722" i="2"/>
  <c r="Z1714" i="2"/>
  <c r="Z1706" i="2"/>
  <c r="Z1698" i="2"/>
  <c r="Z1690" i="2"/>
  <c r="AE1728" i="2"/>
  <c r="AE1720" i="2"/>
  <c r="AE1712" i="2"/>
  <c r="AE1704" i="2"/>
  <c r="AE1696" i="2"/>
  <c r="AE1688" i="2"/>
  <c r="AE1680" i="2"/>
  <c r="Z1677" i="2"/>
  <c r="AB1676" i="2"/>
  <c r="AB1728" i="2"/>
  <c r="Z1724" i="2"/>
  <c r="AE1723" i="2"/>
  <c r="AB1720" i="2"/>
  <c r="Z1716" i="2"/>
  <c r="AE1715" i="2"/>
  <c r="AB1712" i="2"/>
  <c r="Z1708" i="2"/>
  <c r="AE1707" i="2"/>
  <c r="AB1704" i="2"/>
  <c r="Z1700" i="2"/>
  <c r="AE1699" i="2"/>
  <c r="AB1696" i="2"/>
  <c r="Z1692" i="2"/>
  <c r="AE1691" i="2"/>
  <c r="AB1688" i="2"/>
  <c r="Z1684" i="2"/>
  <c r="AE1683" i="2"/>
  <c r="AB1680" i="2"/>
  <c r="AF1676" i="2"/>
  <c r="AA1707" i="2"/>
  <c r="AH1667" i="2"/>
  <c r="AA1655" i="2"/>
  <c r="AA1647" i="2"/>
  <c r="AA1639" i="2"/>
  <c r="AG1627" i="2"/>
  <c r="Z1627" i="2"/>
  <c r="AF1627" i="2"/>
  <c r="AG1619" i="2"/>
  <c r="Z1619" i="2"/>
  <c r="AF1619" i="2"/>
  <c r="AA1595" i="2"/>
  <c r="AB1587" i="2"/>
  <c r="AD1587" i="2"/>
  <c r="AC1587" i="2"/>
  <c r="Z1587" i="2"/>
  <c r="AG1587" i="2" s="1"/>
  <c r="AF1587" i="2"/>
  <c r="AA1725" i="2"/>
  <c r="AA1697" i="2"/>
  <c r="AA1685" i="2"/>
  <c r="AG1670" i="2"/>
  <c r="AA1670" i="2"/>
  <c r="AG1662" i="2"/>
  <c r="AA1662" i="2"/>
  <c r="AG1654" i="2"/>
  <c r="AA1654" i="2"/>
  <c r="AG1646" i="2"/>
  <c r="AA1646" i="2"/>
  <c r="AG1638" i="2"/>
  <c r="AA1638" i="2"/>
  <c r="AG1630" i="2"/>
  <c r="AA1630" i="2"/>
  <c r="AG1622" i="2"/>
  <c r="AA1622" i="2"/>
  <c r="AG1614" i="2"/>
  <c r="AA1614" i="2"/>
  <c r="AG1606" i="2"/>
  <c r="AE1606" i="2"/>
  <c r="AA1606" i="2"/>
  <c r="AG1598" i="2"/>
  <c r="AE1598" i="2"/>
  <c r="AA1598" i="2"/>
  <c r="AG1590" i="2"/>
  <c r="AE1590" i="2"/>
  <c r="AA1590" i="2"/>
  <c r="AA1730" i="2"/>
  <c r="AA1698" i="2"/>
  <c r="AE1678" i="2"/>
  <c r="AD1678" i="2"/>
  <c r="AE1674" i="2"/>
  <c r="AC1674" i="2"/>
  <c r="AE1667" i="2"/>
  <c r="AE1659" i="2"/>
  <c r="AE1651" i="2"/>
  <c r="AE1643" i="2"/>
  <c r="AE1635" i="2"/>
  <c r="AE1627" i="2"/>
  <c r="AE1619" i="2"/>
  <c r="AE1611" i="2"/>
  <c r="AE1603" i="2"/>
  <c r="AE1587" i="2"/>
  <c r="AA1711" i="2"/>
  <c r="AA1699" i="2"/>
  <c r="AH1679" i="2"/>
  <c r="AH1675" i="2"/>
  <c r="AB1671" i="2"/>
  <c r="Z1667" i="2"/>
  <c r="AE1666" i="2"/>
  <c r="AB1663" i="2"/>
  <c r="Z1659" i="2"/>
  <c r="AE1658" i="2"/>
  <c r="AB1655" i="2"/>
  <c r="Z1651" i="2"/>
  <c r="AE1650" i="2"/>
  <c r="AB1647" i="2"/>
  <c r="Z1643" i="2"/>
  <c r="AE1642" i="2"/>
  <c r="AB1639" i="2"/>
  <c r="Z1635" i="2"/>
  <c r="AE1634" i="2"/>
  <c r="AF1631" i="2"/>
  <c r="AE1630" i="2"/>
  <c r="AD1627" i="2"/>
  <c r="AF1623" i="2"/>
  <c r="AE1622" i="2"/>
  <c r="AD1619" i="2"/>
  <c r="AF1615" i="2"/>
  <c r="AE1614" i="2"/>
  <c r="AD1611" i="2"/>
  <c r="AF1607" i="2"/>
  <c r="AC1603" i="2"/>
  <c r="AH1677" i="2"/>
  <c r="AH1727" i="2"/>
  <c r="AH1719" i="2"/>
  <c r="AH1711" i="2"/>
  <c r="AH1703" i="2"/>
  <c r="AH1695" i="2"/>
  <c r="AH1687" i="2"/>
  <c r="AH1732" i="2"/>
  <c r="AE1726" i="2"/>
  <c r="AG1726" i="2"/>
  <c r="AE1718" i="2"/>
  <c r="AG1718" i="2"/>
  <c r="AE1710" i="2"/>
  <c r="AG1710" i="2"/>
  <c r="AE1702" i="2"/>
  <c r="AG1702" i="2"/>
  <c r="AE1694" i="2"/>
  <c r="AG1694" i="2"/>
  <c r="AE1686" i="2"/>
  <c r="AG1686" i="2"/>
  <c r="AH1678" i="2"/>
  <c r="AB1677" i="2"/>
  <c r="AH1729" i="2"/>
  <c r="AF1728" i="2"/>
  <c r="AC1724" i="2"/>
  <c r="AD1724" i="2"/>
  <c r="AH1721" i="2"/>
  <c r="AF1720" i="2"/>
  <c r="AC1716" i="2"/>
  <c r="AD1716" i="2"/>
  <c r="AH1713" i="2"/>
  <c r="AF1712" i="2"/>
  <c r="AC1708" i="2"/>
  <c r="AD1708" i="2"/>
  <c r="AH1705" i="2"/>
  <c r="AF1704" i="2"/>
  <c r="AC1700" i="2"/>
  <c r="AD1700" i="2"/>
  <c r="AH1697" i="2"/>
  <c r="AF1696" i="2"/>
  <c r="AC1692" i="2"/>
  <c r="AD1692" i="2"/>
  <c r="AH1689" i="2"/>
  <c r="AF1688" i="2"/>
  <c r="AC1684" i="2"/>
  <c r="AD1684" i="2"/>
  <c r="AH1681" i="2"/>
  <c r="AF1680" i="2"/>
  <c r="AA1676" i="2"/>
  <c r="AA1714" i="2"/>
  <c r="AA1695" i="2"/>
  <c r="AH1655" i="2"/>
  <c r="AH1647" i="2"/>
  <c r="AH1639" i="2"/>
  <c r="AG1599" i="2"/>
  <c r="Z1599" i="2"/>
  <c r="AF1599" i="2"/>
  <c r="AB1599" i="2"/>
  <c r="AD1599" i="2"/>
  <c r="AC1599" i="2"/>
  <c r="AG1595" i="2"/>
  <c r="AB1595" i="2"/>
  <c r="AD1595" i="2"/>
  <c r="AC1595" i="2"/>
  <c r="Z1595" i="2"/>
  <c r="AF1595" i="2"/>
  <c r="AG1591" i="2"/>
  <c r="Z1591" i="2"/>
  <c r="AF1591" i="2"/>
  <c r="AB1591" i="2"/>
  <c r="AD1591" i="2"/>
  <c r="AC1591" i="2"/>
  <c r="AA1719" i="2"/>
  <c r="AA1709" i="2"/>
  <c r="AA1726" i="2"/>
  <c r="AA1693" i="2"/>
  <c r="AA1681" i="2"/>
  <c r="AA1678" i="2"/>
  <c r="AA1674" i="2"/>
  <c r="Z1674" i="2"/>
  <c r="AG1665" i="2"/>
  <c r="AA1665" i="2"/>
  <c r="AG1657" i="2"/>
  <c r="AA1657" i="2"/>
  <c r="AE1649" i="2"/>
  <c r="AG1649" i="2"/>
  <c r="AA1649" i="2"/>
  <c r="AE1641" i="2"/>
  <c r="AG1641" i="2"/>
  <c r="AA1641" i="2"/>
  <c r="AG1633" i="2"/>
  <c r="AA1633" i="2"/>
  <c r="AE1625" i="2"/>
  <c r="AG1625" i="2"/>
  <c r="AA1625" i="2"/>
  <c r="AG1617" i="2"/>
  <c r="AA1617" i="2"/>
  <c r="AG1609" i="2"/>
  <c r="AA1609" i="2"/>
  <c r="AG1601" i="2"/>
  <c r="AA1601" i="2"/>
  <c r="AG1593" i="2"/>
  <c r="AA1593" i="2"/>
  <c r="AE1585" i="2"/>
  <c r="AB1585" i="2"/>
  <c r="AD1585" i="2"/>
  <c r="AC1585" i="2"/>
  <c r="Z1585" i="2"/>
  <c r="AG1585" i="2" s="1"/>
  <c r="AA1585" i="2"/>
  <c r="AF1585" i="2"/>
  <c r="AA1727" i="2"/>
  <c r="AA1717" i="2"/>
  <c r="AA1687" i="2"/>
  <c r="AA1679" i="2"/>
  <c r="AD1675" i="2"/>
  <c r="AH1672" i="2"/>
  <c r="AF1671" i="2"/>
  <c r="AC1667" i="2"/>
  <c r="AD1667" i="2"/>
  <c r="AG1664" i="2"/>
  <c r="AA1664" i="2"/>
  <c r="AF1663" i="2"/>
  <c r="AC1659" i="2"/>
  <c r="AD1659" i="2"/>
  <c r="AG1656" i="2"/>
  <c r="AA1656" i="2"/>
  <c r="AF1655" i="2"/>
  <c r="AC1651" i="2"/>
  <c r="AD1651" i="2"/>
  <c r="AG1648" i="2"/>
  <c r="AA1648" i="2"/>
  <c r="AF1647" i="2"/>
  <c r="AC1643" i="2"/>
  <c r="AD1643" i="2"/>
  <c r="AG1640" i="2"/>
  <c r="AA1640" i="2"/>
  <c r="AF1639" i="2"/>
  <c r="AC1635" i="2"/>
  <c r="AD1635" i="2"/>
  <c r="AG1632" i="2"/>
  <c r="AA1632" i="2"/>
  <c r="Z1631" i="2"/>
  <c r="Z1623" i="2"/>
  <c r="Z1615" i="2"/>
  <c r="AD1603" i="2"/>
  <c r="AH1154" i="2"/>
  <c r="AH850" i="2"/>
  <c r="AH1628" i="2"/>
  <c r="AH1620" i="2"/>
  <c r="AH1612" i="2"/>
  <c r="AH1604" i="2"/>
  <c r="AH1596" i="2"/>
  <c r="AD1584" i="2"/>
  <c r="AG1569" i="2"/>
  <c r="AD1560" i="2"/>
  <c r="AD1552" i="2"/>
  <c r="AA1628" i="2"/>
  <c r="AA1620" i="2"/>
  <c r="AA1612" i="2"/>
  <c r="AA1604" i="2"/>
  <c r="AA1596" i="2"/>
  <c r="AA1588" i="2"/>
  <c r="AG1588" i="2" s="1"/>
  <c r="AE1582" i="2"/>
  <c r="AB1579" i="2"/>
  <c r="AE1576" i="2"/>
  <c r="AG1576" i="2"/>
  <c r="AC1571" i="2"/>
  <c r="AD1571" i="2"/>
  <c r="AE1564" i="2"/>
  <c r="AG1564" i="2"/>
  <c r="AF1563" i="2"/>
  <c r="AE1558" i="2"/>
  <c r="AB1555" i="2"/>
  <c r="AE1550" i="2"/>
  <c r="Z1582" i="2"/>
  <c r="AF1582" i="2"/>
  <c r="AE1577" i="2"/>
  <c r="Z1574" i="2"/>
  <c r="AF1574" i="2"/>
  <c r="AE1569" i="2"/>
  <c r="Z1566" i="2"/>
  <c r="AF1566" i="2"/>
  <c r="AE1561" i="2"/>
  <c r="Z1558" i="2"/>
  <c r="AF1558" i="2"/>
  <c r="AE1553" i="2"/>
  <c r="Z1550" i="2"/>
  <c r="AF1550" i="2"/>
  <c r="AC1511" i="2"/>
  <c r="AC1487" i="2"/>
  <c r="AA1463" i="2"/>
  <c r="AC1455" i="2"/>
  <c r="AC1447" i="2"/>
  <c r="AC1439" i="2"/>
  <c r="AB1436" i="2"/>
  <c r="AA1431" i="2"/>
  <c r="Z1543" i="2"/>
  <c r="AG1543" i="2" s="1"/>
  <c r="AC1539" i="2"/>
  <c r="AB1535" i="2"/>
  <c r="AE1527" i="2"/>
  <c r="AF1519" i="2"/>
  <c r="AB1510" i="2"/>
  <c r="AF1503" i="2"/>
  <c r="AB1495" i="2"/>
  <c r="AE1487" i="2"/>
  <c r="AE1479" i="2"/>
  <c r="AF1471" i="2"/>
  <c r="AF1463" i="2"/>
  <c r="AG1440" i="2"/>
  <c r="AB1439" i="2"/>
  <c r="AB1431" i="2"/>
  <c r="AB1547" i="2"/>
  <c r="AF1534" i="2"/>
  <c r="AG1525" i="2"/>
  <c r="AG1514" i="2"/>
  <c r="AA1510" i="2"/>
  <c r="AA1507" i="2"/>
  <c r="AG1507" i="2" s="1"/>
  <c r="AF1502" i="2"/>
  <c r="Z1489" i="2"/>
  <c r="AB1481" i="2"/>
  <c r="AC1477" i="2"/>
  <c r="AB1473" i="2"/>
  <c r="AF1465" i="2"/>
  <c r="AA1462" i="2"/>
  <c r="Z1457" i="2"/>
  <c r="AB1456" i="2"/>
  <c r="Z1449" i="2"/>
  <c r="AB1448" i="2"/>
  <c r="AG1448" i="2" s="1"/>
  <c r="AE1441" i="2"/>
  <c r="AE1540" i="2"/>
  <c r="AC1540" i="2"/>
  <c r="AE1516" i="2"/>
  <c r="AC1516" i="2"/>
  <c r="AE1496" i="2"/>
  <c r="AD1496" i="2"/>
  <c r="AG1493" i="2"/>
  <c r="AA1490" i="2"/>
  <c r="AB1476" i="2"/>
  <c r="AG1475" i="2"/>
  <c r="AB1470" i="2"/>
  <c r="AC1458" i="2"/>
  <c r="AE1436" i="2"/>
  <c r="Z1436" i="2"/>
  <c r="AG1436" i="2" s="1"/>
  <c r="AD1523" i="2"/>
  <c r="AA1520" i="2"/>
  <c r="AG1513" i="2"/>
  <c r="AD1485" i="2"/>
  <c r="AB1484" i="2"/>
  <c r="AF1466" i="2"/>
  <c r="AE1452" i="2"/>
  <c r="AC1452" i="2"/>
  <c r="AF1442" i="2"/>
  <c r="AD1431" i="2"/>
  <c r="AC1421" i="2"/>
  <c r="AD1543" i="2"/>
  <c r="AC1542" i="2"/>
  <c r="AB1528" i="2"/>
  <c r="AF1528" i="2"/>
  <c r="AF1524" i="2"/>
  <c r="AD1524" i="2"/>
  <c r="AD1503" i="2"/>
  <c r="AB1500" i="2"/>
  <c r="AA1492" i="2"/>
  <c r="Z1492" i="2"/>
  <c r="AC1474" i="2"/>
  <c r="AB1474" i="2"/>
  <c r="AA1460" i="2"/>
  <c r="Z1460" i="2"/>
  <c r="AB1434" i="2"/>
  <c r="AA1432" i="2"/>
  <c r="AC1536" i="2"/>
  <c r="Z1536" i="2"/>
  <c r="AG1536" i="2" s="1"/>
  <c r="AC1534" i="2"/>
  <c r="AD1515" i="2"/>
  <c r="AA1508" i="2"/>
  <c r="Z1508" i="2"/>
  <c r="AA1504" i="2"/>
  <c r="AC1482" i="2"/>
  <c r="AB1482" i="2"/>
  <c r="AF1468" i="2"/>
  <c r="AD1468" i="2"/>
  <c r="AC1467" i="2"/>
  <c r="AC1450" i="2"/>
  <c r="AA1444" i="2"/>
  <c r="Z1413" i="2"/>
  <c r="AF1424" i="2"/>
  <c r="AD1424" i="2"/>
  <c r="AA1416" i="2"/>
  <c r="Z1416" i="2"/>
  <c r="AB1368" i="2"/>
  <c r="AH1354" i="2"/>
  <c r="AH1349" i="2"/>
  <c r="AH1322" i="2"/>
  <c r="AH1317" i="2"/>
  <c r="AB1272" i="2"/>
  <c r="AB1426" i="2"/>
  <c r="AC1415" i="2"/>
  <c r="AA1400" i="2"/>
  <c r="AA1389" i="2"/>
  <c r="AF1384" i="2"/>
  <c r="AA1360" i="2"/>
  <c r="AA1341" i="2"/>
  <c r="AF1336" i="2"/>
  <c r="AA1325" i="2"/>
  <c r="AF1320" i="2"/>
  <c r="AA1309" i="2"/>
  <c r="AF1304" i="2"/>
  <c r="AA1293" i="2"/>
  <c r="AF1288" i="2"/>
  <c r="AA1269" i="2"/>
  <c r="AF1264" i="2"/>
  <c r="AA1253" i="2"/>
  <c r="AF1248" i="2"/>
  <c r="AA1237" i="2"/>
  <c r="AF1232" i="2"/>
  <c r="AA1221" i="2"/>
  <c r="AA1213" i="2"/>
  <c r="AA1205" i="2"/>
  <c r="AA1197" i="2"/>
  <c r="AA1189" i="2"/>
  <c r="AA1181" i="2"/>
  <c r="AA1173" i="2"/>
  <c r="AA1165" i="2"/>
  <c r="AB1420" i="2"/>
  <c r="Z1400" i="2"/>
  <c r="AE1389" i="2"/>
  <c r="Z1384" i="2"/>
  <c r="AB1381" i="2"/>
  <c r="AE1373" i="2"/>
  <c r="AG1369" i="2"/>
  <c r="AF1365" i="2"/>
  <c r="AH1358" i="2"/>
  <c r="AB1357" i="2"/>
  <c r="Z1349" i="2"/>
  <c r="AB1348" i="2"/>
  <c r="AE1341" i="2"/>
  <c r="AH1337" i="2"/>
  <c r="AF1333" i="2"/>
  <c r="AH1326" i="2"/>
  <c r="AB1325" i="2"/>
  <c r="Z1317" i="2"/>
  <c r="AB1316" i="2"/>
  <c r="AE1309" i="2"/>
  <c r="AH1305" i="2"/>
  <c r="AF1301" i="2"/>
  <c r="AE1277" i="2"/>
  <c r="AE1272" i="2"/>
  <c r="Z1269" i="2"/>
  <c r="AB1268" i="2"/>
  <c r="AG1257" i="2"/>
  <c r="AD1256" i="2"/>
  <c r="AF1253" i="2"/>
  <c r="Z1248" i="2"/>
  <c r="AB1245" i="2"/>
  <c r="AE1240" i="2"/>
  <c r="Z1237" i="2"/>
  <c r="AD1224" i="2"/>
  <c r="AF1221" i="2"/>
  <c r="Z1213" i="2"/>
  <c r="AF1205" i="2"/>
  <c r="AF1189" i="2"/>
  <c r="Z1181" i="2"/>
  <c r="AF1173" i="2"/>
  <c r="AA1150" i="2"/>
  <c r="AF1410" i="2"/>
  <c r="AC1391" i="2"/>
  <c r="AC1382" i="2"/>
  <c r="AB1382" i="2"/>
  <c r="AB1378" i="2"/>
  <c r="AD1378" i="2"/>
  <c r="AA1350" i="2"/>
  <c r="AD1350" i="2"/>
  <c r="AA1346" i="2"/>
  <c r="AE1346" i="2"/>
  <c r="AH1327" i="2"/>
  <c r="AA1323" i="2"/>
  <c r="AF1318" i="2"/>
  <c r="AF1314" i="2"/>
  <c r="Z1314" i="2"/>
  <c r="AD1305" i="2"/>
  <c r="AG1275" i="2"/>
  <c r="AC1263" i="2"/>
  <c r="AG1259" i="2"/>
  <c r="AE1254" i="2"/>
  <c r="Z1254" i="2"/>
  <c r="AC1250" i="2"/>
  <c r="AB1218" i="2"/>
  <c r="AD1218" i="2"/>
  <c r="AG1217" i="2"/>
  <c r="AE1208" i="2"/>
  <c r="AC1208" i="2"/>
  <c r="AB1202" i="2"/>
  <c r="AG1201" i="2"/>
  <c r="AE1192" i="2"/>
  <c r="AC1192" i="2"/>
  <c r="AB1186" i="2"/>
  <c r="AD1186" i="2"/>
  <c r="AE1176" i="2"/>
  <c r="AC1176" i="2"/>
  <c r="AB1170" i="2"/>
  <c r="AG1169" i="2"/>
  <c r="AB1160" i="2"/>
  <c r="Z1145" i="2"/>
  <c r="AF1142" i="2"/>
  <c r="Z1142" i="2"/>
  <c r="Z1136" i="2"/>
  <c r="AE1406" i="2"/>
  <c r="Z1406" i="2"/>
  <c r="AC1404" i="2"/>
  <c r="AC1402" i="2"/>
  <c r="AG1379" i="2"/>
  <c r="AE1374" i="2"/>
  <c r="Z1374" i="2"/>
  <c r="AC1372" i="2"/>
  <c r="AH1351" i="2"/>
  <c r="AA1347" i="2"/>
  <c r="AF1342" i="2"/>
  <c r="AF1338" i="2"/>
  <c r="Z1338" i="2"/>
  <c r="AD1329" i="2"/>
  <c r="AC1310" i="2"/>
  <c r="AB1310" i="2"/>
  <c r="AB1306" i="2"/>
  <c r="AD1306" i="2"/>
  <c r="AA1246" i="2"/>
  <c r="AD1246" i="2"/>
  <c r="AA1242" i="2"/>
  <c r="AE1242" i="2"/>
  <c r="AA1230" i="2"/>
  <c r="AD1230" i="2"/>
  <c r="AA1226" i="2"/>
  <c r="AE1226" i="2"/>
  <c r="AG1219" i="2"/>
  <c r="AE1214" i="2"/>
  <c r="AA1203" i="2"/>
  <c r="AG1187" i="2"/>
  <c r="AE1182" i="2"/>
  <c r="AA1171" i="2"/>
  <c r="AG1157" i="2"/>
  <c r="AC1150" i="2"/>
  <c r="AD1150" i="2"/>
  <c r="AB1148" i="2"/>
  <c r="Z1148" i="2"/>
  <c r="AG1147" i="2"/>
  <c r="AF1144" i="2"/>
  <c r="AF1398" i="2"/>
  <c r="AF1394" i="2"/>
  <c r="Z1394" i="2"/>
  <c r="AG1394" i="2" s="1"/>
  <c r="AC1366" i="2"/>
  <c r="AB1366" i="2"/>
  <c r="AB1362" i="2"/>
  <c r="AA1334" i="2"/>
  <c r="AD1334" i="2"/>
  <c r="AA1330" i="2"/>
  <c r="AE1330" i="2"/>
  <c r="AH1311" i="2"/>
  <c r="AA1307" i="2"/>
  <c r="AF1302" i="2"/>
  <c r="AF1298" i="2"/>
  <c r="Z1298" i="2"/>
  <c r="AF1286" i="2"/>
  <c r="AF1282" i="2"/>
  <c r="Z1282" i="2"/>
  <c r="AG1282" i="2" s="1"/>
  <c r="AC1278" i="2"/>
  <c r="AB1278" i="2"/>
  <c r="AB1274" i="2"/>
  <c r="AE1270" i="2"/>
  <c r="AA1238" i="2"/>
  <c r="AA1234" i="2"/>
  <c r="AG1227" i="2"/>
  <c r="AC1215" i="2"/>
  <c r="AF1210" i="2"/>
  <c r="Z1210" i="2"/>
  <c r="AC1199" i="2"/>
  <c r="AF1194" i="2"/>
  <c r="Z1194" i="2"/>
  <c r="AG1194" i="2" s="1"/>
  <c r="AC1183" i="2"/>
  <c r="AF1178" i="2"/>
  <c r="Z1178" i="2"/>
  <c r="AC1167" i="2"/>
  <c r="AF1162" i="2"/>
  <c r="Z1162" i="2"/>
  <c r="AG1162" i="2" s="1"/>
  <c r="AC1158" i="2"/>
  <c r="AD1158" i="2"/>
  <c r="AB1156" i="2"/>
  <c r="Z1156" i="2"/>
  <c r="AG1156" i="2" s="1"/>
  <c r="AG1155" i="2"/>
  <c r="AG1395" i="2"/>
  <c r="AE1390" i="2"/>
  <c r="Z1390" i="2"/>
  <c r="AC1386" i="2"/>
  <c r="AG1363" i="2"/>
  <c r="AE1358" i="2"/>
  <c r="Z1358" i="2"/>
  <c r="AC1356" i="2"/>
  <c r="AC1354" i="2"/>
  <c r="AA1326" i="2"/>
  <c r="AD1326" i="2"/>
  <c r="AA1322" i="2"/>
  <c r="AE1322" i="2"/>
  <c r="AH1303" i="2"/>
  <c r="AA1299" i="2"/>
  <c r="AF1294" i="2"/>
  <c r="AF1290" i="2"/>
  <c r="Z1290" i="2"/>
  <c r="AG1290" i="2" s="1"/>
  <c r="AG1287" i="2"/>
  <c r="AC1279" i="2"/>
  <c r="AC1271" i="2"/>
  <c r="AG1267" i="2"/>
  <c r="AE1262" i="2"/>
  <c r="Z1262" i="2"/>
  <c r="AC1260" i="2"/>
  <c r="AC1258" i="2"/>
  <c r="AG1211" i="2"/>
  <c r="AE1206" i="2"/>
  <c r="Z1206" i="2"/>
  <c r="AD1201" i="2"/>
  <c r="AF1190" i="2"/>
  <c r="AG1179" i="2"/>
  <c r="AE1174" i="2"/>
  <c r="Z1174" i="2"/>
  <c r="AD1169" i="2"/>
  <c r="AC1160" i="2"/>
  <c r="AF1145" i="2"/>
  <c r="AB1130" i="2"/>
  <c r="AA1142" i="2"/>
  <c r="AE1126" i="2"/>
  <c r="AC1126" i="2"/>
  <c r="AD1124" i="2"/>
  <c r="AC1117" i="2"/>
  <c r="AC1037" i="2"/>
  <c r="AC1005" i="2"/>
  <c r="AC973" i="2"/>
  <c r="AC933" i="2"/>
  <c r="AC901" i="2"/>
  <c r="AB888" i="2"/>
  <c r="AF1128" i="2"/>
  <c r="Z1128" i="2"/>
  <c r="AG1128" i="2" s="1"/>
  <c r="AC1111" i="2"/>
  <c r="AA1109" i="2"/>
  <c r="AA1101" i="2"/>
  <c r="AC1095" i="2"/>
  <c r="Z1038" i="2"/>
  <c r="AA1037" i="2"/>
  <c r="AA1029" i="2"/>
  <c r="AA1021" i="2"/>
  <c r="AA1013" i="2"/>
  <c r="AA1005" i="2"/>
  <c r="AA997" i="2"/>
  <c r="AA989" i="2"/>
  <c r="AA981" i="2"/>
  <c r="AA973" i="2"/>
  <c r="AA965" i="2"/>
  <c r="AA957" i="2"/>
  <c r="AA949" i="2"/>
  <c r="Z947" i="2"/>
  <c r="AB946" i="2"/>
  <c r="AA893" i="2"/>
  <c r="AF888" i="2"/>
  <c r="AG884" i="2"/>
  <c r="AB884" i="2"/>
  <c r="AG1135" i="2"/>
  <c r="AG1118" i="2"/>
  <c r="Z1109" i="2"/>
  <c r="AG1109" i="2" s="1"/>
  <c r="AF1101" i="2"/>
  <c r="Z1093" i="2"/>
  <c r="AE1085" i="2"/>
  <c r="AF1077" i="2"/>
  <c r="AB1069" i="2"/>
  <c r="Z1061" i="2"/>
  <c r="Z1053" i="2"/>
  <c r="Z1045" i="2"/>
  <c r="AB1029" i="2"/>
  <c r="AE1021" i="2"/>
  <c r="AB1013" i="2"/>
  <c r="AB997" i="2"/>
  <c r="AE989" i="2"/>
  <c r="AB981" i="2"/>
  <c r="AB965" i="2"/>
  <c r="AE957" i="2"/>
  <c r="AB949" i="2"/>
  <c r="AA946" i="2"/>
  <c r="AF941" i="2"/>
  <c r="AF925" i="2"/>
  <c r="Z917" i="2"/>
  <c r="AF909" i="2"/>
  <c r="AB900" i="2"/>
  <c r="AE896" i="2"/>
  <c r="Z893" i="2"/>
  <c r="Z888" i="2"/>
  <c r="AG888" i="2" s="1"/>
  <c r="AB885" i="2"/>
  <c r="AF1120" i="2"/>
  <c r="AA1112" i="2"/>
  <c r="Z1112" i="2"/>
  <c r="AG1112" i="2" s="1"/>
  <c r="AF1098" i="2"/>
  <c r="Z1098" i="2"/>
  <c r="AC1050" i="2"/>
  <c r="AC1042" i="2"/>
  <c r="AG1041" i="2"/>
  <c r="AF1034" i="2"/>
  <c r="Z1034" i="2"/>
  <c r="AG1034" i="2" s="1"/>
  <c r="AB1024" i="2"/>
  <c r="AC1023" i="2"/>
  <c r="AF1018" i="2"/>
  <c r="Z1018" i="2"/>
  <c r="AB1008" i="2"/>
  <c r="AC1007" i="2"/>
  <c r="AF1002" i="2"/>
  <c r="Z1002" i="2"/>
  <c r="AG1002" i="2" s="1"/>
  <c r="AB992" i="2"/>
  <c r="AC991" i="2"/>
  <c r="AF986" i="2"/>
  <c r="Z986" i="2"/>
  <c r="AB976" i="2"/>
  <c r="AC975" i="2"/>
  <c r="AF970" i="2"/>
  <c r="Z970" i="2"/>
  <c r="AG970" i="2" s="1"/>
  <c r="AB960" i="2"/>
  <c r="AC959" i="2"/>
  <c r="AF954" i="2"/>
  <c r="Z954" i="2"/>
  <c r="AF950" i="2"/>
  <c r="AB938" i="2"/>
  <c r="AG937" i="2"/>
  <c r="AC934" i="2"/>
  <c r="AA918" i="2"/>
  <c r="AE904" i="2"/>
  <c r="AC904" i="2"/>
  <c r="AB898" i="2"/>
  <c r="AD898" i="2"/>
  <c r="AE894" i="2"/>
  <c r="AG883" i="2"/>
  <c r="AB868" i="2"/>
  <c r="Z868" i="2"/>
  <c r="AD848" i="2"/>
  <c r="AC753" i="2"/>
  <c r="AC1106" i="2"/>
  <c r="AG1105" i="2"/>
  <c r="AE1088" i="2"/>
  <c r="AB1080" i="2"/>
  <c r="AG1075" i="2"/>
  <c r="AF1072" i="2"/>
  <c r="AD1072" i="2"/>
  <c r="AA1064" i="2"/>
  <c r="Z1064" i="2"/>
  <c r="AE1056" i="2"/>
  <c r="AF1030" i="2"/>
  <c r="AG1019" i="2"/>
  <c r="AE1014" i="2"/>
  <c r="Z1014" i="2"/>
  <c r="AG1014" i="2" s="1"/>
  <c r="AF998" i="2"/>
  <c r="AG987" i="2"/>
  <c r="AE982" i="2"/>
  <c r="Z982" i="2"/>
  <c r="AG982" i="2" s="1"/>
  <c r="AF966" i="2"/>
  <c r="AG955" i="2"/>
  <c r="AA944" i="2"/>
  <c r="Z944" i="2"/>
  <c r="AG943" i="2"/>
  <c r="AC930" i="2"/>
  <c r="AA920" i="2"/>
  <c r="Z920" i="2"/>
  <c r="AG920" i="2" s="1"/>
  <c r="AG919" i="2"/>
  <c r="AC914" i="2"/>
  <c r="AE910" i="2"/>
  <c r="Z910" i="2"/>
  <c r="AA890" i="2"/>
  <c r="AF886" i="2"/>
  <c r="AA880" i="2"/>
  <c r="AC878" i="2"/>
  <c r="AA871" i="2"/>
  <c r="AG871" i="2" s="1"/>
  <c r="AD871" i="2"/>
  <c r="AF864" i="2"/>
  <c r="AC854" i="2"/>
  <c r="AA820" i="2"/>
  <c r="AB817" i="2"/>
  <c r="AF1122" i="2"/>
  <c r="AG1113" i="2"/>
  <c r="AG1099" i="2"/>
  <c r="AF1096" i="2"/>
  <c r="AD1096" i="2"/>
  <c r="AG1051" i="2"/>
  <c r="AE1048" i="2"/>
  <c r="AC1048" i="2"/>
  <c r="AB1040" i="2"/>
  <c r="AF1032" i="2"/>
  <c r="AD1032" i="2"/>
  <c r="AA1026" i="2"/>
  <c r="AE1026" i="2"/>
  <c r="AF1016" i="2"/>
  <c r="AD1016" i="2"/>
  <c r="AA1010" i="2"/>
  <c r="AF1000" i="2"/>
  <c r="AD1000" i="2"/>
  <c r="AA994" i="2"/>
  <c r="AE994" i="2"/>
  <c r="AF984" i="2"/>
  <c r="AD984" i="2"/>
  <c r="AA978" i="2"/>
  <c r="AF968" i="2"/>
  <c r="AD968" i="2"/>
  <c r="AA962" i="2"/>
  <c r="AE962" i="2"/>
  <c r="AF952" i="2"/>
  <c r="AD952" i="2"/>
  <c r="AC951" i="2"/>
  <c r="AE936" i="2"/>
  <c r="AC936" i="2"/>
  <c r="AG931" i="2"/>
  <c r="AE926" i="2"/>
  <c r="Z926" i="2"/>
  <c r="AA906" i="2"/>
  <c r="AC887" i="2"/>
  <c r="AA878" i="2"/>
  <c r="AD878" i="2"/>
  <c r="AC876" i="2"/>
  <c r="AD876" i="2"/>
  <c r="AB873" i="2"/>
  <c r="AB862" i="2"/>
  <c r="AD857" i="2"/>
  <c r="AD853" i="2"/>
  <c r="AF820" i="2"/>
  <c r="AA817" i="2"/>
  <c r="AF809" i="2"/>
  <c r="Z804" i="2"/>
  <c r="AB803" i="2"/>
  <c r="AF745" i="2"/>
  <c r="AG744" i="2"/>
  <c r="AA744" i="2"/>
  <c r="AF737" i="2"/>
  <c r="AA736" i="2"/>
  <c r="AG736" i="2" s="1"/>
  <c r="AA1104" i="2"/>
  <c r="Z1104" i="2"/>
  <c r="AC1090" i="2"/>
  <c r="AG1089" i="2"/>
  <c r="AA1082" i="2"/>
  <c r="AE1082" i="2"/>
  <c r="AF1074" i="2"/>
  <c r="Z1074" i="2"/>
  <c r="AB1066" i="2"/>
  <c r="AD1066" i="2"/>
  <c r="AC1058" i="2"/>
  <c r="AG1027" i="2"/>
  <c r="AE1022" i="2"/>
  <c r="Z1022" i="2"/>
  <c r="AF1006" i="2"/>
  <c r="AG995" i="2"/>
  <c r="AE990" i="2"/>
  <c r="Z990" i="2"/>
  <c r="AF974" i="2"/>
  <c r="AG963" i="2"/>
  <c r="AE958" i="2"/>
  <c r="Z958" i="2"/>
  <c r="AE942" i="2"/>
  <c r="Z942" i="2"/>
  <c r="AD937" i="2"/>
  <c r="AB928" i="2"/>
  <c r="AC927" i="2"/>
  <c r="AF922" i="2"/>
  <c r="Z922" i="2"/>
  <c r="AB912" i="2"/>
  <c r="AC911" i="2"/>
  <c r="AC902" i="2"/>
  <c r="AC872" i="2"/>
  <c r="AD849" i="2"/>
  <c r="AE838" i="2"/>
  <c r="AE833" i="2"/>
  <c r="Z825" i="2"/>
  <c r="AG825" i="2" s="1"/>
  <c r="AF819" i="2"/>
  <c r="AG818" i="2"/>
  <c r="AA818" i="2"/>
  <c r="AD817" i="2"/>
  <c r="AA811" i="2"/>
  <c r="AD804" i="2"/>
  <c r="AG802" i="2"/>
  <c r="AE785" i="2"/>
  <c r="Z777" i="2"/>
  <c r="AG777" i="2" s="1"/>
  <c r="AG770" i="2"/>
  <c r="AD769" i="2"/>
  <c r="AE737" i="2"/>
  <c r="AE857" i="2"/>
  <c r="AE839" i="2"/>
  <c r="Z839" i="2"/>
  <c r="AC829" i="2"/>
  <c r="Z829" i="2"/>
  <c r="AC799" i="2"/>
  <c r="AB799" i="2"/>
  <c r="AB789" i="2"/>
  <c r="AF789" i="2"/>
  <c r="AB773" i="2"/>
  <c r="AF773" i="2"/>
  <c r="AF767" i="2"/>
  <c r="AC755" i="2"/>
  <c r="AG742" i="2"/>
  <c r="AA739" i="2"/>
  <c r="AE739" i="2"/>
  <c r="AC717" i="2"/>
  <c r="AC704" i="2"/>
  <c r="AC696" i="2"/>
  <c r="AC640" i="2"/>
  <c r="Z861" i="2"/>
  <c r="AG861" i="2" s="1"/>
  <c r="AC835" i="2"/>
  <c r="AA821" i="2"/>
  <c r="AG816" i="2"/>
  <c r="AE813" i="2"/>
  <c r="AD813" i="2"/>
  <c r="AA807" i="2"/>
  <c r="AG806" i="2"/>
  <c r="AB795" i="2"/>
  <c r="AD795" i="2"/>
  <c r="AG784" i="2"/>
  <c r="AB779" i="2"/>
  <c r="AD779" i="2"/>
  <c r="AG768" i="2"/>
  <c r="AB763" i="2"/>
  <c r="AD763" i="2"/>
  <c r="AF751" i="2"/>
  <c r="AF747" i="2"/>
  <c r="Z747" i="2"/>
  <c r="AF731" i="2"/>
  <c r="Z731" i="2"/>
  <c r="AG731" i="2" s="1"/>
  <c r="AD720" i="2"/>
  <c r="AG718" i="2"/>
  <c r="AC709" i="2"/>
  <c r="AC701" i="2"/>
  <c r="AC693" i="2"/>
  <c r="AA685" i="2"/>
  <c r="AA677" i="2"/>
  <c r="AA669" i="2"/>
  <c r="AC661" i="2"/>
  <c r="AB656" i="2"/>
  <c r="AB616" i="2"/>
  <c r="AC597" i="2"/>
  <c r="AB584" i="2"/>
  <c r="AB576" i="2"/>
  <c r="AA557" i="2"/>
  <c r="AA549" i="2"/>
  <c r="AA541" i="2"/>
  <c r="AC469" i="2"/>
  <c r="AC229" i="2"/>
  <c r="AA856" i="2"/>
  <c r="AD856" i="2"/>
  <c r="AA846" i="2"/>
  <c r="AD846" i="2"/>
  <c r="AC837" i="2"/>
  <c r="Z837" i="2"/>
  <c r="AG836" i="2"/>
  <c r="AC831" i="2"/>
  <c r="AC797" i="2"/>
  <c r="Z797" i="2"/>
  <c r="AG796" i="2"/>
  <c r="AC791" i="2"/>
  <c r="AB791" i="2"/>
  <c r="AC781" i="2"/>
  <c r="Z781" i="2"/>
  <c r="AG780" i="2"/>
  <c r="AC775" i="2"/>
  <c r="AB775" i="2"/>
  <c r="AC765" i="2"/>
  <c r="Z765" i="2"/>
  <c r="AG764" i="2"/>
  <c r="AB757" i="2"/>
  <c r="AG752" i="2"/>
  <c r="AB741" i="2"/>
  <c r="AF741" i="2"/>
  <c r="AG740" i="2"/>
  <c r="AF725" i="2"/>
  <c r="Z723" i="2"/>
  <c r="AA709" i="2"/>
  <c r="AF704" i="2"/>
  <c r="AA693" i="2"/>
  <c r="AC684" i="2"/>
  <c r="AA661" i="2"/>
  <c r="AC655" i="2"/>
  <c r="AG647" i="2"/>
  <c r="AG644" i="2"/>
  <c r="AF640" i="2"/>
  <c r="AA608" i="2"/>
  <c r="AG596" i="2"/>
  <c r="AA592" i="2"/>
  <c r="AC583" i="2"/>
  <c r="AA581" i="2"/>
  <c r="AF576" i="2"/>
  <c r="AC827" i="2"/>
  <c r="AA823" i="2"/>
  <c r="AD823" i="2"/>
  <c r="AG822" i="2"/>
  <c r="AF815" i="2"/>
  <c r="AG814" i="2"/>
  <c r="AC805" i="2"/>
  <c r="AD802" i="2"/>
  <c r="AA787" i="2"/>
  <c r="AE787" i="2"/>
  <c r="AA771" i="2"/>
  <c r="AE771" i="2"/>
  <c r="AC733" i="2"/>
  <c r="Z733" i="2"/>
  <c r="AG733" i="2" s="1"/>
  <c r="AA729" i="2"/>
  <c r="Z729" i="2"/>
  <c r="AG729" i="2" s="1"/>
  <c r="AG727" i="2"/>
  <c r="AE726" i="2"/>
  <c r="AD726" i="2"/>
  <c r="AB725" i="2"/>
  <c r="AD725" i="2"/>
  <c r="AC721" i="2"/>
  <c r="AG705" i="2"/>
  <c r="AF685" i="2"/>
  <c r="AG678" i="2"/>
  <c r="AB677" i="2"/>
  <c r="AG670" i="2"/>
  <c r="AB669" i="2"/>
  <c r="Z664" i="2"/>
  <c r="Z656" i="2"/>
  <c r="Z653" i="2"/>
  <c r="Z648" i="2"/>
  <c r="AG648" i="2" s="1"/>
  <c r="AA647" i="2"/>
  <c r="Z645" i="2"/>
  <c r="AB644" i="2"/>
  <c r="AE637" i="2"/>
  <c r="Z629" i="2"/>
  <c r="AE621" i="2"/>
  <c r="AD616" i="2"/>
  <c r="AF613" i="2"/>
  <c r="Z608" i="2"/>
  <c r="AB605" i="2"/>
  <c r="Z600" i="2"/>
  <c r="AC593" i="2"/>
  <c r="Z592" i="2"/>
  <c r="AB589" i="2"/>
  <c r="Z584" i="2"/>
  <c r="Z581" i="2"/>
  <c r="AE576" i="2"/>
  <c r="Z573" i="2"/>
  <c r="AB572" i="2"/>
  <c r="AE565" i="2"/>
  <c r="AG558" i="2"/>
  <c r="AB557" i="2"/>
  <c r="Z549" i="2"/>
  <c r="AG549" i="2" s="1"/>
  <c r="AE541" i="2"/>
  <c r="AE533" i="2"/>
  <c r="AB525" i="2"/>
  <c r="AE517" i="2"/>
  <c r="AG510" i="2"/>
  <c r="AB509" i="2"/>
  <c r="AE501" i="2"/>
  <c r="AG494" i="2"/>
  <c r="AB493" i="2"/>
  <c r="AE485" i="2"/>
  <c r="AB477" i="2"/>
  <c r="AB461" i="2"/>
  <c r="AE453" i="2"/>
  <c r="AA447" i="2"/>
  <c r="Z445" i="2"/>
  <c r="AE437" i="2"/>
  <c r="AF429" i="2"/>
  <c r="AG422" i="2"/>
  <c r="AB421" i="2"/>
  <c r="AG414" i="2"/>
  <c r="AB413" i="2"/>
  <c r="AA407" i="2"/>
  <c r="Z405" i="2"/>
  <c r="AB404" i="2"/>
  <c r="AE397" i="2"/>
  <c r="AE389" i="2"/>
  <c r="AF381" i="2"/>
  <c r="AG374" i="2"/>
  <c r="AB373" i="2"/>
  <c r="AA367" i="2"/>
  <c r="Z365" i="2"/>
  <c r="AA359" i="2"/>
  <c r="Z357" i="2"/>
  <c r="AE349" i="2"/>
  <c r="AE341" i="2"/>
  <c r="AF333" i="2"/>
  <c r="AG326" i="2"/>
  <c r="AB325" i="2"/>
  <c r="AA319" i="2"/>
  <c r="Z317" i="2"/>
  <c r="AE309" i="2"/>
  <c r="AF301" i="2"/>
  <c r="AG294" i="2"/>
  <c r="AB293" i="2"/>
  <c r="AA287" i="2"/>
  <c r="Z285" i="2"/>
  <c r="AE277" i="2"/>
  <c r="AF269" i="2"/>
  <c r="AG262" i="2"/>
  <c r="AB261" i="2"/>
  <c r="AA255" i="2"/>
  <c r="Z253" i="2"/>
  <c r="AE245" i="2"/>
  <c r="AF237" i="2"/>
  <c r="AG230" i="2"/>
  <c r="AA710" i="2"/>
  <c r="AD710" i="2"/>
  <c r="AC706" i="2"/>
  <c r="AE694" i="2"/>
  <c r="Z694" i="2"/>
  <c r="AG694" i="2" s="1"/>
  <c r="AB690" i="2"/>
  <c r="AD690" i="2"/>
  <c r="AG689" i="2"/>
  <c r="AA682" i="2"/>
  <c r="AE682" i="2"/>
  <c r="AF674" i="2"/>
  <c r="Z674" i="2"/>
  <c r="AG674" i="2" s="1"/>
  <c r="AF666" i="2"/>
  <c r="Z666" i="2"/>
  <c r="AG666" i="2" s="1"/>
  <c r="AF624" i="2"/>
  <c r="AD624" i="2"/>
  <c r="AC614" i="2"/>
  <c r="AB614" i="2"/>
  <c r="AF590" i="2"/>
  <c r="AF586" i="2"/>
  <c r="AF538" i="2"/>
  <c r="Z538" i="2"/>
  <c r="AG538" i="2" s="1"/>
  <c r="AC532" i="2"/>
  <c r="AE526" i="2"/>
  <c r="Z526" i="2"/>
  <c r="AG526" i="2" s="1"/>
  <c r="AA522" i="2"/>
  <c r="AE522" i="2"/>
  <c r="AG515" i="2"/>
  <c r="AF512" i="2"/>
  <c r="AD512" i="2"/>
  <c r="AA496" i="2"/>
  <c r="Z496" i="2"/>
  <c r="AE480" i="2"/>
  <c r="AC480" i="2"/>
  <c r="AB474" i="2"/>
  <c r="AG473" i="2"/>
  <c r="AA459" i="2"/>
  <c r="AF454" i="2"/>
  <c r="AB408" i="2"/>
  <c r="AB396" i="2"/>
  <c r="AC394" i="2"/>
  <c r="AG379" i="2"/>
  <c r="AE376" i="2"/>
  <c r="AC376" i="2"/>
  <c r="AB368" i="2"/>
  <c r="AG363" i="2"/>
  <c r="AF360" i="2"/>
  <c r="AA352" i="2"/>
  <c r="Z352" i="2"/>
  <c r="AG352" i="2" s="1"/>
  <c r="AB332" i="2"/>
  <c r="AB316" i="2"/>
  <c r="AB300" i="2"/>
  <c r="AB284" i="2"/>
  <c r="AB268" i="2"/>
  <c r="AB252" i="2"/>
  <c r="AB236" i="2"/>
  <c r="AE224" i="2"/>
  <c r="AC224" i="2"/>
  <c r="Z217" i="2"/>
  <c r="AA216" i="2"/>
  <c r="AE715" i="2"/>
  <c r="AF712" i="2"/>
  <c r="AC702" i="2"/>
  <c r="AB702" i="2"/>
  <c r="AB698" i="2"/>
  <c r="AD698" i="2"/>
  <c r="AB650" i="2"/>
  <c r="AD650" i="2"/>
  <c r="AF642" i="2"/>
  <c r="Z642" i="2"/>
  <c r="AA634" i="2"/>
  <c r="AB618" i="2"/>
  <c r="AE598" i="2"/>
  <c r="Z598" i="2"/>
  <c r="AG598" i="2" s="1"/>
  <c r="AC596" i="2"/>
  <c r="AC594" i="2"/>
  <c r="AB578" i="2"/>
  <c r="AG563" i="2"/>
  <c r="AF560" i="2"/>
  <c r="AD560" i="2"/>
  <c r="AA552" i="2"/>
  <c r="AE544" i="2"/>
  <c r="AC544" i="2"/>
  <c r="AE528" i="2"/>
  <c r="AC528" i="2"/>
  <c r="AC510" i="2"/>
  <c r="AC506" i="2"/>
  <c r="AC494" i="2"/>
  <c r="AC490" i="2"/>
  <c r="AC470" i="2"/>
  <c r="AB470" i="2"/>
  <c r="AC466" i="2"/>
  <c r="AA456" i="2"/>
  <c r="Z456" i="2"/>
  <c r="AG455" i="2"/>
  <c r="AC450" i="2"/>
  <c r="AF442" i="2"/>
  <c r="Z442" i="2"/>
  <c r="AB434" i="2"/>
  <c r="AD434" i="2"/>
  <c r="AC426" i="2"/>
  <c r="AG425" i="2"/>
  <c r="AA418" i="2"/>
  <c r="AE418" i="2"/>
  <c r="AG417" i="2"/>
  <c r="AA400" i="2"/>
  <c r="Z400" i="2"/>
  <c r="AB386" i="2"/>
  <c r="AD386" i="2"/>
  <c r="AA344" i="2"/>
  <c r="Z344" i="2"/>
  <c r="AE336" i="2"/>
  <c r="AC336" i="2"/>
  <c r="AG323" i="2"/>
  <c r="AF320" i="2"/>
  <c r="AD320" i="2"/>
  <c r="AA312" i="2"/>
  <c r="Z312" i="2"/>
  <c r="AE304" i="2"/>
  <c r="AC304" i="2"/>
  <c r="AG291" i="2"/>
  <c r="AF288" i="2"/>
  <c r="AD288" i="2"/>
  <c r="AA280" i="2"/>
  <c r="Z280" i="2"/>
  <c r="AE272" i="2"/>
  <c r="AC272" i="2"/>
  <c r="AG259" i="2"/>
  <c r="AF256" i="2"/>
  <c r="AD256" i="2"/>
  <c r="AA248" i="2"/>
  <c r="Z248" i="2"/>
  <c r="AE240" i="2"/>
  <c r="AC240" i="2"/>
  <c r="AE206" i="2"/>
  <c r="AA205" i="2"/>
  <c r="AC202" i="2"/>
  <c r="AE718" i="2"/>
  <c r="AG703" i="2"/>
  <c r="AE688" i="2"/>
  <c r="AC688" i="2"/>
  <c r="AB680" i="2"/>
  <c r="AG675" i="2"/>
  <c r="AE672" i="2"/>
  <c r="AC626" i="2"/>
  <c r="AG625" i="2"/>
  <c r="AC606" i="2"/>
  <c r="AB606" i="2"/>
  <c r="AB602" i="2"/>
  <c r="AD602" i="2"/>
  <c r="AA568" i="2"/>
  <c r="Z568" i="2"/>
  <c r="AA536" i="2"/>
  <c r="Z536" i="2"/>
  <c r="AA520" i="2"/>
  <c r="Z520" i="2"/>
  <c r="AG520" i="2" s="1"/>
  <c r="AC518" i="2"/>
  <c r="AB518" i="2"/>
  <c r="AC514" i="2"/>
  <c r="AG513" i="2"/>
  <c r="AC502" i="2"/>
  <c r="AB502" i="2"/>
  <c r="AG497" i="2"/>
  <c r="AC486" i="2"/>
  <c r="AB486" i="2"/>
  <c r="AC482" i="2"/>
  <c r="AA472" i="2"/>
  <c r="Z472" i="2"/>
  <c r="AG471" i="2"/>
  <c r="AA462" i="2"/>
  <c r="AD462" i="2"/>
  <c r="AB444" i="2"/>
  <c r="AB428" i="2"/>
  <c r="AA410" i="2"/>
  <c r="AE410" i="2"/>
  <c r="AG409" i="2"/>
  <c r="AA392" i="2"/>
  <c r="AB378" i="2"/>
  <c r="AD378" i="2"/>
  <c r="AB370" i="2"/>
  <c r="AD370" i="2"/>
  <c r="AC362" i="2"/>
  <c r="AC354" i="2"/>
  <c r="AG353" i="2"/>
  <c r="AB226" i="2"/>
  <c r="AF216" i="2"/>
  <c r="AC213" i="2"/>
  <c r="AG213" i="2" s="1"/>
  <c r="AB210" i="2"/>
  <c r="Z205" i="2"/>
  <c r="AC722" i="2"/>
  <c r="AF714" i="2"/>
  <c r="AG713" i="2"/>
  <c r="AD705" i="2"/>
  <c r="AA658" i="2"/>
  <c r="AE632" i="2"/>
  <c r="AC632" i="2"/>
  <c r="AB610" i="2"/>
  <c r="AD610" i="2"/>
  <c r="AG579" i="2"/>
  <c r="AB570" i="2"/>
  <c r="AC562" i="2"/>
  <c r="AG561" i="2"/>
  <c r="AA554" i="2"/>
  <c r="AE554" i="2"/>
  <c r="AF546" i="2"/>
  <c r="Z546" i="2"/>
  <c r="AG546" i="2" s="1"/>
  <c r="AA530" i="2"/>
  <c r="AE530" i="2"/>
  <c r="AC516" i="2"/>
  <c r="AA488" i="2"/>
  <c r="Z488" i="2"/>
  <c r="AG487" i="2"/>
  <c r="AA478" i="2"/>
  <c r="AD478" i="2"/>
  <c r="AA464" i="2"/>
  <c r="Z464" i="2"/>
  <c r="AG464" i="2" s="1"/>
  <c r="AG463" i="2"/>
  <c r="AC458" i="2"/>
  <c r="AA448" i="2"/>
  <c r="Z448" i="2"/>
  <c r="AG448" i="2" s="1"/>
  <c r="AE440" i="2"/>
  <c r="AC440" i="2"/>
  <c r="AB432" i="2"/>
  <c r="AG427" i="2"/>
  <c r="AF424" i="2"/>
  <c r="AB416" i="2"/>
  <c r="AA402" i="2"/>
  <c r="AE402" i="2"/>
  <c r="AG401" i="2"/>
  <c r="AA384" i="2"/>
  <c r="Z384" i="2"/>
  <c r="AG384" i="2" s="1"/>
  <c r="AB364" i="2"/>
  <c r="AB348" i="2"/>
  <c r="AC346" i="2"/>
  <c r="AC338" i="2"/>
  <c r="AG337" i="2"/>
  <c r="AA330" i="2"/>
  <c r="AE330" i="2"/>
  <c r="AF322" i="2"/>
  <c r="Z322" i="2"/>
  <c r="AB314" i="2"/>
  <c r="AD314" i="2"/>
  <c r="AC306" i="2"/>
  <c r="AA298" i="2"/>
  <c r="AE298" i="2"/>
  <c r="AF290" i="2"/>
  <c r="Z290" i="2"/>
  <c r="AB282" i="2"/>
  <c r="AD282" i="2"/>
  <c r="AC274" i="2"/>
  <c r="AG273" i="2"/>
  <c r="AA266" i="2"/>
  <c r="AE266" i="2"/>
  <c r="AF258" i="2"/>
  <c r="Z258" i="2"/>
  <c r="AB250" i="2"/>
  <c r="AD250" i="2"/>
  <c r="AC242" i="2"/>
  <c r="AG241" i="2"/>
  <c r="AA234" i="2"/>
  <c r="AE234" i="2"/>
  <c r="AG221" i="2"/>
  <c r="AD217" i="2"/>
  <c r="AB217" i="2"/>
  <c r="AB214" i="2"/>
  <c r="AE199" i="2"/>
  <c r="Z194" i="2"/>
  <c r="AE194" i="2"/>
  <c r="AC204" i="2"/>
  <c r="AF204" i="2"/>
  <c r="AD195" i="2"/>
  <c r="AE201" i="2"/>
  <c r="AG181" i="2"/>
  <c r="AG161" i="2"/>
  <c r="AG141" i="2"/>
  <c r="AG137" i="2"/>
  <c r="AG117" i="2"/>
  <c r="AG113" i="2"/>
  <c r="AG109" i="2"/>
  <c r="AG101" i="2"/>
  <c r="AG85" i="2"/>
  <c r="AG81" i="2"/>
  <c r="AG53" i="2"/>
  <c r="AG41" i="2"/>
  <c r="AG33" i="2"/>
  <c r="AG29" i="2"/>
  <c r="AG25" i="2"/>
  <c r="AG21" i="2"/>
  <c r="AG13" i="2"/>
  <c r="AG9" i="2"/>
  <c r="AG5" i="2"/>
  <c r="Z196" i="2"/>
  <c r="AG196" i="2" s="1"/>
  <c r="AE196" i="2"/>
  <c r="AC191" i="2"/>
  <c r="AA191" i="2"/>
  <c r="AC187" i="2"/>
  <c r="AA187" i="2"/>
  <c r="Z183" i="2"/>
  <c r="AE183" i="2"/>
  <c r="AC179" i="2"/>
  <c r="AA179" i="2"/>
  <c r="AC175" i="2"/>
  <c r="AA175" i="2"/>
  <c r="AC171" i="2"/>
  <c r="AA171" i="2"/>
  <c r="Z167" i="2"/>
  <c r="AE167" i="2"/>
  <c r="AC163" i="2"/>
  <c r="AA163" i="2"/>
  <c r="AC159" i="2"/>
  <c r="AA159" i="2"/>
  <c r="AC155" i="2"/>
  <c r="AA155" i="2"/>
  <c r="Z151" i="2"/>
  <c r="AE151" i="2"/>
  <c r="Z147" i="2"/>
  <c r="AE147" i="2"/>
  <c r="Z143" i="2"/>
  <c r="AE143" i="2"/>
  <c r="AC139" i="2"/>
  <c r="AA139" i="2"/>
  <c r="Z135" i="2"/>
  <c r="AE135" i="2"/>
  <c r="AC131" i="2"/>
  <c r="AA131" i="2"/>
  <c r="AC127" i="2"/>
  <c r="AA127" i="2"/>
  <c r="Z123" i="2"/>
  <c r="AE123" i="2"/>
  <c r="Z119" i="2"/>
  <c r="AE119" i="2"/>
  <c r="Z115" i="2"/>
  <c r="AE115" i="2"/>
  <c r="Z111" i="2"/>
  <c r="AE111" i="2"/>
  <c r="Z107" i="2"/>
  <c r="AE107" i="2"/>
  <c r="Z103" i="2"/>
  <c r="AA103" i="2"/>
  <c r="Z99" i="2"/>
  <c r="AE99" i="2"/>
  <c r="AC95" i="2"/>
  <c r="AA95" i="2"/>
  <c r="AC91" i="2"/>
  <c r="AA91" i="2"/>
  <c r="AC87" i="2"/>
  <c r="AA87" i="2"/>
  <c r="Z83" i="2"/>
  <c r="AE83" i="2"/>
  <c r="AC79" i="2"/>
  <c r="AA79" i="2"/>
  <c r="AC75" i="2"/>
  <c r="AA75" i="2"/>
  <c r="AC71" i="2"/>
  <c r="AA71" i="2"/>
  <c r="AC67" i="2"/>
  <c r="AA67" i="2"/>
  <c r="Z63" i="2"/>
  <c r="AE63" i="2"/>
  <c r="AC59" i="2"/>
  <c r="AA59" i="2"/>
  <c r="Z55" i="2"/>
  <c r="AE55" i="2"/>
  <c r="Z51" i="2"/>
  <c r="AE51" i="2"/>
  <c r="Z47" i="2"/>
  <c r="AE47" i="2"/>
  <c r="Z43" i="2"/>
  <c r="AE43" i="2"/>
  <c r="Z39" i="2"/>
  <c r="AE39" i="2"/>
  <c r="Z35" i="2"/>
  <c r="AE35" i="2"/>
  <c r="Z31" i="2"/>
  <c r="AE31" i="2"/>
  <c r="Z27" i="2"/>
  <c r="AE27" i="2"/>
  <c r="Z23" i="2"/>
  <c r="AE23" i="2"/>
  <c r="Z19" i="2"/>
  <c r="AE19" i="2"/>
  <c r="AC15" i="2"/>
  <c r="AA15" i="2"/>
  <c r="Z11" i="2"/>
  <c r="AG11" i="2" s="1"/>
  <c r="AE11" i="2"/>
  <c r="Z7" i="2"/>
  <c r="AG7" i="2" s="1"/>
  <c r="AE7" i="2"/>
  <c r="AA3" i="2"/>
  <c r="AE3" i="2"/>
  <c r="AE1580" i="2"/>
  <c r="AE1574" i="2"/>
  <c r="AE1568" i="2"/>
  <c r="AG1568" i="2"/>
  <c r="AE1562" i="2"/>
  <c r="AE1556" i="2"/>
  <c r="AG1556" i="2"/>
  <c r="AC1578" i="2"/>
  <c r="AB1578" i="2"/>
  <c r="AG1575" i="2"/>
  <c r="AC1570" i="2"/>
  <c r="AB1570" i="2"/>
  <c r="AG1567" i="2"/>
  <c r="AD1566" i="2"/>
  <c r="AC1562" i="2"/>
  <c r="AB1562" i="2"/>
  <c r="AD1558" i="2"/>
  <c r="AC1554" i="2"/>
  <c r="AB1554" i="2"/>
  <c r="AD1550" i="2"/>
  <c r="AC1519" i="2"/>
  <c r="AA1487" i="2"/>
  <c r="AC1479" i="2"/>
  <c r="AC1471" i="2"/>
  <c r="AH1460" i="2"/>
  <c r="AA1455" i="2"/>
  <c r="AA1447" i="2"/>
  <c r="AG1444" i="2"/>
  <c r="AA1439" i="2"/>
  <c r="AB1543" i="2"/>
  <c r="AG1539" i="2"/>
  <c r="AF1535" i="2"/>
  <c r="AC1531" i="2"/>
  <c r="Z1527" i="2"/>
  <c r="AB1526" i="2"/>
  <c r="AB1511" i="2"/>
  <c r="AE1503" i="2"/>
  <c r="AF1495" i="2"/>
  <c r="AA1489" i="2"/>
  <c r="Z1487" i="2"/>
  <c r="AG1487" i="2" s="1"/>
  <c r="AA1481" i="2"/>
  <c r="AE1463" i="2"/>
  <c r="AE1455" i="2"/>
  <c r="AF1447" i="2"/>
  <c r="AF1439" i="2"/>
  <c r="AF1431" i="2"/>
  <c r="AA1577" i="2"/>
  <c r="AG1577" i="2" s="1"/>
  <c r="AA1569" i="2"/>
  <c r="AA1561" i="2"/>
  <c r="AG1561" i="2" s="1"/>
  <c r="AA1553" i="2"/>
  <c r="AG1553" i="2" s="1"/>
  <c r="AA1547" i="2"/>
  <c r="AF1547" i="2"/>
  <c r="AG1538" i="2"/>
  <c r="AF1526" i="2"/>
  <c r="AG1517" i="2"/>
  <c r="AG1506" i="2"/>
  <c r="AA1502" i="2"/>
  <c r="AB1489" i="2"/>
  <c r="AF1481" i="2"/>
  <c r="AF1478" i="2"/>
  <c r="AG1477" i="2"/>
  <c r="AF1473" i="2"/>
  <c r="AF1470" i="2"/>
  <c r="AE1465" i="2"/>
  <c r="AB1457" i="2"/>
  <c r="AB1449" i="2"/>
  <c r="Z1441" i="2"/>
  <c r="AB1440" i="2"/>
  <c r="AA1540" i="2"/>
  <c r="AC1538" i="2"/>
  <c r="AA1516" i="2"/>
  <c r="Z1516" i="2"/>
  <c r="AC1514" i="2"/>
  <c r="AA1496" i="2"/>
  <c r="AF1490" i="2"/>
  <c r="AE1476" i="2"/>
  <c r="AC1476" i="2"/>
  <c r="AE1458" i="2"/>
  <c r="Z1458" i="2"/>
  <c r="AG1458" i="2" s="1"/>
  <c r="AA1436" i="2"/>
  <c r="AD1436" i="2"/>
  <c r="AG1537" i="2"/>
  <c r="AB1520" i="2"/>
  <c r="AF1520" i="2"/>
  <c r="AG1505" i="2"/>
  <c r="AE1484" i="2"/>
  <c r="AG1483" i="2"/>
  <c r="AB1478" i="2"/>
  <c r="AC1466" i="2"/>
  <c r="AB1466" i="2"/>
  <c r="AA1452" i="2"/>
  <c r="AG1445" i="2"/>
  <c r="AC1442" i="2"/>
  <c r="AA1421" i="2"/>
  <c r="AC1413" i="2"/>
  <c r="AA1542" i="2"/>
  <c r="AE1542" i="2"/>
  <c r="AC1528" i="2"/>
  <c r="AC1526" i="2"/>
  <c r="AB1524" i="2"/>
  <c r="AE1500" i="2"/>
  <c r="AG1497" i="2"/>
  <c r="AF1492" i="2"/>
  <c r="AE1474" i="2"/>
  <c r="Z1474" i="2"/>
  <c r="AG1474" i="2" s="1"/>
  <c r="AF1460" i="2"/>
  <c r="AD1460" i="2"/>
  <c r="AF1434" i="2"/>
  <c r="AE1432" i="2"/>
  <c r="AF1432" i="2"/>
  <c r="AC1423" i="2"/>
  <c r="AB1544" i="2"/>
  <c r="AF1544" i="2"/>
  <c r="AE1536" i="2"/>
  <c r="AD1536" i="2"/>
  <c r="AE1532" i="2"/>
  <c r="AC1532" i="2"/>
  <c r="AB1512" i="2"/>
  <c r="AF1512" i="2"/>
  <c r="AF1508" i="2"/>
  <c r="AB1504" i="2"/>
  <c r="AF1504" i="2"/>
  <c r="AE1482" i="2"/>
  <c r="Z1482" i="2"/>
  <c r="AG1482" i="2" s="1"/>
  <c r="AD1469" i="2"/>
  <c r="AG1469" i="2" s="1"/>
  <c r="AB1468" i="2"/>
  <c r="AE1450" i="2"/>
  <c r="Z1450" i="2"/>
  <c r="AG1450" i="2" s="1"/>
  <c r="AC1448" i="2"/>
  <c r="AF1444" i="2"/>
  <c r="AD1444" i="2"/>
  <c r="AG1437" i="2"/>
  <c r="AG1429" i="2"/>
  <c r="Z1421" i="2"/>
  <c r="AG1421" i="2" s="1"/>
  <c r="AB1424" i="2"/>
  <c r="AB1392" i="2"/>
  <c r="AB1376" i="2"/>
  <c r="AG1360" i="2"/>
  <c r="AB1360" i="2"/>
  <c r="AG1352" i="2"/>
  <c r="AB1352" i="2"/>
  <c r="AG1344" i="2"/>
  <c r="AB1344" i="2"/>
  <c r="AG1336" i="2"/>
  <c r="AB1336" i="2"/>
  <c r="AG1328" i="2"/>
  <c r="AB1328" i="2"/>
  <c r="AG1320" i="2"/>
  <c r="AB1320" i="2"/>
  <c r="AG1312" i="2"/>
  <c r="AB1312" i="2"/>
  <c r="AG1304" i="2"/>
  <c r="AB1304" i="2"/>
  <c r="AG1296" i="2"/>
  <c r="AB1296" i="2"/>
  <c r="AG1136" i="2"/>
  <c r="AF1416" i="2"/>
  <c r="AD1416" i="2"/>
  <c r="AC1373" i="2"/>
  <c r="AC1365" i="2"/>
  <c r="AH1357" i="2"/>
  <c r="AC1333" i="2"/>
  <c r="AH1330" i="2"/>
  <c r="AH1325" i="2"/>
  <c r="AC1301" i="2"/>
  <c r="AH1298" i="2"/>
  <c r="AC1277" i="2"/>
  <c r="AC1269" i="2"/>
  <c r="AC1237" i="2"/>
  <c r="AC1205" i="2"/>
  <c r="AC1173" i="2"/>
  <c r="AC1426" i="2"/>
  <c r="AF1408" i="2"/>
  <c r="AA1384" i="2"/>
  <c r="AA1373" i="2"/>
  <c r="AF1368" i="2"/>
  <c r="AA1349" i="2"/>
  <c r="AF1344" i="2"/>
  <c r="AH1340" i="2"/>
  <c r="AA1336" i="2"/>
  <c r="AH1324" i="2"/>
  <c r="AA1320" i="2"/>
  <c r="AH1308" i="2"/>
  <c r="AA1304" i="2"/>
  <c r="AG1292" i="2"/>
  <c r="AA1288" i="2"/>
  <c r="AA1277" i="2"/>
  <c r="AF1272" i="2"/>
  <c r="AG1268" i="2"/>
  <c r="AA1264" i="2"/>
  <c r="AA1248" i="2"/>
  <c r="AG1236" i="2"/>
  <c r="AA1232" i="2"/>
  <c r="AG1212" i="2"/>
  <c r="AG1188" i="2"/>
  <c r="AG1180" i="2"/>
  <c r="AG1164" i="2"/>
  <c r="AA1418" i="2"/>
  <c r="AE1418" i="2"/>
  <c r="AG1417" i="2"/>
  <c r="AE1414" i="2"/>
  <c r="AB1414" i="2"/>
  <c r="AE1408" i="2"/>
  <c r="Z1405" i="2"/>
  <c r="AG1405" i="2" s="1"/>
  <c r="AB1404" i="2"/>
  <c r="AG1404" i="2" s="1"/>
  <c r="AF1397" i="2"/>
  <c r="AE1392" i="2"/>
  <c r="Z1389" i="2"/>
  <c r="AG1389" i="2" s="1"/>
  <c r="AB1388" i="2"/>
  <c r="AG1388" i="2" s="1"/>
  <c r="AG1385" i="2"/>
  <c r="AF1381" i="2"/>
  <c r="AE1376" i="2"/>
  <c r="AH1361" i="2"/>
  <c r="AD1360" i="2"/>
  <c r="AF1357" i="2"/>
  <c r="AC1353" i="2"/>
  <c r="Z1352" i="2"/>
  <c r="AH1350" i="2"/>
  <c r="AB1349" i="2"/>
  <c r="AE1344" i="2"/>
  <c r="Z1341" i="2"/>
  <c r="AB1340" i="2"/>
  <c r="AE1333" i="2"/>
  <c r="AH1329" i="2"/>
  <c r="AD1328" i="2"/>
  <c r="AF1325" i="2"/>
  <c r="AC1321" i="2"/>
  <c r="Z1320" i="2"/>
  <c r="AH1318" i="2"/>
  <c r="AB1317" i="2"/>
  <c r="AE1312" i="2"/>
  <c r="Z1309" i="2"/>
  <c r="AB1308" i="2"/>
  <c r="AE1301" i="2"/>
  <c r="AH1297" i="2"/>
  <c r="AD1296" i="2"/>
  <c r="AF1293" i="2"/>
  <c r="AE1288" i="2"/>
  <c r="Z1285" i="2"/>
  <c r="AG1285" i="2" s="1"/>
  <c r="AB1284" i="2"/>
  <c r="AE1280" i="2"/>
  <c r="AC1273" i="2"/>
  <c r="Z1272" i="2"/>
  <c r="AE1264" i="2"/>
  <c r="Z1261" i="2"/>
  <c r="AG1261" i="2" s="1"/>
  <c r="AE1253" i="2"/>
  <c r="AG1249" i="2"/>
  <c r="AF1245" i="2"/>
  <c r="Z1240" i="2"/>
  <c r="AE1232" i="2"/>
  <c r="Z1229" i="2"/>
  <c r="AG1229" i="2" s="1"/>
  <c r="AE1221" i="2"/>
  <c r="AG1214" i="2"/>
  <c r="AB1213" i="2"/>
  <c r="AB1197" i="2"/>
  <c r="AG1197" i="2" s="1"/>
  <c r="AE1189" i="2"/>
  <c r="AB1181" i="2"/>
  <c r="AB1165" i="2"/>
  <c r="AG1165" i="2" s="1"/>
  <c r="Z1410" i="2"/>
  <c r="AG1410" i="2" s="1"/>
  <c r="AE1410" i="2"/>
  <c r="AG1387" i="2"/>
  <c r="AE1382" i="2"/>
  <c r="Z1382" i="2"/>
  <c r="AG1382" i="2" s="1"/>
  <c r="AH1359" i="2"/>
  <c r="AF1350" i="2"/>
  <c r="AF1346" i="2"/>
  <c r="Z1346" i="2"/>
  <c r="AD1337" i="2"/>
  <c r="AC1318" i="2"/>
  <c r="AB1318" i="2"/>
  <c r="AB1314" i="2"/>
  <c r="AD1314" i="2"/>
  <c r="AD1275" i="2"/>
  <c r="AD1259" i="2"/>
  <c r="AA1254" i="2"/>
  <c r="AA1250" i="2"/>
  <c r="AE1250" i="2"/>
  <c r="AE1222" i="2"/>
  <c r="AC1220" i="2"/>
  <c r="AC1218" i="2"/>
  <c r="AA1208" i="2"/>
  <c r="Z1208" i="2"/>
  <c r="AG1207" i="2"/>
  <c r="AC1202" i="2"/>
  <c r="AA1192" i="2"/>
  <c r="Z1192" i="2"/>
  <c r="AC1186" i="2"/>
  <c r="AA1176" i="2"/>
  <c r="Z1176" i="2"/>
  <c r="AG1175" i="2"/>
  <c r="AC1170" i="2"/>
  <c r="AC1142" i="2"/>
  <c r="AD1136" i="2"/>
  <c r="AA1406" i="2"/>
  <c r="AA1402" i="2"/>
  <c r="AE1402" i="2"/>
  <c r="AG1383" i="2"/>
  <c r="AA1379" i="2"/>
  <c r="AA1374" i="2"/>
  <c r="AA1370" i="2"/>
  <c r="AE1370" i="2"/>
  <c r="AA1351" i="2"/>
  <c r="AC1342" i="2"/>
  <c r="AB1342" i="2"/>
  <c r="AB1338" i="2"/>
  <c r="AD1338" i="2"/>
  <c r="AH1315" i="2"/>
  <c r="AE1310" i="2"/>
  <c r="Z1310" i="2"/>
  <c r="AC1308" i="2"/>
  <c r="AC1306" i="2"/>
  <c r="AF1246" i="2"/>
  <c r="AF1242" i="2"/>
  <c r="AF1226" i="2"/>
  <c r="Z1226" i="2"/>
  <c r="AG1226" i="2" s="1"/>
  <c r="AG1223" i="2"/>
  <c r="AD1219" i="2"/>
  <c r="AA1214" i="2"/>
  <c r="AD1214" i="2"/>
  <c r="AC1198" i="2"/>
  <c r="AB1198" i="2"/>
  <c r="AA1182" i="2"/>
  <c r="AG1182" i="2" s="1"/>
  <c r="AD1182" i="2"/>
  <c r="AC1166" i="2"/>
  <c r="AB1166" i="2"/>
  <c r="AA1159" i="2"/>
  <c r="AG1159" i="2" s="1"/>
  <c r="AE1150" i="2"/>
  <c r="AC1148" i="2"/>
  <c r="AD1148" i="2"/>
  <c r="AC1144" i="2"/>
  <c r="AC1398" i="2"/>
  <c r="AB1398" i="2"/>
  <c r="AB1394" i="2"/>
  <c r="AD1394" i="2"/>
  <c r="AG1371" i="2"/>
  <c r="AE1366" i="2"/>
  <c r="Z1366" i="2"/>
  <c r="AC1364" i="2"/>
  <c r="AC1362" i="2"/>
  <c r="AH1343" i="2"/>
  <c r="AF1334" i="2"/>
  <c r="AF1330" i="2"/>
  <c r="Z1330" i="2"/>
  <c r="AD1321" i="2"/>
  <c r="AC1302" i="2"/>
  <c r="AB1302" i="2"/>
  <c r="AB1298" i="2"/>
  <c r="AD1298" i="2"/>
  <c r="AC1286" i="2"/>
  <c r="AB1282" i="2"/>
  <c r="AD1282" i="2"/>
  <c r="AE1278" i="2"/>
  <c r="AC1274" i="2"/>
  <c r="AA1270" i="2"/>
  <c r="AG1270" i="2" s="1"/>
  <c r="AD1270" i="2"/>
  <c r="AA1266" i="2"/>
  <c r="AE1266" i="2"/>
  <c r="AG1247" i="2"/>
  <c r="AF1238" i="2"/>
  <c r="AF1234" i="2"/>
  <c r="Z1234" i="2"/>
  <c r="AG1234" i="2" s="1"/>
  <c r="AD1227" i="2"/>
  <c r="AE1216" i="2"/>
  <c r="AC1216" i="2"/>
  <c r="AC1212" i="2"/>
  <c r="AB1210" i="2"/>
  <c r="AG1209" i="2"/>
  <c r="AE1200" i="2"/>
  <c r="AC1200" i="2"/>
  <c r="AC1196" i="2"/>
  <c r="AG1196" i="2" s="1"/>
  <c r="AB1194" i="2"/>
  <c r="AD1194" i="2"/>
  <c r="AG1193" i="2"/>
  <c r="AE1184" i="2"/>
  <c r="AC1184" i="2"/>
  <c r="AC1180" i="2"/>
  <c r="AB1178" i="2"/>
  <c r="AG1177" i="2"/>
  <c r="AE1168" i="2"/>
  <c r="AC1168" i="2"/>
  <c r="AC1164" i="2"/>
  <c r="AB1162" i="2"/>
  <c r="AD1162" i="2"/>
  <c r="AG1161" i="2"/>
  <c r="AE1158" i="2"/>
  <c r="AC1156" i="2"/>
  <c r="AD1156" i="2"/>
  <c r="AC1152" i="2"/>
  <c r="AG1399" i="2"/>
  <c r="AA1395" i="2"/>
  <c r="AA1390" i="2"/>
  <c r="AA1386" i="2"/>
  <c r="AE1386" i="2"/>
  <c r="AG1367" i="2"/>
  <c r="AD1363" i="2"/>
  <c r="AA1358" i="2"/>
  <c r="AD1358" i="2"/>
  <c r="AA1354" i="2"/>
  <c r="AE1354" i="2"/>
  <c r="AH1335" i="2"/>
  <c r="AF1326" i="2"/>
  <c r="AF1322" i="2"/>
  <c r="Z1322" i="2"/>
  <c r="AD1313" i="2"/>
  <c r="AC1294" i="2"/>
  <c r="AB1294" i="2"/>
  <c r="AB1290" i="2"/>
  <c r="AD1290" i="2"/>
  <c r="AD1267" i="2"/>
  <c r="AA1262" i="2"/>
  <c r="AA1258" i="2"/>
  <c r="AE1258" i="2"/>
  <c r="AG1239" i="2"/>
  <c r="AA1206" i="2"/>
  <c r="AD1206" i="2"/>
  <c r="AC1190" i="2"/>
  <c r="AB1190" i="2"/>
  <c r="AA1174" i="2"/>
  <c r="AD1174" i="2"/>
  <c r="AE1160" i="2"/>
  <c r="AE1140" i="2"/>
  <c r="AF1140" i="2"/>
  <c r="AA1133" i="2"/>
  <c r="AG1133" i="2" s="1"/>
  <c r="AE1133" i="2"/>
  <c r="AE1139" i="2"/>
  <c r="AC947" i="2"/>
  <c r="AE880" i="2"/>
  <c r="AA1126" i="2"/>
  <c r="AF1124" i="2"/>
  <c r="AA1117" i="2"/>
  <c r="AC1101" i="2"/>
  <c r="AC1093" i="2"/>
  <c r="AC1085" i="2"/>
  <c r="AC1077" i="2"/>
  <c r="AC1069" i="2"/>
  <c r="AC1061" i="2"/>
  <c r="AC1053" i="2"/>
  <c r="AC1045" i="2"/>
  <c r="AC1013" i="2"/>
  <c r="AC981" i="2"/>
  <c r="AC949" i="2"/>
  <c r="AC946" i="2"/>
  <c r="AC941" i="2"/>
  <c r="AC909" i="2"/>
  <c r="AC893" i="2"/>
  <c r="AF1136" i="2"/>
  <c r="AB1128" i="2"/>
  <c r="AD1128" i="2"/>
  <c r="AG1119" i="2"/>
  <c r="AG1111" i="2"/>
  <c r="AG1108" i="2"/>
  <c r="AG1095" i="2"/>
  <c r="AG1084" i="2"/>
  <c r="AG1068" i="2"/>
  <c r="AG1063" i="2"/>
  <c r="AG1060" i="2"/>
  <c r="AG1055" i="2"/>
  <c r="AG1052" i="2"/>
  <c r="AG1047" i="2"/>
  <c r="AD1038" i="2"/>
  <c r="AG1020" i="2"/>
  <c r="AG996" i="2"/>
  <c r="AG980" i="2"/>
  <c r="AG956" i="2"/>
  <c r="AA941" i="2"/>
  <c r="AA933" i="2"/>
  <c r="AG933" i="2" s="1"/>
  <c r="AA925" i="2"/>
  <c r="AA917" i="2"/>
  <c r="AA909" i="2"/>
  <c r="AA901" i="2"/>
  <c r="AG901" i="2" s="1"/>
  <c r="AF896" i="2"/>
  <c r="AB892" i="2"/>
  <c r="AG892" i="2" s="1"/>
  <c r="AA888" i="2"/>
  <c r="AE860" i="2"/>
  <c r="Z1153" i="2"/>
  <c r="AG1153" i="2" s="1"/>
  <c r="AC1135" i="2"/>
  <c r="AB1124" i="2"/>
  <c r="AF1117" i="2"/>
  <c r="AG1110" i="2"/>
  <c r="AB1109" i="2"/>
  <c r="AA1087" i="2"/>
  <c r="AG1087" i="2" s="1"/>
  <c r="AG1062" i="2"/>
  <c r="AG1054" i="2"/>
  <c r="AG1046" i="2"/>
  <c r="AA1039" i="2"/>
  <c r="AG1039" i="2" s="1"/>
  <c r="Z1037" i="2"/>
  <c r="AG1037" i="2" s="1"/>
  <c r="AB1036" i="2"/>
  <c r="AG1036" i="2" s="1"/>
  <c r="AF1029" i="2"/>
  <c r="Z1021" i="2"/>
  <c r="AB1020" i="2"/>
  <c r="Z1005" i="2"/>
  <c r="AG1005" i="2" s="1"/>
  <c r="AB1004" i="2"/>
  <c r="AG1004" i="2" s="1"/>
  <c r="AF997" i="2"/>
  <c r="Z989" i="2"/>
  <c r="AB988" i="2"/>
  <c r="AG988" i="2" s="1"/>
  <c r="Z973" i="2"/>
  <c r="AG973" i="2" s="1"/>
  <c r="AB972" i="2"/>
  <c r="AG972" i="2" s="1"/>
  <c r="AF965" i="2"/>
  <c r="Z957" i="2"/>
  <c r="AB956" i="2"/>
  <c r="AB933" i="2"/>
  <c r="AE925" i="2"/>
  <c r="AB917" i="2"/>
  <c r="AB901" i="2"/>
  <c r="AC897" i="2"/>
  <c r="Z896" i="2"/>
  <c r="AG896" i="2" s="1"/>
  <c r="AG889" i="2"/>
  <c r="AD888" i="2"/>
  <c r="AF885" i="2"/>
  <c r="AB1120" i="2"/>
  <c r="AG1115" i="2"/>
  <c r="AF1112" i="2"/>
  <c r="AD1112" i="2"/>
  <c r="AB1098" i="2"/>
  <c r="AA1050" i="2"/>
  <c r="AG1049" i="2"/>
  <c r="AA1042" i="2"/>
  <c r="AC1036" i="2"/>
  <c r="AB1034" i="2"/>
  <c r="AD1034" i="2"/>
  <c r="AG1033" i="2"/>
  <c r="AE1024" i="2"/>
  <c r="AC1024" i="2"/>
  <c r="AC1020" i="2"/>
  <c r="AB1018" i="2"/>
  <c r="AG1017" i="2"/>
  <c r="AE1008" i="2"/>
  <c r="AC1008" i="2"/>
  <c r="AC1004" i="2"/>
  <c r="AB1002" i="2"/>
  <c r="AD1002" i="2"/>
  <c r="AG1001" i="2"/>
  <c r="AE992" i="2"/>
  <c r="AC992" i="2"/>
  <c r="AC988" i="2"/>
  <c r="AB986" i="2"/>
  <c r="AG985" i="2"/>
  <c r="AE976" i="2"/>
  <c r="AC976" i="2"/>
  <c r="AC972" i="2"/>
  <c r="AB970" i="2"/>
  <c r="AD970" i="2"/>
  <c r="AG969" i="2"/>
  <c r="AE960" i="2"/>
  <c r="AC960" i="2"/>
  <c r="AC956" i="2"/>
  <c r="AB954" i="2"/>
  <c r="AG953" i="2"/>
  <c r="AC950" i="2"/>
  <c r="AB950" i="2"/>
  <c r="AC938" i="2"/>
  <c r="AE934" i="2"/>
  <c r="Z934" i="2"/>
  <c r="AG934" i="2" s="1"/>
  <c r="AF918" i="2"/>
  <c r="AA904" i="2"/>
  <c r="Z904" i="2"/>
  <c r="AG904" i="2" s="1"/>
  <c r="AG903" i="2"/>
  <c r="AC898" i="2"/>
  <c r="AA894" i="2"/>
  <c r="AG894" i="2" s="1"/>
  <c r="AD894" i="2"/>
  <c r="AD889" i="2"/>
  <c r="AF878" i="2"/>
  <c r="AG875" i="2"/>
  <c r="AA875" i="2"/>
  <c r="AC868" i="2"/>
  <c r="AF862" i="2"/>
  <c r="AA859" i="2"/>
  <c r="AA848" i="2"/>
  <c r="AC820" i="2"/>
  <c r="AC737" i="2"/>
  <c r="AA1106" i="2"/>
  <c r="AE1106" i="2"/>
  <c r="AC1100" i="2"/>
  <c r="AA1088" i="2"/>
  <c r="Z1088" i="2"/>
  <c r="AG1088" i="2" s="1"/>
  <c r="AE1080" i="2"/>
  <c r="AC1080" i="2"/>
  <c r="AB1072" i="2"/>
  <c r="AG1067" i="2"/>
  <c r="AF1064" i="2"/>
  <c r="AA1056" i="2"/>
  <c r="Z1056" i="2"/>
  <c r="AG1056" i="2" s="1"/>
  <c r="AC1030" i="2"/>
  <c r="AB1030" i="2"/>
  <c r="AA1014" i="2"/>
  <c r="AD1014" i="2"/>
  <c r="AC998" i="2"/>
  <c r="AB998" i="2"/>
  <c r="AA982" i="2"/>
  <c r="AD982" i="2"/>
  <c r="AC966" i="2"/>
  <c r="AB966" i="2"/>
  <c r="AC948" i="2"/>
  <c r="AF944" i="2"/>
  <c r="AA930" i="2"/>
  <c r="AE930" i="2"/>
  <c r="AF920" i="2"/>
  <c r="AD920" i="2"/>
  <c r="AA914" i="2"/>
  <c r="AA910" i="2"/>
  <c r="AD910" i="2"/>
  <c r="AG895" i="2"/>
  <c r="AF890" i="2"/>
  <c r="Z890" i="2"/>
  <c r="AG890" i="2" s="1"/>
  <c r="AC886" i="2"/>
  <c r="AB886" i="2"/>
  <c r="AF880" i="2"/>
  <c r="AC864" i="2"/>
  <c r="AB841" i="2"/>
  <c r="AB825" i="2"/>
  <c r="AA804" i="2"/>
  <c r="AB801" i="2"/>
  <c r="AB785" i="2"/>
  <c r="AB769" i="2"/>
  <c r="AB745" i="2"/>
  <c r="Z1122" i="2"/>
  <c r="AG1122" i="2" s="1"/>
  <c r="AE1122" i="2"/>
  <c r="AG1121" i="2"/>
  <c r="AA1114" i="2"/>
  <c r="AE1114" i="2"/>
  <c r="AC1108" i="2"/>
  <c r="AA1048" i="2"/>
  <c r="Z1048" i="2"/>
  <c r="AG1048" i="2" s="1"/>
  <c r="AE1040" i="2"/>
  <c r="AC1040" i="2"/>
  <c r="AF1026" i="2"/>
  <c r="Z1026" i="2"/>
  <c r="AF1010" i="2"/>
  <c r="Z1010" i="2"/>
  <c r="AG1010" i="2" s="1"/>
  <c r="AF994" i="2"/>
  <c r="Z994" i="2"/>
  <c r="AF978" i="2"/>
  <c r="Z978" i="2"/>
  <c r="AG978" i="2" s="1"/>
  <c r="AF962" i="2"/>
  <c r="Z962" i="2"/>
  <c r="AA936" i="2"/>
  <c r="Z936" i="2"/>
  <c r="AG936" i="2" s="1"/>
  <c r="AG935" i="2"/>
  <c r="AA926" i="2"/>
  <c r="AD926" i="2"/>
  <c r="AF906" i="2"/>
  <c r="Z906" i="2"/>
  <c r="AG906" i="2" s="1"/>
  <c r="AA876" i="2"/>
  <c r="AC873" i="2"/>
  <c r="AF873" i="2"/>
  <c r="AE869" i="2"/>
  <c r="AB860" i="2"/>
  <c r="Z860" i="2"/>
  <c r="AG860" i="2" s="1"/>
  <c r="AD859" i="2"/>
  <c r="AG859" i="2" s="1"/>
  <c r="AA857" i="2"/>
  <c r="AA854" i="2"/>
  <c r="AG854" i="2" s="1"/>
  <c r="AB853" i="2"/>
  <c r="AD843" i="2"/>
  <c r="AA809" i="2"/>
  <c r="AB804" i="2"/>
  <c r="AF801" i="2"/>
  <c r="AF793" i="2"/>
  <c r="AF785" i="2"/>
  <c r="AF777" i="2"/>
  <c r="AF769" i="2"/>
  <c r="AF761" i="2"/>
  <c r="AA760" i="2"/>
  <c r="AG760" i="2" s="1"/>
  <c r="AA753" i="2"/>
  <c r="AA745" i="2"/>
  <c r="AA737" i="2"/>
  <c r="AA728" i="2"/>
  <c r="AG728" i="2" s="1"/>
  <c r="AA1128" i="2"/>
  <c r="AG1107" i="2"/>
  <c r="AF1104" i="2"/>
  <c r="AD1104" i="2"/>
  <c r="AA1090" i="2"/>
  <c r="AF1082" i="2"/>
  <c r="AB1074" i="2"/>
  <c r="AG1065" i="2"/>
  <c r="AA1058" i="2"/>
  <c r="AG1057" i="2"/>
  <c r="AA1022" i="2"/>
  <c r="AC1006" i="2"/>
  <c r="AA990" i="2"/>
  <c r="AC974" i="2"/>
  <c r="AA958" i="2"/>
  <c r="AA942" i="2"/>
  <c r="AD942" i="2"/>
  <c r="AE928" i="2"/>
  <c r="AB922" i="2"/>
  <c r="AD922" i="2"/>
  <c r="AG921" i="2"/>
  <c r="AE912" i="2"/>
  <c r="AG907" i="2"/>
  <c r="AE902" i="2"/>
  <c r="Z902" i="2"/>
  <c r="AG902" i="2" s="1"/>
  <c r="AE881" i="2"/>
  <c r="AB872" i="2"/>
  <c r="AC869" i="2"/>
  <c r="AF869" i="2"/>
  <c r="AD854" i="2"/>
  <c r="AE841" i="2"/>
  <c r="Z838" i="2"/>
  <c r="Z833" i="2"/>
  <c r="AG833" i="2" s="1"/>
  <c r="AG826" i="2"/>
  <c r="AD825" i="2"/>
  <c r="AA819" i="2"/>
  <c r="AG819" i="2" s="1"/>
  <c r="AC810" i="2"/>
  <c r="Z809" i="2"/>
  <c r="AG809" i="2" s="1"/>
  <c r="AE793" i="2"/>
  <c r="Z785" i="2"/>
  <c r="AG785" i="2" s="1"/>
  <c r="AG778" i="2"/>
  <c r="AD777" i="2"/>
  <c r="AE761" i="2"/>
  <c r="AE753" i="2"/>
  <c r="Z745" i="2"/>
  <c r="AG745" i="2" s="1"/>
  <c r="AG855" i="2"/>
  <c r="AA839" i="2"/>
  <c r="AE829" i="2"/>
  <c r="AD829" i="2"/>
  <c r="AE799" i="2"/>
  <c r="AC789" i="2"/>
  <c r="AG788" i="2"/>
  <c r="AC783" i="2"/>
  <c r="AB783" i="2"/>
  <c r="AC773" i="2"/>
  <c r="AG772" i="2"/>
  <c r="AC767" i="2"/>
  <c r="AG758" i="2"/>
  <c r="AA755" i="2"/>
  <c r="AE755" i="2"/>
  <c r="AF739" i="2"/>
  <c r="Z739" i="2"/>
  <c r="AC664" i="2"/>
  <c r="AG392" i="2"/>
  <c r="AA853" i="2"/>
  <c r="AA835" i="2"/>
  <c r="AE835" i="2"/>
  <c r="AB821" i="2"/>
  <c r="AF821" i="2"/>
  <c r="AA813" i="2"/>
  <c r="AF807" i="2"/>
  <c r="AC795" i="2"/>
  <c r="AC779" i="2"/>
  <c r="AC763" i="2"/>
  <c r="AC751" i="2"/>
  <c r="AB747" i="2"/>
  <c r="AD736" i="2"/>
  <c r="AB731" i="2"/>
  <c r="AD731" i="2"/>
  <c r="AE723" i="2"/>
  <c r="Z720" i="2"/>
  <c r="AB720" i="2"/>
  <c r="AC653" i="2"/>
  <c r="AB648" i="2"/>
  <c r="AB640" i="2"/>
  <c r="AC637" i="2"/>
  <c r="AC621" i="2"/>
  <c r="AB608" i="2"/>
  <c r="AC589" i="2"/>
  <c r="AC581" i="2"/>
  <c r="AC573" i="2"/>
  <c r="AC509" i="2"/>
  <c r="AC501" i="2"/>
  <c r="AC477" i="2"/>
  <c r="AC445" i="2"/>
  <c r="AC437" i="2"/>
  <c r="AC429" i="2"/>
  <c r="AC421" i="2"/>
  <c r="AC413" i="2"/>
  <c r="AC405" i="2"/>
  <c r="AC397" i="2"/>
  <c r="AC389" i="2"/>
  <c r="AC381" i="2"/>
  <c r="AC373" i="2"/>
  <c r="AC365" i="2"/>
  <c r="AC357" i="2"/>
  <c r="AC349" i="2"/>
  <c r="AC341" i="2"/>
  <c r="AC333" i="2"/>
  <c r="AC325" i="2"/>
  <c r="AC317" i="2"/>
  <c r="AC309" i="2"/>
  <c r="AC301" i="2"/>
  <c r="AC293" i="2"/>
  <c r="AC285" i="2"/>
  <c r="AC277" i="2"/>
  <c r="AC269" i="2"/>
  <c r="AC261" i="2"/>
  <c r="AC253" i="2"/>
  <c r="AC245" i="2"/>
  <c r="AC237" i="2"/>
  <c r="Z877" i="2"/>
  <c r="AG877" i="2" s="1"/>
  <c r="AB856" i="2"/>
  <c r="Z849" i="2"/>
  <c r="AG849" i="2" s="1"/>
  <c r="AC846" i="2"/>
  <c r="AE837" i="2"/>
  <c r="AD837" i="2"/>
  <c r="AE831" i="2"/>
  <c r="Z831" i="2"/>
  <c r="AG831" i="2" s="1"/>
  <c r="AD818" i="2"/>
  <c r="AG800" i="2"/>
  <c r="AE797" i="2"/>
  <c r="AE791" i="2"/>
  <c r="AE781" i="2"/>
  <c r="AE775" i="2"/>
  <c r="Z775" i="2"/>
  <c r="AG775" i="2" s="1"/>
  <c r="AE765" i="2"/>
  <c r="AC757" i="2"/>
  <c r="Z757" i="2"/>
  <c r="AG757" i="2" s="1"/>
  <c r="AG756" i="2"/>
  <c r="AC741" i="2"/>
  <c r="Z741" i="2"/>
  <c r="AG741" i="2" s="1"/>
  <c r="AA723" i="2"/>
  <c r="AG708" i="2"/>
  <c r="AA704" i="2"/>
  <c r="AG692" i="2"/>
  <c r="AG687" i="2"/>
  <c r="AG684" i="2"/>
  <c r="AF664" i="2"/>
  <c r="AA663" i="2"/>
  <c r="AG663" i="2" s="1"/>
  <c r="AG655" i="2"/>
  <c r="AG652" i="2"/>
  <c r="AF648" i="2"/>
  <c r="AA640" i="2"/>
  <c r="AA629" i="2"/>
  <c r="AC623" i="2"/>
  <c r="AA621" i="2"/>
  <c r="AF616" i="2"/>
  <c r="AA605" i="2"/>
  <c r="AF600" i="2"/>
  <c r="AA589" i="2"/>
  <c r="AG583" i="2"/>
  <c r="AG580" i="2"/>
  <c r="AA576" i="2"/>
  <c r="AA517" i="2"/>
  <c r="AA509" i="2"/>
  <c r="AA501" i="2"/>
  <c r="AA493" i="2"/>
  <c r="AA485" i="2"/>
  <c r="AA477" i="2"/>
  <c r="AA469" i="2"/>
  <c r="AA461" i="2"/>
  <c r="AA453" i="2"/>
  <c r="AC439" i="2"/>
  <c r="AC399" i="2"/>
  <c r="AC391" i="2"/>
  <c r="AC388" i="2"/>
  <c r="AC351" i="2"/>
  <c r="AC343" i="2"/>
  <c r="AC311" i="2"/>
  <c r="AC279" i="2"/>
  <c r="AC247" i="2"/>
  <c r="AA229" i="2"/>
  <c r="AD883" i="2"/>
  <c r="AA827" i="2"/>
  <c r="AF823" i="2"/>
  <c r="AC815" i="2"/>
  <c r="AB815" i="2"/>
  <c r="AE805" i="2"/>
  <c r="AD805" i="2"/>
  <c r="AF787" i="2"/>
  <c r="AF771" i="2"/>
  <c r="AB749" i="2"/>
  <c r="AF749" i="2"/>
  <c r="AE733" i="2"/>
  <c r="AD733" i="2"/>
  <c r="AF729" i="2"/>
  <c r="AD729" i="2"/>
  <c r="AA726" i="2"/>
  <c r="AG726" i="2" s="1"/>
  <c r="AB726" i="2"/>
  <c r="AC725" i="2"/>
  <c r="AB719" i="2"/>
  <c r="AG719" i="2" s="1"/>
  <c r="Z709" i="2"/>
  <c r="AG709" i="2" s="1"/>
  <c r="AB708" i="2"/>
  <c r="AE701" i="2"/>
  <c r="AG697" i="2"/>
  <c r="AD696" i="2"/>
  <c r="AF693" i="2"/>
  <c r="AE685" i="2"/>
  <c r="AF677" i="2"/>
  <c r="AF669" i="2"/>
  <c r="AG665" i="2"/>
  <c r="AG662" i="2"/>
  <c r="AB661" i="2"/>
  <c r="AG661" i="2" s="1"/>
  <c r="AG657" i="2"/>
  <c r="AD656" i="2"/>
  <c r="AG654" i="2"/>
  <c r="AG649" i="2"/>
  <c r="AD648" i="2"/>
  <c r="AB645" i="2"/>
  <c r="Z640" i="2"/>
  <c r="AG640" i="2" s="1"/>
  <c r="AB636" i="2"/>
  <c r="AB629" i="2"/>
  <c r="AB620" i="2"/>
  <c r="AE613" i="2"/>
  <c r="AG609" i="2"/>
  <c r="AF605" i="2"/>
  <c r="AG601" i="2"/>
  <c r="AD600" i="2"/>
  <c r="AF597" i="2"/>
  <c r="AG593" i="2"/>
  <c r="AG585" i="2"/>
  <c r="AD584" i="2"/>
  <c r="AG582" i="2"/>
  <c r="Z576" i="2"/>
  <c r="AG576" i="2" s="1"/>
  <c r="Z565" i="2"/>
  <c r="AG565" i="2" s="1"/>
  <c r="AF557" i="2"/>
  <c r="AG550" i="2"/>
  <c r="AB549" i="2"/>
  <c r="Z541" i="2"/>
  <c r="AG541" i="2" s="1"/>
  <c r="Z533" i="2"/>
  <c r="AG533" i="2" s="1"/>
  <c r="AF525" i="2"/>
  <c r="Z517" i="2"/>
  <c r="AG517" i="2" s="1"/>
  <c r="AB500" i="2"/>
  <c r="AF493" i="2"/>
  <c r="Z485" i="2"/>
  <c r="Z469" i="2"/>
  <c r="AG469" i="2" s="1"/>
  <c r="AF461" i="2"/>
  <c r="Z453" i="2"/>
  <c r="AG446" i="2"/>
  <c r="AG406" i="2"/>
  <c r="AG366" i="2"/>
  <c r="AG358" i="2"/>
  <c r="AG318" i="2"/>
  <c r="AG286" i="2"/>
  <c r="AG254" i="2"/>
  <c r="AF229" i="2"/>
  <c r="AA706" i="2"/>
  <c r="AE706" i="2"/>
  <c r="AA694" i="2"/>
  <c r="AD694" i="2"/>
  <c r="AC690" i="2"/>
  <c r="AF682" i="2"/>
  <c r="Z682" i="2"/>
  <c r="AG682" i="2" s="1"/>
  <c r="AB674" i="2"/>
  <c r="AD674" i="2"/>
  <c r="AB666" i="2"/>
  <c r="AD666" i="2"/>
  <c r="AC654" i="2"/>
  <c r="AE614" i="2"/>
  <c r="Z614" i="2"/>
  <c r="AC612" i="2"/>
  <c r="AC590" i="2"/>
  <c r="AB590" i="2"/>
  <c r="AB586" i="2"/>
  <c r="AD586" i="2"/>
  <c r="AC574" i="2"/>
  <c r="AB574" i="2"/>
  <c r="AB538" i="2"/>
  <c r="AD538" i="2"/>
  <c r="AA526" i="2"/>
  <c r="AD526" i="2"/>
  <c r="AF522" i="2"/>
  <c r="Z522" i="2"/>
  <c r="AF496" i="2"/>
  <c r="AD496" i="2"/>
  <c r="AA480" i="2"/>
  <c r="Z480" i="2"/>
  <c r="AG480" i="2" s="1"/>
  <c r="AG479" i="2"/>
  <c r="AC474" i="2"/>
  <c r="AC454" i="2"/>
  <c r="AC422" i="2"/>
  <c r="AG411" i="2"/>
  <c r="AE408" i="2"/>
  <c r="AC408" i="2"/>
  <c r="AA394" i="2"/>
  <c r="AG393" i="2"/>
  <c r="AA376" i="2"/>
  <c r="Z376" i="2"/>
  <c r="AE368" i="2"/>
  <c r="AB360" i="2"/>
  <c r="AG355" i="2"/>
  <c r="AF352" i="2"/>
  <c r="AD352" i="2"/>
  <c r="AA224" i="2"/>
  <c r="Z224" i="2"/>
  <c r="AG224" i="2" s="1"/>
  <c r="AC719" i="2"/>
  <c r="AB712" i="2"/>
  <c r="AE702" i="2"/>
  <c r="Z702" i="2"/>
  <c r="AC700" i="2"/>
  <c r="AC698" i="2"/>
  <c r="AG691" i="2"/>
  <c r="AB652" i="2"/>
  <c r="AB642" i="2"/>
  <c r="AF634" i="2"/>
  <c r="Z634" i="2"/>
  <c r="AG634" i="2" s="1"/>
  <c r="AC618" i="2"/>
  <c r="AC615" i="2"/>
  <c r="AA598" i="2"/>
  <c r="AD598" i="2"/>
  <c r="AA594" i="2"/>
  <c r="AE594" i="2"/>
  <c r="AC580" i="2"/>
  <c r="AC578" i="2"/>
  <c r="AG555" i="2"/>
  <c r="AF552" i="2"/>
  <c r="AD552" i="2"/>
  <c r="AA544" i="2"/>
  <c r="Z544" i="2"/>
  <c r="AG544" i="2" s="1"/>
  <c r="AA528" i="2"/>
  <c r="AG527" i="2"/>
  <c r="AA506" i="2"/>
  <c r="AA490" i="2"/>
  <c r="AE490" i="2"/>
  <c r="AG475" i="2"/>
  <c r="AE470" i="2"/>
  <c r="AA466" i="2"/>
  <c r="AE466" i="2"/>
  <c r="AF456" i="2"/>
  <c r="AA450" i="2"/>
  <c r="AB442" i="2"/>
  <c r="AG433" i="2"/>
  <c r="AA426" i="2"/>
  <c r="AF418" i="2"/>
  <c r="AC406" i="2"/>
  <c r="AF400" i="2"/>
  <c r="AC358" i="2"/>
  <c r="AG347" i="2"/>
  <c r="AF344" i="2"/>
  <c r="AD344" i="2"/>
  <c r="AA336" i="2"/>
  <c r="AE328" i="2"/>
  <c r="AC328" i="2"/>
  <c r="AB320" i="2"/>
  <c r="AG315" i="2"/>
  <c r="AF312" i="2"/>
  <c r="AD312" i="2"/>
  <c r="AA304" i="2"/>
  <c r="AE296" i="2"/>
  <c r="AC296" i="2"/>
  <c r="AB288" i="2"/>
  <c r="AG283" i="2"/>
  <c r="AF280" i="2"/>
  <c r="AD280" i="2"/>
  <c r="AA272" i="2"/>
  <c r="AE264" i="2"/>
  <c r="AC264" i="2"/>
  <c r="AB256" i="2"/>
  <c r="AG251" i="2"/>
  <c r="AF248" i="2"/>
  <c r="AD248" i="2"/>
  <c r="AA240" i="2"/>
  <c r="AE232" i="2"/>
  <c r="AC232" i="2"/>
  <c r="AF214" i="2"/>
  <c r="AC208" i="2"/>
  <c r="AA688" i="2"/>
  <c r="Z688" i="2"/>
  <c r="AE680" i="2"/>
  <c r="AA672" i="2"/>
  <c r="Z672" i="2"/>
  <c r="AG672" i="2" s="1"/>
  <c r="AC646" i="2"/>
  <c r="AG646" i="2" s="1"/>
  <c r="AA626" i="2"/>
  <c r="AE626" i="2"/>
  <c r="AE606" i="2"/>
  <c r="Z606" i="2"/>
  <c r="AG606" i="2" s="1"/>
  <c r="AC602" i="2"/>
  <c r="AF568" i="2"/>
  <c r="AD568" i="2"/>
  <c r="AC558" i="2"/>
  <c r="AF536" i="2"/>
  <c r="AD536" i="2"/>
  <c r="AG523" i="2"/>
  <c r="AF520" i="2"/>
  <c r="AD520" i="2"/>
  <c r="AE518" i="2"/>
  <c r="AA514" i="2"/>
  <c r="AE514" i="2"/>
  <c r="AE502" i="2"/>
  <c r="AA498" i="2"/>
  <c r="AE498" i="2"/>
  <c r="AE486" i="2"/>
  <c r="AA482" i="2"/>
  <c r="AF472" i="2"/>
  <c r="AF462" i="2"/>
  <c r="AG451" i="2"/>
  <c r="AF410" i="2"/>
  <c r="AF392" i="2"/>
  <c r="AD392" i="2"/>
  <c r="AG369" i="2"/>
  <c r="AA362" i="2"/>
  <c r="AG361" i="2"/>
  <c r="AA354" i="2"/>
  <c r="AC326" i="2"/>
  <c r="AC294" i="2"/>
  <c r="AC262" i="2"/>
  <c r="AC230" i="2"/>
  <c r="AC226" i="2"/>
  <c r="AG225" i="2"/>
  <c r="AE222" i="2"/>
  <c r="AB222" i="2"/>
  <c r="AA219" i="2"/>
  <c r="AA199" i="2"/>
  <c r="AE720" i="2"/>
  <c r="Z714" i="2"/>
  <c r="AG714" i="2" s="1"/>
  <c r="AE714" i="2"/>
  <c r="AD689" i="2"/>
  <c r="AC678" i="2"/>
  <c r="AF658" i="2"/>
  <c r="Z658" i="2"/>
  <c r="AG658" i="2" s="1"/>
  <c r="AA632" i="2"/>
  <c r="Z632" i="2"/>
  <c r="AG632" i="2" s="1"/>
  <c r="AC630" i="2"/>
  <c r="AB630" i="2"/>
  <c r="AD579" i="2"/>
  <c r="AC570" i="2"/>
  <c r="AA562" i="2"/>
  <c r="AE562" i="2"/>
  <c r="AF554" i="2"/>
  <c r="Z554" i="2"/>
  <c r="AG554" i="2" s="1"/>
  <c r="AB546" i="2"/>
  <c r="AD546" i="2"/>
  <c r="AF530" i="2"/>
  <c r="Z530" i="2"/>
  <c r="AD515" i="2"/>
  <c r="AE504" i="2"/>
  <c r="AC504" i="2"/>
  <c r="AG491" i="2"/>
  <c r="AF488" i="2"/>
  <c r="AF478" i="2"/>
  <c r="AG467" i="2"/>
  <c r="AF464" i="2"/>
  <c r="AD464" i="2"/>
  <c r="AA458" i="2"/>
  <c r="AE458" i="2"/>
  <c r="AF448" i="2"/>
  <c r="AD448" i="2"/>
  <c r="AA440" i="2"/>
  <c r="Z440" i="2"/>
  <c r="AE432" i="2"/>
  <c r="AB424" i="2"/>
  <c r="AG419" i="2"/>
  <c r="AE416" i="2"/>
  <c r="AC416" i="2"/>
  <c r="AF402" i="2"/>
  <c r="AC401" i="2"/>
  <c r="AF384" i="2"/>
  <c r="AD384" i="2"/>
  <c r="AD379" i="2"/>
  <c r="AD363" i="2"/>
  <c r="AA346" i="2"/>
  <c r="AG345" i="2"/>
  <c r="AA338" i="2"/>
  <c r="AF330" i="2"/>
  <c r="AB322" i="2"/>
  <c r="AG313" i="2"/>
  <c r="AA306" i="2"/>
  <c r="AF298" i="2"/>
  <c r="AB290" i="2"/>
  <c r="AG281" i="2"/>
  <c r="AA274" i="2"/>
  <c r="AF266" i="2"/>
  <c r="AB258" i="2"/>
  <c r="AG249" i="2"/>
  <c r="AA242" i="2"/>
  <c r="AF234" i="2"/>
  <c r="Z219" i="2"/>
  <c r="AC217" i="2"/>
  <c r="AC216" i="2"/>
  <c r="Z214" i="2"/>
  <c r="AG214" i="2" s="1"/>
  <c r="AA208" i="2"/>
  <c r="AA200" i="2"/>
  <c r="AG200" i="2" s="1"/>
  <c r="AD199" i="2"/>
  <c r="AD215" i="2"/>
  <c r="AG197" i="2"/>
  <c r="AB194" i="2"/>
  <c r="AD194" i="2"/>
  <c r="AG207" i="2"/>
  <c r="AG189" i="2"/>
  <c r="AG185" i="2"/>
  <c r="AG177" i="2"/>
  <c r="AG173" i="2"/>
  <c r="AG169" i="2"/>
  <c r="AG165" i="2"/>
  <c r="AG157" i="2"/>
  <c r="AG153" i="2"/>
  <c r="AG149" i="2"/>
  <c r="AG145" i="2"/>
  <c r="AG133" i="2"/>
  <c r="AG129" i="2"/>
  <c r="AG125" i="2"/>
  <c r="AG121" i="2"/>
  <c r="AG105" i="2"/>
  <c r="AG97" i="2"/>
  <c r="AG93" i="2"/>
  <c r="AG89" i="2"/>
  <c r="AG77" i="2"/>
  <c r="AG73" i="2"/>
  <c r="AG69" i="2"/>
  <c r="AG65" i="2"/>
  <c r="AG61" i="2"/>
  <c r="AG57" i="2"/>
  <c r="AG49" i="2"/>
  <c r="AG45" i="2"/>
  <c r="AG37" i="2"/>
  <c r="AG17" i="2"/>
  <c r="AG203" i="2"/>
  <c r="Z191" i="2"/>
  <c r="AG191" i="2" s="1"/>
  <c r="AE191" i="2"/>
  <c r="AG190" i="2"/>
  <c r="Z187" i="2"/>
  <c r="AG187" i="2" s="1"/>
  <c r="AE187" i="2"/>
  <c r="AG186" i="2"/>
  <c r="AD183" i="2"/>
  <c r="AB183" i="2"/>
  <c r="AG182" i="2"/>
  <c r="Z179" i="2"/>
  <c r="AG179" i="2" s="1"/>
  <c r="AE179" i="2"/>
  <c r="AG178" i="2"/>
  <c r="Z175" i="2"/>
  <c r="AE175" i="2"/>
  <c r="AG174" i="2"/>
  <c r="Z171" i="2"/>
  <c r="AG171" i="2" s="1"/>
  <c r="AE171" i="2"/>
  <c r="AG170" i="2"/>
  <c r="AD167" i="2"/>
  <c r="AB167" i="2"/>
  <c r="AG166" i="2"/>
  <c r="Z163" i="2"/>
  <c r="AG163" i="2" s="1"/>
  <c r="AE163" i="2"/>
  <c r="AG162" i="2"/>
  <c r="Z159" i="2"/>
  <c r="AG159" i="2" s="1"/>
  <c r="AE159" i="2"/>
  <c r="AG158" i="2"/>
  <c r="Z155" i="2"/>
  <c r="AG155" i="2" s="1"/>
  <c r="AE155" i="2"/>
  <c r="AG154" i="2"/>
  <c r="AD151" i="2"/>
  <c r="AB151" i="2"/>
  <c r="AG150" i="2"/>
  <c r="AD147" i="2"/>
  <c r="AB147" i="2"/>
  <c r="AG146" i="2"/>
  <c r="AD143" i="2"/>
  <c r="AB143" i="2"/>
  <c r="AG142" i="2"/>
  <c r="Z139" i="2"/>
  <c r="AG139" i="2" s="1"/>
  <c r="AE139" i="2"/>
  <c r="AG138" i="2"/>
  <c r="AD135" i="2"/>
  <c r="AB135" i="2"/>
  <c r="AG134" i="2"/>
  <c r="Z131" i="2"/>
  <c r="AG131" i="2" s="1"/>
  <c r="AE131" i="2"/>
  <c r="AG130" i="2"/>
  <c r="Z127" i="2"/>
  <c r="AG127" i="2" s="1"/>
  <c r="AE127" i="2"/>
  <c r="AG126" i="2"/>
  <c r="AD123" i="2"/>
  <c r="AB123" i="2"/>
  <c r="AG122" i="2"/>
  <c r="AD119" i="2"/>
  <c r="AB119" i="2"/>
  <c r="AG118" i="2"/>
  <c r="AD115" i="2"/>
  <c r="AB115" i="2"/>
  <c r="AG114" i="2"/>
  <c r="AD111" i="2"/>
  <c r="AB111" i="2"/>
  <c r="AG110" i="2"/>
  <c r="AD107" i="2"/>
  <c r="AB107" i="2"/>
  <c r="AG106" i="2"/>
  <c r="AD103" i="2"/>
  <c r="AB103" i="2"/>
  <c r="AG102" i="2"/>
  <c r="AD99" i="2"/>
  <c r="AB99" i="2"/>
  <c r="AG98" i="2"/>
  <c r="Z95" i="2"/>
  <c r="AG95" i="2" s="1"/>
  <c r="AE95" i="2"/>
  <c r="AG94" i="2"/>
  <c r="Z91" i="2"/>
  <c r="AG91" i="2" s="1"/>
  <c r="AE91" i="2"/>
  <c r="AG90" i="2"/>
  <c r="Z87" i="2"/>
  <c r="AG87" i="2" s="1"/>
  <c r="AE87" i="2"/>
  <c r="AG86" i="2"/>
  <c r="AD83" i="2"/>
  <c r="AB83" i="2"/>
  <c r="AG82" i="2"/>
  <c r="Z79" i="2"/>
  <c r="AG79" i="2" s="1"/>
  <c r="AE79" i="2"/>
  <c r="AG78" i="2"/>
  <c r="Z75" i="2"/>
  <c r="AG75" i="2" s="1"/>
  <c r="AE75" i="2"/>
  <c r="AG74" i="2"/>
  <c r="Z71" i="2"/>
  <c r="AE71" i="2"/>
  <c r="AG70" i="2"/>
  <c r="Z67" i="2"/>
  <c r="AE67" i="2"/>
  <c r="AG66" i="2"/>
  <c r="AD63" i="2"/>
  <c r="AB63" i="2"/>
  <c r="AG62" i="2"/>
  <c r="Z59" i="2"/>
  <c r="AG59" i="2" s="1"/>
  <c r="AE59" i="2"/>
  <c r="AG58" i="2"/>
  <c r="AD55" i="2"/>
  <c r="AB55" i="2"/>
  <c r="AG54" i="2"/>
  <c r="AD51" i="2"/>
  <c r="AB51" i="2"/>
  <c r="AG50" i="2"/>
  <c r="AD47" i="2"/>
  <c r="AB47" i="2"/>
  <c r="AG46" i="2"/>
  <c r="AD43" i="2"/>
  <c r="AB43" i="2"/>
  <c r="AG42" i="2"/>
  <c r="AD39" i="2"/>
  <c r="AB39" i="2"/>
  <c r="AG38" i="2"/>
  <c r="AD35" i="2"/>
  <c r="AB35" i="2"/>
  <c r="AG34" i="2"/>
  <c r="AD31" i="2"/>
  <c r="AB31" i="2"/>
  <c r="AG30" i="2"/>
  <c r="AD27" i="2"/>
  <c r="AB27" i="2"/>
  <c r="AG26" i="2"/>
  <c r="AD23" i="2"/>
  <c r="AB23" i="2"/>
  <c r="AG22" i="2"/>
  <c r="AD19" i="2"/>
  <c r="AB19" i="2"/>
  <c r="AG18" i="2"/>
  <c r="Z15" i="2"/>
  <c r="AG15" i="2" s="1"/>
  <c r="AE15" i="2"/>
  <c r="AG14" i="2"/>
  <c r="AD11" i="2"/>
  <c r="AB11" i="2"/>
  <c r="AG10" i="2"/>
  <c r="AD7" i="2"/>
  <c r="AB7" i="2"/>
  <c r="AG6" i="2"/>
  <c r="Z3" i="2"/>
  <c r="AB3" i="2"/>
  <c r="AG2" i="2"/>
  <c r="AH1600" i="2"/>
  <c r="AH1592" i="2"/>
  <c r="AG1565" i="2"/>
  <c r="AA1600" i="2"/>
  <c r="AA1592" i="2"/>
  <c r="AE1578" i="2"/>
  <c r="AE1572" i="2"/>
  <c r="AE1554" i="2"/>
  <c r="AE1548" i="2"/>
  <c r="AG1548" i="2"/>
  <c r="AE1581" i="2"/>
  <c r="Z1578" i="2"/>
  <c r="AG1578" i="2" s="1"/>
  <c r="AF1578" i="2"/>
  <c r="AE1573" i="2"/>
  <c r="Z1570" i="2"/>
  <c r="AG1570" i="2" s="1"/>
  <c r="AF1570" i="2"/>
  <c r="AE1565" i="2"/>
  <c r="Z1562" i="2"/>
  <c r="AG1562" i="2" s="1"/>
  <c r="AF1562" i="2"/>
  <c r="AE1557" i="2"/>
  <c r="Z1554" i="2"/>
  <c r="AG1554" i="2" s="1"/>
  <c r="AF1554" i="2"/>
  <c r="AE1549" i="2"/>
  <c r="AC1527" i="2"/>
  <c r="AG1508" i="2"/>
  <c r="AC1503" i="2"/>
  <c r="AC1495" i="2"/>
  <c r="AG1479" i="2"/>
  <c r="AA1479" i="2"/>
  <c r="AA1471" i="2"/>
  <c r="AA1543" i="2"/>
  <c r="AA1535" i="2"/>
  <c r="AA1527" i="2"/>
  <c r="AA1519" i="2"/>
  <c r="AA1511" i="2"/>
  <c r="AG1511" i="2" s="1"/>
  <c r="AA1503" i="2"/>
  <c r="AA1495" i="2"/>
  <c r="AC1489" i="2"/>
  <c r="AC1486" i="2"/>
  <c r="AC1481" i="2"/>
  <c r="AA1580" i="2"/>
  <c r="AG1580" i="2" s="1"/>
  <c r="AF1543" i="2"/>
  <c r="AE1535" i="2"/>
  <c r="AG1531" i="2"/>
  <c r="Z1519" i="2"/>
  <c r="AG1519" i="2" s="1"/>
  <c r="AB1518" i="2"/>
  <c r="AF1511" i="2"/>
  <c r="AB1502" i="2"/>
  <c r="AG1488" i="2"/>
  <c r="AB1487" i="2"/>
  <c r="AG1480" i="2"/>
  <c r="AB1479" i="2"/>
  <c r="AA1473" i="2"/>
  <c r="Z1471" i="2"/>
  <c r="AG1471" i="2" s="1"/>
  <c r="AA1465" i="2"/>
  <c r="Z1463" i="2"/>
  <c r="AG1463" i="2" s="1"/>
  <c r="AA1457" i="2"/>
  <c r="Z1455" i="2"/>
  <c r="AG1455" i="2" s="1"/>
  <c r="AE1447" i="2"/>
  <c r="AE1439" i="2"/>
  <c r="AE1431" i="2"/>
  <c r="AC1547" i="2"/>
  <c r="AG1530" i="2"/>
  <c r="AA1523" i="2"/>
  <c r="AG1523" i="2" s="1"/>
  <c r="AF1518" i="2"/>
  <c r="AG1509" i="2"/>
  <c r="AA1499" i="2"/>
  <c r="AG1499" i="2" s="1"/>
  <c r="AF1486" i="2"/>
  <c r="AG1485" i="2"/>
  <c r="AB1464" i="2"/>
  <c r="AG1453" i="2"/>
  <c r="AA1434" i="2"/>
  <c r="AG1434" i="2" s="1"/>
  <c r="AF1540" i="2"/>
  <c r="AD1540" i="2"/>
  <c r="AF1516" i="2"/>
  <c r="AB1496" i="2"/>
  <c r="AF1496" i="2"/>
  <c r="AC1490" i="2"/>
  <c r="AB1490" i="2"/>
  <c r="AA1476" i="2"/>
  <c r="AA1458" i="2"/>
  <c r="AD1458" i="2"/>
  <c r="AD1455" i="2"/>
  <c r="AF1436" i="2"/>
  <c r="AG1545" i="2"/>
  <c r="AC1520" i="2"/>
  <c r="AA1484" i="2"/>
  <c r="Z1484" i="2"/>
  <c r="AG1484" i="2" s="1"/>
  <c r="AE1466" i="2"/>
  <c r="AF1452" i="2"/>
  <c r="AD1452" i="2"/>
  <c r="AE1442" i="2"/>
  <c r="Z1442" i="2"/>
  <c r="AG1442" i="2" s="1"/>
  <c r="AA1413" i="2"/>
  <c r="AG1413" i="2" s="1"/>
  <c r="AF1542" i="2"/>
  <c r="AG1541" i="2"/>
  <c r="AD1535" i="2"/>
  <c r="AE1528" i="2"/>
  <c r="AD1528" i="2"/>
  <c r="AE1524" i="2"/>
  <c r="AC1524" i="2"/>
  <c r="AD1511" i="2"/>
  <c r="AA1500" i="2"/>
  <c r="Z1500" i="2"/>
  <c r="AG1500" i="2" s="1"/>
  <c r="AB1492" i="2"/>
  <c r="AG1492" i="2" s="1"/>
  <c r="AG1491" i="2"/>
  <c r="AA1474" i="2"/>
  <c r="AD1474" i="2"/>
  <c r="AD1471" i="2"/>
  <c r="AB1460" i="2"/>
  <c r="AC1434" i="2"/>
  <c r="AD1434" i="2"/>
  <c r="AB1432" i="2"/>
  <c r="Z1432" i="2"/>
  <c r="AG1432" i="2" s="1"/>
  <c r="AG1430" i="2"/>
  <c r="AG1423" i="2"/>
  <c r="AG1420" i="2"/>
  <c r="AC1544" i="2"/>
  <c r="Z1544" i="2"/>
  <c r="AG1544" i="2" s="1"/>
  <c r="AD1539" i="2"/>
  <c r="AA1536" i="2"/>
  <c r="AA1532" i="2"/>
  <c r="Z1532" i="2"/>
  <c r="AG1532" i="2" s="1"/>
  <c r="AC1530" i="2"/>
  <c r="AG1521" i="2"/>
  <c r="AC1512" i="2"/>
  <c r="Z1512" i="2"/>
  <c r="AG1512" i="2" s="1"/>
  <c r="AB1508" i="2"/>
  <c r="AC1504" i="2"/>
  <c r="AA1482" i="2"/>
  <c r="AD1482" i="2"/>
  <c r="AD1479" i="2"/>
  <c r="AE1468" i="2"/>
  <c r="AG1467" i="2"/>
  <c r="AA1450" i="2"/>
  <c r="AD1450" i="2"/>
  <c r="AD1447" i="2"/>
  <c r="AB1444" i="2"/>
  <c r="AG1422" i="2"/>
  <c r="AB1421" i="2"/>
  <c r="AF1413" i="2"/>
  <c r="AE1424" i="2"/>
  <c r="AC1424" i="2"/>
  <c r="AG1373" i="2"/>
  <c r="AH1338" i="2"/>
  <c r="AH1333" i="2"/>
  <c r="AH1306" i="2"/>
  <c r="AH1301" i="2"/>
  <c r="AG1269" i="2"/>
  <c r="AG1237" i="2"/>
  <c r="AA1426" i="2"/>
  <c r="AE1426" i="2"/>
  <c r="AG1425" i="2"/>
  <c r="AG1415" i="2"/>
  <c r="AA1408" i="2"/>
  <c r="AA1397" i="2"/>
  <c r="AF1392" i="2"/>
  <c r="AA1381" i="2"/>
  <c r="AF1376" i="2"/>
  <c r="AG1372" i="2"/>
  <c r="AA1368" i="2"/>
  <c r="AA1357" i="2"/>
  <c r="AF1352" i="2"/>
  <c r="AH1348" i="2"/>
  <c r="AA1344" i="2"/>
  <c r="AA1333" i="2"/>
  <c r="AF1328" i="2"/>
  <c r="AA1317" i="2"/>
  <c r="AF1312" i="2"/>
  <c r="AA1301" i="2"/>
  <c r="AF1296" i="2"/>
  <c r="AA1285" i="2"/>
  <c r="AF1280" i="2"/>
  <c r="AB1276" i="2"/>
  <c r="AG1276" i="2" s="1"/>
  <c r="AA1272" i="2"/>
  <c r="AA1261" i="2"/>
  <c r="AF1256" i="2"/>
  <c r="AA1245" i="2"/>
  <c r="AF1240" i="2"/>
  <c r="AA1229" i="2"/>
  <c r="AF1224" i="2"/>
  <c r="AF1418" i="2"/>
  <c r="Z1418" i="2"/>
  <c r="AG1418" i="2" s="1"/>
  <c r="AC1414" i="2"/>
  <c r="Z1414" i="2"/>
  <c r="AG1414" i="2" s="1"/>
  <c r="AG1412" i="2"/>
  <c r="Z1408" i="2"/>
  <c r="AG1408" i="2" s="1"/>
  <c r="AB1405" i="2"/>
  <c r="AE1397" i="2"/>
  <c r="Z1392" i="2"/>
  <c r="AG1392" i="2" s="1"/>
  <c r="AB1389" i="2"/>
  <c r="Z1376" i="2"/>
  <c r="AG1376" i="2" s="1"/>
  <c r="AB1373" i="2"/>
  <c r="AE1368" i="2"/>
  <c r="Z1365" i="2"/>
  <c r="AG1365" i="2" s="1"/>
  <c r="AB1364" i="2"/>
  <c r="AG1364" i="2" s="1"/>
  <c r="AE1357" i="2"/>
  <c r="AH1353" i="2"/>
  <c r="AD1352" i="2"/>
  <c r="AF1349" i="2"/>
  <c r="Z1344" i="2"/>
  <c r="AH1342" i="2"/>
  <c r="AB1341" i="2"/>
  <c r="AE1336" i="2"/>
  <c r="Z1333" i="2"/>
  <c r="AB1332" i="2"/>
  <c r="AE1325" i="2"/>
  <c r="AH1321" i="2"/>
  <c r="AD1320" i="2"/>
  <c r="AF1317" i="2"/>
  <c r="Z1312" i="2"/>
  <c r="AH1310" i="2"/>
  <c r="AB1309" i="2"/>
  <c r="AE1304" i="2"/>
  <c r="Z1301" i="2"/>
  <c r="AB1300" i="2"/>
  <c r="AE1293" i="2"/>
  <c r="AB1285" i="2"/>
  <c r="AB1277" i="2"/>
  <c r="AG1277" i="2" s="1"/>
  <c r="AG1273" i="2"/>
  <c r="AF1269" i="2"/>
  <c r="AB1261" i="2"/>
  <c r="Z1253" i="2"/>
  <c r="AG1253" i="2" s="1"/>
  <c r="AB1252" i="2"/>
  <c r="AG1252" i="2" s="1"/>
  <c r="AG1241" i="2"/>
  <c r="AF1237" i="2"/>
  <c r="AB1229" i="2"/>
  <c r="Z1221" i="2"/>
  <c r="AG1221" i="2" s="1"/>
  <c r="AB1220" i="2"/>
  <c r="AG1220" i="2" s="1"/>
  <c r="Z1205" i="2"/>
  <c r="AG1205" i="2" s="1"/>
  <c r="AB1204" i="2"/>
  <c r="AG1204" i="2" s="1"/>
  <c r="AF1197" i="2"/>
  <c r="Z1189" i="2"/>
  <c r="AG1189" i="2" s="1"/>
  <c r="AB1188" i="2"/>
  <c r="Z1173" i="2"/>
  <c r="AG1173" i="2" s="1"/>
  <c r="AB1172" i="2"/>
  <c r="AG1172" i="2" s="1"/>
  <c r="AF1165" i="2"/>
  <c r="AB1410" i="2"/>
  <c r="AD1410" i="2"/>
  <c r="AG1391" i="2"/>
  <c r="AA1382" i="2"/>
  <c r="AD1382" i="2"/>
  <c r="AA1378" i="2"/>
  <c r="AE1378" i="2"/>
  <c r="AC1350" i="2"/>
  <c r="AB1350" i="2"/>
  <c r="AB1346" i="2"/>
  <c r="AD1346" i="2"/>
  <c r="AH1323" i="2"/>
  <c r="AE1318" i="2"/>
  <c r="Z1318" i="2"/>
  <c r="AC1316" i="2"/>
  <c r="AC1314" i="2"/>
  <c r="AG1291" i="2"/>
  <c r="AG1263" i="2"/>
  <c r="AF1250" i="2"/>
  <c r="AD1241" i="2"/>
  <c r="AA1218" i="2"/>
  <c r="AF1208" i="2"/>
  <c r="AA1202" i="2"/>
  <c r="AE1202" i="2"/>
  <c r="AF1192" i="2"/>
  <c r="AA1186" i="2"/>
  <c r="AF1176" i="2"/>
  <c r="AA1170" i="2"/>
  <c r="AE1170" i="2"/>
  <c r="AA1136" i="2"/>
  <c r="AF1406" i="2"/>
  <c r="AF1402" i="2"/>
  <c r="Z1402" i="2"/>
  <c r="AG1402" i="2" s="1"/>
  <c r="AF1374" i="2"/>
  <c r="AF1370" i="2"/>
  <c r="Z1370" i="2"/>
  <c r="AG1370" i="2" s="1"/>
  <c r="AD1361" i="2"/>
  <c r="AH1347" i="2"/>
  <c r="AE1342" i="2"/>
  <c r="Z1342" i="2"/>
  <c r="AC1340" i="2"/>
  <c r="AC1338" i="2"/>
  <c r="AA1310" i="2"/>
  <c r="AD1310" i="2"/>
  <c r="AA1306" i="2"/>
  <c r="AE1306" i="2"/>
  <c r="AC1246" i="2"/>
  <c r="AB1246" i="2"/>
  <c r="AB1242" i="2"/>
  <c r="AG1242" i="2" s="1"/>
  <c r="AD1242" i="2"/>
  <c r="AC1230" i="2"/>
  <c r="AB1230" i="2"/>
  <c r="AB1226" i="2"/>
  <c r="AD1226" i="2"/>
  <c r="AF1214" i="2"/>
  <c r="AG1203" i="2"/>
  <c r="AE1198" i="2"/>
  <c r="Z1198" i="2"/>
  <c r="AG1198" i="2" s="1"/>
  <c r="AF1182" i="2"/>
  <c r="AG1171" i="2"/>
  <c r="AE1166" i="2"/>
  <c r="Z1166" i="2"/>
  <c r="AG1166" i="2" s="1"/>
  <c r="AB1150" i="2"/>
  <c r="AE1144" i="2"/>
  <c r="Z1144" i="2"/>
  <c r="AG1144" i="2" s="1"/>
  <c r="AE1398" i="2"/>
  <c r="Z1398" i="2"/>
  <c r="AG1398" i="2" s="1"/>
  <c r="AC1394" i="2"/>
  <c r="AG1375" i="2"/>
  <c r="AA1366" i="2"/>
  <c r="AA1362" i="2"/>
  <c r="AE1362" i="2"/>
  <c r="AC1334" i="2"/>
  <c r="AB1334" i="2"/>
  <c r="AB1330" i="2"/>
  <c r="AD1330" i="2"/>
  <c r="AH1307" i="2"/>
  <c r="AE1302" i="2"/>
  <c r="Z1302" i="2"/>
  <c r="AC1300" i="2"/>
  <c r="AC1298" i="2"/>
  <c r="AE1286" i="2"/>
  <c r="Z1286" i="2"/>
  <c r="AG1286" i="2" s="1"/>
  <c r="AC1282" i="2"/>
  <c r="AA1278" i="2"/>
  <c r="AG1278" i="2" s="1"/>
  <c r="AD1278" i="2"/>
  <c r="AA1274" i="2"/>
  <c r="AE1274" i="2"/>
  <c r="AF1270" i="2"/>
  <c r="AF1266" i="2"/>
  <c r="Z1266" i="2"/>
  <c r="AG1266" i="2" s="1"/>
  <c r="AD1257" i="2"/>
  <c r="AC1238" i="2"/>
  <c r="AB1238" i="2"/>
  <c r="AB1234" i="2"/>
  <c r="AD1234" i="2"/>
  <c r="AA1216" i="2"/>
  <c r="Z1216" i="2"/>
  <c r="AG1216" i="2" s="1"/>
  <c r="AG1215" i="2"/>
  <c r="AC1210" i="2"/>
  <c r="AA1200" i="2"/>
  <c r="Z1200" i="2"/>
  <c r="AG1200" i="2" s="1"/>
  <c r="AG1199" i="2"/>
  <c r="AC1194" i="2"/>
  <c r="AA1184" i="2"/>
  <c r="Z1184" i="2"/>
  <c r="AG1184" i="2" s="1"/>
  <c r="AG1183" i="2"/>
  <c r="AC1178" i="2"/>
  <c r="AA1168" i="2"/>
  <c r="Z1168" i="2"/>
  <c r="AG1168" i="2" s="1"/>
  <c r="AG1167" i="2"/>
  <c r="AC1162" i="2"/>
  <c r="AB1158" i="2"/>
  <c r="AA1156" i="2"/>
  <c r="AE1152" i="2"/>
  <c r="Z1152" i="2"/>
  <c r="AG1152" i="2" s="1"/>
  <c r="AE1136" i="2"/>
  <c r="AB1132" i="2"/>
  <c r="AF1390" i="2"/>
  <c r="AF1386" i="2"/>
  <c r="AF1358" i="2"/>
  <c r="AF1354" i="2"/>
  <c r="Z1354" i="2"/>
  <c r="AD1345" i="2"/>
  <c r="AC1326" i="2"/>
  <c r="AB1326" i="2"/>
  <c r="AB1322" i="2"/>
  <c r="AD1322" i="2"/>
  <c r="AH1299" i="2"/>
  <c r="AE1294" i="2"/>
  <c r="Z1294" i="2"/>
  <c r="AG1294" i="2" s="1"/>
  <c r="AC1292" i="2"/>
  <c r="AC1290" i="2"/>
  <c r="AG1279" i="2"/>
  <c r="AG1271" i="2"/>
  <c r="AF1262" i="2"/>
  <c r="AF1258" i="2"/>
  <c r="Z1258" i="2"/>
  <c r="AG1258" i="2" s="1"/>
  <c r="AD1249" i="2"/>
  <c r="AD1217" i="2"/>
  <c r="AG1195" i="2"/>
  <c r="AE1190" i="2"/>
  <c r="AD1185" i="2"/>
  <c r="AG1185" i="2" s="1"/>
  <c r="AG1163" i="2"/>
  <c r="AA1160" i="2"/>
  <c r="AG1160" i="2" s="1"/>
  <c r="AD1160" i="2"/>
  <c r="AE1145" i="2"/>
  <c r="AA1145" i="2"/>
  <c r="AG1145" i="2" s="1"/>
  <c r="AB1140" i="2"/>
  <c r="Z1140" i="2"/>
  <c r="AG1140" i="2" s="1"/>
  <c r="AG1134" i="2"/>
  <c r="AC1134" i="2"/>
  <c r="AA947" i="2"/>
  <c r="AG947" i="2" s="1"/>
  <c r="AG944" i="2"/>
  <c r="AG1127" i="2"/>
  <c r="AF1126" i="2"/>
  <c r="AD1126" i="2"/>
  <c r="AA1124" i="2"/>
  <c r="AA1093" i="2"/>
  <c r="AG1093" i="2" s="1"/>
  <c r="AA1085" i="2"/>
  <c r="AG1085" i="2" s="1"/>
  <c r="AA1077" i="2"/>
  <c r="AA1069" i="2"/>
  <c r="AA1061" i="2"/>
  <c r="AG1061" i="2" s="1"/>
  <c r="AA1053" i="2"/>
  <c r="AG1053" i="2" s="1"/>
  <c r="AA1045" i="2"/>
  <c r="AG1045" i="2" s="1"/>
  <c r="AG954" i="2"/>
  <c r="AG946" i="2"/>
  <c r="AG893" i="2"/>
  <c r="AB1152" i="2"/>
  <c r="AC1132" i="2"/>
  <c r="AC1128" i="2"/>
  <c r="AF947" i="2"/>
  <c r="AG940" i="2"/>
  <c r="AG932" i="2"/>
  <c r="AG916" i="2"/>
  <c r="AG908" i="2"/>
  <c r="AG900" i="2"/>
  <c r="AA896" i="2"/>
  <c r="AE868" i="2"/>
  <c r="AE1134" i="2"/>
  <c r="AE1117" i="2"/>
  <c r="AF1109" i="2"/>
  <c r="AA1103" i="2"/>
  <c r="AG1103" i="2" s="1"/>
  <c r="Z1101" i="2"/>
  <c r="AG1101" i="2" s="1"/>
  <c r="AB1100" i="2"/>
  <c r="AG1100" i="2" s="1"/>
  <c r="AF1093" i="2"/>
  <c r="AG1086" i="2"/>
  <c r="AB1085" i="2"/>
  <c r="AA1079" i="2"/>
  <c r="AG1079" i="2" s="1"/>
  <c r="Z1077" i="2"/>
  <c r="AG1077" i="2" s="1"/>
  <c r="AE1069" i="2"/>
  <c r="AF1061" i="2"/>
  <c r="AF1053" i="2"/>
  <c r="AF1045" i="2"/>
  <c r="AG1038" i="2"/>
  <c r="AB1037" i="2"/>
  <c r="AE1029" i="2"/>
  <c r="AE1013" i="2"/>
  <c r="AB1005" i="2"/>
  <c r="AE997" i="2"/>
  <c r="AE981" i="2"/>
  <c r="AB973" i="2"/>
  <c r="AE965" i="2"/>
  <c r="AE949" i="2"/>
  <c r="Z941" i="2"/>
  <c r="AG941" i="2" s="1"/>
  <c r="AB940" i="2"/>
  <c r="AF933" i="2"/>
  <c r="Z925" i="2"/>
  <c r="AG925" i="2" s="1"/>
  <c r="AB924" i="2"/>
  <c r="Z909" i="2"/>
  <c r="AG909" i="2" s="1"/>
  <c r="AB908" i="2"/>
  <c r="AF901" i="2"/>
  <c r="AG897" i="2"/>
  <c r="AD896" i="2"/>
  <c r="AF893" i="2"/>
  <c r="AE1120" i="2"/>
  <c r="AC1120" i="2"/>
  <c r="AB1112" i="2"/>
  <c r="AC1098" i="2"/>
  <c r="AG1097" i="2"/>
  <c r="AB1092" i="2"/>
  <c r="AG1092" i="2" s="1"/>
  <c r="AB1076" i="2"/>
  <c r="AG1076" i="2" s="1"/>
  <c r="AB1060" i="2"/>
  <c r="AF1050" i="2"/>
  <c r="Z1050" i="2"/>
  <c r="AG1050" i="2" s="1"/>
  <c r="AF1042" i="2"/>
  <c r="Z1042" i="2"/>
  <c r="AG1042" i="2" s="1"/>
  <c r="AC1034" i="2"/>
  <c r="AA1024" i="2"/>
  <c r="Z1024" i="2"/>
  <c r="AG1024" i="2" s="1"/>
  <c r="AG1023" i="2"/>
  <c r="AC1018" i="2"/>
  <c r="AA1008" i="2"/>
  <c r="Z1008" i="2"/>
  <c r="AG1008" i="2" s="1"/>
  <c r="AG1007" i="2"/>
  <c r="AC1002" i="2"/>
  <c r="AA992" i="2"/>
  <c r="Z992" i="2"/>
  <c r="AG992" i="2" s="1"/>
  <c r="AG991" i="2"/>
  <c r="AC986" i="2"/>
  <c r="AA976" i="2"/>
  <c r="Z976" i="2"/>
  <c r="AG976" i="2" s="1"/>
  <c r="AG975" i="2"/>
  <c r="AC970" i="2"/>
  <c r="AA960" i="2"/>
  <c r="Z960" i="2"/>
  <c r="AG960" i="2" s="1"/>
  <c r="AG959" i="2"/>
  <c r="AC954" i="2"/>
  <c r="Z950" i="2"/>
  <c r="AG950" i="2" s="1"/>
  <c r="AA938" i="2"/>
  <c r="AE938" i="2"/>
  <c r="AF904" i="2"/>
  <c r="AD904" i="2"/>
  <c r="AA898" i="2"/>
  <c r="AE898" i="2"/>
  <c r="Z873" i="2"/>
  <c r="AG873" i="2" s="1"/>
  <c r="AA868" i="2"/>
  <c r="AG868" i="2" s="1"/>
  <c r="AC848" i="2"/>
  <c r="AC1118" i="2"/>
  <c r="AF1106" i="2"/>
  <c r="AG1091" i="2"/>
  <c r="AF1088" i="2"/>
  <c r="AD1088" i="2"/>
  <c r="AA1080" i="2"/>
  <c r="Z1080" i="2"/>
  <c r="AG1080" i="2" s="1"/>
  <c r="AE1072" i="2"/>
  <c r="AB1064" i="2"/>
  <c r="AG1064" i="2" s="1"/>
  <c r="AG1059" i="2"/>
  <c r="AF1056" i="2"/>
  <c r="AD1056" i="2"/>
  <c r="AG1035" i="2"/>
  <c r="AE1030" i="2"/>
  <c r="Z1030" i="2"/>
  <c r="AG1030" i="2" s="1"/>
  <c r="AF1014" i="2"/>
  <c r="AG1003" i="2"/>
  <c r="AE998" i="2"/>
  <c r="Z998" i="2"/>
  <c r="AG998" i="2" s="1"/>
  <c r="AF982" i="2"/>
  <c r="AG971" i="2"/>
  <c r="AE966" i="2"/>
  <c r="Z966" i="2"/>
  <c r="AG966" i="2" s="1"/>
  <c r="AD947" i="2"/>
  <c r="AB944" i="2"/>
  <c r="AF930" i="2"/>
  <c r="Z930" i="2"/>
  <c r="AG930" i="2" s="1"/>
  <c r="AB920" i="2"/>
  <c r="AF914" i="2"/>
  <c r="Z914" i="2"/>
  <c r="AG914" i="2" s="1"/>
  <c r="AG899" i="2"/>
  <c r="AB890" i="2"/>
  <c r="AD890" i="2"/>
  <c r="AE886" i="2"/>
  <c r="Z886" i="2"/>
  <c r="AG886" i="2" s="1"/>
  <c r="AC884" i="2"/>
  <c r="AC880" i="2"/>
  <c r="AB864" i="2"/>
  <c r="AG843" i="2"/>
  <c r="AB809" i="2"/>
  <c r="AG803" i="2"/>
  <c r="AG787" i="2"/>
  <c r="AG771" i="2"/>
  <c r="AB737" i="2"/>
  <c r="AG737" i="2" s="1"/>
  <c r="AB1122" i="2"/>
  <c r="AD1122" i="2"/>
  <c r="AF1114" i="2"/>
  <c r="Z1114" i="2"/>
  <c r="AG1114" i="2" s="1"/>
  <c r="AE1096" i="2"/>
  <c r="AC1096" i="2"/>
  <c r="AC1086" i="2"/>
  <c r="AC1070" i="2"/>
  <c r="AG1070" i="2" s="1"/>
  <c r="AC1054" i="2"/>
  <c r="AF1048" i="2"/>
  <c r="AD1048" i="2"/>
  <c r="AA1040" i="2"/>
  <c r="AE1032" i="2"/>
  <c r="AC1032" i="2"/>
  <c r="AC1028" i="2"/>
  <c r="AB1026" i="2"/>
  <c r="AG1025" i="2"/>
  <c r="AE1016" i="2"/>
  <c r="AC1016" i="2"/>
  <c r="AC1012" i="2"/>
  <c r="AB1010" i="2"/>
  <c r="AD1010" i="2"/>
  <c r="AG1009" i="2"/>
  <c r="AE1000" i="2"/>
  <c r="AC1000" i="2"/>
  <c r="AC996" i="2"/>
  <c r="AB994" i="2"/>
  <c r="AG993" i="2"/>
  <c r="AE984" i="2"/>
  <c r="AC984" i="2"/>
  <c r="AC980" i="2"/>
  <c r="AB978" i="2"/>
  <c r="AD978" i="2"/>
  <c r="AG977" i="2"/>
  <c r="AE968" i="2"/>
  <c r="AC968" i="2"/>
  <c r="AC964" i="2"/>
  <c r="AB962" i="2"/>
  <c r="AG961" i="2"/>
  <c r="AE952" i="2"/>
  <c r="AC952" i="2"/>
  <c r="AG951" i="2"/>
  <c r="AF936" i="2"/>
  <c r="AD936" i="2"/>
  <c r="AG915" i="2"/>
  <c r="AC908" i="2"/>
  <c r="AB906" i="2"/>
  <c r="AD906" i="2"/>
  <c r="AG905" i="2"/>
  <c r="AG887" i="2"/>
  <c r="AG882" i="2"/>
  <c r="AB878" i="2"/>
  <c r="AD873" i="2"/>
  <c r="AD867" i="2"/>
  <c r="AA867" i="2"/>
  <c r="AG867" i="2" s="1"/>
  <c r="AA862" i="2"/>
  <c r="AG862" i="2" s="1"/>
  <c r="AD862" i="2"/>
  <c r="AC860" i="2"/>
  <c r="AD860" i="2"/>
  <c r="AB857" i="2"/>
  <c r="AG857" i="2" s="1"/>
  <c r="AF853" i="2"/>
  <c r="AE848" i="2"/>
  <c r="AF841" i="2"/>
  <c r="AF833" i="2"/>
  <c r="AF825" i="2"/>
  <c r="Z820" i="2"/>
  <c r="AG820" i="2" s="1"/>
  <c r="AB819" i="2"/>
  <c r="AA801" i="2"/>
  <c r="AA793" i="2"/>
  <c r="AG789" i="2"/>
  <c r="AA785" i="2"/>
  <c r="AA777" i="2"/>
  <c r="AA769" i="2"/>
  <c r="AG765" i="2"/>
  <c r="AA761" i="2"/>
  <c r="AA717" i="2"/>
  <c r="AF717" i="2"/>
  <c r="AB1116" i="2"/>
  <c r="AG1116" i="2" s="1"/>
  <c r="AF1090" i="2"/>
  <c r="Z1090" i="2"/>
  <c r="AG1090" i="2" s="1"/>
  <c r="AB1082" i="2"/>
  <c r="AG1082" i="2" s="1"/>
  <c r="AD1082" i="2"/>
  <c r="AC1074" i="2"/>
  <c r="AG1073" i="2"/>
  <c r="AA1066" i="2"/>
  <c r="AE1066" i="2"/>
  <c r="AF1058" i="2"/>
  <c r="Z1058" i="2"/>
  <c r="AG1058" i="2" s="1"/>
  <c r="AC1046" i="2"/>
  <c r="AD1033" i="2"/>
  <c r="AF1022" i="2"/>
  <c r="AG1011" i="2"/>
  <c r="AE1006" i="2"/>
  <c r="Z1006" i="2"/>
  <c r="AG1006" i="2" s="1"/>
  <c r="AD1001" i="2"/>
  <c r="AF990" i="2"/>
  <c r="AG979" i="2"/>
  <c r="AE974" i="2"/>
  <c r="Z974" i="2"/>
  <c r="AG974" i="2" s="1"/>
  <c r="AD969" i="2"/>
  <c r="AF958" i="2"/>
  <c r="AA928" i="2"/>
  <c r="Z928" i="2"/>
  <c r="AG928" i="2" s="1"/>
  <c r="AG927" i="2"/>
  <c r="AA912" i="2"/>
  <c r="Z912" i="2"/>
  <c r="AG912" i="2" s="1"/>
  <c r="AG911" i="2"/>
  <c r="AA902" i="2"/>
  <c r="AD902" i="2"/>
  <c r="AA872" i="2"/>
  <c r="AG872" i="2" s="1"/>
  <c r="AD872" i="2"/>
  <c r="AA869" i="2"/>
  <c r="AG869" i="2" s="1"/>
  <c r="AF854" i="2"/>
  <c r="AC852" i="2"/>
  <c r="AG852" i="2"/>
  <c r="AB848" i="2"/>
  <c r="Z841" i="2"/>
  <c r="AG841" i="2" s="1"/>
  <c r="AG839" i="2"/>
  <c r="AG834" i="2"/>
  <c r="AD833" i="2"/>
  <c r="AE817" i="2"/>
  <c r="AG810" i="2"/>
  <c r="AD809" i="2"/>
  <c r="AA803" i="2"/>
  <c r="AE801" i="2"/>
  <c r="Z793" i="2"/>
  <c r="AG793" i="2" s="1"/>
  <c r="AG791" i="2"/>
  <c r="AG786" i="2"/>
  <c r="AD785" i="2"/>
  <c r="AE769" i="2"/>
  <c r="Z761" i="2"/>
  <c r="AG761" i="2" s="1"/>
  <c r="Z753" i="2"/>
  <c r="AG753" i="2" s="1"/>
  <c r="AG746" i="2"/>
  <c r="AD745" i="2"/>
  <c r="AG743" i="2"/>
  <c r="AG738" i="2"/>
  <c r="AD737" i="2"/>
  <c r="AG735" i="2"/>
  <c r="AE843" i="2"/>
  <c r="AF839" i="2"/>
  <c r="AG838" i="2"/>
  <c r="AD834" i="2"/>
  <c r="AE789" i="2"/>
  <c r="AD789" i="2"/>
  <c r="AE773" i="2"/>
  <c r="AD773" i="2"/>
  <c r="AF755" i="2"/>
  <c r="Z755" i="2"/>
  <c r="AG755" i="2" s="1"/>
  <c r="AD746" i="2"/>
  <c r="AB739" i="2"/>
  <c r="AA725" i="2"/>
  <c r="Z717" i="2"/>
  <c r="AG717" i="2" s="1"/>
  <c r="AG528" i="2"/>
  <c r="AG472" i="2"/>
  <c r="AG304" i="2"/>
  <c r="AG272" i="2"/>
  <c r="AG240" i="2"/>
  <c r="Z881" i="2"/>
  <c r="AG881" i="2" s="1"/>
  <c r="AF835" i="2"/>
  <c r="Z835" i="2"/>
  <c r="AG835" i="2" s="1"/>
  <c r="AC821" i="2"/>
  <c r="AB813" i="2"/>
  <c r="AF813" i="2"/>
  <c r="AC807" i="2"/>
  <c r="AB807" i="2"/>
  <c r="AA795" i="2"/>
  <c r="AE795" i="2"/>
  <c r="AA779" i="2"/>
  <c r="AE779" i="2"/>
  <c r="AA763" i="2"/>
  <c r="AE763" i="2"/>
  <c r="AE751" i="2"/>
  <c r="Z751" i="2"/>
  <c r="AG751" i="2" s="1"/>
  <c r="AC747" i="2"/>
  <c r="AC731" i="2"/>
  <c r="AG721" i="2"/>
  <c r="AC720" i="2"/>
  <c r="AG653" i="2"/>
  <c r="AA653" i="2"/>
  <c r="AG642" i="2"/>
  <c r="AG637" i="2"/>
  <c r="AB600" i="2"/>
  <c r="AG581" i="2"/>
  <c r="AA445" i="2"/>
  <c r="AG445" i="2" s="1"/>
  <c r="AG442" i="2"/>
  <c r="AA437" i="2"/>
  <c r="AG437" i="2" s="1"/>
  <c r="AA429" i="2"/>
  <c r="AA421" i="2"/>
  <c r="AA413" i="2"/>
  <c r="AA405" i="2"/>
  <c r="AG405" i="2" s="1"/>
  <c r="AG397" i="2"/>
  <c r="AA397" i="2"/>
  <c r="AA389" i="2"/>
  <c r="AG389" i="2" s="1"/>
  <c r="AA381" i="2"/>
  <c r="AA373" i="2"/>
  <c r="AG365" i="2"/>
  <c r="AA365" i="2"/>
  <c r="AA357" i="2"/>
  <c r="AG357" i="2" s="1"/>
  <c r="AA349" i="2"/>
  <c r="AG349" i="2" s="1"/>
  <c r="AA341" i="2"/>
  <c r="AG341" i="2" s="1"/>
  <c r="AA333" i="2"/>
  <c r="AA325" i="2"/>
  <c r="AA317" i="2"/>
  <c r="AG317" i="2" s="1"/>
  <c r="AA309" i="2"/>
  <c r="AG309" i="2" s="1"/>
  <c r="AA301" i="2"/>
  <c r="AG298" i="2"/>
  <c r="AA293" i="2"/>
  <c r="AA285" i="2"/>
  <c r="AG285" i="2" s="1"/>
  <c r="AA277" i="2"/>
  <c r="AG277" i="2" s="1"/>
  <c r="AA269" i="2"/>
  <c r="AA261" i="2"/>
  <c r="AG258" i="2"/>
  <c r="AA253" i="2"/>
  <c r="AG253" i="2" s="1"/>
  <c r="AA245" i="2"/>
  <c r="AA237" i="2"/>
  <c r="AE856" i="2"/>
  <c r="AC856" i="2"/>
  <c r="AE846" i="2"/>
  <c r="AA831" i="2"/>
  <c r="AD831" i="2"/>
  <c r="AG830" i="2"/>
  <c r="AD826" i="2"/>
  <c r="AA797" i="2"/>
  <c r="AG797" i="2" s="1"/>
  <c r="AA791" i="2"/>
  <c r="AD791" i="2"/>
  <c r="AG790" i="2"/>
  <c r="AD786" i="2"/>
  <c r="AA781" i="2"/>
  <c r="AG781" i="2" s="1"/>
  <c r="AA775" i="2"/>
  <c r="AD775" i="2"/>
  <c r="AG774" i="2"/>
  <c r="AD770" i="2"/>
  <c r="AA765" i="2"/>
  <c r="AE757" i="2"/>
  <c r="AD757" i="2"/>
  <c r="AE741" i="2"/>
  <c r="AD741" i="2"/>
  <c r="AB723" i="2"/>
  <c r="AG723" i="2" s="1"/>
  <c r="AA701" i="2"/>
  <c r="AF696" i="2"/>
  <c r="AA664" i="2"/>
  <c r="AG664" i="2" s="1"/>
  <c r="AB660" i="2"/>
  <c r="AG660" i="2" s="1"/>
  <c r="AA648" i="2"/>
  <c r="AA637" i="2"/>
  <c r="AG628" i="2"/>
  <c r="AG623" i="2"/>
  <c r="AG620" i="2"/>
  <c r="AA616" i="2"/>
  <c r="AA573" i="2"/>
  <c r="AG573" i="2" s="1"/>
  <c r="AA565" i="2"/>
  <c r="AA533" i="2"/>
  <c r="AA525" i="2"/>
  <c r="AG516" i="2"/>
  <c r="AG500" i="2"/>
  <c r="AG492" i="2"/>
  <c r="AG484" i="2"/>
  <c r="AG468" i="2"/>
  <c r="AG460" i="2"/>
  <c r="AG452" i="2"/>
  <c r="AG447" i="2"/>
  <c r="AG444" i="2"/>
  <c r="AG439" i="2"/>
  <c r="AG436" i="2"/>
  <c r="AG428" i="2"/>
  <c r="AG420" i="2"/>
  <c r="AG415" i="2"/>
  <c r="AG412" i="2"/>
  <c r="AG407" i="2"/>
  <c r="AG404" i="2"/>
  <c r="AG399" i="2"/>
  <c r="AG396" i="2"/>
  <c r="AG391" i="2"/>
  <c r="AG388" i="2"/>
  <c r="AG367" i="2"/>
  <c r="AG364" i="2"/>
  <c r="AG359" i="2"/>
  <c r="AG356" i="2"/>
  <c r="AG351" i="2"/>
  <c r="AG348" i="2"/>
  <c r="AG343" i="2"/>
  <c r="AG340" i="2"/>
  <c r="AG335" i="2"/>
  <c r="AG332" i="2"/>
  <c r="AG324" i="2"/>
  <c r="AG319" i="2"/>
  <c r="AG316" i="2"/>
  <c r="AG311" i="2"/>
  <c r="AG303" i="2"/>
  <c r="AG300" i="2"/>
  <c r="AG287" i="2"/>
  <c r="AG284" i="2"/>
  <c r="AG279" i="2"/>
  <c r="AG276" i="2"/>
  <c r="AG268" i="2"/>
  <c r="AG255" i="2"/>
  <c r="AG252" i="2"/>
  <c r="AG247" i="2"/>
  <c r="AG236" i="2"/>
  <c r="AF827" i="2"/>
  <c r="Z827" i="2"/>
  <c r="AG827" i="2" s="1"/>
  <c r="AC823" i="2"/>
  <c r="AB823" i="2"/>
  <c r="AE815" i="2"/>
  <c r="Z815" i="2"/>
  <c r="AG815" i="2" s="1"/>
  <c r="AA805" i="2"/>
  <c r="AG805" i="2" s="1"/>
  <c r="AG792" i="2"/>
  <c r="AB787" i="2"/>
  <c r="AD787" i="2"/>
  <c r="AG776" i="2"/>
  <c r="AB771" i="2"/>
  <c r="AD771" i="2"/>
  <c r="AC749" i="2"/>
  <c r="Z749" i="2"/>
  <c r="AG749" i="2" s="1"/>
  <c r="AG748" i="2"/>
  <c r="AA733" i="2"/>
  <c r="AB729" i="2"/>
  <c r="AC726" i="2"/>
  <c r="AF726" i="2"/>
  <c r="AE725" i="2"/>
  <c r="AD718" i="2"/>
  <c r="AB709" i="2"/>
  <c r="AE704" i="2"/>
  <c r="Z701" i="2"/>
  <c r="AG701" i="2" s="1"/>
  <c r="AE693" i="2"/>
  <c r="AA687" i="2"/>
  <c r="Z685" i="2"/>
  <c r="AG685" i="2" s="1"/>
  <c r="AE677" i="2"/>
  <c r="AE669" i="2"/>
  <c r="AF661" i="2"/>
  <c r="AF653" i="2"/>
  <c r="AG641" i="2"/>
  <c r="AD640" i="2"/>
  <c r="AG638" i="2"/>
  <c r="AB637" i="2"/>
  <c r="AG622" i="2"/>
  <c r="AB621" i="2"/>
  <c r="AG621" i="2" s="1"/>
  <c r="AB612" i="2"/>
  <c r="AG612" i="2" s="1"/>
  <c r="AE605" i="2"/>
  <c r="AE597" i="2"/>
  <c r="AE589" i="2"/>
  <c r="AF581" i="2"/>
  <c r="AG577" i="2"/>
  <c r="AD576" i="2"/>
  <c r="AF573" i="2"/>
  <c r="AG566" i="2"/>
  <c r="AB565" i="2"/>
  <c r="AE557" i="2"/>
  <c r="AF549" i="2"/>
  <c r="AG542" i="2"/>
  <c r="AB541" i="2"/>
  <c r="AG534" i="2"/>
  <c r="AB533" i="2"/>
  <c r="AG518" i="2"/>
  <c r="AB517" i="2"/>
  <c r="AE509" i="2"/>
  <c r="AG502" i="2"/>
  <c r="AB501" i="2"/>
  <c r="AG501" i="2" s="1"/>
  <c r="AE493" i="2"/>
  <c r="AG486" i="2"/>
  <c r="AE477" i="2"/>
  <c r="AB469" i="2"/>
  <c r="AE461" i="2"/>
  <c r="AF445" i="2"/>
  <c r="AG438" i="2"/>
  <c r="AB437" i="2"/>
  <c r="AA431" i="2"/>
  <c r="AG431" i="2" s="1"/>
  <c r="Z429" i="2"/>
  <c r="AG429" i="2" s="1"/>
  <c r="AE421" i="2"/>
  <c r="AE413" i="2"/>
  <c r="AF405" i="2"/>
  <c r="AG398" i="2"/>
  <c r="AB397" i="2"/>
  <c r="AG390" i="2"/>
  <c r="AB389" i="2"/>
  <c r="AA383" i="2"/>
  <c r="AG383" i="2" s="1"/>
  <c r="Z381" i="2"/>
  <c r="AG381" i="2" s="1"/>
  <c r="AB380" i="2"/>
  <c r="AG380" i="2" s="1"/>
  <c r="AE373" i="2"/>
  <c r="AF365" i="2"/>
  <c r="AF357" i="2"/>
  <c r="AG350" i="2"/>
  <c r="AB349" i="2"/>
  <c r="AG342" i="2"/>
  <c r="AB341" i="2"/>
  <c r="AA335" i="2"/>
  <c r="Z333" i="2"/>
  <c r="AG333" i="2" s="1"/>
  <c r="AE325" i="2"/>
  <c r="AF317" i="2"/>
  <c r="AG310" i="2"/>
  <c r="AB309" i="2"/>
  <c r="AA303" i="2"/>
  <c r="Z301" i="2"/>
  <c r="AG301" i="2" s="1"/>
  <c r="AE293" i="2"/>
  <c r="AF285" i="2"/>
  <c r="AG278" i="2"/>
  <c r="AB277" i="2"/>
  <c r="AA271" i="2"/>
  <c r="AG271" i="2" s="1"/>
  <c r="Z269" i="2"/>
  <c r="AG269" i="2" s="1"/>
  <c r="AE261" i="2"/>
  <c r="AF253" i="2"/>
  <c r="AG246" i="2"/>
  <c r="AB245" i="2"/>
  <c r="AG245" i="2" s="1"/>
  <c r="AA239" i="2"/>
  <c r="AG239" i="2" s="1"/>
  <c r="Z237" i="2"/>
  <c r="AG237" i="2" s="1"/>
  <c r="AE229" i="2"/>
  <c r="AC710" i="2"/>
  <c r="AB710" i="2"/>
  <c r="AF706" i="2"/>
  <c r="Z706" i="2"/>
  <c r="AG706" i="2" s="1"/>
  <c r="AD697" i="2"/>
  <c r="AF694" i="2"/>
  <c r="AA690" i="2"/>
  <c r="AE690" i="2"/>
  <c r="AB682" i="2"/>
  <c r="AD682" i="2"/>
  <c r="AC674" i="2"/>
  <c r="AC666" i="2"/>
  <c r="AG627" i="2"/>
  <c r="AE624" i="2"/>
  <c r="AC624" i="2"/>
  <c r="AA614" i="2"/>
  <c r="AG603" i="2"/>
  <c r="AE590" i="2"/>
  <c r="Z590" i="2"/>
  <c r="AG590" i="2" s="1"/>
  <c r="AC588" i="2"/>
  <c r="AC586" i="2"/>
  <c r="AE574" i="2"/>
  <c r="Z574" i="2"/>
  <c r="AG574" i="2" s="1"/>
  <c r="AC538" i="2"/>
  <c r="AF526" i="2"/>
  <c r="AB522" i="2"/>
  <c r="AE512" i="2"/>
  <c r="AC512" i="2"/>
  <c r="AG483" i="2"/>
  <c r="AF480" i="2"/>
  <c r="AD480" i="2"/>
  <c r="AA474" i="2"/>
  <c r="AE474" i="2"/>
  <c r="AG459" i="2"/>
  <c r="AE454" i="2"/>
  <c r="Z454" i="2"/>
  <c r="AG454" i="2" s="1"/>
  <c r="AA408" i="2"/>
  <c r="AF394" i="2"/>
  <c r="Z394" i="2"/>
  <c r="AG394" i="2" s="1"/>
  <c r="AC393" i="2"/>
  <c r="AF376" i="2"/>
  <c r="AA368" i="2"/>
  <c r="Z368" i="2"/>
  <c r="AG368" i="2" s="1"/>
  <c r="AE360" i="2"/>
  <c r="AC360" i="2"/>
  <c r="AB352" i="2"/>
  <c r="AB340" i="2"/>
  <c r="AB324" i="2"/>
  <c r="AB308" i="2"/>
  <c r="AG308" i="2" s="1"/>
  <c r="AB292" i="2"/>
  <c r="AG292" i="2" s="1"/>
  <c r="AB276" i="2"/>
  <c r="AB260" i="2"/>
  <c r="AG260" i="2" s="1"/>
  <c r="AB244" i="2"/>
  <c r="AG244" i="2" s="1"/>
  <c r="AG227" i="2"/>
  <c r="AF224" i="2"/>
  <c r="AD224" i="2"/>
  <c r="AG219" i="2"/>
  <c r="AC210" i="2"/>
  <c r="AG205" i="2"/>
  <c r="AE712" i="2"/>
  <c r="AC712" i="2"/>
  <c r="AA702" i="2"/>
  <c r="AA698" i="2"/>
  <c r="AE698" i="2"/>
  <c r="AB676" i="2"/>
  <c r="AG676" i="2" s="1"/>
  <c r="AA650" i="2"/>
  <c r="AE650" i="2"/>
  <c r="AC642" i="2"/>
  <c r="AB634" i="2"/>
  <c r="AD634" i="2"/>
  <c r="AG633" i="2"/>
  <c r="AA618" i="2"/>
  <c r="AE618" i="2"/>
  <c r="AG611" i="2"/>
  <c r="AD601" i="2"/>
  <c r="AF598" i="2"/>
  <c r="AF594" i="2"/>
  <c r="Z594" i="2"/>
  <c r="AG594" i="2" s="1"/>
  <c r="AG591" i="2"/>
  <c r="AA578" i="2"/>
  <c r="AE578" i="2"/>
  <c r="AG571" i="2"/>
  <c r="AE560" i="2"/>
  <c r="AC560" i="2"/>
  <c r="AB552" i="2"/>
  <c r="AG552" i="2" s="1"/>
  <c r="AG547" i="2"/>
  <c r="AF544" i="2"/>
  <c r="AD544" i="2"/>
  <c r="AG531" i="2"/>
  <c r="AF528" i="2"/>
  <c r="AD528" i="2"/>
  <c r="AF506" i="2"/>
  <c r="Z506" i="2"/>
  <c r="AG506" i="2" s="1"/>
  <c r="AF490" i="2"/>
  <c r="AA470" i="2"/>
  <c r="AG470" i="2" s="1"/>
  <c r="AD470" i="2"/>
  <c r="AF466" i="2"/>
  <c r="Z466" i="2"/>
  <c r="AG466" i="2" s="1"/>
  <c r="AB456" i="2"/>
  <c r="AG456" i="2" s="1"/>
  <c r="AF450" i="2"/>
  <c r="Z450" i="2"/>
  <c r="AG450" i="2" s="1"/>
  <c r="AC442" i="2"/>
  <c r="AG441" i="2"/>
  <c r="AA434" i="2"/>
  <c r="AE434" i="2"/>
  <c r="AF426" i="2"/>
  <c r="Z426" i="2"/>
  <c r="AG426" i="2" s="1"/>
  <c r="AB418" i="2"/>
  <c r="AG418" i="2" s="1"/>
  <c r="AD418" i="2"/>
  <c r="AB400" i="2"/>
  <c r="AG400" i="2" s="1"/>
  <c r="AA386" i="2"/>
  <c r="AE386" i="2"/>
  <c r="AG385" i="2"/>
  <c r="AC366" i="2"/>
  <c r="AG339" i="2"/>
  <c r="AF336" i="2"/>
  <c r="AD336" i="2"/>
  <c r="AA328" i="2"/>
  <c r="Z328" i="2"/>
  <c r="AG328" i="2" s="1"/>
  <c r="AE320" i="2"/>
  <c r="AC320" i="2"/>
  <c r="AG307" i="2"/>
  <c r="AF304" i="2"/>
  <c r="AD304" i="2"/>
  <c r="AA296" i="2"/>
  <c r="Z296" i="2"/>
  <c r="AG296" i="2" s="1"/>
  <c r="AE288" i="2"/>
  <c r="AC288" i="2"/>
  <c r="AG275" i="2"/>
  <c r="AF272" i="2"/>
  <c r="AD272" i="2"/>
  <c r="AA264" i="2"/>
  <c r="Z264" i="2"/>
  <c r="AG264" i="2" s="1"/>
  <c r="AE256" i="2"/>
  <c r="AC256" i="2"/>
  <c r="AG243" i="2"/>
  <c r="AF240" i="2"/>
  <c r="AD240" i="2"/>
  <c r="AA232" i="2"/>
  <c r="Z232" i="2"/>
  <c r="AG232" i="2" s="1"/>
  <c r="AB206" i="2"/>
  <c r="AF688" i="2"/>
  <c r="AA680" i="2"/>
  <c r="Z680" i="2"/>
  <c r="AG680" i="2" s="1"/>
  <c r="AF672" i="2"/>
  <c r="AD672" i="2"/>
  <c r="AC644" i="2"/>
  <c r="AF626" i="2"/>
  <c r="AA606" i="2"/>
  <c r="AD606" i="2"/>
  <c r="AA602" i="2"/>
  <c r="AB520" i="2"/>
  <c r="AA518" i="2"/>
  <c r="AD518" i="2"/>
  <c r="AF514" i="2"/>
  <c r="AA502" i="2"/>
  <c r="AD502" i="2"/>
  <c r="AF498" i="2"/>
  <c r="Z498" i="2"/>
  <c r="AG498" i="2" s="1"/>
  <c r="AA486" i="2"/>
  <c r="AD486" i="2"/>
  <c r="AF482" i="2"/>
  <c r="Z482" i="2"/>
  <c r="AG482" i="2" s="1"/>
  <c r="AB472" i="2"/>
  <c r="AC462" i="2"/>
  <c r="AB462" i="2"/>
  <c r="AB436" i="2"/>
  <c r="AB420" i="2"/>
  <c r="AB410" i="2"/>
  <c r="AG410" i="2" s="1"/>
  <c r="AD410" i="2"/>
  <c r="AB392" i="2"/>
  <c r="AA378" i="2"/>
  <c r="AE378" i="2"/>
  <c r="AG377" i="2"/>
  <c r="AA370" i="2"/>
  <c r="AE370" i="2"/>
  <c r="AF362" i="2"/>
  <c r="Z362" i="2"/>
  <c r="AG362" i="2" s="1"/>
  <c r="AF354" i="2"/>
  <c r="Z354" i="2"/>
  <c r="AG354" i="2" s="1"/>
  <c r="AD353" i="2"/>
  <c r="AA226" i="2"/>
  <c r="AE226" i="2"/>
  <c r="AC222" i="2"/>
  <c r="Z222" i="2"/>
  <c r="AG222" i="2" s="1"/>
  <c r="AG218" i="2"/>
  <c r="AC218" i="2"/>
  <c r="AE214" i="2"/>
  <c r="AA210" i="2"/>
  <c r="AG724" i="2"/>
  <c r="AB714" i="2"/>
  <c r="AD714" i="2"/>
  <c r="AB658" i="2"/>
  <c r="AD658" i="2"/>
  <c r="AG643" i="2"/>
  <c r="AG635" i="2"/>
  <c r="AF632" i="2"/>
  <c r="AD632" i="2"/>
  <c r="AE630" i="2"/>
  <c r="Z630" i="2"/>
  <c r="AG630" i="2" s="1"/>
  <c r="AC628" i="2"/>
  <c r="AG619" i="2"/>
  <c r="AA610" i="2"/>
  <c r="AE610" i="2"/>
  <c r="AA579" i="2"/>
  <c r="AA570" i="2"/>
  <c r="AE570" i="2"/>
  <c r="AF562" i="2"/>
  <c r="Z562" i="2"/>
  <c r="AG562" i="2" s="1"/>
  <c r="AD561" i="2"/>
  <c r="AB554" i="2"/>
  <c r="AD554" i="2"/>
  <c r="AC546" i="2"/>
  <c r="AG545" i="2"/>
  <c r="AB530" i="2"/>
  <c r="AG529" i="2"/>
  <c r="AA504" i="2"/>
  <c r="Z504" i="2"/>
  <c r="AG504" i="2" s="1"/>
  <c r="AG503" i="2"/>
  <c r="AD499" i="2"/>
  <c r="AB488" i="2"/>
  <c r="AG488" i="2" s="1"/>
  <c r="AC487" i="2"/>
  <c r="AC478" i="2"/>
  <c r="AB478" i="2"/>
  <c r="AB464" i="2"/>
  <c r="AC463" i="2"/>
  <c r="AF458" i="2"/>
  <c r="AB448" i="2"/>
  <c r="AG443" i="2"/>
  <c r="AF440" i="2"/>
  <c r="AA432" i="2"/>
  <c r="Z432" i="2"/>
  <c r="AG432" i="2" s="1"/>
  <c r="AE424" i="2"/>
  <c r="AC424" i="2"/>
  <c r="AA416" i="2"/>
  <c r="Z416" i="2"/>
  <c r="AG416" i="2" s="1"/>
  <c r="AB402" i="2"/>
  <c r="AG402" i="2" s="1"/>
  <c r="AD402" i="2"/>
  <c r="AD401" i="2"/>
  <c r="AB384" i="2"/>
  <c r="AB372" i="2"/>
  <c r="AG372" i="2" s="1"/>
  <c r="AB356" i="2"/>
  <c r="AF346" i="2"/>
  <c r="Z346" i="2"/>
  <c r="AG346" i="2" s="1"/>
  <c r="AF338" i="2"/>
  <c r="Z338" i="2"/>
  <c r="AG338" i="2" s="1"/>
  <c r="AD337" i="2"/>
  <c r="AB330" i="2"/>
  <c r="AG330" i="2" s="1"/>
  <c r="AD330" i="2"/>
  <c r="AC322" i="2"/>
  <c r="AG321" i="2"/>
  <c r="AA314" i="2"/>
  <c r="AE314" i="2"/>
  <c r="AF306" i="2"/>
  <c r="Z306" i="2"/>
  <c r="AG306" i="2" s="1"/>
  <c r="AD305" i="2"/>
  <c r="AG305" i="2" s="1"/>
  <c r="AB298" i="2"/>
  <c r="AD298" i="2"/>
  <c r="AC290" i="2"/>
  <c r="AG289" i="2"/>
  <c r="AA282" i="2"/>
  <c r="AE282" i="2"/>
  <c r="AF274" i="2"/>
  <c r="Z274" i="2"/>
  <c r="AG274" i="2" s="1"/>
  <c r="AD273" i="2"/>
  <c r="AB266" i="2"/>
  <c r="AG266" i="2" s="1"/>
  <c r="AD266" i="2"/>
  <c r="AC258" i="2"/>
  <c r="AG257" i="2"/>
  <c r="AA250" i="2"/>
  <c r="AE250" i="2"/>
  <c r="AF242" i="2"/>
  <c r="Z242" i="2"/>
  <c r="AG242" i="2" s="1"/>
  <c r="AD241" i="2"/>
  <c r="AB234" i="2"/>
  <c r="AG234" i="2" s="1"/>
  <c r="AD234" i="2"/>
  <c r="AG220" i="2"/>
  <c r="AD219" i="2"/>
  <c r="AF219" i="2"/>
  <c r="Z216" i="2"/>
  <c r="AG216" i="2" s="1"/>
  <c r="AA214" i="2"/>
  <c r="AD214" i="2"/>
  <c r="AG212" i="2"/>
  <c r="Z208" i="2"/>
  <c r="AG208" i="2" s="1"/>
  <c r="AE208" i="2"/>
  <c r="AF206" i="2"/>
  <c r="AE200" i="2"/>
  <c r="AG198" i="2"/>
  <c r="AA215" i="2"/>
  <c r="AG215" i="2" s="1"/>
  <c r="AF194" i="2"/>
  <c r="AB209" i="2"/>
  <c r="AG209" i="2" s="1"/>
  <c r="AD204" i="2"/>
  <c r="AG192" i="2"/>
  <c r="AG188" i="2"/>
  <c r="AG184" i="2"/>
  <c r="AG180" i="2"/>
  <c r="AG176" i="2"/>
  <c r="AG172" i="2"/>
  <c r="AG168" i="2"/>
  <c r="AG164" i="2"/>
  <c r="AG160" i="2"/>
  <c r="AG156" i="2"/>
  <c r="AG152" i="2"/>
  <c r="AG148" i="2"/>
  <c r="AG144" i="2"/>
  <c r="AG140" i="2"/>
  <c r="AG136" i="2"/>
  <c r="AG132" i="2"/>
  <c r="AG128" i="2"/>
  <c r="AG124" i="2"/>
  <c r="AG120" i="2"/>
  <c r="AG116" i="2"/>
  <c r="AG112" i="2"/>
  <c r="AG108" i="2"/>
  <c r="AG104" i="2"/>
  <c r="AG100" i="2"/>
  <c r="AG96" i="2"/>
  <c r="AG92" i="2"/>
  <c r="AG88" i="2"/>
  <c r="AG84" i="2"/>
  <c r="AG80" i="2"/>
  <c r="AG76" i="2"/>
  <c r="AG72" i="2"/>
  <c r="AG68" i="2"/>
  <c r="AG64" i="2"/>
  <c r="AG60" i="2"/>
  <c r="AG56" i="2"/>
  <c r="AG52" i="2"/>
  <c r="AG48" i="2"/>
  <c r="AG44" i="2"/>
  <c r="AG40" i="2"/>
  <c r="AG36" i="2"/>
  <c r="AG32" i="2"/>
  <c r="AG28" i="2"/>
  <c r="AG24" i="2"/>
  <c r="AG20" i="2"/>
  <c r="AG16" i="2"/>
  <c r="AG12" i="2"/>
  <c r="AG8" i="2"/>
  <c r="AG4" i="2"/>
  <c r="AD201" i="2"/>
  <c r="AA193" i="2"/>
  <c r="AG193" i="2" s="1"/>
  <c r="AF196" i="2"/>
  <c r="AD191" i="2"/>
  <c r="AB191" i="2"/>
  <c r="AD187" i="2"/>
  <c r="AB187" i="2"/>
  <c r="AD179" i="2"/>
  <c r="AB179" i="2"/>
  <c r="AD175" i="2"/>
  <c r="AD171" i="2"/>
  <c r="AB171" i="2"/>
  <c r="AD163" i="2"/>
  <c r="AB163" i="2"/>
  <c r="AD159" i="2"/>
  <c r="AB159" i="2"/>
  <c r="AD155" i="2"/>
  <c r="AB155" i="2"/>
  <c r="AD139" i="2"/>
  <c r="AB139" i="2"/>
  <c r="AD131" i="2"/>
  <c r="AB131" i="2"/>
  <c r="AD127" i="2"/>
  <c r="AB127" i="2"/>
  <c r="AD95" i="2"/>
  <c r="AB95" i="2"/>
  <c r="AD91" i="2"/>
  <c r="AB91" i="2"/>
  <c r="AD87" i="2"/>
  <c r="AB87" i="2"/>
  <c r="AD79" i="2"/>
  <c r="AB79" i="2"/>
  <c r="AD75" i="2"/>
  <c r="AB75" i="2"/>
  <c r="AD71" i="2"/>
  <c r="AD67" i="2"/>
  <c r="AD59" i="2"/>
  <c r="AB59" i="2"/>
  <c r="AD15" i="2"/>
  <c r="AB15" i="2"/>
  <c r="AF11" i="2"/>
  <c r="AF7" i="2"/>
  <c r="AD3" i="2"/>
  <c r="AG1558" i="2"/>
  <c r="AG1584" i="2"/>
  <c r="AE1570" i="2"/>
  <c r="AE1560" i="2"/>
  <c r="AG1560" i="2"/>
  <c r="AE1552" i="2"/>
  <c r="AG1552" i="2"/>
  <c r="AC1582" i="2"/>
  <c r="AB1582" i="2"/>
  <c r="AG1582" i="2" s="1"/>
  <c r="AG1579" i="2"/>
  <c r="AD1578" i="2"/>
  <c r="AC1574" i="2"/>
  <c r="AB1574" i="2"/>
  <c r="AG1574" i="2" s="1"/>
  <c r="AG1571" i="2"/>
  <c r="AD1570" i="2"/>
  <c r="AC1566" i="2"/>
  <c r="AB1566" i="2"/>
  <c r="AG1566" i="2" s="1"/>
  <c r="AG1563" i="2"/>
  <c r="AD1562" i="2"/>
  <c r="AC1558" i="2"/>
  <c r="AB1558" i="2"/>
  <c r="AG1555" i="2"/>
  <c r="AD1554" i="2"/>
  <c r="AC1550" i="2"/>
  <c r="AB1550" i="2"/>
  <c r="AG1550" i="2" s="1"/>
  <c r="AG1527" i="2"/>
  <c r="AG1476" i="2"/>
  <c r="AA1583" i="2"/>
  <c r="AG1583" i="2" s="1"/>
  <c r="AA1575" i="2"/>
  <c r="AA1567" i="2"/>
  <c r="AA1559" i="2"/>
  <c r="AG1559" i="2" s="1"/>
  <c r="AA1551" i="2"/>
  <c r="AG1551" i="2" s="1"/>
  <c r="AG1534" i="2"/>
  <c r="AG1526" i="2"/>
  <c r="AG1518" i="2"/>
  <c r="AG1510" i="2"/>
  <c r="AG1502" i="2"/>
  <c r="AG1489" i="2"/>
  <c r="AG1486" i="2"/>
  <c r="AG1478" i="2"/>
  <c r="AG1470" i="2"/>
  <c r="AG1465" i="2"/>
  <c r="AG1462" i="2"/>
  <c r="AG1457" i="2"/>
  <c r="AA1572" i="2"/>
  <c r="AG1572" i="2" s="1"/>
  <c r="AE1543" i="2"/>
  <c r="Z1535" i="2"/>
  <c r="AG1535" i="2" s="1"/>
  <c r="AB1534" i="2"/>
  <c r="AF1527" i="2"/>
  <c r="AG1520" i="2"/>
  <c r="AB1519" i="2"/>
  <c r="AE1511" i="2"/>
  <c r="AB1503" i="2"/>
  <c r="AG1503" i="2" s="1"/>
  <c r="Z1495" i="2"/>
  <c r="AG1495" i="2" s="1"/>
  <c r="AB1494" i="2"/>
  <c r="AF1487" i="2"/>
  <c r="AF1479" i="2"/>
  <c r="AB1471" i="2"/>
  <c r="AG1464" i="2"/>
  <c r="AB1463" i="2"/>
  <c r="AG1456" i="2"/>
  <c r="AB1455" i="2"/>
  <c r="AA1449" i="2"/>
  <c r="AG1449" i="2" s="1"/>
  <c r="Z1447" i="2"/>
  <c r="AG1447" i="2" s="1"/>
  <c r="AA1441" i="2"/>
  <c r="AG1441" i="2" s="1"/>
  <c r="Z1439" i="2"/>
  <c r="AG1439" i="2" s="1"/>
  <c r="Z1431" i="2"/>
  <c r="AG1431" i="2" s="1"/>
  <c r="AA1581" i="2"/>
  <c r="AG1581" i="2" s="1"/>
  <c r="AA1573" i="2"/>
  <c r="AG1573" i="2" s="1"/>
  <c r="AA1565" i="2"/>
  <c r="AA1557" i="2"/>
  <c r="AG1557" i="2" s="1"/>
  <c r="AA1549" i="2"/>
  <c r="AG1549" i="2" s="1"/>
  <c r="AE1547" i="2"/>
  <c r="AD1547" i="2"/>
  <c r="AG1547" i="2" s="1"/>
  <c r="AG1533" i="2"/>
  <c r="AG1522" i="2"/>
  <c r="AA1518" i="2"/>
  <c r="AA1515" i="2"/>
  <c r="AG1515" i="2" s="1"/>
  <c r="AF1510" i="2"/>
  <c r="AG1498" i="2"/>
  <c r="AA1494" i="2"/>
  <c r="AG1494" i="2" s="1"/>
  <c r="AE1489" i="2"/>
  <c r="AA1486" i="2"/>
  <c r="Z1481" i="2"/>
  <c r="AG1481" i="2" s="1"/>
  <c r="AB1480" i="2"/>
  <c r="Z1473" i="2"/>
  <c r="AG1473" i="2" s="1"/>
  <c r="AB1472" i="2"/>
  <c r="AG1472" i="2" s="1"/>
  <c r="AB1465" i="2"/>
  <c r="AF1462" i="2"/>
  <c r="AG1461" i="2"/>
  <c r="AE1457" i="2"/>
  <c r="AA1454" i="2"/>
  <c r="AG1454" i="2" s="1"/>
  <c r="AE1449" i="2"/>
  <c r="AA1446" i="2"/>
  <c r="AG1446" i="2" s="1"/>
  <c r="AF1441" i="2"/>
  <c r="AA1546" i="2"/>
  <c r="AG1546" i="2" s="1"/>
  <c r="AB1540" i="2"/>
  <c r="AG1540" i="2" s="1"/>
  <c r="AG1529" i="2"/>
  <c r="AD1519" i="2"/>
  <c r="AB1516" i="2"/>
  <c r="AG1516" i="2" s="1"/>
  <c r="AC1496" i="2"/>
  <c r="Z1496" i="2"/>
  <c r="AG1496" i="2" s="1"/>
  <c r="AC1494" i="2"/>
  <c r="AE1490" i="2"/>
  <c r="Z1490" i="2"/>
  <c r="AG1490" i="2" s="1"/>
  <c r="AC1488" i="2"/>
  <c r="AF1476" i="2"/>
  <c r="AD1476" i="2"/>
  <c r="AD1475" i="2"/>
  <c r="AF1458" i="2"/>
  <c r="AC1436" i="2"/>
  <c r="AG1416" i="2"/>
  <c r="AD1527" i="2"/>
  <c r="AE1520" i="2"/>
  <c r="AD1520" i="2"/>
  <c r="AD1513" i="2"/>
  <c r="AD1499" i="2"/>
  <c r="AF1484" i="2"/>
  <c r="AD1484" i="2"/>
  <c r="AC1483" i="2"/>
  <c r="AA1466" i="2"/>
  <c r="AG1466" i="2" s="1"/>
  <c r="AD1466" i="2"/>
  <c r="AD1463" i="2"/>
  <c r="AD1453" i="2"/>
  <c r="AB1452" i="2"/>
  <c r="AG1452" i="2" s="1"/>
  <c r="AG1451" i="2"/>
  <c r="AB1446" i="2"/>
  <c r="AA1442" i="2"/>
  <c r="AD1442" i="2"/>
  <c r="AG1438" i="2"/>
  <c r="AA1433" i="2"/>
  <c r="AG1433" i="2" s="1"/>
  <c r="AB1542" i="2"/>
  <c r="AG1542" i="2" s="1"/>
  <c r="AD1542" i="2"/>
  <c r="AD1541" i="2"/>
  <c r="AD1531" i="2"/>
  <c r="AA1528" i="2"/>
  <c r="AG1528" i="2" s="1"/>
  <c r="AA1524" i="2"/>
  <c r="Z1524" i="2"/>
  <c r="AG1524" i="2" s="1"/>
  <c r="AC1522" i="2"/>
  <c r="AD1507" i="2"/>
  <c r="AF1500" i="2"/>
  <c r="AD1500" i="2"/>
  <c r="AE1492" i="2"/>
  <c r="AC1492" i="2"/>
  <c r="AF1474" i="2"/>
  <c r="AE1460" i="2"/>
  <c r="AC1460" i="2"/>
  <c r="AG1459" i="2"/>
  <c r="AB1454" i="2"/>
  <c r="AC1440" i="2"/>
  <c r="AG1435" i="2"/>
  <c r="AE1434" i="2"/>
  <c r="AC1432" i="2"/>
  <c r="AD1432" i="2"/>
  <c r="AE1544" i="2"/>
  <c r="AD1544" i="2"/>
  <c r="AB1536" i="2"/>
  <c r="AF1536" i="2"/>
  <c r="AF1532" i="2"/>
  <c r="AD1532" i="2"/>
  <c r="AA1521" i="2"/>
  <c r="AE1512" i="2"/>
  <c r="AD1512" i="2"/>
  <c r="AE1508" i="2"/>
  <c r="AC1508" i="2"/>
  <c r="AE1504" i="2"/>
  <c r="AD1504" i="2"/>
  <c r="AG1504" i="2" s="1"/>
  <c r="AG1501" i="2"/>
  <c r="AD1495" i="2"/>
  <c r="AF1482" i="2"/>
  <c r="AA1468" i="2"/>
  <c r="Z1468" i="2"/>
  <c r="AG1468" i="2" s="1"/>
  <c r="AF1450" i="2"/>
  <c r="AE1444" i="2"/>
  <c r="AC1444" i="2"/>
  <c r="AG1443" i="2"/>
  <c r="AG1428" i="2"/>
  <c r="AF1421" i="2"/>
  <c r="AE1413" i="2"/>
  <c r="AA1424" i="2"/>
  <c r="Z1424" i="2"/>
  <c r="AG1424" i="2" s="1"/>
  <c r="AG1384" i="2"/>
  <c r="AB1384" i="2"/>
  <c r="AG1288" i="2"/>
  <c r="AG1272" i="2"/>
  <c r="AG1264" i="2"/>
  <c r="AB1264" i="2"/>
  <c r="AB1256" i="2"/>
  <c r="AG1248" i="2"/>
  <c r="AB1248" i="2"/>
  <c r="AB1240" i="2"/>
  <c r="AB1232" i="2"/>
  <c r="AG1232" i="2" s="1"/>
  <c r="AB1224" i="2"/>
  <c r="AG1208" i="2"/>
  <c r="AG1419" i="2"/>
  <c r="AE1416" i="2"/>
  <c r="AC1416" i="2"/>
  <c r="AB1408" i="2"/>
  <c r="AB1400" i="2"/>
  <c r="AG1400" i="2" s="1"/>
  <c r="AC1389" i="2"/>
  <c r="AC1349" i="2"/>
  <c r="AH1346" i="2"/>
  <c r="AH1341" i="2"/>
  <c r="AC1317" i="2"/>
  <c r="AH1314" i="2"/>
  <c r="AH1309" i="2"/>
  <c r="AB1288" i="2"/>
  <c r="AB1280" i="2"/>
  <c r="AC1253" i="2"/>
  <c r="AG1250" i="2"/>
  <c r="AC1221" i="2"/>
  <c r="AG1213" i="2"/>
  <c r="AC1189" i="2"/>
  <c r="AG1181" i="2"/>
  <c r="AF1426" i="2"/>
  <c r="Z1426" i="2"/>
  <c r="AG1426" i="2" s="1"/>
  <c r="AC1425" i="2"/>
  <c r="AA1405" i="2"/>
  <c r="AF1400" i="2"/>
  <c r="AA1392" i="2"/>
  <c r="AG1380" i="2"/>
  <c r="AA1376" i="2"/>
  <c r="AA1365" i="2"/>
  <c r="AF1360" i="2"/>
  <c r="AH1356" i="2"/>
  <c r="AA1352" i="2"/>
  <c r="AH1332" i="2"/>
  <c r="AA1328" i="2"/>
  <c r="AH1316" i="2"/>
  <c r="AA1312" i="2"/>
  <c r="AH1300" i="2"/>
  <c r="AA1296" i="2"/>
  <c r="AG1284" i="2"/>
  <c r="AA1280" i="2"/>
  <c r="AG1280" i="2" s="1"/>
  <c r="AG1260" i="2"/>
  <c r="AA1256" i="2"/>
  <c r="AA1240" i="2"/>
  <c r="AG1240" i="2" s="1"/>
  <c r="AG1228" i="2"/>
  <c r="AA1224" i="2"/>
  <c r="AG1148" i="2"/>
  <c r="AD1427" i="2"/>
  <c r="AG1427" i="2" s="1"/>
  <c r="AB1418" i="2"/>
  <c r="AD1418" i="2"/>
  <c r="AD1417" i="2"/>
  <c r="AA1414" i="2"/>
  <c r="AD1414" i="2"/>
  <c r="AG1409" i="2"/>
  <c r="AD1408" i="2"/>
  <c r="AF1405" i="2"/>
  <c r="AE1400" i="2"/>
  <c r="Z1397" i="2"/>
  <c r="AG1397" i="2" s="1"/>
  <c r="AB1396" i="2"/>
  <c r="AG1396" i="2" s="1"/>
  <c r="AG1393" i="2"/>
  <c r="AD1392" i="2"/>
  <c r="AF1389" i="2"/>
  <c r="AE1384" i="2"/>
  <c r="Z1381" i="2"/>
  <c r="AG1381" i="2" s="1"/>
  <c r="AB1380" i="2"/>
  <c r="AG1377" i="2"/>
  <c r="AD1376" i="2"/>
  <c r="AF1373" i="2"/>
  <c r="AC1369" i="2"/>
  <c r="Z1368" i="2"/>
  <c r="AG1368" i="2" s="1"/>
  <c r="AG1366" i="2"/>
  <c r="AB1365" i="2"/>
  <c r="AE1360" i="2"/>
  <c r="Z1357" i="2"/>
  <c r="AB1356" i="2"/>
  <c r="AE1349" i="2"/>
  <c r="AH1345" i="2"/>
  <c r="AD1344" i="2"/>
  <c r="AF1341" i="2"/>
  <c r="AC1337" i="2"/>
  <c r="Z1336" i="2"/>
  <c r="AH1334" i="2"/>
  <c r="AB1333" i="2"/>
  <c r="AE1328" i="2"/>
  <c r="Z1325" i="2"/>
  <c r="AB1324" i="2"/>
  <c r="AE1317" i="2"/>
  <c r="AH1313" i="2"/>
  <c r="AD1312" i="2"/>
  <c r="AF1309" i="2"/>
  <c r="AC1305" i="2"/>
  <c r="Z1304" i="2"/>
  <c r="AH1302" i="2"/>
  <c r="AB1301" i="2"/>
  <c r="AE1296" i="2"/>
  <c r="Z1293" i="2"/>
  <c r="AG1293" i="2" s="1"/>
  <c r="AB1292" i="2"/>
  <c r="AG1289" i="2"/>
  <c r="AD1288" i="2"/>
  <c r="AF1285" i="2"/>
  <c r="AG1281" i="2"/>
  <c r="AD1280" i="2"/>
  <c r="AF1277" i="2"/>
  <c r="AE1269" i="2"/>
  <c r="AG1265" i="2"/>
  <c r="AD1264" i="2"/>
  <c r="AF1261" i="2"/>
  <c r="AC1257" i="2"/>
  <c r="Z1256" i="2"/>
  <c r="AG1256" i="2" s="1"/>
  <c r="AB1253" i="2"/>
  <c r="AE1248" i="2"/>
  <c r="Z1245" i="2"/>
  <c r="AG1245" i="2" s="1"/>
  <c r="AB1244" i="2"/>
  <c r="AG1244" i="2" s="1"/>
  <c r="AE1237" i="2"/>
  <c r="AG1233" i="2"/>
  <c r="AD1232" i="2"/>
  <c r="AF1229" i="2"/>
  <c r="AC1225" i="2"/>
  <c r="AG1225" i="2" s="1"/>
  <c r="Z1224" i="2"/>
  <c r="AG1224" i="2" s="1"/>
  <c r="AG1222" i="2"/>
  <c r="AB1221" i="2"/>
  <c r="AE1213" i="2"/>
  <c r="AG1206" i="2"/>
  <c r="AB1205" i="2"/>
  <c r="AE1197" i="2"/>
  <c r="AB1189" i="2"/>
  <c r="AE1181" i="2"/>
  <c r="AB1173" i="2"/>
  <c r="AE1165" i="2"/>
  <c r="AC1410" i="2"/>
  <c r="AD1401" i="2"/>
  <c r="AG1401" i="2" s="1"/>
  <c r="AF1382" i="2"/>
  <c r="AF1378" i="2"/>
  <c r="Z1378" i="2"/>
  <c r="AG1378" i="2" s="1"/>
  <c r="AD1369" i="2"/>
  <c r="AH1355" i="2"/>
  <c r="AE1350" i="2"/>
  <c r="Z1350" i="2"/>
  <c r="AC1348" i="2"/>
  <c r="AC1346" i="2"/>
  <c r="AD1327" i="2"/>
  <c r="AD1323" i="2"/>
  <c r="AA1318" i="2"/>
  <c r="AD1318" i="2"/>
  <c r="AA1314" i="2"/>
  <c r="AE1314" i="2"/>
  <c r="AG1295" i="2"/>
  <c r="AA1291" i="2"/>
  <c r="AC1254" i="2"/>
  <c r="AB1254" i="2"/>
  <c r="AG1254" i="2" s="1"/>
  <c r="AB1250" i="2"/>
  <c r="AD1250" i="2"/>
  <c r="AD1225" i="2"/>
  <c r="AF1222" i="2"/>
  <c r="AF1218" i="2"/>
  <c r="Z1218" i="2"/>
  <c r="AG1218" i="2" s="1"/>
  <c r="AB1208" i="2"/>
  <c r="AC1207" i="2"/>
  <c r="AF1202" i="2"/>
  <c r="Z1202" i="2"/>
  <c r="AG1202" i="2" s="1"/>
  <c r="AB1192" i="2"/>
  <c r="AG1192" i="2" s="1"/>
  <c r="AC1191" i="2"/>
  <c r="AG1191" i="2" s="1"/>
  <c r="AF1186" i="2"/>
  <c r="Z1186" i="2"/>
  <c r="AG1186" i="2" s="1"/>
  <c r="AB1176" i="2"/>
  <c r="AG1176" i="2" s="1"/>
  <c r="AC1175" i="2"/>
  <c r="AF1170" i="2"/>
  <c r="Z1170" i="2"/>
  <c r="AG1170" i="2" s="1"/>
  <c r="AG1151" i="2"/>
  <c r="AG1149" i="2"/>
  <c r="AH1146" i="2"/>
  <c r="AB1142" i="2"/>
  <c r="AG1142" i="2" s="1"/>
  <c r="AC1136" i="2"/>
  <c r="AG1411" i="2"/>
  <c r="AC1406" i="2"/>
  <c r="AB1406" i="2"/>
  <c r="AG1406" i="2" s="1"/>
  <c r="AB1402" i="2"/>
  <c r="AD1402" i="2"/>
  <c r="AC1383" i="2"/>
  <c r="AC1379" i="2"/>
  <c r="AC1374" i="2"/>
  <c r="AB1374" i="2"/>
  <c r="AG1374" i="2" s="1"/>
  <c r="AB1370" i="2"/>
  <c r="AD1370" i="2"/>
  <c r="AD1351" i="2"/>
  <c r="AD1347" i="2"/>
  <c r="AA1342" i="2"/>
  <c r="AD1342" i="2"/>
  <c r="AA1338" i="2"/>
  <c r="AE1338" i="2"/>
  <c r="AH1319" i="2"/>
  <c r="AA1315" i="2"/>
  <c r="AF1310" i="2"/>
  <c r="AF1306" i="2"/>
  <c r="Z1306" i="2"/>
  <c r="AD1297" i="2"/>
  <c r="AC1255" i="2"/>
  <c r="AG1255" i="2" s="1"/>
  <c r="AG1251" i="2"/>
  <c r="AE1246" i="2"/>
  <c r="Z1246" i="2"/>
  <c r="AG1246" i="2" s="1"/>
  <c r="AC1244" i="2"/>
  <c r="AC1242" i="2"/>
  <c r="AE1230" i="2"/>
  <c r="Z1230" i="2"/>
  <c r="AG1230" i="2" s="1"/>
  <c r="AC1228" i="2"/>
  <c r="AC1226" i="2"/>
  <c r="AC1223" i="2"/>
  <c r="AC1214" i="2"/>
  <c r="AB1214" i="2"/>
  <c r="AA1198" i="2"/>
  <c r="AD1198" i="2"/>
  <c r="AC1182" i="2"/>
  <c r="AB1182" i="2"/>
  <c r="AA1166" i="2"/>
  <c r="AD1166" i="2"/>
  <c r="AC1159" i="2"/>
  <c r="AF1150" i="2"/>
  <c r="Z1150" i="2"/>
  <c r="AG1150" i="2" s="1"/>
  <c r="AE1148" i="2"/>
  <c r="AF1148" i="2"/>
  <c r="AA1144" i="2"/>
  <c r="AD1144" i="2"/>
  <c r="AG1139" i="2"/>
  <c r="AA1132" i="2"/>
  <c r="AG1132" i="2" s="1"/>
  <c r="AG1407" i="2"/>
  <c r="AA1403" i="2"/>
  <c r="AG1403" i="2" s="1"/>
  <c r="AA1398" i="2"/>
  <c r="AD1398" i="2"/>
  <c r="AA1394" i="2"/>
  <c r="AE1394" i="2"/>
  <c r="AA1375" i="2"/>
  <c r="AA1371" i="2"/>
  <c r="AF1366" i="2"/>
  <c r="AF1362" i="2"/>
  <c r="Z1362" i="2"/>
  <c r="AG1362" i="2" s="1"/>
  <c r="AD1353" i="2"/>
  <c r="AH1339" i="2"/>
  <c r="AE1334" i="2"/>
  <c r="Z1334" i="2"/>
  <c r="AC1332" i="2"/>
  <c r="AC1330" i="2"/>
  <c r="AD1311" i="2"/>
  <c r="AD1307" i="2"/>
  <c r="AA1302" i="2"/>
  <c r="AD1302" i="2"/>
  <c r="AA1298" i="2"/>
  <c r="AE1298" i="2"/>
  <c r="AA1286" i="2"/>
  <c r="AD1286" i="2"/>
  <c r="AA1282" i="2"/>
  <c r="AE1282" i="2"/>
  <c r="AF1278" i="2"/>
  <c r="AF1274" i="2"/>
  <c r="Z1274" i="2"/>
  <c r="AG1274" i="2" s="1"/>
  <c r="AC1270" i="2"/>
  <c r="AB1270" i="2"/>
  <c r="AB1266" i="2"/>
  <c r="AD1266" i="2"/>
  <c r="AC1247" i="2"/>
  <c r="AG1243" i="2"/>
  <c r="AE1238" i="2"/>
  <c r="Z1238" i="2"/>
  <c r="AG1238" i="2" s="1"/>
  <c r="AC1236" i="2"/>
  <c r="AC1234" i="2"/>
  <c r="AC1231" i="2"/>
  <c r="AG1231" i="2" s="1"/>
  <c r="AF1216" i="2"/>
  <c r="AD1216" i="2"/>
  <c r="AA1210" i="2"/>
  <c r="AG1210" i="2" s="1"/>
  <c r="AE1210" i="2"/>
  <c r="AF1200" i="2"/>
  <c r="AD1200" i="2"/>
  <c r="AA1194" i="2"/>
  <c r="AE1194" i="2"/>
  <c r="AF1184" i="2"/>
  <c r="AD1184" i="2"/>
  <c r="AA1178" i="2"/>
  <c r="AG1178" i="2" s="1"/>
  <c r="AE1178" i="2"/>
  <c r="AF1168" i="2"/>
  <c r="AD1168" i="2"/>
  <c r="AA1162" i="2"/>
  <c r="AE1162" i="2"/>
  <c r="AF1158" i="2"/>
  <c r="Z1158" i="2"/>
  <c r="AG1158" i="2" s="1"/>
  <c r="AE1156" i="2"/>
  <c r="AF1156" i="2"/>
  <c r="AA1152" i="2"/>
  <c r="AD1152" i="2"/>
  <c r="AF1134" i="2"/>
  <c r="AD1409" i="2"/>
  <c r="AC1395" i="2"/>
  <c r="AC1390" i="2"/>
  <c r="AB1390" i="2"/>
  <c r="AG1390" i="2" s="1"/>
  <c r="AB1386" i="2"/>
  <c r="AG1386" i="2" s="1"/>
  <c r="AD1386" i="2"/>
  <c r="AC1367" i="2"/>
  <c r="AC1358" i="2"/>
  <c r="AB1358" i="2"/>
  <c r="AB1354" i="2"/>
  <c r="AD1354" i="2"/>
  <c r="AC1335" i="2"/>
  <c r="AH1331" i="2"/>
  <c r="AE1326" i="2"/>
  <c r="Z1326" i="2"/>
  <c r="AC1324" i="2"/>
  <c r="AC1322" i="2"/>
  <c r="AD1303" i="2"/>
  <c r="AD1299" i="2"/>
  <c r="AA1294" i="2"/>
  <c r="AD1294" i="2"/>
  <c r="AA1290" i="2"/>
  <c r="AE1290" i="2"/>
  <c r="AD1287" i="2"/>
  <c r="AG1283" i="2"/>
  <c r="AC1262" i="2"/>
  <c r="AB1262" i="2"/>
  <c r="AG1262" i="2" s="1"/>
  <c r="AB1258" i="2"/>
  <c r="AD1258" i="2"/>
  <c r="AC1239" i="2"/>
  <c r="AG1235" i="2"/>
  <c r="AC1206" i="2"/>
  <c r="AB1206" i="2"/>
  <c r="AA1190" i="2"/>
  <c r="AG1190" i="2" s="1"/>
  <c r="AD1190" i="2"/>
  <c r="AC1174" i="2"/>
  <c r="AB1174" i="2"/>
  <c r="AG1174" i="2" s="1"/>
  <c r="AF1160" i="2"/>
  <c r="AC1145" i="2"/>
  <c r="AB1145" i="2"/>
  <c r="AG1143" i="2"/>
  <c r="AG1141" i="2"/>
  <c r="AC1141" i="2"/>
  <c r="AC1140" i="2"/>
  <c r="AD1140" i="2"/>
  <c r="AC1138" i="2"/>
  <c r="AG1138" i="2"/>
  <c r="AA1131" i="2"/>
  <c r="AG1131" i="2" s="1"/>
  <c r="AG1104" i="2"/>
  <c r="AD1093" i="2"/>
  <c r="AD1061" i="2"/>
  <c r="AG1040" i="2"/>
  <c r="AC896" i="2"/>
  <c r="AC888" i="2"/>
  <c r="AB1144" i="2"/>
  <c r="AG1129" i="2"/>
  <c r="AB1126" i="2"/>
  <c r="AG1126" i="2" s="1"/>
  <c r="Z1124" i="2"/>
  <c r="AG1124" i="2" s="1"/>
  <c r="AE1124" i="2"/>
  <c r="AC1109" i="2"/>
  <c r="AG1106" i="2"/>
  <c r="AC1029" i="2"/>
  <c r="AG1026" i="2"/>
  <c r="AG1021" i="2"/>
  <c r="AC997" i="2"/>
  <c r="AG994" i="2"/>
  <c r="AG989" i="2"/>
  <c r="AC965" i="2"/>
  <c r="AG962" i="2"/>
  <c r="AG957" i="2"/>
  <c r="AE932" i="2"/>
  <c r="AC925" i="2"/>
  <c r="Z924" i="2"/>
  <c r="AG924" i="2" s="1"/>
  <c r="AG917" i="2"/>
  <c r="AD916" i="2"/>
  <c r="AE900" i="2"/>
  <c r="AB896" i="2"/>
  <c r="AC1149" i="2"/>
  <c r="AC1130" i="2"/>
  <c r="AG1130" i="2" s="1"/>
  <c r="AE1128" i="2"/>
  <c r="AE1086" i="2"/>
  <c r="AE1038" i="2"/>
  <c r="AE947" i="2"/>
  <c r="AA885" i="2"/>
  <c r="Z1137" i="2"/>
  <c r="AG1137" i="2" s="1"/>
  <c r="AC1133" i="2"/>
  <c r="AG1125" i="2"/>
  <c r="AA1119" i="2"/>
  <c r="Z1117" i="2"/>
  <c r="AG1117" i="2" s="1"/>
  <c r="AE1109" i="2"/>
  <c r="AG1102" i="2"/>
  <c r="AB1101" i="2"/>
  <c r="AC1097" i="2"/>
  <c r="AE1093" i="2"/>
  <c r="AF1085" i="2"/>
  <c r="AG1078" i="2"/>
  <c r="AB1077" i="2"/>
  <c r="AA1071" i="2"/>
  <c r="AG1071" i="2" s="1"/>
  <c r="Z1069" i="2"/>
  <c r="AG1069" i="2" s="1"/>
  <c r="AE1061" i="2"/>
  <c r="AE1053" i="2"/>
  <c r="AE1045" i="2"/>
  <c r="AF1037" i="2"/>
  <c r="Z1029" i="2"/>
  <c r="AG1029" i="2" s="1"/>
  <c r="AB1028" i="2"/>
  <c r="AG1028" i="2" s="1"/>
  <c r="AF1021" i="2"/>
  <c r="Z1013" i="2"/>
  <c r="AG1013" i="2" s="1"/>
  <c r="AB1012" i="2"/>
  <c r="AG1012" i="2" s="1"/>
  <c r="AF1005" i="2"/>
  <c r="Z997" i="2"/>
  <c r="AG997" i="2" s="1"/>
  <c r="AB996" i="2"/>
  <c r="AF989" i="2"/>
  <c r="Z981" i="2"/>
  <c r="AG981" i="2" s="1"/>
  <c r="AB980" i="2"/>
  <c r="AF973" i="2"/>
  <c r="Z965" i="2"/>
  <c r="AG965" i="2" s="1"/>
  <c r="AB964" i="2"/>
  <c r="AG964" i="2" s="1"/>
  <c r="AF957" i="2"/>
  <c r="Z949" i="2"/>
  <c r="AG949" i="2" s="1"/>
  <c r="AB948" i="2"/>
  <c r="AG948" i="2" s="1"/>
  <c r="AG942" i="2"/>
  <c r="AB941" i="2"/>
  <c r="AE933" i="2"/>
  <c r="AB925" i="2"/>
  <c r="AE917" i="2"/>
  <c r="AG910" i="2"/>
  <c r="AB909" i="2"/>
  <c r="AE901" i="2"/>
  <c r="AE893" i="2"/>
  <c r="AE888" i="2"/>
  <c r="Z885" i="2"/>
  <c r="AG885" i="2" s="1"/>
  <c r="AG1123" i="2"/>
  <c r="AA1120" i="2"/>
  <c r="Z1120" i="2"/>
  <c r="AG1120" i="2" s="1"/>
  <c r="AE1112" i="2"/>
  <c r="AC1112" i="2"/>
  <c r="AA1098" i="2"/>
  <c r="AG1098" i="2" s="1"/>
  <c r="AE1098" i="2"/>
  <c r="AB1050" i="2"/>
  <c r="AD1050" i="2"/>
  <c r="AD1049" i="2"/>
  <c r="AB1042" i="2"/>
  <c r="AD1042" i="2"/>
  <c r="AA1034" i="2"/>
  <c r="AE1034" i="2"/>
  <c r="AF1024" i="2"/>
  <c r="AD1024" i="2"/>
  <c r="AA1018" i="2"/>
  <c r="AG1018" i="2" s="1"/>
  <c r="AE1018" i="2"/>
  <c r="AF1008" i="2"/>
  <c r="AD1008" i="2"/>
  <c r="AA1002" i="2"/>
  <c r="AE1002" i="2"/>
  <c r="AF992" i="2"/>
  <c r="AD992" i="2"/>
  <c r="AA986" i="2"/>
  <c r="AG986" i="2" s="1"/>
  <c r="AE986" i="2"/>
  <c r="AF976" i="2"/>
  <c r="AD976" i="2"/>
  <c r="AA970" i="2"/>
  <c r="AE970" i="2"/>
  <c r="AF960" i="2"/>
  <c r="AD960" i="2"/>
  <c r="AA954" i="2"/>
  <c r="AE954" i="2"/>
  <c r="AA950" i="2"/>
  <c r="AD950" i="2"/>
  <c r="AF938" i="2"/>
  <c r="Z938" i="2"/>
  <c r="AG938" i="2" s="1"/>
  <c r="AF934" i="2"/>
  <c r="AG923" i="2"/>
  <c r="AE918" i="2"/>
  <c r="Z918" i="2"/>
  <c r="AG918" i="2" s="1"/>
  <c r="AB904" i="2"/>
  <c r="AC903" i="2"/>
  <c r="AF898" i="2"/>
  <c r="Z898" i="2"/>
  <c r="AG898" i="2" s="1"/>
  <c r="AC894" i="2"/>
  <c r="AB894" i="2"/>
  <c r="AF868" i="2"/>
  <c r="AE864" i="2"/>
  <c r="Z848" i="2"/>
  <c r="AG848" i="2" s="1"/>
  <c r="AC833" i="2"/>
  <c r="AC825" i="2"/>
  <c r="AG804" i="2"/>
  <c r="AC793" i="2"/>
  <c r="AC785" i="2"/>
  <c r="AC777" i="2"/>
  <c r="AC769" i="2"/>
  <c r="AC761" i="2"/>
  <c r="AB1106" i="2"/>
  <c r="AD1106" i="2"/>
  <c r="AB1088" i="2"/>
  <c r="AG1083" i="2"/>
  <c r="AF1080" i="2"/>
  <c r="AD1080" i="2"/>
  <c r="AA1072" i="2"/>
  <c r="Z1072" i="2"/>
  <c r="AG1072" i="2" s="1"/>
  <c r="AE1064" i="2"/>
  <c r="AC1064" i="2"/>
  <c r="AB1056" i="2"/>
  <c r="AB1044" i="2"/>
  <c r="AG1044" i="2" s="1"/>
  <c r="AA1030" i="2"/>
  <c r="AD1030" i="2"/>
  <c r="AC1014" i="2"/>
  <c r="AB1014" i="2"/>
  <c r="AA998" i="2"/>
  <c r="AD998" i="2"/>
  <c r="AC982" i="2"/>
  <c r="AB982" i="2"/>
  <c r="AA966" i="2"/>
  <c r="AD966" i="2"/>
  <c r="AE944" i="2"/>
  <c r="AC944" i="2"/>
  <c r="AG939" i="2"/>
  <c r="AC932" i="2"/>
  <c r="AB930" i="2"/>
  <c r="AD930" i="2"/>
  <c r="AG929" i="2"/>
  <c r="AE920" i="2"/>
  <c r="AC920" i="2"/>
  <c r="AC916" i="2"/>
  <c r="AB914" i="2"/>
  <c r="AD914" i="2"/>
  <c r="AG913" i="2"/>
  <c r="AC910" i="2"/>
  <c r="AB910" i="2"/>
  <c r="AC895" i="2"/>
  <c r="AC890" i="2"/>
  <c r="AA886" i="2"/>
  <c r="AD886" i="2"/>
  <c r="AB880" i="2"/>
  <c r="Z880" i="2"/>
  <c r="AG880" i="2" s="1"/>
  <c r="AE876" i="2"/>
  <c r="AA864" i="2"/>
  <c r="AG864" i="2" s="1"/>
  <c r="AD864" i="2"/>
  <c r="AC862" i="2"/>
  <c r="AB833" i="2"/>
  <c r="AB793" i="2"/>
  <c r="AB777" i="2"/>
  <c r="AB761" i="2"/>
  <c r="AB753" i="2"/>
  <c r="AG739" i="2"/>
  <c r="AC1122" i="2"/>
  <c r="AD1121" i="2"/>
  <c r="AB1114" i="2"/>
  <c r="AD1114" i="2"/>
  <c r="AA1096" i="2"/>
  <c r="Z1096" i="2"/>
  <c r="AG1096" i="2" s="1"/>
  <c r="AC1094" i="2"/>
  <c r="AG1094" i="2" s="1"/>
  <c r="AB1048" i="2"/>
  <c r="AG1043" i="2"/>
  <c r="AF1040" i="2"/>
  <c r="AD1040" i="2"/>
  <c r="AA1032" i="2"/>
  <c r="Z1032" i="2"/>
  <c r="AG1032" i="2" s="1"/>
  <c r="AG1031" i="2"/>
  <c r="AC1026" i="2"/>
  <c r="AA1016" i="2"/>
  <c r="Z1016" i="2"/>
  <c r="AG1016" i="2" s="1"/>
  <c r="AG1015" i="2"/>
  <c r="AC1010" i="2"/>
  <c r="AA1000" i="2"/>
  <c r="Z1000" i="2"/>
  <c r="AG1000" i="2" s="1"/>
  <c r="AG999" i="2"/>
  <c r="AC994" i="2"/>
  <c r="AA984" i="2"/>
  <c r="Z984" i="2"/>
  <c r="AG984" i="2" s="1"/>
  <c r="AG983" i="2"/>
  <c r="AC978" i="2"/>
  <c r="AA968" i="2"/>
  <c r="Z968" i="2"/>
  <c r="AG968" i="2" s="1"/>
  <c r="AG967" i="2"/>
  <c r="AC962" i="2"/>
  <c r="AA952" i="2"/>
  <c r="Z952" i="2"/>
  <c r="AG952" i="2" s="1"/>
  <c r="AB936" i="2"/>
  <c r="AC935" i="2"/>
  <c r="AC926" i="2"/>
  <c r="AB926" i="2"/>
  <c r="AG926" i="2" s="1"/>
  <c r="AC906" i="2"/>
  <c r="AG891" i="2"/>
  <c r="Z878" i="2"/>
  <c r="AG878" i="2" s="1"/>
  <c r="AB876" i="2"/>
  <c r="Z876" i="2"/>
  <c r="AG876" i="2" s="1"/>
  <c r="AD875" i="2"/>
  <c r="AA873" i="2"/>
  <c r="AE872" i="2"/>
  <c r="Z865" i="2"/>
  <c r="AG865" i="2" s="1"/>
  <c r="AE865" i="2"/>
  <c r="AE862" i="2"/>
  <c r="AA860" i="2"/>
  <c r="AC857" i="2"/>
  <c r="AF857" i="2"/>
  <c r="Z853" i="2"/>
  <c r="AG853" i="2" s="1"/>
  <c r="AA851" i="2"/>
  <c r="AG851" i="2"/>
  <c r="AD851" i="2"/>
  <c r="AB844" i="2"/>
  <c r="AG844" i="2"/>
  <c r="AC844" i="2"/>
  <c r="AA841" i="2"/>
  <c r="AA833" i="2"/>
  <c r="AA825" i="2"/>
  <c r="AG821" i="2"/>
  <c r="AB820" i="2"/>
  <c r="AF817" i="2"/>
  <c r="AB811" i="2"/>
  <c r="AG811" i="2" s="1"/>
  <c r="AE804" i="2"/>
  <c r="AC744" i="2"/>
  <c r="AC736" i="2"/>
  <c r="AG720" i="2"/>
  <c r="AD1115" i="2"/>
  <c r="AA1107" i="2"/>
  <c r="AE1104" i="2"/>
  <c r="AC1104" i="2"/>
  <c r="AB1090" i="2"/>
  <c r="AD1090" i="2"/>
  <c r="AC1082" i="2"/>
  <c r="AG1081" i="2"/>
  <c r="AA1074" i="2"/>
  <c r="AG1074" i="2" s="1"/>
  <c r="AE1074" i="2"/>
  <c r="AF1066" i="2"/>
  <c r="Z1066" i="2"/>
  <c r="AG1066" i="2" s="1"/>
  <c r="AD1065" i="2"/>
  <c r="AB1058" i="2"/>
  <c r="AD1058" i="2"/>
  <c r="AD1057" i="2"/>
  <c r="AC1022" i="2"/>
  <c r="AB1022" i="2"/>
  <c r="AG1022" i="2" s="1"/>
  <c r="AA1006" i="2"/>
  <c r="AD1006" i="2"/>
  <c r="AC990" i="2"/>
  <c r="AB990" i="2"/>
  <c r="AG990" i="2" s="1"/>
  <c r="AA974" i="2"/>
  <c r="AD974" i="2"/>
  <c r="AC958" i="2"/>
  <c r="AB958" i="2"/>
  <c r="AG958" i="2" s="1"/>
  <c r="AG945" i="2"/>
  <c r="AC942" i="2"/>
  <c r="AB942" i="2"/>
  <c r="AF928" i="2"/>
  <c r="AD928" i="2"/>
  <c r="AA922" i="2"/>
  <c r="AG922" i="2" s="1"/>
  <c r="AE922" i="2"/>
  <c r="AF912" i="2"/>
  <c r="AD912" i="2"/>
  <c r="AA907" i="2"/>
  <c r="AF902" i="2"/>
  <c r="AG879" i="2"/>
  <c r="AF872" i="2"/>
  <c r="AD869" i="2"/>
  <c r="AG863" i="2"/>
  <c r="AB854" i="2"/>
  <c r="AA845" i="2"/>
  <c r="AG845" i="2" s="1"/>
  <c r="AG842" i="2"/>
  <c r="AD841" i="2"/>
  <c r="AF838" i="2"/>
  <c r="AE825" i="2"/>
  <c r="AD820" i="2"/>
  <c r="Z817" i="2"/>
  <c r="AG817" i="2" s="1"/>
  <c r="AF811" i="2"/>
  <c r="Z801" i="2"/>
  <c r="AG801" i="2" s="1"/>
  <c r="AG799" i="2"/>
  <c r="AG794" i="2"/>
  <c r="AD793" i="2"/>
  <c r="AE777" i="2"/>
  <c r="Z769" i="2"/>
  <c r="AG769" i="2" s="1"/>
  <c r="AG767" i="2"/>
  <c r="AG762" i="2"/>
  <c r="AD761" i="2"/>
  <c r="AG759" i="2"/>
  <c r="AG754" i="2"/>
  <c r="AD753" i="2"/>
  <c r="AE851" i="2"/>
  <c r="AC839" i="2"/>
  <c r="AB839" i="2"/>
  <c r="AB829" i="2"/>
  <c r="AG829" i="2" s="1"/>
  <c r="AF829" i="2"/>
  <c r="AC828" i="2"/>
  <c r="AG828" i="2" s="1"/>
  <c r="AC803" i="2"/>
  <c r="AF799" i="2"/>
  <c r="AG798" i="2"/>
  <c r="AD794" i="2"/>
  <c r="AA789" i="2"/>
  <c r="AA783" i="2"/>
  <c r="AG783" i="2" s="1"/>
  <c r="AD783" i="2"/>
  <c r="AG782" i="2"/>
  <c r="AD778" i="2"/>
  <c r="AA773" i="2"/>
  <c r="AG773" i="2" s="1"/>
  <c r="AA767" i="2"/>
  <c r="AD767" i="2"/>
  <c r="AG766" i="2"/>
  <c r="AD762" i="2"/>
  <c r="AB755" i="2"/>
  <c r="AD755" i="2"/>
  <c r="AC739" i="2"/>
  <c r="AF723" i="2"/>
  <c r="AA720" i="2"/>
  <c r="AB717" i="2"/>
  <c r="AD717" i="2"/>
  <c r="AG688" i="2"/>
  <c r="AC648" i="2"/>
  <c r="AG608" i="2"/>
  <c r="AG600" i="2"/>
  <c r="AG592" i="2"/>
  <c r="AC576" i="2"/>
  <c r="AG568" i="2"/>
  <c r="AG536" i="2"/>
  <c r="AG496" i="2"/>
  <c r="AG440" i="2"/>
  <c r="AG408" i="2"/>
  <c r="AG344" i="2"/>
  <c r="AG312" i="2"/>
  <c r="AG280" i="2"/>
  <c r="AG248" i="2"/>
  <c r="AB835" i="2"/>
  <c r="AD835" i="2"/>
  <c r="AG824" i="2"/>
  <c r="AE821" i="2"/>
  <c r="AD821" i="2"/>
  <c r="AC813" i="2"/>
  <c r="Z813" i="2"/>
  <c r="AG813" i="2" s="1"/>
  <c r="AG812" i="2"/>
  <c r="AE807" i="2"/>
  <c r="Z807" i="2"/>
  <c r="AG807" i="2" s="1"/>
  <c r="AF795" i="2"/>
  <c r="Z795" i="2"/>
  <c r="AG795" i="2" s="1"/>
  <c r="AF779" i="2"/>
  <c r="Z779" i="2"/>
  <c r="AG779" i="2" s="1"/>
  <c r="AF763" i="2"/>
  <c r="Z763" i="2"/>
  <c r="AG763" i="2" s="1"/>
  <c r="AA751" i="2"/>
  <c r="AD751" i="2"/>
  <c r="AG750" i="2"/>
  <c r="AA747" i="2"/>
  <c r="AG747" i="2" s="1"/>
  <c r="AE747" i="2"/>
  <c r="AG734" i="2"/>
  <c r="AA731" i="2"/>
  <c r="AE731" i="2"/>
  <c r="AD722" i="2"/>
  <c r="AG716" i="2"/>
  <c r="AB704" i="2"/>
  <c r="AB696" i="2"/>
  <c r="AC685" i="2"/>
  <c r="AC677" i="2"/>
  <c r="AC669" i="2"/>
  <c r="AB664" i="2"/>
  <c r="AG645" i="2"/>
  <c r="AG629" i="2"/>
  <c r="AC605" i="2"/>
  <c r="AB592" i="2"/>
  <c r="AC565" i="2"/>
  <c r="AC557" i="2"/>
  <c r="AC549" i="2"/>
  <c r="AG530" i="2"/>
  <c r="AG522" i="2"/>
  <c r="AC517" i="2"/>
  <c r="AG514" i="2"/>
  <c r="AC493" i="2"/>
  <c r="AG485" i="2"/>
  <c r="AC461" i="2"/>
  <c r="AG453" i="2"/>
  <c r="AF856" i="2"/>
  <c r="Z856" i="2"/>
  <c r="AG856" i="2" s="1"/>
  <c r="AF846" i="2"/>
  <c r="Z846" i="2"/>
  <c r="AG846" i="2" s="1"/>
  <c r="AE845" i="2"/>
  <c r="AA840" i="2"/>
  <c r="AG840" i="2" s="1"/>
  <c r="AB837" i="2"/>
  <c r="AG837" i="2" s="1"/>
  <c r="AF837" i="2"/>
  <c r="AF831" i="2"/>
  <c r="AA800" i="2"/>
  <c r="AB797" i="2"/>
  <c r="AF797" i="2"/>
  <c r="AF791" i="2"/>
  <c r="AB781" i="2"/>
  <c r="AF781" i="2"/>
  <c r="AF775" i="2"/>
  <c r="AB765" i="2"/>
  <c r="AF765" i="2"/>
  <c r="AD760" i="2"/>
  <c r="AA757" i="2"/>
  <c r="AD744" i="2"/>
  <c r="AA741" i="2"/>
  <c r="AA730" i="2"/>
  <c r="AG730" i="2" s="1"/>
  <c r="AD728" i="2"/>
  <c r="AC723" i="2"/>
  <c r="AG700" i="2"/>
  <c r="AA696" i="2"/>
  <c r="AG696" i="2" s="1"/>
  <c r="AA656" i="2"/>
  <c r="AG656" i="2" s="1"/>
  <c r="AA645" i="2"/>
  <c r="AG639" i="2"/>
  <c r="AG636" i="2"/>
  <c r="AG631" i="2"/>
  <c r="AA613" i="2"/>
  <c r="AG613" i="2" s="1"/>
  <c r="AF608" i="2"/>
  <c r="AA597" i="2"/>
  <c r="AF592" i="2"/>
  <c r="AA584" i="2"/>
  <c r="AG584" i="2" s="1"/>
  <c r="AG572" i="2"/>
  <c r="AG567" i="2"/>
  <c r="AG564" i="2"/>
  <c r="AG559" i="2"/>
  <c r="AG556" i="2"/>
  <c r="AG551" i="2"/>
  <c r="AG548" i="2"/>
  <c r="AG543" i="2"/>
  <c r="AG540" i="2"/>
  <c r="AG535" i="2"/>
  <c r="AG532" i="2"/>
  <c r="AG519" i="2"/>
  <c r="AG847" i="2"/>
  <c r="AG832" i="2"/>
  <c r="AB827" i="2"/>
  <c r="AD827" i="2"/>
  <c r="AE823" i="2"/>
  <c r="Z823" i="2"/>
  <c r="AG823" i="2" s="1"/>
  <c r="AA815" i="2"/>
  <c r="AD815" i="2"/>
  <c r="AA808" i="2"/>
  <c r="AG808" i="2" s="1"/>
  <c r="AB805" i="2"/>
  <c r="AF805" i="2"/>
  <c r="AC787" i="2"/>
  <c r="AC771" i="2"/>
  <c r="AE749" i="2"/>
  <c r="AD749" i="2"/>
  <c r="AB733" i="2"/>
  <c r="AF733" i="2"/>
  <c r="AG732" i="2"/>
  <c r="AE729" i="2"/>
  <c r="AC729" i="2"/>
  <c r="Z725" i="2"/>
  <c r="AG725" i="2" s="1"/>
  <c r="AA722" i="2"/>
  <c r="AG722" i="2" s="1"/>
  <c r="AF709" i="2"/>
  <c r="AC705" i="2"/>
  <c r="Z704" i="2"/>
  <c r="AG704" i="2" s="1"/>
  <c r="AG702" i="2"/>
  <c r="AB701" i="2"/>
  <c r="AE696" i="2"/>
  <c r="Z693" i="2"/>
  <c r="AG693" i="2" s="1"/>
  <c r="AB692" i="2"/>
  <c r="AG686" i="2"/>
  <c r="AB685" i="2"/>
  <c r="AA679" i="2"/>
  <c r="AG679" i="2" s="1"/>
  <c r="Z677" i="2"/>
  <c r="AG677" i="2" s="1"/>
  <c r="AA671" i="2"/>
  <c r="AG671" i="2" s="1"/>
  <c r="Z669" i="2"/>
  <c r="AG669" i="2" s="1"/>
  <c r="AB668" i="2"/>
  <c r="AG668" i="2" s="1"/>
  <c r="AE664" i="2"/>
  <c r="AE661" i="2"/>
  <c r="AE656" i="2"/>
  <c r="AE653" i="2"/>
  <c r="AE648" i="2"/>
  <c r="AE645" i="2"/>
  <c r="AF637" i="2"/>
  <c r="AE629" i="2"/>
  <c r="AF621" i="2"/>
  <c r="AC617" i="2"/>
  <c r="AG617" i="2" s="1"/>
  <c r="Z616" i="2"/>
  <c r="AG616" i="2" s="1"/>
  <c r="AG614" i="2"/>
  <c r="AB613" i="2"/>
  <c r="AE608" i="2"/>
  <c r="Z605" i="2"/>
  <c r="AG605" i="2" s="1"/>
  <c r="AB604" i="2"/>
  <c r="AG604" i="2" s="1"/>
  <c r="AE600" i="2"/>
  <c r="Z597" i="2"/>
  <c r="AG597" i="2" s="1"/>
  <c r="AB596" i="2"/>
  <c r="AE592" i="2"/>
  <c r="Z589" i="2"/>
  <c r="AG589" i="2" s="1"/>
  <c r="AB588" i="2"/>
  <c r="AG588" i="2" s="1"/>
  <c r="AE584" i="2"/>
  <c r="AE581" i="2"/>
  <c r="AE573" i="2"/>
  <c r="AG569" i="2"/>
  <c r="AF565" i="2"/>
  <c r="AA559" i="2"/>
  <c r="Z557" i="2"/>
  <c r="AG557" i="2" s="1"/>
  <c r="AE549" i="2"/>
  <c r="AF541" i="2"/>
  <c r="AF533" i="2"/>
  <c r="Z525" i="2"/>
  <c r="AG525" i="2" s="1"/>
  <c r="AB524" i="2"/>
  <c r="AG524" i="2" s="1"/>
  <c r="AF517" i="2"/>
  <c r="AA511" i="2"/>
  <c r="AG511" i="2" s="1"/>
  <c r="Z509" i="2"/>
  <c r="AG509" i="2" s="1"/>
  <c r="AB508" i="2"/>
  <c r="AG508" i="2" s="1"/>
  <c r="AF501" i="2"/>
  <c r="AA495" i="2"/>
  <c r="AG495" i="2" s="1"/>
  <c r="Z493" i="2"/>
  <c r="AG493" i="2" s="1"/>
  <c r="AB492" i="2"/>
  <c r="AF485" i="2"/>
  <c r="Z477" i="2"/>
  <c r="AG477" i="2" s="1"/>
  <c r="AB476" i="2"/>
  <c r="AG476" i="2" s="1"/>
  <c r="AF469" i="2"/>
  <c r="Z461" i="2"/>
  <c r="AG461" i="2" s="1"/>
  <c r="AB460" i="2"/>
  <c r="AF453" i="2"/>
  <c r="AE445" i="2"/>
  <c r="AF437" i="2"/>
  <c r="AG430" i="2"/>
  <c r="AB429" i="2"/>
  <c r="AA423" i="2"/>
  <c r="AG423" i="2" s="1"/>
  <c r="Z421" i="2"/>
  <c r="AG421" i="2" s="1"/>
  <c r="AA415" i="2"/>
  <c r="Z413" i="2"/>
  <c r="AG413" i="2" s="1"/>
  <c r="AB412" i="2"/>
  <c r="AE405" i="2"/>
  <c r="AF397" i="2"/>
  <c r="AF389" i="2"/>
  <c r="AG382" i="2"/>
  <c r="AB381" i="2"/>
  <c r="AA375" i="2"/>
  <c r="AG375" i="2" s="1"/>
  <c r="Z373" i="2"/>
  <c r="AG373" i="2" s="1"/>
  <c r="AE365" i="2"/>
  <c r="AE357" i="2"/>
  <c r="AF349" i="2"/>
  <c r="AF341" i="2"/>
  <c r="AG334" i="2"/>
  <c r="AB333" i="2"/>
  <c r="AA327" i="2"/>
  <c r="AG327" i="2" s="1"/>
  <c r="Z325" i="2"/>
  <c r="AG325" i="2" s="1"/>
  <c r="AE317" i="2"/>
  <c r="AF309" i="2"/>
  <c r="AG302" i="2"/>
  <c r="AB301" i="2"/>
  <c r="AA295" i="2"/>
  <c r="AG295" i="2" s="1"/>
  <c r="Z293" i="2"/>
  <c r="AG293" i="2" s="1"/>
  <c r="AE285" i="2"/>
  <c r="AF277" i="2"/>
  <c r="AG270" i="2"/>
  <c r="AB269" i="2"/>
  <c r="AA263" i="2"/>
  <c r="AG263" i="2" s="1"/>
  <c r="Z261" i="2"/>
  <c r="AG261" i="2" s="1"/>
  <c r="AE253" i="2"/>
  <c r="AF245" i="2"/>
  <c r="AG238" i="2"/>
  <c r="AB237" i="2"/>
  <c r="AA231" i="2"/>
  <c r="AG231" i="2" s="1"/>
  <c r="Z229" i="2"/>
  <c r="AG229" i="2" s="1"/>
  <c r="AB228" i="2"/>
  <c r="AG228" i="2" s="1"/>
  <c r="AE710" i="2"/>
  <c r="Z710" i="2"/>
  <c r="AG710" i="2" s="1"/>
  <c r="AC708" i="2"/>
  <c r="AB706" i="2"/>
  <c r="AD706" i="2"/>
  <c r="AC694" i="2"/>
  <c r="AB694" i="2"/>
  <c r="AF690" i="2"/>
  <c r="Z690" i="2"/>
  <c r="AG690" i="2" s="1"/>
  <c r="AC682" i="2"/>
  <c r="AG681" i="2"/>
  <c r="AA674" i="2"/>
  <c r="AE674" i="2"/>
  <c r="AG673" i="2"/>
  <c r="AA666" i="2"/>
  <c r="AE666" i="2"/>
  <c r="AA624" i="2"/>
  <c r="Z624" i="2"/>
  <c r="AG624" i="2" s="1"/>
  <c r="AD617" i="2"/>
  <c r="AF614" i="2"/>
  <c r="AA590" i="2"/>
  <c r="AD590" i="2"/>
  <c r="AA586" i="2"/>
  <c r="AG586" i="2" s="1"/>
  <c r="AE586" i="2"/>
  <c r="AA574" i="2"/>
  <c r="AD574" i="2"/>
  <c r="AC564" i="2"/>
  <c r="AA538" i="2"/>
  <c r="AE538" i="2"/>
  <c r="AG537" i="2"/>
  <c r="AC526" i="2"/>
  <c r="AB526" i="2"/>
  <c r="AC522" i="2"/>
  <c r="AG521" i="2"/>
  <c r="AA512" i="2"/>
  <c r="Z512" i="2"/>
  <c r="AG512" i="2" s="1"/>
  <c r="AA499" i="2"/>
  <c r="AG499" i="2" s="1"/>
  <c r="AE496" i="2"/>
  <c r="AC496" i="2"/>
  <c r="AB480" i="2"/>
  <c r="AC479" i="2"/>
  <c r="AF474" i="2"/>
  <c r="Z474" i="2"/>
  <c r="AG474" i="2" s="1"/>
  <c r="AA454" i="2"/>
  <c r="AD454" i="2"/>
  <c r="AC438" i="2"/>
  <c r="AC414" i="2"/>
  <c r="AF408" i="2"/>
  <c r="AD408" i="2"/>
  <c r="AB394" i="2"/>
  <c r="AD394" i="2"/>
  <c r="AD393" i="2"/>
  <c r="AB376" i="2"/>
  <c r="AG376" i="2" s="1"/>
  <c r="AG371" i="2"/>
  <c r="AF368" i="2"/>
  <c r="AD368" i="2"/>
  <c r="AA360" i="2"/>
  <c r="Z360" i="2"/>
  <c r="AG360" i="2" s="1"/>
  <c r="AE352" i="2"/>
  <c r="AC352" i="2"/>
  <c r="AB224" i="2"/>
  <c r="AG715" i="2"/>
  <c r="AA712" i="2"/>
  <c r="Z712" i="2"/>
  <c r="AG712" i="2" s="1"/>
  <c r="AG711" i="2"/>
  <c r="AA707" i="2"/>
  <c r="AG707" i="2" s="1"/>
  <c r="AF702" i="2"/>
  <c r="AF698" i="2"/>
  <c r="Z698" i="2"/>
  <c r="AG698" i="2" s="1"/>
  <c r="AG695" i="2"/>
  <c r="AG659" i="2"/>
  <c r="AF650" i="2"/>
  <c r="Z650" i="2"/>
  <c r="AG650" i="2" s="1"/>
  <c r="AA642" i="2"/>
  <c r="AE642" i="2"/>
  <c r="AC634" i="2"/>
  <c r="AF618" i="2"/>
  <c r="Z618" i="2"/>
  <c r="AG618" i="2" s="1"/>
  <c r="AG615" i="2"/>
  <c r="AC598" i="2"/>
  <c r="AB598" i="2"/>
  <c r="AB594" i="2"/>
  <c r="AD594" i="2"/>
  <c r="AF578" i="2"/>
  <c r="Z578" i="2"/>
  <c r="AG578" i="2" s="1"/>
  <c r="AG575" i="2"/>
  <c r="AA560" i="2"/>
  <c r="Z560" i="2"/>
  <c r="AG560" i="2" s="1"/>
  <c r="AE552" i="2"/>
  <c r="AC552" i="2"/>
  <c r="AB544" i="2"/>
  <c r="AB528" i="2"/>
  <c r="AB506" i="2"/>
  <c r="AD506" i="2"/>
  <c r="AG505" i="2"/>
  <c r="AB490" i="2"/>
  <c r="AG490" i="2" s="1"/>
  <c r="AD490" i="2"/>
  <c r="AG489" i="2"/>
  <c r="AF470" i="2"/>
  <c r="AB466" i="2"/>
  <c r="AD466" i="2"/>
  <c r="AG465" i="2"/>
  <c r="AE456" i="2"/>
  <c r="AC456" i="2"/>
  <c r="AC452" i="2"/>
  <c r="AB450" i="2"/>
  <c r="AD450" i="2"/>
  <c r="AG449" i="2"/>
  <c r="AA442" i="2"/>
  <c r="AE442" i="2"/>
  <c r="AF434" i="2"/>
  <c r="Z434" i="2"/>
  <c r="AG434" i="2" s="1"/>
  <c r="AB426" i="2"/>
  <c r="AD426" i="2"/>
  <c r="AC418" i="2"/>
  <c r="AG403" i="2"/>
  <c r="AE400" i="2"/>
  <c r="AC400" i="2"/>
  <c r="AF386" i="2"/>
  <c r="Z386" i="2"/>
  <c r="AG386" i="2" s="1"/>
  <c r="AC385" i="2"/>
  <c r="AC374" i="2"/>
  <c r="AC350" i="2"/>
  <c r="AE344" i="2"/>
  <c r="AC344" i="2"/>
  <c r="AB336" i="2"/>
  <c r="AG336" i="2" s="1"/>
  <c r="AG331" i="2"/>
  <c r="AF328" i="2"/>
  <c r="AD328" i="2"/>
  <c r="AA320" i="2"/>
  <c r="Z320" i="2"/>
  <c r="AG320" i="2" s="1"/>
  <c r="AE312" i="2"/>
  <c r="AC312" i="2"/>
  <c r="AB304" i="2"/>
  <c r="AG299" i="2"/>
  <c r="AF296" i="2"/>
  <c r="AD296" i="2"/>
  <c r="AA288" i="2"/>
  <c r="Z288" i="2"/>
  <c r="AG288" i="2" s="1"/>
  <c r="AE280" i="2"/>
  <c r="AC280" i="2"/>
  <c r="AB272" i="2"/>
  <c r="AG267" i="2"/>
  <c r="AF264" i="2"/>
  <c r="AD264" i="2"/>
  <c r="AA256" i="2"/>
  <c r="Z256" i="2"/>
  <c r="AG256" i="2" s="1"/>
  <c r="AE248" i="2"/>
  <c r="AC248" i="2"/>
  <c r="AB240" i="2"/>
  <c r="AG235" i="2"/>
  <c r="AF232" i="2"/>
  <c r="AD232" i="2"/>
  <c r="AG223" i="2"/>
  <c r="AE219" i="2"/>
  <c r="AA211" i="2"/>
  <c r="AG211" i="2" s="1"/>
  <c r="AA206" i="2"/>
  <c r="AF205" i="2"/>
  <c r="AE202" i="2"/>
  <c r="AG199" i="2"/>
  <c r="AG699" i="2"/>
  <c r="AB688" i="2"/>
  <c r="AG683" i="2"/>
  <c r="AF680" i="2"/>
  <c r="AD680" i="2"/>
  <c r="AB672" i="2"/>
  <c r="AG667" i="2"/>
  <c r="AB626" i="2"/>
  <c r="AG626" i="2" s="1"/>
  <c r="AD626" i="2"/>
  <c r="AD609" i="2"/>
  <c r="AF606" i="2"/>
  <c r="AF602" i="2"/>
  <c r="Z602" i="2"/>
  <c r="AG602" i="2" s="1"/>
  <c r="AG599" i="2"/>
  <c r="AG587" i="2"/>
  <c r="AE568" i="2"/>
  <c r="AC568" i="2"/>
  <c r="AC550" i="2"/>
  <c r="AG539" i="2"/>
  <c r="AE536" i="2"/>
  <c r="AC536" i="2"/>
  <c r="AE520" i="2"/>
  <c r="AC520" i="2"/>
  <c r="AF518" i="2"/>
  <c r="AB514" i="2"/>
  <c r="AD514" i="2"/>
  <c r="AF502" i="2"/>
  <c r="AB498" i="2"/>
  <c r="AD498" i="2"/>
  <c r="AF486" i="2"/>
  <c r="AB482" i="2"/>
  <c r="AD482" i="2"/>
  <c r="AG481" i="2"/>
  <c r="AE472" i="2"/>
  <c r="AC472" i="2"/>
  <c r="AC468" i="2"/>
  <c r="AE462" i="2"/>
  <c r="Z462" i="2"/>
  <c r="AG462" i="2" s="1"/>
  <c r="AC410" i="2"/>
  <c r="AG395" i="2"/>
  <c r="AE392" i="2"/>
  <c r="AC392" i="2"/>
  <c r="AF378" i="2"/>
  <c r="Z378" i="2"/>
  <c r="AG378" i="2" s="1"/>
  <c r="AC377" i="2"/>
  <c r="AF370" i="2"/>
  <c r="Z370" i="2"/>
  <c r="AG370" i="2" s="1"/>
  <c r="AB362" i="2"/>
  <c r="AD362" i="2"/>
  <c r="AB354" i="2"/>
  <c r="AD354" i="2"/>
  <c r="AC334" i="2"/>
  <c r="AC318" i="2"/>
  <c r="AC302" i="2"/>
  <c r="AC286" i="2"/>
  <c r="AC270" i="2"/>
  <c r="AC254" i="2"/>
  <c r="AC238" i="2"/>
  <c r="AF226" i="2"/>
  <c r="Z226" i="2"/>
  <c r="AG226" i="2" s="1"/>
  <c r="AA222" i="2"/>
  <c r="AD222" i="2"/>
  <c r="AE217" i="2"/>
  <c r="Z210" i="2"/>
  <c r="AG210" i="2" s="1"/>
  <c r="AE210" i="2"/>
  <c r="AE205" i="2"/>
  <c r="AB202" i="2"/>
  <c r="AG202" i="2" s="1"/>
  <c r="AC724" i="2"/>
  <c r="AC714" i="2"/>
  <c r="AC686" i="2"/>
  <c r="AC670" i="2"/>
  <c r="AC658" i="2"/>
  <c r="AG651" i="2"/>
  <c r="AD643" i="2"/>
  <c r="AB632" i="2"/>
  <c r="AA630" i="2"/>
  <c r="AD630" i="2"/>
  <c r="AD627" i="2"/>
  <c r="AD619" i="2"/>
  <c r="AF610" i="2"/>
  <c r="Z610" i="2"/>
  <c r="AG610" i="2" s="1"/>
  <c r="AG607" i="2"/>
  <c r="AG595" i="2"/>
  <c r="AF570" i="2"/>
  <c r="Z570" i="2"/>
  <c r="AG570" i="2" s="1"/>
  <c r="AB562" i="2"/>
  <c r="AD562" i="2"/>
  <c r="AC554" i="2"/>
  <c r="AG553" i="2"/>
  <c r="AA546" i="2"/>
  <c r="AE546" i="2"/>
  <c r="AC534" i="2"/>
  <c r="AC530" i="2"/>
  <c r="AG507" i="2"/>
  <c r="AF504" i="2"/>
  <c r="AD504" i="2"/>
  <c r="AE488" i="2"/>
  <c r="AC488" i="2"/>
  <c r="AD487" i="2"/>
  <c r="AC484" i="2"/>
  <c r="AE478" i="2"/>
  <c r="Z478" i="2"/>
  <c r="AG478" i="2" s="1"/>
  <c r="AD473" i="2"/>
  <c r="AE464" i="2"/>
  <c r="AC464" i="2"/>
  <c r="AD463" i="2"/>
  <c r="AC460" i="2"/>
  <c r="AB458" i="2"/>
  <c r="AG458" i="2" s="1"/>
  <c r="AD458" i="2"/>
  <c r="AG457" i="2"/>
  <c r="AE448" i="2"/>
  <c r="AC448" i="2"/>
  <c r="AB440" i="2"/>
  <c r="AG435" i="2"/>
  <c r="AF432" i="2"/>
  <c r="AD432" i="2"/>
  <c r="AA424" i="2"/>
  <c r="Z424" i="2"/>
  <c r="AG424" i="2" s="1"/>
  <c r="AF416" i="2"/>
  <c r="AD416" i="2"/>
  <c r="AD411" i="2"/>
  <c r="AC402" i="2"/>
  <c r="AG387" i="2"/>
  <c r="AE384" i="2"/>
  <c r="AC384" i="2"/>
  <c r="AD371" i="2"/>
  <c r="AD355" i="2"/>
  <c r="AB346" i="2"/>
  <c r="AD346" i="2"/>
  <c r="AB338" i="2"/>
  <c r="AD338" i="2"/>
  <c r="AC330" i="2"/>
  <c r="AG329" i="2"/>
  <c r="AA322" i="2"/>
  <c r="AG322" i="2" s="1"/>
  <c r="AE322" i="2"/>
  <c r="AF314" i="2"/>
  <c r="Z314" i="2"/>
  <c r="AG314" i="2" s="1"/>
  <c r="AB306" i="2"/>
  <c r="AD306" i="2"/>
  <c r="AC298" i="2"/>
  <c r="AG297" i="2"/>
  <c r="AA290" i="2"/>
  <c r="AG290" i="2" s="1"/>
  <c r="AE290" i="2"/>
  <c r="AF282" i="2"/>
  <c r="Z282" i="2"/>
  <c r="AG282" i="2" s="1"/>
  <c r="AB274" i="2"/>
  <c r="AD274" i="2"/>
  <c r="AC266" i="2"/>
  <c r="AG265" i="2"/>
  <c r="AA258" i="2"/>
  <c r="AE258" i="2"/>
  <c r="AF250" i="2"/>
  <c r="Z250" i="2"/>
  <c r="AG250" i="2" s="1"/>
  <c r="AB242" i="2"/>
  <c r="AD242" i="2"/>
  <c r="AC234" i="2"/>
  <c r="AG233" i="2"/>
  <c r="AC221" i="2"/>
  <c r="AC219" i="2"/>
  <c r="AA217" i="2"/>
  <c r="AG217" i="2" s="1"/>
  <c r="AB216" i="2"/>
  <c r="AD216" i="2"/>
  <c r="AC214" i="2"/>
  <c r="AB208" i="2"/>
  <c r="Z206" i="2"/>
  <c r="AG206" i="2" s="1"/>
  <c r="AF202" i="2"/>
  <c r="AC200" i="2"/>
  <c r="AE209" i="2"/>
  <c r="AC194" i="2"/>
  <c r="AA194" i="2"/>
  <c r="AG194" i="2" s="1"/>
  <c r="AG175" i="2"/>
  <c r="AG167" i="2"/>
  <c r="AG151" i="2"/>
  <c r="AG135" i="2"/>
  <c r="AG123" i="2"/>
  <c r="AG111" i="2"/>
  <c r="AG103" i="2"/>
  <c r="AG83" i="2"/>
  <c r="AG71" i="2"/>
  <c r="AG67" i="2"/>
  <c r="AG55" i="2"/>
  <c r="AG39" i="2"/>
  <c r="AG23" i="2"/>
  <c r="AG19" i="2"/>
  <c r="Z204" i="2"/>
  <c r="AG204" i="2" s="1"/>
  <c r="AE204" i="2"/>
  <c r="AG195" i="2"/>
  <c r="AG201" i="2"/>
  <c r="AC196" i="2"/>
  <c r="AA196" i="2"/>
  <c r="AF191" i="2"/>
  <c r="AF187" i="2"/>
  <c r="AA183" i="2"/>
  <c r="AG183" i="2" s="1"/>
  <c r="AC183" i="2"/>
  <c r="AF179" i="2"/>
  <c r="AF175" i="2"/>
  <c r="AF171" i="2"/>
  <c r="AA167" i="2"/>
  <c r="AC167" i="2"/>
  <c r="AF163" i="2"/>
  <c r="AF159" i="2"/>
  <c r="AF155" i="2"/>
  <c r="AA151" i="2"/>
  <c r="AC151" i="2"/>
  <c r="AA147" i="2"/>
  <c r="AG147" i="2" s="1"/>
  <c r="AC147" i="2"/>
  <c r="AA143" i="2"/>
  <c r="AG143" i="2" s="1"/>
  <c r="AC143" i="2"/>
  <c r="AF139" i="2"/>
  <c r="AA135" i="2"/>
  <c r="AC135" i="2"/>
  <c r="AF131" i="2"/>
  <c r="AF127" i="2"/>
  <c r="AA123" i="2"/>
  <c r="AC123" i="2"/>
  <c r="AA119" i="2"/>
  <c r="AG119" i="2" s="1"/>
  <c r="AC119" i="2"/>
  <c r="AA115" i="2"/>
  <c r="AG115" i="2" s="1"/>
  <c r="AC115" i="2"/>
  <c r="AA111" i="2"/>
  <c r="AC111" i="2"/>
  <c r="AA107" i="2"/>
  <c r="AG107" i="2" s="1"/>
  <c r="AC107" i="2"/>
  <c r="AE103" i="2"/>
  <c r="AC103" i="2"/>
  <c r="AA99" i="2"/>
  <c r="AG99" i="2" s="1"/>
  <c r="AC99" i="2"/>
  <c r="AF95" i="2"/>
  <c r="AF91" i="2"/>
  <c r="AF87" i="2"/>
  <c r="AA83" i="2"/>
  <c r="AC83" i="2"/>
  <c r="AF79" i="2"/>
  <c r="AF75" i="2"/>
  <c r="AF71" i="2"/>
  <c r="AF67" i="2"/>
  <c r="AA63" i="2"/>
  <c r="AG63" i="2" s="1"/>
  <c r="AC63" i="2"/>
  <c r="AF59" i="2"/>
  <c r="AA55" i="2"/>
  <c r="AC55" i="2"/>
  <c r="AA51" i="2"/>
  <c r="AG51" i="2" s="1"/>
  <c r="AC51" i="2"/>
  <c r="AA47" i="2"/>
  <c r="AG47" i="2" s="1"/>
  <c r="AC47" i="2"/>
  <c r="AA43" i="2"/>
  <c r="AG43" i="2" s="1"/>
  <c r="AC43" i="2"/>
  <c r="AA39" i="2"/>
  <c r="AC39" i="2"/>
  <c r="AA35" i="2"/>
  <c r="AG35" i="2" s="1"/>
  <c r="AC35" i="2"/>
  <c r="AA31" i="2"/>
  <c r="AG31" i="2" s="1"/>
  <c r="AC31" i="2"/>
  <c r="AA27" i="2"/>
  <c r="AG27" i="2" s="1"/>
  <c r="AC27" i="2"/>
  <c r="AA23" i="2"/>
  <c r="AC23" i="2"/>
  <c r="AA19" i="2"/>
  <c r="AC19" i="2"/>
  <c r="AF15" i="2"/>
  <c r="AA11" i="2"/>
  <c r="AC11" i="2"/>
  <c r="AA7" i="2"/>
  <c r="AC7" i="2"/>
  <c r="AC3" i="2"/>
  <c r="AG3" i="2" s="1"/>
  <c r="AH31" i="2" l="1"/>
  <c r="AH47" i="2"/>
  <c r="AH119" i="2"/>
  <c r="AH217" i="2"/>
  <c r="AH458" i="2"/>
  <c r="AH210" i="2"/>
  <c r="AH226" i="2"/>
  <c r="AH378" i="2"/>
  <c r="AH626" i="2"/>
  <c r="AH211" i="2"/>
  <c r="AH386" i="2"/>
  <c r="AH434" i="2"/>
  <c r="AH490" i="2"/>
  <c r="AH560" i="2"/>
  <c r="AH712" i="2"/>
  <c r="AH512" i="2"/>
  <c r="AH228" i="2"/>
  <c r="AH263" i="2"/>
  <c r="AH327" i="2"/>
  <c r="AH375" i="2"/>
  <c r="AH477" i="2"/>
  <c r="AH495" i="2"/>
  <c r="AH511" i="2"/>
  <c r="AH604" i="2"/>
  <c r="AH668" i="2"/>
  <c r="AH679" i="2"/>
  <c r="AH693" i="2"/>
  <c r="AH704" i="2"/>
  <c r="AH725" i="2"/>
  <c r="AH808" i="2"/>
  <c r="AH840" i="2"/>
  <c r="AH856" i="2"/>
  <c r="AH817" i="2"/>
  <c r="AH1074" i="2"/>
  <c r="AH865" i="2"/>
  <c r="AH876" i="2"/>
  <c r="AH1096" i="2"/>
  <c r="AH880" i="2"/>
  <c r="AH898" i="2"/>
  <c r="AH918" i="2"/>
  <c r="AH938" i="2"/>
  <c r="AH1098" i="2"/>
  <c r="AH964" i="2"/>
  <c r="AH981" i="2"/>
  <c r="AH1028" i="2"/>
  <c r="AH1117" i="2"/>
  <c r="AH1137" i="2"/>
  <c r="AH924" i="2"/>
  <c r="AH1126" i="2"/>
  <c r="AH1174" i="2"/>
  <c r="AH1386" i="2"/>
  <c r="AH1231" i="2"/>
  <c r="AH1255" i="2"/>
  <c r="AH1176" i="2"/>
  <c r="AH1192" i="2"/>
  <c r="AH1244" i="2"/>
  <c r="AH1256" i="2"/>
  <c r="AH1280" i="2"/>
  <c r="AH1524" i="2"/>
  <c r="AH1496" i="2"/>
  <c r="AH1446" i="2"/>
  <c r="AH1473" i="2"/>
  <c r="AH1515" i="2"/>
  <c r="AH1547" i="2"/>
  <c r="AH1439" i="2"/>
  <c r="AH1495" i="2"/>
  <c r="AH215" i="2"/>
  <c r="AH242" i="2"/>
  <c r="AH372" i="2"/>
  <c r="AH402" i="2"/>
  <c r="AH488" i="2"/>
  <c r="AH562" i="2"/>
  <c r="AH222" i="2"/>
  <c r="AH410" i="2"/>
  <c r="AH264" i="2"/>
  <c r="AH450" i="2"/>
  <c r="AH506" i="2"/>
  <c r="AH552" i="2"/>
  <c r="AH676" i="2"/>
  <c r="AH244" i="2"/>
  <c r="AH308" i="2"/>
  <c r="AH245" i="2"/>
  <c r="AH269" i="2"/>
  <c r="AH333" i="2"/>
  <c r="AH431" i="2"/>
  <c r="AH685" i="2"/>
  <c r="AH660" i="2"/>
  <c r="AH723" i="2"/>
  <c r="AH357" i="2"/>
  <c r="AH405" i="2"/>
  <c r="AH437" i="2"/>
  <c r="AH881" i="2"/>
  <c r="AH793" i="2"/>
  <c r="AH872" i="2"/>
  <c r="AH912" i="2"/>
  <c r="AH1006" i="2"/>
  <c r="AH1116" i="2"/>
  <c r="AH820" i="2"/>
  <c r="AH914" i="2"/>
  <c r="AH873" i="2"/>
  <c r="AH925" i="2"/>
  <c r="AH1101" i="2"/>
  <c r="AH1053" i="2"/>
  <c r="AH1085" i="2"/>
  <c r="AH1145" i="2"/>
  <c r="AH1152" i="2"/>
  <c r="AH1370" i="2"/>
  <c r="AH1189" i="2"/>
  <c r="AH1220" i="2"/>
  <c r="AH1414" i="2"/>
  <c r="AH1492" i="2"/>
  <c r="AH1442" i="2"/>
  <c r="AH1519" i="2"/>
  <c r="AH1580" i="2"/>
  <c r="AH1554" i="2"/>
  <c r="AH15" i="2"/>
  <c r="AH79" i="2"/>
  <c r="AH95" i="2"/>
  <c r="AH127" i="2"/>
  <c r="AH159" i="2"/>
  <c r="AH191" i="2"/>
  <c r="AH200" i="2"/>
  <c r="AH554" i="2"/>
  <c r="AH632" i="2"/>
  <c r="AH634" i="2"/>
  <c r="AH533" i="2"/>
  <c r="AH640" i="2"/>
  <c r="AH831" i="2"/>
  <c r="AH745" i="2"/>
  <c r="AH833" i="2"/>
  <c r="AH902" i="2"/>
  <c r="AH854" i="2"/>
  <c r="AH1048" i="2"/>
  <c r="AH1088" i="2"/>
  <c r="AH894" i="2"/>
  <c r="AH988" i="2"/>
  <c r="AH1005" i="2"/>
  <c r="AH1036" i="2"/>
  <c r="AH1153" i="2"/>
  <c r="AH1133" i="2"/>
  <c r="AH1226" i="2"/>
  <c r="AH1382" i="2"/>
  <c r="AH1410" i="2"/>
  <c r="AH1197" i="2"/>
  <c r="AH1229" i="2"/>
  <c r="AH1285" i="2"/>
  <c r="AH1458" i="2"/>
  <c r="AH1577" i="2"/>
  <c r="AH11" i="2"/>
  <c r="AH196" i="2"/>
  <c r="AH448" i="2"/>
  <c r="AH464" i="2"/>
  <c r="AH520" i="2"/>
  <c r="AH674" i="2"/>
  <c r="AH733" i="2"/>
  <c r="AH731" i="2"/>
  <c r="AH861" i="2"/>
  <c r="AH777" i="2"/>
  <c r="AH970" i="2"/>
  <c r="AH1002" i="2"/>
  <c r="AH1034" i="2"/>
  <c r="AH1290" i="2"/>
  <c r="AH1507" i="2"/>
  <c r="AH1543" i="2"/>
  <c r="AH1587" i="2"/>
  <c r="AH143" i="2"/>
  <c r="AH202" i="2"/>
  <c r="AH370" i="2"/>
  <c r="AH256" i="2"/>
  <c r="AH288" i="2"/>
  <c r="AH320" i="2"/>
  <c r="AH474" i="2"/>
  <c r="AH586" i="2"/>
  <c r="AH229" i="2"/>
  <c r="AH293" i="2"/>
  <c r="AH421" i="2"/>
  <c r="AH461" i="2"/>
  <c r="AH605" i="2"/>
  <c r="AH616" i="2"/>
  <c r="AH669" i="2"/>
  <c r="AH584" i="2"/>
  <c r="AH613" i="2"/>
  <c r="AH747" i="2"/>
  <c r="AH763" i="2"/>
  <c r="AH795" i="2"/>
  <c r="AH828" i="2"/>
  <c r="AH769" i="2"/>
  <c r="AH922" i="2"/>
  <c r="AH1066" i="2"/>
  <c r="AH811" i="2"/>
  <c r="AH926" i="2"/>
  <c r="AH952" i="2"/>
  <c r="AH968" i="2"/>
  <c r="AH984" i="2"/>
  <c r="AH1000" i="2"/>
  <c r="AH1016" i="2"/>
  <c r="AH1032" i="2"/>
  <c r="AH986" i="2"/>
  <c r="AH1018" i="2"/>
  <c r="AH948" i="2"/>
  <c r="AH965" i="2"/>
  <c r="AH1012" i="2"/>
  <c r="AH1029" i="2"/>
  <c r="AH1131" i="2"/>
  <c r="AH1390" i="2"/>
  <c r="AH1178" i="2"/>
  <c r="AH1210" i="2"/>
  <c r="AH1132" i="2"/>
  <c r="AH1230" i="2"/>
  <c r="AH1246" i="2"/>
  <c r="AH1406" i="2"/>
  <c r="AH1142" i="2"/>
  <c r="AH1170" i="2"/>
  <c r="AH1186" i="2"/>
  <c r="AH1202" i="2"/>
  <c r="AH1218" i="2"/>
  <c r="AH1245" i="2"/>
  <c r="AH1293" i="2"/>
  <c r="AH1381" i="2"/>
  <c r="AH1427" i="2"/>
  <c r="AH1240" i="2"/>
  <c r="AH1424" i="2"/>
  <c r="AH1452" i="2"/>
  <c r="AH1466" i="2"/>
  <c r="AH1490" i="2"/>
  <c r="AH1540" i="2"/>
  <c r="AH1494" i="2"/>
  <c r="AH1573" i="2"/>
  <c r="AH1441" i="2"/>
  <c r="AH1503" i="2"/>
  <c r="AH1572" i="2"/>
  <c r="AH1550" i="2"/>
  <c r="AH1566" i="2"/>
  <c r="AH1574" i="2"/>
  <c r="AH1582" i="2"/>
  <c r="AH208" i="2"/>
  <c r="AH216" i="2"/>
  <c r="AH274" i="2"/>
  <c r="AH305" i="2"/>
  <c r="AH330" i="2"/>
  <c r="AH346" i="2"/>
  <c r="AH416" i="2"/>
  <c r="AH432" i="2"/>
  <c r="AH630" i="2"/>
  <c r="AH354" i="2"/>
  <c r="AH680" i="2"/>
  <c r="AH232" i="2"/>
  <c r="AH418" i="2"/>
  <c r="AH260" i="2"/>
  <c r="AH454" i="2"/>
  <c r="AH706" i="2"/>
  <c r="AH271" i="2"/>
  <c r="AH380" i="2"/>
  <c r="AH501" i="2"/>
  <c r="AH612" i="2"/>
  <c r="AH749" i="2"/>
  <c r="AH805" i="2"/>
  <c r="AH573" i="2"/>
  <c r="AH664" i="2"/>
  <c r="AH253" i="2"/>
  <c r="AH277" i="2"/>
  <c r="AH389" i="2"/>
  <c r="AH751" i="2"/>
  <c r="AH841" i="2"/>
  <c r="AH1082" i="2"/>
  <c r="AH1064" i="2"/>
  <c r="AH1042" i="2"/>
  <c r="AH1103" i="2"/>
  <c r="AH1061" i="2"/>
  <c r="AH1093" i="2"/>
  <c r="AH1185" i="2"/>
  <c r="AH1294" i="2"/>
  <c r="AH1266" i="2"/>
  <c r="AH1286" i="2"/>
  <c r="AH1398" i="2"/>
  <c r="AH1172" i="2"/>
  <c r="AH1221" i="2"/>
  <c r="AH1252" i="2"/>
  <c r="AH1364" i="2"/>
  <c r="AH1376" i="2"/>
  <c r="AH1500" i="2"/>
  <c r="AH1484" i="2"/>
  <c r="AH1434" i="2"/>
  <c r="AH1523" i="2"/>
  <c r="AH1463" i="2"/>
  <c r="AH1578" i="2"/>
  <c r="AH59" i="2"/>
  <c r="AH75" i="2"/>
  <c r="AH91" i="2"/>
  <c r="AH139" i="2"/>
  <c r="AH155" i="2"/>
  <c r="AH171" i="2"/>
  <c r="AH187" i="2"/>
  <c r="AH480" i="2"/>
  <c r="AH682" i="2"/>
  <c r="AH541" i="2"/>
  <c r="AH565" i="2"/>
  <c r="AH775" i="2"/>
  <c r="AH849" i="2"/>
  <c r="AH785" i="2"/>
  <c r="AH819" i="2"/>
  <c r="AH728" i="2"/>
  <c r="AH760" i="2"/>
  <c r="AH906" i="2"/>
  <c r="AH1056" i="2"/>
  <c r="AH896" i="2"/>
  <c r="AH1037" i="2"/>
  <c r="AH901" i="2"/>
  <c r="AH933" i="2"/>
  <c r="AH1196" i="2"/>
  <c r="AH1270" i="2"/>
  <c r="AH1159" i="2"/>
  <c r="AH1182" i="2"/>
  <c r="AH1165" i="2"/>
  <c r="AH1421" i="2"/>
  <c r="AH1553" i="2"/>
  <c r="AH384" i="2"/>
  <c r="AH213" i="2"/>
  <c r="AH825" i="2"/>
  <c r="AH1109" i="2"/>
  <c r="AH1194" i="2"/>
  <c r="AH1394" i="2"/>
  <c r="AH1536" i="2"/>
  <c r="AH1448" i="2"/>
  <c r="AH1585" i="2"/>
  <c r="AH27" i="2"/>
  <c r="AH35" i="2"/>
  <c r="AH43" i="2"/>
  <c r="AH51" i="2"/>
  <c r="AH99" i="2"/>
  <c r="AH107" i="2"/>
  <c r="AH115" i="2"/>
  <c r="AH194" i="2"/>
  <c r="AH290" i="2"/>
  <c r="AH322" i="2"/>
  <c r="AH424" i="2"/>
  <c r="AH478" i="2"/>
  <c r="AH462" i="2"/>
  <c r="AH336" i="2"/>
  <c r="AH618" i="2"/>
  <c r="AH707" i="2"/>
  <c r="AH360" i="2"/>
  <c r="AH624" i="2"/>
  <c r="AH710" i="2"/>
  <c r="AH231" i="2"/>
  <c r="AH295" i="2"/>
  <c r="AH423" i="2"/>
  <c r="AH508" i="2"/>
  <c r="AH524" i="2"/>
  <c r="AH588" i="2"/>
  <c r="AH597" i="2"/>
  <c r="AH617" i="2"/>
  <c r="AH671" i="2"/>
  <c r="AH656" i="2"/>
  <c r="AH846" i="2"/>
  <c r="AH813" i="2"/>
  <c r="AH801" i="2"/>
  <c r="AH845" i="2"/>
  <c r="AH853" i="2"/>
  <c r="AH878" i="2"/>
  <c r="AH864" i="2"/>
  <c r="AH885" i="2"/>
  <c r="AH949" i="2"/>
  <c r="AH1013" i="2"/>
  <c r="AH1069" i="2"/>
  <c r="AH1130" i="2"/>
  <c r="AH1262" i="2"/>
  <c r="AH1158" i="2"/>
  <c r="AH1362" i="2"/>
  <c r="AH1401" i="2"/>
  <c r="AH1224" i="2"/>
  <c r="AH1396" i="2"/>
  <c r="AH1426" i="2"/>
  <c r="AH1232" i="2"/>
  <c r="AH1468" i="2"/>
  <c r="AH1528" i="2"/>
  <c r="AH1542" i="2"/>
  <c r="AH1516" i="2"/>
  <c r="AH1546" i="2"/>
  <c r="AH1454" i="2"/>
  <c r="AH1481" i="2"/>
  <c r="AH1549" i="2"/>
  <c r="AH1581" i="2"/>
  <c r="AH1447" i="2"/>
  <c r="AH1551" i="2"/>
  <c r="AH1583" i="2"/>
  <c r="AH209" i="2"/>
  <c r="AH234" i="2"/>
  <c r="AH306" i="2"/>
  <c r="AH482" i="2"/>
  <c r="AH498" i="2"/>
  <c r="AH328" i="2"/>
  <c r="AH426" i="2"/>
  <c r="AH456" i="2"/>
  <c r="AH470" i="2"/>
  <c r="AH368" i="2"/>
  <c r="AH394" i="2"/>
  <c r="AH574" i="2"/>
  <c r="AH590" i="2"/>
  <c r="AH237" i="2"/>
  <c r="AH301" i="2"/>
  <c r="AH381" i="2"/>
  <c r="AH621" i="2"/>
  <c r="AH815" i="2"/>
  <c r="AH827" i="2"/>
  <c r="AH781" i="2"/>
  <c r="AH285" i="2"/>
  <c r="AH309" i="2"/>
  <c r="AH341" i="2"/>
  <c r="AH445" i="2"/>
  <c r="AH835" i="2"/>
  <c r="AH717" i="2"/>
  <c r="AH755" i="2"/>
  <c r="AH753" i="2"/>
  <c r="AH869" i="2"/>
  <c r="AH1058" i="2"/>
  <c r="AH1090" i="2"/>
  <c r="AH857" i="2"/>
  <c r="AH862" i="2"/>
  <c r="AH1070" i="2"/>
  <c r="AH1114" i="2"/>
  <c r="AH737" i="2"/>
  <c r="AH960" i="2"/>
  <c r="AH976" i="2"/>
  <c r="AH992" i="2"/>
  <c r="AH1008" i="2"/>
  <c r="AH1024" i="2"/>
  <c r="AH1076" i="2"/>
  <c r="AH909" i="2"/>
  <c r="AH1077" i="2"/>
  <c r="AH1140" i="2"/>
  <c r="AH1258" i="2"/>
  <c r="AH1168" i="2"/>
  <c r="AH1184" i="2"/>
  <c r="AH1200" i="2"/>
  <c r="AH1216" i="2"/>
  <c r="AH1166" i="2"/>
  <c r="AH1198" i="2"/>
  <c r="AH1173" i="2"/>
  <c r="AH1204" i="2"/>
  <c r="AH1253" i="2"/>
  <c r="AH1277" i="2"/>
  <c r="AH1365" i="2"/>
  <c r="AH1408" i="2"/>
  <c r="AH1418" i="2"/>
  <c r="AH1512" i="2"/>
  <c r="AH1532" i="2"/>
  <c r="AH1544" i="2"/>
  <c r="AH1499" i="2"/>
  <c r="AH1511" i="2"/>
  <c r="AH1570" i="2"/>
  <c r="AH87" i="2"/>
  <c r="AH214" i="2"/>
  <c r="AH658" i="2"/>
  <c r="AH606" i="2"/>
  <c r="AH646" i="2"/>
  <c r="AH469" i="2"/>
  <c r="AH517" i="2"/>
  <c r="AH576" i="2"/>
  <c r="AH709" i="2"/>
  <c r="AH726" i="2"/>
  <c r="AH757" i="2"/>
  <c r="AH859" i="2"/>
  <c r="AH936" i="2"/>
  <c r="AH978" i="2"/>
  <c r="AH1010" i="2"/>
  <c r="AH934" i="2"/>
  <c r="AH972" i="2"/>
  <c r="AH1039" i="2"/>
  <c r="AH1087" i="2"/>
  <c r="AH1234" i="2"/>
  <c r="AH1261" i="2"/>
  <c r="AH1388" i="2"/>
  <c r="AH1404" i="2"/>
  <c r="AH1469" i="2"/>
  <c r="AH1474" i="2"/>
  <c r="AH1561" i="2"/>
  <c r="AH7" i="2"/>
  <c r="AH546" i="2"/>
  <c r="AH598" i="2"/>
  <c r="AH538" i="2"/>
  <c r="AH666" i="2"/>
  <c r="AH648" i="2"/>
  <c r="AH729" i="2"/>
  <c r="AH736" i="2"/>
  <c r="AH871" i="2"/>
  <c r="AH1282" i="2"/>
  <c r="AH1436" i="2"/>
  <c r="AH3" i="2"/>
  <c r="AH63" i="2"/>
  <c r="AH147" i="2"/>
  <c r="AH183" i="2"/>
  <c r="AH204" i="2"/>
  <c r="AH206" i="2"/>
  <c r="AH250" i="2"/>
  <c r="AH282" i="2"/>
  <c r="AH314" i="2"/>
  <c r="AH570" i="2"/>
  <c r="AH610" i="2"/>
  <c r="AH602" i="2"/>
  <c r="AH578" i="2"/>
  <c r="AH650" i="2"/>
  <c r="AH698" i="2"/>
  <c r="AH376" i="2"/>
  <c r="AH499" i="2"/>
  <c r="AH690" i="2"/>
  <c r="AH261" i="2"/>
  <c r="AH325" i="2"/>
  <c r="AH373" i="2"/>
  <c r="AH413" i="2"/>
  <c r="AH476" i="2"/>
  <c r="AH493" i="2"/>
  <c r="AH509" i="2"/>
  <c r="AH525" i="2"/>
  <c r="AH557" i="2"/>
  <c r="AH589" i="2"/>
  <c r="AH677" i="2"/>
  <c r="AH722" i="2"/>
  <c r="AH823" i="2"/>
  <c r="AH696" i="2"/>
  <c r="AH730" i="2"/>
  <c r="AH837" i="2"/>
  <c r="AH779" i="2"/>
  <c r="AH807" i="2"/>
  <c r="AH773" i="2"/>
  <c r="AH783" i="2"/>
  <c r="AH829" i="2"/>
  <c r="AH958" i="2"/>
  <c r="AH990" i="2"/>
  <c r="AH1022" i="2"/>
  <c r="AH1094" i="2"/>
  <c r="AH1044" i="2"/>
  <c r="AH1072" i="2"/>
  <c r="AH848" i="2"/>
  <c r="AH1120" i="2"/>
  <c r="AH997" i="2"/>
  <c r="AH1071" i="2"/>
  <c r="AH1124" i="2"/>
  <c r="AH1190" i="2"/>
  <c r="AH1238" i="2"/>
  <c r="AH1274" i="2"/>
  <c r="AH1403" i="2"/>
  <c r="AH1150" i="2"/>
  <c r="AH1374" i="2"/>
  <c r="AH1191" i="2"/>
  <c r="AH1254" i="2"/>
  <c r="AH1378" i="2"/>
  <c r="AH1225" i="2"/>
  <c r="AH1368" i="2"/>
  <c r="AH1397" i="2"/>
  <c r="AH1400" i="2"/>
  <c r="AH1504" i="2"/>
  <c r="AH1433" i="2"/>
  <c r="AH1472" i="2"/>
  <c r="AH1557" i="2"/>
  <c r="AH1431" i="2"/>
  <c r="AH1449" i="2"/>
  <c r="AH1535" i="2"/>
  <c r="AH1559" i="2"/>
  <c r="AH193" i="2"/>
  <c r="AH266" i="2"/>
  <c r="AH338" i="2"/>
  <c r="AH504" i="2"/>
  <c r="AH362" i="2"/>
  <c r="AH296" i="2"/>
  <c r="AH400" i="2"/>
  <c r="AH466" i="2"/>
  <c r="AH594" i="2"/>
  <c r="AH292" i="2"/>
  <c r="AH239" i="2"/>
  <c r="AH383" i="2"/>
  <c r="AH429" i="2"/>
  <c r="AH701" i="2"/>
  <c r="AH797" i="2"/>
  <c r="AH317" i="2"/>
  <c r="AH349" i="2"/>
  <c r="AH761" i="2"/>
  <c r="AH928" i="2"/>
  <c r="AH974" i="2"/>
  <c r="AH867" i="2"/>
  <c r="AH886" i="2"/>
  <c r="AH930" i="2"/>
  <c r="AH966" i="2"/>
  <c r="AH998" i="2"/>
  <c r="AH1030" i="2"/>
  <c r="AH1080" i="2"/>
  <c r="AH868" i="2"/>
  <c r="AH950" i="2"/>
  <c r="AH1050" i="2"/>
  <c r="AH1092" i="2"/>
  <c r="AH941" i="2"/>
  <c r="AH1079" i="2"/>
  <c r="AH1100" i="2"/>
  <c r="AH1045" i="2"/>
  <c r="AH947" i="2"/>
  <c r="AH1160" i="2"/>
  <c r="AH1278" i="2"/>
  <c r="AH1144" i="2"/>
  <c r="AH1242" i="2"/>
  <c r="AH1402" i="2"/>
  <c r="AH1205" i="2"/>
  <c r="AH1392" i="2"/>
  <c r="AH1276" i="2"/>
  <c r="AH1432" i="2"/>
  <c r="AH1413" i="2"/>
  <c r="AH1455" i="2"/>
  <c r="AH1471" i="2"/>
  <c r="AH1562" i="2"/>
  <c r="AH131" i="2"/>
  <c r="AH163" i="2"/>
  <c r="AH179" i="2"/>
  <c r="AH714" i="2"/>
  <c r="AH672" i="2"/>
  <c r="AH544" i="2"/>
  <c r="AH224" i="2"/>
  <c r="AH661" i="2"/>
  <c r="AH719" i="2"/>
  <c r="AH663" i="2"/>
  <c r="AH741" i="2"/>
  <c r="AH877" i="2"/>
  <c r="AH809" i="2"/>
  <c r="AH860" i="2"/>
  <c r="AH1122" i="2"/>
  <c r="AH890" i="2"/>
  <c r="AH904" i="2"/>
  <c r="AH973" i="2"/>
  <c r="AH1004" i="2"/>
  <c r="AH892" i="2"/>
  <c r="AH1389" i="2"/>
  <c r="AH1405" i="2"/>
  <c r="AH1450" i="2"/>
  <c r="AH1482" i="2"/>
  <c r="AH1487" i="2"/>
  <c r="AH352" i="2"/>
  <c r="AH526" i="2"/>
  <c r="AH694" i="2"/>
  <c r="AH549" i="2"/>
  <c r="AH920" i="2"/>
  <c r="AH982" i="2"/>
  <c r="AH1014" i="2"/>
  <c r="AH1112" i="2"/>
  <c r="AH888" i="2"/>
  <c r="AH1128" i="2"/>
  <c r="AH1156" i="2"/>
  <c r="AH1162" i="2"/>
  <c r="AH1588" i="2"/>
  <c r="AH1586" i="2"/>
  <c r="AH39" i="2"/>
  <c r="AH135" i="2"/>
  <c r="AH265" i="2"/>
  <c r="AH329" i="2"/>
  <c r="AH553" i="2"/>
  <c r="AH651" i="2"/>
  <c r="AH699" i="2"/>
  <c r="AH465" i="2"/>
  <c r="AH19" i="2"/>
  <c r="AH71" i="2"/>
  <c r="AH123" i="2"/>
  <c r="AH151" i="2"/>
  <c r="AH435" i="2"/>
  <c r="AH457" i="2"/>
  <c r="AH507" i="2"/>
  <c r="AH607" i="2"/>
  <c r="AH599" i="2"/>
  <c r="AH235" i="2"/>
  <c r="AH267" i="2"/>
  <c r="AH299" i="2"/>
  <c r="AH331" i="2"/>
  <c r="AH505" i="2"/>
  <c r="AH615" i="2"/>
  <c r="AH659" i="2"/>
  <c r="AH681" i="2"/>
  <c r="AH519" i="2"/>
  <c r="AH540" i="2"/>
  <c r="AH556" i="2"/>
  <c r="AH572" i="2"/>
  <c r="AH639" i="2"/>
  <c r="AH700" i="2"/>
  <c r="AH514" i="2"/>
  <c r="AH530" i="2"/>
  <c r="AH750" i="2"/>
  <c r="AH824" i="2"/>
  <c r="AH280" i="2"/>
  <c r="AH408" i="2"/>
  <c r="AH568" i="2"/>
  <c r="AH600" i="2"/>
  <c r="AH798" i="2"/>
  <c r="AH863" i="2"/>
  <c r="AH821" i="2"/>
  <c r="AH1043" i="2"/>
  <c r="AH913" i="2"/>
  <c r="AH804" i="2"/>
  <c r="AH962" i="2"/>
  <c r="AH1106" i="2"/>
  <c r="AH1243" i="2"/>
  <c r="AH1139" i="2"/>
  <c r="AH1411" i="2"/>
  <c r="AH1295" i="2"/>
  <c r="AH1289" i="2"/>
  <c r="AH1393" i="2"/>
  <c r="AH1288" i="2"/>
  <c r="AH1428" i="2"/>
  <c r="AH1438" i="2"/>
  <c r="AH1451" i="2"/>
  <c r="AH1529" i="2"/>
  <c r="AH1461" i="2"/>
  <c r="AH1533" i="2"/>
  <c r="AH1464" i="2"/>
  <c r="AH1465" i="2"/>
  <c r="AH1502" i="2"/>
  <c r="AH1534" i="2"/>
  <c r="AH1476" i="2"/>
  <c r="AH1527" i="2"/>
  <c r="AH1552" i="2"/>
  <c r="AH4" i="2"/>
  <c r="AH20" i="2"/>
  <c r="AH36" i="2"/>
  <c r="AH52" i="2"/>
  <c r="AH68" i="2"/>
  <c r="AH84" i="2"/>
  <c r="AH100" i="2"/>
  <c r="AH116" i="2"/>
  <c r="AH132" i="2"/>
  <c r="AH148" i="2"/>
  <c r="AH164" i="2"/>
  <c r="AH180" i="2"/>
  <c r="AH198" i="2"/>
  <c r="AH289" i="2"/>
  <c r="AH529" i="2"/>
  <c r="AH635" i="2"/>
  <c r="AH275" i="2"/>
  <c r="AH385" i="2"/>
  <c r="AH531" i="2"/>
  <c r="AH438" i="2"/>
  <c r="AH577" i="2"/>
  <c r="AH255" i="2"/>
  <c r="AH287" i="2"/>
  <c r="AH303" i="2"/>
  <c r="AH319" i="2"/>
  <c r="AH335" i="2"/>
  <c r="AH351" i="2"/>
  <c r="AH367" i="2"/>
  <c r="AH399" i="2"/>
  <c r="AH415" i="2"/>
  <c r="AH447" i="2"/>
  <c r="AH500" i="2"/>
  <c r="AH623" i="2"/>
  <c r="AH774" i="2"/>
  <c r="AH298" i="2"/>
  <c r="AH581" i="2"/>
  <c r="AH304" i="2"/>
  <c r="AH735" i="2"/>
  <c r="AH791" i="2"/>
  <c r="AH834" i="2"/>
  <c r="AH852" i="2"/>
  <c r="AH911" i="2"/>
  <c r="AH789" i="2"/>
  <c r="AH993" i="2"/>
  <c r="AH787" i="2"/>
  <c r="AH843" i="2"/>
  <c r="AH899" i="2"/>
  <c r="AH1091" i="2"/>
  <c r="AH1097" i="2"/>
  <c r="AH916" i="2"/>
  <c r="AH893" i="2"/>
  <c r="AH946" i="2"/>
  <c r="AH1195" i="2"/>
  <c r="AH1375" i="2"/>
  <c r="AH1263" i="2"/>
  <c r="AH1412" i="2"/>
  <c r="AH1372" i="2"/>
  <c r="AH1269" i="2"/>
  <c r="AH1467" i="2"/>
  <c r="AH1491" i="2"/>
  <c r="AH1509" i="2"/>
  <c r="AH1531" i="2"/>
  <c r="AH1508" i="2"/>
  <c r="AH10" i="2"/>
  <c r="AH26" i="2"/>
  <c r="AH42" i="2"/>
  <c r="AH58" i="2"/>
  <c r="AH74" i="2"/>
  <c r="AH90" i="2"/>
  <c r="AH106" i="2"/>
  <c r="AH122" i="2"/>
  <c r="AH138" i="2"/>
  <c r="AH154" i="2"/>
  <c r="AH170" i="2"/>
  <c r="AH186" i="2"/>
  <c r="AH37" i="2"/>
  <c r="AH61" i="2"/>
  <c r="AH77" i="2"/>
  <c r="AH105" i="2"/>
  <c r="AH133" i="2"/>
  <c r="AH157" i="2"/>
  <c r="AH177" i="2"/>
  <c r="AH369" i="2"/>
  <c r="AH451" i="2"/>
  <c r="AH347" i="2"/>
  <c r="AH691" i="2"/>
  <c r="AH355" i="2"/>
  <c r="AH254" i="2"/>
  <c r="AH366" i="2"/>
  <c r="AH657" i="2"/>
  <c r="AH652" i="2"/>
  <c r="AH1057" i="2"/>
  <c r="AH1107" i="2"/>
  <c r="AH935" i="2"/>
  <c r="AH1121" i="2"/>
  <c r="AH953" i="2"/>
  <c r="AH1001" i="2"/>
  <c r="AH1049" i="2"/>
  <c r="AH1046" i="2"/>
  <c r="AH956" i="2"/>
  <c r="AH1020" i="2"/>
  <c r="AH1055" i="2"/>
  <c r="AH1119" i="2"/>
  <c r="AH1367" i="2"/>
  <c r="AH1209" i="2"/>
  <c r="AH1385" i="2"/>
  <c r="AH1180" i="2"/>
  <c r="AH1212" i="2"/>
  <c r="AH1304" i="2"/>
  <c r="AH1320" i="2"/>
  <c r="AH1336" i="2"/>
  <c r="AH1352" i="2"/>
  <c r="AH1497" i="2"/>
  <c r="AH1505" i="2"/>
  <c r="AH1538" i="2"/>
  <c r="AH1444" i="2"/>
  <c r="AH21" i="2"/>
  <c r="AH41" i="2"/>
  <c r="AH101" i="2"/>
  <c r="AH137" i="2"/>
  <c r="AH241" i="2"/>
  <c r="AH273" i="2"/>
  <c r="AH337" i="2"/>
  <c r="AH427" i="2"/>
  <c r="AH487" i="2"/>
  <c r="AH713" i="2"/>
  <c r="AH471" i="2"/>
  <c r="AH291" i="2"/>
  <c r="AH417" i="2"/>
  <c r="AH262" i="2"/>
  <c r="AH326" i="2"/>
  <c r="AH670" i="2"/>
  <c r="AH822" i="2"/>
  <c r="AH596" i="2"/>
  <c r="AH644" i="2"/>
  <c r="AH780" i="2"/>
  <c r="AH770" i="2"/>
  <c r="AH802" i="2"/>
  <c r="AH744" i="2"/>
  <c r="AH931" i="2"/>
  <c r="AH955" i="2"/>
  <c r="AH987" i="2"/>
  <c r="AH1019" i="2"/>
  <c r="AH883" i="2"/>
  <c r="AH937" i="2"/>
  <c r="AH884" i="2"/>
  <c r="AH1267" i="2"/>
  <c r="AH1379" i="2"/>
  <c r="AH1493" i="2"/>
  <c r="AH1525" i="2"/>
  <c r="AH1632" i="2"/>
  <c r="AH1648" i="2"/>
  <c r="AH1664" i="2"/>
  <c r="AH1641" i="2"/>
  <c r="AH1665" i="2"/>
  <c r="AH1595" i="2"/>
  <c r="AH1606" i="2"/>
  <c r="AH1622" i="2"/>
  <c r="AH1638" i="2"/>
  <c r="AH1654" i="2"/>
  <c r="AH1670" i="2"/>
  <c r="AH1627" i="2"/>
  <c r="AH1668" i="2"/>
  <c r="AH1645" i="2"/>
  <c r="AH1669" i="2"/>
  <c r="AH1616" i="2"/>
  <c r="AH1594" i="2"/>
  <c r="AH1626" i="2"/>
  <c r="AH1642" i="2"/>
  <c r="AH1658" i="2"/>
  <c r="AH1603" i="2"/>
  <c r="AH55" i="2"/>
  <c r="AH223" i="2"/>
  <c r="AH489" i="2"/>
  <c r="AH575" i="2"/>
  <c r="AH695" i="2"/>
  <c r="AH715" i="2"/>
  <c r="AH371" i="2"/>
  <c r="AH521" i="2"/>
  <c r="AH673" i="2"/>
  <c r="AH270" i="2"/>
  <c r="AH334" i="2"/>
  <c r="AH382" i="2"/>
  <c r="AH569" i="2"/>
  <c r="AH686" i="2"/>
  <c r="AH543" i="2"/>
  <c r="AH559" i="2"/>
  <c r="AH485" i="2"/>
  <c r="AH629" i="2"/>
  <c r="AH716" i="2"/>
  <c r="AH734" i="2"/>
  <c r="AH312" i="2"/>
  <c r="AH440" i="2"/>
  <c r="AH608" i="2"/>
  <c r="AH688" i="2"/>
  <c r="AH762" i="2"/>
  <c r="AH1081" i="2"/>
  <c r="AH720" i="2"/>
  <c r="AH739" i="2"/>
  <c r="AH1123" i="2"/>
  <c r="AH942" i="2"/>
  <c r="AH1021" i="2"/>
  <c r="AH1129" i="2"/>
  <c r="AH1138" i="2"/>
  <c r="AH1235" i="2"/>
  <c r="AH1251" i="2"/>
  <c r="AH1149" i="2"/>
  <c r="AH1222" i="2"/>
  <c r="AH1265" i="2"/>
  <c r="AH1281" i="2"/>
  <c r="AH1366" i="2"/>
  <c r="AH1148" i="2"/>
  <c r="AH1284" i="2"/>
  <c r="AH1213" i="2"/>
  <c r="AH1250" i="2"/>
  <c r="AH1208" i="2"/>
  <c r="AH1248" i="2"/>
  <c r="AH1264" i="2"/>
  <c r="AH1443" i="2"/>
  <c r="AH1501" i="2"/>
  <c r="AH1459" i="2"/>
  <c r="AH1470" i="2"/>
  <c r="AH1486" i="2"/>
  <c r="AH1510" i="2"/>
  <c r="AH1555" i="2"/>
  <c r="AH1563" i="2"/>
  <c r="AH1571" i="2"/>
  <c r="AH1579" i="2"/>
  <c r="AH1584" i="2"/>
  <c r="AH8" i="2"/>
  <c r="AH24" i="2"/>
  <c r="AH40" i="2"/>
  <c r="AH56" i="2"/>
  <c r="AH72" i="2"/>
  <c r="AH88" i="2"/>
  <c r="AH104" i="2"/>
  <c r="AH120" i="2"/>
  <c r="AH136" i="2"/>
  <c r="AH152" i="2"/>
  <c r="AH168" i="2"/>
  <c r="AH184" i="2"/>
  <c r="AH212" i="2"/>
  <c r="AH321" i="2"/>
  <c r="AH503" i="2"/>
  <c r="AH643" i="2"/>
  <c r="AH243" i="2"/>
  <c r="AH227" i="2"/>
  <c r="AH459" i="2"/>
  <c r="AH278" i="2"/>
  <c r="AH342" i="2"/>
  <c r="AH398" i="2"/>
  <c r="AH518" i="2"/>
  <c r="AH542" i="2"/>
  <c r="AH566" i="2"/>
  <c r="AH638" i="2"/>
  <c r="AH748" i="2"/>
  <c r="AH792" i="2"/>
  <c r="AH276" i="2"/>
  <c r="AH324" i="2"/>
  <c r="AH340" i="2"/>
  <c r="AH356" i="2"/>
  <c r="AH388" i="2"/>
  <c r="AH404" i="2"/>
  <c r="AH420" i="2"/>
  <c r="AH436" i="2"/>
  <c r="AH452" i="2"/>
  <c r="AH484" i="2"/>
  <c r="AH628" i="2"/>
  <c r="AH790" i="2"/>
  <c r="AH258" i="2"/>
  <c r="AH637" i="2"/>
  <c r="AH653" i="2"/>
  <c r="AH528" i="2"/>
  <c r="AH838" i="2"/>
  <c r="AH746" i="2"/>
  <c r="AH810" i="2"/>
  <c r="AH839" i="2"/>
  <c r="AH882" i="2"/>
  <c r="AH961" i="2"/>
  <c r="AH1009" i="2"/>
  <c r="AH803" i="2"/>
  <c r="AH1059" i="2"/>
  <c r="AH959" i="2"/>
  <c r="AH975" i="2"/>
  <c r="AH991" i="2"/>
  <c r="AH1007" i="2"/>
  <c r="AH1023" i="2"/>
  <c r="AH1163" i="2"/>
  <c r="AH1167" i="2"/>
  <c r="AH1183" i="2"/>
  <c r="AH1199" i="2"/>
  <c r="AH1215" i="2"/>
  <c r="AH1291" i="2"/>
  <c r="AH1391" i="2"/>
  <c r="AH1241" i="2"/>
  <c r="AH1521" i="2"/>
  <c r="AH1420" i="2"/>
  <c r="AH1485" i="2"/>
  <c r="AH1488" i="2"/>
  <c r="AH1548" i="2"/>
  <c r="AH6" i="2"/>
  <c r="AH22" i="2"/>
  <c r="AH38" i="2"/>
  <c r="AH54" i="2"/>
  <c r="AH70" i="2"/>
  <c r="AH86" i="2"/>
  <c r="AH102" i="2"/>
  <c r="AH118" i="2"/>
  <c r="AH134" i="2"/>
  <c r="AH150" i="2"/>
  <c r="AH166" i="2"/>
  <c r="AH182" i="2"/>
  <c r="AH45" i="2"/>
  <c r="AH65" i="2"/>
  <c r="AH89" i="2"/>
  <c r="AH121" i="2"/>
  <c r="AH145" i="2"/>
  <c r="AH165" i="2"/>
  <c r="AH185" i="2"/>
  <c r="AH249" i="2"/>
  <c r="AH281" i="2"/>
  <c r="AH313" i="2"/>
  <c r="AH345" i="2"/>
  <c r="AH491" i="2"/>
  <c r="AH523" i="2"/>
  <c r="AH315" i="2"/>
  <c r="AH475" i="2"/>
  <c r="AH527" i="2"/>
  <c r="AH393" i="2"/>
  <c r="AH411" i="2"/>
  <c r="AH479" i="2"/>
  <c r="AH286" i="2"/>
  <c r="AH406" i="2"/>
  <c r="AH585" i="2"/>
  <c r="AH601" i="2"/>
  <c r="AH649" i="2"/>
  <c r="AH697" i="2"/>
  <c r="AH580" i="2"/>
  <c r="AH655" i="2"/>
  <c r="AH684" i="2"/>
  <c r="AH708" i="2"/>
  <c r="AH758" i="2"/>
  <c r="AH855" i="2"/>
  <c r="AH921" i="2"/>
  <c r="AH1067" i="2"/>
  <c r="AH875" i="2"/>
  <c r="AH969" i="2"/>
  <c r="AH1115" i="2"/>
  <c r="AH889" i="2"/>
  <c r="AH1054" i="2"/>
  <c r="AH996" i="2"/>
  <c r="AH1060" i="2"/>
  <c r="AH1108" i="2"/>
  <c r="AH1399" i="2"/>
  <c r="AH1177" i="2"/>
  <c r="AH1383" i="2"/>
  <c r="AH1175" i="2"/>
  <c r="AH1207" i="2"/>
  <c r="AH1249" i="2"/>
  <c r="AH1188" i="2"/>
  <c r="AH1429" i="2"/>
  <c r="AH1445" i="2"/>
  <c r="AH1506" i="2"/>
  <c r="AH1568" i="2"/>
  <c r="AH5" i="2"/>
  <c r="AH25" i="2"/>
  <c r="AH53" i="2"/>
  <c r="AH109" i="2"/>
  <c r="AH141" i="2"/>
  <c r="AH221" i="2"/>
  <c r="AH579" i="2"/>
  <c r="AH353" i="2"/>
  <c r="AH409" i="2"/>
  <c r="AH513" i="2"/>
  <c r="AH259" i="2"/>
  <c r="AH473" i="2"/>
  <c r="AH515" i="2"/>
  <c r="AH689" i="2"/>
  <c r="AH374" i="2"/>
  <c r="AH414" i="2"/>
  <c r="AH705" i="2"/>
  <c r="AH647" i="2"/>
  <c r="AH752" i="2"/>
  <c r="AH796" i="2"/>
  <c r="AH836" i="2"/>
  <c r="AH718" i="2"/>
  <c r="AH806" i="2"/>
  <c r="AH816" i="2"/>
  <c r="AH963" i="2"/>
  <c r="AH995" i="2"/>
  <c r="AH1027" i="2"/>
  <c r="AH1089" i="2"/>
  <c r="AH919" i="2"/>
  <c r="AH943" i="2"/>
  <c r="AH1041" i="2"/>
  <c r="AH1118" i="2"/>
  <c r="AH1155" i="2"/>
  <c r="AH1147" i="2"/>
  <c r="AH1219" i="2"/>
  <c r="AH1259" i="2"/>
  <c r="AH1513" i="2"/>
  <c r="AH1475" i="2"/>
  <c r="AH1564" i="2"/>
  <c r="AH1576" i="2"/>
  <c r="AH1601" i="2"/>
  <c r="AH1617" i="2"/>
  <c r="AH1694" i="2"/>
  <c r="AH1710" i="2"/>
  <c r="AH1726" i="2"/>
  <c r="AH1598" i="2"/>
  <c r="AH1619" i="2"/>
  <c r="AH1636" i="2"/>
  <c r="AH1652" i="2"/>
  <c r="AH1597" i="2"/>
  <c r="AH1613" i="2"/>
  <c r="AH1637" i="2"/>
  <c r="AH1611" i="2"/>
  <c r="AH1615" i="2"/>
  <c r="AH1682" i="2"/>
  <c r="AH1698" i="2"/>
  <c r="AH1714" i="2"/>
  <c r="AH1730" i="2"/>
  <c r="AH1618" i="2"/>
  <c r="AH111" i="2"/>
  <c r="AH201" i="2"/>
  <c r="AH175" i="2"/>
  <c r="AH395" i="2"/>
  <c r="AH199" i="2"/>
  <c r="AH711" i="2"/>
  <c r="AH702" i="2"/>
  <c r="AH732" i="2"/>
  <c r="AH832" i="2"/>
  <c r="AH532" i="2"/>
  <c r="AH548" i="2"/>
  <c r="AH564" i="2"/>
  <c r="AH631" i="2"/>
  <c r="AH453" i="2"/>
  <c r="AH522" i="2"/>
  <c r="AH645" i="2"/>
  <c r="AH344" i="2"/>
  <c r="AH496" i="2"/>
  <c r="AH766" i="2"/>
  <c r="AH754" i="2"/>
  <c r="AH767" i="2"/>
  <c r="AH794" i="2"/>
  <c r="AH945" i="2"/>
  <c r="AH851" i="2"/>
  <c r="AH891" i="2"/>
  <c r="AH929" i="2"/>
  <c r="AH939" i="2"/>
  <c r="AH923" i="2"/>
  <c r="AH1078" i="2"/>
  <c r="AH917" i="2"/>
  <c r="AH989" i="2"/>
  <c r="AH1026" i="2"/>
  <c r="AH1141" i="2"/>
  <c r="AH1407" i="2"/>
  <c r="AH1151" i="2"/>
  <c r="AH1206" i="2"/>
  <c r="AH1233" i="2"/>
  <c r="AH1377" i="2"/>
  <c r="AH1409" i="2"/>
  <c r="AH1380" i="2"/>
  <c r="AH1181" i="2"/>
  <c r="AH1419" i="2"/>
  <c r="AH1272" i="2"/>
  <c r="AH1384" i="2"/>
  <c r="AH1435" i="2"/>
  <c r="AH1416" i="2"/>
  <c r="AH1456" i="2"/>
  <c r="AH1457" i="2"/>
  <c r="AH1489" i="2"/>
  <c r="AH1518" i="2"/>
  <c r="AH1560" i="2"/>
  <c r="AH12" i="2"/>
  <c r="AH28" i="2"/>
  <c r="AH44" i="2"/>
  <c r="AH60" i="2"/>
  <c r="AH76" i="2"/>
  <c r="AH92" i="2"/>
  <c r="AH108" i="2"/>
  <c r="AH124" i="2"/>
  <c r="AH140" i="2"/>
  <c r="AH156" i="2"/>
  <c r="AH172" i="2"/>
  <c r="AH188" i="2"/>
  <c r="AH545" i="2"/>
  <c r="AH619" i="2"/>
  <c r="AH724" i="2"/>
  <c r="AH218" i="2"/>
  <c r="AH377" i="2"/>
  <c r="AH339" i="2"/>
  <c r="AH441" i="2"/>
  <c r="AH591" i="2"/>
  <c r="AH633" i="2"/>
  <c r="AH205" i="2"/>
  <c r="AH219" i="2"/>
  <c r="AH483" i="2"/>
  <c r="AH603" i="2"/>
  <c r="AH627" i="2"/>
  <c r="AH502" i="2"/>
  <c r="AH776" i="2"/>
  <c r="AH247" i="2"/>
  <c r="AH279" i="2"/>
  <c r="AH311" i="2"/>
  <c r="AH343" i="2"/>
  <c r="AH359" i="2"/>
  <c r="AH391" i="2"/>
  <c r="AH407" i="2"/>
  <c r="AH439" i="2"/>
  <c r="AH460" i="2"/>
  <c r="AH492" i="2"/>
  <c r="AH830" i="2"/>
  <c r="AH365" i="2"/>
  <c r="AH397" i="2"/>
  <c r="AH442" i="2"/>
  <c r="AH642" i="2"/>
  <c r="AH240" i="2"/>
  <c r="AH472" i="2"/>
  <c r="AH738" i="2"/>
  <c r="AH979" i="2"/>
  <c r="AH765" i="2"/>
  <c r="AH887" i="2"/>
  <c r="AH951" i="2"/>
  <c r="AH977" i="2"/>
  <c r="AH971" i="2"/>
  <c r="AH1003" i="2"/>
  <c r="AH1035" i="2"/>
  <c r="AH1038" i="2"/>
  <c r="AH1086" i="2"/>
  <c r="AH900" i="2"/>
  <c r="AH932" i="2"/>
  <c r="AH954" i="2"/>
  <c r="AH1127" i="2"/>
  <c r="AH944" i="2"/>
  <c r="AH1134" i="2"/>
  <c r="AH1271" i="2"/>
  <c r="AH1415" i="2"/>
  <c r="AH1237" i="2"/>
  <c r="AH1423" i="2"/>
  <c r="AH1541" i="2"/>
  <c r="AH1479" i="2"/>
  <c r="AL1479" i="2"/>
  <c r="J2" i="3"/>
  <c r="J6" i="3"/>
  <c r="AL378" i="2" s="1"/>
  <c r="J10" i="3"/>
  <c r="H4" i="3"/>
  <c r="H8" i="3"/>
  <c r="AK1130" i="2" s="1"/>
  <c r="F2" i="3"/>
  <c r="F6" i="3"/>
  <c r="AJ226" i="2" s="1"/>
  <c r="F10" i="3"/>
  <c r="J3" i="3"/>
  <c r="AL1641" i="2" s="1"/>
  <c r="J7" i="3"/>
  <c r="AL31" i="2" s="1"/>
  <c r="J11" i="3"/>
  <c r="H5" i="3"/>
  <c r="AK850" i="2" s="1"/>
  <c r="H9" i="3"/>
  <c r="AK918" i="2" s="1"/>
  <c r="F3" i="3"/>
  <c r="F7" i="3"/>
  <c r="F11" i="3"/>
  <c r="J4" i="3"/>
  <c r="AL1320" i="2" s="1"/>
  <c r="J8" i="3"/>
  <c r="AL410" i="2" s="1"/>
  <c r="H2" i="3"/>
  <c r="H6" i="3"/>
  <c r="AK226" i="2" s="1"/>
  <c r="H10" i="3"/>
  <c r="F4" i="3"/>
  <c r="F8" i="3"/>
  <c r="AJ410" i="2" s="1"/>
  <c r="J5" i="3"/>
  <c r="AL850" i="2" s="1"/>
  <c r="H11" i="3"/>
  <c r="J9" i="3"/>
  <c r="AL119" i="2" s="1"/>
  <c r="F5" i="3"/>
  <c r="AJ850" i="2" s="1"/>
  <c r="H3" i="3"/>
  <c r="F9" i="3"/>
  <c r="AJ119" i="2" s="1"/>
  <c r="H7" i="3"/>
  <c r="AK458" i="2" s="1"/>
  <c r="AH2" i="2"/>
  <c r="AL2" i="2"/>
  <c r="AK2" i="2"/>
  <c r="AH18" i="2"/>
  <c r="AL18" i="2"/>
  <c r="AK18" i="2"/>
  <c r="AJ34" i="2"/>
  <c r="AH34" i="2"/>
  <c r="AL34" i="2"/>
  <c r="AK34" i="2"/>
  <c r="AJ50" i="2"/>
  <c r="AH50" i="2"/>
  <c r="AL50" i="2"/>
  <c r="AK50" i="2"/>
  <c r="AJ66" i="2"/>
  <c r="AH66" i="2"/>
  <c r="AL66" i="2"/>
  <c r="AK66" i="2"/>
  <c r="AJ82" i="2"/>
  <c r="AH82" i="2"/>
  <c r="AL82" i="2"/>
  <c r="AK82" i="2"/>
  <c r="AJ98" i="2"/>
  <c r="AH98" i="2"/>
  <c r="AL98" i="2"/>
  <c r="AK98" i="2"/>
  <c r="AJ114" i="2"/>
  <c r="AH114" i="2"/>
  <c r="AL114" i="2"/>
  <c r="AK114" i="2"/>
  <c r="AJ130" i="2"/>
  <c r="AH130" i="2"/>
  <c r="AL130" i="2"/>
  <c r="AK130" i="2"/>
  <c r="AJ146" i="2"/>
  <c r="AH146" i="2"/>
  <c r="AL146" i="2"/>
  <c r="AK146" i="2"/>
  <c r="AJ162" i="2"/>
  <c r="AH162" i="2"/>
  <c r="AL162" i="2"/>
  <c r="AK162" i="2"/>
  <c r="AJ178" i="2"/>
  <c r="AH178" i="2"/>
  <c r="AL178" i="2"/>
  <c r="AK178" i="2"/>
  <c r="AJ203" i="2"/>
  <c r="AH203" i="2"/>
  <c r="AL203" i="2"/>
  <c r="AK203" i="2"/>
  <c r="AH49" i="2"/>
  <c r="AJ49" i="2"/>
  <c r="AL49" i="2"/>
  <c r="AK49" i="2"/>
  <c r="AH69" i="2"/>
  <c r="AJ69" i="2"/>
  <c r="AL69" i="2"/>
  <c r="AK69" i="2"/>
  <c r="AH93" i="2"/>
  <c r="AJ93" i="2"/>
  <c r="AL93" i="2"/>
  <c r="AK93" i="2"/>
  <c r="AH125" i="2"/>
  <c r="AJ125" i="2"/>
  <c r="AL125" i="2"/>
  <c r="AK125" i="2"/>
  <c r="AH149" i="2"/>
  <c r="AL149" i="2"/>
  <c r="AK149" i="2"/>
  <c r="AH169" i="2"/>
  <c r="AJ169" i="2"/>
  <c r="AL169" i="2"/>
  <c r="AK169" i="2"/>
  <c r="AH189" i="2"/>
  <c r="AJ189" i="2"/>
  <c r="AL189" i="2"/>
  <c r="AK189" i="2"/>
  <c r="AJ197" i="2"/>
  <c r="AH197" i="2"/>
  <c r="AL197" i="2"/>
  <c r="AK197" i="2"/>
  <c r="AJ467" i="2"/>
  <c r="AH467" i="2"/>
  <c r="AL467" i="2"/>
  <c r="AK467" i="2"/>
  <c r="AJ361" i="2"/>
  <c r="AH361" i="2"/>
  <c r="AL361" i="2"/>
  <c r="AK361" i="2"/>
  <c r="AJ283" i="2"/>
  <c r="AH283" i="2"/>
  <c r="AL283" i="2"/>
  <c r="AK283" i="2"/>
  <c r="AJ433" i="2"/>
  <c r="AH433" i="2"/>
  <c r="AL433" i="2"/>
  <c r="AK433" i="2"/>
  <c r="AJ318" i="2"/>
  <c r="AH318" i="2"/>
  <c r="AL318" i="2"/>
  <c r="AK318" i="2"/>
  <c r="AJ446" i="2"/>
  <c r="AH446" i="2"/>
  <c r="AL446" i="2"/>
  <c r="AK446" i="2"/>
  <c r="AJ550" i="2"/>
  <c r="AH550" i="2"/>
  <c r="AL550" i="2"/>
  <c r="AK550" i="2"/>
  <c r="AJ593" i="2"/>
  <c r="AH593" i="2"/>
  <c r="AL593" i="2"/>
  <c r="AK593" i="2"/>
  <c r="AJ654" i="2"/>
  <c r="AH654" i="2"/>
  <c r="AK654" i="2"/>
  <c r="AL654" i="2"/>
  <c r="AJ662" i="2"/>
  <c r="AH662" i="2"/>
  <c r="AK662" i="2"/>
  <c r="AL662" i="2"/>
  <c r="AJ583" i="2"/>
  <c r="AH583" i="2"/>
  <c r="AL583" i="2"/>
  <c r="AK583" i="2"/>
  <c r="AJ687" i="2"/>
  <c r="AH687" i="2"/>
  <c r="AL687" i="2"/>
  <c r="AK687" i="2"/>
  <c r="AJ756" i="2"/>
  <c r="AH756" i="2"/>
  <c r="AK756" i="2"/>
  <c r="AL756" i="2"/>
  <c r="AJ778" i="2"/>
  <c r="AH778" i="2"/>
  <c r="AL778" i="2"/>
  <c r="AK778" i="2"/>
  <c r="AJ1065" i="2"/>
  <c r="AH1065" i="2"/>
  <c r="AL1065" i="2"/>
  <c r="AK1065" i="2"/>
  <c r="AJ895" i="2"/>
  <c r="AH895" i="2"/>
  <c r="AL895" i="2"/>
  <c r="AK895" i="2"/>
  <c r="AJ1017" i="2"/>
  <c r="AH1017" i="2"/>
  <c r="AL1017" i="2"/>
  <c r="AK1017" i="2"/>
  <c r="AJ1062" i="2"/>
  <c r="AH1062" i="2"/>
  <c r="AK1062" i="2"/>
  <c r="AL1062" i="2"/>
  <c r="AJ1110" i="2"/>
  <c r="AH1110" i="2"/>
  <c r="AK1110" i="2"/>
  <c r="AL1110" i="2"/>
  <c r="AJ1047" i="2"/>
  <c r="AH1047" i="2"/>
  <c r="AL1047" i="2"/>
  <c r="AK1047" i="2"/>
  <c r="AJ1063" i="2"/>
  <c r="AH1063" i="2"/>
  <c r="AL1063" i="2"/>
  <c r="AK1063" i="2"/>
  <c r="AH1095" i="2"/>
  <c r="AL1095" i="2"/>
  <c r="AK1095" i="2"/>
  <c r="AJ1111" i="2"/>
  <c r="AH1111" i="2"/>
  <c r="AL1111" i="2"/>
  <c r="AK1111" i="2"/>
  <c r="AJ1239" i="2"/>
  <c r="AH1239" i="2"/>
  <c r="AL1239" i="2"/>
  <c r="AK1239" i="2"/>
  <c r="AJ1193" i="2"/>
  <c r="AH1193" i="2"/>
  <c r="AL1193" i="2"/>
  <c r="AK1193" i="2"/>
  <c r="AJ1247" i="2"/>
  <c r="AH1247" i="2"/>
  <c r="AL1247" i="2"/>
  <c r="AK1247" i="2"/>
  <c r="AH1387" i="2"/>
  <c r="AK1387" i="2"/>
  <c r="AL1387" i="2"/>
  <c r="AJ1214" i="2"/>
  <c r="AH1214" i="2"/>
  <c r="AK1214" i="2"/>
  <c r="AL1214" i="2"/>
  <c r="AJ1164" i="2"/>
  <c r="AH1164" i="2"/>
  <c r="AK1164" i="2"/>
  <c r="AL1164" i="2"/>
  <c r="AJ1296" i="2"/>
  <c r="AH1296" i="2"/>
  <c r="AK1296" i="2"/>
  <c r="AL1296" i="2"/>
  <c r="AJ1312" i="2"/>
  <c r="AH1312" i="2"/>
  <c r="AL1312" i="2"/>
  <c r="AK1312" i="2"/>
  <c r="AJ1328" i="2"/>
  <c r="AH1328" i="2"/>
  <c r="AK1328" i="2"/>
  <c r="AL1328" i="2"/>
  <c r="AJ1344" i="2"/>
  <c r="AH1344" i="2"/>
  <c r="AL1344" i="2"/>
  <c r="AK1344" i="2"/>
  <c r="AJ1360" i="2"/>
  <c r="AH1360" i="2"/>
  <c r="AK1360" i="2"/>
  <c r="AL1360" i="2"/>
  <c r="AJ1437" i="2"/>
  <c r="AH1437" i="2"/>
  <c r="AL1437" i="2"/>
  <c r="AK1437" i="2"/>
  <c r="AJ1483" i="2"/>
  <c r="AH1483" i="2"/>
  <c r="AL1483" i="2"/>
  <c r="AK1483" i="2"/>
  <c r="AJ1517" i="2"/>
  <c r="AH1517" i="2"/>
  <c r="AL1517" i="2"/>
  <c r="AK1517" i="2"/>
  <c r="AJ1575" i="2"/>
  <c r="AH1575" i="2"/>
  <c r="AL1575" i="2"/>
  <c r="AK1575" i="2"/>
  <c r="AJ1556" i="2"/>
  <c r="AH1556" i="2"/>
  <c r="AL1556" i="2"/>
  <c r="AK1556" i="2"/>
  <c r="AH9" i="2"/>
  <c r="AJ9" i="2"/>
  <c r="AL9" i="2"/>
  <c r="AK9" i="2"/>
  <c r="AH29" i="2"/>
  <c r="AJ29" i="2"/>
  <c r="AL29" i="2"/>
  <c r="AK29" i="2"/>
  <c r="AH81" i="2"/>
  <c r="AJ81" i="2"/>
  <c r="AL81" i="2"/>
  <c r="AK81" i="2"/>
  <c r="AH113" i="2"/>
  <c r="AJ113" i="2"/>
  <c r="AL113" i="2"/>
  <c r="AK113" i="2"/>
  <c r="AH161" i="2"/>
  <c r="AJ161" i="2"/>
  <c r="AL161" i="2"/>
  <c r="AK161" i="2"/>
  <c r="AJ561" i="2"/>
  <c r="AH561" i="2"/>
  <c r="AK561" i="2"/>
  <c r="AL561" i="2"/>
  <c r="AJ497" i="2"/>
  <c r="AH497" i="2"/>
  <c r="AK497" i="2"/>
  <c r="AL497" i="2"/>
  <c r="AJ675" i="2"/>
  <c r="AH675" i="2"/>
  <c r="AK675" i="2"/>
  <c r="AL675" i="2"/>
  <c r="AJ703" i="2"/>
  <c r="AH703" i="2"/>
  <c r="AK703" i="2"/>
  <c r="AL703" i="2"/>
  <c r="AJ455" i="2"/>
  <c r="AH455" i="2"/>
  <c r="AL455" i="2"/>
  <c r="AK455" i="2"/>
  <c r="AJ230" i="2"/>
  <c r="AH230" i="2"/>
  <c r="AL230" i="2"/>
  <c r="AK230" i="2"/>
  <c r="AJ294" i="2"/>
  <c r="AH294" i="2"/>
  <c r="AL294" i="2"/>
  <c r="AK294" i="2"/>
  <c r="AJ510" i="2"/>
  <c r="AH510" i="2"/>
  <c r="AL510" i="2"/>
  <c r="AK510" i="2"/>
  <c r="AJ558" i="2"/>
  <c r="AH558" i="2"/>
  <c r="AL558" i="2"/>
  <c r="AK558" i="2"/>
  <c r="AJ678" i="2"/>
  <c r="AH678" i="2"/>
  <c r="AK678" i="2"/>
  <c r="AL678" i="2"/>
  <c r="AJ814" i="2"/>
  <c r="AH814" i="2"/>
  <c r="AK814" i="2"/>
  <c r="AL814" i="2"/>
  <c r="AJ740" i="2"/>
  <c r="AH740" i="2"/>
  <c r="AK740" i="2"/>
  <c r="AL740" i="2"/>
  <c r="AJ784" i="2"/>
  <c r="AH784" i="2"/>
  <c r="AK784" i="2"/>
  <c r="AL784" i="2"/>
  <c r="AJ818" i="2"/>
  <c r="AH818" i="2"/>
  <c r="AK818" i="2"/>
  <c r="AL818" i="2"/>
  <c r="AJ1099" i="2"/>
  <c r="AH1099" i="2"/>
  <c r="AK1099" i="2"/>
  <c r="AL1099" i="2"/>
  <c r="AJ1105" i="2"/>
  <c r="AH1105" i="2"/>
  <c r="AL1105" i="2"/>
  <c r="AK1105" i="2"/>
  <c r="AJ1135" i="2"/>
  <c r="AH1135" i="2"/>
  <c r="AK1135" i="2"/>
  <c r="AL1135" i="2"/>
  <c r="AJ1179" i="2"/>
  <c r="AH1179" i="2"/>
  <c r="AK1179" i="2"/>
  <c r="AL1179" i="2"/>
  <c r="AJ1227" i="2"/>
  <c r="AH1227" i="2"/>
  <c r="AL1227" i="2"/>
  <c r="AK1227" i="2"/>
  <c r="AJ1157" i="2"/>
  <c r="AH1157" i="2"/>
  <c r="AK1157" i="2"/>
  <c r="AL1157" i="2"/>
  <c r="AJ1187" i="2"/>
  <c r="AH1187" i="2"/>
  <c r="AK1187" i="2"/>
  <c r="AL1187" i="2"/>
  <c r="AJ1169" i="2"/>
  <c r="AH1169" i="2"/>
  <c r="AK1169" i="2"/>
  <c r="AL1169" i="2"/>
  <c r="AJ1257" i="2"/>
  <c r="AH1257" i="2"/>
  <c r="AK1257" i="2"/>
  <c r="AL1257" i="2"/>
  <c r="AJ1440" i="2"/>
  <c r="AH1440" i="2"/>
  <c r="AL1440" i="2"/>
  <c r="AK1440" i="2"/>
  <c r="AJ1640" i="2"/>
  <c r="AH1640" i="2"/>
  <c r="AK1640" i="2"/>
  <c r="AL1640" i="2"/>
  <c r="AJ1656" i="2"/>
  <c r="AH1656" i="2"/>
  <c r="AK1656" i="2"/>
  <c r="AL1656" i="2"/>
  <c r="AJ1633" i="2"/>
  <c r="AH1633" i="2"/>
  <c r="AL1633" i="2"/>
  <c r="AK1633" i="2"/>
  <c r="AJ1657" i="2"/>
  <c r="AH1657" i="2"/>
  <c r="AL1657" i="2"/>
  <c r="AK1657" i="2"/>
  <c r="AJ1591" i="2"/>
  <c r="AH1591" i="2"/>
  <c r="AK1591" i="2"/>
  <c r="AL1591" i="2"/>
  <c r="AJ1599" i="2"/>
  <c r="AH1599" i="2"/>
  <c r="AK1599" i="2"/>
  <c r="AL1599" i="2"/>
  <c r="AJ1590" i="2"/>
  <c r="AH1590" i="2"/>
  <c r="AL1590" i="2"/>
  <c r="AK1590" i="2"/>
  <c r="AJ1614" i="2"/>
  <c r="AH1614" i="2"/>
  <c r="AL1614" i="2"/>
  <c r="AK1614" i="2"/>
  <c r="AJ1630" i="2"/>
  <c r="AH1630" i="2"/>
  <c r="AL1630" i="2"/>
  <c r="AK1630" i="2"/>
  <c r="AJ1646" i="2"/>
  <c r="AH1646" i="2"/>
  <c r="AL1646" i="2"/>
  <c r="AK1646" i="2"/>
  <c r="AJ1662" i="2"/>
  <c r="AH1662" i="2"/>
  <c r="AL1662" i="2"/>
  <c r="AK1662" i="2"/>
  <c r="AJ1629" i="2"/>
  <c r="AH1629" i="2"/>
  <c r="AL1629" i="2"/>
  <c r="AK1629" i="2"/>
  <c r="AJ1661" i="2"/>
  <c r="AH1661" i="2"/>
  <c r="AL1661" i="2"/>
  <c r="AK1661" i="2"/>
  <c r="AJ1607" i="2"/>
  <c r="AH1607" i="2"/>
  <c r="AL1607" i="2"/>
  <c r="AK1607" i="2"/>
  <c r="AJ1608" i="2"/>
  <c r="AH1608" i="2"/>
  <c r="AK1608" i="2"/>
  <c r="AL1608" i="2"/>
  <c r="AJ1610" i="2"/>
  <c r="AH1610" i="2"/>
  <c r="AL1610" i="2"/>
  <c r="AK1610" i="2"/>
  <c r="AJ1634" i="2"/>
  <c r="AH1634" i="2"/>
  <c r="AL1634" i="2"/>
  <c r="AK1634" i="2"/>
  <c r="AJ1650" i="2"/>
  <c r="AH1650" i="2"/>
  <c r="AL1650" i="2"/>
  <c r="AK1650" i="2"/>
  <c r="AJ1666" i="2"/>
  <c r="AH1666" i="2"/>
  <c r="AK1666" i="2"/>
  <c r="AL1666" i="2"/>
  <c r="AJ1631" i="2"/>
  <c r="AH1631" i="2"/>
  <c r="AK1631" i="2"/>
  <c r="AL1631" i="2"/>
  <c r="AJ23" i="2"/>
  <c r="AH23" i="2"/>
  <c r="AL23" i="2"/>
  <c r="AK23" i="2"/>
  <c r="AJ83" i="2"/>
  <c r="AH83" i="2"/>
  <c r="AL83" i="2"/>
  <c r="AK83" i="2"/>
  <c r="AJ167" i="2"/>
  <c r="AH167" i="2"/>
  <c r="AL167" i="2"/>
  <c r="AK167" i="2"/>
  <c r="AJ233" i="2"/>
  <c r="AH233" i="2"/>
  <c r="AL233" i="2"/>
  <c r="AK233" i="2"/>
  <c r="AJ297" i="2"/>
  <c r="AH297" i="2"/>
  <c r="AL297" i="2"/>
  <c r="AK297" i="2"/>
  <c r="AJ481" i="2"/>
  <c r="AH481" i="2"/>
  <c r="AL481" i="2"/>
  <c r="AK481" i="2"/>
  <c r="AJ537" i="2"/>
  <c r="AH537" i="2"/>
  <c r="AK537" i="2"/>
  <c r="AL537" i="2"/>
  <c r="AJ195" i="2"/>
  <c r="AH195" i="2"/>
  <c r="AK195" i="2"/>
  <c r="AL195" i="2"/>
  <c r="AJ67" i="2"/>
  <c r="AH67" i="2"/>
  <c r="AL67" i="2"/>
  <c r="AK67" i="2"/>
  <c r="AJ103" i="2"/>
  <c r="AH103" i="2"/>
  <c r="AL103" i="2"/>
  <c r="AK103" i="2"/>
  <c r="AJ387" i="2"/>
  <c r="AH387" i="2"/>
  <c r="AL387" i="2"/>
  <c r="AK387" i="2"/>
  <c r="AJ595" i="2"/>
  <c r="AH595" i="2"/>
  <c r="AK595" i="2"/>
  <c r="AL595" i="2"/>
  <c r="AJ539" i="2"/>
  <c r="AH539" i="2"/>
  <c r="AK539" i="2"/>
  <c r="AL539" i="2"/>
  <c r="AJ587" i="2"/>
  <c r="AH587" i="2"/>
  <c r="AL587" i="2"/>
  <c r="AK587" i="2"/>
  <c r="AJ667" i="2"/>
  <c r="AH667" i="2"/>
  <c r="AK667" i="2"/>
  <c r="AL667" i="2"/>
  <c r="AJ683" i="2"/>
  <c r="AH683" i="2"/>
  <c r="AK683" i="2"/>
  <c r="AL683" i="2"/>
  <c r="AJ403" i="2"/>
  <c r="AH403" i="2"/>
  <c r="AL403" i="2"/>
  <c r="AK403" i="2"/>
  <c r="AJ449" i="2"/>
  <c r="AH449" i="2"/>
  <c r="AL449" i="2"/>
  <c r="AK449" i="2"/>
  <c r="AJ238" i="2"/>
  <c r="AH238" i="2"/>
  <c r="AL238" i="2"/>
  <c r="AK238" i="2"/>
  <c r="AJ302" i="2"/>
  <c r="AH302" i="2"/>
  <c r="AL302" i="2"/>
  <c r="AK302" i="2"/>
  <c r="AJ430" i="2"/>
  <c r="AH430" i="2"/>
  <c r="AL430" i="2"/>
  <c r="AK430" i="2"/>
  <c r="AJ614" i="2"/>
  <c r="AH614" i="2"/>
  <c r="AK614" i="2"/>
  <c r="AL614" i="2"/>
  <c r="AJ847" i="2"/>
  <c r="AH847" i="2"/>
  <c r="AK847" i="2"/>
  <c r="AL847" i="2"/>
  <c r="AJ535" i="2"/>
  <c r="AH535" i="2"/>
  <c r="AK535" i="2"/>
  <c r="AL535" i="2"/>
  <c r="AJ551" i="2"/>
  <c r="AH551" i="2"/>
  <c r="AK551" i="2"/>
  <c r="AL551" i="2"/>
  <c r="AJ567" i="2"/>
  <c r="AH567" i="2"/>
  <c r="AK567" i="2"/>
  <c r="AL567" i="2"/>
  <c r="AJ636" i="2"/>
  <c r="AH636" i="2"/>
  <c r="AL636" i="2"/>
  <c r="AK636" i="2"/>
  <c r="AJ812" i="2"/>
  <c r="AH812" i="2"/>
  <c r="AK812" i="2"/>
  <c r="AL812" i="2"/>
  <c r="AJ248" i="2"/>
  <c r="AH248" i="2"/>
  <c r="AK248" i="2"/>
  <c r="AL248" i="2"/>
  <c r="AJ536" i="2"/>
  <c r="AH536" i="2"/>
  <c r="AK536" i="2"/>
  <c r="AL536" i="2"/>
  <c r="AJ592" i="2"/>
  <c r="AH592" i="2"/>
  <c r="AK592" i="2"/>
  <c r="AL592" i="2"/>
  <c r="AJ782" i="2"/>
  <c r="AH782" i="2"/>
  <c r="AK782" i="2"/>
  <c r="AL782" i="2"/>
  <c r="AJ759" i="2"/>
  <c r="AH759" i="2"/>
  <c r="AK759" i="2"/>
  <c r="AL759" i="2"/>
  <c r="AJ799" i="2"/>
  <c r="AH799" i="2"/>
  <c r="AK799" i="2"/>
  <c r="AL799" i="2"/>
  <c r="AJ842" i="2"/>
  <c r="AH842" i="2"/>
  <c r="AL842" i="2"/>
  <c r="AK842" i="2"/>
  <c r="AJ879" i="2"/>
  <c r="AH879" i="2"/>
  <c r="AK879" i="2"/>
  <c r="AL879" i="2"/>
  <c r="AJ844" i="2"/>
  <c r="AH844" i="2"/>
  <c r="AK844" i="2"/>
  <c r="AL844" i="2"/>
  <c r="AJ967" i="2"/>
  <c r="AH967" i="2"/>
  <c r="AL967" i="2"/>
  <c r="AK967" i="2"/>
  <c r="AJ983" i="2"/>
  <c r="AH983" i="2"/>
  <c r="AL983" i="2"/>
  <c r="AK983" i="2"/>
  <c r="AJ999" i="2"/>
  <c r="AH999" i="2"/>
  <c r="AL999" i="2"/>
  <c r="AK999" i="2"/>
  <c r="AJ1015" i="2"/>
  <c r="AH1015" i="2"/>
  <c r="AL1015" i="2"/>
  <c r="AK1015" i="2"/>
  <c r="AJ1031" i="2"/>
  <c r="AH1031" i="2"/>
  <c r="AL1031" i="2"/>
  <c r="AK1031" i="2"/>
  <c r="AJ1083" i="2"/>
  <c r="AH1083" i="2"/>
  <c r="AK1083" i="2"/>
  <c r="AL1083" i="2"/>
  <c r="AJ910" i="2"/>
  <c r="AH910" i="2"/>
  <c r="AK910" i="2"/>
  <c r="AL910" i="2"/>
  <c r="AJ1102" i="2"/>
  <c r="AH1102" i="2"/>
  <c r="AK1102" i="2"/>
  <c r="AL1102" i="2"/>
  <c r="AJ1125" i="2"/>
  <c r="AH1125" i="2"/>
  <c r="AK1125" i="2"/>
  <c r="AL1125" i="2"/>
  <c r="AJ957" i="2"/>
  <c r="AH957" i="2"/>
  <c r="AK957" i="2"/>
  <c r="AL957" i="2"/>
  <c r="AJ994" i="2"/>
  <c r="AH994" i="2"/>
  <c r="AK994" i="2"/>
  <c r="AL994" i="2"/>
  <c r="AJ1040" i="2"/>
  <c r="AH1040" i="2"/>
  <c r="AK1040" i="2"/>
  <c r="AL1040" i="2"/>
  <c r="AJ1104" i="2"/>
  <c r="AH1104" i="2"/>
  <c r="AK1104" i="2"/>
  <c r="AL1104" i="2"/>
  <c r="AJ1143" i="2"/>
  <c r="AH1143" i="2"/>
  <c r="AK1143" i="2"/>
  <c r="AL1143" i="2"/>
  <c r="AJ1283" i="2"/>
  <c r="AH1283" i="2"/>
  <c r="AK1283" i="2"/>
  <c r="AL1283" i="2"/>
  <c r="AJ1228" i="2"/>
  <c r="AH1228" i="2"/>
  <c r="AK1228" i="2"/>
  <c r="AL1228" i="2"/>
  <c r="AJ1260" i="2"/>
  <c r="AH1260" i="2"/>
  <c r="AK1260" i="2"/>
  <c r="AL1260" i="2"/>
  <c r="AJ1498" i="2"/>
  <c r="AH1498" i="2"/>
  <c r="AK1498" i="2"/>
  <c r="AL1498" i="2"/>
  <c r="AJ1522" i="2"/>
  <c r="AH1522" i="2"/>
  <c r="AK1522" i="2"/>
  <c r="AL1522" i="2"/>
  <c r="AJ1520" i="2"/>
  <c r="AH1520" i="2"/>
  <c r="AK1520" i="2"/>
  <c r="AL1520" i="2"/>
  <c r="AJ1462" i="2"/>
  <c r="AH1462" i="2"/>
  <c r="AK1462" i="2"/>
  <c r="AL1462" i="2"/>
  <c r="AJ1478" i="2"/>
  <c r="AH1478" i="2"/>
  <c r="AL1478" i="2"/>
  <c r="AK1478" i="2"/>
  <c r="AJ1526" i="2"/>
  <c r="AH1526" i="2"/>
  <c r="AK1526" i="2"/>
  <c r="AL1526" i="2"/>
  <c r="AJ1558" i="2"/>
  <c r="AH1558" i="2"/>
  <c r="AK1558" i="2"/>
  <c r="AL1558" i="2"/>
  <c r="AJ16" i="2"/>
  <c r="AH16" i="2"/>
  <c r="AK16" i="2"/>
  <c r="AL16" i="2"/>
  <c r="AJ32" i="2"/>
  <c r="AH32" i="2"/>
  <c r="AK32" i="2"/>
  <c r="AL32" i="2"/>
  <c r="AJ48" i="2"/>
  <c r="AH48" i="2"/>
  <c r="AK48" i="2"/>
  <c r="AL48" i="2"/>
  <c r="AJ64" i="2"/>
  <c r="AH64" i="2"/>
  <c r="AK64" i="2"/>
  <c r="AL64" i="2"/>
  <c r="AJ80" i="2"/>
  <c r="AH80" i="2"/>
  <c r="AK80" i="2"/>
  <c r="AL80" i="2"/>
  <c r="AJ96" i="2"/>
  <c r="AH96" i="2"/>
  <c r="AK96" i="2"/>
  <c r="AL96" i="2"/>
  <c r="AJ112" i="2"/>
  <c r="AH112" i="2"/>
  <c r="AK112" i="2"/>
  <c r="AL112" i="2"/>
  <c r="AJ128" i="2"/>
  <c r="AH128" i="2"/>
  <c r="AK128" i="2"/>
  <c r="AL128" i="2"/>
  <c r="AJ144" i="2"/>
  <c r="AH144" i="2"/>
  <c r="AK144" i="2"/>
  <c r="AL144" i="2"/>
  <c r="AJ160" i="2"/>
  <c r="AH160" i="2"/>
  <c r="AK160" i="2"/>
  <c r="AL160" i="2"/>
  <c r="AJ176" i="2"/>
  <c r="AH176" i="2"/>
  <c r="AK176" i="2"/>
  <c r="AL176" i="2"/>
  <c r="AJ192" i="2"/>
  <c r="AH192" i="2"/>
  <c r="AK192" i="2"/>
  <c r="AL192" i="2"/>
  <c r="AJ220" i="2"/>
  <c r="AH220" i="2"/>
  <c r="AL220" i="2"/>
  <c r="AK220" i="2"/>
  <c r="AJ257" i="2"/>
  <c r="AH257" i="2"/>
  <c r="AL257" i="2"/>
  <c r="AK257" i="2"/>
  <c r="AJ443" i="2"/>
  <c r="AH443" i="2"/>
  <c r="AL443" i="2"/>
  <c r="AK443" i="2"/>
  <c r="AJ307" i="2"/>
  <c r="AH307" i="2"/>
  <c r="AL307" i="2"/>
  <c r="AK307" i="2"/>
  <c r="AJ547" i="2"/>
  <c r="AH547" i="2"/>
  <c r="AL547" i="2"/>
  <c r="AK547" i="2"/>
  <c r="AJ571" i="2"/>
  <c r="AH571" i="2"/>
  <c r="AL571" i="2"/>
  <c r="AK571" i="2"/>
  <c r="AJ611" i="2"/>
  <c r="AH611" i="2"/>
  <c r="AL611" i="2"/>
  <c r="AK611" i="2"/>
  <c r="AJ246" i="2"/>
  <c r="AH246" i="2"/>
  <c r="AL246" i="2"/>
  <c r="AK246" i="2"/>
  <c r="AJ310" i="2"/>
  <c r="AH310" i="2"/>
  <c r="AL310" i="2"/>
  <c r="AK310" i="2"/>
  <c r="AJ350" i="2"/>
  <c r="AH350" i="2"/>
  <c r="AL350" i="2"/>
  <c r="AK350" i="2"/>
  <c r="AJ390" i="2"/>
  <c r="AH390" i="2"/>
  <c r="AL390" i="2"/>
  <c r="AK390" i="2"/>
  <c r="AJ486" i="2"/>
  <c r="AH486" i="2"/>
  <c r="AL486" i="2"/>
  <c r="AK486" i="2"/>
  <c r="AJ534" i="2"/>
  <c r="AH534" i="2"/>
  <c r="AL534" i="2"/>
  <c r="AK534" i="2"/>
  <c r="AJ622" i="2"/>
  <c r="AH622" i="2"/>
  <c r="AL622" i="2"/>
  <c r="AK622" i="2"/>
  <c r="AJ641" i="2"/>
  <c r="AH641" i="2"/>
  <c r="AL641" i="2"/>
  <c r="AK641" i="2"/>
  <c r="AJ236" i="2"/>
  <c r="AH236" i="2"/>
  <c r="AL236" i="2"/>
  <c r="AK236" i="2"/>
  <c r="AJ252" i="2"/>
  <c r="AH252" i="2"/>
  <c r="AL252" i="2"/>
  <c r="AK252" i="2"/>
  <c r="AJ268" i="2"/>
  <c r="AH268" i="2"/>
  <c r="AL268" i="2"/>
  <c r="AK268" i="2"/>
  <c r="AJ284" i="2"/>
  <c r="AH284" i="2"/>
  <c r="AL284" i="2"/>
  <c r="AK284" i="2"/>
  <c r="AJ300" i="2"/>
  <c r="AH300" i="2"/>
  <c r="AL300" i="2"/>
  <c r="AK300" i="2"/>
  <c r="AJ316" i="2"/>
  <c r="AH316" i="2"/>
  <c r="AL316" i="2"/>
  <c r="AK316" i="2"/>
  <c r="AJ332" i="2"/>
  <c r="AH332" i="2"/>
  <c r="AL332" i="2"/>
  <c r="AK332" i="2"/>
  <c r="AJ348" i="2"/>
  <c r="AH348" i="2"/>
  <c r="AL348" i="2"/>
  <c r="AK348" i="2"/>
  <c r="AJ364" i="2"/>
  <c r="AH364" i="2"/>
  <c r="AL364" i="2"/>
  <c r="AK364" i="2"/>
  <c r="AJ396" i="2"/>
  <c r="AH396" i="2"/>
  <c r="AL396" i="2"/>
  <c r="AK396" i="2"/>
  <c r="AJ412" i="2"/>
  <c r="AH412" i="2"/>
  <c r="AL412" i="2"/>
  <c r="AK412" i="2"/>
  <c r="AJ428" i="2"/>
  <c r="AH428" i="2"/>
  <c r="AL428" i="2"/>
  <c r="AK428" i="2"/>
  <c r="AJ444" i="2"/>
  <c r="AH444" i="2"/>
  <c r="AL444" i="2"/>
  <c r="AK444" i="2"/>
  <c r="AJ468" i="2"/>
  <c r="AH468" i="2"/>
  <c r="AL468" i="2"/>
  <c r="AK468" i="2"/>
  <c r="AJ516" i="2"/>
  <c r="AH516" i="2"/>
  <c r="AL516" i="2"/>
  <c r="AK516" i="2"/>
  <c r="AJ620" i="2"/>
  <c r="AH620" i="2"/>
  <c r="AL620" i="2"/>
  <c r="AK620" i="2"/>
  <c r="AJ721" i="2"/>
  <c r="AH721" i="2"/>
  <c r="AK721" i="2"/>
  <c r="AL721" i="2"/>
  <c r="AJ272" i="2"/>
  <c r="AH272" i="2"/>
  <c r="AL272" i="2"/>
  <c r="AK272" i="2"/>
  <c r="AJ743" i="2"/>
  <c r="AH743" i="2"/>
  <c r="AL743" i="2"/>
  <c r="AK743" i="2"/>
  <c r="AJ786" i="2"/>
  <c r="AH786" i="2"/>
  <c r="AL786" i="2"/>
  <c r="AK786" i="2"/>
  <c r="AJ927" i="2"/>
  <c r="AH927" i="2"/>
  <c r="AL927" i="2"/>
  <c r="AK927" i="2"/>
  <c r="AJ1011" i="2"/>
  <c r="AH1011" i="2"/>
  <c r="AL1011" i="2"/>
  <c r="AK1011" i="2"/>
  <c r="AJ1073" i="2"/>
  <c r="AH1073" i="2"/>
  <c r="AL1073" i="2"/>
  <c r="AK1073" i="2"/>
  <c r="AJ905" i="2"/>
  <c r="AH905" i="2"/>
  <c r="AL905" i="2"/>
  <c r="AK905" i="2"/>
  <c r="AJ915" i="2"/>
  <c r="AH915" i="2"/>
  <c r="AL915" i="2"/>
  <c r="AK915" i="2"/>
  <c r="AJ1025" i="2"/>
  <c r="AH1025" i="2"/>
  <c r="AL1025" i="2"/>
  <c r="AK1025" i="2"/>
  <c r="AJ771" i="2"/>
  <c r="AH771" i="2"/>
  <c r="AL771" i="2"/>
  <c r="AK771" i="2"/>
  <c r="AJ897" i="2"/>
  <c r="AH897" i="2"/>
  <c r="AL897" i="2"/>
  <c r="AK897" i="2"/>
  <c r="AJ908" i="2"/>
  <c r="AH908" i="2"/>
  <c r="AL908" i="2"/>
  <c r="AK908" i="2"/>
  <c r="AJ940" i="2"/>
  <c r="AH940" i="2"/>
  <c r="AL940" i="2"/>
  <c r="AK940" i="2"/>
  <c r="AJ1279" i="2"/>
  <c r="AH1279" i="2"/>
  <c r="AL1279" i="2"/>
  <c r="AK1279" i="2"/>
  <c r="AJ1171" i="2"/>
  <c r="AH1171" i="2"/>
  <c r="AL1171" i="2"/>
  <c r="AK1171" i="2"/>
  <c r="AJ1203" i="2"/>
  <c r="AH1203" i="2"/>
  <c r="AL1203" i="2"/>
  <c r="AK1203" i="2"/>
  <c r="AJ1273" i="2"/>
  <c r="AH1273" i="2"/>
  <c r="AL1273" i="2"/>
  <c r="AK1273" i="2"/>
  <c r="AJ1425" i="2"/>
  <c r="AH1425" i="2"/>
  <c r="AL1425" i="2"/>
  <c r="AK1425" i="2"/>
  <c r="AJ1373" i="2"/>
  <c r="AH1373" i="2"/>
  <c r="AL1373" i="2"/>
  <c r="AK1373" i="2"/>
  <c r="AJ1422" i="2"/>
  <c r="AH1422" i="2"/>
  <c r="AL1422" i="2"/>
  <c r="AK1422" i="2"/>
  <c r="AJ1430" i="2"/>
  <c r="AH1430" i="2"/>
  <c r="AK1430" i="2"/>
  <c r="AL1430" i="2"/>
  <c r="AJ1545" i="2"/>
  <c r="AH1545" i="2"/>
  <c r="AL1545" i="2"/>
  <c r="AK1545" i="2"/>
  <c r="AJ1453" i="2"/>
  <c r="AH1453" i="2"/>
  <c r="AL1453" i="2"/>
  <c r="AK1453" i="2"/>
  <c r="AJ1530" i="2"/>
  <c r="AH1530" i="2"/>
  <c r="AL1530" i="2"/>
  <c r="AK1530" i="2"/>
  <c r="AJ1480" i="2"/>
  <c r="AH1480" i="2"/>
  <c r="AL1480" i="2"/>
  <c r="AK1480" i="2"/>
  <c r="AJ1565" i="2"/>
  <c r="AH1565" i="2"/>
  <c r="AL1565" i="2"/>
  <c r="AK1565" i="2"/>
  <c r="AJ14" i="2"/>
  <c r="AH14" i="2"/>
  <c r="AL14" i="2"/>
  <c r="AK14" i="2"/>
  <c r="AJ30" i="2"/>
  <c r="AH30" i="2"/>
  <c r="AL30" i="2"/>
  <c r="AK30" i="2"/>
  <c r="AJ46" i="2"/>
  <c r="AH46" i="2"/>
  <c r="AL46" i="2"/>
  <c r="AK46" i="2"/>
  <c r="AJ62" i="2"/>
  <c r="AH62" i="2"/>
  <c r="AL62" i="2"/>
  <c r="AK62" i="2"/>
  <c r="AJ78" i="2"/>
  <c r="AH78" i="2"/>
  <c r="AL78" i="2"/>
  <c r="AK78" i="2"/>
  <c r="AJ94" i="2"/>
  <c r="AH94" i="2"/>
  <c r="AL94" i="2"/>
  <c r="AK94" i="2"/>
  <c r="AJ110" i="2"/>
  <c r="AH110" i="2"/>
  <c r="AL110" i="2"/>
  <c r="AK110" i="2"/>
  <c r="AJ126" i="2"/>
  <c r="AH126" i="2"/>
  <c r="AL126" i="2"/>
  <c r="AK126" i="2"/>
  <c r="AJ142" i="2"/>
  <c r="AH142" i="2"/>
  <c r="AL142" i="2"/>
  <c r="AK142" i="2"/>
  <c r="AJ158" i="2"/>
  <c r="AH158" i="2"/>
  <c r="AL158" i="2"/>
  <c r="AK158" i="2"/>
  <c r="AJ174" i="2"/>
  <c r="AH174" i="2"/>
  <c r="AL174" i="2"/>
  <c r="AK174" i="2"/>
  <c r="AJ190" i="2"/>
  <c r="AH190" i="2"/>
  <c r="AL190" i="2"/>
  <c r="AK190" i="2"/>
  <c r="AH17" i="2"/>
  <c r="AJ17" i="2"/>
  <c r="AL17" i="2"/>
  <c r="AK17" i="2"/>
  <c r="AH57" i="2"/>
  <c r="AJ57" i="2"/>
  <c r="AL57" i="2"/>
  <c r="AK57" i="2"/>
  <c r="AH73" i="2"/>
  <c r="AJ73" i="2"/>
  <c r="AL73" i="2"/>
  <c r="AK73" i="2"/>
  <c r="AH97" i="2"/>
  <c r="AJ97" i="2"/>
  <c r="AL97" i="2"/>
  <c r="AK97" i="2"/>
  <c r="AH129" i="2"/>
  <c r="AJ129" i="2"/>
  <c r="AL129" i="2"/>
  <c r="AK129" i="2"/>
  <c r="AH153" i="2"/>
  <c r="AJ153" i="2"/>
  <c r="AL153" i="2"/>
  <c r="AK153" i="2"/>
  <c r="AH173" i="2"/>
  <c r="AJ173" i="2"/>
  <c r="AL173" i="2"/>
  <c r="AK173" i="2"/>
  <c r="AJ207" i="2"/>
  <c r="AH207" i="2"/>
  <c r="AL207" i="2"/>
  <c r="AK207" i="2"/>
  <c r="AJ419" i="2"/>
  <c r="AH419" i="2"/>
  <c r="AL419" i="2"/>
  <c r="AK419" i="2"/>
  <c r="AJ225" i="2"/>
  <c r="AH225" i="2"/>
  <c r="AK225" i="2"/>
  <c r="AL225" i="2"/>
  <c r="AJ251" i="2"/>
  <c r="AH251" i="2"/>
  <c r="AL251" i="2"/>
  <c r="AK251" i="2"/>
  <c r="AJ555" i="2"/>
  <c r="AH555" i="2"/>
  <c r="AL555" i="2"/>
  <c r="AK555" i="2"/>
  <c r="AJ358" i="2"/>
  <c r="AH358" i="2"/>
  <c r="AL358" i="2"/>
  <c r="AK358" i="2"/>
  <c r="AJ582" i="2"/>
  <c r="AH582" i="2"/>
  <c r="AK582" i="2"/>
  <c r="AL582" i="2"/>
  <c r="AJ609" i="2"/>
  <c r="AH609" i="2"/>
  <c r="AL609" i="2"/>
  <c r="AK609" i="2"/>
  <c r="AJ665" i="2"/>
  <c r="AH665" i="2"/>
  <c r="AL665" i="2"/>
  <c r="AK665" i="2"/>
  <c r="AJ692" i="2"/>
  <c r="AH692" i="2"/>
  <c r="AK692" i="2"/>
  <c r="AL692" i="2"/>
  <c r="AJ800" i="2"/>
  <c r="AH800" i="2"/>
  <c r="AK800" i="2"/>
  <c r="AL800" i="2"/>
  <c r="AJ392" i="2"/>
  <c r="AH392" i="2"/>
  <c r="AK392" i="2"/>
  <c r="AL392" i="2"/>
  <c r="AJ772" i="2"/>
  <c r="AH772" i="2"/>
  <c r="AL772" i="2"/>
  <c r="AK772" i="2"/>
  <c r="AJ788" i="2"/>
  <c r="AH788" i="2"/>
  <c r="AL788" i="2"/>
  <c r="AK788" i="2"/>
  <c r="AJ826" i="2"/>
  <c r="AH826" i="2"/>
  <c r="AL826" i="2"/>
  <c r="AK826" i="2"/>
  <c r="AJ907" i="2"/>
  <c r="AH907" i="2"/>
  <c r="AL907" i="2"/>
  <c r="AK907" i="2"/>
  <c r="AJ903" i="2"/>
  <c r="AH903" i="2"/>
  <c r="AL903" i="2"/>
  <c r="AK903" i="2"/>
  <c r="AJ985" i="2"/>
  <c r="AH985" i="2"/>
  <c r="AL985" i="2"/>
  <c r="AK985" i="2"/>
  <c r="AJ1033" i="2"/>
  <c r="AH1033" i="2"/>
  <c r="AL1033" i="2"/>
  <c r="AK1033" i="2"/>
  <c r="AJ980" i="2"/>
  <c r="AH980" i="2"/>
  <c r="AL980" i="2"/>
  <c r="AK980" i="2"/>
  <c r="AJ1052" i="2"/>
  <c r="AH1052" i="2"/>
  <c r="AL1052" i="2"/>
  <c r="AK1052" i="2"/>
  <c r="AJ1068" i="2"/>
  <c r="AH1068" i="2"/>
  <c r="AL1068" i="2"/>
  <c r="AK1068" i="2"/>
  <c r="AJ1084" i="2"/>
  <c r="AH1084" i="2"/>
  <c r="AL1084" i="2"/>
  <c r="AK1084" i="2"/>
  <c r="AJ1161" i="2"/>
  <c r="AH1161" i="2"/>
  <c r="AL1161" i="2"/>
  <c r="AK1161" i="2"/>
  <c r="AJ1371" i="2"/>
  <c r="AH1371" i="2"/>
  <c r="AL1371" i="2"/>
  <c r="AK1371" i="2"/>
  <c r="AJ1223" i="2"/>
  <c r="AH1223" i="2"/>
  <c r="AL1223" i="2"/>
  <c r="AK1223" i="2"/>
  <c r="AJ1417" i="2"/>
  <c r="AH1417" i="2"/>
  <c r="AK1417" i="2"/>
  <c r="AL1417" i="2"/>
  <c r="AJ1236" i="2"/>
  <c r="AH1236" i="2"/>
  <c r="AL1236" i="2"/>
  <c r="AK1236" i="2"/>
  <c r="AJ1268" i="2"/>
  <c r="AH1268" i="2"/>
  <c r="AL1268" i="2"/>
  <c r="AK1268" i="2"/>
  <c r="AJ1292" i="2"/>
  <c r="AH1292" i="2"/>
  <c r="AK1292" i="2"/>
  <c r="AL1292" i="2"/>
  <c r="AJ1136" i="2"/>
  <c r="AH1136" i="2"/>
  <c r="AK1136" i="2"/>
  <c r="AL1136" i="2"/>
  <c r="AJ1537" i="2"/>
  <c r="AH1537" i="2"/>
  <c r="AK1537" i="2"/>
  <c r="AL1537" i="2"/>
  <c r="AJ1477" i="2"/>
  <c r="AH1477" i="2"/>
  <c r="AL1477" i="2"/>
  <c r="AK1477" i="2"/>
  <c r="AJ1539" i="2"/>
  <c r="AH1539" i="2"/>
  <c r="AL1539" i="2"/>
  <c r="AK1539" i="2"/>
  <c r="AJ1567" i="2"/>
  <c r="AH1567" i="2"/>
  <c r="AL1567" i="2"/>
  <c r="AK1567" i="2"/>
  <c r="AH13" i="2"/>
  <c r="AJ13" i="2"/>
  <c r="AL13" i="2"/>
  <c r="AK13" i="2"/>
  <c r="AH33" i="2"/>
  <c r="AJ33" i="2"/>
  <c r="AL33" i="2"/>
  <c r="AK33" i="2"/>
  <c r="AH85" i="2"/>
  <c r="AJ85" i="2"/>
  <c r="AL85" i="2"/>
  <c r="AK85" i="2"/>
  <c r="AH117" i="2"/>
  <c r="AJ117" i="2"/>
  <c r="AL117" i="2"/>
  <c r="AK117" i="2"/>
  <c r="AH181" i="2"/>
  <c r="AJ181" i="2"/>
  <c r="AL181" i="2"/>
  <c r="AK181" i="2"/>
  <c r="AJ401" i="2"/>
  <c r="AH401" i="2"/>
  <c r="AL401" i="2"/>
  <c r="AK401" i="2"/>
  <c r="AJ463" i="2"/>
  <c r="AH463" i="2"/>
  <c r="AK463" i="2"/>
  <c r="AL463" i="2"/>
  <c r="AJ625" i="2"/>
  <c r="AH625" i="2"/>
  <c r="AL625" i="2"/>
  <c r="AK625" i="2"/>
  <c r="AJ323" i="2"/>
  <c r="AH323" i="2"/>
  <c r="AL323" i="2"/>
  <c r="AK323" i="2"/>
  <c r="AJ425" i="2"/>
  <c r="AH425" i="2"/>
  <c r="AL425" i="2"/>
  <c r="AK425" i="2"/>
  <c r="AJ563" i="2"/>
  <c r="AH563" i="2"/>
  <c r="AL563" i="2"/>
  <c r="AK563" i="2"/>
  <c r="AJ363" i="2"/>
  <c r="AH363" i="2"/>
  <c r="AL363" i="2"/>
  <c r="AK363" i="2"/>
  <c r="AJ379" i="2"/>
  <c r="AH379" i="2"/>
  <c r="AL379" i="2"/>
  <c r="AK379" i="2"/>
  <c r="AJ422" i="2"/>
  <c r="AH422" i="2"/>
  <c r="AL422" i="2"/>
  <c r="AK422" i="2"/>
  <c r="AJ494" i="2"/>
  <c r="AH494" i="2"/>
  <c r="AL494" i="2"/>
  <c r="AK494" i="2"/>
  <c r="AJ727" i="2"/>
  <c r="AH727" i="2"/>
  <c r="AL727" i="2"/>
  <c r="AK727" i="2"/>
  <c r="AJ764" i="2"/>
  <c r="AH764" i="2"/>
  <c r="AL764" i="2"/>
  <c r="AK764" i="2"/>
  <c r="AJ768" i="2"/>
  <c r="AH768" i="2"/>
  <c r="AK768" i="2"/>
  <c r="AL768" i="2"/>
  <c r="AJ742" i="2"/>
  <c r="AH742" i="2"/>
  <c r="AL742" i="2"/>
  <c r="AK742" i="2"/>
  <c r="AJ1051" i="2"/>
  <c r="AH1051" i="2"/>
  <c r="AK1051" i="2"/>
  <c r="AL1051" i="2"/>
  <c r="AJ1113" i="2"/>
  <c r="AH1113" i="2"/>
  <c r="AK1113" i="2"/>
  <c r="AL1113" i="2"/>
  <c r="AJ1075" i="2"/>
  <c r="AH1075" i="2"/>
  <c r="AK1075" i="2"/>
  <c r="AL1075" i="2"/>
  <c r="AJ1211" i="2"/>
  <c r="AH1211" i="2"/>
  <c r="AK1211" i="2"/>
  <c r="AL1211" i="2"/>
  <c r="AJ1287" i="2"/>
  <c r="AH1287" i="2"/>
  <c r="AL1287" i="2"/>
  <c r="AK1287" i="2"/>
  <c r="AJ1363" i="2"/>
  <c r="AH1363" i="2"/>
  <c r="AK1363" i="2"/>
  <c r="AL1363" i="2"/>
  <c r="AJ1395" i="2"/>
  <c r="AH1395" i="2"/>
  <c r="AL1395" i="2"/>
  <c r="AK1395" i="2"/>
  <c r="AJ1201" i="2"/>
  <c r="AH1201" i="2"/>
  <c r="AK1201" i="2"/>
  <c r="AL1201" i="2"/>
  <c r="AJ1217" i="2"/>
  <c r="AH1217" i="2"/>
  <c r="AL1217" i="2"/>
  <c r="AK1217" i="2"/>
  <c r="AJ1275" i="2"/>
  <c r="AH1275" i="2"/>
  <c r="AL1275" i="2"/>
  <c r="AK1275" i="2"/>
  <c r="AJ1369" i="2"/>
  <c r="AH1369" i="2"/>
  <c r="AK1369" i="2"/>
  <c r="AL1369" i="2"/>
  <c r="AJ1514" i="2"/>
  <c r="AH1514" i="2"/>
  <c r="AL1514" i="2"/>
  <c r="AK1514" i="2"/>
  <c r="AJ1569" i="2"/>
  <c r="AH1569" i="2"/>
  <c r="AL1569" i="2"/>
  <c r="AK1569" i="2"/>
  <c r="AJ1593" i="2"/>
  <c r="AH1593" i="2"/>
  <c r="AL1593" i="2"/>
  <c r="AK1593" i="2"/>
  <c r="AJ1609" i="2"/>
  <c r="AH1609" i="2"/>
  <c r="AL1609" i="2"/>
  <c r="AK1609" i="2"/>
  <c r="AJ1625" i="2"/>
  <c r="AH1625" i="2"/>
  <c r="AL1625" i="2"/>
  <c r="AK1625" i="2"/>
  <c r="AJ1649" i="2"/>
  <c r="AH1649" i="2"/>
  <c r="AL1649" i="2"/>
  <c r="AK1649" i="2"/>
  <c r="AJ1686" i="2"/>
  <c r="AH1686" i="2"/>
  <c r="AK1686" i="2"/>
  <c r="AL1686" i="2"/>
  <c r="AJ1702" i="2"/>
  <c r="AH1702" i="2"/>
  <c r="AK1702" i="2"/>
  <c r="AL1702" i="2"/>
  <c r="AJ1718" i="2"/>
  <c r="AH1718" i="2"/>
  <c r="AK1718" i="2"/>
  <c r="AL1718" i="2"/>
  <c r="AJ1644" i="2"/>
  <c r="AH1644" i="2"/>
  <c r="AL1644" i="2"/>
  <c r="AK1644" i="2"/>
  <c r="AJ1660" i="2"/>
  <c r="AH1660" i="2"/>
  <c r="AL1660" i="2"/>
  <c r="AK1660" i="2"/>
  <c r="AJ1589" i="2"/>
  <c r="AH1589" i="2"/>
  <c r="AL1589" i="2"/>
  <c r="AK1589" i="2"/>
  <c r="AJ1605" i="2"/>
  <c r="AH1605" i="2"/>
  <c r="AL1605" i="2"/>
  <c r="AK1605" i="2"/>
  <c r="AJ1621" i="2"/>
  <c r="AH1621" i="2"/>
  <c r="AL1621" i="2"/>
  <c r="AK1621" i="2"/>
  <c r="AJ1653" i="2"/>
  <c r="AH1653" i="2"/>
  <c r="AL1653" i="2"/>
  <c r="AK1653" i="2"/>
  <c r="AJ1690" i="2"/>
  <c r="AH1690" i="2"/>
  <c r="AL1690" i="2"/>
  <c r="AK1690" i="2"/>
  <c r="AJ1706" i="2"/>
  <c r="AH1706" i="2"/>
  <c r="AL1706" i="2"/>
  <c r="AK1706" i="2"/>
  <c r="AJ1722" i="2"/>
  <c r="AH1722" i="2"/>
  <c r="AL1722" i="2"/>
  <c r="AK1722" i="2"/>
  <c r="AJ1624" i="2"/>
  <c r="AH1624" i="2"/>
  <c r="AK1624" i="2"/>
  <c r="AL1624" i="2"/>
  <c r="AJ1602" i="2"/>
  <c r="AH1602" i="2"/>
  <c r="AL1602" i="2"/>
  <c r="AK1602" i="2"/>
  <c r="AJ1623" i="2"/>
  <c r="AH1623" i="2"/>
  <c r="AK1623" i="2"/>
  <c r="AL1623" i="2"/>
  <c r="AJ149" i="2" l="1"/>
  <c r="AK1592" i="2"/>
  <c r="AK1600" i="2"/>
  <c r="AK1672" i="2"/>
  <c r="AK1673" i="2"/>
  <c r="AK1685" i="2"/>
  <c r="AK1693" i="2"/>
  <c r="AK1701" i="2"/>
  <c r="AK1709" i="2"/>
  <c r="AK1717" i="2"/>
  <c r="AK1725" i="2"/>
  <c r="AK1675" i="2"/>
  <c r="AK1715" i="2"/>
  <c r="AK1723" i="2"/>
  <c r="AK1731" i="2"/>
  <c r="AK1596" i="2"/>
  <c r="AK1604" i="2"/>
  <c r="AK1612" i="2"/>
  <c r="AK1620" i="2"/>
  <c r="AK1628" i="2"/>
  <c r="AK1679" i="2"/>
  <c r="AK1681" i="2"/>
  <c r="AK1689" i="2"/>
  <c r="AK1697" i="2"/>
  <c r="AK1705" i="2"/>
  <c r="AK1713" i="2"/>
  <c r="AK1721" i="2"/>
  <c r="AK1729" i="2"/>
  <c r="AK1733" i="2"/>
  <c r="AK1676" i="2"/>
  <c r="AK1700" i="2"/>
  <c r="AK1716" i="2"/>
  <c r="AK1667" i="2"/>
  <c r="AK1732" i="2"/>
  <c r="AK1671" i="2"/>
  <c r="AK1655" i="2"/>
  <c r="AK1639" i="2"/>
  <c r="AK1692" i="2"/>
  <c r="AK1677" i="2"/>
  <c r="AK1708" i="2"/>
  <c r="AK1719" i="2"/>
  <c r="AK1703" i="2"/>
  <c r="AK1687" i="2"/>
  <c r="AK1651" i="2"/>
  <c r="AK1635" i="2"/>
  <c r="AK1707" i="2"/>
  <c r="AK1699" i="2"/>
  <c r="AK1691" i="2"/>
  <c r="AK1683" i="2"/>
  <c r="AK1720" i="2"/>
  <c r="AK1704" i="2"/>
  <c r="AK1688" i="2"/>
  <c r="AK1460" i="2"/>
  <c r="AK1684" i="2"/>
  <c r="AK1724" i="2"/>
  <c r="AK1674" i="2"/>
  <c r="AK1663" i="2"/>
  <c r="AK1647" i="2"/>
  <c r="AK1678" i="2"/>
  <c r="AK1727" i="2"/>
  <c r="AK1711" i="2"/>
  <c r="AK1695" i="2"/>
  <c r="AK1659" i="2"/>
  <c r="AK1643" i="2"/>
  <c r="AK1728" i="2"/>
  <c r="AK1712" i="2"/>
  <c r="AK1696" i="2"/>
  <c r="AK1680" i="2"/>
  <c r="AK1307" i="2"/>
  <c r="AK1323" i="2"/>
  <c r="AK1339" i="2"/>
  <c r="AK1297" i="2"/>
  <c r="AK1324" i="2"/>
  <c r="AK1329" i="2"/>
  <c r="AK1356" i="2"/>
  <c r="AK1361" i="2"/>
  <c r="AK1303" i="2"/>
  <c r="AK1311" i="2"/>
  <c r="AK1319" i="2"/>
  <c r="AK1327" i="2"/>
  <c r="AK1335" i="2"/>
  <c r="AK1343" i="2"/>
  <c r="AK1351" i="2"/>
  <c r="AK1359" i="2"/>
  <c r="AK1316" i="2"/>
  <c r="AK1321" i="2"/>
  <c r="AK1348" i="2"/>
  <c r="AK1353" i="2"/>
  <c r="AK1299" i="2"/>
  <c r="AK1315" i="2"/>
  <c r="AK1331" i="2"/>
  <c r="AK1355" i="2"/>
  <c r="AK1308" i="2"/>
  <c r="AK1313" i="2"/>
  <c r="AK1340" i="2"/>
  <c r="AK1345" i="2"/>
  <c r="AK1347" i="2"/>
  <c r="AK1300" i="2"/>
  <c r="AK1305" i="2"/>
  <c r="AK1332" i="2"/>
  <c r="AK1337" i="2"/>
  <c r="AK1302" i="2"/>
  <c r="AK1346" i="2"/>
  <c r="AK1333" i="2"/>
  <c r="AK1330" i="2"/>
  <c r="AK1341" i="2"/>
  <c r="AK1322" i="2"/>
  <c r="AK1318" i="2"/>
  <c r="AK1354" i="2"/>
  <c r="AK1350" i="2"/>
  <c r="AK1349" i="2"/>
  <c r="AK1317" i="2"/>
  <c r="AK1338" i="2"/>
  <c r="AK1309" i="2"/>
  <c r="AK1342" i="2"/>
  <c r="AK1301" i="2"/>
  <c r="AK1357" i="2"/>
  <c r="AK1306" i="2"/>
  <c r="AK1314" i="2"/>
  <c r="AK1298" i="2"/>
  <c r="AK1358" i="2"/>
  <c r="AK1310" i="2"/>
  <c r="AK1334" i="2"/>
  <c r="AK1325" i="2"/>
  <c r="AK1326" i="2"/>
  <c r="AK1479" i="2"/>
  <c r="AK1541" i="2"/>
  <c r="AK1423" i="2"/>
  <c r="AL1237" i="2"/>
  <c r="AK1415" i="2"/>
  <c r="AK1271" i="2"/>
  <c r="AK1134" i="2"/>
  <c r="AL944" i="2"/>
  <c r="AK1127" i="2"/>
  <c r="AL954" i="2"/>
  <c r="AK932" i="2"/>
  <c r="AK900" i="2"/>
  <c r="AK1086" i="2"/>
  <c r="AK1038" i="2"/>
  <c r="AK1035" i="2"/>
  <c r="AK1003" i="2"/>
  <c r="AK971" i="2"/>
  <c r="AK977" i="2"/>
  <c r="AK951" i="2"/>
  <c r="AK887" i="2"/>
  <c r="AL765" i="2"/>
  <c r="AK979" i="2"/>
  <c r="AK738" i="2"/>
  <c r="AL472" i="2"/>
  <c r="AK240" i="2"/>
  <c r="AL642" i="2"/>
  <c r="AL442" i="2"/>
  <c r="AK397" i="2"/>
  <c r="AL365" i="2"/>
  <c r="AK830" i="2"/>
  <c r="AK492" i="2"/>
  <c r="AK460" i="2"/>
  <c r="AK439" i="2"/>
  <c r="AK407" i="2"/>
  <c r="AK391" i="2"/>
  <c r="AK359" i="2"/>
  <c r="AK343" i="2"/>
  <c r="AK311" i="2"/>
  <c r="AK279" i="2"/>
  <c r="AK247" i="2"/>
  <c r="AK776" i="2"/>
  <c r="AK502" i="2"/>
  <c r="AK627" i="2"/>
  <c r="AK603" i="2"/>
  <c r="AK483" i="2"/>
  <c r="AL219" i="2"/>
  <c r="AK205" i="2"/>
  <c r="AK633" i="2"/>
  <c r="AK591" i="2"/>
  <c r="AK441" i="2"/>
  <c r="AK339" i="2"/>
  <c r="AK377" i="2"/>
  <c r="AL218" i="2"/>
  <c r="AK724" i="2"/>
  <c r="AK619" i="2"/>
  <c r="AK545" i="2"/>
  <c r="AL188" i="2"/>
  <c r="AL172" i="2"/>
  <c r="AL156" i="2"/>
  <c r="AL140" i="2"/>
  <c r="AL124" i="2"/>
  <c r="AL108" i="2"/>
  <c r="AL92" i="2"/>
  <c r="AL76" i="2"/>
  <c r="AL60" i="2"/>
  <c r="AL44" i="2"/>
  <c r="AL28" i="2"/>
  <c r="AL12" i="2"/>
  <c r="AK1560" i="2"/>
  <c r="AK1518" i="2"/>
  <c r="AL1489" i="2"/>
  <c r="AL1457" i="2"/>
  <c r="AL1456" i="2"/>
  <c r="AL1416" i="2"/>
  <c r="AL1435" i="2"/>
  <c r="AL1384" i="2"/>
  <c r="AL1272" i="2"/>
  <c r="AK1419" i="2"/>
  <c r="AL1181" i="2"/>
  <c r="AL1380" i="2"/>
  <c r="AL1409" i="2"/>
  <c r="AK1377" i="2"/>
  <c r="AL1233" i="2"/>
  <c r="AL1206" i="2"/>
  <c r="AL1151" i="2"/>
  <c r="AL1407" i="2"/>
  <c r="AL1141" i="2"/>
  <c r="AL1026" i="2"/>
  <c r="AL989" i="2"/>
  <c r="AL917" i="2"/>
  <c r="AL1078" i="2"/>
  <c r="AK923" i="2"/>
  <c r="AK939" i="2"/>
  <c r="AL929" i="2"/>
  <c r="AL891" i="2"/>
  <c r="AL851" i="2"/>
  <c r="AK945" i="2"/>
  <c r="AL794" i="2"/>
  <c r="AL767" i="2"/>
  <c r="AL754" i="2"/>
  <c r="AL766" i="2"/>
  <c r="AL496" i="2"/>
  <c r="AL344" i="2"/>
  <c r="AL645" i="2"/>
  <c r="AL522" i="2"/>
  <c r="AL453" i="2"/>
  <c r="AL631" i="2"/>
  <c r="AL564" i="2"/>
  <c r="AL548" i="2"/>
  <c r="AL532" i="2"/>
  <c r="AL832" i="2"/>
  <c r="AL732" i="2"/>
  <c r="AL702" i="2"/>
  <c r="AL711" i="2"/>
  <c r="AK199" i="2"/>
  <c r="AK395" i="2"/>
  <c r="AK175" i="2"/>
  <c r="AL201" i="2"/>
  <c r="AK111" i="2"/>
  <c r="AL1618" i="2"/>
  <c r="AK1730" i="2"/>
  <c r="AK1714" i="2"/>
  <c r="AK1698" i="2"/>
  <c r="AK1682" i="2"/>
  <c r="AK1615" i="2"/>
  <c r="AL1611" i="2"/>
  <c r="AK1637" i="2"/>
  <c r="AK1613" i="2"/>
  <c r="AK1597" i="2"/>
  <c r="AK1652" i="2"/>
  <c r="AK1636" i="2"/>
  <c r="AL1619" i="2"/>
  <c r="AK1598" i="2"/>
  <c r="AL1726" i="2"/>
  <c r="AL1710" i="2"/>
  <c r="AL1694" i="2"/>
  <c r="AK1617" i="2"/>
  <c r="AK1601" i="2"/>
  <c r="AK1576" i="2"/>
  <c r="AL1564" i="2"/>
  <c r="AK1475" i="2"/>
  <c r="AL1513" i="2"/>
  <c r="AK1259" i="2"/>
  <c r="AL1219" i="2"/>
  <c r="AK1147" i="2"/>
  <c r="AL1155" i="2"/>
  <c r="AL1118" i="2"/>
  <c r="AK1041" i="2"/>
  <c r="AK943" i="2"/>
  <c r="AL919" i="2"/>
  <c r="AK1089" i="2"/>
  <c r="AL1027" i="2"/>
  <c r="AL995" i="2"/>
  <c r="AL963" i="2"/>
  <c r="AK816" i="2"/>
  <c r="AL806" i="2"/>
  <c r="AL718" i="2"/>
  <c r="AK836" i="2"/>
  <c r="AK796" i="2"/>
  <c r="AL752" i="2"/>
  <c r="AL647" i="2"/>
  <c r="AL705" i="2"/>
  <c r="AK414" i="2"/>
  <c r="AK374" i="2"/>
  <c r="AL689" i="2"/>
  <c r="AK515" i="2"/>
  <c r="AL473" i="2"/>
  <c r="AK259" i="2"/>
  <c r="AK513" i="2"/>
  <c r="AK409" i="2"/>
  <c r="AK353" i="2"/>
  <c r="AL579" i="2"/>
  <c r="AL221" i="2"/>
  <c r="AK141" i="2"/>
  <c r="AK109" i="2"/>
  <c r="AK53" i="2"/>
  <c r="AK25" i="2"/>
  <c r="AK5" i="2"/>
  <c r="AK1568" i="2"/>
  <c r="AK1506" i="2"/>
  <c r="AK1445" i="2"/>
  <c r="AK1429" i="2"/>
  <c r="AK1188" i="2"/>
  <c r="AK1249" i="2"/>
  <c r="AK1207" i="2"/>
  <c r="AK1175" i="2"/>
  <c r="AK1383" i="2"/>
  <c r="AK1177" i="2"/>
  <c r="AK1399" i="2"/>
  <c r="AK1108" i="2"/>
  <c r="AK1060" i="2"/>
  <c r="AK996" i="2"/>
  <c r="AL1054" i="2"/>
  <c r="AL889" i="2"/>
  <c r="AL1115" i="2"/>
  <c r="AK969" i="2"/>
  <c r="AK875" i="2"/>
  <c r="AL1067" i="2"/>
  <c r="AK921" i="2"/>
  <c r="AK855" i="2"/>
  <c r="AK758" i="2"/>
  <c r="AL708" i="2"/>
  <c r="AK684" i="2"/>
  <c r="AK655" i="2"/>
  <c r="AK580" i="2"/>
  <c r="AK697" i="2"/>
  <c r="AK649" i="2"/>
  <c r="AK601" i="2"/>
  <c r="AL585" i="2"/>
  <c r="AK406" i="2"/>
  <c r="AK286" i="2"/>
  <c r="AK479" i="2"/>
  <c r="AK411" i="2"/>
  <c r="AK393" i="2"/>
  <c r="AK527" i="2"/>
  <c r="AK475" i="2"/>
  <c r="AK315" i="2"/>
  <c r="AK523" i="2"/>
  <c r="AK491" i="2"/>
  <c r="AK345" i="2"/>
  <c r="AK313" i="2"/>
  <c r="AK281" i="2"/>
  <c r="AK249" i="2"/>
  <c r="AK185" i="2"/>
  <c r="AK165" i="2"/>
  <c r="AK145" i="2"/>
  <c r="AK121" i="2"/>
  <c r="AK89" i="2"/>
  <c r="AK65" i="2"/>
  <c r="AK45" i="2"/>
  <c r="AK182" i="2"/>
  <c r="AK166" i="2"/>
  <c r="AK150" i="2"/>
  <c r="AK134" i="2"/>
  <c r="AK118" i="2"/>
  <c r="AK102" i="2"/>
  <c r="AK86" i="2"/>
  <c r="AK70" i="2"/>
  <c r="AK54" i="2"/>
  <c r="AK38" i="2"/>
  <c r="AK22" i="2"/>
  <c r="AK6" i="2"/>
  <c r="AK1548" i="2"/>
  <c r="AK1488" i="2"/>
  <c r="AK1485" i="2"/>
  <c r="AK1420" i="2"/>
  <c r="AK1521" i="2"/>
  <c r="AK1241" i="2"/>
  <c r="AK1391" i="2"/>
  <c r="AK1291" i="2"/>
  <c r="AK1215" i="2"/>
  <c r="AK1199" i="2"/>
  <c r="AK1183" i="2"/>
  <c r="AK1167" i="2"/>
  <c r="AK1163" i="2"/>
  <c r="AK1023" i="2"/>
  <c r="AK1007" i="2"/>
  <c r="AK991" i="2"/>
  <c r="AK975" i="2"/>
  <c r="AK959" i="2"/>
  <c r="AK1059" i="2"/>
  <c r="AK803" i="2"/>
  <c r="AK1009" i="2"/>
  <c r="AK961" i="2"/>
  <c r="AK882" i="2"/>
  <c r="AL839" i="2"/>
  <c r="AK810" i="2"/>
  <c r="AK746" i="2"/>
  <c r="AK838" i="2"/>
  <c r="AK528" i="2"/>
  <c r="AL653" i="2"/>
  <c r="AK637" i="2"/>
  <c r="AL258" i="2"/>
  <c r="AK790" i="2"/>
  <c r="AK628" i="2"/>
  <c r="AK484" i="2"/>
  <c r="AK452" i="2"/>
  <c r="AK436" i="2"/>
  <c r="AK420" i="2"/>
  <c r="AK404" i="2"/>
  <c r="AK388" i="2"/>
  <c r="AK356" i="2"/>
  <c r="AK340" i="2"/>
  <c r="AK324" i="2"/>
  <c r="AK276" i="2"/>
  <c r="AK792" i="2"/>
  <c r="AK748" i="2"/>
  <c r="AK638" i="2"/>
  <c r="AK566" i="2"/>
  <c r="AK542" i="2"/>
  <c r="AK518" i="2"/>
  <c r="AK398" i="2"/>
  <c r="AK342" i="2"/>
  <c r="AK278" i="2"/>
  <c r="AK459" i="2"/>
  <c r="AK227" i="2"/>
  <c r="AK243" i="2"/>
  <c r="AK643" i="2"/>
  <c r="AK503" i="2"/>
  <c r="AK321" i="2"/>
  <c r="AL212" i="2"/>
  <c r="AL184" i="2"/>
  <c r="AL168" i="2"/>
  <c r="AL152" i="2"/>
  <c r="AL136" i="2"/>
  <c r="AL120" i="2"/>
  <c r="AL104" i="2"/>
  <c r="AL88" i="2"/>
  <c r="AL72" i="2"/>
  <c r="AL56" i="2"/>
  <c r="AL40" i="2"/>
  <c r="AL24" i="2"/>
  <c r="AL8" i="2"/>
  <c r="AK1584" i="2"/>
  <c r="AL1579" i="2"/>
  <c r="AL1571" i="2"/>
  <c r="AK1563" i="2"/>
  <c r="AL1555" i="2"/>
  <c r="AL1510" i="2"/>
  <c r="AL1486" i="2"/>
  <c r="AK1470" i="2"/>
  <c r="AL1459" i="2"/>
  <c r="AL1501" i="2"/>
  <c r="AL1443" i="2"/>
  <c r="AL1264" i="2"/>
  <c r="AL1248" i="2"/>
  <c r="AL1208" i="2"/>
  <c r="AL1250" i="2"/>
  <c r="AL1213" i="2"/>
  <c r="AL1284" i="2"/>
  <c r="AL1148" i="2"/>
  <c r="AL1366" i="2"/>
  <c r="AL1281" i="2"/>
  <c r="AL1265" i="2"/>
  <c r="AL1222" i="2"/>
  <c r="AL1149" i="2"/>
  <c r="AL1251" i="2"/>
  <c r="AL1235" i="2"/>
  <c r="AK1138" i="2"/>
  <c r="AL1129" i="2"/>
  <c r="AL1021" i="2"/>
  <c r="AL942" i="2"/>
  <c r="AL1123" i="2"/>
  <c r="AL739" i="2"/>
  <c r="AL720" i="2"/>
  <c r="AK1081" i="2"/>
  <c r="AL762" i="2"/>
  <c r="AL688" i="2"/>
  <c r="AL608" i="2"/>
  <c r="AL440" i="2"/>
  <c r="AL312" i="2"/>
  <c r="AK734" i="2"/>
  <c r="AK716" i="2"/>
  <c r="AL629" i="2"/>
  <c r="AL485" i="2"/>
  <c r="AK559" i="2"/>
  <c r="AL543" i="2"/>
  <c r="AL686" i="2"/>
  <c r="AL569" i="2"/>
  <c r="AK382" i="2"/>
  <c r="AK334" i="2"/>
  <c r="AK270" i="2"/>
  <c r="AL673" i="2"/>
  <c r="AL521" i="2"/>
  <c r="AK371" i="2"/>
  <c r="AK715" i="2"/>
  <c r="AL695" i="2"/>
  <c r="AL575" i="2"/>
  <c r="AL489" i="2"/>
  <c r="AL223" i="2"/>
  <c r="AK55" i="2"/>
  <c r="AL1603" i="2"/>
  <c r="AK1658" i="2"/>
  <c r="AK1642" i="2"/>
  <c r="AL1626" i="2"/>
  <c r="AL1594" i="2"/>
  <c r="AL1616" i="2"/>
  <c r="AK1669" i="2"/>
  <c r="AK1645" i="2"/>
  <c r="AK1668" i="2"/>
  <c r="AL1627" i="2"/>
  <c r="AK1670" i="2"/>
  <c r="AK1654" i="2"/>
  <c r="AK1638" i="2"/>
  <c r="AK1622" i="2"/>
  <c r="AK1606" i="2"/>
  <c r="AL1595" i="2"/>
  <c r="AK1665" i="2"/>
  <c r="AK1641" i="2"/>
  <c r="AL1664" i="2"/>
  <c r="AL1648" i="2"/>
  <c r="AL1632" i="2"/>
  <c r="AK1525" i="2"/>
  <c r="AK1493" i="2"/>
  <c r="AK1379" i="2"/>
  <c r="AL1267" i="2"/>
  <c r="AK884" i="2"/>
  <c r="AL937" i="2"/>
  <c r="AL883" i="2"/>
  <c r="AL1019" i="2"/>
  <c r="AL987" i="2"/>
  <c r="AL955" i="2"/>
  <c r="AK931" i="2"/>
  <c r="AL744" i="2"/>
  <c r="AK802" i="2"/>
  <c r="AK770" i="2"/>
  <c r="AK780" i="2"/>
  <c r="AK644" i="2"/>
  <c r="AL596" i="2"/>
  <c r="AL822" i="2"/>
  <c r="AL670" i="2"/>
  <c r="AK326" i="2"/>
  <c r="AK262" i="2"/>
  <c r="AK417" i="2"/>
  <c r="AK291" i="2"/>
  <c r="AK471" i="2"/>
  <c r="AL713" i="2"/>
  <c r="AK487" i="2"/>
  <c r="AK427" i="2"/>
  <c r="AK337" i="2"/>
  <c r="AK273" i="2"/>
  <c r="AK241" i="2"/>
  <c r="AK137" i="2"/>
  <c r="AK101" i="2"/>
  <c r="AK41" i="2"/>
  <c r="AK21" i="2"/>
  <c r="AL1444" i="2"/>
  <c r="AL1538" i="2"/>
  <c r="AL1505" i="2"/>
  <c r="AK1497" i="2"/>
  <c r="AK1352" i="2"/>
  <c r="AL1336" i="2"/>
  <c r="AK1320" i="2"/>
  <c r="AL1304" i="2"/>
  <c r="AK1212" i="2"/>
  <c r="AK1180" i="2"/>
  <c r="AK1385" i="2"/>
  <c r="AK1209" i="2"/>
  <c r="AL1367" i="2"/>
  <c r="AL1119" i="2"/>
  <c r="AL1055" i="2"/>
  <c r="AK1020" i="2"/>
  <c r="AK956" i="2"/>
  <c r="AL1046" i="2"/>
  <c r="AK1049" i="2"/>
  <c r="AK1001" i="2"/>
  <c r="AK953" i="2"/>
  <c r="AL1121" i="2"/>
  <c r="AK935" i="2"/>
  <c r="AL1107" i="2"/>
  <c r="AK1057" i="2"/>
  <c r="AK652" i="2"/>
  <c r="AL657" i="2"/>
  <c r="AK366" i="2"/>
  <c r="AK254" i="2"/>
  <c r="AK355" i="2"/>
  <c r="AL691" i="2"/>
  <c r="AK347" i="2"/>
  <c r="AK451" i="2"/>
  <c r="AK369" i="2"/>
  <c r="AK177" i="2"/>
  <c r="AK157" i="2"/>
  <c r="AK133" i="2"/>
  <c r="AK105" i="2"/>
  <c r="AK77" i="2"/>
  <c r="AK61" i="2"/>
  <c r="AK37" i="2"/>
  <c r="AK186" i="2"/>
  <c r="AK170" i="2"/>
  <c r="AK154" i="2"/>
  <c r="AK138" i="2"/>
  <c r="AK122" i="2"/>
  <c r="AK106" i="2"/>
  <c r="AK90" i="2"/>
  <c r="AK74" i="2"/>
  <c r="AK58" i="2"/>
  <c r="AK42" i="2"/>
  <c r="AK26" i="2"/>
  <c r="AK10" i="2"/>
  <c r="AL1508" i="2"/>
  <c r="AK1531" i="2"/>
  <c r="AK1509" i="2"/>
  <c r="AK1491" i="2"/>
  <c r="AK1467" i="2"/>
  <c r="AL1269" i="2"/>
  <c r="AK1372" i="2"/>
  <c r="AK1412" i="2"/>
  <c r="AK1263" i="2"/>
  <c r="AK1375" i="2"/>
  <c r="AK1195" i="2"/>
  <c r="AK946" i="2"/>
  <c r="AL893" i="2"/>
  <c r="AK916" i="2"/>
  <c r="AK1097" i="2"/>
  <c r="AK1091" i="2"/>
  <c r="AK899" i="2"/>
  <c r="AK843" i="2"/>
  <c r="AK787" i="2"/>
  <c r="AK993" i="2"/>
  <c r="AK789" i="2"/>
  <c r="AK911" i="2"/>
  <c r="AK852" i="2"/>
  <c r="AK834" i="2"/>
  <c r="AK791" i="2"/>
  <c r="AK735" i="2"/>
  <c r="AK304" i="2"/>
  <c r="AL581" i="2"/>
  <c r="AK298" i="2"/>
  <c r="AK774" i="2"/>
  <c r="AK623" i="2"/>
  <c r="AK500" i="2"/>
  <c r="AK447" i="2"/>
  <c r="AK415" i="2"/>
  <c r="AK399" i="2"/>
  <c r="AK367" i="2"/>
  <c r="AK351" i="2"/>
  <c r="AK335" i="2"/>
  <c r="AK319" i="2"/>
  <c r="AK303" i="2"/>
  <c r="AK287" i="2"/>
  <c r="AK255" i="2"/>
  <c r="AK577" i="2"/>
  <c r="AK438" i="2"/>
  <c r="AK531" i="2"/>
  <c r="AK385" i="2"/>
  <c r="AK275" i="2"/>
  <c r="AK635" i="2"/>
  <c r="AK529" i="2"/>
  <c r="AK289" i="2"/>
  <c r="AL198" i="2"/>
  <c r="AL180" i="2"/>
  <c r="AL164" i="2"/>
  <c r="AL148" i="2"/>
  <c r="AL132" i="2"/>
  <c r="AL116" i="2"/>
  <c r="AL100" i="2"/>
  <c r="AL84" i="2"/>
  <c r="AL68" i="2"/>
  <c r="AL52" i="2"/>
  <c r="AL36" i="2"/>
  <c r="AL20" i="2"/>
  <c r="AL4" i="2"/>
  <c r="AK1552" i="2"/>
  <c r="AL1527" i="2"/>
  <c r="AL1476" i="2"/>
  <c r="AL1534" i="2"/>
  <c r="AL1502" i="2"/>
  <c r="AL1465" i="2"/>
  <c r="AL1464" i="2"/>
  <c r="AL1533" i="2"/>
  <c r="AL1461" i="2"/>
  <c r="AK1529" i="2"/>
  <c r="AK1451" i="2"/>
  <c r="AL1438" i="2"/>
  <c r="AL1428" i="2"/>
  <c r="AL1288" i="2"/>
  <c r="AL1393" i="2"/>
  <c r="AL1289" i="2"/>
  <c r="AL1295" i="2"/>
  <c r="AL1411" i="2"/>
  <c r="AL1139" i="2"/>
  <c r="AL1243" i="2"/>
  <c r="AL1106" i="2"/>
  <c r="AL962" i="2"/>
  <c r="AL804" i="2"/>
  <c r="AK913" i="2"/>
  <c r="AL1043" i="2"/>
  <c r="AL821" i="2"/>
  <c r="AL863" i="2"/>
  <c r="AL798" i="2"/>
  <c r="AL600" i="2"/>
  <c r="AL568" i="2"/>
  <c r="AL408" i="2"/>
  <c r="AL280" i="2"/>
  <c r="AL824" i="2"/>
  <c r="AK750" i="2"/>
  <c r="AL530" i="2"/>
  <c r="AL514" i="2"/>
  <c r="AL700" i="2"/>
  <c r="AL639" i="2"/>
  <c r="AK572" i="2"/>
  <c r="AL556" i="2"/>
  <c r="AL540" i="2"/>
  <c r="AL519" i="2"/>
  <c r="AL681" i="2"/>
  <c r="AK659" i="2"/>
  <c r="AL615" i="2"/>
  <c r="AK505" i="2"/>
  <c r="AK331" i="2"/>
  <c r="AK299" i="2"/>
  <c r="AK267" i="2"/>
  <c r="AK235" i="2"/>
  <c r="AL599" i="2"/>
  <c r="AL607" i="2"/>
  <c r="AK507" i="2"/>
  <c r="AL457" i="2"/>
  <c r="AK435" i="2"/>
  <c r="AK151" i="2"/>
  <c r="AK123" i="2"/>
  <c r="AK71" i="2"/>
  <c r="AK19" i="2"/>
  <c r="AL465" i="2"/>
  <c r="AL699" i="2"/>
  <c r="AL651" i="2"/>
  <c r="AL553" i="2"/>
  <c r="AK329" i="2"/>
  <c r="AK265" i="2"/>
  <c r="AK135" i="2"/>
  <c r="AK39" i="2"/>
  <c r="AL1586" i="2"/>
  <c r="AK1588" i="2"/>
  <c r="AL1162" i="2"/>
  <c r="AL1156" i="2"/>
  <c r="AL1128" i="2"/>
  <c r="AL888" i="2"/>
  <c r="AL1112" i="2"/>
  <c r="AL1014" i="2"/>
  <c r="AL982" i="2"/>
  <c r="AL920" i="2"/>
  <c r="AL549" i="2"/>
  <c r="AL694" i="2"/>
  <c r="AL526" i="2"/>
  <c r="AL352" i="2"/>
  <c r="AK1487" i="2"/>
  <c r="AK1482" i="2"/>
  <c r="AK1450" i="2"/>
  <c r="AK1405" i="2"/>
  <c r="AK1389" i="2"/>
  <c r="AK892" i="2"/>
  <c r="AL1004" i="2"/>
  <c r="AK973" i="2"/>
  <c r="AK904" i="2"/>
  <c r="AK890" i="2"/>
  <c r="AL1122" i="2"/>
  <c r="AK860" i="2"/>
  <c r="AK809" i="2"/>
  <c r="AL877" i="2"/>
  <c r="AK741" i="2"/>
  <c r="AK663" i="2"/>
  <c r="AK719" i="2"/>
  <c r="AL661" i="2"/>
  <c r="AK224" i="2"/>
  <c r="AK544" i="2"/>
  <c r="AK672" i="2"/>
  <c r="AL714" i="2"/>
  <c r="AK179" i="2"/>
  <c r="AK163" i="2"/>
  <c r="AK131" i="2"/>
  <c r="AL1562" i="2"/>
  <c r="AK1471" i="2"/>
  <c r="AK1455" i="2"/>
  <c r="AL1413" i="2"/>
  <c r="AL1432" i="2"/>
  <c r="AK1276" i="2"/>
  <c r="AK1392" i="2"/>
  <c r="AK1205" i="2"/>
  <c r="AL1402" i="2"/>
  <c r="AK1242" i="2"/>
  <c r="AL1144" i="2"/>
  <c r="AK1278" i="2"/>
  <c r="AK1160" i="2"/>
  <c r="AL947" i="2"/>
  <c r="AL1045" i="2"/>
  <c r="AK1100" i="2"/>
  <c r="AK1079" i="2"/>
  <c r="AK941" i="2"/>
  <c r="AK1092" i="2"/>
  <c r="AK1050" i="2"/>
  <c r="AL950" i="2"/>
  <c r="AL868" i="2"/>
  <c r="AL1080" i="2"/>
  <c r="AL1030" i="2"/>
  <c r="AL998" i="2"/>
  <c r="AL966" i="2"/>
  <c r="AL930" i="2"/>
  <c r="AL886" i="2"/>
  <c r="AK867" i="2"/>
  <c r="AK974" i="2"/>
  <c r="AK928" i="2"/>
  <c r="AL761" i="2"/>
  <c r="AK349" i="2"/>
  <c r="AL317" i="2"/>
  <c r="AL797" i="2"/>
  <c r="AK701" i="2"/>
  <c r="AK429" i="2"/>
  <c r="AK383" i="2"/>
  <c r="AK239" i="2"/>
  <c r="AK292" i="2"/>
  <c r="AL594" i="2"/>
  <c r="AL466" i="2"/>
  <c r="AL400" i="2"/>
  <c r="AK296" i="2"/>
  <c r="AK362" i="2"/>
  <c r="AK504" i="2"/>
  <c r="AK338" i="2"/>
  <c r="AK266" i="2"/>
  <c r="AL193" i="2"/>
  <c r="AL1559" i="2"/>
  <c r="AL1535" i="2"/>
  <c r="AL1449" i="2"/>
  <c r="AL1431" i="2"/>
  <c r="AK1557" i="2"/>
  <c r="AL1472" i="2"/>
  <c r="AK1433" i="2"/>
  <c r="AL1504" i="2"/>
  <c r="AL1400" i="2"/>
  <c r="AL1397" i="2"/>
  <c r="AL1368" i="2"/>
  <c r="AL1225" i="2"/>
  <c r="AK1378" i="2"/>
  <c r="AL1254" i="2"/>
  <c r="AK1191" i="2"/>
  <c r="AL1374" i="2"/>
  <c r="AL1150" i="2"/>
  <c r="AK1403" i="2"/>
  <c r="AL1274" i="2"/>
  <c r="AL1238" i="2"/>
  <c r="AL1190" i="2"/>
  <c r="AK1124" i="2"/>
  <c r="AK1071" i="2"/>
  <c r="AL997" i="2"/>
  <c r="AL1120" i="2"/>
  <c r="AL848" i="2"/>
  <c r="AL1072" i="2"/>
  <c r="AK1044" i="2"/>
  <c r="AL1094" i="2"/>
  <c r="AL1022" i="2"/>
  <c r="AL990" i="2"/>
  <c r="AL958" i="2"/>
  <c r="AL829" i="2"/>
  <c r="AK783" i="2"/>
  <c r="AK773" i="2"/>
  <c r="AL807" i="2"/>
  <c r="AL779" i="2"/>
  <c r="AL837" i="2"/>
  <c r="AK730" i="2"/>
  <c r="AL696" i="2"/>
  <c r="AL823" i="2"/>
  <c r="AK722" i="2"/>
  <c r="AL677" i="2"/>
  <c r="AK589" i="2"/>
  <c r="AL557" i="2"/>
  <c r="AL525" i="2"/>
  <c r="AK509" i="2"/>
  <c r="AL493" i="2"/>
  <c r="AK476" i="2"/>
  <c r="AK413" i="2"/>
  <c r="AK373" i="2"/>
  <c r="AK325" i="2"/>
  <c r="AK261" i="2"/>
  <c r="AL690" i="2"/>
  <c r="AK499" i="2"/>
  <c r="AL376" i="2"/>
  <c r="AL698" i="2"/>
  <c r="AK650" i="2"/>
  <c r="AL578" i="2"/>
  <c r="AL602" i="2"/>
  <c r="AK610" i="2"/>
  <c r="AL570" i="2"/>
  <c r="AK314" i="2"/>
  <c r="AK282" i="2"/>
  <c r="AK250" i="2"/>
  <c r="AL206" i="2"/>
  <c r="AK204" i="2"/>
  <c r="AK183" i="2"/>
  <c r="AK147" i="2"/>
  <c r="AK63" i="2"/>
  <c r="AK3" i="2"/>
  <c r="AL1436" i="2"/>
  <c r="AL1282" i="2"/>
  <c r="AK871" i="2"/>
  <c r="AK736" i="2"/>
  <c r="AL729" i="2"/>
  <c r="AL648" i="2"/>
  <c r="AL666" i="2"/>
  <c r="AL538" i="2"/>
  <c r="AL598" i="2"/>
  <c r="AL546" i="2"/>
  <c r="AK7" i="2"/>
  <c r="AK1561" i="2"/>
  <c r="AK1474" i="2"/>
  <c r="AK1469" i="2"/>
  <c r="AL1404" i="2"/>
  <c r="AK1388" i="2"/>
  <c r="AK1261" i="2"/>
  <c r="AK1234" i="2"/>
  <c r="AL1087" i="2"/>
  <c r="AK1039" i="2"/>
  <c r="AL972" i="2"/>
  <c r="AK934" i="2"/>
  <c r="AK1010" i="2"/>
  <c r="AK978" i="2"/>
  <c r="AK936" i="2"/>
  <c r="AL859" i="2"/>
  <c r="AK757" i="2"/>
  <c r="AL726" i="2"/>
  <c r="AK709" i="2"/>
  <c r="AK576" i="2"/>
  <c r="AK517" i="2"/>
  <c r="AK469" i="2"/>
  <c r="AK646" i="2"/>
  <c r="AK606" i="2"/>
  <c r="AK658" i="2"/>
  <c r="AK214" i="2"/>
  <c r="AK87" i="2"/>
  <c r="AL1570" i="2"/>
  <c r="AL1511" i="2"/>
  <c r="AK1499" i="2"/>
  <c r="AK1544" i="2"/>
  <c r="AK1532" i="2"/>
  <c r="AK1512" i="2"/>
  <c r="AK1418" i="2"/>
  <c r="AK1408" i="2"/>
  <c r="AK1365" i="2"/>
  <c r="AK1277" i="2"/>
  <c r="AL1253" i="2"/>
  <c r="AK1204" i="2"/>
  <c r="AK1173" i="2"/>
  <c r="AK1198" i="2"/>
  <c r="AK1166" i="2"/>
  <c r="AK1216" i="2"/>
  <c r="AK1200" i="2"/>
  <c r="AK1184" i="2"/>
  <c r="AK1168" i="2"/>
  <c r="AL1258" i="2"/>
  <c r="AK1140" i="2"/>
  <c r="AK1077" i="2"/>
  <c r="AK909" i="2"/>
  <c r="AK1076" i="2"/>
  <c r="AL1024" i="2"/>
  <c r="AL1008" i="2"/>
  <c r="AL992" i="2"/>
  <c r="AL976" i="2"/>
  <c r="AL960" i="2"/>
  <c r="AK737" i="2"/>
  <c r="AK1114" i="2"/>
  <c r="AL1070" i="2"/>
  <c r="AK862" i="2"/>
  <c r="AK857" i="2"/>
  <c r="AK1090" i="2"/>
  <c r="AK1058" i="2"/>
  <c r="AL869" i="2"/>
  <c r="AK753" i="2"/>
  <c r="AL755" i="2"/>
  <c r="AK717" i="2"/>
  <c r="AL835" i="2"/>
  <c r="AL445" i="2"/>
  <c r="AK341" i="2"/>
  <c r="AK309" i="2"/>
  <c r="AL285" i="2"/>
  <c r="AL781" i="2"/>
  <c r="AK827" i="2"/>
  <c r="AL815" i="2"/>
  <c r="AK621" i="2"/>
  <c r="AK381" i="2"/>
  <c r="AK301" i="2"/>
  <c r="AK237" i="2"/>
  <c r="AL590" i="2"/>
  <c r="AK574" i="2"/>
  <c r="AK394" i="2"/>
  <c r="AK368" i="2"/>
  <c r="AK470" i="2"/>
  <c r="AL456" i="2"/>
  <c r="AK426" i="2"/>
  <c r="AK328" i="2"/>
  <c r="AK498" i="2"/>
  <c r="AK482" i="2"/>
  <c r="AK306" i="2"/>
  <c r="AK234" i="2"/>
  <c r="AK209" i="2"/>
  <c r="AL1583" i="2"/>
  <c r="AL1551" i="2"/>
  <c r="AL1447" i="2"/>
  <c r="AK1581" i="2"/>
  <c r="AK1549" i="2"/>
  <c r="AL1481" i="2"/>
  <c r="AL1454" i="2"/>
  <c r="AK1546" i="2"/>
  <c r="AL1516" i="2"/>
  <c r="AL1542" i="2"/>
  <c r="AK1528" i="2"/>
  <c r="AL1468" i="2"/>
  <c r="AL1232" i="2"/>
  <c r="AL1426" i="2"/>
  <c r="AL1396" i="2"/>
  <c r="AL1224" i="2"/>
  <c r="AK1401" i="2"/>
  <c r="AL1362" i="2"/>
  <c r="AL1158" i="2"/>
  <c r="AL1262" i="2"/>
  <c r="AL1130" i="2"/>
  <c r="AK1069" i="2"/>
  <c r="AK1013" i="2"/>
  <c r="AK949" i="2"/>
  <c r="AL885" i="2"/>
  <c r="AL864" i="2"/>
  <c r="AK878" i="2"/>
  <c r="AL853" i="2"/>
  <c r="AL845" i="2"/>
  <c r="AL801" i="2"/>
  <c r="AL813" i="2"/>
  <c r="AL846" i="2"/>
  <c r="AL656" i="2"/>
  <c r="AL671" i="2"/>
  <c r="AL617" i="2"/>
  <c r="AL597" i="2"/>
  <c r="AK588" i="2"/>
  <c r="AL524" i="2"/>
  <c r="AK508" i="2"/>
  <c r="AK423" i="2"/>
  <c r="AK295" i="2"/>
  <c r="AK231" i="2"/>
  <c r="AK710" i="2"/>
  <c r="AK624" i="2"/>
  <c r="AL360" i="2"/>
  <c r="AL707" i="2"/>
  <c r="AL618" i="2"/>
  <c r="AK336" i="2"/>
  <c r="AL462" i="2"/>
  <c r="AL478" i="2"/>
  <c r="AL424" i="2"/>
  <c r="AL322" i="2"/>
  <c r="AL290" i="2"/>
  <c r="AL194" i="2"/>
  <c r="AK115" i="2"/>
  <c r="AK107" i="2"/>
  <c r="AK99" i="2"/>
  <c r="AK51" i="2"/>
  <c r="AK43" i="2"/>
  <c r="AK35" i="2"/>
  <c r="AK27" i="2"/>
  <c r="AL1585" i="2"/>
  <c r="AK1448" i="2"/>
  <c r="AL1536" i="2"/>
  <c r="AL1394" i="2"/>
  <c r="AL1194" i="2"/>
  <c r="AL1109" i="2"/>
  <c r="AL825" i="2"/>
  <c r="AL213" i="2"/>
  <c r="AL384" i="2"/>
  <c r="AK1553" i="2"/>
  <c r="AK1421" i="2"/>
  <c r="AL1165" i="2"/>
  <c r="AL1182" i="2"/>
  <c r="AK1159" i="2"/>
  <c r="AL1270" i="2"/>
  <c r="AL1196" i="2"/>
  <c r="AL933" i="2"/>
  <c r="AL901" i="2"/>
  <c r="AK1037" i="2"/>
  <c r="AK896" i="2"/>
  <c r="AK1056" i="2"/>
  <c r="AK906" i="2"/>
  <c r="AK760" i="2"/>
  <c r="AK728" i="2"/>
  <c r="AK819" i="2"/>
  <c r="AK785" i="2"/>
  <c r="AK849" i="2"/>
  <c r="AK775" i="2"/>
  <c r="AK565" i="2"/>
  <c r="AK541" i="2"/>
  <c r="AK682" i="2"/>
  <c r="AK480" i="2"/>
  <c r="AK187" i="2"/>
  <c r="AK171" i="2"/>
  <c r="AK155" i="2"/>
  <c r="AK139" i="2"/>
  <c r="AK91" i="2"/>
  <c r="AK75" i="2"/>
  <c r="AK59" i="2"/>
  <c r="AL1578" i="2"/>
  <c r="AL1463" i="2"/>
  <c r="AL1523" i="2"/>
  <c r="AK1434" i="2"/>
  <c r="AK1484" i="2"/>
  <c r="AK1500" i="2"/>
  <c r="AK1376" i="2"/>
  <c r="AK1364" i="2"/>
  <c r="AK1252" i="2"/>
  <c r="AL1221" i="2"/>
  <c r="AK1172" i="2"/>
  <c r="AL1398" i="2"/>
  <c r="AK1286" i="2"/>
  <c r="AK1266" i="2"/>
  <c r="AL1294" i="2"/>
  <c r="AK1185" i="2"/>
  <c r="AL1093" i="2"/>
  <c r="AL1061" i="2"/>
  <c r="AK1103" i="2"/>
  <c r="AK1042" i="2"/>
  <c r="AL1064" i="2"/>
  <c r="AK1082" i="2"/>
  <c r="AK841" i="2"/>
  <c r="AK751" i="2"/>
  <c r="AK389" i="2"/>
  <c r="AK277" i="2"/>
  <c r="AL253" i="2"/>
  <c r="AL664" i="2"/>
  <c r="AL573" i="2"/>
  <c r="AL805" i="2"/>
  <c r="AK749" i="2"/>
  <c r="AK612" i="2"/>
  <c r="AK501" i="2"/>
  <c r="AK380" i="2"/>
  <c r="AK271" i="2"/>
  <c r="AL706" i="2"/>
  <c r="AK454" i="2"/>
  <c r="AK260" i="2"/>
  <c r="AK418" i="2"/>
  <c r="AK232" i="2"/>
  <c r="AK680" i="2"/>
  <c r="AK354" i="2"/>
  <c r="AK630" i="2"/>
  <c r="AK432" i="2"/>
  <c r="AL416" i="2"/>
  <c r="AK346" i="2"/>
  <c r="AK330" i="2"/>
  <c r="AK305" i="2"/>
  <c r="AK274" i="2"/>
  <c r="AK216" i="2"/>
  <c r="AL208" i="2"/>
  <c r="AL1582" i="2"/>
  <c r="AL1574" i="2"/>
  <c r="AL1566" i="2"/>
  <c r="AL1550" i="2"/>
  <c r="AK1572" i="2"/>
  <c r="AL1503" i="2"/>
  <c r="AL1441" i="2"/>
  <c r="AK1573" i="2"/>
  <c r="AL1494" i="2"/>
  <c r="AK1540" i="2"/>
  <c r="AL1490" i="2"/>
  <c r="AL1466" i="2"/>
  <c r="AK1452" i="2"/>
  <c r="AL1424" i="2"/>
  <c r="AL1240" i="2"/>
  <c r="AK1427" i="2"/>
  <c r="AL1381" i="2"/>
  <c r="AL1293" i="2"/>
  <c r="AL1245" i="2"/>
  <c r="AL1218" i="2"/>
  <c r="AL1202" i="2"/>
  <c r="AL1186" i="2"/>
  <c r="AL1170" i="2"/>
  <c r="AL1142" i="2"/>
  <c r="AL1406" i="2"/>
  <c r="AL1246" i="2"/>
  <c r="AK1230" i="2"/>
  <c r="AK1132" i="2"/>
  <c r="AL1210" i="2"/>
  <c r="AL1178" i="2"/>
  <c r="AL1390" i="2"/>
  <c r="AK1131" i="2"/>
  <c r="AL1029" i="2"/>
  <c r="AK1012" i="2"/>
  <c r="AL965" i="2"/>
  <c r="AK948" i="2"/>
  <c r="AL1018" i="2"/>
  <c r="AL986" i="2"/>
  <c r="AK1032" i="2"/>
  <c r="AK1016" i="2"/>
  <c r="AK1000" i="2"/>
  <c r="AK984" i="2"/>
  <c r="AK968" i="2"/>
  <c r="AK952" i="2"/>
  <c r="AL926" i="2"/>
  <c r="AL811" i="2"/>
  <c r="AK1066" i="2"/>
  <c r="AL922" i="2"/>
  <c r="AL769" i="2"/>
  <c r="AK828" i="2"/>
  <c r="AL795" i="2"/>
  <c r="AL763" i="2"/>
  <c r="AL747" i="2"/>
  <c r="AL613" i="2"/>
  <c r="AL584" i="2"/>
  <c r="AL669" i="2"/>
  <c r="AL616" i="2"/>
  <c r="AL605" i="2"/>
  <c r="AL461" i="2"/>
  <c r="AK421" i="2"/>
  <c r="AK293" i="2"/>
  <c r="AL229" i="2"/>
  <c r="AL586" i="2"/>
  <c r="AL474" i="2"/>
  <c r="AL320" i="2"/>
  <c r="AL288" i="2"/>
  <c r="AL256" i="2"/>
  <c r="AK370" i="2"/>
  <c r="AK202" i="2"/>
  <c r="AK143" i="2"/>
  <c r="AL1587" i="2"/>
  <c r="AL1543" i="2"/>
  <c r="AK1507" i="2"/>
  <c r="AL1290" i="2"/>
  <c r="AL1034" i="2"/>
  <c r="AL1002" i="2"/>
  <c r="AL970" i="2"/>
  <c r="AL777" i="2"/>
  <c r="AK861" i="2"/>
  <c r="AL731" i="2"/>
  <c r="AL733" i="2"/>
  <c r="AL674" i="2"/>
  <c r="AL520" i="2"/>
  <c r="AL464" i="2"/>
  <c r="AL448" i="2"/>
  <c r="AL196" i="2"/>
  <c r="AK11" i="2"/>
  <c r="AK1577" i="2"/>
  <c r="AK1458" i="2"/>
  <c r="AK1285" i="2"/>
  <c r="AK1229" i="2"/>
  <c r="AL1197" i="2"/>
  <c r="AL1410" i="2"/>
  <c r="AK1382" i="2"/>
  <c r="AK1226" i="2"/>
  <c r="AK1133" i="2"/>
  <c r="AK1153" i="2"/>
  <c r="AL1036" i="2"/>
  <c r="AK1005" i="2"/>
  <c r="AK988" i="2"/>
  <c r="AL894" i="2"/>
  <c r="AK1088" i="2"/>
  <c r="AK1048" i="2"/>
  <c r="AL854" i="2"/>
  <c r="AK902" i="2"/>
  <c r="AK833" i="2"/>
  <c r="AK745" i="2"/>
  <c r="AK831" i="2"/>
  <c r="AK640" i="2"/>
  <c r="AK533" i="2"/>
  <c r="AK634" i="2"/>
  <c r="AK632" i="2"/>
  <c r="AK554" i="2"/>
  <c r="AL200" i="2"/>
  <c r="AK191" i="2"/>
  <c r="AK159" i="2"/>
  <c r="AK127" i="2"/>
  <c r="AK95" i="2"/>
  <c r="AK79" i="2"/>
  <c r="AK15" i="2"/>
  <c r="AL1554" i="2"/>
  <c r="AK1580" i="2"/>
  <c r="AK1519" i="2"/>
  <c r="AK1442" i="2"/>
  <c r="AL1492" i="2"/>
  <c r="AK1414" i="2"/>
  <c r="AK1220" i="2"/>
  <c r="AL1189" i="2"/>
  <c r="AK1370" i="2"/>
  <c r="AK1152" i="2"/>
  <c r="AK1145" i="2"/>
  <c r="AK1085" i="2"/>
  <c r="AL1053" i="2"/>
  <c r="AK1101" i="2"/>
  <c r="AL925" i="2"/>
  <c r="AK873" i="2"/>
  <c r="AK914" i="2"/>
  <c r="AK820" i="2"/>
  <c r="AL1116" i="2"/>
  <c r="AK1006" i="2"/>
  <c r="AK912" i="2"/>
  <c r="AK872" i="2"/>
  <c r="AL793" i="2"/>
  <c r="AL881" i="2"/>
  <c r="AK437" i="2"/>
  <c r="AL405" i="2"/>
  <c r="AL357" i="2"/>
  <c r="AL723" i="2"/>
  <c r="AK660" i="2"/>
  <c r="AL685" i="2"/>
  <c r="AK431" i="2"/>
  <c r="AK333" i="2"/>
  <c r="AK269" i="2"/>
  <c r="AK245" i="2"/>
  <c r="AK308" i="2"/>
  <c r="AK244" i="2"/>
  <c r="AK676" i="2"/>
  <c r="AL552" i="2"/>
  <c r="AK506" i="2"/>
  <c r="AK450" i="2"/>
  <c r="AK264" i="2"/>
  <c r="AK410" i="2"/>
  <c r="AK222" i="2"/>
  <c r="AL562" i="2"/>
  <c r="AL488" i="2"/>
  <c r="AK402" i="2"/>
  <c r="AK372" i="2"/>
  <c r="AK242" i="2"/>
  <c r="AL215" i="2"/>
  <c r="AL1495" i="2"/>
  <c r="AL1439" i="2"/>
  <c r="AL1547" i="2"/>
  <c r="AK1515" i="2"/>
  <c r="AL1473" i="2"/>
  <c r="AL1446" i="2"/>
  <c r="AL1496" i="2"/>
  <c r="AL1524" i="2"/>
  <c r="AL1280" i="2"/>
  <c r="AL1256" i="2"/>
  <c r="AL1244" i="2"/>
  <c r="AL1192" i="2"/>
  <c r="AL1176" i="2"/>
  <c r="AK1255" i="2"/>
  <c r="AK1231" i="2"/>
  <c r="AL1386" i="2"/>
  <c r="AL1174" i="2"/>
  <c r="AK1126" i="2"/>
  <c r="AK924" i="2"/>
  <c r="AK1137" i="2"/>
  <c r="AL1117" i="2"/>
  <c r="AK1028" i="2"/>
  <c r="AK981" i="2"/>
  <c r="AK964" i="2"/>
  <c r="AL1098" i="2"/>
  <c r="AL938" i="2"/>
  <c r="AL918" i="2"/>
  <c r="AL898" i="2"/>
  <c r="AL880" i="2"/>
  <c r="AK1096" i="2"/>
  <c r="AL876" i="2"/>
  <c r="AL865" i="2"/>
  <c r="AL1074" i="2"/>
  <c r="AK817" i="2"/>
  <c r="AL856" i="2"/>
  <c r="AL840" i="2"/>
  <c r="AL808" i="2"/>
  <c r="AL725" i="2"/>
  <c r="AL704" i="2"/>
  <c r="AL693" i="2"/>
  <c r="AK679" i="2"/>
  <c r="AK668" i="2"/>
  <c r="AK604" i="2"/>
  <c r="AK511" i="2"/>
  <c r="AK495" i="2"/>
  <c r="AK477" i="2"/>
  <c r="AK375" i="2"/>
  <c r="AK327" i="2"/>
  <c r="AK263" i="2"/>
  <c r="AK228" i="2"/>
  <c r="AK512" i="2"/>
  <c r="AL712" i="2"/>
  <c r="AK560" i="2"/>
  <c r="AL490" i="2"/>
  <c r="AK434" i="2"/>
  <c r="AK386" i="2"/>
  <c r="AK211" i="2"/>
  <c r="AL626" i="2"/>
  <c r="AK378" i="2"/>
  <c r="AL226" i="2"/>
  <c r="AK210" i="2"/>
  <c r="AL458" i="2"/>
  <c r="AK217" i="2"/>
  <c r="AK119" i="2"/>
  <c r="AK47" i="2"/>
  <c r="AK31" i="2"/>
  <c r="AJ1387" i="2"/>
  <c r="AJ1095" i="2"/>
  <c r="AJ18" i="2"/>
  <c r="AJ2" i="2"/>
  <c r="AJ874" i="2"/>
  <c r="AJ858" i="2"/>
  <c r="AJ870" i="2"/>
  <c r="AJ866" i="2"/>
  <c r="AJ1154" i="2"/>
  <c r="AJ1146" i="2"/>
  <c r="AL1541" i="2"/>
  <c r="AL1423" i="2"/>
  <c r="AK1237" i="2"/>
  <c r="AL1415" i="2"/>
  <c r="AL1271" i="2"/>
  <c r="AL1134" i="2"/>
  <c r="AK944" i="2"/>
  <c r="AL1127" i="2"/>
  <c r="AK954" i="2"/>
  <c r="AL932" i="2"/>
  <c r="AL900" i="2"/>
  <c r="AL1086" i="2"/>
  <c r="AL1038" i="2"/>
  <c r="AL1035" i="2"/>
  <c r="AL1003" i="2"/>
  <c r="AL971" i="2"/>
  <c r="AL977" i="2"/>
  <c r="AL951" i="2"/>
  <c r="AL887" i="2"/>
  <c r="AK765" i="2"/>
  <c r="AL979" i="2"/>
  <c r="AL738" i="2"/>
  <c r="AK472" i="2"/>
  <c r="AL240" i="2"/>
  <c r="AK642" i="2"/>
  <c r="AK442" i="2"/>
  <c r="AL397" i="2"/>
  <c r="AK365" i="2"/>
  <c r="AL830" i="2"/>
  <c r="AL492" i="2"/>
  <c r="AL460" i="2"/>
  <c r="AL439" i="2"/>
  <c r="AL407" i="2"/>
  <c r="AL391" i="2"/>
  <c r="AL359" i="2"/>
  <c r="AL343" i="2"/>
  <c r="AL311" i="2"/>
  <c r="AL279" i="2"/>
  <c r="AL247" i="2"/>
  <c r="AL776" i="2"/>
  <c r="AL502" i="2"/>
  <c r="AL627" i="2"/>
  <c r="AL603" i="2"/>
  <c r="AL483" i="2"/>
  <c r="AK219" i="2"/>
  <c r="AL205" i="2"/>
  <c r="AL633" i="2"/>
  <c r="AL591" i="2"/>
  <c r="AL441" i="2"/>
  <c r="AL339" i="2"/>
  <c r="AL377" i="2"/>
  <c r="AK218" i="2"/>
  <c r="AL724" i="2"/>
  <c r="AL619" i="2"/>
  <c r="AL545" i="2"/>
  <c r="AK188" i="2"/>
  <c r="AK172" i="2"/>
  <c r="AK156" i="2"/>
  <c r="AK140" i="2"/>
  <c r="AK124" i="2"/>
  <c r="AK108" i="2"/>
  <c r="AK92" i="2"/>
  <c r="AK76" i="2"/>
  <c r="AK60" i="2"/>
  <c r="AK44" i="2"/>
  <c r="AK28" i="2"/>
  <c r="AK12" i="2"/>
  <c r="AL1560" i="2"/>
  <c r="AL1518" i="2"/>
  <c r="AK1489" i="2"/>
  <c r="AK1457" i="2"/>
  <c r="AK1456" i="2"/>
  <c r="AK1416" i="2"/>
  <c r="AK1435" i="2"/>
  <c r="AK1384" i="2"/>
  <c r="AK1272" i="2"/>
  <c r="AL1419" i="2"/>
  <c r="AK1181" i="2"/>
  <c r="AK1380" i="2"/>
  <c r="AK1409" i="2"/>
  <c r="AL1377" i="2"/>
  <c r="AK1233" i="2"/>
  <c r="AK1206" i="2"/>
  <c r="AK1151" i="2"/>
  <c r="AK1407" i="2"/>
  <c r="AK1141" i="2"/>
  <c r="AK1026" i="2"/>
  <c r="AK989" i="2"/>
  <c r="AK917" i="2"/>
  <c r="AK1078" i="2"/>
  <c r="AL923" i="2"/>
  <c r="AL939" i="2"/>
  <c r="AK929" i="2"/>
  <c r="AK891" i="2"/>
  <c r="AK851" i="2"/>
  <c r="AL945" i="2"/>
  <c r="AK794" i="2"/>
  <c r="AK767" i="2"/>
  <c r="AK754" i="2"/>
  <c r="AK766" i="2"/>
  <c r="AK496" i="2"/>
  <c r="AK344" i="2"/>
  <c r="AK645" i="2"/>
  <c r="AK522" i="2"/>
  <c r="AK453" i="2"/>
  <c r="AK631" i="2"/>
  <c r="AK564" i="2"/>
  <c r="AK548" i="2"/>
  <c r="AK532" i="2"/>
  <c r="AK832" i="2"/>
  <c r="AK732" i="2"/>
  <c r="AK702" i="2"/>
  <c r="AK711" i="2"/>
  <c r="AL199" i="2"/>
  <c r="AL395" i="2"/>
  <c r="AL175" i="2"/>
  <c r="AK201" i="2"/>
  <c r="AL111" i="2"/>
  <c r="AK1618" i="2"/>
  <c r="AL1730" i="2"/>
  <c r="AL1714" i="2"/>
  <c r="AL1698" i="2"/>
  <c r="AL1682" i="2"/>
  <c r="AL1615" i="2"/>
  <c r="AK1611" i="2"/>
  <c r="AL1637" i="2"/>
  <c r="AL1613" i="2"/>
  <c r="AL1597" i="2"/>
  <c r="AL1652" i="2"/>
  <c r="AL1636" i="2"/>
  <c r="AK1619" i="2"/>
  <c r="AL1598" i="2"/>
  <c r="AK1726" i="2"/>
  <c r="AK1710" i="2"/>
  <c r="AK1694" i="2"/>
  <c r="AL1617" i="2"/>
  <c r="AL1601" i="2"/>
  <c r="AL1576" i="2"/>
  <c r="AK1564" i="2"/>
  <c r="AL1475" i="2"/>
  <c r="AK1513" i="2"/>
  <c r="AL1259" i="2"/>
  <c r="AK1219" i="2"/>
  <c r="AL1147" i="2"/>
  <c r="AK1155" i="2"/>
  <c r="AK1118" i="2"/>
  <c r="AL1041" i="2"/>
  <c r="AL943" i="2"/>
  <c r="AK919" i="2"/>
  <c r="AL1089" i="2"/>
  <c r="AK1027" i="2"/>
  <c r="AK995" i="2"/>
  <c r="AK963" i="2"/>
  <c r="AL816" i="2"/>
  <c r="AK806" i="2"/>
  <c r="AK718" i="2"/>
  <c r="AL836" i="2"/>
  <c r="AL796" i="2"/>
  <c r="AK752" i="2"/>
  <c r="AK647" i="2"/>
  <c r="AK705" i="2"/>
  <c r="AL414" i="2"/>
  <c r="AL374" i="2"/>
  <c r="AK689" i="2"/>
  <c r="AL515" i="2"/>
  <c r="AK473" i="2"/>
  <c r="AL259" i="2"/>
  <c r="AL513" i="2"/>
  <c r="AL409" i="2"/>
  <c r="AL353" i="2"/>
  <c r="AK579" i="2"/>
  <c r="AK221" i="2"/>
  <c r="AL141" i="2"/>
  <c r="AL109" i="2"/>
  <c r="AL53" i="2"/>
  <c r="AL25" i="2"/>
  <c r="AL5" i="2"/>
  <c r="AL1568" i="2"/>
  <c r="AL1506" i="2"/>
  <c r="AL1445" i="2"/>
  <c r="AL1429" i="2"/>
  <c r="AL1188" i="2"/>
  <c r="AL1249" i="2"/>
  <c r="AL1207" i="2"/>
  <c r="AL1175" i="2"/>
  <c r="AL1383" i="2"/>
  <c r="AL1177" i="2"/>
  <c r="AL1399" i="2"/>
  <c r="AL1108" i="2"/>
  <c r="AL1060" i="2"/>
  <c r="AL996" i="2"/>
  <c r="AK1054" i="2"/>
  <c r="AK889" i="2"/>
  <c r="AK1115" i="2"/>
  <c r="AL969" i="2"/>
  <c r="AL875" i="2"/>
  <c r="AK1067" i="2"/>
  <c r="AL921" i="2"/>
  <c r="AL855" i="2"/>
  <c r="AL758" i="2"/>
  <c r="AK708" i="2"/>
  <c r="AL684" i="2"/>
  <c r="AL655" i="2"/>
  <c r="AL580" i="2"/>
  <c r="AL697" i="2"/>
  <c r="AL649" i="2"/>
  <c r="AL601" i="2"/>
  <c r="AK585" i="2"/>
  <c r="AL406" i="2"/>
  <c r="AL286" i="2"/>
  <c r="AL479" i="2"/>
  <c r="AL411" i="2"/>
  <c r="AL393" i="2"/>
  <c r="AL527" i="2"/>
  <c r="AL475" i="2"/>
  <c r="AL315" i="2"/>
  <c r="AL523" i="2"/>
  <c r="AL491" i="2"/>
  <c r="AL345" i="2"/>
  <c r="AL313" i="2"/>
  <c r="AL281" i="2"/>
  <c r="AL249" i="2"/>
  <c r="AL185" i="2"/>
  <c r="AL165" i="2"/>
  <c r="AL145" i="2"/>
  <c r="AL121" i="2"/>
  <c r="AL89" i="2"/>
  <c r="AL65" i="2"/>
  <c r="AL45" i="2"/>
  <c r="AL182" i="2"/>
  <c r="AL166" i="2"/>
  <c r="AL150" i="2"/>
  <c r="AL134" i="2"/>
  <c r="AL118" i="2"/>
  <c r="AL102" i="2"/>
  <c r="AL86" i="2"/>
  <c r="AL70" i="2"/>
  <c r="AL54" i="2"/>
  <c r="AL38" i="2"/>
  <c r="AL22" i="2"/>
  <c r="AL6" i="2"/>
  <c r="AL1548" i="2"/>
  <c r="AL1488" i="2"/>
  <c r="AL1485" i="2"/>
  <c r="AL1420" i="2"/>
  <c r="AL1521" i="2"/>
  <c r="AL1241" i="2"/>
  <c r="AL1391" i="2"/>
  <c r="AL1291" i="2"/>
  <c r="AL1215" i="2"/>
  <c r="AL1199" i="2"/>
  <c r="AL1183" i="2"/>
  <c r="AL1167" i="2"/>
  <c r="AL1163" i="2"/>
  <c r="AL1023" i="2"/>
  <c r="AL1007" i="2"/>
  <c r="AL991" i="2"/>
  <c r="AL975" i="2"/>
  <c r="AL959" i="2"/>
  <c r="AL1059" i="2"/>
  <c r="AL803" i="2"/>
  <c r="AL1009" i="2"/>
  <c r="AL961" i="2"/>
  <c r="AL882" i="2"/>
  <c r="AK839" i="2"/>
  <c r="AL810" i="2"/>
  <c r="AL746" i="2"/>
  <c r="AL838" i="2"/>
  <c r="AL528" i="2"/>
  <c r="AK653" i="2"/>
  <c r="AL637" i="2"/>
  <c r="AK258" i="2"/>
  <c r="AL790" i="2"/>
  <c r="AL628" i="2"/>
  <c r="AL484" i="2"/>
  <c r="AL452" i="2"/>
  <c r="AL436" i="2"/>
  <c r="AL420" i="2"/>
  <c r="AL404" i="2"/>
  <c r="AL388" i="2"/>
  <c r="AL356" i="2"/>
  <c r="AL340" i="2"/>
  <c r="AL324" i="2"/>
  <c r="AL276" i="2"/>
  <c r="AL792" i="2"/>
  <c r="AL748" i="2"/>
  <c r="AL638" i="2"/>
  <c r="AL566" i="2"/>
  <c r="AL542" i="2"/>
  <c r="AL518" i="2"/>
  <c r="AL398" i="2"/>
  <c r="AL342" i="2"/>
  <c r="AL278" i="2"/>
  <c r="AL459" i="2"/>
  <c r="AL227" i="2"/>
  <c r="AL243" i="2"/>
  <c r="AL643" i="2"/>
  <c r="AL503" i="2"/>
  <c r="AL321" i="2"/>
  <c r="AK212" i="2"/>
  <c r="AK184" i="2"/>
  <c r="AK168" i="2"/>
  <c r="AK152" i="2"/>
  <c r="AK136" i="2"/>
  <c r="AK120" i="2"/>
  <c r="AK104" i="2"/>
  <c r="AK88" i="2"/>
  <c r="AK72" i="2"/>
  <c r="AK56" i="2"/>
  <c r="AK40" i="2"/>
  <c r="AK24" i="2"/>
  <c r="AK8" i="2"/>
  <c r="AL1584" i="2"/>
  <c r="AK1579" i="2"/>
  <c r="AK1571" i="2"/>
  <c r="AL1563" i="2"/>
  <c r="AK1555" i="2"/>
  <c r="AK1510" i="2"/>
  <c r="AK1486" i="2"/>
  <c r="AL1470" i="2"/>
  <c r="AK1459" i="2"/>
  <c r="AK1501" i="2"/>
  <c r="AK1443" i="2"/>
  <c r="AK1264" i="2"/>
  <c r="AK1248" i="2"/>
  <c r="AK1208" i="2"/>
  <c r="AK1250" i="2"/>
  <c r="AK1213" i="2"/>
  <c r="AK1284" i="2"/>
  <c r="AK1148" i="2"/>
  <c r="AK1366" i="2"/>
  <c r="AK1281" i="2"/>
  <c r="AK1265" i="2"/>
  <c r="AK1222" i="2"/>
  <c r="AK1149" i="2"/>
  <c r="AK1251" i="2"/>
  <c r="AK1235" i="2"/>
  <c r="AL1138" i="2"/>
  <c r="AK1129" i="2"/>
  <c r="AK1021" i="2"/>
  <c r="AK942" i="2"/>
  <c r="AK1123" i="2"/>
  <c r="AK739" i="2"/>
  <c r="AK720" i="2"/>
  <c r="AL1081" i="2"/>
  <c r="AK762" i="2"/>
  <c r="AK688" i="2"/>
  <c r="AK608" i="2"/>
  <c r="AK440" i="2"/>
  <c r="AK312" i="2"/>
  <c r="AL734" i="2"/>
  <c r="AL716" i="2"/>
  <c r="AK629" i="2"/>
  <c r="AK485" i="2"/>
  <c r="AL559" i="2"/>
  <c r="AK543" i="2"/>
  <c r="AK686" i="2"/>
  <c r="AK569" i="2"/>
  <c r="AL382" i="2"/>
  <c r="AL334" i="2"/>
  <c r="AL270" i="2"/>
  <c r="AK673" i="2"/>
  <c r="AK521" i="2"/>
  <c r="AL371" i="2"/>
  <c r="AL715" i="2"/>
  <c r="AK695" i="2"/>
  <c r="AK575" i="2"/>
  <c r="AK489" i="2"/>
  <c r="AK223" i="2"/>
  <c r="AL55" i="2"/>
  <c r="AK1603" i="2"/>
  <c r="AL1658" i="2"/>
  <c r="AL1642" i="2"/>
  <c r="AK1626" i="2"/>
  <c r="AK1594" i="2"/>
  <c r="AK1616" i="2"/>
  <c r="AL1669" i="2"/>
  <c r="AL1645" i="2"/>
  <c r="AL1668" i="2"/>
  <c r="AK1627" i="2"/>
  <c r="AL1670" i="2"/>
  <c r="AL1654" i="2"/>
  <c r="AL1638" i="2"/>
  <c r="AL1622" i="2"/>
  <c r="AL1606" i="2"/>
  <c r="AK1595" i="2"/>
  <c r="AL1665" i="2"/>
  <c r="AK1664" i="2"/>
  <c r="AK1648" i="2"/>
  <c r="AK1632" i="2"/>
  <c r="AL1525" i="2"/>
  <c r="AL1493" i="2"/>
  <c r="AL1379" i="2"/>
  <c r="AK1267" i="2"/>
  <c r="AL884" i="2"/>
  <c r="AK937" i="2"/>
  <c r="AK883" i="2"/>
  <c r="AK1019" i="2"/>
  <c r="AK987" i="2"/>
  <c r="AK955" i="2"/>
  <c r="AL931" i="2"/>
  <c r="AK744" i="2"/>
  <c r="AL802" i="2"/>
  <c r="AL770" i="2"/>
  <c r="AL780" i="2"/>
  <c r="AL644" i="2"/>
  <c r="AK596" i="2"/>
  <c r="AK822" i="2"/>
  <c r="AK670" i="2"/>
  <c r="AL326" i="2"/>
  <c r="AL262" i="2"/>
  <c r="AL417" i="2"/>
  <c r="AL291" i="2"/>
  <c r="AL471" i="2"/>
  <c r="AK713" i="2"/>
  <c r="AL487" i="2"/>
  <c r="AL427" i="2"/>
  <c r="AL337" i="2"/>
  <c r="AL273" i="2"/>
  <c r="AL241" i="2"/>
  <c r="AL137" i="2"/>
  <c r="AL101" i="2"/>
  <c r="AL41" i="2"/>
  <c r="AL21" i="2"/>
  <c r="AK1444" i="2"/>
  <c r="AK1538" i="2"/>
  <c r="AK1505" i="2"/>
  <c r="AL1497" i="2"/>
  <c r="AL1352" i="2"/>
  <c r="AK1336" i="2"/>
  <c r="AK1304" i="2"/>
  <c r="AL1212" i="2"/>
  <c r="AL1180" i="2"/>
  <c r="AL1385" i="2"/>
  <c r="AL1209" i="2"/>
  <c r="AK1367" i="2"/>
  <c r="AK1119" i="2"/>
  <c r="AK1055" i="2"/>
  <c r="AL1020" i="2"/>
  <c r="AL956" i="2"/>
  <c r="AK1046" i="2"/>
  <c r="AL1049" i="2"/>
  <c r="AL1001" i="2"/>
  <c r="AL953" i="2"/>
  <c r="AK1121" i="2"/>
  <c r="AL935" i="2"/>
  <c r="AK1107" i="2"/>
  <c r="AL1057" i="2"/>
  <c r="AL652" i="2"/>
  <c r="AK657" i="2"/>
  <c r="AL366" i="2"/>
  <c r="AL254" i="2"/>
  <c r="AL355" i="2"/>
  <c r="AK691" i="2"/>
  <c r="AL347" i="2"/>
  <c r="AL451" i="2"/>
  <c r="AL369" i="2"/>
  <c r="AL177" i="2"/>
  <c r="AL157" i="2"/>
  <c r="AL133" i="2"/>
  <c r="AL105" i="2"/>
  <c r="AL77" i="2"/>
  <c r="AL61" i="2"/>
  <c r="AL37" i="2"/>
  <c r="AL186" i="2"/>
  <c r="AL170" i="2"/>
  <c r="AL154" i="2"/>
  <c r="AL138" i="2"/>
  <c r="AL122" i="2"/>
  <c r="AL106" i="2"/>
  <c r="AL90" i="2"/>
  <c r="AL74" i="2"/>
  <c r="AL58" i="2"/>
  <c r="AL42" i="2"/>
  <c r="AL26" i="2"/>
  <c r="AL10" i="2"/>
  <c r="AK1508" i="2"/>
  <c r="AL1531" i="2"/>
  <c r="AL1509" i="2"/>
  <c r="AL1491" i="2"/>
  <c r="AL1467" i="2"/>
  <c r="AK1269" i="2"/>
  <c r="AL1372" i="2"/>
  <c r="AL1412" i="2"/>
  <c r="AL1263" i="2"/>
  <c r="AL1375" i="2"/>
  <c r="AL1195" i="2"/>
  <c r="AL946" i="2"/>
  <c r="AK893" i="2"/>
  <c r="AL916" i="2"/>
  <c r="AL1097" i="2"/>
  <c r="AL1091" i="2"/>
  <c r="AL899" i="2"/>
  <c r="AL843" i="2"/>
  <c r="AL787" i="2"/>
  <c r="AL993" i="2"/>
  <c r="AL789" i="2"/>
  <c r="AL911" i="2"/>
  <c r="AL852" i="2"/>
  <c r="AL834" i="2"/>
  <c r="AL791" i="2"/>
  <c r="AL735" i="2"/>
  <c r="AL304" i="2"/>
  <c r="AK581" i="2"/>
  <c r="AL298" i="2"/>
  <c r="AL774" i="2"/>
  <c r="AL623" i="2"/>
  <c r="AL500" i="2"/>
  <c r="AL447" i="2"/>
  <c r="AL415" i="2"/>
  <c r="AL399" i="2"/>
  <c r="AL367" i="2"/>
  <c r="AL351" i="2"/>
  <c r="AL335" i="2"/>
  <c r="AL319" i="2"/>
  <c r="AL303" i="2"/>
  <c r="AL287" i="2"/>
  <c r="AL255" i="2"/>
  <c r="AL577" i="2"/>
  <c r="AL438" i="2"/>
  <c r="AL531" i="2"/>
  <c r="AL385" i="2"/>
  <c r="AL275" i="2"/>
  <c r="AL635" i="2"/>
  <c r="AL529" i="2"/>
  <c r="AL289" i="2"/>
  <c r="AK198" i="2"/>
  <c r="AK180" i="2"/>
  <c r="AK164" i="2"/>
  <c r="AK148" i="2"/>
  <c r="AK132" i="2"/>
  <c r="AK116" i="2"/>
  <c r="AK100" i="2"/>
  <c r="AK84" i="2"/>
  <c r="AK68" i="2"/>
  <c r="AK52" i="2"/>
  <c r="AK36" i="2"/>
  <c r="AK20" i="2"/>
  <c r="AK4" i="2"/>
  <c r="AL1552" i="2"/>
  <c r="AK1527" i="2"/>
  <c r="AK1476" i="2"/>
  <c r="AK1534" i="2"/>
  <c r="AK1502" i="2"/>
  <c r="AK1465" i="2"/>
  <c r="AK1464" i="2"/>
  <c r="AK1533" i="2"/>
  <c r="AK1461" i="2"/>
  <c r="AL1529" i="2"/>
  <c r="AL1451" i="2"/>
  <c r="AK1438" i="2"/>
  <c r="AK1428" i="2"/>
  <c r="AK1288" i="2"/>
  <c r="AK1393" i="2"/>
  <c r="AK1289" i="2"/>
  <c r="AK1295" i="2"/>
  <c r="AK1411" i="2"/>
  <c r="AK1139" i="2"/>
  <c r="AK1243" i="2"/>
  <c r="AK1106" i="2"/>
  <c r="AK962" i="2"/>
  <c r="AK804" i="2"/>
  <c r="AL913" i="2"/>
  <c r="AK1043" i="2"/>
  <c r="AK821" i="2"/>
  <c r="AK863" i="2"/>
  <c r="AK798" i="2"/>
  <c r="AK600" i="2"/>
  <c r="AK568" i="2"/>
  <c r="AK408" i="2"/>
  <c r="AK280" i="2"/>
  <c r="AK824" i="2"/>
  <c r="AL750" i="2"/>
  <c r="AK530" i="2"/>
  <c r="AK514" i="2"/>
  <c r="AK700" i="2"/>
  <c r="AK639" i="2"/>
  <c r="AL572" i="2"/>
  <c r="AK556" i="2"/>
  <c r="AK540" i="2"/>
  <c r="AK519" i="2"/>
  <c r="AK681" i="2"/>
  <c r="AL659" i="2"/>
  <c r="AK615" i="2"/>
  <c r="AL505" i="2"/>
  <c r="AL331" i="2"/>
  <c r="AL299" i="2"/>
  <c r="AL267" i="2"/>
  <c r="AL235" i="2"/>
  <c r="AK599" i="2"/>
  <c r="AK607" i="2"/>
  <c r="AL507" i="2"/>
  <c r="AK457" i="2"/>
  <c r="AL435" i="2"/>
  <c r="AL151" i="2"/>
  <c r="AL123" i="2"/>
  <c r="AL71" i="2"/>
  <c r="AL19" i="2"/>
  <c r="AK465" i="2"/>
  <c r="AK699" i="2"/>
  <c r="AK651" i="2"/>
  <c r="AK553" i="2"/>
  <c r="AL329" i="2"/>
  <c r="AL265" i="2"/>
  <c r="AL135" i="2"/>
  <c r="AL39" i="2"/>
  <c r="AK1586" i="2"/>
  <c r="AL1588" i="2"/>
  <c r="AK1162" i="2"/>
  <c r="AK1156" i="2"/>
  <c r="AK1128" i="2"/>
  <c r="AK888" i="2"/>
  <c r="AK1112" i="2"/>
  <c r="AK1014" i="2"/>
  <c r="AK982" i="2"/>
  <c r="AK920" i="2"/>
  <c r="AK549" i="2"/>
  <c r="AK694" i="2"/>
  <c r="AK526" i="2"/>
  <c r="AK352" i="2"/>
  <c r="AL1487" i="2"/>
  <c r="AL1482" i="2"/>
  <c r="AL1450" i="2"/>
  <c r="AL1405" i="2"/>
  <c r="AL1389" i="2"/>
  <c r="AL892" i="2"/>
  <c r="AK1004" i="2"/>
  <c r="AL973" i="2"/>
  <c r="AL904" i="2"/>
  <c r="AL890" i="2"/>
  <c r="AK1122" i="2"/>
  <c r="AL860" i="2"/>
  <c r="AL809" i="2"/>
  <c r="AK877" i="2"/>
  <c r="AL741" i="2"/>
  <c r="AL663" i="2"/>
  <c r="AL719" i="2"/>
  <c r="AK661" i="2"/>
  <c r="AL224" i="2"/>
  <c r="AL544" i="2"/>
  <c r="AL672" i="2"/>
  <c r="AK714" i="2"/>
  <c r="AL179" i="2"/>
  <c r="AL163" i="2"/>
  <c r="AL131" i="2"/>
  <c r="AK1562" i="2"/>
  <c r="AL1471" i="2"/>
  <c r="AL1455" i="2"/>
  <c r="AK1413" i="2"/>
  <c r="AK1432" i="2"/>
  <c r="AL1276" i="2"/>
  <c r="AL1392" i="2"/>
  <c r="AL1205" i="2"/>
  <c r="AK1402" i="2"/>
  <c r="AL1242" i="2"/>
  <c r="AK1144" i="2"/>
  <c r="AL1278" i="2"/>
  <c r="AL1160" i="2"/>
  <c r="AK947" i="2"/>
  <c r="AK1045" i="2"/>
  <c r="AL1100" i="2"/>
  <c r="AL1079" i="2"/>
  <c r="AL941" i="2"/>
  <c r="AL1092" i="2"/>
  <c r="AL1050" i="2"/>
  <c r="AK950" i="2"/>
  <c r="AK868" i="2"/>
  <c r="AK1080" i="2"/>
  <c r="AK1030" i="2"/>
  <c r="AK998" i="2"/>
  <c r="AK966" i="2"/>
  <c r="AK930" i="2"/>
  <c r="AK886" i="2"/>
  <c r="AL867" i="2"/>
  <c r="AL974" i="2"/>
  <c r="AL928" i="2"/>
  <c r="AK761" i="2"/>
  <c r="AL349" i="2"/>
  <c r="AK317" i="2"/>
  <c r="AK797" i="2"/>
  <c r="AL701" i="2"/>
  <c r="AL429" i="2"/>
  <c r="AL383" i="2"/>
  <c r="AL239" i="2"/>
  <c r="AL292" i="2"/>
  <c r="AK594" i="2"/>
  <c r="AK466" i="2"/>
  <c r="AK400" i="2"/>
  <c r="AL296" i="2"/>
  <c r="AL362" i="2"/>
  <c r="AL504" i="2"/>
  <c r="AL338" i="2"/>
  <c r="AL266" i="2"/>
  <c r="AK193" i="2"/>
  <c r="AK1559" i="2"/>
  <c r="AK1535" i="2"/>
  <c r="AK1449" i="2"/>
  <c r="AK1431" i="2"/>
  <c r="AL1557" i="2"/>
  <c r="AK1472" i="2"/>
  <c r="AL1433" i="2"/>
  <c r="AK1504" i="2"/>
  <c r="AK1400" i="2"/>
  <c r="AK1397" i="2"/>
  <c r="AK1368" i="2"/>
  <c r="AK1225" i="2"/>
  <c r="AL1378" i="2"/>
  <c r="AK1254" i="2"/>
  <c r="AL1191" i="2"/>
  <c r="AK1374" i="2"/>
  <c r="AK1150" i="2"/>
  <c r="AL1403" i="2"/>
  <c r="AK1274" i="2"/>
  <c r="AK1238" i="2"/>
  <c r="AK1190" i="2"/>
  <c r="AL1124" i="2"/>
  <c r="AL1071" i="2"/>
  <c r="AK997" i="2"/>
  <c r="AK1120" i="2"/>
  <c r="AK848" i="2"/>
  <c r="AK1072" i="2"/>
  <c r="AL1044" i="2"/>
  <c r="AK1094" i="2"/>
  <c r="AK1022" i="2"/>
  <c r="AK990" i="2"/>
  <c r="AK958" i="2"/>
  <c r="AK829" i="2"/>
  <c r="AL783" i="2"/>
  <c r="AL773" i="2"/>
  <c r="AK807" i="2"/>
  <c r="AK779" i="2"/>
  <c r="AK837" i="2"/>
  <c r="AL730" i="2"/>
  <c r="AK696" i="2"/>
  <c r="AK823" i="2"/>
  <c r="AL722" i="2"/>
  <c r="AK677" i="2"/>
  <c r="AL589" i="2"/>
  <c r="AK557" i="2"/>
  <c r="AK525" i="2"/>
  <c r="AL509" i="2"/>
  <c r="AK493" i="2"/>
  <c r="AL476" i="2"/>
  <c r="AL413" i="2"/>
  <c r="AL373" i="2"/>
  <c r="AL325" i="2"/>
  <c r="AL261" i="2"/>
  <c r="AK690" i="2"/>
  <c r="AL499" i="2"/>
  <c r="AK376" i="2"/>
  <c r="AK698" i="2"/>
  <c r="AL650" i="2"/>
  <c r="AK578" i="2"/>
  <c r="AK602" i="2"/>
  <c r="AL610" i="2"/>
  <c r="AK570" i="2"/>
  <c r="AL314" i="2"/>
  <c r="AL282" i="2"/>
  <c r="AL250" i="2"/>
  <c r="AK206" i="2"/>
  <c r="AL204" i="2"/>
  <c r="AL183" i="2"/>
  <c r="AL147" i="2"/>
  <c r="AL63" i="2"/>
  <c r="AL3" i="2"/>
  <c r="AK1436" i="2"/>
  <c r="AK1282" i="2"/>
  <c r="AL871" i="2"/>
  <c r="AL736" i="2"/>
  <c r="AK729" i="2"/>
  <c r="AK648" i="2"/>
  <c r="AK666" i="2"/>
  <c r="AK538" i="2"/>
  <c r="AK598" i="2"/>
  <c r="AK546" i="2"/>
  <c r="AL7" i="2"/>
  <c r="AL1561" i="2"/>
  <c r="AL1474" i="2"/>
  <c r="AL1469" i="2"/>
  <c r="AK1404" i="2"/>
  <c r="AL1388" i="2"/>
  <c r="AL1261" i="2"/>
  <c r="AL1234" i="2"/>
  <c r="AK1087" i="2"/>
  <c r="AL1039" i="2"/>
  <c r="AK972" i="2"/>
  <c r="AL934" i="2"/>
  <c r="AL1010" i="2"/>
  <c r="AL978" i="2"/>
  <c r="AL936" i="2"/>
  <c r="AK859" i="2"/>
  <c r="AL757" i="2"/>
  <c r="AK726" i="2"/>
  <c r="AL709" i="2"/>
  <c r="AL576" i="2"/>
  <c r="AL517" i="2"/>
  <c r="AL469" i="2"/>
  <c r="AL646" i="2"/>
  <c r="AL606" i="2"/>
  <c r="AL658" i="2"/>
  <c r="AL214" i="2"/>
  <c r="AL87" i="2"/>
  <c r="AK1570" i="2"/>
  <c r="AK1511" i="2"/>
  <c r="AL1499" i="2"/>
  <c r="AL1544" i="2"/>
  <c r="AL1532" i="2"/>
  <c r="AL1512" i="2"/>
  <c r="AL1418" i="2"/>
  <c r="AL1408" i="2"/>
  <c r="AL1365" i="2"/>
  <c r="AL1277" i="2"/>
  <c r="AK1253" i="2"/>
  <c r="AL1204" i="2"/>
  <c r="AL1173" i="2"/>
  <c r="AL1198" i="2"/>
  <c r="AL1166" i="2"/>
  <c r="AL1216" i="2"/>
  <c r="AL1200" i="2"/>
  <c r="AL1184" i="2"/>
  <c r="AL1168" i="2"/>
  <c r="AK1258" i="2"/>
  <c r="AL1140" i="2"/>
  <c r="AL1077" i="2"/>
  <c r="AL909" i="2"/>
  <c r="AL1076" i="2"/>
  <c r="AK1024" i="2"/>
  <c r="AK1008" i="2"/>
  <c r="AK992" i="2"/>
  <c r="AK976" i="2"/>
  <c r="AK960" i="2"/>
  <c r="AL737" i="2"/>
  <c r="AL1114" i="2"/>
  <c r="AK1070" i="2"/>
  <c r="AL862" i="2"/>
  <c r="AL857" i="2"/>
  <c r="AL1090" i="2"/>
  <c r="AL1058" i="2"/>
  <c r="AK869" i="2"/>
  <c r="AL753" i="2"/>
  <c r="AK755" i="2"/>
  <c r="AL717" i="2"/>
  <c r="AK835" i="2"/>
  <c r="AK445" i="2"/>
  <c r="AL341" i="2"/>
  <c r="AL309" i="2"/>
  <c r="AK285" i="2"/>
  <c r="AK781" i="2"/>
  <c r="AL827" i="2"/>
  <c r="AK815" i="2"/>
  <c r="AL621" i="2"/>
  <c r="AL381" i="2"/>
  <c r="AL301" i="2"/>
  <c r="AL237" i="2"/>
  <c r="AK590" i="2"/>
  <c r="AL574" i="2"/>
  <c r="AL394" i="2"/>
  <c r="AL368" i="2"/>
  <c r="AL470" i="2"/>
  <c r="AK456" i="2"/>
  <c r="AL426" i="2"/>
  <c r="AL328" i="2"/>
  <c r="AL498" i="2"/>
  <c r="AL482" i="2"/>
  <c r="AL306" i="2"/>
  <c r="AL234" i="2"/>
  <c r="AL209" i="2"/>
  <c r="AK1583" i="2"/>
  <c r="AK1551" i="2"/>
  <c r="AK1447" i="2"/>
  <c r="AL1581" i="2"/>
  <c r="AL1549" i="2"/>
  <c r="AK1481" i="2"/>
  <c r="AK1454" i="2"/>
  <c r="AL1546" i="2"/>
  <c r="AK1516" i="2"/>
  <c r="AK1542" i="2"/>
  <c r="AL1528" i="2"/>
  <c r="AK1468" i="2"/>
  <c r="AK1232" i="2"/>
  <c r="AK1426" i="2"/>
  <c r="AK1396" i="2"/>
  <c r="AK1224" i="2"/>
  <c r="AL1401" i="2"/>
  <c r="AK1362" i="2"/>
  <c r="AK1158" i="2"/>
  <c r="AK1262" i="2"/>
  <c r="AL1069" i="2"/>
  <c r="AL1013" i="2"/>
  <c r="AL949" i="2"/>
  <c r="AK885" i="2"/>
  <c r="AK864" i="2"/>
  <c r="AL878" i="2"/>
  <c r="AK853" i="2"/>
  <c r="AK845" i="2"/>
  <c r="AK801" i="2"/>
  <c r="AK813" i="2"/>
  <c r="AK846" i="2"/>
  <c r="AK656" i="2"/>
  <c r="AK671" i="2"/>
  <c r="AK617" i="2"/>
  <c r="AK597" i="2"/>
  <c r="AL588" i="2"/>
  <c r="AK524" i="2"/>
  <c r="AL508" i="2"/>
  <c r="AL423" i="2"/>
  <c r="AL295" i="2"/>
  <c r="AL231" i="2"/>
  <c r="AL710" i="2"/>
  <c r="AL624" i="2"/>
  <c r="AK360" i="2"/>
  <c r="AK707" i="2"/>
  <c r="AK618" i="2"/>
  <c r="AL336" i="2"/>
  <c r="AK462" i="2"/>
  <c r="AK478" i="2"/>
  <c r="AK424" i="2"/>
  <c r="AK322" i="2"/>
  <c r="AK290" i="2"/>
  <c r="AK194" i="2"/>
  <c r="AL115" i="2"/>
  <c r="AL107" i="2"/>
  <c r="AL99" i="2"/>
  <c r="AL51" i="2"/>
  <c r="AL43" i="2"/>
  <c r="AL35" i="2"/>
  <c r="AL27" i="2"/>
  <c r="AK1585" i="2"/>
  <c r="AL1448" i="2"/>
  <c r="AK1536" i="2"/>
  <c r="AK1394" i="2"/>
  <c r="AK1194" i="2"/>
  <c r="AK1109" i="2"/>
  <c r="AK825" i="2"/>
  <c r="AK213" i="2"/>
  <c r="AK384" i="2"/>
  <c r="AL1553" i="2"/>
  <c r="AL1421" i="2"/>
  <c r="AK1165" i="2"/>
  <c r="AK1182" i="2"/>
  <c r="AL1159" i="2"/>
  <c r="AK1270" i="2"/>
  <c r="AK1196" i="2"/>
  <c r="AK933" i="2"/>
  <c r="AK901" i="2"/>
  <c r="AL1037" i="2"/>
  <c r="AL896" i="2"/>
  <c r="AL1056" i="2"/>
  <c r="AL906" i="2"/>
  <c r="AL760" i="2"/>
  <c r="AL728" i="2"/>
  <c r="AL819" i="2"/>
  <c r="AL785" i="2"/>
  <c r="AL849" i="2"/>
  <c r="AL775" i="2"/>
  <c r="AL565" i="2"/>
  <c r="AL541" i="2"/>
  <c r="AL682" i="2"/>
  <c r="AL480" i="2"/>
  <c r="AL187" i="2"/>
  <c r="AL171" i="2"/>
  <c r="AL155" i="2"/>
  <c r="AL139" i="2"/>
  <c r="AL91" i="2"/>
  <c r="AL75" i="2"/>
  <c r="AL59" i="2"/>
  <c r="AK1578" i="2"/>
  <c r="AK1463" i="2"/>
  <c r="AK1523" i="2"/>
  <c r="AL1434" i="2"/>
  <c r="AL1484" i="2"/>
  <c r="AL1500" i="2"/>
  <c r="AL1376" i="2"/>
  <c r="AL1364" i="2"/>
  <c r="AL1252" i="2"/>
  <c r="AK1221" i="2"/>
  <c r="AL1172" i="2"/>
  <c r="AK1398" i="2"/>
  <c r="AL1286" i="2"/>
  <c r="AL1266" i="2"/>
  <c r="AK1294" i="2"/>
  <c r="AL1185" i="2"/>
  <c r="AK1093" i="2"/>
  <c r="AK1061" i="2"/>
  <c r="AL1103" i="2"/>
  <c r="AL1042" i="2"/>
  <c r="AK1064" i="2"/>
  <c r="AL1082" i="2"/>
  <c r="AL841" i="2"/>
  <c r="AL751" i="2"/>
  <c r="AL389" i="2"/>
  <c r="AL277" i="2"/>
  <c r="AK253" i="2"/>
  <c r="AK664" i="2"/>
  <c r="AK573" i="2"/>
  <c r="AK805" i="2"/>
  <c r="AL749" i="2"/>
  <c r="AL612" i="2"/>
  <c r="AL501" i="2"/>
  <c r="AL380" i="2"/>
  <c r="AL271" i="2"/>
  <c r="AK706" i="2"/>
  <c r="AL454" i="2"/>
  <c r="AL260" i="2"/>
  <c r="AL418" i="2"/>
  <c r="AL232" i="2"/>
  <c r="AL680" i="2"/>
  <c r="AL354" i="2"/>
  <c r="AL630" i="2"/>
  <c r="AL432" i="2"/>
  <c r="AK416" i="2"/>
  <c r="AL346" i="2"/>
  <c r="AL330" i="2"/>
  <c r="AL305" i="2"/>
  <c r="AL274" i="2"/>
  <c r="AL216" i="2"/>
  <c r="AK208" i="2"/>
  <c r="AK1582" i="2"/>
  <c r="AK1574" i="2"/>
  <c r="AK1566" i="2"/>
  <c r="AK1550" i="2"/>
  <c r="AL1572" i="2"/>
  <c r="AK1503" i="2"/>
  <c r="AK1441" i="2"/>
  <c r="AL1573" i="2"/>
  <c r="AK1494" i="2"/>
  <c r="AL1540" i="2"/>
  <c r="AK1490" i="2"/>
  <c r="AK1466" i="2"/>
  <c r="AL1452" i="2"/>
  <c r="AK1424" i="2"/>
  <c r="AK1240" i="2"/>
  <c r="AL1427" i="2"/>
  <c r="AK1381" i="2"/>
  <c r="AK1293" i="2"/>
  <c r="AK1245" i="2"/>
  <c r="AK1218" i="2"/>
  <c r="AK1202" i="2"/>
  <c r="AK1186" i="2"/>
  <c r="AK1170" i="2"/>
  <c r="AK1142" i="2"/>
  <c r="AK1406" i="2"/>
  <c r="AK1246" i="2"/>
  <c r="AL1230" i="2"/>
  <c r="AL1132" i="2"/>
  <c r="AK1210" i="2"/>
  <c r="AK1178" i="2"/>
  <c r="AK1390" i="2"/>
  <c r="AL1131" i="2"/>
  <c r="AK1029" i="2"/>
  <c r="AL1012" i="2"/>
  <c r="AK965" i="2"/>
  <c r="AL948" i="2"/>
  <c r="AK1018" i="2"/>
  <c r="AK986" i="2"/>
  <c r="AL1032" i="2"/>
  <c r="AL1016" i="2"/>
  <c r="AL1000" i="2"/>
  <c r="AL984" i="2"/>
  <c r="AL968" i="2"/>
  <c r="AL952" i="2"/>
  <c r="AK926" i="2"/>
  <c r="AK811" i="2"/>
  <c r="AL1066" i="2"/>
  <c r="AK922" i="2"/>
  <c r="AK769" i="2"/>
  <c r="AL828" i="2"/>
  <c r="AK795" i="2"/>
  <c r="AK763" i="2"/>
  <c r="AK747" i="2"/>
  <c r="AK613" i="2"/>
  <c r="AK584" i="2"/>
  <c r="AK669" i="2"/>
  <c r="AK616" i="2"/>
  <c r="AK605" i="2"/>
  <c r="AK461" i="2"/>
  <c r="AL421" i="2"/>
  <c r="AL293" i="2"/>
  <c r="AK229" i="2"/>
  <c r="AK586" i="2"/>
  <c r="AK474" i="2"/>
  <c r="AK320" i="2"/>
  <c r="AK288" i="2"/>
  <c r="AK256" i="2"/>
  <c r="AL370" i="2"/>
  <c r="AL202" i="2"/>
  <c r="AL143" i="2"/>
  <c r="AK1587" i="2"/>
  <c r="AK1543" i="2"/>
  <c r="AL1507" i="2"/>
  <c r="AK1290" i="2"/>
  <c r="AK1034" i="2"/>
  <c r="AK1002" i="2"/>
  <c r="AK970" i="2"/>
  <c r="AK777" i="2"/>
  <c r="AL861" i="2"/>
  <c r="AK731" i="2"/>
  <c r="AK733" i="2"/>
  <c r="AK674" i="2"/>
  <c r="AK520" i="2"/>
  <c r="AK464" i="2"/>
  <c r="AK448" i="2"/>
  <c r="AK196" i="2"/>
  <c r="AL11" i="2"/>
  <c r="AL1577" i="2"/>
  <c r="AL1458" i="2"/>
  <c r="AL1285" i="2"/>
  <c r="AL1229" i="2"/>
  <c r="AK1197" i="2"/>
  <c r="AK1410" i="2"/>
  <c r="AL1382" i="2"/>
  <c r="AL1226" i="2"/>
  <c r="AL1133" i="2"/>
  <c r="AL1153" i="2"/>
  <c r="AK1036" i="2"/>
  <c r="AL1005" i="2"/>
  <c r="AL988" i="2"/>
  <c r="AK894" i="2"/>
  <c r="AL1088" i="2"/>
  <c r="AL1048" i="2"/>
  <c r="AK854" i="2"/>
  <c r="AL902" i="2"/>
  <c r="AL833" i="2"/>
  <c r="AL745" i="2"/>
  <c r="AL831" i="2"/>
  <c r="AL640" i="2"/>
  <c r="AL533" i="2"/>
  <c r="AL634" i="2"/>
  <c r="AL632" i="2"/>
  <c r="AL554" i="2"/>
  <c r="AK200" i="2"/>
  <c r="AL191" i="2"/>
  <c r="AL159" i="2"/>
  <c r="AL127" i="2"/>
  <c r="AL95" i="2"/>
  <c r="AL79" i="2"/>
  <c r="AL15" i="2"/>
  <c r="AK1554" i="2"/>
  <c r="AL1580" i="2"/>
  <c r="AL1519" i="2"/>
  <c r="AL1442" i="2"/>
  <c r="AK1492" i="2"/>
  <c r="AL1414" i="2"/>
  <c r="AL1220" i="2"/>
  <c r="AK1189" i="2"/>
  <c r="AL1370" i="2"/>
  <c r="AL1152" i="2"/>
  <c r="AL1145" i="2"/>
  <c r="AL1085" i="2"/>
  <c r="AK1053" i="2"/>
  <c r="AL1101" i="2"/>
  <c r="AK925" i="2"/>
  <c r="AL873" i="2"/>
  <c r="AL914" i="2"/>
  <c r="AL820" i="2"/>
  <c r="AK1116" i="2"/>
  <c r="AL1006" i="2"/>
  <c r="AL912" i="2"/>
  <c r="AL872" i="2"/>
  <c r="AK793" i="2"/>
  <c r="AK881" i="2"/>
  <c r="AL437" i="2"/>
  <c r="AK405" i="2"/>
  <c r="AK357" i="2"/>
  <c r="AK723" i="2"/>
  <c r="AL660" i="2"/>
  <c r="AK685" i="2"/>
  <c r="AL431" i="2"/>
  <c r="AL333" i="2"/>
  <c r="AL269" i="2"/>
  <c r="AL245" i="2"/>
  <c r="AL308" i="2"/>
  <c r="AL244" i="2"/>
  <c r="AL676" i="2"/>
  <c r="AK552" i="2"/>
  <c r="AL506" i="2"/>
  <c r="AL450" i="2"/>
  <c r="AL264" i="2"/>
  <c r="AL222" i="2"/>
  <c r="AK562" i="2"/>
  <c r="AK488" i="2"/>
  <c r="AL402" i="2"/>
  <c r="AL372" i="2"/>
  <c r="AL242" i="2"/>
  <c r="AK215" i="2"/>
  <c r="AK1495" i="2"/>
  <c r="AK1439" i="2"/>
  <c r="AK1547" i="2"/>
  <c r="AL1515" i="2"/>
  <c r="AK1473" i="2"/>
  <c r="AK1446" i="2"/>
  <c r="AK1496" i="2"/>
  <c r="AK1524" i="2"/>
  <c r="AK1280" i="2"/>
  <c r="AK1256" i="2"/>
  <c r="AK1244" i="2"/>
  <c r="AK1192" i="2"/>
  <c r="AK1176" i="2"/>
  <c r="AL1255" i="2"/>
  <c r="AL1231" i="2"/>
  <c r="AK1386" i="2"/>
  <c r="AK1174" i="2"/>
  <c r="AL1126" i="2"/>
  <c r="AL924" i="2"/>
  <c r="AL1137" i="2"/>
  <c r="AK1117" i="2"/>
  <c r="AL1028" i="2"/>
  <c r="AL981" i="2"/>
  <c r="AL964" i="2"/>
  <c r="AK1098" i="2"/>
  <c r="AK938" i="2"/>
  <c r="AK898" i="2"/>
  <c r="AK880" i="2"/>
  <c r="AL1096" i="2"/>
  <c r="AK876" i="2"/>
  <c r="AK865" i="2"/>
  <c r="AK1074" i="2"/>
  <c r="AL817" i="2"/>
  <c r="AK856" i="2"/>
  <c r="AK840" i="2"/>
  <c r="AK808" i="2"/>
  <c r="AK725" i="2"/>
  <c r="AK704" i="2"/>
  <c r="AK693" i="2"/>
  <c r="AL679" i="2"/>
  <c r="AL668" i="2"/>
  <c r="AL604" i="2"/>
  <c r="AL511" i="2"/>
  <c r="AL495" i="2"/>
  <c r="AL477" i="2"/>
  <c r="AL375" i="2"/>
  <c r="AL327" i="2"/>
  <c r="AL263" i="2"/>
  <c r="AL228" i="2"/>
  <c r="AL512" i="2"/>
  <c r="AK712" i="2"/>
  <c r="AL560" i="2"/>
  <c r="AK490" i="2"/>
  <c r="AL434" i="2"/>
  <c r="AL386" i="2"/>
  <c r="AL211" i="2"/>
  <c r="AK626" i="2"/>
  <c r="AL210" i="2"/>
  <c r="AL217" i="2"/>
  <c r="AL47" i="2"/>
  <c r="AK1154" i="2"/>
  <c r="AK870" i="2"/>
  <c r="AK866" i="2"/>
  <c r="AK874" i="2"/>
  <c r="AK858" i="2"/>
  <c r="AK1146" i="2"/>
  <c r="AJ1337" i="2"/>
  <c r="AJ1325" i="2"/>
  <c r="AJ1318" i="2"/>
  <c r="AJ1297" i="2"/>
  <c r="AJ1359" i="2"/>
  <c r="AJ1333" i="2"/>
  <c r="AJ1301" i="2"/>
  <c r="AJ1342" i="2"/>
  <c r="AJ1321" i="2"/>
  <c r="AJ1323" i="2"/>
  <c r="AJ1347" i="2"/>
  <c r="AJ1341" i="2"/>
  <c r="AJ1316" i="2"/>
  <c r="AJ1349" i="2"/>
  <c r="AJ1317" i="2"/>
  <c r="AJ1305" i="2"/>
  <c r="AJ1327" i="2"/>
  <c r="AJ1357" i="2"/>
  <c r="AJ1298" i="2"/>
  <c r="AJ1308" i="2"/>
  <c r="AJ1350" i="2"/>
  <c r="AJ1329" i="2"/>
  <c r="AJ1315" i="2"/>
  <c r="AJ1343" i="2"/>
  <c r="AJ1310" i="2"/>
  <c r="AJ1314" i="2"/>
  <c r="AJ1356" i="2"/>
  <c r="AJ1332" i="2"/>
  <c r="AJ1334" i="2"/>
  <c r="AJ1302" i="2"/>
  <c r="AJ1355" i="2"/>
  <c r="AJ1339" i="2"/>
  <c r="AJ1358" i="2"/>
  <c r="AJ1311" i="2"/>
  <c r="AJ1303" i="2"/>
  <c r="AJ1330" i="2"/>
  <c r="AJ1324" i="2"/>
  <c r="AJ1361" i="2"/>
  <c r="AJ1335" i="2"/>
  <c r="AJ1338" i="2"/>
  <c r="AJ1306" i="2"/>
  <c r="AJ1299" i="2"/>
  <c r="AJ1346" i="2"/>
  <c r="AJ1345" i="2"/>
  <c r="AJ1313" i="2"/>
  <c r="AJ1319" i="2"/>
  <c r="AJ1331" i="2"/>
  <c r="AJ1354" i="2"/>
  <c r="AJ1322" i="2"/>
  <c r="AJ1326" i="2"/>
  <c r="AJ1351" i="2"/>
  <c r="AJ1340" i="2"/>
  <c r="AJ1348" i="2"/>
  <c r="AJ1353" i="2"/>
  <c r="AJ1307" i="2"/>
  <c r="AJ1309" i="2"/>
  <c r="AJ1300" i="2"/>
  <c r="AJ1728" i="2"/>
  <c r="AJ1712" i="2"/>
  <c r="AJ1696" i="2"/>
  <c r="AJ1680" i="2"/>
  <c r="AJ1659" i="2"/>
  <c r="AJ1733" i="2"/>
  <c r="AJ1725" i="2"/>
  <c r="AJ1693" i="2"/>
  <c r="AJ1673" i="2"/>
  <c r="AJ1651" i="2"/>
  <c r="AJ1635" i="2"/>
  <c r="AJ1674" i="2"/>
  <c r="AJ1729" i="2"/>
  <c r="AJ1713" i="2"/>
  <c r="AJ1697" i="2"/>
  <c r="AJ1681" i="2"/>
  <c r="AJ1592" i="2"/>
  <c r="AJ1671" i="2"/>
  <c r="AJ1731" i="2"/>
  <c r="AJ1715" i="2"/>
  <c r="AJ1699" i="2"/>
  <c r="AJ1683" i="2"/>
  <c r="AJ1717" i="2"/>
  <c r="AJ1685" i="2"/>
  <c r="AJ1716" i="2"/>
  <c r="AJ1675" i="2"/>
  <c r="AJ1677" i="2"/>
  <c r="AJ1719" i="2"/>
  <c r="AJ1703" i="2"/>
  <c r="AJ1687" i="2"/>
  <c r="AJ1678" i="2"/>
  <c r="AJ1647" i="2"/>
  <c r="AJ1672" i="2"/>
  <c r="AJ1620" i="2"/>
  <c r="AJ1604" i="2"/>
  <c r="AJ1460" i="2"/>
  <c r="AJ1720" i="2"/>
  <c r="AJ1704" i="2"/>
  <c r="AJ1688" i="2"/>
  <c r="AJ1709" i="2"/>
  <c r="AJ1663" i="2"/>
  <c r="AJ1643" i="2"/>
  <c r="AJ1700" i="2"/>
  <c r="AJ1692" i="2"/>
  <c r="AJ1684" i="2"/>
  <c r="AJ1667" i="2"/>
  <c r="AJ1721" i="2"/>
  <c r="AJ1705" i="2"/>
  <c r="AJ1689" i="2"/>
  <c r="AJ1600" i="2"/>
  <c r="AJ1723" i="2"/>
  <c r="AJ1707" i="2"/>
  <c r="AJ1691" i="2"/>
  <c r="AJ1676" i="2"/>
  <c r="AJ1701" i="2"/>
  <c r="AJ1724" i="2"/>
  <c r="AJ1708" i="2"/>
  <c r="AJ1679" i="2"/>
  <c r="AJ1727" i="2"/>
  <c r="AJ1711" i="2"/>
  <c r="AJ1695" i="2"/>
  <c r="AJ1732" i="2"/>
  <c r="AJ1655" i="2"/>
  <c r="AJ1639" i="2"/>
  <c r="AJ1628" i="2"/>
  <c r="AJ1612" i="2"/>
  <c r="AJ1596" i="2"/>
  <c r="AL874" i="2"/>
  <c r="AL858" i="2"/>
  <c r="AL1146" i="2"/>
  <c r="AL870" i="2"/>
  <c r="AL866" i="2"/>
  <c r="AL1154" i="2"/>
  <c r="AJ141" i="2"/>
  <c r="AJ109" i="2"/>
  <c r="AJ53" i="2"/>
  <c r="AJ25" i="2"/>
  <c r="AJ5" i="2"/>
  <c r="AJ185" i="2"/>
  <c r="AJ165" i="2"/>
  <c r="AJ145" i="2"/>
  <c r="AJ121" i="2"/>
  <c r="AJ89" i="2"/>
  <c r="AJ65" i="2"/>
  <c r="AJ45" i="2"/>
  <c r="AJ356" i="2"/>
  <c r="AJ137" i="2"/>
  <c r="AJ101" i="2"/>
  <c r="AJ41" i="2"/>
  <c r="AJ21" i="2"/>
  <c r="AJ177" i="2"/>
  <c r="AJ157" i="2"/>
  <c r="AJ133" i="2"/>
  <c r="AJ105" i="2"/>
  <c r="AJ77" i="2"/>
  <c r="AJ61" i="2"/>
  <c r="AJ37" i="2"/>
  <c r="AJ500" i="2"/>
  <c r="AJ292" i="2"/>
  <c r="AJ648" i="2"/>
  <c r="AJ308" i="2"/>
  <c r="AJ244" i="2"/>
  <c r="AJ372" i="2"/>
  <c r="AJ228" i="2"/>
  <c r="AL1335" i="2"/>
  <c r="AL1343" i="2"/>
  <c r="AL1315" i="2"/>
  <c r="AL1359" i="2"/>
  <c r="AL1297" i="2"/>
  <c r="AL1318" i="2"/>
  <c r="AL1329" i="2"/>
  <c r="AL1350" i="2"/>
  <c r="AL1361" i="2"/>
  <c r="AL1308" i="2"/>
  <c r="AL1324" i="2"/>
  <c r="AL1340" i="2"/>
  <c r="AL1298" i="2"/>
  <c r="AL1325" i="2"/>
  <c r="AL1330" i="2"/>
  <c r="AL1357" i="2"/>
  <c r="AL1331" i="2"/>
  <c r="AL1339" i="2"/>
  <c r="AL1319" i="2"/>
  <c r="AL1355" i="2"/>
  <c r="AL1302" i="2"/>
  <c r="AL1313" i="2"/>
  <c r="AL1334" i="2"/>
  <c r="AL1345" i="2"/>
  <c r="AL1300" i="2"/>
  <c r="AL1316" i="2"/>
  <c r="AL1332" i="2"/>
  <c r="AL1356" i="2"/>
  <c r="AL1309" i="2"/>
  <c r="AL1314" i="2"/>
  <c r="AL1341" i="2"/>
  <c r="AL1346" i="2"/>
  <c r="AL1349" i="2"/>
  <c r="AL1326" i="2"/>
  <c r="AL1351" i="2"/>
  <c r="AL1303" i="2"/>
  <c r="AL1348" i="2"/>
  <c r="AL1347" i="2"/>
  <c r="AL1358" i="2"/>
  <c r="AL1306" i="2"/>
  <c r="AL1342" i="2"/>
  <c r="AL1310" i="2"/>
  <c r="AL1323" i="2"/>
  <c r="AL1307" i="2"/>
  <c r="AL1322" i="2"/>
  <c r="AL1305" i="2"/>
  <c r="AL1327" i="2"/>
  <c r="AL1338" i="2"/>
  <c r="AL1301" i="2"/>
  <c r="AL1299" i="2"/>
  <c r="AL1354" i="2"/>
  <c r="AL1317" i="2"/>
  <c r="AL1337" i="2"/>
  <c r="AL1311" i="2"/>
  <c r="AL1333" i="2"/>
  <c r="AL1353" i="2"/>
  <c r="AL1321" i="2"/>
  <c r="AL1460" i="2"/>
  <c r="AL1596" i="2"/>
  <c r="AL1604" i="2"/>
  <c r="AL1612" i="2"/>
  <c r="AL1620" i="2"/>
  <c r="AL1628" i="2"/>
  <c r="AL1667" i="2"/>
  <c r="AL1674" i="2"/>
  <c r="AL1684" i="2"/>
  <c r="AL1692" i="2"/>
  <c r="AL1700" i="2"/>
  <c r="AL1708" i="2"/>
  <c r="AL1716" i="2"/>
  <c r="AL1724" i="2"/>
  <c r="AL1659" i="2"/>
  <c r="AL1671" i="2"/>
  <c r="AL1680" i="2"/>
  <c r="AL1688" i="2"/>
  <c r="AL1696" i="2"/>
  <c r="AL1704" i="2"/>
  <c r="AL1712" i="2"/>
  <c r="AL1720" i="2"/>
  <c r="AL1728" i="2"/>
  <c r="AL1672" i="2"/>
  <c r="AL1703" i="2"/>
  <c r="AL1729" i="2"/>
  <c r="AL1697" i="2"/>
  <c r="AL1655" i="2"/>
  <c r="AL1723" i="2"/>
  <c r="AL1707" i="2"/>
  <c r="AL1691" i="2"/>
  <c r="AL1663" i="2"/>
  <c r="AL1643" i="2"/>
  <c r="AL1675" i="2"/>
  <c r="AL1592" i="2"/>
  <c r="AL1687" i="2"/>
  <c r="AL1721" i="2"/>
  <c r="AL1689" i="2"/>
  <c r="AL1639" i="2"/>
  <c r="AL1733" i="2"/>
  <c r="AL1673" i="2"/>
  <c r="AL1713" i="2"/>
  <c r="AL1681" i="2"/>
  <c r="AL1711" i="2"/>
  <c r="AL1732" i="2"/>
  <c r="AL1677" i="2"/>
  <c r="AL1678" i="2"/>
  <c r="AL1731" i="2"/>
  <c r="AL1715" i="2"/>
  <c r="AL1699" i="2"/>
  <c r="AL1683" i="2"/>
  <c r="AL1651" i="2"/>
  <c r="AL1635" i="2"/>
  <c r="AL1679" i="2"/>
  <c r="AL1727" i="2"/>
  <c r="AL1719" i="2"/>
  <c r="AL1705" i="2"/>
  <c r="AL1647" i="2"/>
  <c r="AL1695" i="2"/>
  <c r="AL1676" i="2"/>
  <c r="AL1725" i="2"/>
  <c r="AL1717" i="2"/>
  <c r="AL1709" i="2"/>
  <c r="AL1701" i="2"/>
  <c r="AL1693" i="2"/>
  <c r="AL1685" i="2"/>
  <c r="AL1600" i="2"/>
  <c r="AJ1479" i="2"/>
  <c r="AJ1541" i="2"/>
  <c r="AJ1423" i="2"/>
  <c r="AJ1237" i="2"/>
  <c r="AJ1415" i="2"/>
  <c r="AJ1271" i="2"/>
  <c r="AJ1134" i="2"/>
  <c r="AJ944" i="2"/>
  <c r="AJ1127" i="2"/>
  <c r="AJ954" i="2"/>
  <c r="AJ932" i="2"/>
  <c r="AJ900" i="2"/>
  <c r="AJ1086" i="2"/>
  <c r="AJ1038" i="2"/>
  <c r="AJ1035" i="2"/>
  <c r="AJ1003" i="2"/>
  <c r="AJ971" i="2"/>
  <c r="AJ977" i="2"/>
  <c r="AJ951" i="2"/>
  <c r="AJ887" i="2"/>
  <c r="AJ765" i="2"/>
  <c r="AJ979" i="2"/>
  <c r="AJ738" i="2"/>
  <c r="AJ472" i="2"/>
  <c r="AJ240" i="2"/>
  <c r="AJ642" i="2"/>
  <c r="AJ442" i="2"/>
  <c r="AJ397" i="2"/>
  <c r="AJ365" i="2"/>
  <c r="AJ830" i="2"/>
  <c r="AJ492" i="2"/>
  <c r="AJ460" i="2"/>
  <c r="AJ439" i="2"/>
  <c r="AJ407" i="2"/>
  <c r="AJ391" i="2"/>
  <c r="AJ359" i="2"/>
  <c r="AJ343" i="2"/>
  <c r="AJ311" i="2"/>
  <c r="AJ279" i="2"/>
  <c r="AJ247" i="2"/>
  <c r="AJ776" i="2"/>
  <c r="AJ502" i="2"/>
  <c r="AJ627" i="2"/>
  <c r="AJ603" i="2"/>
  <c r="AJ483" i="2"/>
  <c r="AJ219" i="2"/>
  <c r="AJ205" i="2"/>
  <c r="AJ633" i="2"/>
  <c r="AJ591" i="2"/>
  <c r="AJ441" i="2"/>
  <c r="AJ339" i="2"/>
  <c r="AJ377" i="2"/>
  <c r="AJ218" i="2"/>
  <c r="AJ724" i="2"/>
  <c r="AJ619" i="2"/>
  <c r="AJ545" i="2"/>
  <c r="AJ188" i="2"/>
  <c r="AJ172" i="2"/>
  <c r="AJ156" i="2"/>
  <c r="AJ140" i="2"/>
  <c r="AJ124" i="2"/>
  <c r="AJ108" i="2"/>
  <c r="AJ92" i="2"/>
  <c r="AJ76" i="2"/>
  <c r="AJ60" i="2"/>
  <c r="AJ44" i="2"/>
  <c r="AJ28" i="2"/>
  <c r="AJ12" i="2"/>
  <c r="AJ1560" i="2"/>
  <c r="AJ1518" i="2"/>
  <c r="AJ1489" i="2"/>
  <c r="AJ1457" i="2"/>
  <c r="AJ1456" i="2"/>
  <c r="AJ1416" i="2"/>
  <c r="AJ1435" i="2"/>
  <c r="AJ1384" i="2"/>
  <c r="AJ1272" i="2"/>
  <c r="AJ1419" i="2"/>
  <c r="AJ1181" i="2"/>
  <c r="AJ1380" i="2"/>
  <c r="AJ1409" i="2"/>
  <c r="AJ1377" i="2"/>
  <c r="AJ1233" i="2"/>
  <c r="AJ1206" i="2"/>
  <c r="AJ1151" i="2"/>
  <c r="AJ1407" i="2"/>
  <c r="AJ1141" i="2"/>
  <c r="AJ1026" i="2"/>
  <c r="AJ989" i="2"/>
  <c r="AJ917" i="2"/>
  <c r="AJ1078" i="2"/>
  <c r="AJ923" i="2"/>
  <c r="AJ939" i="2"/>
  <c r="AJ929" i="2"/>
  <c r="AJ891" i="2"/>
  <c r="AJ851" i="2"/>
  <c r="AJ945" i="2"/>
  <c r="AJ794" i="2"/>
  <c r="AJ767" i="2"/>
  <c r="AJ754" i="2"/>
  <c r="AJ766" i="2"/>
  <c r="AJ496" i="2"/>
  <c r="AJ344" i="2"/>
  <c r="AJ645" i="2"/>
  <c r="AJ522" i="2"/>
  <c r="AJ453" i="2"/>
  <c r="AJ631" i="2"/>
  <c r="AJ564" i="2"/>
  <c r="AJ548" i="2"/>
  <c r="AJ532" i="2"/>
  <c r="AJ832" i="2"/>
  <c r="AJ732" i="2"/>
  <c r="AJ702" i="2"/>
  <c r="AJ711" i="2"/>
  <c r="AJ199" i="2"/>
  <c r="AJ395" i="2"/>
  <c r="AJ175" i="2"/>
  <c r="AJ201" i="2"/>
  <c r="AJ111" i="2"/>
  <c r="AJ1618" i="2"/>
  <c r="AJ1730" i="2"/>
  <c r="AJ1714" i="2"/>
  <c r="AJ1698" i="2"/>
  <c r="AJ1682" i="2"/>
  <c r="AJ1615" i="2"/>
  <c r="AJ1611" i="2"/>
  <c r="AJ1637" i="2"/>
  <c r="AJ1613" i="2"/>
  <c r="AJ1597" i="2"/>
  <c r="AJ1652" i="2"/>
  <c r="AJ1636" i="2"/>
  <c r="AJ1619" i="2"/>
  <c r="AJ1598" i="2"/>
  <c r="AJ1726" i="2"/>
  <c r="AJ1710" i="2"/>
  <c r="AJ1694" i="2"/>
  <c r="AJ1617" i="2"/>
  <c r="AJ1601" i="2"/>
  <c r="AJ1576" i="2"/>
  <c r="AJ1564" i="2"/>
  <c r="AJ1475" i="2"/>
  <c r="AJ1513" i="2"/>
  <c r="AJ1259" i="2"/>
  <c r="AJ1219" i="2"/>
  <c r="AJ1147" i="2"/>
  <c r="AJ1155" i="2"/>
  <c r="AJ1118" i="2"/>
  <c r="AJ1041" i="2"/>
  <c r="AJ943" i="2"/>
  <c r="AJ919" i="2"/>
  <c r="AJ1089" i="2"/>
  <c r="AJ1027" i="2"/>
  <c r="AJ995" i="2"/>
  <c r="AJ963" i="2"/>
  <c r="AJ816" i="2"/>
  <c r="AJ806" i="2"/>
  <c r="AJ718" i="2"/>
  <c r="AJ836" i="2"/>
  <c r="AJ796" i="2"/>
  <c r="AJ752" i="2"/>
  <c r="AJ647" i="2"/>
  <c r="AJ705" i="2"/>
  <c r="AJ414" i="2"/>
  <c r="AJ374" i="2"/>
  <c r="AJ689" i="2"/>
  <c r="AJ515" i="2"/>
  <c r="AJ473" i="2"/>
  <c r="AJ259" i="2"/>
  <c r="AJ513" i="2"/>
  <c r="AJ409" i="2"/>
  <c r="AJ353" i="2"/>
  <c r="AJ579" i="2"/>
  <c r="AJ221" i="2"/>
  <c r="AJ1568" i="2"/>
  <c r="AJ1506" i="2"/>
  <c r="AJ1445" i="2"/>
  <c r="AJ1429" i="2"/>
  <c r="AJ1188" i="2"/>
  <c r="AJ1249" i="2"/>
  <c r="AJ1207" i="2"/>
  <c r="AJ1175" i="2"/>
  <c r="AJ1383" i="2"/>
  <c r="AJ1177" i="2"/>
  <c r="AJ1399" i="2"/>
  <c r="AJ1108" i="2"/>
  <c r="AJ1060" i="2"/>
  <c r="AJ996" i="2"/>
  <c r="AJ1054" i="2"/>
  <c r="AJ889" i="2"/>
  <c r="AJ1115" i="2"/>
  <c r="AJ969" i="2"/>
  <c r="AJ875" i="2"/>
  <c r="AJ1067" i="2"/>
  <c r="AJ921" i="2"/>
  <c r="AJ855" i="2"/>
  <c r="AJ758" i="2"/>
  <c r="AJ708" i="2"/>
  <c r="AJ684" i="2"/>
  <c r="AJ655" i="2"/>
  <c r="AJ580" i="2"/>
  <c r="AJ697" i="2"/>
  <c r="AJ649" i="2"/>
  <c r="AJ601" i="2"/>
  <c r="AJ585" i="2"/>
  <c r="AJ406" i="2"/>
  <c r="AJ286" i="2"/>
  <c r="AJ479" i="2"/>
  <c r="AJ411" i="2"/>
  <c r="AJ393" i="2"/>
  <c r="AJ527" i="2"/>
  <c r="AJ475" i="2"/>
  <c r="AJ315" i="2"/>
  <c r="AJ523" i="2"/>
  <c r="AJ491" i="2"/>
  <c r="AJ345" i="2"/>
  <c r="AJ313" i="2"/>
  <c r="AJ281" i="2"/>
  <c r="AJ249" i="2"/>
  <c r="AJ182" i="2"/>
  <c r="AJ166" i="2"/>
  <c r="AJ150" i="2"/>
  <c r="AJ134" i="2"/>
  <c r="AJ118" i="2"/>
  <c r="AJ102" i="2"/>
  <c r="AJ86" i="2"/>
  <c r="AJ70" i="2"/>
  <c r="AJ54" i="2"/>
  <c r="AJ38" i="2"/>
  <c r="AJ22" i="2"/>
  <c r="AJ6" i="2"/>
  <c r="AJ1548" i="2"/>
  <c r="AJ1488" i="2"/>
  <c r="AJ1485" i="2"/>
  <c r="AJ1420" i="2"/>
  <c r="AJ1521" i="2"/>
  <c r="AJ1241" i="2"/>
  <c r="AJ1391" i="2"/>
  <c r="AJ1291" i="2"/>
  <c r="AJ1215" i="2"/>
  <c r="AJ1199" i="2"/>
  <c r="AJ1183" i="2"/>
  <c r="AJ1167" i="2"/>
  <c r="AJ1163" i="2"/>
  <c r="AJ1023" i="2"/>
  <c r="AJ1007" i="2"/>
  <c r="AJ991" i="2"/>
  <c r="AJ975" i="2"/>
  <c r="AJ959" i="2"/>
  <c r="AJ1059" i="2"/>
  <c r="AJ803" i="2"/>
  <c r="AJ1009" i="2"/>
  <c r="AJ961" i="2"/>
  <c r="AJ882" i="2"/>
  <c r="AJ839" i="2"/>
  <c r="AJ810" i="2"/>
  <c r="AJ746" i="2"/>
  <c r="AJ838" i="2"/>
  <c r="AJ528" i="2"/>
  <c r="AJ653" i="2"/>
  <c r="AJ637" i="2"/>
  <c r="AJ258" i="2"/>
  <c r="AJ790" i="2"/>
  <c r="AJ628" i="2"/>
  <c r="AJ484" i="2"/>
  <c r="AJ452" i="2"/>
  <c r="AJ436" i="2"/>
  <c r="AJ420" i="2"/>
  <c r="AJ404" i="2"/>
  <c r="AJ388" i="2"/>
  <c r="AJ340" i="2"/>
  <c r="AJ324" i="2"/>
  <c r="AJ276" i="2"/>
  <c r="AJ792" i="2"/>
  <c r="AJ748" i="2"/>
  <c r="AJ638" i="2"/>
  <c r="AJ566" i="2"/>
  <c r="AJ542" i="2"/>
  <c r="AJ518" i="2"/>
  <c r="AJ398" i="2"/>
  <c r="AJ342" i="2"/>
  <c r="AJ278" i="2"/>
  <c r="AJ459" i="2"/>
  <c r="AJ227" i="2"/>
  <c r="AJ243" i="2"/>
  <c r="AJ643" i="2"/>
  <c r="AJ503" i="2"/>
  <c r="AJ321" i="2"/>
  <c r="AJ212" i="2"/>
  <c r="AJ184" i="2"/>
  <c r="AJ168" i="2"/>
  <c r="AJ152" i="2"/>
  <c r="AJ136" i="2"/>
  <c r="AJ120" i="2"/>
  <c r="AJ104" i="2"/>
  <c r="AJ88" i="2"/>
  <c r="AJ72" i="2"/>
  <c r="AJ56" i="2"/>
  <c r="AJ40" i="2"/>
  <c r="AJ24" i="2"/>
  <c r="AJ8" i="2"/>
  <c r="AJ1584" i="2"/>
  <c r="AJ1579" i="2"/>
  <c r="AJ1571" i="2"/>
  <c r="AJ1563" i="2"/>
  <c r="AJ1555" i="2"/>
  <c r="AJ1510" i="2"/>
  <c r="AJ1486" i="2"/>
  <c r="AJ1470" i="2"/>
  <c r="AJ1459" i="2"/>
  <c r="AJ1501" i="2"/>
  <c r="AJ1443" i="2"/>
  <c r="AJ1264" i="2"/>
  <c r="AJ1248" i="2"/>
  <c r="AJ1208" i="2"/>
  <c r="AJ1250" i="2"/>
  <c r="AJ1213" i="2"/>
  <c r="AJ1284" i="2"/>
  <c r="AJ1148" i="2"/>
  <c r="AJ1366" i="2"/>
  <c r="AJ1281" i="2"/>
  <c r="AJ1265" i="2"/>
  <c r="AJ1222" i="2"/>
  <c r="AJ1149" i="2"/>
  <c r="AJ1251" i="2"/>
  <c r="AJ1235" i="2"/>
  <c r="AJ1138" i="2"/>
  <c r="AJ1129" i="2"/>
  <c r="AJ1021" i="2"/>
  <c r="AJ942" i="2"/>
  <c r="AJ1123" i="2"/>
  <c r="AJ739" i="2"/>
  <c r="AJ720" i="2"/>
  <c r="AJ1081" i="2"/>
  <c r="AJ762" i="2"/>
  <c r="AJ688" i="2"/>
  <c r="AJ608" i="2"/>
  <c r="AJ440" i="2"/>
  <c r="AJ312" i="2"/>
  <c r="AJ734" i="2"/>
  <c r="AJ716" i="2"/>
  <c r="AJ629" i="2"/>
  <c r="AJ485" i="2"/>
  <c r="AJ559" i="2"/>
  <c r="AJ543" i="2"/>
  <c r="AJ686" i="2"/>
  <c r="AJ569" i="2"/>
  <c r="AJ382" i="2"/>
  <c r="AJ334" i="2"/>
  <c r="AJ270" i="2"/>
  <c r="AJ673" i="2"/>
  <c r="AJ521" i="2"/>
  <c r="AJ371" i="2"/>
  <c r="AJ715" i="2"/>
  <c r="AJ695" i="2"/>
  <c r="AJ575" i="2"/>
  <c r="AJ489" i="2"/>
  <c r="AJ223" i="2"/>
  <c r="AJ55" i="2"/>
  <c r="AJ1603" i="2"/>
  <c r="AJ1658" i="2"/>
  <c r="AJ1642" i="2"/>
  <c r="AJ1626" i="2"/>
  <c r="AJ1594" i="2"/>
  <c r="AJ1616" i="2"/>
  <c r="AJ1669" i="2"/>
  <c r="AJ1645" i="2"/>
  <c r="AJ1668" i="2"/>
  <c r="AJ1627" i="2"/>
  <c r="AJ1670" i="2"/>
  <c r="AJ1654" i="2"/>
  <c r="AJ1638" i="2"/>
  <c r="AJ1622" i="2"/>
  <c r="AJ1606" i="2"/>
  <c r="AJ1595" i="2"/>
  <c r="AJ1665" i="2"/>
  <c r="AJ1641" i="2"/>
  <c r="AJ1664" i="2"/>
  <c r="AJ1648" i="2"/>
  <c r="AJ1632" i="2"/>
  <c r="AJ1525" i="2"/>
  <c r="AJ1493" i="2"/>
  <c r="AJ1379" i="2"/>
  <c r="AJ1267" i="2"/>
  <c r="AJ884" i="2"/>
  <c r="AJ937" i="2"/>
  <c r="AJ883" i="2"/>
  <c r="AJ1019" i="2"/>
  <c r="AJ987" i="2"/>
  <c r="AJ955" i="2"/>
  <c r="AJ931" i="2"/>
  <c r="AJ744" i="2"/>
  <c r="AJ802" i="2"/>
  <c r="AJ770" i="2"/>
  <c r="AJ780" i="2"/>
  <c r="AJ644" i="2"/>
  <c r="AJ596" i="2"/>
  <c r="AJ822" i="2"/>
  <c r="AJ670" i="2"/>
  <c r="AJ326" i="2"/>
  <c r="AJ262" i="2"/>
  <c r="AJ417" i="2"/>
  <c r="AJ291" i="2"/>
  <c r="AJ471" i="2"/>
  <c r="AJ713" i="2"/>
  <c r="AJ487" i="2"/>
  <c r="AJ427" i="2"/>
  <c r="AJ337" i="2"/>
  <c r="AJ273" i="2"/>
  <c r="AJ241" i="2"/>
  <c r="AJ1444" i="2"/>
  <c r="AJ1538" i="2"/>
  <c r="AJ1505" i="2"/>
  <c r="AJ1497" i="2"/>
  <c r="AJ1352" i="2"/>
  <c r="AJ1336" i="2"/>
  <c r="AJ1320" i="2"/>
  <c r="AJ1304" i="2"/>
  <c r="AJ1212" i="2"/>
  <c r="AJ1180" i="2"/>
  <c r="AJ1385" i="2"/>
  <c r="AJ1209" i="2"/>
  <c r="AJ1367" i="2"/>
  <c r="AJ1119" i="2"/>
  <c r="AJ1055" i="2"/>
  <c r="AJ1020" i="2"/>
  <c r="AJ956" i="2"/>
  <c r="AJ1046" i="2"/>
  <c r="AJ1049" i="2"/>
  <c r="AJ1001" i="2"/>
  <c r="AJ953" i="2"/>
  <c r="AJ1121" i="2"/>
  <c r="AJ935" i="2"/>
  <c r="AJ1107" i="2"/>
  <c r="AJ1057" i="2"/>
  <c r="AJ652" i="2"/>
  <c r="AJ657" i="2"/>
  <c r="AJ366" i="2"/>
  <c r="AJ254" i="2"/>
  <c r="AJ355" i="2"/>
  <c r="AJ691" i="2"/>
  <c r="AJ347" i="2"/>
  <c r="AJ451" i="2"/>
  <c r="AJ369" i="2"/>
  <c r="AJ186" i="2"/>
  <c r="AJ170" i="2"/>
  <c r="AJ154" i="2"/>
  <c r="AJ138" i="2"/>
  <c r="AJ122" i="2"/>
  <c r="AJ106" i="2"/>
  <c r="AJ90" i="2"/>
  <c r="AJ74" i="2"/>
  <c r="AJ58" i="2"/>
  <c r="AJ42" i="2"/>
  <c r="AJ26" i="2"/>
  <c r="AJ10" i="2"/>
  <c r="AJ1508" i="2"/>
  <c r="AJ1531" i="2"/>
  <c r="AJ1509" i="2"/>
  <c r="AJ1491" i="2"/>
  <c r="AJ1467" i="2"/>
  <c r="AJ1269" i="2"/>
  <c r="AJ1372" i="2"/>
  <c r="AJ1412" i="2"/>
  <c r="AJ1263" i="2"/>
  <c r="AJ1375" i="2"/>
  <c r="AJ1195" i="2"/>
  <c r="AJ946" i="2"/>
  <c r="AJ893" i="2"/>
  <c r="AJ916" i="2"/>
  <c r="AJ1097" i="2"/>
  <c r="AJ1091" i="2"/>
  <c r="AJ899" i="2"/>
  <c r="AJ843" i="2"/>
  <c r="AJ787" i="2"/>
  <c r="AJ993" i="2"/>
  <c r="AJ789" i="2"/>
  <c r="AJ911" i="2"/>
  <c r="AJ852" i="2"/>
  <c r="AJ834" i="2"/>
  <c r="AJ791" i="2"/>
  <c r="AJ735" i="2"/>
  <c r="AJ304" i="2"/>
  <c r="AJ581" i="2"/>
  <c r="AJ298" i="2"/>
  <c r="AJ774" i="2"/>
  <c r="AJ623" i="2"/>
  <c r="AJ447" i="2"/>
  <c r="AJ415" i="2"/>
  <c r="AJ399" i="2"/>
  <c r="AJ367" i="2"/>
  <c r="AJ351" i="2"/>
  <c r="AJ335" i="2"/>
  <c r="AJ319" i="2"/>
  <c r="AJ303" i="2"/>
  <c r="AJ287" i="2"/>
  <c r="AJ255" i="2"/>
  <c r="AJ577" i="2"/>
  <c r="AJ438" i="2"/>
  <c r="AJ531" i="2"/>
  <c r="AJ385" i="2"/>
  <c r="AJ275" i="2"/>
  <c r="AJ635" i="2"/>
  <c r="AJ529" i="2"/>
  <c r="AJ289" i="2"/>
  <c r="AJ198" i="2"/>
  <c r="AJ180" i="2"/>
  <c r="AJ164" i="2"/>
  <c r="AJ148" i="2"/>
  <c r="AJ132" i="2"/>
  <c r="AJ116" i="2"/>
  <c r="AJ100" i="2"/>
  <c r="AJ84" i="2"/>
  <c r="AJ68" i="2"/>
  <c r="AJ52" i="2"/>
  <c r="AJ36" i="2"/>
  <c r="AJ20" i="2"/>
  <c r="AJ4" i="2"/>
  <c r="AJ1552" i="2"/>
  <c r="AJ1527" i="2"/>
  <c r="AJ1476" i="2"/>
  <c r="AJ1534" i="2"/>
  <c r="AJ1502" i="2"/>
  <c r="AJ1465" i="2"/>
  <c r="AJ1464" i="2"/>
  <c r="AJ1533" i="2"/>
  <c r="AJ1461" i="2"/>
  <c r="AJ1529" i="2"/>
  <c r="AJ1451" i="2"/>
  <c r="AJ1438" i="2"/>
  <c r="AJ1428" i="2"/>
  <c r="AJ1288" i="2"/>
  <c r="AJ1393" i="2"/>
  <c r="AJ1289" i="2"/>
  <c r="AJ1295" i="2"/>
  <c r="AJ1411" i="2"/>
  <c r="AJ1139" i="2"/>
  <c r="AJ1243" i="2"/>
  <c r="AJ1106" i="2"/>
  <c r="AJ962" i="2"/>
  <c r="AJ804" i="2"/>
  <c r="AJ913" i="2"/>
  <c r="AJ1043" i="2"/>
  <c r="AJ821" i="2"/>
  <c r="AJ863" i="2"/>
  <c r="AJ798" i="2"/>
  <c r="AJ600" i="2"/>
  <c r="AJ568" i="2"/>
  <c r="AJ408" i="2"/>
  <c r="AJ280" i="2"/>
  <c r="AJ824" i="2"/>
  <c r="AJ750" i="2"/>
  <c r="AJ530" i="2"/>
  <c r="AJ514" i="2"/>
  <c r="AJ700" i="2"/>
  <c r="AJ639" i="2"/>
  <c r="AJ572" i="2"/>
  <c r="AJ556" i="2"/>
  <c r="AJ540" i="2"/>
  <c r="AJ519" i="2"/>
  <c r="AJ681" i="2"/>
  <c r="AJ659" i="2"/>
  <c r="AJ615" i="2"/>
  <c r="AJ505" i="2"/>
  <c r="AJ331" i="2"/>
  <c r="AJ299" i="2"/>
  <c r="AJ267" i="2"/>
  <c r="AJ235" i="2"/>
  <c r="AJ599" i="2"/>
  <c r="AJ607" i="2"/>
  <c r="AJ507" i="2"/>
  <c r="AJ457" i="2"/>
  <c r="AJ435" i="2"/>
  <c r="AJ151" i="2"/>
  <c r="AJ123" i="2"/>
  <c r="AJ71" i="2"/>
  <c r="AJ19" i="2"/>
  <c r="AJ465" i="2"/>
  <c r="AJ699" i="2"/>
  <c r="AJ651" i="2"/>
  <c r="AJ553" i="2"/>
  <c r="AJ329" i="2"/>
  <c r="AJ265" i="2"/>
  <c r="AJ135" i="2"/>
  <c r="AJ39" i="2"/>
  <c r="AJ1586" i="2"/>
  <c r="AJ1588" i="2"/>
  <c r="AJ1162" i="2"/>
  <c r="AJ1156" i="2"/>
  <c r="AJ1128" i="2"/>
  <c r="AJ888" i="2"/>
  <c r="AJ1112" i="2"/>
  <c r="AJ1014" i="2"/>
  <c r="AJ982" i="2"/>
  <c r="AJ920" i="2"/>
  <c r="AJ549" i="2"/>
  <c r="AJ694" i="2"/>
  <c r="AJ526" i="2"/>
  <c r="AJ352" i="2"/>
  <c r="AJ1487" i="2"/>
  <c r="AJ1482" i="2"/>
  <c r="AJ1450" i="2"/>
  <c r="AJ1405" i="2"/>
  <c r="AJ1389" i="2"/>
  <c r="AJ892" i="2"/>
  <c r="AJ1004" i="2"/>
  <c r="AJ973" i="2"/>
  <c r="AJ904" i="2"/>
  <c r="AJ890" i="2"/>
  <c r="AJ1122" i="2"/>
  <c r="AJ860" i="2"/>
  <c r="AJ809" i="2"/>
  <c r="AJ877" i="2"/>
  <c r="AJ741" i="2"/>
  <c r="AJ663" i="2"/>
  <c r="AJ719" i="2"/>
  <c r="AJ661" i="2"/>
  <c r="AJ224" i="2"/>
  <c r="AJ544" i="2"/>
  <c r="AJ672" i="2"/>
  <c r="AJ714" i="2"/>
  <c r="AJ179" i="2"/>
  <c r="AJ163" i="2"/>
  <c r="AJ131" i="2"/>
  <c r="AJ1562" i="2"/>
  <c r="AJ1471" i="2"/>
  <c r="AJ1455" i="2"/>
  <c r="AJ1413" i="2"/>
  <c r="AJ1432" i="2"/>
  <c r="AJ1276" i="2"/>
  <c r="AJ1392" i="2"/>
  <c r="AJ1205" i="2"/>
  <c r="AJ1402" i="2"/>
  <c r="AJ1242" i="2"/>
  <c r="AJ1144" i="2"/>
  <c r="AJ1278" i="2"/>
  <c r="AJ1160" i="2"/>
  <c r="AJ947" i="2"/>
  <c r="AJ1045" i="2"/>
  <c r="AJ1100" i="2"/>
  <c r="AJ1079" i="2"/>
  <c r="AJ941" i="2"/>
  <c r="AJ1092" i="2"/>
  <c r="AJ1050" i="2"/>
  <c r="AJ950" i="2"/>
  <c r="AJ868" i="2"/>
  <c r="AJ1080" i="2"/>
  <c r="AJ1030" i="2"/>
  <c r="AJ998" i="2"/>
  <c r="AJ966" i="2"/>
  <c r="AJ930" i="2"/>
  <c r="AJ886" i="2"/>
  <c r="AJ867" i="2"/>
  <c r="AJ974" i="2"/>
  <c r="AJ928" i="2"/>
  <c r="AJ761" i="2"/>
  <c r="AJ349" i="2"/>
  <c r="AJ317" i="2"/>
  <c r="AJ797" i="2"/>
  <c r="AJ701" i="2"/>
  <c r="AJ429" i="2"/>
  <c r="AJ383" i="2"/>
  <c r="AJ239" i="2"/>
  <c r="AJ594" i="2"/>
  <c r="AJ466" i="2"/>
  <c r="AJ400" i="2"/>
  <c r="AJ296" i="2"/>
  <c r="AJ362" i="2"/>
  <c r="AJ504" i="2"/>
  <c r="AJ338" i="2"/>
  <c r="AJ266" i="2"/>
  <c r="AJ193" i="2"/>
  <c r="AJ1559" i="2"/>
  <c r="AJ1535" i="2"/>
  <c r="AJ1449" i="2"/>
  <c r="AJ1431" i="2"/>
  <c r="AJ1557" i="2"/>
  <c r="AJ1472" i="2"/>
  <c r="AJ1433" i="2"/>
  <c r="AJ1504" i="2"/>
  <c r="AJ1400" i="2"/>
  <c r="AJ1397" i="2"/>
  <c r="AJ1368" i="2"/>
  <c r="AJ1225" i="2"/>
  <c r="AJ1378" i="2"/>
  <c r="AJ1254" i="2"/>
  <c r="AJ1191" i="2"/>
  <c r="AJ1374" i="2"/>
  <c r="AJ1150" i="2"/>
  <c r="AJ1403" i="2"/>
  <c r="AJ1274" i="2"/>
  <c r="AJ1238" i="2"/>
  <c r="AJ1190" i="2"/>
  <c r="AJ1124" i="2"/>
  <c r="AJ1071" i="2"/>
  <c r="AJ997" i="2"/>
  <c r="AJ1120" i="2"/>
  <c r="AJ848" i="2"/>
  <c r="AJ1072" i="2"/>
  <c r="AJ1044" i="2"/>
  <c r="AJ1094" i="2"/>
  <c r="AJ1022" i="2"/>
  <c r="AJ990" i="2"/>
  <c r="AJ958" i="2"/>
  <c r="AJ829" i="2"/>
  <c r="AJ783" i="2"/>
  <c r="AJ773" i="2"/>
  <c r="AJ807" i="2"/>
  <c r="AJ779" i="2"/>
  <c r="AJ837" i="2"/>
  <c r="AJ730" i="2"/>
  <c r="AJ696" i="2"/>
  <c r="AJ823" i="2"/>
  <c r="AJ722" i="2"/>
  <c r="AJ677" i="2"/>
  <c r="AJ589" i="2"/>
  <c r="AJ557" i="2"/>
  <c r="AJ525" i="2"/>
  <c r="AJ509" i="2"/>
  <c r="AJ493" i="2"/>
  <c r="AJ476" i="2"/>
  <c r="AJ413" i="2"/>
  <c r="AJ373" i="2"/>
  <c r="AJ325" i="2"/>
  <c r="AJ261" i="2"/>
  <c r="AJ690" i="2"/>
  <c r="AJ499" i="2"/>
  <c r="AJ376" i="2"/>
  <c r="AJ698" i="2"/>
  <c r="AJ650" i="2"/>
  <c r="AJ578" i="2"/>
  <c r="AJ602" i="2"/>
  <c r="AJ610" i="2"/>
  <c r="AJ570" i="2"/>
  <c r="AJ314" i="2"/>
  <c r="AJ282" i="2"/>
  <c r="AJ250" i="2"/>
  <c r="AJ206" i="2"/>
  <c r="AJ204" i="2"/>
  <c r="AJ183" i="2"/>
  <c r="AJ147" i="2"/>
  <c r="AJ63" i="2"/>
  <c r="AJ3" i="2"/>
  <c r="AJ1436" i="2"/>
  <c r="AJ1282" i="2"/>
  <c r="AJ871" i="2"/>
  <c r="AJ736" i="2"/>
  <c r="AJ729" i="2"/>
  <c r="AJ666" i="2"/>
  <c r="AJ538" i="2"/>
  <c r="AJ598" i="2"/>
  <c r="AJ546" i="2"/>
  <c r="AJ7" i="2"/>
  <c r="AJ1561" i="2"/>
  <c r="AJ1474" i="2"/>
  <c r="AJ1469" i="2"/>
  <c r="AJ1404" i="2"/>
  <c r="AJ1388" i="2"/>
  <c r="AJ1261" i="2"/>
  <c r="AJ1234" i="2"/>
  <c r="AJ1087" i="2"/>
  <c r="AJ1039" i="2"/>
  <c r="AJ972" i="2"/>
  <c r="AJ934" i="2"/>
  <c r="AJ1010" i="2"/>
  <c r="AJ978" i="2"/>
  <c r="AJ936" i="2"/>
  <c r="AJ859" i="2"/>
  <c r="AJ757" i="2"/>
  <c r="AJ726" i="2"/>
  <c r="AJ709" i="2"/>
  <c r="AJ576" i="2"/>
  <c r="AJ517" i="2"/>
  <c r="AJ469" i="2"/>
  <c r="AJ646" i="2"/>
  <c r="AJ606" i="2"/>
  <c r="AJ658" i="2"/>
  <c r="AJ214" i="2"/>
  <c r="AJ87" i="2"/>
  <c r="AJ1570" i="2"/>
  <c r="AJ1511" i="2"/>
  <c r="AJ1499" i="2"/>
  <c r="AJ1544" i="2"/>
  <c r="AJ1532" i="2"/>
  <c r="AJ1512" i="2"/>
  <c r="AJ1418" i="2"/>
  <c r="AJ1408" i="2"/>
  <c r="AJ1365" i="2"/>
  <c r="AJ1277" i="2"/>
  <c r="AJ1253" i="2"/>
  <c r="AJ1204" i="2"/>
  <c r="AJ1173" i="2"/>
  <c r="AJ1198" i="2"/>
  <c r="AJ1166" i="2"/>
  <c r="AJ1216" i="2"/>
  <c r="AJ1200" i="2"/>
  <c r="AJ1184" i="2"/>
  <c r="AJ1168" i="2"/>
  <c r="AJ1258" i="2"/>
  <c r="AJ1140" i="2"/>
  <c r="AJ1077" i="2"/>
  <c r="AJ909" i="2"/>
  <c r="AJ1076" i="2"/>
  <c r="AJ1024" i="2"/>
  <c r="AJ1008" i="2"/>
  <c r="AJ992" i="2"/>
  <c r="AJ976" i="2"/>
  <c r="AJ960" i="2"/>
  <c r="AJ737" i="2"/>
  <c r="AJ1114" i="2"/>
  <c r="AJ1070" i="2"/>
  <c r="AJ862" i="2"/>
  <c r="AJ857" i="2"/>
  <c r="AJ1090" i="2"/>
  <c r="AJ1058" i="2"/>
  <c r="AJ869" i="2"/>
  <c r="AJ753" i="2"/>
  <c r="AJ755" i="2"/>
  <c r="AJ717" i="2"/>
  <c r="AJ835" i="2"/>
  <c r="AJ445" i="2"/>
  <c r="AJ341" i="2"/>
  <c r="AJ309" i="2"/>
  <c r="AJ285" i="2"/>
  <c r="AJ781" i="2"/>
  <c r="AJ827" i="2"/>
  <c r="AJ815" i="2"/>
  <c r="AJ621" i="2"/>
  <c r="AJ381" i="2"/>
  <c r="AJ301" i="2"/>
  <c r="AJ237" i="2"/>
  <c r="AJ590" i="2"/>
  <c r="AJ574" i="2"/>
  <c r="AJ394" i="2"/>
  <c r="AJ368" i="2"/>
  <c r="AJ470" i="2"/>
  <c r="AJ456" i="2"/>
  <c r="AJ426" i="2"/>
  <c r="AJ328" i="2"/>
  <c r="AJ498" i="2"/>
  <c r="AJ482" i="2"/>
  <c r="AJ306" i="2"/>
  <c r="AJ234" i="2"/>
  <c r="AJ209" i="2"/>
  <c r="AJ1583" i="2"/>
  <c r="AJ1551" i="2"/>
  <c r="AJ1447" i="2"/>
  <c r="AJ1581" i="2"/>
  <c r="AJ1549" i="2"/>
  <c r="AJ1481" i="2"/>
  <c r="AJ1454" i="2"/>
  <c r="AJ1546" i="2"/>
  <c r="AJ1516" i="2"/>
  <c r="AJ1542" i="2"/>
  <c r="AJ1528" i="2"/>
  <c r="AJ1468" i="2"/>
  <c r="AJ1232" i="2"/>
  <c r="AJ1426" i="2"/>
  <c r="AJ1396" i="2"/>
  <c r="AJ1224" i="2"/>
  <c r="AJ1401" i="2"/>
  <c r="AJ1362" i="2"/>
  <c r="AJ1158" i="2"/>
  <c r="AJ1262" i="2"/>
  <c r="AJ1130" i="2"/>
  <c r="AJ1069" i="2"/>
  <c r="AJ1013" i="2"/>
  <c r="AJ949" i="2"/>
  <c r="AJ885" i="2"/>
  <c r="AJ864" i="2"/>
  <c r="AJ878" i="2"/>
  <c r="AJ853" i="2"/>
  <c r="AJ845" i="2"/>
  <c r="AJ801" i="2"/>
  <c r="AJ813" i="2"/>
  <c r="AJ846" i="2"/>
  <c r="AJ656" i="2"/>
  <c r="AJ671" i="2"/>
  <c r="AJ617" i="2"/>
  <c r="AJ597" i="2"/>
  <c r="AJ588" i="2"/>
  <c r="AJ524" i="2"/>
  <c r="AJ508" i="2"/>
  <c r="AJ423" i="2"/>
  <c r="AJ295" i="2"/>
  <c r="AJ231" i="2"/>
  <c r="AJ710" i="2"/>
  <c r="AJ624" i="2"/>
  <c r="AJ360" i="2"/>
  <c r="AJ707" i="2"/>
  <c r="AJ618" i="2"/>
  <c r="AJ336" i="2"/>
  <c r="AJ462" i="2"/>
  <c r="AJ478" i="2"/>
  <c r="AJ424" i="2"/>
  <c r="AJ322" i="2"/>
  <c r="AJ290" i="2"/>
  <c r="AJ194" i="2"/>
  <c r="AJ115" i="2"/>
  <c r="AJ107" i="2"/>
  <c r="AJ99" i="2"/>
  <c r="AJ51" i="2"/>
  <c r="AJ43" i="2"/>
  <c r="AJ35" i="2"/>
  <c r="AJ27" i="2"/>
  <c r="AJ1585" i="2"/>
  <c r="AJ1448" i="2"/>
  <c r="AJ1536" i="2"/>
  <c r="AJ1394" i="2"/>
  <c r="AJ1194" i="2"/>
  <c r="AJ1109" i="2"/>
  <c r="AJ825" i="2"/>
  <c r="AJ213" i="2"/>
  <c r="AJ384" i="2"/>
  <c r="AJ1553" i="2"/>
  <c r="AJ1421" i="2"/>
  <c r="AJ1165" i="2"/>
  <c r="AJ1182" i="2"/>
  <c r="AJ1159" i="2"/>
  <c r="AJ1270" i="2"/>
  <c r="AJ1196" i="2"/>
  <c r="AJ933" i="2"/>
  <c r="AJ901" i="2"/>
  <c r="AJ1037" i="2"/>
  <c r="AJ896" i="2"/>
  <c r="AJ1056" i="2"/>
  <c r="AJ906" i="2"/>
  <c r="AJ760" i="2"/>
  <c r="AJ728" i="2"/>
  <c r="AJ819" i="2"/>
  <c r="AJ785" i="2"/>
  <c r="AJ849" i="2"/>
  <c r="AJ775" i="2"/>
  <c r="AJ565" i="2"/>
  <c r="AJ541" i="2"/>
  <c r="AJ682" i="2"/>
  <c r="AJ480" i="2"/>
  <c r="AJ187" i="2"/>
  <c r="AJ171" i="2"/>
  <c r="AJ155" i="2"/>
  <c r="AJ139" i="2"/>
  <c r="AJ91" i="2"/>
  <c r="AJ75" i="2"/>
  <c r="AJ59" i="2"/>
  <c r="AJ1578" i="2"/>
  <c r="AJ1463" i="2"/>
  <c r="AJ1523" i="2"/>
  <c r="AJ1434" i="2"/>
  <c r="AJ1484" i="2"/>
  <c r="AJ1500" i="2"/>
  <c r="AJ1376" i="2"/>
  <c r="AJ1364" i="2"/>
  <c r="AJ1252" i="2"/>
  <c r="AJ1221" i="2"/>
  <c r="AJ1172" i="2"/>
  <c r="AJ1398" i="2"/>
  <c r="AJ1286" i="2"/>
  <c r="AJ1266" i="2"/>
  <c r="AJ1294" i="2"/>
  <c r="AJ1185" i="2"/>
  <c r="AJ1093" i="2"/>
  <c r="AJ1061" i="2"/>
  <c r="AJ1103" i="2"/>
  <c r="AJ1042" i="2"/>
  <c r="AJ1064" i="2"/>
  <c r="AJ1082" i="2"/>
  <c r="AJ841" i="2"/>
  <c r="AJ751" i="2"/>
  <c r="AJ389" i="2"/>
  <c r="AJ277" i="2"/>
  <c r="AJ253" i="2"/>
  <c r="AJ664" i="2"/>
  <c r="AJ573" i="2"/>
  <c r="AJ805" i="2"/>
  <c r="AJ749" i="2"/>
  <c r="AJ612" i="2"/>
  <c r="AJ501" i="2"/>
  <c r="AJ380" i="2"/>
  <c r="AJ271" i="2"/>
  <c r="AJ706" i="2"/>
  <c r="AJ454" i="2"/>
  <c r="AJ260" i="2"/>
  <c r="AJ418" i="2"/>
  <c r="AJ232" i="2"/>
  <c r="AJ680" i="2"/>
  <c r="AJ354" i="2"/>
  <c r="AJ630" i="2"/>
  <c r="AJ432" i="2"/>
  <c r="AJ416" i="2"/>
  <c r="AJ346" i="2"/>
  <c r="AJ330" i="2"/>
  <c r="AJ305" i="2"/>
  <c r="AJ274" i="2"/>
  <c r="AJ216" i="2"/>
  <c r="AJ208" i="2"/>
  <c r="AJ1582" i="2"/>
  <c r="AJ1574" i="2"/>
  <c r="AJ1566" i="2"/>
  <c r="AJ1550" i="2"/>
  <c r="AJ1572" i="2"/>
  <c r="AJ1503" i="2"/>
  <c r="AJ1441" i="2"/>
  <c r="AJ1573" i="2"/>
  <c r="AJ1494" i="2"/>
  <c r="AJ1540" i="2"/>
  <c r="AJ1490" i="2"/>
  <c r="AJ1466" i="2"/>
  <c r="AJ1452" i="2"/>
  <c r="AJ1424" i="2"/>
  <c r="AJ1240" i="2"/>
  <c r="AJ1427" i="2"/>
  <c r="AJ1381" i="2"/>
  <c r="AJ1293" i="2"/>
  <c r="AJ1245" i="2"/>
  <c r="AJ1218" i="2"/>
  <c r="AJ1202" i="2"/>
  <c r="AJ1186" i="2"/>
  <c r="AJ1170" i="2"/>
  <c r="AJ1142" i="2"/>
  <c r="AJ1406" i="2"/>
  <c r="AJ1246" i="2"/>
  <c r="AJ1230" i="2"/>
  <c r="AJ1132" i="2"/>
  <c r="AJ1210" i="2"/>
  <c r="AJ1178" i="2"/>
  <c r="AJ1390" i="2"/>
  <c r="AJ1131" i="2"/>
  <c r="AJ1029" i="2"/>
  <c r="AJ1012" i="2"/>
  <c r="AJ965" i="2"/>
  <c r="AJ948" i="2"/>
  <c r="AJ1018" i="2"/>
  <c r="AJ986" i="2"/>
  <c r="AJ1032" i="2"/>
  <c r="AJ1016" i="2"/>
  <c r="AJ1000" i="2"/>
  <c r="AJ984" i="2"/>
  <c r="AJ968" i="2"/>
  <c r="AJ952" i="2"/>
  <c r="AJ926" i="2"/>
  <c r="AJ811" i="2"/>
  <c r="AJ1066" i="2"/>
  <c r="AJ922" i="2"/>
  <c r="AJ769" i="2"/>
  <c r="AJ828" i="2"/>
  <c r="AJ795" i="2"/>
  <c r="AJ763" i="2"/>
  <c r="AJ747" i="2"/>
  <c r="AJ613" i="2"/>
  <c r="AJ584" i="2"/>
  <c r="AJ669" i="2"/>
  <c r="AJ616" i="2"/>
  <c r="AJ605" i="2"/>
  <c r="AJ461" i="2"/>
  <c r="AJ421" i="2"/>
  <c r="AJ293" i="2"/>
  <c r="AJ229" i="2"/>
  <c r="AJ586" i="2"/>
  <c r="AJ474" i="2"/>
  <c r="AJ320" i="2"/>
  <c r="AJ288" i="2"/>
  <c r="AJ256" i="2"/>
  <c r="AJ370" i="2"/>
  <c r="AJ202" i="2"/>
  <c r="AJ143" i="2"/>
  <c r="AJ1587" i="2"/>
  <c r="AJ1543" i="2"/>
  <c r="AJ1507" i="2"/>
  <c r="AJ1290" i="2"/>
  <c r="AJ1034" i="2"/>
  <c r="AJ1002" i="2"/>
  <c r="AJ970" i="2"/>
  <c r="AJ777" i="2"/>
  <c r="AJ861" i="2"/>
  <c r="AJ731" i="2"/>
  <c r="AJ733" i="2"/>
  <c r="AJ674" i="2"/>
  <c r="AJ520" i="2"/>
  <c r="AJ464" i="2"/>
  <c r="AJ448" i="2"/>
  <c r="AJ196" i="2"/>
  <c r="AJ11" i="2"/>
  <c r="AJ1577" i="2"/>
  <c r="AJ1458" i="2"/>
  <c r="AJ1285" i="2"/>
  <c r="AJ1229" i="2"/>
  <c r="AJ1197" i="2"/>
  <c r="AJ1410" i="2"/>
  <c r="AJ1382" i="2"/>
  <c r="AJ1226" i="2"/>
  <c r="AJ1133" i="2"/>
  <c r="AJ1153" i="2"/>
  <c r="AJ1036" i="2"/>
  <c r="AJ1005" i="2"/>
  <c r="AJ988" i="2"/>
  <c r="AJ894" i="2"/>
  <c r="AJ1088" i="2"/>
  <c r="AJ1048" i="2"/>
  <c r="AJ854" i="2"/>
  <c r="AJ902" i="2"/>
  <c r="AJ833" i="2"/>
  <c r="AJ745" i="2"/>
  <c r="AJ831" i="2"/>
  <c r="AJ640" i="2"/>
  <c r="AJ533" i="2"/>
  <c r="AJ634" i="2"/>
  <c r="AJ632" i="2"/>
  <c r="AJ554" i="2"/>
  <c r="AJ200" i="2"/>
  <c r="AJ191" i="2"/>
  <c r="AJ159" i="2"/>
  <c r="AJ127" i="2"/>
  <c r="AJ95" i="2"/>
  <c r="AJ79" i="2"/>
  <c r="AJ15" i="2"/>
  <c r="AJ1554" i="2"/>
  <c r="AJ1580" i="2"/>
  <c r="AJ1519" i="2"/>
  <c r="AJ1442" i="2"/>
  <c r="AJ1492" i="2"/>
  <c r="AJ1414" i="2"/>
  <c r="AJ1220" i="2"/>
  <c r="AJ1189" i="2"/>
  <c r="AJ1370" i="2"/>
  <c r="AJ1152" i="2"/>
  <c r="AJ1145" i="2"/>
  <c r="AJ1085" i="2"/>
  <c r="AJ1053" i="2"/>
  <c r="AJ1101" i="2"/>
  <c r="AJ925" i="2"/>
  <c r="AJ873" i="2"/>
  <c r="AJ914" i="2"/>
  <c r="AJ820" i="2"/>
  <c r="AJ1116" i="2"/>
  <c r="AJ1006" i="2"/>
  <c r="AJ912" i="2"/>
  <c r="AJ872" i="2"/>
  <c r="AJ793" i="2"/>
  <c r="AJ881" i="2"/>
  <c r="AJ437" i="2"/>
  <c r="AJ405" i="2"/>
  <c r="AJ357" i="2"/>
  <c r="AJ723" i="2"/>
  <c r="AJ660" i="2"/>
  <c r="AJ685" i="2"/>
  <c r="AJ431" i="2"/>
  <c r="AJ333" i="2"/>
  <c r="AJ269" i="2"/>
  <c r="AJ245" i="2"/>
  <c r="AJ676" i="2"/>
  <c r="AJ552" i="2"/>
  <c r="AJ506" i="2"/>
  <c r="AJ450" i="2"/>
  <c r="AJ264" i="2"/>
  <c r="AJ222" i="2"/>
  <c r="AJ562" i="2"/>
  <c r="AJ488" i="2"/>
  <c r="AJ402" i="2"/>
  <c r="AJ242" i="2"/>
  <c r="AJ215" i="2"/>
  <c r="AJ1495" i="2"/>
  <c r="AJ1439" i="2"/>
  <c r="AJ1547" i="2"/>
  <c r="AJ1515" i="2"/>
  <c r="AJ1473" i="2"/>
  <c r="AJ1446" i="2"/>
  <c r="AJ1496" i="2"/>
  <c r="AJ1524" i="2"/>
  <c r="AJ1280" i="2"/>
  <c r="AJ1256" i="2"/>
  <c r="AJ1244" i="2"/>
  <c r="AJ1192" i="2"/>
  <c r="AJ1176" i="2"/>
  <c r="AJ1255" i="2"/>
  <c r="AJ1231" i="2"/>
  <c r="AJ1386" i="2"/>
  <c r="AJ1174" i="2"/>
  <c r="AJ1126" i="2"/>
  <c r="AJ924" i="2"/>
  <c r="AJ1137" i="2"/>
  <c r="AJ1117" i="2"/>
  <c r="AJ1028" i="2"/>
  <c r="AJ981" i="2"/>
  <c r="AJ964" i="2"/>
  <c r="AJ1098" i="2"/>
  <c r="AJ938" i="2"/>
  <c r="AJ918" i="2"/>
  <c r="AJ898" i="2"/>
  <c r="AJ880" i="2"/>
  <c r="AJ1096" i="2"/>
  <c r="AJ876" i="2"/>
  <c r="AJ865" i="2"/>
  <c r="AJ1074" i="2"/>
  <c r="AJ817" i="2"/>
  <c r="AJ856" i="2"/>
  <c r="AJ840" i="2"/>
  <c r="AJ808" i="2"/>
  <c r="AJ725" i="2"/>
  <c r="AJ704" i="2"/>
  <c r="AJ693" i="2"/>
  <c r="AJ679" i="2"/>
  <c r="AJ668" i="2"/>
  <c r="AJ604" i="2"/>
  <c r="AJ511" i="2"/>
  <c r="AJ495" i="2"/>
  <c r="AJ477" i="2"/>
  <c r="AJ375" i="2"/>
  <c r="AJ327" i="2"/>
  <c r="AJ263" i="2"/>
  <c r="AJ512" i="2"/>
  <c r="AJ712" i="2"/>
  <c r="AJ560" i="2"/>
  <c r="AJ490" i="2"/>
  <c r="AJ434" i="2"/>
  <c r="AJ386" i="2"/>
  <c r="AJ211" i="2"/>
  <c r="AJ626" i="2"/>
  <c r="AJ378" i="2"/>
  <c r="AJ210" i="2"/>
  <c r="AJ458" i="2"/>
  <c r="AJ217" i="2"/>
  <c r="AJ47" i="2"/>
  <c r="AJ31" i="2"/>
  <c r="N3" i="2"/>
  <c r="R3" i="2"/>
  <c r="N4" i="2"/>
  <c r="R4" i="2"/>
  <c r="N5" i="2"/>
  <c r="R5" i="2"/>
  <c r="N6" i="2"/>
  <c r="R6" i="2"/>
  <c r="N7" i="2"/>
  <c r="R7" i="2"/>
  <c r="N8" i="2"/>
  <c r="R8" i="2"/>
  <c r="N9" i="2"/>
  <c r="R9" i="2"/>
  <c r="N10" i="2"/>
  <c r="R10" i="2"/>
  <c r="N11" i="2"/>
  <c r="R11" i="2"/>
  <c r="N12" i="2"/>
  <c r="R12" i="2"/>
  <c r="N13" i="2"/>
  <c r="R13" i="2"/>
  <c r="N14" i="2"/>
  <c r="R14" i="2"/>
  <c r="N15" i="2"/>
  <c r="R15" i="2"/>
  <c r="N16" i="2"/>
  <c r="R16" i="2"/>
  <c r="N17" i="2"/>
  <c r="R17" i="2"/>
  <c r="N18" i="2"/>
  <c r="R18" i="2"/>
  <c r="N19" i="2"/>
  <c r="R19" i="2"/>
  <c r="N20" i="2"/>
  <c r="R20" i="2"/>
  <c r="N21" i="2"/>
  <c r="R21" i="2"/>
  <c r="N22" i="2"/>
  <c r="R22" i="2"/>
  <c r="N23" i="2"/>
  <c r="R23" i="2"/>
  <c r="N24" i="2"/>
  <c r="R24" i="2"/>
  <c r="N25" i="2"/>
  <c r="R25" i="2"/>
  <c r="N26" i="2"/>
  <c r="R26" i="2"/>
  <c r="N27" i="2"/>
  <c r="R27" i="2"/>
  <c r="N28" i="2"/>
  <c r="R28" i="2"/>
  <c r="N29" i="2"/>
  <c r="R29" i="2"/>
  <c r="N30" i="2"/>
  <c r="R30" i="2"/>
  <c r="N31" i="2"/>
  <c r="R31" i="2"/>
  <c r="N32" i="2"/>
  <c r="R32" i="2"/>
  <c r="N33" i="2"/>
  <c r="R33" i="2"/>
  <c r="N34" i="2"/>
  <c r="R34" i="2"/>
  <c r="N35" i="2"/>
  <c r="R35" i="2"/>
  <c r="N36" i="2"/>
  <c r="R36" i="2"/>
  <c r="N37" i="2"/>
  <c r="R37" i="2"/>
  <c r="N38" i="2"/>
  <c r="R38" i="2"/>
  <c r="N39" i="2"/>
  <c r="R39" i="2"/>
  <c r="N40" i="2"/>
  <c r="R40" i="2"/>
  <c r="N41" i="2"/>
  <c r="R41" i="2"/>
  <c r="N42" i="2"/>
  <c r="R42" i="2"/>
  <c r="N43" i="2"/>
  <c r="R43" i="2"/>
  <c r="N44" i="2"/>
  <c r="R44" i="2"/>
  <c r="N45" i="2"/>
  <c r="R45" i="2"/>
  <c r="N46" i="2"/>
  <c r="R46" i="2"/>
  <c r="N47" i="2"/>
  <c r="R47" i="2"/>
  <c r="N48" i="2"/>
  <c r="R48" i="2"/>
  <c r="N49" i="2"/>
  <c r="R49" i="2"/>
  <c r="N50" i="2"/>
  <c r="R50" i="2"/>
  <c r="N51" i="2"/>
  <c r="R51" i="2"/>
  <c r="N52" i="2"/>
  <c r="R52" i="2"/>
  <c r="N53" i="2"/>
  <c r="R53" i="2"/>
  <c r="N54" i="2"/>
  <c r="R54" i="2"/>
  <c r="N55" i="2"/>
  <c r="R55" i="2"/>
  <c r="N56" i="2"/>
  <c r="R56" i="2"/>
  <c r="N57" i="2"/>
  <c r="R57" i="2"/>
  <c r="N58" i="2"/>
  <c r="R58" i="2"/>
  <c r="N59" i="2"/>
  <c r="R59" i="2"/>
  <c r="N60" i="2"/>
  <c r="R60" i="2"/>
  <c r="N61" i="2"/>
  <c r="R61" i="2"/>
  <c r="N62" i="2"/>
  <c r="R62" i="2"/>
  <c r="N63" i="2"/>
  <c r="R63" i="2"/>
  <c r="N64" i="2"/>
  <c r="R64" i="2"/>
  <c r="N65" i="2"/>
  <c r="O3" i="2"/>
  <c r="S3" i="2"/>
  <c r="O4" i="2"/>
  <c r="S4" i="2"/>
  <c r="O5" i="2"/>
  <c r="S5" i="2"/>
  <c r="O6" i="2"/>
  <c r="S6" i="2"/>
  <c r="O7" i="2"/>
  <c r="S7" i="2"/>
  <c r="O8" i="2"/>
  <c r="S8" i="2"/>
  <c r="O9" i="2"/>
  <c r="S9" i="2"/>
  <c r="O10" i="2"/>
  <c r="S10" i="2"/>
  <c r="O11" i="2"/>
  <c r="S11" i="2"/>
  <c r="O12" i="2"/>
  <c r="S12" i="2"/>
  <c r="O13" i="2"/>
  <c r="S13" i="2"/>
  <c r="O14" i="2"/>
  <c r="S14" i="2"/>
  <c r="O15" i="2"/>
  <c r="S15" i="2"/>
  <c r="O16" i="2"/>
  <c r="S16" i="2"/>
  <c r="O17" i="2"/>
  <c r="S17" i="2"/>
  <c r="O18" i="2"/>
  <c r="S18" i="2"/>
  <c r="O19" i="2"/>
  <c r="S19" i="2"/>
  <c r="O20" i="2"/>
  <c r="S20" i="2"/>
  <c r="O21" i="2"/>
  <c r="S21" i="2"/>
  <c r="O22" i="2"/>
  <c r="S22" i="2"/>
  <c r="O23" i="2"/>
  <c r="S23" i="2"/>
  <c r="O24" i="2"/>
  <c r="S24" i="2"/>
  <c r="O25" i="2"/>
  <c r="S25" i="2"/>
  <c r="O26" i="2"/>
  <c r="S26" i="2"/>
  <c r="O27" i="2"/>
  <c r="S27" i="2"/>
  <c r="O28" i="2"/>
  <c r="S28" i="2"/>
  <c r="O29" i="2"/>
  <c r="S29" i="2"/>
  <c r="O30" i="2"/>
  <c r="S30" i="2"/>
  <c r="O31" i="2"/>
  <c r="S31" i="2"/>
  <c r="O32" i="2"/>
  <c r="S32" i="2"/>
  <c r="O33" i="2"/>
  <c r="S33" i="2"/>
  <c r="O34" i="2"/>
  <c r="S34" i="2"/>
  <c r="O35" i="2"/>
  <c r="S35" i="2"/>
  <c r="O36" i="2"/>
  <c r="S36" i="2"/>
  <c r="O37" i="2"/>
  <c r="S37" i="2"/>
  <c r="O38" i="2"/>
  <c r="S38" i="2"/>
  <c r="O39" i="2"/>
  <c r="S39" i="2"/>
  <c r="O40" i="2"/>
  <c r="S40" i="2"/>
  <c r="O41" i="2"/>
  <c r="S41" i="2"/>
  <c r="O42" i="2"/>
  <c r="S42" i="2"/>
  <c r="O43" i="2"/>
  <c r="S43" i="2"/>
  <c r="O44" i="2"/>
  <c r="S44" i="2"/>
  <c r="O45" i="2"/>
  <c r="S45" i="2"/>
  <c r="O46" i="2"/>
  <c r="S46" i="2"/>
  <c r="O47" i="2"/>
  <c r="S47" i="2"/>
  <c r="O48" i="2"/>
  <c r="S48" i="2"/>
  <c r="O49" i="2"/>
  <c r="S49" i="2"/>
  <c r="O50" i="2"/>
  <c r="S50" i="2"/>
  <c r="O51" i="2"/>
  <c r="S51" i="2"/>
  <c r="O52" i="2"/>
  <c r="S52" i="2"/>
  <c r="O53" i="2"/>
  <c r="S53" i="2"/>
  <c r="O54" i="2"/>
  <c r="S54" i="2"/>
  <c r="O55" i="2"/>
  <c r="S55" i="2"/>
  <c r="O56" i="2"/>
  <c r="S56" i="2"/>
  <c r="O57" i="2"/>
  <c r="S57" i="2"/>
  <c r="O58" i="2"/>
  <c r="S58" i="2"/>
  <c r="O59" i="2"/>
  <c r="S59" i="2"/>
  <c r="O60" i="2"/>
  <c r="S60" i="2"/>
  <c r="O61" i="2"/>
  <c r="S61" i="2"/>
  <c r="O62" i="2"/>
  <c r="S62" i="2"/>
  <c r="O63" i="2"/>
  <c r="S63" i="2"/>
  <c r="O64" i="2"/>
  <c r="S64" i="2"/>
  <c r="O65" i="2"/>
  <c r="P3" i="2"/>
  <c r="T3" i="2"/>
  <c r="P4" i="2"/>
  <c r="T4" i="2"/>
  <c r="P5" i="2"/>
  <c r="T5" i="2"/>
  <c r="P6" i="2"/>
  <c r="T6" i="2"/>
  <c r="P7" i="2"/>
  <c r="T7" i="2"/>
  <c r="P8" i="2"/>
  <c r="T8" i="2"/>
  <c r="P9" i="2"/>
  <c r="T9" i="2"/>
  <c r="P10" i="2"/>
  <c r="T10" i="2"/>
  <c r="P11" i="2"/>
  <c r="T11" i="2"/>
  <c r="P12" i="2"/>
  <c r="T12" i="2"/>
  <c r="P13" i="2"/>
  <c r="T13" i="2"/>
  <c r="P14" i="2"/>
  <c r="T14" i="2"/>
  <c r="P15" i="2"/>
  <c r="T15" i="2"/>
  <c r="P16" i="2"/>
  <c r="T16" i="2"/>
  <c r="P17" i="2"/>
  <c r="T17" i="2"/>
  <c r="P18" i="2"/>
  <c r="T18" i="2"/>
  <c r="P19" i="2"/>
  <c r="T19" i="2"/>
  <c r="P20" i="2"/>
  <c r="T20" i="2"/>
  <c r="P21" i="2"/>
  <c r="T21" i="2"/>
  <c r="P22" i="2"/>
  <c r="T22" i="2"/>
  <c r="P23" i="2"/>
  <c r="T23" i="2"/>
  <c r="P24" i="2"/>
  <c r="T24" i="2"/>
  <c r="P25" i="2"/>
  <c r="T25" i="2"/>
  <c r="P26" i="2"/>
  <c r="T26" i="2"/>
  <c r="P27" i="2"/>
  <c r="T27" i="2"/>
  <c r="P28" i="2"/>
  <c r="T28" i="2"/>
  <c r="P29" i="2"/>
  <c r="T29" i="2"/>
  <c r="P30" i="2"/>
  <c r="T30" i="2"/>
  <c r="P31" i="2"/>
  <c r="T31" i="2"/>
  <c r="P32" i="2"/>
  <c r="T32" i="2"/>
  <c r="P33" i="2"/>
  <c r="T33" i="2"/>
  <c r="P34" i="2"/>
  <c r="T34" i="2"/>
  <c r="P35" i="2"/>
  <c r="T35" i="2"/>
  <c r="P36" i="2"/>
  <c r="T36" i="2"/>
  <c r="P37" i="2"/>
  <c r="T37" i="2"/>
  <c r="P38" i="2"/>
  <c r="T38" i="2"/>
  <c r="P39" i="2"/>
  <c r="T39" i="2"/>
  <c r="P40" i="2"/>
  <c r="T40" i="2"/>
  <c r="P41" i="2"/>
  <c r="T41" i="2"/>
  <c r="P42" i="2"/>
  <c r="T42" i="2"/>
  <c r="P43" i="2"/>
  <c r="T43" i="2"/>
  <c r="P44" i="2"/>
  <c r="T44" i="2"/>
  <c r="P45" i="2"/>
  <c r="T45" i="2"/>
  <c r="P46" i="2"/>
  <c r="T46" i="2"/>
  <c r="P47" i="2"/>
  <c r="T47" i="2"/>
  <c r="P48" i="2"/>
  <c r="T48" i="2"/>
  <c r="P49" i="2"/>
  <c r="T49" i="2"/>
  <c r="P50" i="2"/>
  <c r="T50" i="2"/>
  <c r="P51" i="2"/>
  <c r="T51" i="2"/>
  <c r="P52" i="2"/>
  <c r="T52" i="2"/>
  <c r="P53" i="2"/>
  <c r="T53" i="2"/>
  <c r="P54" i="2"/>
  <c r="T54" i="2"/>
  <c r="P55" i="2"/>
  <c r="T55" i="2"/>
  <c r="P56" i="2"/>
  <c r="T56" i="2"/>
  <c r="P57" i="2"/>
  <c r="T57" i="2"/>
  <c r="P58" i="2"/>
  <c r="T58" i="2"/>
  <c r="P59" i="2"/>
  <c r="T59" i="2"/>
  <c r="P60" i="2"/>
  <c r="T60" i="2"/>
  <c r="P61" i="2"/>
  <c r="T61" i="2"/>
  <c r="P62" i="2"/>
  <c r="T62" i="2"/>
  <c r="P63" i="2"/>
  <c r="T63" i="2"/>
  <c r="P64" i="2"/>
  <c r="T64" i="2"/>
  <c r="P65" i="2"/>
  <c r="T65" i="2"/>
  <c r="P66" i="2"/>
  <c r="Q3" i="2"/>
  <c r="Q5" i="2"/>
  <c r="Q7" i="2"/>
  <c r="Q9" i="2"/>
  <c r="Q11" i="2"/>
  <c r="Q13" i="2"/>
  <c r="Q15" i="2"/>
  <c r="Q17" i="2"/>
  <c r="Q19" i="2"/>
  <c r="Q21" i="2"/>
  <c r="Q23" i="2"/>
  <c r="Q25" i="2"/>
  <c r="Q27" i="2"/>
  <c r="Q29" i="2"/>
  <c r="Q31" i="2"/>
  <c r="Q33" i="2"/>
  <c r="Q35" i="2"/>
  <c r="Q37" i="2"/>
  <c r="Q39" i="2"/>
  <c r="Q41" i="2"/>
  <c r="Q43" i="2"/>
  <c r="Q45" i="2"/>
  <c r="Q47" i="2"/>
  <c r="Q49" i="2"/>
  <c r="Q51" i="2"/>
  <c r="Q53" i="2"/>
  <c r="Q55" i="2"/>
  <c r="Q57" i="2"/>
  <c r="Q59" i="2"/>
  <c r="Q61" i="2"/>
  <c r="Q63" i="2"/>
  <c r="Q65" i="2"/>
  <c r="N66" i="2"/>
  <c r="S66" i="2"/>
  <c r="O67" i="2"/>
  <c r="S67" i="2"/>
  <c r="O68" i="2"/>
  <c r="S68" i="2"/>
  <c r="O69" i="2"/>
  <c r="S69" i="2"/>
  <c r="O70" i="2"/>
  <c r="S70" i="2"/>
  <c r="O71" i="2"/>
  <c r="S71" i="2"/>
  <c r="O72" i="2"/>
  <c r="S72" i="2"/>
  <c r="O73" i="2"/>
  <c r="S73" i="2"/>
  <c r="O74" i="2"/>
  <c r="S74" i="2"/>
  <c r="O75" i="2"/>
  <c r="S75" i="2"/>
  <c r="O76" i="2"/>
  <c r="S76" i="2"/>
  <c r="O77" i="2"/>
  <c r="S77" i="2"/>
  <c r="O78" i="2"/>
  <c r="S78" i="2"/>
  <c r="O79" i="2"/>
  <c r="S79" i="2"/>
  <c r="O80" i="2"/>
  <c r="S80" i="2"/>
  <c r="O81" i="2"/>
  <c r="S81" i="2"/>
  <c r="O82" i="2"/>
  <c r="S82" i="2"/>
  <c r="O83" i="2"/>
  <c r="S83" i="2"/>
  <c r="O84" i="2"/>
  <c r="S84" i="2"/>
  <c r="O85" i="2"/>
  <c r="S85" i="2"/>
  <c r="O86" i="2"/>
  <c r="S86" i="2"/>
  <c r="O87" i="2"/>
  <c r="S87" i="2"/>
  <c r="O88" i="2"/>
  <c r="S88" i="2"/>
  <c r="O89" i="2"/>
  <c r="S89" i="2"/>
  <c r="O90" i="2"/>
  <c r="S90" i="2"/>
  <c r="O91" i="2"/>
  <c r="S91" i="2"/>
  <c r="O92" i="2"/>
  <c r="S92" i="2"/>
  <c r="O93" i="2"/>
  <c r="S93" i="2"/>
  <c r="O94" i="2"/>
  <c r="S94" i="2"/>
  <c r="O95" i="2"/>
  <c r="S95" i="2"/>
  <c r="O96" i="2"/>
  <c r="S96" i="2"/>
  <c r="O97" i="2"/>
  <c r="S97" i="2"/>
  <c r="O98" i="2"/>
  <c r="S98" i="2"/>
  <c r="O99" i="2"/>
  <c r="S99" i="2"/>
  <c r="O100" i="2"/>
  <c r="S100" i="2"/>
  <c r="O101" i="2"/>
  <c r="S101" i="2"/>
  <c r="O102" i="2"/>
  <c r="S102" i="2"/>
  <c r="O103" i="2"/>
  <c r="S103" i="2"/>
  <c r="O104" i="2"/>
  <c r="S104" i="2"/>
  <c r="O105" i="2"/>
  <c r="S105" i="2"/>
  <c r="O106" i="2"/>
  <c r="S106" i="2"/>
  <c r="O107" i="2"/>
  <c r="S107" i="2"/>
  <c r="O108" i="2"/>
  <c r="S108" i="2"/>
  <c r="O109" i="2"/>
  <c r="S109" i="2"/>
  <c r="O110" i="2"/>
  <c r="S110" i="2"/>
  <c r="O111" i="2"/>
  <c r="S111" i="2"/>
  <c r="O112" i="2"/>
  <c r="S112" i="2"/>
  <c r="U3" i="2"/>
  <c r="U5" i="2"/>
  <c r="U7" i="2"/>
  <c r="U9" i="2"/>
  <c r="U11" i="2"/>
  <c r="U13" i="2"/>
  <c r="U15" i="2"/>
  <c r="U17" i="2"/>
  <c r="U19" i="2"/>
  <c r="U21" i="2"/>
  <c r="U23" i="2"/>
  <c r="U25" i="2"/>
  <c r="U27" i="2"/>
  <c r="U29" i="2"/>
  <c r="U31" i="2"/>
  <c r="U33" i="2"/>
  <c r="U35" i="2"/>
  <c r="U37" i="2"/>
  <c r="U39" i="2"/>
  <c r="U41" i="2"/>
  <c r="U43" i="2"/>
  <c r="U45" i="2"/>
  <c r="U47" i="2"/>
  <c r="U49" i="2"/>
  <c r="U51" i="2"/>
  <c r="U53" i="2"/>
  <c r="U55" i="2"/>
  <c r="U57" i="2"/>
  <c r="U59" i="2"/>
  <c r="U61" i="2"/>
  <c r="U63" i="2"/>
  <c r="R65" i="2"/>
  <c r="O66" i="2"/>
  <c r="T66" i="2"/>
  <c r="P67" i="2"/>
  <c r="T67" i="2"/>
  <c r="P68" i="2"/>
  <c r="T68" i="2"/>
  <c r="P69" i="2"/>
  <c r="T69" i="2"/>
  <c r="P70" i="2"/>
  <c r="T70" i="2"/>
  <c r="P71" i="2"/>
  <c r="T71" i="2"/>
  <c r="P72" i="2"/>
  <c r="T72" i="2"/>
  <c r="P73" i="2"/>
  <c r="T73" i="2"/>
  <c r="P74" i="2"/>
  <c r="T74" i="2"/>
  <c r="P75" i="2"/>
  <c r="T75" i="2"/>
  <c r="P76" i="2"/>
  <c r="T76" i="2"/>
  <c r="P77" i="2"/>
  <c r="T77" i="2"/>
  <c r="P78" i="2"/>
  <c r="T78" i="2"/>
  <c r="P79" i="2"/>
  <c r="T79" i="2"/>
  <c r="P80" i="2"/>
  <c r="T80" i="2"/>
  <c r="P81" i="2"/>
  <c r="T81" i="2"/>
  <c r="P82" i="2"/>
  <c r="T82" i="2"/>
  <c r="P83" i="2"/>
  <c r="T83" i="2"/>
  <c r="P84" i="2"/>
  <c r="T84" i="2"/>
  <c r="P85" i="2"/>
  <c r="T85" i="2"/>
  <c r="P86" i="2"/>
  <c r="T86" i="2"/>
  <c r="P87" i="2"/>
  <c r="T87" i="2"/>
  <c r="P88" i="2"/>
  <c r="T88" i="2"/>
  <c r="P89" i="2"/>
  <c r="T89" i="2"/>
  <c r="P90" i="2"/>
  <c r="T90" i="2"/>
  <c r="P91" i="2"/>
  <c r="T91" i="2"/>
  <c r="P92" i="2"/>
  <c r="T92" i="2"/>
  <c r="P93" i="2"/>
  <c r="T93" i="2"/>
  <c r="P94" i="2"/>
  <c r="T94" i="2"/>
  <c r="P95" i="2"/>
  <c r="T95" i="2"/>
  <c r="P96" i="2"/>
  <c r="T96" i="2"/>
  <c r="P97" i="2"/>
  <c r="T97" i="2"/>
  <c r="P98" i="2"/>
  <c r="T98" i="2"/>
  <c r="P99" i="2"/>
  <c r="T99" i="2"/>
  <c r="P100" i="2"/>
  <c r="T100" i="2"/>
  <c r="P101" i="2"/>
  <c r="T101" i="2"/>
  <c r="P102" i="2"/>
  <c r="T102" i="2"/>
  <c r="P103" i="2"/>
  <c r="T103" i="2"/>
  <c r="P104" i="2"/>
  <c r="T104" i="2"/>
  <c r="P105" i="2"/>
  <c r="T105" i="2"/>
  <c r="P106" i="2"/>
  <c r="T106" i="2"/>
  <c r="P107" i="2"/>
  <c r="T107" i="2"/>
  <c r="P108" i="2"/>
  <c r="T108" i="2"/>
  <c r="P109" i="2"/>
  <c r="T109" i="2"/>
  <c r="P110" i="2"/>
  <c r="T110" i="2"/>
  <c r="P111" i="2"/>
  <c r="T111" i="2"/>
  <c r="P112" i="2"/>
  <c r="T112" i="2"/>
  <c r="P113" i="2"/>
  <c r="Q4" i="2"/>
  <c r="Q6" i="2"/>
  <c r="Q8" i="2"/>
  <c r="Q10" i="2"/>
  <c r="Q12" i="2"/>
  <c r="Q14" i="2"/>
  <c r="Q16" i="2"/>
  <c r="Q18" i="2"/>
  <c r="Q20" i="2"/>
  <c r="Q22" i="2"/>
  <c r="Q24" i="2"/>
  <c r="Q26" i="2"/>
  <c r="Q28" i="2"/>
  <c r="Q30" i="2"/>
  <c r="Q32" i="2"/>
  <c r="Q34" i="2"/>
  <c r="Q36" i="2"/>
  <c r="Q38" i="2"/>
  <c r="Q40" i="2"/>
  <c r="Q42" i="2"/>
  <c r="Q44" i="2"/>
  <c r="Q46" i="2"/>
  <c r="Q48" i="2"/>
  <c r="Q50" i="2"/>
  <c r="Q52" i="2"/>
  <c r="Q54" i="2"/>
  <c r="Q56" i="2"/>
  <c r="Q58" i="2"/>
  <c r="Q60" i="2"/>
  <c r="Q62" i="2"/>
  <c r="Q64" i="2"/>
  <c r="S65" i="2"/>
  <c r="Q66" i="2"/>
  <c r="U66" i="2"/>
  <c r="Q67" i="2"/>
  <c r="U67" i="2"/>
  <c r="Q68" i="2"/>
  <c r="U68" i="2"/>
  <c r="Q69" i="2"/>
  <c r="U69" i="2"/>
  <c r="Q70" i="2"/>
  <c r="U70" i="2"/>
  <c r="Q71" i="2"/>
  <c r="U71" i="2"/>
  <c r="Q72" i="2"/>
  <c r="U72" i="2"/>
  <c r="Q73" i="2"/>
  <c r="U73" i="2"/>
  <c r="Q74" i="2"/>
  <c r="U74" i="2"/>
  <c r="Q75" i="2"/>
  <c r="U75" i="2"/>
  <c r="Q76" i="2"/>
  <c r="U76" i="2"/>
  <c r="Q77" i="2"/>
  <c r="U77" i="2"/>
  <c r="Q78" i="2"/>
  <c r="U78" i="2"/>
  <c r="Q79" i="2"/>
  <c r="U79" i="2"/>
  <c r="Q80" i="2"/>
  <c r="U80" i="2"/>
  <c r="Q81" i="2"/>
  <c r="U81" i="2"/>
  <c r="Q82" i="2"/>
  <c r="U82" i="2"/>
  <c r="Q83" i="2"/>
  <c r="U83" i="2"/>
  <c r="Q84" i="2"/>
  <c r="U84" i="2"/>
  <c r="Q85" i="2"/>
  <c r="U85" i="2"/>
  <c r="Q86" i="2"/>
  <c r="U86" i="2"/>
  <c r="Q87" i="2"/>
  <c r="U87" i="2"/>
  <c r="Q88" i="2"/>
  <c r="U88" i="2"/>
  <c r="Q89" i="2"/>
  <c r="U89" i="2"/>
  <c r="Q90" i="2"/>
  <c r="U90" i="2"/>
  <c r="Q91" i="2"/>
  <c r="U91" i="2"/>
  <c r="Q92" i="2"/>
  <c r="U92" i="2"/>
  <c r="Q93" i="2"/>
  <c r="U93" i="2"/>
  <c r="Q94" i="2"/>
  <c r="U94" i="2"/>
  <c r="Q95" i="2"/>
  <c r="U95" i="2"/>
  <c r="Q96" i="2"/>
  <c r="U96" i="2"/>
  <c r="Q97" i="2"/>
  <c r="U97" i="2"/>
  <c r="Q98" i="2"/>
  <c r="U98" i="2"/>
  <c r="Q99" i="2"/>
  <c r="U99" i="2"/>
  <c r="Q100" i="2"/>
  <c r="U100" i="2"/>
  <c r="Q101" i="2"/>
  <c r="U101" i="2"/>
  <c r="Q102" i="2"/>
  <c r="U102" i="2"/>
  <c r="Q103" i="2"/>
  <c r="U103" i="2"/>
  <c r="Q104" i="2"/>
  <c r="U104" i="2"/>
  <c r="Q105" i="2"/>
  <c r="U105" i="2"/>
  <c r="Q106" i="2"/>
  <c r="U106" i="2"/>
  <c r="Q107" i="2"/>
  <c r="U107" i="2"/>
  <c r="Q108" i="2"/>
  <c r="U108" i="2"/>
  <c r="Q109" i="2"/>
  <c r="U109" i="2"/>
  <c r="Q110" i="2"/>
  <c r="U110" i="2"/>
  <c r="Q111" i="2"/>
  <c r="U111" i="2"/>
  <c r="Q112" i="2"/>
  <c r="U112" i="2"/>
  <c r="Q113" i="2"/>
  <c r="U113" i="2"/>
  <c r="Q114" i="2"/>
  <c r="U114" i="2"/>
  <c r="Q115" i="2"/>
  <c r="U115" i="2"/>
  <c r="Q116" i="2"/>
  <c r="U116" i="2"/>
  <c r="Q117" i="2"/>
  <c r="U117" i="2"/>
  <c r="Q118" i="2"/>
  <c r="U118" i="2"/>
  <c r="Q119" i="2"/>
  <c r="U119" i="2"/>
  <c r="Q120" i="2"/>
  <c r="U120" i="2"/>
  <c r="Q121" i="2"/>
  <c r="U121" i="2"/>
  <c r="Q122" i="2"/>
  <c r="U122" i="2"/>
  <c r="Q123" i="2"/>
  <c r="U123" i="2"/>
  <c r="Q124" i="2"/>
  <c r="U124" i="2"/>
  <c r="Q125" i="2"/>
  <c r="U125" i="2"/>
  <c r="Q126" i="2"/>
  <c r="U126" i="2"/>
  <c r="Q127" i="2"/>
  <c r="U127" i="2"/>
  <c r="Q128" i="2"/>
  <c r="U128" i="2"/>
  <c r="Q129" i="2"/>
  <c r="U129" i="2"/>
  <c r="Q130" i="2"/>
  <c r="U130" i="2"/>
  <c r="Q131" i="2"/>
  <c r="U131" i="2"/>
  <c r="Q132" i="2"/>
  <c r="U132" i="2"/>
  <c r="Q133" i="2"/>
  <c r="U133" i="2"/>
  <c r="Q134" i="2"/>
  <c r="U134" i="2"/>
  <c r="Q135" i="2"/>
  <c r="U135" i="2"/>
  <c r="Q136" i="2"/>
  <c r="U136" i="2"/>
  <c r="Q137" i="2"/>
  <c r="U137" i="2"/>
  <c r="Q138" i="2"/>
  <c r="U138" i="2"/>
  <c r="Q139" i="2"/>
  <c r="U139" i="2"/>
  <c r="Q140" i="2"/>
  <c r="U140" i="2"/>
  <c r="Q141" i="2"/>
  <c r="U141" i="2"/>
  <c r="Q142" i="2"/>
  <c r="U4" i="2"/>
  <c r="U12" i="2"/>
  <c r="U20" i="2"/>
  <c r="U28" i="2"/>
  <c r="U36" i="2"/>
  <c r="U44" i="2"/>
  <c r="U52" i="2"/>
  <c r="U60" i="2"/>
  <c r="R66" i="2"/>
  <c r="R68" i="2"/>
  <c r="R70" i="2"/>
  <c r="R72" i="2"/>
  <c r="R74" i="2"/>
  <c r="R76" i="2"/>
  <c r="R78" i="2"/>
  <c r="R80" i="2"/>
  <c r="R82" i="2"/>
  <c r="R84" i="2"/>
  <c r="R86" i="2"/>
  <c r="R88" i="2"/>
  <c r="R90" i="2"/>
  <c r="R92" i="2"/>
  <c r="R94" i="2"/>
  <c r="R96" i="2"/>
  <c r="R98" i="2"/>
  <c r="R100" i="2"/>
  <c r="R102" i="2"/>
  <c r="R104" i="2"/>
  <c r="R106" i="2"/>
  <c r="R108" i="2"/>
  <c r="R110" i="2"/>
  <c r="R112" i="2"/>
  <c r="S113" i="2"/>
  <c r="P114" i="2"/>
  <c r="N115" i="2"/>
  <c r="S115" i="2"/>
  <c r="P116" i="2"/>
  <c r="N117" i="2"/>
  <c r="S117" i="2"/>
  <c r="P118" i="2"/>
  <c r="N119" i="2"/>
  <c r="S119" i="2"/>
  <c r="P120" i="2"/>
  <c r="N121" i="2"/>
  <c r="S121" i="2"/>
  <c r="P122" i="2"/>
  <c r="N123" i="2"/>
  <c r="S123" i="2"/>
  <c r="P124" i="2"/>
  <c r="N125" i="2"/>
  <c r="S125" i="2"/>
  <c r="P126" i="2"/>
  <c r="N127" i="2"/>
  <c r="S127" i="2"/>
  <c r="P128" i="2"/>
  <c r="N129" i="2"/>
  <c r="S129" i="2"/>
  <c r="P130" i="2"/>
  <c r="N131" i="2"/>
  <c r="S131" i="2"/>
  <c r="P132" i="2"/>
  <c r="N133" i="2"/>
  <c r="S133" i="2"/>
  <c r="P134" i="2"/>
  <c r="N135" i="2"/>
  <c r="S135" i="2"/>
  <c r="P136" i="2"/>
  <c r="N137" i="2"/>
  <c r="S137" i="2"/>
  <c r="P138" i="2"/>
  <c r="N139" i="2"/>
  <c r="S139" i="2"/>
  <c r="P140" i="2"/>
  <c r="N141" i="2"/>
  <c r="S141" i="2"/>
  <c r="P142" i="2"/>
  <c r="U142" i="2"/>
  <c r="Q143" i="2"/>
  <c r="U143" i="2"/>
  <c r="Q144" i="2"/>
  <c r="U144" i="2"/>
  <c r="Q145" i="2"/>
  <c r="U145" i="2"/>
  <c r="Q146" i="2"/>
  <c r="U146" i="2"/>
  <c r="Q147" i="2"/>
  <c r="U147" i="2"/>
  <c r="Q148" i="2"/>
  <c r="U148" i="2"/>
  <c r="Q149" i="2"/>
  <c r="U149" i="2"/>
  <c r="Q150" i="2"/>
  <c r="U150" i="2"/>
  <c r="Q151" i="2"/>
  <c r="U151" i="2"/>
  <c r="Q152" i="2"/>
  <c r="U152" i="2"/>
  <c r="Q153" i="2"/>
  <c r="U153" i="2"/>
  <c r="Q154" i="2"/>
  <c r="U154" i="2"/>
  <c r="Q155" i="2"/>
  <c r="U155" i="2"/>
  <c r="Q156" i="2"/>
  <c r="U156" i="2"/>
  <c r="Q157" i="2"/>
  <c r="U157" i="2"/>
  <c r="Q158" i="2"/>
  <c r="U158" i="2"/>
  <c r="Q159" i="2"/>
  <c r="U159" i="2"/>
  <c r="Q160" i="2"/>
  <c r="U160" i="2"/>
  <c r="Q161" i="2"/>
  <c r="U161" i="2"/>
  <c r="Q162" i="2"/>
  <c r="U162" i="2"/>
  <c r="Q163" i="2"/>
  <c r="U163" i="2"/>
  <c r="Q164" i="2"/>
  <c r="U164" i="2"/>
  <c r="Q165" i="2"/>
  <c r="U165" i="2"/>
  <c r="Q166" i="2"/>
  <c r="U166" i="2"/>
  <c r="Q167" i="2"/>
  <c r="U167" i="2"/>
  <c r="U6" i="2"/>
  <c r="U14" i="2"/>
  <c r="U22" i="2"/>
  <c r="U30" i="2"/>
  <c r="U38" i="2"/>
  <c r="U46" i="2"/>
  <c r="U54" i="2"/>
  <c r="U62" i="2"/>
  <c r="N67" i="2"/>
  <c r="N69" i="2"/>
  <c r="N71" i="2"/>
  <c r="N73" i="2"/>
  <c r="N75" i="2"/>
  <c r="N77" i="2"/>
  <c r="N79" i="2"/>
  <c r="N81" i="2"/>
  <c r="N83" i="2"/>
  <c r="N85" i="2"/>
  <c r="N87" i="2"/>
  <c r="N89" i="2"/>
  <c r="N91" i="2"/>
  <c r="N93" i="2"/>
  <c r="N95" i="2"/>
  <c r="N97" i="2"/>
  <c r="N99" i="2"/>
  <c r="N101" i="2"/>
  <c r="N103" i="2"/>
  <c r="N105" i="2"/>
  <c r="N107" i="2"/>
  <c r="N109" i="2"/>
  <c r="N111" i="2"/>
  <c r="N113" i="2"/>
  <c r="T113" i="2"/>
  <c r="R114" i="2"/>
  <c r="O115" i="2"/>
  <c r="T115" i="2"/>
  <c r="R116" i="2"/>
  <c r="O117" i="2"/>
  <c r="T117" i="2"/>
  <c r="R118" i="2"/>
  <c r="O119" i="2"/>
  <c r="T119" i="2"/>
  <c r="R120" i="2"/>
  <c r="O121" i="2"/>
  <c r="T121" i="2"/>
  <c r="R122" i="2"/>
  <c r="O123" i="2"/>
  <c r="T123" i="2"/>
  <c r="R124" i="2"/>
  <c r="O125" i="2"/>
  <c r="T125" i="2"/>
  <c r="R126" i="2"/>
  <c r="O127" i="2"/>
  <c r="T127" i="2"/>
  <c r="R128" i="2"/>
  <c r="O129" i="2"/>
  <c r="T129" i="2"/>
  <c r="R130" i="2"/>
  <c r="O131" i="2"/>
  <c r="T131" i="2"/>
  <c r="R132" i="2"/>
  <c r="O133" i="2"/>
  <c r="T133" i="2"/>
  <c r="R134" i="2"/>
  <c r="O135" i="2"/>
  <c r="T135" i="2"/>
  <c r="R136" i="2"/>
  <c r="O137" i="2"/>
  <c r="T137" i="2"/>
  <c r="R138" i="2"/>
  <c r="O139" i="2"/>
  <c r="T139" i="2"/>
  <c r="R140" i="2"/>
  <c r="O141" i="2"/>
  <c r="T141" i="2"/>
  <c r="R142" i="2"/>
  <c r="N143" i="2"/>
  <c r="R143" i="2"/>
  <c r="N144" i="2"/>
  <c r="R144" i="2"/>
  <c r="N145" i="2"/>
  <c r="R145" i="2"/>
  <c r="N146" i="2"/>
  <c r="R146" i="2"/>
  <c r="N147" i="2"/>
  <c r="R147" i="2"/>
  <c r="N148" i="2"/>
  <c r="R148" i="2"/>
  <c r="N149" i="2"/>
  <c r="R149" i="2"/>
  <c r="N150" i="2"/>
  <c r="R150" i="2"/>
  <c r="N151" i="2"/>
  <c r="R151" i="2"/>
  <c r="N152" i="2"/>
  <c r="R152" i="2"/>
  <c r="N153" i="2"/>
  <c r="R153" i="2"/>
  <c r="N154" i="2"/>
  <c r="R154" i="2"/>
  <c r="N155" i="2"/>
  <c r="R155" i="2"/>
  <c r="N156" i="2"/>
  <c r="R156" i="2"/>
  <c r="N157" i="2"/>
  <c r="R157" i="2"/>
  <c r="N158" i="2"/>
  <c r="R158" i="2"/>
  <c r="N159" i="2"/>
  <c r="R159" i="2"/>
  <c r="N160" i="2"/>
  <c r="R160" i="2"/>
  <c r="N161" i="2"/>
  <c r="R161" i="2"/>
  <c r="N162" i="2"/>
  <c r="R162" i="2"/>
  <c r="N163" i="2"/>
  <c r="R163" i="2"/>
  <c r="N164" i="2"/>
  <c r="R164" i="2"/>
  <c r="N165" i="2"/>
  <c r="R165" i="2"/>
  <c r="N166" i="2"/>
  <c r="R166" i="2"/>
  <c r="N167" i="2"/>
  <c r="R167" i="2"/>
  <c r="N168" i="2"/>
  <c r="U8" i="2"/>
  <c r="U16" i="2"/>
  <c r="U24" i="2"/>
  <c r="U32" i="2"/>
  <c r="U40" i="2"/>
  <c r="U48" i="2"/>
  <c r="U56" i="2"/>
  <c r="U64" i="2"/>
  <c r="R67" i="2"/>
  <c r="R69" i="2"/>
  <c r="R71" i="2"/>
  <c r="R73" i="2"/>
  <c r="R75" i="2"/>
  <c r="R77" i="2"/>
  <c r="R79" i="2"/>
  <c r="R81" i="2"/>
  <c r="R83" i="2"/>
  <c r="R85" i="2"/>
  <c r="R87" i="2"/>
  <c r="R89" i="2"/>
  <c r="R91" i="2"/>
  <c r="R93" i="2"/>
  <c r="R95" i="2"/>
  <c r="R97" i="2"/>
  <c r="R99" i="2"/>
  <c r="R101" i="2"/>
  <c r="R103" i="2"/>
  <c r="R105" i="2"/>
  <c r="R107" i="2"/>
  <c r="R109" i="2"/>
  <c r="R111" i="2"/>
  <c r="O113" i="2"/>
  <c r="N114" i="2"/>
  <c r="S114" i="2"/>
  <c r="P115" i="2"/>
  <c r="N116" i="2"/>
  <c r="S116" i="2"/>
  <c r="P117" i="2"/>
  <c r="N118" i="2"/>
  <c r="S118" i="2"/>
  <c r="P119" i="2"/>
  <c r="N120" i="2"/>
  <c r="S120" i="2"/>
  <c r="P121" i="2"/>
  <c r="N122" i="2"/>
  <c r="S122" i="2"/>
  <c r="P123" i="2"/>
  <c r="N124" i="2"/>
  <c r="S124" i="2"/>
  <c r="P125" i="2"/>
  <c r="N126" i="2"/>
  <c r="S126" i="2"/>
  <c r="P127" i="2"/>
  <c r="N128" i="2"/>
  <c r="S128" i="2"/>
  <c r="P129" i="2"/>
  <c r="N130" i="2"/>
  <c r="S130" i="2"/>
  <c r="P131" i="2"/>
  <c r="N132" i="2"/>
  <c r="S132" i="2"/>
  <c r="P133" i="2"/>
  <c r="N134" i="2"/>
  <c r="S134" i="2"/>
  <c r="P135" i="2"/>
  <c r="N136" i="2"/>
  <c r="S136" i="2"/>
  <c r="P137" i="2"/>
  <c r="N138" i="2"/>
  <c r="S138" i="2"/>
  <c r="P139" i="2"/>
  <c r="N140" i="2"/>
  <c r="S140" i="2"/>
  <c r="P141" i="2"/>
  <c r="N142" i="2"/>
  <c r="S142" i="2"/>
  <c r="O143" i="2"/>
  <c r="S143" i="2"/>
  <c r="O144" i="2"/>
  <c r="S144" i="2"/>
  <c r="O145" i="2"/>
  <c r="S145" i="2"/>
  <c r="O146" i="2"/>
  <c r="S146" i="2"/>
  <c r="O147" i="2"/>
  <c r="S147" i="2"/>
  <c r="O148" i="2"/>
  <c r="S148" i="2"/>
  <c r="O149" i="2"/>
  <c r="S149" i="2"/>
  <c r="O150" i="2"/>
  <c r="S150" i="2"/>
  <c r="O151" i="2"/>
  <c r="S151" i="2"/>
  <c r="O152" i="2"/>
  <c r="S152" i="2"/>
  <c r="O153" i="2"/>
  <c r="S153" i="2"/>
  <c r="O154" i="2"/>
  <c r="S154" i="2"/>
  <c r="O155" i="2"/>
  <c r="S155" i="2"/>
  <c r="O156" i="2"/>
  <c r="S156" i="2"/>
  <c r="O157" i="2"/>
  <c r="S157" i="2"/>
  <c r="O158" i="2"/>
  <c r="S158" i="2"/>
  <c r="O159" i="2"/>
  <c r="S159" i="2"/>
  <c r="O160" i="2"/>
  <c r="S160" i="2"/>
  <c r="O161" i="2"/>
  <c r="S161" i="2"/>
  <c r="O162" i="2"/>
  <c r="S162" i="2"/>
  <c r="O163" i="2"/>
  <c r="S163" i="2"/>
  <c r="O164" i="2"/>
  <c r="S164" i="2"/>
  <c r="O165" i="2"/>
  <c r="S165" i="2"/>
  <c r="O166" i="2"/>
  <c r="S166" i="2"/>
  <c r="O167" i="2"/>
  <c r="S167" i="2"/>
  <c r="O168" i="2"/>
  <c r="S168" i="2"/>
  <c r="O169" i="2"/>
  <c r="S169" i="2"/>
  <c r="O170" i="2"/>
  <c r="U10" i="2"/>
  <c r="U42" i="2"/>
  <c r="N68" i="2"/>
  <c r="N76" i="2"/>
  <c r="N84" i="2"/>
  <c r="N92" i="2"/>
  <c r="N100" i="2"/>
  <c r="N108" i="2"/>
  <c r="O114" i="2"/>
  <c r="T116" i="2"/>
  <c r="R119" i="2"/>
  <c r="O122" i="2"/>
  <c r="T124" i="2"/>
  <c r="R127" i="2"/>
  <c r="O130" i="2"/>
  <c r="T132" i="2"/>
  <c r="R135" i="2"/>
  <c r="O138" i="2"/>
  <c r="T140" i="2"/>
  <c r="P143" i="2"/>
  <c r="P145" i="2"/>
  <c r="P147" i="2"/>
  <c r="P149" i="2"/>
  <c r="P151" i="2"/>
  <c r="P153" i="2"/>
  <c r="P155" i="2"/>
  <c r="P157" i="2"/>
  <c r="P159" i="2"/>
  <c r="P161" i="2"/>
  <c r="P163" i="2"/>
  <c r="P165" i="2"/>
  <c r="P167" i="2"/>
  <c r="R168" i="2"/>
  <c r="P169" i="2"/>
  <c r="U169" i="2"/>
  <c r="R170" i="2"/>
  <c r="N171" i="2"/>
  <c r="R171" i="2"/>
  <c r="N172" i="2"/>
  <c r="R172" i="2"/>
  <c r="N173" i="2"/>
  <c r="R173" i="2"/>
  <c r="N174" i="2"/>
  <c r="R174" i="2"/>
  <c r="N175" i="2"/>
  <c r="R175" i="2"/>
  <c r="N176" i="2"/>
  <c r="R176" i="2"/>
  <c r="N177" i="2"/>
  <c r="R177" i="2"/>
  <c r="N178" i="2"/>
  <c r="R178" i="2"/>
  <c r="N179" i="2"/>
  <c r="R179" i="2"/>
  <c r="N180" i="2"/>
  <c r="R180" i="2"/>
  <c r="N181" i="2"/>
  <c r="R181" i="2"/>
  <c r="N182" i="2"/>
  <c r="R182" i="2"/>
  <c r="N183" i="2"/>
  <c r="R183" i="2"/>
  <c r="N184" i="2"/>
  <c r="R184" i="2"/>
  <c r="N185" i="2"/>
  <c r="R185" i="2"/>
  <c r="N186" i="2"/>
  <c r="R186" i="2"/>
  <c r="N187" i="2"/>
  <c r="R187" i="2"/>
  <c r="N188" i="2"/>
  <c r="R188" i="2"/>
  <c r="N189" i="2"/>
  <c r="R189" i="2"/>
  <c r="N190" i="2"/>
  <c r="R190" i="2"/>
  <c r="N191" i="2"/>
  <c r="R191" i="2"/>
  <c r="N192" i="2"/>
  <c r="R192" i="2"/>
  <c r="N193" i="2"/>
  <c r="R193" i="2"/>
  <c r="N194" i="2"/>
  <c r="R194" i="2"/>
  <c r="N195" i="2"/>
  <c r="R195" i="2"/>
  <c r="N196" i="2"/>
  <c r="R196" i="2"/>
  <c r="N197" i="2"/>
  <c r="R197" i="2"/>
  <c r="N198" i="2"/>
  <c r="R198" i="2"/>
  <c r="N199" i="2"/>
  <c r="R199" i="2"/>
  <c r="N200" i="2"/>
  <c r="R200" i="2"/>
  <c r="N201" i="2"/>
  <c r="R201" i="2"/>
  <c r="N202" i="2"/>
  <c r="R202" i="2"/>
  <c r="N203" i="2"/>
  <c r="R203" i="2"/>
  <c r="N204" i="2"/>
  <c r="R204" i="2"/>
  <c r="N205" i="2"/>
  <c r="R205" i="2"/>
  <c r="N206" i="2"/>
  <c r="R206" i="2"/>
  <c r="N207" i="2"/>
  <c r="R207" i="2"/>
  <c r="N208" i="2"/>
  <c r="R208" i="2"/>
  <c r="N209" i="2"/>
  <c r="R209" i="2"/>
  <c r="N210" i="2"/>
  <c r="R210" i="2"/>
  <c r="N211" i="2"/>
  <c r="R211" i="2"/>
  <c r="N212" i="2"/>
  <c r="R212" i="2"/>
  <c r="N213" i="2"/>
  <c r="R213" i="2"/>
  <c r="N214" i="2"/>
  <c r="R214" i="2"/>
  <c r="N215" i="2"/>
  <c r="R215" i="2"/>
  <c r="N216" i="2"/>
  <c r="R216" i="2"/>
  <c r="N217" i="2"/>
  <c r="R217" i="2"/>
  <c r="N218" i="2"/>
  <c r="R218" i="2"/>
  <c r="N219" i="2"/>
  <c r="R219" i="2"/>
  <c r="N220" i="2"/>
  <c r="R220" i="2"/>
  <c r="N221" i="2"/>
  <c r="R221" i="2"/>
  <c r="N222" i="2"/>
  <c r="R222" i="2"/>
  <c r="N223" i="2"/>
  <c r="R223" i="2"/>
  <c r="N224" i="2"/>
  <c r="R224" i="2"/>
  <c r="N225" i="2"/>
  <c r="R225" i="2"/>
  <c r="N226" i="2"/>
  <c r="R226" i="2"/>
  <c r="N227" i="2"/>
  <c r="R227" i="2"/>
  <c r="N228" i="2"/>
  <c r="R228" i="2"/>
  <c r="N229" i="2"/>
  <c r="R229" i="2"/>
  <c r="N230" i="2"/>
  <c r="R230" i="2"/>
  <c r="N231" i="2"/>
  <c r="R231" i="2"/>
  <c r="N232" i="2"/>
  <c r="R232" i="2"/>
  <c r="N233" i="2"/>
  <c r="R233" i="2"/>
  <c r="N234" i="2"/>
  <c r="R234" i="2"/>
  <c r="N235" i="2"/>
  <c r="R235" i="2"/>
  <c r="N236" i="2"/>
  <c r="R236" i="2"/>
  <c r="N237" i="2"/>
  <c r="R237" i="2"/>
  <c r="N238" i="2"/>
  <c r="R238" i="2"/>
  <c r="N239" i="2"/>
  <c r="R239" i="2"/>
  <c r="N240" i="2"/>
  <c r="R240" i="2"/>
  <c r="N241" i="2"/>
  <c r="R241" i="2"/>
  <c r="N242" i="2"/>
  <c r="R242" i="2"/>
  <c r="N243" i="2"/>
  <c r="R243" i="2"/>
  <c r="N244" i="2"/>
  <c r="R244" i="2"/>
  <c r="N245" i="2"/>
  <c r="R245" i="2"/>
  <c r="N246" i="2"/>
  <c r="R246" i="2"/>
  <c r="N247" i="2"/>
  <c r="R247" i="2"/>
  <c r="N248" i="2"/>
  <c r="R248" i="2"/>
  <c r="N249" i="2"/>
  <c r="R249" i="2"/>
  <c r="N250" i="2"/>
  <c r="R250" i="2"/>
  <c r="N251" i="2"/>
  <c r="R251" i="2"/>
  <c r="N252" i="2"/>
  <c r="R252" i="2"/>
  <c r="N253" i="2"/>
  <c r="R253" i="2"/>
  <c r="N254" i="2"/>
  <c r="R254" i="2"/>
  <c r="N255" i="2"/>
  <c r="R255" i="2"/>
  <c r="N256" i="2"/>
  <c r="R256" i="2"/>
  <c r="N257" i="2"/>
  <c r="R257" i="2"/>
  <c r="N258" i="2"/>
  <c r="R258" i="2"/>
  <c r="N259" i="2"/>
  <c r="R259" i="2"/>
  <c r="N260" i="2"/>
  <c r="R260" i="2"/>
  <c r="N261" i="2"/>
  <c r="R261" i="2"/>
  <c r="N262" i="2"/>
  <c r="R262" i="2"/>
  <c r="N263" i="2"/>
  <c r="R263" i="2"/>
  <c r="N264" i="2"/>
  <c r="R264" i="2"/>
  <c r="N265" i="2"/>
  <c r="R265" i="2"/>
  <c r="N266" i="2"/>
  <c r="R266" i="2"/>
  <c r="N267" i="2"/>
  <c r="R267" i="2"/>
  <c r="N268" i="2"/>
  <c r="R268" i="2"/>
  <c r="N269" i="2"/>
  <c r="R269" i="2"/>
  <c r="N270" i="2"/>
  <c r="R270" i="2"/>
  <c r="N271" i="2"/>
  <c r="R271" i="2"/>
  <c r="N272" i="2"/>
  <c r="R272" i="2"/>
  <c r="N273" i="2"/>
  <c r="R273" i="2"/>
  <c r="N274" i="2"/>
  <c r="R274" i="2"/>
  <c r="N275" i="2"/>
  <c r="R275" i="2"/>
  <c r="N276" i="2"/>
  <c r="R276" i="2"/>
  <c r="N277" i="2"/>
  <c r="R277" i="2"/>
  <c r="N278" i="2"/>
  <c r="R278" i="2"/>
  <c r="N279" i="2"/>
  <c r="R279" i="2"/>
  <c r="N280" i="2"/>
  <c r="U18" i="2"/>
  <c r="U50" i="2"/>
  <c r="N70" i="2"/>
  <c r="N78" i="2"/>
  <c r="N86" i="2"/>
  <c r="N94" i="2"/>
  <c r="N102" i="2"/>
  <c r="N110" i="2"/>
  <c r="T114" i="2"/>
  <c r="R117" i="2"/>
  <c r="O120" i="2"/>
  <c r="T122" i="2"/>
  <c r="R125" i="2"/>
  <c r="O128" i="2"/>
  <c r="T130" i="2"/>
  <c r="R133" i="2"/>
  <c r="O136" i="2"/>
  <c r="T138" i="2"/>
  <c r="R141" i="2"/>
  <c r="T143" i="2"/>
  <c r="T145" i="2"/>
  <c r="T147" i="2"/>
  <c r="T149" i="2"/>
  <c r="T151" i="2"/>
  <c r="T153" i="2"/>
  <c r="T155" i="2"/>
  <c r="T157" i="2"/>
  <c r="T159" i="2"/>
  <c r="T161" i="2"/>
  <c r="T163" i="2"/>
  <c r="T165" i="2"/>
  <c r="T167" i="2"/>
  <c r="T168" i="2"/>
  <c r="Q169" i="2"/>
  <c r="N170" i="2"/>
  <c r="S170" i="2"/>
  <c r="O171" i="2"/>
  <c r="S171" i="2"/>
  <c r="O172" i="2"/>
  <c r="S172" i="2"/>
  <c r="O173" i="2"/>
  <c r="S173" i="2"/>
  <c r="O174" i="2"/>
  <c r="S174" i="2"/>
  <c r="O175" i="2"/>
  <c r="S175" i="2"/>
  <c r="O176" i="2"/>
  <c r="S176" i="2"/>
  <c r="O177" i="2"/>
  <c r="S177" i="2"/>
  <c r="O178" i="2"/>
  <c r="S178" i="2"/>
  <c r="O179" i="2"/>
  <c r="S179" i="2"/>
  <c r="O180" i="2"/>
  <c r="S180" i="2"/>
  <c r="O181" i="2"/>
  <c r="S181" i="2"/>
  <c r="O182" i="2"/>
  <c r="S182" i="2"/>
  <c r="O183" i="2"/>
  <c r="S183" i="2"/>
  <c r="O184" i="2"/>
  <c r="S184" i="2"/>
  <c r="O185" i="2"/>
  <c r="S185" i="2"/>
  <c r="O186" i="2"/>
  <c r="S186" i="2"/>
  <c r="O187" i="2"/>
  <c r="S187" i="2"/>
  <c r="O188" i="2"/>
  <c r="S188" i="2"/>
  <c r="O189" i="2"/>
  <c r="S189" i="2"/>
  <c r="O190" i="2"/>
  <c r="S190" i="2"/>
  <c r="O191" i="2"/>
  <c r="S191" i="2"/>
  <c r="O192" i="2"/>
  <c r="S192" i="2"/>
  <c r="O193" i="2"/>
  <c r="S193" i="2"/>
  <c r="O194" i="2"/>
  <c r="S194" i="2"/>
  <c r="O195" i="2"/>
  <c r="S195" i="2"/>
  <c r="O196" i="2"/>
  <c r="S196" i="2"/>
  <c r="O197" i="2"/>
  <c r="S197" i="2"/>
  <c r="O198" i="2"/>
  <c r="S198" i="2"/>
  <c r="O199" i="2"/>
  <c r="S199" i="2"/>
  <c r="O200" i="2"/>
  <c r="S200" i="2"/>
  <c r="O201" i="2"/>
  <c r="S201" i="2"/>
  <c r="O202" i="2"/>
  <c r="S202" i="2"/>
  <c r="O203" i="2"/>
  <c r="S203" i="2"/>
  <c r="O204" i="2"/>
  <c r="S204" i="2"/>
  <c r="O205" i="2"/>
  <c r="S205" i="2"/>
  <c r="O206" i="2"/>
  <c r="S206" i="2"/>
  <c r="O207" i="2"/>
  <c r="S207" i="2"/>
  <c r="O208" i="2"/>
  <c r="S208" i="2"/>
  <c r="O209" i="2"/>
  <c r="S209" i="2"/>
  <c r="O210" i="2"/>
  <c r="S210" i="2"/>
  <c r="O211" i="2"/>
  <c r="S211" i="2"/>
  <c r="O212" i="2"/>
  <c r="S212" i="2"/>
  <c r="O213" i="2"/>
  <c r="S213" i="2"/>
  <c r="O214" i="2"/>
  <c r="S214" i="2"/>
  <c r="O215" i="2"/>
  <c r="S215" i="2"/>
  <c r="O216" i="2"/>
  <c r="S216" i="2"/>
  <c r="O217" i="2"/>
  <c r="S217" i="2"/>
  <c r="O218" i="2"/>
  <c r="S218" i="2"/>
  <c r="O219" i="2"/>
  <c r="S219" i="2"/>
  <c r="O220" i="2"/>
  <c r="S220" i="2"/>
  <c r="O221" i="2"/>
  <c r="S221" i="2"/>
  <c r="O222" i="2"/>
  <c r="S222" i="2"/>
  <c r="O223" i="2"/>
  <c r="S223" i="2"/>
  <c r="O224" i="2"/>
  <c r="S224" i="2"/>
  <c r="O225" i="2"/>
  <c r="S225" i="2"/>
  <c r="O226" i="2"/>
  <c r="S226" i="2"/>
  <c r="O227" i="2"/>
  <c r="S227" i="2"/>
  <c r="O228" i="2"/>
  <c r="S228" i="2"/>
  <c r="O229" i="2"/>
  <c r="S229" i="2"/>
  <c r="O230" i="2"/>
  <c r="S230" i="2"/>
  <c r="O231" i="2"/>
  <c r="S231" i="2"/>
  <c r="O232" i="2"/>
  <c r="S232" i="2"/>
  <c r="O233" i="2"/>
  <c r="S233" i="2"/>
  <c r="O234" i="2"/>
  <c r="S234" i="2"/>
  <c r="O235" i="2"/>
  <c r="S235" i="2"/>
  <c r="O236" i="2"/>
  <c r="S236" i="2"/>
  <c r="O237" i="2"/>
  <c r="S237" i="2"/>
  <c r="O238" i="2"/>
  <c r="S238" i="2"/>
  <c r="O239" i="2"/>
  <c r="S239" i="2"/>
  <c r="O240" i="2"/>
  <c r="S240" i="2"/>
  <c r="O241" i="2"/>
  <c r="S241" i="2"/>
  <c r="O242" i="2"/>
  <c r="S242" i="2"/>
  <c r="O243" i="2"/>
  <c r="S243" i="2"/>
  <c r="O244" i="2"/>
  <c r="S244" i="2"/>
  <c r="O245" i="2"/>
  <c r="S245" i="2"/>
  <c r="O246" i="2"/>
  <c r="S246" i="2"/>
  <c r="O247" i="2"/>
  <c r="S247" i="2"/>
  <c r="O248" i="2"/>
  <c r="S248" i="2"/>
  <c r="O249" i="2"/>
  <c r="S249" i="2"/>
  <c r="O250" i="2"/>
  <c r="S250" i="2"/>
  <c r="O251" i="2"/>
  <c r="S251" i="2"/>
  <c r="O252" i="2"/>
  <c r="S252" i="2"/>
  <c r="O253" i="2"/>
  <c r="S253" i="2"/>
  <c r="O254" i="2"/>
  <c r="S254" i="2"/>
  <c r="O255" i="2"/>
  <c r="S255" i="2"/>
  <c r="O256" i="2"/>
  <c r="S256" i="2"/>
  <c r="O257" i="2"/>
  <c r="S257" i="2"/>
  <c r="O258" i="2"/>
  <c r="S258" i="2"/>
  <c r="O259" i="2"/>
  <c r="S259" i="2"/>
  <c r="O260" i="2"/>
  <c r="S260" i="2"/>
  <c r="O261" i="2"/>
  <c r="S261" i="2"/>
  <c r="O262" i="2"/>
  <c r="S262" i="2"/>
  <c r="O263" i="2"/>
  <c r="S263" i="2"/>
  <c r="O264" i="2"/>
  <c r="S264" i="2"/>
  <c r="O265" i="2"/>
  <c r="S265" i="2"/>
  <c r="O266" i="2"/>
  <c r="S266" i="2"/>
  <c r="O267" i="2"/>
  <c r="S267" i="2"/>
  <c r="O268" i="2"/>
  <c r="S268" i="2"/>
  <c r="O269" i="2"/>
  <c r="S269" i="2"/>
  <c r="O270" i="2"/>
  <c r="S270" i="2"/>
  <c r="O271" i="2"/>
  <c r="S271" i="2"/>
  <c r="O272" i="2"/>
  <c r="S272" i="2"/>
  <c r="O273" i="2"/>
  <c r="S273" i="2"/>
  <c r="O274" i="2"/>
  <c r="S274" i="2"/>
  <c r="O275" i="2"/>
  <c r="S275" i="2"/>
  <c r="O276" i="2"/>
  <c r="S276" i="2"/>
  <c r="O277" i="2"/>
  <c r="S277" i="2"/>
  <c r="O278" i="2"/>
  <c r="S278" i="2"/>
  <c r="O279" i="2"/>
  <c r="S279" i="2"/>
  <c r="U26" i="2"/>
  <c r="U58" i="2"/>
  <c r="N72" i="2"/>
  <c r="N80" i="2"/>
  <c r="N88" i="2"/>
  <c r="N96" i="2"/>
  <c r="N104" i="2"/>
  <c r="N112" i="2"/>
  <c r="R115" i="2"/>
  <c r="O118" i="2"/>
  <c r="T120" i="2"/>
  <c r="R123" i="2"/>
  <c r="O126" i="2"/>
  <c r="T128" i="2"/>
  <c r="R131" i="2"/>
  <c r="O134" i="2"/>
  <c r="T136" i="2"/>
  <c r="R139" i="2"/>
  <c r="O142" i="2"/>
  <c r="P144" i="2"/>
  <c r="P146" i="2"/>
  <c r="P148" i="2"/>
  <c r="P150" i="2"/>
  <c r="P152" i="2"/>
  <c r="P154" i="2"/>
  <c r="P156" i="2"/>
  <c r="P158" i="2"/>
  <c r="P160" i="2"/>
  <c r="P162" i="2"/>
  <c r="P164" i="2"/>
  <c r="P166" i="2"/>
  <c r="P168" i="2"/>
  <c r="U168" i="2"/>
  <c r="R169" i="2"/>
  <c r="P170" i="2"/>
  <c r="T170" i="2"/>
  <c r="P171" i="2"/>
  <c r="T171" i="2"/>
  <c r="P172" i="2"/>
  <c r="T172" i="2"/>
  <c r="P173" i="2"/>
  <c r="T173" i="2"/>
  <c r="P174" i="2"/>
  <c r="T174" i="2"/>
  <c r="P175" i="2"/>
  <c r="T175" i="2"/>
  <c r="P176" i="2"/>
  <c r="T176" i="2"/>
  <c r="P177" i="2"/>
  <c r="T177" i="2"/>
  <c r="P178" i="2"/>
  <c r="T178" i="2"/>
  <c r="P179" i="2"/>
  <c r="T179" i="2"/>
  <c r="P180" i="2"/>
  <c r="T180" i="2"/>
  <c r="P181" i="2"/>
  <c r="T181" i="2"/>
  <c r="P182" i="2"/>
  <c r="T182" i="2"/>
  <c r="P183" i="2"/>
  <c r="T183" i="2"/>
  <c r="P184" i="2"/>
  <c r="T184" i="2"/>
  <c r="P185" i="2"/>
  <c r="T185" i="2"/>
  <c r="P186" i="2"/>
  <c r="T186" i="2"/>
  <c r="P187" i="2"/>
  <c r="T187" i="2"/>
  <c r="P188" i="2"/>
  <c r="T188" i="2"/>
  <c r="P189" i="2"/>
  <c r="T189" i="2"/>
  <c r="P190" i="2"/>
  <c r="T190" i="2"/>
  <c r="P191" i="2"/>
  <c r="T191" i="2"/>
  <c r="P192" i="2"/>
  <c r="T192" i="2"/>
  <c r="P193" i="2"/>
  <c r="T193" i="2"/>
  <c r="P194" i="2"/>
  <c r="T194" i="2"/>
  <c r="P195" i="2"/>
  <c r="T195" i="2"/>
  <c r="P196" i="2"/>
  <c r="T196" i="2"/>
  <c r="P197" i="2"/>
  <c r="T197" i="2"/>
  <c r="P198" i="2"/>
  <c r="T198" i="2"/>
  <c r="P199" i="2"/>
  <c r="T199" i="2"/>
  <c r="P200" i="2"/>
  <c r="T200" i="2"/>
  <c r="P201" i="2"/>
  <c r="T201" i="2"/>
  <c r="P202" i="2"/>
  <c r="T202" i="2"/>
  <c r="P203" i="2"/>
  <c r="T203" i="2"/>
  <c r="P204" i="2"/>
  <c r="T204" i="2"/>
  <c r="P205" i="2"/>
  <c r="T205" i="2"/>
  <c r="P206" i="2"/>
  <c r="T206" i="2"/>
  <c r="P207" i="2"/>
  <c r="T207" i="2"/>
  <c r="P208" i="2"/>
  <c r="T208" i="2"/>
  <c r="P209" i="2"/>
  <c r="T209" i="2"/>
  <c r="P210" i="2"/>
  <c r="T210" i="2"/>
  <c r="P211" i="2"/>
  <c r="T211" i="2"/>
  <c r="P212" i="2"/>
  <c r="T212" i="2"/>
  <c r="P213" i="2"/>
  <c r="T213" i="2"/>
  <c r="P214" i="2"/>
  <c r="T214" i="2"/>
  <c r="P215" i="2"/>
  <c r="T215" i="2"/>
  <c r="P216" i="2"/>
  <c r="T216" i="2"/>
  <c r="P217" i="2"/>
  <c r="T217" i="2"/>
  <c r="P218" i="2"/>
  <c r="T218" i="2"/>
  <c r="P219" i="2"/>
  <c r="T219" i="2"/>
  <c r="P220" i="2"/>
  <c r="T220" i="2"/>
  <c r="P221" i="2"/>
  <c r="T221" i="2"/>
  <c r="P222" i="2"/>
  <c r="T222" i="2"/>
  <c r="P223" i="2"/>
  <c r="T223" i="2"/>
  <c r="P224" i="2"/>
  <c r="T224" i="2"/>
  <c r="P225" i="2"/>
  <c r="T225" i="2"/>
  <c r="P226" i="2"/>
  <c r="T226" i="2"/>
  <c r="P227" i="2"/>
  <c r="T227" i="2"/>
  <c r="P228" i="2"/>
  <c r="T228" i="2"/>
  <c r="P229" i="2"/>
  <c r="T229" i="2"/>
  <c r="P230" i="2"/>
  <c r="T230" i="2"/>
  <c r="P231" i="2"/>
  <c r="T231" i="2"/>
  <c r="P232" i="2"/>
  <c r="T232" i="2"/>
  <c r="P233" i="2"/>
  <c r="T233" i="2"/>
  <c r="P234" i="2"/>
  <c r="T234" i="2"/>
  <c r="P235" i="2"/>
  <c r="T235" i="2"/>
  <c r="P236" i="2"/>
  <c r="T236" i="2"/>
  <c r="P237" i="2"/>
  <c r="T237" i="2"/>
  <c r="P238" i="2"/>
  <c r="T238" i="2"/>
  <c r="P239" i="2"/>
  <c r="T239" i="2"/>
  <c r="P240" i="2"/>
  <c r="T240" i="2"/>
  <c r="P241" i="2"/>
  <c r="T241" i="2"/>
  <c r="P242" i="2"/>
  <c r="T242" i="2"/>
  <c r="P243" i="2"/>
  <c r="T243" i="2"/>
  <c r="P244" i="2"/>
  <c r="T244" i="2"/>
  <c r="P245" i="2"/>
  <c r="T245" i="2"/>
  <c r="P246" i="2"/>
  <c r="T246" i="2"/>
  <c r="P247" i="2"/>
  <c r="T247" i="2"/>
  <c r="P248" i="2"/>
  <c r="T248" i="2"/>
  <c r="P249" i="2"/>
  <c r="T249" i="2"/>
  <c r="P250" i="2"/>
  <c r="T250" i="2"/>
  <c r="P251" i="2"/>
  <c r="T251" i="2"/>
  <c r="P252" i="2"/>
  <c r="T252" i="2"/>
  <c r="P253" i="2"/>
  <c r="T253" i="2"/>
  <c r="P254" i="2"/>
  <c r="T254" i="2"/>
  <c r="P255" i="2"/>
  <c r="T255" i="2"/>
  <c r="P256" i="2"/>
  <c r="T256" i="2"/>
  <c r="P257" i="2"/>
  <c r="T257" i="2"/>
  <c r="P258" i="2"/>
  <c r="T258" i="2"/>
  <c r="P259" i="2"/>
  <c r="T259" i="2"/>
  <c r="P260" i="2"/>
  <c r="T260" i="2"/>
  <c r="P261" i="2"/>
  <c r="T261" i="2"/>
  <c r="P262" i="2"/>
  <c r="T262" i="2"/>
  <c r="P263" i="2"/>
  <c r="T263" i="2"/>
  <c r="P264" i="2"/>
  <c r="T264" i="2"/>
  <c r="P265" i="2"/>
  <c r="T265" i="2"/>
  <c r="P266" i="2"/>
  <c r="T266" i="2"/>
  <c r="P267" i="2"/>
  <c r="T267" i="2"/>
  <c r="P268" i="2"/>
  <c r="T268" i="2"/>
  <c r="P269" i="2"/>
  <c r="T269" i="2"/>
  <c r="P270" i="2"/>
  <c r="T270" i="2"/>
  <c r="P271" i="2"/>
  <c r="T271" i="2"/>
  <c r="P272" i="2"/>
  <c r="T272" i="2"/>
  <c r="P273" i="2"/>
  <c r="T273" i="2"/>
  <c r="P274" i="2"/>
  <c r="T274" i="2"/>
  <c r="P275" i="2"/>
  <c r="T275" i="2"/>
  <c r="P276" i="2"/>
  <c r="T276" i="2"/>
  <c r="P277" i="2"/>
  <c r="T277" i="2"/>
  <c r="P278" i="2"/>
  <c r="T278" i="2"/>
  <c r="P279" i="2"/>
  <c r="T279" i="2"/>
  <c r="P280" i="2"/>
  <c r="U34" i="2"/>
  <c r="N90" i="2"/>
  <c r="O116" i="2"/>
  <c r="T126" i="2"/>
  <c r="R137" i="2"/>
  <c r="T146" i="2"/>
  <c r="T154" i="2"/>
  <c r="T162" i="2"/>
  <c r="N169" i="2"/>
  <c r="Q171" i="2"/>
  <c r="Q173" i="2"/>
  <c r="Q175" i="2"/>
  <c r="Q177" i="2"/>
  <c r="Q179" i="2"/>
  <c r="Q181" i="2"/>
  <c r="Q183" i="2"/>
  <c r="Q185" i="2"/>
  <c r="Q187" i="2"/>
  <c r="Q189" i="2"/>
  <c r="Q191" i="2"/>
  <c r="Q193" i="2"/>
  <c r="Q195" i="2"/>
  <c r="Q197" i="2"/>
  <c r="Q199" i="2"/>
  <c r="Q201" i="2"/>
  <c r="Q203" i="2"/>
  <c r="Q205" i="2"/>
  <c r="Q207" i="2"/>
  <c r="Q209" i="2"/>
  <c r="Q211" i="2"/>
  <c r="Q213" i="2"/>
  <c r="Q215" i="2"/>
  <c r="Q217" i="2"/>
  <c r="Q219" i="2"/>
  <c r="Q221" i="2"/>
  <c r="Q223" i="2"/>
  <c r="Q225" i="2"/>
  <c r="Q227" i="2"/>
  <c r="Q229" i="2"/>
  <c r="Q231" i="2"/>
  <c r="Q233" i="2"/>
  <c r="Q235" i="2"/>
  <c r="Q237" i="2"/>
  <c r="Q239" i="2"/>
  <c r="Q241" i="2"/>
  <c r="Q243" i="2"/>
  <c r="Q245" i="2"/>
  <c r="Q247" i="2"/>
  <c r="Q249" i="2"/>
  <c r="Q251" i="2"/>
  <c r="Q253" i="2"/>
  <c r="Q255" i="2"/>
  <c r="Q257" i="2"/>
  <c r="Q259" i="2"/>
  <c r="Q261" i="2"/>
  <c r="Q263" i="2"/>
  <c r="Q265" i="2"/>
  <c r="Q267" i="2"/>
  <c r="Q269" i="2"/>
  <c r="Q271" i="2"/>
  <c r="Q273" i="2"/>
  <c r="Q275" i="2"/>
  <c r="Q277" i="2"/>
  <c r="Q279" i="2"/>
  <c r="R280" i="2"/>
  <c r="N281" i="2"/>
  <c r="R281" i="2"/>
  <c r="N282" i="2"/>
  <c r="R282" i="2"/>
  <c r="N283" i="2"/>
  <c r="R283" i="2"/>
  <c r="N284" i="2"/>
  <c r="R284" i="2"/>
  <c r="N285" i="2"/>
  <c r="R285" i="2"/>
  <c r="N286" i="2"/>
  <c r="R286" i="2"/>
  <c r="N287" i="2"/>
  <c r="R287" i="2"/>
  <c r="N288" i="2"/>
  <c r="R288" i="2"/>
  <c r="N289" i="2"/>
  <c r="R289" i="2"/>
  <c r="N290" i="2"/>
  <c r="R290" i="2"/>
  <c r="N291" i="2"/>
  <c r="R291" i="2"/>
  <c r="N292" i="2"/>
  <c r="R292" i="2"/>
  <c r="N293" i="2"/>
  <c r="R293" i="2"/>
  <c r="N294" i="2"/>
  <c r="R294" i="2"/>
  <c r="N295" i="2"/>
  <c r="R295" i="2"/>
  <c r="N296" i="2"/>
  <c r="R296" i="2"/>
  <c r="N297" i="2"/>
  <c r="R297" i="2"/>
  <c r="N298" i="2"/>
  <c r="R298" i="2"/>
  <c r="N299" i="2"/>
  <c r="R299" i="2"/>
  <c r="N300" i="2"/>
  <c r="R300" i="2"/>
  <c r="N301" i="2"/>
  <c r="R301" i="2"/>
  <c r="N302" i="2"/>
  <c r="R302" i="2"/>
  <c r="N303" i="2"/>
  <c r="R303" i="2"/>
  <c r="N304" i="2"/>
  <c r="R304" i="2"/>
  <c r="N305" i="2"/>
  <c r="R305" i="2"/>
  <c r="N306" i="2"/>
  <c r="R306" i="2"/>
  <c r="N307" i="2"/>
  <c r="R307" i="2"/>
  <c r="N308" i="2"/>
  <c r="R308" i="2"/>
  <c r="N309" i="2"/>
  <c r="R309" i="2"/>
  <c r="N310" i="2"/>
  <c r="R310" i="2"/>
  <c r="N311" i="2"/>
  <c r="R311" i="2"/>
  <c r="N312" i="2"/>
  <c r="R312" i="2"/>
  <c r="N313" i="2"/>
  <c r="R313" i="2"/>
  <c r="N314" i="2"/>
  <c r="R314" i="2"/>
  <c r="N315" i="2"/>
  <c r="R315" i="2"/>
  <c r="N316" i="2"/>
  <c r="R316" i="2"/>
  <c r="N317" i="2"/>
  <c r="R317" i="2"/>
  <c r="N318" i="2"/>
  <c r="R318" i="2"/>
  <c r="N319" i="2"/>
  <c r="R319" i="2"/>
  <c r="N320" i="2"/>
  <c r="R320" i="2"/>
  <c r="N321" i="2"/>
  <c r="R321" i="2"/>
  <c r="N322" i="2"/>
  <c r="R322" i="2"/>
  <c r="N323" i="2"/>
  <c r="R323" i="2"/>
  <c r="N324" i="2"/>
  <c r="R324" i="2"/>
  <c r="N325" i="2"/>
  <c r="R325" i="2"/>
  <c r="N326" i="2"/>
  <c r="R326" i="2"/>
  <c r="N327" i="2"/>
  <c r="R327" i="2"/>
  <c r="N328" i="2"/>
  <c r="R328" i="2"/>
  <c r="N329" i="2"/>
  <c r="R329" i="2"/>
  <c r="N330" i="2"/>
  <c r="R330" i="2"/>
  <c r="N331" i="2"/>
  <c r="R331" i="2"/>
  <c r="N332" i="2"/>
  <c r="R332" i="2"/>
  <c r="N333" i="2"/>
  <c r="R333" i="2"/>
  <c r="N334" i="2"/>
  <c r="R334" i="2"/>
  <c r="N335" i="2"/>
  <c r="R335" i="2"/>
  <c r="N336" i="2"/>
  <c r="R336" i="2"/>
  <c r="N337" i="2"/>
  <c r="R337" i="2"/>
  <c r="N338" i="2"/>
  <c r="R338" i="2"/>
  <c r="N339" i="2"/>
  <c r="R339" i="2"/>
  <c r="N340" i="2"/>
  <c r="R340" i="2"/>
  <c r="N341" i="2"/>
  <c r="R341" i="2"/>
  <c r="N342" i="2"/>
  <c r="R342" i="2"/>
  <c r="N343" i="2"/>
  <c r="R343" i="2"/>
  <c r="N344" i="2"/>
  <c r="R344" i="2"/>
  <c r="N345" i="2"/>
  <c r="R345" i="2"/>
  <c r="N346" i="2"/>
  <c r="R346" i="2"/>
  <c r="N347" i="2"/>
  <c r="R347" i="2"/>
  <c r="N348" i="2"/>
  <c r="R348" i="2"/>
  <c r="N349" i="2"/>
  <c r="R349" i="2"/>
  <c r="N350" i="2"/>
  <c r="R350" i="2"/>
  <c r="N351" i="2"/>
  <c r="R351" i="2"/>
  <c r="N352" i="2"/>
  <c r="R352" i="2"/>
  <c r="N353" i="2"/>
  <c r="R353" i="2"/>
  <c r="N354" i="2"/>
  <c r="R354" i="2"/>
  <c r="N355" i="2"/>
  <c r="R355" i="2"/>
  <c r="N356" i="2"/>
  <c r="R356" i="2"/>
  <c r="N357" i="2"/>
  <c r="R357" i="2"/>
  <c r="N358" i="2"/>
  <c r="R358" i="2"/>
  <c r="N359" i="2"/>
  <c r="R359" i="2"/>
  <c r="N360" i="2"/>
  <c r="R360" i="2"/>
  <c r="N361" i="2"/>
  <c r="R361" i="2"/>
  <c r="N362" i="2"/>
  <c r="R362" i="2"/>
  <c r="N363" i="2"/>
  <c r="R363" i="2"/>
  <c r="N364" i="2"/>
  <c r="R364" i="2"/>
  <c r="N365" i="2"/>
  <c r="R365" i="2"/>
  <c r="N366" i="2"/>
  <c r="R366" i="2"/>
  <c r="N367" i="2"/>
  <c r="R367" i="2"/>
  <c r="N368" i="2"/>
  <c r="R368" i="2"/>
  <c r="N369" i="2"/>
  <c r="R369" i="2"/>
  <c r="N370" i="2"/>
  <c r="R370" i="2"/>
  <c r="N371" i="2"/>
  <c r="R371" i="2"/>
  <c r="N372" i="2"/>
  <c r="R372" i="2"/>
  <c r="N373" i="2"/>
  <c r="R373" i="2"/>
  <c r="N374" i="2"/>
  <c r="R374" i="2"/>
  <c r="N375" i="2"/>
  <c r="R375" i="2"/>
  <c r="U65" i="2"/>
  <c r="N98" i="2"/>
  <c r="T118" i="2"/>
  <c r="R129" i="2"/>
  <c r="O140" i="2"/>
  <c r="T148" i="2"/>
  <c r="T156" i="2"/>
  <c r="T164" i="2"/>
  <c r="T169" i="2"/>
  <c r="U171" i="2"/>
  <c r="U173" i="2"/>
  <c r="U175" i="2"/>
  <c r="U177" i="2"/>
  <c r="U179" i="2"/>
  <c r="U181" i="2"/>
  <c r="U183" i="2"/>
  <c r="U185" i="2"/>
  <c r="U187" i="2"/>
  <c r="U189" i="2"/>
  <c r="U191" i="2"/>
  <c r="U193" i="2"/>
  <c r="U195" i="2"/>
  <c r="U197" i="2"/>
  <c r="U199" i="2"/>
  <c r="U201" i="2"/>
  <c r="U203" i="2"/>
  <c r="U205" i="2"/>
  <c r="U207" i="2"/>
  <c r="U209" i="2"/>
  <c r="U211" i="2"/>
  <c r="U213" i="2"/>
  <c r="U215" i="2"/>
  <c r="U217" i="2"/>
  <c r="U219" i="2"/>
  <c r="U221" i="2"/>
  <c r="U223" i="2"/>
  <c r="U225" i="2"/>
  <c r="U227" i="2"/>
  <c r="U229" i="2"/>
  <c r="U231" i="2"/>
  <c r="U233" i="2"/>
  <c r="U235" i="2"/>
  <c r="U237" i="2"/>
  <c r="U239" i="2"/>
  <c r="U241" i="2"/>
  <c r="U243" i="2"/>
  <c r="U245" i="2"/>
  <c r="U247" i="2"/>
  <c r="U249" i="2"/>
  <c r="U251" i="2"/>
  <c r="U253" i="2"/>
  <c r="U255" i="2"/>
  <c r="U257" i="2"/>
  <c r="U259" i="2"/>
  <c r="U261" i="2"/>
  <c r="U263" i="2"/>
  <c r="U265" i="2"/>
  <c r="U267" i="2"/>
  <c r="U269" i="2"/>
  <c r="U271" i="2"/>
  <c r="U273" i="2"/>
  <c r="U275" i="2"/>
  <c r="U277" i="2"/>
  <c r="U279" i="2"/>
  <c r="S280" i="2"/>
  <c r="O281" i="2"/>
  <c r="S281" i="2"/>
  <c r="O282" i="2"/>
  <c r="S282" i="2"/>
  <c r="O283" i="2"/>
  <c r="S283" i="2"/>
  <c r="O284" i="2"/>
  <c r="S284" i="2"/>
  <c r="O285" i="2"/>
  <c r="S285" i="2"/>
  <c r="O286" i="2"/>
  <c r="S286" i="2"/>
  <c r="O287" i="2"/>
  <c r="S287" i="2"/>
  <c r="O288" i="2"/>
  <c r="S288" i="2"/>
  <c r="O289" i="2"/>
  <c r="S289" i="2"/>
  <c r="O290" i="2"/>
  <c r="S290" i="2"/>
  <c r="O291" i="2"/>
  <c r="S291" i="2"/>
  <c r="O292" i="2"/>
  <c r="S292" i="2"/>
  <c r="O293" i="2"/>
  <c r="S293" i="2"/>
  <c r="O294" i="2"/>
  <c r="S294" i="2"/>
  <c r="O295" i="2"/>
  <c r="S295" i="2"/>
  <c r="O296" i="2"/>
  <c r="S296" i="2"/>
  <c r="O297" i="2"/>
  <c r="S297" i="2"/>
  <c r="O298" i="2"/>
  <c r="S298" i="2"/>
  <c r="O299" i="2"/>
  <c r="S299" i="2"/>
  <c r="O300" i="2"/>
  <c r="S300" i="2"/>
  <c r="O301" i="2"/>
  <c r="S301" i="2"/>
  <c r="O302" i="2"/>
  <c r="S302" i="2"/>
  <c r="O303" i="2"/>
  <c r="S303" i="2"/>
  <c r="O304" i="2"/>
  <c r="S304" i="2"/>
  <c r="O305" i="2"/>
  <c r="S305" i="2"/>
  <c r="O306" i="2"/>
  <c r="S306" i="2"/>
  <c r="O307" i="2"/>
  <c r="S307" i="2"/>
  <c r="O308" i="2"/>
  <c r="S308" i="2"/>
  <c r="O309" i="2"/>
  <c r="S309" i="2"/>
  <c r="O310" i="2"/>
  <c r="S310" i="2"/>
  <c r="O311" i="2"/>
  <c r="S311" i="2"/>
  <c r="O312" i="2"/>
  <c r="S312" i="2"/>
  <c r="O313" i="2"/>
  <c r="S313" i="2"/>
  <c r="O314" i="2"/>
  <c r="S314" i="2"/>
  <c r="O315" i="2"/>
  <c r="S315" i="2"/>
  <c r="O316" i="2"/>
  <c r="S316" i="2"/>
  <c r="O317" i="2"/>
  <c r="S317" i="2"/>
  <c r="O318" i="2"/>
  <c r="S318" i="2"/>
  <c r="O319" i="2"/>
  <c r="S319" i="2"/>
  <c r="O320" i="2"/>
  <c r="S320" i="2"/>
  <c r="O321" i="2"/>
  <c r="S321" i="2"/>
  <c r="O322" i="2"/>
  <c r="S322" i="2"/>
  <c r="O323" i="2"/>
  <c r="S323" i="2"/>
  <c r="O324" i="2"/>
  <c r="S324" i="2"/>
  <c r="O325" i="2"/>
  <c r="S325" i="2"/>
  <c r="O326" i="2"/>
  <c r="S326" i="2"/>
  <c r="O327" i="2"/>
  <c r="S327" i="2"/>
  <c r="O328" i="2"/>
  <c r="S328" i="2"/>
  <c r="O329" i="2"/>
  <c r="S329" i="2"/>
  <c r="O330" i="2"/>
  <c r="S330" i="2"/>
  <c r="O331" i="2"/>
  <c r="S331" i="2"/>
  <c r="O332" i="2"/>
  <c r="S332" i="2"/>
  <c r="O333" i="2"/>
  <c r="S333" i="2"/>
  <c r="O334" i="2"/>
  <c r="S334" i="2"/>
  <c r="O335" i="2"/>
  <c r="S335" i="2"/>
  <c r="O336" i="2"/>
  <c r="S336" i="2"/>
  <c r="O337" i="2"/>
  <c r="S337" i="2"/>
  <c r="O338" i="2"/>
  <c r="S338" i="2"/>
  <c r="O339" i="2"/>
  <c r="S339" i="2"/>
  <c r="O340" i="2"/>
  <c r="S340" i="2"/>
  <c r="O341" i="2"/>
  <c r="S341" i="2"/>
  <c r="O342" i="2"/>
  <c r="S342" i="2"/>
  <c r="O343" i="2"/>
  <c r="S343" i="2"/>
  <c r="O344" i="2"/>
  <c r="S344" i="2"/>
  <c r="O345" i="2"/>
  <c r="S345" i="2"/>
  <c r="O346" i="2"/>
  <c r="S346" i="2"/>
  <c r="O347" i="2"/>
  <c r="S347" i="2"/>
  <c r="O348" i="2"/>
  <c r="S348" i="2"/>
  <c r="O349" i="2"/>
  <c r="S349" i="2"/>
  <c r="O350" i="2"/>
  <c r="S350" i="2"/>
  <c r="O351" i="2"/>
  <c r="S351" i="2"/>
  <c r="O352" i="2"/>
  <c r="S352" i="2"/>
  <c r="O353" i="2"/>
  <c r="S353" i="2"/>
  <c r="O354" i="2"/>
  <c r="S354" i="2"/>
  <c r="O355" i="2"/>
  <c r="S355" i="2"/>
  <c r="O356" i="2"/>
  <c r="S356" i="2"/>
  <c r="O357" i="2"/>
  <c r="S357" i="2"/>
  <c r="O358" i="2"/>
  <c r="S358" i="2"/>
  <c r="O359" i="2"/>
  <c r="S359" i="2"/>
  <c r="O360" i="2"/>
  <c r="S360" i="2"/>
  <c r="O361" i="2"/>
  <c r="S361" i="2"/>
  <c r="O362" i="2"/>
  <c r="S362" i="2"/>
  <c r="O363" i="2"/>
  <c r="S363" i="2"/>
  <c r="O364" i="2"/>
  <c r="S364" i="2"/>
  <c r="O365" i="2"/>
  <c r="S365" i="2"/>
  <c r="O366" i="2"/>
  <c r="S366" i="2"/>
  <c r="O367" i="2"/>
  <c r="S367" i="2"/>
  <c r="O368" i="2"/>
  <c r="S368" i="2"/>
  <c r="O369" i="2"/>
  <c r="S369" i="2"/>
  <c r="O370" i="2"/>
  <c r="S370" i="2"/>
  <c r="O371" i="2"/>
  <c r="S371" i="2"/>
  <c r="O372" i="2"/>
  <c r="S372" i="2"/>
  <c r="O373" i="2"/>
  <c r="S373" i="2"/>
  <c r="O374" i="2"/>
  <c r="S374" i="2"/>
  <c r="O375" i="2"/>
  <c r="S375" i="2"/>
  <c r="N74" i="2"/>
  <c r="N106" i="2"/>
  <c r="R121" i="2"/>
  <c r="O132" i="2"/>
  <c r="T142" i="2"/>
  <c r="T150" i="2"/>
  <c r="T158" i="2"/>
  <c r="T166" i="2"/>
  <c r="Q170" i="2"/>
  <c r="Q172" i="2"/>
  <c r="Q174" i="2"/>
  <c r="Q176" i="2"/>
  <c r="Q178" i="2"/>
  <c r="Q180" i="2"/>
  <c r="Q182" i="2"/>
  <c r="Q184" i="2"/>
  <c r="Q186" i="2"/>
  <c r="Q188" i="2"/>
  <c r="Q190" i="2"/>
  <c r="Q192" i="2"/>
  <c r="Q194" i="2"/>
  <c r="Q196" i="2"/>
  <c r="Q198" i="2"/>
  <c r="Q200" i="2"/>
  <c r="Q202" i="2"/>
  <c r="Q204" i="2"/>
  <c r="Q206" i="2"/>
  <c r="Q208" i="2"/>
  <c r="Q210" i="2"/>
  <c r="Q212" i="2"/>
  <c r="Q214" i="2"/>
  <c r="Q216" i="2"/>
  <c r="Q218" i="2"/>
  <c r="Q220" i="2"/>
  <c r="Q222" i="2"/>
  <c r="Q224" i="2"/>
  <c r="Q226" i="2"/>
  <c r="Q228" i="2"/>
  <c r="Q230" i="2"/>
  <c r="Q232" i="2"/>
  <c r="Q234" i="2"/>
  <c r="Q236" i="2"/>
  <c r="Q238" i="2"/>
  <c r="Q240" i="2"/>
  <c r="Q242" i="2"/>
  <c r="Q244" i="2"/>
  <c r="Q246" i="2"/>
  <c r="Q248" i="2"/>
  <c r="Q250" i="2"/>
  <c r="Q252" i="2"/>
  <c r="Q254" i="2"/>
  <c r="Q256" i="2"/>
  <c r="Q258" i="2"/>
  <c r="Q260" i="2"/>
  <c r="Q262" i="2"/>
  <c r="Q264" i="2"/>
  <c r="Q266" i="2"/>
  <c r="Q268" i="2"/>
  <c r="Q270" i="2"/>
  <c r="Q272" i="2"/>
  <c r="Q274" i="2"/>
  <c r="Q276" i="2"/>
  <c r="Q278" i="2"/>
  <c r="O280" i="2"/>
  <c r="T280" i="2"/>
  <c r="P281" i="2"/>
  <c r="T281" i="2"/>
  <c r="P282" i="2"/>
  <c r="T282" i="2"/>
  <c r="P283" i="2"/>
  <c r="T283" i="2"/>
  <c r="P284" i="2"/>
  <c r="T284" i="2"/>
  <c r="P285" i="2"/>
  <c r="T285" i="2"/>
  <c r="P286" i="2"/>
  <c r="T286" i="2"/>
  <c r="P287" i="2"/>
  <c r="T287" i="2"/>
  <c r="P288" i="2"/>
  <c r="T288" i="2"/>
  <c r="P289" i="2"/>
  <c r="T289" i="2"/>
  <c r="P290" i="2"/>
  <c r="T290" i="2"/>
  <c r="P291" i="2"/>
  <c r="T291" i="2"/>
  <c r="P292" i="2"/>
  <c r="T292" i="2"/>
  <c r="P293" i="2"/>
  <c r="T293" i="2"/>
  <c r="P294" i="2"/>
  <c r="T294" i="2"/>
  <c r="P295" i="2"/>
  <c r="T295" i="2"/>
  <c r="P296" i="2"/>
  <c r="T296" i="2"/>
  <c r="P297" i="2"/>
  <c r="T297" i="2"/>
  <c r="P298" i="2"/>
  <c r="T298" i="2"/>
  <c r="P299" i="2"/>
  <c r="T299" i="2"/>
  <c r="P300" i="2"/>
  <c r="T300" i="2"/>
  <c r="P301" i="2"/>
  <c r="T301" i="2"/>
  <c r="P302" i="2"/>
  <c r="T302" i="2"/>
  <c r="P303" i="2"/>
  <c r="T303" i="2"/>
  <c r="P304" i="2"/>
  <c r="T304" i="2"/>
  <c r="P305" i="2"/>
  <c r="T305" i="2"/>
  <c r="P306" i="2"/>
  <c r="T306" i="2"/>
  <c r="P307" i="2"/>
  <c r="T307" i="2"/>
  <c r="P308" i="2"/>
  <c r="T308" i="2"/>
  <c r="P309" i="2"/>
  <c r="T309" i="2"/>
  <c r="P310" i="2"/>
  <c r="T310" i="2"/>
  <c r="P311" i="2"/>
  <c r="T311" i="2"/>
  <c r="P312" i="2"/>
  <c r="T312" i="2"/>
  <c r="P313" i="2"/>
  <c r="T313" i="2"/>
  <c r="P314" i="2"/>
  <c r="T314" i="2"/>
  <c r="P315" i="2"/>
  <c r="T315" i="2"/>
  <c r="P316" i="2"/>
  <c r="T316" i="2"/>
  <c r="P317" i="2"/>
  <c r="T317" i="2"/>
  <c r="P318" i="2"/>
  <c r="T318" i="2"/>
  <c r="P319" i="2"/>
  <c r="T319" i="2"/>
  <c r="P320" i="2"/>
  <c r="T320" i="2"/>
  <c r="P321" i="2"/>
  <c r="T321" i="2"/>
  <c r="P322" i="2"/>
  <c r="T322" i="2"/>
  <c r="P323" i="2"/>
  <c r="T323" i="2"/>
  <c r="P324" i="2"/>
  <c r="T324" i="2"/>
  <c r="P325" i="2"/>
  <c r="T325" i="2"/>
  <c r="P326" i="2"/>
  <c r="T326" i="2"/>
  <c r="P327" i="2"/>
  <c r="T327" i="2"/>
  <c r="P328" i="2"/>
  <c r="T328" i="2"/>
  <c r="P329" i="2"/>
  <c r="T329" i="2"/>
  <c r="P330" i="2"/>
  <c r="T330" i="2"/>
  <c r="P331" i="2"/>
  <c r="T331" i="2"/>
  <c r="P332" i="2"/>
  <c r="T332" i="2"/>
  <c r="P333" i="2"/>
  <c r="T333" i="2"/>
  <c r="P334" i="2"/>
  <c r="T334" i="2"/>
  <c r="P335" i="2"/>
  <c r="T335" i="2"/>
  <c r="P336" i="2"/>
  <c r="T336" i="2"/>
  <c r="P337" i="2"/>
  <c r="T337" i="2"/>
  <c r="P338" i="2"/>
  <c r="T338" i="2"/>
  <c r="P339" i="2"/>
  <c r="T339" i="2"/>
  <c r="P340" i="2"/>
  <c r="T340" i="2"/>
  <c r="P341" i="2"/>
  <c r="T341" i="2"/>
  <c r="P342" i="2"/>
  <c r="T342" i="2"/>
  <c r="P343" i="2"/>
  <c r="T343" i="2"/>
  <c r="P344" i="2"/>
  <c r="T344" i="2"/>
  <c r="P345" i="2"/>
  <c r="T345" i="2"/>
  <c r="P346" i="2"/>
  <c r="T346" i="2"/>
  <c r="P347" i="2"/>
  <c r="T347" i="2"/>
  <c r="P348" i="2"/>
  <c r="T348" i="2"/>
  <c r="P349" i="2"/>
  <c r="T349" i="2"/>
  <c r="P350" i="2"/>
  <c r="T350" i="2"/>
  <c r="P351" i="2"/>
  <c r="T351" i="2"/>
  <c r="P352" i="2"/>
  <c r="T352" i="2"/>
  <c r="P353" i="2"/>
  <c r="T353" i="2"/>
  <c r="P354" i="2"/>
  <c r="T354" i="2"/>
  <c r="P355" i="2"/>
  <c r="T355" i="2"/>
  <c r="P356" i="2"/>
  <c r="T356" i="2"/>
  <c r="P357" i="2"/>
  <c r="T357" i="2"/>
  <c r="P358" i="2"/>
  <c r="T358" i="2"/>
  <c r="P359" i="2"/>
  <c r="T359" i="2"/>
  <c r="P360" i="2"/>
  <c r="T360" i="2"/>
  <c r="P361" i="2"/>
  <c r="T361" i="2"/>
  <c r="P362" i="2"/>
  <c r="T362" i="2"/>
  <c r="P363" i="2"/>
  <c r="T363" i="2"/>
  <c r="P364" i="2"/>
  <c r="T364" i="2"/>
  <c r="P365" i="2"/>
  <c r="T365" i="2"/>
  <c r="P366" i="2"/>
  <c r="T366" i="2"/>
  <c r="P367" i="2"/>
  <c r="T367" i="2"/>
  <c r="P368" i="2"/>
  <c r="T368" i="2"/>
  <c r="P369" i="2"/>
  <c r="T369" i="2"/>
  <c r="P370" i="2"/>
  <c r="T370" i="2"/>
  <c r="P371" i="2"/>
  <c r="T371" i="2"/>
  <c r="P372" i="2"/>
  <c r="T372" i="2"/>
  <c r="P373" i="2"/>
  <c r="T373" i="2"/>
  <c r="P374" i="2"/>
  <c r="T374" i="2"/>
  <c r="P375" i="2"/>
  <c r="T375" i="2"/>
  <c r="P376" i="2"/>
  <c r="N82" i="2"/>
  <c r="T144" i="2"/>
  <c r="U170" i="2"/>
  <c r="U178" i="2"/>
  <c r="U186" i="2"/>
  <c r="U194" i="2"/>
  <c r="U202" i="2"/>
  <c r="U210" i="2"/>
  <c r="U218" i="2"/>
  <c r="U226" i="2"/>
  <c r="U234" i="2"/>
  <c r="U242" i="2"/>
  <c r="U250" i="2"/>
  <c r="U258" i="2"/>
  <c r="U266" i="2"/>
  <c r="U274" i="2"/>
  <c r="U280" i="2"/>
  <c r="U282" i="2"/>
  <c r="U284" i="2"/>
  <c r="U286" i="2"/>
  <c r="U288" i="2"/>
  <c r="U290" i="2"/>
  <c r="U292" i="2"/>
  <c r="U294" i="2"/>
  <c r="U296" i="2"/>
  <c r="U298" i="2"/>
  <c r="U300" i="2"/>
  <c r="U302" i="2"/>
  <c r="U304" i="2"/>
  <c r="U306" i="2"/>
  <c r="U308" i="2"/>
  <c r="U310" i="2"/>
  <c r="U312" i="2"/>
  <c r="U314" i="2"/>
  <c r="U316" i="2"/>
  <c r="U318" i="2"/>
  <c r="U320" i="2"/>
  <c r="U322" i="2"/>
  <c r="U324" i="2"/>
  <c r="U326" i="2"/>
  <c r="U328" i="2"/>
  <c r="U330" i="2"/>
  <c r="U332" i="2"/>
  <c r="U334" i="2"/>
  <c r="U336" i="2"/>
  <c r="U338" i="2"/>
  <c r="U340" i="2"/>
  <c r="U342" i="2"/>
  <c r="R113" i="2"/>
  <c r="T152" i="2"/>
  <c r="U172" i="2"/>
  <c r="U180" i="2"/>
  <c r="U188" i="2"/>
  <c r="U196" i="2"/>
  <c r="U204" i="2"/>
  <c r="U212" i="2"/>
  <c r="U220" i="2"/>
  <c r="U228" i="2"/>
  <c r="U236" i="2"/>
  <c r="U244" i="2"/>
  <c r="U252" i="2"/>
  <c r="U260" i="2"/>
  <c r="U268" i="2"/>
  <c r="U276" i="2"/>
  <c r="Q281" i="2"/>
  <c r="Q283" i="2"/>
  <c r="Q285" i="2"/>
  <c r="Q287" i="2"/>
  <c r="Q289" i="2"/>
  <c r="Q291" i="2"/>
  <c r="Q293" i="2"/>
  <c r="Q295" i="2"/>
  <c r="Q297" i="2"/>
  <c r="Q299" i="2"/>
  <c r="Q301" i="2"/>
  <c r="Q303" i="2"/>
  <c r="Q305" i="2"/>
  <c r="Q307" i="2"/>
  <c r="Q309" i="2"/>
  <c r="Q311" i="2"/>
  <c r="Q313" i="2"/>
  <c r="Q315" i="2"/>
  <c r="Q317" i="2"/>
  <c r="Q319" i="2"/>
  <c r="Q321" i="2"/>
  <c r="Q323" i="2"/>
  <c r="Q325" i="2"/>
  <c r="Q327" i="2"/>
  <c r="Q329" i="2"/>
  <c r="Q331" i="2"/>
  <c r="Q333" i="2"/>
  <c r="Q335" i="2"/>
  <c r="Q337" i="2"/>
  <c r="Q339" i="2"/>
  <c r="Q341" i="2"/>
  <c r="Q343" i="2"/>
  <c r="Q345" i="2"/>
  <c r="Q347" i="2"/>
  <c r="Q349" i="2"/>
  <c r="Q351" i="2"/>
  <c r="Q353" i="2"/>
  <c r="Q355" i="2"/>
  <c r="Q357" i="2"/>
  <c r="Q359" i="2"/>
  <c r="Q361" i="2"/>
  <c r="Q363" i="2"/>
  <c r="Q365" i="2"/>
  <c r="Q367" i="2"/>
  <c r="Q369" i="2"/>
  <c r="Q371" i="2"/>
  <c r="Q373" i="2"/>
  <c r="Q375" i="2"/>
  <c r="Q376" i="2"/>
  <c r="U376" i="2"/>
  <c r="Q377" i="2"/>
  <c r="U377" i="2"/>
  <c r="Q378" i="2"/>
  <c r="U378" i="2"/>
  <c r="Q379" i="2"/>
  <c r="U379" i="2"/>
  <c r="Q380" i="2"/>
  <c r="U380" i="2"/>
  <c r="Q381" i="2"/>
  <c r="U381" i="2"/>
  <c r="Q382" i="2"/>
  <c r="U382" i="2"/>
  <c r="Q383" i="2"/>
  <c r="U383" i="2"/>
  <c r="Q384" i="2"/>
  <c r="U384" i="2"/>
  <c r="Q385" i="2"/>
  <c r="U385" i="2"/>
  <c r="Q386" i="2"/>
  <c r="U386" i="2"/>
  <c r="Q387" i="2"/>
  <c r="U387" i="2"/>
  <c r="Q388" i="2"/>
  <c r="U388" i="2"/>
  <c r="Q389" i="2"/>
  <c r="U389" i="2"/>
  <c r="Q390" i="2"/>
  <c r="U390" i="2"/>
  <c r="Q391" i="2"/>
  <c r="U391" i="2"/>
  <c r="Q392" i="2"/>
  <c r="U392" i="2"/>
  <c r="Q393" i="2"/>
  <c r="U393" i="2"/>
  <c r="Q394" i="2"/>
  <c r="U394" i="2"/>
  <c r="Q395" i="2"/>
  <c r="U395" i="2"/>
  <c r="Q396" i="2"/>
  <c r="U396" i="2"/>
  <c r="Q397" i="2"/>
  <c r="U397" i="2"/>
  <c r="Q398" i="2"/>
  <c r="U398" i="2"/>
  <c r="Q399" i="2"/>
  <c r="U399" i="2"/>
  <c r="Q400" i="2"/>
  <c r="U400" i="2"/>
  <c r="Q401" i="2"/>
  <c r="U401" i="2"/>
  <c r="Q402" i="2"/>
  <c r="U402" i="2"/>
  <c r="Q403" i="2"/>
  <c r="U403" i="2"/>
  <c r="Q404" i="2"/>
  <c r="U404" i="2"/>
  <c r="Q405" i="2"/>
  <c r="U405" i="2"/>
  <c r="Q406" i="2"/>
  <c r="U406" i="2"/>
  <c r="Q407" i="2"/>
  <c r="U407" i="2"/>
  <c r="Q408" i="2"/>
  <c r="U408" i="2"/>
  <c r="Q409" i="2"/>
  <c r="U409" i="2"/>
  <c r="Q410" i="2"/>
  <c r="U410" i="2"/>
  <c r="Q411" i="2"/>
  <c r="U411" i="2"/>
  <c r="Q412" i="2"/>
  <c r="U412" i="2"/>
  <c r="Q413" i="2"/>
  <c r="U413" i="2"/>
  <c r="Q414" i="2"/>
  <c r="U414" i="2"/>
  <c r="Q415" i="2"/>
  <c r="U415" i="2"/>
  <c r="Q416" i="2"/>
  <c r="U416" i="2"/>
  <c r="Q417" i="2"/>
  <c r="U417" i="2"/>
  <c r="Q418" i="2"/>
  <c r="U418" i="2"/>
  <c r="Q419" i="2"/>
  <c r="U419" i="2"/>
  <c r="Q420" i="2"/>
  <c r="U420" i="2"/>
  <c r="Q421" i="2"/>
  <c r="U421" i="2"/>
  <c r="Q422" i="2"/>
  <c r="U422" i="2"/>
  <c r="Q423" i="2"/>
  <c r="U423" i="2"/>
  <c r="Q424" i="2"/>
  <c r="U424" i="2"/>
  <c r="Q425" i="2"/>
  <c r="U425" i="2"/>
  <c r="Q426" i="2"/>
  <c r="U426" i="2"/>
  <c r="Q427" i="2"/>
  <c r="U427" i="2"/>
  <c r="Q428" i="2"/>
  <c r="U428" i="2"/>
  <c r="Q429" i="2"/>
  <c r="U429" i="2"/>
  <c r="Q430" i="2"/>
  <c r="U430" i="2"/>
  <c r="Q431" i="2"/>
  <c r="U431" i="2"/>
  <c r="Q432" i="2"/>
  <c r="U432" i="2"/>
  <c r="Q433" i="2"/>
  <c r="U433" i="2"/>
  <c r="Q434" i="2"/>
  <c r="U434" i="2"/>
  <c r="Q435" i="2"/>
  <c r="U435" i="2"/>
  <c r="Q436" i="2"/>
  <c r="U436" i="2"/>
  <c r="Q437" i="2"/>
  <c r="U437" i="2"/>
  <c r="Q438" i="2"/>
  <c r="U438" i="2"/>
  <c r="Q439" i="2"/>
  <c r="U439" i="2"/>
  <c r="Q440" i="2"/>
  <c r="U440" i="2"/>
  <c r="Q441" i="2"/>
  <c r="U441" i="2"/>
  <c r="Q442" i="2"/>
  <c r="U442" i="2"/>
  <c r="Q443" i="2"/>
  <c r="U443" i="2"/>
  <c r="Q444" i="2"/>
  <c r="U444" i="2"/>
  <c r="Q445" i="2"/>
  <c r="U445" i="2"/>
  <c r="Q446" i="2"/>
  <c r="U446" i="2"/>
  <c r="Q447" i="2"/>
  <c r="U447" i="2"/>
  <c r="Q448" i="2"/>
  <c r="U448" i="2"/>
  <c r="Q449" i="2"/>
  <c r="U449" i="2"/>
  <c r="Q450" i="2"/>
  <c r="U450" i="2"/>
  <c r="Q451" i="2"/>
  <c r="U451" i="2"/>
  <c r="Q452" i="2"/>
  <c r="U452" i="2"/>
  <c r="Q453" i="2"/>
  <c r="U453" i="2"/>
  <c r="Q454" i="2"/>
  <c r="U454" i="2"/>
  <c r="Q455" i="2"/>
  <c r="U455" i="2"/>
  <c r="Q456" i="2"/>
  <c r="U456" i="2"/>
  <c r="Q457" i="2"/>
  <c r="U457" i="2"/>
  <c r="Q458" i="2"/>
  <c r="U458" i="2"/>
  <c r="Q459" i="2"/>
  <c r="U459" i="2"/>
  <c r="Q460" i="2"/>
  <c r="U460" i="2"/>
  <c r="Q461" i="2"/>
  <c r="U461" i="2"/>
  <c r="Q462" i="2"/>
  <c r="U462" i="2"/>
  <c r="Q463" i="2"/>
  <c r="U463" i="2"/>
  <c r="Q464" i="2"/>
  <c r="U464" i="2"/>
  <c r="Q465" i="2"/>
  <c r="U465" i="2"/>
  <c r="Q466" i="2"/>
  <c r="U466" i="2"/>
  <c r="Q467" i="2"/>
  <c r="U467" i="2"/>
  <c r="Q468" i="2"/>
  <c r="U468" i="2"/>
  <c r="Q469" i="2"/>
  <c r="U469" i="2"/>
  <c r="Q470" i="2"/>
  <c r="U470" i="2"/>
  <c r="Q471" i="2"/>
  <c r="O124" i="2"/>
  <c r="T160" i="2"/>
  <c r="U174" i="2"/>
  <c r="U182" i="2"/>
  <c r="U190" i="2"/>
  <c r="U198" i="2"/>
  <c r="U206" i="2"/>
  <c r="U214" i="2"/>
  <c r="U222" i="2"/>
  <c r="U230" i="2"/>
  <c r="U238" i="2"/>
  <c r="U246" i="2"/>
  <c r="U254" i="2"/>
  <c r="U262" i="2"/>
  <c r="U270" i="2"/>
  <c r="U278" i="2"/>
  <c r="U281" i="2"/>
  <c r="U283" i="2"/>
  <c r="U285" i="2"/>
  <c r="U287" i="2"/>
  <c r="U289" i="2"/>
  <c r="U291" i="2"/>
  <c r="U293" i="2"/>
  <c r="U295" i="2"/>
  <c r="U297" i="2"/>
  <c r="U299" i="2"/>
  <c r="U301" i="2"/>
  <c r="U303" i="2"/>
  <c r="U305" i="2"/>
  <c r="U307" i="2"/>
  <c r="U309" i="2"/>
  <c r="U311" i="2"/>
  <c r="U313" i="2"/>
  <c r="U315" i="2"/>
  <c r="U317" i="2"/>
  <c r="U319" i="2"/>
  <c r="U321" i="2"/>
  <c r="U323" i="2"/>
  <c r="U325" i="2"/>
  <c r="U327" i="2"/>
  <c r="U329" i="2"/>
  <c r="U331" i="2"/>
  <c r="U333" i="2"/>
  <c r="U335" i="2"/>
  <c r="U337" i="2"/>
  <c r="U339" i="2"/>
  <c r="U341" i="2"/>
  <c r="U343" i="2"/>
  <c r="U345" i="2"/>
  <c r="U347" i="2"/>
  <c r="U349" i="2"/>
  <c r="U351" i="2"/>
  <c r="U353" i="2"/>
  <c r="U355" i="2"/>
  <c r="U357" i="2"/>
  <c r="U359" i="2"/>
  <c r="U361" i="2"/>
  <c r="U363" i="2"/>
  <c r="U365" i="2"/>
  <c r="U367" i="2"/>
  <c r="U369" i="2"/>
  <c r="U371" i="2"/>
  <c r="U373" i="2"/>
  <c r="U375" i="2"/>
  <c r="R376" i="2"/>
  <c r="N377" i="2"/>
  <c r="R377" i="2"/>
  <c r="N378" i="2"/>
  <c r="R378" i="2"/>
  <c r="N379" i="2"/>
  <c r="R379" i="2"/>
  <c r="N380" i="2"/>
  <c r="R380" i="2"/>
  <c r="N381" i="2"/>
  <c r="R381" i="2"/>
  <c r="N382" i="2"/>
  <c r="R382" i="2"/>
  <c r="N383" i="2"/>
  <c r="R383" i="2"/>
  <c r="N384" i="2"/>
  <c r="R384" i="2"/>
  <c r="N385" i="2"/>
  <c r="R385" i="2"/>
  <c r="N386" i="2"/>
  <c r="R386" i="2"/>
  <c r="N387" i="2"/>
  <c r="R387" i="2"/>
  <c r="N388" i="2"/>
  <c r="R388" i="2"/>
  <c r="N389" i="2"/>
  <c r="R389" i="2"/>
  <c r="N390" i="2"/>
  <c r="R390" i="2"/>
  <c r="N391" i="2"/>
  <c r="R391" i="2"/>
  <c r="N392" i="2"/>
  <c r="R392" i="2"/>
  <c r="N393" i="2"/>
  <c r="R393" i="2"/>
  <c r="N394" i="2"/>
  <c r="R394" i="2"/>
  <c r="N395" i="2"/>
  <c r="R395" i="2"/>
  <c r="N396" i="2"/>
  <c r="R396" i="2"/>
  <c r="N397" i="2"/>
  <c r="R397" i="2"/>
  <c r="N398" i="2"/>
  <c r="R398" i="2"/>
  <c r="N399" i="2"/>
  <c r="R399" i="2"/>
  <c r="N400" i="2"/>
  <c r="R400" i="2"/>
  <c r="N401" i="2"/>
  <c r="R401" i="2"/>
  <c r="N402" i="2"/>
  <c r="R402" i="2"/>
  <c r="N403" i="2"/>
  <c r="R403" i="2"/>
  <c r="N404" i="2"/>
  <c r="R404" i="2"/>
  <c r="N405" i="2"/>
  <c r="R405" i="2"/>
  <c r="N406" i="2"/>
  <c r="R406" i="2"/>
  <c r="N407" i="2"/>
  <c r="R407" i="2"/>
  <c r="N408" i="2"/>
  <c r="R408" i="2"/>
  <c r="N409" i="2"/>
  <c r="R409" i="2"/>
  <c r="N410" i="2"/>
  <c r="R410" i="2"/>
  <c r="N411" i="2"/>
  <c r="R411" i="2"/>
  <c r="N412" i="2"/>
  <c r="R412" i="2"/>
  <c r="N413" i="2"/>
  <c r="R413" i="2"/>
  <c r="N414" i="2"/>
  <c r="R414" i="2"/>
  <c r="N415" i="2"/>
  <c r="R415" i="2"/>
  <c r="N416" i="2"/>
  <c r="R416" i="2"/>
  <c r="N417" i="2"/>
  <c r="R417" i="2"/>
  <c r="N418" i="2"/>
  <c r="R418" i="2"/>
  <c r="N419" i="2"/>
  <c r="R419" i="2"/>
  <c r="N420" i="2"/>
  <c r="R420" i="2"/>
  <c r="N421" i="2"/>
  <c r="R421" i="2"/>
  <c r="N422" i="2"/>
  <c r="R422" i="2"/>
  <c r="N423" i="2"/>
  <c r="R423" i="2"/>
  <c r="N424" i="2"/>
  <c r="R424" i="2"/>
  <c r="N425" i="2"/>
  <c r="R425" i="2"/>
  <c r="N426" i="2"/>
  <c r="R426" i="2"/>
  <c r="N427" i="2"/>
  <c r="R427" i="2"/>
  <c r="N428" i="2"/>
  <c r="R428" i="2"/>
  <c r="N429" i="2"/>
  <c r="R429" i="2"/>
  <c r="N430" i="2"/>
  <c r="R430" i="2"/>
  <c r="N431" i="2"/>
  <c r="R431" i="2"/>
  <c r="N432" i="2"/>
  <c r="R432" i="2"/>
  <c r="N433" i="2"/>
  <c r="R433" i="2"/>
  <c r="N434" i="2"/>
  <c r="R434" i="2"/>
  <c r="N435" i="2"/>
  <c r="R435" i="2"/>
  <c r="N436" i="2"/>
  <c r="R436" i="2"/>
  <c r="N437" i="2"/>
  <c r="R437" i="2"/>
  <c r="N438" i="2"/>
  <c r="R438" i="2"/>
  <c r="N439" i="2"/>
  <c r="R439" i="2"/>
  <c r="N440" i="2"/>
  <c r="R440" i="2"/>
  <c r="N441" i="2"/>
  <c r="R441" i="2"/>
  <c r="N442" i="2"/>
  <c r="R442" i="2"/>
  <c r="N443" i="2"/>
  <c r="R443" i="2"/>
  <c r="N444" i="2"/>
  <c r="R444" i="2"/>
  <c r="N445" i="2"/>
  <c r="R445" i="2"/>
  <c r="N446" i="2"/>
  <c r="R446" i="2"/>
  <c r="N447" i="2"/>
  <c r="R447" i="2"/>
  <c r="N448" i="2"/>
  <c r="R448" i="2"/>
  <c r="N449" i="2"/>
  <c r="R449" i="2"/>
  <c r="N450" i="2"/>
  <c r="R450" i="2"/>
  <c r="N451" i="2"/>
  <c r="R451" i="2"/>
  <c r="N452" i="2"/>
  <c r="R452" i="2"/>
  <c r="N453" i="2"/>
  <c r="R453" i="2"/>
  <c r="N454" i="2"/>
  <c r="R454" i="2"/>
  <c r="N455" i="2"/>
  <c r="R455" i="2"/>
  <c r="N456" i="2"/>
  <c r="R456" i="2"/>
  <c r="N457" i="2"/>
  <c r="R457" i="2"/>
  <c r="N458" i="2"/>
  <c r="R458" i="2"/>
  <c r="N459" i="2"/>
  <c r="R459" i="2"/>
  <c r="N460" i="2"/>
  <c r="R460" i="2"/>
  <c r="N461" i="2"/>
  <c r="R461" i="2"/>
  <c r="N462" i="2"/>
  <c r="R462" i="2"/>
  <c r="N463" i="2"/>
  <c r="R463" i="2"/>
  <c r="N464" i="2"/>
  <c r="R464" i="2"/>
  <c r="N465" i="2"/>
  <c r="R465" i="2"/>
  <c r="N466" i="2"/>
  <c r="R466" i="2"/>
  <c r="N467" i="2"/>
  <c r="R467" i="2"/>
  <c r="N468" i="2"/>
  <c r="R468" i="2"/>
  <c r="N469" i="2"/>
  <c r="R469" i="2"/>
  <c r="N470" i="2"/>
  <c r="R470" i="2"/>
  <c r="N471" i="2"/>
  <c r="R471" i="2"/>
  <c r="N472" i="2"/>
  <c r="R472" i="2"/>
  <c r="N473" i="2"/>
  <c r="R473" i="2"/>
  <c r="N474" i="2"/>
  <c r="R474" i="2"/>
  <c r="N475" i="2"/>
  <c r="R475" i="2"/>
  <c r="N476" i="2"/>
  <c r="R476" i="2"/>
  <c r="N477" i="2"/>
  <c r="R477" i="2"/>
  <c r="N478" i="2"/>
  <c r="R478" i="2"/>
  <c r="N479" i="2"/>
  <c r="R479" i="2"/>
  <c r="N480" i="2"/>
  <c r="R480" i="2"/>
  <c r="N481" i="2"/>
  <c r="R481" i="2"/>
  <c r="N482" i="2"/>
  <c r="R482" i="2"/>
  <c r="N483" i="2"/>
  <c r="R483" i="2"/>
  <c r="N484" i="2"/>
  <c r="R484" i="2"/>
  <c r="N485" i="2"/>
  <c r="R485" i="2"/>
  <c r="N486" i="2"/>
  <c r="R486" i="2"/>
  <c r="N487" i="2"/>
  <c r="R487" i="2"/>
  <c r="N488" i="2"/>
  <c r="R488" i="2"/>
  <c r="N489" i="2"/>
  <c r="T134" i="2"/>
  <c r="U192" i="2"/>
  <c r="U224" i="2"/>
  <c r="U256" i="2"/>
  <c r="Q282" i="2"/>
  <c r="Q290" i="2"/>
  <c r="Q298" i="2"/>
  <c r="Q306" i="2"/>
  <c r="Q314" i="2"/>
  <c r="Q322" i="2"/>
  <c r="Q330" i="2"/>
  <c r="Q338" i="2"/>
  <c r="U344" i="2"/>
  <c r="U348" i="2"/>
  <c r="U352" i="2"/>
  <c r="U356" i="2"/>
  <c r="U360" i="2"/>
  <c r="U364" i="2"/>
  <c r="U368" i="2"/>
  <c r="U372" i="2"/>
  <c r="O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O472" i="2"/>
  <c r="T472" i="2"/>
  <c r="Q473" i="2"/>
  <c r="O474" i="2"/>
  <c r="T474" i="2"/>
  <c r="Q475" i="2"/>
  <c r="O476" i="2"/>
  <c r="T476" i="2"/>
  <c r="Q477" i="2"/>
  <c r="O478" i="2"/>
  <c r="T478" i="2"/>
  <c r="Q479" i="2"/>
  <c r="O480" i="2"/>
  <c r="T480" i="2"/>
  <c r="Q481" i="2"/>
  <c r="O482" i="2"/>
  <c r="T482" i="2"/>
  <c r="Q483" i="2"/>
  <c r="O484" i="2"/>
  <c r="T484" i="2"/>
  <c r="Q485" i="2"/>
  <c r="O486" i="2"/>
  <c r="T486" i="2"/>
  <c r="Q487" i="2"/>
  <c r="O488" i="2"/>
  <c r="T488" i="2"/>
  <c r="Q489" i="2"/>
  <c r="U489" i="2"/>
  <c r="Q490" i="2"/>
  <c r="U490" i="2"/>
  <c r="Q491" i="2"/>
  <c r="U491" i="2"/>
  <c r="Q492" i="2"/>
  <c r="U492" i="2"/>
  <c r="Q493" i="2"/>
  <c r="U493" i="2"/>
  <c r="Q494" i="2"/>
  <c r="U494" i="2"/>
  <c r="Q495" i="2"/>
  <c r="U495" i="2"/>
  <c r="Q496" i="2"/>
  <c r="U496" i="2"/>
  <c r="Q497" i="2"/>
  <c r="U497" i="2"/>
  <c r="Q498" i="2"/>
  <c r="U498" i="2"/>
  <c r="Q499" i="2"/>
  <c r="U499" i="2"/>
  <c r="Q500" i="2"/>
  <c r="U500" i="2"/>
  <c r="Q501" i="2"/>
  <c r="U501" i="2"/>
  <c r="Q502" i="2"/>
  <c r="U502" i="2"/>
  <c r="Q503" i="2"/>
  <c r="U503" i="2"/>
  <c r="Q504" i="2"/>
  <c r="U504" i="2"/>
  <c r="Q505" i="2"/>
  <c r="U505" i="2"/>
  <c r="Q506" i="2"/>
  <c r="U506" i="2"/>
  <c r="Q507" i="2"/>
  <c r="U507" i="2"/>
  <c r="Q508" i="2"/>
  <c r="U508" i="2"/>
  <c r="Q509" i="2"/>
  <c r="U509" i="2"/>
  <c r="Q510" i="2"/>
  <c r="U510" i="2"/>
  <c r="Q511" i="2"/>
  <c r="U511" i="2"/>
  <c r="Q512" i="2"/>
  <c r="U512" i="2"/>
  <c r="Q513" i="2"/>
  <c r="U513" i="2"/>
  <c r="Q514" i="2"/>
  <c r="U514" i="2"/>
  <c r="Q515" i="2"/>
  <c r="U515" i="2"/>
  <c r="Q516" i="2"/>
  <c r="U516" i="2"/>
  <c r="Q517" i="2"/>
  <c r="U517" i="2"/>
  <c r="Q518" i="2"/>
  <c r="U518" i="2"/>
  <c r="Q519" i="2"/>
  <c r="U519" i="2"/>
  <c r="Q520" i="2"/>
  <c r="U520" i="2"/>
  <c r="Q521" i="2"/>
  <c r="U521" i="2"/>
  <c r="Q522" i="2"/>
  <c r="U522" i="2"/>
  <c r="Q523" i="2"/>
  <c r="U523" i="2"/>
  <c r="Q524" i="2"/>
  <c r="U524" i="2"/>
  <c r="Q525" i="2"/>
  <c r="U525" i="2"/>
  <c r="Q526" i="2"/>
  <c r="U526" i="2"/>
  <c r="Q527" i="2"/>
  <c r="U527" i="2"/>
  <c r="Q528" i="2"/>
  <c r="U528" i="2"/>
  <c r="Q529" i="2"/>
  <c r="U529" i="2"/>
  <c r="Q530" i="2"/>
  <c r="U530" i="2"/>
  <c r="Q531" i="2"/>
  <c r="U531" i="2"/>
  <c r="Q532" i="2"/>
  <c r="U532" i="2"/>
  <c r="Q533" i="2"/>
  <c r="U533" i="2"/>
  <c r="Q534" i="2"/>
  <c r="U534" i="2"/>
  <c r="Q535" i="2"/>
  <c r="U535" i="2"/>
  <c r="Q536" i="2"/>
  <c r="U536" i="2"/>
  <c r="Q537" i="2"/>
  <c r="U537" i="2"/>
  <c r="Q538" i="2"/>
  <c r="U538" i="2"/>
  <c r="Q539" i="2"/>
  <c r="U539" i="2"/>
  <c r="Q540" i="2"/>
  <c r="U540" i="2"/>
  <c r="Q541" i="2"/>
  <c r="U541" i="2"/>
  <c r="Q542" i="2"/>
  <c r="U542" i="2"/>
  <c r="Q543" i="2"/>
  <c r="U543" i="2"/>
  <c r="Q544" i="2"/>
  <c r="U544" i="2"/>
  <c r="Q545" i="2"/>
  <c r="U545" i="2"/>
  <c r="Q546" i="2"/>
  <c r="U546" i="2"/>
  <c r="Q547" i="2"/>
  <c r="U547" i="2"/>
  <c r="Q548" i="2"/>
  <c r="U548" i="2"/>
  <c r="Q549" i="2"/>
  <c r="U549" i="2"/>
  <c r="Q550" i="2"/>
  <c r="U550" i="2"/>
  <c r="Q551" i="2"/>
  <c r="U551" i="2"/>
  <c r="Q552" i="2"/>
  <c r="U552" i="2"/>
  <c r="Q553" i="2"/>
  <c r="U553" i="2"/>
  <c r="Q554" i="2"/>
  <c r="U554" i="2"/>
  <c r="Q555" i="2"/>
  <c r="U555" i="2"/>
  <c r="Q556" i="2"/>
  <c r="U556" i="2"/>
  <c r="Q557" i="2"/>
  <c r="U557" i="2"/>
  <c r="Q558" i="2"/>
  <c r="U558" i="2"/>
  <c r="Q559" i="2"/>
  <c r="U559" i="2"/>
  <c r="Q560" i="2"/>
  <c r="U560" i="2"/>
  <c r="Q561" i="2"/>
  <c r="U561" i="2"/>
  <c r="Q562" i="2"/>
  <c r="U562" i="2"/>
  <c r="Q563" i="2"/>
  <c r="U563" i="2"/>
  <c r="Q564" i="2"/>
  <c r="U564" i="2"/>
  <c r="Q565" i="2"/>
  <c r="U565" i="2"/>
  <c r="Q566" i="2"/>
  <c r="U566" i="2"/>
  <c r="Q567" i="2"/>
  <c r="U567" i="2"/>
  <c r="Q568" i="2"/>
  <c r="U568" i="2"/>
  <c r="Q569" i="2"/>
  <c r="U569" i="2"/>
  <c r="Q570" i="2"/>
  <c r="U570" i="2"/>
  <c r="Q571" i="2"/>
  <c r="U571" i="2"/>
  <c r="Q572" i="2"/>
  <c r="U572" i="2"/>
  <c r="Q573" i="2"/>
  <c r="U573" i="2"/>
  <c r="Q574" i="2"/>
  <c r="U574" i="2"/>
  <c r="Q575" i="2"/>
  <c r="U575" i="2"/>
  <c r="Q576" i="2"/>
  <c r="U576" i="2"/>
  <c r="Q577" i="2"/>
  <c r="U577" i="2"/>
  <c r="Q578" i="2"/>
  <c r="U578" i="2"/>
  <c r="Q579" i="2"/>
  <c r="U579" i="2"/>
  <c r="Q580" i="2"/>
  <c r="U580" i="2"/>
  <c r="Q581" i="2"/>
  <c r="U581" i="2"/>
  <c r="Q582" i="2"/>
  <c r="U582" i="2"/>
  <c r="Q583" i="2"/>
  <c r="U583" i="2"/>
  <c r="Q584" i="2"/>
  <c r="U584" i="2"/>
  <c r="Q585" i="2"/>
  <c r="U585" i="2"/>
  <c r="Q586" i="2"/>
  <c r="U586" i="2"/>
  <c r="Q587" i="2"/>
  <c r="U587" i="2"/>
  <c r="Q588" i="2"/>
  <c r="U588" i="2"/>
  <c r="Q589" i="2"/>
  <c r="U589" i="2"/>
  <c r="Q590" i="2"/>
  <c r="U590" i="2"/>
  <c r="Q591" i="2"/>
  <c r="U591" i="2"/>
  <c r="Q592" i="2"/>
  <c r="U592" i="2"/>
  <c r="Q593" i="2"/>
  <c r="U593" i="2"/>
  <c r="Q168" i="2"/>
  <c r="U200" i="2"/>
  <c r="U232" i="2"/>
  <c r="U264" i="2"/>
  <c r="Q284" i="2"/>
  <c r="Q292" i="2"/>
  <c r="Q300" i="2"/>
  <c r="Q308" i="2"/>
  <c r="Q316" i="2"/>
  <c r="Q324" i="2"/>
  <c r="Q332" i="2"/>
  <c r="Q340" i="2"/>
  <c r="Q346" i="2"/>
  <c r="Q350" i="2"/>
  <c r="Q354" i="2"/>
  <c r="Q358" i="2"/>
  <c r="Q362" i="2"/>
  <c r="Q366" i="2"/>
  <c r="Q370" i="2"/>
  <c r="Q374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P472" i="2"/>
  <c r="U472" i="2"/>
  <c r="S473" i="2"/>
  <c r="P474" i="2"/>
  <c r="U474" i="2"/>
  <c r="S475" i="2"/>
  <c r="P476" i="2"/>
  <c r="U476" i="2"/>
  <c r="S477" i="2"/>
  <c r="P478" i="2"/>
  <c r="U478" i="2"/>
  <c r="S479" i="2"/>
  <c r="P480" i="2"/>
  <c r="U480" i="2"/>
  <c r="S481" i="2"/>
  <c r="P482" i="2"/>
  <c r="U482" i="2"/>
  <c r="S483" i="2"/>
  <c r="P484" i="2"/>
  <c r="U484" i="2"/>
  <c r="S485" i="2"/>
  <c r="P486" i="2"/>
  <c r="U486" i="2"/>
  <c r="S487" i="2"/>
  <c r="P488" i="2"/>
  <c r="U488" i="2"/>
  <c r="R489" i="2"/>
  <c r="N490" i="2"/>
  <c r="R490" i="2"/>
  <c r="N491" i="2"/>
  <c r="R491" i="2"/>
  <c r="N492" i="2"/>
  <c r="R492" i="2"/>
  <c r="N493" i="2"/>
  <c r="R493" i="2"/>
  <c r="N494" i="2"/>
  <c r="R494" i="2"/>
  <c r="N495" i="2"/>
  <c r="R495" i="2"/>
  <c r="N496" i="2"/>
  <c r="R496" i="2"/>
  <c r="N497" i="2"/>
  <c r="R497" i="2"/>
  <c r="N498" i="2"/>
  <c r="R498" i="2"/>
  <c r="N499" i="2"/>
  <c r="R499" i="2"/>
  <c r="N500" i="2"/>
  <c r="R500" i="2"/>
  <c r="N501" i="2"/>
  <c r="R501" i="2"/>
  <c r="N502" i="2"/>
  <c r="R502" i="2"/>
  <c r="N503" i="2"/>
  <c r="R503" i="2"/>
  <c r="N504" i="2"/>
  <c r="R504" i="2"/>
  <c r="N505" i="2"/>
  <c r="R505" i="2"/>
  <c r="N506" i="2"/>
  <c r="R506" i="2"/>
  <c r="N507" i="2"/>
  <c r="R507" i="2"/>
  <c r="N508" i="2"/>
  <c r="R508" i="2"/>
  <c r="N509" i="2"/>
  <c r="R509" i="2"/>
  <c r="N510" i="2"/>
  <c r="R510" i="2"/>
  <c r="N511" i="2"/>
  <c r="R511" i="2"/>
  <c r="N512" i="2"/>
  <c r="R512" i="2"/>
  <c r="N513" i="2"/>
  <c r="R513" i="2"/>
  <c r="N514" i="2"/>
  <c r="R514" i="2"/>
  <c r="N515" i="2"/>
  <c r="R515" i="2"/>
  <c r="N516" i="2"/>
  <c r="R516" i="2"/>
  <c r="N517" i="2"/>
  <c r="R517" i="2"/>
  <c r="N518" i="2"/>
  <c r="R518" i="2"/>
  <c r="N519" i="2"/>
  <c r="R519" i="2"/>
  <c r="N520" i="2"/>
  <c r="R520" i="2"/>
  <c r="N521" i="2"/>
  <c r="R521" i="2"/>
  <c r="N522" i="2"/>
  <c r="R522" i="2"/>
  <c r="N523" i="2"/>
  <c r="R523" i="2"/>
  <c r="N524" i="2"/>
  <c r="R524" i="2"/>
  <c r="N525" i="2"/>
  <c r="R525" i="2"/>
  <c r="N526" i="2"/>
  <c r="R526" i="2"/>
  <c r="N527" i="2"/>
  <c r="R527" i="2"/>
  <c r="N528" i="2"/>
  <c r="R528" i="2"/>
  <c r="N529" i="2"/>
  <c r="R529" i="2"/>
  <c r="N530" i="2"/>
  <c r="R530" i="2"/>
  <c r="N531" i="2"/>
  <c r="R531" i="2"/>
  <c r="N532" i="2"/>
  <c r="R532" i="2"/>
  <c r="N533" i="2"/>
  <c r="R533" i="2"/>
  <c r="N534" i="2"/>
  <c r="R534" i="2"/>
  <c r="N535" i="2"/>
  <c r="R535" i="2"/>
  <c r="N536" i="2"/>
  <c r="R536" i="2"/>
  <c r="N537" i="2"/>
  <c r="R537" i="2"/>
  <c r="N538" i="2"/>
  <c r="R538" i="2"/>
  <c r="N539" i="2"/>
  <c r="R539" i="2"/>
  <c r="N540" i="2"/>
  <c r="R540" i="2"/>
  <c r="N541" i="2"/>
  <c r="R541" i="2"/>
  <c r="N542" i="2"/>
  <c r="R542" i="2"/>
  <c r="N543" i="2"/>
  <c r="R543" i="2"/>
  <c r="N544" i="2"/>
  <c r="R544" i="2"/>
  <c r="N545" i="2"/>
  <c r="R545" i="2"/>
  <c r="N546" i="2"/>
  <c r="R546" i="2"/>
  <c r="N547" i="2"/>
  <c r="R547" i="2"/>
  <c r="N548" i="2"/>
  <c r="R548" i="2"/>
  <c r="N549" i="2"/>
  <c r="R549" i="2"/>
  <c r="N550" i="2"/>
  <c r="R550" i="2"/>
  <c r="N551" i="2"/>
  <c r="R551" i="2"/>
  <c r="N552" i="2"/>
  <c r="R552" i="2"/>
  <c r="N553" i="2"/>
  <c r="R553" i="2"/>
  <c r="N554" i="2"/>
  <c r="R554" i="2"/>
  <c r="N555" i="2"/>
  <c r="R555" i="2"/>
  <c r="N556" i="2"/>
  <c r="R556" i="2"/>
  <c r="N557" i="2"/>
  <c r="R557" i="2"/>
  <c r="N558" i="2"/>
  <c r="R558" i="2"/>
  <c r="N559" i="2"/>
  <c r="R559" i="2"/>
  <c r="N560" i="2"/>
  <c r="R560" i="2"/>
  <c r="N561" i="2"/>
  <c r="R561" i="2"/>
  <c r="N562" i="2"/>
  <c r="R562" i="2"/>
  <c r="N563" i="2"/>
  <c r="R563" i="2"/>
  <c r="N564" i="2"/>
  <c r="R564" i="2"/>
  <c r="N565" i="2"/>
  <c r="R565" i="2"/>
  <c r="N566" i="2"/>
  <c r="R566" i="2"/>
  <c r="N567" i="2"/>
  <c r="R567" i="2"/>
  <c r="N568" i="2"/>
  <c r="R568" i="2"/>
  <c r="N569" i="2"/>
  <c r="R569" i="2"/>
  <c r="N570" i="2"/>
  <c r="R570" i="2"/>
  <c r="N571" i="2"/>
  <c r="R571" i="2"/>
  <c r="N572" i="2"/>
  <c r="R572" i="2"/>
  <c r="N573" i="2"/>
  <c r="R573" i="2"/>
  <c r="N574" i="2"/>
  <c r="R574" i="2"/>
  <c r="N575" i="2"/>
  <c r="R575" i="2"/>
  <c r="N576" i="2"/>
  <c r="R576" i="2"/>
  <c r="N577" i="2"/>
  <c r="R577" i="2"/>
  <c r="N578" i="2"/>
  <c r="R578" i="2"/>
  <c r="N579" i="2"/>
  <c r="R579" i="2"/>
  <c r="N580" i="2"/>
  <c r="R580" i="2"/>
  <c r="N581" i="2"/>
  <c r="R581" i="2"/>
  <c r="N582" i="2"/>
  <c r="R582" i="2"/>
  <c r="N583" i="2"/>
  <c r="R583" i="2"/>
  <c r="N584" i="2"/>
  <c r="R584" i="2"/>
  <c r="N585" i="2"/>
  <c r="R585" i="2"/>
  <c r="N586" i="2"/>
  <c r="R586" i="2"/>
  <c r="N587" i="2"/>
  <c r="R587" i="2"/>
  <c r="N588" i="2"/>
  <c r="R588" i="2"/>
  <c r="N589" i="2"/>
  <c r="R589" i="2"/>
  <c r="N590" i="2"/>
  <c r="R590" i="2"/>
  <c r="N591" i="2"/>
  <c r="R591" i="2"/>
  <c r="N592" i="2"/>
  <c r="R592" i="2"/>
  <c r="N593" i="2"/>
  <c r="R593" i="2"/>
  <c r="N594" i="2"/>
  <c r="R594" i="2"/>
  <c r="N595" i="2"/>
  <c r="R595" i="2"/>
  <c r="N596" i="2"/>
  <c r="R596" i="2"/>
  <c r="N597" i="2"/>
  <c r="R597" i="2"/>
  <c r="N598" i="2"/>
  <c r="R598" i="2"/>
  <c r="N599" i="2"/>
  <c r="R599" i="2"/>
  <c r="N600" i="2"/>
  <c r="R600" i="2"/>
  <c r="N601" i="2"/>
  <c r="R601" i="2"/>
  <c r="N602" i="2"/>
  <c r="R602" i="2"/>
  <c r="N603" i="2"/>
  <c r="R603" i="2"/>
  <c r="N604" i="2"/>
  <c r="R604" i="2"/>
  <c r="N605" i="2"/>
  <c r="R605" i="2"/>
  <c r="N606" i="2"/>
  <c r="R606" i="2"/>
  <c r="N607" i="2"/>
  <c r="R607" i="2"/>
  <c r="N608" i="2"/>
  <c r="R608" i="2"/>
  <c r="N609" i="2"/>
  <c r="R609" i="2"/>
  <c r="N610" i="2"/>
  <c r="R610" i="2"/>
  <c r="N611" i="2"/>
  <c r="R611" i="2"/>
  <c r="N612" i="2"/>
  <c r="R612" i="2"/>
  <c r="N613" i="2"/>
  <c r="R613" i="2"/>
  <c r="N614" i="2"/>
  <c r="R614" i="2"/>
  <c r="N615" i="2"/>
  <c r="R615" i="2"/>
  <c r="N616" i="2"/>
  <c r="R616" i="2"/>
  <c r="N617" i="2"/>
  <c r="R617" i="2"/>
  <c r="N618" i="2"/>
  <c r="R618" i="2"/>
  <c r="N619" i="2"/>
  <c r="R619" i="2"/>
  <c r="N620" i="2"/>
  <c r="R620" i="2"/>
  <c r="N621" i="2"/>
  <c r="R621" i="2"/>
  <c r="N622" i="2"/>
  <c r="R622" i="2"/>
  <c r="N623" i="2"/>
  <c r="R623" i="2"/>
  <c r="N624" i="2"/>
  <c r="R624" i="2"/>
  <c r="N625" i="2"/>
  <c r="R625" i="2"/>
  <c r="N626" i="2"/>
  <c r="R626" i="2"/>
  <c r="N627" i="2"/>
  <c r="R627" i="2"/>
  <c r="N628" i="2"/>
  <c r="R628" i="2"/>
  <c r="N629" i="2"/>
  <c r="R629" i="2"/>
  <c r="N630" i="2"/>
  <c r="R630" i="2"/>
  <c r="N631" i="2"/>
  <c r="R631" i="2"/>
  <c r="N632" i="2"/>
  <c r="R632" i="2"/>
  <c r="N633" i="2"/>
  <c r="R633" i="2"/>
  <c r="N634" i="2"/>
  <c r="R634" i="2"/>
  <c r="N635" i="2"/>
  <c r="R635" i="2"/>
  <c r="N636" i="2"/>
  <c r="R636" i="2"/>
  <c r="N637" i="2"/>
  <c r="R637" i="2"/>
  <c r="N638" i="2"/>
  <c r="R638" i="2"/>
  <c r="N639" i="2"/>
  <c r="R639" i="2"/>
  <c r="N640" i="2"/>
  <c r="R640" i="2"/>
  <c r="N641" i="2"/>
  <c r="R641" i="2"/>
  <c r="N642" i="2"/>
  <c r="R642" i="2"/>
  <c r="N643" i="2"/>
  <c r="R643" i="2"/>
  <c r="N644" i="2"/>
  <c r="R644" i="2"/>
  <c r="N645" i="2"/>
  <c r="R645" i="2"/>
  <c r="N646" i="2"/>
  <c r="R646" i="2"/>
  <c r="N647" i="2"/>
  <c r="R647" i="2"/>
  <c r="N648" i="2"/>
  <c r="R648" i="2"/>
  <c r="N649" i="2"/>
  <c r="R649" i="2"/>
  <c r="N650" i="2"/>
  <c r="R650" i="2"/>
  <c r="N651" i="2"/>
  <c r="R651" i="2"/>
  <c r="N652" i="2"/>
  <c r="R652" i="2"/>
  <c r="N653" i="2"/>
  <c r="R653" i="2"/>
  <c r="N654" i="2"/>
  <c r="R654" i="2"/>
  <c r="N655" i="2"/>
  <c r="R655" i="2"/>
  <c r="N656" i="2"/>
  <c r="R656" i="2"/>
  <c r="N657" i="2"/>
  <c r="R657" i="2"/>
  <c r="N658" i="2"/>
  <c r="R658" i="2"/>
  <c r="N659" i="2"/>
  <c r="R659" i="2"/>
  <c r="N660" i="2"/>
  <c r="R660" i="2"/>
  <c r="N661" i="2"/>
  <c r="R661" i="2"/>
  <c r="N662" i="2"/>
  <c r="R662" i="2"/>
  <c r="N663" i="2"/>
  <c r="R663" i="2"/>
  <c r="N664" i="2"/>
  <c r="R664" i="2"/>
  <c r="N665" i="2"/>
  <c r="R665" i="2"/>
  <c r="N666" i="2"/>
  <c r="R666" i="2"/>
  <c r="N667" i="2"/>
  <c r="R667" i="2"/>
  <c r="N668" i="2"/>
  <c r="R668" i="2"/>
  <c r="N669" i="2"/>
  <c r="R669" i="2"/>
  <c r="N670" i="2"/>
  <c r="R670" i="2"/>
  <c r="N671" i="2"/>
  <c r="R671" i="2"/>
  <c r="N672" i="2"/>
  <c r="R672" i="2"/>
  <c r="N673" i="2"/>
  <c r="R673" i="2"/>
  <c r="U176" i="2"/>
  <c r="U208" i="2"/>
  <c r="U240" i="2"/>
  <c r="U272" i="2"/>
  <c r="Q286" i="2"/>
  <c r="Q294" i="2"/>
  <c r="Q302" i="2"/>
  <c r="Q310" i="2"/>
  <c r="Q318" i="2"/>
  <c r="Q326" i="2"/>
  <c r="Q334" i="2"/>
  <c r="Q342" i="2"/>
  <c r="U346" i="2"/>
  <c r="U350" i="2"/>
  <c r="U354" i="2"/>
  <c r="U358" i="2"/>
  <c r="U362" i="2"/>
  <c r="U366" i="2"/>
  <c r="U370" i="2"/>
  <c r="U374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U184" i="2"/>
  <c r="Q288" i="2"/>
  <c r="Q320" i="2"/>
  <c r="Q348" i="2"/>
  <c r="Q364" i="2"/>
  <c r="O377" i="2"/>
  <c r="O381" i="2"/>
  <c r="O385" i="2"/>
  <c r="O389" i="2"/>
  <c r="O393" i="2"/>
  <c r="O397" i="2"/>
  <c r="O401" i="2"/>
  <c r="O405" i="2"/>
  <c r="O409" i="2"/>
  <c r="O413" i="2"/>
  <c r="O417" i="2"/>
  <c r="O419" i="2"/>
  <c r="O421" i="2"/>
  <c r="O423" i="2"/>
  <c r="O425" i="2"/>
  <c r="O427" i="2"/>
  <c r="O429" i="2"/>
  <c r="O431" i="2"/>
  <c r="O433" i="2"/>
  <c r="O435" i="2"/>
  <c r="O437" i="2"/>
  <c r="O439" i="2"/>
  <c r="O441" i="2"/>
  <c r="O443" i="2"/>
  <c r="O445" i="2"/>
  <c r="O447" i="2"/>
  <c r="O449" i="2"/>
  <c r="O451" i="2"/>
  <c r="O453" i="2"/>
  <c r="O455" i="2"/>
  <c r="O457" i="2"/>
  <c r="O459" i="2"/>
  <c r="O461" i="2"/>
  <c r="O463" i="2"/>
  <c r="O465" i="2"/>
  <c r="O467" i="2"/>
  <c r="O469" i="2"/>
  <c r="O471" i="2"/>
  <c r="S472" i="2"/>
  <c r="U473" i="2"/>
  <c r="P475" i="2"/>
  <c r="S476" i="2"/>
  <c r="U477" i="2"/>
  <c r="P479" i="2"/>
  <c r="S480" i="2"/>
  <c r="U481" i="2"/>
  <c r="P483" i="2"/>
  <c r="S484" i="2"/>
  <c r="U485" i="2"/>
  <c r="P487" i="2"/>
  <c r="S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S594" i="2"/>
  <c r="P595" i="2"/>
  <c r="U595" i="2"/>
  <c r="S596" i="2"/>
  <c r="P597" i="2"/>
  <c r="U597" i="2"/>
  <c r="S598" i="2"/>
  <c r="P599" i="2"/>
  <c r="U599" i="2"/>
  <c r="S600" i="2"/>
  <c r="P601" i="2"/>
  <c r="U601" i="2"/>
  <c r="S602" i="2"/>
  <c r="P603" i="2"/>
  <c r="U603" i="2"/>
  <c r="S604" i="2"/>
  <c r="P605" i="2"/>
  <c r="U605" i="2"/>
  <c r="S606" i="2"/>
  <c r="P607" i="2"/>
  <c r="U607" i="2"/>
  <c r="S608" i="2"/>
  <c r="P609" i="2"/>
  <c r="U609" i="2"/>
  <c r="S610" i="2"/>
  <c r="P611" i="2"/>
  <c r="U611" i="2"/>
  <c r="S612" i="2"/>
  <c r="P613" i="2"/>
  <c r="U613" i="2"/>
  <c r="S614" i="2"/>
  <c r="P615" i="2"/>
  <c r="U615" i="2"/>
  <c r="S616" i="2"/>
  <c r="P617" i="2"/>
  <c r="U617" i="2"/>
  <c r="S618" i="2"/>
  <c r="P619" i="2"/>
  <c r="U619" i="2"/>
  <c r="S620" i="2"/>
  <c r="P621" i="2"/>
  <c r="U621" i="2"/>
  <c r="S622" i="2"/>
  <c r="P623" i="2"/>
  <c r="U623" i="2"/>
  <c r="S624" i="2"/>
  <c r="P625" i="2"/>
  <c r="U625" i="2"/>
  <c r="S626" i="2"/>
  <c r="P627" i="2"/>
  <c r="U627" i="2"/>
  <c r="S628" i="2"/>
  <c r="P629" i="2"/>
  <c r="U629" i="2"/>
  <c r="S630" i="2"/>
  <c r="P631" i="2"/>
  <c r="U631" i="2"/>
  <c r="S632" i="2"/>
  <c r="P633" i="2"/>
  <c r="U633" i="2"/>
  <c r="S634" i="2"/>
  <c r="P635" i="2"/>
  <c r="U635" i="2"/>
  <c r="S636" i="2"/>
  <c r="P637" i="2"/>
  <c r="U637" i="2"/>
  <c r="S638" i="2"/>
  <c r="P639" i="2"/>
  <c r="U639" i="2"/>
  <c r="S640" i="2"/>
  <c r="P641" i="2"/>
  <c r="U641" i="2"/>
  <c r="S642" i="2"/>
  <c r="P643" i="2"/>
  <c r="U643" i="2"/>
  <c r="S644" i="2"/>
  <c r="P645" i="2"/>
  <c r="U645" i="2"/>
  <c r="S646" i="2"/>
  <c r="P647" i="2"/>
  <c r="U647" i="2"/>
  <c r="S648" i="2"/>
  <c r="P649" i="2"/>
  <c r="U649" i="2"/>
  <c r="S650" i="2"/>
  <c r="P651" i="2"/>
  <c r="U651" i="2"/>
  <c r="S652" i="2"/>
  <c r="P653" i="2"/>
  <c r="U653" i="2"/>
  <c r="S654" i="2"/>
  <c r="P655" i="2"/>
  <c r="U655" i="2"/>
  <c r="S656" i="2"/>
  <c r="P657" i="2"/>
  <c r="U657" i="2"/>
  <c r="S658" i="2"/>
  <c r="P659" i="2"/>
  <c r="U659" i="2"/>
  <c r="S660" i="2"/>
  <c r="P661" i="2"/>
  <c r="U661" i="2"/>
  <c r="S662" i="2"/>
  <c r="P663" i="2"/>
  <c r="U663" i="2"/>
  <c r="S664" i="2"/>
  <c r="P665" i="2"/>
  <c r="U665" i="2"/>
  <c r="S666" i="2"/>
  <c r="P667" i="2"/>
  <c r="U667" i="2"/>
  <c r="S668" i="2"/>
  <c r="P669" i="2"/>
  <c r="U669" i="2"/>
  <c r="S670" i="2"/>
  <c r="P671" i="2"/>
  <c r="U671" i="2"/>
  <c r="S672" i="2"/>
  <c r="P673" i="2"/>
  <c r="U673" i="2"/>
  <c r="Q674" i="2"/>
  <c r="U674" i="2"/>
  <c r="Q675" i="2"/>
  <c r="U675" i="2"/>
  <c r="Q676" i="2"/>
  <c r="U676" i="2"/>
  <c r="Q677" i="2"/>
  <c r="U677" i="2"/>
  <c r="Q678" i="2"/>
  <c r="U678" i="2"/>
  <c r="Q679" i="2"/>
  <c r="U679" i="2"/>
  <c r="Q680" i="2"/>
  <c r="U680" i="2"/>
  <c r="Q681" i="2"/>
  <c r="U681" i="2"/>
  <c r="Q682" i="2"/>
  <c r="U682" i="2"/>
  <c r="Q683" i="2"/>
  <c r="U683" i="2"/>
  <c r="Q684" i="2"/>
  <c r="U684" i="2"/>
  <c r="Q685" i="2"/>
  <c r="U685" i="2"/>
  <c r="Q686" i="2"/>
  <c r="U686" i="2"/>
  <c r="Q687" i="2"/>
  <c r="U687" i="2"/>
  <c r="Q688" i="2"/>
  <c r="U688" i="2"/>
  <c r="Q689" i="2"/>
  <c r="U689" i="2"/>
  <c r="Q690" i="2"/>
  <c r="U690" i="2"/>
  <c r="Q691" i="2"/>
  <c r="U691" i="2"/>
  <c r="Q692" i="2"/>
  <c r="U692" i="2"/>
  <c r="Q693" i="2"/>
  <c r="U693" i="2"/>
  <c r="Q694" i="2"/>
  <c r="U694" i="2"/>
  <c r="Q695" i="2"/>
  <c r="U695" i="2"/>
  <c r="Q696" i="2"/>
  <c r="U696" i="2"/>
  <c r="Q697" i="2"/>
  <c r="U697" i="2"/>
  <c r="Q698" i="2"/>
  <c r="U698" i="2"/>
  <c r="Q699" i="2"/>
  <c r="U699" i="2"/>
  <c r="Q700" i="2"/>
  <c r="U700" i="2"/>
  <c r="Q701" i="2"/>
  <c r="U701" i="2"/>
  <c r="Q702" i="2"/>
  <c r="U702" i="2"/>
  <c r="Q703" i="2"/>
  <c r="U703" i="2"/>
  <c r="Q704" i="2"/>
  <c r="U704" i="2"/>
  <c r="Q705" i="2"/>
  <c r="U705" i="2"/>
  <c r="Q706" i="2"/>
  <c r="U706" i="2"/>
  <c r="Q707" i="2"/>
  <c r="U707" i="2"/>
  <c r="Q708" i="2"/>
  <c r="U708" i="2"/>
  <c r="Q709" i="2"/>
  <c r="U709" i="2"/>
  <c r="Q710" i="2"/>
  <c r="U710" i="2"/>
  <c r="Q711" i="2"/>
  <c r="U711" i="2"/>
  <c r="Q712" i="2"/>
  <c r="U712" i="2"/>
  <c r="Q713" i="2"/>
  <c r="U713" i="2"/>
  <c r="Q714" i="2"/>
  <c r="U714" i="2"/>
  <c r="Q715" i="2"/>
  <c r="U715" i="2"/>
  <c r="Q716" i="2"/>
  <c r="U716" i="2"/>
  <c r="Q717" i="2"/>
  <c r="U717" i="2"/>
  <c r="Q718" i="2"/>
  <c r="U718" i="2"/>
  <c r="Q719" i="2"/>
  <c r="U719" i="2"/>
  <c r="Q720" i="2"/>
  <c r="U720" i="2"/>
  <c r="Q721" i="2"/>
  <c r="U721" i="2"/>
  <c r="Q722" i="2"/>
  <c r="U722" i="2"/>
  <c r="Q723" i="2"/>
  <c r="U723" i="2"/>
  <c r="Q724" i="2"/>
  <c r="U724" i="2"/>
  <c r="Q725" i="2"/>
  <c r="U725" i="2"/>
  <c r="Q726" i="2"/>
  <c r="U726" i="2"/>
  <c r="Q727" i="2"/>
  <c r="U727" i="2"/>
  <c r="Q728" i="2"/>
  <c r="U728" i="2"/>
  <c r="Q729" i="2"/>
  <c r="U729" i="2"/>
  <c r="Q730" i="2"/>
  <c r="U730" i="2"/>
  <c r="Q731" i="2"/>
  <c r="U731" i="2"/>
  <c r="Q732" i="2"/>
  <c r="U732" i="2"/>
  <c r="Q733" i="2"/>
  <c r="U733" i="2"/>
  <c r="Q734" i="2"/>
  <c r="U734" i="2"/>
  <c r="Q735" i="2"/>
  <c r="U735" i="2"/>
  <c r="Q736" i="2"/>
  <c r="U736" i="2"/>
  <c r="Q737" i="2"/>
  <c r="U737" i="2"/>
  <c r="Q738" i="2"/>
  <c r="U738" i="2"/>
  <c r="Q739" i="2"/>
  <c r="U739" i="2"/>
  <c r="Q740" i="2"/>
  <c r="U740" i="2"/>
  <c r="Q741" i="2"/>
  <c r="U741" i="2"/>
  <c r="Q742" i="2"/>
  <c r="U742" i="2"/>
  <c r="Q743" i="2"/>
  <c r="U743" i="2"/>
  <c r="Q744" i="2"/>
  <c r="U744" i="2"/>
  <c r="Q745" i="2"/>
  <c r="U745" i="2"/>
  <c r="Q746" i="2"/>
  <c r="U746" i="2"/>
  <c r="Q747" i="2"/>
  <c r="U747" i="2"/>
  <c r="Q748" i="2"/>
  <c r="U748" i="2"/>
  <c r="Q749" i="2"/>
  <c r="U749" i="2"/>
  <c r="Q750" i="2"/>
  <c r="U750" i="2"/>
  <c r="Q751" i="2"/>
  <c r="U751" i="2"/>
  <c r="Q752" i="2"/>
  <c r="U752" i="2"/>
  <c r="Q753" i="2"/>
  <c r="U753" i="2"/>
  <c r="Q754" i="2"/>
  <c r="U754" i="2"/>
  <c r="Q755" i="2"/>
  <c r="U755" i="2"/>
  <c r="Q756" i="2"/>
  <c r="U756" i="2"/>
  <c r="Q757" i="2"/>
  <c r="U757" i="2"/>
  <c r="Q758" i="2"/>
  <c r="U758" i="2"/>
  <c r="Q759" i="2"/>
  <c r="U759" i="2"/>
  <c r="Q760" i="2"/>
  <c r="U760" i="2"/>
  <c r="Q761" i="2"/>
  <c r="U761" i="2"/>
  <c r="Q762" i="2"/>
  <c r="U762" i="2"/>
  <c r="Q763" i="2"/>
  <c r="U763" i="2"/>
  <c r="Q764" i="2"/>
  <c r="U764" i="2"/>
  <c r="Q765" i="2"/>
  <c r="U765" i="2"/>
  <c r="Q766" i="2"/>
  <c r="U766" i="2"/>
  <c r="Q767" i="2"/>
  <c r="U767" i="2"/>
  <c r="Q768" i="2"/>
  <c r="U768" i="2"/>
  <c r="Q769" i="2"/>
  <c r="U769" i="2"/>
  <c r="Q770" i="2"/>
  <c r="U770" i="2"/>
  <c r="Q771" i="2"/>
  <c r="U771" i="2"/>
  <c r="Q772" i="2"/>
  <c r="U772" i="2"/>
  <c r="Q773" i="2"/>
  <c r="U773" i="2"/>
  <c r="Q774" i="2"/>
  <c r="U774" i="2"/>
  <c r="Q775" i="2"/>
  <c r="U775" i="2"/>
  <c r="Q776" i="2"/>
  <c r="U776" i="2"/>
  <c r="Q777" i="2"/>
  <c r="U777" i="2"/>
  <c r="Q778" i="2"/>
  <c r="U778" i="2"/>
  <c r="Q779" i="2"/>
  <c r="U779" i="2"/>
  <c r="Q780" i="2"/>
  <c r="U780" i="2"/>
  <c r="Q781" i="2"/>
  <c r="U781" i="2"/>
  <c r="Q782" i="2"/>
  <c r="U782" i="2"/>
  <c r="Q783" i="2"/>
  <c r="U783" i="2"/>
  <c r="Q784" i="2"/>
  <c r="U784" i="2"/>
  <c r="Q785" i="2"/>
  <c r="U785" i="2"/>
  <c r="Q786" i="2"/>
  <c r="U786" i="2"/>
  <c r="Q787" i="2"/>
  <c r="U787" i="2"/>
  <c r="Q788" i="2"/>
  <c r="U216" i="2"/>
  <c r="Q296" i="2"/>
  <c r="Q328" i="2"/>
  <c r="Q352" i="2"/>
  <c r="Q368" i="2"/>
  <c r="O378" i="2"/>
  <c r="O382" i="2"/>
  <c r="O386" i="2"/>
  <c r="O390" i="2"/>
  <c r="O394" i="2"/>
  <c r="O398" i="2"/>
  <c r="O402" i="2"/>
  <c r="O406" i="2"/>
  <c r="O410" i="2"/>
  <c r="O414" i="2"/>
  <c r="T417" i="2"/>
  <c r="T419" i="2"/>
  <c r="T421" i="2"/>
  <c r="T423" i="2"/>
  <c r="T425" i="2"/>
  <c r="T427" i="2"/>
  <c r="T429" i="2"/>
  <c r="T431" i="2"/>
  <c r="T433" i="2"/>
  <c r="T435" i="2"/>
  <c r="T437" i="2"/>
  <c r="T439" i="2"/>
  <c r="T441" i="2"/>
  <c r="T443" i="2"/>
  <c r="T445" i="2"/>
  <c r="T447" i="2"/>
  <c r="T449" i="2"/>
  <c r="T451" i="2"/>
  <c r="T453" i="2"/>
  <c r="T455" i="2"/>
  <c r="T457" i="2"/>
  <c r="T459" i="2"/>
  <c r="T461" i="2"/>
  <c r="T463" i="2"/>
  <c r="T465" i="2"/>
  <c r="T467" i="2"/>
  <c r="T469" i="2"/>
  <c r="T471" i="2"/>
  <c r="O473" i="2"/>
  <c r="Q474" i="2"/>
  <c r="T475" i="2"/>
  <c r="O477" i="2"/>
  <c r="Q478" i="2"/>
  <c r="T479" i="2"/>
  <c r="O481" i="2"/>
  <c r="Q482" i="2"/>
  <c r="T483" i="2"/>
  <c r="O485" i="2"/>
  <c r="Q486" i="2"/>
  <c r="T487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T594" i="2"/>
  <c r="Q595" i="2"/>
  <c r="O596" i="2"/>
  <c r="T596" i="2"/>
  <c r="Q597" i="2"/>
  <c r="O598" i="2"/>
  <c r="T598" i="2"/>
  <c r="Q599" i="2"/>
  <c r="O600" i="2"/>
  <c r="T600" i="2"/>
  <c r="Q601" i="2"/>
  <c r="O602" i="2"/>
  <c r="T602" i="2"/>
  <c r="Q603" i="2"/>
  <c r="O604" i="2"/>
  <c r="T604" i="2"/>
  <c r="Q605" i="2"/>
  <c r="O606" i="2"/>
  <c r="T606" i="2"/>
  <c r="Q607" i="2"/>
  <c r="O608" i="2"/>
  <c r="T608" i="2"/>
  <c r="Q609" i="2"/>
  <c r="O610" i="2"/>
  <c r="T610" i="2"/>
  <c r="Q611" i="2"/>
  <c r="O612" i="2"/>
  <c r="T612" i="2"/>
  <c r="Q613" i="2"/>
  <c r="O614" i="2"/>
  <c r="T614" i="2"/>
  <c r="Q615" i="2"/>
  <c r="O616" i="2"/>
  <c r="T616" i="2"/>
  <c r="Q617" i="2"/>
  <c r="O618" i="2"/>
  <c r="T618" i="2"/>
  <c r="Q619" i="2"/>
  <c r="O620" i="2"/>
  <c r="T620" i="2"/>
  <c r="Q621" i="2"/>
  <c r="O622" i="2"/>
  <c r="T622" i="2"/>
  <c r="Q623" i="2"/>
  <c r="O624" i="2"/>
  <c r="T624" i="2"/>
  <c r="Q625" i="2"/>
  <c r="O626" i="2"/>
  <c r="T626" i="2"/>
  <c r="Q627" i="2"/>
  <c r="O628" i="2"/>
  <c r="T628" i="2"/>
  <c r="Q629" i="2"/>
  <c r="O630" i="2"/>
  <c r="T630" i="2"/>
  <c r="Q631" i="2"/>
  <c r="O632" i="2"/>
  <c r="T632" i="2"/>
  <c r="Q633" i="2"/>
  <c r="O634" i="2"/>
  <c r="T634" i="2"/>
  <c r="Q635" i="2"/>
  <c r="O636" i="2"/>
  <c r="T636" i="2"/>
  <c r="Q637" i="2"/>
  <c r="O638" i="2"/>
  <c r="T638" i="2"/>
  <c r="Q639" i="2"/>
  <c r="O640" i="2"/>
  <c r="T640" i="2"/>
  <c r="Q641" i="2"/>
  <c r="O642" i="2"/>
  <c r="T642" i="2"/>
  <c r="Q643" i="2"/>
  <c r="O644" i="2"/>
  <c r="T644" i="2"/>
  <c r="Q645" i="2"/>
  <c r="O646" i="2"/>
  <c r="T646" i="2"/>
  <c r="Q647" i="2"/>
  <c r="O648" i="2"/>
  <c r="T648" i="2"/>
  <c r="Q649" i="2"/>
  <c r="O650" i="2"/>
  <c r="T650" i="2"/>
  <c r="Q651" i="2"/>
  <c r="O652" i="2"/>
  <c r="T652" i="2"/>
  <c r="Q653" i="2"/>
  <c r="O654" i="2"/>
  <c r="T654" i="2"/>
  <c r="Q655" i="2"/>
  <c r="O656" i="2"/>
  <c r="T656" i="2"/>
  <c r="Q657" i="2"/>
  <c r="O658" i="2"/>
  <c r="T658" i="2"/>
  <c r="Q659" i="2"/>
  <c r="O660" i="2"/>
  <c r="T660" i="2"/>
  <c r="Q661" i="2"/>
  <c r="O662" i="2"/>
  <c r="T662" i="2"/>
  <c r="Q663" i="2"/>
  <c r="O664" i="2"/>
  <c r="T664" i="2"/>
  <c r="Q665" i="2"/>
  <c r="O666" i="2"/>
  <c r="T666" i="2"/>
  <c r="Q667" i="2"/>
  <c r="O668" i="2"/>
  <c r="T668" i="2"/>
  <c r="Q669" i="2"/>
  <c r="O670" i="2"/>
  <c r="T670" i="2"/>
  <c r="Q671" i="2"/>
  <c r="O672" i="2"/>
  <c r="T672" i="2"/>
  <c r="Q673" i="2"/>
  <c r="N674" i="2"/>
  <c r="R674" i="2"/>
  <c r="N675" i="2"/>
  <c r="R675" i="2"/>
  <c r="N676" i="2"/>
  <c r="R676" i="2"/>
  <c r="N677" i="2"/>
  <c r="R677" i="2"/>
  <c r="N678" i="2"/>
  <c r="R678" i="2"/>
  <c r="N679" i="2"/>
  <c r="R679" i="2"/>
  <c r="N680" i="2"/>
  <c r="R680" i="2"/>
  <c r="N681" i="2"/>
  <c r="R681" i="2"/>
  <c r="N682" i="2"/>
  <c r="R682" i="2"/>
  <c r="N683" i="2"/>
  <c r="R683" i="2"/>
  <c r="N684" i="2"/>
  <c r="R684" i="2"/>
  <c r="N685" i="2"/>
  <c r="R685" i="2"/>
  <c r="N686" i="2"/>
  <c r="R686" i="2"/>
  <c r="N687" i="2"/>
  <c r="R687" i="2"/>
  <c r="N688" i="2"/>
  <c r="R688" i="2"/>
  <c r="N689" i="2"/>
  <c r="R689" i="2"/>
  <c r="N690" i="2"/>
  <c r="R690" i="2"/>
  <c r="N691" i="2"/>
  <c r="R691" i="2"/>
  <c r="N692" i="2"/>
  <c r="R692" i="2"/>
  <c r="N693" i="2"/>
  <c r="R693" i="2"/>
  <c r="N694" i="2"/>
  <c r="R694" i="2"/>
  <c r="N695" i="2"/>
  <c r="R695" i="2"/>
  <c r="N696" i="2"/>
  <c r="R696" i="2"/>
  <c r="N697" i="2"/>
  <c r="R697" i="2"/>
  <c r="N698" i="2"/>
  <c r="R698" i="2"/>
  <c r="N699" i="2"/>
  <c r="R699" i="2"/>
  <c r="N700" i="2"/>
  <c r="R700" i="2"/>
  <c r="N701" i="2"/>
  <c r="R701" i="2"/>
  <c r="N702" i="2"/>
  <c r="R702" i="2"/>
  <c r="N703" i="2"/>
  <c r="R703" i="2"/>
  <c r="N704" i="2"/>
  <c r="R704" i="2"/>
  <c r="N705" i="2"/>
  <c r="R705" i="2"/>
  <c r="N706" i="2"/>
  <c r="R706" i="2"/>
  <c r="N707" i="2"/>
  <c r="R707" i="2"/>
  <c r="N708" i="2"/>
  <c r="R708" i="2"/>
  <c r="N709" i="2"/>
  <c r="R709" i="2"/>
  <c r="N710" i="2"/>
  <c r="R710" i="2"/>
  <c r="N711" i="2"/>
  <c r="R711" i="2"/>
  <c r="N712" i="2"/>
  <c r="R712" i="2"/>
  <c r="N713" i="2"/>
  <c r="R713" i="2"/>
  <c r="N714" i="2"/>
  <c r="R714" i="2"/>
  <c r="N715" i="2"/>
  <c r="R715" i="2"/>
  <c r="N716" i="2"/>
  <c r="R716" i="2"/>
  <c r="N717" i="2"/>
  <c r="R717" i="2"/>
  <c r="N718" i="2"/>
  <c r="R718" i="2"/>
  <c r="N719" i="2"/>
  <c r="R719" i="2"/>
  <c r="N720" i="2"/>
  <c r="R720" i="2"/>
  <c r="N721" i="2"/>
  <c r="R721" i="2"/>
  <c r="N722" i="2"/>
  <c r="R722" i="2"/>
  <c r="N723" i="2"/>
  <c r="R723" i="2"/>
  <c r="N724" i="2"/>
  <c r="R724" i="2"/>
  <c r="N725" i="2"/>
  <c r="R725" i="2"/>
  <c r="N726" i="2"/>
  <c r="R726" i="2"/>
  <c r="N727" i="2"/>
  <c r="R727" i="2"/>
  <c r="N728" i="2"/>
  <c r="R728" i="2"/>
  <c r="N729" i="2"/>
  <c r="R729" i="2"/>
  <c r="N730" i="2"/>
  <c r="R730" i="2"/>
  <c r="N731" i="2"/>
  <c r="R731" i="2"/>
  <c r="N732" i="2"/>
  <c r="R732" i="2"/>
  <c r="N733" i="2"/>
  <c r="R733" i="2"/>
  <c r="N734" i="2"/>
  <c r="R734" i="2"/>
  <c r="N735" i="2"/>
  <c r="R735" i="2"/>
  <c r="N736" i="2"/>
  <c r="R736" i="2"/>
  <c r="N737" i="2"/>
  <c r="R737" i="2"/>
  <c r="N738" i="2"/>
  <c r="R738" i="2"/>
  <c r="N739" i="2"/>
  <c r="R739" i="2"/>
  <c r="N740" i="2"/>
  <c r="R740" i="2"/>
  <c r="N741" i="2"/>
  <c r="R741" i="2"/>
  <c r="N742" i="2"/>
  <c r="R742" i="2"/>
  <c r="N743" i="2"/>
  <c r="R743" i="2"/>
  <c r="N744" i="2"/>
  <c r="R744" i="2"/>
  <c r="N745" i="2"/>
  <c r="R745" i="2"/>
  <c r="N746" i="2"/>
  <c r="R746" i="2"/>
  <c r="N747" i="2"/>
  <c r="R747" i="2"/>
  <c r="N748" i="2"/>
  <c r="R748" i="2"/>
  <c r="N749" i="2"/>
  <c r="R749" i="2"/>
  <c r="N750" i="2"/>
  <c r="R750" i="2"/>
  <c r="N751" i="2"/>
  <c r="R751" i="2"/>
  <c r="N752" i="2"/>
  <c r="R752" i="2"/>
  <c r="N753" i="2"/>
  <c r="R753" i="2"/>
  <c r="N754" i="2"/>
  <c r="R754" i="2"/>
  <c r="N755" i="2"/>
  <c r="R755" i="2"/>
  <c r="N756" i="2"/>
  <c r="R756" i="2"/>
  <c r="N757" i="2"/>
  <c r="R757" i="2"/>
  <c r="N758" i="2"/>
  <c r="R758" i="2"/>
  <c r="N759" i="2"/>
  <c r="R759" i="2"/>
  <c r="N760" i="2"/>
  <c r="R760" i="2"/>
  <c r="N761" i="2"/>
  <c r="R761" i="2"/>
  <c r="N762" i="2"/>
  <c r="R762" i="2"/>
  <c r="N763" i="2"/>
  <c r="R763" i="2"/>
  <c r="N764" i="2"/>
  <c r="R764" i="2"/>
  <c r="N765" i="2"/>
  <c r="R765" i="2"/>
  <c r="N766" i="2"/>
  <c r="R766" i="2"/>
  <c r="N767" i="2"/>
  <c r="R767" i="2"/>
  <c r="N768" i="2"/>
  <c r="R768" i="2"/>
  <c r="N769" i="2"/>
  <c r="R769" i="2"/>
  <c r="N770" i="2"/>
  <c r="R770" i="2"/>
  <c r="N771" i="2"/>
  <c r="R771" i="2"/>
  <c r="N772" i="2"/>
  <c r="R772" i="2"/>
  <c r="N773" i="2"/>
  <c r="R773" i="2"/>
  <c r="N774" i="2"/>
  <c r="R774" i="2"/>
  <c r="N775" i="2"/>
  <c r="R775" i="2"/>
  <c r="N776" i="2"/>
  <c r="R776" i="2"/>
  <c r="N777" i="2"/>
  <c r="R777" i="2"/>
  <c r="N778" i="2"/>
  <c r="R778" i="2"/>
  <c r="N779" i="2"/>
  <c r="R779" i="2"/>
  <c r="N780" i="2"/>
  <c r="R780" i="2"/>
  <c r="N781" i="2"/>
  <c r="R781" i="2"/>
  <c r="N782" i="2"/>
  <c r="R782" i="2"/>
  <c r="N783" i="2"/>
  <c r="R783" i="2"/>
  <c r="N784" i="2"/>
  <c r="R784" i="2"/>
  <c r="N785" i="2"/>
  <c r="R785" i="2"/>
  <c r="N786" i="2"/>
  <c r="R786" i="2"/>
  <c r="N787" i="2"/>
  <c r="R787" i="2"/>
  <c r="N788" i="2"/>
  <c r="R788" i="2"/>
  <c r="N789" i="2"/>
  <c r="R789" i="2"/>
  <c r="N790" i="2"/>
  <c r="U248" i="2"/>
  <c r="Q304" i="2"/>
  <c r="Q336" i="2"/>
  <c r="Q356" i="2"/>
  <c r="Q372" i="2"/>
  <c r="O379" i="2"/>
  <c r="O383" i="2"/>
  <c r="O387" i="2"/>
  <c r="O391" i="2"/>
  <c r="O395" i="2"/>
  <c r="O399" i="2"/>
  <c r="O403" i="2"/>
  <c r="O407" i="2"/>
  <c r="O411" i="2"/>
  <c r="O415" i="2"/>
  <c r="O418" i="2"/>
  <c r="O420" i="2"/>
  <c r="O422" i="2"/>
  <c r="O424" i="2"/>
  <c r="O426" i="2"/>
  <c r="O428" i="2"/>
  <c r="O430" i="2"/>
  <c r="O432" i="2"/>
  <c r="O434" i="2"/>
  <c r="O436" i="2"/>
  <c r="O438" i="2"/>
  <c r="O440" i="2"/>
  <c r="O442" i="2"/>
  <c r="O444" i="2"/>
  <c r="O446" i="2"/>
  <c r="O448" i="2"/>
  <c r="O450" i="2"/>
  <c r="O452" i="2"/>
  <c r="O454" i="2"/>
  <c r="O456" i="2"/>
  <c r="O458" i="2"/>
  <c r="O460" i="2"/>
  <c r="O462" i="2"/>
  <c r="O464" i="2"/>
  <c r="O466" i="2"/>
  <c r="O468" i="2"/>
  <c r="O470" i="2"/>
  <c r="U471" i="2"/>
  <c r="P473" i="2"/>
  <c r="S474" i="2"/>
  <c r="U475" i="2"/>
  <c r="P477" i="2"/>
  <c r="S478" i="2"/>
  <c r="U479" i="2"/>
  <c r="P481" i="2"/>
  <c r="S482" i="2"/>
  <c r="U483" i="2"/>
  <c r="P485" i="2"/>
  <c r="S486" i="2"/>
  <c r="U487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U594" i="2"/>
  <c r="S595" i="2"/>
  <c r="P596" i="2"/>
  <c r="U596" i="2"/>
  <c r="S597" i="2"/>
  <c r="P598" i="2"/>
  <c r="U598" i="2"/>
  <c r="S599" i="2"/>
  <c r="P600" i="2"/>
  <c r="U600" i="2"/>
  <c r="S601" i="2"/>
  <c r="P602" i="2"/>
  <c r="U602" i="2"/>
  <c r="S603" i="2"/>
  <c r="P604" i="2"/>
  <c r="U604" i="2"/>
  <c r="S605" i="2"/>
  <c r="P606" i="2"/>
  <c r="U606" i="2"/>
  <c r="S607" i="2"/>
  <c r="P608" i="2"/>
  <c r="U608" i="2"/>
  <c r="S609" i="2"/>
  <c r="P610" i="2"/>
  <c r="U610" i="2"/>
  <c r="S611" i="2"/>
  <c r="P612" i="2"/>
  <c r="U612" i="2"/>
  <c r="S613" i="2"/>
  <c r="P614" i="2"/>
  <c r="U614" i="2"/>
  <c r="S615" i="2"/>
  <c r="P616" i="2"/>
  <c r="U616" i="2"/>
  <c r="S617" i="2"/>
  <c r="P618" i="2"/>
  <c r="U618" i="2"/>
  <c r="S619" i="2"/>
  <c r="P620" i="2"/>
  <c r="U620" i="2"/>
  <c r="S621" i="2"/>
  <c r="P622" i="2"/>
  <c r="U622" i="2"/>
  <c r="S623" i="2"/>
  <c r="P624" i="2"/>
  <c r="U624" i="2"/>
  <c r="S625" i="2"/>
  <c r="P626" i="2"/>
  <c r="U626" i="2"/>
  <c r="S627" i="2"/>
  <c r="P628" i="2"/>
  <c r="U628" i="2"/>
  <c r="S629" i="2"/>
  <c r="P630" i="2"/>
  <c r="U630" i="2"/>
  <c r="S631" i="2"/>
  <c r="P632" i="2"/>
  <c r="U632" i="2"/>
  <c r="S633" i="2"/>
  <c r="P634" i="2"/>
  <c r="U634" i="2"/>
  <c r="S635" i="2"/>
  <c r="P636" i="2"/>
  <c r="U636" i="2"/>
  <c r="S637" i="2"/>
  <c r="P638" i="2"/>
  <c r="U638" i="2"/>
  <c r="S639" i="2"/>
  <c r="P640" i="2"/>
  <c r="U640" i="2"/>
  <c r="S641" i="2"/>
  <c r="P642" i="2"/>
  <c r="U642" i="2"/>
  <c r="S643" i="2"/>
  <c r="P644" i="2"/>
  <c r="U644" i="2"/>
  <c r="S645" i="2"/>
  <c r="P646" i="2"/>
  <c r="U646" i="2"/>
  <c r="S647" i="2"/>
  <c r="P648" i="2"/>
  <c r="U648" i="2"/>
  <c r="S649" i="2"/>
  <c r="P650" i="2"/>
  <c r="U650" i="2"/>
  <c r="S651" i="2"/>
  <c r="P652" i="2"/>
  <c r="U652" i="2"/>
  <c r="S653" i="2"/>
  <c r="P654" i="2"/>
  <c r="U654" i="2"/>
  <c r="S655" i="2"/>
  <c r="P656" i="2"/>
  <c r="U656" i="2"/>
  <c r="S657" i="2"/>
  <c r="P658" i="2"/>
  <c r="U658" i="2"/>
  <c r="S659" i="2"/>
  <c r="P660" i="2"/>
  <c r="U660" i="2"/>
  <c r="S661" i="2"/>
  <c r="P662" i="2"/>
  <c r="U662" i="2"/>
  <c r="S663" i="2"/>
  <c r="P664" i="2"/>
  <c r="U664" i="2"/>
  <c r="S665" i="2"/>
  <c r="P666" i="2"/>
  <c r="U666" i="2"/>
  <c r="S667" i="2"/>
  <c r="P668" i="2"/>
  <c r="U668" i="2"/>
  <c r="S669" i="2"/>
  <c r="P670" i="2"/>
  <c r="U670" i="2"/>
  <c r="S671" i="2"/>
  <c r="P672" i="2"/>
  <c r="U672" i="2"/>
  <c r="S673" i="2"/>
  <c r="O674" i="2"/>
  <c r="S674" i="2"/>
  <c r="O675" i="2"/>
  <c r="S675" i="2"/>
  <c r="O676" i="2"/>
  <c r="S676" i="2"/>
  <c r="O677" i="2"/>
  <c r="S677" i="2"/>
  <c r="O678" i="2"/>
  <c r="S678" i="2"/>
  <c r="O679" i="2"/>
  <c r="S679" i="2"/>
  <c r="O680" i="2"/>
  <c r="S680" i="2"/>
  <c r="O681" i="2"/>
  <c r="S681" i="2"/>
  <c r="O682" i="2"/>
  <c r="S682" i="2"/>
  <c r="O683" i="2"/>
  <c r="S683" i="2"/>
  <c r="O684" i="2"/>
  <c r="S684" i="2"/>
  <c r="O685" i="2"/>
  <c r="S685" i="2"/>
  <c r="O686" i="2"/>
  <c r="S686" i="2"/>
  <c r="O687" i="2"/>
  <c r="S687" i="2"/>
  <c r="O688" i="2"/>
  <c r="S688" i="2"/>
  <c r="O689" i="2"/>
  <c r="S689" i="2"/>
  <c r="O690" i="2"/>
  <c r="S690" i="2"/>
  <c r="O691" i="2"/>
  <c r="S691" i="2"/>
  <c r="O692" i="2"/>
  <c r="S692" i="2"/>
  <c r="O693" i="2"/>
  <c r="S693" i="2"/>
  <c r="O694" i="2"/>
  <c r="S694" i="2"/>
  <c r="O695" i="2"/>
  <c r="S695" i="2"/>
  <c r="O696" i="2"/>
  <c r="S696" i="2"/>
  <c r="O697" i="2"/>
  <c r="S697" i="2"/>
  <c r="O698" i="2"/>
  <c r="S698" i="2"/>
  <c r="O699" i="2"/>
  <c r="S699" i="2"/>
  <c r="O700" i="2"/>
  <c r="S700" i="2"/>
  <c r="O701" i="2"/>
  <c r="S701" i="2"/>
  <c r="O702" i="2"/>
  <c r="S702" i="2"/>
  <c r="O703" i="2"/>
  <c r="S703" i="2"/>
  <c r="O704" i="2"/>
  <c r="S704" i="2"/>
  <c r="O705" i="2"/>
  <c r="S705" i="2"/>
  <c r="O706" i="2"/>
  <c r="S706" i="2"/>
  <c r="O707" i="2"/>
  <c r="S707" i="2"/>
  <c r="O708" i="2"/>
  <c r="S708" i="2"/>
  <c r="O709" i="2"/>
  <c r="S709" i="2"/>
  <c r="O710" i="2"/>
  <c r="S710" i="2"/>
  <c r="O711" i="2"/>
  <c r="S711" i="2"/>
  <c r="O712" i="2"/>
  <c r="S712" i="2"/>
  <c r="O713" i="2"/>
  <c r="S713" i="2"/>
  <c r="O714" i="2"/>
  <c r="S714" i="2"/>
  <c r="O715" i="2"/>
  <c r="S715" i="2"/>
  <c r="O716" i="2"/>
  <c r="S716" i="2"/>
  <c r="O717" i="2"/>
  <c r="S717" i="2"/>
  <c r="O718" i="2"/>
  <c r="S718" i="2"/>
  <c r="O719" i="2"/>
  <c r="S719" i="2"/>
  <c r="O720" i="2"/>
  <c r="S720" i="2"/>
  <c r="O721" i="2"/>
  <c r="S721" i="2"/>
  <c r="O722" i="2"/>
  <c r="S722" i="2"/>
  <c r="O723" i="2"/>
  <c r="S723" i="2"/>
  <c r="O724" i="2"/>
  <c r="S724" i="2"/>
  <c r="O725" i="2"/>
  <c r="S725" i="2"/>
  <c r="O726" i="2"/>
  <c r="S726" i="2"/>
  <c r="O727" i="2"/>
  <c r="S727" i="2"/>
  <c r="O728" i="2"/>
  <c r="S728" i="2"/>
  <c r="O729" i="2"/>
  <c r="S729" i="2"/>
  <c r="O730" i="2"/>
  <c r="S730" i="2"/>
  <c r="O731" i="2"/>
  <c r="S731" i="2"/>
  <c r="O732" i="2"/>
  <c r="S732" i="2"/>
  <c r="O733" i="2"/>
  <c r="S733" i="2"/>
  <c r="O734" i="2"/>
  <c r="S734" i="2"/>
  <c r="O735" i="2"/>
  <c r="S735" i="2"/>
  <c r="O736" i="2"/>
  <c r="S736" i="2"/>
  <c r="O737" i="2"/>
  <c r="S737" i="2"/>
  <c r="O738" i="2"/>
  <c r="S738" i="2"/>
  <c r="O739" i="2"/>
  <c r="S739" i="2"/>
  <c r="O740" i="2"/>
  <c r="S740" i="2"/>
  <c r="O741" i="2"/>
  <c r="S741" i="2"/>
  <c r="O742" i="2"/>
  <c r="S742" i="2"/>
  <c r="O743" i="2"/>
  <c r="S743" i="2"/>
  <c r="O744" i="2"/>
  <c r="S744" i="2"/>
  <c r="O745" i="2"/>
  <c r="S745" i="2"/>
  <c r="O746" i="2"/>
  <c r="S746" i="2"/>
  <c r="O747" i="2"/>
  <c r="S747" i="2"/>
  <c r="O748" i="2"/>
  <c r="S748" i="2"/>
  <c r="O749" i="2"/>
  <c r="S749" i="2"/>
  <c r="O750" i="2"/>
  <c r="S750" i="2"/>
  <c r="O751" i="2"/>
  <c r="S751" i="2"/>
  <c r="O752" i="2"/>
  <c r="S752" i="2"/>
  <c r="O753" i="2"/>
  <c r="S753" i="2"/>
  <c r="O754" i="2"/>
  <c r="S754" i="2"/>
  <c r="O755" i="2"/>
  <c r="S755" i="2"/>
  <c r="O756" i="2"/>
  <c r="S756" i="2"/>
  <c r="O757" i="2"/>
  <c r="S757" i="2"/>
  <c r="O758" i="2"/>
  <c r="S758" i="2"/>
  <c r="O759" i="2"/>
  <c r="S759" i="2"/>
  <c r="O760" i="2"/>
  <c r="S760" i="2"/>
  <c r="O761" i="2"/>
  <c r="S761" i="2"/>
  <c r="O762" i="2"/>
  <c r="S762" i="2"/>
  <c r="O763" i="2"/>
  <c r="S763" i="2"/>
  <c r="O764" i="2"/>
  <c r="S764" i="2"/>
  <c r="O765" i="2"/>
  <c r="S765" i="2"/>
  <c r="O766" i="2"/>
  <c r="S766" i="2"/>
  <c r="O767" i="2"/>
  <c r="S767" i="2"/>
  <c r="O768" i="2"/>
  <c r="S768" i="2"/>
  <c r="O769" i="2"/>
  <c r="S769" i="2"/>
  <c r="O770" i="2"/>
  <c r="S770" i="2"/>
  <c r="O771" i="2"/>
  <c r="S771" i="2"/>
  <c r="O772" i="2"/>
  <c r="S772" i="2"/>
  <c r="O773" i="2"/>
  <c r="S773" i="2"/>
  <c r="O774" i="2"/>
  <c r="S774" i="2"/>
  <c r="O775" i="2"/>
  <c r="S775" i="2"/>
  <c r="O776" i="2"/>
  <c r="S776" i="2"/>
  <c r="O777" i="2"/>
  <c r="S777" i="2"/>
  <c r="O778" i="2"/>
  <c r="S778" i="2"/>
  <c r="O779" i="2"/>
  <c r="S779" i="2"/>
  <c r="O780" i="2"/>
  <c r="S780" i="2"/>
  <c r="O781" i="2"/>
  <c r="S781" i="2"/>
  <c r="O782" i="2"/>
  <c r="S782" i="2"/>
  <c r="O783" i="2"/>
  <c r="S783" i="2"/>
  <c r="O784" i="2"/>
  <c r="S784" i="2"/>
  <c r="O785" i="2"/>
  <c r="S785" i="2"/>
  <c r="O786" i="2"/>
  <c r="S786" i="2"/>
  <c r="O787" i="2"/>
  <c r="S787" i="2"/>
  <c r="O788" i="2"/>
  <c r="S788" i="2"/>
  <c r="O789" i="2"/>
  <c r="Q280" i="2"/>
  <c r="N376" i="2"/>
  <c r="O392" i="2"/>
  <c r="O408" i="2"/>
  <c r="T420" i="2"/>
  <c r="T428" i="2"/>
  <c r="T436" i="2"/>
  <c r="T444" i="2"/>
  <c r="T452" i="2"/>
  <c r="T460" i="2"/>
  <c r="T468" i="2"/>
  <c r="O475" i="2"/>
  <c r="Q480" i="2"/>
  <c r="T485" i="2"/>
  <c r="S490" i="2"/>
  <c r="S494" i="2"/>
  <c r="S498" i="2"/>
  <c r="S502" i="2"/>
  <c r="S506" i="2"/>
  <c r="S510" i="2"/>
  <c r="S514" i="2"/>
  <c r="S518" i="2"/>
  <c r="S522" i="2"/>
  <c r="S526" i="2"/>
  <c r="S530" i="2"/>
  <c r="S534" i="2"/>
  <c r="S538" i="2"/>
  <c r="S542" i="2"/>
  <c r="S546" i="2"/>
  <c r="S550" i="2"/>
  <c r="S554" i="2"/>
  <c r="S558" i="2"/>
  <c r="S562" i="2"/>
  <c r="S566" i="2"/>
  <c r="S570" i="2"/>
  <c r="S574" i="2"/>
  <c r="S578" i="2"/>
  <c r="S582" i="2"/>
  <c r="S586" i="2"/>
  <c r="S590" i="2"/>
  <c r="Q594" i="2"/>
  <c r="O597" i="2"/>
  <c r="T599" i="2"/>
  <c r="Q602" i="2"/>
  <c r="O605" i="2"/>
  <c r="T607" i="2"/>
  <c r="Q610" i="2"/>
  <c r="O613" i="2"/>
  <c r="T615" i="2"/>
  <c r="Q618" i="2"/>
  <c r="O621" i="2"/>
  <c r="T623" i="2"/>
  <c r="Q626" i="2"/>
  <c r="O629" i="2"/>
  <c r="T631" i="2"/>
  <c r="Q634" i="2"/>
  <c r="O637" i="2"/>
  <c r="T639" i="2"/>
  <c r="Q642" i="2"/>
  <c r="O645" i="2"/>
  <c r="T647" i="2"/>
  <c r="Q650" i="2"/>
  <c r="O653" i="2"/>
  <c r="T655" i="2"/>
  <c r="Q658" i="2"/>
  <c r="O661" i="2"/>
  <c r="T663" i="2"/>
  <c r="Q666" i="2"/>
  <c r="O669" i="2"/>
  <c r="T671" i="2"/>
  <c r="P674" i="2"/>
  <c r="P676" i="2"/>
  <c r="P678" i="2"/>
  <c r="P680" i="2"/>
  <c r="P682" i="2"/>
  <c r="P684" i="2"/>
  <c r="P686" i="2"/>
  <c r="P688" i="2"/>
  <c r="P690" i="2"/>
  <c r="P692" i="2"/>
  <c r="P694" i="2"/>
  <c r="P696" i="2"/>
  <c r="P698" i="2"/>
  <c r="P700" i="2"/>
  <c r="P702" i="2"/>
  <c r="P704" i="2"/>
  <c r="P706" i="2"/>
  <c r="P708" i="2"/>
  <c r="P710" i="2"/>
  <c r="P712" i="2"/>
  <c r="P714" i="2"/>
  <c r="P716" i="2"/>
  <c r="P718" i="2"/>
  <c r="P720" i="2"/>
  <c r="P722" i="2"/>
  <c r="P724" i="2"/>
  <c r="P726" i="2"/>
  <c r="P728" i="2"/>
  <c r="P730" i="2"/>
  <c r="P732" i="2"/>
  <c r="P734" i="2"/>
  <c r="P736" i="2"/>
  <c r="P738" i="2"/>
  <c r="P740" i="2"/>
  <c r="P742" i="2"/>
  <c r="P744" i="2"/>
  <c r="P746" i="2"/>
  <c r="P748" i="2"/>
  <c r="P750" i="2"/>
  <c r="P752" i="2"/>
  <c r="P754" i="2"/>
  <c r="P756" i="2"/>
  <c r="P758" i="2"/>
  <c r="P760" i="2"/>
  <c r="P762" i="2"/>
  <c r="P764" i="2"/>
  <c r="P766" i="2"/>
  <c r="P768" i="2"/>
  <c r="P770" i="2"/>
  <c r="P772" i="2"/>
  <c r="P774" i="2"/>
  <c r="P776" i="2"/>
  <c r="P778" i="2"/>
  <c r="P780" i="2"/>
  <c r="P782" i="2"/>
  <c r="P784" i="2"/>
  <c r="P786" i="2"/>
  <c r="P788" i="2"/>
  <c r="Q789" i="2"/>
  <c r="O790" i="2"/>
  <c r="S790" i="2"/>
  <c r="O791" i="2"/>
  <c r="S791" i="2"/>
  <c r="O792" i="2"/>
  <c r="S792" i="2"/>
  <c r="O793" i="2"/>
  <c r="S793" i="2"/>
  <c r="O794" i="2"/>
  <c r="S794" i="2"/>
  <c r="O795" i="2"/>
  <c r="S795" i="2"/>
  <c r="O796" i="2"/>
  <c r="S796" i="2"/>
  <c r="O797" i="2"/>
  <c r="S797" i="2"/>
  <c r="O798" i="2"/>
  <c r="S798" i="2"/>
  <c r="O799" i="2"/>
  <c r="S799" i="2"/>
  <c r="O800" i="2"/>
  <c r="S800" i="2"/>
  <c r="O801" i="2"/>
  <c r="S801" i="2"/>
  <c r="O802" i="2"/>
  <c r="S802" i="2"/>
  <c r="O803" i="2"/>
  <c r="S803" i="2"/>
  <c r="O804" i="2"/>
  <c r="S804" i="2"/>
  <c r="O805" i="2"/>
  <c r="S805" i="2"/>
  <c r="O806" i="2"/>
  <c r="S806" i="2"/>
  <c r="O807" i="2"/>
  <c r="S807" i="2"/>
  <c r="O808" i="2"/>
  <c r="S808" i="2"/>
  <c r="O809" i="2"/>
  <c r="S809" i="2"/>
  <c r="O810" i="2"/>
  <c r="S810" i="2"/>
  <c r="O811" i="2"/>
  <c r="S811" i="2"/>
  <c r="O812" i="2"/>
  <c r="S812" i="2"/>
  <c r="O813" i="2"/>
  <c r="S813" i="2"/>
  <c r="O814" i="2"/>
  <c r="S814" i="2"/>
  <c r="O815" i="2"/>
  <c r="S815" i="2"/>
  <c r="O816" i="2"/>
  <c r="S816" i="2"/>
  <c r="O817" i="2"/>
  <c r="S817" i="2"/>
  <c r="O818" i="2"/>
  <c r="S818" i="2"/>
  <c r="O819" i="2"/>
  <c r="S819" i="2"/>
  <c r="O820" i="2"/>
  <c r="S820" i="2"/>
  <c r="O821" i="2"/>
  <c r="S821" i="2"/>
  <c r="O822" i="2"/>
  <c r="S822" i="2"/>
  <c r="O823" i="2"/>
  <c r="S823" i="2"/>
  <c r="O824" i="2"/>
  <c r="S824" i="2"/>
  <c r="O825" i="2"/>
  <c r="S825" i="2"/>
  <c r="O826" i="2"/>
  <c r="S826" i="2"/>
  <c r="O827" i="2"/>
  <c r="S827" i="2"/>
  <c r="O828" i="2"/>
  <c r="S828" i="2"/>
  <c r="O829" i="2"/>
  <c r="S829" i="2"/>
  <c r="O830" i="2"/>
  <c r="S830" i="2"/>
  <c r="O831" i="2"/>
  <c r="S831" i="2"/>
  <c r="O832" i="2"/>
  <c r="S832" i="2"/>
  <c r="O833" i="2"/>
  <c r="S833" i="2"/>
  <c r="O834" i="2"/>
  <c r="S834" i="2"/>
  <c r="O835" i="2"/>
  <c r="S835" i="2"/>
  <c r="O836" i="2"/>
  <c r="S836" i="2"/>
  <c r="O837" i="2"/>
  <c r="S837" i="2"/>
  <c r="O838" i="2"/>
  <c r="S838" i="2"/>
  <c r="O839" i="2"/>
  <c r="S839" i="2"/>
  <c r="O840" i="2"/>
  <c r="S840" i="2"/>
  <c r="O841" i="2"/>
  <c r="S841" i="2"/>
  <c r="O842" i="2"/>
  <c r="S842" i="2"/>
  <c r="O843" i="2"/>
  <c r="S843" i="2"/>
  <c r="O844" i="2"/>
  <c r="S844" i="2"/>
  <c r="O845" i="2"/>
  <c r="S845" i="2"/>
  <c r="O846" i="2"/>
  <c r="S846" i="2"/>
  <c r="O847" i="2"/>
  <c r="S847" i="2"/>
  <c r="O848" i="2"/>
  <c r="S848" i="2"/>
  <c r="O849" i="2"/>
  <c r="S849" i="2"/>
  <c r="O850" i="2"/>
  <c r="S850" i="2"/>
  <c r="O851" i="2"/>
  <c r="S851" i="2"/>
  <c r="O852" i="2"/>
  <c r="S852" i="2"/>
  <c r="O853" i="2"/>
  <c r="S853" i="2"/>
  <c r="O854" i="2"/>
  <c r="S854" i="2"/>
  <c r="O855" i="2"/>
  <c r="S855" i="2"/>
  <c r="O856" i="2"/>
  <c r="S856" i="2"/>
  <c r="O857" i="2"/>
  <c r="S857" i="2"/>
  <c r="O858" i="2"/>
  <c r="S858" i="2"/>
  <c r="O859" i="2"/>
  <c r="S859" i="2"/>
  <c r="O860" i="2"/>
  <c r="S860" i="2"/>
  <c r="O861" i="2"/>
  <c r="S861" i="2"/>
  <c r="O862" i="2"/>
  <c r="S862" i="2"/>
  <c r="O863" i="2"/>
  <c r="S863" i="2"/>
  <c r="O864" i="2"/>
  <c r="S864" i="2"/>
  <c r="O865" i="2"/>
  <c r="S865" i="2"/>
  <c r="O866" i="2"/>
  <c r="S866" i="2"/>
  <c r="O867" i="2"/>
  <c r="S867" i="2"/>
  <c r="O868" i="2"/>
  <c r="S868" i="2"/>
  <c r="O869" i="2"/>
  <c r="S869" i="2"/>
  <c r="O870" i="2"/>
  <c r="S870" i="2"/>
  <c r="O871" i="2"/>
  <c r="S871" i="2"/>
  <c r="O872" i="2"/>
  <c r="S872" i="2"/>
  <c r="O873" i="2"/>
  <c r="S873" i="2"/>
  <c r="O874" i="2"/>
  <c r="S874" i="2"/>
  <c r="O875" i="2"/>
  <c r="S875" i="2"/>
  <c r="O876" i="2"/>
  <c r="S876" i="2"/>
  <c r="O877" i="2"/>
  <c r="S877" i="2"/>
  <c r="O878" i="2"/>
  <c r="S878" i="2"/>
  <c r="O879" i="2"/>
  <c r="S879" i="2"/>
  <c r="O880" i="2"/>
  <c r="S880" i="2"/>
  <c r="O881" i="2"/>
  <c r="S881" i="2"/>
  <c r="O882" i="2"/>
  <c r="S882" i="2"/>
  <c r="O883" i="2"/>
  <c r="S883" i="2"/>
  <c r="O884" i="2"/>
  <c r="S884" i="2"/>
  <c r="O885" i="2"/>
  <c r="S885" i="2"/>
  <c r="O886" i="2"/>
  <c r="S886" i="2"/>
  <c r="O887" i="2"/>
  <c r="S887" i="2"/>
  <c r="O888" i="2"/>
  <c r="S888" i="2"/>
  <c r="O889" i="2"/>
  <c r="S889" i="2"/>
  <c r="O890" i="2"/>
  <c r="S890" i="2"/>
  <c r="O891" i="2"/>
  <c r="S891" i="2"/>
  <c r="O892" i="2"/>
  <c r="S892" i="2"/>
  <c r="O893" i="2"/>
  <c r="S893" i="2"/>
  <c r="O894" i="2"/>
  <c r="S894" i="2"/>
  <c r="O895" i="2"/>
  <c r="S895" i="2"/>
  <c r="O896" i="2"/>
  <c r="S896" i="2"/>
  <c r="O897" i="2"/>
  <c r="S897" i="2"/>
  <c r="O898" i="2"/>
  <c r="S898" i="2"/>
  <c r="O899" i="2"/>
  <c r="S899" i="2"/>
  <c r="O900" i="2"/>
  <c r="S900" i="2"/>
  <c r="O901" i="2"/>
  <c r="S901" i="2"/>
  <c r="O902" i="2"/>
  <c r="S902" i="2"/>
  <c r="O903" i="2"/>
  <c r="S903" i="2"/>
  <c r="O904" i="2"/>
  <c r="S904" i="2"/>
  <c r="O905" i="2"/>
  <c r="S905" i="2"/>
  <c r="O906" i="2"/>
  <c r="S906" i="2"/>
  <c r="O907" i="2"/>
  <c r="S907" i="2"/>
  <c r="O908" i="2"/>
  <c r="S908" i="2"/>
  <c r="O909" i="2"/>
  <c r="S909" i="2"/>
  <c r="O910" i="2"/>
  <c r="S910" i="2"/>
  <c r="O911" i="2"/>
  <c r="S911" i="2"/>
  <c r="O912" i="2"/>
  <c r="S912" i="2"/>
  <c r="O913" i="2"/>
  <c r="S913" i="2"/>
  <c r="O914" i="2"/>
  <c r="S914" i="2"/>
  <c r="O915" i="2"/>
  <c r="S915" i="2"/>
  <c r="O916" i="2"/>
  <c r="S916" i="2"/>
  <c r="O917" i="2"/>
  <c r="S917" i="2"/>
  <c r="O918" i="2"/>
  <c r="S918" i="2"/>
  <c r="O919" i="2"/>
  <c r="S919" i="2"/>
  <c r="O920" i="2"/>
  <c r="S920" i="2"/>
  <c r="O921" i="2"/>
  <c r="S921" i="2"/>
  <c r="O922" i="2"/>
  <c r="S922" i="2"/>
  <c r="O923" i="2"/>
  <c r="S923" i="2"/>
  <c r="O924" i="2"/>
  <c r="S924" i="2"/>
  <c r="O925" i="2"/>
  <c r="S925" i="2"/>
  <c r="O926" i="2"/>
  <c r="S926" i="2"/>
  <c r="O927" i="2"/>
  <c r="S927" i="2"/>
  <c r="O928" i="2"/>
  <c r="S928" i="2"/>
  <c r="O929" i="2"/>
  <c r="S929" i="2"/>
  <c r="O930" i="2"/>
  <c r="S930" i="2"/>
  <c r="O931" i="2"/>
  <c r="S931" i="2"/>
  <c r="O932" i="2"/>
  <c r="S932" i="2"/>
  <c r="O933" i="2"/>
  <c r="S933" i="2"/>
  <c r="O934" i="2"/>
  <c r="S934" i="2"/>
  <c r="O935" i="2"/>
  <c r="S935" i="2"/>
  <c r="O936" i="2"/>
  <c r="S936" i="2"/>
  <c r="O937" i="2"/>
  <c r="S937" i="2"/>
  <c r="O938" i="2"/>
  <c r="S938" i="2"/>
  <c r="O939" i="2"/>
  <c r="S939" i="2"/>
  <c r="O940" i="2"/>
  <c r="S940" i="2"/>
  <c r="O941" i="2"/>
  <c r="S941" i="2"/>
  <c r="O942" i="2"/>
  <c r="S942" i="2"/>
  <c r="O943" i="2"/>
  <c r="S943" i="2"/>
  <c r="O944" i="2"/>
  <c r="S944" i="2"/>
  <c r="O945" i="2"/>
  <c r="S945" i="2"/>
  <c r="O946" i="2"/>
  <c r="S946" i="2"/>
  <c r="O947" i="2"/>
  <c r="S947" i="2"/>
  <c r="O948" i="2"/>
  <c r="S948" i="2"/>
  <c r="O949" i="2"/>
  <c r="S949" i="2"/>
  <c r="O950" i="2"/>
  <c r="S950" i="2"/>
  <c r="O951" i="2"/>
  <c r="S951" i="2"/>
  <c r="O952" i="2"/>
  <c r="S952" i="2"/>
  <c r="O953" i="2"/>
  <c r="S953" i="2"/>
  <c r="O954" i="2"/>
  <c r="S954" i="2"/>
  <c r="O955" i="2"/>
  <c r="S955" i="2"/>
  <c r="O956" i="2"/>
  <c r="S956" i="2"/>
  <c r="O957" i="2"/>
  <c r="S957" i="2"/>
  <c r="O958" i="2"/>
  <c r="S958" i="2"/>
  <c r="O959" i="2"/>
  <c r="S959" i="2"/>
  <c r="O960" i="2"/>
  <c r="S960" i="2"/>
  <c r="O961" i="2"/>
  <c r="S961" i="2"/>
  <c r="O962" i="2"/>
  <c r="S962" i="2"/>
  <c r="O963" i="2"/>
  <c r="S963" i="2"/>
  <c r="O964" i="2"/>
  <c r="S964" i="2"/>
  <c r="O965" i="2"/>
  <c r="S965" i="2"/>
  <c r="O966" i="2"/>
  <c r="S966" i="2"/>
  <c r="O967" i="2"/>
  <c r="S967" i="2"/>
  <c r="O968" i="2"/>
  <c r="S968" i="2"/>
  <c r="O969" i="2"/>
  <c r="S969" i="2"/>
  <c r="O970" i="2"/>
  <c r="S970" i="2"/>
  <c r="O971" i="2"/>
  <c r="S971" i="2"/>
  <c r="O972" i="2"/>
  <c r="S972" i="2"/>
  <c r="O973" i="2"/>
  <c r="S973" i="2"/>
  <c r="O974" i="2"/>
  <c r="S974" i="2"/>
  <c r="O975" i="2"/>
  <c r="S975" i="2"/>
  <c r="O976" i="2"/>
  <c r="S976" i="2"/>
  <c r="O977" i="2"/>
  <c r="S977" i="2"/>
  <c r="O978" i="2"/>
  <c r="S978" i="2"/>
  <c r="O979" i="2"/>
  <c r="S979" i="2"/>
  <c r="O980" i="2"/>
  <c r="S980" i="2"/>
  <c r="Q312" i="2"/>
  <c r="O380" i="2"/>
  <c r="O396" i="2"/>
  <c r="O412" i="2"/>
  <c r="T422" i="2"/>
  <c r="T430" i="2"/>
  <c r="T438" i="2"/>
  <c r="T446" i="2"/>
  <c r="T454" i="2"/>
  <c r="T462" i="2"/>
  <c r="T470" i="2"/>
  <c r="Q476" i="2"/>
  <c r="T481" i="2"/>
  <c r="O487" i="2"/>
  <c r="S491" i="2"/>
  <c r="S495" i="2"/>
  <c r="S499" i="2"/>
  <c r="S503" i="2"/>
  <c r="S507" i="2"/>
  <c r="S511" i="2"/>
  <c r="S515" i="2"/>
  <c r="S519" i="2"/>
  <c r="S523" i="2"/>
  <c r="S527" i="2"/>
  <c r="S531" i="2"/>
  <c r="S535" i="2"/>
  <c r="S539" i="2"/>
  <c r="S543" i="2"/>
  <c r="S547" i="2"/>
  <c r="S551" i="2"/>
  <c r="S555" i="2"/>
  <c r="S559" i="2"/>
  <c r="S563" i="2"/>
  <c r="S567" i="2"/>
  <c r="S571" i="2"/>
  <c r="S575" i="2"/>
  <c r="S579" i="2"/>
  <c r="S583" i="2"/>
  <c r="S587" i="2"/>
  <c r="S591" i="2"/>
  <c r="O595" i="2"/>
  <c r="T597" i="2"/>
  <c r="Q600" i="2"/>
  <c r="O603" i="2"/>
  <c r="T605" i="2"/>
  <c r="Q608" i="2"/>
  <c r="O611" i="2"/>
  <c r="T613" i="2"/>
  <c r="Q616" i="2"/>
  <c r="O619" i="2"/>
  <c r="T621" i="2"/>
  <c r="Q624" i="2"/>
  <c r="O627" i="2"/>
  <c r="T629" i="2"/>
  <c r="Q632" i="2"/>
  <c r="O635" i="2"/>
  <c r="T637" i="2"/>
  <c r="Q640" i="2"/>
  <c r="O643" i="2"/>
  <c r="T645" i="2"/>
  <c r="Q648" i="2"/>
  <c r="O651" i="2"/>
  <c r="T653" i="2"/>
  <c r="Q656" i="2"/>
  <c r="O659" i="2"/>
  <c r="T661" i="2"/>
  <c r="Q664" i="2"/>
  <c r="O667" i="2"/>
  <c r="T669" i="2"/>
  <c r="Q672" i="2"/>
  <c r="T674" i="2"/>
  <c r="T676" i="2"/>
  <c r="T678" i="2"/>
  <c r="T680" i="2"/>
  <c r="T682" i="2"/>
  <c r="T684" i="2"/>
  <c r="T686" i="2"/>
  <c r="T688" i="2"/>
  <c r="T690" i="2"/>
  <c r="T692" i="2"/>
  <c r="T694" i="2"/>
  <c r="T696" i="2"/>
  <c r="T698" i="2"/>
  <c r="T700" i="2"/>
  <c r="T702" i="2"/>
  <c r="T704" i="2"/>
  <c r="T706" i="2"/>
  <c r="T708" i="2"/>
  <c r="T710" i="2"/>
  <c r="T712" i="2"/>
  <c r="T714" i="2"/>
  <c r="T716" i="2"/>
  <c r="T718" i="2"/>
  <c r="T720" i="2"/>
  <c r="T722" i="2"/>
  <c r="T724" i="2"/>
  <c r="T726" i="2"/>
  <c r="T728" i="2"/>
  <c r="T730" i="2"/>
  <c r="T732" i="2"/>
  <c r="T734" i="2"/>
  <c r="T736" i="2"/>
  <c r="T738" i="2"/>
  <c r="T740" i="2"/>
  <c r="T742" i="2"/>
  <c r="T744" i="2"/>
  <c r="T746" i="2"/>
  <c r="T748" i="2"/>
  <c r="T750" i="2"/>
  <c r="T752" i="2"/>
  <c r="T754" i="2"/>
  <c r="T756" i="2"/>
  <c r="T758" i="2"/>
  <c r="T760" i="2"/>
  <c r="T762" i="2"/>
  <c r="T764" i="2"/>
  <c r="T766" i="2"/>
  <c r="T768" i="2"/>
  <c r="T770" i="2"/>
  <c r="T772" i="2"/>
  <c r="T774" i="2"/>
  <c r="T776" i="2"/>
  <c r="T778" i="2"/>
  <c r="T780" i="2"/>
  <c r="T782" i="2"/>
  <c r="T784" i="2"/>
  <c r="T786" i="2"/>
  <c r="T788" i="2"/>
  <c r="S789" i="2"/>
  <c r="P790" i="2"/>
  <c r="T790" i="2"/>
  <c r="P791" i="2"/>
  <c r="T791" i="2"/>
  <c r="P792" i="2"/>
  <c r="T792" i="2"/>
  <c r="P793" i="2"/>
  <c r="T793" i="2"/>
  <c r="P794" i="2"/>
  <c r="T794" i="2"/>
  <c r="P795" i="2"/>
  <c r="T795" i="2"/>
  <c r="P796" i="2"/>
  <c r="T796" i="2"/>
  <c r="P797" i="2"/>
  <c r="T797" i="2"/>
  <c r="P798" i="2"/>
  <c r="T798" i="2"/>
  <c r="P799" i="2"/>
  <c r="T799" i="2"/>
  <c r="P800" i="2"/>
  <c r="T800" i="2"/>
  <c r="P801" i="2"/>
  <c r="T801" i="2"/>
  <c r="P802" i="2"/>
  <c r="T802" i="2"/>
  <c r="P803" i="2"/>
  <c r="T803" i="2"/>
  <c r="P804" i="2"/>
  <c r="T804" i="2"/>
  <c r="P805" i="2"/>
  <c r="T805" i="2"/>
  <c r="P806" i="2"/>
  <c r="T806" i="2"/>
  <c r="P807" i="2"/>
  <c r="T807" i="2"/>
  <c r="P808" i="2"/>
  <c r="T808" i="2"/>
  <c r="P809" i="2"/>
  <c r="T809" i="2"/>
  <c r="P810" i="2"/>
  <c r="T810" i="2"/>
  <c r="P811" i="2"/>
  <c r="T811" i="2"/>
  <c r="P812" i="2"/>
  <c r="T812" i="2"/>
  <c r="P813" i="2"/>
  <c r="T813" i="2"/>
  <c r="P814" i="2"/>
  <c r="T814" i="2"/>
  <c r="P815" i="2"/>
  <c r="T815" i="2"/>
  <c r="P816" i="2"/>
  <c r="T816" i="2"/>
  <c r="P817" i="2"/>
  <c r="T817" i="2"/>
  <c r="P818" i="2"/>
  <c r="T818" i="2"/>
  <c r="P819" i="2"/>
  <c r="T819" i="2"/>
  <c r="P820" i="2"/>
  <c r="T820" i="2"/>
  <c r="P821" i="2"/>
  <c r="T821" i="2"/>
  <c r="P822" i="2"/>
  <c r="T822" i="2"/>
  <c r="P823" i="2"/>
  <c r="T823" i="2"/>
  <c r="P824" i="2"/>
  <c r="T824" i="2"/>
  <c r="P825" i="2"/>
  <c r="T825" i="2"/>
  <c r="P826" i="2"/>
  <c r="T826" i="2"/>
  <c r="P827" i="2"/>
  <c r="T827" i="2"/>
  <c r="P828" i="2"/>
  <c r="T828" i="2"/>
  <c r="P829" i="2"/>
  <c r="T829" i="2"/>
  <c r="P830" i="2"/>
  <c r="T830" i="2"/>
  <c r="P831" i="2"/>
  <c r="T831" i="2"/>
  <c r="P832" i="2"/>
  <c r="T832" i="2"/>
  <c r="P833" i="2"/>
  <c r="T833" i="2"/>
  <c r="P834" i="2"/>
  <c r="T834" i="2"/>
  <c r="P835" i="2"/>
  <c r="T835" i="2"/>
  <c r="P836" i="2"/>
  <c r="T836" i="2"/>
  <c r="P837" i="2"/>
  <c r="T837" i="2"/>
  <c r="P838" i="2"/>
  <c r="T838" i="2"/>
  <c r="P839" i="2"/>
  <c r="T839" i="2"/>
  <c r="P840" i="2"/>
  <c r="T840" i="2"/>
  <c r="P841" i="2"/>
  <c r="T841" i="2"/>
  <c r="P842" i="2"/>
  <c r="T842" i="2"/>
  <c r="P843" i="2"/>
  <c r="T843" i="2"/>
  <c r="P844" i="2"/>
  <c r="T844" i="2"/>
  <c r="P845" i="2"/>
  <c r="T845" i="2"/>
  <c r="P846" i="2"/>
  <c r="T846" i="2"/>
  <c r="P847" i="2"/>
  <c r="T847" i="2"/>
  <c r="P848" i="2"/>
  <c r="T848" i="2"/>
  <c r="P849" i="2"/>
  <c r="T849" i="2"/>
  <c r="P850" i="2"/>
  <c r="T850" i="2"/>
  <c r="P851" i="2"/>
  <c r="T851" i="2"/>
  <c r="P852" i="2"/>
  <c r="T852" i="2"/>
  <c r="P853" i="2"/>
  <c r="T853" i="2"/>
  <c r="P854" i="2"/>
  <c r="T854" i="2"/>
  <c r="P855" i="2"/>
  <c r="T855" i="2"/>
  <c r="P856" i="2"/>
  <c r="T856" i="2"/>
  <c r="P857" i="2"/>
  <c r="T857" i="2"/>
  <c r="P858" i="2"/>
  <c r="T858" i="2"/>
  <c r="P859" i="2"/>
  <c r="T859" i="2"/>
  <c r="P860" i="2"/>
  <c r="T860" i="2"/>
  <c r="P861" i="2"/>
  <c r="T861" i="2"/>
  <c r="P862" i="2"/>
  <c r="T862" i="2"/>
  <c r="P863" i="2"/>
  <c r="T863" i="2"/>
  <c r="P864" i="2"/>
  <c r="T864" i="2"/>
  <c r="P865" i="2"/>
  <c r="T865" i="2"/>
  <c r="P866" i="2"/>
  <c r="T866" i="2"/>
  <c r="P867" i="2"/>
  <c r="T867" i="2"/>
  <c r="P868" i="2"/>
  <c r="T868" i="2"/>
  <c r="P869" i="2"/>
  <c r="T869" i="2"/>
  <c r="P870" i="2"/>
  <c r="T870" i="2"/>
  <c r="P871" i="2"/>
  <c r="T871" i="2"/>
  <c r="P872" i="2"/>
  <c r="T872" i="2"/>
  <c r="P873" i="2"/>
  <c r="T873" i="2"/>
  <c r="P874" i="2"/>
  <c r="T874" i="2"/>
  <c r="P875" i="2"/>
  <c r="T875" i="2"/>
  <c r="P876" i="2"/>
  <c r="T876" i="2"/>
  <c r="P877" i="2"/>
  <c r="T877" i="2"/>
  <c r="P878" i="2"/>
  <c r="T878" i="2"/>
  <c r="P879" i="2"/>
  <c r="T879" i="2"/>
  <c r="P880" i="2"/>
  <c r="T880" i="2"/>
  <c r="P881" i="2"/>
  <c r="T881" i="2"/>
  <c r="P882" i="2"/>
  <c r="T882" i="2"/>
  <c r="P883" i="2"/>
  <c r="T883" i="2"/>
  <c r="P884" i="2"/>
  <c r="T884" i="2"/>
  <c r="P885" i="2"/>
  <c r="T885" i="2"/>
  <c r="P886" i="2"/>
  <c r="T886" i="2"/>
  <c r="P887" i="2"/>
  <c r="T887" i="2"/>
  <c r="P888" i="2"/>
  <c r="T888" i="2"/>
  <c r="P889" i="2"/>
  <c r="T889" i="2"/>
  <c r="P890" i="2"/>
  <c r="T890" i="2"/>
  <c r="P891" i="2"/>
  <c r="T891" i="2"/>
  <c r="P892" i="2"/>
  <c r="T892" i="2"/>
  <c r="P893" i="2"/>
  <c r="T893" i="2"/>
  <c r="P894" i="2"/>
  <c r="T894" i="2"/>
  <c r="P895" i="2"/>
  <c r="T895" i="2"/>
  <c r="P896" i="2"/>
  <c r="T896" i="2"/>
  <c r="P897" i="2"/>
  <c r="T897" i="2"/>
  <c r="P898" i="2"/>
  <c r="T898" i="2"/>
  <c r="P899" i="2"/>
  <c r="T899" i="2"/>
  <c r="P900" i="2"/>
  <c r="T900" i="2"/>
  <c r="P901" i="2"/>
  <c r="T901" i="2"/>
  <c r="P902" i="2"/>
  <c r="T902" i="2"/>
  <c r="P903" i="2"/>
  <c r="T903" i="2"/>
  <c r="P904" i="2"/>
  <c r="T904" i="2"/>
  <c r="P905" i="2"/>
  <c r="T905" i="2"/>
  <c r="P906" i="2"/>
  <c r="T906" i="2"/>
  <c r="P907" i="2"/>
  <c r="T907" i="2"/>
  <c r="P908" i="2"/>
  <c r="T908" i="2"/>
  <c r="P909" i="2"/>
  <c r="T909" i="2"/>
  <c r="P910" i="2"/>
  <c r="T910" i="2"/>
  <c r="P911" i="2"/>
  <c r="T911" i="2"/>
  <c r="P912" i="2"/>
  <c r="T912" i="2"/>
  <c r="P913" i="2"/>
  <c r="T913" i="2"/>
  <c r="P914" i="2"/>
  <c r="T914" i="2"/>
  <c r="P915" i="2"/>
  <c r="T915" i="2"/>
  <c r="P916" i="2"/>
  <c r="T916" i="2"/>
  <c r="P917" i="2"/>
  <c r="T917" i="2"/>
  <c r="P918" i="2"/>
  <c r="T918" i="2"/>
  <c r="P919" i="2"/>
  <c r="T919" i="2"/>
  <c r="P920" i="2"/>
  <c r="T920" i="2"/>
  <c r="P921" i="2"/>
  <c r="T921" i="2"/>
  <c r="P922" i="2"/>
  <c r="T922" i="2"/>
  <c r="P923" i="2"/>
  <c r="T923" i="2"/>
  <c r="P924" i="2"/>
  <c r="T924" i="2"/>
  <c r="P925" i="2"/>
  <c r="T925" i="2"/>
  <c r="P926" i="2"/>
  <c r="T926" i="2"/>
  <c r="P927" i="2"/>
  <c r="T927" i="2"/>
  <c r="P928" i="2"/>
  <c r="T928" i="2"/>
  <c r="P929" i="2"/>
  <c r="T929" i="2"/>
  <c r="P930" i="2"/>
  <c r="T930" i="2"/>
  <c r="P931" i="2"/>
  <c r="T931" i="2"/>
  <c r="P932" i="2"/>
  <c r="T932" i="2"/>
  <c r="P933" i="2"/>
  <c r="T933" i="2"/>
  <c r="P934" i="2"/>
  <c r="T934" i="2"/>
  <c r="P935" i="2"/>
  <c r="T935" i="2"/>
  <c r="P936" i="2"/>
  <c r="T936" i="2"/>
  <c r="P937" i="2"/>
  <c r="T937" i="2"/>
  <c r="P938" i="2"/>
  <c r="T938" i="2"/>
  <c r="P939" i="2"/>
  <c r="T939" i="2"/>
  <c r="P940" i="2"/>
  <c r="T940" i="2"/>
  <c r="P941" i="2"/>
  <c r="T941" i="2"/>
  <c r="P942" i="2"/>
  <c r="T942" i="2"/>
  <c r="P943" i="2"/>
  <c r="T943" i="2"/>
  <c r="P944" i="2"/>
  <c r="T944" i="2"/>
  <c r="P945" i="2"/>
  <c r="T945" i="2"/>
  <c r="P946" i="2"/>
  <c r="T946" i="2"/>
  <c r="P947" i="2"/>
  <c r="T947" i="2"/>
  <c r="P948" i="2"/>
  <c r="T948" i="2"/>
  <c r="P949" i="2"/>
  <c r="T949" i="2"/>
  <c r="P950" i="2"/>
  <c r="T950" i="2"/>
  <c r="P951" i="2"/>
  <c r="T951" i="2"/>
  <c r="P952" i="2"/>
  <c r="T952" i="2"/>
  <c r="P953" i="2"/>
  <c r="T953" i="2"/>
  <c r="P954" i="2"/>
  <c r="T954" i="2"/>
  <c r="P955" i="2"/>
  <c r="T955" i="2"/>
  <c r="P956" i="2"/>
  <c r="T956" i="2"/>
  <c r="P957" i="2"/>
  <c r="T957" i="2"/>
  <c r="P958" i="2"/>
  <c r="T958" i="2"/>
  <c r="P959" i="2"/>
  <c r="T959" i="2"/>
  <c r="P960" i="2"/>
  <c r="T960" i="2"/>
  <c r="P961" i="2"/>
  <c r="T961" i="2"/>
  <c r="P962" i="2"/>
  <c r="T962" i="2"/>
  <c r="P963" i="2"/>
  <c r="T963" i="2"/>
  <c r="P964" i="2"/>
  <c r="T964" i="2"/>
  <c r="P965" i="2"/>
  <c r="T965" i="2"/>
  <c r="P966" i="2"/>
  <c r="T966" i="2"/>
  <c r="P967" i="2"/>
  <c r="T967" i="2"/>
  <c r="P968" i="2"/>
  <c r="T968" i="2"/>
  <c r="P969" i="2"/>
  <c r="T969" i="2"/>
  <c r="P970" i="2"/>
  <c r="T970" i="2"/>
  <c r="P971" i="2"/>
  <c r="T971" i="2"/>
  <c r="P972" i="2"/>
  <c r="T972" i="2"/>
  <c r="P973" i="2"/>
  <c r="T973" i="2"/>
  <c r="P974" i="2"/>
  <c r="T974" i="2"/>
  <c r="P975" i="2"/>
  <c r="T975" i="2"/>
  <c r="P976" i="2"/>
  <c r="T976" i="2"/>
  <c r="P977" i="2"/>
  <c r="T977" i="2"/>
  <c r="P978" i="2"/>
  <c r="T978" i="2"/>
  <c r="Q344" i="2"/>
  <c r="O384" i="2"/>
  <c r="O400" i="2"/>
  <c r="O416" i="2"/>
  <c r="T424" i="2"/>
  <c r="T432" i="2"/>
  <c r="T440" i="2"/>
  <c r="T448" i="2"/>
  <c r="T456" i="2"/>
  <c r="T464" i="2"/>
  <c r="Q472" i="2"/>
  <c r="T477" i="2"/>
  <c r="O483" i="2"/>
  <c r="Q488" i="2"/>
  <c r="S492" i="2"/>
  <c r="S496" i="2"/>
  <c r="S500" i="2"/>
  <c r="S504" i="2"/>
  <c r="S508" i="2"/>
  <c r="S512" i="2"/>
  <c r="S516" i="2"/>
  <c r="S520" i="2"/>
  <c r="S524" i="2"/>
  <c r="S528" i="2"/>
  <c r="S532" i="2"/>
  <c r="S536" i="2"/>
  <c r="S540" i="2"/>
  <c r="S544" i="2"/>
  <c r="S548" i="2"/>
  <c r="S552" i="2"/>
  <c r="S556" i="2"/>
  <c r="S560" i="2"/>
  <c r="S564" i="2"/>
  <c r="S568" i="2"/>
  <c r="S572" i="2"/>
  <c r="S576" i="2"/>
  <c r="S580" i="2"/>
  <c r="S584" i="2"/>
  <c r="S588" i="2"/>
  <c r="S592" i="2"/>
  <c r="T595" i="2"/>
  <c r="Q598" i="2"/>
  <c r="O601" i="2"/>
  <c r="T603" i="2"/>
  <c r="Q606" i="2"/>
  <c r="O609" i="2"/>
  <c r="T611" i="2"/>
  <c r="Q614" i="2"/>
  <c r="O617" i="2"/>
  <c r="T619" i="2"/>
  <c r="Q622" i="2"/>
  <c r="O625" i="2"/>
  <c r="T627" i="2"/>
  <c r="Q630" i="2"/>
  <c r="O633" i="2"/>
  <c r="T635" i="2"/>
  <c r="Q638" i="2"/>
  <c r="O641" i="2"/>
  <c r="T643" i="2"/>
  <c r="Q646" i="2"/>
  <c r="O649" i="2"/>
  <c r="T651" i="2"/>
  <c r="Q654" i="2"/>
  <c r="O657" i="2"/>
  <c r="T659" i="2"/>
  <c r="Q662" i="2"/>
  <c r="O665" i="2"/>
  <c r="T667" i="2"/>
  <c r="Q670" i="2"/>
  <c r="O673" i="2"/>
  <c r="P675" i="2"/>
  <c r="P677" i="2"/>
  <c r="P679" i="2"/>
  <c r="P681" i="2"/>
  <c r="P683" i="2"/>
  <c r="P685" i="2"/>
  <c r="P687" i="2"/>
  <c r="P689" i="2"/>
  <c r="P691" i="2"/>
  <c r="P693" i="2"/>
  <c r="P695" i="2"/>
  <c r="P697" i="2"/>
  <c r="P699" i="2"/>
  <c r="P701" i="2"/>
  <c r="P703" i="2"/>
  <c r="P705" i="2"/>
  <c r="P707" i="2"/>
  <c r="P709" i="2"/>
  <c r="P711" i="2"/>
  <c r="P713" i="2"/>
  <c r="P715" i="2"/>
  <c r="P717" i="2"/>
  <c r="P719" i="2"/>
  <c r="P721" i="2"/>
  <c r="P723" i="2"/>
  <c r="P725" i="2"/>
  <c r="P727" i="2"/>
  <c r="P729" i="2"/>
  <c r="P731" i="2"/>
  <c r="P733" i="2"/>
  <c r="P735" i="2"/>
  <c r="P737" i="2"/>
  <c r="P739" i="2"/>
  <c r="P741" i="2"/>
  <c r="P743" i="2"/>
  <c r="P745" i="2"/>
  <c r="P747" i="2"/>
  <c r="P749" i="2"/>
  <c r="P751" i="2"/>
  <c r="P753" i="2"/>
  <c r="P755" i="2"/>
  <c r="P757" i="2"/>
  <c r="P759" i="2"/>
  <c r="P761" i="2"/>
  <c r="P763" i="2"/>
  <c r="P765" i="2"/>
  <c r="P767" i="2"/>
  <c r="P769" i="2"/>
  <c r="P771" i="2"/>
  <c r="P773" i="2"/>
  <c r="P775" i="2"/>
  <c r="P777" i="2"/>
  <c r="P779" i="2"/>
  <c r="P781" i="2"/>
  <c r="P783" i="2"/>
  <c r="P785" i="2"/>
  <c r="P787" i="2"/>
  <c r="U788" i="2"/>
  <c r="T789" i="2"/>
  <c r="Q790" i="2"/>
  <c r="U790" i="2"/>
  <c r="Q791" i="2"/>
  <c r="U791" i="2"/>
  <c r="Q792" i="2"/>
  <c r="U792" i="2"/>
  <c r="Q793" i="2"/>
  <c r="U793" i="2"/>
  <c r="Q794" i="2"/>
  <c r="U794" i="2"/>
  <c r="Q795" i="2"/>
  <c r="U795" i="2"/>
  <c r="Q796" i="2"/>
  <c r="U796" i="2"/>
  <c r="Q797" i="2"/>
  <c r="U797" i="2"/>
  <c r="Q798" i="2"/>
  <c r="U798" i="2"/>
  <c r="Q799" i="2"/>
  <c r="U799" i="2"/>
  <c r="Q800" i="2"/>
  <c r="U800" i="2"/>
  <c r="Q801" i="2"/>
  <c r="U801" i="2"/>
  <c r="Q802" i="2"/>
  <c r="U802" i="2"/>
  <c r="Q803" i="2"/>
  <c r="U803" i="2"/>
  <c r="Q804" i="2"/>
  <c r="U804" i="2"/>
  <c r="Q805" i="2"/>
  <c r="U805" i="2"/>
  <c r="Q806" i="2"/>
  <c r="U806" i="2"/>
  <c r="Q807" i="2"/>
  <c r="U807" i="2"/>
  <c r="Q808" i="2"/>
  <c r="U808" i="2"/>
  <c r="Q809" i="2"/>
  <c r="U809" i="2"/>
  <c r="Q810" i="2"/>
  <c r="U810" i="2"/>
  <c r="Q811" i="2"/>
  <c r="U811" i="2"/>
  <c r="Q812" i="2"/>
  <c r="U812" i="2"/>
  <c r="Q813" i="2"/>
  <c r="U813" i="2"/>
  <c r="Q814" i="2"/>
  <c r="U814" i="2"/>
  <c r="Q815" i="2"/>
  <c r="U815" i="2"/>
  <c r="Q816" i="2"/>
  <c r="U816" i="2"/>
  <c r="Q817" i="2"/>
  <c r="U817" i="2"/>
  <c r="Q818" i="2"/>
  <c r="U818" i="2"/>
  <c r="Q819" i="2"/>
  <c r="U819" i="2"/>
  <c r="Q820" i="2"/>
  <c r="U820" i="2"/>
  <c r="Q821" i="2"/>
  <c r="U821" i="2"/>
  <c r="Q822" i="2"/>
  <c r="U822" i="2"/>
  <c r="Q823" i="2"/>
  <c r="U823" i="2"/>
  <c r="Q824" i="2"/>
  <c r="U824" i="2"/>
  <c r="Q825" i="2"/>
  <c r="U825" i="2"/>
  <c r="Q826" i="2"/>
  <c r="U826" i="2"/>
  <c r="Q827" i="2"/>
  <c r="U827" i="2"/>
  <c r="Q828" i="2"/>
  <c r="U828" i="2"/>
  <c r="Q829" i="2"/>
  <c r="U829" i="2"/>
  <c r="Q830" i="2"/>
  <c r="U830" i="2"/>
  <c r="Q831" i="2"/>
  <c r="U831" i="2"/>
  <c r="Q832" i="2"/>
  <c r="U832" i="2"/>
  <c r="Q833" i="2"/>
  <c r="U833" i="2"/>
  <c r="Q834" i="2"/>
  <c r="U834" i="2"/>
  <c r="Q835" i="2"/>
  <c r="U835" i="2"/>
  <c r="Q836" i="2"/>
  <c r="U836" i="2"/>
  <c r="Q837" i="2"/>
  <c r="U837" i="2"/>
  <c r="Q838" i="2"/>
  <c r="U838" i="2"/>
  <c r="Q839" i="2"/>
  <c r="U839" i="2"/>
  <c r="Q840" i="2"/>
  <c r="U840" i="2"/>
  <c r="Q841" i="2"/>
  <c r="U841" i="2"/>
  <c r="Q842" i="2"/>
  <c r="U842" i="2"/>
  <c r="Q843" i="2"/>
  <c r="U843" i="2"/>
  <c r="Q844" i="2"/>
  <c r="U844" i="2"/>
  <c r="Q845" i="2"/>
  <c r="U845" i="2"/>
  <c r="Q846" i="2"/>
  <c r="U846" i="2"/>
  <c r="Q847" i="2"/>
  <c r="U847" i="2"/>
  <c r="Q848" i="2"/>
  <c r="U848" i="2"/>
  <c r="Q849" i="2"/>
  <c r="U849" i="2"/>
  <c r="Q850" i="2"/>
  <c r="U850" i="2"/>
  <c r="Q851" i="2"/>
  <c r="U851" i="2"/>
  <c r="Q852" i="2"/>
  <c r="U852" i="2"/>
  <c r="Q853" i="2"/>
  <c r="U853" i="2"/>
  <c r="Q854" i="2"/>
  <c r="U854" i="2"/>
  <c r="Q855" i="2"/>
  <c r="U855" i="2"/>
  <c r="Q856" i="2"/>
  <c r="U856" i="2"/>
  <c r="Q857" i="2"/>
  <c r="U857" i="2"/>
  <c r="Q858" i="2"/>
  <c r="U858" i="2"/>
  <c r="Q859" i="2"/>
  <c r="U859" i="2"/>
  <c r="Q860" i="2"/>
  <c r="U860" i="2"/>
  <c r="Q861" i="2"/>
  <c r="U861" i="2"/>
  <c r="Q862" i="2"/>
  <c r="U862" i="2"/>
  <c r="Q863" i="2"/>
  <c r="U863" i="2"/>
  <c r="Q864" i="2"/>
  <c r="U864" i="2"/>
  <c r="Q865" i="2"/>
  <c r="U865" i="2"/>
  <c r="Q866" i="2"/>
  <c r="U866" i="2"/>
  <c r="Q867" i="2"/>
  <c r="U867" i="2"/>
  <c r="Q868" i="2"/>
  <c r="U868" i="2"/>
  <c r="Q869" i="2"/>
  <c r="U869" i="2"/>
  <c r="Q870" i="2"/>
  <c r="U870" i="2"/>
  <c r="Q871" i="2"/>
  <c r="U871" i="2"/>
  <c r="Q872" i="2"/>
  <c r="U872" i="2"/>
  <c r="Q873" i="2"/>
  <c r="U873" i="2"/>
  <c r="Q874" i="2"/>
  <c r="U874" i="2"/>
  <c r="Q875" i="2"/>
  <c r="U875" i="2"/>
  <c r="Q876" i="2"/>
  <c r="U876" i="2"/>
  <c r="Q877" i="2"/>
  <c r="U877" i="2"/>
  <c r="Q878" i="2"/>
  <c r="U878" i="2"/>
  <c r="Q879" i="2"/>
  <c r="U879" i="2"/>
  <c r="Q880" i="2"/>
  <c r="U880" i="2"/>
  <c r="Q881" i="2"/>
  <c r="U881" i="2"/>
  <c r="Q882" i="2"/>
  <c r="U882" i="2"/>
  <c r="Q883" i="2"/>
  <c r="U883" i="2"/>
  <c r="Q884" i="2"/>
  <c r="U884" i="2"/>
  <c r="Q885" i="2"/>
  <c r="U885" i="2"/>
  <c r="Q886" i="2"/>
  <c r="U886" i="2"/>
  <c r="Q887" i="2"/>
  <c r="U887" i="2"/>
  <c r="Q888" i="2"/>
  <c r="U888" i="2"/>
  <c r="Q889" i="2"/>
  <c r="U889" i="2"/>
  <c r="Q890" i="2"/>
  <c r="U890" i="2"/>
  <c r="Q891" i="2"/>
  <c r="U891" i="2"/>
  <c r="Q892" i="2"/>
  <c r="U892" i="2"/>
  <c r="Q893" i="2"/>
  <c r="U893" i="2"/>
  <c r="Q894" i="2"/>
  <c r="U894" i="2"/>
  <c r="Q895" i="2"/>
  <c r="U895" i="2"/>
  <c r="Q896" i="2"/>
  <c r="U896" i="2"/>
  <c r="Q897" i="2"/>
  <c r="U897" i="2"/>
  <c r="Q898" i="2"/>
  <c r="U898" i="2"/>
  <c r="Q899" i="2"/>
  <c r="U899" i="2"/>
  <c r="Q900" i="2"/>
  <c r="U900" i="2"/>
  <c r="Q901" i="2"/>
  <c r="U901" i="2"/>
  <c r="Q902" i="2"/>
  <c r="U902" i="2"/>
  <c r="Q903" i="2"/>
  <c r="U903" i="2"/>
  <c r="Q904" i="2"/>
  <c r="U904" i="2"/>
  <c r="Q905" i="2"/>
  <c r="U905" i="2"/>
  <c r="Q906" i="2"/>
  <c r="U906" i="2"/>
  <c r="Q907" i="2"/>
  <c r="U907" i="2"/>
  <c r="Q908" i="2"/>
  <c r="U908" i="2"/>
  <c r="Q909" i="2"/>
  <c r="U909" i="2"/>
  <c r="Q910" i="2"/>
  <c r="U910" i="2"/>
  <c r="Q911" i="2"/>
  <c r="U911" i="2"/>
  <c r="Q912" i="2"/>
  <c r="U912" i="2"/>
  <c r="Q913" i="2"/>
  <c r="U913" i="2"/>
  <c r="Q914" i="2"/>
  <c r="U914" i="2"/>
  <c r="Q915" i="2"/>
  <c r="U915" i="2"/>
  <c r="Q916" i="2"/>
  <c r="U916" i="2"/>
  <c r="Q917" i="2"/>
  <c r="U917" i="2"/>
  <c r="Q918" i="2"/>
  <c r="U918" i="2"/>
  <c r="Q919" i="2"/>
  <c r="U919" i="2"/>
  <c r="Q920" i="2"/>
  <c r="U920" i="2"/>
  <c r="Q921" i="2"/>
  <c r="U921" i="2"/>
  <c r="Q922" i="2"/>
  <c r="U922" i="2"/>
  <c r="Q923" i="2"/>
  <c r="U923" i="2"/>
  <c r="Q924" i="2"/>
  <c r="U924" i="2"/>
  <c r="Q925" i="2"/>
  <c r="U925" i="2"/>
  <c r="Q926" i="2"/>
  <c r="U926" i="2"/>
  <c r="Q927" i="2"/>
  <c r="U927" i="2"/>
  <c r="Q928" i="2"/>
  <c r="U928" i="2"/>
  <c r="Q929" i="2"/>
  <c r="U929" i="2"/>
  <c r="Q930" i="2"/>
  <c r="U930" i="2"/>
  <c r="Q931" i="2"/>
  <c r="U931" i="2"/>
  <c r="Q932" i="2"/>
  <c r="U932" i="2"/>
  <c r="Q933" i="2"/>
  <c r="U933" i="2"/>
  <c r="Q934" i="2"/>
  <c r="U934" i="2"/>
  <c r="Q935" i="2"/>
  <c r="U935" i="2"/>
  <c r="Q936" i="2"/>
  <c r="U936" i="2"/>
  <c r="Q937" i="2"/>
  <c r="U937" i="2"/>
  <c r="Q938" i="2"/>
  <c r="U938" i="2"/>
  <c r="Q939" i="2"/>
  <c r="U939" i="2"/>
  <c r="Q940" i="2"/>
  <c r="U940" i="2"/>
  <c r="Q941" i="2"/>
  <c r="U941" i="2"/>
  <c r="Q942" i="2"/>
  <c r="U942" i="2"/>
  <c r="Q943" i="2"/>
  <c r="U943" i="2"/>
  <c r="Q944" i="2"/>
  <c r="U944" i="2"/>
  <c r="Q945" i="2"/>
  <c r="U945" i="2"/>
  <c r="Q946" i="2"/>
  <c r="U946" i="2"/>
  <c r="Q947" i="2"/>
  <c r="U947" i="2"/>
  <c r="Q948" i="2"/>
  <c r="U948" i="2"/>
  <c r="Q949" i="2"/>
  <c r="U949" i="2"/>
  <c r="Q950" i="2"/>
  <c r="U950" i="2"/>
  <c r="Q951" i="2"/>
  <c r="U951" i="2"/>
  <c r="Q952" i="2"/>
  <c r="U952" i="2"/>
  <c r="Q953" i="2"/>
  <c r="U953" i="2"/>
  <c r="Q954" i="2"/>
  <c r="U954" i="2"/>
  <c r="Q955" i="2"/>
  <c r="U955" i="2"/>
  <c r="Q956" i="2"/>
  <c r="U956" i="2"/>
  <c r="Q957" i="2"/>
  <c r="U957" i="2"/>
  <c r="Q958" i="2"/>
  <c r="U958" i="2"/>
  <c r="Q959" i="2"/>
  <c r="U959" i="2"/>
  <c r="Q960" i="2"/>
  <c r="U960" i="2"/>
  <c r="Q961" i="2"/>
  <c r="U961" i="2"/>
  <c r="Q962" i="2"/>
  <c r="U962" i="2"/>
  <c r="Q963" i="2"/>
  <c r="U963" i="2"/>
  <c r="Q964" i="2"/>
  <c r="U964" i="2"/>
  <c r="Q965" i="2"/>
  <c r="U965" i="2"/>
  <c r="Q966" i="2"/>
  <c r="U966" i="2"/>
  <c r="Q967" i="2"/>
  <c r="U967" i="2"/>
  <c r="Q968" i="2"/>
  <c r="U968" i="2"/>
  <c r="Q969" i="2"/>
  <c r="U969" i="2"/>
  <c r="Q970" i="2"/>
  <c r="U970" i="2"/>
  <c r="Q971" i="2"/>
  <c r="U971" i="2"/>
  <c r="Q972" i="2"/>
  <c r="U972" i="2"/>
  <c r="Q973" i="2"/>
  <c r="U973" i="2"/>
  <c r="Q974" i="2"/>
  <c r="U974" i="2"/>
  <c r="Q975" i="2"/>
  <c r="U975" i="2"/>
  <c r="Q976" i="2"/>
  <c r="U976" i="2"/>
  <c r="Q977" i="2"/>
  <c r="U977" i="2"/>
  <c r="Q978" i="2"/>
  <c r="U978" i="2"/>
  <c r="Q979" i="2"/>
  <c r="U979" i="2"/>
  <c r="Q980" i="2"/>
  <c r="U980" i="2"/>
  <c r="Q981" i="2"/>
  <c r="Q360" i="2"/>
  <c r="T426" i="2"/>
  <c r="T458" i="2"/>
  <c r="Q484" i="2"/>
  <c r="S501" i="2"/>
  <c r="S517" i="2"/>
  <c r="S533" i="2"/>
  <c r="S549" i="2"/>
  <c r="S565" i="2"/>
  <c r="S581" i="2"/>
  <c r="Q596" i="2"/>
  <c r="O607" i="2"/>
  <c r="T617" i="2"/>
  <c r="Q628" i="2"/>
  <c r="O639" i="2"/>
  <c r="T649" i="2"/>
  <c r="Q660" i="2"/>
  <c r="O671" i="2"/>
  <c r="T679" i="2"/>
  <c r="T687" i="2"/>
  <c r="T695" i="2"/>
  <c r="T703" i="2"/>
  <c r="T711" i="2"/>
  <c r="T719" i="2"/>
  <c r="T727" i="2"/>
  <c r="T735" i="2"/>
  <c r="T743" i="2"/>
  <c r="T751" i="2"/>
  <c r="T759" i="2"/>
  <c r="T767" i="2"/>
  <c r="T775" i="2"/>
  <c r="T783" i="2"/>
  <c r="U789" i="2"/>
  <c r="N792" i="2"/>
  <c r="N794" i="2"/>
  <c r="N796" i="2"/>
  <c r="N798" i="2"/>
  <c r="N800" i="2"/>
  <c r="N802" i="2"/>
  <c r="N804" i="2"/>
  <c r="N806" i="2"/>
  <c r="N808" i="2"/>
  <c r="N810" i="2"/>
  <c r="N812" i="2"/>
  <c r="N814" i="2"/>
  <c r="N816" i="2"/>
  <c r="N818" i="2"/>
  <c r="N820" i="2"/>
  <c r="N822" i="2"/>
  <c r="N824" i="2"/>
  <c r="N826" i="2"/>
  <c r="N828" i="2"/>
  <c r="N830" i="2"/>
  <c r="N832" i="2"/>
  <c r="N834" i="2"/>
  <c r="N836" i="2"/>
  <c r="N838" i="2"/>
  <c r="N840" i="2"/>
  <c r="N842" i="2"/>
  <c r="N844" i="2"/>
  <c r="N846" i="2"/>
  <c r="N848" i="2"/>
  <c r="N850" i="2"/>
  <c r="N852" i="2"/>
  <c r="N854" i="2"/>
  <c r="N856" i="2"/>
  <c r="N858" i="2"/>
  <c r="N860" i="2"/>
  <c r="N862" i="2"/>
  <c r="N864" i="2"/>
  <c r="N866" i="2"/>
  <c r="N868" i="2"/>
  <c r="N870" i="2"/>
  <c r="N872" i="2"/>
  <c r="N874" i="2"/>
  <c r="N876" i="2"/>
  <c r="N878" i="2"/>
  <c r="N880" i="2"/>
  <c r="N882" i="2"/>
  <c r="N884" i="2"/>
  <c r="N886" i="2"/>
  <c r="N888" i="2"/>
  <c r="N890" i="2"/>
  <c r="N892" i="2"/>
  <c r="N894" i="2"/>
  <c r="N896" i="2"/>
  <c r="N898" i="2"/>
  <c r="N900" i="2"/>
  <c r="N902" i="2"/>
  <c r="N904" i="2"/>
  <c r="N906" i="2"/>
  <c r="N908" i="2"/>
  <c r="N910" i="2"/>
  <c r="N912" i="2"/>
  <c r="N914" i="2"/>
  <c r="N916" i="2"/>
  <c r="N918" i="2"/>
  <c r="N920" i="2"/>
  <c r="N922" i="2"/>
  <c r="N924" i="2"/>
  <c r="N926" i="2"/>
  <c r="N928" i="2"/>
  <c r="N930" i="2"/>
  <c r="N932" i="2"/>
  <c r="N934" i="2"/>
  <c r="N936" i="2"/>
  <c r="N938" i="2"/>
  <c r="N940" i="2"/>
  <c r="N942" i="2"/>
  <c r="N944" i="2"/>
  <c r="N946" i="2"/>
  <c r="N948" i="2"/>
  <c r="N950" i="2"/>
  <c r="N952" i="2"/>
  <c r="N954" i="2"/>
  <c r="N956" i="2"/>
  <c r="N958" i="2"/>
  <c r="N960" i="2"/>
  <c r="N962" i="2"/>
  <c r="N964" i="2"/>
  <c r="N966" i="2"/>
  <c r="N968" i="2"/>
  <c r="N970" i="2"/>
  <c r="N972" i="2"/>
  <c r="N974" i="2"/>
  <c r="N976" i="2"/>
  <c r="N978" i="2"/>
  <c r="R979" i="2"/>
  <c r="R980" i="2"/>
  <c r="P981" i="2"/>
  <c r="U981" i="2"/>
  <c r="Q982" i="2"/>
  <c r="U982" i="2"/>
  <c r="Q983" i="2"/>
  <c r="U983" i="2"/>
  <c r="Q984" i="2"/>
  <c r="U984" i="2"/>
  <c r="Q985" i="2"/>
  <c r="U985" i="2"/>
  <c r="Q986" i="2"/>
  <c r="U986" i="2"/>
  <c r="Q987" i="2"/>
  <c r="U987" i="2"/>
  <c r="Q988" i="2"/>
  <c r="U988" i="2"/>
  <c r="Q989" i="2"/>
  <c r="U989" i="2"/>
  <c r="Q990" i="2"/>
  <c r="U990" i="2"/>
  <c r="Q991" i="2"/>
  <c r="U991" i="2"/>
  <c r="Q992" i="2"/>
  <c r="U992" i="2"/>
  <c r="Q993" i="2"/>
  <c r="U993" i="2"/>
  <c r="Q994" i="2"/>
  <c r="U994" i="2"/>
  <c r="Q995" i="2"/>
  <c r="U995" i="2"/>
  <c r="Q996" i="2"/>
  <c r="U996" i="2"/>
  <c r="Q997" i="2"/>
  <c r="U997" i="2"/>
  <c r="Q998" i="2"/>
  <c r="U998" i="2"/>
  <c r="Q999" i="2"/>
  <c r="U999" i="2"/>
  <c r="Q1000" i="2"/>
  <c r="U1000" i="2"/>
  <c r="Q1001" i="2"/>
  <c r="U1001" i="2"/>
  <c r="Q1002" i="2"/>
  <c r="U1002" i="2"/>
  <c r="Q1003" i="2"/>
  <c r="U1003" i="2"/>
  <c r="Q1004" i="2"/>
  <c r="U1004" i="2"/>
  <c r="Q1005" i="2"/>
  <c r="U1005" i="2"/>
  <c r="Q1006" i="2"/>
  <c r="U1006" i="2"/>
  <c r="Q1007" i="2"/>
  <c r="U1007" i="2"/>
  <c r="Q1008" i="2"/>
  <c r="U1008" i="2"/>
  <c r="Q1009" i="2"/>
  <c r="U1009" i="2"/>
  <c r="Q1010" i="2"/>
  <c r="U1010" i="2"/>
  <c r="Q1011" i="2"/>
  <c r="U1011" i="2"/>
  <c r="Q1012" i="2"/>
  <c r="U1012" i="2"/>
  <c r="Q1013" i="2"/>
  <c r="U1013" i="2"/>
  <c r="Q1014" i="2"/>
  <c r="U1014" i="2"/>
  <c r="Q1015" i="2"/>
  <c r="U1015" i="2"/>
  <c r="Q1016" i="2"/>
  <c r="U1016" i="2"/>
  <c r="Q1017" i="2"/>
  <c r="U1017" i="2"/>
  <c r="Q1018" i="2"/>
  <c r="U1018" i="2"/>
  <c r="Q1019" i="2"/>
  <c r="U1019" i="2"/>
  <c r="Q1020" i="2"/>
  <c r="U1020" i="2"/>
  <c r="Q1021" i="2"/>
  <c r="U1021" i="2"/>
  <c r="Q1022" i="2"/>
  <c r="U1022" i="2"/>
  <c r="Q1023" i="2"/>
  <c r="U1023" i="2"/>
  <c r="Q1024" i="2"/>
  <c r="U1024" i="2"/>
  <c r="Q1025" i="2"/>
  <c r="U1025" i="2"/>
  <c r="Q1026" i="2"/>
  <c r="U1026" i="2"/>
  <c r="Q1027" i="2"/>
  <c r="U1027" i="2"/>
  <c r="Q1028" i="2"/>
  <c r="U1028" i="2"/>
  <c r="Q1029" i="2"/>
  <c r="U1029" i="2"/>
  <c r="Q1030" i="2"/>
  <c r="U1030" i="2"/>
  <c r="Q1031" i="2"/>
  <c r="U1031" i="2"/>
  <c r="Q1032" i="2"/>
  <c r="U1032" i="2"/>
  <c r="Q1033" i="2"/>
  <c r="U1033" i="2"/>
  <c r="Q1034" i="2"/>
  <c r="U1034" i="2"/>
  <c r="Q1035" i="2"/>
  <c r="U1035" i="2"/>
  <c r="Q1036" i="2"/>
  <c r="U1036" i="2"/>
  <c r="Q1037" i="2"/>
  <c r="U1037" i="2"/>
  <c r="Q1038" i="2"/>
  <c r="U1038" i="2"/>
  <c r="Q1039" i="2"/>
  <c r="U1039" i="2"/>
  <c r="Q1040" i="2"/>
  <c r="U1040" i="2"/>
  <c r="Q1041" i="2"/>
  <c r="U1041" i="2"/>
  <c r="Q1042" i="2"/>
  <c r="U1042" i="2"/>
  <c r="Q1043" i="2"/>
  <c r="U1043" i="2"/>
  <c r="Q1044" i="2"/>
  <c r="U1044" i="2"/>
  <c r="Q1045" i="2"/>
  <c r="U1045" i="2"/>
  <c r="Q1046" i="2"/>
  <c r="U1046" i="2"/>
  <c r="Q1047" i="2"/>
  <c r="U1047" i="2"/>
  <c r="Q1048" i="2"/>
  <c r="U1048" i="2"/>
  <c r="Q1049" i="2"/>
  <c r="U1049" i="2"/>
  <c r="Q1050" i="2"/>
  <c r="U1050" i="2"/>
  <c r="Q1051" i="2"/>
  <c r="U1051" i="2"/>
  <c r="Q1052" i="2"/>
  <c r="U1052" i="2"/>
  <c r="Q1053" i="2"/>
  <c r="U1053" i="2"/>
  <c r="Q1054" i="2"/>
  <c r="U1054" i="2"/>
  <c r="Q1055" i="2"/>
  <c r="U1055" i="2"/>
  <c r="Q1056" i="2"/>
  <c r="U1056" i="2"/>
  <c r="Q1057" i="2"/>
  <c r="U1057" i="2"/>
  <c r="Q1058" i="2"/>
  <c r="U1058" i="2"/>
  <c r="Q1059" i="2"/>
  <c r="U1059" i="2"/>
  <c r="Q1060" i="2"/>
  <c r="U1060" i="2"/>
  <c r="Q1061" i="2"/>
  <c r="U1061" i="2"/>
  <c r="Q1062" i="2"/>
  <c r="U1062" i="2"/>
  <c r="Q1063" i="2"/>
  <c r="U1063" i="2"/>
  <c r="Q1064" i="2"/>
  <c r="U1064" i="2"/>
  <c r="Q1065" i="2"/>
  <c r="U1065" i="2"/>
  <c r="Q1066" i="2"/>
  <c r="U1066" i="2"/>
  <c r="Q1067" i="2"/>
  <c r="U1067" i="2"/>
  <c r="Q1068" i="2"/>
  <c r="U1068" i="2"/>
  <c r="Q1069" i="2"/>
  <c r="U1069" i="2"/>
  <c r="Q1070" i="2"/>
  <c r="U1070" i="2"/>
  <c r="Q1071" i="2"/>
  <c r="U1071" i="2"/>
  <c r="Q1072" i="2"/>
  <c r="U1072" i="2"/>
  <c r="Q1073" i="2"/>
  <c r="U1073" i="2"/>
  <c r="Q1074" i="2"/>
  <c r="U1074" i="2"/>
  <c r="Q1075" i="2"/>
  <c r="U1075" i="2"/>
  <c r="Q1076" i="2"/>
  <c r="U1076" i="2"/>
  <c r="Q1077" i="2"/>
  <c r="U1077" i="2"/>
  <c r="Q1078" i="2"/>
  <c r="U1078" i="2"/>
  <c r="Q1079" i="2"/>
  <c r="U1079" i="2"/>
  <c r="Q1080" i="2"/>
  <c r="U1080" i="2"/>
  <c r="Q1081" i="2"/>
  <c r="U1081" i="2"/>
  <c r="Q1082" i="2"/>
  <c r="U1082" i="2"/>
  <c r="Q1083" i="2"/>
  <c r="U1083" i="2"/>
  <c r="Q1084" i="2"/>
  <c r="U1084" i="2"/>
  <c r="Q1085" i="2"/>
  <c r="U1085" i="2"/>
  <c r="Q1086" i="2"/>
  <c r="U1086" i="2"/>
  <c r="Q1087" i="2"/>
  <c r="U1087" i="2"/>
  <c r="Q1088" i="2"/>
  <c r="U1088" i="2"/>
  <c r="Q1089" i="2"/>
  <c r="U1089" i="2"/>
  <c r="Q1090" i="2"/>
  <c r="U1090" i="2"/>
  <c r="Q1091" i="2"/>
  <c r="U1091" i="2"/>
  <c r="Q1092" i="2"/>
  <c r="U1092" i="2"/>
  <c r="Q1093" i="2"/>
  <c r="U1093" i="2"/>
  <c r="Q1094" i="2"/>
  <c r="U1094" i="2"/>
  <c r="Q1095" i="2"/>
  <c r="U1095" i="2"/>
  <c r="Q1096" i="2"/>
  <c r="U1096" i="2"/>
  <c r="Q1097" i="2"/>
  <c r="U1097" i="2"/>
  <c r="Q1098" i="2"/>
  <c r="U1098" i="2"/>
  <c r="Q1099" i="2"/>
  <c r="U1099" i="2"/>
  <c r="Q1100" i="2"/>
  <c r="U1100" i="2"/>
  <c r="Q1101" i="2"/>
  <c r="U1101" i="2"/>
  <c r="Q1102" i="2"/>
  <c r="U1102" i="2"/>
  <c r="Q1103" i="2"/>
  <c r="U1103" i="2"/>
  <c r="Q1104" i="2"/>
  <c r="U1104" i="2"/>
  <c r="Q1105" i="2"/>
  <c r="U1105" i="2"/>
  <c r="Q1106" i="2"/>
  <c r="U1106" i="2"/>
  <c r="Q1107" i="2"/>
  <c r="U1107" i="2"/>
  <c r="Q1108" i="2"/>
  <c r="U1108" i="2"/>
  <c r="Q1109" i="2"/>
  <c r="U1109" i="2"/>
  <c r="Q1110" i="2"/>
  <c r="U1110" i="2"/>
  <c r="Q1111" i="2"/>
  <c r="U1111" i="2"/>
  <c r="Q1112" i="2"/>
  <c r="U1112" i="2"/>
  <c r="Q1113" i="2"/>
  <c r="U1113" i="2"/>
  <c r="Q1114" i="2"/>
  <c r="U1114" i="2"/>
  <c r="Q1115" i="2"/>
  <c r="U1115" i="2"/>
  <c r="Q1116" i="2"/>
  <c r="U1116" i="2"/>
  <c r="Q1117" i="2"/>
  <c r="U1117" i="2"/>
  <c r="Q1118" i="2"/>
  <c r="U1118" i="2"/>
  <c r="Q1119" i="2"/>
  <c r="U1119" i="2"/>
  <c r="Q1120" i="2"/>
  <c r="U1120" i="2"/>
  <c r="Q1121" i="2"/>
  <c r="U1121" i="2"/>
  <c r="Q1122" i="2"/>
  <c r="U1122" i="2"/>
  <c r="Q1123" i="2"/>
  <c r="U1123" i="2"/>
  <c r="Q1124" i="2"/>
  <c r="U1124" i="2"/>
  <c r="Q1125" i="2"/>
  <c r="U1125" i="2"/>
  <c r="Q1126" i="2"/>
  <c r="U1126" i="2"/>
  <c r="Q1127" i="2"/>
  <c r="U1127" i="2"/>
  <c r="Q1128" i="2"/>
  <c r="U1128" i="2"/>
  <c r="Q1129" i="2"/>
  <c r="U1129" i="2"/>
  <c r="Q1130" i="2"/>
  <c r="U1130" i="2"/>
  <c r="Q1131" i="2"/>
  <c r="U1131" i="2"/>
  <c r="Q1132" i="2"/>
  <c r="U1132" i="2"/>
  <c r="Q1133" i="2"/>
  <c r="U1133" i="2"/>
  <c r="Q1134" i="2"/>
  <c r="U1134" i="2"/>
  <c r="Q1135" i="2"/>
  <c r="U1135" i="2"/>
  <c r="Q1136" i="2"/>
  <c r="U1136" i="2"/>
  <c r="Q1137" i="2"/>
  <c r="U1137" i="2"/>
  <c r="Q1138" i="2"/>
  <c r="U1138" i="2"/>
  <c r="Q1139" i="2"/>
  <c r="U1139" i="2"/>
  <c r="Q1140" i="2"/>
  <c r="U1140" i="2"/>
  <c r="Q1141" i="2"/>
  <c r="U1141" i="2"/>
  <c r="Q1142" i="2"/>
  <c r="U1142" i="2"/>
  <c r="Q1143" i="2"/>
  <c r="U1143" i="2"/>
  <c r="Q1144" i="2"/>
  <c r="U1144" i="2"/>
  <c r="Q1145" i="2"/>
  <c r="U1145" i="2"/>
  <c r="Q1146" i="2"/>
  <c r="U1146" i="2"/>
  <c r="Q1147" i="2"/>
  <c r="U1147" i="2"/>
  <c r="Q1148" i="2"/>
  <c r="U1148" i="2"/>
  <c r="Q1149" i="2"/>
  <c r="U1149" i="2"/>
  <c r="Q1150" i="2"/>
  <c r="U1150" i="2"/>
  <c r="Q1151" i="2"/>
  <c r="U1151" i="2"/>
  <c r="Q1152" i="2"/>
  <c r="U1152" i="2"/>
  <c r="Q1153" i="2"/>
  <c r="U1153" i="2"/>
  <c r="Q1154" i="2"/>
  <c r="U1154" i="2"/>
  <c r="Q1155" i="2"/>
  <c r="U1155" i="2"/>
  <c r="Q1156" i="2"/>
  <c r="U1156" i="2"/>
  <c r="Q1157" i="2"/>
  <c r="U1157" i="2"/>
  <c r="Q1158" i="2"/>
  <c r="U1158" i="2"/>
  <c r="Q1159" i="2"/>
  <c r="U1159" i="2"/>
  <c r="Q1160" i="2"/>
  <c r="U1160" i="2"/>
  <c r="Q1161" i="2"/>
  <c r="U1161" i="2"/>
  <c r="Q1162" i="2"/>
  <c r="U1162" i="2"/>
  <c r="Q1163" i="2"/>
  <c r="U1163" i="2"/>
  <c r="Q1164" i="2"/>
  <c r="U1164" i="2"/>
  <c r="Q1165" i="2"/>
  <c r="U1165" i="2"/>
  <c r="Q1166" i="2"/>
  <c r="U1166" i="2"/>
  <c r="Q1167" i="2"/>
  <c r="U1167" i="2"/>
  <c r="Q1168" i="2"/>
  <c r="U1168" i="2"/>
  <c r="Q1169" i="2"/>
  <c r="U1169" i="2"/>
  <c r="Q1170" i="2"/>
  <c r="U1170" i="2"/>
  <c r="Q1171" i="2"/>
  <c r="U1171" i="2"/>
  <c r="Q1172" i="2"/>
  <c r="U1172" i="2"/>
  <c r="Q1173" i="2"/>
  <c r="U1173" i="2"/>
  <c r="Q1174" i="2"/>
  <c r="U1174" i="2"/>
  <c r="Q1175" i="2"/>
  <c r="U1175" i="2"/>
  <c r="Q1176" i="2"/>
  <c r="U1176" i="2"/>
  <c r="Q1177" i="2"/>
  <c r="U1177" i="2"/>
  <c r="Q1178" i="2"/>
  <c r="U1178" i="2"/>
  <c r="Q1179" i="2"/>
  <c r="U1179" i="2"/>
  <c r="Q1180" i="2"/>
  <c r="U1180" i="2"/>
  <c r="Q1181" i="2"/>
  <c r="U1181" i="2"/>
  <c r="Q1182" i="2"/>
  <c r="U1182" i="2"/>
  <c r="Q1183" i="2"/>
  <c r="U1183" i="2"/>
  <c r="Q1184" i="2"/>
  <c r="U1184" i="2"/>
  <c r="Q1185" i="2"/>
  <c r="U1185" i="2"/>
  <c r="Q1186" i="2"/>
  <c r="U1186" i="2"/>
  <c r="Q1187" i="2"/>
  <c r="U1187" i="2"/>
  <c r="Q1188" i="2"/>
  <c r="U1188" i="2"/>
  <c r="Q1189" i="2"/>
  <c r="U1189" i="2"/>
  <c r="Q1190" i="2"/>
  <c r="U1190" i="2"/>
  <c r="Q1191" i="2"/>
  <c r="U1191" i="2"/>
  <c r="Q1192" i="2"/>
  <c r="U1192" i="2"/>
  <c r="Q1193" i="2"/>
  <c r="U1193" i="2"/>
  <c r="Q1194" i="2"/>
  <c r="U1194" i="2"/>
  <c r="Q1195" i="2"/>
  <c r="U1195" i="2"/>
  <c r="Q1196" i="2"/>
  <c r="U1196" i="2"/>
  <c r="Q1197" i="2"/>
  <c r="U1197" i="2"/>
  <c r="Q1198" i="2"/>
  <c r="U1198" i="2"/>
  <c r="Q1199" i="2"/>
  <c r="U1199" i="2"/>
  <c r="Q1200" i="2"/>
  <c r="U1200" i="2"/>
  <c r="Q1201" i="2"/>
  <c r="U1201" i="2"/>
  <c r="Q1202" i="2"/>
  <c r="U1202" i="2"/>
  <c r="Q1203" i="2"/>
  <c r="U1203" i="2"/>
  <c r="Q1204" i="2"/>
  <c r="U1204" i="2"/>
  <c r="Q1205" i="2"/>
  <c r="U1205" i="2"/>
  <c r="Q1206" i="2"/>
  <c r="U1206" i="2"/>
  <c r="Q1207" i="2"/>
  <c r="U1207" i="2"/>
  <c r="Q1208" i="2"/>
  <c r="U1208" i="2"/>
  <c r="Q1209" i="2"/>
  <c r="U1209" i="2"/>
  <c r="Q1210" i="2"/>
  <c r="U1210" i="2"/>
  <c r="Q1211" i="2"/>
  <c r="U1211" i="2"/>
  <c r="Q1212" i="2"/>
  <c r="U1212" i="2"/>
  <c r="Q1213" i="2"/>
  <c r="U1213" i="2"/>
  <c r="Q1214" i="2"/>
  <c r="U1214" i="2"/>
  <c r="Q1215" i="2"/>
  <c r="U1215" i="2"/>
  <c r="Q1216" i="2"/>
  <c r="U1216" i="2"/>
  <c r="Q1217" i="2"/>
  <c r="U1217" i="2"/>
  <c r="Q1218" i="2"/>
  <c r="U1218" i="2"/>
  <c r="Q1219" i="2"/>
  <c r="U1219" i="2"/>
  <c r="Q1220" i="2"/>
  <c r="U1220" i="2"/>
  <c r="Q1221" i="2"/>
  <c r="U1221" i="2"/>
  <c r="Q1222" i="2"/>
  <c r="U1222" i="2"/>
  <c r="Q1223" i="2"/>
  <c r="U1223" i="2"/>
  <c r="Q1224" i="2"/>
  <c r="U1224" i="2"/>
  <c r="Q1225" i="2"/>
  <c r="U1225" i="2"/>
  <c r="Q1226" i="2"/>
  <c r="U1226" i="2"/>
  <c r="Q1227" i="2"/>
  <c r="U1227" i="2"/>
  <c r="Q1228" i="2"/>
  <c r="U1228" i="2"/>
  <c r="Q1229" i="2"/>
  <c r="U1229" i="2"/>
  <c r="Q1230" i="2"/>
  <c r="U1230" i="2"/>
  <c r="Q1231" i="2"/>
  <c r="U1231" i="2"/>
  <c r="Q1232" i="2"/>
  <c r="U1232" i="2"/>
  <c r="Q1233" i="2"/>
  <c r="U1233" i="2"/>
  <c r="Q1234" i="2"/>
  <c r="U1234" i="2"/>
  <c r="Q1235" i="2"/>
  <c r="U1235" i="2"/>
  <c r="Q1236" i="2"/>
  <c r="U1236" i="2"/>
  <c r="Q1237" i="2"/>
  <c r="U1237" i="2"/>
  <c r="Q1238" i="2"/>
  <c r="U1238" i="2"/>
  <c r="Q1239" i="2"/>
  <c r="U1239" i="2"/>
  <c r="Q1240" i="2"/>
  <c r="U1240" i="2"/>
  <c r="Q1241" i="2"/>
  <c r="U1241" i="2"/>
  <c r="Q1242" i="2"/>
  <c r="U1242" i="2"/>
  <c r="Q1243" i="2"/>
  <c r="U1243" i="2"/>
  <c r="Q1244" i="2"/>
  <c r="U1244" i="2"/>
  <c r="Q1245" i="2"/>
  <c r="U1245" i="2"/>
  <c r="Q1246" i="2"/>
  <c r="U1246" i="2"/>
  <c r="Q1247" i="2"/>
  <c r="U1247" i="2"/>
  <c r="Q1248" i="2"/>
  <c r="U1248" i="2"/>
  <c r="Q1249" i="2"/>
  <c r="U1249" i="2"/>
  <c r="Q1250" i="2"/>
  <c r="U1250" i="2"/>
  <c r="Q1251" i="2"/>
  <c r="U1251" i="2"/>
  <c r="Q1252" i="2"/>
  <c r="U1252" i="2"/>
  <c r="Q1253" i="2"/>
  <c r="U1253" i="2"/>
  <c r="Q1254" i="2"/>
  <c r="U1254" i="2"/>
  <c r="Q1255" i="2"/>
  <c r="U1255" i="2"/>
  <c r="Q1256" i="2"/>
  <c r="U1256" i="2"/>
  <c r="Q1257" i="2"/>
  <c r="U1257" i="2"/>
  <c r="Q1258" i="2"/>
  <c r="U1258" i="2"/>
  <c r="Q1259" i="2"/>
  <c r="U1259" i="2"/>
  <c r="Q1260" i="2"/>
  <c r="U1260" i="2"/>
  <c r="Q1261" i="2"/>
  <c r="U1261" i="2"/>
  <c r="Q1262" i="2"/>
  <c r="U1262" i="2"/>
  <c r="Q1263" i="2"/>
  <c r="U1263" i="2"/>
  <c r="Q1264" i="2"/>
  <c r="U1264" i="2"/>
  <c r="Q1265" i="2"/>
  <c r="U1265" i="2"/>
  <c r="Q1266" i="2"/>
  <c r="U1266" i="2"/>
  <c r="Q1267" i="2"/>
  <c r="U1267" i="2"/>
  <c r="Q1268" i="2"/>
  <c r="U1268" i="2"/>
  <c r="Q1269" i="2"/>
  <c r="U1269" i="2"/>
  <c r="Q1270" i="2"/>
  <c r="U1270" i="2"/>
  <c r="Q1271" i="2"/>
  <c r="U1271" i="2"/>
  <c r="Q1272" i="2"/>
  <c r="U1272" i="2"/>
  <c r="Q1273" i="2"/>
  <c r="U1273" i="2"/>
  <c r="Q1274" i="2"/>
  <c r="U1274" i="2"/>
  <c r="Q1275" i="2"/>
  <c r="U1275" i="2"/>
  <c r="Q1276" i="2"/>
  <c r="U1276" i="2"/>
  <c r="Q1277" i="2"/>
  <c r="U1277" i="2"/>
  <c r="Q1278" i="2"/>
  <c r="U1278" i="2"/>
  <c r="Q1279" i="2"/>
  <c r="U1279" i="2"/>
  <c r="Q1280" i="2"/>
  <c r="U1280" i="2"/>
  <c r="Q1281" i="2"/>
  <c r="U1281" i="2"/>
  <c r="Q1282" i="2"/>
  <c r="U1282" i="2"/>
  <c r="Q1283" i="2"/>
  <c r="U1283" i="2"/>
  <c r="Q1284" i="2"/>
  <c r="U1284" i="2"/>
  <c r="Q1285" i="2"/>
  <c r="U1285" i="2"/>
  <c r="Q1286" i="2"/>
  <c r="U1286" i="2"/>
  <c r="Q1287" i="2"/>
  <c r="U1287" i="2"/>
  <c r="Q1288" i="2"/>
  <c r="U1288" i="2"/>
  <c r="Q1289" i="2"/>
  <c r="U1289" i="2"/>
  <c r="Q1290" i="2"/>
  <c r="U1290" i="2"/>
  <c r="Q1291" i="2"/>
  <c r="U1291" i="2"/>
  <c r="Q1292" i="2"/>
  <c r="U1292" i="2"/>
  <c r="Q1293" i="2"/>
  <c r="U1293" i="2"/>
  <c r="Q1294" i="2"/>
  <c r="U1294" i="2"/>
  <c r="Q1295" i="2"/>
  <c r="U1295" i="2"/>
  <c r="Q1296" i="2"/>
  <c r="U1296" i="2"/>
  <c r="Q1297" i="2"/>
  <c r="U1297" i="2"/>
  <c r="Q1298" i="2"/>
  <c r="U1298" i="2"/>
  <c r="Q1299" i="2"/>
  <c r="U1299" i="2"/>
  <c r="Q1300" i="2"/>
  <c r="U1300" i="2"/>
  <c r="Q1301" i="2"/>
  <c r="U1301" i="2"/>
  <c r="Q1302" i="2"/>
  <c r="U1302" i="2"/>
  <c r="Q1303" i="2"/>
  <c r="U1303" i="2"/>
  <c r="Q1304" i="2"/>
  <c r="U1304" i="2"/>
  <c r="Q1305" i="2"/>
  <c r="U1305" i="2"/>
  <c r="Q1306" i="2"/>
  <c r="U1306" i="2"/>
  <c r="Q1307" i="2"/>
  <c r="U1307" i="2"/>
  <c r="Q1308" i="2"/>
  <c r="U1308" i="2"/>
  <c r="Q1309" i="2"/>
  <c r="U1309" i="2"/>
  <c r="Q1310" i="2"/>
  <c r="U1310" i="2"/>
  <c r="Q1311" i="2"/>
  <c r="U1311" i="2"/>
  <c r="Q1312" i="2"/>
  <c r="U1312" i="2"/>
  <c r="Q1313" i="2"/>
  <c r="U1313" i="2"/>
  <c r="Q1314" i="2"/>
  <c r="U1314" i="2"/>
  <c r="Q1315" i="2"/>
  <c r="U1315" i="2"/>
  <c r="Q1316" i="2"/>
  <c r="U1316" i="2"/>
  <c r="Q1317" i="2"/>
  <c r="U1317" i="2"/>
  <c r="Q1318" i="2"/>
  <c r="U1318" i="2"/>
  <c r="Q1319" i="2"/>
  <c r="U1319" i="2"/>
  <c r="Q1320" i="2"/>
  <c r="U1320" i="2"/>
  <c r="Q1321" i="2"/>
  <c r="U1321" i="2"/>
  <c r="Q1322" i="2"/>
  <c r="U1322" i="2"/>
  <c r="Q1323" i="2"/>
  <c r="U1323" i="2"/>
  <c r="Q1324" i="2"/>
  <c r="U1324" i="2"/>
  <c r="Q1325" i="2"/>
  <c r="U1325" i="2"/>
  <c r="Q1326" i="2"/>
  <c r="U1326" i="2"/>
  <c r="Q1327" i="2"/>
  <c r="U1327" i="2"/>
  <c r="Q1328" i="2"/>
  <c r="U1328" i="2"/>
  <c r="Q1329" i="2"/>
  <c r="U1329" i="2"/>
  <c r="Q1330" i="2"/>
  <c r="U1330" i="2"/>
  <c r="Q1331" i="2"/>
  <c r="U1331" i="2"/>
  <c r="Q1332" i="2"/>
  <c r="U1332" i="2"/>
  <c r="Q1333" i="2"/>
  <c r="U1333" i="2"/>
  <c r="Q1334" i="2"/>
  <c r="U1334" i="2"/>
  <c r="Q1335" i="2"/>
  <c r="U1335" i="2"/>
  <c r="Q1336" i="2"/>
  <c r="U1336" i="2"/>
  <c r="Q1337" i="2"/>
  <c r="U1337" i="2"/>
  <c r="Q1338" i="2"/>
  <c r="U1338" i="2"/>
  <c r="Q1339" i="2"/>
  <c r="U1339" i="2"/>
  <c r="Q1340" i="2"/>
  <c r="U1340" i="2"/>
  <c r="Q1341" i="2"/>
  <c r="U1341" i="2"/>
  <c r="Q1342" i="2"/>
  <c r="U1342" i="2"/>
  <c r="Q1343" i="2"/>
  <c r="U1343" i="2"/>
  <c r="Q1344" i="2"/>
  <c r="U1344" i="2"/>
  <c r="Q1345" i="2"/>
  <c r="U1345" i="2"/>
  <c r="Q1346" i="2"/>
  <c r="U1346" i="2"/>
  <c r="Q1347" i="2"/>
  <c r="U1347" i="2"/>
  <c r="Q1348" i="2"/>
  <c r="U1348" i="2"/>
  <c r="Q1349" i="2"/>
  <c r="U1349" i="2"/>
  <c r="Q1350" i="2"/>
  <c r="U1350" i="2"/>
  <c r="Q1351" i="2"/>
  <c r="U1351" i="2"/>
  <c r="Q1352" i="2"/>
  <c r="U1352" i="2"/>
  <c r="Q1353" i="2"/>
  <c r="U1353" i="2"/>
  <c r="Q1354" i="2"/>
  <c r="U1354" i="2"/>
  <c r="Q1355" i="2"/>
  <c r="U1355" i="2"/>
  <c r="Q1356" i="2"/>
  <c r="U1356" i="2"/>
  <c r="Q1357" i="2"/>
  <c r="U1357" i="2"/>
  <c r="Q1358" i="2"/>
  <c r="U1358" i="2"/>
  <c r="Q1359" i="2"/>
  <c r="U1359" i="2"/>
  <c r="Q1360" i="2"/>
  <c r="U1360" i="2"/>
  <c r="Q1361" i="2"/>
  <c r="U1361" i="2"/>
  <c r="Q1362" i="2"/>
  <c r="U1362" i="2"/>
  <c r="Q1363" i="2"/>
  <c r="U1363" i="2"/>
  <c r="Q1364" i="2"/>
  <c r="U1364" i="2"/>
  <c r="Q1365" i="2"/>
  <c r="U1365" i="2"/>
  <c r="Q1366" i="2"/>
  <c r="U1366" i="2"/>
  <c r="Q1367" i="2"/>
  <c r="U1367" i="2"/>
  <c r="Q1368" i="2"/>
  <c r="U1368" i="2"/>
  <c r="Q1369" i="2"/>
  <c r="O388" i="2"/>
  <c r="T434" i="2"/>
  <c r="T466" i="2"/>
  <c r="S489" i="2"/>
  <c r="S505" i="2"/>
  <c r="S521" i="2"/>
  <c r="S537" i="2"/>
  <c r="S553" i="2"/>
  <c r="S569" i="2"/>
  <c r="S585" i="2"/>
  <c r="O599" i="2"/>
  <c r="T609" i="2"/>
  <c r="Q620" i="2"/>
  <c r="O631" i="2"/>
  <c r="T641" i="2"/>
  <c r="Q652" i="2"/>
  <c r="O663" i="2"/>
  <c r="T673" i="2"/>
  <c r="T681" i="2"/>
  <c r="T689" i="2"/>
  <c r="T697" i="2"/>
  <c r="T705" i="2"/>
  <c r="T713" i="2"/>
  <c r="T721" i="2"/>
  <c r="T729" i="2"/>
  <c r="T737" i="2"/>
  <c r="T745" i="2"/>
  <c r="T753" i="2"/>
  <c r="T761" i="2"/>
  <c r="T769" i="2"/>
  <c r="T777" i="2"/>
  <c r="T785" i="2"/>
  <c r="R790" i="2"/>
  <c r="R792" i="2"/>
  <c r="R794" i="2"/>
  <c r="R796" i="2"/>
  <c r="R798" i="2"/>
  <c r="R800" i="2"/>
  <c r="R802" i="2"/>
  <c r="R804" i="2"/>
  <c r="R806" i="2"/>
  <c r="R808" i="2"/>
  <c r="R810" i="2"/>
  <c r="R812" i="2"/>
  <c r="R814" i="2"/>
  <c r="R816" i="2"/>
  <c r="R818" i="2"/>
  <c r="R820" i="2"/>
  <c r="R822" i="2"/>
  <c r="R824" i="2"/>
  <c r="R826" i="2"/>
  <c r="R828" i="2"/>
  <c r="R830" i="2"/>
  <c r="R832" i="2"/>
  <c r="R834" i="2"/>
  <c r="R836" i="2"/>
  <c r="R838" i="2"/>
  <c r="R840" i="2"/>
  <c r="R842" i="2"/>
  <c r="R844" i="2"/>
  <c r="R846" i="2"/>
  <c r="R848" i="2"/>
  <c r="R850" i="2"/>
  <c r="R852" i="2"/>
  <c r="R854" i="2"/>
  <c r="R856" i="2"/>
  <c r="R858" i="2"/>
  <c r="R860" i="2"/>
  <c r="R862" i="2"/>
  <c r="R864" i="2"/>
  <c r="R866" i="2"/>
  <c r="R868" i="2"/>
  <c r="R870" i="2"/>
  <c r="R872" i="2"/>
  <c r="R874" i="2"/>
  <c r="R876" i="2"/>
  <c r="R878" i="2"/>
  <c r="R880" i="2"/>
  <c r="R882" i="2"/>
  <c r="R884" i="2"/>
  <c r="R886" i="2"/>
  <c r="R888" i="2"/>
  <c r="R890" i="2"/>
  <c r="R892" i="2"/>
  <c r="R894" i="2"/>
  <c r="R896" i="2"/>
  <c r="R898" i="2"/>
  <c r="R900" i="2"/>
  <c r="R902" i="2"/>
  <c r="R904" i="2"/>
  <c r="R906" i="2"/>
  <c r="R908" i="2"/>
  <c r="R910" i="2"/>
  <c r="R912" i="2"/>
  <c r="R914" i="2"/>
  <c r="R916" i="2"/>
  <c r="R918" i="2"/>
  <c r="R920" i="2"/>
  <c r="R922" i="2"/>
  <c r="R924" i="2"/>
  <c r="R926" i="2"/>
  <c r="R928" i="2"/>
  <c r="R930" i="2"/>
  <c r="R932" i="2"/>
  <c r="R934" i="2"/>
  <c r="R936" i="2"/>
  <c r="R938" i="2"/>
  <c r="R940" i="2"/>
  <c r="R942" i="2"/>
  <c r="R944" i="2"/>
  <c r="R946" i="2"/>
  <c r="R948" i="2"/>
  <c r="R950" i="2"/>
  <c r="R952" i="2"/>
  <c r="R954" i="2"/>
  <c r="R956" i="2"/>
  <c r="R958" i="2"/>
  <c r="R960" i="2"/>
  <c r="R962" i="2"/>
  <c r="R964" i="2"/>
  <c r="R966" i="2"/>
  <c r="R968" i="2"/>
  <c r="R970" i="2"/>
  <c r="R972" i="2"/>
  <c r="R974" i="2"/>
  <c r="R976" i="2"/>
  <c r="R978" i="2"/>
  <c r="T979" i="2"/>
  <c r="T980" i="2"/>
  <c r="R981" i="2"/>
  <c r="N982" i="2"/>
  <c r="R982" i="2"/>
  <c r="N983" i="2"/>
  <c r="R983" i="2"/>
  <c r="N984" i="2"/>
  <c r="R984" i="2"/>
  <c r="N985" i="2"/>
  <c r="R985" i="2"/>
  <c r="N986" i="2"/>
  <c r="R986" i="2"/>
  <c r="N987" i="2"/>
  <c r="R987" i="2"/>
  <c r="N988" i="2"/>
  <c r="R988" i="2"/>
  <c r="N989" i="2"/>
  <c r="R989" i="2"/>
  <c r="N990" i="2"/>
  <c r="R990" i="2"/>
  <c r="N991" i="2"/>
  <c r="R991" i="2"/>
  <c r="N992" i="2"/>
  <c r="R992" i="2"/>
  <c r="N993" i="2"/>
  <c r="R993" i="2"/>
  <c r="N994" i="2"/>
  <c r="R994" i="2"/>
  <c r="N995" i="2"/>
  <c r="R995" i="2"/>
  <c r="N996" i="2"/>
  <c r="R996" i="2"/>
  <c r="N997" i="2"/>
  <c r="R997" i="2"/>
  <c r="N998" i="2"/>
  <c r="R998" i="2"/>
  <c r="N999" i="2"/>
  <c r="R999" i="2"/>
  <c r="N1000" i="2"/>
  <c r="R1000" i="2"/>
  <c r="N1001" i="2"/>
  <c r="R1001" i="2"/>
  <c r="N1002" i="2"/>
  <c r="R1002" i="2"/>
  <c r="N1003" i="2"/>
  <c r="R1003" i="2"/>
  <c r="N1004" i="2"/>
  <c r="R1004" i="2"/>
  <c r="N1005" i="2"/>
  <c r="R1005" i="2"/>
  <c r="N1006" i="2"/>
  <c r="R1006" i="2"/>
  <c r="N1007" i="2"/>
  <c r="R1007" i="2"/>
  <c r="N1008" i="2"/>
  <c r="R1008" i="2"/>
  <c r="N1009" i="2"/>
  <c r="R1009" i="2"/>
  <c r="N1010" i="2"/>
  <c r="R1010" i="2"/>
  <c r="N1011" i="2"/>
  <c r="R1011" i="2"/>
  <c r="N1012" i="2"/>
  <c r="R1012" i="2"/>
  <c r="N1013" i="2"/>
  <c r="R1013" i="2"/>
  <c r="N1014" i="2"/>
  <c r="R1014" i="2"/>
  <c r="N1015" i="2"/>
  <c r="R1015" i="2"/>
  <c r="N1016" i="2"/>
  <c r="R1016" i="2"/>
  <c r="N1017" i="2"/>
  <c r="R1017" i="2"/>
  <c r="N1018" i="2"/>
  <c r="R1018" i="2"/>
  <c r="N1019" i="2"/>
  <c r="R1019" i="2"/>
  <c r="N1020" i="2"/>
  <c r="R1020" i="2"/>
  <c r="N1021" i="2"/>
  <c r="R1021" i="2"/>
  <c r="N1022" i="2"/>
  <c r="R1022" i="2"/>
  <c r="N1023" i="2"/>
  <c r="R1023" i="2"/>
  <c r="N1024" i="2"/>
  <c r="R1024" i="2"/>
  <c r="N1025" i="2"/>
  <c r="R1025" i="2"/>
  <c r="N1026" i="2"/>
  <c r="R1026" i="2"/>
  <c r="N1027" i="2"/>
  <c r="R1027" i="2"/>
  <c r="N1028" i="2"/>
  <c r="R1028" i="2"/>
  <c r="N1029" i="2"/>
  <c r="R1029" i="2"/>
  <c r="N1030" i="2"/>
  <c r="R1030" i="2"/>
  <c r="N1031" i="2"/>
  <c r="R1031" i="2"/>
  <c r="N1032" i="2"/>
  <c r="R1032" i="2"/>
  <c r="N1033" i="2"/>
  <c r="R1033" i="2"/>
  <c r="N1034" i="2"/>
  <c r="R1034" i="2"/>
  <c r="N1035" i="2"/>
  <c r="R1035" i="2"/>
  <c r="N1036" i="2"/>
  <c r="R1036" i="2"/>
  <c r="N1037" i="2"/>
  <c r="R1037" i="2"/>
  <c r="N1038" i="2"/>
  <c r="R1038" i="2"/>
  <c r="N1039" i="2"/>
  <c r="R1039" i="2"/>
  <c r="N1040" i="2"/>
  <c r="R1040" i="2"/>
  <c r="N1041" i="2"/>
  <c r="R1041" i="2"/>
  <c r="N1042" i="2"/>
  <c r="R1042" i="2"/>
  <c r="N1043" i="2"/>
  <c r="R1043" i="2"/>
  <c r="N1044" i="2"/>
  <c r="R1044" i="2"/>
  <c r="N1045" i="2"/>
  <c r="R1045" i="2"/>
  <c r="N1046" i="2"/>
  <c r="R1046" i="2"/>
  <c r="N1047" i="2"/>
  <c r="R1047" i="2"/>
  <c r="N1048" i="2"/>
  <c r="R1048" i="2"/>
  <c r="N1049" i="2"/>
  <c r="R1049" i="2"/>
  <c r="N1050" i="2"/>
  <c r="R1050" i="2"/>
  <c r="N1051" i="2"/>
  <c r="R1051" i="2"/>
  <c r="N1052" i="2"/>
  <c r="R1052" i="2"/>
  <c r="N1053" i="2"/>
  <c r="R1053" i="2"/>
  <c r="N1054" i="2"/>
  <c r="R1054" i="2"/>
  <c r="N1055" i="2"/>
  <c r="R1055" i="2"/>
  <c r="N1056" i="2"/>
  <c r="R1056" i="2"/>
  <c r="N1057" i="2"/>
  <c r="R1057" i="2"/>
  <c r="N1058" i="2"/>
  <c r="R1058" i="2"/>
  <c r="N1059" i="2"/>
  <c r="R1059" i="2"/>
  <c r="N1060" i="2"/>
  <c r="R1060" i="2"/>
  <c r="N1061" i="2"/>
  <c r="R1061" i="2"/>
  <c r="N1062" i="2"/>
  <c r="R1062" i="2"/>
  <c r="N1063" i="2"/>
  <c r="R1063" i="2"/>
  <c r="N1064" i="2"/>
  <c r="R1064" i="2"/>
  <c r="N1065" i="2"/>
  <c r="R1065" i="2"/>
  <c r="N1066" i="2"/>
  <c r="R1066" i="2"/>
  <c r="N1067" i="2"/>
  <c r="R1067" i="2"/>
  <c r="N1068" i="2"/>
  <c r="R1068" i="2"/>
  <c r="N1069" i="2"/>
  <c r="R1069" i="2"/>
  <c r="N1070" i="2"/>
  <c r="R1070" i="2"/>
  <c r="N1071" i="2"/>
  <c r="R1071" i="2"/>
  <c r="N1072" i="2"/>
  <c r="R1072" i="2"/>
  <c r="N1073" i="2"/>
  <c r="R1073" i="2"/>
  <c r="N1074" i="2"/>
  <c r="R1074" i="2"/>
  <c r="N1075" i="2"/>
  <c r="R1075" i="2"/>
  <c r="N1076" i="2"/>
  <c r="R1076" i="2"/>
  <c r="N1077" i="2"/>
  <c r="R1077" i="2"/>
  <c r="N1078" i="2"/>
  <c r="R1078" i="2"/>
  <c r="N1079" i="2"/>
  <c r="R1079" i="2"/>
  <c r="N1080" i="2"/>
  <c r="R1080" i="2"/>
  <c r="N1081" i="2"/>
  <c r="R1081" i="2"/>
  <c r="N1082" i="2"/>
  <c r="R1082" i="2"/>
  <c r="N1083" i="2"/>
  <c r="R1083" i="2"/>
  <c r="N1084" i="2"/>
  <c r="R1084" i="2"/>
  <c r="N1085" i="2"/>
  <c r="R1085" i="2"/>
  <c r="N1086" i="2"/>
  <c r="R1086" i="2"/>
  <c r="N1087" i="2"/>
  <c r="R1087" i="2"/>
  <c r="N1088" i="2"/>
  <c r="R1088" i="2"/>
  <c r="N1089" i="2"/>
  <c r="R1089" i="2"/>
  <c r="N1090" i="2"/>
  <c r="R1090" i="2"/>
  <c r="N1091" i="2"/>
  <c r="R1091" i="2"/>
  <c r="N1092" i="2"/>
  <c r="R1092" i="2"/>
  <c r="N1093" i="2"/>
  <c r="R1093" i="2"/>
  <c r="N1094" i="2"/>
  <c r="R1094" i="2"/>
  <c r="N1095" i="2"/>
  <c r="R1095" i="2"/>
  <c r="N1096" i="2"/>
  <c r="R1096" i="2"/>
  <c r="N1097" i="2"/>
  <c r="R1097" i="2"/>
  <c r="N1098" i="2"/>
  <c r="R1098" i="2"/>
  <c r="N1099" i="2"/>
  <c r="R1099" i="2"/>
  <c r="N1100" i="2"/>
  <c r="R1100" i="2"/>
  <c r="N1101" i="2"/>
  <c r="R1101" i="2"/>
  <c r="N1102" i="2"/>
  <c r="R1102" i="2"/>
  <c r="N1103" i="2"/>
  <c r="R1103" i="2"/>
  <c r="N1104" i="2"/>
  <c r="R1104" i="2"/>
  <c r="N1105" i="2"/>
  <c r="R1105" i="2"/>
  <c r="N1106" i="2"/>
  <c r="R1106" i="2"/>
  <c r="N1107" i="2"/>
  <c r="R1107" i="2"/>
  <c r="N1108" i="2"/>
  <c r="R1108" i="2"/>
  <c r="N1109" i="2"/>
  <c r="R1109" i="2"/>
  <c r="N1110" i="2"/>
  <c r="R1110" i="2"/>
  <c r="N1111" i="2"/>
  <c r="R1111" i="2"/>
  <c r="N1112" i="2"/>
  <c r="R1112" i="2"/>
  <c r="N1113" i="2"/>
  <c r="R1113" i="2"/>
  <c r="N1114" i="2"/>
  <c r="R1114" i="2"/>
  <c r="N1115" i="2"/>
  <c r="R1115" i="2"/>
  <c r="N1116" i="2"/>
  <c r="R1116" i="2"/>
  <c r="N1117" i="2"/>
  <c r="R1117" i="2"/>
  <c r="N1118" i="2"/>
  <c r="R1118" i="2"/>
  <c r="N1119" i="2"/>
  <c r="R1119" i="2"/>
  <c r="N1120" i="2"/>
  <c r="R1120" i="2"/>
  <c r="N1121" i="2"/>
  <c r="R1121" i="2"/>
  <c r="N1122" i="2"/>
  <c r="R1122" i="2"/>
  <c r="N1123" i="2"/>
  <c r="R1123" i="2"/>
  <c r="N1124" i="2"/>
  <c r="R1124" i="2"/>
  <c r="N1125" i="2"/>
  <c r="R1125" i="2"/>
  <c r="N1126" i="2"/>
  <c r="R1126" i="2"/>
  <c r="N1127" i="2"/>
  <c r="R1127" i="2"/>
  <c r="N1128" i="2"/>
  <c r="R1128" i="2"/>
  <c r="N1129" i="2"/>
  <c r="R1129" i="2"/>
  <c r="N1130" i="2"/>
  <c r="R1130" i="2"/>
  <c r="N1131" i="2"/>
  <c r="R1131" i="2"/>
  <c r="N1132" i="2"/>
  <c r="R1132" i="2"/>
  <c r="N1133" i="2"/>
  <c r="R1133" i="2"/>
  <c r="N1134" i="2"/>
  <c r="R1134" i="2"/>
  <c r="N1135" i="2"/>
  <c r="R1135" i="2"/>
  <c r="N1136" i="2"/>
  <c r="R1136" i="2"/>
  <c r="N1137" i="2"/>
  <c r="R1137" i="2"/>
  <c r="N1138" i="2"/>
  <c r="R1138" i="2"/>
  <c r="N1139" i="2"/>
  <c r="R1139" i="2"/>
  <c r="N1140" i="2"/>
  <c r="R1140" i="2"/>
  <c r="N1141" i="2"/>
  <c r="R1141" i="2"/>
  <c r="N1142" i="2"/>
  <c r="R1142" i="2"/>
  <c r="N1143" i="2"/>
  <c r="R1143" i="2"/>
  <c r="N1144" i="2"/>
  <c r="R1144" i="2"/>
  <c r="N1145" i="2"/>
  <c r="R1145" i="2"/>
  <c r="N1146" i="2"/>
  <c r="R1146" i="2"/>
  <c r="N1147" i="2"/>
  <c r="R1147" i="2"/>
  <c r="N1148" i="2"/>
  <c r="R1148" i="2"/>
  <c r="N1149" i="2"/>
  <c r="R1149" i="2"/>
  <c r="N1150" i="2"/>
  <c r="R1150" i="2"/>
  <c r="N1151" i="2"/>
  <c r="R1151" i="2"/>
  <c r="N1152" i="2"/>
  <c r="R1152" i="2"/>
  <c r="N1153" i="2"/>
  <c r="R1153" i="2"/>
  <c r="N1154" i="2"/>
  <c r="R1154" i="2"/>
  <c r="N1155" i="2"/>
  <c r="R1155" i="2"/>
  <c r="N1156" i="2"/>
  <c r="R1156" i="2"/>
  <c r="N1157" i="2"/>
  <c r="R1157" i="2"/>
  <c r="N1158" i="2"/>
  <c r="R1158" i="2"/>
  <c r="N1159" i="2"/>
  <c r="R1159" i="2"/>
  <c r="N1160" i="2"/>
  <c r="R1160" i="2"/>
  <c r="N1161" i="2"/>
  <c r="R1161" i="2"/>
  <c r="N1162" i="2"/>
  <c r="R1162" i="2"/>
  <c r="N1163" i="2"/>
  <c r="R1163" i="2"/>
  <c r="N1164" i="2"/>
  <c r="R1164" i="2"/>
  <c r="N1165" i="2"/>
  <c r="R1165" i="2"/>
  <c r="N1166" i="2"/>
  <c r="R1166" i="2"/>
  <c r="N1167" i="2"/>
  <c r="R1167" i="2"/>
  <c r="N1168" i="2"/>
  <c r="R1168" i="2"/>
  <c r="N1169" i="2"/>
  <c r="R1169" i="2"/>
  <c r="N1170" i="2"/>
  <c r="R1170" i="2"/>
  <c r="N1171" i="2"/>
  <c r="R1171" i="2"/>
  <c r="N1172" i="2"/>
  <c r="R1172" i="2"/>
  <c r="N1173" i="2"/>
  <c r="R1173" i="2"/>
  <c r="N1174" i="2"/>
  <c r="R1174" i="2"/>
  <c r="N1175" i="2"/>
  <c r="R1175" i="2"/>
  <c r="N1176" i="2"/>
  <c r="R1176" i="2"/>
  <c r="N1177" i="2"/>
  <c r="R1177" i="2"/>
  <c r="N1178" i="2"/>
  <c r="R1178" i="2"/>
  <c r="N1179" i="2"/>
  <c r="R1179" i="2"/>
  <c r="N1180" i="2"/>
  <c r="R1180" i="2"/>
  <c r="N1181" i="2"/>
  <c r="R1181" i="2"/>
  <c r="N1182" i="2"/>
  <c r="R1182" i="2"/>
  <c r="N1183" i="2"/>
  <c r="R1183" i="2"/>
  <c r="N1184" i="2"/>
  <c r="R1184" i="2"/>
  <c r="N1185" i="2"/>
  <c r="R1185" i="2"/>
  <c r="N1186" i="2"/>
  <c r="R1186" i="2"/>
  <c r="N1187" i="2"/>
  <c r="R1187" i="2"/>
  <c r="N1188" i="2"/>
  <c r="R1188" i="2"/>
  <c r="N1189" i="2"/>
  <c r="R1189" i="2"/>
  <c r="N1190" i="2"/>
  <c r="R1190" i="2"/>
  <c r="N1191" i="2"/>
  <c r="R1191" i="2"/>
  <c r="N1192" i="2"/>
  <c r="R1192" i="2"/>
  <c r="N1193" i="2"/>
  <c r="R1193" i="2"/>
  <c r="N1194" i="2"/>
  <c r="R1194" i="2"/>
  <c r="N1195" i="2"/>
  <c r="R1195" i="2"/>
  <c r="N1196" i="2"/>
  <c r="R1196" i="2"/>
  <c r="N1197" i="2"/>
  <c r="R1197" i="2"/>
  <c r="N1198" i="2"/>
  <c r="R1198" i="2"/>
  <c r="N1199" i="2"/>
  <c r="R1199" i="2"/>
  <c r="N1200" i="2"/>
  <c r="R1200" i="2"/>
  <c r="N1201" i="2"/>
  <c r="R1201" i="2"/>
  <c r="N1202" i="2"/>
  <c r="R1202" i="2"/>
  <c r="N1203" i="2"/>
  <c r="R1203" i="2"/>
  <c r="N1204" i="2"/>
  <c r="R1204" i="2"/>
  <c r="N1205" i="2"/>
  <c r="R1205" i="2"/>
  <c r="N1206" i="2"/>
  <c r="R1206" i="2"/>
  <c r="N1207" i="2"/>
  <c r="R1207" i="2"/>
  <c r="N1208" i="2"/>
  <c r="R1208" i="2"/>
  <c r="N1209" i="2"/>
  <c r="R1209" i="2"/>
  <c r="N1210" i="2"/>
  <c r="R1210" i="2"/>
  <c r="N1211" i="2"/>
  <c r="R1211" i="2"/>
  <c r="N1212" i="2"/>
  <c r="R1212" i="2"/>
  <c r="N1213" i="2"/>
  <c r="R1213" i="2"/>
  <c r="N1214" i="2"/>
  <c r="R1214" i="2"/>
  <c r="N1215" i="2"/>
  <c r="R1215" i="2"/>
  <c r="N1216" i="2"/>
  <c r="R1216" i="2"/>
  <c r="N1217" i="2"/>
  <c r="R1217" i="2"/>
  <c r="N1218" i="2"/>
  <c r="R1218" i="2"/>
  <c r="N1219" i="2"/>
  <c r="R1219" i="2"/>
  <c r="N1220" i="2"/>
  <c r="R1220" i="2"/>
  <c r="N1221" i="2"/>
  <c r="R1221" i="2"/>
  <c r="N1222" i="2"/>
  <c r="R1222" i="2"/>
  <c r="N1223" i="2"/>
  <c r="R1223" i="2"/>
  <c r="N1224" i="2"/>
  <c r="R1224" i="2"/>
  <c r="N1225" i="2"/>
  <c r="R1225" i="2"/>
  <c r="N1226" i="2"/>
  <c r="R1226" i="2"/>
  <c r="N1227" i="2"/>
  <c r="R1227" i="2"/>
  <c r="N1228" i="2"/>
  <c r="R1228" i="2"/>
  <c r="N1229" i="2"/>
  <c r="R1229" i="2"/>
  <c r="N1230" i="2"/>
  <c r="R1230" i="2"/>
  <c r="N1231" i="2"/>
  <c r="R1231" i="2"/>
  <c r="N1232" i="2"/>
  <c r="R1232" i="2"/>
  <c r="N1233" i="2"/>
  <c r="R1233" i="2"/>
  <c r="N1234" i="2"/>
  <c r="R1234" i="2"/>
  <c r="N1235" i="2"/>
  <c r="R1235" i="2"/>
  <c r="N1236" i="2"/>
  <c r="R1236" i="2"/>
  <c r="N1237" i="2"/>
  <c r="R1237" i="2"/>
  <c r="N1238" i="2"/>
  <c r="R1238" i="2"/>
  <c r="N1239" i="2"/>
  <c r="R1239" i="2"/>
  <c r="N1240" i="2"/>
  <c r="R1240" i="2"/>
  <c r="N1241" i="2"/>
  <c r="R1241" i="2"/>
  <c r="N1242" i="2"/>
  <c r="R1242" i="2"/>
  <c r="N1243" i="2"/>
  <c r="R1243" i="2"/>
  <c r="N1244" i="2"/>
  <c r="R1244" i="2"/>
  <c r="N1245" i="2"/>
  <c r="R1245" i="2"/>
  <c r="N1246" i="2"/>
  <c r="R1246" i="2"/>
  <c r="N1247" i="2"/>
  <c r="R1247" i="2"/>
  <c r="N1248" i="2"/>
  <c r="R1248" i="2"/>
  <c r="N1249" i="2"/>
  <c r="R1249" i="2"/>
  <c r="N1250" i="2"/>
  <c r="R1250" i="2"/>
  <c r="N1251" i="2"/>
  <c r="R1251" i="2"/>
  <c r="N1252" i="2"/>
  <c r="R1252" i="2"/>
  <c r="N1253" i="2"/>
  <c r="R1253" i="2"/>
  <c r="N1254" i="2"/>
  <c r="R1254" i="2"/>
  <c r="N1255" i="2"/>
  <c r="R1255" i="2"/>
  <c r="N1256" i="2"/>
  <c r="R1256" i="2"/>
  <c r="N1257" i="2"/>
  <c r="R1257" i="2"/>
  <c r="N1258" i="2"/>
  <c r="R1258" i="2"/>
  <c r="N1259" i="2"/>
  <c r="R1259" i="2"/>
  <c r="N1260" i="2"/>
  <c r="R1260" i="2"/>
  <c r="N1261" i="2"/>
  <c r="R1261" i="2"/>
  <c r="N1262" i="2"/>
  <c r="R1262" i="2"/>
  <c r="N1263" i="2"/>
  <c r="R1263" i="2"/>
  <c r="N1264" i="2"/>
  <c r="R1264" i="2"/>
  <c r="N1265" i="2"/>
  <c r="R1265" i="2"/>
  <c r="N1266" i="2"/>
  <c r="R1266" i="2"/>
  <c r="N1267" i="2"/>
  <c r="R1267" i="2"/>
  <c r="N1268" i="2"/>
  <c r="R1268" i="2"/>
  <c r="N1269" i="2"/>
  <c r="R1269" i="2"/>
  <c r="N1270" i="2"/>
  <c r="R1270" i="2"/>
  <c r="N1271" i="2"/>
  <c r="R1271" i="2"/>
  <c r="N1272" i="2"/>
  <c r="R1272" i="2"/>
  <c r="N1273" i="2"/>
  <c r="R1273" i="2"/>
  <c r="N1274" i="2"/>
  <c r="R1274" i="2"/>
  <c r="N1275" i="2"/>
  <c r="R1275" i="2"/>
  <c r="N1276" i="2"/>
  <c r="R1276" i="2"/>
  <c r="N1277" i="2"/>
  <c r="R1277" i="2"/>
  <c r="N1278" i="2"/>
  <c r="R1278" i="2"/>
  <c r="N1279" i="2"/>
  <c r="R1279" i="2"/>
  <c r="N1280" i="2"/>
  <c r="R1280" i="2"/>
  <c r="N1281" i="2"/>
  <c r="R1281" i="2"/>
  <c r="N1282" i="2"/>
  <c r="R1282" i="2"/>
  <c r="N1283" i="2"/>
  <c r="R1283" i="2"/>
  <c r="N1284" i="2"/>
  <c r="R1284" i="2"/>
  <c r="N1285" i="2"/>
  <c r="R1285" i="2"/>
  <c r="N1286" i="2"/>
  <c r="R1286" i="2"/>
  <c r="N1287" i="2"/>
  <c r="R1287" i="2"/>
  <c r="N1288" i="2"/>
  <c r="R1288" i="2"/>
  <c r="N1289" i="2"/>
  <c r="R1289" i="2"/>
  <c r="N1290" i="2"/>
  <c r="R1290" i="2"/>
  <c r="N1291" i="2"/>
  <c r="R1291" i="2"/>
  <c r="N1292" i="2"/>
  <c r="R1292" i="2"/>
  <c r="N1293" i="2"/>
  <c r="R1293" i="2"/>
  <c r="N1294" i="2"/>
  <c r="R1294" i="2"/>
  <c r="N1295" i="2"/>
  <c r="R1295" i="2"/>
  <c r="N1296" i="2"/>
  <c r="R1296" i="2"/>
  <c r="N1297" i="2"/>
  <c r="R1297" i="2"/>
  <c r="N1298" i="2"/>
  <c r="R1298" i="2"/>
  <c r="N1299" i="2"/>
  <c r="R1299" i="2"/>
  <c r="N1300" i="2"/>
  <c r="R1300" i="2"/>
  <c r="N1301" i="2"/>
  <c r="R1301" i="2"/>
  <c r="N1302" i="2"/>
  <c r="R1302" i="2"/>
  <c r="N1303" i="2"/>
  <c r="R1303" i="2"/>
  <c r="N1304" i="2"/>
  <c r="R1304" i="2"/>
  <c r="N1305" i="2"/>
  <c r="R1305" i="2"/>
  <c r="N1306" i="2"/>
  <c r="R1306" i="2"/>
  <c r="N1307" i="2"/>
  <c r="R1307" i="2"/>
  <c r="N1308" i="2"/>
  <c r="R1308" i="2"/>
  <c r="N1309" i="2"/>
  <c r="R1309" i="2"/>
  <c r="N1310" i="2"/>
  <c r="R1310" i="2"/>
  <c r="N1311" i="2"/>
  <c r="R1311" i="2"/>
  <c r="N1312" i="2"/>
  <c r="R1312" i="2"/>
  <c r="N1313" i="2"/>
  <c r="R1313" i="2"/>
  <c r="N1314" i="2"/>
  <c r="R1314" i="2"/>
  <c r="N1315" i="2"/>
  <c r="R1315" i="2"/>
  <c r="N1316" i="2"/>
  <c r="R1316" i="2"/>
  <c r="N1317" i="2"/>
  <c r="R1317" i="2"/>
  <c r="N1318" i="2"/>
  <c r="R1318" i="2"/>
  <c r="N1319" i="2"/>
  <c r="R1319" i="2"/>
  <c r="N1320" i="2"/>
  <c r="R1320" i="2"/>
  <c r="N1321" i="2"/>
  <c r="R1321" i="2"/>
  <c r="N1322" i="2"/>
  <c r="R1322" i="2"/>
  <c r="N1323" i="2"/>
  <c r="R1323" i="2"/>
  <c r="N1324" i="2"/>
  <c r="R1324" i="2"/>
  <c r="N1325" i="2"/>
  <c r="R1325" i="2"/>
  <c r="N1326" i="2"/>
  <c r="R1326" i="2"/>
  <c r="N1327" i="2"/>
  <c r="R1327" i="2"/>
  <c r="N1328" i="2"/>
  <c r="R1328" i="2"/>
  <c r="N1329" i="2"/>
  <c r="R1329" i="2"/>
  <c r="N1330" i="2"/>
  <c r="R1330" i="2"/>
  <c r="N1331" i="2"/>
  <c r="R1331" i="2"/>
  <c r="N1332" i="2"/>
  <c r="R1332" i="2"/>
  <c r="N1333" i="2"/>
  <c r="R1333" i="2"/>
  <c r="N1334" i="2"/>
  <c r="R1334" i="2"/>
  <c r="N1335" i="2"/>
  <c r="R1335" i="2"/>
  <c r="N1336" i="2"/>
  <c r="R1336" i="2"/>
  <c r="N1337" i="2"/>
  <c r="R1337" i="2"/>
  <c r="N1338" i="2"/>
  <c r="R1338" i="2"/>
  <c r="N1339" i="2"/>
  <c r="R1339" i="2"/>
  <c r="N1340" i="2"/>
  <c r="R1340" i="2"/>
  <c r="N1341" i="2"/>
  <c r="R1341" i="2"/>
  <c r="N1342" i="2"/>
  <c r="R1342" i="2"/>
  <c r="N1343" i="2"/>
  <c r="R1343" i="2"/>
  <c r="N1344" i="2"/>
  <c r="R1344" i="2"/>
  <c r="N1345" i="2"/>
  <c r="R1345" i="2"/>
  <c r="N1346" i="2"/>
  <c r="R1346" i="2"/>
  <c r="N1347" i="2"/>
  <c r="R1347" i="2"/>
  <c r="N1348" i="2"/>
  <c r="R1348" i="2"/>
  <c r="N1349" i="2"/>
  <c r="R1349" i="2"/>
  <c r="N1350" i="2"/>
  <c r="R1350" i="2"/>
  <c r="N1351" i="2"/>
  <c r="R1351" i="2"/>
  <c r="N1352" i="2"/>
  <c r="R1352" i="2"/>
  <c r="N1353" i="2"/>
  <c r="R1353" i="2"/>
  <c r="N1354" i="2"/>
  <c r="R1354" i="2"/>
  <c r="N1355" i="2"/>
  <c r="R1355" i="2"/>
  <c r="N1356" i="2"/>
  <c r="R1356" i="2"/>
  <c r="N1357" i="2"/>
  <c r="R1357" i="2"/>
  <c r="N1358" i="2"/>
  <c r="R1358" i="2"/>
  <c r="N1359" i="2"/>
  <c r="R1359" i="2"/>
  <c r="N1360" i="2"/>
  <c r="R1360" i="2"/>
  <c r="N1361" i="2"/>
  <c r="R1361" i="2"/>
  <c r="N1362" i="2"/>
  <c r="R1362" i="2"/>
  <c r="N1363" i="2"/>
  <c r="R1363" i="2"/>
  <c r="N1364" i="2"/>
  <c r="R1364" i="2"/>
  <c r="N1365" i="2"/>
  <c r="R1365" i="2"/>
  <c r="N1366" i="2"/>
  <c r="R1366" i="2"/>
  <c r="N1367" i="2"/>
  <c r="R1367" i="2"/>
  <c r="N1368" i="2"/>
  <c r="R1368" i="2"/>
  <c r="N1369" i="2"/>
  <c r="R1369" i="2"/>
  <c r="N1370" i="2"/>
  <c r="R1370" i="2"/>
  <c r="N1371" i="2"/>
  <c r="R1371" i="2"/>
  <c r="N1372" i="2"/>
  <c r="R1372" i="2"/>
  <c r="N1373" i="2"/>
  <c r="R1373" i="2"/>
  <c r="N1374" i="2"/>
  <c r="R1374" i="2"/>
  <c r="N1375" i="2"/>
  <c r="R1375" i="2"/>
  <c r="N1376" i="2"/>
  <c r="R1376" i="2"/>
  <c r="N1377" i="2"/>
  <c r="R1377" i="2"/>
  <c r="N1378" i="2"/>
  <c r="R1378" i="2"/>
  <c r="N1379" i="2"/>
  <c r="R1379" i="2"/>
  <c r="N1380" i="2"/>
  <c r="R1380" i="2"/>
  <c r="N1381" i="2"/>
  <c r="R1381" i="2"/>
  <c r="N1382" i="2"/>
  <c r="R1382" i="2"/>
  <c r="N1383" i="2"/>
  <c r="R1383" i="2"/>
  <c r="N1384" i="2"/>
  <c r="R1384" i="2"/>
  <c r="N1385" i="2"/>
  <c r="R1385" i="2"/>
  <c r="N1386" i="2"/>
  <c r="R1386" i="2"/>
  <c r="N1387" i="2"/>
  <c r="R1387" i="2"/>
  <c r="N1388" i="2"/>
  <c r="R1388" i="2"/>
  <c r="N1389" i="2"/>
  <c r="R1389" i="2"/>
  <c r="N1390" i="2"/>
  <c r="R1390" i="2"/>
  <c r="N1391" i="2"/>
  <c r="R1391" i="2"/>
  <c r="N1392" i="2"/>
  <c r="R1392" i="2"/>
  <c r="N1393" i="2"/>
  <c r="R1393" i="2"/>
  <c r="N1394" i="2"/>
  <c r="R1394" i="2"/>
  <c r="N1395" i="2"/>
  <c r="R1395" i="2"/>
  <c r="N1396" i="2"/>
  <c r="R1396" i="2"/>
  <c r="N1397" i="2"/>
  <c r="R1397" i="2"/>
  <c r="N1398" i="2"/>
  <c r="R1398" i="2"/>
  <c r="N1399" i="2"/>
  <c r="R1399" i="2"/>
  <c r="N1400" i="2"/>
  <c r="R1400" i="2"/>
  <c r="N1401" i="2"/>
  <c r="R1401" i="2"/>
  <c r="N1402" i="2"/>
  <c r="R1402" i="2"/>
  <c r="N1403" i="2"/>
  <c r="R1403" i="2"/>
  <c r="N1404" i="2"/>
  <c r="R1404" i="2"/>
  <c r="N1405" i="2"/>
  <c r="R1405" i="2"/>
  <c r="N1406" i="2"/>
  <c r="R1406" i="2"/>
  <c r="N1407" i="2"/>
  <c r="R1407" i="2"/>
  <c r="N1408" i="2"/>
  <c r="R1408" i="2"/>
  <c r="N1409" i="2"/>
  <c r="R1409" i="2"/>
  <c r="N1410" i="2"/>
  <c r="R1410" i="2"/>
  <c r="N1411" i="2"/>
  <c r="R1411" i="2"/>
  <c r="N1412" i="2"/>
  <c r="R1412" i="2"/>
  <c r="N1413" i="2"/>
  <c r="R1413" i="2"/>
  <c r="N1414" i="2"/>
  <c r="R1414" i="2"/>
  <c r="N1415" i="2"/>
  <c r="R1415" i="2"/>
  <c r="N1416" i="2"/>
  <c r="R1416" i="2"/>
  <c r="N1417" i="2"/>
  <c r="R1417" i="2"/>
  <c r="N1418" i="2"/>
  <c r="R1418" i="2"/>
  <c r="N1419" i="2"/>
  <c r="R1419" i="2"/>
  <c r="N1420" i="2"/>
  <c r="R1420" i="2"/>
  <c r="N1421" i="2"/>
  <c r="R1421" i="2"/>
  <c r="N1422" i="2"/>
  <c r="R1422" i="2"/>
  <c r="N1423" i="2"/>
  <c r="R1423" i="2"/>
  <c r="N1424" i="2"/>
  <c r="R1424" i="2"/>
  <c r="N1425" i="2"/>
  <c r="R1425" i="2"/>
  <c r="N1426" i="2"/>
  <c r="R1426" i="2"/>
  <c r="O404" i="2"/>
  <c r="T442" i="2"/>
  <c r="T473" i="2"/>
  <c r="S493" i="2"/>
  <c r="S509" i="2"/>
  <c r="S525" i="2"/>
  <c r="S541" i="2"/>
  <c r="S557" i="2"/>
  <c r="S573" i="2"/>
  <c r="S589" i="2"/>
  <c r="T601" i="2"/>
  <c r="Q612" i="2"/>
  <c r="O623" i="2"/>
  <c r="T633" i="2"/>
  <c r="Q644" i="2"/>
  <c r="O655" i="2"/>
  <c r="T665" i="2"/>
  <c r="T675" i="2"/>
  <c r="T683" i="2"/>
  <c r="T691" i="2"/>
  <c r="T699" i="2"/>
  <c r="T707" i="2"/>
  <c r="T715" i="2"/>
  <c r="T723" i="2"/>
  <c r="T731" i="2"/>
  <c r="T739" i="2"/>
  <c r="T747" i="2"/>
  <c r="T755" i="2"/>
  <c r="T763" i="2"/>
  <c r="T771" i="2"/>
  <c r="T779" i="2"/>
  <c r="T787" i="2"/>
  <c r="N791" i="2"/>
  <c r="N793" i="2"/>
  <c r="N795" i="2"/>
  <c r="N797" i="2"/>
  <c r="N799" i="2"/>
  <c r="N801" i="2"/>
  <c r="N803" i="2"/>
  <c r="N805" i="2"/>
  <c r="N807" i="2"/>
  <c r="N809" i="2"/>
  <c r="N811" i="2"/>
  <c r="N813" i="2"/>
  <c r="N815" i="2"/>
  <c r="N817" i="2"/>
  <c r="N819" i="2"/>
  <c r="N821" i="2"/>
  <c r="N823" i="2"/>
  <c r="N825" i="2"/>
  <c r="N827" i="2"/>
  <c r="N829" i="2"/>
  <c r="N831" i="2"/>
  <c r="N833" i="2"/>
  <c r="N835" i="2"/>
  <c r="N837" i="2"/>
  <c r="N839" i="2"/>
  <c r="N841" i="2"/>
  <c r="N843" i="2"/>
  <c r="N845" i="2"/>
  <c r="N847" i="2"/>
  <c r="N849" i="2"/>
  <c r="N851" i="2"/>
  <c r="N853" i="2"/>
  <c r="N855" i="2"/>
  <c r="N857" i="2"/>
  <c r="N859" i="2"/>
  <c r="N861" i="2"/>
  <c r="N863" i="2"/>
  <c r="N865" i="2"/>
  <c r="N867" i="2"/>
  <c r="N869" i="2"/>
  <c r="N871" i="2"/>
  <c r="N873" i="2"/>
  <c r="N875" i="2"/>
  <c r="N877" i="2"/>
  <c r="N879" i="2"/>
  <c r="N881" i="2"/>
  <c r="N883" i="2"/>
  <c r="N885" i="2"/>
  <c r="N887" i="2"/>
  <c r="N889" i="2"/>
  <c r="N891" i="2"/>
  <c r="N893" i="2"/>
  <c r="N895" i="2"/>
  <c r="N897" i="2"/>
  <c r="N899" i="2"/>
  <c r="N901" i="2"/>
  <c r="N903" i="2"/>
  <c r="N905" i="2"/>
  <c r="N907" i="2"/>
  <c r="N909" i="2"/>
  <c r="N911" i="2"/>
  <c r="N913" i="2"/>
  <c r="N915" i="2"/>
  <c r="N917" i="2"/>
  <c r="N919" i="2"/>
  <c r="N921" i="2"/>
  <c r="N923" i="2"/>
  <c r="N925" i="2"/>
  <c r="N927" i="2"/>
  <c r="N929" i="2"/>
  <c r="N931" i="2"/>
  <c r="N933" i="2"/>
  <c r="N935" i="2"/>
  <c r="N937" i="2"/>
  <c r="N939" i="2"/>
  <c r="N941" i="2"/>
  <c r="N943" i="2"/>
  <c r="N945" i="2"/>
  <c r="N947" i="2"/>
  <c r="N949" i="2"/>
  <c r="N951" i="2"/>
  <c r="N953" i="2"/>
  <c r="N955" i="2"/>
  <c r="N957" i="2"/>
  <c r="N959" i="2"/>
  <c r="N961" i="2"/>
  <c r="N963" i="2"/>
  <c r="N965" i="2"/>
  <c r="N967" i="2"/>
  <c r="N969" i="2"/>
  <c r="N971" i="2"/>
  <c r="N973" i="2"/>
  <c r="N975" i="2"/>
  <c r="N977" i="2"/>
  <c r="N979" i="2"/>
  <c r="N980" i="2"/>
  <c r="N981" i="2"/>
  <c r="S981" i="2"/>
  <c r="O982" i="2"/>
  <c r="S982" i="2"/>
  <c r="O983" i="2"/>
  <c r="S983" i="2"/>
  <c r="O984" i="2"/>
  <c r="S984" i="2"/>
  <c r="O985" i="2"/>
  <c r="S985" i="2"/>
  <c r="O986" i="2"/>
  <c r="S986" i="2"/>
  <c r="O987" i="2"/>
  <c r="S987" i="2"/>
  <c r="O988" i="2"/>
  <c r="S988" i="2"/>
  <c r="O989" i="2"/>
  <c r="S989" i="2"/>
  <c r="O990" i="2"/>
  <c r="S990" i="2"/>
  <c r="O991" i="2"/>
  <c r="S991" i="2"/>
  <c r="O992" i="2"/>
  <c r="S992" i="2"/>
  <c r="O993" i="2"/>
  <c r="S993" i="2"/>
  <c r="O994" i="2"/>
  <c r="S994" i="2"/>
  <c r="O995" i="2"/>
  <c r="S995" i="2"/>
  <c r="O996" i="2"/>
  <c r="S996" i="2"/>
  <c r="O997" i="2"/>
  <c r="S997" i="2"/>
  <c r="O998" i="2"/>
  <c r="S998" i="2"/>
  <c r="O999" i="2"/>
  <c r="S999" i="2"/>
  <c r="O1000" i="2"/>
  <c r="S1000" i="2"/>
  <c r="O1001" i="2"/>
  <c r="S1001" i="2"/>
  <c r="O1002" i="2"/>
  <c r="S1002" i="2"/>
  <c r="O1003" i="2"/>
  <c r="S1003" i="2"/>
  <c r="O1004" i="2"/>
  <c r="S1004" i="2"/>
  <c r="O1005" i="2"/>
  <c r="S1005" i="2"/>
  <c r="O1006" i="2"/>
  <c r="S1006" i="2"/>
  <c r="O1007" i="2"/>
  <c r="S1007" i="2"/>
  <c r="O1008" i="2"/>
  <c r="S1008" i="2"/>
  <c r="O1009" i="2"/>
  <c r="S1009" i="2"/>
  <c r="O1010" i="2"/>
  <c r="S1010" i="2"/>
  <c r="O1011" i="2"/>
  <c r="S1011" i="2"/>
  <c r="O1012" i="2"/>
  <c r="S1012" i="2"/>
  <c r="O1013" i="2"/>
  <c r="S1013" i="2"/>
  <c r="O1014" i="2"/>
  <c r="S1014" i="2"/>
  <c r="O1015" i="2"/>
  <c r="S1015" i="2"/>
  <c r="O1016" i="2"/>
  <c r="S1016" i="2"/>
  <c r="O1017" i="2"/>
  <c r="S1017" i="2"/>
  <c r="O1018" i="2"/>
  <c r="S1018" i="2"/>
  <c r="O1019" i="2"/>
  <c r="S1019" i="2"/>
  <c r="O1020" i="2"/>
  <c r="S1020" i="2"/>
  <c r="O1021" i="2"/>
  <c r="S1021" i="2"/>
  <c r="O1022" i="2"/>
  <c r="S1022" i="2"/>
  <c r="O1023" i="2"/>
  <c r="S1023" i="2"/>
  <c r="O1024" i="2"/>
  <c r="S1024" i="2"/>
  <c r="O1025" i="2"/>
  <c r="S1025" i="2"/>
  <c r="O1026" i="2"/>
  <c r="S1026" i="2"/>
  <c r="O1027" i="2"/>
  <c r="S1027" i="2"/>
  <c r="O1028" i="2"/>
  <c r="S1028" i="2"/>
  <c r="O1029" i="2"/>
  <c r="S1029" i="2"/>
  <c r="O1030" i="2"/>
  <c r="S1030" i="2"/>
  <c r="O1031" i="2"/>
  <c r="S1031" i="2"/>
  <c r="O1032" i="2"/>
  <c r="S1032" i="2"/>
  <c r="O1033" i="2"/>
  <c r="S1033" i="2"/>
  <c r="O1034" i="2"/>
  <c r="S1034" i="2"/>
  <c r="O1035" i="2"/>
  <c r="S1035" i="2"/>
  <c r="O1036" i="2"/>
  <c r="S1036" i="2"/>
  <c r="O1037" i="2"/>
  <c r="S1037" i="2"/>
  <c r="O1038" i="2"/>
  <c r="S1038" i="2"/>
  <c r="O1039" i="2"/>
  <c r="S1039" i="2"/>
  <c r="O1040" i="2"/>
  <c r="S1040" i="2"/>
  <c r="O1041" i="2"/>
  <c r="S1041" i="2"/>
  <c r="O1042" i="2"/>
  <c r="S1042" i="2"/>
  <c r="O1043" i="2"/>
  <c r="S1043" i="2"/>
  <c r="O1044" i="2"/>
  <c r="S1044" i="2"/>
  <c r="O1045" i="2"/>
  <c r="S1045" i="2"/>
  <c r="O1046" i="2"/>
  <c r="S1046" i="2"/>
  <c r="O1047" i="2"/>
  <c r="S1047" i="2"/>
  <c r="O1048" i="2"/>
  <c r="S1048" i="2"/>
  <c r="O1049" i="2"/>
  <c r="S1049" i="2"/>
  <c r="O1050" i="2"/>
  <c r="S1050" i="2"/>
  <c r="O1051" i="2"/>
  <c r="S1051" i="2"/>
  <c r="O1052" i="2"/>
  <c r="S1052" i="2"/>
  <c r="O1053" i="2"/>
  <c r="S1053" i="2"/>
  <c r="O1054" i="2"/>
  <c r="S1054" i="2"/>
  <c r="O1055" i="2"/>
  <c r="S1055" i="2"/>
  <c r="O1056" i="2"/>
  <c r="S1056" i="2"/>
  <c r="O1057" i="2"/>
  <c r="S1057" i="2"/>
  <c r="O1058" i="2"/>
  <c r="S1058" i="2"/>
  <c r="O1059" i="2"/>
  <c r="S1059" i="2"/>
  <c r="O1060" i="2"/>
  <c r="S1060" i="2"/>
  <c r="O1061" i="2"/>
  <c r="S1061" i="2"/>
  <c r="O1062" i="2"/>
  <c r="S1062" i="2"/>
  <c r="O1063" i="2"/>
  <c r="S1063" i="2"/>
  <c r="O1064" i="2"/>
  <c r="S1064" i="2"/>
  <c r="O1065" i="2"/>
  <c r="S1065" i="2"/>
  <c r="O1066" i="2"/>
  <c r="S1066" i="2"/>
  <c r="O1067" i="2"/>
  <c r="S1067" i="2"/>
  <c r="O1068" i="2"/>
  <c r="S1068" i="2"/>
  <c r="O1069" i="2"/>
  <c r="S1069" i="2"/>
  <c r="O1070" i="2"/>
  <c r="S1070" i="2"/>
  <c r="O1071" i="2"/>
  <c r="S1071" i="2"/>
  <c r="O1072" i="2"/>
  <c r="S1072" i="2"/>
  <c r="O1073" i="2"/>
  <c r="S1073" i="2"/>
  <c r="O1074" i="2"/>
  <c r="S1074" i="2"/>
  <c r="O1075" i="2"/>
  <c r="S1075" i="2"/>
  <c r="O1076" i="2"/>
  <c r="S1076" i="2"/>
  <c r="O1077" i="2"/>
  <c r="S1077" i="2"/>
  <c r="O1078" i="2"/>
  <c r="S1078" i="2"/>
  <c r="O1079" i="2"/>
  <c r="S1079" i="2"/>
  <c r="O1080" i="2"/>
  <c r="S1080" i="2"/>
  <c r="O1081" i="2"/>
  <c r="S1081" i="2"/>
  <c r="O1082" i="2"/>
  <c r="S1082" i="2"/>
  <c r="O1083" i="2"/>
  <c r="S1083" i="2"/>
  <c r="O1084" i="2"/>
  <c r="S1084" i="2"/>
  <c r="O1085" i="2"/>
  <c r="S1085" i="2"/>
  <c r="O1086" i="2"/>
  <c r="S1086" i="2"/>
  <c r="O1087" i="2"/>
  <c r="S1087" i="2"/>
  <c r="O1088" i="2"/>
  <c r="S1088" i="2"/>
  <c r="O1089" i="2"/>
  <c r="S1089" i="2"/>
  <c r="O1090" i="2"/>
  <c r="S1090" i="2"/>
  <c r="O1091" i="2"/>
  <c r="S1091" i="2"/>
  <c r="O1092" i="2"/>
  <c r="S1092" i="2"/>
  <c r="O1093" i="2"/>
  <c r="S1093" i="2"/>
  <c r="O1094" i="2"/>
  <c r="S1094" i="2"/>
  <c r="O1095" i="2"/>
  <c r="S1095" i="2"/>
  <c r="O1096" i="2"/>
  <c r="S1096" i="2"/>
  <c r="O1097" i="2"/>
  <c r="S1097" i="2"/>
  <c r="O1098" i="2"/>
  <c r="S1098" i="2"/>
  <c r="O1099" i="2"/>
  <c r="S1099" i="2"/>
  <c r="O1100" i="2"/>
  <c r="S1100" i="2"/>
  <c r="O1101" i="2"/>
  <c r="S1101" i="2"/>
  <c r="O1102" i="2"/>
  <c r="S1102" i="2"/>
  <c r="O1103" i="2"/>
  <c r="S1103" i="2"/>
  <c r="O1104" i="2"/>
  <c r="S1104" i="2"/>
  <c r="O1105" i="2"/>
  <c r="S1105" i="2"/>
  <c r="O1106" i="2"/>
  <c r="S1106" i="2"/>
  <c r="O1107" i="2"/>
  <c r="S1107" i="2"/>
  <c r="O1108" i="2"/>
  <c r="S1108" i="2"/>
  <c r="O1109" i="2"/>
  <c r="S1109" i="2"/>
  <c r="O1110" i="2"/>
  <c r="S1110" i="2"/>
  <c r="O1111" i="2"/>
  <c r="S1111" i="2"/>
  <c r="O1112" i="2"/>
  <c r="S1112" i="2"/>
  <c r="O1113" i="2"/>
  <c r="S1113" i="2"/>
  <c r="O1114" i="2"/>
  <c r="S1114" i="2"/>
  <c r="O1115" i="2"/>
  <c r="S1115" i="2"/>
  <c r="O1116" i="2"/>
  <c r="S1116" i="2"/>
  <c r="O1117" i="2"/>
  <c r="S1117" i="2"/>
  <c r="O1118" i="2"/>
  <c r="S1118" i="2"/>
  <c r="O1119" i="2"/>
  <c r="S1119" i="2"/>
  <c r="O1120" i="2"/>
  <c r="S1120" i="2"/>
  <c r="O1121" i="2"/>
  <c r="S1121" i="2"/>
  <c r="O1122" i="2"/>
  <c r="S1122" i="2"/>
  <c r="O1123" i="2"/>
  <c r="S1123" i="2"/>
  <c r="O1124" i="2"/>
  <c r="S1124" i="2"/>
  <c r="O1125" i="2"/>
  <c r="S1125" i="2"/>
  <c r="O1126" i="2"/>
  <c r="S1126" i="2"/>
  <c r="O1127" i="2"/>
  <c r="S1127" i="2"/>
  <c r="O1128" i="2"/>
  <c r="S1128" i="2"/>
  <c r="O1129" i="2"/>
  <c r="S1129" i="2"/>
  <c r="O1130" i="2"/>
  <c r="S1130" i="2"/>
  <c r="O1131" i="2"/>
  <c r="S1131" i="2"/>
  <c r="O1132" i="2"/>
  <c r="S1132" i="2"/>
  <c r="O1133" i="2"/>
  <c r="S1133" i="2"/>
  <c r="O1134" i="2"/>
  <c r="S1134" i="2"/>
  <c r="O1135" i="2"/>
  <c r="S1135" i="2"/>
  <c r="O1136" i="2"/>
  <c r="S1136" i="2"/>
  <c r="O1137" i="2"/>
  <c r="S1137" i="2"/>
  <c r="O1138" i="2"/>
  <c r="S1138" i="2"/>
  <c r="O1139" i="2"/>
  <c r="S1139" i="2"/>
  <c r="O1140" i="2"/>
  <c r="S1140" i="2"/>
  <c r="O1141" i="2"/>
  <c r="S1141" i="2"/>
  <c r="O1142" i="2"/>
  <c r="S1142" i="2"/>
  <c r="O1143" i="2"/>
  <c r="S1143" i="2"/>
  <c r="O1144" i="2"/>
  <c r="S1144" i="2"/>
  <c r="O1145" i="2"/>
  <c r="S1145" i="2"/>
  <c r="O1146" i="2"/>
  <c r="S1146" i="2"/>
  <c r="O1147" i="2"/>
  <c r="S1147" i="2"/>
  <c r="O1148" i="2"/>
  <c r="S1148" i="2"/>
  <c r="O1149" i="2"/>
  <c r="S1149" i="2"/>
  <c r="O1150" i="2"/>
  <c r="S1150" i="2"/>
  <c r="O1151" i="2"/>
  <c r="S1151" i="2"/>
  <c r="O1152" i="2"/>
  <c r="S1152" i="2"/>
  <c r="O1153" i="2"/>
  <c r="S1153" i="2"/>
  <c r="O1154" i="2"/>
  <c r="S1154" i="2"/>
  <c r="O1155" i="2"/>
  <c r="S1155" i="2"/>
  <c r="O1156" i="2"/>
  <c r="S1156" i="2"/>
  <c r="O1157" i="2"/>
  <c r="S1157" i="2"/>
  <c r="O1158" i="2"/>
  <c r="S1158" i="2"/>
  <c r="O1159" i="2"/>
  <c r="S1159" i="2"/>
  <c r="O1160" i="2"/>
  <c r="S1160" i="2"/>
  <c r="O1161" i="2"/>
  <c r="S1161" i="2"/>
  <c r="O1162" i="2"/>
  <c r="S1162" i="2"/>
  <c r="O1163" i="2"/>
  <c r="S1163" i="2"/>
  <c r="O1164" i="2"/>
  <c r="S1164" i="2"/>
  <c r="O1165" i="2"/>
  <c r="S1165" i="2"/>
  <c r="O1166" i="2"/>
  <c r="S1166" i="2"/>
  <c r="O1167" i="2"/>
  <c r="S1167" i="2"/>
  <c r="O1168" i="2"/>
  <c r="S1168" i="2"/>
  <c r="O1169" i="2"/>
  <c r="S1169" i="2"/>
  <c r="O1170" i="2"/>
  <c r="S1170" i="2"/>
  <c r="O1171" i="2"/>
  <c r="S1171" i="2"/>
  <c r="O1172" i="2"/>
  <c r="S1172" i="2"/>
  <c r="O1173" i="2"/>
  <c r="S1173" i="2"/>
  <c r="O1174" i="2"/>
  <c r="S1174" i="2"/>
  <c r="O1175" i="2"/>
  <c r="S1175" i="2"/>
  <c r="O1176" i="2"/>
  <c r="S1176" i="2"/>
  <c r="O1177" i="2"/>
  <c r="S1177" i="2"/>
  <c r="O1178" i="2"/>
  <c r="S1178" i="2"/>
  <c r="O1179" i="2"/>
  <c r="S1179" i="2"/>
  <c r="O1180" i="2"/>
  <c r="S1180" i="2"/>
  <c r="O1181" i="2"/>
  <c r="S1181" i="2"/>
  <c r="O1182" i="2"/>
  <c r="S1182" i="2"/>
  <c r="O1183" i="2"/>
  <c r="S1183" i="2"/>
  <c r="O1184" i="2"/>
  <c r="S1184" i="2"/>
  <c r="O1185" i="2"/>
  <c r="S1185" i="2"/>
  <c r="O1186" i="2"/>
  <c r="S1186" i="2"/>
  <c r="O1187" i="2"/>
  <c r="S1187" i="2"/>
  <c r="O1188" i="2"/>
  <c r="S1188" i="2"/>
  <c r="O1189" i="2"/>
  <c r="S1189" i="2"/>
  <c r="O1190" i="2"/>
  <c r="S1190" i="2"/>
  <c r="O1191" i="2"/>
  <c r="S1191" i="2"/>
  <c r="O1192" i="2"/>
  <c r="S1192" i="2"/>
  <c r="O1193" i="2"/>
  <c r="S1193" i="2"/>
  <c r="O1194" i="2"/>
  <c r="S1194" i="2"/>
  <c r="O1195" i="2"/>
  <c r="S1195" i="2"/>
  <c r="O1196" i="2"/>
  <c r="S1196" i="2"/>
  <c r="O1197" i="2"/>
  <c r="S1197" i="2"/>
  <c r="O1198" i="2"/>
  <c r="S1198" i="2"/>
  <c r="O1199" i="2"/>
  <c r="S1199" i="2"/>
  <c r="O1200" i="2"/>
  <c r="S1200" i="2"/>
  <c r="O1201" i="2"/>
  <c r="S1201" i="2"/>
  <c r="O1202" i="2"/>
  <c r="S1202" i="2"/>
  <c r="O1203" i="2"/>
  <c r="S1203" i="2"/>
  <c r="O1204" i="2"/>
  <c r="S1204" i="2"/>
  <c r="O1205" i="2"/>
  <c r="S1205" i="2"/>
  <c r="O1206" i="2"/>
  <c r="S1206" i="2"/>
  <c r="O1207" i="2"/>
  <c r="S1207" i="2"/>
  <c r="O1208" i="2"/>
  <c r="S1208" i="2"/>
  <c r="O1209" i="2"/>
  <c r="S1209" i="2"/>
  <c r="O1210" i="2"/>
  <c r="S1210" i="2"/>
  <c r="O1211" i="2"/>
  <c r="S1211" i="2"/>
  <c r="O1212" i="2"/>
  <c r="S1212" i="2"/>
  <c r="O1213" i="2"/>
  <c r="S1213" i="2"/>
  <c r="O1214" i="2"/>
  <c r="S1214" i="2"/>
  <c r="O1215" i="2"/>
  <c r="S1215" i="2"/>
  <c r="O1216" i="2"/>
  <c r="S1216" i="2"/>
  <c r="O1217" i="2"/>
  <c r="S1217" i="2"/>
  <c r="O1218" i="2"/>
  <c r="S1218" i="2"/>
  <c r="O1219" i="2"/>
  <c r="S1219" i="2"/>
  <c r="O1220" i="2"/>
  <c r="S1220" i="2"/>
  <c r="O1221" i="2"/>
  <c r="S1221" i="2"/>
  <c r="O1222" i="2"/>
  <c r="S1222" i="2"/>
  <c r="O1223" i="2"/>
  <c r="S1223" i="2"/>
  <c r="O1224" i="2"/>
  <c r="S1224" i="2"/>
  <c r="O1225" i="2"/>
  <c r="S1225" i="2"/>
  <c r="O1226" i="2"/>
  <c r="S1226" i="2"/>
  <c r="O1227" i="2"/>
  <c r="S1227" i="2"/>
  <c r="O1228" i="2"/>
  <c r="S1228" i="2"/>
  <c r="O1229" i="2"/>
  <c r="S1229" i="2"/>
  <c r="O1230" i="2"/>
  <c r="S1230" i="2"/>
  <c r="O1231" i="2"/>
  <c r="S1231" i="2"/>
  <c r="O1232" i="2"/>
  <c r="S1232" i="2"/>
  <c r="O1233" i="2"/>
  <c r="S1233" i="2"/>
  <c r="O1234" i="2"/>
  <c r="S1234" i="2"/>
  <c r="O1235" i="2"/>
  <c r="S1235" i="2"/>
  <c r="O1236" i="2"/>
  <c r="S1236" i="2"/>
  <c r="O1237" i="2"/>
  <c r="S1237" i="2"/>
  <c r="O1238" i="2"/>
  <c r="S1238" i="2"/>
  <c r="O1239" i="2"/>
  <c r="S1239" i="2"/>
  <c r="O1240" i="2"/>
  <c r="S1240" i="2"/>
  <c r="O1241" i="2"/>
  <c r="S1241" i="2"/>
  <c r="O1242" i="2"/>
  <c r="S1242" i="2"/>
  <c r="O1243" i="2"/>
  <c r="S1243" i="2"/>
  <c r="O1244" i="2"/>
  <c r="S1244" i="2"/>
  <c r="O1245" i="2"/>
  <c r="S1245" i="2"/>
  <c r="O1246" i="2"/>
  <c r="S1246" i="2"/>
  <c r="O1247" i="2"/>
  <c r="S1247" i="2"/>
  <c r="O1248" i="2"/>
  <c r="S1248" i="2"/>
  <c r="O1249" i="2"/>
  <c r="S1249" i="2"/>
  <c r="O1250" i="2"/>
  <c r="S1250" i="2"/>
  <c r="O1251" i="2"/>
  <c r="S1251" i="2"/>
  <c r="O1252" i="2"/>
  <c r="S1252" i="2"/>
  <c r="O1253" i="2"/>
  <c r="S1253" i="2"/>
  <c r="O1254" i="2"/>
  <c r="S1254" i="2"/>
  <c r="O1255" i="2"/>
  <c r="S1255" i="2"/>
  <c r="O1256" i="2"/>
  <c r="S1256" i="2"/>
  <c r="O1257" i="2"/>
  <c r="S1257" i="2"/>
  <c r="O1258" i="2"/>
  <c r="S1258" i="2"/>
  <c r="O1259" i="2"/>
  <c r="S1259" i="2"/>
  <c r="O1260" i="2"/>
  <c r="S1260" i="2"/>
  <c r="O1261" i="2"/>
  <c r="S1261" i="2"/>
  <c r="O1262" i="2"/>
  <c r="S1262" i="2"/>
  <c r="O1263" i="2"/>
  <c r="S1263" i="2"/>
  <c r="O1264" i="2"/>
  <c r="S1264" i="2"/>
  <c r="O1265" i="2"/>
  <c r="S1265" i="2"/>
  <c r="O1266" i="2"/>
  <c r="S1266" i="2"/>
  <c r="O1267" i="2"/>
  <c r="S1267" i="2"/>
  <c r="O1268" i="2"/>
  <c r="S1268" i="2"/>
  <c r="O1269" i="2"/>
  <c r="S1269" i="2"/>
  <c r="O1270" i="2"/>
  <c r="S1270" i="2"/>
  <c r="O1271" i="2"/>
  <c r="S1271" i="2"/>
  <c r="O1272" i="2"/>
  <c r="S1272" i="2"/>
  <c r="O1273" i="2"/>
  <c r="S1273" i="2"/>
  <c r="O1274" i="2"/>
  <c r="S1274" i="2"/>
  <c r="O1275" i="2"/>
  <c r="S1275" i="2"/>
  <c r="O1276" i="2"/>
  <c r="S1276" i="2"/>
  <c r="O1277" i="2"/>
  <c r="S1277" i="2"/>
  <c r="O1278" i="2"/>
  <c r="S1278" i="2"/>
  <c r="O1279" i="2"/>
  <c r="S1279" i="2"/>
  <c r="O1280" i="2"/>
  <c r="S1280" i="2"/>
  <c r="O1281" i="2"/>
  <c r="S1281" i="2"/>
  <c r="O1282" i="2"/>
  <c r="S1282" i="2"/>
  <c r="O1283" i="2"/>
  <c r="S1283" i="2"/>
  <c r="O1284" i="2"/>
  <c r="S1284" i="2"/>
  <c r="O1285" i="2"/>
  <c r="S1285" i="2"/>
  <c r="O1286" i="2"/>
  <c r="S1286" i="2"/>
  <c r="O1287" i="2"/>
  <c r="S1287" i="2"/>
  <c r="O1288" i="2"/>
  <c r="S1288" i="2"/>
  <c r="O1289" i="2"/>
  <c r="S1289" i="2"/>
  <c r="O1290" i="2"/>
  <c r="S1290" i="2"/>
  <c r="O1291" i="2"/>
  <c r="S1291" i="2"/>
  <c r="O1292" i="2"/>
  <c r="S1292" i="2"/>
  <c r="O1293" i="2"/>
  <c r="S1293" i="2"/>
  <c r="O1294" i="2"/>
  <c r="S1294" i="2"/>
  <c r="O1295" i="2"/>
  <c r="S1295" i="2"/>
  <c r="O1296" i="2"/>
  <c r="S1296" i="2"/>
  <c r="O1297" i="2"/>
  <c r="S1297" i="2"/>
  <c r="O1298" i="2"/>
  <c r="S1298" i="2"/>
  <c r="O1299" i="2"/>
  <c r="S1299" i="2"/>
  <c r="O1300" i="2"/>
  <c r="S1300" i="2"/>
  <c r="O1301" i="2"/>
  <c r="S1301" i="2"/>
  <c r="O1302" i="2"/>
  <c r="S1302" i="2"/>
  <c r="O1303" i="2"/>
  <c r="S1303" i="2"/>
  <c r="O1304" i="2"/>
  <c r="S1304" i="2"/>
  <c r="O1305" i="2"/>
  <c r="S1305" i="2"/>
  <c r="O1306" i="2"/>
  <c r="S1306" i="2"/>
  <c r="O1307" i="2"/>
  <c r="S1307" i="2"/>
  <c r="O1308" i="2"/>
  <c r="S1308" i="2"/>
  <c r="O1309" i="2"/>
  <c r="S1309" i="2"/>
  <c r="O1310" i="2"/>
  <c r="S1310" i="2"/>
  <c r="O1311" i="2"/>
  <c r="S1311" i="2"/>
  <c r="O1312" i="2"/>
  <c r="S1312" i="2"/>
  <c r="O1313" i="2"/>
  <c r="S1313" i="2"/>
  <c r="O1314" i="2"/>
  <c r="S1314" i="2"/>
  <c r="O1315" i="2"/>
  <c r="S1315" i="2"/>
  <c r="O1316" i="2"/>
  <c r="S1316" i="2"/>
  <c r="O1317" i="2"/>
  <c r="S1317" i="2"/>
  <c r="O1318" i="2"/>
  <c r="S1318" i="2"/>
  <c r="O1319" i="2"/>
  <c r="S1319" i="2"/>
  <c r="O1320" i="2"/>
  <c r="S1320" i="2"/>
  <c r="O1321" i="2"/>
  <c r="S1321" i="2"/>
  <c r="O1322" i="2"/>
  <c r="S1322" i="2"/>
  <c r="O1323" i="2"/>
  <c r="S1323" i="2"/>
  <c r="O1324" i="2"/>
  <c r="S1324" i="2"/>
  <c r="O1325" i="2"/>
  <c r="S1325" i="2"/>
  <c r="O1326" i="2"/>
  <c r="S1326" i="2"/>
  <c r="O1327" i="2"/>
  <c r="S1327" i="2"/>
  <c r="O1328" i="2"/>
  <c r="S1328" i="2"/>
  <c r="O1329" i="2"/>
  <c r="S1329" i="2"/>
  <c r="O1330" i="2"/>
  <c r="S1330" i="2"/>
  <c r="O1331" i="2"/>
  <c r="S1331" i="2"/>
  <c r="O1332" i="2"/>
  <c r="S1332" i="2"/>
  <c r="O1333" i="2"/>
  <c r="S1333" i="2"/>
  <c r="O1334" i="2"/>
  <c r="S1334" i="2"/>
  <c r="O1335" i="2"/>
  <c r="S1335" i="2"/>
  <c r="O1336" i="2"/>
  <c r="S1336" i="2"/>
  <c r="O1337" i="2"/>
  <c r="S1337" i="2"/>
  <c r="O1338" i="2"/>
  <c r="S1338" i="2"/>
  <c r="O1339" i="2"/>
  <c r="S1339" i="2"/>
  <c r="O1340" i="2"/>
  <c r="S1340" i="2"/>
  <c r="O1341" i="2"/>
  <c r="S1341" i="2"/>
  <c r="O1342" i="2"/>
  <c r="S1342" i="2"/>
  <c r="O1343" i="2"/>
  <c r="S1343" i="2"/>
  <c r="O1344" i="2"/>
  <c r="S1344" i="2"/>
  <c r="O1345" i="2"/>
  <c r="S1345" i="2"/>
  <c r="O1346" i="2"/>
  <c r="S1346" i="2"/>
  <c r="O1347" i="2"/>
  <c r="S1347" i="2"/>
  <c r="O1348" i="2"/>
  <c r="S1348" i="2"/>
  <c r="O1349" i="2"/>
  <c r="S1349" i="2"/>
  <c r="O1350" i="2"/>
  <c r="S1350" i="2"/>
  <c r="O1351" i="2"/>
  <c r="S1351" i="2"/>
  <c r="O1352" i="2"/>
  <c r="S1352" i="2"/>
  <c r="O1353" i="2"/>
  <c r="S1353" i="2"/>
  <c r="O1354" i="2"/>
  <c r="S1354" i="2"/>
  <c r="O1355" i="2"/>
  <c r="S1355" i="2"/>
  <c r="O1356" i="2"/>
  <c r="S1356" i="2"/>
  <c r="O1357" i="2"/>
  <c r="S1357" i="2"/>
  <c r="O1358" i="2"/>
  <c r="S1358" i="2"/>
  <c r="O1359" i="2"/>
  <c r="S1359" i="2"/>
  <c r="O1360" i="2"/>
  <c r="S1360" i="2"/>
  <c r="O1361" i="2"/>
  <c r="S1361" i="2"/>
  <c r="O1362" i="2"/>
  <c r="S1362" i="2"/>
  <c r="O1363" i="2"/>
  <c r="S1363" i="2"/>
  <c r="O1364" i="2"/>
  <c r="S1364" i="2"/>
  <c r="O1365" i="2"/>
  <c r="S1365" i="2"/>
  <c r="O1366" i="2"/>
  <c r="S1366" i="2"/>
  <c r="O1367" i="2"/>
  <c r="S1367" i="2"/>
  <c r="O1368" i="2"/>
  <c r="S1368" i="2"/>
  <c r="O1369" i="2"/>
  <c r="S1369" i="2"/>
  <c r="O1370" i="2"/>
  <c r="S1370" i="2"/>
  <c r="O1371" i="2"/>
  <c r="S1371" i="2"/>
  <c r="O1372" i="2"/>
  <c r="S1372" i="2"/>
  <c r="O1373" i="2"/>
  <c r="S1373" i="2"/>
  <c r="O1374" i="2"/>
  <c r="S1374" i="2"/>
  <c r="O1375" i="2"/>
  <c r="S1375" i="2"/>
  <c r="O1376" i="2"/>
  <c r="S1376" i="2"/>
  <c r="O1377" i="2"/>
  <c r="S1377" i="2"/>
  <c r="O1378" i="2"/>
  <c r="S1378" i="2"/>
  <c r="O1379" i="2"/>
  <c r="S1379" i="2"/>
  <c r="O1380" i="2"/>
  <c r="S1380" i="2"/>
  <c r="O1381" i="2"/>
  <c r="S1381" i="2"/>
  <c r="O1382" i="2"/>
  <c r="S1382" i="2"/>
  <c r="O1383" i="2"/>
  <c r="S1383" i="2"/>
  <c r="O1384" i="2"/>
  <c r="S1384" i="2"/>
  <c r="O1385" i="2"/>
  <c r="S1385" i="2"/>
  <c r="O1386" i="2"/>
  <c r="S1386" i="2"/>
  <c r="O1387" i="2"/>
  <c r="S1387" i="2"/>
  <c r="O1388" i="2"/>
  <c r="S1388" i="2"/>
  <c r="O1389" i="2"/>
  <c r="S1389" i="2"/>
  <c r="O1390" i="2"/>
  <c r="S1390" i="2"/>
  <c r="O1391" i="2"/>
  <c r="S1391" i="2"/>
  <c r="O1392" i="2"/>
  <c r="S1392" i="2"/>
  <c r="O1393" i="2"/>
  <c r="S1393" i="2"/>
  <c r="O1394" i="2"/>
  <c r="S1394" i="2"/>
  <c r="O1395" i="2"/>
  <c r="S1395" i="2"/>
  <c r="O1396" i="2"/>
  <c r="S1396" i="2"/>
  <c r="O1397" i="2"/>
  <c r="S1397" i="2"/>
  <c r="O1398" i="2"/>
  <c r="S1398" i="2"/>
  <c r="O1399" i="2"/>
  <c r="S1399" i="2"/>
  <c r="O1400" i="2"/>
  <c r="S1400" i="2"/>
  <c r="O1401" i="2"/>
  <c r="S1401" i="2"/>
  <c r="O1402" i="2"/>
  <c r="S1402" i="2"/>
  <c r="O1403" i="2"/>
  <c r="S1403" i="2"/>
  <c r="O1404" i="2"/>
  <c r="S1404" i="2"/>
  <c r="O1405" i="2"/>
  <c r="S1405" i="2"/>
  <c r="O1406" i="2"/>
  <c r="S1406" i="2"/>
  <c r="O1407" i="2"/>
  <c r="S1407" i="2"/>
  <c r="O1408" i="2"/>
  <c r="S1408" i="2"/>
  <c r="O1409" i="2"/>
  <c r="S1409" i="2"/>
  <c r="O1410" i="2"/>
  <c r="S1410" i="2"/>
  <c r="O1411" i="2"/>
  <c r="S1411" i="2"/>
  <c r="O1412" i="2"/>
  <c r="S1412" i="2"/>
  <c r="O1413" i="2"/>
  <c r="S1413" i="2"/>
  <c r="O1414" i="2"/>
  <c r="S1414" i="2"/>
  <c r="O1415" i="2"/>
  <c r="S1415" i="2"/>
  <c r="O1416" i="2"/>
  <c r="S1416" i="2"/>
  <c r="O1417" i="2"/>
  <c r="S1417" i="2"/>
  <c r="O1418" i="2"/>
  <c r="S1418" i="2"/>
  <c r="O1419" i="2"/>
  <c r="S1419" i="2"/>
  <c r="O1420" i="2"/>
  <c r="S1420" i="2"/>
  <c r="O1421" i="2"/>
  <c r="S1421" i="2"/>
  <c r="O1422" i="2"/>
  <c r="S1422" i="2"/>
  <c r="O1423" i="2"/>
  <c r="S1423" i="2"/>
  <c r="O1424" i="2"/>
  <c r="S1424" i="2"/>
  <c r="O1425" i="2"/>
  <c r="S1425" i="2"/>
  <c r="O1426" i="2"/>
  <c r="S1426" i="2"/>
  <c r="O1427" i="2"/>
  <c r="S1427" i="2"/>
  <c r="O1428" i="2"/>
  <c r="T418" i="2"/>
  <c r="S513" i="2"/>
  <c r="S577" i="2"/>
  <c r="T625" i="2"/>
  <c r="Q668" i="2"/>
  <c r="T701" i="2"/>
  <c r="T733" i="2"/>
  <c r="T765" i="2"/>
  <c r="R791" i="2"/>
  <c r="R799" i="2"/>
  <c r="R807" i="2"/>
  <c r="R815" i="2"/>
  <c r="R823" i="2"/>
  <c r="R831" i="2"/>
  <c r="R839" i="2"/>
  <c r="R847" i="2"/>
  <c r="R855" i="2"/>
  <c r="R863" i="2"/>
  <c r="R871" i="2"/>
  <c r="R879" i="2"/>
  <c r="R887" i="2"/>
  <c r="R895" i="2"/>
  <c r="R903" i="2"/>
  <c r="R911" i="2"/>
  <c r="R919" i="2"/>
  <c r="R927" i="2"/>
  <c r="R935" i="2"/>
  <c r="R943" i="2"/>
  <c r="R951" i="2"/>
  <c r="R959" i="2"/>
  <c r="R967" i="2"/>
  <c r="R975" i="2"/>
  <c r="O981" i="2"/>
  <c r="P983" i="2"/>
  <c r="P985" i="2"/>
  <c r="P987" i="2"/>
  <c r="P989" i="2"/>
  <c r="P991" i="2"/>
  <c r="P993" i="2"/>
  <c r="P995" i="2"/>
  <c r="P997" i="2"/>
  <c r="P999" i="2"/>
  <c r="P1001" i="2"/>
  <c r="P1003" i="2"/>
  <c r="P1005" i="2"/>
  <c r="P1007" i="2"/>
  <c r="P1009" i="2"/>
  <c r="P1011" i="2"/>
  <c r="P1013" i="2"/>
  <c r="P1015" i="2"/>
  <c r="P1017" i="2"/>
  <c r="P1019" i="2"/>
  <c r="P1021" i="2"/>
  <c r="P1023" i="2"/>
  <c r="P1025" i="2"/>
  <c r="P1027" i="2"/>
  <c r="P1029" i="2"/>
  <c r="P1031" i="2"/>
  <c r="P1033" i="2"/>
  <c r="P1035" i="2"/>
  <c r="P1037" i="2"/>
  <c r="P1039" i="2"/>
  <c r="P1041" i="2"/>
  <c r="P1043" i="2"/>
  <c r="P1045" i="2"/>
  <c r="P1047" i="2"/>
  <c r="P1049" i="2"/>
  <c r="P1051" i="2"/>
  <c r="P1053" i="2"/>
  <c r="P1055" i="2"/>
  <c r="P1057" i="2"/>
  <c r="P1059" i="2"/>
  <c r="P1061" i="2"/>
  <c r="P1063" i="2"/>
  <c r="P1065" i="2"/>
  <c r="P1067" i="2"/>
  <c r="P1069" i="2"/>
  <c r="P1071" i="2"/>
  <c r="P1073" i="2"/>
  <c r="P1075" i="2"/>
  <c r="P1077" i="2"/>
  <c r="P1079" i="2"/>
  <c r="P1081" i="2"/>
  <c r="P1083" i="2"/>
  <c r="P1085" i="2"/>
  <c r="P1087" i="2"/>
  <c r="P1089" i="2"/>
  <c r="P1091" i="2"/>
  <c r="P1093" i="2"/>
  <c r="P1095" i="2"/>
  <c r="P1097" i="2"/>
  <c r="P1099" i="2"/>
  <c r="P1101" i="2"/>
  <c r="P1103" i="2"/>
  <c r="P1105" i="2"/>
  <c r="P1107" i="2"/>
  <c r="P1109" i="2"/>
  <c r="P1111" i="2"/>
  <c r="P1113" i="2"/>
  <c r="P1115" i="2"/>
  <c r="P1117" i="2"/>
  <c r="P1119" i="2"/>
  <c r="P1121" i="2"/>
  <c r="P1123" i="2"/>
  <c r="P1125" i="2"/>
  <c r="P1127" i="2"/>
  <c r="P1129" i="2"/>
  <c r="P1131" i="2"/>
  <c r="P1133" i="2"/>
  <c r="P1135" i="2"/>
  <c r="P1137" i="2"/>
  <c r="P1139" i="2"/>
  <c r="P1141" i="2"/>
  <c r="P1143" i="2"/>
  <c r="P1145" i="2"/>
  <c r="P1147" i="2"/>
  <c r="P1149" i="2"/>
  <c r="P1151" i="2"/>
  <c r="P1153" i="2"/>
  <c r="P1155" i="2"/>
  <c r="P1157" i="2"/>
  <c r="P1159" i="2"/>
  <c r="P1161" i="2"/>
  <c r="P1163" i="2"/>
  <c r="P1165" i="2"/>
  <c r="P1167" i="2"/>
  <c r="P1169" i="2"/>
  <c r="P1171" i="2"/>
  <c r="P1173" i="2"/>
  <c r="P1175" i="2"/>
  <c r="P1177" i="2"/>
  <c r="P1179" i="2"/>
  <c r="P1181" i="2"/>
  <c r="P1183" i="2"/>
  <c r="P1185" i="2"/>
  <c r="P1187" i="2"/>
  <c r="P1189" i="2"/>
  <c r="P1191" i="2"/>
  <c r="P1193" i="2"/>
  <c r="P1195" i="2"/>
  <c r="P1197" i="2"/>
  <c r="P1199" i="2"/>
  <c r="P1201" i="2"/>
  <c r="P1203" i="2"/>
  <c r="P1205" i="2"/>
  <c r="P1207" i="2"/>
  <c r="P1209" i="2"/>
  <c r="P1211" i="2"/>
  <c r="P1213" i="2"/>
  <c r="P1215" i="2"/>
  <c r="P1217" i="2"/>
  <c r="P1219" i="2"/>
  <c r="P1221" i="2"/>
  <c r="P1223" i="2"/>
  <c r="P1225" i="2"/>
  <c r="P1227" i="2"/>
  <c r="P1229" i="2"/>
  <c r="P1231" i="2"/>
  <c r="P1233" i="2"/>
  <c r="P1235" i="2"/>
  <c r="P1237" i="2"/>
  <c r="P1239" i="2"/>
  <c r="P1241" i="2"/>
  <c r="P1243" i="2"/>
  <c r="P1245" i="2"/>
  <c r="P1247" i="2"/>
  <c r="P1249" i="2"/>
  <c r="P1251" i="2"/>
  <c r="P1253" i="2"/>
  <c r="P1255" i="2"/>
  <c r="P1257" i="2"/>
  <c r="P1259" i="2"/>
  <c r="P1261" i="2"/>
  <c r="P1263" i="2"/>
  <c r="P1265" i="2"/>
  <c r="P1267" i="2"/>
  <c r="P1269" i="2"/>
  <c r="P1271" i="2"/>
  <c r="P1273" i="2"/>
  <c r="P1275" i="2"/>
  <c r="P1277" i="2"/>
  <c r="P1279" i="2"/>
  <c r="P1281" i="2"/>
  <c r="P1283" i="2"/>
  <c r="P1285" i="2"/>
  <c r="P1287" i="2"/>
  <c r="P1289" i="2"/>
  <c r="P1291" i="2"/>
  <c r="P1293" i="2"/>
  <c r="P1295" i="2"/>
  <c r="P1297" i="2"/>
  <c r="P1299" i="2"/>
  <c r="P1301" i="2"/>
  <c r="P1303" i="2"/>
  <c r="P1305" i="2"/>
  <c r="P1307" i="2"/>
  <c r="P1309" i="2"/>
  <c r="P1311" i="2"/>
  <c r="P1313" i="2"/>
  <c r="P1315" i="2"/>
  <c r="P1317" i="2"/>
  <c r="P1319" i="2"/>
  <c r="P1321" i="2"/>
  <c r="P1323" i="2"/>
  <c r="P1325" i="2"/>
  <c r="P1327" i="2"/>
  <c r="P1329" i="2"/>
  <c r="P1331" i="2"/>
  <c r="P1333" i="2"/>
  <c r="P1335" i="2"/>
  <c r="P1337" i="2"/>
  <c r="P1339" i="2"/>
  <c r="P1341" i="2"/>
  <c r="P1343" i="2"/>
  <c r="P1345" i="2"/>
  <c r="P1347" i="2"/>
  <c r="P1349" i="2"/>
  <c r="P1351" i="2"/>
  <c r="P1353" i="2"/>
  <c r="P1355" i="2"/>
  <c r="P1357" i="2"/>
  <c r="P1359" i="2"/>
  <c r="P1361" i="2"/>
  <c r="P1363" i="2"/>
  <c r="P1365" i="2"/>
  <c r="P1367" i="2"/>
  <c r="P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P1427" i="2"/>
  <c r="U1427" i="2"/>
  <c r="R1428" i="2"/>
  <c r="N1429" i="2"/>
  <c r="R1429" i="2"/>
  <c r="N1430" i="2"/>
  <c r="R1430" i="2"/>
  <c r="N1431" i="2"/>
  <c r="R1431" i="2"/>
  <c r="N1432" i="2"/>
  <c r="R1432" i="2"/>
  <c r="N1433" i="2"/>
  <c r="R1433" i="2"/>
  <c r="N1434" i="2"/>
  <c r="R1434" i="2"/>
  <c r="N1435" i="2"/>
  <c r="R1435" i="2"/>
  <c r="N1436" i="2"/>
  <c r="R1436" i="2"/>
  <c r="N1437" i="2"/>
  <c r="R1437" i="2"/>
  <c r="N1438" i="2"/>
  <c r="R1438" i="2"/>
  <c r="N1439" i="2"/>
  <c r="R1439" i="2"/>
  <c r="N1440" i="2"/>
  <c r="R1440" i="2"/>
  <c r="N1441" i="2"/>
  <c r="R1441" i="2"/>
  <c r="N1442" i="2"/>
  <c r="R1442" i="2"/>
  <c r="N1443" i="2"/>
  <c r="R1443" i="2"/>
  <c r="N1444" i="2"/>
  <c r="R1444" i="2"/>
  <c r="N1445" i="2"/>
  <c r="R1445" i="2"/>
  <c r="N1446" i="2"/>
  <c r="R1446" i="2"/>
  <c r="N1447" i="2"/>
  <c r="R1447" i="2"/>
  <c r="N1448" i="2"/>
  <c r="R1448" i="2"/>
  <c r="N1449" i="2"/>
  <c r="R1449" i="2"/>
  <c r="N1450" i="2"/>
  <c r="R1450" i="2"/>
  <c r="N1451" i="2"/>
  <c r="R1451" i="2"/>
  <c r="N1452" i="2"/>
  <c r="R1452" i="2"/>
  <c r="N1453" i="2"/>
  <c r="R1453" i="2"/>
  <c r="N1454" i="2"/>
  <c r="R1454" i="2"/>
  <c r="N1455" i="2"/>
  <c r="R1455" i="2"/>
  <c r="N1456" i="2"/>
  <c r="R1456" i="2"/>
  <c r="N1457" i="2"/>
  <c r="R1457" i="2"/>
  <c r="N1458" i="2"/>
  <c r="R1458" i="2"/>
  <c r="N1459" i="2"/>
  <c r="R1459" i="2"/>
  <c r="N1460" i="2"/>
  <c r="R1460" i="2"/>
  <c r="N1461" i="2"/>
  <c r="R1461" i="2"/>
  <c r="N1462" i="2"/>
  <c r="R1462" i="2"/>
  <c r="N1463" i="2"/>
  <c r="R1463" i="2"/>
  <c r="N1464" i="2"/>
  <c r="R1464" i="2"/>
  <c r="N1465" i="2"/>
  <c r="R1465" i="2"/>
  <c r="N1466" i="2"/>
  <c r="R1466" i="2"/>
  <c r="N1467" i="2"/>
  <c r="R1467" i="2"/>
  <c r="N1468" i="2"/>
  <c r="R1468" i="2"/>
  <c r="N1469" i="2"/>
  <c r="R1469" i="2"/>
  <c r="N1470" i="2"/>
  <c r="R1470" i="2"/>
  <c r="N1471" i="2"/>
  <c r="R1471" i="2"/>
  <c r="N1472" i="2"/>
  <c r="R1472" i="2"/>
  <c r="N1473" i="2"/>
  <c r="R1473" i="2"/>
  <c r="N1474" i="2"/>
  <c r="R1474" i="2"/>
  <c r="N1475" i="2"/>
  <c r="R1475" i="2"/>
  <c r="N1476" i="2"/>
  <c r="R1476" i="2"/>
  <c r="N1477" i="2"/>
  <c r="R1477" i="2"/>
  <c r="N1478" i="2"/>
  <c r="R1478" i="2"/>
  <c r="N1479" i="2"/>
  <c r="R1479" i="2"/>
  <c r="N1480" i="2"/>
  <c r="R1480" i="2"/>
  <c r="N1481" i="2"/>
  <c r="R1481" i="2"/>
  <c r="N1482" i="2"/>
  <c r="R1482" i="2"/>
  <c r="N1483" i="2"/>
  <c r="R1483" i="2"/>
  <c r="N1484" i="2"/>
  <c r="R1484" i="2"/>
  <c r="N1485" i="2"/>
  <c r="R1485" i="2"/>
  <c r="N1486" i="2"/>
  <c r="R1486" i="2"/>
  <c r="N1487" i="2"/>
  <c r="R1487" i="2"/>
  <c r="N1488" i="2"/>
  <c r="R1488" i="2"/>
  <c r="N1489" i="2"/>
  <c r="R1489" i="2"/>
  <c r="N1490" i="2"/>
  <c r="R1490" i="2"/>
  <c r="N1491" i="2"/>
  <c r="R1491" i="2"/>
  <c r="N1492" i="2"/>
  <c r="R1492" i="2"/>
  <c r="N1493" i="2"/>
  <c r="R1493" i="2"/>
  <c r="N1494" i="2"/>
  <c r="R1494" i="2"/>
  <c r="N1495" i="2"/>
  <c r="R1495" i="2"/>
  <c r="N1496" i="2"/>
  <c r="R1496" i="2"/>
  <c r="N1497" i="2"/>
  <c r="R1497" i="2"/>
  <c r="N1498" i="2"/>
  <c r="R1498" i="2"/>
  <c r="N1499" i="2"/>
  <c r="R1499" i="2"/>
  <c r="N1500" i="2"/>
  <c r="R1500" i="2"/>
  <c r="N1501" i="2"/>
  <c r="R1501" i="2"/>
  <c r="N1502" i="2"/>
  <c r="R1502" i="2"/>
  <c r="N1503" i="2"/>
  <c r="R1503" i="2"/>
  <c r="N1504" i="2"/>
  <c r="R1504" i="2"/>
  <c r="N1505" i="2"/>
  <c r="R1505" i="2"/>
  <c r="N1506" i="2"/>
  <c r="R1506" i="2"/>
  <c r="N1507" i="2"/>
  <c r="R1507" i="2"/>
  <c r="N1508" i="2"/>
  <c r="R1508" i="2"/>
  <c r="N1509" i="2"/>
  <c r="R1509" i="2"/>
  <c r="N1510" i="2"/>
  <c r="R1510" i="2"/>
  <c r="N1511" i="2"/>
  <c r="R1511" i="2"/>
  <c r="N1512" i="2"/>
  <c r="R1512" i="2"/>
  <c r="N1513" i="2"/>
  <c r="R1513" i="2"/>
  <c r="N1514" i="2"/>
  <c r="R1514" i="2"/>
  <c r="N1515" i="2"/>
  <c r="R1515" i="2"/>
  <c r="N1516" i="2"/>
  <c r="R1516" i="2"/>
  <c r="N1517" i="2"/>
  <c r="R1517" i="2"/>
  <c r="N1518" i="2"/>
  <c r="R1518" i="2"/>
  <c r="N1519" i="2"/>
  <c r="R1519" i="2"/>
  <c r="N1520" i="2"/>
  <c r="R1520" i="2"/>
  <c r="N1521" i="2"/>
  <c r="R1521" i="2"/>
  <c r="N1522" i="2"/>
  <c r="R1522" i="2"/>
  <c r="N1523" i="2"/>
  <c r="R1523" i="2"/>
  <c r="N1524" i="2"/>
  <c r="R1524" i="2"/>
  <c r="N1525" i="2"/>
  <c r="R1525" i="2"/>
  <c r="N1526" i="2"/>
  <c r="R1526" i="2"/>
  <c r="N1527" i="2"/>
  <c r="R1527" i="2"/>
  <c r="N1528" i="2"/>
  <c r="R1528" i="2"/>
  <c r="N1529" i="2"/>
  <c r="R1529" i="2"/>
  <c r="N1530" i="2"/>
  <c r="R1530" i="2"/>
  <c r="N1531" i="2"/>
  <c r="R1531" i="2"/>
  <c r="N1532" i="2"/>
  <c r="R1532" i="2"/>
  <c r="N1533" i="2"/>
  <c r="R1533" i="2"/>
  <c r="N1534" i="2"/>
  <c r="R1534" i="2"/>
  <c r="N1535" i="2"/>
  <c r="R1535" i="2"/>
  <c r="N1536" i="2"/>
  <c r="R1536" i="2"/>
  <c r="N1537" i="2"/>
  <c r="R1537" i="2"/>
  <c r="N1538" i="2"/>
  <c r="R1538" i="2"/>
  <c r="N1539" i="2"/>
  <c r="R1539" i="2"/>
  <c r="N1540" i="2"/>
  <c r="R1540" i="2"/>
  <c r="N1541" i="2"/>
  <c r="R1541" i="2"/>
  <c r="N1542" i="2"/>
  <c r="R1542" i="2"/>
  <c r="N1543" i="2"/>
  <c r="R1543" i="2"/>
  <c r="N1544" i="2"/>
  <c r="R1544" i="2"/>
  <c r="N1545" i="2"/>
  <c r="R1545" i="2"/>
  <c r="N1546" i="2"/>
  <c r="R1546" i="2"/>
  <c r="N1547" i="2"/>
  <c r="R1547" i="2"/>
  <c r="N1548" i="2"/>
  <c r="R1548" i="2"/>
  <c r="N1549" i="2"/>
  <c r="R1549" i="2"/>
  <c r="N1550" i="2"/>
  <c r="R1550" i="2"/>
  <c r="N1551" i="2"/>
  <c r="R1551" i="2"/>
  <c r="N1552" i="2"/>
  <c r="R1552" i="2"/>
  <c r="N1553" i="2"/>
  <c r="R1553" i="2"/>
  <c r="N1554" i="2"/>
  <c r="R1554" i="2"/>
  <c r="N1555" i="2"/>
  <c r="R1555" i="2"/>
  <c r="N1556" i="2"/>
  <c r="R1556" i="2"/>
  <c r="N1557" i="2"/>
  <c r="R1557" i="2"/>
  <c r="N1558" i="2"/>
  <c r="R1558" i="2"/>
  <c r="N1559" i="2"/>
  <c r="R1559" i="2"/>
  <c r="N1560" i="2"/>
  <c r="R1560" i="2"/>
  <c r="N1561" i="2"/>
  <c r="R1561" i="2"/>
  <c r="N1562" i="2"/>
  <c r="R1562" i="2"/>
  <c r="N1563" i="2"/>
  <c r="R1563" i="2"/>
  <c r="N1564" i="2"/>
  <c r="R1564" i="2"/>
  <c r="N1565" i="2"/>
  <c r="R1565" i="2"/>
  <c r="N1566" i="2"/>
  <c r="R1566" i="2"/>
  <c r="N1567" i="2"/>
  <c r="R1567" i="2"/>
  <c r="N1568" i="2"/>
  <c r="R1568" i="2"/>
  <c r="N1569" i="2"/>
  <c r="R1569" i="2"/>
  <c r="N1570" i="2"/>
  <c r="R1570" i="2"/>
  <c r="N1571" i="2"/>
  <c r="R1571" i="2"/>
  <c r="N1572" i="2"/>
  <c r="R1572" i="2"/>
  <c r="N1573" i="2"/>
  <c r="R1573" i="2"/>
  <c r="N1574" i="2"/>
  <c r="R1574" i="2"/>
  <c r="N1575" i="2"/>
  <c r="R1575" i="2"/>
  <c r="N1576" i="2"/>
  <c r="R1576" i="2"/>
  <c r="N1577" i="2"/>
  <c r="R1577" i="2"/>
  <c r="N1578" i="2"/>
  <c r="R1578" i="2"/>
  <c r="N1579" i="2"/>
  <c r="R1579" i="2"/>
  <c r="N1580" i="2"/>
  <c r="R1580" i="2"/>
  <c r="N1581" i="2"/>
  <c r="R1581" i="2"/>
  <c r="N1582" i="2"/>
  <c r="R1582" i="2"/>
  <c r="N1583" i="2"/>
  <c r="R1583" i="2"/>
  <c r="N1584" i="2"/>
  <c r="R1584" i="2"/>
  <c r="N1585" i="2"/>
  <c r="R1585" i="2"/>
  <c r="N1586" i="2"/>
  <c r="R1586" i="2"/>
  <c r="N1587" i="2"/>
  <c r="R1587" i="2"/>
  <c r="N1588" i="2"/>
  <c r="R1588" i="2"/>
  <c r="N1589" i="2"/>
  <c r="R1589" i="2"/>
  <c r="N1590" i="2"/>
  <c r="R1590" i="2"/>
  <c r="N1591" i="2"/>
  <c r="R1591" i="2"/>
  <c r="N1592" i="2"/>
  <c r="R1592" i="2"/>
  <c r="N1593" i="2"/>
  <c r="R1593" i="2"/>
  <c r="N1594" i="2"/>
  <c r="R1594" i="2"/>
  <c r="N1595" i="2"/>
  <c r="R1595" i="2"/>
  <c r="N1596" i="2"/>
  <c r="R1596" i="2"/>
  <c r="N1597" i="2"/>
  <c r="R1597" i="2"/>
  <c r="N1598" i="2"/>
  <c r="R1598" i="2"/>
  <c r="N1599" i="2"/>
  <c r="R1599" i="2"/>
  <c r="N1600" i="2"/>
  <c r="R1600" i="2"/>
  <c r="N1601" i="2"/>
  <c r="R1601" i="2"/>
  <c r="N1602" i="2"/>
  <c r="R1602" i="2"/>
  <c r="N1603" i="2"/>
  <c r="R1603" i="2"/>
  <c r="N1604" i="2"/>
  <c r="R1604" i="2"/>
  <c r="N1605" i="2"/>
  <c r="R1605" i="2"/>
  <c r="N1606" i="2"/>
  <c r="R1606" i="2"/>
  <c r="N1607" i="2"/>
  <c r="R1607" i="2"/>
  <c r="N1608" i="2"/>
  <c r="R1608" i="2"/>
  <c r="N1609" i="2"/>
  <c r="R1609" i="2"/>
  <c r="N1610" i="2"/>
  <c r="R1610" i="2"/>
  <c r="N1611" i="2"/>
  <c r="R1611" i="2"/>
  <c r="N1612" i="2"/>
  <c r="R1612" i="2"/>
  <c r="N1613" i="2"/>
  <c r="R1613" i="2"/>
  <c r="N1614" i="2"/>
  <c r="R1614" i="2"/>
  <c r="N1615" i="2"/>
  <c r="R1615" i="2"/>
  <c r="N1616" i="2"/>
  <c r="R1616" i="2"/>
  <c r="N1617" i="2"/>
  <c r="R1617" i="2"/>
  <c r="N1618" i="2"/>
  <c r="R1618" i="2"/>
  <c r="N1619" i="2"/>
  <c r="R1619" i="2"/>
  <c r="N1620" i="2"/>
  <c r="R1620" i="2"/>
  <c r="N1621" i="2"/>
  <c r="R1621" i="2"/>
  <c r="N1622" i="2"/>
  <c r="R1622" i="2"/>
  <c r="N1623" i="2"/>
  <c r="R1623" i="2"/>
  <c r="N1624" i="2"/>
  <c r="R1624" i="2"/>
  <c r="N1625" i="2"/>
  <c r="R1625" i="2"/>
  <c r="N1626" i="2"/>
  <c r="R1626" i="2"/>
  <c r="N1627" i="2"/>
  <c r="R1627" i="2"/>
  <c r="N1628" i="2"/>
  <c r="R1628" i="2"/>
  <c r="N1629" i="2"/>
  <c r="R1629" i="2"/>
  <c r="N1630" i="2"/>
  <c r="R1630" i="2"/>
  <c r="N1631" i="2"/>
  <c r="R1631" i="2"/>
  <c r="N1632" i="2"/>
  <c r="R1632" i="2"/>
  <c r="N1633" i="2"/>
  <c r="R1633" i="2"/>
  <c r="N1634" i="2"/>
  <c r="R1634" i="2"/>
  <c r="N1635" i="2"/>
  <c r="R1635" i="2"/>
  <c r="N1636" i="2"/>
  <c r="R1636" i="2"/>
  <c r="N1637" i="2"/>
  <c r="R1637" i="2"/>
  <c r="N1638" i="2"/>
  <c r="R1638" i="2"/>
  <c r="N1639" i="2"/>
  <c r="R1639" i="2"/>
  <c r="N1640" i="2"/>
  <c r="R1640" i="2"/>
  <c r="N1641" i="2"/>
  <c r="R1641" i="2"/>
  <c r="N1642" i="2"/>
  <c r="R1642" i="2"/>
  <c r="N1643" i="2"/>
  <c r="R1643" i="2"/>
  <c r="N1644" i="2"/>
  <c r="R1644" i="2"/>
  <c r="N1645" i="2"/>
  <c r="R1645" i="2"/>
  <c r="N1646" i="2"/>
  <c r="R1646" i="2"/>
  <c r="N1647" i="2"/>
  <c r="R1647" i="2"/>
  <c r="N1648" i="2"/>
  <c r="R1648" i="2"/>
  <c r="N1649" i="2"/>
  <c r="R1649" i="2"/>
  <c r="N1650" i="2"/>
  <c r="R1650" i="2"/>
  <c r="N1651" i="2"/>
  <c r="R1651" i="2"/>
  <c r="N1652" i="2"/>
  <c r="R1652" i="2"/>
  <c r="N1653" i="2"/>
  <c r="R1653" i="2"/>
  <c r="N1654" i="2"/>
  <c r="R1654" i="2"/>
  <c r="N1655" i="2"/>
  <c r="R1655" i="2"/>
  <c r="N1656" i="2"/>
  <c r="R1656" i="2"/>
  <c r="N1657" i="2"/>
  <c r="R1657" i="2"/>
  <c r="N1658" i="2"/>
  <c r="R1658" i="2"/>
  <c r="N1659" i="2"/>
  <c r="R1659" i="2"/>
  <c r="N1660" i="2"/>
  <c r="R1660" i="2"/>
  <c r="N1661" i="2"/>
  <c r="R1661" i="2"/>
  <c r="N1662" i="2"/>
  <c r="R1662" i="2"/>
  <c r="N1663" i="2"/>
  <c r="R1663" i="2"/>
  <c r="N1664" i="2"/>
  <c r="R1664" i="2"/>
  <c r="N1665" i="2"/>
  <c r="R1665" i="2"/>
  <c r="N1666" i="2"/>
  <c r="R1666" i="2"/>
  <c r="N1667" i="2"/>
  <c r="R1667" i="2"/>
  <c r="N1668" i="2"/>
  <c r="R1668" i="2"/>
  <c r="N1669" i="2"/>
  <c r="R1669" i="2"/>
  <c r="N1670" i="2"/>
  <c r="R1670" i="2"/>
  <c r="N1671" i="2"/>
  <c r="R1671" i="2"/>
  <c r="N1672" i="2"/>
  <c r="R1672" i="2"/>
  <c r="N1673" i="2"/>
  <c r="R1673" i="2"/>
  <c r="N1674" i="2"/>
  <c r="R1674" i="2"/>
  <c r="N1675" i="2"/>
  <c r="R1675" i="2"/>
  <c r="N1676" i="2"/>
  <c r="R1676" i="2"/>
  <c r="N1677" i="2"/>
  <c r="R1677" i="2"/>
  <c r="N1678" i="2"/>
  <c r="R1678" i="2"/>
  <c r="N1679" i="2"/>
  <c r="R1679" i="2"/>
  <c r="N1680" i="2"/>
  <c r="R1680" i="2"/>
  <c r="N1681" i="2"/>
  <c r="R1681" i="2"/>
  <c r="N1682" i="2"/>
  <c r="R1682" i="2"/>
  <c r="N1683" i="2"/>
  <c r="R1683" i="2"/>
  <c r="N1684" i="2"/>
  <c r="R1684" i="2"/>
  <c r="N1685" i="2"/>
  <c r="R1685" i="2"/>
  <c r="N1686" i="2"/>
  <c r="R1686" i="2"/>
  <c r="N1687" i="2"/>
  <c r="R1687" i="2"/>
  <c r="N1688" i="2"/>
  <c r="R1688" i="2"/>
  <c r="N1689" i="2"/>
  <c r="R1689" i="2"/>
  <c r="N1690" i="2"/>
  <c r="R1690" i="2"/>
  <c r="N1691" i="2"/>
  <c r="R1691" i="2"/>
  <c r="N1692" i="2"/>
  <c r="R1692" i="2"/>
  <c r="N1693" i="2"/>
  <c r="R1693" i="2"/>
  <c r="N1694" i="2"/>
  <c r="R1694" i="2"/>
  <c r="N1695" i="2"/>
  <c r="R1695" i="2"/>
  <c r="N1696" i="2"/>
  <c r="R1696" i="2"/>
  <c r="N1697" i="2"/>
  <c r="R1697" i="2"/>
  <c r="N1698" i="2"/>
  <c r="R1698" i="2"/>
  <c r="N1699" i="2"/>
  <c r="R1699" i="2"/>
  <c r="N1700" i="2"/>
  <c r="R1700" i="2"/>
  <c r="N1701" i="2"/>
  <c r="R1701" i="2"/>
  <c r="N1702" i="2"/>
  <c r="R1702" i="2"/>
  <c r="N1703" i="2"/>
  <c r="R1703" i="2"/>
  <c r="N1704" i="2"/>
  <c r="R1704" i="2"/>
  <c r="N1705" i="2"/>
  <c r="R1705" i="2"/>
  <c r="N1706" i="2"/>
  <c r="R1706" i="2"/>
  <c r="N1707" i="2"/>
  <c r="R1707" i="2"/>
  <c r="N1708" i="2"/>
  <c r="R1708" i="2"/>
  <c r="N1709" i="2"/>
  <c r="R1709" i="2"/>
  <c r="N1710" i="2"/>
  <c r="R1710" i="2"/>
  <c r="N1711" i="2"/>
  <c r="R1711" i="2"/>
  <c r="N1712" i="2"/>
  <c r="R1712" i="2"/>
  <c r="N1713" i="2"/>
  <c r="R1713" i="2"/>
  <c r="N1714" i="2"/>
  <c r="R1714" i="2"/>
  <c r="N1715" i="2"/>
  <c r="R1715" i="2"/>
  <c r="N1716" i="2"/>
  <c r="R1716" i="2"/>
  <c r="N1717" i="2"/>
  <c r="R1717" i="2"/>
  <c r="N1718" i="2"/>
  <c r="R1718" i="2"/>
  <c r="N1719" i="2"/>
  <c r="R1719" i="2"/>
  <c r="N1720" i="2"/>
  <c r="R1720" i="2"/>
  <c r="N1721" i="2"/>
  <c r="R1721" i="2"/>
  <c r="N1722" i="2"/>
  <c r="R1722" i="2"/>
  <c r="N1723" i="2"/>
  <c r="R1723" i="2"/>
  <c r="N1724" i="2"/>
  <c r="R1724" i="2"/>
  <c r="N1725" i="2"/>
  <c r="R1725" i="2"/>
  <c r="N1726" i="2"/>
  <c r="R1726" i="2"/>
  <c r="N1727" i="2"/>
  <c r="R1727" i="2"/>
  <c r="N1728" i="2"/>
  <c r="R1728" i="2"/>
  <c r="N1729" i="2"/>
  <c r="R1729" i="2"/>
  <c r="N1730" i="2"/>
  <c r="R1730" i="2"/>
  <c r="N1731" i="2"/>
  <c r="R1731" i="2"/>
  <c r="N1732" i="2"/>
  <c r="R1732" i="2"/>
  <c r="N1733" i="2"/>
  <c r="R1733" i="2"/>
  <c r="U2" i="2"/>
  <c r="Q2" i="2"/>
  <c r="S561" i="2"/>
  <c r="T657" i="2"/>
  <c r="T757" i="2"/>
  <c r="R805" i="2"/>
  <c r="R829" i="2"/>
  <c r="R853" i="2"/>
  <c r="R877" i="2"/>
  <c r="R901" i="2"/>
  <c r="R917" i="2"/>
  <c r="R941" i="2"/>
  <c r="R965" i="2"/>
  <c r="T982" i="2"/>
  <c r="T988" i="2"/>
  <c r="T994" i="2"/>
  <c r="T1000" i="2"/>
  <c r="T1006" i="2"/>
  <c r="T1012" i="2"/>
  <c r="T1018" i="2"/>
  <c r="T1024" i="2"/>
  <c r="T1030" i="2"/>
  <c r="T1038" i="2"/>
  <c r="T1040" i="2"/>
  <c r="T1046" i="2"/>
  <c r="T1052" i="2"/>
  <c r="T1058" i="2"/>
  <c r="T1064" i="2"/>
  <c r="T1070" i="2"/>
  <c r="T1076" i="2"/>
  <c r="T1082" i="2"/>
  <c r="T1090" i="2"/>
  <c r="T1096" i="2"/>
  <c r="T1102" i="2"/>
  <c r="T1106" i="2"/>
  <c r="T1112" i="2"/>
  <c r="T1118" i="2"/>
  <c r="T1122" i="2"/>
  <c r="T1128" i="2"/>
  <c r="T1136" i="2"/>
  <c r="T1142" i="2"/>
  <c r="T1148" i="2"/>
  <c r="T1154" i="2"/>
  <c r="T1160" i="2"/>
  <c r="T1164" i="2"/>
  <c r="T1170" i="2"/>
  <c r="T1176" i="2"/>
  <c r="T1180" i="2"/>
  <c r="T1188" i="2"/>
  <c r="T1194" i="2"/>
  <c r="T1200" i="2"/>
  <c r="T1206" i="2"/>
  <c r="T1212" i="2"/>
  <c r="T1218" i="2"/>
  <c r="T1222" i="2"/>
  <c r="T1226" i="2"/>
  <c r="T1232" i="2"/>
  <c r="T1238" i="2"/>
  <c r="T1244" i="2"/>
  <c r="T1250" i="2"/>
  <c r="T1256" i="2"/>
  <c r="T1262" i="2"/>
  <c r="T1268" i="2"/>
  <c r="T1274" i="2"/>
  <c r="T1280" i="2"/>
  <c r="T1288" i="2"/>
  <c r="T1292" i="2"/>
  <c r="T1298" i="2"/>
  <c r="T1304" i="2"/>
  <c r="T1310" i="2"/>
  <c r="T1316" i="2"/>
  <c r="T1322" i="2"/>
  <c r="T1326" i="2"/>
  <c r="T1334" i="2"/>
  <c r="T1338" i="2"/>
  <c r="T1342" i="2"/>
  <c r="T1348" i="2"/>
  <c r="T1354" i="2"/>
  <c r="T1360" i="2"/>
  <c r="T1366" i="2"/>
  <c r="P1371" i="2"/>
  <c r="P1374" i="2"/>
  <c r="P1377" i="2"/>
  <c r="P1380" i="2"/>
  <c r="P1384" i="2"/>
  <c r="P1387" i="2"/>
  <c r="P1389" i="2"/>
  <c r="P1392" i="2"/>
  <c r="P1395" i="2"/>
  <c r="P1398" i="2"/>
  <c r="P1401" i="2"/>
  <c r="P1403" i="2"/>
  <c r="P1406" i="2"/>
  <c r="P1409" i="2"/>
  <c r="P1412" i="2"/>
  <c r="P1415" i="2"/>
  <c r="P1418" i="2"/>
  <c r="P1421" i="2"/>
  <c r="P1424" i="2"/>
  <c r="N1427" i="2"/>
  <c r="U1428" i="2"/>
  <c r="Q1430" i="2"/>
  <c r="U1431" i="2"/>
  <c r="U1433" i="2"/>
  <c r="U1434" i="2"/>
  <c r="U1436" i="2"/>
  <c r="Q1438" i="2"/>
  <c r="U1439" i="2"/>
  <c r="Q1441" i="2"/>
  <c r="U1442" i="2"/>
  <c r="Q1444" i="2"/>
  <c r="U1445" i="2"/>
  <c r="Q1447" i="2"/>
  <c r="Q1449" i="2"/>
  <c r="U1450" i="2"/>
  <c r="Q1452" i="2"/>
  <c r="U1453" i="2"/>
  <c r="U1454" i="2"/>
  <c r="U1455" i="2"/>
  <c r="Q1457" i="2"/>
  <c r="U1458" i="2"/>
  <c r="Q1460" i="2"/>
  <c r="U1461" i="2"/>
  <c r="Q1463" i="2"/>
  <c r="U1464" i="2"/>
  <c r="Q1466" i="2"/>
  <c r="T450" i="2"/>
  <c r="S529" i="2"/>
  <c r="S593" i="2"/>
  <c r="Q636" i="2"/>
  <c r="T677" i="2"/>
  <c r="T709" i="2"/>
  <c r="T741" i="2"/>
  <c r="T773" i="2"/>
  <c r="R793" i="2"/>
  <c r="R801" i="2"/>
  <c r="R809" i="2"/>
  <c r="R817" i="2"/>
  <c r="R825" i="2"/>
  <c r="R833" i="2"/>
  <c r="R841" i="2"/>
  <c r="R849" i="2"/>
  <c r="R857" i="2"/>
  <c r="R865" i="2"/>
  <c r="R873" i="2"/>
  <c r="R881" i="2"/>
  <c r="R889" i="2"/>
  <c r="R897" i="2"/>
  <c r="R905" i="2"/>
  <c r="R913" i="2"/>
  <c r="R921" i="2"/>
  <c r="R929" i="2"/>
  <c r="R937" i="2"/>
  <c r="R945" i="2"/>
  <c r="R953" i="2"/>
  <c r="R961" i="2"/>
  <c r="R969" i="2"/>
  <c r="R977" i="2"/>
  <c r="T981" i="2"/>
  <c r="T983" i="2"/>
  <c r="T985" i="2"/>
  <c r="T987" i="2"/>
  <c r="T989" i="2"/>
  <c r="T991" i="2"/>
  <c r="T993" i="2"/>
  <c r="T995" i="2"/>
  <c r="T997" i="2"/>
  <c r="T999" i="2"/>
  <c r="T1001" i="2"/>
  <c r="T1003" i="2"/>
  <c r="T1005" i="2"/>
  <c r="T1007" i="2"/>
  <c r="T1009" i="2"/>
  <c r="T1011" i="2"/>
  <c r="T1013" i="2"/>
  <c r="T1015" i="2"/>
  <c r="T1017" i="2"/>
  <c r="T1019" i="2"/>
  <c r="T1021" i="2"/>
  <c r="T1023" i="2"/>
  <c r="T1025" i="2"/>
  <c r="T1027" i="2"/>
  <c r="T1029" i="2"/>
  <c r="T1031" i="2"/>
  <c r="T1033" i="2"/>
  <c r="T1035" i="2"/>
  <c r="T1037" i="2"/>
  <c r="T1039" i="2"/>
  <c r="T1041" i="2"/>
  <c r="T1043" i="2"/>
  <c r="T1045" i="2"/>
  <c r="T1047" i="2"/>
  <c r="T1049" i="2"/>
  <c r="T1051" i="2"/>
  <c r="T1053" i="2"/>
  <c r="T1055" i="2"/>
  <c r="T1057" i="2"/>
  <c r="T1059" i="2"/>
  <c r="T1061" i="2"/>
  <c r="T1063" i="2"/>
  <c r="T1065" i="2"/>
  <c r="T1067" i="2"/>
  <c r="T1069" i="2"/>
  <c r="T1071" i="2"/>
  <c r="T1073" i="2"/>
  <c r="T1075" i="2"/>
  <c r="T1077" i="2"/>
  <c r="T1079" i="2"/>
  <c r="T1081" i="2"/>
  <c r="T1083" i="2"/>
  <c r="T1085" i="2"/>
  <c r="T1087" i="2"/>
  <c r="T1089" i="2"/>
  <c r="T1091" i="2"/>
  <c r="T1093" i="2"/>
  <c r="T1095" i="2"/>
  <c r="T1097" i="2"/>
  <c r="T1099" i="2"/>
  <c r="T1101" i="2"/>
  <c r="T1103" i="2"/>
  <c r="T1105" i="2"/>
  <c r="T1107" i="2"/>
  <c r="T1109" i="2"/>
  <c r="T1111" i="2"/>
  <c r="T1113" i="2"/>
  <c r="T1115" i="2"/>
  <c r="T1117" i="2"/>
  <c r="T1119" i="2"/>
  <c r="T1121" i="2"/>
  <c r="T1123" i="2"/>
  <c r="T1125" i="2"/>
  <c r="T1127" i="2"/>
  <c r="T1129" i="2"/>
  <c r="T1131" i="2"/>
  <c r="T1133" i="2"/>
  <c r="T1135" i="2"/>
  <c r="T1137" i="2"/>
  <c r="T1139" i="2"/>
  <c r="T1141" i="2"/>
  <c r="T1143" i="2"/>
  <c r="T1145" i="2"/>
  <c r="T1147" i="2"/>
  <c r="T1149" i="2"/>
  <c r="T1151" i="2"/>
  <c r="T1153" i="2"/>
  <c r="T1155" i="2"/>
  <c r="T1157" i="2"/>
  <c r="T1159" i="2"/>
  <c r="T1161" i="2"/>
  <c r="T1163" i="2"/>
  <c r="T1165" i="2"/>
  <c r="T1167" i="2"/>
  <c r="T1169" i="2"/>
  <c r="T1171" i="2"/>
  <c r="T1173" i="2"/>
  <c r="T1175" i="2"/>
  <c r="T1177" i="2"/>
  <c r="T1179" i="2"/>
  <c r="T1181" i="2"/>
  <c r="T1183" i="2"/>
  <c r="T1185" i="2"/>
  <c r="T1187" i="2"/>
  <c r="T1189" i="2"/>
  <c r="T1191" i="2"/>
  <c r="T1193" i="2"/>
  <c r="T1195" i="2"/>
  <c r="T1197" i="2"/>
  <c r="T1199" i="2"/>
  <c r="T1201" i="2"/>
  <c r="T1203" i="2"/>
  <c r="T1205" i="2"/>
  <c r="T1207" i="2"/>
  <c r="T1209" i="2"/>
  <c r="T1211" i="2"/>
  <c r="T1213" i="2"/>
  <c r="T1215" i="2"/>
  <c r="T1217" i="2"/>
  <c r="T1219" i="2"/>
  <c r="T1221" i="2"/>
  <c r="T1223" i="2"/>
  <c r="T1225" i="2"/>
  <c r="T1227" i="2"/>
  <c r="T1229" i="2"/>
  <c r="T1231" i="2"/>
  <c r="T1233" i="2"/>
  <c r="T1235" i="2"/>
  <c r="T1237" i="2"/>
  <c r="T1239" i="2"/>
  <c r="T1241" i="2"/>
  <c r="T1243" i="2"/>
  <c r="T1245" i="2"/>
  <c r="T1247" i="2"/>
  <c r="T1249" i="2"/>
  <c r="T1251" i="2"/>
  <c r="T1253" i="2"/>
  <c r="T1255" i="2"/>
  <c r="T1257" i="2"/>
  <c r="T1259" i="2"/>
  <c r="T1261" i="2"/>
  <c r="T1263" i="2"/>
  <c r="T1265" i="2"/>
  <c r="T1267" i="2"/>
  <c r="T1269" i="2"/>
  <c r="T1271" i="2"/>
  <c r="T1273" i="2"/>
  <c r="T1275" i="2"/>
  <c r="T1277" i="2"/>
  <c r="T1279" i="2"/>
  <c r="T1281" i="2"/>
  <c r="T1283" i="2"/>
  <c r="T1285" i="2"/>
  <c r="T1287" i="2"/>
  <c r="T1289" i="2"/>
  <c r="T1291" i="2"/>
  <c r="T1293" i="2"/>
  <c r="T1295" i="2"/>
  <c r="T1297" i="2"/>
  <c r="T1299" i="2"/>
  <c r="T1301" i="2"/>
  <c r="T1303" i="2"/>
  <c r="T1305" i="2"/>
  <c r="T1307" i="2"/>
  <c r="T1309" i="2"/>
  <c r="T1311" i="2"/>
  <c r="T1313" i="2"/>
  <c r="T1315" i="2"/>
  <c r="T1317" i="2"/>
  <c r="T1319" i="2"/>
  <c r="T1321" i="2"/>
  <c r="T1323" i="2"/>
  <c r="T1325" i="2"/>
  <c r="T1327" i="2"/>
  <c r="T1329" i="2"/>
  <c r="T1331" i="2"/>
  <c r="T1333" i="2"/>
  <c r="T1335" i="2"/>
  <c r="T1337" i="2"/>
  <c r="T1339" i="2"/>
  <c r="T1341" i="2"/>
  <c r="T1343" i="2"/>
  <c r="T1345" i="2"/>
  <c r="T1347" i="2"/>
  <c r="T1349" i="2"/>
  <c r="T1351" i="2"/>
  <c r="T1353" i="2"/>
  <c r="T1355" i="2"/>
  <c r="T1357" i="2"/>
  <c r="T1359" i="2"/>
  <c r="T1361" i="2"/>
  <c r="T1363" i="2"/>
  <c r="T1365" i="2"/>
  <c r="T1367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Q1427" i="2"/>
  <c r="N1428" i="2"/>
  <c r="S1428" i="2"/>
  <c r="O1429" i="2"/>
  <c r="S1429" i="2"/>
  <c r="O1430" i="2"/>
  <c r="S1430" i="2"/>
  <c r="O1431" i="2"/>
  <c r="S1431" i="2"/>
  <c r="O1432" i="2"/>
  <c r="S1432" i="2"/>
  <c r="O1433" i="2"/>
  <c r="S1433" i="2"/>
  <c r="O1434" i="2"/>
  <c r="S1434" i="2"/>
  <c r="O1435" i="2"/>
  <c r="S1435" i="2"/>
  <c r="O1436" i="2"/>
  <c r="S1436" i="2"/>
  <c r="O1437" i="2"/>
  <c r="S1437" i="2"/>
  <c r="O1438" i="2"/>
  <c r="S1438" i="2"/>
  <c r="O1439" i="2"/>
  <c r="S1439" i="2"/>
  <c r="O1440" i="2"/>
  <c r="S1440" i="2"/>
  <c r="O1441" i="2"/>
  <c r="S1441" i="2"/>
  <c r="O1442" i="2"/>
  <c r="S1442" i="2"/>
  <c r="O1443" i="2"/>
  <c r="S1443" i="2"/>
  <c r="O1444" i="2"/>
  <c r="S1444" i="2"/>
  <c r="O1445" i="2"/>
  <c r="S1445" i="2"/>
  <c r="O1446" i="2"/>
  <c r="S1446" i="2"/>
  <c r="O1447" i="2"/>
  <c r="S1447" i="2"/>
  <c r="O1448" i="2"/>
  <c r="S1448" i="2"/>
  <c r="O1449" i="2"/>
  <c r="S1449" i="2"/>
  <c r="O1450" i="2"/>
  <c r="S1450" i="2"/>
  <c r="O1451" i="2"/>
  <c r="S1451" i="2"/>
  <c r="O1452" i="2"/>
  <c r="S1452" i="2"/>
  <c r="O1453" i="2"/>
  <c r="S1453" i="2"/>
  <c r="O1454" i="2"/>
  <c r="S1454" i="2"/>
  <c r="O1455" i="2"/>
  <c r="S1455" i="2"/>
  <c r="O1456" i="2"/>
  <c r="S1456" i="2"/>
  <c r="O1457" i="2"/>
  <c r="S1457" i="2"/>
  <c r="O1458" i="2"/>
  <c r="S1458" i="2"/>
  <c r="O1459" i="2"/>
  <c r="S1459" i="2"/>
  <c r="O1460" i="2"/>
  <c r="S1460" i="2"/>
  <c r="O1461" i="2"/>
  <c r="S1461" i="2"/>
  <c r="O1462" i="2"/>
  <c r="S1462" i="2"/>
  <c r="O1463" i="2"/>
  <c r="S1463" i="2"/>
  <c r="O1464" i="2"/>
  <c r="S1464" i="2"/>
  <c r="O1465" i="2"/>
  <c r="S1465" i="2"/>
  <c r="O1466" i="2"/>
  <c r="S1466" i="2"/>
  <c r="O1467" i="2"/>
  <c r="S1467" i="2"/>
  <c r="O1468" i="2"/>
  <c r="S1468" i="2"/>
  <c r="O1469" i="2"/>
  <c r="S1469" i="2"/>
  <c r="O1470" i="2"/>
  <c r="S1470" i="2"/>
  <c r="O1471" i="2"/>
  <c r="S1471" i="2"/>
  <c r="O1472" i="2"/>
  <c r="S1472" i="2"/>
  <c r="O1473" i="2"/>
  <c r="S1473" i="2"/>
  <c r="O1474" i="2"/>
  <c r="S1474" i="2"/>
  <c r="O1475" i="2"/>
  <c r="S1475" i="2"/>
  <c r="O1476" i="2"/>
  <c r="S1476" i="2"/>
  <c r="O1477" i="2"/>
  <c r="S1477" i="2"/>
  <c r="O1478" i="2"/>
  <c r="S1478" i="2"/>
  <c r="O1479" i="2"/>
  <c r="S1479" i="2"/>
  <c r="O1480" i="2"/>
  <c r="S1480" i="2"/>
  <c r="O1481" i="2"/>
  <c r="S1481" i="2"/>
  <c r="O1482" i="2"/>
  <c r="S1482" i="2"/>
  <c r="O1483" i="2"/>
  <c r="S1483" i="2"/>
  <c r="O1484" i="2"/>
  <c r="S1484" i="2"/>
  <c r="O1485" i="2"/>
  <c r="S1485" i="2"/>
  <c r="O1486" i="2"/>
  <c r="S1486" i="2"/>
  <c r="O1487" i="2"/>
  <c r="S1487" i="2"/>
  <c r="O1488" i="2"/>
  <c r="S1488" i="2"/>
  <c r="O1489" i="2"/>
  <c r="S1489" i="2"/>
  <c r="O1490" i="2"/>
  <c r="S1490" i="2"/>
  <c r="O1491" i="2"/>
  <c r="S1491" i="2"/>
  <c r="O1492" i="2"/>
  <c r="S1492" i="2"/>
  <c r="O1493" i="2"/>
  <c r="S1493" i="2"/>
  <c r="O1494" i="2"/>
  <c r="S1494" i="2"/>
  <c r="O1495" i="2"/>
  <c r="S1495" i="2"/>
  <c r="O1496" i="2"/>
  <c r="S1496" i="2"/>
  <c r="O1497" i="2"/>
  <c r="S1497" i="2"/>
  <c r="O1498" i="2"/>
  <c r="S1498" i="2"/>
  <c r="O1499" i="2"/>
  <c r="S1499" i="2"/>
  <c r="O1500" i="2"/>
  <c r="S1500" i="2"/>
  <c r="O1501" i="2"/>
  <c r="S1501" i="2"/>
  <c r="O1502" i="2"/>
  <c r="S1502" i="2"/>
  <c r="O1503" i="2"/>
  <c r="S1503" i="2"/>
  <c r="O1504" i="2"/>
  <c r="S1504" i="2"/>
  <c r="O1505" i="2"/>
  <c r="S1505" i="2"/>
  <c r="O1506" i="2"/>
  <c r="S1506" i="2"/>
  <c r="O1507" i="2"/>
  <c r="S1507" i="2"/>
  <c r="O1508" i="2"/>
  <c r="S1508" i="2"/>
  <c r="O1509" i="2"/>
  <c r="S1509" i="2"/>
  <c r="O1510" i="2"/>
  <c r="S1510" i="2"/>
  <c r="O1511" i="2"/>
  <c r="S1511" i="2"/>
  <c r="O1512" i="2"/>
  <c r="S1512" i="2"/>
  <c r="O1513" i="2"/>
  <c r="S1513" i="2"/>
  <c r="O1514" i="2"/>
  <c r="S1514" i="2"/>
  <c r="O1515" i="2"/>
  <c r="S1515" i="2"/>
  <c r="O1516" i="2"/>
  <c r="S1516" i="2"/>
  <c r="O1517" i="2"/>
  <c r="S1517" i="2"/>
  <c r="O1518" i="2"/>
  <c r="S1518" i="2"/>
  <c r="O1519" i="2"/>
  <c r="S1519" i="2"/>
  <c r="O1520" i="2"/>
  <c r="S1520" i="2"/>
  <c r="O1521" i="2"/>
  <c r="S1521" i="2"/>
  <c r="O1522" i="2"/>
  <c r="S1522" i="2"/>
  <c r="O1523" i="2"/>
  <c r="S1523" i="2"/>
  <c r="O1524" i="2"/>
  <c r="S1524" i="2"/>
  <c r="O1525" i="2"/>
  <c r="S1525" i="2"/>
  <c r="O1526" i="2"/>
  <c r="S1526" i="2"/>
  <c r="O1527" i="2"/>
  <c r="S1527" i="2"/>
  <c r="O1528" i="2"/>
  <c r="S1528" i="2"/>
  <c r="O1529" i="2"/>
  <c r="S1529" i="2"/>
  <c r="O1530" i="2"/>
  <c r="S1530" i="2"/>
  <c r="O1531" i="2"/>
  <c r="S1531" i="2"/>
  <c r="O1532" i="2"/>
  <c r="S1532" i="2"/>
  <c r="O1533" i="2"/>
  <c r="S1533" i="2"/>
  <c r="O1534" i="2"/>
  <c r="S1534" i="2"/>
  <c r="O1535" i="2"/>
  <c r="S1535" i="2"/>
  <c r="O1536" i="2"/>
  <c r="S1536" i="2"/>
  <c r="O1537" i="2"/>
  <c r="S1537" i="2"/>
  <c r="O1538" i="2"/>
  <c r="S1538" i="2"/>
  <c r="O1539" i="2"/>
  <c r="S1539" i="2"/>
  <c r="O1540" i="2"/>
  <c r="S1540" i="2"/>
  <c r="O1541" i="2"/>
  <c r="S1541" i="2"/>
  <c r="O1542" i="2"/>
  <c r="S1542" i="2"/>
  <c r="O1543" i="2"/>
  <c r="S1543" i="2"/>
  <c r="O1544" i="2"/>
  <c r="S1544" i="2"/>
  <c r="O1545" i="2"/>
  <c r="S1545" i="2"/>
  <c r="O1546" i="2"/>
  <c r="S1546" i="2"/>
  <c r="O1547" i="2"/>
  <c r="S1547" i="2"/>
  <c r="O1548" i="2"/>
  <c r="S1548" i="2"/>
  <c r="O1549" i="2"/>
  <c r="S1549" i="2"/>
  <c r="O1550" i="2"/>
  <c r="S1550" i="2"/>
  <c r="O1551" i="2"/>
  <c r="S1551" i="2"/>
  <c r="O1552" i="2"/>
  <c r="S1552" i="2"/>
  <c r="O1553" i="2"/>
  <c r="S1553" i="2"/>
  <c r="O1554" i="2"/>
  <c r="S1554" i="2"/>
  <c r="O1555" i="2"/>
  <c r="S1555" i="2"/>
  <c r="O1556" i="2"/>
  <c r="S1556" i="2"/>
  <c r="O1557" i="2"/>
  <c r="S1557" i="2"/>
  <c r="O1558" i="2"/>
  <c r="S1558" i="2"/>
  <c r="O1559" i="2"/>
  <c r="S1559" i="2"/>
  <c r="O1560" i="2"/>
  <c r="S1560" i="2"/>
  <c r="O1561" i="2"/>
  <c r="S1561" i="2"/>
  <c r="O1562" i="2"/>
  <c r="S1562" i="2"/>
  <c r="O1563" i="2"/>
  <c r="S1563" i="2"/>
  <c r="O1564" i="2"/>
  <c r="S1564" i="2"/>
  <c r="O1565" i="2"/>
  <c r="S1565" i="2"/>
  <c r="O1566" i="2"/>
  <c r="S1566" i="2"/>
  <c r="O1567" i="2"/>
  <c r="S1567" i="2"/>
  <c r="O1568" i="2"/>
  <c r="S1568" i="2"/>
  <c r="O1569" i="2"/>
  <c r="S1569" i="2"/>
  <c r="O1570" i="2"/>
  <c r="S1570" i="2"/>
  <c r="O1571" i="2"/>
  <c r="S1571" i="2"/>
  <c r="O1572" i="2"/>
  <c r="S1572" i="2"/>
  <c r="O1573" i="2"/>
  <c r="S1573" i="2"/>
  <c r="O1574" i="2"/>
  <c r="S1574" i="2"/>
  <c r="O1575" i="2"/>
  <c r="S1575" i="2"/>
  <c r="O1576" i="2"/>
  <c r="S1576" i="2"/>
  <c r="O1577" i="2"/>
  <c r="S1577" i="2"/>
  <c r="O1578" i="2"/>
  <c r="S1578" i="2"/>
  <c r="O1579" i="2"/>
  <c r="S1579" i="2"/>
  <c r="O1580" i="2"/>
  <c r="S1580" i="2"/>
  <c r="O1581" i="2"/>
  <c r="S1581" i="2"/>
  <c r="O1582" i="2"/>
  <c r="S1582" i="2"/>
  <c r="O1583" i="2"/>
  <c r="S1583" i="2"/>
  <c r="O1584" i="2"/>
  <c r="S1584" i="2"/>
  <c r="O1585" i="2"/>
  <c r="S1585" i="2"/>
  <c r="O1586" i="2"/>
  <c r="S1586" i="2"/>
  <c r="O1587" i="2"/>
  <c r="S1587" i="2"/>
  <c r="O1588" i="2"/>
  <c r="S1588" i="2"/>
  <c r="O1589" i="2"/>
  <c r="S1589" i="2"/>
  <c r="O1590" i="2"/>
  <c r="S1590" i="2"/>
  <c r="O1591" i="2"/>
  <c r="S1591" i="2"/>
  <c r="O1592" i="2"/>
  <c r="S1592" i="2"/>
  <c r="O1593" i="2"/>
  <c r="S1593" i="2"/>
  <c r="O1594" i="2"/>
  <c r="S1594" i="2"/>
  <c r="O1595" i="2"/>
  <c r="S1595" i="2"/>
  <c r="O1596" i="2"/>
  <c r="S1596" i="2"/>
  <c r="O1597" i="2"/>
  <c r="S1597" i="2"/>
  <c r="O1598" i="2"/>
  <c r="S1598" i="2"/>
  <c r="O1599" i="2"/>
  <c r="S1599" i="2"/>
  <c r="O1600" i="2"/>
  <c r="S1600" i="2"/>
  <c r="O1601" i="2"/>
  <c r="S1601" i="2"/>
  <c r="O1602" i="2"/>
  <c r="S1602" i="2"/>
  <c r="O1603" i="2"/>
  <c r="S1603" i="2"/>
  <c r="O1604" i="2"/>
  <c r="S1604" i="2"/>
  <c r="O1605" i="2"/>
  <c r="S1605" i="2"/>
  <c r="O1606" i="2"/>
  <c r="S1606" i="2"/>
  <c r="O1607" i="2"/>
  <c r="S1607" i="2"/>
  <c r="O1608" i="2"/>
  <c r="S1608" i="2"/>
  <c r="O1609" i="2"/>
  <c r="S1609" i="2"/>
  <c r="O1610" i="2"/>
  <c r="S1610" i="2"/>
  <c r="O1611" i="2"/>
  <c r="S1611" i="2"/>
  <c r="O1612" i="2"/>
  <c r="S1612" i="2"/>
  <c r="O1613" i="2"/>
  <c r="S1613" i="2"/>
  <c r="O1614" i="2"/>
  <c r="S1614" i="2"/>
  <c r="O1615" i="2"/>
  <c r="S1615" i="2"/>
  <c r="O1616" i="2"/>
  <c r="S1616" i="2"/>
  <c r="O1617" i="2"/>
  <c r="S1617" i="2"/>
  <c r="O1618" i="2"/>
  <c r="S1618" i="2"/>
  <c r="O1619" i="2"/>
  <c r="S1619" i="2"/>
  <c r="O1620" i="2"/>
  <c r="S1620" i="2"/>
  <c r="O1621" i="2"/>
  <c r="S1621" i="2"/>
  <c r="O1622" i="2"/>
  <c r="S1622" i="2"/>
  <c r="O1623" i="2"/>
  <c r="S1623" i="2"/>
  <c r="O1624" i="2"/>
  <c r="S1624" i="2"/>
  <c r="O1625" i="2"/>
  <c r="S1625" i="2"/>
  <c r="O1626" i="2"/>
  <c r="S1626" i="2"/>
  <c r="O1627" i="2"/>
  <c r="S1627" i="2"/>
  <c r="O1628" i="2"/>
  <c r="S1628" i="2"/>
  <c r="O1629" i="2"/>
  <c r="S1629" i="2"/>
  <c r="O1630" i="2"/>
  <c r="S1630" i="2"/>
  <c r="O1631" i="2"/>
  <c r="S1631" i="2"/>
  <c r="O1632" i="2"/>
  <c r="S1632" i="2"/>
  <c r="O1633" i="2"/>
  <c r="S1633" i="2"/>
  <c r="O1634" i="2"/>
  <c r="S1634" i="2"/>
  <c r="O1635" i="2"/>
  <c r="S1635" i="2"/>
  <c r="O1636" i="2"/>
  <c r="S1636" i="2"/>
  <c r="O1637" i="2"/>
  <c r="S1637" i="2"/>
  <c r="O1638" i="2"/>
  <c r="S1638" i="2"/>
  <c r="O1639" i="2"/>
  <c r="S1639" i="2"/>
  <c r="O1640" i="2"/>
  <c r="S1640" i="2"/>
  <c r="O1641" i="2"/>
  <c r="S1641" i="2"/>
  <c r="O1642" i="2"/>
  <c r="S1642" i="2"/>
  <c r="O1643" i="2"/>
  <c r="S1643" i="2"/>
  <c r="O1644" i="2"/>
  <c r="S1644" i="2"/>
  <c r="O1645" i="2"/>
  <c r="S1645" i="2"/>
  <c r="O1646" i="2"/>
  <c r="S1646" i="2"/>
  <c r="O1647" i="2"/>
  <c r="S1647" i="2"/>
  <c r="O1648" i="2"/>
  <c r="S1648" i="2"/>
  <c r="O1649" i="2"/>
  <c r="S1649" i="2"/>
  <c r="O1650" i="2"/>
  <c r="S1650" i="2"/>
  <c r="O1651" i="2"/>
  <c r="S1651" i="2"/>
  <c r="O1652" i="2"/>
  <c r="S1652" i="2"/>
  <c r="O1653" i="2"/>
  <c r="S1653" i="2"/>
  <c r="O1654" i="2"/>
  <c r="S1654" i="2"/>
  <c r="O1655" i="2"/>
  <c r="S1655" i="2"/>
  <c r="O1656" i="2"/>
  <c r="S1656" i="2"/>
  <c r="O1657" i="2"/>
  <c r="S1657" i="2"/>
  <c r="O1658" i="2"/>
  <c r="S1658" i="2"/>
  <c r="O1659" i="2"/>
  <c r="S1659" i="2"/>
  <c r="O1660" i="2"/>
  <c r="S1660" i="2"/>
  <c r="O1661" i="2"/>
  <c r="S1661" i="2"/>
  <c r="O1662" i="2"/>
  <c r="S1662" i="2"/>
  <c r="O1663" i="2"/>
  <c r="S1663" i="2"/>
  <c r="O1664" i="2"/>
  <c r="S1664" i="2"/>
  <c r="O1665" i="2"/>
  <c r="S1665" i="2"/>
  <c r="O1666" i="2"/>
  <c r="S1666" i="2"/>
  <c r="O1667" i="2"/>
  <c r="S1667" i="2"/>
  <c r="O1668" i="2"/>
  <c r="S1668" i="2"/>
  <c r="O1669" i="2"/>
  <c r="S1669" i="2"/>
  <c r="O1670" i="2"/>
  <c r="S1670" i="2"/>
  <c r="O1671" i="2"/>
  <c r="S1671" i="2"/>
  <c r="O1672" i="2"/>
  <c r="S1672" i="2"/>
  <c r="O1673" i="2"/>
  <c r="S1673" i="2"/>
  <c r="O1674" i="2"/>
  <c r="S1674" i="2"/>
  <c r="O1675" i="2"/>
  <c r="S1675" i="2"/>
  <c r="O1676" i="2"/>
  <c r="S1676" i="2"/>
  <c r="O1677" i="2"/>
  <c r="S1677" i="2"/>
  <c r="O1678" i="2"/>
  <c r="S1678" i="2"/>
  <c r="O1679" i="2"/>
  <c r="S1679" i="2"/>
  <c r="O1680" i="2"/>
  <c r="S1680" i="2"/>
  <c r="O1681" i="2"/>
  <c r="S1681" i="2"/>
  <c r="O1682" i="2"/>
  <c r="S1682" i="2"/>
  <c r="O1683" i="2"/>
  <c r="S1683" i="2"/>
  <c r="O1684" i="2"/>
  <c r="S1684" i="2"/>
  <c r="O1685" i="2"/>
  <c r="S1685" i="2"/>
  <c r="O1686" i="2"/>
  <c r="S1686" i="2"/>
  <c r="O1687" i="2"/>
  <c r="S1687" i="2"/>
  <c r="O1688" i="2"/>
  <c r="S1688" i="2"/>
  <c r="O1689" i="2"/>
  <c r="S1689" i="2"/>
  <c r="O1690" i="2"/>
  <c r="S1690" i="2"/>
  <c r="O1691" i="2"/>
  <c r="S1691" i="2"/>
  <c r="O1692" i="2"/>
  <c r="S1692" i="2"/>
  <c r="O1693" i="2"/>
  <c r="S1693" i="2"/>
  <c r="O1694" i="2"/>
  <c r="S1694" i="2"/>
  <c r="O1695" i="2"/>
  <c r="S1695" i="2"/>
  <c r="O1696" i="2"/>
  <c r="S1696" i="2"/>
  <c r="O1697" i="2"/>
  <c r="S1697" i="2"/>
  <c r="O1698" i="2"/>
  <c r="S1698" i="2"/>
  <c r="O1699" i="2"/>
  <c r="S1699" i="2"/>
  <c r="O1700" i="2"/>
  <c r="S1700" i="2"/>
  <c r="O1701" i="2"/>
  <c r="S1701" i="2"/>
  <c r="O1702" i="2"/>
  <c r="S1702" i="2"/>
  <c r="O1703" i="2"/>
  <c r="S1703" i="2"/>
  <c r="O1704" i="2"/>
  <c r="S1704" i="2"/>
  <c r="O1705" i="2"/>
  <c r="S1705" i="2"/>
  <c r="O1706" i="2"/>
  <c r="S1706" i="2"/>
  <c r="O1707" i="2"/>
  <c r="S1707" i="2"/>
  <c r="O1708" i="2"/>
  <c r="S1708" i="2"/>
  <c r="O1709" i="2"/>
  <c r="S1709" i="2"/>
  <c r="O1710" i="2"/>
  <c r="S1710" i="2"/>
  <c r="O1711" i="2"/>
  <c r="S1711" i="2"/>
  <c r="O1712" i="2"/>
  <c r="S1712" i="2"/>
  <c r="O1713" i="2"/>
  <c r="S1713" i="2"/>
  <c r="O1714" i="2"/>
  <c r="S1714" i="2"/>
  <c r="O1715" i="2"/>
  <c r="S1715" i="2"/>
  <c r="O1716" i="2"/>
  <c r="S1716" i="2"/>
  <c r="O1717" i="2"/>
  <c r="S1717" i="2"/>
  <c r="O1718" i="2"/>
  <c r="S1718" i="2"/>
  <c r="O1719" i="2"/>
  <c r="S1719" i="2"/>
  <c r="O1720" i="2"/>
  <c r="S1720" i="2"/>
  <c r="O1721" i="2"/>
  <c r="S1721" i="2"/>
  <c r="O1722" i="2"/>
  <c r="S1722" i="2"/>
  <c r="O1723" i="2"/>
  <c r="S1723" i="2"/>
  <c r="O1724" i="2"/>
  <c r="S1724" i="2"/>
  <c r="O1725" i="2"/>
  <c r="S1725" i="2"/>
  <c r="O1726" i="2"/>
  <c r="S1726" i="2"/>
  <c r="O1727" i="2"/>
  <c r="S1727" i="2"/>
  <c r="O1728" i="2"/>
  <c r="S1728" i="2"/>
  <c r="O1729" i="2"/>
  <c r="S1729" i="2"/>
  <c r="O1730" i="2"/>
  <c r="S1730" i="2"/>
  <c r="O1731" i="2"/>
  <c r="S1731" i="2"/>
  <c r="O1732" i="2"/>
  <c r="S1732" i="2"/>
  <c r="O1733" i="2"/>
  <c r="S1733" i="2"/>
  <c r="T2" i="2"/>
  <c r="P2" i="2"/>
  <c r="O615" i="2"/>
  <c r="T693" i="2"/>
  <c r="P789" i="2"/>
  <c r="R813" i="2"/>
  <c r="R837" i="2"/>
  <c r="R861" i="2"/>
  <c r="R885" i="2"/>
  <c r="R909" i="2"/>
  <c r="R925" i="2"/>
  <c r="R949" i="2"/>
  <c r="R973" i="2"/>
  <c r="T984" i="2"/>
  <c r="T990" i="2"/>
  <c r="T996" i="2"/>
  <c r="T1002" i="2"/>
  <c r="T1008" i="2"/>
  <c r="T1014" i="2"/>
  <c r="T1020" i="2"/>
  <c r="T1026" i="2"/>
  <c r="T1032" i="2"/>
  <c r="T1036" i="2"/>
  <c r="T1044" i="2"/>
  <c r="T1048" i="2"/>
  <c r="T1054" i="2"/>
  <c r="T1060" i="2"/>
  <c r="T1066" i="2"/>
  <c r="T1072" i="2"/>
  <c r="T1078" i="2"/>
  <c r="T1084" i="2"/>
  <c r="T1088" i="2"/>
  <c r="T1094" i="2"/>
  <c r="T1100" i="2"/>
  <c r="T1104" i="2"/>
  <c r="T1110" i="2"/>
  <c r="T1116" i="2"/>
  <c r="T1124" i="2"/>
  <c r="T1130" i="2"/>
  <c r="T1134" i="2"/>
  <c r="T1140" i="2"/>
  <c r="T1146" i="2"/>
  <c r="T1152" i="2"/>
  <c r="T1158" i="2"/>
  <c r="T1162" i="2"/>
  <c r="T1168" i="2"/>
  <c r="T1174" i="2"/>
  <c r="T1182" i="2"/>
  <c r="T1186" i="2"/>
  <c r="T1192" i="2"/>
  <c r="T1198" i="2"/>
  <c r="T1204" i="2"/>
  <c r="T1210" i="2"/>
  <c r="T1216" i="2"/>
  <c r="T1224" i="2"/>
  <c r="T1228" i="2"/>
  <c r="T1234" i="2"/>
  <c r="T1240" i="2"/>
  <c r="T1246" i="2"/>
  <c r="T1252" i="2"/>
  <c r="T1258" i="2"/>
  <c r="T1264" i="2"/>
  <c r="T1270" i="2"/>
  <c r="T1276" i="2"/>
  <c r="T1282" i="2"/>
  <c r="T1284" i="2"/>
  <c r="T1290" i="2"/>
  <c r="T1296" i="2"/>
  <c r="T1302" i="2"/>
  <c r="T1308" i="2"/>
  <c r="T1314" i="2"/>
  <c r="T1320" i="2"/>
  <c r="T1328" i="2"/>
  <c r="T1332" i="2"/>
  <c r="T1340" i="2"/>
  <c r="T1346" i="2"/>
  <c r="T1352" i="2"/>
  <c r="T1356" i="2"/>
  <c r="T1362" i="2"/>
  <c r="T1368" i="2"/>
  <c r="P1372" i="2"/>
  <c r="P1375" i="2"/>
  <c r="P1378" i="2"/>
  <c r="P1381" i="2"/>
  <c r="P1383" i="2"/>
  <c r="P1386" i="2"/>
  <c r="P1388" i="2"/>
  <c r="P1391" i="2"/>
  <c r="P1394" i="2"/>
  <c r="P1397" i="2"/>
  <c r="P1400" i="2"/>
  <c r="P1404" i="2"/>
  <c r="P1407" i="2"/>
  <c r="P1410" i="2"/>
  <c r="P1413" i="2"/>
  <c r="P1416" i="2"/>
  <c r="P1419" i="2"/>
  <c r="P1422" i="2"/>
  <c r="P1425" i="2"/>
  <c r="T1427" i="2"/>
  <c r="Q1429" i="2"/>
  <c r="Q1431" i="2"/>
  <c r="U1432" i="2"/>
  <c r="Q1434" i="2"/>
  <c r="U1435" i="2"/>
  <c r="Q1437" i="2"/>
  <c r="U1438" i="2"/>
  <c r="Q1440" i="2"/>
  <c r="U1441" i="2"/>
  <c r="Q1443" i="2"/>
  <c r="U1444" i="2"/>
  <c r="Q1446" i="2"/>
  <c r="U1447" i="2"/>
  <c r="U1448" i="2"/>
  <c r="Q1450" i="2"/>
  <c r="U1451" i="2"/>
  <c r="Q1453" i="2"/>
  <c r="Q1455" i="2"/>
  <c r="U1456" i="2"/>
  <c r="Q1458" i="2"/>
  <c r="Q1459" i="2"/>
  <c r="U1460" i="2"/>
  <c r="U1462" i="2"/>
  <c r="U1463" i="2"/>
  <c r="U1465" i="2"/>
  <c r="Q1467" i="2"/>
  <c r="O479" i="2"/>
  <c r="S545" i="2"/>
  <c r="Q604" i="2"/>
  <c r="O647" i="2"/>
  <c r="T685" i="2"/>
  <c r="T717" i="2"/>
  <c r="T749" i="2"/>
  <c r="T781" i="2"/>
  <c r="R795" i="2"/>
  <c r="R803" i="2"/>
  <c r="R811" i="2"/>
  <c r="R819" i="2"/>
  <c r="R827" i="2"/>
  <c r="R835" i="2"/>
  <c r="R843" i="2"/>
  <c r="R851" i="2"/>
  <c r="R859" i="2"/>
  <c r="R867" i="2"/>
  <c r="R875" i="2"/>
  <c r="R883" i="2"/>
  <c r="R891" i="2"/>
  <c r="R899" i="2"/>
  <c r="R907" i="2"/>
  <c r="R915" i="2"/>
  <c r="R923" i="2"/>
  <c r="R931" i="2"/>
  <c r="R939" i="2"/>
  <c r="R947" i="2"/>
  <c r="R955" i="2"/>
  <c r="R963" i="2"/>
  <c r="R971" i="2"/>
  <c r="P979" i="2"/>
  <c r="P982" i="2"/>
  <c r="P984" i="2"/>
  <c r="P986" i="2"/>
  <c r="P988" i="2"/>
  <c r="P990" i="2"/>
  <c r="P992" i="2"/>
  <c r="P994" i="2"/>
  <c r="P996" i="2"/>
  <c r="P998" i="2"/>
  <c r="P1000" i="2"/>
  <c r="P1002" i="2"/>
  <c r="P1004" i="2"/>
  <c r="P1006" i="2"/>
  <c r="P1008" i="2"/>
  <c r="P1010" i="2"/>
  <c r="P1012" i="2"/>
  <c r="P1014" i="2"/>
  <c r="P1016" i="2"/>
  <c r="P1018" i="2"/>
  <c r="P1020" i="2"/>
  <c r="P1022" i="2"/>
  <c r="P1024" i="2"/>
  <c r="P1026" i="2"/>
  <c r="P1028" i="2"/>
  <c r="P1030" i="2"/>
  <c r="P1032" i="2"/>
  <c r="P1034" i="2"/>
  <c r="P1036" i="2"/>
  <c r="P1038" i="2"/>
  <c r="P1040" i="2"/>
  <c r="P1042" i="2"/>
  <c r="P1044" i="2"/>
  <c r="P1046" i="2"/>
  <c r="P1048" i="2"/>
  <c r="P1050" i="2"/>
  <c r="P1052" i="2"/>
  <c r="P1054" i="2"/>
  <c r="P1056" i="2"/>
  <c r="P1058" i="2"/>
  <c r="P1060" i="2"/>
  <c r="P1062" i="2"/>
  <c r="P1064" i="2"/>
  <c r="P1066" i="2"/>
  <c r="P1068" i="2"/>
  <c r="P1070" i="2"/>
  <c r="P1072" i="2"/>
  <c r="P1074" i="2"/>
  <c r="P1076" i="2"/>
  <c r="P1078" i="2"/>
  <c r="P1080" i="2"/>
  <c r="P1082" i="2"/>
  <c r="P1084" i="2"/>
  <c r="P1086" i="2"/>
  <c r="P1088" i="2"/>
  <c r="P1090" i="2"/>
  <c r="P1092" i="2"/>
  <c r="P1094" i="2"/>
  <c r="P1096" i="2"/>
  <c r="P1098" i="2"/>
  <c r="P1100" i="2"/>
  <c r="P1102" i="2"/>
  <c r="P1104" i="2"/>
  <c r="P1106" i="2"/>
  <c r="P1108" i="2"/>
  <c r="P1110" i="2"/>
  <c r="P1112" i="2"/>
  <c r="P1114" i="2"/>
  <c r="P1116" i="2"/>
  <c r="P1118" i="2"/>
  <c r="P1120" i="2"/>
  <c r="P1122" i="2"/>
  <c r="P1124" i="2"/>
  <c r="P1126" i="2"/>
  <c r="P1128" i="2"/>
  <c r="P1130" i="2"/>
  <c r="P1132" i="2"/>
  <c r="P1134" i="2"/>
  <c r="P1136" i="2"/>
  <c r="P1138" i="2"/>
  <c r="P1140" i="2"/>
  <c r="P1142" i="2"/>
  <c r="P1144" i="2"/>
  <c r="P1146" i="2"/>
  <c r="P1148" i="2"/>
  <c r="P1150" i="2"/>
  <c r="P1152" i="2"/>
  <c r="P1154" i="2"/>
  <c r="P1156" i="2"/>
  <c r="P1158" i="2"/>
  <c r="P1160" i="2"/>
  <c r="P1162" i="2"/>
  <c r="P1164" i="2"/>
  <c r="P1166" i="2"/>
  <c r="P1168" i="2"/>
  <c r="P1170" i="2"/>
  <c r="P1172" i="2"/>
  <c r="P1174" i="2"/>
  <c r="P1176" i="2"/>
  <c r="P1178" i="2"/>
  <c r="P1180" i="2"/>
  <c r="P1182" i="2"/>
  <c r="P1184" i="2"/>
  <c r="P1186" i="2"/>
  <c r="P1188" i="2"/>
  <c r="P1190" i="2"/>
  <c r="P1192" i="2"/>
  <c r="P1194" i="2"/>
  <c r="P1196" i="2"/>
  <c r="P1198" i="2"/>
  <c r="P1200" i="2"/>
  <c r="P1202" i="2"/>
  <c r="P1204" i="2"/>
  <c r="P1206" i="2"/>
  <c r="P1208" i="2"/>
  <c r="P1210" i="2"/>
  <c r="P1212" i="2"/>
  <c r="P1214" i="2"/>
  <c r="P1216" i="2"/>
  <c r="P1218" i="2"/>
  <c r="P1220" i="2"/>
  <c r="P1222" i="2"/>
  <c r="P1224" i="2"/>
  <c r="P1226" i="2"/>
  <c r="P1228" i="2"/>
  <c r="P1230" i="2"/>
  <c r="P1232" i="2"/>
  <c r="P1234" i="2"/>
  <c r="P1236" i="2"/>
  <c r="P1238" i="2"/>
  <c r="P1240" i="2"/>
  <c r="P1242" i="2"/>
  <c r="P1244" i="2"/>
  <c r="P1246" i="2"/>
  <c r="P1248" i="2"/>
  <c r="P1250" i="2"/>
  <c r="P1252" i="2"/>
  <c r="P1254" i="2"/>
  <c r="P1256" i="2"/>
  <c r="P1258" i="2"/>
  <c r="P1260" i="2"/>
  <c r="P1262" i="2"/>
  <c r="P1264" i="2"/>
  <c r="P1266" i="2"/>
  <c r="P1268" i="2"/>
  <c r="P1270" i="2"/>
  <c r="P1272" i="2"/>
  <c r="P1274" i="2"/>
  <c r="P1276" i="2"/>
  <c r="P1278" i="2"/>
  <c r="P1280" i="2"/>
  <c r="P1282" i="2"/>
  <c r="P1284" i="2"/>
  <c r="P1286" i="2"/>
  <c r="P1288" i="2"/>
  <c r="P1290" i="2"/>
  <c r="P1292" i="2"/>
  <c r="P1294" i="2"/>
  <c r="P1296" i="2"/>
  <c r="P1298" i="2"/>
  <c r="P1300" i="2"/>
  <c r="P1302" i="2"/>
  <c r="P1304" i="2"/>
  <c r="P1306" i="2"/>
  <c r="P1308" i="2"/>
  <c r="P1310" i="2"/>
  <c r="P1312" i="2"/>
  <c r="P1314" i="2"/>
  <c r="P1316" i="2"/>
  <c r="P1318" i="2"/>
  <c r="P1320" i="2"/>
  <c r="P1322" i="2"/>
  <c r="P1324" i="2"/>
  <c r="P1326" i="2"/>
  <c r="P1328" i="2"/>
  <c r="P1330" i="2"/>
  <c r="P1332" i="2"/>
  <c r="P1334" i="2"/>
  <c r="P1336" i="2"/>
  <c r="P1338" i="2"/>
  <c r="P1340" i="2"/>
  <c r="P1342" i="2"/>
  <c r="P1344" i="2"/>
  <c r="P1346" i="2"/>
  <c r="P1348" i="2"/>
  <c r="P1350" i="2"/>
  <c r="P1352" i="2"/>
  <c r="P1354" i="2"/>
  <c r="P1356" i="2"/>
  <c r="P1358" i="2"/>
  <c r="P1360" i="2"/>
  <c r="P1362" i="2"/>
  <c r="P1364" i="2"/>
  <c r="P1366" i="2"/>
  <c r="P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R1427" i="2"/>
  <c r="P1428" i="2"/>
  <c r="T1428" i="2"/>
  <c r="P1429" i="2"/>
  <c r="T1429" i="2"/>
  <c r="P1430" i="2"/>
  <c r="T1430" i="2"/>
  <c r="P1431" i="2"/>
  <c r="T1431" i="2"/>
  <c r="P1432" i="2"/>
  <c r="T1432" i="2"/>
  <c r="P1433" i="2"/>
  <c r="T1433" i="2"/>
  <c r="P1434" i="2"/>
  <c r="T1434" i="2"/>
  <c r="P1435" i="2"/>
  <c r="T1435" i="2"/>
  <c r="P1436" i="2"/>
  <c r="T1436" i="2"/>
  <c r="P1437" i="2"/>
  <c r="T1437" i="2"/>
  <c r="P1438" i="2"/>
  <c r="T1438" i="2"/>
  <c r="P1439" i="2"/>
  <c r="T1439" i="2"/>
  <c r="P1440" i="2"/>
  <c r="T1440" i="2"/>
  <c r="P1441" i="2"/>
  <c r="T1441" i="2"/>
  <c r="P1442" i="2"/>
  <c r="T1442" i="2"/>
  <c r="P1443" i="2"/>
  <c r="T1443" i="2"/>
  <c r="P1444" i="2"/>
  <c r="T1444" i="2"/>
  <c r="P1445" i="2"/>
  <c r="T1445" i="2"/>
  <c r="P1446" i="2"/>
  <c r="T1446" i="2"/>
  <c r="P1447" i="2"/>
  <c r="T1447" i="2"/>
  <c r="P1448" i="2"/>
  <c r="T1448" i="2"/>
  <c r="P1449" i="2"/>
  <c r="T1449" i="2"/>
  <c r="P1450" i="2"/>
  <c r="T1450" i="2"/>
  <c r="P1451" i="2"/>
  <c r="T1451" i="2"/>
  <c r="P1452" i="2"/>
  <c r="T1452" i="2"/>
  <c r="P1453" i="2"/>
  <c r="T1453" i="2"/>
  <c r="P1454" i="2"/>
  <c r="T1454" i="2"/>
  <c r="P1455" i="2"/>
  <c r="T1455" i="2"/>
  <c r="P1456" i="2"/>
  <c r="T1456" i="2"/>
  <c r="P1457" i="2"/>
  <c r="T1457" i="2"/>
  <c r="P1458" i="2"/>
  <c r="T1458" i="2"/>
  <c r="P1459" i="2"/>
  <c r="T1459" i="2"/>
  <c r="P1460" i="2"/>
  <c r="T1460" i="2"/>
  <c r="P1461" i="2"/>
  <c r="T1461" i="2"/>
  <c r="P1462" i="2"/>
  <c r="T1462" i="2"/>
  <c r="P1463" i="2"/>
  <c r="T1463" i="2"/>
  <c r="P1464" i="2"/>
  <c r="T1464" i="2"/>
  <c r="P1465" i="2"/>
  <c r="T1465" i="2"/>
  <c r="P1466" i="2"/>
  <c r="T1466" i="2"/>
  <c r="P1467" i="2"/>
  <c r="T1467" i="2"/>
  <c r="P1468" i="2"/>
  <c r="T1468" i="2"/>
  <c r="P1469" i="2"/>
  <c r="T1469" i="2"/>
  <c r="P1470" i="2"/>
  <c r="T1470" i="2"/>
  <c r="P1471" i="2"/>
  <c r="T1471" i="2"/>
  <c r="P1472" i="2"/>
  <c r="T1472" i="2"/>
  <c r="P1473" i="2"/>
  <c r="T1473" i="2"/>
  <c r="P1474" i="2"/>
  <c r="T1474" i="2"/>
  <c r="P1475" i="2"/>
  <c r="T1475" i="2"/>
  <c r="P1476" i="2"/>
  <c r="T1476" i="2"/>
  <c r="P1477" i="2"/>
  <c r="T1477" i="2"/>
  <c r="P1478" i="2"/>
  <c r="T1478" i="2"/>
  <c r="P1479" i="2"/>
  <c r="T1479" i="2"/>
  <c r="P1480" i="2"/>
  <c r="T1480" i="2"/>
  <c r="P1481" i="2"/>
  <c r="T1481" i="2"/>
  <c r="P1482" i="2"/>
  <c r="T1482" i="2"/>
  <c r="P1483" i="2"/>
  <c r="T1483" i="2"/>
  <c r="P1484" i="2"/>
  <c r="T1484" i="2"/>
  <c r="P1485" i="2"/>
  <c r="T1485" i="2"/>
  <c r="P1486" i="2"/>
  <c r="T1486" i="2"/>
  <c r="P1487" i="2"/>
  <c r="T1487" i="2"/>
  <c r="P1488" i="2"/>
  <c r="T1488" i="2"/>
  <c r="P1489" i="2"/>
  <c r="T1489" i="2"/>
  <c r="P1490" i="2"/>
  <c r="T1490" i="2"/>
  <c r="P1491" i="2"/>
  <c r="T1491" i="2"/>
  <c r="P1492" i="2"/>
  <c r="T1492" i="2"/>
  <c r="P1493" i="2"/>
  <c r="T1493" i="2"/>
  <c r="P1494" i="2"/>
  <c r="T1494" i="2"/>
  <c r="P1495" i="2"/>
  <c r="T1495" i="2"/>
  <c r="P1496" i="2"/>
  <c r="T1496" i="2"/>
  <c r="P1497" i="2"/>
  <c r="T1497" i="2"/>
  <c r="P1498" i="2"/>
  <c r="T1498" i="2"/>
  <c r="P1499" i="2"/>
  <c r="T1499" i="2"/>
  <c r="P1500" i="2"/>
  <c r="T1500" i="2"/>
  <c r="P1501" i="2"/>
  <c r="T1501" i="2"/>
  <c r="P1502" i="2"/>
  <c r="T1502" i="2"/>
  <c r="P1503" i="2"/>
  <c r="T1503" i="2"/>
  <c r="P1504" i="2"/>
  <c r="T1504" i="2"/>
  <c r="P1505" i="2"/>
  <c r="T1505" i="2"/>
  <c r="P1506" i="2"/>
  <c r="T1506" i="2"/>
  <c r="P1507" i="2"/>
  <c r="T1507" i="2"/>
  <c r="P1508" i="2"/>
  <c r="T1508" i="2"/>
  <c r="P1509" i="2"/>
  <c r="T1509" i="2"/>
  <c r="P1510" i="2"/>
  <c r="T1510" i="2"/>
  <c r="P1511" i="2"/>
  <c r="T1511" i="2"/>
  <c r="P1512" i="2"/>
  <c r="T1512" i="2"/>
  <c r="P1513" i="2"/>
  <c r="T1513" i="2"/>
  <c r="P1514" i="2"/>
  <c r="T1514" i="2"/>
  <c r="P1515" i="2"/>
  <c r="T1515" i="2"/>
  <c r="P1516" i="2"/>
  <c r="T1516" i="2"/>
  <c r="P1517" i="2"/>
  <c r="T1517" i="2"/>
  <c r="P1518" i="2"/>
  <c r="T1518" i="2"/>
  <c r="P1519" i="2"/>
  <c r="T1519" i="2"/>
  <c r="P1520" i="2"/>
  <c r="T1520" i="2"/>
  <c r="P1521" i="2"/>
  <c r="T1521" i="2"/>
  <c r="P1522" i="2"/>
  <c r="T1522" i="2"/>
  <c r="P1523" i="2"/>
  <c r="T1523" i="2"/>
  <c r="P1524" i="2"/>
  <c r="T1524" i="2"/>
  <c r="P1525" i="2"/>
  <c r="T1525" i="2"/>
  <c r="P1526" i="2"/>
  <c r="T1526" i="2"/>
  <c r="P1527" i="2"/>
  <c r="T1527" i="2"/>
  <c r="P1528" i="2"/>
  <c r="T1528" i="2"/>
  <c r="P1529" i="2"/>
  <c r="T1529" i="2"/>
  <c r="P1530" i="2"/>
  <c r="T1530" i="2"/>
  <c r="P1531" i="2"/>
  <c r="T1531" i="2"/>
  <c r="P1532" i="2"/>
  <c r="T1532" i="2"/>
  <c r="P1533" i="2"/>
  <c r="T1533" i="2"/>
  <c r="P1534" i="2"/>
  <c r="T1534" i="2"/>
  <c r="P1535" i="2"/>
  <c r="T1535" i="2"/>
  <c r="P1536" i="2"/>
  <c r="T1536" i="2"/>
  <c r="P1537" i="2"/>
  <c r="T1537" i="2"/>
  <c r="P1538" i="2"/>
  <c r="T1538" i="2"/>
  <c r="P1539" i="2"/>
  <c r="T1539" i="2"/>
  <c r="P1540" i="2"/>
  <c r="T1540" i="2"/>
  <c r="P1541" i="2"/>
  <c r="T1541" i="2"/>
  <c r="P1542" i="2"/>
  <c r="T1542" i="2"/>
  <c r="P1543" i="2"/>
  <c r="T1543" i="2"/>
  <c r="P1544" i="2"/>
  <c r="T1544" i="2"/>
  <c r="P1545" i="2"/>
  <c r="T1545" i="2"/>
  <c r="P1546" i="2"/>
  <c r="T1546" i="2"/>
  <c r="P1547" i="2"/>
  <c r="T1547" i="2"/>
  <c r="P1548" i="2"/>
  <c r="T1548" i="2"/>
  <c r="P1549" i="2"/>
  <c r="T1549" i="2"/>
  <c r="P1550" i="2"/>
  <c r="T1550" i="2"/>
  <c r="P1551" i="2"/>
  <c r="T1551" i="2"/>
  <c r="P1552" i="2"/>
  <c r="T1552" i="2"/>
  <c r="P1553" i="2"/>
  <c r="T1553" i="2"/>
  <c r="P1554" i="2"/>
  <c r="T1554" i="2"/>
  <c r="P1555" i="2"/>
  <c r="T1555" i="2"/>
  <c r="P1556" i="2"/>
  <c r="T1556" i="2"/>
  <c r="P1557" i="2"/>
  <c r="T1557" i="2"/>
  <c r="P1558" i="2"/>
  <c r="T1558" i="2"/>
  <c r="P1559" i="2"/>
  <c r="T1559" i="2"/>
  <c r="P1560" i="2"/>
  <c r="T1560" i="2"/>
  <c r="P1561" i="2"/>
  <c r="T1561" i="2"/>
  <c r="P1562" i="2"/>
  <c r="T1562" i="2"/>
  <c r="P1563" i="2"/>
  <c r="T1563" i="2"/>
  <c r="P1564" i="2"/>
  <c r="T1564" i="2"/>
  <c r="P1565" i="2"/>
  <c r="T1565" i="2"/>
  <c r="P1566" i="2"/>
  <c r="T1566" i="2"/>
  <c r="P1567" i="2"/>
  <c r="T1567" i="2"/>
  <c r="P1568" i="2"/>
  <c r="T1568" i="2"/>
  <c r="P1569" i="2"/>
  <c r="T1569" i="2"/>
  <c r="P1570" i="2"/>
  <c r="T1570" i="2"/>
  <c r="P1571" i="2"/>
  <c r="T1571" i="2"/>
  <c r="P1572" i="2"/>
  <c r="T1572" i="2"/>
  <c r="P1573" i="2"/>
  <c r="T1573" i="2"/>
  <c r="P1574" i="2"/>
  <c r="T1574" i="2"/>
  <c r="P1575" i="2"/>
  <c r="T1575" i="2"/>
  <c r="P1576" i="2"/>
  <c r="T1576" i="2"/>
  <c r="P1577" i="2"/>
  <c r="T1577" i="2"/>
  <c r="P1578" i="2"/>
  <c r="T1578" i="2"/>
  <c r="P1579" i="2"/>
  <c r="T1579" i="2"/>
  <c r="P1580" i="2"/>
  <c r="T1580" i="2"/>
  <c r="P1581" i="2"/>
  <c r="T1581" i="2"/>
  <c r="P1582" i="2"/>
  <c r="T1582" i="2"/>
  <c r="P1583" i="2"/>
  <c r="T1583" i="2"/>
  <c r="P1584" i="2"/>
  <c r="T1584" i="2"/>
  <c r="P1585" i="2"/>
  <c r="T1585" i="2"/>
  <c r="P1586" i="2"/>
  <c r="T1586" i="2"/>
  <c r="P1587" i="2"/>
  <c r="T1587" i="2"/>
  <c r="P1588" i="2"/>
  <c r="T1588" i="2"/>
  <c r="P1589" i="2"/>
  <c r="T1589" i="2"/>
  <c r="P1590" i="2"/>
  <c r="T1590" i="2"/>
  <c r="P1591" i="2"/>
  <c r="T1591" i="2"/>
  <c r="P1592" i="2"/>
  <c r="T1592" i="2"/>
  <c r="P1593" i="2"/>
  <c r="T1593" i="2"/>
  <c r="P1594" i="2"/>
  <c r="T1594" i="2"/>
  <c r="P1595" i="2"/>
  <c r="T1595" i="2"/>
  <c r="P1596" i="2"/>
  <c r="T1596" i="2"/>
  <c r="P1597" i="2"/>
  <c r="T1597" i="2"/>
  <c r="P1598" i="2"/>
  <c r="T1598" i="2"/>
  <c r="P1599" i="2"/>
  <c r="T1599" i="2"/>
  <c r="P1600" i="2"/>
  <c r="T1600" i="2"/>
  <c r="P1601" i="2"/>
  <c r="T1601" i="2"/>
  <c r="P1602" i="2"/>
  <c r="T1602" i="2"/>
  <c r="P1603" i="2"/>
  <c r="T1603" i="2"/>
  <c r="P1604" i="2"/>
  <c r="T1604" i="2"/>
  <c r="P1605" i="2"/>
  <c r="T1605" i="2"/>
  <c r="P1606" i="2"/>
  <c r="T1606" i="2"/>
  <c r="P1607" i="2"/>
  <c r="T1607" i="2"/>
  <c r="P1608" i="2"/>
  <c r="T1608" i="2"/>
  <c r="P1609" i="2"/>
  <c r="T1609" i="2"/>
  <c r="P1610" i="2"/>
  <c r="T1610" i="2"/>
  <c r="P1611" i="2"/>
  <c r="T1611" i="2"/>
  <c r="P1612" i="2"/>
  <c r="T1612" i="2"/>
  <c r="P1613" i="2"/>
  <c r="T1613" i="2"/>
  <c r="P1614" i="2"/>
  <c r="T1614" i="2"/>
  <c r="P1615" i="2"/>
  <c r="T1615" i="2"/>
  <c r="P1616" i="2"/>
  <c r="T1616" i="2"/>
  <c r="P1617" i="2"/>
  <c r="T1617" i="2"/>
  <c r="P1618" i="2"/>
  <c r="T1618" i="2"/>
  <c r="P1619" i="2"/>
  <c r="T1619" i="2"/>
  <c r="P1620" i="2"/>
  <c r="T1620" i="2"/>
  <c r="P1621" i="2"/>
  <c r="T1621" i="2"/>
  <c r="P1622" i="2"/>
  <c r="T1622" i="2"/>
  <c r="P1623" i="2"/>
  <c r="T1623" i="2"/>
  <c r="P1624" i="2"/>
  <c r="T1624" i="2"/>
  <c r="P1625" i="2"/>
  <c r="T1625" i="2"/>
  <c r="P1626" i="2"/>
  <c r="T1626" i="2"/>
  <c r="P1627" i="2"/>
  <c r="T1627" i="2"/>
  <c r="P1628" i="2"/>
  <c r="T1628" i="2"/>
  <c r="P1629" i="2"/>
  <c r="T1629" i="2"/>
  <c r="P1630" i="2"/>
  <c r="T1630" i="2"/>
  <c r="P1631" i="2"/>
  <c r="T1631" i="2"/>
  <c r="P1632" i="2"/>
  <c r="T1632" i="2"/>
  <c r="P1633" i="2"/>
  <c r="T1633" i="2"/>
  <c r="P1634" i="2"/>
  <c r="T1634" i="2"/>
  <c r="P1635" i="2"/>
  <c r="T1635" i="2"/>
  <c r="P1636" i="2"/>
  <c r="T1636" i="2"/>
  <c r="P1637" i="2"/>
  <c r="T1637" i="2"/>
  <c r="P1638" i="2"/>
  <c r="T1638" i="2"/>
  <c r="P1639" i="2"/>
  <c r="T1639" i="2"/>
  <c r="P1640" i="2"/>
  <c r="T1640" i="2"/>
  <c r="P1641" i="2"/>
  <c r="T1641" i="2"/>
  <c r="P1642" i="2"/>
  <c r="T1642" i="2"/>
  <c r="P1643" i="2"/>
  <c r="T1643" i="2"/>
  <c r="P1644" i="2"/>
  <c r="T1644" i="2"/>
  <c r="P1645" i="2"/>
  <c r="T1645" i="2"/>
  <c r="P1646" i="2"/>
  <c r="T1646" i="2"/>
  <c r="P1647" i="2"/>
  <c r="T1647" i="2"/>
  <c r="P1648" i="2"/>
  <c r="T1648" i="2"/>
  <c r="P1649" i="2"/>
  <c r="T1649" i="2"/>
  <c r="P1650" i="2"/>
  <c r="T1650" i="2"/>
  <c r="P1651" i="2"/>
  <c r="T1651" i="2"/>
  <c r="P1652" i="2"/>
  <c r="T1652" i="2"/>
  <c r="P1653" i="2"/>
  <c r="T1653" i="2"/>
  <c r="P1654" i="2"/>
  <c r="T1654" i="2"/>
  <c r="P1655" i="2"/>
  <c r="T1655" i="2"/>
  <c r="P1656" i="2"/>
  <c r="T1656" i="2"/>
  <c r="P1657" i="2"/>
  <c r="T1657" i="2"/>
  <c r="P1658" i="2"/>
  <c r="T1658" i="2"/>
  <c r="P1659" i="2"/>
  <c r="T1659" i="2"/>
  <c r="P1660" i="2"/>
  <c r="T1660" i="2"/>
  <c r="P1661" i="2"/>
  <c r="T1661" i="2"/>
  <c r="P1662" i="2"/>
  <c r="T1662" i="2"/>
  <c r="P1663" i="2"/>
  <c r="T1663" i="2"/>
  <c r="P1664" i="2"/>
  <c r="T1664" i="2"/>
  <c r="P1665" i="2"/>
  <c r="T1665" i="2"/>
  <c r="P1666" i="2"/>
  <c r="T1666" i="2"/>
  <c r="P1667" i="2"/>
  <c r="T1667" i="2"/>
  <c r="P1668" i="2"/>
  <c r="T1668" i="2"/>
  <c r="P1669" i="2"/>
  <c r="T1669" i="2"/>
  <c r="P1670" i="2"/>
  <c r="T1670" i="2"/>
  <c r="P1671" i="2"/>
  <c r="T1671" i="2"/>
  <c r="P1672" i="2"/>
  <c r="T1672" i="2"/>
  <c r="P1673" i="2"/>
  <c r="T1673" i="2"/>
  <c r="P1674" i="2"/>
  <c r="T1674" i="2"/>
  <c r="P1675" i="2"/>
  <c r="T1675" i="2"/>
  <c r="P1676" i="2"/>
  <c r="T1676" i="2"/>
  <c r="P1677" i="2"/>
  <c r="T1677" i="2"/>
  <c r="P1678" i="2"/>
  <c r="T1678" i="2"/>
  <c r="P1679" i="2"/>
  <c r="T1679" i="2"/>
  <c r="P1680" i="2"/>
  <c r="T1680" i="2"/>
  <c r="P1681" i="2"/>
  <c r="T1681" i="2"/>
  <c r="P1682" i="2"/>
  <c r="T1682" i="2"/>
  <c r="P1683" i="2"/>
  <c r="T1683" i="2"/>
  <c r="P1684" i="2"/>
  <c r="T1684" i="2"/>
  <c r="P1685" i="2"/>
  <c r="T1685" i="2"/>
  <c r="P1686" i="2"/>
  <c r="T1686" i="2"/>
  <c r="P1687" i="2"/>
  <c r="T1687" i="2"/>
  <c r="P1688" i="2"/>
  <c r="T1688" i="2"/>
  <c r="P1689" i="2"/>
  <c r="T1689" i="2"/>
  <c r="P1690" i="2"/>
  <c r="T1690" i="2"/>
  <c r="P1691" i="2"/>
  <c r="T1691" i="2"/>
  <c r="P1692" i="2"/>
  <c r="T1692" i="2"/>
  <c r="P1693" i="2"/>
  <c r="T1693" i="2"/>
  <c r="P1694" i="2"/>
  <c r="T1694" i="2"/>
  <c r="P1695" i="2"/>
  <c r="T1695" i="2"/>
  <c r="P1696" i="2"/>
  <c r="T1696" i="2"/>
  <c r="P1697" i="2"/>
  <c r="T1697" i="2"/>
  <c r="P1698" i="2"/>
  <c r="T1698" i="2"/>
  <c r="P1699" i="2"/>
  <c r="T1699" i="2"/>
  <c r="P1700" i="2"/>
  <c r="T1700" i="2"/>
  <c r="P1701" i="2"/>
  <c r="T1701" i="2"/>
  <c r="P1702" i="2"/>
  <c r="T1702" i="2"/>
  <c r="P1703" i="2"/>
  <c r="T1703" i="2"/>
  <c r="P1704" i="2"/>
  <c r="T1704" i="2"/>
  <c r="P1705" i="2"/>
  <c r="T1705" i="2"/>
  <c r="P1706" i="2"/>
  <c r="T1706" i="2"/>
  <c r="P1707" i="2"/>
  <c r="T1707" i="2"/>
  <c r="P1708" i="2"/>
  <c r="T1708" i="2"/>
  <c r="P1709" i="2"/>
  <c r="T1709" i="2"/>
  <c r="P1710" i="2"/>
  <c r="T1710" i="2"/>
  <c r="P1711" i="2"/>
  <c r="T1711" i="2"/>
  <c r="P1712" i="2"/>
  <c r="T1712" i="2"/>
  <c r="P1713" i="2"/>
  <c r="T1713" i="2"/>
  <c r="P1714" i="2"/>
  <c r="T1714" i="2"/>
  <c r="P1715" i="2"/>
  <c r="T1715" i="2"/>
  <c r="P1716" i="2"/>
  <c r="T1716" i="2"/>
  <c r="P1717" i="2"/>
  <c r="T1717" i="2"/>
  <c r="P1718" i="2"/>
  <c r="T1718" i="2"/>
  <c r="P1719" i="2"/>
  <c r="T1719" i="2"/>
  <c r="P1720" i="2"/>
  <c r="T1720" i="2"/>
  <c r="P1721" i="2"/>
  <c r="T1721" i="2"/>
  <c r="P1722" i="2"/>
  <c r="T1722" i="2"/>
  <c r="P1723" i="2"/>
  <c r="T1723" i="2"/>
  <c r="P1724" i="2"/>
  <c r="T1724" i="2"/>
  <c r="P1725" i="2"/>
  <c r="T1725" i="2"/>
  <c r="P1726" i="2"/>
  <c r="T1726" i="2"/>
  <c r="P1727" i="2"/>
  <c r="T1727" i="2"/>
  <c r="P1728" i="2"/>
  <c r="T1728" i="2"/>
  <c r="P1729" i="2"/>
  <c r="T1729" i="2"/>
  <c r="P1730" i="2"/>
  <c r="T1730" i="2"/>
  <c r="P1731" i="2"/>
  <c r="T1731" i="2"/>
  <c r="P1732" i="2"/>
  <c r="T1732" i="2"/>
  <c r="P1733" i="2"/>
  <c r="T1733" i="2"/>
  <c r="S2" i="2"/>
  <c r="O2" i="2"/>
  <c r="S497" i="2"/>
  <c r="T725" i="2"/>
  <c r="R797" i="2"/>
  <c r="R821" i="2"/>
  <c r="R845" i="2"/>
  <c r="R869" i="2"/>
  <c r="R893" i="2"/>
  <c r="R933" i="2"/>
  <c r="R957" i="2"/>
  <c r="P980" i="2"/>
  <c r="T986" i="2"/>
  <c r="T992" i="2"/>
  <c r="T998" i="2"/>
  <c r="T1004" i="2"/>
  <c r="T1010" i="2"/>
  <c r="T1016" i="2"/>
  <c r="T1022" i="2"/>
  <c r="T1028" i="2"/>
  <c r="T1034" i="2"/>
  <c r="T1042" i="2"/>
  <c r="T1050" i="2"/>
  <c r="T1056" i="2"/>
  <c r="T1062" i="2"/>
  <c r="T1068" i="2"/>
  <c r="T1074" i="2"/>
  <c r="T1080" i="2"/>
  <c r="T1086" i="2"/>
  <c r="T1092" i="2"/>
  <c r="T1098" i="2"/>
  <c r="T1108" i="2"/>
  <c r="T1114" i="2"/>
  <c r="T1120" i="2"/>
  <c r="T1126" i="2"/>
  <c r="T1132" i="2"/>
  <c r="T1138" i="2"/>
  <c r="T1144" i="2"/>
  <c r="T1150" i="2"/>
  <c r="T1156" i="2"/>
  <c r="T1166" i="2"/>
  <c r="T1172" i="2"/>
  <c r="T1178" i="2"/>
  <c r="T1184" i="2"/>
  <c r="T1190" i="2"/>
  <c r="T1196" i="2"/>
  <c r="T1202" i="2"/>
  <c r="T1208" i="2"/>
  <c r="T1214" i="2"/>
  <c r="T1220" i="2"/>
  <c r="T1230" i="2"/>
  <c r="T1236" i="2"/>
  <c r="T1242" i="2"/>
  <c r="T1248" i="2"/>
  <c r="T1254" i="2"/>
  <c r="T1260" i="2"/>
  <c r="T1266" i="2"/>
  <c r="T1272" i="2"/>
  <c r="T1278" i="2"/>
  <c r="T1286" i="2"/>
  <c r="T1294" i="2"/>
  <c r="T1300" i="2"/>
  <c r="T1306" i="2"/>
  <c r="T1312" i="2"/>
  <c r="T1318" i="2"/>
  <c r="T1324" i="2"/>
  <c r="T1330" i="2"/>
  <c r="T1336" i="2"/>
  <c r="T1344" i="2"/>
  <c r="T1350" i="2"/>
  <c r="T1358" i="2"/>
  <c r="T1364" i="2"/>
  <c r="P1370" i="2"/>
  <c r="P1373" i="2"/>
  <c r="P1376" i="2"/>
  <c r="P1379" i="2"/>
  <c r="P1382" i="2"/>
  <c r="P1385" i="2"/>
  <c r="P1390" i="2"/>
  <c r="P1393" i="2"/>
  <c r="P1396" i="2"/>
  <c r="P1399" i="2"/>
  <c r="P1402" i="2"/>
  <c r="P1405" i="2"/>
  <c r="P1408" i="2"/>
  <c r="P1411" i="2"/>
  <c r="P1414" i="2"/>
  <c r="P1417" i="2"/>
  <c r="P1420" i="2"/>
  <c r="P1423" i="2"/>
  <c r="P1426" i="2"/>
  <c r="Q1428" i="2"/>
  <c r="U1429" i="2"/>
  <c r="U1430" i="2"/>
  <c r="Q1432" i="2"/>
  <c r="Q1433" i="2"/>
  <c r="Q1435" i="2"/>
  <c r="Q1436" i="2"/>
  <c r="U1437" i="2"/>
  <c r="Q1439" i="2"/>
  <c r="U1440" i="2"/>
  <c r="Q1442" i="2"/>
  <c r="U1443" i="2"/>
  <c r="Q1445" i="2"/>
  <c r="U1446" i="2"/>
  <c r="Q1448" i="2"/>
  <c r="U1449" i="2"/>
  <c r="Q1451" i="2"/>
  <c r="U1452" i="2"/>
  <c r="Q1454" i="2"/>
  <c r="Q1456" i="2"/>
  <c r="U1457" i="2"/>
  <c r="U1459" i="2"/>
  <c r="Q1461" i="2"/>
  <c r="Q1462" i="2"/>
  <c r="Q1464" i="2"/>
  <c r="Q1465" i="2"/>
  <c r="U1466" i="2"/>
  <c r="Q1468" i="2"/>
  <c r="U1467" i="2"/>
  <c r="Q1470" i="2"/>
  <c r="Q1472" i="2"/>
  <c r="Q1474" i="2"/>
  <c r="Q1476" i="2"/>
  <c r="Q1478" i="2"/>
  <c r="Q1480" i="2"/>
  <c r="Q1482" i="2"/>
  <c r="Q1484" i="2"/>
  <c r="Q1486" i="2"/>
  <c r="Q1488" i="2"/>
  <c r="Q1490" i="2"/>
  <c r="Q1492" i="2"/>
  <c r="Q1494" i="2"/>
  <c r="Q1496" i="2"/>
  <c r="Q1498" i="2"/>
  <c r="Q1500" i="2"/>
  <c r="Q1502" i="2"/>
  <c r="Q1504" i="2"/>
  <c r="Q1506" i="2"/>
  <c r="Q1508" i="2"/>
  <c r="Q1510" i="2"/>
  <c r="Q1512" i="2"/>
  <c r="Q1514" i="2"/>
  <c r="Q1516" i="2"/>
  <c r="Q1518" i="2"/>
  <c r="Q1520" i="2"/>
  <c r="Q1522" i="2"/>
  <c r="Q1524" i="2"/>
  <c r="Q1526" i="2"/>
  <c r="Q1528" i="2"/>
  <c r="Q1530" i="2"/>
  <c r="Q1532" i="2"/>
  <c r="Q1534" i="2"/>
  <c r="Q1536" i="2"/>
  <c r="Q1538" i="2"/>
  <c r="Q1540" i="2"/>
  <c r="Q1542" i="2"/>
  <c r="Q1544" i="2"/>
  <c r="Q1546" i="2"/>
  <c r="Q1548" i="2"/>
  <c r="Q1550" i="2"/>
  <c r="Q1552" i="2"/>
  <c r="Q1554" i="2"/>
  <c r="Q1556" i="2"/>
  <c r="Q1558" i="2"/>
  <c r="Q1560" i="2"/>
  <c r="Q1562" i="2"/>
  <c r="Q1564" i="2"/>
  <c r="Q1566" i="2"/>
  <c r="Q1568" i="2"/>
  <c r="Q1570" i="2"/>
  <c r="Q1572" i="2"/>
  <c r="Q1574" i="2"/>
  <c r="Q1576" i="2"/>
  <c r="Q1578" i="2"/>
  <c r="Q1580" i="2"/>
  <c r="Q1582" i="2"/>
  <c r="Q1584" i="2"/>
  <c r="Q1586" i="2"/>
  <c r="Q1588" i="2"/>
  <c r="Q1590" i="2"/>
  <c r="Q1592" i="2"/>
  <c r="Q1594" i="2"/>
  <c r="Q1596" i="2"/>
  <c r="Q1598" i="2"/>
  <c r="Q1600" i="2"/>
  <c r="Q1602" i="2"/>
  <c r="Q1604" i="2"/>
  <c r="Q1606" i="2"/>
  <c r="Q1608" i="2"/>
  <c r="Q1610" i="2"/>
  <c r="Q1612" i="2"/>
  <c r="Q1614" i="2"/>
  <c r="Q1616" i="2"/>
  <c r="Q1618" i="2"/>
  <c r="Q1620" i="2"/>
  <c r="Q1622" i="2"/>
  <c r="Q1624" i="2"/>
  <c r="Q1626" i="2"/>
  <c r="Q1628" i="2"/>
  <c r="Q1630" i="2"/>
  <c r="Q1632" i="2"/>
  <c r="Q1634" i="2"/>
  <c r="Q1636" i="2"/>
  <c r="Q1638" i="2"/>
  <c r="Q1640" i="2"/>
  <c r="Q1642" i="2"/>
  <c r="Q1644" i="2"/>
  <c r="Q1646" i="2"/>
  <c r="Q1648" i="2"/>
  <c r="Q1650" i="2"/>
  <c r="Q1652" i="2"/>
  <c r="Q1654" i="2"/>
  <c r="Q1656" i="2"/>
  <c r="Q1658" i="2"/>
  <c r="Q1660" i="2"/>
  <c r="Q1662" i="2"/>
  <c r="Q1664" i="2"/>
  <c r="Q1666" i="2"/>
  <c r="Q1668" i="2"/>
  <c r="Q1670" i="2"/>
  <c r="Q1672" i="2"/>
  <c r="Q1674" i="2"/>
  <c r="Q1676" i="2"/>
  <c r="Q1678" i="2"/>
  <c r="Q1680" i="2"/>
  <c r="Q1682" i="2"/>
  <c r="Q1684" i="2"/>
  <c r="Q1686" i="2"/>
  <c r="Q1688" i="2"/>
  <c r="Q1690" i="2"/>
  <c r="Q1692" i="2"/>
  <c r="Q1694" i="2"/>
  <c r="Q1696" i="2"/>
  <c r="Q1698" i="2"/>
  <c r="Q1700" i="2"/>
  <c r="Q1702" i="2"/>
  <c r="Q1704" i="2"/>
  <c r="Q1706" i="2"/>
  <c r="Q1708" i="2"/>
  <c r="Q1710" i="2"/>
  <c r="Q1712" i="2"/>
  <c r="Q1714" i="2"/>
  <c r="Q1716" i="2"/>
  <c r="Q1718" i="2"/>
  <c r="Q1720" i="2"/>
  <c r="Q1722" i="2"/>
  <c r="Q1724" i="2"/>
  <c r="Q1726" i="2"/>
  <c r="Q1728" i="2"/>
  <c r="Q1730" i="2"/>
  <c r="Q1732" i="2"/>
  <c r="R2" i="2"/>
  <c r="U1473" i="2"/>
  <c r="U1477" i="2"/>
  <c r="U1485" i="2"/>
  <c r="U1491" i="2"/>
  <c r="U1497" i="2"/>
  <c r="U1503" i="2"/>
  <c r="U1509" i="2"/>
  <c r="U1515" i="2"/>
  <c r="U1521" i="2"/>
  <c r="U1525" i="2"/>
  <c r="U1531" i="2"/>
  <c r="U1537" i="2"/>
  <c r="U1543" i="2"/>
  <c r="U1549" i="2"/>
  <c r="U1557" i="2"/>
  <c r="U1561" i="2"/>
  <c r="U1567" i="2"/>
  <c r="U1575" i="2"/>
  <c r="U1581" i="2"/>
  <c r="U1587" i="2"/>
  <c r="U1591" i="2"/>
  <c r="U1597" i="2"/>
  <c r="U1603" i="2"/>
  <c r="U1609" i="2"/>
  <c r="U1613" i="2"/>
  <c r="U1619" i="2"/>
  <c r="U1625" i="2"/>
  <c r="U1631" i="2"/>
  <c r="U1637" i="2"/>
  <c r="U1643" i="2"/>
  <c r="U1649" i="2"/>
  <c r="U1653" i="2"/>
  <c r="U1659" i="2"/>
  <c r="U1665" i="2"/>
  <c r="U1671" i="2"/>
  <c r="U1677" i="2"/>
  <c r="U1683" i="2"/>
  <c r="U1689" i="2"/>
  <c r="U1695" i="2"/>
  <c r="U1701" i="2"/>
  <c r="U1707" i="2"/>
  <c r="U1713" i="2"/>
  <c r="U1717" i="2"/>
  <c r="U1723" i="2"/>
  <c r="U1729" i="2"/>
  <c r="U1468" i="2"/>
  <c r="U1470" i="2"/>
  <c r="U1472" i="2"/>
  <c r="U1474" i="2"/>
  <c r="U1476" i="2"/>
  <c r="U1478" i="2"/>
  <c r="U1480" i="2"/>
  <c r="U1482" i="2"/>
  <c r="U1484" i="2"/>
  <c r="U1486" i="2"/>
  <c r="U1488" i="2"/>
  <c r="U1490" i="2"/>
  <c r="U1492" i="2"/>
  <c r="U1494" i="2"/>
  <c r="U1496" i="2"/>
  <c r="U1498" i="2"/>
  <c r="U1500" i="2"/>
  <c r="U1502" i="2"/>
  <c r="U1504" i="2"/>
  <c r="U1506" i="2"/>
  <c r="U1508" i="2"/>
  <c r="U1510" i="2"/>
  <c r="U1512" i="2"/>
  <c r="U1514" i="2"/>
  <c r="U1516" i="2"/>
  <c r="U1518" i="2"/>
  <c r="U1520" i="2"/>
  <c r="U1522" i="2"/>
  <c r="U1524" i="2"/>
  <c r="U1526" i="2"/>
  <c r="U1528" i="2"/>
  <c r="U1530" i="2"/>
  <c r="U1532" i="2"/>
  <c r="U1534" i="2"/>
  <c r="U1536" i="2"/>
  <c r="U1538" i="2"/>
  <c r="U1540" i="2"/>
  <c r="U1542" i="2"/>
  <c r="U1544" i="2"/>
  <c r="U1546" i="2"/>
  <c r="U1548" i="2"/>
  <c r="U1550" i="2"/>
  <c r="U1552" i="2"/>
  <c r="U1554" i="2"/>
  <c r="U1556" i="2"/>
  <c r="U1558" i="2"/>
  <c r="U1560" i="2"/>
  <c r="U1562" i="2"/>
  <c r="U1564" i="2"/>
  <c r="U1566" i="2"/>
  <c r="U1568" i="2"/>
  <c r="U1570" i="2"/>
  <c r="U1572" i="2"/>
  <c r="U1574" i="2"/>
  <c r="U1576" i="2"/>
  <c r="U1578" i="2"/>
  <c r="U1580" i="2"/>
  <c r="U1582" i="2"/>
  <c r="U1584" i="2"/>
  <c r="U1586" i="2"/>
  <c r="U1588" i="2"/>
  <c r="U1590" i="2"/>
  <c r="U1592" i="2"/>
  <c r="U1594" i="2"/>
  <c r="U1596" i="2"/>
  <c r="U1598" i="2"/>
  <c r="U1600" i="2"/>
  <c r="U1602" i="2"/>
  <c r="U1604" i="2"/>
  <c r="U1606" i="2"/>
  <c r="U1608" i="2"/>
  <c r="U1610" i="2"/>
  <c r="U1612" i="2"/>
  <c r="U1614" i="2"/>
  <c r="U1616" i="2"/>
  <c r="U1618" i="2"/>
  <c r="U1620" i="2"/>
  <c r="U1622" i="2"/>
  <c r="U1624" i="2"/>
  <c r="U1626" i="2"/>
  <c r="U1628" i="2"/>
  <c r="U1630" i="2"/>
  <c r="U1632" i="2"/>
  <c r="U1634" i="2"/>
  <c r="U1636" i="2"/>
  <c r="U1638" i="2"/>
  <c r="U1640" i="2"/>
  <c r="U1642" i="2"/>
  <c r="U1644" i="2"/>
  <c r="U1646" i="2"/>
  <c r="U1648" i="2"/>
  <c r="U1650" i="2"/>
  <c r="U1652" i="2"/>
  <c r="U1654" i="2"/>
  <c r="U1656" i="2"/>
  <c r="U1658" i="2"/>
  <c r="U1660" i="2"/>
  <c r="U1662" i="2"/>
  <c r="U1664" i="2"/>
  <c r="U1666" i="2"/>
  <c r="U1668" i="2"/>
  <c r="U1670" i="2"/>
  <c r="U1672" i="2"/>
  <c r="U1674" i="2"/>
  <c r="U1676" i="2"/>
  <c r="U1678" i="2"/>
  <c r="U1680" i="2"/>
  <c r="U1682" i="2"/>
  <c r="U1684" i="2"/>
  <c r="U1686" i="2"/>
  <c r="U1688" i="2"/>
  <c r="U1690" i="2"/>
  <c r="U1692" i="2"/>
  <c r="U1694" i="2"/>
  <c r="U1696" i="2"/>
  <c r="U1698" i="2"/>
  <c r="U1700" i="2"/>
  <c r="U1702" i="2"/>
  <c r="U1704" i="2"/>
  <c r="U1706" i="2"/>
  <c r="U1708" i="2"/>
  <c r="U1710" i="2"/>
  <c r="U1712" i="2"/>
  <c r="U1714" i="2"/>
  <c r="U1716" i="2"/>
  <c r="U1718" i="2"/>
  <c r="U1720" i="2"/>
  <c r="U1722" i="2"/>
  <c r="U1724" i="2"/>
  <c r="U1726" i="2"/>
  <c r="U1728" i="2"/>
  <c r="U1730" i="2"/>
  <c r="U1732" i="2"/>
  <c r="N2" i="2"/>
  <c r="U1471" i="2"/>
  <c r="U1479" i="2"/>
  <c r="U1483" i="2"/>
  <c r="U1489" i="2"/>
  <c r="U1495" i="2"/>
  <c r="U1501" i="2"/>
  <c r="U1507" i="2"/>
  <c r="U1513" i="2"/>
  <c r="U1519" i="2"/>
  <c r="U1527" i="2"/>
  <c r="U1533" i="2"/>
  <c r="U1539" i="2"/>
  <c r="U1545" i="2"/>
  <c r="U1551" i="2"/>
  <c r="U1555" i="2"/>
  <c r="U1563" i="2"/>
  <c r="U1569" i="2"/>
  <c r="U1573" i="2"/>
  <c r="U1579" i="2"/>
  <c r="U1585" i="2"/>
  <c r="U1593" i="2"/>
  <c r="U1601" i="2"/>
  <c r="U1607" i="2"/>
  <c r="U1615" i="2"/>
  <c r="U1621" i="2"/>
  <c r="U1627" i="2"/>
  <c r="U1633" i="2"/>
  <c r="U1639" i="2"/>
  <c r="U1645" i="2"/>
  <c r="U1651" i="2"/>
  <c r="U1657" i="2"/>
  <c r="U1663" i="2"/>
  <c r="U1669" i="2"/>
  <c r="U1675" i="2"/>
  <c r="U1681" i="2"/>
  <c r="U1687" i="2"/>
  <c r="U1693" i="2"/>
  <c r="U1699" i="2"/>
  <c r="U1705" i="2"/>
  <c r="U1711" i="2"/>
  <c r="U1719" i="2"/>
  <c r="U1727" i="2"/>
  <c r="U1733" i="2"/>
  <c r="Q1469" i="2"/>
  <c r="Q1471" i="2"/>
  <c r="Q1473" i="2"/>
  <c r="Q1475" i="2"/>
  <c r="Q1477" i="2"/>
  <c r="Q1479" i="2"/>
  <c r="Q1481" i="2"/>
  <c r="Q1483" i="2"/>
  <c r="Q1485" i="2"/>
  <c r="Q1487" i="2"/>
  <c r="Q1489" i="2"/>
  <c r="Q1491" i="2"/>
  <c r="Q1493" i="2"/>
  <c r="Q1495" i="2"/>
  <c r="Q1497" i="2"/>
  <c r="Q1499" i="2"/>
  <c r="Q1501" i="2"/>
  <c r="Q1503" i="2"/>
  <c r="Q1505" i="2"/>
  <c r="Q1507" i="2"/>
  <c r="Q1509" i="2"/>
  <c r="Q1511" i="2"/>
  <c r="Q1513" i="2"/>
  <c r="Q1515" i="2"/>
  <c r="Q1517" i="2"/>
  <c r="Q1519" i="2"/>
  <c r="Q1521" i="2"/>
  <c r="Q1523" i="2"/>
  <c r="Q1525" i="2"/>
  <c r="Q1527" i="2"/>
  <c r="Q1529" i="2"/>
  <c r="Q1531" i="2"/>
  <c r="Q1533" i="2"/>
  <c r="Q1535" i="2"/>
  <c r="Q1537" i="2"/>
  <c r="Q1539" i="2"/>
  <c r="Q1541" i="2"/>
  <c r="Q1543" i="2"/>
  <c r="Q1545" i="2"/>
  <c r="Q1547" i="2"/>
  <c r="Q1549" i="2"/>
  <c r="Q1551" i="2"/>
  <c r="Q1553" i="2"/>
  <c r="Q1555" i="2"/>
  <c r="Q1557" i="2"/>
  <c r="Q1559" i="2"/>
  <c r="Q1561" i="2"/>
  <c r="Q1563" i="2"/>
  <c r="Q1565" i="2"/>
  <c r="Q1567" i="2"/>
  <c r="Q1569" i="2"/>
  <c r="Q1571" i="2"/>
  <c r="Q1573" i="2"/>
  <c r="Q1575" i="2"/>
  <c r="Q1577" i="2"/>
  <c r="Q1579" i="2"/>
  <c r="Q1581" i="2"/>
  <c r="Q1583" i="2"/>
  <c r="Q1585" i="2"/>
  <c r="Q1587" i="2"/>
  <c r="Q1589" i="2"/>
  <c r="Q1591" i="2"/>
  <c r="Q1593" i="2"/>
  <c r="Q1595" i="2"/>
  <c r="Q1597" i="2"/>
  <c r="Q1599" i="2"/>
  <c r="Q1601" i="2"/>
  <c r="Q1603" i="2"/>
  <c r="Q1605" i="2"/>
  <c r="Q1607" i="2"/>
  <c r="Q1609" i="2"/>
  <c r="Q1611" i="2"/>
  <c r="Q1613" i="2"/>
  <c r="Q1615" i="2"/>
  <c r="Q1617" i="2"/>
  <c r="Q1619" i="2"/>
  <c r="Q1621" i="2"/>
  <c r="Q1623" i="2"/>
  <c r="Q1625" i="2"/>
  <c r="Q1627" i="2"/>
  <c r="Q1629" i="2"/>
  <c r="Q1631" i="2"/>
  <c r="Q1633" i="2"/>
  <c r="Q1635" i="2"/>
  <c r="Q1637" i="2"/>
  <c r="Q1639" i="2"/>
  <c r="Q1641" i="2"/>
  <c r="Q1643" i="2"/>
  <c r="Q1645" i="2"/>
  <c r="Q1647" i="2"/>
  <c r="Q1649" i="2"/>
  <c r="Q1651" i="2"/>
  <c r="Q1653" i="2"/>
  <c r="Q1655" i="2"/>
  <c r="Q1657" i="2"/>
  <c r="Q1659" i="2"/>
  <c r="Q1661" i="2"/>
  <c r="Q1663" i="2"/>
  <c r="Q1665" i="2"/>
  <c r="Q1667" i="2"/>
  <c r="Q1669" i="2"/>
  <c r="Q1671" i="2"/>
  <c r="Q1673" i="2"/>
  <c r="Q1675" i="2"/>
  <c r="Q1677" i="2"/>
  <c r="Q1679" i="2"/>
  <c r="Q1681" i="2"/>
  <c r="Q1683" i="2"/>
  <c r="Q1685" i="2"/>
  <c r="Q1687" i="2"/>
  <c r="Q1689" i="2"/>
  <c r="Q1691" i="2"/>
  <c r="Q1693" i="2"/>
  <c r="Q1695" i="2"/>
  <c r="Q1697" i="2"/>
  <c r="Q1699" i="2"/>
  <c r="Q1701" i="2"/>
  <c r="Q1703" i="2"/>
  <c r="Q1705" i="2"/>
  <c r="Q1707" i="2"/>
  <c r="Q1709" i="2"/>
  <c r="Q1711" i="2"/>
  <c r="Q1713" i="2"/>
  <c r="Q1715" i="2"/>
  <c r="Q1717" i="2"/>
  <c r="Q1719" i="2"/>
  <c r="Q1721" i="2"/>
  <c r="Q1723" i="2"/>
  <c r="Q1725" i="2"/>
  <c r="Q1727" i="2"/>
  <c r="Q1729" i="2"/>
  <c r="Q1731" i="2"/>
  <c r="Q1733" i="2"/>
  <c r="U1469" i="2"/>
  <c r="U1475" i="2"/>
  <c r="U1481" i="2"/>
  <c r="U1487" i="2"/>
  <c r="U1493" i="2"/>
  <c r="U1499" i="2"/>
  <c r="U1505" i="2"/>
  <c r="U1511" i="2"/>
  <c r="U1517" i="2"/>
  <c r="U1523" i="2"/>
  <c r="U1529" i="2"/>
  <c r="U1535" i="2"/>
  <c r="U1541" i="2"/>
  <c r="U1547" i="2"/>
  <c r="U1553" i="2"/>
  <c r="U1559" i="2"/>
  <c r="U1565" i="2"/>
  <c r="U1571" i="2"/>
  <c r="U1577" i="2"/>
  <c r="U1583" i="2"/>
  <c r="U1589" i="2"/>
  <c r="U1595" i="2"/>
  <c r="U1599" i="2"/>
  <c r="U1605" i="2"/>
  <c r="U1611" i="2"/>
  <c r="U1617" i="2"/>
  <c r="U1623" i="2"/>
  <c r="U1629" i="2"/>
  <c r="U1635" i="2"/>
  <c r="U1641" i="2"/>
  <c r="U1647" i="2"/>
  <c r="U1655" i="2"/>
  <c r="U1661" i="2"/>
  <c r="U1667" i="2"/>
  <c r="U1673" i="2"/>
  <c r="U1679" i="2"/>
  <c r="U1685" i="2"/>
  <c r="U1691" i="2"/>
  <c r="U1697" i="2"/>
  <c r="U1703" i="2"/>
  <c r="U1709" i="2"/>
  <c r="U1715" i="2"/>
  <c r="U1721" i="2"/>
  <c r="U1725" i="2"/>
  <c r="U1731" i="2"/>
  <c r="Q5" i="1" l="1"/>
  <c r="BJ5" i="1" s="1"/>
  <c r="R5" i="1"/>
  <c r="BK5" i="1" s="1"/>
  <c r="S5" i="1"/>
  <c r="BL5" i="1" s="1"/>
  <c r="U5" i="1"/>
  <c r="BN5" i="1" s="1"/>
  <c r="W5" i="1"/>
  <c r="BP5" i="1" s="1"/>
  <c r="X5" i="1"/>
  <c r="BQ5" i="1" s="1"/>
  <c r="Q6" i="1"/>
  <c r="BJ6" i="1" s="1"/>
  <c r="R6" i="1"/>
  <c r="BK6" i="1" s="1"/>
  <c r="S6" i="1"/>
  <c r="BL6" i="1" s="1"/>
  <c r="U6" i="1"/>
  <c r="BN6" i="1" s="1"/>
  <c r="W6" i="1"/>
  <c r="BP6" i="1" s="1"/>
  <c r="X6" i="1"/>
  <c r="BQ6" i="1" s="1"/>
  <c r="Q7" i="1"/>
  <c r="BJ7" i="1" s="1"/>
  <c r="R7" i="1"/>
  <c r="BK7" i="1" s="1"/>
  <c r="S7" i="1"/>
  <c r="BL7" i="1" s="1"/>
  <c r="U7" i="1"/>
  <c r="BN7" i="1" s="1"/>
  <c r="W7" i="1"/>
  <c r="BP7" i="1" s="1"/>
  <c r="X7" i="1"/>
  <c r="BQ7" i="1" s="1"/>
  <c r="Q8" i="1"/>
  <c r="BJ8" i="1" s="1"/>
  <c r="R8" i="1"/>
  <c r="BK8" i="1" s="1"/>
  <c r="S8" i="1"/>
  <c r="BL8" i="1" s="1"/>
  <c r="U8" i="1"/>
  <c r="BN8" i="1" s="1"/>
  <c r="W8" i="1"/>
  <c r="BP8" i="1" s="1"/>
  <c r="X8" i="1"/>
  <c r="BQ8" i="1" s="1"/>
  <c r="Q9" i="1"/>
  <c r="BJ9" i="1" s="1"/>
  <c r="R9" i="1"/>
  <c r="BK9" i="1" s="1"/>
  <c r="S9" i="1"/>
  <c r="BL9" i="1" s="1"/>
  <c r="U9" i="1"/>
  <c r="BN9" i="1" s="1"/>
  <c r="W9" i="1"/>
  <c r="BP9" i="1" s="1"/>
  <c r="X9" i="1"/>
  <c r="BQ9" i="1" s="1"/>
  <c r="Q10" i="1"/>
  <c r="BJ10" i="1" s="1"/>
  <c r="R10" i="1"/>
  <c r="BK10" i="1" s="1"/>
  <c r="S10" i="1"/>
  <c r="BL10" i="1" s="1"/>
  <c r="U10" i="1"/>
  <c r="BN10" i="1" s="1"/>
  <c r="W10" i="1"/>
  <c r="BP10" i="1" s="1"/>
  <c r="X10" i="1"/>
  <c r="BQ10" i="1" s="1"/>
  <c r="Q11" i="1"/>
  <c r="BJ11" i="1" s="1"/>
  <c r="R11" i="1"/>
  <c r="BK11" i="1" s="1"/>
  <c r="S11" i="1"/>
  <c r="BL11" i="1" s="1"/>
  <c r="U11" i="1"/>
  <c r="BN11" i="1" s="1"/>
  <c r="W11" i="1"/>
  <c r="BP11" i="1" s="1"/>
  <c r="X11" i="1"/>
  <c r="BQ11" i="1" s="1"/>
  <c r="Q12" i="1"/>
  <c r="BJ12" i="1" s="1"/>
  <c r="R12" i="1"/>
  <c r="BK12" i="1" s="1"/>
  <c r="S12" i="1"/>
  <c r="BL12" i="1" s="1"/>
  <c r="U12" i="1"/>
  <c r="BN12" i="1" s="1"/>
  <c r="W12" i="1"/>
  <c r="BP12" i="1" s="1"/>
  <c r="X12" i="1"/>
  <c r="BQ12" i="1" s="1"/>
  <c r="Q13" i="1"/>
  <c r="BJ13" i="1" s="1"/>
  <c r="R13" i="1"/>
  <c r="BK13" i="1" s="1"/>
  <c r="S13" i="1"/>
  <c r="BL13" i="1" s="1"/>
  <c r="U13" i="1"/>
  <c r="BN13" i="1" s="1"/>
  <c r="W13" i="1"/>
  <c r="BP13" i="1" s="1"/>
  <c r="X13" i="1"/>
  <c r="BQ13" i="1" s="1"/>
  <c r="Q14" i="1"/>
  <c r="BJ14" i="1" s="1"/>
  <c r="R14" i="1"/>
  <c r="BK14" i="1" s="1"/>
  <c r="S14" i="1"/>
  <c r="BL14" i="1" s="1"/>
  <c r="U14" i="1"/>
  <c r="BN14" i="1" s="1"/>
  <c r="W14" i="1"/>
  <c r="BP14" i="1" s="1"/>
  <c r="X14" i="1"/>
  <c r="BQ14" i="1" s="1"/>
  <c r="Q15" i="1"/>
  <c r="BJ15" i="1" s="1"/>
  <c r="R15" i="1"/>
  <c r="BK15" i="1" s="1"/>
  <c r="S15" i="1"/>
  <c r="BL15" i="1" s="1"/>
  <c r="U15" i="1"/>
  <c r="BN15" i="1" s="1"/>
  <c r="W15" i="1"/>
  <c r="BP15" i="1" s="1"/>
  <c r="X15" i="1"/>
  <c r="BQ15" i="1" s="1"/>
  <c r="Q16" i="1"/>
  <c r="BJ16" i="1" s="1"/>
  <c r="R16" i="1"/>
  <c r="BK16" i="1" s="1"/>
  <c r="S16" i="1"/>
  <c r="BL16" i="1" s="1"/>
  <c r="U16" i="1"/>
  <c r="BN16" i="1" s="1"/>
  <c r="W16" i="1"/>
  <c r="BP16" i="1" s="1"/>
  <c r="X16" i="1"/>
  <c r="BQ16" i="1" s="1"/>
  <c r="Q17" i="1"/>
  <c r="BJ17" i="1" s="1"/>
  <c r="R17" i="1"/>
  <c r="BK17" i="1" s="1"/>
  <c r="S17" i="1"/>
  <c r="BL17" i="1" s="1"/>
  <c r="U17" i="1"/>
  <c r="BN17" i="1" s="1"/>
  <c r="W17" i="1"/>
  <c r="BP17" i="1" s="1"/>
  <c r="X17" i="1"/>
  <c r="BQ17" i="1" s="1"/>
  <c r="Q18" i="1"/>
  <c r="BJ18" i="1" s="1"/>
  <c r="R18" i="1"/>
  <c r="BK18" i="1" s="1"/>
  <c r="S18" i="1"/>
  <c r="BL18" i="1" s="1"/>
  <c r="U18" i="1"/>
  <c r="BN18" i="1" s="1"/>
  <c r="W18" i="1"/>
  <c r="BP18" i="1" s="1"/>
  <c r="X18" i="1"/>
  <c r="BQ18" i="1" s="1"/>
  <c r="Q19" i="1"/>
  <c r="BJ19" i="1" s="1"/>
  <c r="R19" i="1"/>
  <c r="BK19" i="1" s="1"/>
  <c r="S19" i="1"/>
  <c r="BL19" i="1" s="1"/>
  <c r="U19" i="1"/>
  <c r="BN19" i="1" s="1"/>
  <c r="W19" i="1"/>
  <c r="BP19" i="1" s="1"/>
  <c r="X19" i="1"/>
  <c r="BQ19" i="1" s="1"/>
  <c r="Q20" i="1"/>
  <c r="BJ20" i="1" s="1"/>
  <c r="R20" i="1"/>
  <c r="BK20" i="1" s="1"/>
  <c r="S20" i="1"/>
  <c r="BL20" i="1" s="1"/>
  <c r="U20" i="1"/>
  <c r="BN20" i="1" s="1"/>
  <c r="W20" i="1"/>
  <c r="BP20" i="1" s="1"/>
  <c r="X20" i="1"/>
  <c r="BQ20" i="1" s="1"/>
  <c r="Q21" i="1"/>
  <c r="BJ21" i="1" s="1"/>
  <c r="R21" i="1"/>
  <c r="BK21" i="1" s="1"/>
  <c r="S21" i="1"/>
  <c r="BL21" i="1" s="1"/>
  <c r="U21" i="1"/>
  <c r="BN21" i="1" s="1"/>
  <c r="W21" i="1"/>
  <c r="BP21" i="1" s="1"/>
  <c r="X21" i="1"/>
  <c r="BQ21" i="1" s="1"/>
  <c r="Q22" i="1"/>
  <c r="BJ22" i="1" s="1"/>
  <c r="R22" i="1"/>
  <c r="BK22" i="1" s="1"/>
  <c r="S22" i="1"/>
  <c r="BL22" i="1" s="1"/>
  <c r="U22" i="1"/>
  <c r="BN22" i="1" s="1"/>
  <c r="W22" i="1"/>
  <c r="BP22" i="1" s="1"/>
  <c r="X22" i="1"/>
  <c r="BQ22" i="1" s="1"/>
  <c r="Q23" i="1"/>
  <c r="BJ23" i="1" s="1"/>
  <c r="R23" i="1"/>
  <c r="BK23" i="1" s="1"/>
  <c r="S23" i="1"/>
  <c r="BL23" i="1" s="1"/>
  <c r="U23" i="1"/>
  <c r="BN23" i="1" s="1"/>
  <c r="W23" i="1"/>
  <c r="BP23" i="1" s="1"/>
  <c r="X23" i="1"/>
  <c r="BQ23" i="1" s="1"/>
  <c r="Q24" i="1"/>
  <c r="BJ24" i="1" s="1"/>
  <c r="R24" i="1"/>
  <c r="BK24" i="1" s="1"/>
  <c r="S24" i="1"/>
  <c r="BL24" i="1" s="1"/>
  <c r="U24" i="1"/>
  <c r="BN24" i="1" s="1"/>
  <c r="W24" i="1"/>
  <c r="BP24" i="1" s="1"/>
  <c r="X24" i="1"/>
  <c r="BQ24" i="1" s="1"/>
  <c r="Q25" i="1"/>
  <c r="BJ25" i="1" s="1"/>
  <c r="R25" i="1"/>
  <c r="BK25" i="1" s="1"/>
  <c r="S25" i="1"/>
  <c r="BL25" i="1" s="1"/>
  <c r="U25" i="1"/>
  <c r="BN25" i="1" s="1"/>
  <c r="W25" i="1"/>
  <c r="BP25" i="1" s="1"/>
  <c r="X25" i="1"/>
  <c r="BQ25" i="1" s="1"/>
  <c r="Q26" i="1"/>
  <c r="BJ26" i="1" s="1"/>
  <c r="R26" i="1"/>
  <c r="BK26" i="1" s="1"/>
  <c r="S26" i="1"/>
  <c r="BL26" i="1" s="1"/>
  <c r="U26" i="1"/>
  <c r="BN26" i="1" s="1"/>
  <c r="W26" i="1"/>
  <c r="BP26" i="1" s="1"/>
  <c r="X26" i="1"/>
  <c r="BQ26" i="1" s="1"/>
  <c r="Q27" i="1"/>
  <c r="BJ27" i="1" s="1"/>
  <c r="R27" i="1"/>
  <c r="BK27" i="1" s="1"/>
  <c r="S27" i="1"/>
  <c r="BL27" i="1" s="1"/>
  <c r="U27" i="1"/>
  <c r="BN27" i="1" s="1"/>
  <c r="W27" i="1"/>
  <c r="BP27" i="1" s="1"/>
  <c r="X27" i="1"/>
  <c r="BQ27" i="1" s="1"/>
  <c r="Q28" i="1"/>
  <c r="BJ28" i="1" s="1"/>
  <c r="R28" i="1"/>
  <c r="BK28" i="1" s="1"/>
  <c r="S28" i="1"/>
  <c r="BL28" i="1" s="1"/>
  <c r="U28" i="1"/>
  <c r="BN28" i="1" s="1"/>
  <c r="W28" i="1"/>
  <c r="BP28" i="1" s="1"/>
  <c r="X28" i="1"/>
  <c r="BQ28" i="1" s="1"/>
  <c r="Q29" i="1"/>
  <c r="BJ29" i="1" s="1"/>
  <c r="R29" i="1"/>
  <c r="BK29" i="1" s="1"/>
  <c r="S29" i="1"/>
  <c r="BL29" i="1" s="1"/>
  <c r="U29" i="1"/>
  <c r="BN29" i="1" s="1"/>
  <c r="W29" i="1"/>
  <c r="BP29" i="1" s="1"/>
  <c r="X29" i="1"/>
  <c r="BQ29" i="1" s="1"/>
  <c r="Q30" i="1"/>
  <c r="BJ30" i="1" s="1"/>
  <c r="R30" i="1"/>
  <c r="BK30" i="1" s="1"/>
  <c r="S30" i="1"/>
  <c r="BL30" i="1" s="1"/>
  <c r="U30" i="1"/>
  <c r="BN30" i="1" s="1"/>
  <c r="W30" i="1"/>
  <c r="BP30" i="1" s="1"/>
  <c r="X30" i="1"/>
  <c r="BQ30" i="1" s="1"/>
  <c r="Q31" i="1"/>
  <c r="BJ31" i="1" s="1"/>
  <c r="R31" i="1"/>
  <c r="BK31" i="1" s="1"/>
  <c r="S31" i="1"/>
  <c r="BL31" i="1" s="1"/>
  <c r="U31" i="1"/>
  <c r="BN31" i="1" s="1"/>
  <c r="W31" i="1"/>
  <c r="BP31" i="1" s="1"/>
  <c r="X31" i="1"/>
  <c r="BQ31" i="1" s="1"/>
  <c r="Q32" i="1"/>
  <c r="BJ32" i="1" s="1"/>
  <c r="R32" i="1"/>
  <c r="BK32" i="1" s="1"/>
  <c r="S32" i="1"/>
  <c r="BL32" i="1" s="1"/>
  <c r="U32" i="1"/>
  <c r="BN32" i="1" s="1"/>
  <c r="W32" i="1"/>
  <c r="BP32" i="1" s="1"/>
  <c r="X32" i="1"/>
  <c r="BQ32" i="1" s="1"/>
  <c r="Q33" i="1"/>
  <c r="BJ33" i="1" s="1"/>
  <c r="R33" i="1"/>
  <c r="BK33" i="1" s="1"/>
  <c r="S33" i="1"/>
  <c r="BL33" i="1" s="1"/>
  <c r="U33" i="1"/>
  <c r="BN33" i="1" s="1"/>
  <c r="W33" i="1"/>
  <c r="BP33" i="1" s="1"/>
  <c r="X33" i="1"/>
  <c r="BQ33" i="1" s="1"/>
  <c r="Q34" i="1"/>
  <c r="BJ34" i="1" s="1"/>
  <c r="R34" i="1"/>
  <c r="BK34" i="1" s="1"/>
  <c r="S34" i="1"/>
  <c r="BL34" i="1" s="1"/>
  <c r="U34" i="1"/>
  <c r="BN34" i="1" s="1"/>
  <c r="W34" i="1"/>
  <c r="BP34" i="1" s="1"/>
  <c r="X34" i="1"/>
  <c r="BQ34" i="1" s="1"/>
  <c r="Q35" i="1"/>
  <c r="R35" i="1"/>
  <c r="BK35" i="1" s="1"/>
  <c r="S35" i="1"/>
  <c r="AO35" i="1"/>
  <c r="U35" i="1"/>
  <c r="W35" i="1"/>
  <c r="X35" i="1"/>
  <c r="Q36" i="1"/>
  <c r="R36" i="1"/>
  <c r="BK36" i="1" s="1"/>
  <c r="S36" i="1"/>
  <c r="AO36" i="1"/>
  <c r="U36" i="1"/>
  <c r="W36" i="1"/>
  <c r="X36" i="1"/>
  <c r="Q37" i="1"/>
  <c r="BJ37" i="1" s="1"/>
  <c r="R37" i="1"/>
  <c r="BK37" i="1" s="1"/>
  <c r="S37" i="1"/>
  <c r="AO37" i="1"/>
  <c r="U37" i="1"/>
  <c r="W37" i="1"/>
  <c r="AR37" i="1" s="1"/>
  <c r="X37" i="1"/>
  <c r="Q38" i="1"/>
  <c r="R38" i="1"/>
  <c r="BK38" i="1" s="1"/>
  <c r="S38" i="1"/>
  <c r="AN38" i="1" s="1"/>
  <c r="AW38" i="1"/>
  <c r="U38" i="1"/>
  <c r="W38" i="1"/>
  <c r="X38" i="1"/>
  <c r="Q39" i="1"/>
  <c r="R39" i="1"/>
  <c r="BK39" i="1" s="1"/>
  <c r="S39" i="1"/>
  <c r="BE39" i="1"/>
  <c r="U39" i="1"/>
  <c r="AQ39" i="1"/>
  <c r="W39" i="1"/>
  <c r="X39" i="1"/>
  <c r="Q40" i="1"/>
  <c r="BJ40" i="1" s="1"/>
  <c r="R40" i="1"/>
  <c r="S40" i="1"/>
  <c r="AO40" i="1"/>
  <c r="U40" i="1"/>
  <c r="W40" i="1"/>
  <c r="X40" i="1"/>
  <c r="X4" i="1"/>
  <c r="BQ4" i="1" s="1"/>
  <c r="U4" i="1"/>
  <c r="BN4" i="1" s="1"/>
  <c r="S4" i="1"/>
  <c r="BL4" i="1" s="1"/>
  <c r="W4" i="1"/>
  <c r="BP4" i="1" s="1"/>
  <c r="AM36" i="1"/>
  <c r="R4" i="1"/>
  <c r="BK4" i="1" s="1"/>
  <c r="Q4" i="1"/>
  <c r="BJ4" i="1" s="1"/>
  <c r="E35" i="1"/>
  <c r="AC35" i="1" s="1"/>
  <c r="E36" i="1"/>
  <c r="Z36" i="1" s="1"/>
  <c r="E37" i="1"/>
  <c r="Z37" i="1" s="1"/>
  <c r="E38" i="1"/>
  <c r="Y38" i="1" s="1"/>
  <c r="E39" i="1"/>
  <c r="AA39" i="1" s="1"/>
  <c r="E40" i="1"/>
  <c r="Z40" i="1" s="1"/>
  <c r="F35" i="1"/>
  <c r="F36" i="1"/>
  <c r="F37" i="1"/>
  <c r="F38" i="1"/>
  <c r="F39" i="1"/>
  <c r="F40" i="1"/>
  <c r="AL40" i="1"/>
  <c r="AM35" i="1"/>
  <c r="AM38" i="1"/>
  <c r="AM39" i="1"/>
  <c r="AP37" i="1"/>
  <c r="AQ35" i="1"/>
  <c r="AQ36" i="1"/>
  <c r="AQ37" i="1"/>
  <c r="AQ38" i="1"/>
  <c r="AQ40" i="1"/>
  <c r="AT37" i="1"/>
  <c r="AU35" i="1"/>
  <c r="AU38" i="1"/>
  <c r="AU39" i="1"/>
  <c r="AV36" i="1"/>
  <c r="AX35" i="1"/>
  <c r="AX39" i="1"/>
  <c r="AY35" i="1"/>
  <c r="AY36" i="1"/>
  <c r="AY37" i="1"/>
  <c r="AY38" i="1"/>
  <c r="AY39" i="1"/>
  <c r="AY40" i="1"/>
  <c r="AZ38" i="1"/>
  <c r="BB37" i="1"/>
  <c r="BC35" i="1"/>
  <c r="BC38" i="1"/>
  <c r="BC39" i="1"/>
  <c r="BD37" i="1"/>
  <c r="BF35" i="1"/>
  <c r="BG35" i="1"/>
  <c r="BG36" i="1"/>
  <c r="BG37" i="1"/>
  <c r="BG38" i="1"/>
  <c r="BG39" i="1"/>
  <c r="BG40" i="1"/>
  <c r="BH35" i="1"/>
  <c r="BC37" i="1" l="1"/>
  <c r="AV38" i="1"/>
  <c r="BL38" i="1"/>
  <c r="AX36" i="1"/>
  <c r="BN36" i="1"/>
  <c r="BA40" i="1"/>
  <c r="BQ40" i="1"/>
  <c r="AV40" i="1"/>
  <c r="BL40" i="1"/>
  <c r="AR39" i="1"/>
  <c r="BP39" i="1"/>
  <c r="AN39" i="1"/>
  <c r="BL39" i="1"/>
  <c r="BH38" i="1"/>
  <c r="BP38" i="1"/>
  <c r="AX37" i="1"/>
  <c r="BN37" i="1"/>
  <c r="BA35" i="1"/>
  <c r="BQ35" i="1"/>
  <c r="AN35" i="1"/>
  <c r="BL35" i="1"/>
  <c r="AZ40" i="1"/>
  <c r="BP40" i="1"/>
  <c r="AM40" i="1"/>
  <c r="BK40" i="1"/>
  <c r="AP38" i="1"/>
  <c r="BN38" i="1"/>
  <c r="AL38" i="1"/>
  <c r="BJ38" i="1"/>
  <c r="BA36" i="1"/>
  <c r="BQ36" i="1"/>
  <c r="AN36" i="1"/>
  <c r="BL36" i="1"/>
  <c r="AR35" i="1"/>
  <c r="BP35" i="1"/>
  <c r="AS39" i="1"/>
  <c r="BQ39" i="1"/>
  <c r="BA38" i="1"/>
  <c r="BQ38" i="1"/>
  <c r="AZ37" i="1"/>
  <c r="BP37" i="1"/>
  <c r="AT36" i="1"/>
  <c r="BJ36" i="1"/>
  <c r="AM37" i="1"/>
  <c r="AX40" i="1"/>
  <c r="BN40" i="1"/>
  <c r="AP39" i="1"/>
  <c r="BN39" i="1"/>
  <c r="BB39" i="1"/>
  <c r="BJ39" i="1"/>
  <c r="AS37" i="1"/>
  <c r="BQ37" i="1"/>
  <c r="AN37" i="1"/>
  <c r="BL37" i="1"/>
  <c r="AZ36" i="1"/>
  <c r="BP36" i="1"/>
  <c r="AP35" i="1"/>
  <c r="BN35" i="1"/>
  <c r="AL35" i="1"/>
  <c r="BJ35" i="1"/>
  <c r="BD38" i="1"/>
  <c r="AZ35" i="1"/>
  <c r="BH39" i="1"/>
  <c r="BF39" i="1"/>
  <c r="AR38" i="1"/>
  <c r="AN40" i="1"/>
  <c r="AV37" i="1"/>
  <c r="AZ39" i="1"/>
  <c r="BF38" i="1"/>
  <c r="BB36" i="1"/>
  <c r="AX38" i="1"/>
  <c r="AP40" i="1"/>
  <c r="AP36" i="1"/>
  <c r="AL37" i="1"/>
  <c r="BF37" i="1"/>
  <c r="AT40" i="1"/>
  <c r="AL36" i="1"/>
  <c r="AT35" i="1"/>
  <c r="BF40" i="1"/>
  <c r="BF36" i="1"/>
  <c r="BB40" i="1"/>
  <c r="AT39" i="1"/>
  <c r="BA39" i="1"/>
  <c r="AW36" i="1"/>
  <c r="AG35" i="1"/>
  <c r="AJ38" i="1"/>
  <c r="AD38" i="1"/>
  <c r="AG38" i="1"/>
  <c r="Y35" i="1"/>
  <c r="AJ35" i="1"/>
  <c r="AB38" i="1"/>
  <c r="AO39" i="1"/>
  <c r="BI37" i="1"/>
  <c r="BE36" i="1"/>
  <c r="AS38" i="1"/>
  <c r="AF35" i="1"/>
  <c r="AC39" i="1"/>
  <c r="AH39" i="1"/>
  <c r="Y36" i="1"/>
  <c r="AE38" i="1"/>
  <c r="AA38" i="1"/>
  <c r="AE39" i="1"/>
  <c r="AH38" i="1"/>
  <c r="AC38" i="1"/>
  <c r="AG40" i="1"/>
  <c r="AI35" i="1"/>
  <c r="BI40" i="1"/>
  <c r="BI36" i="1"/>
  <c r="BE40" i="1"/>
  <c r="BE35" i="1"/>
  <c r="BA37" i="1"/>
  <c r="AW40" i="1"/>
  <c r="AW35" i="1"/>
  <c r="AS36" i="1"/>
  <c r="AO38" i="1"/>
  <c r="BI39" i="1"/>
  <c r="BH37" i="1"/>
  <c r="BE38" i="1"/>
  <c r="AV39" i="1"/>
  <c r="AS35" i="1"/>
  <c r="AG37" i="1"/>
  <c r="BI35" i="1"/>
  <c r="BD40" i="1"/>
  <c r="BD36" i="1"/>
  <c r="AW39" i="1"/>
  <c r="AV35" i="1"/>
  <c r="AS40" i="1"/>
  <c r="AR36" i="1"/>
  <c r="BI38" i="1"/>
  <c r="BH40" i="1"/>
  <c r="BH36" i="1"/>
  <c r="BE37" i="1"/>
  <c r="BD39" i="1"/>
  <c r="BD35" i="1"/>
  <c r="AW37" i="1"/>
  <c r="AR40" i="1"/>
  <c r="AG36" i="1"/>
  <c r="AG39" i="1"/>
  <c r="AD39" i="1"/>
  <c r="AB39" i="1"/>
  <c r="Z35" i="1"/>
  <c r="AA35" i="1"/>
  <c r="Y40" i="1"/>
  <c r="AI39" i="1"/>
  <c r="AF39" i="1"/>
  <c r="AD35" i="1"/>
  <c r="AC36" i="1"/>
  <c r="AB35" i="1"/>
  <c r="Z39" i="1"/>
  <c r="Y39" i="1"/>
  <c r="AJ39" i="1"/>
  <c r="AI38" i="1"/>
  <c r="AH35" i="1"/>
  <c r="AF38" i="1"/>
  <c r="AE35" i="1"/>
  <c r="AC40" i="1"/>
  <c r="Z38" i="1"/>
  <c r="Y37" i="1"/>
  <c r="AU37" i="1"/>
  <c r="AL39" i="1"/>
  <c r="AF37" i="1"/>
  <c r="AE37" i="1"/>
  <c r="AD37" i="1"/>
  <c r="BB35" i="1"/>
  <c r="AC37" i="1"/>
  <c r="AJ37" i="1"/>
  <c r="AI37" i="1"/>
  <c r="AH37" i="1"/>
  <c r="AB37" i="1"/>
  <c r="AA37" i="1"/>
  <c r="BC40" i="1"/>
  <c r="BC36" i="1"/>
  <c r="BB38" i="1"/>
  <c r="AU40" i="1"/>
  <c r="AU36" i="1"/>
  <c r="AT38" i="1"/>
  <c r="AI40" i="1"/>
  <c r="AI36" i="1"/>
  <c r="AE40" i="1"/>
  <c r="AE36" i="1"/>
  <c r="AA40" i="1"/>
  <c r="AA36" i="1"/>
  <c r="AJ40" i="1"/>
  <c r="AJ36" i="1"/>
  <c r="AH40" i="1"/>
  <c r="AH36" i="1"/>
  <c r="AF40" i="1"/>
  <c r="AF36" i="1"/>
  <c r="AD40" i="1"/>
  <c r="AD36" i="1"/>
  <c r="AB40" i="1"/>
  <c r="AB36" i="1"/>
  <c r="E5" i="1"/>
  <c r="Z5" i="1" s="1"/>
  <c r="E6" i="1"/>
  <c r="AI6" i="1" s="1"/>
  <c r="E7" i="1"/>
  <c r="Z7" i="1" s="1"/>
  <c r="E8" i="1"/>
  <c r="AC8" i="1" s="1"/>
  <c r="E9" i="1"/>
  <c r="AD9" i="1" s="1"/>
  <c r="E10" i="1"/>
  <c r="Z10" i="1" s="1"/>
  <c r="E11" i="1"/>
  <c r="AF11" i="1" s="1"/>
  <c r="E12" i="1"/>
  <c r="Y12" i="1" s="1"/>
  <c r="E13" i="1"/>
  <c r="Z13" i="1" s="1"/>
  <c r="E14" i="1"/>
  <c r="Z14" i="1" s="1"/>
  <c r="E15" i="1"/>
  <c r="Z15" i="1" s="1"/>
  <c r="E16" i="1"/>
  <c r="Y16" i="1" s="1"/>
  <c r="E17" i="1"/>
  <c r="Z17" i="1" s="1"/>
  <c r="E18" i="1"/>
  <c r="Z18" i="1" s="1"/>
  <c r="E19" i="1"/>
  <c r="AE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AD27" i="1" s="1"/>
  <c r="E28" i="1"/>
  <c r="Y28" i="1" s="1"/>
  <c r="E29" i="1"/>
  <c r="Z29" i="1" s="1"/>
  <c r="E30" i="1"/>
  <c r="Z30" i="1" s="1"/>
  <c r="E31" i="1"/>
  <c r="Z31" i="1" s="1"/>
  <c r="E32" i="1"/>
  <c r="Y32" i="1" s="1"/>
  <c r="E33" i="1"/>
  <c r="Z33" i="1" s="1"/>
  <c r="E34" i="1"/>
  <c r="Z34" i="1" s="1"/>
  <c r="E4" i="1"/>
  <c r="AA4" i="1" s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H11" i="1"/>
  <c r="BH12" i="1"/>
  <c r="BH13" i="1"/>
  <c r="BH14" i="1"/>
  <c r="BH15" i="1"/>
  <c r="BH16" i="1"/>
  <c r="BH17" i="1"/>
  <c r="BH18" i="1"/>
  <c r="BH19" i="1"/>
  <c r="BH20" i="1"/>
  <c r="BH21" i="1"/>
  <c r="BH22" i="1"/>
  <c r="BH23" i="1"/>
  <c r="BH24" i="1"/>
  <c r="BH25" i="1"/>
  <c r="BH26" i="1"/>
  <c r="BH27" i="1"/>
  <c r="BH28" i="1"/>
  <c r="BH29" i="1"/>
  <c r="BH30" i="1"/>
  <c r="BH31" i="1"/>
  <c r="BH32" i="1"/>
  <c r="BH33" i="1"/>
  <c r="BH34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F6" i="1"/>
  <c r="F7" i="1"/>
  <c r="F8" i="1"/>
  <c r="F9" i="1"/>
  <c r="F10" i="1"/>
  <c r="AL6" i="1"/>
  <c r="AL7" i="1"/>
  <c r="AL8" i="1"/>
  <c r="AL9" i="1"/>
  <c r="AL10" i="1"/>
  <c r="AM6" i="1"/>
  <c r="AM7" i="1"/>
  <c r="AM8" i="1"/>
  <c r="AM9" i="1"/>
  <c r="AM10" i="1"/>
  <c r="AN6" i="1"/>
  <c r="AN7" i="1"/>
  <c r="AN8" i="1"/>
  <c r="AN9" i="1"/>
  <c r="AN10" i="1"/>
  <c r="AO6" i="1"/>
  <c r="AO7" i="1"/>
  <c r="AO8" i="1"/>
  <c r="AO9" i="1"/>
  <c r="AO10" i="1"/>
  <c r="AP6" i="1"/>
  <c r="AP7" i="1"/>
  <c r="AP8" i="1"/>
  <c r="AP9" i="1"/>
  <c r="AP10" i="1"/>
  <c r="AQ6" i="1"/>
  <c r="AQ7" i="1"/>
  <c r="AQ8" i="1"/>
  <c r="AQ9" i="1"/>
  <c r="AQ10" i="1"/>
  <c r="AR6" i="1"/>
  <c r="AR7" i="1"/>
  <c r="AR8" i="1"/>
  <c r="AR9" i="1"/>
  <c r="AR10" i="1"/>
  <c r="AS6" i="1"/>
  <c r="AS7" i="1"/>
  <c r="AS8" i="1"/>
  <c r="AS9" i="1"/>
  <c r="AS10" i="1"/>
  <c r="AT6" i="1"/>
  <c r="AT7" i="1"/>
  <c r="AT8" i="1"/>
  <c r="AT9" i="1"/>
  <c r="AT10" i="1"/>
  <c r="AU6" i="1"/>
  <c r="AU7" i="1"/>
  <c r="AU8" i="1"/>
  <c r="AU9" i="1"/>
  <c r="AU10" i="1"/>
  <c r="AV6" i="1"/>
  <c r="AV7" i="1"/>
  <c r="AV8" i="1"/>
  <c r="AV9" i="1"/>
  <c r="AV10" i="1"/>
  <c r="AW6" i="1"/>
  <c r="AW7" i="1"/>
  <c r="AW8" i="1"/>
  <c r="AW9" i="1"/>
  <c r="AW10" i="1"/>
  <c r="AX6" i="1"/>
  <c r="AX7" i="1"/>
  <c r="AX8" i="1"/>
  <c r="AX9" i="1"/>
  <c r="AX10" i="1"/>
  <c r="AY6" i="1"/>
  <c r="AY7" i="1"/>
  <c r="AY8" i="1"/>
  <c r="AY9" i="1"/>
  <c r="AY10" i="1"/>
  <c r="AZ6" i="1"/>
  <c r="AZ7" i="1"/>
  <c r="AZ8" i="1"/>
  <c r="AZ9" i="1"/>
  <c r="AZ10" i="1"/>
  <c r="BA6" i="1"/>
  <c r="BA7" i="1"/>
  <c r="BA8" i="1"/>
  <c r="BA9" i="1"/>
  <c r="BA10" i="1"/>
  <c r="BB6" i="1"/>
  <c r="BB7" i="1"/>
  <c r="BB8" i="1"/>
  <c r="BB9" i="1"/>
  <c r="BB10" i="1"/>
  <c r="BC6" i="1"/>
  <c r="BC7" i="1"/>
  <c r="BC8" i="1"/>
  <c r="BC9" i="1"/>
  <c r="BC10" i="1"/>
  <c r="BD6" i="1"/>
  <c r="BD7" i="1"/>
  <c r="BD8" i="1"/>
  <c r="BD9" i="1"/>
  <c r="BD10" i="1"/>
  <c r="BE6" i="1"/>
  <c r="BE7" i="1"/>
  <c r="BE8" i="1"/>
  <c r="BE9" i="1"/>
  <c r="BE10" i="1"/>
  <c r="BF6" i="1"/>
  <c r="BF7" i="1"/>
  <c r="BF8" i="1"/>
  <c r="BF9" i="1"/>
  <c r="BF10" i="1"/>
  <c r="BG6" i="1"/>
  <c r="BG7" i="1"/>
  <c r="BG8" i="1"/>
  <c r="BG9" i="1"/>
  <c r="BG10" i="1"/>
  <c r="BH6" i="1"/>
  <c r="BH7" i="1"/>
  <c r="BH8" i="1"/>
  <c r="BH9" i="1"/>
  <c r="BH10" i="1"/>
  <c r="BI6" i="1"/>
  <c r="BI7" i="1"/>
  <c r="BI8" i="1"/>
  <c r="BI9" i="1"/>
  <c r="BI10" i="1"/>
  <c r="BB5" i="1"/>
  <c r="BC5" i="1"/>
  <c r="BD5" i="1"/>
  <c r="BE5" i="1"/>
  <c r="BF5" i="1"/>
  <c r="BG5" i="1"/>
  <c r="BH5" i="1"/>
  <c r="BI5" i="1"/>
  <c r="BI4" i="1"/>
  <c r="BH4" i="1"/>
  <c r="BG4" i="1"/>
  <c r="BF4" i="1"/>
  <c r="BE4" i="1"/>
  <c r="BD4" i="1"/>
  <c r="BC4" i="1"/>
  <c r="BB4" i="1"/>
  <c r="AT5" i="1"/>
  <c r="AU5" i="1"/>
  <c r="AV5" i="1"/>
  <c r="AW5" i="1"/>
  <c r="AX5" i="1"/>
  <c r="AY5" i="1"/>
  <c r="AZ5" i="1"/>
  <c r="BA5" i="1"/>
  <c r="BA4" i="1"/>
  <c r="AZ4" i="1"/>
  <c r="AY4" i="1"/>
  <c r="AX4" i="1"/>
  <c r="AW4" i="1"/>
  <c r="AV4" i="1"/>
  <c r="AU4" i="1"/>
  <c r="AT4" i="1"/>
  <c r="AL5" i="1"/>
  <c r="AM5" i="1"/>
  <c r="AN5" i="1"/>
  <c r="AO5" i="1"/>
  <c r="AP5" i="1"/>
  <c r="AQ5" i="1"/>
  <c r="AR5" i="1"/>
  <c r="AS5" i="1"/>
  <c r="AS4" i="1"/>
  <c r="AR4" i="1"/>
  <c r="AQ4" i="1"/>
  <c r="AP4" i="1"/>
  <c r="AO4" i="1"/>
  <c r="AN4" i="1"/>
  <c r="AM4" i="1"/>
  <c r="AL4" i="1"/>
  <c r="F5" i="1"/>
  <c r="F4" i="1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947" i="4"/>
  <c r="M948" i="4"/>
  <c r="M949" i="4"/>
  <c r="M950" i="4"/>
  <c r="M951" i="4"/>
  <c r="M952" i="4"/>
  <c r="M953" i="4"/>
  <c r="M954" i="4"/>
  <c r="M955" i="4"/>
  <c r="M956" i="4"/>
  <c r="M957" i="4"/>
  <c r="M958" i="4"/>
  <c r="M959" i="4"/>
  <c r="M960" i="4"/>
  <c r="M961" i="4"/>
  <c r="M962" i="4"/>
  <c r="M963" i="4"/>
  <c r="M964" i="4"/>
  <c r="M965" i="4"/>
  <c r="M966" i="4"/>
  <c r="M967" i="4"/>
  <c r="M968" i="4"/>
  <c r="M969" i="4"/>
  <c r="M970" i="4"/>
  <c r="M971" i="4"/>
  <c r="M972" i="4"/>
  <c r="M973" i="4"/>
  <c r="M974" i="4"/>
  <c r="M975" i="4"/>
  <c r="M976" i="4"/>
  <c r="M977" i="4"/>
  <c r="M978" i="4"/>
  <c r="M979" i="4"/>
  <c r="M980" i="4"/>
  <c r="M981" i="4"/>
  <c r="M982" i="4"/>
  <c r="M983" i="4"/>
  <c r="M984" i="4"/>
  <c r="M985" i="4"/>
  <c r="M986" i="4"/>
  <c r="M987" i="4"/>
  <c r="M988" i="4"/>
  <c r="M989" i="4"/>
  <c r="M990" i="4"/>
  <c r="M991" i="4"/>
  <c r="M992" i="4"/>
  <c r="M993" i="4"/>
  <c r="M994" i="4"/>
  <c r="M995" i="4"/>
  <c r="M996" i="4"/>
  <c r="M997" i="4"/>
  <c r="M998" i="4"/>
  <c r="M999" i="4"/>
  <c r="M1000" i="4"/>
  <c r="M1001" i="4"/>
  <c r="M1002" i="4"/>
  <c r="M1003" i="4"/>
  <c r="M1004" i="4"/>
  <c r="M1005" i="4"/>
  <c r="M1006" i="4"/>
  <c r="M1007" i="4"/>
  <c r="M1008" i="4"/>
  <c r="M1009" i="4"/>
  <c r="M1010" i="4"/>
  <c r="M1011" i="4"/>
  <c r="M1012" i="4"/>
  <c r="M1013" i="4"/>
  <c r="M1014" i="4"/>
  <c r="M1015" i="4"/>
  <c r="M1016" i="4"/>
  <c r="M1017" i="4"/>
  <c r="M1018" i="4"/>
  <c r="M1019" i="4"/>
  <c r="M1020" i="4"/>
  <c r="M1021" i="4"/>
  <c r="M1022" i="4"/>
  <c r="M1023" i="4"/>
  <c r="M1024" i="4"/>
  <c r="M1025" i="4"/>
  <c r="M1026" i="4"/>
  <c r="M1027" i="4"/>
  <c r="M1028" i="4"/>
  <c r="M1029" i="4"/>
  <c r="M1030" i="4"/>
  <c r="M1031" i="4"/>
  <c r="M1032" i="4"/>
  <c r="M1033" i="4"/>
  <c r="M1034" i="4"/>
  <c r="M1035" i="4"/>
  <c r="M1036" i="4"/>
  <c r="M1037" i="4"/>
  <c r="M1038" i="4"/>
  <c r="M1039" i="4"/>
  <c r="M1040" i="4"/>
  <c r="M1041" i="4"/>
  <c r="M1042" i="4"/>
  <c r="M1043" i="4"/>
  <c r="M1044" i="4"/>
  <c r="M1045" i="4"/>
  <c r="M1046" i="4"/>
  <c r="M1047" i="4"/>
  <c r="M1048" i="4"/>
  <c r="M1049" i="4"/>
  <c r="M1050" i="4"/>
  <c r="M1051" i="4"/>
  <c r="M1052" i="4"/>
  <c r="M1053" i="4"/>
  <c r="M1054" i="4"/>
  <c r="M1055" i="4"/>
  <c r="M1056" i="4"/>
  <c r="M1057" i="4"/>
  <c r="M1058" i="4"/>
  <c r="M1059" i="4"/>
  <c r="M1060" i="4"/>
  <c r="M1061" i="4"/>
  <c r="M1062" i="4"/>
  <c r="M1063" i="4"/>
  <c r="M1064" i="4"/>
  <c r="M1065" i="4"/>
  <c r="M1066" i="4"/>
  <c r="M1067" i="4"/>
  <c r="M1068" i="4"/>
  <c r="M1069" i="4"/>
  <c r="M1070" i="4"/>
  <c r="M1071" i="4"/>
  <c r="M1072" i="4"/>
  <c r="M1073" i="4"/>
  <c r="M1074" i="4"/>
  <c r="M1075" i="4"/>
  <c r="M1076" i="4"/>
  <c r="M1077" i="4"/>
  <c r="M1078" i="4"/>
  <c r="M1079" i="4"/>
  <c r="M1080" i="4"/>
  <c r="M1081" i="4"/>
  <c r="M1082" i="4"/>
  <c r="M1083" i="4"/>
  <c r="M1084" i="4"/>
  <c r="M1085" i="4"/>
  <c r="M1086" i="4"/>
  <c r="M1087" i="4"/>
  <c r="M1088" i="4"/>
  <c r="M1089" i="4"/>
  <c r="M1090" i="4"/>
  <c r="M1091" i="4"/>
  <c r="M1092" i="4"/>
  <c r="M1093" i="4"/>
  <c r="M1094" i="4"/>
  <c r="M1095" i="4"/>
  <c r="M1096" i="4"/>
  <c r="M1097" i="4"/>
  <c r="M1098" i="4"/>
  <c r="M1099" i="4"/>
  <c r="M1100" i="4"/>
  <c r="M1101" i="4"/>
  <c r="M1102" i="4"/>
  <c r="M1103" i="4"/>
  <c r="M1104" i="4"/>
  <c r="M1105" i="4"/>
  <c r="M1106" i="4"/>
  <c r="M1107" i="4"/>
  <c r="M1108" i="4"/>
  <c r="M1109" i="4"/>
  <c r="M1110" i="4"/>
  <c r="M1111" i="4"/>
  <c r="M1112" i="4"/>
  <c r="M1113" i="4"/>
  <c r="M1114" i="4"/>
  <c r="M1115" i="4"/>
  <c r="M1116" i="4"/>
  <c r="M1117" i="4"/>
  <c r="M1118" i="4"/>
  <c r="M1119" i="4"/>
  <c r="M1120" i="4"/>
  <c r="M1121" i="4"/>
  <c r="M1122" i="4"/>
  <c r="M1123" i="4"/>
  <c r="M1124" i="4"/>
  <c r="M1125" i="4"/>
  <c r="M1126" i="4"/>
  <c r="M1127" i="4"/>
  <c r="M1128" i="4"/>
  <c r="M1129" i="4"/>
  <c r="M1130" i="4"/>
  <c r="M1131" i="4"/>
  <c r="M1132" i="4"/>
  <c r="M1133" i="4"/>
  <c r="M1134" i="4"/>
  <c r="M1135" i="4"/>
  <c r="M1136" i="4"/>
  <c r="M1137" i="4"/>
  <c r="M1138" i="4"/>
  <c r="M1139" i="4"/>
  <c r="M1140" i="4"/>
  <c r="M1141" i="4"/>
  <c r="M1142" i="4"/>
  <c r="M1143" i="4"/>
  <c r="M1144" i="4"/>
  <c r="M1145" i="4"/>
  <c r="M1146" i="4"/>
  <c r="M1147" i="4"/>
  <c r="M1148" i="4"/>
  <c r="M1149" i="4"/>
  <c r="M1150" i="4"/>
  <c r="M1151" i="4"/>
  <c r="M1152" i="4"/>
  <c r="M1153" i="4"/>
  <c r="M1154" i="4"/>
  <c r="M1155" i="4"/>
  <c r="M1156" i="4"/>
  <c r="M1157" i="4"/>
  <c r="M1158" i="4"/>
  <c r="M1159" i="4"/>
  <c r="M1160" i="4"/>
  <c r="M1161" i="4"/>
  <c r="M1162" i="4"/>
  <c r="M1163" i="4"/>
  <c r="M1164" i="4"/>
  <c r="M1165" i="4"/>
  <c r="M1166" i="4"/>
  <c r="M1167" i="4"/>
  <c r="M1168" i="4"/>
  <c r="M1169" i="4"/>
  <c r="M1170" i="4"/>
  <c r="M1171" i="4"/>
  <c r="M1172" i="4"/>
  <c r="M1173" i="4"/>
  <c r="M1174" i="4"/>
  <c r="M1175" i="4"/>
  <c r="M1176" i="4"/>
  <c r="M1177" i="4"/>
  <c r="M1178" i="4"/>
  <c r="M1179" i="4"/>
  <c r="M1180" i="4"/>
  <c r="M1181" i="4"/>
  <c r="M1182" i="4"/>
  <c r="M1183" i="4"/>
  <c r="M1184" i="4"/>
  <c r="M1185" i="4"/>
  <c r="M1186" i="4"/>
  <c r="M1187" i="4"/>
  <c r="M1188" i="4"/>
  <c r="M1189" i="4"/>
  <c r="M1190" i="4"/>
  <c r="M1191" i="4"/>
  <c r="M1192" i="4"/>
  <c r="M1193" i="4"/>
  <c r="M1194" i="4"/>
  <c r="M1195" i="4"/>
  <c r="M1196" i="4"/>
  <c r="M1197" i="4"/>
  <c r="M1198" i="4"/>
  <c r="M1199" i="4"/>
  <c r="M1200" i="4"/>
  <c r="M1201" i="4"/>
  <c r="M1202" i="4"/>
  <c r="M1203" i="4"/>
  <c r="M1204" i="4"/>
  <c r="M1205" i="4"/>
  <c r="M1206" i="4"/>
  <c r="M1207" i="4"/>
  <c r="M1208" i="4"/>
  <c r="M1209" i="4"/>
  <c r="M1210" i="4"/>
  <c r="M1211" i="4"/>
  <c r="M1212" i="4"/>
  <c r="M1213" i="4"/>
  <c r="M1214" i="4"/>
  <c r="M1215" i="4"/>
  <c r="M1216" i="4"/>
  <c r="M1217" i="4"/>
  <c r="M1218" i="4"/>
  <c r="M1219" i="4"/>
  <c r="M1220" i="4"/>
  <c r="M1221" i="4"/>
  <c r="M1222" i="4"/>
  <c r="M1223" i="4"/>
  <c r="M1224" i="4"/>
  <c r="M1225" i="4"/>
  <c r="M1226" i="4"/>
  <c r="M1227" i="4"/>
  <c r="M1228" i="4"/>
  <c r="M1229" i="4"/>
  <c r="M1230" i="4"/>
  <c r="M1231" i="4"/>
  <c r="M1232" i="4"/>
  <c r="M1233" i="4"/>
  <c r="M1234" i="4"/>
  <c r="M1235" i="4"/>
  <c r="M1236" i="4"/>
  <c r="M1237" i="4"/>
  <c r="M1238" i="4"/>
  <c r="M1239" i="4"/>
  <c r="M1240" i="4"/>
  <c r="M1241" i="4"/>
  <c r="M1242" i="4"/>
  <c r="M1243" i="4"/>
  <c r="M1244" i="4"/>
  <c r="M1245" i="4"/>
  <c r="M1246" i="4"/>
  <c r="M1247" i="4"/>
  <c r="M1248" i="4"/>
  <c r="M1249" i="4"/>
  <c r="M1250" i="4"/>
  <c r="M1251" i="4"/>
  <c r="M1252" i="4"/>
  <c r="M1253" i="4"/>
  <c r="M1254" i="4"/>
  <c r="M1255" i="4"/>
  <c r="M1256" i="4"/>
  <c r="M1257" i="4"/>
  <c r="M1258" i="4"/>
  <c r="M1259" i="4"/>
  <c r="M1260" i="4"/>
  <c r="M1261" i="4"/>
  <c r="M1262" i="4"/>
  <c r="M1263" i="4"/>
  <c r="M1264" i="4"/>
  <c r="M1265" i="4"/>
  <c r="M1266" i="4"/>
  <c r="M1267" i="4"/>
  <c r="M1268" i="4"/>
  <c r="M1269" i="4"/>
  <c r="M1270" i="4"/>
  <c r="M1271" i="4"/>
  <c r="M1272" i="4"/>
  <c r="M1273" i="4"/>
  <c r="M1274" i="4"/>
  <c r="M1275" i="4"/>
  <c r="M1276" i="4"/>
  <c r="M1277" i="4"/>
  <c r="M1278" i="4"/>
  <c r="M1279" i="4"/>
  <c r="M1280" i="4"/>
  <c r="M128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I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H175" i="4"/>
  <c r="H176" i="4"/>
  <c r="H177" i="4"/>
  <c r="H178" i="4"/>
  <c r="H179" i="4"/>
  <c r="H180" i="4"/>
  <c r="H181" i="4"/>
  <c r="H182" i="4"/>
  <c r="H183" i="4"/>
  <c r="H184" i="4"/>
  <c r="H185" i="4"/>
  <c r="H186" i="4"/>
  <c r="H187" i="4"/>
  <c r="H188" i="4"/>
  <c r="H189" i="4"/>
  <c r="H190" i="4"/>
  <c r="H191" i="4"/>
  <c r="H192" i="4"/>
  <c r="H193" i="4"/>
  <c r="H194" i="4"/>
  <c r="H195" i="4"/>
  <c r="H196" i="4"/>
  <c r="H197" i="4"/>
  <c r="H198" i="4"/>
  <c r="H199" i="4"/>
  <c r="H200" i="4"/>
  <c r="H201" i="4"/>
  <c r="H202" i="4"/>
  <c r="H203" i="4"/>
  <c r="H204" i="4"/>
  <c r="H205" i="4"/>
  <c r="H206" i="4"/>
  <c r="H207" i="4"/>
  <c r="H208" i="4"/>
  <c r="H209" i="4"/>
  <c r="H210" i="4"/>
  <c r="H211" i="4"/>
  <c r="H212" i="4"/>
  <c r="H213" i="4"/>
  <c r="H214" i="4"/>
  <c r="H215" i="4"/>
  <c r="H216" i="4"/>
  <c r="H217" i="4"/>
  <c r="H218" i="4"/>
  <c r="H219" i="4"/>
  <c r="H220" i="4"/>
  <c r="H221" i="4"/>
  <c r="H222" i="4"/>
  <c r="H223" i="4"/>
  <c r="H224" i="4"/>
  <c r="H225" i="4"/>
  <c r="H226" i="4"/>
  <c r="H227" i="4"/>
  <c r="H228" i="4"/>
  <c r="H229" i="4"/>
  <c r="H230" i="4"/>
  <c r="H231" i="4"/>
  <c r="H232" i="4"/>
  <c r="H233" i="4"/>
  <c r="H234" i="4"/>
  <c r="H235" i="4"/>
  <c r="H236" i="4"/>
  <c r="H237" i="4"/>
  <c r="H238" i="4"/>
  <c r="H239" i="4"/>
  <c r="H240" i="4"/>
  <c r="H241" i="4"/>
  <c r="H242" i="4"/>
  <c r="H243" i="4"/>
  <c r="H244" i="4"/>
  <c r="H245" i="4"/>
  <c r="H246" i="4"/>
  <c r="H247" i="4"/>
  <c r="H248" i="4"/>
  <c r="H249" i="4"/>
  <c r="H250" i="4"/>
  <c r="H251" i="4"/>
  <c r="H252" i="4"/>
  <c r="H253" i="4"/>
  <c r="H254" i="4"/>
  <c r="H255" i="4"/>
  <c r="H256" i="4"/>
  <c r="H257" i="4"/>
  <c r="H258" i="4"/>
  <c r="H259" i="4"/>
  <c r="H260" i="4"/>
  <c r="H261" i="4"/>
  <c r="H262" i="4"/>
  <c r="H263" i="4"/>
  <c r="H264" i="4"/>
  <c r="H265" i="4"/>
  <c r="H266" i="4"/>
  <c r="H267" i="4"/>
  <c r="H268" i="4"/>
  <c r="H269" i="4"/>
  <c r="H270" i="4"/>
  <c r="H271" i="4"/>
  <c r="H272" i="4"/>
  <c r="H273" i="4"/>
  <c r="H274" i="4"/>
  <c r="H275" i="4"/>
  <c r="H276" i="4"/>
  <c r="H277" i="4"/>
  <c r="H278" i="4"/>
  <c r="H279" i="4"/>
  <c r="H280" i="4"/>
  <c r="H281" i="4"/>
  <c r="H282" i="4"/>
  <c r="H283" i="4"/>
  <c r="H284" i="4"/>
  <c r="H285" i="4"/>
  <c r="H286" i="4"/>
  <c r="H287" i="4"/>
  <c r="H288" i="4"/>
  <c r="H289" i="4"/>
  <c r="H290" i="4"/>
  <c r="H291" i="4"/>
  <c r="H292" i="4"/>
  <c r="H293" i="4"/>
  <c r="H294" i="4"/>
  <c r="H295" i="4"/>
  <c r="H296" i="4"/>
  <c r="H297" i="4"/>
  <c r="H298" i="4"/>
  <c r="H299" i="4"/>
  <c r="H300" i="4"/>
  <c r="H301" i="4"/>
  <c r="H302" i="4"/>
  <c r="H303" i="4"/>
  <c r="H304" i="4"/>
  <c r="H305" i="4"/>
  <c r="H306" i="4"/>
  <c r="H307" i="4"/>
  <c r="H308" i="4"/>
  <c r="H309" i="4"/>
  <c r="H310" i="4"/>
  <c r="H311" i="4"/>
  <c r="H312" i="4"/>
  <c r="H313" i="4"/>
  <c r="H314" i="4"/>
  <c r="H315" i="4"/>
  <c r="H316" i="4"/>
  <c r="H317" i="4"/>
  <c r="H318" i="4"/>
  <c r="H319" i="4"/>
  <c r="H320" i="4"/>
  <c r="H321" i="4"/>
  <c r="H322" i="4"/>
  <c r="H323" i="4"/>
  <c r="H324" i="4"/>
  <c r="H325" i="4"/>
  <c r="H326" i="4"/>
  <c r="H327" i="4"/>
  <c r="H328" i="4"/>
  <c r="H329" i="4"/>
  <c r="H330" i="4"/>
  <c r="H331" i="4"/>
  <c r="H332" i="4"/>
  <c r="H333" i="4"/>
  <c r="H334" i="4"/>
  <c r="H335" i="4"/>
  <c r="H336" i="4"/>
  <c r="H337" i="4"/>
  <c r="H338" i="4"/>
  <c r="H339" i="4"/>
  <c r="H340" i="4"/>
  <c r="H341" i="4"/>
  <c r="H342" i="4"/>
  <c r="H343" i="4"/>
  <c r="H344" i="4"/>
  <c r="H345" i="4"/>
  <c r="H346" i="4"/>
  <c r="H347" i="4"/>
  <c r="H348" i="4"/>
  <c r="H349" i="4"/>
  <c r="H350" i="4"/>
  <c r="H351" i="4"/>
  <c r="H352" i="4"/>
  <c r="H353" i="4"/>
  <c r="H354" i="4"/>
  <c r="H355" i="4"/>
  <c r="H356" i="4"/>
  <c r="H357" i="4"/>
  <c r="H358" i="4"/>
  <c r="H359" i="4"/>
  <c r="H360" i="4"/>
  <c r="H361" i="4"/>
  <c r="H362" i="4"/>
  <c r="H363" i="4"/>
  <c r="H364" i="4"/>
  <c r="H365" i="4"/>
  <c r="H366" i="4"/>
  <c r="H367" i="4"/>
  <c r="H368" i="4"/>
  <c r="H369" i="4"/>
  <c r="H370" i="4"/>
  <c r="H371" i="4"/>
  <c r="H372" i="4"/>
  <c r="H373" i="4"/>
  <c r="H374" i="4"/>
  <c r="H375" i="4"/>
  <c r="H376" i="4"/>
  <c r="H377" i="4"/>
  <c r="H378" i="4"/>
  <c r="H379" i="4"/>
  <c r="H380" i="4"/>
  <c r="H381" i="4"/>
  <c r="H382" i="4"/>
  <c r="H383" i="4"/>
  <c r="H384" i="4"/>
  <c r="H385" i="4"/>
  <c r="H386" i="4"/>
  <c r="H387" i="4"/>
  <c r="H388" i="4"/>
  <c r="H389" i="4"/>
  <c r="H390" i="4"/>
  <c r="H391" i="4"/>
  <c r="H392" i="4"/>
  <c r="H393" i="4"/>
  <c r="H394" i="4"/>
  <c r="H395" i="4"/>
  <c r="H396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415" i="4"/>
  <c r="H416" i="4"/>
  <c r="H417" i="4"/>
  <c r="H418" i="4"/>
  <c r="H419" i="4"/>
  <c r="H420" i="4"/>
  <c r="H421" i="4"/>
  <c r="H422" i="4"/>
  <c r="H423" i="4"/>
  <c r="H424" i="4"/>
  <c r="H425" i="4"/>
  <c r="H426" i="4"/>
  <c r="H427" i="4"/>
  <c r="H428" i="4"/>
  <c r="H429" i="4"/>
  <c r="H430" i="4"/>
  <c r="H431" i="4"/>
  <c r="H432" i="4"/>
  <c r="H433" i="4"/>
  <c r="H434" i="4"/>
  <c r="H435" i="4"/>
  <c r="H436" i="4"/>
  <c r="H437" i="4"/>
  <c r="H438" i="4"/>
  <c r="H439" i="4"/>
  <c r="H440" i="4"/>
  <c r="H441" i="4"/>
  <c r="H442" i="4"/>
  <c r="H443" i="4"/>
  <c r="H444" i="4"/>
  <c r="H445" i="4"/>
  <c r="H446" i="4"/>
  <c r="H447" i="4"/>
  <c r="H448" i="4"/>
  <c r="H449" i="4"/>
  <c r="H450" i="4"/>
  <c r="H451" i="4"/>
  <c r="H452" i="4"/>
  <c r="H453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470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486" i="4"/>
  <c r="H487" i="4"/>
  <c r="H488" i="4"/>
  <c r="H489" i="4"/>
  <c r="H490" i="4"/>
  <c r="H491" i="4"/>
  <c r="H492" i="4"/>
  <c r="H493" i="4"/>
  <c r="H494" i="4"/>
  <c r="H495" i="4"/>
  <c r="H496" i="4"/>
  <c r="H497" i="4"/>
  <c r="H498" i="4"/>
  <c r="H499" i="4"/>
  <c r="H500" i="4"/>
  <c r="H501" i="4"/>
  <c r="H502" i="4"/>
  <c r="H503" i="4"/>
  <c r="H504" i="4"/>
  <c r="H505" i="4"/>
  <c r="H506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532" i="4"/>
  <c r="H533" i="4"/>
  <c r="H534" i="4"/>
  <c r="H535" i="4"/>
  <c r="H536" i="4"/>
  <c r="H537" i="4"/>
  <c r="H538" i="4"/>
  <c r="H539" i="4"/>
  <c r="H540" i="4"/>
  <c r="H541" i="4"/>
  <c r="H542" i="4"/>
  <c r="H543" i="4"/>
  <c r="H544" i="4"/>
  <c r="H545" i="4"/>
  <c r="H546" i="4"/>
  <c r="H547" i="4"/>
  <c r="H548" i="4"/>
  <c r="H549" i="4"/>
  <c r="H550" i="4"/>
  <c r="H551" i="4"/>
  <c r="H552" i="4"/>
  <c r="H553" i="4"/>
  <c r="H554" i="4"/>
  <c r="H555" i="4"/>
  <c r="H556" i="4"/>
  <c r="H557" i="4"/>
  <c r="H558" i="4"/>
  <c r="H559" i="4"/>
  <c r="H560" i="4"/>
  <c r="H561" i="4"/>
  <c r="H562" i="4"/>
  <c r="H563" i="4"/>
  <c r="H564" i="4"/>
  <c r="H565" i="4"/>
  <c r="H566" i="4"/>
  <c r="H567" i="4"/>
  <c r="H568" i="4"/>
  <c r="H569" i="4"/>
  <c r="H570" i="4"/>
  <c r="H571" i="4"/>
  <c r="H572" i="4"/>
  <c r="H573" i="4"/>
  <c r="H574" i="4"/>
  <c r="H575" i="4"/>
  <c r="H576" i="4"/>
  <c r="H577" i="4"/>
  <c r="H578" i="4"/>
  <c r="H579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595" i="4"/>
  <c r="H596" i="4"/>
  <c r="H597" i="4"/>
  <c r="H598" i="4"/>
  <c r="H599" i="4"/>
  <c r="H600" i="4"/>
  <c r="H601" i="4"/>
  <c r="H602" i="4"/>
  <c r="H603" i="4"/>
  <c r="H604" i="4"/>
  <c r="H605" i="4"/>
  <c r="H606" i="4"/>
  <c r="H607" i="4"/>
  <c r="H608" i="4"/>
  <c r="H609" i="4"/>
  <c r="H610" i="4"/>
  <c r="H611" i="4"/>
  <c r="H612" i="4"/>
  <c r="H613" i="4"/>
  <c r="H614" i="4"/>
  <c r="H615" i="4"/>
  <c r="H616" i="4"/>
  <c r="H617" i="4"/>
  <c r="H618" i="4"/>
  <c r="H619" i="4"/>
  <c r="H620" i="4"/>
  <c r="H621" i="4"/>
  <c r="H622" i="4"/>
  <c r="H623" i="4"/>
  <c r="H624" i="4"/>
  <c r="H625" i="4"/>
  <c r="H626" i="4"/>
  <c r="H627" i="4"/>
  <c r="H628" i="4"/>
  <c r="H629" i="4"/>
  <c r="H630" i="4"/>
  <c r="H631" i="4"/>
  <c r="H632" i="4"/>
  <c r="H633" i="4"/>
  <c r="H634" i="4"/>
  <c r="H635" i="4"/>
  <c r="H636" i="4"/>
  <c r="H637" i="4"/>
  <c r="H638" i="4"/>
  <c r="H639" i="4"/>
  <c r="H640" i="4"/>
  <c r="H641" i="4"/>
  <c r="H642" i="4"/>
  <c r="H643" i="4"/>
  <c r="H644" i="4"/>
  <c r="H645" i="4"/>
  <c r="H646" i="4"/>
  <c r="H647" i="4"/>
  <c r="H648" i="4"/>
  <c r="H649" i="4"/>
  <c r="H650" i="4"/>
  <c r="H651" i="4"/>
  <c r="H652" i="4"/>
  <c r="H653" i="4"/>
  <c r="H654" i="4"/>
  <c r="H655" i="4"/>
  <c r="H656" i="4"/>
  <c r="H657" i="4"/>
  <c r="H658" i="4"/>
  <c r="H659" i="4"/>
  <c r="H660" i="4"/>
  <c r="H661" i="4"/>
  <c r="H662" i="4"/>
  <c r="H663" i="4"/>
  <c r="H664" i="4"/>
  <c r="H665" i="4"/>
  <c r="H666" i="4"/>
  <c r="H667" i="4"/>
  <c r="H668" i="4"/>
  <c r="H669" i="4"/>
  <c r="H670" i="4"/>
  <c r="H671" i="4"/>
  <c r="H672" i="4"/>
  <c r="H673" i="4"/>
  <c r="H674" i="4"/>
  <c r="H675" i="4"/>
  <c r="H676" i="4"/>
  <c r="H677" i="4"/>
  <c r="H678" i="4"/>
  <c r="H679" i="4"/>
  <c r="H680" i="4"/>
  <c r="H681" i="4"/>
  <c r="H682" i="4"/>
  <c r="H683" i="4"/>
  <c r="H684" i="4"/>
  <c r="H685" i="4"/>
  <c r="H686" i="4"/>
  <c r="H687" i="4"/>
  <c r="H688" i="4"/>
  <c r="H689" i="4"/>
  <c r="H690" i="4"/>
  <c r="H691" i="4"/>
  <c r="H692" i="4"/>
  <c r="H693" i="4"/>
  <c r="H694" i="4"/>
  <c r="H695" i="4"/>
  <c r="H696" i="4"/>
  <c r="H697" i="4"/>
  <c r="H698" i="4"/>
  <c r="H699" i="4"/>
  <c r="H700" i="4"/>
  <c r="H701" i="4"/>
  <c r="H702" i="4"/>
  <c r="H703" i="4"/>
  <c r="H704" i="4"/>
  <c r="H705" i="4"/>
  <c r="H706" i="4"/>
  <c r="H707" i="4"/>
  <c r="H708" i="4"/>
  <c r="H709" i="4"/>
  <c r="H710" i="4"/>
  <c r="H711" i="4"/>
  <c r="H712" i="4"/>
  <c r="H713" i="4"/>
  <c r="H714" i="4"/>
  <c r="H715" i="4"/>
  <c r="H716" i="4"/>
  <c r="H717" i="4"/>
  <c r="H718" i="4"/>
  <c r="H719" i="4"/>
  <c r="H720" i="4"/>
  <c r="H721" i="4"/>
  <c r="H722" i="4"/>
  <c r="H723" i="4"/>
  <c r="H724" i="4"/>
  <c r="H725" i="4"/>
  <c r="H726" i="4"/>
  <c r="H727" i="4"/>
  <c r="H728" i="4"/>
  <c r="H729" i="4"/>
  <c r="H730" i="4"/>
  <c r="H731" i="4"/>
  <c r="H732" i="4"/>
  <c r="H733" i="4"/>
  <c r="H734" i="4"/>
  <c r="H735" i="4"/>
  <c r="H736" i="4"/>
  <c r="H737" i="4"/>
  <c r="H738" i="4"/>
  <c r="H739" i="4"/>
  <c r="H740" i="4"/>
  <c r="H741" i="4"/>
  <c r="H742" i="4"/>
  <c r="H743" i="4"/>
  <c r="H744" i="4"/>
  <c r="H745" i="4"/>
  <c r="H746" i="4"/>
  <c r="H747" i="4"/>
  <c r="H748" i="4"/>
  <c r="H749" i="4"/>
  <c r="H750" i="4"/>
  <c r="H751" i="4"/>
  <c r="H752" i="4"/>
  <c r="H753" i="4"/>
  <c r="H754" i="4"/>
  <c r="H755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772" i="4"/>
  <c r="H773" i="4"/>
  <c r="H774" i="4"/>
  <c r="H775" i="4"/>
  <c r="H776" i="4"/>
  <c r="H777" i="4"/>
  <c r="H778" i="4"/>
  <c r="H779" i="4"/>
  <c r="H780" i="4"/>
  <c r="H781" i="4"/>
  <c r="H782" i="4"/>
  <c r="H783" i="4"/>
  <c r="H784" i="4"/>
  <c r="H785" i="4"/>
  <c r="H786" i="4"/>
  <c r="H787" i="4"/>
  <c r="H788" i="4"/>
  <c r="H789" i="4"/>
  <c r="H790" i="4"/>
  <c r="H791" i="4"/>
  <c r="H792" i="4"/>
  <c r="H793" i="4"/>
  <c r="H794" i="4"/>
  <c r="H795" i="4"/>
  <c r="H796" i="4"/>
  <c r="H797" i="4"/>
  <c r="H798" i="4"/>
  <c r="H799" i="4"/>
  <c r="H800" i="4"/>
  <c r="H801" i="4"/>
  <c r="H802" i="4"/>
  <c r="H803" i="4"/>
  <c r="H804" i="4"/>
  <c r="H805" i="4"/>
  <c r="H806" i="4"/>
  <c r="H807" i="4"/>
  <c r="H808" i="4"/>
  <c r="H809" i="4"/>
  <c r="H810" i="4"/>
  <c r="H811" i="4"/>
  <c r="H812" i="4"/>
  <c r="H813" i="4"/>
  <c r="H814" i="4"/>
  <c r="H815" i="4"/>
  <c r="H816" i="4"/>
  <c r="H817" i="4"/>
  <c r="H818" i="4"/>
  <c r="H819" i="4"/>
  <c r="H820" i="4"/>
  <c r="H821" i="4"/>
  <c r="H822" i="4"/>
  <c r="H823" i="4"/>
  <c r="H824" i="4"/>
  <c r="H825" i="4"/>
  <c r="H826" i="4"/>
  <c r="H827" i="4"/>
  <c r="H828" i="4"/>
  <c r="H829" i="4"/>
  <c r="H830" i="4"/>
  <c r="H831" i="4"/>
  <c r="H832" i="4"/>
  <c r="H833" i="4"/>
  <c r="H834" i="4"/>
  <c r="H835" i="4"/>
  <c r="H836" i="4"/>
  <c r="H837" i="4"/>
  <c r="H838" i="4"/>
  <c r="H839" i="4"/>
  <c r="H840" i="4"/>
  <c r="H841" i="4"/>
  <c r="H842" i="4"/>
  <c r="H843" i="4"/>
  <c r="H844" i="4"/>
  <c r="H845" i="4"/>
  <c r="H846" i="4"/>
  <c r="H847" i="4"/>
  <c r="H848" i="4"/>
  <c r="H849" i="4"/>
  <c r="H850" i="4"/>
  <c r="H851" i="4"/>
  <c r="H852" i="4"/>
  <c r="H853" i="4"/>
  <c r="H854" i="4"/>
  <c r="H855" i="4"/>
  <c r="H856" i="4"/>
  <c r="H857" i="4"/>
  <c r="H858" i="4"/>
  <c r="H859" i="4"/>
  <c r="H860" i="4"/>
  <c r="H861" i="4"/>
  <c r="H862" i="4"/>
  <c r="H863" i="4"/>
  <c r="H864" i="4"/>
  <c r="H865" i="4"/>
  <c r="H866" i="4"/>
  <c r="H867" i="4"/>
  <c r="H868" i="4"/>
  <c r="H869" i="4"/>
  <c r="H870" i="4"/>
  <c r="H871" i="4"/>
  <c r="H872" i="4"/>
  <c r="H873" i="4"/>
  <c r="H874" i="4"/>
  <c r="H875" i="4"/>
  <c r="H876" i="4"/>
  <c r="H877" i="4"/>
  <c r="H878" i="4"/>
  <c r="H879" i="4"/>
  <c r="H880" i="4"/>
  <c r="H881" i="4"/>
  <c r="H882" i="4"/>
  <c r="H883" i="4"/>
  <c r="H884" i="4"/>
  <c r="H885" i="4"/>
  <c r="H886" i="4"/>
  <c r="H887" i="4"/>
  <c r="H888" i="4"/>
  <c r="H889" i="4"/>
  <c r="H890" i="4"/>
  <c r="H891" i="4"/>
  <c r="H892" i="4"/>
  <c r="H893" i="4"/>
  <c r="H894" i="4"/>
  <c r="H895" i="4"/>
  <c r="H896" i="4"/>
  <c r="H897" i="4"/>
  <c r="H898" i="4"/>
  <c r="H899" i="4"/>
  <c r="H900" i="4"/>
  <c r="H901" i="4"/>
  <c r="H902" i="4"/>
  <c r="H903" i="4"/>
  <c r="H904" i="4"/>
  <c r="H905" i="4"/>
  <c r="H906" i="4"/>
  <c r="H907" i="4"/>
  <c r="H908" i="4"/>
  <c r="H909" i="4"/>
  <c r="H910" i="4"/>
  <c r="H911" i="4"/>
  <c r="H912" i="4"/>
  <c r="H913" i="4"/>
  <c r="H914" i="4"/>
  <c r="H915" i="4"/>
  <c r="H916" i="4"/>
  <c r="H917" i="4"/>
  <c r="H918" i="4"/>
  <c r="H919" i="4"/>
  <c r="H920" i="4"/>
  <c r="H921" i="4"/>
  <c r="H922" i="4"/>
  <c r="H923" i="4"/>
  <c r="H924" i="4"/>
  <c r="H925" i="4"/>
  <c r="H926" i="4"/>
  <c r="H927" i="4"/>
  <c r="H928" i="4"/>
  <c r="H929" i="4"/>
  <c r="H930" i="4"/>
  <c r="H931" i="4"/>
  <c r="H932" i="4"/>
  <c r="H933" i="4"/>
  <c r="H934" i="4"/>
  <c r="H935" i="4"/>
  <c r="H936" i="4"/>
  <c r="H937" i="4"/>
  <c r="H938" i="4"/>
  <c r="H939" i="4"/>
  <c r="H940" i="4"/>
  <c r="H941" i="4"/>
  <c r="H942" i="4"/>
  <c r="H943" i="4"/>
  <c r="H944" i="4"/>
  <c r="H945" i="4"/>
  <c r="H946" i="4"/>
  <c r="H947" i="4"/>
  <c r="H948" i="4"/>
  <c r="H949" i="4"/>
  <c r="H950" i="4"/>
  <c r="H951" i="4"/>
  <c r="H952" i="4"/>
  <c r="H953" i="4"/>
  <c r="H954" i="4"/>
  <c r="H955" i="4"/>
  <c r="H956" i="4"/>
  <c r="H957" i="4"/>
  <c r="H958" i="4"/>
  <c r="H959" i="4"/>
  <c r="H960" i="4"/>
  <c r="H961" i="4"/>
  <c r="H962" i="4"/>
  <c r="H963" i="4"/>
  <c r="H964" i="4"/>
  <c r="H965" i="4"/>
  <c r="H966" i="4"/>
  <c r="H967" i="4"/>
  <c r="H968" i="4"/>
  <c r="H969" i="4"/>
  <c r="H970" i="4"/>
  <c r="H971" i="4"/>
  <c r="H972" i="4"/>
  <c r="H973" i="4"/>
  <c r="H974" i="4"/>
  <c r="H975" i="4"/>
  <c r="H976" i="4"/>
  <c r="H977" i="4"/>
  <c r="H978" i="4"/>
  <c r="H979" i="4"/>
  <c r="H980" i="4"/>
  <c r="H981" i="4"/>
  <c r="H982" i="4"/>
  <c r="H983" i="4"/>
  <c r="H984" i="4"/>
  <c r="H985" i="4"/>
  <c r="H986" i="4"/>
  <c r="H987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01" i="4"/>
  <c r="H1002" i="4"/>
  <c r="H1003" i="4"/>
  <c r="H1004" i="4"/>
  <c r="H1005" i="4"/>
  <c r="H1006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34" i="4"/>
  <c r="H1035" i="4"/>
  <c r="H1036" i="4"/>
  <c r="H1037" i="4"/>
  <c r="H1038" i="4"/>
  <c r="H1039" i="4"/>
  <c r="H1040" i="4"/>
  <c r="H1041" i="4"/>
  <c r="H1042" i="4"/>
  <c r="H1043" i="4"/>
  <c r="H1044" i="4"/>
  <c r="H1045" i="4"/>
  <c r="H1046" i="4"/>
  <c r="H1047" i="4"/>
  <c r="H1048" i="4"/>
  <c r="H1049" i="4"/>
  <c r="H1050" i="4"/>
  <c r="H1051" i="4"/>
  <c r="H1052" i="4"/>
  <c r="H1053" i="4"/>
  <c r="H1054" i="4"/>
  <c r="H1055" i="4"/>
  <c r="H1056" i="4"/>
  <c r="H1057" i="4"/>
  <c r="H1058" i="4"/>
  <c r="H1059" i="4"/>
  <c r="H1060" i="4"/>
  <c r="H1061" i="4"/>
  <c r="H1062" i="4"/>
  <c r="H1063" i="4"/>
  <c r="H1064" i="4"/>
  <c r="H1065" i="4"/>
  <c r="H1066" i="4"/>
  <c r="H1067" i="4"/>
  <c r="H1068" i="4"/>
  <c r="H1069" i="4"/>
  <c r="H1070" i="4"/>
  <c r="H1071" i="4"/>
  <c r="H1072" i="4"/>
  <c r="H1073" i="4"/>
  <c r="H1074" i="4"/>
  <c r="H1075" i="4"/>
  <c r="H1076" i="4"/>
  <c r="H1077" i="4"/>
  <c r="H1078" i="4"/>
  <c r="H1079" i="4"/>
  <c r="H1080" i="4"/>
  <c r="H1081" i="4"/>
  <c r="H1082" i="4"/>
  <c r="H1083" i="4"/>
  <c r="H1084" i="4"/>
  <c r="H1085" i="4"/>
  <c r="H1086" i="4"/>
  <c r="H1087" i="4"/>
  <c r="H1088" i="4"/>
  <c r="H1089" i="4"/>
  <c r="H1090" i="4"/>
  <c r="H1091" i="4"/>
  <c r="H1092" i="4"/>
  <c r="H1093" i="4"/>
  <c r="H1094" i="4"/>
  <c r="H1095" i="4"/>
  <c r="H1096" i="4"/>
  <c r="H1097" i="4"/>
  <c r="H1098" i="4"/>
  <c r="H1099" i="4"/>
  <c r="H1100" i="4"/>
  <c r="H1101" i="4"/>
  <c r="H1102" i="4"/>
  <c r="H1103" i="4"/>
  <c r="H1104" i="4"/>
  <c r="H1105" i="4"/>
  <c r="H1106" i="4"/>
  <c r="H1107" i="4"/>
  <c r="H1108" i="4"/>
  <c r="H1109" i="4"/>
  <c r="H1110" i="4"/>
  <c r="H1111" i="4"/>
  <c r="H1112" i="4"/>
  <c r="H1113" i="4"/>
  <c r="H1114" i="4"/>
  <c r="H1115" i="4"/>
  <c r="H1116" i="4"/>
  <c r="H1117" i="4"/>
  <c r="H1118" i="4"/>
  <c r="H1119" i="4"/>
  <c r="H1120" i="4"/>
  <c r="H1121" i="4"/>
  <c r="H1122" i="4"/>
  <c r="H1123" i="4"/>
  <c r="H1124" i="4"/>
  <c r="H1125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142" i="4"/>
  <c r="H1143" i="4"/>
  <c r="H1144" i="4"/>
  <c r="H1145" i="4"/>
  <c r="H1146" i="4"/>
  <c r="H114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166" i="4"/>
  <c r="H1167" i="4"/>
  <c r="H1168" i="4"/>
  <c r="H1169" i="4"/>
  <c r="H1170" i="4"/>
  <c r="H1171" i="4"/>
  <c r="H1172" i="4"/>
  <c r="H1173" i="4"/>
  <c r="H1174" i="4"/>
  <c r="H1175" i="4"/>
  <c r="H1176" i="4"/>
  <c r="H1177" i="4"/>
  <c r="H1178" i="4"/>
  <c r="H1179" i="4"/>
  <c r="H1180" i="4"/>
  <c r="H1181" i="4"/>
  <c r="H1182" i="4"/>
  <c r="H1183" i="4"/>
  <c r="H1184" i="4"/>
  <c r="H1185" i="4"/>
  <c r="H1186" i="4"/>
  <c r="H1187" i="4"/>
  <c r="H1188" i="4"/>
  <c r="H1189" i="4"/>
  <c r="H1190" i="4"/>
  <c r="H1191" i="4"/>
  <c r="H1192" i="4"/>
  <c r="H1193" i="4"/>
  <c r="H1194" i="4"/>
  <c r="H1195" i="4"/>
  <c r="H1196" i="4"/>
  <c r="H1197" i="4"/>
  <c r="H1198" i="4"/>
  <c r="H1199" i="4"/>
  <c r="H1200" i="4"/>
  <c r="H1201" i="4"/>
  <c r="H1202" i="4"/>
  <c r="H1203" i="4"/>
  <c r="H1204" i="4"/>
  <c r="H1205" i="4"/>
  <c r="H1206" i="4"/>
  <c r="H1207" i="4"/>
  <c r="H1208" i="4"/>
  <c r="H1209" i="4"/>
  <c r="H1210" i="4"/>
  <c r="H1211" i="4"/>
  <c r="H1212" i="4"/>
  <c r="H1213" i="4"/>
  <c r="H1214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237" i="4"/>
  <c r="H1238" i="4"/>
  <c r="H1239" i="4"/>
  <c r="H1240" i="4"/>
  <c r="H1241" i="4"/>
  <c r="H1242" i="4"/>
  <c r="H1243" i="4"/>
  <c r="H1244" i="4"/>
  <c r="H1245" i="4"/>
  <c r="H1246" i="4"/>
  <c r="H1247" i="4"/>
  <c r="H1248" i="4"/>
  <c r="H1249" i="4"/>
  <c r="H1250" i="4"/>
  <c r="H1251" i="4"/>
  <c r="H1252" i="4"/>
  <c r="H1253" i="4"/>
  <c r="H1254" i="4"/>
  <c r="H1255" i="4"/>
  <c r="H1256" i="4"/>
  <c r="H1257" i="4"/>
  <c r="H1258" i="4"/>
  <c r="H1259" i="4"/>
  <c r="H1260" i="4"/>
  <c r="H1261" i="4"/>
  <c r="H1262" i="4"/>
  <c r="H1263" i="4"/>
  <c r="H1264" i="4"/>
  <c r="H1265" i="4"/>
  <c r="H1266" i="4"/>
  <c r="H1267" i="4"/>
  <c r="H1268" i="4"/>
  <c r="H1269" i="4"/>
  <c r="H1270" i="4"/>
  <c r="H1271" i="4"/>
  <c r="H1272" i="4"/>
  <c r="H1273" i="4"/>
  <c r="H1274" i="4"/>
  <c r="H1275" i="4"/>
  <c r="H1276" i="4"/>
  <c r="H1277" i="4"/>
  <c r="H1278" i="4"/>
  <c r="H1279" i="4"/>
  <c r="H1280" i="4"/>
  <c r="H1281" i="4"/>
  <c r="D37" i="1" l="1"/>
  <c r="D39" i="1"/>
  <c r="D38" i="1"/>
  <c r="D35" i="1"/>
  <c r="D40" i="1"/>
  <c r="D36" i="1"/>
  <c r="Y13" i="1"/>
  <c r="Y14" i="1"/>
  <c r="Y15" i="1"/>
  <c r="Y19" i="1"/>
  <c r="Y11" i="1"/>
  <c r="AG11" i="1"/>
  <c r="AI27" i="1"/>
  <c r="AD23" i="1"/>
  <c r="AJ27" i="1"/>
  <c r="AA31" i="1"/>
  <c r="AG13" i="1"/>
  <c r="AF4" i="1"/>
  <c r="AI23" i="1"/>
  <c r="AB11" i="1"/>
  <c r="AI29" i="1"/>
  <c r="AD21" i="1"/>
  <c r="AG7" i="1"/>
  <c r="AJ15" i="1"/>
  <c r="AH19" i="1"/>
  <c r="AE31" i="1"/>
  <c r="AC19" i="1"/>
  <c r="Z27" i="1"/>
  <c r="AB7" i="1"/>
  <c r="AH15" i="1"/>
  <c r="AE27" i="1"/>
  <c r="AC15" i="1"/>
  <c r="Z23" i="1"/>
  <c r="AD4" i="1"/>
  <c r="AJ11" i="1"/>
  <c r="AI11" i="1"/>
  <c r="AG27" i="1"/>
  <c r="AF23" i="1"/>
  <c r="AE15" i="1"/>
  <c r="AD11" i="1"/>
  <c r="AB27" i="1"/>
  <c r="AA19" i="1"/>
  <c r="Z11" i="1"/>
  <c r="AJ7" i="1"/>
  <c r="AJ31" i="1"/>
  <c r="AH31" i="1"/>
  <c r="AG23" i="1"/>
  <c r="AF19" i="1"/>
  <c r="AE11" i="1"/>
  <c r="AC31" i="1"/>
  <c r="AB23" i="1"/>
  <c r="AA15" i="1"/>
  <c r="Y31" i="1"/>
  <c r="AI4" i="1"/>
  <c r="Y7" i="1"/>
  <c r="AI31" i="1"/>
  <c r="AH27" i="1"/>
  <c r="AG19" i="1"/>
  <c r="AF15" i="1"/>
  <c r="AD31" i="1"/>
  <c r="AC27" i="1"/>
  <c r="AB19" i="1"/>
  <c r="AA11" i="1"/>
  <c r="AB4" i="1"/>
  <c r="AF7" i="1"/>
  <c r="AJ23" i="1"/>
  <c r="AI19" i="1"/>
  <c r="AH11" i="1"/>
  <c r="AF31" i="1"/>
  <c r="AE23" i="1"/>
  <c r="AD19" i="1"/>
  <c r="AC11" i="1"/>
  <c r="AA27" i="1"/>
  <c r="Z19" i="1"/>
  <c r="Y27" i="1"/>
  <c r="AH4" i="1"/>
  <c r="Z4" i="1"/>
  <c r="AC7" i="1"/>
  <c r="Y4" i="1"/>
  <c r="AJ19" i="1"/>
  <c r="AI15" i="1"/>
  <c r="AH23" i="1"/>
  <c r="AG31" i="1"/>
  <c r="AG15" i="1"/>
  <c r="AF27" i="1"/>
  <c r="AD15" i="1"/>
  <c r="AC23" i="1"/>
  <c r="AB31" i="1"/>
  <c r="AB15" i="1"/>
  <c r="AA23" i="1"/>
  <c r="AJ30" i="1"/>
  <c r="AG14" i="1"/>
  <c r="AF30" i="1"/>
  <c r="AE26" i="1"/>
  <c r="AB6" i="1"/>
  <c r="Y6" i="1"/>
  <c r="AI30" i="1"/>
  <c r="AG22" i="1"/>
  <c r="AE6" i="1"/>
  <c r="Z6" i="1"/>
  <c r="AJ14" i="1"/>
  <c r="AD30" i="1"/>
  <c r="AB26" i="1"/>
  <c r="AH10" i="1"/>
  <c r="AJ22" i="1"/>
  <c r="AC26" i="1"/>
  <c r="AJ6" i="1"/>
  <c r="AH6" i="1"/>
  <c r="AG6" i="1"/>
  <c r="AF6" i="1"/>
  <c r="AD10" i="1"/>
  <c r="AC6" i="1"/>
  <c r="AA10" i="1"/>
  <c r="AI22" i="1"/>
  <c r="AI14" i="1"/>
  <c r="AH30" i="1"/>
  <c r="AH22" i="1"/>
  <c r="AH14" i="1"/>
  <c r="AF18" i="1"/>
  <c r="AE34" i="1"/>
  <c r="AE14" i="1"/>
  <c r="AA14" i="1"/>
  <c r="Z26" i="1"/>
  <c r="AI10" i="1"/>
  <c r="AG10" i="1"/>
  <c r="AF10" i="1"/>
  <c r="AE10" i="1"/>
  <c r="AD6" i="1"/>
  <c r="AB10" i="1"/>
  <c r="AA6" i="1"/>
  <c r="Y10" i="1"/>
  <c r="AJ34" i="1"/>
  <c r="AJ26" i="1"/>
  <c r="AJ18" i="1"/>
  <c r="AI34" i="1"/>
  <c r="AG26" i="1"/>
  <c r="AG18" i="1"/>
  <c r="AC30" i="1"/>
  <c r="AA34" i="1"/>
  <c r="AA22" i="1"/>
  <c r="AJ10" i="1"/>
  <c r="AG9" i="1"/>
  <c r="AF9" i="1"/>
  <c r="AE9" i="1"/>
  <c r="AC10" i="1"/>
  <c r="AI26" i="1"/>
  <c r="AI18" i="1"/>
  <c r="AH34" i="1"/>
  <c r="AH26" i="1"/>
  <c r="AH18" i="1"/>
  <c r="AG34" i="1"/>
  <c r="AF22" i="1"/>
  <c r="AF14" i="1"/>
  <c r="AE18" i="1"/>
  <c r="AD22" i="1"/>
  <c r="AD14" i="1"/>
  <c r="AC18" i="1"/>
  <c r="AB18" i="1"/>
  <c r="Y30" i="1"/>
  <c r="AB5" i="1"/>
  <c r="AI13" i="1"/>
  <c r="AF21" i="1"/>
  <c r="AE30" i="1"/>
  <c r="AD34" i="1"/>
  <c r="AD26" i="1"/>
  <c r="AC29" i="1"/>
  <c r="AC22" i="1"/>
  <c r="AC14" i="1"/>
  <c r="AB30" i="1"/>
  <c r="AB22" i="1"/>
  <c r="AB14" i="1"/>
  <c r="AA30" i="1"/>
  <c r="Y29" i="1"/>
  <c r="Y18" i="1"/>
  <c r="Y5" i="1"/>
  <c r="AH21" i="1"/>
  <c r="AG30" i="1"/>
  <c r="AF34" i="1"/>
  <c r="AF26" i="1"/>
  <c r="AE29" i="1"/>
  <c r="AE22" i="1"/>
  <c r="AD18" i="1"/>
  <c r="AC34" i="1"/>
  <c r="AC13" i="1"/>
  <c r="AA18" i="1"/>
  <c r="Z22" i="1"/>
  <c r="Y34" i="1"/>
  <c r="AI5" i="1"/>
  <c r="AE5" i="1"/>
  <c r="AJ21" i="1"/>
  <c r="AG29" i="1"/>
  <c r="AE13" i="1"/>
  <c r="AB21" i="1"/>
  <c r="Z21" i="1"/>
  <c r="AA29" i="1"/>
  <c r="AA13" i="1"/>
  <c r="AG5" i="1"/>
  <c r="AD5" i="1"/>
  <c r="AH9" i="1"/>
  <c r="Z9" i="1"/>
  <c r="Y9" i="1"/>
  <c r="AJ25" i="1"/>
  <c r="AI33" i="1"/>
  <c r="AI17" i="1"/>
  <c r="AH25" i="1"/>
  <c r="AG33" i="1"/>
  <c r="AG17" i="1"/>
  <c r="AF25" i="1"/>
  <c r="AE33" i="1"/>
  <c r="AE17" i="1"/>
  <c r="AD25" i="1"/>
  <c r="AC33" i="1"/>
  <c r="AC17" i="1"/>
  <c r="AB25" i="1"/>
  <c r="AA33" i="1"/>
  <c r="AA17" i="1"/>
  <c r="Z25" i="1"/>
  <c r="Y33" i="1"/>
  <c r="Y17" i="1"/>
  <c r="AJ5" i="1"/>
  <c r="AF5" i="1"/>
  <c r="AA5" i="1"/>
  <c r="AJ9" i="1"/>
  <c r="AI9" i="1"/>
  <c r="AC9" i="1"/>
  <c r="AB9" i="1"/>
  <c r="AA9" i="1"/>
  <c r="AJ29" i="1"/>
  <c r="AJ13" i="1"/>
  <c r="AI21" i="1"/>
  <c r="AH29" i="1"/>
  <c r="AH13" i="1"/>
  <c r="AG21" i="1"/>
  <c r="AF29" i="1"/>
  <c r="AF13" i="1"/>
  <c r="AE21" i="1"/>
  <c r="AD29" i="1"/>
  <c r="AD13" i="1"/>
  <c r="AC21" i="1"/>
  <c r="AB34" i="1"/>
  <c r="AB29" i="1"/>
  <c r="AB13" i="1"/>
  <c r="AA26" i="1"/>
  <c r="AA21" i="1"/>
  <c r="AH5" i="1"/>
  <c r="AC5" i="1"/>
  <c r="AJ33" i="1"/>
  <c r="AJ17" i="1"/>
  <c r="AI25" i="1"/>
  <c r="AH33" i="1"/>
  <c r="AH17" i="1"/>
  <c r="AG25" i="1"/>
  <c r="AF33" i="1"/>
  <c r="AF17" i="1"/>
  <c r="AE25" i="1"/>
  <c r="AD33" i="1"/>
  <c r="AD17" i="1"/>
  <c r="AC25" i="1"/>
  <c r="AB33" i="1"/>
  <c r="AB17" i="1"/>
  <c r="AA25" i="1"/>
  <c r="AB8" i="1"/>
  <c r="Y8" i="1"/>
  <c r="AF8" i="1"/>
  <c r="AJ8" i="1"/>
  <c r="AI8" i="1"/>
  <c r="AE8" i="1"/>
  <c r="AA8" i="1"/>
  <c r="AI7" i="1"/>
  <c r="AH8" i="1"/>
  <c r="AE7" i="1"/>
  <c r="AD8" i="1"/>
  <c r="AA7" i="1"/>
  <c r="Z8" i="1"/>
  <c r="AJ4" i="1"/>
  <c r="AG4" i="1"/>
  <c r="AE4" i="1"/>
  <c r="AC4" i="1"/>
  <c r="AH7" i="1"/>
  <c r="AG8" i="1"/>
  <c r="AD7" i="1"/>
  <c r="AJ32" i="1"/>
  <c r="AJ28" i="1"/>
  <c r="AJ24" i="1"/>
  <c r="AJ20" i="1"/>
  <c r="AJ16" i="1"/>
  <c r="AJ12" i="1"/>
  <c r="AI32" i="1"/>
  <c r="AI28" i="1"/>
  <c r="AI24" i="1"/>
  <c r="AI20" i="1"/>
  <c r="AI16" i="1"/>
  <c r="AI12" i="1"/>
  <c r="AH32" i="1"/>
  <c r="AH28" i="1"/>
  <c r="AH24" i="1"/>
  <c r="AH20" i="1"/>
  <c r="AH16" i="1"/>
  <c r="AH12" i="1"/>
  <c r="AG32" i="1"/>
  <c r="AG28" i="1"/>
  <c r="AG24" i="1"/>
  <c r="AG20" i="1"/>
  <c r="AG16" i="1"/>
  <c r="AG12" i="1"/>
  <c r="AF32" i="1"/>
  <c r="AF28" i="1"/>
  <c r="AF24" i="1"/>
  <c r="AF20" i="1"/>
  <c r="AF16" i="1"/>
  <c r="AF12" i="1"/>
  <c r="AE32" i="1"/>
  <c r="AE28" i="1"/>
  <c r="AE24" i="1"/>
  <c r="AE20" i="1"/>
  <c r="AE16" i="1"/>
  <c r="AE12" i="1"/>
  <c r="AD32" i="1"/>
  <c r="AD28" i="1"/>
  <c r="AD24" i="1"/>
  <c r="AD20" i="1"/>
  <c r="AD16" i="1"/>
  <c r="AD12" i="1"/>
  <c r="AC32" i="1"/>
  <c r="AC28" i="1"/>
  <c r="AC24" i="1"/>
  <c r="AC20" i="1"/>
  <c r="AC16" i="1"/>
  <c r="AC12" i="1"/>
  <c r="AB32" i="1"/>
  <c r="AB28" i="1"/>
  <c r="AB24" i="1"/>
  <c r="AB20" i="1"/>
  <c r="AB16" i="1"/>
  <c r="AB12" i="1"/>
  <c r="AA32" i="1"/>
  <c r="AA28" i="1"/>
  <c r="AA24" i="1"/>
  <c r="AA20" i="1"/>
  <c r="AA16" i="1"/>
  <c r="AA12" i="1"/>
  <c r="Z32" i="1"/>
  <c r="Z28" i="1"/>
  <c r="Z24" i="1"/>
  <c r="Z20" i="1"/>
  <c r="Z16" i="1"/>
  <c r="Z12" i="1"/>
  <c r="J1276" i="4"/>
  <c r="J1272" i="4"/>
  <c r="J1264" i="4"/>
  <c r="J1260" i="4"/>
  <c r="J1248" i="4"/>
  <c r="J1236" i="4"/>
  <c r="J1224" i="4"/>
  <c r="J1212" i="4"/>
  <c r="J1200" i="4"/>
  <c r="J1168" i="4"/>
  <c r="J1156" i="4"/>
  <c r="J1144" i="4"/>
  <c r="J1132" i="4"/>
  <c r="J1120" i="4"/>
  <c r="J1108" i="4"/>
  <c r="J1096" i="4"/>
  <c r="J1092" i="4"/>
  <c r="J1084" i="4"/>
  <c r="J1080" i="4"/>
  <c r="J1072" i="4"/>
  <c r="J1068" i="4"/>
  <c r="J1060" i="4"/>
  <c r="J1056" i="4"/>
  <c r="J1048" i="4"/>
  <c r="J1044" i="4"/>
  <c r="J1036" i="4"/>
  <c r="J1032" i="4"/>
  <c r="J1024" i="4"/>
  <c r="J1020" i="4"/>
  <c r="J1012" i="4"/>
  <c r="J1008" i="4"/>
  <c r="J1000" i="4"/>
  <c r="J996" i="4"/>
  <c r="J988" i="4"/>
  <c r="J984" i="4"/>
  <c r="J976" i="4"/>
  <c r="J972" i="4"/>
  <c r="J964" i="4"/>
  <c r="J960" i="4"/>
  <c r="J948" i="4"/>
  <c r="J936" i="4"/>
  <c r="J924" i="4"/>
  <c r="J912" i="4"/>
  <c r="J900" i="4"/>
  <c r="J896" i="4"/>
  <c r="J888" i="4"/>
  <c r="J884" i="4"/>
  <c r="J876" i="4"/>
  <c r="J872" i="4"/>
  <c r="J864" i="4"/>
  <c r="J860" i="4"/>
  <c r="J852" i="4"/>
  <c r="J848" i="4"/>
  <c r="J840" i="4"/>
  <c r="J836" i="4"/>
  <c r="J828" i="4"/>
  <c r="J824" i="4"/>
  <c r="J816" i="4"/>
  <c r="J812" i="4"/>
  <c r="J804" i="4"/>
  <c r="J800" i="4"/>
  <c r="J792" i="4"/>
  <c r="J788" i="4"/>
  <c r="J780" i="4"/>
  <c r="J776" i="4"/>
  <c r="J768" i="4"/>
  <c r="J764" i="4"/>
  <c r="J756" i="4"/>
  <c r="J752" i="4"/>
  <c r="J744" i="4"/>
  <c r="J740" i="4"/>
  <c r="J732" i="4"/>
  <c r="J728" i="4"/>
  <c r="J720" i="4"/>
  <c r="J716" i="4"/>
  <c r="J708" i="4"/>
  <c r="J704" i="4"/>
  <c r="J696" i="4"/>
  <c r="J692" i="4"/>
  <c r="J684" i="4"/>
  <c r="J672" i="4"/>
  <c r="J660" i="4"/>
  <c r="J648" i="4"/>
  <c r="J636" i="4"/>
  <c r="J624" i="4"/>
  <c r="J620" i="4"/>
  <c r="J612" i="4"/>
  <c r="J608" i="4"/>
  <c r="J600" i="4"/>
  <c r="J596" i="4"/>
  <c r="J588" i="4"/>
  <c r="J584" i="4"/>
  <c r="J576" i="4"/>
  <c r="J572" i="4"/>
  <c r="J564" i="4"/>
  <c r="J552" i="4"/>
  <c r="J540" i="4"/>
  <c r="J528" i="4"/>
  <c r="J516" i="4"/>
  <c r="J504" i="4"/>
  <c r="J496" i="4"/>
  <c r="J492" i="4"/>
  <c r="J484" i="4"/>
  <c r="J480" i="4"/>
  <c r="J472" i="4"/>
  <c r="J468" i="4"/>
  <c r="J456" i="4"/>
  <c r="J448" i="4"/>
  <c r="J444" i="4"/>
  <c r="J436" i="4"/>
  <c r="J432" i="4"/>
  <c r="J424" i="4"/>
  <c r="J420" i="4"/>
  <c r="J412" i="4"/>
  <c r="J408" i="4"/>
  <c r="J400" i="4"/>
  <c r="J396" i="4"/>
  <c r="J388" i="4"/>
  <c r="J384" i="4"/>
  <c r="J376" i="4"/>
  <c r="J372" i="4"/>
  <c r="J364" i="4"/>
  <c r="J360" i="4"/>
  <c r="J352" i="4"/>
  <c r="J348" i="4"/>
  <c r="J340" i="4"/>
  <c r="J336" i="4"/>
  <c r="J328" i="4"/>
  <c r="J324" i="4"/>
  <c r="J316" i="4"/>
  <c r="J312" i="4"/>
  <c r="J304" i="4"/>
  <c r="J300" i="4"/>
  <c r="J292" i="4"/>
  <c r="J288" i="4"/>
  <c r="J280" i="4"/>
  <c r="J276" i="4"/>
  <c r="J268" i="4"/>
  <c r="J264" i="4"/>
  <c r="J256" i="4"/>
  <c r="J252" i="4"/>
  <c r="J244" i="4"/>
  <c r="J240" i="4"/>
  <c r="J232" i="4"/>
  <c r="J228" i="4"/>
  <c r="J220" i="4"/>
  <c r="J216" i="4"/>
  <c r="J204" i="4"/>
  <c r="J192" i="4"/>
  <c r="J180" i="4"/>
  <c r="J168" i="4"/>
  <c r="J156" i="4"/>
  <c r="J144" i="4"/>
  <c r="J132" i="4"/>
  <c r="J120" i="4"/>
  <c r="J108" i="4"/>
  <c r="J96" i="4"/>
  <c r="J84" i="4"/>
  <c r="J72" i="4"/>
  <c r="J68" i="4"/>
  <c r="J60" i="4"/>
  <c r="J56" i="4"/>
  <c r="J48" i="4"/>
  <c r="J44" i="4"/>
  <c r="J36" i="4"/>
  <c r="J32" i="4"/>
  <c r="J20" i="4"/>
  <c r="J1252" i="4"/>
  <c r="J1228" i="4"/>
  <c r="J1216" i="4"/>
  <c r="J1204" i="4"/>
  <c r="J1192" i="4"/>
  <c r="J1180" i="4"/>
  <c r="J1112" i="4"/>
  <c r="J1100" i="4"/>
  <c r="J1040" i="4"/>
  <c r="J1028" i="4"/>
  <c r="J1004" i="4"/>
  <c r="J992" i="4"/>
  <c r="J980" i="4"/>
  <c r="J968" i="4"/>
  <c r="J956" i="4"/>
  <c r="J944" i="4"/>
  <c r="J932" i="4"/>
  <c r="J920" i="4"/>
  <c r="J908" i="4"/>
  <c r="J856" i="4"/>
  <c r="J796" i="4"/>
  <c r="J712" i="4"/>
  <c r="J680" i="4"/>
  <c r="J668" i="4"/>
  <c r="J656" i="4"/>
  <c r="J644" i="4"/>
  <c r="J632" i="4"/>
  <c r="J604" i="4"/>
  <c r="J508" i="4"/>
  <c r="J460" i="4"/>
  <c r="J428" i="4"/>
  <c r="J332" i="4"/>
  <c r="J320" i="4"/>
  <c r="J308" i="4"/>
  <c r="J296" i="4"/>
  <c r="J284" i="4"/>
  <c r="J208" i="4"/>
  <c r="J148" i="4"/>
  <c r="J40" i="4"/>
  <c r="J28" i="4"/>
  <c r="J16" i="4"/>
  <c r="J3" i="4"/>
  <c r="J7" i="4"/>
  <c r="J4" i="4"/>
  <c r="J2" i="4"/>
  <c r="J5" i="4"/>
  <c r="J6" i="4"/>
  <c r="J8" i="4"/>
  <c r="J1275" i="4"/>
  <c r="J1274" i="4"/>
  <c r="J1263" i="4"/>
  <c r="J1255" i="4"/>
  <c r="J1251" i="4"/>
  <c r="J1250" i="4"/>
  <c r="J1243" i="4"/>
  <c r="J1242" i="4"/>
  <c r="J1235" i="4"/>
  <c r="J1234" i="4"/>
  <c r="J1223" i="4"/>
  <c r="J1215" i="4"/>
  <c r="J1211" i="4"/>
  <c r="J1210" i="4"/>
  <c r="J1203" i="4"/>
  <c r="J1202" i="4"/>
  <c r="J1191" i="4"/>
  <c r="J1187" i="4"/>
  <c r="J1186" i="4"/>
  <c r="J1179" i="4"/>
  <c r="J1178" i="4"/>
  <c r="J1167" i="4"/>
  <c r="J1159" i="4"/>
  <c r="J1151" i="4"/>
  <c r="J1147" i="4"/>
  <c r="J1146" i="4"/>
  <c r="J1139" i="4"/>
  <c r="J1138" i="4"/>
  <c r="J1127" i="4"/>
  <c r="J1123" i="4"/>
  <c r="J1122" i="4"/>
  <c r="J1111" i="4"/>
  <c r="J1107" i="4"/>
  <c r="J1106" i="4"/>
  <c r="J1095" i="4"/>
  <c r="J1091" i="4"/>
  <c r="J1090" i="4"/>
  <c r="J1083" i="4"/>
  <c r="J1082" i="4"/>
  <c r="J1071" i="4"/>
  <c r="J1067" i="4"/>
  <c r="J1066" i="4"/>
  <c r="J1055" i="4"/>
  <c r="J1047" i="4"/>
  <c r="J1039" i="4"/>
  <c r="J1031" i="4"/>
  <c r="J1023" i="4"/>
  <c r="J1015" i="4"/>
  <c r="J1007" i="4"/>
  <c r="J999" i="4"/>
  <c r="J991" i="4"/>
  <c r="J983" i="4"/>
  <c r="J975" i="4"/>
  <c r="J967" i="4"/>
  <c r="J955" i="4"/>
  <c r="J947" i="4"/>
  <c r="J943" i="4"/>
  <c r="J941" i="4"/>
  <c r="J935" i="4"/>
  <c r="J923" i="4"/>
  <c r="J915" i="4"/>
  <c r="J907" i="4"/>
  <c r="J899" i="4"/>
  <c r="J895" i="4"/>
  <c r="J893" i="4"/>
  <c r="J887" i="4"/>
  <c r="J879" i="4"/>
  <c r="J877" i="4"/>
  <c r="J871" i="4"/>
  <c r="J863" i="4"/>
  <c r="J861" i="4"/>
  <c r="J855" i="4"/>
  <c r="J843" i="4"/>
  <c r="J835" i="4"/>
  <c r="J827" i="4"/>
  <c r="J819" i="4"/>
  <c r="J653" i="4"/>
  <c r="J525" i="4"/>
  <c r="J265" i="4"/>
  <c r="J1280" i="4"/>
  <c r="J1268" i="4"/>
  <c r="J1256" i="4"/>
  <c r="J1244" i="4"/>
  <c r="J1232" i="4"/>
  <c r="J1220" i="4"/>
  <c r="J1208" i="4"/>
  <c r="J1196" i="4"/>
  <c r="J1184" i="4"/>
  <c r="J1172" i="4"/>
  <c r="J1160" i="4"/>
  <c r="J1148" i="4"/>
  <c r="J1136" i="4"/>
  <c r="J1124" i="4"/>
  <c r="J892" i="4"/>
  <c r="J880" i="4"/>
  <c r="J868" i="4"/>
  <c r="J844" i="4"/>
  <c r="J832" i="4"/>
  <c r="J820" i="4"/>
  <c r="J808" i="4"/>
  <c r="J784" i="4"/>
  <c r="J772" i="4"/>
  <c r="J760" i="4"/>
  <c r="J748" i="4"/>
  <c r="J736" i="4"/>
  <c r="J724" i="4"/>
  <c r="J700" i="4"/>
  <c r="J688" i="4"/>
  <c r="J676" i="4"/>
  <c r="J664" i="4"/>
  <c r="J652" i="4"/>
  <c r="J560" i="4"/>
  <c r="J548" i="4"/>
  <c r="J536" i="4"/>
  <c r="J524" i="4"/>
  <c r="J512" i="4"/>
  <c r="J500" i="4"/>
  <c r="J488" i="4"/>
  <c r="J476" i="4"/>
  <c r="J464" i="4"/>
  <c r="J452" i="4"/>
  <c r="J440" i="4"/>
  <c r="J416" i="4"/>
  <c r="J404" i="4"/>
  <c r="J392" i="4"/>
  <c r="J380" i="4"/>
  <c r="J368" i="4"/>
  <c r="J356" i="4"/>
  <c r="J344" i="4"/>
  <c r="J196" i="4"/>
  <c r="J184" i="4"/>
  <c r="J172" i="4"/>
  <c r="J160" i="4"/>
  <c r="J136" i="4"/>
  <c r="J124" i="4"/>
  <c r="J112" i="4"/>
  <c r="J100" i="4"/>
  <c r="J88" i="4"/>
  <c r="J64" i="4"/>
  <c r="J52" i="4"/>
  <c r="J1279" i="4"/>
  <c r="J1271" i="4"/>
  <c r="J1267" i="4"/>
  <c r="J1266" i="4"/>
  <c r="J1259" i="4"/>
  <c r="J1258" i="4"/>
  <c r="J1247" i="4"/>
  <c r="J1239" i="4"/>
  <c r="J1231" i="4"/>
  <c r="J1227" i="4"/>
  <c r="J1226" i="4"/>
  <c r="J1219" i="4"/>
  <c r="J1218" i="4"/>
  <c r="J1207" i="4"/>
  <c r="J1199" i="4"/>
  <c r="J1195" i="4"/>
  <c r="J1194" i="4"/>
  <c r="J1183" i="4"/>
  <c r="J1175" i="4"/>
  <c r="J1171" i="4"/>
  <c r="J1170" i="4"/>
  <c r="J1163" i="4"/>
  <c r="J1162" i="4"/>
  <c r="J1155" i="4"/>
  <c r="J1154" i="4"/>
  <c r="J1143" i="4"/>
  <c r="J1135" i="4"/>
  <c r="J1131" i="4"/>
  <c r="J1130" i="4"/>
  <c r="J1119" i="4"/>
  <c r="J1115" i="4"/>
  <c r="J1114" i="4"/>
  <c r="J1103" i="4"/>
  <c r="J1099" i="4"/>
  <c r="J1098" i="4"/>
  <c r="J1087" i="4"/>
  <c r="J1079" i="4"/>
  <c r="J1075" i="4"/>
  <c r="J1074" i="4"/>
  <c r="J1063" i="4"/>
  <c r="J1059" i="4"/>
  <c r="J1058" i="4"/>
  <c r="J1051" i="4"/>
  <c r="J1050" i="4"/>
  <c r="J1043" i="4"/>
  <c r="J1042" i="4"/>
  <c r="J1035" i="4"/>
  <c r="J1034" i="4"/>
  <c r="J1027" i="4"/>
  <c r="J1025" i="4"/>
  <c r="J1019" i="4"/>
  <c r="J1011" i="4"/>
  <c r="J1003" i="4"/>
  <c r="J995" i="4"/>
  <c r="J993" i="4"/>
  <c r="J987" i="4"/>
  <c r="J979" i="4"/>
  <c r="J971" i="4"/>
  <c r="J963" i="4"/>
  <c r="J959" i="4"/>
  <c r="J957" i="4"/>
  <c r="J951" i="4"/>
  <c r="J939" i="4"/>
  <c r="J931" i="4"/>
  <c r="J927" i="4"/>
  <c r="J925" i="4"/>
  <c r="J919" i="4"/>
  <c r="J911" i="4"/>
  <c r="J909" i="4"/>
  <c r="J903" i="4"/>
  <c r="J891" i="4"/>
  <c r="J883" i="4"/>
  <c r="J875" i="4"/>
  <c r="J867" i="4"/>
  <c r="J859" i="4"/>
  <c r="J851" i="4"/>
  <c r="J847" i="4"/>
  <c r="J845" i="4"/>
  <c r="J839" i="4"/>
  <c r="J831" i="4"/>
  <c r="J829" i="4"/>
  <c r="J823" i="4"/>
  <c r="J669" i="4"/>
  <c r="J541" i="4"/>
  <c r="J434" i="4"/>
  <c r="J201" i="4"/>
  <c r="J1240" i="4"/>
  <c r="J1188" i="4"/>
  <c r="J1176" i="4"/>
  <c r="J1164" i="4"/>
  <c r="J1152" i="4"/>
  <c r="J1140" i="4"/>
  <c r="J1128" i="4"/>
  <c r="J1116" i="4"/>
  <c r="J1104" i="4"/>
  <c r="J1088" i="4"/>
  <c r="J1076" i="4"/>
  <c r="J1064" i="4"/>
  <c r="J1052" i="4"/>
  <c r="J1016" i="4"/>
  <c r="J952" i="4"/>
  <c r="J940" i="4"/>
  <c r="J928" i="4"/>
  <c r="J916" i="4"/>
  <c r="J904" i="4"/>
  <c r="J640" i="4"/>
  <c r="J628" i="4"/>
  <c r="J616" i="4"/>
  <c r="J592" i="4"/>
  <c r="J580" i="4"/>
  <c r="J568" i="4"/>
  <c r="J556" i="4"/>
  <c r="J544" i="4"/>
  <c r="J532" i="4"/>
  <c r="J520" i="4"/>
  <c r="J272" i="4"/>
  <c r="J260" i="4"/>
  <c r="J248" i="4"/>
  <c r="J236" i="4"/>
  <c r="J224" i="4"/>
  <c r="J212" i="4"/>
  <c r="J200" i="4"/>
  <c r="J188" i="4"/>
  <c r="J176" i="4"/>
  <c r="J164" i="4"/>
  <c r="J152" i="4"/>
  <c r="J140" i="4"/>
  <c r="J128" i="4"/>
  <c r="J116" i="4"/>
  <c r="J104" i="4"/>
  <c r="J92" i="4"/>
  <c r="J80" i="4"/>
  <c r="J76" i="4"/>
  <c r="J73" i="4"/>
  <c r="J24" i="4"/>
  <c r="J12" i="4"/>
  <c r="J815" i="4"/>
  <c r="J807" i="4"/>
  <c r="J799" i="4"/>
  <c r="J791" i="4"/>
  <c r="J783" i="4"/>
  <c r="J775" i="4"/>
  <c r="J767" i="4"/>
  <c r="J759" i="4"/>
  <c r="J751" i="4"/>
  <c r="J743" i="4"/>
  <c r="J735" i="4"/>
  <c r="J727" i="4"/>
  <c r="J719" i="4"/>
  <c r="J715" i="4"/>
  <c r="J707" i="4"/>
  <c r="J699" i="4"/>
  <c r="J691" i="4"/>
  <c r="J683" i="4"/>
  <c r="J675" i="4"/>
  <c r="J667" i="4"/>
  <c r="J659" i="4"/>
  <c r="J651" i="4"/>
  <c r="J643" i="4"/>
  <c r="J635" i="4"/>
  <c r="J623" i="4"/>
  <c r="J615" i="4"/>
  <c r="J607" i="4"/>
  <c r="J599" i="4"/>
  <c r="J591" i="4"/>
  <c r="J583" i="4"/>
  <c r="J575" i="4"/>
  <c r="J567" i="4"/>
  <c r="J559" i="4"/>
  <c r="J551" i="4"/>
  <c r="J547" i="4"/>
  <c r="J539" i="4"/>
  <c r="J531" i="4"/>
  <c r="J519" i="4"/>
  <c r="J511" i="4"/>
  <c r="J503" i="4"/>
  <c r="J499" i="4"/>
  <c r="J497" i="4"/>
  <c r="J491" i="4"/>
  <c r="J483" i="4"/>
  <c r="J475" i="4"/>
  <c r="J463" i="4"/>
  <c r="J455" i="4"/>
  <c r="J451" i="4"/>
  <c r="J443" i="4"/>
  <c r="J431" i="4"/>
  <c r="J423" i="4"/>
  <c r="J419" i="4"/>
  <c r="J411" i="4"/>
  <c r="J403" i="4"/>
  <c r="J401" i="4"/>
  <c r="J395" i="4"/>
  <c r="J387" i="4"/>
  <c r="J379" i="4"/>
  <c r="J371" i="4"/>
  <c r="J369" i="4"/>
  <c r="J367" i="4"/>
  <c r="J359" i="4"/>
  <c r="J351" i="4"/>
  <c r="J343" i="4"/>
  <c r="J335" i="4"/>
  <c r="J327" i="4"/>
  <c r="J319" i="4"/>
  <c r="J311" i="4"/>
  <c r="J303" i="4"/>
  <c r="J295" i="4"/>
  <c r="J287" i="4"/>
  <c r="J279" i="4"/>
  <c r="J271" i="4"/>
  <c r="J263" i="4"/>
  <c r="J255" i="4"/>
  <c r="J247" i="4"/>
  <c r="J239" i="4"/>
  <c r="J231" i="4"/>
  <c r="J223" i="4"/>
  <c r="J215" i="4"/>
  <c r="J207" i="4"/>
  <c r="J199" i="4"/>
  <c r="J191" i="4"/>
  <c r="J187" i="4"/>
  <c r="J179" i="4"/>
  <c r="J171" i="4"/>
  <c r="J159" i="4"/>
  <c r="J155" i="4"/>
  <c r="J147" i="4"/>
  <c r="J143" i="4"/>
  <c r="J139" i="4"/>
  <c r="J135" i="4"/>
  <c r="J131" i="4"/>
  <c r="J127" i="4"/>
  <c r="J119" i="4"/>
  <c r="J115" i="4"/>
  <c r="J111" i="4"/>
  <c r="J107" i="4"/>
  <c r="J9" i="4"/>
  <c r="J797" i="4"/>
  <c r="J733" i="4"/>
  <c r="J605" i="4"/>
  <c r="J1278" i="4"/>
  <c r="J1270" i="4"/>
  <c r="J1262" i="4"/>
  <c r="J1254" i="4"/>
  <c r="J1246" i="4"/>
  <c r="J1238" i="4"/>
  <c r="J1230" i="4"/>
  <c r="J1222" i="4"/>
  <c r="J1214" i="4"/>
  <c r="J1206" i="4"/>
  <c r="J1198" i="4"/>
  <c r="J1190" i="4"/>
  <c r="J1182" i="4"/>
  <c r="J1174" i="4"/>
  <c r="J1166" i="4"/>
  <c r="J1158" i="4"/>
  <c r="J1150" i="4"/>
  <c r="J1142" i="4"/>
  <c r="J1134" i="4"/>
  <c r="J1126" i="4"/>
  <c r="J1118" i="4"/>
  <c r="J1110" i="4"/>
  <c r="J1102" i="4"/>
  <c r="J1094" i="4"/>
  <c r="J1086" i="4"/>
  <c r="J1078" i="4"/>
  <c r="J1070" i="4"/>
  <c r="J1062" i="4"/>
  <c r="J1054" i="4"/>
  <c r="J1046" i="4"/>
  <c r="J1038" i="4"/>
  <c r="J1030" i="4"/>
  <c r="J514" i="4"/>
  <c r="J482" i="4"/>
  <c r="J450" i="4"/>
  <c r="J418" i="4"/>
  <c r="J386" i="4"/>
  <c r="J354" i="4"/>
  <c r="J781" i="4"/>
  <c r="J717" i="4"/>
  <c r="J589" i="4"/>
  <c r="J402" i="4"/>
  <c r="J811" i="4"/>
  <c r="J803" i="4"/>
  <c r="J795" i="4"/>
  <c r="J787" i="4"/>
  <c r="J779" i="4"/>
  <c r="J771" i="4"/>
  <c r="J763" i="4"/>
  <c r="J755" i="4"/>
  <c r="J747" i="4"/>
  <c r="J739" i="4"/>
  <c r="J731" i="4"/>
  <c r="J723" i="4"/>
  <c r="J711" i="4"/>
  <c r="J703" i="4"/>
  <c r="J695" i="4"/>
  <c r="J687" i="4"/>
  <c r="J679" i="4"/>
  <c r="J671" i="4"/>
  <c r="J663" i="4"/>
  <c r="J655" i="4"/>
  <c r="J647" i="4"/>
  <c r="J639" i="4"/>
  <c r="J631" i="4"/>
  <c r="J627" i="4"/>
  <c r="J619" i="4"/>
  <c r="J611" i="4"/>
  <c r="J603" i="4"/>
  <c r="J595" i="4"/>
  <c r="J587" i="4"/>
  <c r="J579" i="4"/>
  <c r="J571" i="4"/>
  <c r="J563" i="4"/>
  <c r="J555" i="4"/>
  <c r="J543" i="4"/>
  <c r="J535" i="4"/>
  <c r="J527" i="4"/>
  <c r="J523" i="4"/>
  <c r="J515" i="4"/>
  <c r="J507" i="4"/>
  <c r="J495" i="4"/>
  <c r="J487" i="4"/>
  <c r="J479" i="4"/>
  <c r="J471" i="4"/>
  <c r="J467" i="4"/>
  <c r="J465" i="4"/>
  <c r="J459" i="4"/>
  <c r="J447" i="4"/>
  <c r="J439" i="4"/>
  <c r="J435" i="4"/>
  <c r="J433" i="4"/>
  <c r="J427" i="4"/>
  <c r="J415" i="4"/>
  <c r="J407" i="4"/>
  <c r="J399" i="4"/>
  <c r="J391" i="4"/>
  <c r="J383" i="4"/>
  <c r="J375" i="4"/>
  <c r="J363" i="4"/>
  <c r="J355" i="4"/>
  <c r="J347" i="4"/>
  <c r="J339" i="4"/>
  <c r="J331" i="4"/>
  <c r="J323" i="4"/>
  <c r="J315" i="4"/>
  <c r="J307" i="4"/>
  <c r="J299" i="4"/>
  <c r="J291" i="4"/>
  <c r="J283" i="4"/>
  <c r="J275" i="4"/>
  <c r="J267" i="4"/>
  <c r="J259" i="4"/>
  <c r="J251" i="4"/>
  <c r="J243" i="4"/>
  <c r="J235" i="4"/>
  <c r="J227" i="4"/>
  <c r="J219" i="4"/>
  <c r="J211" i="4"/>
  <c r="J203" i="4"/>
  <c r="J195" i="4"/>
  <c r="J183" i="4"/>
  <c r="J175" i="4"/>
  <c r="J167" i="4"/>
  <c r="J163" i="4"/>
  <c r="J151" i="4"/>
  <c r="J123" i="4"/>
  <c r="J1281" i="4"/>
  <c r="J1277" i="4"/>
  <c r="J1273" i="4"/>
  <c r="J1269" i="4"/>
  <c r="J1265" i="4"/>
  <c r="J1261" i="4"/>
  <c r="J1257" i="4"/>
  <c r="J1253" i="4"/>
  <c r="J1249" i="4"/>
  <c r="J1245" i="4"/>
  <c r="J1241" i="4"/>
  <c r="J1237" i="4"/>
  <c r="J1233" i="4"/>
  <c r="J1229" i="4"/>
  <c r="J1225" i="4"/>
  <c r="J1221" i="4"/>
  <c r="J1217" i="4"/>
  <c r="J1213" i="4"/>
  <c r="J1209" i="4"/>
  <c r="J1205" i="4"/>
  <c r="J1201" i="4"/>
  <c r="J1197" i="4"/>
  <c r="J1193" i="4"/>
  <c r="J1189" i="4"/>
  <c r="J1185" i="4"/>
  <c r="J1181" i="4"/>
  <c r="J1177" i="4"/>
  <c r="J1173" i="4"/>
  <c r="J1169" i="4"/>
  <c r="J1165" i="4"/>
  <c r="J1161" i="4"/>
  <c r="J1157" i="4"/>
  <c r="J1153" i="4"/>
  <c r="J1149" i="4"/>
  <c r="J1145" i="4"/>
  <c r="J1141" i="4"/>
  <c r="J1137" i="4"/>
  <c r="J1133" i="4"/>
  <c r="J1129" i="4"/>
  <c r="J1125" i="4"/>
  <c r="J1121" i="4"/>
  <c r="J1117" i="4"/>
  <c r="J1113" i="4"/>
  <c r="J1109" i="4"/>
  <c r="J1105" i="4"/>
  <c r="J1101" i="4"/>
  <c r="J1097" i="4"/>
  <c r="J1093" i="4"/>
  <c r="J1089" i="4"/>
  <c r="J1085" i="4"/>
  <c r="J1081" i="4"/>
  <c r="J1077" i="4"/>
  <c r="J1073" i="4"/>
  <c r="J1069" i="4"/>
  <c r="J1065" i="4"/>
  <c r="J1061" i="4"/>
  <c r="J1057" i="4"/>
  <c r="J1053" i="4"/>
  <c r="J1049" i="4"/>
  <c r="J1045" i="4"/>
  <c r="J1041" i="4"/>
  <c r="J1037" i="4"/>
  <c r="J1033" i="4"/>
  <c r="J1029" i="4"/>
  <c r="J1013" i="4"/>
  <c r="J1009" i="4"/>
  <c r="J997" i="4"/>
  <c r="J981" i="4"/>
  <c r="J977" i="4"/>
  <c r="J965" i="4"/>
  <c r="J949" i="4"/>
  <c r="J933" i="4"/>
  <c r="J917" i="4"/>
  <c r="J901" i="4"/>
  <c r="J885" i="4"/>
  <c r="J869" i="4"/>
  <c r="J853" i="4"/>
  <c r="J837" i="4"/>
  <c r="J821" i="4"/>
  <c r="J805" i="4"/>
  <c r="J789" i="4"/>
  <c r="J773" i="4"/>
  <c r="J757" i="4"/>
  <c r="J741" i="4"/>
  <c r="J725" i="4"/>
  <c r="J709" i="4"/>
  <c r="J693" i="4"/>
  <c r="J677" i="4"/>
  <c r="J661" i="4"/>
  <c r="J645" i="4"/>
  <c r="J629" i="4"/>
  <c r="J613" i="4"/>
  <c r="J597" i="4"/>
  <c r="J581" i="4"/>
  <c r="J565" i="4"/>
  <c r="J549" i="4"/>
  <c r="J533" i="4"/>
  <c r="J513" i="4"/>
  <c r="J481" i="4"/>
  <c r="J449" i="4"/>
  <c r="J417" i="4"/>
  <c r="J385" i="4"/>
  <c r="J353" i="4"/>
  <c r="J297" i="4"/>
  <c r="J233" i="4"/>
  <c r="J169" i="4"/>
  <c r="J105" i="4"/>
  <c r="J41" i="4"/>
  <c r="J765" i="4"/>
  <c r="J701" i="4"/>
  <c r="J637" i="4"/>
  <c r="J573" i="4"/>
  <c r="J498" i="4"/>
  <c r="J370" i="4"/>
  <c r="J137" i="4"/>
  <c r="J813" i="4"/>
  <c r="J749" i="4"/>
  <c r="J685" i="4"/>
  <c r="J621" i="4"/>
  <c r="J557" i="4"/>
  <c r="J466" i="4"/>
  <c r="J329" i="4"/>
  <c r="J99" i="4"/>
  <c r="J87" i="4"/>
  <c r="J79" i="4"/>
  <c r="J67" i="4"/>
  <c r="J55" i="4"/>
  <c r="J43" i="4"/>
  <c r="J31" i="4"/>
  <c r="J19" i="4"/>
  <c r="J95" i="4"/>
  <c r="J83" i="4"/>
  <c r="J71" i="4"/>
  <c r="J63" i="4"/>
  <c r="J51" i="4"/>
  <c r="J39" i="4"/>
  <c r="J27" i="4"/>
  <c r="J15" i="4"/>
  <c r="J1026" i="4"/>
  <c r="J1022" i="4"/>
  <c r="J1018" i="4"/>
  <c r="J1014" i="4"/>
  <c r="J1010" i="4"/>
  <c r="J1006" i="4"/>
  <c r="J1002" i="4"/>
  <c r="J998" i="4"/>
  <c r="J994" i="4"/>
  <c r="J990" i="4"/>
  <c r="J986" i="4"/>
  <c r="J982" i="4"/>
  <c r="J978" i="4"/>
  <c r="J974" i="4"/>
  <c r="J970" i="4"/>
  <c r="J966" i="4"/>
  <c r="J962" i="4"/>
  <c r="J958" i="4"/>
  <c r="J954" i="4"/>
  <c r="J950" i="4"/>
  <c r="J946" i="4"/>
  <c r="J942" i="4"/>
  <c r="J938" i="4"/>
  <c r="J934" i="4"/>
  <c r="J930" i="4"/>
  <c r="J926" i="4"/>
  <c r="J922" i="4"/>
  <c r="J918" i="4"/>
  <c r="J914" i="4"/>
  <c r="J910" i="4"/>
  <c r="J906" i="4"/>
  <c r="J902" i="4"/>
  <c r="J898" i="4"/>
  <c r="J894" i="4"/>
  <c r="J890" i="4"/>
  <c r="J886" i="4"/>
  <c r="J882" i="4"/>
  <c r="J878" i="4"/>
  <c r="J874" i="4"/>
  <c r="J870" i="4"/>
  <c r="J866" i="4"/>
  <c r="J862" i="4"/>
  <c r="J858" i="4"/>
  <c r="J854" i="4"/>
  <c r="J850" i="4"/>
  <c r="J846" i="4"/>
  <c r="J842" i="4"/>
  <c r="J838" i="4"/>
  <c r="J834" i="4"/>
  <c r="J830" i="4"/>
  <c r="J826" i="4"/>
  <c r="J822" i="4"/>
  <c r="J818" i="4"/>
  <c r="J814" i="4"/>
  <c r="J810" i="4"/>
  <c r="J806" i="4"/>
  <c r="J802" i="4"/>
  <c r="J798" i="4"/>
  <c r="J794" i="4"/>
  <c r="J790" i="4"/>
  <c r="J786" i="4"/>
  <c r="J782" i="4"/>
  <c r="J778" i="4"/>
  <c r="J774" i="4"/>
  <c r="J770" i="4"/>
  <c r="J766" i="4"/>
  <c r="J762" i="4"/>
  <c r="J758" i="4"/>
  <c r="J754" i="4"/>
  <c r="J750" i="4"/>
  <c r="J746" i="4"/>
  <c r="J742" i="4"/>
  <c r="J738" i="4"/>
  <c r="J734" i="4"/>
  <c r="J730" i="4"/>
  <c r="J726" i="4"/>
  <c r="J722" i="4"/>
  <c r="J718" i="4"/>
  <c r="J714" i="4"/>
  <c r="J710" i="4"/>
  <c r="J706" i="4"/>
  <c r="J702" i="4"/>
  <c r="J698" i="4"/>
  <c r="J694" i="4"/>
  <c r="J690" i="4"/>
  <c r="J686" i="4"/>
  <c r="J682" i="4"/>
  <c r="J678" i="4"/>
  <c r="J674" i="4"/>
  <c r="J670" i="4"/>
  <c r="J666" i="4"/>
  <c r="J662" i="4"/>
  <c r="J658" i="4"/>
  <c r="J654" i="4"/>
  <c r="J650" i="4"/>
  <c r="J646" i="4"/>
  <c r="J642" i="4"/>
  <c r="J638" i="4"/>
  <c r="J634" i="4"/>
  <c r="J630" i="4"/>
  <c r="J626" i="4"/>
  <c r="J622" i="4"/>
  <c r="J618" i="4"/>
  <c r="J614" i="4"/>
  <c r="J610" i="4"/>
  <c r="J606" i="4"/>
  <c r="J602" i="4"/>
  <c r="J598" i="4"/>
  <c r="J594" i="4"/>
  <c r="J590" i="4"/>
  <c r="J586" i="4"/>
  <c r="J582" i="4"/>
  <c r="J578" i="4"/>
  <c r="J574" i="4"/>
  <c r="J570" i="4"/>
  <c r="J566" i="4"/>
  <c r="J562" i="4"/>
  <c r="J558" i="4"/>
  <c r="J554" i="4"/>
  <c r="J550" i="4"/>
  <c r="J546" i="4"/>
  <c r="J542" i="4"/>
  <c r="J538" i="4"/>
  <c r="J534" i="4"/>
  <c r="J530" i="4"/>
  <c r="J526" i="4"/>
  <c r="J522" i="4"/>
  <c r="J518" i="4"/>
  <c r="J510" i="4"/>
  <c r="J506" i="4"/>
  <c r="J502" i="4"/>
  <c r="J494" i="4"/>
  <c r="J490" i="4"/>
  <c r="J486" i="4"/>
  <c r="J478" i="4"/>
  <c r="J474" i="4"/>
  <c r="J470" i="4"/>
  <c r="J462" i="4"/>
  <c r="J458" i="4"/>
  <c r="J454" i="4"/>
  <c r="J446" i="4"/>
  <c r="J442" i="4"/>
  <c r="J438" i="4"/>
  <c r="J430" i="4"/>
  <c r="J426" i="4"/>
  <c r="J422" i="4"/>
  <c r="J414" i="4"/>
  <c r="J410" i="4"/>
  <c r="J406" i="4"/>
  <c r="J398" i="4"/>
  <c r="J394" i="4"/>
  <c r="J390" i="4"/>
  <c r="J382" i="4"/>
  <c r="J378" i="4"/>
  <c r="J374" i="4"/>
  <c r="J366" i="4"/>
  <c r="J362" i="4"/>
  <c r="J358" i="4"/>
  <c r="J350" i="4"/>
  <c r="J346" i="4"/>
  <c r="J342" i="4"/>
  <c r="J338" i="4"/>
  <c r="J334" i="4"/>
  <c r="J330" i="4"/>
  <c r="J326" i="4"/>
  <c r="J322" i="4"/>
  <c r="J318" i="4"/>
  <c r="J314" i="4"/>
  <c r="J310" i="4"/>
  <c r="J306" i="4"/>
  <c r="J302" i="4"/>
  <c r="J298" i="4"/>
  <c r="J294" i="4"/>
  <c r="J290" i="4"/>
  <c r="J286" i="4"/>
  <c r="J282" i="4"/>
  <c r="J278" i="4"/>
  <c r="J274" i="4"/>
  <c r="J270" i="4"/>
  <c r="J266" i="4"/>
  <c r="J262" i="4"/>
  <c r="J258" i="4"/>
  <c r="J254" i="4"/>
  <c r="J250" i="4"/>
  <c r="J246" i="4"/>
  <c r="J242" i="4"/>
  <c r="J238" i="4"/>
  <c r="J234" i="4"/>
  <c r="J230" i="4"/>
  <c r="J226" i="4"/>
  <c r="J222" i="4"/>
  <c r="J218" i="4"/>
  <c r="J214" i="4"/>
  <c r="J210" i="4"/>
  <c r="J206" i="4"/>
  <c r="J202" i="4"/>
  <c r="J198" i="4"/>
  <c r="J194" i="4"/>
  <c r="J190" i="4"/>
  <c r="J186" i="4"/>
  <c r="J182" i="4"/>
  <c r="J178" i="4"/>
  <c r="J174" i="4"/>
  <c r="J170" i="4"/>
  <c r="J166" i="4"/>
  <c r="J162" i="4"/>
  <c r="J158" i="4"/>
  <c r="J154" i="4"/>
  <c r="J150" i="4"/>
  <c r="J146" i="4"/>
  <c r="J142" i="4"/>
  <c r="J138" i="4"/>
  <c r="J134" i="4"/>
  <c r="J130" i="4"/>
  <c r="J126" i="4"/>
  <c r="J122" i="4"/>
  <c r="J118" i="4"/>
  <c r="J114" i="4"/>
  <c r="J110" i="4"/>
  <c r="J106" i="4"/>
  <c r="J102" i="4"/>
  <c r="J98" i="4"/>
  <c r="J94" i="4"/>
  <c r="J90" i="4"/>
  <c r="J86" i="4"/>
  <c r="J82" i="4"/>
  <c r="J78" i="4"/>
  <c r="J74" i="4"/>
  <c r="J103" i="4"/>
  <c r="J91" i="4"/>
  <c r="J75" i="4"/>
  <c r="J59" i="4"/>
  <c r="J47" i="4"/>
  <c r="J35" i="4"/>
  <c r="J23" i="4"/>
  <c r="J11" i="4"/>
  <c r="J1021" i="4"/>
  <c r="J1017" i="4"/>
  <c r="J1005" i="4"/>
  <c r="J1001" i="4"/>
  <c r="J989" i="4"/>
  <c r="J985" i="4"/>
  <c r="J973" i="4"/>
  <c r="J969" i="4"/>
  <c r="J961" i="4"/>
  <c r="J953" i="4"/>
  <c r="J945" i="4"/>
  <c r="J937" i="4"/>
  <c r="J929" i="4"/>
  <c r="J921" i="4"/>
  <c r="J913" i="4"/>
  <c r="J905" i="4"/>
  <c r="J897" i="4"/>
  <c r="J889" i="4"/>
  <c r="J881" i="4"/>
  <c r="J873" i="4"/>
  <c r="J865" i="4"/>
  <c r="J857" i="4"/>
  <c r="J849" i="4"/>
  <c r="J841" i="4"/>
  <c r="J833" i="4"/>
  <c r="J825" i="4"/>
  <c r="J817" i="4"/>
  <c r="J809" i="4"/>
  <c r="J801" i="4"/>
  <c r="J793" i="4"/>
  <c r="J785" i="4"/>
  <c r="J777" i="4"/>
  <c r="J769" i="4"/>
  <c r="J761" i="4"/>
  <c r="J753" i="4"/>
  <c r="J745" i="4"/>
  <c r="J737" i="4"/>
  <c r="J729" i="4"/>
  <c r="J721" i="4"/>
  <c r="J713" i="4"/>
  <c r="J705" i="4"/>
  <c r="J697" i="4"/>
  <c r="J689" i="4"/>
  <c r="J681" i="4"/>
  <c r="J673" i="4"/>
  <c r="J665" i="4"/>
  <c r="J657" i="4"/>
  <c r="J649" i="4"/>
  <c r="J641" i="4"/>
  <c r="J633" i="4"/>
  <c r="J625" i="4"/>
  <c r="J617" i="4"/>
  <c r="J609" i="4"/>
  <c r="J601" i="4"/>
  <c r="J593" i="4"/>
  <c r="J585" i="4"/>
  <c r="J577" i="4"/>
  <c r="J569" i="4"/>
  <c r="J561" i="4"/>
  <c r="J553" i="4"/>
  <c r="J545" i="4"/>
  <c r="J537" i="4"/>
  <c r="J529" i="4"/>
  <c r="J521" i="4"/>
  <c r="J517" i="4"/>
  <c r="J509" i="4"/>
  <c r="J505" i="4"/>
  <c r="J501" i="4"/>
  <c r="J493" i="4"/>
  <c r="J489" i="4"/>
  <c r="J485" i="4"/>
  <c r="J477" i="4"/>
  <c r="J473" i="4"/>
  <c r="J469" i="4"/>
  <c r="J461" i="4"/>
  <c r="J457" i="4"/>
  <c r="J453" i="4"/>
  <c r="J445" i="4"/>
  <c r="J441" i="4"/>
  <c r="J437" i="4"/>
  <c r="J429" i="4"/>
  <c r="J425" i="4"/>
  <c r="J421" i="4"/>
  <c r="J413" i="4"/>
  <c r="J409" i="4"/>
  <c r="J405" i="4"/>
  <c r="J397" i="4"/>
  <c r="J393" i="4"/>
  <c r="J389" i="4"/>
  <c r="J381" i="4"/>
  <c r="J377" i="4"/>
  <c r="J373" i="4"/>
  <c r="J365" i="4"/>
  <c r="J361" i="4"/>
  <c r="J357" i="4"/>
  <c r="J349" i="4"/>
  <c r="J345" i="4"/>
  <c r="J341" i="4"/>
  <c r="J337" i="4"/>
  <c r="J333" i="4"/>
  <c r="J325" i="4"/>
  <c r="J321" i="4"/>
  <c r="J317" i="4"/>
  <c r="J313" i="4"/>
  <c r="J309" i="4"/>
  <c r="J305" i="4"/>
  <c r="J301" i="4"/>
  <c r="J293" i="4"/>
  <c r="J289" i="4"/>
  <c r="J285" i="4"/>
  <c r="J281" i="4"/>
  <c r="J277" i="4"/>
  <c r="J273" i="4"/>
  <c r="J269" i="4"/>
  <c r="J261" i="4"/>
  <c r="J257" i="4"/>
  <c r="J253" i="4"/>
  <c r="J249" i="4"/>
  <c r="J245" i="4"/>
  <c r="J241" i="4"/>
  <c r="J237" i="4"/>
  <c r="J229" i="4"/>
  <c r="J225" i="4"/>
  <c r="J221" i="4"/>
  <c r="J217" i="4"/>
  <c r="J213" i="4"/>
  <c r="J209" i="4"/>
  <c r="J205" i="4"/>
  <c r="J197" i="4"/>
  <c r="J193" i="4"/>
  <c r="J189" i="4"/>
  <c r="J185" i="4"/>
  <c r="J181" i="4"/>
  <c r="J177" i="4"/>
  <c r="J173" i="4"/>
  <c r="J165" i="4"/>
  <c r="J161" i="4"/>
  <c r="J157" i="4"/>
  <c r="J153" i="4"/>
  <c r="J149" i="4"/>
  <c r="J145" i="4"/>
  <c r="J141" i="4"/>
  <c r="J133" i="4"/>
  <c r="J129" i="4"/>
  <c r="J125" i="4"/>
  <c r="J121" i="4"/>
  <c r="J117" i="4"/>
  <c r="J113" i="4"/>
  <c r="J109" i="4"/>
  <c r="J101" i="4"/>
  <c r="J97" i="4"/>
  <c r="J93" i="4"/>
  <c r="J89" i="4"/>
  <c r="J85" i="4"/>
  <c r="J81" i="4"/>
  <c r="J77" i="4"/>
  <c r="J69" i="4"/>
  <c r="J65" i="4"/>
  <c r="J61" i="4"/>
  <c r="J57" i="4"/>
  <c r="J53" i="4"/>
  <c r="J49" i="4"/>
  <c r="J45" i="4"/>
  <c r="J37" i="4"/>
  <c r="J33" i="4"/>
  <c r="J29" i="4"/>
  <c r="J25" i="4"/>
  <c r="J21" i="4"/>
  <c r="J17" i="4"/>
  <c r="J13" i="4"/>
  <c r="J70" i="4"/>
  <c r="J66" i="4"/>
  <c r="J62" i="4"/>
  <c r="J58" i="4"/>
  <c r="J54" i="4"/>
  <c r="J50" i="4"/>
  <c r="J46" i="4"/>
  <c r="J42" i="4"/>
  <c r="J38" i="4"/>
  <c r="J34" i="4"/>
  <c r="J30" i="4"/>
  <c r="J26" i="4"/>
  <c r="J22" i="4"/>
  <c r="J18" i="4"/>
  <c r="J14" i="4"/>
  <c r="J10" i="4"/>
  <c r="D20" i="1" l="1"/>
  <c r="D16" i="1"/>
  <c r="D24" i="1"/>
  <c r="D12" i="1"/>
  <c r="D28" i="1"/>
  <c r="D26" i="1"/>
  <c r="D32" i="1"/>
  <c r="D21" i="1"/>
  <c r="D22" i="1"/>
  <c r="D25" i="1"/>
  <c r="D23" i="1"/>
  <c r="D8" i="1"/>
  <c r="D17" i="1"/>
  <c r="D34" i="1"/>
  <c r="D5" i="1"/>
  <c r="D30" i="1"/>
  <c r="D10" i="1"/>
  <c r="D4" i="1"/>
  <c r="D27" i="1"/>
  <c r="D7" i="1"/>
  <c r="D11" i="1"/>
  <c r="D13" i="1"/>
  <c r="D33" i="1"/>
  <c r="D18" i="1"/>
  <c r="D19" i="1"/>
  <c r="D9" i="1"/>
  <c r="D29" i="1"/>
  <c r="D31" i="1"/>
  <c r="D15" i="1"/>
  <c r="D6" i="1"/>
  <c r="D14" i="1"/>
  <c r="B13" i="1" l="1"/>
  <c r="B14" i="1"/>
  <c r="B15" i="1"/>
  <c r="B12" i="1"/>
  <c r="B10" i="1"/>
  <c r="B11" i="1"/>
</calcChain>
</file>

<file path=xl/sharedStrings.xml><?xml version="1.0" encoding="utf-8"?>
<sst xmlns="http://schemas.openxmlformats.org/spreadsheetml/2006/main" count="7269" uniqueCount="422">
  <si>
    <t>Date</t>
  </si>
  <si>
    <t>Estevan</t>
  </si>
  <si>
    <t>Weyburn</t>
  </si>
  <si>
    <t>Oxbow</t>
  </si>
  <si>
    <t>Yellow Grass North</t>
  </si>
  <si>
    <t>Melita</t>
  </si>
  <si>
    <t>Kipling</t>
  </si>
  <si>
    <t>Temp.Mean</t>
  </si>
  <si>
    <t>SD</t>
  </si>
  <si>
    <t>Temp.Roll</t>
  </si>
  <si>
    <t>day</t>
  </si>
  <si>
    <t>mth</t>
  </si>
  <si>
    <t>yr</t>
  </si>
  <si>
    <t>ID</t>
  </si>
  <si>
    <t>Producer</t>
  </si>
  <si>
    <t>Producer.1</t>
  </si>
  <si>
    <t>Battery</t>
  </si>
  <si>
    <t>Battery.1</t>
  </si>
  <si>
    <t>SDate</t>
  </si>
  <si>
    <t>VP</t>
  </si>
  <si>
    <t>Sulf Input</t>
  </si>
  <si>
    <t>Sulf</t>
  </si>
  <si>
    <t>S.Temp</t>
  </si>
  <si>
    <t>A.Temp</t>
  </si>
  <si>
    <t>Dens Input</t>
  </si>
  <si>
    <t>Dens</t>
  </si>
  <si>
    <t>VolumeM3</t>
  </si>
  <si>
    <t>CrudeType</t>
  </si>
  <si>
    <t>Unknown</t>
  </si>
  <si>
    <t>C5</t>
  </si>
  <si>
    <t>Light_LSB</t>
  </si>
  <si>
    <t>Light_SW</t>
  </si>
  <si>
    <t>Medium_LSB</t>
  </si>
  <si>
    <t>Medium_SW</t>
  </si>
  <si>
    <t>Midale</t>
  </si>
  <si>
    <t>Heavy_Sour</t>
  </si>
  <si>
    <t>Heavy_SW</t>
  </si>
  <si>
    <t>Crude_Breakdown</t>
  </si>
  <si>
    <t>Crude_Num</t>
  </si>
  <si>
    <t>Net Sulf</t>
  </si>
  <si>
    <t>Net Dens</t>
  </si>
  <si>
    <t>Net VP</t>
  </si>
  <si>
    <t>SS_VP</t>
  </si>
  <si>
    <t>SS_Dens</t>
  </si>
  <si>
    <t>SS_Sulf</t>
  </si>
  <si>
    <t>VP_95_Spec</t>
  </si>
  <si>
    <t>CENOV</t>
  </si>
  <si>
    <t>05-16-006-13W2</t>
  </si>
  <si>
    <t>Crude</t>
  </si>
  <si>
    <t>CRESC</t>
  </si>
  <si>
    <t>07-07-006-15W2</t>
  </si>
  <si>
    <t>SPAEN</t>
  </si>
  <si>
    <t>11-12-006-15W2</t>
  </si>
  <si>
    <t>PMCL</t>
  </si>
  <si>
    <t>01-07-006-10W2</t>
  </si>
  <si>
    <t xml:space="preserve"> SALES</t>
  </si>
  <si>
    <t>LRE</t>
  </si>
  <si>
    <t>11-02-005-12W2</t>
  </si>
  <si>
    <t>01-28-002-14W2</t>
  </si>
  <si>
    <t>02-13-006-06W2</t>
  </si>
  <si>
    <t xml:space="preserve">SECUR </t>
  </si>
  <si>
    <t>08-28-005-33W1</t>
  </si>
  <si>
    <t>RDGBK</t>
  </si>
  <si>
    <t>12-22-007-11W2</t>
  </si>
  <si>
    <t>APACH</t>
  </si>
  <si>
    <t>07-12-006-11W2</t>
  </si>
  <si>
    <t>03-03-002-32W1</t>
  </si>
  <si>
    <t>04-08-008-08W2</t>
  </si>
  <si>
    <t>TORCO</t>
  </si>
  <si>
    <t>04-17-004-31W1</t>
  </si>
  <si>
    <t>05-14-003-01W2</t>
  </si>
  <si>
    <t>16-18-011-04W2</t>
  </si>
  <si>
    <t>09-08-004-03W2</t>
  </si>
  <si>
    <t xml:space="preserve"> REV</t>
  </si>
  <si>
    <t>09-14-009-08W2</t>
  </si>
  <si>
    <t>13-29-008-07W2</t>
  </si>
  <si>
    <t>VERMILLION - TRUCKED IN LOCATION</t>
  </si>
  <si>
    <t>14-03-001-03W2</t>
  </si>
  <si>
    <t>01-21-001-14W2</t>
  </si>
  <si>
    <t>03-33-008-06W2</t>
  </si>
  <si>
    <t>09-13-007-11W2</t>
  </si>
  <si>
    <t>14-13-001-05W2</t>
  </si>
  <si>
    <t>05-34-005-06W2</t>
  </si>
  <si>
    <t>12-06-009-07W2</t>
  </si>
  <si>
    <t>PEMCO</t>
  </si>
  <si>
    <t>05-03-009-33W1</t>
  </si>
  <si>
    <t>12-30-006-15W2</t>
  </si>
  <si>
    <t>02-26-009-09W2</t>
  </si>
  <si>
    <t>05-20-004-04W2</t>
  </si>
  <si>
    <t>11-15-007-09W2</t>
  </si>
  <si>
    <t>13-13-007-02W2</t>
  </si>
  <si>
    <t>13-02-007-14W2</t>
  </si>
  <si>
    <t>14-27-001-13W2</t>
  </si>
  <si>
    <t>09-26-007-09W2</t>
  </si>
  <si>
    <t>04-05-002-15W2</t>
  </si>
  <si>
    <t>13-03-006-34W1</t>
  </si>
  <si>
    <t>FEDER</t>
  </si>
  <si>
    <t>05-31-002-01W2</t>
  </si>
  <si>
    <t>03-15-004-06W2</t>
  </si>
  <si>
    <t>09-20-008-08W2</t>
  </si>
  <si>
    <t>13-30-007-10W2</t>
  </si>
  <si>
    <t>01-04-007-09W2</t>
  </si>
  <si>
    <t>01-17-005-08W2</t>
  </si>
  <si>
    <t>08-22-004-09W2</t>
  </si>
  <si>
    <t>13-15-005-08W2</t>
  </si>
  <si>
    <t>13-18-010-06W2</t>
  </si>
  <si>
    <t>14-18-001-04W2</t>
  </si>
  <si>
    <t>14-30-001-04W2</t>
  </si>
  <si>
    <t>CAT</t>
  </si>
  <si>
    <t>14-09-002-29W1</t>
  </si>
  <si>
    <t>11-30-005-03W2</t>
  </si>
  <si>
    <t>ENERM</t>
  </si>
  <si>
    <t>08-31-004-18W2</t>
  </si>
  <si>
    <t>07-28-007-08W2</t>
  </si>
  <si>
    <t>15-23-006-08W2</t>
  </si>
  <si>
    <t>01-26-006-09W2</t>
  </si>
  <si>
    <t>03-05-006-05W2</t>
  </si>
  <si>
    <t>05-10-006-05W2</t>
  </si>
  <si>
    <t>09-33-005-05W2</t>
  </si>
  <si>
    <t>SPECT</t>
  </si>
  <si>
    <t>16-33-005-06W2</t>
  </si>
  <si>
    <t>13-34-006-05W2</t>
  </si>
  <si>
    <t>13-30-005-05W2</t>
  </si>
  <si>
    <t>16-21-003-32W1</t>
  </si>
  <si>
    <t>16-23-006-11W2</t>
  </si>
  <si>
    <t>07-02-007-11W2</t>
  </si>
  <si>
    <t>15-33-006-14W2</t>
  </si>
  <si>
    <t>ALDON</t>
  </si>
  <si>
    <t>10-22-006-14W2</t>
  </si>
  <si>
    <t>CAPRI</t>
  </si>
  <si>
    <t>14-33-006-14W2</t>
  </si>
  <si>
    <t>15-25-007-11W2</t>
  </si>
  <si>
    <t>HUMMI</t>
  </si>
  <si>
    <t>04-21-006-14W2</t>
  </si>
  <si>
    <t>VALLE</t>
  </si>
  <si>
    <t>15-30-007-12W2</t>
  </si>
  <si>
    <t>09-31-007-12W2</t>
  </si>
  <si>
    <t>05-18-004-17W2</t>
  </si>
  <si>
    <t>12-25-004-19W2</t>
  </si>
  <si>
    <t>05-13-003-02W2</t>
  </si>
  <si>
    <t>02-10-003-01W2</t>
  </si>
  <si>
    <t>14-20-005-33W1</t>
  </si>
  <si>
    <t>14-28-002-34W1</t>
  </si>
  <si>
    <t>11-23-002-34W1</t>
  </si>
  <si>
    <t>16-13-004-32W1</t>
  </si>
  <si>
    <t>09-23-002-01W2</t>
  </si>
  <si>
    <t>05-13-008-06W2</t>
  </si>
  <si>
    <t>05-35-006-11W2</t>
  </si>
  <si>
    <t>06-02-008-02W2</t>
  </si>
  <si>
    <t>11-27-005-33W1</t>
  </si>
  <si>
    <t>13-11-004-02W2</t>
  </si>
  <si>
    <t>12-12-005-34W1</t>
  </si>
  <si>
    <t>10-33-004-32W1</t>
  </si>
  <si>
    <t>08-05-006-33W1</t>
  </si>
  <si>
    <t>04-05-007-33W1</t>
  </si>
  <si>
    <t>06-04-006-33W1</t>
  </si>
  <si>
    <t>02-15-006-01W2</t>
  </si>
  <si>
    <t>07-24-006-15W2</t>
  </si>
  <si>
    <t>11-04-005-12W2</t>
  </si>
  <si>
    <t>15-32-004-12W2</t>
  </si>
  <si>
    <t>09-34-005-15W2</t>
  </si>
  <si>
    <t>MIDAL</t>
  </si>
  <si>
    <t>04-27-003-33W1</t>
  </si>
  <si>
    <t>06-03-001-16W2</t>
  </si>
  <si>
    <t>02-29-001-17W2</t>
  </si>
  <si>
    <t>03-12-002-19W2</t>
  </si>
  <si>
    <t>03-05-005-11W2</t>
  </si>
  <si>
    <t>03-06-005-12W2</t>
  </si>
  <si>
    <t>FIREZ</t>
  </si>
  <si>
    <t>04-11-007-13W2</t>
  </si>
  <si>
    <t>01-03-008-13W2</t>
  </si>
  <si>
    <t>16-08-007-12W2</t>
  </si>
  <si>
    <t>14-04-007-13W2</t>
  </si>
  <si>
    <t>07-12-005-34W1</t>
  </si>
  <si>
    <t>12-23-005-31W1</t>
  </si>
  <si>
    <t>16-10-006-30W1</t>
  </si>
  <si>
    <t>02-14-005-32W1</t>
  </si>
  <si>
    <t>02-17-005-31W1</t>
  </si>
  <si>
    <t>POSTE</t>
  </si>
  <si>
    <t>07-24-001-32W1</t>
  </si>
  <si>
    <t>11-25-001-32W1</t>
  </si>
  <si>
    <t>03-23-001-32W1</t>
  </si>
  <si>
    <t>07-31-001-31W1</t>
  </si>
  <si>
    <t>SILVE</t>
  </si>
  <si>
    <t>05-01-001-32W1</t>
  </si>
  <si>
    <t>02-30-001-31W1</t>
  </si>
  <si>
    <t>02-20-006-32W1</t>
  </si>
  <si>
    <t>08-13-006-33W1</t>
  </si>
  <si>
    <t>14-33-003-01W2</t>
  </si>
  <si>
    <t>03-29-003-04W2</t>
  </si>
  <si>
    <t>03-13-006-33W1</t>
  </si>
  <si>
    <t>05-07-005-03W2</t>
  </si>
  <si>
    <t>11-02-005-04W2</t>
  </si>
  <si>
    <t>07-35-004-04W2</t>
  </si>
  <si>
    <t>09-10-005-04W2</t>
  </si>
  <si>
    <t>05-24-005-04W2</t>
  </si>
  <si>
    <t>02-16-010-02W2</t>
  </si>
  <si>
    <t>08-18-011-03W2</t>
  </si>
  <si>
    <t>02-18-007-13W2</t>
  </si>
  <si>
    <t>08-35-011-04W2</t>
  </si>
  <si>
    <t>16-09-004-31W1</t>
  </si>
  <si>
    <t>15-26-007-04W2</t>
  </si>
  <si>
    <t>15-21-008-03W2</t>
  </si>
  <si>
    <t>09-02-007-05W2</t>
  </si>
  <si>
    <t>01-24-007-05W2</t>
  </si>
  <si>
    <t>07-12-008-04W2</t>
  </si>
  <si>
    <t>12-35-008-03W2</t>
  </si>
  <si>
    <t>09-18-007-04W2</t>
  </si>
  <si>
    <t>09-27-008-03W2</t>
  </si>
  <si>
    <t>14-26-002-30W1</t>
  </si>
  <si>
    <t>12-01-003-30W1</t>
  </si>
  <si>
    <t>BONTE</t>
  </si>
  <si>
    <t>09-30-007-08W2</t>
  </si>
  <si>
    <t>04-15-008-33W1</t>
  </si>
  <si>
    <t>02-14-010-01W2</t>
  </si>
  <si>
    <t>04-22-009-33W1</t>
  </si>
  <si>
    <t>02-12-010-02W2</t>
  </si>
  <si>
    <t>09-19-009-33W1</t>
  </si>
  <si>
    <t>15-09-010-02W2</t>
  </si>
  <si>
    <t>13-07-010-09W2</t>
  </si>
  <si>
    <t>09-06-010-07W2</t>
  </si>
  <si>
    <t>16-35-009-09W2</t>
  </si>
  <si>
    <t>04-18-009-06W2</t>
  </si>
  <si>
    <t>HIRES</t>
  </si>
  <si>
    <t>13-14-009-09W2</t>
  </si>
  <si>
    <t>06-03-004-31W1</t>
  </si>
  <si>
    <t>07-04-010-08W2</t>
  </si>
  <si>
    <t>05-31-009-07W2</t>
  </si>
  <si>
    <t>09-11-010-08W2</t>
  </si>
  <si>
    <t xml:space="preserve">TOGP </t>
  </si>
  <si>
    <t>07-28-002-30W1</t>
  </si>
  <si>
    <t>11-25-005-06W2</t>
  </si>
  <si>
    <t>VENTU</t>
  </si>
  <si>
    <t>16-36-004-06W2</t>
  </si>
  <si>
    <t>05-31-003-16W2</t>
  </si>
  <si>
    <t>06-01-007-01W2</t>
  </si>
  <si>
    <t>08-33-005-03W2</t>
  </si>
  <si>
    <t>04-33-006-01W2</t>
  </si>
  <si>
    <t>08-31-005-03W2</t>
  </si>
  <si>
    <t>06-27-006-01W2</t>
  </si>
  <si>
    <t>08-32-006-01W2</t>
  </si>
  <si>
    <t>07-23-006-02W2</t>
  </si>
  <si>
    <t>09-28-006-34W1</t>
  </si>
  <si>
    <t>02-02-006-03W2</t>
  </si>
  <si>
    <t>10-13-006-03W2</t>
  </si>
  <si>
    <t>04-10-004-31W1</t>
  </si>
  <si>
    <t>16-24-004-01W2</t>
  </si>
  <si>
    <t>02-08-004-33W1</t>
  </si>
  <si>
    <t>08-36-003-34W1</t>
  </si>
  <si>
    <t>07-25-009-08W2</t>
  </si>
  <si>
    <t>02-27-004-33W1</t>
  </si>
  <si>
    <t>09-08-004-33W1</t>
  </si>
  <si>
    <t>16-30-004-08W2</t>
  </si>
  <si>
    <t>06-24-004-09W2</t>
  </si>
  <si>
    <t>04-14-005-33W1</t>
  </si>
  <si>
    <t>11-16-005-04W2</t>
  </si>
  <si>
    <t>08-14-004-07W2</t>
  </si>
  <si>
    <t>07-08-004-05W2</t>
  </si>
  <si>
    <t>07-18-005-04W2</t>
  </si>
  <si>
    <t>BURGE</t>
  </si>
  <si>
    <t>10-22-004-07W2</t>
  </si>
  <si>
    <t>16-12-004-31W1</t>
  </si>
  <si>
    <t>04-24-005-15W2</t>
  </si>
  <si>
    <t>13-34-007-14W2</t>
  </si>
  <si>
    <t>15-29-005-15W2</t>
  </si>
  <si>
    <t>LANSING</t>
  </si>
  <si>
    <t>Watford City</t>
  </si>
  <si>
    <t>WATFORD CITY</t>
  </si>
  <si>
    <t>C5+</t>
  </si>
  <si>
    <t>TESORO</t>
  </si>
  <si>
    <t>Tesoro Robinson Lake Gas Plant</t>
  </si>
  <si>
    <t xml:space="preserve">ROBINSON LAKE     </t>
  </si>
  <si>
    <t xml:space="preserve">CENTENNIAL </t>
  </si>
  <si>
    <t>Hiland Bakken</t>
  </si>
  <si>
    <t xml:space="preserve">HIGHLAND BAKKEN </t>
  </si>
  <si>
    <t xml:space="preserve">NGL </t>
  </si>
  <si>
    <t>Tioga Gas Plant Condensate</t>
  </si>
  <si>
    <t>TIOGA</t>
  </si>
  <si>
    <t>Tesoro Belfield Gas Plant</t>
  </si>
  <si>
    <t>BELFIELD</t>
  </si>
  <si>
    <t>Little Knife Gas Plant</t>
  </si>
  <si>
    <t>LITTLE KNIFE</t>
  </si>
  <si>
    <t>Palermo Gas Plant</t>
  </si>
  <si>
    <t>PALERMO</t>
  </si>
  <si>
    <t xml:space="preserve">KINDER MORGAN </t>
  </si>
  <si>
    <t>Red Wing Condy NGL</t>
  </si>
  <si>
    <t>REDWING</t>
  </si>
  <si>
    <t xml:space="preserve">LANSING </t>
  </si>
  <si>
    <t>PETRO HUNT</t>
  </si>
  <si>
    <t>SALES</t>
  </si>
  <si>
    <t>REV</t>
  </si>
  <si>
    <t>CANAT</t>
  </si>
  <si>
    <t>NALRE</t>
  </si>
  <si>
    <t>08-12-006-01W2</t>
  </si>
  <si>
    <t>01-09-001-31W1</t>
  </si>
  <si>
    <t>01-15-005-32W1</t>
  </si>
  <si>
    <t>05-29-005-32W1</t>
  </si>
  <si>
    <t>10-11-006-34W1</t>
  </si>
  <si>
    <t>16-27-004-33W1</t>
  </si>
  <si>
    <t>13-25-001-01W2</t>
  </si>
  <si>
    <t>06-24-001-34W1</t>
  </si>
  <si>
    <t>16-24-001-34W1</t>
  </si>
  <si>
    <t>07-36-001-34W1</t>
  </si>
  <si>
    <t>05-12-002-32W1</t>
  </si>
  <si>
    <t>03-19-001-31W1</t>
  </si>
  <si>
    <t>13-17-001-31W1</t>
  </si>
  <si>
    <t>09-30-002-30W1</t>
  </si>
  <si>
    <t>10-33-003-31W1</t>
  </si>
  <si>
    <t>01-01-006-06W2</t>
  </si>
  <si>
    <t>14-18-001-04W1</t>
  </si>
  <si>
    <t>11-28-006-05W2</t>
  </si>
  <si>
    <t>01-29-004-07W2</t>
  </si>
  <si>
    <t>RIFER</t>
  </si>
  <si>
    <t>14-35-006-05W2</t>
  </si>
  <si>
    <t>01-11-005-04W2</t>
  </si>
  <si>
    <t>09-27-006-05W2</t>
  </si>
  <si>
    <t>05-13-009-06W2</t>
  </si>
  <si>
    <t>07-25-003-13W2</t>
  </si>
  <si>
    <t>09-28-001-15W2</t>
  </si>
  <si>
    <t>11-26-002-19W2</t>
  </si>
  <si>
    <t>06-17-006-14W2</t>
  </si>
  <si>
    <t>01-22-006-14W2</t>
  </si>
  <si>
    <t>01-22-010-07W2</t>
  </si>
  <si>
    <t>10-09-004-33W1</t>
  </si>
  <si>
    <t>04-04-007-01W2</t>
  </si>
  <si>
    <t>09-10-009-06W2</t>
  </si>
  <si>
    <t>14-30-009-33W1</t>
  </si>
  <si>
    <t>15-09-010-08W2</t>
  </si>
  <si>
    <t>STEPP</t>
  </si>
  <si>
    <t>03-16-001-11W2</t>
  </si>
  <si>
    <t>13-13-006-34W1</t>
  </si>
  <si>
    <t>Month</t>
  </si>
  <si>
    <t>Num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</si>
  <si>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</si>
  <si>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</si>
  <si>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</si>
  <si>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</si>
  <si>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</si>
  <si>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</si>
  <si>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</si>
  <si>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</si>
  <si>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</si>
  <si>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</si>
  <si>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</si>
  <si>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</si>
  <si>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Crude Breakdown</t>
  </si>
  <si>
    <t>Number</t>
  </si>
  <si>
    <t>Mean_VP</t>
  </si>
  <si>
    <t>SD_VP</t>
  </si>
  <si>
    <t>Mean_Dens</t>
  </si>
  <si>
    <t>SD_Dens</t>
  </si>
  <si>
    <t>Mean_Sulf</t>
  </si>
  <si>
    <t>SD_Sulf</t>
  </si>
  <si>
    <t>All</t>
  </si>
  <si>
    <t>Density:</t>
  </si>
  <si>
    <t>Sulfur:</t>
  </si>
  <si>
    <t>7 Day Rolling Temp Average:</t>
  </si>
  <si>
    <t>Month:</t>
  </si>
  <si>
    <t>Temp.Roll:Midale</t>
  </si>
  <si>
    <t>Predicted VP</t>
  </si>
  <si>
    <t>Mean Predicted VP</t>
  </si>
  <si>
    <t>Median Predicted VP</t>
  </si>
  <si>
    <t>SD Predicted VP</t>
  </si>
  <si>
    <t>Min Predicted VP</t>
  </si>
  <si>
    <t>Max Predicted VP</t>
  </si>
  <si>
    <t>Coefficients:</t>
  </si>
  <si>
    <t>Density</t>
  </si>
  <si>
    <t>Sulfur</t>
  </si>
  <si>
    <t>Crude Type</t>
  </si>
  <si>
    <t>7 Day Temperature Average</t>
  </si>
  <si>
    <t>Mean Historical VP</t>
  </si>
  <si>
    <t>Data Points</t>
  </si>
  <si>
    <t>January</t>
  </si>
  <si>
    <t>Medium LSB</t>
  </si>
  <si>
    <t>February</t>
  </si>
  <si>
    <t>March</t>
  </si>
  <si>
    <t>April</t>
  </si>
  <si>
    <t>Iteration</t>
  </si>
  <si>
    <t>Bin Size</t>
  </si>
  <si>
    <t>Post_Aquisition</t>
  </si>
  <si>
    <t>SD Multiplier:</t>
  </si>
  <si>
    <t>(Intercept)</t>
  </si>
  <si>
    <t>Mean Temperature</t>
  </si>
  <si>
    <t>7 Day Rolling Temperature</t>
  </si>
  <si>
    <t>Yellow Grass</t>
  </si>
  <si>
    <t>Light LSB</t>
  </si>
  <si>
    <t>Light SW</t>
  </si>
  <si>
    <t>Medium SW</t>
  </si>
  <si>
    <t>Heavy Sour</t>
  </si>
  <si>
    <t>Heavy SW</t>
  </si>
  <si>
    <t>Post Aquisition</t>
  </si>
  <si>
    <t>Sulfur:C5+</t>
  </si>
  <si>
    <t>Sulfur:Light LSB</t>
  </si>
  <si>
    <t>Sulfur:Light SW</t>
  </si>
  <si>
    <t>Sulfur:Medium LSB</t>
  </si>
  <si>
    <t>Sulfur:Medium SW</t>
  </si>
  <si>
    <t>Sulfur:Midale</t>
  </si>
  <si>
    <t>Sulfur:Heavy Sour</t>
  </si>
  <si>
    <t>Sulfur:Heavy SW</t>
  </si>
  <si>
    <t>Density:C5+</t>
  </si>
  <si>
    <t>Density:Light LSB</t>
  </si>
  <si>
    <t>Density:Light SW</t>
  </si>
  <si>
    <t>Density:Medium LSB</t>
  </si>
  <si>
    <t>Density:Medium SW</t>
  </si>
  <si>
    <t>Density:Midale</t>
  </si>
  <si>
    <t>Density:Heavy Sour</t>
  </si>
  <si>
    <t>Density:Heavy SW</t>
  </si>
  <si>
    <t>Temp.Roll:C5+</t>
  </si>
  <si>
    <t>Temp.Roll:Light LSB</t>
  </si>
  <si>
    <t>Temp.Roll:Light SW</t>
  </si>
  <si>
    <t>Temp.Roll:Medium LSB</t>
  </si>
  <si>
    <t>Temp.Roll:Medium SW</t>
  </si>
  <si>
    <t>Temp.Roll:Heavy Sour</t>
  </si>
  <si>
    <t>Temp.Roll:Heavy SW</t>
  </si>
  <si>
    <t>Post Aquisition:C5+</t>
  </si>
  <si>
    <t>Post Aquisition:Light LSB</t>
  </si>
  <si>
    <t>Post Aquisition:Light SW</t>
  </si>
  <si>
    <t>Post Aquisition:Medium LSB</t>
  </si>
  <si>
    <t>Post Aquisition:Medium SW</t>
  </si>
  <si>
    <t>Post Aquisition:Midale</t>
  </si>
  <si>
    <t>Post Aquisition:Heavy Sour</t>
  </si>
  <si>
    <t>Post Aquisition:Heavy 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</si>
</sst>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#,##0.0000"/>
    <numFmt numFmtId="165" formatCode="mmmm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rgb="FF3F3F76"/>
      <name val="Calibri"/>
      <family val="2"/>
      <scheme val="minor"/>
    </font>
    <font>
      <sz val="11"/>
      <color rgb="FF3F3F3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2" borderId="1" applyNumberFormat="0" applyAlignment="0" applyProtection="0"/>
    <xf numFmtId="0" fontId="3" fillId="3" borderId="2" applyNumberFormat="0" applyAlignment="0" applyProtection="0"/>
    <xf numFmtId="0" fontId="4" fillId="3" borderId="1" applyNumberFormat="0" applyAlignment="0" applyProtection="0"/>
  </cellStyleXfs>
  <cellXfs count="17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4" fontId="0" fillId="0" borderId="0" xfId="1" applyNumberFormat="1" applyFont="1"/>
    <xf numFmtId="4" fontId="0" fillId="0" borderId="0" xfId="0" applyNumberFormat="1"/>
    <xf numFmtId="1" fontId="0" fillId="0" borderId="0" xfId="0" applyNumberFormat="1"/>
    <xf numFmtId="0" fontId="4" fillId="3" borderId="1" xfId="4"/>
    <xf numFmtId="0" fontId="2" fillId="2" borderId="1" xfId="2"/>
    <xf numFmtId="164" fontId="2" fillId="2" borderId="1" xfId="2" applyNumberFormat="1"/>
    <xf numFmtId="0" fontId="5" fillId="2" borderId="1" xfId="2" applyFont="1"/>
    <xf numFmtId="0" fontId="3" fillId="3" borderId="2" xfId="3" applyFont="1"/>
    <xf numFmtId="164" fontId="6" fillId="3" borderId="2" xfId="3" applyNumberFormat="1" applyFont="1"/>
    <xf numFmtId="0" fontId="2" fillId="2" borderId="1" xfId="2" applyAlignment="1">
      <alignment horizontal="right"/>
    </xf>
    <xf numFmtId="165" fontId="0" fillId="0" borderId="0" xfId="0" applyNumberFormat="1"/>
    <xf numFmtId="3" fontId="0" fillId="0" borderId="0" xfId="1" applyNumberFormat="1" applyFont="1"/>
    <xf numFmtId="2" fontId="2" fillId="2" borderId="1" xfId="2" applyNumberFormat="1"/>
  </cellXfs>
  <cellStyles count="5">
    <cellStyle name="Calculation" xfId="4" builtinId="22"/>
    <cellStyle name="Comma" xfId="1" builtinId="3"/>
    <cellStyle name="Input" xfId="2" builtinId="20"/>
    <cellStyle name="Normal" xfId="0" builtinId="0"/>
    <cellStyle name="Output" xfId="3" builtinId="21"/>
  </cellStyles>
  <dxfs count="111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1" formatCode="0"/>
    </dxf>
    <dxf>
      <numFmt numFmtId="4" formatCode="#,##0.00"/>
    </dxf>
    <dxf>
      <numFmt numFmtId="164" formatCode="#,##0.0000"/>
    </dxf>
    <dxf>
      <numFmt numFmtId="164" formatCode="#,##0.0000"/>
    </dxf>
    <dxf>
      <numFmt numFmtId="164" formatCode="#,##0.0000"/>
    </dxf>
    <dxf>
      <numFmt numFmtId="164" formatCode="#,##0.0000"/>
    </dxf>
    <dxf>
      <numFmt numFmtId="164" formatCode="#,##0.0000"/>
    </dxf>
    <dxf>
      <numFmt numFmtId="164" formatCode="#,##0.00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1" formatCode="0"/>
    </dxf>
    <dxf>
      <numFmt numFmtId="165" formatCode="mmmm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Simulation Results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6"/>
          <c:tx>
            <c:strRef>
              <c:f>Results!$M$2</c:f>
              <c:strCache>
                <c:ptCount val="1"/>
                <c:pt idx="0">
                  <c:v>Data Points</c:v>
                </c:pt>
              </c:strCache>
            </c:strRef>
          </c:tx>
          <c:spPr>
            <a:solidFill>
              <a:schemeClr val="bg2"/>
            </a:solidFill>
            <a:ln>
              <a:noFill/>
            </a:ln>
            <a:effectLst/>
          </c:spPr>
          <c:invertIfNegative val="0"/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Results!$M$3:$M$9</c:f>
              <c:numCache>
                <c:formatCode>General</c:formatCode>
                <c:ptCount val="7"/>
                <c:pt idx="0">
                  <c:v>166</c:v>
                </c:pt>
                <c:pt idx="1">
                  <c:v>158</c:v>
                </c:pt>
                <c:pt idx="2">
                  <c:v>189</c:v>
                </c:pt>
                <c:pt idx="3">
                  <c:v>80</c:v>
                </c:pt>
                <c:pt idx="4">
                  <c:v>200</c:v>
                </c:pt>
                <c:pt idx="5">
                  <c:v>125</c:v>
                </c:pt>
                <c:pt idx="6">
                  <c:v>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04-4CE4-A4E9-E0147784F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1087536"/>
        <c:axId val="423517168"/>
      </c:barChart>
      <c:lineChart>
        <c:grouping val="standard"/>
        <c:varyColors val="0"/>
        <c:ser>
          <c:idx val="1"/>
          <c:order val="0"/>
          <c:tx>
            <c:strRef>
              <c:f>Results!$G$2</c:f>
              <c:strCache>
                <c:ptCount val="1"/>
                <c:pt idx="0">
                  <c:v>Mean Historical VP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Results!$G$3:$G$9</c:f>
              <c:numCache>
                <c:formatCode>General</c:formatCode>
                <c:ptCount val="7"/>
                <c:pt idx="0">
                  <c:v>87.444000000000003</c:v>
                </c:pt>
                <c:pt idx="1">
                  <c:v>86.402500000000003</c:v>
                </c:pt>
                <c:pt idx="2">
                  <c:v>84.281499999999994</c:v>
                </c:pt>
                <c:pt idx="3">
                  <c:v>72.898099999999999</c:v>
                </c:pt>
                <c:pt idx="4">
                  <c:v>85.914100000000005</c:v>
                </c:pt>
                <c:pt idx="5">
                  <c:v>82.48</c:v>
                </c:pt>
                <c:pt idx="6">
                  <c:v>83.834599999999995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4-4CE4-A4E9-E0147784F776}"/>
            </c:ext>
          </c:extLst>
        </c:ser>
        <c:ser>
          <c:idx val="3"/>
          <c:order val="2"/>
          <c:tx>
            <c:strRef>
              <c:f>Results!$I$2</c:f>
              <c:strCache>
                <c:ptCount val="1"/>
                <c:pt idx="0">
                  <c:v>Median Predicted VP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Results!$I$3:$I$9</c:f>
              <c:numCache>
                <c:formatCode>General</c:formatCode>
                <c:ptCount val="7"/>
                <c:pt idx="0">
                  <c:v>85.884100000000004</c:v>
                </c:pt>
                <c:pt idx="1">
                  <c:v>83.415899999999993</c:v>
                </c:pt>
                <c:pt idx="2">
                  <c:v>82.532899999999998</c:v>
                </c:pt>
                <c:pt idx="3">
                  <c:v>74.668700000000001</c:v>
                </c:pt>
                <c:pt idx="4">
                  <c:v>85.686000000000007</c:v>
                </c:pt>
                <c:pt idx="5">
                  <c:v>87.063100000000006</c:v>
                </c:pt>
                <c:pt idx="6">
                  <c:v>86.238600000000005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04-4CE4-A4E9-E0147784F776}"/>
            </c:ext>
          </c:extLst>
        </c:ser>
        <c:ser>
          <c:idx val="2"/>
          <c:order val="1"/>
          <c:tx>
            <c:strRef>
              <c:f>Results!$H$2</c:f>
              <c:strCache>
                <c:ptCount val="1"/>
                <c:pt idx="0">
                  <c:v>Mean Predicted VP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Results!$H$3:$H$9</c:f>
              <c:numCache>
                <c:formatCode>General</c:formatCode>
                <c:ptCount val="7"/>
                <c:pt idx="0">
                  <c:v>86.6524</c:v>
                </c:pt>
                <c:pt idx="1">
                  <c:v>84.599900000000005</c:v>
                </c:pt>
                <c:pt idx="2">
                  <c:v>82.957400000000007</c:v>
                </c:pt>
                <c:pt idx="3">
                  <c:v>74.365700000000004</c:v>
                </c:pt>
                <c:pt idx="4">
                  <c:v>85.320400000000006</c:v>
                </c:pt>
                <c:pt idx="5">
                  <c:v>85.583100000000002</c:v>
                </c:pt>
                <c:pt idx="6">
                  <c:v>85.191000000000003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04-4CE4-A4E9-E0147784F776}"/>
            </c:ext>
          </c:extLst>
        </c:ser>
        <c:ser>
          <c:idx val="5"/>
          <c:order val="4"/>
          <c:tx>
            <c:strRef>
              <c:f>Results!$K$2</c:f>
              <c:strCache>
                <c:ptCount val="1"/>
                <c:pt idx="0">
                  <c:v>Min Predicted VP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Results!$K$3:$K$9</c:f>
              <c:numCache>
                <c:formatCode>General</c:formatCode>
                <c:ptCount val="7"/>
                <c:pt idx="0">
                  <c:v>74.597899999999996</c:v>
                </c:pt>
                <c:pt idx="1">
                  <c:v>74.145099999999999</c:v>
                </c:pt>
                <c:pt idx="2">
                  <c:v>72.393600000000006</c:v>
                </c:pt>
                <c:pt idx="3">
                  <c:v>65.760599999999997</c:v>
                </c:pt>
                <c:pt idx="4">
                  <c:v>73.577799999999996</c:v>
                </c:pt>
                <c:pt idx="5">
                  <c:v>74.530900000000003</c:v>
                </c:pt>
                <c:pt idx="6">
                  <c:v>68.290000000000006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04-4CE4-A4E9-E0147784F776}"/>
            </c:ext>
          </c:extLst>
        </c:ser>
        <c:ser>
          <c:idx val="6"/>
          <c:order val="5"/>
          <c:tx>
            <c:strRef>
              <c:f>Results!$L$2</c:f>
              <c:strCache>
                <c:ptCount val="1"/>
                <c:pt idx="0">
                  <c:v>Max Predicted VP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Results!$A$3:$A$9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Results!$L$3:$L$9</c:f>
              <c:numCache>
                <c:formatCode>General</c:formatCode>
                <c:ptCount val="7"/>
                <c:pt idx="0">
                  <c:v>100.56010000000001</c:v>
                </c:pt>
                <c:pt idx="1">
                  <c:v>100.8659</c:v>
                </c:pt>
                <c:pt idx="2">
                  <c:v>99.373999999999995</c:v>
                </c:pt>
                <c:pt idx="3">
                  <c:v>83.115099999999998</c:v>
                </c:pt>
                <c:pt idx="4">
                  <c:v>102.2086</c:v>
                </c:pt>
                <c:pt idx="5">
                  <c:v>98.833799999999997</c:v>
                </c:pt>
                <c:pt idx="6">
                  <c:v>103.2642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04-4CE4-A4E9-E0147784F7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553856"/>
        <c:axId val="309872288"/>
        <c:extLst>
          <c:ext xmlns:c15="http://schemas.microsoft.com/office/drawing/2012/chart" uri="{02D57815-91ED-43cb-92C2-25804820EDAC}">
            <c15:filteredLine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Results!$J$2</c15:sqref>
                        </c15:formulaRef>
                      </c:ext>
                    </c:extLst>
                    <c:strCache>
                      <c:ptCount val="1"/>
                      <c:pt idx="0">
                        <c:v>SD Predicted VP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Results!$A$3:$A$9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Results!$J$3:$J$9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6.5400999999999998</c:v>
                      </c:pt>
                      <c:pt idx="1">
                        <c:v>6.2008999999999999</c:v>
                      </c:pt>
                      <c:pt idx="2">
                        <c:v>6.1028000000000002</c:v>
                      </c:pt>
                      <c:pt idx="3">
                        <c:v>4.0587</c:v>
                      </c:pt>
                      <c:pt idx="4">
                        <c:v>5.8151000000000002</c:v>
                      </c:pt>
                      <c:pt idx="5">
                        <c:v>5.5239000000000003</c:v>
                      </c:pt>
                      <c:pt idx="6">
                        <c:v>7.2542999999999997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E504-4CE4-A4E9-E0147784F776}"/>
                  </c:ext>
                </c:extLst>
              </c15:ser>
            </c15:filteredLineSeries>
          </c:ext>
        </c:extLst>
      </c:lineChart>
      <c:catAx>
        <c:axId val="309553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Iteration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72288"/>
        <c:crosses val="autoZero"/>
        <c:auto val="1"/>
        <c:lblAlgn val="ctr"/>
        <c:lblOffset val="100"/>
        <c:noMultiLvlLbl val="0"/>
      </c:catAx>
      <c:valAx>
        <c:axId val="3098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VP</a:t>
                </a:r>
                <a:r>
                  <a:rPr lang="en-US" baseline="0"/>
                  <a:t> (kPa)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553856"/>
        <c:crosses val="autoZero"/>
        <c:crossBetween val="between"/>
      </c:valAx>
      <c:valAx>
        <c:axId val="42351716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Data Points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087536"/>
        <c:crosses val="max"/>
        <c:crossBetween val="between"/>
      </c:valAx>
      <c:catAx>
        <c:axId val="3110875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351716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Predicted VP Histogram</cx:v>
        </cx:txData>
      </cx:tx>
      <cx:txPr>
        <a:bodyPr spcFirstLastPara="1" vertOverflow="ellipsis" wrap="square" lIns="0" tIns="0" rIns="0" bIns="0" anchor="ctr" anchorCtr="1"/>
        <a:lstStyle/>
        <a:p>
          <a:pPr algn="ctr">
            <a:defRPr/>
          </a:pPr>
          <a:r>
            <a:rPr lang="en-US"/>
            <a:t>Predicted VP Histogram</a:t>
          </a:r>
        </a:p>
      </cx:txPr>
    </cx:title>
    <cx:plotArea>
      <cx:plotAreaRegion>
        <cx:series layoutId="clusteredColumn" uniqueId="{8A79ABDD-3AD2-488B-B272-58C89214C561}">
          <cx:tx>
            <cx:txData>
              <cx:f>_xlchart.v1.0</cx:f>
              <cx:v>Predicted VP</cx:v>
            </cx:txData>
          </cx:tx>
          <cx:dataId val="0"/>
          <cx:layoutPr>
            <cx:binning intervalClosed="r">
              <cx:binSize val="4.7999999999999998"/>
            </cx:binning>
          </cx:layoutPr>
        </cx:series>
      </cx:plotAreaRegion>
      <cx:axis id="0">
        <cx:catScaling gapWidth="0"/>
        <cx:title>
          <cx:tx>
            <cx:txData>
              <cx:v>VP (kPa)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VP (kPa)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wrap="square" lIns="0" tIns="0" rIns="0" bIns="0" anchor="ctr" anchorCtr="1"/>
            <a:lstStyle/>
            <a:p>
              <a:pPr algn="ctr">
                <a:defRPr/>
              </a:pPr>
              <a:r>
                <a:rPr lang="en-US"/>
                <a:t>Count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114300</xdr:rowOff>
    </xdr:from>
    <xdr:to>
      <xdr:col>8</xdr:col>
      <xdr:colOff>457200</xdr:colOff>
      <xdr:row>37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EB7BF44-1F8C-42BC-B968-0CED6C0477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924300"/>
              <a:ext cx="7305675" cy="3238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9</xdr:col>
      <xdr:colOff>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844AC3-FB0C-46F5-939E-B3A59027C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undraenergy-my.sharepoint.com/Users/scott.graham/Desktop/EPSI/EPS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undraenergy-my.sharepoint.com/Users/scott.graham/OneDrive%20-%20Tundra%20Energy%20Marketing%20Limited/Documents/Marketing/VP/Pre%20Split/Tickets.csv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imulation/Data/VP%20Simul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"/>
      <sheetName val="Single Shipper EQ Gain"/>
      <sheetName val="Base Price Recalculation"/>
      <sheetName val="WADF Recalculation"/>
      <sheetName val="WADF Single Shipper vs. Trad"/>
      <sheetName val="Receipts Pivot"/>
      <sheetName val="Weyburn Pivot"/>
      <sheetName val="Operator Pivot"/>
      <sheetName val="Operator Control"/>
      <sheetName val="TOP Bakken Operators"/>
      <sheetName val="TOP LSB Operators"/>
      <sheetName val="TOP MIDALE Operators"/>
      <sheetName val="TOP EPSI Operators"/>
      <sheetName val="LSB EQ Settlement by Operator"/>
      <sheetName val="EQ Pivot"/>
      <sheetName val="Bakken Pivot"/>
      <sheetName val="Connected LACT's"/>
      <sheetName val="Operator Count"/>
      <sheetName val="Summary Pivot"/>
      <sheetName val="Receipts-Steelman &amp; Upstream"/>
      <sheetName val="Petrolama &amp; Plains"/>
      <sheetName val="Stream Analysis"/>
      <sheetName val="Bty History"/>
      <sheetName val="DATA"/>
      <sheetName val="Lookup"/>
      <sheetName val="SES EQ"/>
      <sheetName val="Pricing"/>
      <sheetName val="Mainline EQ"/>
      <sheetName val="Operators"/>
      <sheetName val="Toll Rates"/>
      <sheetName val="Toll Agreements"/>
      <sheetName val="Model Data"/>
      <sheetName val="Model Pivot"/>
      <sheetName val="Westspur Batteries"/>
      <sheetName val="Discounted Tolls"/>
      <sheetName val="LSB Optimization"/>
      <sheetName val="Optimization-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3">
          <cell r="G3">
            <v>32</v>
          </cell>
          <cell r="L3" t="str">
            <v>02-07-006-10W2</v>
          </cell>
          <cell r="T3">
            <v>0</v>
          </cell>
        </row>
        <row r="4">
          <cell r="G4">
            <v>32</v>
          </cell>
          <cell r="L4" t="str">
            <v>09-28-005-33W1</v>
          </cell>
          <cell r="T4">
            <v>0</v>
          </cell>
        </row>
        <row r="5">
          <cell r="G5">
            <v>32</v>
          </cell>
          <cell r="L5" t="str">
            <v>16-08-004-05W2</v>
          </cell>
          <cell r="T5">
            <v>0</v>
          </cell>
        </row>
        <row r="6">
          <cell r="G6">
            <v>32</v>
          </cell>
          <cell r="L6" t="str">
            <v>16-14-006-13W2</v>
          </cell>
          <cell r="T6">
            <v>0</v>
          </cell>
        </row>
        <row r="7">
          <cell r="G7">
            <v>32</v>
          </cell>
          <cell r="L7" t="str">
            <v>08-17-009-28W1</v>
          </cell>
          <cell r="T7">
            <v>0</v>
          </cell>
        </row>
        <row r="8">
          <cell r="G8">
            <v>32</v>
          </cell>
          <cell r="L8" t="str">
            <v>08-17-009-28W1</v>
          </cell>
          <cell r="T8">
            <v>0</v>
          </cell>
        </row>
        <row r="9">
          <cell r="G9">
            <v>42278</v>
          </cell>
          <cell r="L9" t="str">
            <v>14-04-007-13W2</v>
          </cell>
          <cell r="O9">
            <v>858.3</v>
          </cell>
          <cell r="Q9">
            <v>1.74</v>
          </cell>
          <cell r="T9">
            <v>9.9469999999999992</v>
          </cell>
        </row>
        <row r="10">
          <cell r="G10">
            <v>42278</v>
          </cell>
          <cell r="L10" t="str">
            <v>07-30-007-05W2</v>
          </cell>
          <cell r="O10">
            <v>854.7</v>
          </cell>
          <cell r="Q10">
            <v>1.42</v>
          </cell>
          <cell r="T10">
            <v>35.869</v>
          </cell>
        </row>
        <row r="11">
          <cell r="G11">
            <v>42278</v>
          </cell>
          <cell r="L11" t="str">
            <v>13-14-009-09W2</v>
          </cell>
          <cell r="O11">
            <v>884.9</v>
          </cell>
          <cell r="Q11">
            <v>2.46</v>
          </cell>
          <cell r="T11">
            <v>40.462000000000003</v>
          </cell>
        </row>
        <row r="12">
          <cell r="G12">
            <v>42278</v>
          </cell>
          <cell r="L12" t="str">
            <v>01-15-005-32W1</v>
          </cell>
          <cell r="O12">
            <v>845.5</v>
          </cell>
          <cell r="Q12">
            <v>0.98</v>
          </cell>
          <cell r="T12">
            <v>53.615000000000002</v>
          </cell>
        </row>
        <row r="13">
          <cell r="G13">
            <v>42278</v>
          </cell>
          <cell r="L13" t="str">
            <v>09-26-004-32W1</v>
          </cell>
          <cell r="O13">
            <v>864.8</v>
          </cell>
          <cell r="Q13">
            <v>1.52</v>
          </cell>
          <cell r="T13">
            <v>68.808000000000007</v>
          </cell>
        </row>
        <row r="14">
          <cell r="G14">
            <v>42278</v>
          </cell>
          <cell r="L14" t="str">
            <v>03-19-001-31W1</v>
          </cell>
          <cell r="O14">
            <v>866.8</v>
          </cell>
          <cell r="Q14">
            <v>1.61</v>
          </cell>
          <cell r="T14">
            <v>74.701999999999998</v>
          </cell>
        </row>
        <row r="15">
          <cell r="G15">
            <v>42278</v>
          </cell>
          <cell r="L15" t="str">
            <v>06-01-006-34W1</v>
          </cell>
          <cell r="O15">
            <v>844.3</v>
          </cell>
          <cell r="Q15">
            <v>1.04</v>
          </cell>
          <cell r="T15">
            <v>75.728999999999999</v>
          </cell>
        </row>
        <row r="16">
          <cell r="G16">
            <v>42278</v>
          </cell>
          <cell r="L16" t="str">
            <v>13-34-007-14W2</v>
          </cell>
          <cell r="O16">
            <v>860.9</v>
          </cell>
          <cell r="Q16">
            <v>2.08</v>
          </cell>
          <cell r="T16">
            <v>88.968000000000004</v>
          </cell>
        </row>
        <row r="17">
          <cell r="G17">
            <v>42278</v>
          </cell>
          <cell r="L17" t="str">
            <v>13-31-002-30W1</v>
          </cell>
          <cell r="O17">
            <v>870.1</v>
          </cell>
          <cell r="Q17">
            <v>1.88</v>
          </cell>
          <cell r="T17">
            <v>84.396000000000001</v>
          </cell>
        </row>
        <row r="18">
          <cell r="G18">
            <v>42278</v>
          </cell>
          <cell r="L18" t="str">
            <v>08-18-011-03W2</v>
          </cell>
          <cell r="O18">
            <v>857.2</v>
          </cell>
          <cell r="Q18">
            <v>1.87</v>
          </cell>
          <cell r="T18">
            <v>87.64</v>
          </cell>
        </row>
        <row r="19">
          <cell r="G19">
            <v>42278</v>
          </cell>
          <cell r="L19" t="str">
            <v>10-23-006-01W2</v>
          </cell>
          <cell r="O19">
            <v>845.5</v>
          </cell>
          <cell r="Q19">
            <v>1.1299999999999999</v>
          </cell>
          <cell r="T19">
            <v>90.486999999999995</v>
          </cell>
        </row>
        <row r="20">
          <cell r="G20">
            <v>42278</v>
          </cell>
          <cell r="L20" t="str">
            <v>14-04-003-30W1</v>
          </cell>
          <cell r="O20">
            <v>873.3</v>
          </cell>
          <cell r="Q20">
            <v>2.0499999999999998</v>
          </cell>
          <cell r="T20">
            <v>90.518000000000001</v>
          </cell>
        </row>
        <row r="21">
          <cell r="G21">
            <v>42278</v>
          </cell>
          <cell r="L21" t="str">
            <v>02-14-010-01W2</v>
          </cell>
          <cell r="O21">
            <v>855</v>
          </cell>
          <cell r="Q21">
            <v>1.69</v>
          </cell>
          <cell r="T21">
            <v>790.23699999999997</v>
          </cell>
        </row>
        <row r="22">
          <cell r="G22">
            <v>42278</v>
          </cell>
          <cell r="L22" t="str">
            <v>12-09-004-33W1</v>
          </cell>
          <cell r="O22">
            <v>832.8</v>
          </cell>
          <cell r="Q22">
            <v>0.66</v>
          </cell>
          <cell r="T22">
            <v>107.837</v>
          </cell>
        </row>
        <row r="23">
          <cell r="G23">
            <v>42278</v>
          </cell>
          <cell r="L23" t="str">
            <v>05-28-009-01W2</v>
          </cell>
          <cell r="O23">
            <v>860.1</v>
          </cell>
          <cell r="Q23">
            <v>1.93</v>
          </cell>
          <cell r="T23">
            <v>109.26</v>
          </cell>
        </row>
        <row r="24">
          <cell r="G24">
            <v>42278</v>
          </cell>
          <cell r="L24" t="str">
            <v>02-27-004-33W1</v>
          </cell>
          <cell r="O24">
            <v>832.6</v>
          </cell>
          <cell r="Q24">
            <v>0.67</v>
          </cell>
          <cell r="T24">
            <v>110.875</v>
          </cell>
        </row>
        <row r="25">
          <cell r="G25">
            <v>42278</v>
          </cell>
          <cell r="L25" t="str">
            <v>09-30-002-30W1</v>
          </cell>
          <cell r="O25">
            <v>872.3</v>
          </cell>
          <cell r="Q25">
            <v>1.79</v>
          </cell>
          <cell r="T25">
            <v>116.583</v>
          </cell>
        </row>
        <row r="26">
          <cell r="G26">
            <v>42278</v>
          </cell>
          <cell r="L26" t="str">
            <v>07-24-001-32W1</v>
          </cell>
          <cell r="O26">
            <v>858.5</v>
          </cell>
          <cell r="Q26">
            <v>1.6</v>
          </cell>
          <cell r="T26">
            <v>117.20699999999999</v>
          </cell>
        </row>
        <row r="27">
          <cell r="G27">
            <v>42278</v>
          </cell>
          <cell r="L27" t="str">
            <v>15-09-010-02W2</v>
          </cell>
          <cell r="O27">
            <v>857.4</v>
          </cell>
          <cell r="Q27">
            <v>1.85</v>
          </cell>
          <cell r="T27">
            <v>117.643</v>
          </cell>
        </row>
        <row r="28">
          <cell r="G28">
            <v>42278</v>
          </cell>
          <cell r="L28" t="str">
            <v>09-18-007-04W2</v>
          </cell>
          <cell r="O28">
            <v>854.9</v>
          </cell>
          <cell r="Q28">
            <v>1.44</v>
          </cell>
          <cell r="T28">
            <v>127.95399999999999</v>
          </cell>
        </row>
        <row r="29">
          <cell r="G29">
            <v>42278</v>
          </cell>
          <cell r="L29" t="str">
            <v>14-27-001-13W2</v>
          </cell>
          <cell r="O29">
            <v>803.5</v>
          </cell>
          <cell r="Q29">
            <v>0.11</v>
          </cell>
          <cell r="T29">
            <v>5342.7759999999998</v>
          </cell>
        </row>
        <row r="30">
          <cell r="G30">
            <v>42278</v>
          </cell>
          <cell r="L30" t="str">
            <v>07-36-001-34W1</v>
          </cell>
          <cell r="O30">
            <v>848.8</v>
          </cell>
          <cell r="Q30">
            <v>1.61</v>
          </cell>
          <cell r="T30">
            <v>132.32</v>
          </cell>
        </row>
        <row r="31">
          <cell r="G31">
            <v>42278</v>
          </cell>
          <cell r="L31" t="str">
            <v>01-04-007-09W2</v>
          </cell>
          <cell r="O31">
            <v>813.2</v>
          </cell>
          <cell r="Q31">
            <v>0.28000000000000003</v>
          </cell>
          <cell r="T31">
            <v>949.10199999999998</v>
          </cell>
        </row>
        <row r="32">
          <cell r="G32">
            <v>42278</v>
          </cell>
          <cell r="L32" t="str">
            <v>15-09-010-08W2</v>
          </cell>
          <cell r="O32">
            <v>885.8</v>
          </cell>
          <cell r="Q32">
            <v>2.5</v>
          </cell>
          <cell r="T32">
            <v>149.27500000000001</v>
          </cell>
        </row>
        <row r="33">
          <cell r="G33">
            <v>42278</v>
          </cell>
          <cell r="L33" t="str">
            <v>05-34-005-06W2</v>
          </cell>
          <cell r="O33">
            <v>877.3</v>
          </cell>
          <cell r="Q33">
            <v>2.2799999999999998</v>
          </cell>
          <cell r="T33">
            <v>734.19899999999996</v>
          </cell>
        </row>
        <row r="34">
          <cell r="G34">
            <v>42278</v>
          </cell>
          <cell r="L34" t="str">
            <v>13-07-010-09W2</v>
          </cell>
          <cell r="O34">
            <v>817</v>
          </cell>
          <cell r="Q34">
            <v>0.31</v>
          </cell>
          <cell r="T34">
            <v>2498.2860000000001</v>
          </cell>
        </row>
        <row r="35">
          <cell r="G35">
            <v>42278</v>
          </cell>
          <cell r="L35" t="str">
            <v>07-23-006-02W2</v>
          </cell>
          <cell r="O35">
            <v>855.2</v>
          </cell>
          <cell r="Q35">
            <v>1.1299999999999999</v>
          </cell>
          <cell r="T35">
            <v>139.101</v>
          </cell>
        </row>
        <row r="36">
          <cell r="G36">
            <v>42278</v>
          </cell>
          <cell r="L36" t="str">
            <v>08-01-004-32W1</v>
          </cell>
          <cell r="O36">
            <v>860.6</v>
          </cell>
          <cell r="Q36">
            <v>1.66</v>
          </cell>
          <cell r="T36">
            <v>141.566</v>
          </cell>
        </row>
        <row r="37">
          <cell r="G37">
            <v>42278</v>
          </cell>
          <cell r="L37" t="str">
            <v>09-31-007-12W2</v>
          </cell>
          <cell r="O37">
            <v>870.7</v>
          </cell>
          <cell r="Q37">
            <v>2.31</v>
          </cell>
          <cell r="T37">
            <v>154.75399999999999</v>
          </cell>
        </row>
        <row r="38">
          <cell r="G38">
            <v>42278</v>
          </cell>
          <cell r="L38" t="str">
            <v>03-23-001-32W1</v>
          </cell>
          <cell r="O38">
            <v>867.7</v>
          </cell>
          <cell r="Q38">
            <v>1.65</v>
          </cell>
          <cell r="T38">
            <v>146.989</v>
          </cell>
        </row>
        <row r="39">
          <cell r="G39">
            <v>42278</v>
          </cell>
          <cell r="L39" t="str">
            <v>16-16-010-02W2</v>
          </cell>
          <cell r="O39">
            <v>858.2</v>
          </cell>
          <cell r="Q39">
            <v>1.72</v>
          </cell>
          <cell r="T39">
            <v>147.01</v>
          </cell>
        </row>
        <row r="40">
          <cell r="G40">
            <v>42278</v>
          </cell>
          <cell r="L40" t="str">
            <v>11-28-005-06W2</v>
          </cell>
          <cell r="O40">
            <v>875.3</v>
          </cell>
          <cell r="Q40">
            <v>2.27</v>
          </cell>
          <cell r="T40">
            <v>1514.4580000000001</v>
          </cell>
        </row>
        <row r="41">
          <cell r="G41">
            <v>42278</v>
          </cell>
          <cell r="L41" t="str">
            <v>13-35-007-12W2</v>
          </cell>
          <cell r="O41">
            <v>881.1</v>
          </cell>
          <cell r="Q41">
            <v>2.1</v>
          </cell>
          <cell r="T41">
            <v>161.821</v>
          </cell>
        </row>
        <row r="42">
          <cell r="G42">
            <v>42278</v>
          </cell>
          <cell r="L42" t="str">
            <v>06-01-007-01W2</v>
          </cell>
          <cell r="O42">
            <v>846.8</v>
          </cell>
          <cell r="Q42">
            <v>1.1299999999999999</v>
          </cell>
          <cell r="T42">
            <v>1726.8810000000001</v>
          </cell>
        </row>
        <row r="43">
          <cell r="G43">
            <v>42278</v>
          </cell>
          <cell r="L43" t="str">
            <v>09-26-007-09W2</v>
          </cell>
          <cell r="O43">
            <v>816.7</v>
          </cell>
          <cell r="Q43">
            <v>0.44</v>
          </cell>
          <cell r="T43">
            <v>755.36099999999999</v>
          </cell>
        </row>
        <row r="44">
          <cell r="G44">
            <v>42278</v>
          </cell>
          <cell r="L44" t="str">
            <v>10-21-006-32W1</v>
          </cell>
          <cell r="O44">
            <v>830.1</v>
          </cell>
          <cell r="Q44">
            <v>0.78</v>
          </cell>
          <cell r="T44">
            <v>151.29</v>
          </cell>
        </row>
        <row r="45">
          <cell r="G45">
            <v>42278</v>
          </cell>
          <cell r="L45" t="str">
            <v>01-19-004-12W2</v>
          </cell>
          <cell r="O45">
            <v>898.7</v>
          </cell>
          <cell r="Q45">
            <v>2.59</v>
          </cell>
          <cell r="T45">
            <v>430.86200000000002</v>
          </cell>
        </row>
        <row r="46">
          <cell r="G46">
            <v>42278</v>
          </cell>
          <cell r="L46" t="str">
            <v>12-06-009-07W2</v>
          </cell>
          <cell r="O46">
            <v>812.5</v>
          </cell>
          <cell r="Q46">
            <v>0.19</v>
          </cell>
          <cell r="T46">
            <v>5428.82</v>
          </cell>
        </row>
        <row r="47">
          <cell r="G47">
            <v>42278</v>
          </cell>
          <cell r="L47" t="str">
            <v>07-31-005-33W1</v>
          </cell>
          <cell r="O47">
            <v>828.7</v>
          </cell>
          <cell r="Q47">
            <v>0.68</v>
          </cell>
          <cell r="T47">
            <v>156.02699999999999</v>
          </cell>
        </row>
        <row r="48">
          <cell r="G48">
            <v>42278</v>
          </cell>
          <cell r="L48" t="str">
            <v>04-08-008-08W2</v>
          </cell>
          <cell r="O48">
            <v>804.1</v>
          </cell>
          <cell r="Q48">
            <v>0.16</v>
          </cell>
          <cell r="T48">
            <v>34080.487999999998</v>
          </cell>
        </row>
        <row r="49">
          <cell r="G49">
            <v>42278</v>
          </cell>
          <cell r="L49" t="str">
            <v>03-15-012-06W2</v>
          </cell>
          <cell r="O49">
            <v>886.6</v>
          </cell>
          <cell r="Q49">
            <v>2.59</v>
          </cell>
          <cell r="T49">
            <v>1280.625</v>
          </cell>
        </row>
        <row r="50">
          <cell r="G50">
            <v>42278</v>
          </cell>
          <cell r="L50" t="str">
            <v>02-13-006-01W2</v>
          </cell>
          <cell r="O50">
            <v>846.5</v>
          </cell>
          <cell r="Q50">
            <v>1.23</v>
          </cell>
          <cell r="T50">
            <v>160.97300000000001</v>
          </cell>
        </row>
        <row r="51">
          <cell r="G51">
            <v>42278</v>
          </cell>
          <cell r="L51" t="str">
            <v>03-33-008-06W2</v>
          </cell>
          <cell r="O51">
            <v>811.5</v>
          </cell>
          <cell r="Q51">
            <v>0.26</v>
          </cell>
          <cell r="T51">
            <v>9352.6589999999997</v>
          </cell>
        </row>
        <row r="52">
          <cell r="G52">
            <v>42278</v>
          </cell>
          <cell r="L52" t="str">
            <v>08-13-006-33W1</v>
          </cell>
          <cell r="O52">
            <v>846.6</v>
          </cell>
          <cell r="Q52">
            <v>1.5</v>
          </cell>
          <cell r="T52">
            <v>1198.2529999999999</v>
          </cell>
        </row>
        <row r="53">
          <cell r="G53">
            <v>42278</v>
          </cell>
          <cell r="L53" t="str">
            <v>03-17-011-06W2</v>
          </cell>
          <cell r="O53">
            <v>883.5</v>
          </cell>
          <cell r="Q53">
            <v>2.5299999999999998</v>
          </cell>
          <cell r="T53">
            <v>1891.961</v>
          </cell>
        </row>
        <row r="54">
          <cell r="G54">
            <v>42278</v>
          </cell>
          <cell r="L54" t="str">
            <v>09-14-009-08W2</v>
          </cell>
          <cell r="O54">
            <v>802.2</v>
          </cell>
          <cell r="Q54">
            <v>0.14000000000000001</v>
          </cell>
          <cell r="T54">
            <v>46949.451999999997</v>
          </cell>
        </row>
        <row r="55">
          <cell r="G55">
            <v>42278</v>
          </cell>
          <cell r="L55" t="str">
            <v>03-13-006-33W1</v>
          </cell>
          <cell r="O55">
            <v>830.5</v>
          </cell>
          <cell r="Q55">
            <v>0.77</v>
          </cell>
          <cell r="T55">
            <v>162.79900000000001</v>
          </cell>
        </row>
        <row r="56">
          <cell r="G56">
            <v>42278</v>
          </cell>
          <cell r="L56" t="str">
            <v>11-23-002-34W1</v>
          </cell>
          <cell r="O56">
            <v>833.6</v>
          </cell>
          <cell r="Q56">
            <v>1.63</v>
          </cell>
          <cell r="T56">
            <v>168.899</v>
          </cell>
        </row>
        <row r="57">
          <cell r="G57">
            <v>42278</v>
          </cell>
          <cell r="L57" t="str">
            <v>04-18-009-06W2</v>
          </cell>
          <cell r="O57">
            <v>833.7</v>
          </cell>
          <cell r="Q57">
            <v>0.85</v>
          </cell>
          <cell r="T57">
            <v>1548.0650000000001</v>
          </cell>
        </row>
        <row r="58">
          <cell r="G58">
            <v>42278</v>
          </cell>
          <cell r="L58" t="str">
            <v>05-31-009-07W2</v>
          </cell>
          <cell r="O58">
            <v>879.7</v>
          </cell>
          <cell r="Q58">
            <v>2.35</v>
          </cell>
          <cell r="T58">
            <v>747.78499999999997</v>
          </cell>
        </row>
        <row r="59">
          <cell r="G59">
            <v>42278</v>
          </cell>
          <cell r="L59" t="str">
            <v>02-30-001-31W1</v>
          </cell>
          <cell r="O59">
            <v>864.9</v>
          </cell>
          <cell r="Q59">
            <v>1.64</v>
          </cell>
          <cell r="T59">
            <v>170.364</v>
          </cell>
        </row>
        <row r="60">
          <cell r="G60">
            <v>42278</v>
          </cell>
          <cell r="L60" t="str">
            <v>16-24-004-01W2</v>
          </cell>
          <cell r="O60">
            <v>823.6</v>
          </cell>
          <cell r="Q60">
            <v>0.6</v>
          </cell>
          <cell r="T60">
            <v>168.97200000000001</v>
          </cell>
        </row>
        <row r="61">
          <cell r="G61">
            <v>42278</v>
          </cell>
          <cell r="L61" t="str">
            <v>13-29-008-07W2</v>
          </cell>
          <cell r="O61">
            <v>804.3</v>
          </cell>
          <cell r="Q61">
            <v>0.15</v>
          </cell>
          <cell r="T61">
            <v>20929.703000000001</v>
          </cell>
        </row>
        <row r="62">
          <cell r="G62">
            <v>42278</v>
          </cell>
          <cell r="L62" t="str">
            <v>13-18-010-06W2</v>
          </cell>
          <cell r="O62">
            <v>828.9</v>
          </cell>
          <cell r="Q62">
            <v>0.69</v>
          </cell>
          <cell r="T62">
            <v>5371.1329999999998</v>
          </cell>
        </row>
        <row r="63">
          <cell r="G63">
            <v>42278</v>
          </cell>
          <cell r="L63" t="str">
            <v>03-06-011-07W2</v>
          </cell>
          <cell r="O63">
            <v>886</v>
          </cell>
          <cell r="Q63">
            <v>1.55</v>
          </cell>
          <cell r="T63">
            <v>1505.4280000000001</v>
          </cell>
        </row>
        <row r="64">
          <cell r="G64">
            <v>42278</v>
          </cell>
          <cell r="L64" t="str">
            <v>09-20-008-08W2</v>
          </cell>
          <cell r="O64">
            <v>825.1</v>
          </cell>
          <cell r="Q64">
            <v>0.59</v>
          </cell>
          <cell r="T64">
            <v>1413.7080000000001</v>
          </cell>
        </row>
        <row r="65">
          <cell r="G65">
            <v>42278</v>
          </cell>
          <cell r="L65" t="str">
            <v>07-04-010-08W2</v>
          </cell>
          <cell r="O65">
            <v>877.8</v>
          </cell>
          <cell r="Q65">
            <v>2.44</v>
          </cell>
          <cell r="T65">
            <v>1235.2860000000001</v>
          </cell>
        </row>
        <row r="66">
          <cell r="G66">
            <v>42278</v>
          </cell>
          <cell r="L66" t="str">
            <v>09-06-010-07W2</v>
          </cell>
          <cell r="O66">
            <v>880.6</v>
          </cell>
          <cell r="Q66">
            <v>2.4500000000000002</v>
          </cell>
          <cell r="T66">
            <v>871.48900000000003</v>
          </cell>
        </row>
        <row r="67">
          <cell r="G67">
            <v>42278</v>
          </cell>
          <cell r="L67" t="str">
            <v>09-11-010-08W2</v>
          </cell>
          <cell r="O67">
            <v>880.2</v>
          </cell>
          <cell r="Q67">
            <v>2.4700000000000002</v>
          </cell>
          <cell r="T67">
            <v>832.005</v>
          </cell>
        </row>
        <row r="68">
          <cell r="G68">
            <v>42278</v>
          </cell>
          <cell r="L68" t="str">
            <v>01-22-010-07W2</v>
          </cell>
          <cell r="O68">
            <v>884.1</v>
          </cell>
          <cell r="Q68">
            <v>2.5099999999999998</v>
          </cell>
          <cell r="T68">
            <v>798.28599999999994</v>
          </cell>
        </row>
        <row r="69">
          <cell r="G69">
            <v>42278</v>
          </cell>
          <cell r="L69" t="str">
            <v>16-35-009-09W2</v>
          </cell>
          <cell r="O69">
            <v>884.8</v>
          </cell>
          <cell r="Q69">
            <v>2.46</v>
          </cell>
          <cell r="T69">
            <v>431.32299999999998</v>
          </cell>
        </row>
        <row r="70">
          <cell r="G70">
            <v>42278</v>
          </cell>
          <cell r="L70" t="str">
            <v>07-25-009-08W2</v>
          </cell>
          <cell r="O70">
            <v>881.5</v>
          </cell>
          <cell r="Q70">
            <v>2.3199999999999998</v>
          </cell>
          <cell r="T70">
            <v>257.76299999999998</v>
          </cell>
        </row>
        <row r="71">
          <cell r="G71">
            <v>42278</v>
          </cell>
          <cell r="L71" t="str">
            <v>11-15-007-09W2</v>
          </cell>
          <cell r="O71">
            <v>810</v>
          </cell>
          <cell r="Q71">
            <v>0.12</v>
          </cell>
          <cell r="T71">
            <v>6319.92</v>
          </cell>
        </row>
        <row r="72">
          <cell r="G72">
            <v>42278</v>
          </cell>
          <cell r="L72" t="str">
            <v>15-23-006-08W2</v>
          </cell>
          <cell r="O72">
            <v>867.7</v>
          </cell>
          <cell r="Q72">
            <v>1.69</v>
          </cell>
          <cell r="T72">
            <v>2033.7280000000001</v>
          </cell>
        </row>
        <row r="73">
          <cell r="G73">
            <v>42278</v>
          </cell>
          <cell r="L73" t="str">
            <v>01-26-006-09W2</v>
          </cell>
          <cell r="O73">
            <v>883.8</v>
          </cell>
          <cell r="Q73">
            <v>2.2799999999999998</v>
          </cell>
          <cell r="T73">
            <v>1401.463</v>
          </cell>
        </row>
        <row r="74">
          <cell r="G74">
            <v>42278</v>
          </cell>
          <cell r="L74" t="str">
            <v>07-28-007-08W2</v>
          </cell>
          <cell r="O74">
            <v>841.2</v>
          </cell>
          <cell r="Q74">
            <v>1.44</v>
          </cell>
          <cell r="T74">
            <v>1033.019</v>
          </cell>
        </row>
        <row r="75">
          <cell r="G75">
            <v>42278</v>
          </cell>
          <cell r="L75" t="str">
            <v>12-35-008-03W2</v>
          </cell>
          <cell r="O75">
            <v>861.6</v>
          </cell>
          <cell r="Q75">
            <v>1.59</v>
          </cell>
          <cell r="T75">
            <v>497.45100000000002</v>
          </cell>
        </row>
        <row r="76">
          <cell r="G76">
            <v>42278</v>
          </cell>
          <cell r="L76" t="str">
            <v>11-20-007-05W2</v>
          </cell>
          <cell r="O76">
            <v>852.2</v>
          </cell>
          <cell r="Q76">
            <v>1.57</v>
          </cell>
          <cell r="T76">
            <v>199.797</v>
          </cell>
        </row>
        <row r="77">
          <cell r="G77">
            <v>42278</v>
          </cell>
          <cell r="L77" t="str">
            <v>16-08-007-12W2</v>
          </cell>
          <cell r="O77">
            <v>860.6</v>
          </cell>
          <cell r="Q77">
            <v>2.0099999999999998</v>
          </cell>
          <cell r="T77">
            <v>192.619</v>
          </cell>
        </row>
        <row r="78">
          <cell r="G78">
            <v>42278</v>
          </cell>
          <cell r="L78" t="str">
            <v>01-24-007-05W2</v>
          </cell>
          <cell r="O78">
            <v>847.7</v>
          </cell>
          <cell r="Q78">
            <v>1.31</v>
          </cell>
          <cell r="T78">
            <v>265.529</v>
          </cell>
        </row>
        <row r="79">
          <cell r="G79">
            <v>42278</v>
          </cell>
          <cell r="L79" t="str">
            <v>05-13-008-06W2</v>
          </cell>
          <cell r="O79">
            <v>820.7</v>
          </cell>
          <cell r="Q79">
            <v>0.49</v>
          </cell>
          <cell r="T79">
            <v>1942.6130000000001</v>
          </cell>
        </row>
        <row r="80">
          <cell r="G80">
            <v>42278</v>
          </cell>
          <cell r="L80" t="str">
            <v>03-05-005-11W2</v>
          </cell>
          <cell r="O80">
            <v>863</v>
          </cell>
          <cell r="Q80">
            <v>1.68</v>
          </cell>
          <cell r="T80">
            <v>621.81500000000005</v>
          </cell>
        </row>
        <row r="81">
          <cell r="G81">
            <v>42278</v>
          </cell>
          <cell r="L81" t="str">
            <v>09-19-009-33W1</v>
          </cell>
          <cell r="O81">
            <v>854</v>
          </cell>
          <cell r="Q81">
            <v>1.61</v>
          </cell>
          <cell r="T81">
            <v>898.68399999999997</v>
          </cell>
        </row>
        <row r="82">
          <cell r="G82">
            <v>42278</v>
          </cell>
          <cell r="L82" t="str">
            <v>09-10-009-06W2</v>
          </cell>
          <cell r="O82">
            <v>855</v>
          </cell>
          <cell r="Q82">
            <v>1.66</v>
          </cell>
          <cell r="T82">
            <v>1454.4770000000001</v>
          </cell>
        </row>
        <row r="83">
          <cell r="G83">
            <v>42278</v>
          </cell>
          <cell r="L83" t="str">
            <v>02-26-009-09W2</v>
          </cell>
          <cell r="O83">
            <v>810.8</v>
          </cell>
          <cell r="Q83">
            <v>0.17</v>
          </cell>
          <cell r="T83">
            <v>4536.0510000000004</v>
          </cell>
        </row>
        <row r="84">
          <cell r="G84">
            <v>42278</v>
          </cell>
          <cell r="L84" t="str">
            <v>08-35-011-04W2</v>
          </cell>
          <cell r="O84">
            <v>860.9</v>
          </cell>
          <cell r="Q84">
            <v>1.89</v>
          </cell>
          <cell r="T84">
            <v>676.92100000000005</v>
          </cell>
        </row>
        <row r="85">
          <cell r="G85">
            <v>42278</v>
          </cell>
          <cell r="L85" t="str">
            <v>05-13-009-06W2</v>
          </cell>
          <cell r="O85">
            <v>849.1</v>
          </cell>
          <cell r="Q85">
            <v>1.5</v>
          </cell>
          <cell r="T85">
            <v>2138.02</v>
          </cell>
        </row>
        <row r="86">
          <cell r="G86">
            <v>42278</v>
          </cell>
          <cell r="L86" t="str">
            <v>09-27-006-05W2</v>
          </cell>
          <cell r="O86">
            <v>876.2</v>
          </cell>
          <cell r="Q86">
            <v>2.15</v>
          </cell>
          <cell r="T86">
            <v>1706.9</v>
          </cell>
        </row>
        <row r="87">
          <cell r="G87">
            <v>42278</v>
          </cell>
          <cell r="L87" t="str">
            <v>14-35-006-05W2</v>
          </cell>
          <cell r="O87">
            <v>852.1</v>
          </cell>
          <cell r="Q87">
            <v>1.61</v>
          </cell>
          <cell r="T87">
            <v>236.53299999999999</v>
          </cell>
        </row>
        <row r="88">
          <cell r="G88">
            <v>42278</v>
          </cell>
          <cell r="L88" t="str">
            <v>12-22-007-11W2</v>
          </cell>
          <cell r="O88">
            <v>825</v>
          </cell>
          <cell r="Q88">
            <v>1.26</v>
          </cell>
          <cell r="T88">
            <v>5481.71</v>
          </cell>
        </row>
        <row r="89">
          <cell r="G89">
            <v>42278</v>
          </cell>
          <cell r="L89" t="str">
            <v>06-02-008-02W2</v>
          </cell>
          <cell r="O89">
            <v>857.1</v>
          </cell>
          <cell r="Q89">
            <v>1.51</v>
          </cell>
          <cell r="T89">
            <v>1088.2650000000001</v>
          </cell>
        </row>
        <row r="90">
          <cell r="G90">
            <v>42278</v>
          </cell>
          <cell r="L90" t="str">
            <v>04-05-002-15W2</v>
          </cell>
          <cell r="O90">
            <v>880.1</v>
          </cell>
          <cell r="Q90">
            <v>2.0099999999999998</v>
          </cell>
          <cell r="T90">
            <v>5681.9309999999996</v>
          </cell>
        </row>
        <row r="91">
          <cell r="G91">
            <v>42278</v>
          </cell>
          <cell r="L91" t="str">
            <v>02-08-004-33W1</v>
          </cell>
          <cell r="O91">
            <v>832.7</v>
          </cell>
          <cell r="Q91">
            <v>0.65</v>
          </cell>
          <cell r="T91">
            <v>195.39599999999999</v>
          </cell>
        </row>
        <row r="92">
          <cell r="G92">
            <v>42278</v>
          </cell>
          <cell r="L92" t="str">
            <v>04-33-006-01W2</v>
          </cell>
          <cell r="O92">
            <v>846.6</v>
          </cell>
          <cell r="Q92">
            <v>1.1299999999999999</v>
          </cell>
          <cell r="T92">
            <v>931.24199999999996</v>
          </cell>
        </row>
        <row r="93">
          <cell r="G93">
            <v>42278</v>
          </cell>
          <cell r="L93" t="str">
            <v>02-17-005-31W1</v>
          </cell>
          <cell r="O93">
            <v>848.5</v>
          </cell>
          <cell r="Q93">
            <v>1.41</v>
          </cell>
          <cell r="T93">
            <v>198.572</v>
          </cell>
        </row>
        <row r="94">
          <cell r="G94">
            <v>42278</v>
          </cell>
          <cell r="L94" t="str">
            <v>01-21-001-14W2</v>
          </cell>
          <cell r="O94">
            <v>805.5</v>
          </cell>
          <cell r="Q94">
            <v>0.15</v>
          </cell>
          <cell r="T94">
            <v>38346.224000000002</v>
          </cell>
        </row>
        <row r="95">
          <cell r="G95">
            <v>42278</v>
          </cell>
          <cell r="L95" t="str">
            <v>10-09-004-33W1</v>
          </cell>
          <cell r="O95">
            <v>845.1</v>
          </cell>
          <cell r="Q95">
            <v>0.89</v>
          </cell>
          <cell r="T95">
            <v>202.172</v>
          </cell>
        </row>
        <row r="96">
          <cell r="G96">
            <v>42278</v>
          </cell>
          <cell r="L96" t="str">
            <v>16-12-004-31W1</v>
          </cell>
          <cell r="O96">
            <v>849.5</v>
          </cell>
          <cell r="Q96">
            <v>1.61</v>
          </cell>
          <cell r="T96">
            <v>5352.4690000000001</v>
          </cell>
        </row>
        <row r="97">
          <cell r="G97">
            <v>42278</v>
          </cell>
          <cell r="L97" t="str">
            <v>14-33-006-14W2</v>
          </cell>
          <cell r="O97">
            <v>850.3</v>
          </cell>
          <cell r="Q97">
            <v>1.66</v>
          </cell>
          <cell r="T97">
            <v>2537.319</v>
          </cell>
        </row>
        <row r="98">
          <cell r="G98">
            <v>42278</v>
          </cell>
          <cell r="L98" t="str">
            <v>04-21-006-14W2</v>
          </cell>
          <cell r="O98">
            <v>862.5</v>
          </cell>
          <cell r="Q98">
            <v>2.09</v>
          </cell>
          <cell r="T98">
            <v>1731.854</v>
          </cell>
        </row>
        <row r="99">
          <cell r="G99">
            <v>42278</v>
          </cell>
          <cell r="L99" t="str">
            <v>01-22-006-14W2</v>
          </cell>
          <cell r="O99">
            <v>864.6</v>
          </cell>
          <cell r="Q99">
            <v>2.14</v>
          </cell>
          <cell r="T99">
            <v>991.84</v>
          </cell>
        </row>
        <row r="100">
          <cell r="G100">
            <v>42278</v>
          </cell>
          <cell r="L100" t="str">
            <v>02-18-007-13W2</v>
          </cell>
          <cell r="O100">
            <v>856.4</v>
          </cell>
          <cell r="Q100">
            <v>1.9</v>
          </cell>
          <cell r="T100">
            <v>457.58800000000002</v>
          </cell>
        </row>
        <row r="101">
          <cell r="G101">
            <v>42278</v>
          </cell>
          <cell r="L101" t="str">
            <v>04-11-007-13W2</v>
          </cell>
          <cell r="O101">
            <v>857.9</v>
          </cell>
          <cell r="Q101">
            <v>2.06</v>
          </cell>
          <cell r="T101">
            <v>449.71499999999997</v>
          </cell>
        </row>
        <row r="102">
          <cell r="G102">
            <v>42278</v>
          </cell>
          <cell r="L102" t="str">
            <v>01-03-008-13W2</v>
          </cell>
          <cell r="O102">
            <v>857.7</v>
          </cell>
          <cell r="Q102">
            <v>2.0299999999999998</v>
          </cell>
          <cell r="T102">
            <v>446.57400000000001</v>
          </cell>
        </row>
        <row r="103">
          <cell r="G103">
            <v>42278</v>
          </cell>
          <cell r="L103" t="str">
            <v>10-22-006-14W2</v>
          </cell>
          <cell r="O103">
            <v>850.3</v>
          </cell>
          <cell r="Q103">
            <v>1.69</v>
          </cell>
          <cell r="T103">
            <v>381.08800000000002</v>
          </cell>
        </row>
        <row r="104">
          <cell r="G104">
            <v>42278</v>
          </cell>
          <cell r="L104" t="str">
            <v>15-30-007-12W2</v>
          </cell>
          <cell r="O104">
            <v>875.1</v>
          </cell>
          <cell r="Q104">
            <v>2.36</v>
          </cell>
          <cell r="T104">
            <v>362.05900000000003</v>
          </cell>
        </row>
        <row r="105">
          <cell r="G105">
            <v>42278</v>
          </cell>
          <cell r="L105" t="str">
            <v>05-35-006-11W2</v>
          </cell>
          <cell r="O105">
            <v>809.2</v>
          </cell>
          <cell r="Q105">
            <v>0.1</v>
          </cell>
          <cell r="T105">
            <v>691.35199999999998</v>
          </cell>
        </row>
        <row r="106">
          <cell r="G106">
            <v>42278</v>
          </cell>
          <cell r="L106" t="str">
            <v>03-21-001-16W2</v>
          </cell>
          <cell r="O106">
            <v>867.6</v>
          </cell>
          <cell r="Q106">
            <v>0.89</v>
          </cell>
          <cell r="T106">
            <v>520.77599999999995</v>
          </cell>
        </row>
        <row r="107">
          <cell r="G107">
            <v>42278</v>
          </cell>
          <cell r="L107" t="str">
            <v>13-02-007-14W2</v>
          </cell>
          <cell r="O107">
            <v>853.4</v>
          </cell>
          <cell r="Q107">
            <v>1.79</v>
          </cell>
          <cell r="T107">
            <v>1639.3119999999999</v>
          </cell>
        </row>
        <row r="108">
          <cell r="G108">
            <v>42278</v>
          </cell>
          <cell r="L108" t="str">
            <v>15-33-006-14W2</v>
          </cell>
          <cell r="O108">
            <v>849.6</v>
          </cell>
          <cell r="Q108">
            <v>1.66</v>
          </cell>
          <cell r="T108">
            <v>1240.136</v>
          </cell>
        </row>
        <row r="109">
          <cell r="G109">
            <v>42278</v>
          </cell>
          <cell r="L109" t="str">
            <v>15-14-009-03W2</v>
          </cell>
          <cell r="O109">
            <v>853.2</v>
          </cell>
          <cell r="Q109">
            <v>1.55</v>
          </cell>
          <cell r="T109">
            <v>1128.204</v>
          </cell>
        </row>
        <row r="110">
          <cell r="G110">
            <v>42278</v>
          </cell>
          <cell r="L110" t="str">
            <v>06-03-001-16W2</v>
          </cell>
          <cell r="O110">
            <v>864.5</v>
          </cell>
          <cell r="Q110">
            <v>1.1000000000000001</v>
          </cell>
          <cell r="T110">
            <v>1808.394</v>
          </cell>
        </row>
        <row r="111">
          <cell r="G111">
            <v>42278</v>
          </cell>
          <cell r="L111" t="str">
            <v>02-29-001-17W2</v>
          </cell>
          <cell r="O111">
            <v>870.1</v>
          </cell>
          <cell r="Q111">
            <v>2.21</v>
          </cell>
          <cell r="T111">
            <v>736.327</v>
          </cell>
        </row>
        <row r="112">
          <cell r="G112">
            <v>42278</v>
          </cell>
          <cell r="L112" t="str">
            <v>09-28-001-15W2</v>
          </cell>
          <cell r="O112">
            <v>872.3</v>
          </cell>
          <cell r="Q112">
            <v>1.25</v>
          </cell>
          <cell r="T112">
            <v>236.05199999999999</v>
          </cell>
        </row>
        <row r="113">
          <cell r="G113">
            <v>42278</v>
          </cell>
          <cell r="L113" t="str">
            <v>16-21-003-32W1</v>
          </cell>
          <cell r="O113">
            <v>859.2</v>
          </cell>
          <cell r="Q113">
            <v>1.68</v>
          </cell>
          <cell r="T113">
            <v>821.18899999999996</v>
          </cell>
        </row>
        <row r="114">
          <cell r="G114">
            <v>42278</v>
          </cell>
          <cell r="L114" t="str">
            <v>09-27-008-03W2</v>
          </cell>
          <cell r="O114">
            <v>851.8</v>
          </cell>
          <cell r="Q114">
            <v>1.55</v>
          </cell>
          <cell r="T114">
            <v>1217.5219999999999</v>
          </cell>
        </row>
        <row r="115">
          <cell r="G115">
            <v>42278</v>
          </cell>
          <cell r="L115" t="str">
            <v>16-33-005-06W2</v>
          </cell>
          <cell r="O115">
            <v>869.9</v>
          </cell>
          <cell r="Q115">
            <v>1.79</v>
          </cell>
          <cell r="T115">
            <v>3495.1550000000002</v>
          </cell>
        </row>
        <row r="116">
          <cell r="G116">
            <v>42278</v>
          </cell>
          <cell r="L116" t="str">
            <v>08-31-004-18W2</v>
          </cell>
          <cell r="O116">
            <v>859.5</v>
          </cell>
          <cell r="Q116">
            <v>1.81</v>
          </cell>
          <cell r="T116">
            <v>8679.1730000000007</v>
          </cell>
        </row>
        <row r="117">
          <cell r="G117">
            <v>42278</v>
          </cell>
          <cell r="L117" t="str">
            <v>05-31-003-16W2</v>
          </cell>
          <cell r="O117">
            <v>892.8</v>
          </cell>
          <cell r="Q117">
            <v>2.83</v>
          </cell>
          <cell r="T117">
            <v>7545.8370000000004</v>
          </cell>
        </row>
        <row r="118">
          <cell r="G118">
            <v>42278</v>
          </cell>
          <cell r="L118" t="str">
            <v>05-18-004-17W2</v>
          </cell>
          <cell r="O118">
            <v>864.6</v>
          </cell>
          <cell r="Q118">
            <v>2.09</v>
          </cell>
          <cell r="T118">
            <v>2454.48</v>
          </cell>
        </row>
        <row r="119">
          <cell r="G119">
            <v>42278</v>
          </cell>
          <cell r="L119" t="str">
            <v>12-25-004-19W2</v>
          </cell>
          <cell r="O119">
            <v>871.7</v>
          </cell>
          <cell r="Q119">
            <v>2.3199999999999998</v>
          </cell>
          <cell r="T119">
            <v>778.10400000000004</v>
          </cell>
        </row>
        <row r="120">
          <cell r="G120">
            <v>42278</v>
          </cell>
          <cell r="L120" t="str">
            <v>15-21-008-03W2</v>
          </cell>
          <cell r="O120">
            <v>857.1</v>
          </cell>
          <cell r="Q120">
            <v>1.47</v>
          </cell>
          <cell r="T120">
            <v>679.55700000000002</v>
          </cell>
        </row>
        <row r="121">
          <cell r="G121">
            <v>42278</v>
          </cell>
          <cell r="L121" t="str">
            <v>07-28-002-30W1</v>
          </cell>
          <cell r="O121">
            <v>882.3</v>
          </cell>
          <cell r="Q121">
            <v>2.41</v>
          </cell>
          <cell r="T121">
            <v>2666.712</v>
          </cell>
        </row>
        <row r="122">
          <cell r="G122">
            <v>42278</v>
          </cell>
          <cell r="L122" t="str">
            <v>12-01-003-30W1</v>
          </cell>
          <cell r="O122">
            <v>867</v>
          </cell>
          <cell r="Q122">
            <v>1.62</v>
          </cell>
          <cell r="T122">
            <v>500.70499999999998</v>
          </cell>
        </row>
        <row r="123">
          <cell r="G123">
            <v>42278</v>
          </cell>
          <cell r="L123" t="str">
            <v>11-30-005-03W2</v>
          </cell>
          <cell r="O123">
            <v>855.1</v>
          </cell>
          <cell r="Q123">
            <v>1.36</v>
          </cell>
          <cell r="T123">
            <v>4316.473</v>
          </cell>
        </row>
        <row r="124">
          <cell r="G124">
            <v>42278</v>
          </cell>
          <cell r="L124" t="str">
            <v>14-26-002-30W1</v>
          </cell>
          <cell r="O124">
            <v>868.8</v>
          </cell>
          <cell r="Q124">
            <v>2.0299999999999998</v>
          </cell>
          <cell r="T124">
            <v>722.71699999999998</v>
          </cell>
        </row>
        <row r="125">
          <cell r="G125">
            <v>42278</v>
          </cell>
          <cell r="L125" t="str">
            <v>04-05-003-30W1</v>
          </cell>
          <cell r="O125">
            <v>868.1</v>
          </cell>
          <cell r="Q125">
            <v>1.82</v>
          </cell>
          <cell r="T125">
            <v>274.34899999999999</v>
          </cell>
        </row>
        <row r="126">
          <cell r="G126">
            <v>42278</v>
          </cell>
          <cell r="L126" t="str">
            <v>11-26-002-19W2</v>
          </cell>
          <cell r="O126">
            <v>865.2</v>
          </cell>
          <cell r="Q126">
            <v>2.0499999999999998</v>
          </cell>
          <cell r="T126">
            <v>1157.271</v>
          </cell>
        </row>
        <row r="127">
          <cell r="G127">
            <v>42278</v>
          </cell>
          <cell r="L127" t="str">
            <v>09-28-006-34W1</v>
          </cell>
          <cell r="O127">
            <v>843.9</v>
          </cell>
          <cell r="Q127">
            <v>1.22</v>
          </cell>
          <cell r="T127">
            <v>2089.7190000000001</v>
          </cell>
        </row>
        <row r="128">
          <cell r="G128">
            <v>42278</v>
          </cell>
          <cell r="L128" t="str">
            <v>09-33-006-05W2</v>
          </cell>
          <cell r="O128">
            <v>861.6</v>
          </cell>
          <cell r="Q128">
            <v>1.78</v>
          </cell>
          <cell r="T128">
            <v>1213.5029999999999</v>
          </cell>
        </row>
        <row r="129">
          <cell r="G129">
            <v>42278</v>
          </cell>
          <cell r="L129" t="str">
            <v>11-28-006-05W2</v>
          </cell>
          <cell r="O129">
            <v>851.5</v>
          </cell>
          <cell r="Q129">
            <v>1.48</v>
          </cell>
          <cell r="T129">
            <v>1178.229</v>
          </cell>
        </row>
        <row r="130">
          <cell r="G130">
            <v>42278</v>
          </cell>
          <cell r="L130" t="str">
            <v>13-34-006-05W2</v>
          </cell>
          <cell r="O130">
            <v>862.7</v>
          </cell>
          <cell r="Q130">
            <v>1.92</v>
          </cell>
          <cell r="T130">
            <v>1175.098</v>
          </cell>
        </row>
        <row r="131">
          <cell r="G131">
            <v>42278</v>
          </cell>
          <cell r="L131" t="str">
            <v>02-20-006-32W1</v>
          </cell>
          <cell r="O131">
            <v>833.3</v>
          </cell>
          <cell r="Q131">
            <v>0.8</v>
          </cell>
          <cell r="T131">
            <v>956.48800000000006</v>
          </cell>
        </row>
        <row r="132">
          <cell r="G132">
            <v>42278</v>
          </cell>
          <cell r="L132" t="str">
            <v>05-01-001-32W1</v>
          </cell>
          <cell r="O132">
            <v>867.9</v>
          </cell>
          <cell r="Q132">
            <v>1.62</v>
          </cell>
          <cell r="T132">
            <v>227.36199999999999</v>
          </cell>
        </row>
        <row r="133">
          <cell r="G133">
            <v>42278</v>
          </cell>
          <cell r="L133" t="str">
            <v>16-09-004-31W1</v>
          </cell>
          <cell r="O133">
            <v>867.6</v>
          </cell>
          <cell r="Q133">
            <v>1.8</v>
          </cell>
          <cell r="T133">
            <v>504.31700000000001</v>
          </cell>
        </row>
        <row r="134">
          <cell r="G134">
            <v>42278</v>
          </cell>
          <cell r="L134" t="str">
            <v>08-26-006-02W2</v>
          </cell>
          <cell r="O134">
            <v>853.5</v>
          </cell>
          <cell r="Q134">
            <v>1.19</v>
          </cell>
          <cell r="T134">
            <v>378.81799999999998</v>
          </cell>
        </row>
        <row r="135">
          <cell r="G135">
            <v>42278</v>
          </cell>
          <cell r="L135" t="str">
            <v>13-13-007-02W2</v>
          </cell>
          <cell r="O135">
            <v>847.9</v>
          </cell>
          <cell r="Q135">
            <v>1.25</v>
          </cell>
          <cell r="T135">
            <v>4820.93</v>
          </cell>
        </row>
        <row r="136">
          <cell r="G136">
            <v>42278</v>
          </cell>
          <cell r="L136" t="str">
            <v>04-04-007-01W2</v>
          </cell>
          <cell r="O136">
            <v>848</v>
          </cell>
          <cell r="Q136">
            <v>1.1399999999999999</v>
          </cell>
          <cell r="T136">
            <v>883.08500000000004</v>
          </cell>
        </row>
        <row r="137">
          <cell r="G137">
            <v>42278</v>
          </cell>
          <cell r="L137" t="str">
            <v>07-02-007-11W2</v>
          </cell>
          <cell r="O137">
            <v>852.7</v>
          </cell>
          <cell r="Q137">
            <v>1.04</v>
          </cell>
          <cell r="T137">
            <v>1628.797</v>
          </cell>
        </row>
        <row r="138">
          <cell r="G138">
            <v>42278</v>
          </cell>
          <cell r="L138" t="str">
            <v>04-22-009-33W1</v>
          </cell>
          <cell r="O138">
            <v>854.6</v>
          </cell>
          <cell r="Q138">
            <v>1.4</v>
          </cell>
          <cell r="T138">
            <v>2984.366</v>
          </cell>
        </row>
        <row r="139">
          <cell r="G139">
            <v>42278</v>
          </cell>
          <cell r="L139" t="str">
            <v>05-03-009-33W1</v>
          </cell>
          <cell r="O139">
            <v>852.1</v>
          </cell>
          <cell r="Q139">
            <v>1.32</v>
          </cell>
          <cell r="T139">
            <v>2479.0610000000001</v>
          </cell>
        </row>
        <row r="140">
          <cell r="G140">
            <v>42278</v>
          </cell>
          <cell r="L140" t="str">
            <v>14-30-009-33W1</v>
          </cell>
          <cell r="O140">
            <v>858</v>
          </cell>
          <cell r="Q140">
            <v>1.72</v>
          </cell>
          <cell r="T140">
            <v>1325.49</v>
          </cell>
        </row>
        <row r="141">
          <cell r="G141">
            <v>42278</v>
          </cell>
          <cell r="L141" t="str">
            <v>10-26-010-03W2</v>
          </cell>
          <cell r="O141">
            <v>853.1</v>
          </cell>
          <cell r="Q141">
            <v>1.59</v>
          </cell>
          <cell r="T141">
            <v>379.27199999999999</v>
          </cell>
        </row>
        <row r="142">
          <cell r="G142">
            <v>42278</v>
          </cell>
          <cell r="L142" t="str">
            <v>04-15-008-33W1</v>
          </cell>
          <cell r="O142">
            <v>847.8</v>
          </cell>
          <cell r="Q142">
            <v>1.1599999999999999</v>
          </cell>
          <cell r="T142">
            <v>239.059</v>
          </cell>
        </row>
        <row r="143">
          <cell r="G143">
            <v>42278</v>
          </cell>
          <cell r="L143" t="str">
            <v>16-10-006-30W1</v>
          </cell>
          <cell r="O143">
            <v>857</v>
          </cell>
          <cell r="Q143">
            <v>1.51</v>
          </cell>
          <cell r="T143">
            <v>3453.134</v>
          </cell>
        </row>
        <row r="144">
          <cell r="G144">
            <v>42278</v>
          </cell>
          <cell r="L144" t="str">
            <v>04-10-004-31W1</v>
          </cell>
          <cell r="O144">
            <v>869.1</v>
          </cell>
          <cell r="Q144">
            <v>1.91</v>
          </cell>
          <cell r="T144">
            <v>2241.578</v>
          </cell>
        </row>
        <row r="145">
          <cell r="G145">
            <v>42278</v>
          </cell>
          <cell r="L145" t="str">
            <v>14-09-002-29W1</v>
          </cell>
          <cell r="O145">
            <v>838.3</v>
          </cell>
          <cell r="Q145">
            <v>0.79</v>
          </cell>
          <cell r="T145">
            <v>6887.0640000000003</v>
          </cell>
        </row>
        <row r="146">
          <cell r="G146">
            <v>42278</v>
          </cell>
          <cell r="L146" t="str">
            <v>05-07-005-03W2</v>
          </cell>
          <cell r="O146">
            <v>847.1</v>
          </cell>
          <cell r="Q146">
            <v>1.32</v>
          </cell>
          <cell r="T146">
            <v>3038.9229999999998</v>
          </cell>
        </row>
        <row r="147">
          <cell r="G147">
            <v>42278</v>
          </cell>
          <cell r="L147" t="str">
            <v>08-31-009-01W2</v>
          </cell>
          <cell r="O147">
            <v>860.2</v>
          </cell>
          <cell r="Q147">
            <v>1.78</v>
          </cell>
          <cell r="T147">
            <v>228.803</v>
          </cell>
        </row>
        <row r="148">
          <cell r="G148">
            <v>42278</v>
          </cell>
          <cell r="L148" t="str">
            <v>02-16-010-02W2</v>
          </cell>
          <cell r="O148">
            <v>857.7</v>
          </cell>
          <cell r="Q148">
            <v>1.21</v>
          </cell>
          <cell r="T148">
            <v>566.399</v>
          </cell>
        </row>
        <row r="149">
          <cell r="G149">
            <v>42278</v>
          </cell>
          <cell r="L149" t="str">
            <v>02-12-010-02W2</v>
          </cell>
          <cell r="O149">
            <v>848.5</v>
          </cell>
          <cell r="Q149">
            <v>1.63</v>
          </cell>
          <cell r="T149">
            <v>467.84500000000003</v>
          </cell>
        </row>
        <row r="150">
          <cell r="G150">
            <v>42278</v>
          </cell>
          <cell r="L150" t="str">
            <v>04-05-007-33W1</v>
          </cell>
          <cell r="O150">
            <v>843.8</v>
          </cell>
          <cell r="Q150">
            <v>1.2</v>
          </cell>
          <cell r="T150">
            <v>2123.2359999999999</v>
          </cell>
        </row>
        <row r="151">
          <cell r="G151">
            <v>42278</v>
          </cell>
          <cell r="L151" t="str">
            <v>01-28-002-14W2</v>
          </cell>
          <cell r="O151">
            <v>836.6</v>
          </cell>
          <cell r="Q151">
            <v>1.26</v>
          </cell>
          <cell r="T151">
            <v>6800.9520000000002</v>
          </cell>
        </row>
        <row r="152">
          <cell r="G152">
            <v>42278</v>
          </cell>
          <cell r="L152" t="str">
            <v>16-23-006-11W2</v>
          </cell>
          <cell r="O152">
            <v>878.7</v>
          </cell>
          <cell r="Q152">
            <v>2.2999999999999998</v>
          </cell>
          <cell r="T152">
            <v>1298.098</v>
          </cell>
        </row>
        <row r="153">
          <cell r="G153">
            <v>42278</v>
          </cell>
          <cell r="L153" t="str">
            <v>08-31-005-03W2</v>
          </cell>
          <cell r="O153">
            <v>847.4</v>
          </cell>
          <cell r="Q153">
            <v>1.07</v>
          </cell>
          <cell r="T153">
            <v>231.79900000000001</v>
          </cell>
        </row>
        <row r="154">
          <cell r="G154">
            <v>42278</v>
          </cell>
          <cell r="L154" t="str">
            <v>13-25-001-01W2</v>
          </cell>
          <cell r="O154">
            <v>841.8</v>
          </cell>
          <cell r="Q154">
            <v>1.59</v>
          </cell>
          <cell r="T154">
            <v>233.042</v>
          </cell>
        </row>
        <row r="155">
          <cell r="G155">
            <v>42278</v>
          </cell>
          <cell r="L155" t="str">
            <v>02-14-005-32W1</v>
          </cell>
          <cell r="O155">
            <v>837</v>
          </cell>
          <cell r="Q155">
            <v>0.97</v>
          </cell>
          <cell r="T155">
            <v>2038.723</v>
          </cell>
        </row>
        <row r="156">
          <cell r="G156">
            <v>42278</v>
          </cell>
          <cell r="L156" t="str">
            <v>12-23-005-31W1</v>
          </cell>
          <cell r="O156">
            <v>846.3</v>
          </cell>
          <cell r="Q156">
            <v>1.03</v>
          </cell>
          <cell r="T156">
            <v>1421.027</v>
          </cell>
        </row>
        <row r="157">
          <cell r="G157">
            <v>42278</v>
          </cell>
          <cell r="L157" t="str">
            <v>13-17-001-31W1</v>
          </cell>
          <cell r="O157">
            <v>851.6</v>
          </cell>
          <cell r="Q157">
            <v>1.62</v>
          </cell>
          <cell r="T157">
            <v>236.93299999999999</v>
          </cell>
        </row>
        <row r="158">
          <cell r="G158">
            <v>42278</v>
          </cell>
          <cell r="L158" t="str">
            <v>03-03-002-32W1</v>
          </cell>
          <cell r="O158">
            <v>823.8</v>
          </cell>
          <cell r="Q158">
            <v>1.1499999999999999</v>
          </cell>
          <cell r="T158">
            <v>5226.393</v>
          </cell>
        </row>
        <row r="159">
          <cell r="G159">
            <v>42278</v>
          </cell>
          <cell r="L159" t="str">
            <v>16-24-001-34W1</v>
          </cell>
          <cell r="O159">
            <v>866.7</v>
          </cell>
          <cell r="Q159">
            <v>1.62</v>
          </cell>
          <cell r="T159">
            <v>2149</v>
          </cell>
        </row>
        <row r="160">
          <cell r="G160">
            <v>42278</v>
          </cell>
          <cell r="L160" t="str">
            <v>09-08-004-33W1</v>
          </cell>
          <cell r="O160">
            <v>863.9</v>
          </cell>
          <cell r="Q160">
            <v>1.55</v>
          </cell>
          <cell r="T160">
            <v>1882.874</v>
          </cell>
        </row>
        <row r="161">
          <cell r="G161">
            <v>42278</v>
          </cell>
          <cell r="L161" t="str">
            <v>14-28-002-34W1</v>
          </cell>
          <cell r="O161">
            <v>830.2</v>
          </cell>
          <cell r="Q161">
            <v>0.71</v>
          </cell>
          <cell r="T161">
            <v>1623.0440000000001</v>
          </cell>
        </row>
        <row r="162">
          <cell r="G162">
            <v>42278</v>
          </cell>
          <cell r="L162" t="str">
            <v>14-33-003-01W2</v>
          </cell>
          <cell r="O162">
            <v>832.5</v>
          </cell>
          <cell r="Q162">
            <v>0.84</v>
          </cell>
          <cell r="T162">
            <v>1270.2070000000001</v>
          </cell>
        </row>
        <row r="163">
          <cell r="G163">
            <v>42278</v>
          </cell>
          <cell r="L163" t="str">
            <v>07-31-001-31W1</v>
          </cell>
          <cell r="O163">
            <v>861.3</v>
          </cell>
          <cell r="Q163">
            <v>1.63</v>
          </cell>
          <cell r="T163">
            <v>1122.6379999999999</v>
          </cell>
        </row>
        <row r="164">
          <cell r="G164">
            <v>42278</v>
          </cell>
          <cell r="L164" t="str">
            <v>06-24-001-34W1</v>
          </cell>
          <cell r="O164">
            <v>847.5</v>
          </cell>
          <cell r="Q164">
            <v>1.63</v>
          </cell>
          <cell r="T164">
            <v>1068.0419999999999</v>
          </cell>
        </row>
        <row r="165">
          <cell r="G165">
            <v>42278</v>
          </cell>
          <cell r="L165" t="str">
            <v>04-14-005-33W1</v>
          </cell>
          <cell r="O165">
            <v>833.5</v>
          </cell>
          <cell r="Q165">
            <v>0.8</v>
          </cell>
          <cell r="T165">
            <v>1011.377</v>
          </cell>
        </row>
        <row r="166">
          <cell r="G166">
            <v>42278</v>
          </cell>
          <cell r="L166" t="str">
            <v>11-25-001-32W1</v>
          </cell>
          <cell r="O166">
            <v>850.2</v>
          </cell>
          <cell r="Q166">
            <v>1.62</v>
          </cell>
          <cell r="T166">
            <v>1004.7430000000001</v>
          </cell>
        </row>
        <row r="167">
          <cell r="G167">
            <v>42278</v>
          </cell>
          <cell r="L167" t="str">
            <v>05-12-002-32W1</v>
          </cell>
          <cell r="O167">
            <v>861.9</v>
          </cell>
          <cell r="Q167">
            <v>1.63</v>
          </cell>
          <cell r="T167">
            <v>564.24099999999999</v>
          </cell>
        </row>
        <row r="168">
          <cell r="G168">
            <v>42278</v>
          </cell>
          <cell r="L168" t="str">
            <v>16-27-004-33W1</v>
          </cell>
          <cell r="O168">
            <v>846.6</v>
          </cell>
          <cell r="Q168">
            <v>0.73</v>
          </cell>
          <cell r="T168">
            <v>462.21300000000002</v>
          </cell>
        </row>
        <row r="169">
          <cell r="G169">
            <v>42278</v>
          </cell>
          <cell r="L169" t="str">
            <v>07-12-005-34W1</v>
          </cell>
          <cell r="O169">
            <v>828.7</v>
          </cell>
          <cell r="Q169">
            <v>0.61</v>
          </cell>
          <cell r="T169">
            <v>428.91</v>
          </cell>
        </row>
        <row r="170">
          <cell r="G170">
            <v>42278</v>
          </cell>
          <cell r="L170" t="str">
            <v>16-18-011-04W2</v>
          </cell>
          <cell r="O170">
            <v>820.6</v>
          </cell>
          <cell r="Q170">
            <v>1.42</v>
          </cell>
          <cell r="T170">
            <v>6221.6080000000002</v>
          </cell>
        </row>
        <row r="171">
          <cell r="G171">
            <v>42278</v>
          </cell>
          <cell r="L171" t="str">
            <v>10-13-006-03W2</v>
          </cell>
          <cell r="O171">
            <v>859.5</v>
          </cell>
          <cell r="Q171">
            <v>1.79</v>
          </cell>
          <cell r="T171">
            <v>1826.894</v>
          </cell>
        </row>
        <row r="172">
          <cell r="G172">
            <v>42278</v>
          </cell>
          <cell r="L172" t="str">
            <v>07-12-008-04W2</v>
          </cell>
          <cell r="O172">
            <v>860.4</v>
          </cell>
          <cell r="Q172">
            <v>1.41</v>
          </cell>
          <cell r="T172">
            <v>821.79700000000003</v>
          </cell>
        </row>
        <row r="173">
          <cell r="G173">
            <v>42278</v>
          </cell>
          <cell r="L173" t="str">
            <v>08-36-003-34W1</v>
          </cell>
          <cell r="O173">
            <v>838.9</v>
          </cell>
          <cell r="Q173">
            <v>1.1599999999999999</v>
          </cell>
          <cell r="T173">
            <v>5575.13</v>
          </cell>
        </row>
        <row r="174">
          <cell r="G174">
            <v>42278</v>
          </cell>
          <cell r="L174" t="str">
            <v>05-14-003-01W2</v>
          </cell>
          <cell r="O174">
            <v>819.3</v>
          </cell>
          <cell r="Q174">
            <v>0.71</v>
          </cell>
          <cell r="T174">
            <v>3798.73</v>
          </cell>
        </row>
        <row r="175">
          <cell r="G175">
            <v>42278</v>
          </cell>
          <cell r="L175" t="str">
            <v>01-09-001-31W1</v>
          </cell>
          <cell r="O175">
            <v>873.9</v>
          </cell>
          <cell r="Q175">
            <v>1.63</v>
          </cell>
          <cell r="T175">
            <v>2300.2869999999998</v>
          </cell>
        </row>
        <row r="176">
          <cell r="G176">
            <v>42278</v>
          </cell>
          <cell r="L176" t="str">
            <v>05-13-003-02W2</v>
          </cell>
          <cell r="O176">
            <v>824.3</v>
          </cell>
          <cell r="Q176">
            <v>0.53</v>
          </cell>
          <cell r="T176">
            <v>1811.847</v>
          </cell>
        </row>
        <row r="177">
          <cell r="G177">
            <v>42278</v>
          </cell>
          <cell r="L177" t="str">
            <v>10-11-004-34W1</v>
          </cell>
          <cell r="O177">
            <v>844.3</v>
          </cell>
          <cell r="Q177">
            <v>0.82</v>
          </cell>
          <cell r="T177">
            <v>942.75</v>
          </cell>
        </row>
        <row r="178">
          <cell r="G178">
            <v>42278</v>
          </cell>
          <cell r="L178" t="str">
            <v>14-20-005-33W1</v>
          </cell>
          <cell r="O178">
            <v>829</v>
          </cell>
          <cell r="Q178">
            <v>0.72</v>
          </cell>
          <cell r="T178">
            <v>769.51</v>
          </cell>
        </row>
        <row r="179">
          <cell r="G179">
            <v>42278</v>
          </cell>
          <cell r="L179" t="str">
            <v>13-11-004-02W2</v>
          </cell>
          <cell r="O179">
            <v>838</v>
          </cell>
          <cell r="Q179">
            <v>1.05</v>
          </cell>
          <cell r="T179">
            <v>702.53200000000004</v>
          </cell>
        </row>
        <row r="180">
          <cell r="G180">
            <v>42278</v>
          </cell>
          <cell r="L180" t="str">
            <v>02-10-003-01W2</v>
          </cell>
          <cell r="O180">
            <v>829.2</v>
          </cell>
          <cell r="Q180">
            <v>0.51</v>
          </cell>
          <cell r="T180">
            <v>377.78699999999998</v>
          </cell>
        </row>
        <row r="181">
          <cell r="G181">
            <v>42278</v>
          </cell>
          <cell r="L181" t="str">
            <v>01-31-003-01W2</v>
          </cell>
          <cell r="O181">
            <v>831.2</v>
          </cell>
          <cell r="Q181">
            <v>0.64</v>
          </cell>
          <cell r="T181">
            <v>323.37299999999999</v>
          </cell>
        </row>
        <row r="182">
          <cell r="G182">
            <v>42278</v>
          </cell>
          <cell r="L182" t="str">
            <v>14-33-003-01W2</v>
          </cell>
          <cell r="O182">
            <v>833.2</v>
          </cell>
          <cell r="Q182">
            <v>0.67</v>
          </cell>
          <cell r="T182">
            <v>295.88400000000001</v>
          </cell>
        </row>
        <row r="183">
          <cell r="G183">
            <v>42278</v>
          </cell>
          <cell r="L183" t="str">
            <v>12-12-005-34W1</v>
          </cell>
          <cell r="O183">
            <v>824.5</v>
          </cell>
          <cell r="Q183">
            <v>0.59</v>
          </cell>
          <cell r="T183">
            <v>289.976</v>
          </cell>
        </row>
        <row r="184">
          <cell r="G184">
            <v>42278</v>
          </cell>
          <cell r="L184" t="str">
            <v>08-33-005-03W2</v>
          </cell>
          <cell r="O184">
            <v>854.5</v>
          </cell>
          <cell r="Q184">
            <v>1.1200000000000001</v>
          </cell>
          <cell r="T184">
            <v>1301.7239999999999</v>
          </cell>
        </row>
        <row r="185">
          <cell r="G185">
            <v>42278</v>
          </cell>
          <cell r="L185" t="str">
            <v>02-02-006-03W2</v>
          </cell>
          <cell r="O185">
            <v>848.7</v>
          </cell>
          <cell r="Q185">
            <v>1.2</v>
          </cell>
          <cell r="T185">
            <v>1131.0060000000001</v>
          </cell>
        </row>
        <row r="186">
          <cell r="G186">
            <v>42278</v>
          </cell>
          <cell r="L186" t="str">
            <v>05-29-005-32W1</v>
          </cell>
          <cell r="O186">
            <v>836</v>
          </cell>
          <cell r="Q186">
            <v>0.94</v>
          </cell>
          <cell r="T186">
            <v>3233.498</v>
          </cell>
        </row>
        <row r="187">
          <cell r="G187">
            <v>42278</v>
          </cell>
          <cell r="L187" t="str">
            <v>15-26-007-04W2</v>
          </cell>
          <cell r="O187">
            <v>859.8</v>
          </cell>
          <cell r="Q187">
            <v>1.4</v>
          </cell>
          <cell r="T187">
            <v>372.37</v>
          </cell>
        </row>
        <row r="188">
          <cell r="G188">
            <v>42278</v>
          </cell>
          <cell r="L188" t="str">
            <v>07-25-003-13W2</v>
          </cell>
          <cell r="O188">
            <v>889.6</v>
          </cell>
          <cell r="Q188">
            <v>2.4</v>
          </cell>
          <cell r="T188">
            <v>343.935</v>
          </cell>
        </row>
        <row r="189">
          <cell r="G189">
            <v>42278</v>
          </cell>
          <cell r="L189" t="str">
            <v>13-30-005-05W2</v>
          </cell>
          <cell r="O189">
            <v>847.8</v>
          </cell>
          <cell r="Q189">
            <v>1.1200000000000001</v>
          </cell>
          <cell r="T189">
            <v>899.66600000000005</v>
          </cell>
        </row>
        <row r="190">
          <cell r="G190">
            <v>42278</v>
          </cell>
          <cell r="L190" t="str">
            <v>09-13-007-11W2</v>
          </cell>
          <cell r="O190">
            <v>815.9</v>
          </cell>
          <cell r="Q190">
            <v>0.37</v>
          </cell>
          <cell r="T190">
            <v>22620.232</v>
          </cell>
        </row>
        <row r="191">
          <cell r="G191">
            <v>42278</v>
          </cell>
          <cell r="L191" t="str">
            <v>04-27-003-33W1</v>
          </cell>
          <cell r="O191">
            <v>844.6</v>
          </cell>
          <cell r="Q191">
            <v>1.1299999999999999</v>
          </cell>
          <cell r="T191">
            <v>2078.7060000000001</v>
          </cell>
        </row>
        <row r="192">
          <cell r="G192">
            <v>42278</v>
          </cell>
          <cell r="L192" t="str">
            <v>03-06-005-12W2</v>
          </cell>
          <cell r="O192">
            <v>885.4</v>
          </cell>
          <cell r="Q192">
            <v>2.25</v>
          </cell>
          <cell r="T192">
            <v>528.69799999999998</v>
          </cell>
        </row>
        <row r="193">
          <cell r="G193">
            <v>42278</v>
          </cell>
          <cell r="L193" t="str">
            <v>15-25-007-11W2</v>
          </cell>
          <cell r="O193">
            <v>868.1</v>
          </cell>
          <cell r="Q193">
            <v>1.94</v>
          </cell>
          <cell r="T193">
            <v>1397.569</v>
          </cell>
        </row>
        <row r="194">
          <cell r="G194">
            <v>42278</v>
          </cell>
          <cell r="L194" t="str">
            <v>07-27-007-06W2</v>
          </cell>
          <cell r="O194">
            <v>803.5</v>
          </cell>
          <cell r="Q194">
            <v>0.24</v>
          </cell>
          <cell r="T194">
            <v>925.94</v>
          </cell>
        </row>
        <row r="195">
          <cell r="G195">
            <v>42278</v>
          </cell>
          <cell r="L195" t="str">
            <v>05-20-004-04W2</v>
          </cell>
          <cell r="O195">
            <v>821</v>
          </cell>
          <cell r="Q195">
            <v>1.9</v>
          </cell>
          <cell r="T195">
            <v>4737.4470000000001</v>
          </cell>
        </row>
        <row r="196">
          <cell r="G196">
            <v>42278</v>
          </cell>
          <cell r="L196" t="str">
            <v>11-16-005-04W2</v>
          </cell>
          <cell r="O196">
            <v>850.2</v>
          </cell>
          <cell r="Q196">
            <v>1.35</v>
          </cell>
          <cell r="T196">
            <v>1830.0409999999999</v>
          </cell>
        </row>
        <row r="197">
          <cell r="G197">
            <v>42278</v>
          </cell>
          <cell r="L197" t="str">
            <v>07-12-006-11W2</v>
          </cell>
          <cell r="O197">
            <v>879</v>
          </cell>
          <cell r="Q197">
            <v>2.08</v>
          </cell>
          <cell r="T197">
            <v>24012.701000000001</v>
          </cell>
        </row>
        <row r="198">
          <cell r="G198">
            <v>42278</v>
          </cell>
          <cell r="L198" t="str">
            <v>11-04-005-12W2</v>
          </cell>
          <cell r="O198">
            <v>877.1</v>
          </cell>
          <cell r="Q198">
            <v>2</v>
          </cell>
          <cell r="T198">
            <v>1744.5450000000001</v>
          </cell>
        </row>
        <row r="199">
          <cell r="G199">
            <v>42278</v>
          </cell>
          <cell r="L199" t="str">
            <v>15-32-004-12W2</v>
          </cell>
          <cell r="O199">
            <v>880.8</v>
          </cell>
          <cell r="Q199">
            <v>2.12</v>
          </cell>
          <cell r="T199">
            <v>1439.5039999999999</v>
          </cell>
        </row>
        <row r="200">
          <cell r="G200">
            <v>42278</v>
          </cell>
          <cell r="L200" t="str">
            <v>02-13-006-06W2</v>
          </cell>
          <cell r="O200">
            <v>843.1</v>
          </cell>
          <cell r="Q200">
            <v>1.53</v>
          </cell>
          <cell r="T200">
            <v>1980.316</v>
          </cell>
        </row>
        <row r="201">
          <cell r="G201">
            <v>42278</v>
          </cell>
          <cell r="L201" t="str">
            <v>14-13-001-05W2</v>
          </cell>
          <cell r="O201">
            <v>821.7</v>
          </cell>
          <cell r="Q201">
            <v>0.48</v>
          </cell>
          <cell r="T201">
            <v>21686.629000000001</v>
          </cell>
        </row>
        <row r="202">
          <cell r="G202">
            <v>42278</v>
          </cell>
          <cell r="L202" t="str">
            <v>01-07-006-10W2</v>
          </cell>
          <cell r="O202">
            <v>848.2</v>
          </cell>
          <cell r="Q202">
            <v>2.02</v>
          </cell>
          <cell r="T202">
            <v>65534.339</v>
          </cell>
        </row>
        <row r="203">
          <cell r="G203">
            <v>42278</v>
          </cell>
          <cell r="L203" t="str">
            <v>13-30-007-10W2</v>
          </cell>
          <cell r="O203">
            <v>812.6</v>
          </cell>
          <cell r="Q203">
            <v>0.56000000000000005</v>
          </cell>
          <cell r="T203">
            <v>13059.558000000001</v>
          </cell>
        </row>
        <row r="204">
          <cell r="G204">
            <v>42278</v>
          </cell>
          <cell r="L204" t="str">
            <v>04-17-004-31W1</v>
          </cell>
          <cell r="O204">
            <v>862.9</v>
          </cell>
          <cell r="Q204">
            <v>1.73</v>
          </cell>
          <cell r="T204">
            <v>1620.019</v>
          </cell>
        </row>
        <row r="205">
          <cell r="G205">
            <v>42278</v>
          </cell>
          <cell r="L205" t="str">
            <v>10-33-003-31W1</v>
          </cell>
          <cell r="O205">
            <v>880.8</v>
          </cell>
          <cell r="Q205">
            <v>0.88</v>
          </cell>
          <cell r="T205">
            <v>364.89600000000002</v>
          </cell>
        </row>
        <row r="206">
          <cell r="G206">
            <v>42278</v>
          </cell>
          <cell r="L206" t="str">
            <v>11-02-005-12W2</v>
          </cell>
          <cell r="O206">
            <v>827.1</v>
          </cell>
          <cell r="Q206">
            <v>1.44</v>
          </cell>
          <cell r="T206">
            <v>4182.07</v>
          </cell>
        </row>
        <row r="207">
          <cell r="G207">
            <v>42278</v>
          </cell>
          <cell r="L207" t="str">
            <v>16-13-004-32W1</v>
          </cell>
          <cell r="O207">
            <v>859.2</v>
          </cell>
          <cell r="Q207">
            <v>1.45</v>
          </cell>
          <cell r="T207">
            <v>3002.5410000000002</v>
          </cell>
        </row>
        <row r="208">
          <cell r="G208">
            <v>42278</v>
          </cell>
          <cell r="L208" t="str">
            <v>06-03-004-31W1</v>
          </cell>
          <cell r="O208">
            <v>866.5</v>
          </cell>
          <cell r="Q208">
            <v>1.88</v>
          </cell>
          <cell r="T208">
            <v>418.59399999999999</v>
          </cell>
        </row>
        <row r="209">
          <cell r="G209">
            <v>42278</v>
          </cell>
          <cell r="L209" t="str">
            <v>14-30-001-04W2</v>
          </cell>
          <cell r="O209">
            <v>830.9</v>
          </cell>
          <cell r="Q209">
            <v>0.52</v>
          </cell>
          <cell r="T209">
            <v>3657.9070000000002</v>
          </cell>
        </row>
        <row r="210">
          <cell r="G210">
            <v>42278</v>
          </cell>
          <cell r="L210" t="str">
            <v>14-18-001-04W2</v>
          </cell>
          <cell r="O210">
            <v>824.4</v>
          </cell>
          <cell r="Q210">
            <v>0.5</v>
          </cell>
          <cell r="T210">
            <v>539.83000000000004</v>
          </cell>
        </row>
        <row r="211">
          <cell r="G211">
            <v>42278</v>
          </cell>
          <cell r="L211" t="str">
            <v>05-31-002-01W2</v>
          </cell>
          <cell r="O211">
            <v>820.5</v>
          </cell>
          <cell r="Q211">
            <v>0.47</v>
          </cell>
          <cell r="T211">
            <v>5925.5569999999998</v>
          </cell>
        </row>
        <row r="212">
          <cell r="G212">
            <v>42278</v>
          </cell>
          <cell r="L212" t="str">
            <v>13-03-006-34W1</v>
          </cell>
          <cell r="O212">
            <v>843.6</v>
          </cell>
          <cell r="Q212">
            <v>1.1599999999999999</v>
          </cell>
          <cell r="T212">
            <v>7990.1769999999997</v>
          </cell>
        </row>
        <row r="213">
          <cell r="G213">
            <v>42278</v>
          </cell>
          <cell r="L213" t="str">
            <v>06-27-006-01W2</v>
          </cell>
          <cell r="O213">
            <v>849.3</v>
          </cell>
          <cell r="Q213">
            <v>1.54</v>
          </cell>
          <cell r="T213">
            <v>1714.0350000000001</v>
          </cell>
        </row>
        <row r="214">
          <cell r="G214">
            <v>42278</v>
          </cell>
          <cell r="L214" t="str">
            <v>10-11-006-34W1</v>
          </cell>
          <cell r="O214">
            <v>851.5</v>
          </cell>
          <cell r="Q214">
            <v>1.48</v>
          </cell>
          <cell r="T214">
            <v>801.78399999999999</v>
          </cell>
        </row>
        <row r="215">
          <cell r="G215">
            <v>42278</v>
          </cell>
          <cell r="L215" t="str">
            <v>08-32-006-01W2</v>
          </cell>
          <cell r="O215">
            <v>846.8</v>
          </cell>
          <cell r="Q215">
            <v>1.21</v>
          </cell>
          <cell r="T215">
            <v>663.80499999999995</v>
          </cell>
        </row>
        <row r="216">
          <cell r="G216">
            <v>42278</v>
          </cell>
          <cell r="L216" t="str">
            <v>03-29-003-04W2</v>
          </cell>
          <cell r="O216">
            <v>838.3</v>
          </cell>
          <cell r="Q216">
            <v>0.81</v>
          </cell>
          <cell r="T216">
            <v>1309.425</v>
          </cell>
        </row>
        <row r="217">
          <cell r="G217">
            <v>42278</v>
          </cell>
          <cell r="L217" t="str">
            <v>16-16-003-04W2</v>
          </cell>
          <cell r="O217">
            <v>831.4</v>
          </cell>
          <cell r="Q217">
            <v>0.71</v>
          </cell>
          <cell r="T217">
            <v>541.10500000000002</v>
          </cell>
        </row>
        <row r="218">
          <cell r="G218">
            <v>42278</v>
          </cell>
          <cell r="L218" t="str">
            <v>11-27-005-33W1</v>
          </cell>
          <cell r="O218">
            <v>828</v>
          </cell>
          <cell r="Q218">
            <v>0.72</v>
          </cell>
          <cell r="T218">
            <v>5197.1109999999999</v>
          </cell>
        </row>
        <row r="219">
          <cell r="G219">
            <v>42278</v>
          </cell>
          <cell r="L219" t="str">
            <v>02-15-006-01W2</v>
          </cell>
          <cell r="O219">
            <v>847.9</v>
          </cell>
          <cell r="Q219">
            <v>1.1200000000000001</v>
          </cell>
          <cell r="T219">
            <v>1198.7940000000001</v>
          </cell>
        </row>
        <row r="220">
          <cell r="G220">
            <v>42278</v>
          </cell>
          <cell r="L220" t="str">
            <v>10-33-004-32W1</v>
          </cell>
          <cell r="O220">
            <v>838.5</v>
          </cell>
          <cell r="Q220">
            <v>2.2999999999999998</v>
          </cell>
          <cell r="T220">
            <v>709.60599999999999</v>
          </cell>
        </row>
        <row r="221">
          <cell r="G221">
            <v>42278</v>
          </cell>
          <cell r="L221" t="str">
            <v>08-12-006-01W2</v>
          </cell>
          <cell r="O221">
            <v>846.8</v>
          </cell>
          <cell r="Q221">
            <v>1.29</v>
          </cell>
          <cell r="T221">
            <v>365.452</v>
          </cell>
        </row>
        <row r="222">
          <cell r="G222">
            <v>42278</v>
          </cell>
          <cell r="L222" t="str">
            <v>07-08-004-05W2</v>
          </cell>
          <cell r="O222">
            <v>848.6</v>
          </cell>
          <cell r="Q222">
            <v>1.07</v>
          </cell>
          <cell r="T222">
            <v>642.61500000000001</v>
          </cell>
        </row>
        <row r="223">
          <cell r="G223">
            <v>42278</v>
          </cell>
          <cell r="L223" t="str">
            <v>09-33-005-05W2</v>
          </cell>
          <cell r="O223">
            <v>859.5</v>
          </cell>
          <cell r="Q223">
            <v>0.69</v>
          </cell>
          <cell r="T223">
            <v>1933.0350000000001</v>
          </cell>
        </row>
        <row r="224">
          <cell r="G224">
            <v>42278</v>
          </cell>
          <cell r="L224" t="str">
            <v>08-05-006-33W1</v>
          </cell>
          <cell r="O224">
            <v>834</v>
          </cell>
          <cell r="Q224">
            <v>0.84</v>
          </cell>
          <cell r="T224">
            <v>1334.73</v>
          </cell>
        </row>
        <row r="225">
          <cell r="G225">
            <v>42278</v>
          </cell>
          <cell r="L225" t="str">
            <v>06-04-006-33W1</v>
          </cell>
          <cell r="O225">
            <v>833.9</v>
          </cell>
          <cell r="Q225">
            <v>0.83</v>
          </cell>
          <cell r="T225">
            <v>529.03200000000004</v>
          </cell>
        </row>
        <row r="226">
          <cell r="G226">
            <v>42278</v>
          </cell>
          <cell r="L226" t="str">
            <v>03-05-006-05W2</v>
          </cell>
          <cell r="O226">
            <v>864.9</v>
          </cell>
          <cell r="Q226">
            <v>1.01</v>
          </cell>
          <cell r="T226">
            <v>347.06599999999997</v>
          </cell>
        </row>
        <row r="227">
          <cell r="G227">
            <v>42278</v>
          </cell>
          <cell r="L227" t="str">
            <v>01-35-005-06W2</v>
          </cell>
          <cell r="O227">
            <v>850.2</v>
          </cell>
          <cell r="Q227">
            <v>1.1499999999999999</v>
          </cell>
          <cell r="T227">
            <v>355.66399999999999</v>
          </cell>
        </row>
        <row r="228">
          <cell r="G228">
            <v>42278</v>
          </cell>
          <cell r="L228" t="str">
            <v>01-01-006-06W2</v>
          </cell>
          <cell r="O228">
            <v>848.2</v>
          </cell>
          <cell r="Q228">
            <v>1.17</v>
          </cell>
          <cell r="T228">
            <v>462.27600000000001</v>
          </cell>
        </row>
        <row r="229">
          <cell r="G229">
            <v>42278</v>
          </cell>
          <cell r="L229" t="str">
            <v>09-08-004-03W2</v>
          </cell>
          <cell r="O229">
            <v>834.6</v>
          </cell>
          <cell r="Q229">
            <v>1.08</v>
          </cell>
          <cell r="T229">
            <v>3356.59</v>
          </cell>
        </row>
        <row r="230">
          <cell r="G230">
            <v>42278</v>
          </cell>
          <cell r="L230" t="str">
            <v>05-10-006-05W2</v>
          </cell>
          <cell r="O230">
            <v>853.1</v>
          </cell>
          <cell r="Q230">
            <v>1.47</v>
          </cell>
          <cell r="T230">
            <v>4421.9530000000004</v>
          </cell>
        </row>
        <row r="231">
          <cell r="G231">
            <v>42278</v>
          </cell>
          <cell r="L231" t="str">
            <v>05-24-005-04W2</v>
          </cell>
          <cell r="O231">
            <v>863.1</v>
          </cell>
          <cell r="Q231">
            <v>1.5</v>
          </cell>
          <cell r="T231">
            <v>1853.98</v>
          </cell>
        </row>
        <row r="232">
          <cell r="G232">
            <v>42278</v>
          </cell>
          <cell r="L232" t="str">
            <v>09-15-004-05W2</v>
          </cell>
          <cell r="O232">
            <v>825.4</v>
          </cell>
          <cell r="Q232">
            <v>0.53</v>
          </cell>
          <cell r="T232">
            <v>418.84</v>
          </cell>
        </row>
        <row r="233">
          <cell r="G233">
            <v>42278</v>
          </cell>
          <cell r="L233" t="str">
            <v>STEELMAN MIDALE</v>
          </cell>
          <cell r="O233">
            <v>878.5</v>
          </cell>
          <cell r="Q233">
            <v>1.86</v>
          </cell>
          <cell r="T233">
            <v>10313.608</v>
          </cell>
        </row>
        <row r="234">
          <cell r="G234">
            <v>42278</v>
          </cell>
          <cell r="L234" t="str">
            <v>03-15-004-06W2</v>
          </cell>
          <cell r="O234">
            <v>853.9</v>
          </cell>
          <cell r="Q234">
            <v>1.22</v>
          </cell>
          <cell r="T234">
            <v>5156.5029999999997</v>
          </cell>
        </row>
        <row r="235">
          <cell r="G235">
            <v>42278</v>
          </cell>
          <cell r="L235" t="str">
            <v>07-35-004-04W2</v>
          </cell>
          <cell r="O235">
            <v>856</v>
          </cell>
          <cell r="Q235">
            <v>1.57</v>
          </cell>
          <cell r="T235">
            <v>2731.683</v>
          </cell>
        </row>
        <row r="236">
          <cell r="G236">
            <v>42278</v>
          </cell>
          <cell r="L236" t="str">
            <v>11-02-005-04W2</v>
          </cell>
          <cell r="O236">
            <v>851.2</v>
          </cell>
          <cell r="Q236">
            <v>1.4</v>
          </cell>
          <cell r="T236">
            <v>1763.596</v>
          </cell>
        </row>
        <row r="237">
          <cell r="G237">
            <v>42278</v>
          </cell>
          <cell r="L237" t="str">
            <v>06-27-004-06W2</v>
          </cell>
          <cell r="O237">
            <v>831.6</v>
          </cell>
          <cell r="Q237">
            <v>0.7</v>
          </cell>
          <cell r="T237">
            <v>1533.3409999999999</v>
          </cell>
        </row>
        <row r="238">
          <cell r="G238">
            <v>42278</v>
          </cell>
          <cell r="L238" t="str">
            <v>01-11-005-04W2</v>
          </cell>
          <cell r="O238">
            <v>876.4</v>
          </cell>
          <cell r="Q238">
            <v>1.75</v>
          </cell>
          <cell r="T238">
            <v>532.42700000000002</v>
          </cell>
        </row>
        <row r="239">
          <cell r="G239">
            <v>42278</v>
          </cell>
          <cell r="L239" t="str">
            <v>07-18-005-04W2</v>
          </cell>
          <cell r="O239">
            <v>854.2</v>
          </cell>
          <cell r="Q239">
            <v>1.64</v>
          </cell>
          <cell r="T239">
            <v>475.81900000000002</v>
          </cell>
        </row>
        <row r="240">
          <cell r="G240">
            <v>42278</v>
          </cell>
          <cell r="L240" t="str">
            <v>09-27-004-05W2</v>
          </cell>
          <cell r="O240">
            <v>839.1</v>
          </cell>
          <cell r="Q240">
            <v>1.19</v>
          </cell>
          <cell r="T240">
            <v>1152.7670000000001</v>
          </cell>
        </row>
        <row r="241">
          <cell r="G241">
            <v>42278</v>
          </cell>
          <cell r="L241" t="str">
            <v>09-10-005-04W2</v>
          </cell>
          <cell r="O241">
            <v>854.4</v>
          </cell>
          <cell r="Q241">
            <v>1.2</v>
          </cell>
          <cell r="T241">
            <v>1031.5039999999999</v>
          </cell>
        </row>
        <row r="242">
          <cell r="G242">
            <v>42278</v>
          </cell>
          <cell r="L242" t="str">
            <v>09-13-004-06W2</v>
          </cell>
          <cell r="O242">
            <v>830.4</v>
          </cell>
          <cell r="Q242">
            <v>1</v>
          </cell>
          <cell r="T242">
            <v>785.05600000000004</v>
          </cell>
        </row>
        <row r="243">
          <cell r="G243">
            <v>42278</v>
          </cell>
          <cell r="L243" t="str">
            <v>11-31-005-11W2</v>
          </cell>
          <cell r="O243">
            <v>884.4</v>
          </cell>
          <cell r="Q243">
            <v>1.92</v>
          </cell>
          <cell r="T243">
            <v>2111.0520000000001</v>
          </cell>
        </row>
        <row r="244">
          <cell r="G244">
            <v>42278</v>
          </cell>
          <cell r="L244" t="str">
            <v>13-28-008-10W2</v>
          </cell>
          <cell r="O244">
            <v>875.3</v>
          </cell>
          <cell r="Q244">
            <v>2.21</v>
          </cell>
          <cell r="T244">
            <v>2100.4540000000002</v>
          </cell>
        </row>
        <row r="245">
          <cell r="G245">
            <v>42278</v>
          </cell>
          <cell r="L245" t="str">
            <v>11-14-007-08W2</v>
          </cell>
          <cell r="O245">
            <v>842.9</v>
          </cell>
          <cell r="Q245">
            <v>1.33</v>
          </cell>
          <cell r="T245">
            <v>1611.778</v>
          </cell>
        </row>
        <row r="246">
          <cell r="G246">
            <v>42278</v>
          </cell>
          <cell r="L246" t="str">
            <v>14-27-005-12W2</v>
          </cell>
          <cell r="O246">
            <v>877.7</v>
          </cell>
          <cell r="Q246">
            <v>2.1</v>
          </cell>
          <cell r="T246">
            <v>1046.1089999999999</v>
          </cell>
        </row>
        <row r="247">
          <cell r="G247">
            <v>42278</v>
          </cell>
          <cell r="L247" t="str">
            <v>09-02-006-07W2</v>
          </cell>
          <cell r="O247">
            <v>885.2</v>
          </cell>
          <cell r="Q247">
            <v>2.25</v>
          </cell>
          <cell r="T247">
            <v>948.678</v>
          </cell>
        </row>
        <row r="248">
          <cell r="G248">
            <v>42278</v>
          </cell>
          <cell r="L248" t="str">
            <v>16-05-005-08W2</v>
          </cell>
          <cell r="O248">
            <v>886</v>
          </cell>
          <cell r="Q248">
            <v>2.04</v>
          </cell>
          <cell r="T248">
            <v>805.60299999999995</v>
          </cell>
        </row>
        <row r="249">
          <cell r="G249">
            <v>42278</v>
          </cell>
          <cell r="L249" t="str">
            <v>16-09-007-11W2</v>
          </cell>
          <cell r="O249">
            <v>814.1</v>
          </cell>
          <cell r="Q249">
            <v>0.55000000000000004</v>
          </cell>
          <cell r="T249">
            <v>720.72</v>
          </cell>
        </row>
        <row r="250">
          <cell r="G250">
            <v>42278</v>
          </cell>
          <cell r="L250" t="str">
            <v>15-11-005-09W2</v>
          </cell>
          <cell r="O250">
            <v>885</v>
          </cell>
          <cell r="Q250">
            <v>2.19</v>
          </cell>
          <cell r="T250">
            <v>709.28300000000002</v>
          </cell>
        </row>
        <row r="251">
          <cell r="G251">
            <v>42278</v>
          </cell>
          <cell r="L251" t="str">
            <v>14-22-004-08W2</v>
          </cell>
          <cell r="O251">
            <v>876.8</v>
          </cell>
          <cell r="Q251">
            <v>2.0099999999999998</v>
          </cell>
          <cell r="T251">
            <v>693.49800000000005</v>
          </cell>
        </row>
        <row r="252">
          <cell r="G252">
            <v>42278</v>
          </cell>
          <cell r="L252" t="str">
            <v>01-18-004-08W2</v>
          </cell>
          <cell r="O252">
            <v>890</v>
          </cell>
          <cell r="Q252">
            <v>2.42</v>
          </cell>
          <cell r="T252">
            <v>611.46799999999996</v>
          </cell>
        </row>
        <row r="253">
          <cell r="G253">
            <v>42278</v>
          </cell>
          <cell r="L253" t="str">
            <v>14-34-001-12W2</v>
          </cell>
          <cell r="O253">
            <v>815.9</v>
          </cell>
          <cell r="Q253">
            <v>0.25</v>
          </cell>
          <cell r="T253">
            <v>549.40800000000002</v>
          </cell>
        </row>
        <row r="254">
          <cell r="G254">
            <v>42278</v>
          </cell>
          <cell r="L254" t="str">
            <v>04-27-004-08W2</v>
          </cell>
          <cell r="O254">
            <v>883.7</v>
          </cell>
          <cell r="Q254">
            <v>2.17</v>
          </cell>
          <cell r="T254">
            <v>541.13900000000001</v>
          </cell>
        </row>
        <row r="255">
          <cell r="G255">
            <v>42278</v>
          </cell>
          <cell r="L255" t="str">
            <v>16-29-006-12W2</v>
          </cell>
          <cell r="O255">
            <v>887.9</v>
          </cell>
          <cell r="Q255">
            <v>2.21</v>
          </cell>
          <cell r="T255">
            <v>518.82399999999996</v>
          </cell>
        </row>
        <row r="256">
          <cell r="G256">
            <v>42278</v>
          </cell>
          <cell r="L256" t="str">
            <v>12-20-005-12W2</v>
          </cell>
          <cell r="O256">
            <v>885.5</v>
          </cell>
          <cell r="Q256">
            <v>2.04</v>
          </cell>
          <cell r="T256">
            <v>469.22</v>
          </cell>
        </row>
        <row r="257">
          <cell r="G257">
            <v>42278</v>
          </cell>
          <cell r="L257" t="str">
            <v>13-33-006-09W2</v>
          </cell>
          <cell r="O257">
            <v>887</v>
          </cell>
          <cell r="Q257">
            <v>2.3199999999999998</v>
          </cell>
          <cell r="T257">
            <v>468.86200000000002</v>
          </cell>
        </row>
        <row r="258">
          <cell r="G258">
            <v>42278</v>
          </cell>
          <cell r="L258" t="str">
            <v>03-18-007-09W2</v>
          </cell>
          <cell r="O258">
            <v>813.3</v>
          </cell>
          <cell r="Q258">
            <v>0.42</v>
          </cell>
          <cell r="T258">
            <v>460.346</v>
          </cell>
        </row>
        <row r="259">
          <cell r="G259">
            <v>42278</v>
          </cell>
          <cell r="L259" t="str">
            <v>04-35-004-09W2</v>
          </cell>
          <cell r="O259">
            <v>890.8</v>
          </cell>
          <cell r="Q259">
            <v>2.0299999999999998</v>
          </cell>
          <cell r="T259">
            <v>445.61900000000003</v>
          </cell>
        </row>
        <row r="260">
          <cell r="G260">
            <v>42278</v>
          </cell>
          <cell r="L260" t="str">
            <v>06-18-006-12W2</v>
          </cell>
          <cell r="O260">
            <v>890.5</v>
          </cell>
          <cell r="Q260">
            <v>2.69</v>
          </cell>
          <cell r="T260">
            <v>436.23399999999998</v>
          </cell>
        </row>
        <row r="261">
          <cell r="G261">
            <v>42278</v>
          </cell>
          <cell r="L261" t="str">
            <v>13-06-007-11W2</v>
          </cell>
          <cell r="O261">
            <v>861.6</v>
          </cell>
          <cell r="Q261">
            <v>2</v>
          </cell>
          <cell r="T261">
            <v>394.12200000000001</v>
          </cell>
        </row>
        <row r="262">
          <cell r="G262">
            <v>42278</v>
          </cell>
          <cell r="L262" t="str">
            <v>15-29-007-13W2</v>
          </cell>
          <cell r="O262">
            <v>849.6</v>
          </cell>
          <cell r="Q262">
            <v>1.82</v>
          </cell>
          <cell r="T262">
            <v>387.83499999999998</v>
          </cell>
        </row>
        <row r="263">
          <cell r="G263">
            <v>42278</v>
          </cell>
          <cell r="L263" t="str">
            <v>04-23-012-06W2</v>
          </cell>
          <cell r="O263">
            <v>895.5</v>
          </cell>
          <cell r="Q263">
            <v>2.74</v>
          </cell>
          <cell r="T263">
            <v>370.02499999999998</v>
          </cell>
        </row>
        <row r="264">
          <cell r="G264">
            <v>42278</v>
          </cell>
          <cell r="L264" t="str">
            <v>01-01-007-12W2</v>
          </cell>
          <cell r="O264">
            <v>893.2</v>
          </cell>
          <cell r="Q264">
            <v>2.62</v>
          </cell>
          <cell r="T264">
            <v>360.26799999999997</v>
          </cell>
        </row>
        <row r="265">
          <cell r="G265">
            <v>42278</v>
          </cell>
          <cell r="L265" t="str">
            <v>04-13-004-10W2</v>
          </cell>
          <cell r="O265">
            <v>885.4</v>
          </cell>
          <cell r="Q265">
            <v>1.9</v>
          </cell>
          <cell r="T265">
            <v>352.13099999999997</v>
          </cell>
        </row>
        <row r="266">
          <cell r="G266">
            <v>42278</v>
          </cell>
          <cell r="L266" t="str">
            <v>09-21-005-07W2</v>
          </cell>
          <cell r="O266">
            <v>897.9</v>
          </cell>
          <cell r="Q266">
            <v>2.7</v>
          </cell>
          <cell r="T266">
            <v>321.28199999999998</v>
          </cell>
        </row>
        <row r="267">
          <cell r="G267">
            <v>42278</v>
          </cell>
          <cell r="L267" t="str">
            <v>14-04-006-08W2</v>
          </cell>
          <cell r="O267">
            <v>845.7</v>
          </cell>
          <cell r="Q267">
            <v>0.62</v>
          </cell>
          <cell r="T267">
            <v>312.93200000000002</v>
          </cell>
        </row>
        <row r="268">
          <cell r="G268">
            <v>42278</v>
          </cell>
          <cell r="L268" t="str">
            <v>14-20-004-10W2</v>
          </cell>
          <cell r="O268">
            <v>889.9</v>
          </cell>
          <cell r="Q268">
            <v>2.12</v>
          </cell>
          <cell r="T268">
            <v>298.572</v>
          </cell>
        </row>
        <row r="269">
          <cell r="G269">
            <v>42278</v>
          </cell>
          <cell r="L269" t="str">
            <v>16-31-001-15W2</v>
          </cell>
          <cell r="O269">
            <v>800.4</v>
          </cell>
          <cell r="Q269">
            <v>0.22</v>
          </cell>
          <cell r="T269">
            <v>286.70100000000002</v>
          </cell>
        </row>
        <row r="270">
          <cell r="G270">
            <v>42278</v>
          </cell>
          <cell r="L270" t="str">
            <v>02-13-004-12W2</v>
          </cell>
          <cell r="O270">
            <v>884</v>
          </cell>
          <cell r="Q270">
            <v>2.06</v>
          </cell>
          <cell r="T270">
            <v>279.30700000000002</v>
          </cell>
        </row>
        <row r="271">
          <cell r="G271">
            <v>42278</v>
          </cell>
          <cell r="L271" t="str">
            <v>09-06-010-15W2</v>
          </cell>
          <cell r="O271">
            <v>860.7</v>
          </cell>
          <cell r="Q271">
            <v>0.53</v>
          </cell>
          <cell r="T271">
            <v>279.21100000000001</v>
          </cell>
        </row>
        <row r="272">
          <cell r="G272">
            <v>42278</v>
          </cell>
          <cell r="L272" t="str">
            <v>03-08-001-11W2</v>
          </cell>
          <cell r="O272">
            <v>810</v>
          </cell>
          <cell r="Q272">
            <v>0.24</v>
          </cell>
          <cell r="T272">
            <v>256.24099999999999</v>
          </cell>
        </row>
        <row r="273">
          <cell r="G273">
            <v>42278</v>
          </cell>
          <cell r="L273" t="str">
            <v>04-18-007-09W2</v>
          </cell>
          <cell r="O273">
            <v>817.6</v>
          </cell>
          <cell r="Q273">
            <v>0.4</v>
          </cell>
          <cell r="T273">
            <v>249.74199999999999</v>
          </cell>
        </row>
        <row r="274">
          <cell r="G274">
            <v>42278</v>
          </cell>
          <cell r="L274" t="str">
            <v>04-16-004-21W2</v>
          </cell>
          <cell r="O274">
            <v>817.8</v>
          </cell>
          <cell r="Q274">
            <v>0.66</v>
          </cell>
          <cell r="T274">
            <v>247.47300000000001</v>
          </cell>
        </row>
        <row r="275">
          <cell r="G275">
            <v>42278</v>
          </cell>
          <cell r="L275" t="str">
            <v>12-27-006-13W2</v>
          </cell>
          <cell r="O275">
            <v>857.6</v>
          </cell>
          <cell r="Q275">
            <v>2.0099999999999998</v>
          </cell>
          <cell r="T275">
            <v>243.27199999999999</v>
          </cell>
        </row>
        <row r="276">
          <cell r="G276">
            <v>42278</v>
          </cell>
          <cell r="L276" t="str">
            <v>01-10-008-15W2</v>
          </cell>
          <cell r="O276">
            <v>867.1</v>
          </cell>
          <cell r="Q276">
            <v>2.0499999999999998</v>
          </cell>
          <cell r="T276">
            <v>242.30099999999999</v>
          </cell>
        </row>
        <row r="277">
          <cell r="G277">
            <v>42278</v>
          </cell>
          <cell r="L277" t="str">
            <v>14-27-007-08W2</v>
          </cell>
          <cell r="O277">
            <v>881.7</v>
          </cell>
          <cell r="Q277">
            <v>2.39</v>
          </cell>
          <cell r="T277">
            <v>237.62299999999999</v>
          </cell>
        </row>
        <row r="278">
          <cell r="G278">
            <v>42278</v>
          </cell>
          <cell r="L278" t="str">
            <v>05-31-006-13W2</v>
          </cell>
          <cell r="O278">
            <v>806.9</v>
          </cell>
          <cell r="Q278">
            <v>0.19</v>
          </cell>
          <cell r="T278">
            <v>199.19200000000001</v>
          </cell>
        </row>
        <row r="279">
          <cell r="G279">
            <v>42278</v>
          </cell>
          <cell r="L279" t="str">
            <v>01-06-003-15W2</v>
          </cell>
          <cell r="O279">
            <v>846.7</v>
          </cell>
          <cell r="Q279">
            <v>1.1100000000000001</v>
          </cell>
          <cell r="T279">
            <v>196.04400000000001</v>
          </cell>
        </row>
        <row r="280">
          <cell r="G280">
            <v>42278</v>
          </cell>
          <cell r="L280" t="str">
            <v>09-11-007-14W2</v>
          </cell>
          <cell r="O280">
            <v>847.3</v>
          </cell>
          <cell r="Q280">
            <v>1.54</v>
          </cell>
          <cell r="T280">
            <v>174.89599999999999</v>
          </cell>
        </row>
        <row r="281">
          <cell r="G281">
            <v>42278</v>
          </cell>
          <cell r="L281" t="str">
            <v>16-06-005-12W2</v>
          </cell>
          <cell r="O281">
            <v>881.4</v>
          </cell>
          <cell r="Q281">
            <v>2.09</v>
          </cell>
          <cell r="T281">
            <v>165.70400000000001</v>
          </cell>
        </row>
        <row r="282">
          <cell r="G282">
            <v>42278</v>
          </cell>
          <cell r="L282" t="str">
            <v>03-27-011-08W2</v>
          </cell>
          <cell r="O282">
            <v>899.7</v>
          </cell>
          <cell r="Q282">
            <v>2.64</v>
          </cell>
          <cell r="T282">
            <v>159.524</v>
          </cell>
        </row>
        <row r="283">
          <cell r="G283">
            <v>42278</v>
          </cell>
          <cell r="L283" t="str">
            <v>01-06-004-11W2</v>
          </cell>
          <cell r="O283">
            <v>883</v>
          </cell>
          <cell r="Q283">
            <v>2.4</v>
          </cell>
          <cell r="T283">
            <v>135.994</v>
          </cell>
        </row>
        <row r="284">
          <cell r="G284">
            <v>42278</v>
          </cell>
          <cell r="L284" t="str">
            <v>07-02-007-12W2</v>
          </cell>
          <cell r="O284">
            <v>841.7</v>
          </cell>
          <cell r="Q284">
            <v>1.98</v>
          </cell>
          <cell r="T284">
            <v>135.28800000000001</v>
          </cell>
        </row>
        <row r="285">
          <cell r="G285">
            <v>42278</v>
          </cell>
          <cell r="L285" t="str">
            <v>09-22-006-12W2</v>
          </cell>
          <cell r="O285">
            <v>878.2</v>
          </cell>
          <cell r="Q285">
            <v>2.34</v>
          </cell>
          <cell r="T285">
            <v>133.108</v>
          </cell>
        </row>
        <row r="286">
          <cell r="G286">
            <v>42278</v>
          </cell>
          <cell r="L286" t="str">
            <v>12-31-001-17W2</v>
          </cell>
          <cell r="O286">
            <v>847.7</v>
          </cell>
          <cell r="Q286">
            <v>1.51</v>
          </cell>
          <cell r="T286">
            <v>130.166</v>
          </cell>
        </row>
        <row r="287">
          <cell r="G287">
            <v>42278</v>
          </cell>
          <cell r="L287" t="str">
            <v>07-10-001-20W2</v>
          </cell>
          <cell r="O287">
            <v>873.2</v>
          </cell>
          <cell r="Q287">
            <v>1.8</v>
          </cell>
          <cell r="T287">
            <v>114.98</v>
          </cell>
        </row>
        <row r="288">
          <cell r="G288">
            <v>42278</v>
          </cell>
          <cell r="L288" t="str">
            <v>14-02-002-12W2</v>
          </cell>
          <cell r="O288">
            <v>816.8</v>
          </cell>
          <cell r="Q288">
            <v>0.18</v>
          </cell>
          <cell r="T288">
            <v>95.084000000000003</v>
          </cell>
        </row>
        <row r="289">
          <cell r="G289">
            <v>42278</v>
          </cell>
          <cell r="L289" t="str">
            <v>09-32-006-15W2</v>
          </cell>
          <cell r="O289">
            <v>890.1</v>
          </cell>
          <cell r="Q289">
            <v>2.71</v>
          </cell>
          <cell r="T289">
            <v>75.688000000000002</v>
          </cell>
        </row>
        <row r="290">
          <cell r="G290">
            <v>42278</v>
          </cell>
          <cell r="L290" t="str">
            <v>07-24-006-10W2</v>
          </cell>
          <cell r="O290">
            <v>880.6</v>
          </cell>
          <cell r="Q290">
            <v>2.08</v>
          </cell>
          <cell r="T290">
            <v>70.751999999999995</v>
          </cell>
        </row>
        <row r="291">
          <cell r="G291">
            <v>42278</v>
          </cell>
          <cell r="L291" t="str">
            <v>15-11-008-12W2</v>
          </cell>
          <cell r="O291">
            <v>906.6</v>
          </cell>
          <cell r="Q291">
            <v>2.1800000000000002</v>
          </cell>
          <cell r="T291">
            <v>68.382999999999996</v>
          </cell>
        </row>
        <row r="292">
          <cell r="G292">
            <v>42278</v>
          </cell>
          <cell r="L292" t="str">
            <v>01-13-007-10W2</v>
          </cell>
          <cell r="O292">
            <v>830.5</v>
          </cell>
          <cell r="Q292">
            <v>0.37</v>
          </cell>
          <cell r="T292">
            <v>67.813999999999993</v>
          </cell>
        </row>
        <row r="293">
          <cell r="G293">
            <v>42278</v>
          </cell>
          <cell r="L293" t="str">
            <v>13-06-007-09W2</v>
          </cell>
          <cell r="O293">
            <v>818.2</v>
          </cell>
          <cell r="Q293">
            <v>0.25</v>
          </cell>
          <cell r="T293">
            <v>64.567999999999998</v>
          </cell>
        </row>
        <row r="294">
          <cell r="G294">
            <v>42278</v>
          </cell>
          <cell r="L294" t="str">
            <v>09-12-007-09W2</v>
          </cell>
          <cell r="O294">
            <v>824</v>
          </cell>
          <cell r="Q294">
            <v>0.16</v>
          </cell>
          <cell r="T294">
            <v>63.37</v>
          </cell>
        </row>
        <row r="295">
          <cell r="G295">
            <v>42278</v>
          </cell>
          <cell r="L295" t="str">
            <v>01-03-028-58W1</v>
          </cell>
          <cell r="O295">
            <v>854.6</v>
          </cell>
          <cell r="Q295">
            <v>0.89</v>
          </cell>
          <cell r="T295">
            <v>62.923999999999999</v>
          </cell>
        </row>
        <row r="296">
          <cell r="G296">
            <v>42278</v>
          </cell>
          <cell r="L296" t="str">
            <v>01-35-162-03W1</v>
          </cell>
          <cell r="O296">
            <v>876.9</v>
          </cell>
          <cell r="Q296">
            <v>0.17</v>
          </cell>
          <cell r="T296">
            <v>62.582999999999998</v>
          </cell>
        </row>
        <row r="297">
          <cell r="G297">
            <v>42278</v>
          </cell>
          <cell r="L297" t="str">
            <v>04-23-006-07W2</v>
          </cell>
          <cell r="O297">
            <v>867.6</v>
          </cell>
          <cell r="Q297">
            <v>1.77</v>
          </cell>
          <cell r="T297">
            <v>60.762999999999998</v>
          </cell>
        </row>
        <row r="298">
          <cell r="G298">
            <v>42278</v>
          </cell>
          <cell r="L298" t="str">
            <v>14-25-003-09W2</v>
          </cell>
          <cell r="O298">
            <v>846.9</v>
          </cell>
          <cell r="Q298">
            <v>1.63</v>
          </cell>
          <cell r="T298">
            <v>59.944000000000003</v>
          </cell>
        </row>
        <row r="299">
          <cell r="G299">
            <v>42278</v>
          </cell>
          <cell r="L299" t="str">
            <v>05-23-004-07W2</v>
          </cell>
          <cell r="O299">
            <v>888.7</v>
          </cell>
          <cell r="Q299">
            <v>2.0699999999999998</v>
          </cell>
          <cell r="T299">
            <v>59.825000000000003</v>
          </cell>
        </row>
        <row r="300">
          <cell r="G300">
            <v>42278</v>
          </cell>
          <cell r="L300" t="str">
            <v>08-34-006-12W2</v>
          </cell>
          <cell r="O300">
            <v>879.1</v>
          </cell>
          <cell r="Q300">
            <v>1.89</v>
          </cell>
          <cell r="T300">
            <v>54.000999999999998</v>
          </cell>
        </row>
        <row r="301">
          <cell r="G301">
            <v>42278</v>
          </cell>
          <cell r="L301" t="str">
            <v>14-18-163-95W1</v>
          </cell>
          <cell r="O301">
            <v>852.7</v>
          </cell>
          <cell r="Q301">
            <v>1.1399999999999999</v>
          </cell>
          <cell r="T301">
            <v>45.356000000000002</v>
          </cell>
        </row>
        <row r="302">
          <cell r="G302">
            <v>42278</v>
          </cell>
          <cell r="L302" t="str">
            <v>12-28-006-07W2</v>
          </cell>
          <cell r="O302">
            <v>909.7</v>
          </cell>
          <cell r="Q302">
            <v>2.52</v>
          </cell>
          <cell r="T302">
            <v>41.941000000000003</v>
          </cell>
        </row>
        <row r="303">
          <cell r="G303">
            <v>42278</v>
          </cell>
          <cell r="L303" t="str">
            <v>03-07-007-11W2</v>
          </cell>
          <cell r="O303">
            <v>807.8</v>
          </cell>
          <cell r="Q303">
            <v>0.21</v>
          </cell>
          <cell r="T303">
            <v>36.354999999999997</v>
          </cell>
        </row>
        <row r="304">
          <cell r="G304">
            <v>42278</v>
          </cell>
          <cell r="L304" t="str">
            <v>06-13-007-10W2</v>
          </cell>
          <cell r="O304">
            <v>817.3</v>
          </cell>
          <cell r="Q304">
            <v>0.17</v>
          </cell>
          <cell r="T304">
            <v>34.570999999999998</v>
          </cell>
        </row>
        <row r="305">
          <cell r="G305">
            <v>42278</v>
          </cell>
          <cell r="L305" t="str">
            <v>08-03-006-07W2</v>
          </cell>
          <cell r="O305">
            <v>877.3</v>
          </cell>
          <cell r="Q305">
            <v>2.0099999999999998</v>
          </cell>
          <cell r="T305">
            <v>32.256</v>
          </cell>
        </row>
        <row r="306">
          <cell r="G306">
            <v>42278</v>
          </cell>
          <cell r="L306" t="str">
            <v>09-34-154-95W1</v>
          </cell>
          <cell r="O306">
            <v>823.2</v>
          </cell>
          <cell r="Q306">
            <v>0.51</v>
          </cell>
          <cell r="T306">
            <v>32.161000000000001</v>
          </cell>
        </row>
        <row r="307">
          <cell r="G307">
            <v>42278</v>
          </cell>
          <cell r="L307" t="str">
            <v>18-16-154-95W1</v>
          </cell>
          <cell r="O307">
            <v>813.5</v>
          </cell>
          <cell r="Q307">
            <v>0.89</v>
          </cell>
          <cell r="T307">
            <v>32.03</v>
          </cell>
        </row>
        <row r="308">
          <cell r="G308">
            <v>42278</v>
          </cell>
          <cell r="L308" t="str">
            <v>01-27-004-07W2</v>
          </cell>
          <cell r="O308">
            <v>891.7</v>
          </cell>
          <cell r="Q308">
            <v>2.0299999999999998</v>
          </cell>
          <cell r="T308">
            <v>31.902000000000001</v>
          </cell>
        </row>
        <row r="309">
          <cell r="G309">
            <v>42278</v>
          </cell>
          <cell r="L309" t="str">
            <v>02-22-009-09W2</v>
          </cell>
          <cell r="O309">
            <v>887</v>
          </cell>
          <cell r="Q309">
            <v>2.42</v>
          </cell>
          <cell r="T309">
            <v>30.542000000000002</v>
          </cell>
        </row>
        <row r="310">
          <cell r="G310">
            <v>42278</v>
          </cell>
          <cell r="L310" t="str">
            <v>32-13-155-91W1</v>
          </cell>
          <cell r="O310">
            <v>874.5</v>
          </cell>
          <cell r="Q310">
            <v>1.4</v>
          </cell>
          <cell r="T310">
            <v>30.471</v>
          </cell>
        </row>
        <row r="311">
          <cell r="G311">
            <v>42278</v>
          </cell>
          <cell r="L311" t="str">
            <v>01-01-007-12W2</v>
          </cell>
          <cell r="O311">
            <v>894.2</v>
          </cell>
          <cell r="Q311">
            <v>2.74</v>
          </cell>
          <cell r="T311">
            <v>29.654</v>
          </cell>
        </row>
        <row r="312">
          <cell r="G312">
            <v>42278</v>
          </cell>
          <cell r="L312" t="str">
            <v>01-08-162-95W1</v>
          </cell>
          <cell r="O312">
            <v>849.7</v>
          </cell>
          <cell r="Q312">
            <v>0.95</v>
          </cell>
          <cell r="T312">
            <v>27.416</v>
          </cell>
        </row>
        <row r="313">
          <cell r="G313">
            <v>42278</v>
          </cell>
          <cell r="L313" t="str">
            <v>01-23-155-91W1</v>
          </cell>
          <cell r="O313">
            <v>886.7</v>
          </cell>
          <cell r="Q313">
            <v>1.85</v>
          </cell>
          <cell r="T313">
            <v>27.015000000000001</v>
          </cell>
        </row>
        <row r="314">
          <cell r="G314">
            <v>42278</v>
          </cell>
          <cell r="L314" t="str">
            <v>31-15-159-87W1</v>
          </cell>
          <cell r="O314">
            <v>884.8</v>
          </cell>
          <cell r="Q314">
            <v>2.16</v>
          </cell>
          <cell r="T314">
            <v>23.777999999999999</v>
          </cell>
        </row>
        <row r="315">
          <cell r="G315">
            <v>42278</v>
          </cell>
          <cell r="L315" t="str">
            <v>09-02-159-90W1</v>
          </cell>
          <cell r="O315">
            <v>888.8</v>
          </cell>
          <cell r="Q315">
            <v>2.67</v>
          </cell>
          <cell r="T315">
            <v>21.959</v>
          </cell>
        </row>
        <row r="316">
          <cell r="G316">
            <v>42278</v>
          </cell>
          <cell r="L316" t="str">
            <v>04-24-005-15W2</v>
          </cell>
          <cell r="O316">
            <v>891</v>
          </cell>
          <cell r="Q316">
            <v>2.75</v>
          </cell>
          <cell r="T316">
            <v>1762.4690000000001</v>
          </cell>
        </row>
        <row r="317">
          <cell r="G317">
            <v>42278</v>
          </cell>
          <cell r="L317" t="str">
            <v>15-29-005-15W2</v>
          </cell>
          <cell r="O317">
            <v>883</v>
          </cell>
          <cell r="Q317">
            <v>2.64</v>
          </cell>
          <cell r="T317">
            <v>1325.8209999999999</v>
          </cell>
        </row>
        <row r="318">
          <cell r="G318">
            <v>42278</v>
          </cell>
          <cell r="L318" t="str">
            <v>09-34-005-15W2</v>
          </cell>
          <cell r="O318">
            <v>886.4</v>
          </cell>
          <cell r="Q318">
            <v>2.64</v>
          </cell>
          <cell r="T318">
            <v>1014.152</v>
          </cell>
        </row>
        <row r="319">
          <cell r="G319">
            <v>42278</v>
          </cell>
          <cell r="L319" t="str">
            <v>11-25-005-12W2</v>
          </cell>
          <cell r="O319">
            <v>876.5</v>
          </cell>
          <cell r="Q319">
            <v>2.12</v>
          </cell>
          <cell r="T319">
            <v>2481.636</v>
          </cell>
        </row>
        <row r="320">
          <cell r="G320">
            <v>42278</v>
          </cell>
          <cell r="L320" t="str">
            <v>12-30-005-07W2</v>
          </cell>
          <cell r="O320">
            <v>893.2</v>
          </cell>
          <cell r="Q320">
            <v>2.44</v>
          </cell>
          <cell r="T320">
            <v>1436.556</v>
          </cell>
        </row>
        <row r="321">
          <cell r="G321">
            <v>42278</v>
          </cell>
          <cell r="L321" t="str">
            <v>16-18-003-15W2</v>
          </cell>
          <cell r="O321">
            <v>889.4</v>
          </cell>
          <cell r="Q321">
            <v>2.29</v>
          </cell>
          <cell r="T321">
            <v>1409.289</v>
          </cell>
        </row>
        <row r="322">
          <cell r="G322">
            <v>42278</v>
          </cell>
          <cell r="L322" t="str">
            <v>14-21-001-12W2</v>
          </cell>
          <cell r="O322">
            <v>810.5</v>
          </cell>
          <cell r="Q322">
            <v>0.14000000000000001</v>
          </cell>
          <cell r="T322">
            <v>1101.4459999999999</v>
          </cell>
        </row>
        <row r="323">
          <cell r="G323">
            <v>42278</v>
          </cell>
          <cell r="L323" t="str">
            <v>13-24-001-16W2</v>
          </cell>
          <cell r="O323">
            <v>805.6</v>
          </cell>
          <cell r="Q323">
            <v>0.39</v>
          </cell>
          <cell r="T323">
            <v>656.56299999999999</v>
          </cell>
        </row>
        <row r="324">
          <cell r="G324">
            <v>42278</v>
          </cell>
          <cell r="L324" t="str">
            <v>11-31-006-08W2</v>
          </cell>
          <cell r="O324">
            <v>892</v>
          </cell>
          <cell r="Q324">
            <v>2.46</v>
          </cell>
          <cell r="T324">
            <v>603.49699999999996</v>
          </cell>
        </row>
        <row r="325">
          <cell r="G325">
            <v>42278</v>
          </cell>
          <cell r="L325" t="str">
            <v>05-23-005-13W2</v>
          </cell>
          <cell r="O325">
            <v>907.2</v>
          </cell>
          <cell r="Q325">
            <v>2.72</v>
          </cell>
          <cell r="T325">
            <v>338.053</v>
          </cell>
        </row>
        <row r="326">
          <cell r="G326">
            <v>42278</v>
          </cell>
          <cell r="L326" t="str">
            <v>06-20-006-09W2</v>
          </cell>
          <cell r="O326">
            <v>881.6</v>
          </cell>
          <cell r="Q326">
            <v>2.23</v>
          </cell>
          <cell r="T326">
            <v>317.28699999999998</v>
          </cell>
        </row>
        <row r="327">
          <cell r="G327">
            <v>42278</v>
          </cell>
          <cell r="L327" t="str">
            <v>01-10-003-21W2</v>
          </cell>
          <cell r="O327">
            <v>838.9</v>
          </cell>
          <cell r="Q327">
            <v>0.42</v>
          </cell>
          <cell r="T327">
            <v>263.89</v>
          </cell>
        </row>
        <row r="328">
          <cell r="G328">
            <v>42278</v>
          </cell>
          <cell r="L328" t="str">
            <v>04-35-005-14W2</v>
          </cell>
          <cell r="O328">
            <v>896.3</v>
          </cell>
          <cell r="Q328">
            <v>2.75</v>
          </cell>
          <cell r="T328">
            <v>238.85400000000001</v>
          </cell>
        </row>
        <row r="329">
          <cell r="G329">
            <v>42278</v>
          </cell>
          <cell r="L329" t="str">
            <v>01-21-001-14W2</v>
          </cell>
          <cell r="O329">
            <v>806.4</v>
          </cell>
          <cell r="Q329">
            <v>0.15</v>
          </cell>
          <cell r="T329">
            <v>212.23400000000001</v>
          </cell>
        </row>
        <row r="330">
          <cell r="G330">
            <v>42278</v>
          </cell>
          <cell r="L330" t="str">
            <v>05-16-005-13W2</v>
          </cell>
          <cell r="O330">
            <v>901.5</v>
          </cell>
          <cell r="Q330">
            <v>2.61</v>
          </cell>
          <cell r="T330">
            <v>210.67400000000001</v>
          </cell>
        </row>
        <row r="331">
          <cell r="G331">
            <v>42278</v>
          </cell>
          <cell r="L331" t="str">
            <v>06-29-022-06W2</v>
          </cell>
          <cell r="O331">
            <v>886.3</v>
          </cell>
          <cell r="Q331">
            <v>0.97</v>
          </cell>
          <cell r="T331">
            <v>175.101</v>
          </cell>
        </row>
        <row r="332">
          <cell r="G332">
            <v>42278</v>
          </cell>
          <cell r="L332" t="str">
            <v>13-22-001-12W2</v>
          </cell>
          <cell r="O332">
            <v>815</v>
          </cell>
          <cell r="Q332">
            <v>0.12</v>
          </cell>
          <cell r="T332">
            <v>165.65299999999999</v>
          </cell>
        </row>
        <row r="333">
          <cell r="G333">
            <v>42278</v>
          </cell>
          <cell r="L333" t="str">
            <v>13-34-001-13W2</v>
          </cell>
          <cell r="O333">
            <v>817.2</v>
          </cell>
          <cell r="Q333">
            <v>0.2</v>
          </cell>
          <cell r="T333">
            <v>93.441999999999993</v>
          </cell>
        </row>
        <row r="334">
          <cell r="G334">
            <v>42278</v>
          </cell>
          <cell r="L334" t="str">
            <v>07-27-005-25W2</v>
          </cell>
          <cell r="O334">
            <v>825.7</v>
          </cell>
          <cell r="Q334">
            <v>0.37</v>
          </cell>
          <cell r="T334">
            <v>32.578000000000003</v>
          </cell>
        </row>
        <row r="335">
          <cell r="G335">
            <v>42278</v>
          </cell>
          <cell r="L335" t="str">
            <v>09-34-005-25W2</v>
          </cell>
          <cell r="O335">
            <v>810.1</v>
          </cell>
          <cell r="Q335">
            <v>0.25</v>
          </cell>
          <cell r="T335">
            <v>30.977</v>
          </cell>
        </row>
        <row r="336">
          <cell r="G336">
            <v>42278</v>
          </cell>
          <cell r="L336" t="str">
            <v>04-34-005-11W2</v>
          </cell>
          <cell r="O336">
            <v>885.8</v>
          </cell>
          <cell r="Q336">
            <v>2.0499999999999998</v>
          </cell>
          <cell r="T336">
            <v>27.713000000000001</v>
          </cell>
        </row>
        <row r="337">
          <cell r="G337">
            <v>42278</v>
          </cell>
          <cell r="L337" t="str">
            <v>06-17-006-14W2</v>
          </cell>
          <cell r="O337">
            <v>866.4</v>
          </cell>
          <cell r="Q337">
            <v>1.72</v>
          </cell>
          <cell r="T337">
            <v>3168.5770000000002</v>
          </cell>
        </row>
        <row r="338">
          <cell r="G338">
            <v>42278</v>
          </cell>
          <cell r="L338" t="str">
            <v>10-11-005-14W2</v>
          </cell>
          <cell r="O338">
            <v>900.1</v>
          </cell>
          <cell r="Q338">
            <v>2.92</v>
          </cell>
          <cell r="T338">
            <v>438.42500000000001</v>
          </cell>
        </row>
        <row r="339">
          <cell r="G339">
            <v>42278</v>
          </cell>
          <cell r="L339" t="str">
            <v>01-03-006-14W2</v>
          </cell>
          <cell r="O339">
            <v>877.4</v>
          </cell>
          <cell r="Q339">
            <v>2.37</v>
          </cell>
          <cell r="T339">
            <v>429.97399999999999</v>
          </cell>
        </row>
        <row r="340">
          <cell r="G340">
            <v>42278</v>
          </cell>
          <cell r="L340" t="str">
            <v>03-15-005-13W2</v>
          </cell>
          <cell r="O340">
            <v>896.5</v>
          </cell>
          <cell r="Q340">
            <v>2.85</v>
          </cell>
          <cell r="T340">
            <v>326.81200000000001</v>
          </cell>
        </row>
        <row r="341">
          <cell r="G341">
            <v>42278</v>
          </cell>
          <cell r="L341" t="str">
            <v>15-19-005-13W2</v>
          </cell>
          <cell r="O341">
            <v>894.4</v>
          </cell>
          <cell r="Q341">
            <v>2.64</v>
          </cell>
          <cell r="T341">
            <v>276.74299999999999</v>
          </cell>
        </row>
        <row r="342">
          <cell r="G342">
            <v>42278</v>
          </cell>
          <cell r="L342" t="str">
            <v>08-23-005-14W2</v>
          </cell>
          <cell r="O342">
            <v>869.1</v>
          </cell>
          <cell r="Q342">
            <v>2.52</v>
          </cell>
          <cell r="T342">
            <v>134.72800000000001</v>
          </cell>
        </row>
        <row r="343">
          <cell r="G343">
            <v>42278</v>
          </cell>
          <cell r="L343" t="str">
            <v>12-13-006-13W2</v>
          </cell>
          <cell r="O343">
            <v>874.7</v>
          </cell>
          <cell r="Q343">
            <v>2.4700000000000002</v>
          </cell>
          <cell r="T343">
            <v>117.89400000000001</v>
          </cell>
        </row>
        <row r="344">
          <cell r="G344">
            <v>42278</v>
          </cell>
          <cell r="L344" t="str">
            <v>11-12-006-15W2</v>
          </cell>
          <cell r="O344">
            <v>872</v>
          </cell>
          <cell r="Q344">
            <v>2.2999999999999998</v>
          </cell>
          <cell r="T344">
            <v>8216.5169999999998</v>
          </cell>
        </row>
        <row r="345">
          <cell r="G345">
            <v>42278</v>
          </cell>
          <cell r="L345" t="str">
            <v>07-24-006-15W2</v>
          </cell>
          <cell r="O345">
            <v>869.2</v>
          </cell>
          <cell r="Q345">
            <v>2.27</v>
          </cell>
          <cell r="T345">
            <v>1130.838</v>
          </cell>
        </row>
        <row r="346">
          <cell r="G346">
            <v>42278</v>
          </cell>
          <cell r="L346" t="str">
            <v>07-07-006-15W2</v>
          </cell>
          <cell r="O346">
            <v>876</v>
          </cell>
          <cell r="Q346">
            <v>2.59</v>
          </cell>
          <cell r="T346">
            <v>7328.8639999999996</v>
          </cell>
        </row>
        <row r="347">
          <cell r="G347">
            <v>42278</v>
          </cell>
          <cell r="L347" t="str">
            <v>12-30-006-15W2</v>
          </cell>
          <cell r="O347">
            <v>895.5</v>
          </cell>
          <cell r="Q347">
            <v>2.8</v>
          </cell>
          <cell r="T347">
            <v>4910.9319999999998</v>
          </cell>
        </row>
        <row r="348">
          <cell r="G348">
            <v>42278</v>
          </cell>
          <cell r="L348" t="str">
            <v>11-12-007-04W2</v>
          </cell>
          <cell r="O348">
            <v>852</v>
          </cell>
          <cell r="Q348">
            <v>1.42</v>
          </cell>
          <cell r="T348">
            <v>2760.6750000000002</v>
          </cell>
        </row>
        <row r="349">
          <cell r="G349">
            <v>42278</v>
          </cell>
          <cell r="L349" t="str">
            <v>09-08-004-03W2</v>
          </cell>
          <cell r="O349">
            <v>839.1</v>
          </cell>
          <cell r="Q349">
            <v>1.08</v>
          </cell>
          <cell r="T349">
            <v>2555.8519999999999</v>
          </cell>
        </row>
        <row r="350">
          <cell r="G350">
            <v>42278</v>
          </cell>
          <cell r="L350" t="str">
            <v>12-32-006-04W2</v>
          </cell>
          <cell r="O350">
            <v>858</v>
          </cell>
          <cell r="Q350">
            <v>1.68</v>
          </cell>
          <cell r="T350">
            <v>2551.6149999999998</v>
          </cell>
        </row>
        <row r="351">
          <cell r="G351">
            <v>42278</v>
          </cell>
          <cell r="L351" t="str">
            <v>12-11-001-10W2</v>
          </cell>
          <cell r="O351">
            <v>822.9</v>
          </cell>
          <cell r="Q351">
            <v>0.21</v>
          </cell>
          <cell r="T351">
            <v>2489.4349999999999</v>
          </cell>
        </row>
        <row r="352">
          <cell r="G352">
            <v>42278</v>
          </cell>
          <cell r="L352" t="str">
            <v>14-03-001-03W2</v>
          </cell>
          <cell r="O352">
            <v>807.6</v>
          </cell>
          <cell r="Q352">
            <v>0.12</v>
          </cell>
          <cell r="T352">
            <v>1749.2929999999999</v>
          </cell>
        </row>
        <row r="353">
          <cell r="G353">
            <v>42278</v>
          </cell>
          <cell r="L353" t="str">
            <v>05-20-001-02W2</v>
          </cell>
          <cell r="O353">
            <v>828</v>
          </cell>
          <cell r="Q353">
            <v>0.53</v>
          </cell>
          <cell r="T353">
            <v>1300.1980000000001</v>
          </cell>
        </row>
        <row r="354">
          <cell r="G354">
            <v>42278</v>
          </cell>
          <cell r="L354" t="str">
            <v>02-31-145-98W1</v>
          </cell>
          <cell r="O354">
            <v>819.2</v>
          </cell>
          <cell r="Q354">
            <v>0.41</v>
          </cell>
          <cell r="T354">
            <v>1286.73</v>
          </cell>
        </row>
        <row r="355">
          <cell r="G355">
            <v>42278</v>
          </cell>
          <cell r="L355" t="str">
            <v>16-03-001-03W2</v>
          </cell>
          <cell r="O355">
            <v>836.2</v>
          </cell>
          <cell r="Q355">
            <v>0.62</v>
          </cell>
          <cell r="T355">
            <v>1097.6559999999999</v>
          </cell>
        </row>
        <row r="356">
          <cell r="G356">
            <v>42278</v>
          </cell>
          <cell r="L356" t="str">
            <v>04-23-006-07W2</v>
          </cell>
          <cell r="O356">
            <v>864</v>
          </cell>
          <cell r="Q356">
            <v>1.77</v>
          </cell>
          <cell r="T356">
            <v>916.81600000000003</v>
          </cell>
        </row>
        <row r="357">
          <cell r="G357">
            <v>42278</v>
          </cell>
          <cell r="L357" t="str">
            <v>09-02-007-05W2</v>
          </cell>
          <cell r="O357">
            <v>860.6</v>
          </cell>
          <cell r="Q357">
            <v>1.85</v>
          </cell>
          <cell r="T357">
            <v>874.84100000000001</v>
          </cell>
        </row>
        <row r="358">
          <cell r="G358">
            <v>42278</v>
          </cell>
          <cell r="L358" t="str">
            <v>09-20-006-04W2</v>
          </cell>
          <cell r="O358">
            <v>855.8</v>
          </cell>
          <cell r="Q358">
            <v>1.57</v>
          </cell>
          <cell r="T358">
            <v>714.70399999999995</v>
          </cell>
        </row>
        <row r="359">
          <cell r="G359">
            <v>42278</v>
          </cell>
          <cell r="L359" t="str">
            <v>03-10-145-98W1</v>
          </cell>
          <cell r="O359">
            <v>817.9</v>
          </cell>
          <cell r="Q359">
            <v>0.37</v>
          </cell>
          <cell r="T359">
            <v>667.68299999999999</v>
          </cell>
        </row>
        <row r="360">
          <cell r="G360">
            <v>42278</v>
          </cell>
          <cell r="L360" t="str">
            <v>01-19-145-98W1</v>
          </cell>
          <cell r="O360">
            <v>817.6</v>
          </cell>
          <cell r="Q360">
            <v>0.36</v>
          </cell>
          <cell r="T360">
            <v>665.02</v>
          </cell>
        </row>
        <row r="361">
          <cell r="G361">
            <v>42278</v>
          </cell>
          <cell r="L361" t="str">
            <v>05-07-005-03W2</v>
          </cell>
          <cell r="O361">
            <v>848.9</v>
          </cell>
          <cell r="Q361">
            <v>1.32</v>
          </cell>
          <cell r="T361">
            <v>541.57600000000002</v>
          </cell>
        </row>
        <row r="362">
          <cell r="G362">
            <v>42278</v>
          </cell>
          <cell r="L362" t="str">
            <v>02-34-143-100W1</v>
          </cell>
          <cell r="O362">
            <v>822.8</v>
          </cell>
          <cell r="Q362">
            <v>0.33</v>
          </cell>
          <cell r="T362">
            <v>457.94099999999997</v>
          </cell>
        </row>
        <row r="363">
          <cell r="G363">
            <v>42278</v>
          </cell>
          <cell r="L363" t="str">
            <v>13-19-001-03W2</v>
          </cell>
          <cell r="O363">
            <v>837.2</v>
          </cell>
          <cell r="Q363">
            <v>0.59</v>
          </cell>
          <cell r="T363">
            <v>439.74900000000002</v>
          </cell>
        </row>
        <row r="364">
          <cell r="G364">
            <v>42278</v>
          </cell>
          <cell r="L364" t="str">
            <v>01-03-162-92W1</v>
          </cell>
          <cell r="O364">
            <v>856.9</v>
          </cell>
          <cell r="Q364">
            <v>0.5</v>
          </cell>
          <cell r="T364">
            <v>411.78500000000003</v>
          </cell>
        </row>
        <row r="365">
          <cell r="G365">
            <v>42278</v>
          </cell>
          <cell r="L365" t="str">
            <v>02-05-163-92W1</v>
          </cell>
          <cell r="O365">
            <v>839.6</v>
          </cell>
          <cell r="Q365">
            <v>0.54</v>
          </cell>
          <cell r="T365">
            <v>291.61099999999999</v>
          </cell>
        </row>
        <row r="366">
          <cell r="G366">
            <v>42278</v>
          </cell>
          <cell r="L366" t="str">
            <v>01-03-163-92W1</v>
          </cell>
          <cell r="O366">
            <v>836.6</v>
          </cell>
          <cell r="Q366">
            <v>0.46</v>
          </cell>
          <cell r="T366">
            <v>260.80900000000003</v>
          </cell>
        </row>
        <row r="367">
          <cell r="G367">
            <v>42278</v>
          </cell>
          <cell r="L367" t="str">
            <v>07-04-005-04W2</v>
          </cell>
          <cell r="O367">
            <v>823.8</v>
          </cell>
          <cell r="Q367">
            <v>0.84</v>
          </cell>
          <cell r="T367">
            <v>246.19399999999999</v>
          </cell>
        </row>
        <row r="368">
          <cell r="G368">
            <v>42278</v>
          </cell>
          <cell r="L368" t="str">
            <v>02-30-147-97W1</v>
          </cell>
          <cell r="O368">
            <v>818.2</v>
          </cell>
          <cell r="Q368">
            <v>0.45</v>
          </cell>
          <cell r="T368">
            <v>231.95599999999999</v>
          </cell>
        </row>
        <row r="369">
          <cell r="G369">
            <v>42278</v>
          </cell>
          <cell r="L369" t="str">
            <v>01-21-153-95W1</v>
          </cell>
          <cell r="O369">
            <v>832</v>
          </cell>
          <cell r="Q369">
            <v>0.36</v>
          </cell>
          <cell r="T369">
            <v>226.79499999999999</v>
          </cell>
        </row>
        <row r="370">
          <cell r="G370">
            <v>42278</v>
          </cell>
          <cell r="L370" t="str">
            <v>18-16-154-95W1</v>
          </cell>
          <cell r="O370">
            <v>818.1</v>
          </cell>
          <cell r="Q370">
            <v>0.89</v>
          </cell>
          <cell r="T370">
            <v>222.137</v>
          </cell>
        </row>
        <row r="371">
          <cell r="G371">
            <v>42278</v>
          </cell>
          <cell r="L371" t="str">
            <v>24-06-158-95W1</v>
          </cell>
          <cell r="O371">
            <v>811.8</v>
          </cell>
          <cell r="Q371">
            <v>0.12</v>
          </cell>
          <cell r="T371">
            <v>219.15700000000001</v>
          </cell>
        </row>
        <row r="372">
          <cell r="G372">
            <v>42278</v>
          </cell>
          <cell r="L372" t="str">
            <v>13-11-160-95W1</v>
          </cell>
          <cell r="O372">
            <v>804.1</v>
          </cell>
          <cell r="Q372">
            <v>0.13</v>
          </cell>
          <cell r="T372">
            <v>202.13800000000001</v>
          </cell>
        </row>
        <row r="373">
          <cell r="G373">
            <v>42278</v>
          </cell>
          <cell r="L373" t="str">
            <v>09-30-006-05W2</v>
          </cell>
          <cell r="O373">
            <v>823.6</v>
          </cell>
          <cell r="Q373">
            <v>0.23</v>
          </cell>
          <cell r="T373">
            <v>200.22</v>
          </cell>
        </row>
        <row r="374">
          <cell r="G374">
            <v>42278</v>
          </cell>
          <cell r="L374" t="str">
            <v>33-14-160-95W1</v>
          </cell>
          <cell r="O374">
            <v>805.2</v>
          </cell>
          <cell r="Q374">
            <v>0.15</v>
          </cell>
          <cell r="T374">
            <v>199.82499999999999</v>
          </cell>
        </row>
        <row r="375">
          <cell r="G375">
            <v>42278</v>
          </cell>
          <cell r="L375" t="str">
            <v>11-25-005-06W2</v>
          </cell>
          <cell r="O375">
            <v>852.7</v>
          </cell>
          <cell r="Q375">
            <v>1.0900000000000001</v>
          </cell>
          <cell r="T375">
            <v>180.70099999999999</v>
          </cell>
        </row>
        <row r="376">
          <cell r="G376">
            <v>42278</v>
          </cell>
          <cell r="L376" t="str">
            <v>01-13-022-57W1</v>
          </cell>
          <cell r="O376">
            <v>816.4</v>
          </cell>
          <cell r="Q376">
            <v>0.37</v>
          </cell>
          <cell r="T376">
            <v>170.83099999999999</v>
          </cell>
        </row>
        <row r="377">
          <cell r="G377">
            <v>42278</v>
          </cell>
          <cell r="L377" t="str">
            <v>01-17-143-101W1</v>
          </cell>
          <cell r="O377">
            <v>833.3</v>
          </cell>
          <cell r="Q377">
            <v>0.51</v>
          </cell>
          <cell r="T377">
            <v>170.61699999999999</v>
          </cell>
        </row>
        <row r="378">
          <cell r="G378">
            <v>42278</v>
          </cell>
          <cell r="L378" t="str">
            <v>01-19-147-97W1</v>
          </cell>
          <cell r="O378">
            <v>817.1</v>
          </cell>
          <cell r="Q378">
            <v>0.67</v>
          </cell>
          <cell r="T378">
            <v>163.523</v>
          </cell>
        </row>
        <row r="379">
          <cell r="G379">
            <v>42278</v>
          </cell>
          <cell r="L379" t="str">
            <v>01-05-163-92W1</v>
          </cell>
          <cell r="O379">
            <v>839.6</v>
          </cell>
          <cell r="Q379">
            <v>0.53</v>
          </cell>
          <cell r="T379">
            <v>162.11000000000001</v>
          </cell>
        </row>
        <row r="380">
          <cell r="G380">
            <v>42278</v>
          </cell>
          <cell r="L380" t="str">
            <v>01-28-142-100W1</v>
          </cell>
          <cell r="O380">
            <v>834.3</v>
          </cell>
          <cell r="Q380">
            <v>0.38</v>
          </cell>
          <cell r="T380">
            <v>161.96600000000001</v>
          </cell>
        </row>
        <row r="381">
          <cell r="G381">
            <v>42278</v>
          </cell>
          <cell r="L381" t="str">
            <v>04-19-147-97W1</v>
          </cell>
          <cell r="O381">
            <v>820.6</v>
          </cell>
          <cell r="Q381">
            <v>0.61</v>
          </cell>
          <cell r="T381">
            <v>160.304</v>
          </cell>
        </row>
        <row r="382">
          <cell r="G382">
            <v>42278</v>
          </cell>
          <cell r="L382" t="str">
            <v>01-07-153-95W1</v>
          </cell>
          <cell r="O382">
            <v>820.8</v>
          </cell>
          <cell r="Q382">
            <v>0.28999999999999998</v>
          </cell>
          <cell r="T382">
            <v>159.36099999999999</v>
          </cell>
        </row>
        <row r="383">
          <cell r="G383">
            <v>42278</v>
          </cell>
          <cell r="L383" t="str">
            <v>01-18-145-97W1</v>
          </cell>
          <cell r="O383">
            <v>818.5</v>
          </cell>
          <cell r="Q383">
            <v>0.44</v>
          </cell>
          <cell r="T383">
            <v>156.036</v>
          </cell>
        </row>
        <row r="384">
          <cell r="G384">
            <v>42278</v>
          </cell>
          <cell r="L384" t="str">
            <v>01-08-153-95W1</v>
          </cell>
          <cell r="O384">
            <v>812.8</v>
          </cell>
          <cell r="Q384">
            <v>0.28999999999999998</v>
          </cell>
          <cell r="T384">
            <v>155.97499999999999</v>
          </cell>
        </row>
        <row r="385">
          <cell r="G385">
            <v>42278</v>
          </cell>
          <cell r="L385" t="str">
            <v>12-03-146-100W1</v>
          </cell>
          <cell r="O385">
            <v>839.3</v>
          </cell>
          <cell r="Q385">
            <v>0.47</v>
          </cell>
          <cell r="T385">
            <v>155.899</v>
          </cell>
        </row>
        <row r="386">
          <cell r="G386">
            <v>42278</v>
          </cell>
          <cell r="L386" t="str">
            <v>01-22-142-100W1</v>
          </cell>
          <cell r="O386">
            <v>820.2</v>
          </cell>
          <cell r="Q386">
            <v>0.31</v>
          </cell>
          <cell r="T386">
            <v>155.84200000000001</v>
          </cell>
        </row>
        <row r="387">
          <cell r="G387">
            <v>42278</v>
          </cell>
          <cell r="L387" t="str">
            <v>01-33-141-100W1</v>
          </cell>
          <cell r="O387">
            <v>828.9</v>
          </cell>
          <cell r="Q387">
            <v>0.41</v>
          </cell>
          <cell r="T387">
            <v>139.661</v>
          </cell>
        </row>
        <row r="388">
          <cell r="G388">
            <v>42278</v>
          </cell>
          <cell r="L388" t="str">
            <v>01-10-002-03W2</v>
          </cell>
          <cell r="O388">
            <v>838.5</v>
          </cell>
          <cell r="Q388">
            <v>0.67</v>
          </cell>
          <cell r="T388">
            <v>138.85</v>
          </cell>
        </row>
        <row r="389">
          <cell r="G389">
            <v>42278</v>
          </cell>
          <cell r="L389" t="str">
            <v>07-22-003-03W2</v>
          </cell>
          <cell r="O389">
            <v>836.5</v>
          </cell>
          <cell r="Q389">
            <v>0.6</v>
          </cell>
          <cell r="T389">
            <v>135.68700000000001</v>
          </cell>
        </row>
        <row r="390">
          <cell r="G390">
            <v>42278</v>
          </cell>
          <cell r="L390" t="str">
            <v>01-26-152-96W1</v>
          </cell>
          <cell r="O390">
            <v>826.9</v>
          </cell>
          <cell r="Q390">
            <v>0.36</v>
          </cell>
          <cell r="T390">
            <v>135.31100000000001</v>
          </cell>
        </row>
        <row r="391">
          <cell r="G391">
            <v>42278</v>
          </cell>
          <cell r="L391" t="str">
            <v>01-02-021-58W1</v>
          </cell>
          <cell r="O391">
            <v>828.3</v>
          </cell>
          <cell r="Q391">
            <v>0.46</v>
          </cell>
          <cell r="T391">
            <v>133.82300000000001</v>
          </cell>
        </row>
        <row r="392">
          <cell r="G392">
            <v>42278</v>
          </cell>
          <cell r="L392" t="str">
            <v>34-31-143-102W1</v>
          </cell>
          <cell r="O392">
            <v>853.9</v>
          </cell>
          <cell r="Q392">
            <v>0.08</v>
          </cell>
          <cell r="T392">
            <v>132.85499999999999</v>
          </cell>
        </row>
        <row r="393">
          <cell r="G393">
            <v>42278</v>
          </cell>
          <cell r="L393" t="str">
            <v>04-25-144-98W1</v>
          </cell>
          <cell r="O393">
            <v>846.3</v>
          </cell>
          <cell r="Q393">
            <v>0.48</v>
          </cell>
          <cell r="T393">
            <v>125.395</v>
          </cell>
        </row>
        <row r="394">
          <cell r="G394">
            <v>42278</v>
          </cell>
          <cell r="L394" t="str">
            <v>08-22-002-09W2</v>
          </cell>
          <cell r="O394">
            <v>837.7</v>
          </cell>
          <cell r="Q394">
            <v>0.27</v>
          </cell>
          <cell r="T394">
            <v>109.1</v>
          </cell>
        </row>
        <row r="395">
          <cell r="G395">
            <v>42278</v>
          </cell>
          <cell r="L395" t="str">
            <v>01-24-160-96W1</v>
          </cell>
          <cell r="O395">
            <v>833.5</v>
          </cell>
          <cell r="Q395">
            <v>0.59</v>
          </cell>
          <cell r="T395">
            <v>102.685</v>
          </cell>
        </row>
        <row r="396">
          <cell r="G396">
            <v>42278</v>
          </cell>
          <cell r="L396" t="str">
            <v>01-30-147-97W1</v>
          </cell>
          <cell r="O396">
            <v>807.7</v>
          </cell>
          <cell r="Q396">
            <v>0.54</v>
          </cell>
          <cell r="T396">
            <v>100.965</v>
          </cell>
        </row>
        <row r="397">
          <cell r="G397">
            <v>42278</v>
          </cell>
          <cell r="L397" t="str">
            <v>01-09-143-101W1</v>
          </cell>
          <cell r="O397">
            <v>832.6</v>
          </cell>
          <cell r="Q397">
            <v>0.51</v>
          </cell>
          <cell r="T397">
            <v>98.775000000000006</v>
          </cell>
        </row>
        <row r="398">
          <cell r="G398">
            <v>42278</v>
          </cell>
          <cell r="L398" t="str">
            <v>01-03-155-91W1</v>
          </cell>
          <cell r="O398">
            <v>864.4</v>
          </cell>
          <cell r="Q398">
            <v>1.27</v>
          </cell>
          <cell r="T398">
            <v>85.206000000000003</v>
          </cell>
        </row>
        <row r="399">
          <cell r="G399">
            <v>42278</v>
          </cell>
          <cell r="L399" t="str">
            <v>34-01-157-95W1</v>
          </cell>
          <cell r="O399">
            <v>819.5</v>
          </cell>
          <cell r="Q399">
            <v>0.34</v>
          </cell>
          <cell r="T399">
            <v>77.269000000000005</v>
          </cell>
        </row>
        <row r="400">
          <cell r="G400">
            <v>42278</v>
          </cell>
          <cell r="L400" t="str">
            <v>01-55-159-94W1</v>
          </cell>
          <cell r="O400">
            <v>834.8</v>
          </cell>
          <cell r="Q400">
            <v>0.38</v>
          </cell>
          <cell r="T400">
            <v>72.912999999999997</v>
          </cell>
        </row>
        <row r="401">
          <cell r="G401">
            <v>42278</v>
          </cell>
          <cell r="L401" t="str">
            <v>43-03-160-95W1</v>
          </cell>
          <cell r="O401">
            <v>800.1</v>
          </cell>
          <cell r="Q401">
            <v>0.26</v>
          </cell>
          <cell r="T401">
            <v>68.686999999999998</v>
          </cell>
        </row>
        <row r="402">
          <cell r="G402">
            <v>42278</v>
          </cell>
          <cell r="L402" t="str">
            <v>04-24-147-98W1</v>
          </cell>
          <cell r="O402">
            <v>814.4</v>
          </cell>
          <cell r="Q402">
            <v>0.51</v>
          </cell>
          <cell r="T402">
            <v>68.340999999999994</v>
          </cell>
        </row>
        <row r="403">
          <cell r="G403">
            <v>42278</v>
          </cell>
          <cell r="L403" t="str">
            <v>01-15-022-57W1</v>
          </cell>
          <cell r="O403">
            <v>810.5</v>
          </cell>
          <cell r="Q403">
            <v>0.37</v>
          </cell>
          <cell r="T403">
            <v>67.858000000000004</v>
          </cell>
        </row>
        <row r="404">
          <cell r="G404">
            <v>42278</v>
          </cell>
          <cell r="L404" t="str">
            <v>03-25-147-98W1</v>
          </cell>
          <cell r="O404">
            <v>810.6</v>
          </cell>
          <cell r="Q404">
            <v>0.42</v>
          </cell>
          <cell r="T404">
            <v>67.593999999999994</v>
          </cell>
        </row>
        <row r="405">
          <cell r="G405">
            <v>42278</v>
          </cell>
          <cell r="L405" t="str">
            <v>08-31-007-07W2</v>
          </cell>
          <cell r="O405">
            <v>868.6</v>
          </cell>
          <cell r="Q405">
            <v>1.88</v>
          </cell>
          <cell r="T405">
            <v>67.558999999999997</v>
          </cell>
        </row>
        <row r="406">
          <cell r="G406">
            <v>42278</v>
          </cell>
          <cell r="L406" t="str">
            <v>44-35-022-58W1</v>
          </cell>
          <cell r="O406">
            <v>870.2</v>
          </cell>
          <cell r="Q406">
            <v>0.94</v>
          </cell>
          <cell r="T406">
            <v>66.247</v>
          </cell>
        </row>
        <row r="407">
          <cell r="G407">
            <v>42278</v>
          </cell>
          <cell r="L407" t="str">
            <v>02-09-142-100W1</v>
          </cell>
          <cell r="O407">
            <v>829</v>
          </cell>
          <cell r="Q407">
            <v>0.45</v>
          </cell>
          <cell r="T407">
            <v>66.051000000000002</v>
          </cell>
        </row>
        <row r="408">
          <cell r="G408">
            <v>42278</v>
          </cell>
          <cell r="L408" t="str">
            <v>34-31-141-97W1</v>
          </cell>
          <cell r="O408">
            <v>827.8</v>
          </cell>
          <cell r="Q408">
            <v>0.76</v>
          </cell>
          <cell r="T408">
            <v>64.778999999999996</v>
          </cell>
        </row>
        <row r="409">
          <cell r="G409">
            <v>42278</v>
          </cell>
          <cell r="L409" t="str">
            <v>02-23-144-102W1</v>
          </cell>
          <cell r="O409">
            <v>817.1</v>
          </cell>
          <cell r="Q409">
            <v>0.91</v>
          </cell>
          <cell r="T409">
            <v>64.472999999999999</v>
          </cell>
        </row>
        <row r="410">
          <cell r="G410">
            <v>42278</v>
          </cell>
          <cell r="L410" t="str">
            <v>01-03-152-96W1</v>
          </cell>
          <cell r="O410">
            <v>811.5</v>
          </cell>
          <cell r="Q410">
            <v>0.33</v>
          </cell>
          <cell r="T410">
            <v>64.471000000000004</v>
          </cell>
        </row>
        <row r="411">
          <cell r="G411">
            <v>42278</v>
          </cell>
          <cell r="L411" t="str">
            <v>03-10-151-96W1</v>
          </cell>
          <cell r="O411">
            <v>816.2</v>
          </cell>
          <cell r="Q411">
            <v>0.24</v>
          </cell>
          <cell r="T411">
            <v>63.993000000000002</v>
          </cell>
        </row>
        <row r="412">
          <cell r="G412">
            <v>42278</v>
          </cell>
          <cell r="L412" t="str">
            <v>02-09-003-06W2</v>
          </cell>
          <cell r="O412">
            <v>861.4</v>
          </cell>
          <cell r="Q412">
            <v>1.23</v>
          </cell>
          <cell r="T412">
            <v>63.87</v>
          </cell>
        </row>
        <row r="413">
          <cell r="G413">
            <v>42278</v>
          </cell>
          <cell r="L413" t="str">
            <v>01-18-147-97W1</v>
          </cell>
          <cell r="O413">
            <v>817.5</v>
          </cell>
          <cell r="Q413">
            <v>0.77</v>
          </cell>
          <cell r="T413">
            <v>63.145000000000003</v>
          </cell>
        </row>
        <row r="414">
          <cell r="G414">
            <v>42278</v>
          </cell>
          <cell r="L414" t="str">
            <v>15-01-144-102W1</v>
          </cell>
          <cell r="O414">
            <v>851.8</v>
          </cell>
          <cell r="Q414">
            <v>0.82</v>
          </cell>
          <cell r="T414">
            <v>61.298000000000002</v>
          </cell>
        </row>
        <row r="415">
          <cell r="G415">
            <v>42278</v>
          </cell>
          <cell r="L415" t="str">
            <v>10-01-157-95W1</v>
          </cell>
          <cell r="O415">
            <v>831.5</v>
          </cell>
          <cell r="Q415">
            <v>0.56000000000000005</v>
          </cell>
          <cell r="T415">
            <v>58.307000000000002</v>
          </cell>
        </row>
        <row r="416">
          <cell r="G416">
            <v>42278</v>
          </cell>
          <cell r="L416" t="str">
            <v>03-25-144-98W1</v>
          </cell>
          <cell r="O416">
            <v>830</v>
          </cell>
          <cell r="Q416">
            <v>0.48</v>
          </cell>
          <cell r="T416">
            <v>57.78</v>
          </cell>
        </row>
        <row r="417">
          <cell r="G417">
            <v>42278</v>
          </cell>
          <cell r="L417" t="str">
            <v>01-34-159-95W1</v>
          </cell>
          <cell r="O417">
            <v>832.8</v>
          </cell>
          <cell r="Q417">
            <v>0.56999999999999995</v>
          </cell>
          <cell r="T417">
            <v>57.56</v>
          </cell>
        </row>
        <row r="418">
          <cell r="G418">
            <v>42278</v>
          </cell>
          <cell r="L418" t="str">
            <v>02-34-159-95W1</v>
          </cell>
          <cell r="O418">
            <v>852.3</v>
          </cell>
          <cell r="Q418">
            <v>0.93</v>
          </cell>
          <cell r="T418">
            <v>57.457999999999998</v>
          </cell>
        </row>
        <row r="419">
          <cell r="G419">
            <v>42278</v>
          </cell>
          <cell r="L419" t="str">
            <v>13-26-007-05W2</v>
          </cell>
          <cell r="O419">
            <v>864.9</v>
          </cell>
          <cell r="Q419">
            <v>1.18</v>
          </cell>
          <cell r="T419">
            <v>56.709000000000003</v>
          </cell>
        </row>
        <row r="420">
          <cell r="G420">
            <v>42278</v>
          </cell>
          <cell r="L420" t="str">
            <v>01-03-158-95W1</v>
          </cell>
          <cell r="O420">
            <v>857.8</v>
          </cell>
          <cell r="Q420">
            <v>0.75</v>
          </cell>
          <cell r="T420">
            <v>56.423999999999999</v>
          </cell>
        </row>
        <row r="421">
          <cell r="G421">
            <v>42278</v>
          </cell>
          <cell r="L421" t="str">
            <v>03-03-157-95W1</v>
          </cell>
          <cell r="O421">
            <v>832.6</v>
          </cell>
          <cell r="Q421">
            <v>0.51</v>
          </cell>
          <cell r="T421">
            <v>53.555999999999997</v>
          </cell>
        </row>
        <row r="422">
          <cell r="G422">
            <v>42278</v>
          </cell>
          <cell r="L422" t="str">
            <v>01-02-151-102W1</v>
          </cell>
          <cell r="O422">
            <v>836.6</v>
          </cell>
          <cell r="Q422">
            <v>0.32</v>
          </cell>
          <cell r="T422">
            <v>53.463999999999999</v>
          </cell>
        </row>
        <row r="423">
          <cell r="G423">
            <v>42278</v>
          </cell>
          <cell r="L423" t="str">
            <v>07-33-161-91W1</v>
          </cell>
          <cell r="O423">
            <v>856.1</v>
          </cell>
          <cell r="Q423">
            <v>0.54</v>
          </cell>
          <cell r="T423">
            <v>49.628</v>
          </cell>
        </row>
        <row r="424">
          <cell r="G424">
            <v>42278</v>
          </cell>
          <cell r="L424" t="str">
            <v>11-21-163-89W1</v>
          </cell>
          <cell r="O424">
            <v>839</v>
          </cell>
          <cell r="Q424">
            <v>0.5</v>
          </cell>
          <cell r="T424">
            <v>49.119</v>
          </cell>
        </row>
        <row r="425">
          <cell r="G425">
            <v>42278</v>
          </cell>
          <cell r="L425" t="str">
            <v>05-01-144-97W1</v>
          </cell>
          <cell r="O425">
            <v>827.1</v>
          </cell>
          <cell r="Q425">
            <v>0.51</v>
          </cell>
          <cell r="T425">
            <v>48.466999999999999</v>
          </cell>
        </row>
        <row r="426">
          <cell r="G426">
            <v>42278</v>
          </cell>
          <cell r="L426" t="str">
            <v>01-11-161-92W1</v>
          </cell>
          <cell r="O426">
            <v>853.5</v>
          </cell>
          <cell r="Q426">
            <v>0.77</v>
          </cell>
          <cell r="T426">
            <v>42.383000000000003</v>
          </cell>
        </row>
        <row r="427">
          <cell r="G427">
            <v>42278</v>
          </cell>
          <cell r="L427" t="str">
            <v>01-26-144-98W1</v>
          </cell>
          <cell r="O427">
            <v>836.6</v>
          </cell>
          <cell r="Q427">
            <v>0.36</v>
          </cell>
          <cell r="T427">
            <v>42.091000000000001</v>
          </cell>
        </row>
        <row r="428">
          <cell r="G428">
            <v>42278</v>
          </cell>
          <cell r="L428" t="str">
            <v>01-25-153-96W1</v>
          </cell>
          <cell r="O428">
            <v>796.6</v>
          </cell>
          <cell r="Q428">
            <v>0.36</v>
          </cell>
          <cell r="T428">
            <v>39.292000000000002</v>
          </cell>
        </row>
        <row r="429">
          <cell r="G429">
            <v>42278</v>
          </cell>
          <cell r="L429" t="str">
            <v>01-28-152-101W1</v>
          </cell>
          <cell r="O429">
            <v>827.5</v>
          </cell>
          <cell r="Q429">
            <v>0.43</v>
          </cell>
          <cell r="T429">
            <v>36.725999999999999</v>
          </cell>
        </row>
        <row r="430">
          <cell r="G430">
            <v>42278</v>
          </cell>
          <cell r="L430" t="str">
            <v>24-01-160-96W1</v>
          </cell>
          <cell r="O430">
            <v>832.9</v>
          </cell>
          <cell r="Q430">
            <v>0.52</v>
          </cell>
          <cell r="T430">
            <v>36.287999999999997</v>
          </cell>
        </row>
        <row r="431">
          <cell r="G431">
            <v>42278</v>
          </cell>
          <cell r="L431" t="str">
            <v>02-01-158-95W1</v>
          </cell>
          <cell r="O431">
            <v>849.9</v>
          </cell>
          <cell r="Q431">
            <v>0.14000000000000001</v>
          </cell>
          <cell r="T431">
            <v>34.850999999999999</v>
          </cell>
        </row>
        <row r="432">
          <cell r="G432">
            <v>42278</v>
          </cell>
          <cell r="L432" t="str">
            <v>01-20-147-97W1</v>
          </cell>
          <cell r="O432">
            <v>820.6</v>
          </cell>
          <cell r="Q432">
            <v>0.7</v>
          </cell>
          <cell r="T432">
            <v>34.582000000000001</v>
          </cell>
        </row>
        <row r="433">
          <cell r="G433">
            <v>42278</v>
          </cell>
          <cell r="L433" t="str">
            <v>15-04-143-101W1</v>
          </cell>
          <cell r="O433">
            <v>836.3</v>
          </cell>
          <cell r="Q433">
            <v>0.51</v>
          </cell>
          <cell r="T433">
            <v>34.280999999999999</v>
          </cell>
        </row>
        <row r="434">
          <cell r="G434">
            <v>42278</v>
          </cell>
          <cell r="L434" t="str">
            <v>01-33-164-91W1</v>
          </cell>
          <cell r="O434">
            <v>840.5</v>
          </cell>
          <cell r="Q434">
            <v>0.53</v>
          </cell>
          <cell r="T434">
            <v>34.164999999999999</v>
          </cell>
        </row>
        <row r="435">
          <cell r="G435">
            <v>42278</v>
          </cell>
          <cell r="L435" t="str">
            <v>10-30-147-97W1</v>
          </cell>
          <cell r="O435">
            <v>822.5</v>
          </cell>
          <cell r="Q435">
            <v>0.46</v>
          </cell>
          <cell r="T435">
            <v>33.890999999999998</v>
          </cell>
        </row>
        <row r="436">
          <cell r="G436">
            <v>42278</v>
          </cell>
          <cell r="L436" t="str">
            <v>01-13-154-95W1</v>
          </cell>
          <cell r="O436">
            <v>838.4</v>
          </cell>
          <cell r="Q436">
            <v>0.59</v>
          </cell>
          <cell r="T436">
            <v>33.851999999999997</v>
          </cell>
        </row>
        <row r="437">
          <cell r="G437">
            <v>42278</v>
          </cell>
          <cell r="L437" t="str">
            <v>05-25-147-98W1</v>
          </cell>
          <cell r="O437">
            <v>826.6</v>
          </cell>
          <cell r="Q437">
            <v>0.46</v>
          </cell>
          <cell r="T437">
            <v>33.591999999999999</v>
          </cell>
        </row>
        <row r="438">
          <cell r="G438">
            <v>42278</v>
          </cell>
          <cell r="L438" t="str">
            <v>01-24-144-98W1</v>
          </cell>
          <cell r="O438">
            <v>832.5</v>
          </cell>
          <cell r="Q438">
            <v>0.61</v>
          </cell>
          <cell r="T438">
            <v>33.31</v>
          </cell>
        </row>
        <row r="439">
          <cell r="G439">
            <v>42278</v>
          </cell>
          <cell r="L439" t="str">
            <v>01-03-153-95W1</v>
          </cell>
          <cell r="O439">
            <v>837.2</v>
          </cell>
          <cell r="Q439">
            <v>0.28999999999999998</v>
          </cell>
          <cell r="T439">
            <v>33.173000000000002</v>
          </cell>
        </row>
        <row r="440">
          <cell r="G440">
            <v>42278</v>
          </cell>
          <cell r="L440" t="str">
            <v>25-11-159-102W1</v>
          </cell>
          <cell r="O440">
            <v>833.9</v>
          </cell>
          <cell r="Q440">
            <v>0.43</v>
          </cell>
          <cell r="T440">
            <v>32.954999999999998</v>
          </cell>
        </row>
        <row r="441">
          <cell r="G441">
            <v>42278</v>
          </cell>
          <cell r="L441" t="str">
            <v>01-09-153-95W1</v>
          </cell>
          <cell r="O441">
            <v>788.9</v>
          </cell>
          <cell r="Q441">
            <v>0.28999999999999998</v>
          </cell>
          <cell r="T441">
            <v>32.847000000000001</v>
          </cell>
        </row>
        <row r="442">
          <cell r="G442">
            <v>42278</v>
          </cell>
          <cell r="L442" t="str">
            <v>22-11-160-95W1</v>
          </cell>
          <cell r="O442">
            <v>804.1</v>
          </cell>
          <cell r="Q442">
            <v>0.14000000000000001</v>
          </cell>
          <cell r="T442">
            <v>32.713000000000001</v>
          </cell>
        </row>
        <row r="443">
          <cell r="G443">
            <v>42278</v>
          </cell>
          <cell r="L443" t="str">
            <v>07-29-009-04W2</v>
          </cell>
          <cell r="O443">
            <v>839.9</v>
          </cell>
          <cell r="Q443">
            <v>1.1399999999999999</v>
          </cell>
          <cell r="T443">
            <v>32.61</v>
          </cell>
        </row>
        <row r="444">
          <cell r="G444">
            <v>42278</v>
          </cell>
          <cell r="L444" t="str">
            <v>03-05-157-95W1</v>
          </cell>
          <cell r="O444">
            <v>850.3</v>
          </cell>
          <cell r="Q444">
            <v>0.74</v>
          </cell>
          <cell r="T444">
            <v>32.270000000000003</v>
          </cell>
        </row>
        <row r="445">
          <cell r="G445">
            <v>42278</v>
          </cell>
          <cell r="L445" t="str">
            <v>03-01-158-95W1</v>
          </cell>
          <cell r="O445">
            <v>829.5</v>
          </cell>
          <cell r="Q445">
            <v>0.61</v>
          </cell>
          <cell r="T445">
            <v>31.783999999999999</v>
          </cell>
        </row>
        <row r="446">
          <cell r="G446">
            <v>42278</v>
          </cell>
          <cell r="L446" t="str">
            <v>16-04-151-96W1</v>
          </cell>
          <cell r="O446">
            <v>810.7</v>
          </cell>
          <cell r="Q446">
            <v>0.28000000000000003</v>
          </cell>
          <cell r="T446">
            <v>31.751999999999999</v>
          </cell>
        </row>
        <row r="447">
          <cell r="G447">
            <v>42278</v>
          </cell>
          <cell r="L447" t="str">
            <v>01-05-161-95W1</v>
          </cell>
          <cell r="O447">
            <v>834.2</v>
          </cell>
          <cell r="Q447">
            <v>0.63</v>
          </cell>
          <cell r="T447">
            <v>31.34</v>
          </cell>
        </row>
        <row r="448">
          <cell r="G448">
            <v>42278</v>
          </cell>
          <cell r="L448" t="str">
            <v>01-06-144-98W1</v>
          </cell>
          <cell r="O448">
            <v>838.9</v>
          </cell>
          <cell r="Q448">
            <v>0.49</v>
          </cell>
          <cell r="T448">
            <v>30.577000000000002</v>
          </cell>
        </row>
        <row r="449">
          <cell r="G449">
            <v>42278</v>
          </cell>
          <cell r="L449" t="str">
            <v>01-12-159-96W1</v>
          </cell>
          <cell r="O449">
            <v>836</v>
          </cell>
          <cell r="Q449">
            <v>0.5</v>
          </cell>
          <cell r="T449">
            <v>30.356999999999999</v>
          </cell>
        </row>
        <row r="450">
          <cell r="G450">
            <v>42278</v>
          </cell>
          <cell r="L450" t="str">
            <v>01-12-144-98W1</v>
          </cell>
          <cell r="O450">
            <v>854.3</v>
          </cell>
          <cell r="Q450">
            <v>0.37</v>
          </cell>
          <cell r="T450">
            <v>29.843</v>
          </cell>
        </row>
        <row r="451">
          <cell r="G451">
            <v>42278</v>
          </cell>
          <cell r="L451" t="str">
            <v>01-20-163-91W1</v>
          </cell>
          <cell r="O451">
            <v>840</v>
          </cell>
          <cell r="Q451">
            <v>0.5</v>
          </cell>
          <cell r="T451">
            <v>29.673999999999999</v>
          </cell>
        </row>
        <row r="452">
          <cell r="G452">
            <v>42278</v>
          </cell>
          <cell r="L452" t="str">
            <v>01-34-164-92W1</v>
          </cell>
          <cell r="O452">
            <v>831.1</v>
          </cell>
          <cell r="Q452">
            <v>0.6</v>
          </cell>
          <cell r="T452">
            <v>29.667000000000002</v>
          </cell>
        </row>
        <row r="453">
          <cell r="G453">
            <v>42278</v>
          </cell>
          <cell r="L453" t="str">
            <v>16-09-007-11W2</v>
          </cell>
          <cell r="O453">
            <v>811.3</v>
          </cell>
          <cell r="Q453">
            <v>0.55000000000000004</v>
          </cell>
          <cell r="T453">
            <v>29.587</v>
          </cell>
        </row>
        <row r="454">
          <cell r="G454">
            <v>42278</v>
          </cell>
          <cell r="L454" t="str">
            <v>01-01-163-92W1</v>
          </cell>
          <cell r="O454">
            <v>838.5</v>
          </cell>
          <cell r="Q454">
            <v>0.53</v>
          </cell>
          <cell r="T454">
            <v>29.567</v>
          </cell>
        </row>
        <row r="455">
          <cell r="G455">
            <v>42278</v>
          </cell>
          <cell r="L455" t="str">
            <v>04-04-157-95W1</v>
          </cell>
          <cell r="O455">
            <v>842.9</v>
          </cell>
          <cell r="Q455">
            <v>0.62</v>
          </cell>
          <cell r="T455">
            <v>28.867000000000001</v>
          </cell>
        </row>
        <row r="456">
          <cell r="G456">
            <v>42278</v>
          </cell>
          <cell r="L456" t="str">
            <v>01-14-001-11W2</v>
          </cell>
          <cell r="O456">
            <v>855</v>
          </cell>
          <cell r="Q456">
            <v>0.26</v>
          </cell>
          <cell r="T456">
            <v>28.613</v>
          </cell>
        </row>
        <row r="457">
          <cell r="G457">
            <v>42278</v>
          </cell>
          <cell r="L457" t="str">
            <v>01-28-141-100W1</v>
          </cell>
          <cell r="O457">
            <v>826.5</v>
          </cell>
          <cell r="Q457">
            <v>0.38</v>
          </cell>
          <cell r="T457">
            <v>28.567</v>
          </cell>
        </row>
        <row r="458">
          <cell r="G458">
            <v>42278</v>
          </cell>
          <cell r="L458" t="str">
            <v>01-08-162-95W1</v>
          </cell>
          <cell r="O458">
            <v>857.9</v>
          </cell>
          <cell r="Q458">
            <v>0.95</v>
          </cell>
          <cell r="T458">
            <v>28.452999999999999</v>
          </cell>
        </row>
        <row r="459">
          <cell r="G459">
            <v>42278</v>
          </cell>
          <cell r="L459" t="str">
            <v>06-03-002-04W2</v>
          </cell>
          <cell r="O459">
            <v>842.7</v>
          </cell>
          <cell r="Q459">
            <v>0.48</v>
          </cell>
          <cell r="T459">
            <v>28.222000000000001</v>
          </cell>
        </row>
        <row r="460">
          <cell r="G460">
            <v>42278</v>
          </cell>
          <cell r="L460" t="str">
            <v>14-18-163-95W1</v>
          </cell>
          <cell r="O460">
            <v>855.4</v>
          </cell>
          <cell r="Q460">
            <v>1.1399999999999999</v>
          </cell>
          <cell r="T460">
            <v>27.797999999999998</v>
          </cell>
        </row>
        <row r="461">
          <cell r="G461">
            <v>42278</v>
          </cell>
          <cell r="L461" t="str">
            <v>04-03-157-95W1</v>
          </cell>
          <cell r="O461">
            <v>835.9</v>
          </cell>
          <cell r="Q461">
            <v>0.75</v>
          </cell>
          <cell r="T461">
            <v>27.701000000000001</v>
          </cell>
        </row>
        <row r="462">
          <cell r="G462">
            <v>42278</v>
          </cell>
          <cell r="L462" t="str">
            <v>03-02-157-95W1</v>
          </cell>
          <cell r="O462">
            <v>860.2</v>
          </cell>
          <cell r="Q462">
            <v>0.76</v>
          </cell>
          <cell r="T462">
            <v>26.466999999999999</v>
          </cell>
        </row>
        <row r="463">
          <cell r="G463">
            <v>42278</v>
          </cell>
          <cell r="L463" t="str">
            <v>01-21-159-94W1</v>
          </cell>
          <cell r="O463">
            <v>844.9</v>
          </cell>
          <cell r="Q463">
            <v>0.5</v>
          </cell>
          <cell r="T463">
            <v>25.303000000000001</v>
          </cell>
        </row>
        <row r="464">
          <cell r="G464">
            <v>42278</v>
          </cell>
          <cell r="L464" t="str">
            <v>01-29-162-92W1</v>
          </cell>
          <cell r="O464">
            <v>844.5</v>
          </cell>
          <cell r="Q464">
            <v>0.55000000000000004</v>
          </cell>
          <cell r="T464">
            <v>25.242000000000001</v>
          </cell>
        </row>
        <row r="465">
          <cell r="G465">
            <v>42278</v>
          </cell>
          <cell r="L465" t="str">
            <v>02-18-154-95W1</v>
          </cell>
          <cell r="O465">
            <v>816.4</v>
          </cell>
          <cell r="Q465">
            <v>0.46</v>
          </cell>
          <cell r="T465">
            <v>24.866</v>
          </cell>
        </row>
        <row r="466">
          <cell r="G466">
            <v>42278</v>
          </cell>
          <cell r="L466" t="str">
            <v>34-02-157-95W1</v>
          </cell>
          <cell r="O466">
            <v>846</v>
          </cell>
          <cell r="Q466">
            <v>0.82</v>
          </cell>
          <cell r="T466">
            <v>24.803999999999998</v>
          </cell>
        </row>
        <row r="467">
          <cell r="G467">
            <v>42278</v>
          </cell>
          <cell r="L467" t="str">
            <v>12-10-163-92W1</v>
          </cell>
          <cell r="O467">
            <v>833.8</v>
          </cell>
          <cell r="Q467">
            <v>0.57999999999999996</v>
          </cell>
          <cell r="T467">
            <v>24.460999999999999</v>
          </cell>
        </row>
        <row r="468">
          <cell r="G468">
            <v>42278</v>
          </cell>
          <cell r="L468" t="str">
            <v>11-15-163-89W1</v>
          </cell>
          <cell r="O468">
            <v>845.7</v>
          </cell>
          <cell r="Q468">
            <v>0.38</v>
          </cell>
          <cell r="T468">
            <v>22.571000000000002</v>
          </cell>
        </row>
        <row r="469">
          <cell r="G469">
            <v>42278</v>
          </cell>
          <cell r="L469" t="str">
            <v>16-21-001-05W2</v>
          </cell>
          <cell r="O469">
            <v>828.9</v>
          </cell>
          <cell r="Q469">
            <v>0.52</v>
          </cell>
          <cell r="T469">
            <v>707.29600000000005</v>
          </cell>
        </row>
        <row r="470">
          <cell r="G470">
            <v>42278</v>
          </cell>
          <cell r="L470" t="str">
            <v>07-23-010-06W2</v>
          </cell>
          <cell r="O470">
            <v>846.5</v>
          </cell>
          <cell r="Q470">
            <v>1.51</v>
          </cell>
          <cell r="T470">
            <v>511.95800000000003</v>
          </cell>
        </row>
        <row r="471">
          <cell r="G471">
            <v>42278</v>
          </cell>
          <cell r="L471" t="str">
            <v>01-36-003-03W2</v>
          </cell>
          <cell r="O471">
            <v>840</v>
          </cell>
          <cell r="Q471">
            <v>0.76</v>
          </cell>
          <cell r="T471">
            <v>495.25099999999998</v>
          </cell>
        </row>
        <row r="472">
          <cell r="G472">
            <v>42278</v>
          </cell>
          <cell r="L472" t="str">
            <v>05-36-002-03W2</v>
          </cell>
          <cell r="O472">
            <v>832.8</v>
          </cell>
          <cell r="Q472">
            <v>0.67</v>
          </cell>
          <cell r="T472">
            <v>317.83</v>
          </cell>
        </row>
        <row r="473">
          <cell r="G473">
            <v>42278</v>
          </cell>
          <cell r="L473" t="str">
            <v>08-17-005-03W2</v>
          </cell>
          <cell r="O473">
            <v>861.2</v>
          </cell>
          <cell r="Q473">
            <v>1.41</v>
          </cell>
          <cell r="T473">
            <v>222.53200000000001</v>
          </cell>
        </row>
        <row r="474">
          <cell r="G474">
            <v>42278</v>
          </cell>
          <cell r="L474" t="str">
            <v>12-22-010-05W2</v>
          </cell>
          <cell r="O474">
            <v>865.4</v>
          </cell>
          <cell r="Q474">
            <v>1.88</v>
          </cell>
          <cell r="T474">
            <v>69.266999999999996</v>
          </cell>
        </row>
        <row r="475">
          <cell r="G475">
            <v>42278</v>
          </cell>
          <cell r="L475" t="str">
            <v>09-26-007-05W2</v>
          </cell>
          <cell r="O475">
            <v>865.8</v>
          </cell>
          <cell r="Q475">
            <v>1.67</v>
          </cell>
          <cell r="T475">
            <v>67.900999999999996</v>
          </cell>
        </row>
        <row r="476">
          <cell r="G476">
            <v>42278</v>
          </cell>
          <cell r="L476" t="str">
            <v>01-16-002-03W2</v>
          </cell>
          <cell r="O476">
            <v>847.9</v>
          </cell>
          <cell r="Q476">
            <v>0.61</v>
          </cell>
          <cell r="T476">
            <v>61.048000000000002</v>
          </cell>
        </row>
        <row r="477">
          <cell r="G477">
            <v>42278</v>
          </cell>
          <cell r="L477" t="str">
            <v>05-16-006-13W2</v>
          </cell>
          <cell r="O477">
            <v>872.7</v>
          </cell>
          <cell r="Q477">
            <v>2.41</v>
          </cell>
          <cell r="T477">
            <v>115049.71</v>
          </cell>
        </row>
        <row r="478">
          <cell r="G478">
            <v>42278</v>
          </cell>
          <cell r="L478" t="str">
            <v>08-28-005-33W1</v>
          </cell>
          <cell r="O478">
            <v>820.9</v>
          </cell>
          <cell r="Q478">
            <v>1.03</v>
          </cell>
          <cell r="T478">
            <v>109960.599</v>
          </cell>
        </row>
        <row r="479">
          <cell r="G479">
            <v>42278</v>
          </cell>
          <cell r="L479" t="str">
            <v>14-13-002-02W2</v>
          </cell>
          <cell r="O479">
            <v>823.2</v>
          </cell>
          <cell r="Q479">
            <v>0.54</v>
          </cell>
          <cell r="T479">
            <v>3267.665</v>
          </cell>
        </row>
        <row r="480">
          <cell r="G480">
            <v>42278</v>
          </cell>
          <cell r="L480" t="str">
            <v>08-21-004-01W2</v>
          </cell>
          <cell r="O480">
            <v>825.6</v>
          </cell>
          <cell r="Q480">
            <v>0.92</v>
          </cell>
          <cell r="T480">
            <v>2000.3969999999999</v>
          </cell>
        </row>
        <row r="481">
          <cell r="G481">
            <v>42278</v>
          </cell>
          <cell r="L481" t="str">
            <v>16-03-008-33W1</v>
          </cell>
          <cell r="O481">
            <v>843</v>
          </cell>
          <cell r="Q481">
            <v>1.25</v>
          </cell>
          <cell r="T481">
            <v>1522.355</v>
          </cell>
        </row>
        <row r="482">
          <cell r="G482">
            <v>42278</v>
          </cell>
          <cell r="L482" t="str">
            <v>01-35-007-01W2</v>
          </cell>
          <cell r="O482">
            <v>843.8</v>
          </cell>
          <cell r="Q482">
            <v>1.1399999999999999</v>
          </cell>
          <cell r="T482">
            <v>1401.1289999999999</v>
          </cell>
        </row>
        <row r="483">
          <cell r="G483">
            <v>42278</v>
          </cell>
          <cell r="L483" t="str">
            <v>16-04-006-32W1</v>
          </cell>
          <cell r="O483">
            <v>840.4</v>
          </cell>
          <cell r="Q483">
            <v>1.07</v>
          </cell>
          <cell r="T483">
            <v>1187.9349999999999</v>
          </cell>
        </row>
        <row r="484">
          <cell r="G484">
            <v>42278</v>
          </cell>
          <cell r="L484" t="str">
            <v>05-18-004-02W2</v>
          </cell>
          <cell r="O484">
            <v>845.6</v>
          </cell>
          <cell r="Q484">
            <v>1.1299999999999999</v>
          </cell>
          <cell r="T484">
            <v>1186.586</v>
          </cell>
        </row>
        <row r="485">
          <cell r="G485">
            <v>42278</v>
          </cell>
          <cell r="L485" t="str">
            <v>13-17-005-33W1</v>
          </cell>
          <cell r="O485">
            <v>824.1</v>
          </cell>
          <cell r="Q485">
            <v>0.67</v>
          </cell>
          <cell r="T485">
            <v>893.51499999999999</v>
          </cell>
        </row>
        <row r="486">
          <cell r="G486">
            <v>42278</v>
          </cell>
          <cell r="L486" t="str">
            <v>05-03-009-33W1</v>
          </cell>
          <cell r="O486">
            <v>841.1</v>
          </cell>
          <cell r="Q486">
            <v>1.32</v>
          </cell>
          <cell r="T486">
            <v>778.01700000000005</v>
          </cell>
        </row>
        <row r="487">
          <cell r="G487">
            <v>42278</v>
          </cell>
          <cell r="L487" t="str">
            <v>14-19-006-33W1</v>
          </cell>
          <cell r="O487">
            <v>829</v>
          </cell>
          <cell r="Q487">
            <v>1.2</v>
          </cell>
          <cell r="T487">
            <v>670.99099999999999</v>
          </cell>
        </row>
        <row r="488">
          <cell r="G488">
            <v>42278</v>
          </cell>
          <cell r="L488" t="str">
            <v>16-31-001-32W1</v>
          </cell>
          <cell r="O488">
            <v>843.7</v>
          </cell>
          <cell r="Q488">
            <v>1.1000000000000001</v>
          </cell>
          <cell r="T488">
            <v>575.98699999999997</v>
          </cell>
        </row>
        <row r="489">
          <cell r="G489">
            <v>42278</v>
          </cell>
          <cell r="L489" t="str">
            <v>01-03-003-33W1</v>
          </cell>
          <cell r="O489">
            <v>849.4</v>
          </cell>
          <cell r="Q489">
            <v>0.93</v>
          </cell>
          <cell r="T489">
            <v>540.36900000000003</v>
          </cell>
        </row>
        <row r="490">
          <cell r="G490">
            <v>42278</v>
          </cell>
          <cell r="L490" t="str">
            <v>04-05-006-02W2</v>
          </cell>
          <cell r="O490">
            <v>844.9</v>
          </cell>
          <cell r="Q490">
            <v>1.17</v>
          </cell>
          <cell r="T490">
            <v>281.82499999999999</v>
          </cell>
        </row>
        <row r="491">
          <cell r="G491">
            <v>42278</v>
          </cell>
          <cell r="L491" t="str">
            <v>04-11-004-32W1</v>
          </cell>
          <cell r="O491">
            <v>851</v>
          </cell>
          <cell r="Q491">
            <v>1.57</v>
          </cell>
          <cell r="T491">
            <v>280.74200000000002</v>
          </cell>
        </row>
        <row r="492">
          <cell r="G492">
            <v>42278</v>
          </cell>
          <cell r="L492" t="str">
            <v>10-17-007-33W1</v>
          </cell>
          <cell r="O492">
            <v>846.5</v>
          </cell>
          <cell r="Q492">
            <v>1.17</v>
          </cell>
          <cell r="T492">
            <v>279.55500000000001</v>
          </cell>
        </row>
        <row r="493">
          <cell r="G493">
            <v>42278</v>
          </cell>
          <cell r="L493" t="str">
            <v>13-13-002-33W1</v>
          </cell>
          <cell r="O493">
            <v>843.6</v>
          </cell>
          <cell r="Q493">
            <v>0.72</v>
          </cell>
          <cell r="T493">
            <v>262.59800000000001</v>
          </cell>
        </row>
        <row r="494">
          <cell r="G494">
            <v>42278</v>
          </cell>
          <cell r="L494" t="str">
            <v>14-23-005-02W2</v>
          </cell>
          <cell r="O494">
            <v>849.3</v>
          </cell>
          <cell r="Q494">
            <v>1.35</v>
          </cell>
          <cell r="T494">
            <v>260.36599999999999</v>
          </cell>
        </row>
        <row r="495">
          <cell r="G495">
            <v>42278</v>
          </cell>
          <cell r="L495" t="str">
            <v>09-24-001-01W2</v>
          </cell>
          <cell r="O495">
            <v>824.5</v>
          </cell>
          <cell r="Q495">
            <v>0.56999999999999995</v>
          </cell>
          <cell r="T495">
            <v>217.24100000000001</v>
          </cell>
        </row>
        <row r="496">
          <cell r="G496">
            <v>42278</v>
          </cell>
          <cell r="L496" t="str">
            <v>12-15-004-34W1</v>
          </cell>
          <cell r="O496">
            <v>846.7</v>
          </cell>
          <cell r="Q496">
            <v>1.02</v>
          </cell>
          <cell r="T496">
            <v>201.12700000000001</v>
          </cell>
        </row>
        <row r="497">
          <cell r="G497">
            <v>42278</v>
          </cell>
          <cell r="L497" t="str">
            <v>11-24-004-34W1</v>
          </cell>
          <cell r="O497">
            <v>830.9</v>
          </cell>
          <cell r="Q497">
            <v>0.6</v>
          </cell>
          <cell r="T497">
            <v>194.03100000000001</v>
          </cell>
        </row>
        <row r="498">
          <cell r="G498">
            <v>42278</v>
          </cell>
          <cell r="L498" t="str">
            <v>16-16-006-02W2</v>
          </cell>
          <cell r="O498">
            <v>849.1</v>
          </cell>
          <cell r="Q498">
            <v>1.1399999999999999</v>
          </cell>
          <cell r="T498">
            <v>191.69900000000001</v>
          </cell>
        </row>
        <row r="499">
          <cell r="G499">
            <v>42278</v>
          </cell>
          <cell r="L499" t="str">
            <v>01-01-010-04W2</v>
          </cell>
          <cell r="O499">
            <v>853.3</v>
          </cell>
          <cell r="Q499">
            <v>1.41</v>
          </cell>
          <cell r="T499">
            <v>177.18700000000001</v>
          </cell>
        </row>
        <row r="500">
          <cell r="G500">
            <v>42278</v>
          </cell>
          <cell r="L500" t="str">
            <v>16-21-003-32W1</v>
          </cell>
          <cell r="O500">
            <v>860.8</v>
          </cell>
          <cell r="Q500">
            <v>1.68</v>
          </cell>
          <cell r="T500">
            <v>140.822</v>
          </cell>
        </row>
        <row r="501">
          <cell r="G501">
            <v>42278</v>
          </cell>
          <cell r="L501" t="str">
            <v>01-06-002-32W1</v>
          </cell>
          <cell r="O501">
            <v>830.2</v>
          </cell>
          <cell r="Q501">
            <v>0.81</v>
          </cell>
          <cell r="T501">
            <v>136.92400000000001</v>
          </cell>
        </row>
        <row r="502">
          <cell r="G502">
            <v>42278</v>
          </cell>
          <cell r="L502" t="str">
            <v>14-24-001-02W2</v>
          </cell>
          <cell r="O502">
            <v>847.9</v>
          </cell>
          <cell r="Q502">
            <v>0.79</v>
          </cell>
          <cell r="T502">
            <v>131.37100000000001</v>
          </cell>
        </row>
        <row r="503">
          <cell r="G503">
            <v>42278</v>
          </cell>
          <cell r="L503" t="str">
            <v>11-25-001-02W2</v>
          </cell>
          <cell r="O503">
            <v>830.1</v>
          </cell>
          <cell r="Q503">
            <v>0.59</v>
          </cell>
          <cell r="T503">
            <v>114.50700000000001</v>
          </cell>
        </row>
        <row r="504">
          <cell r="G504">
            <v>42278</v>
          </cell>
          <cell r="L504" t="str">
            <v>02-14-006-02W2</v>
          </cell>
          <cell r="O504">
            <v>850.8</v>
          </cell>
          <cell r="Q504">
            <v>1.1599999999999999</v>
          </cell>
          <cell r="T504">
            <v>110.565</v>
          </cell>
        </row>
        <row r="505">
          <cell r="G505">
            <v>42278</v>
          </cell>
          <cell r="L505" t="str">
            <v>09-01-002-34W1</v>
          </cell>
          <cell r="O505">
            <v>826.6</v>
          </cell>
          <cell r="Q505">
            <v>0.55000000000000004</v>
          </cell>
          <cell r="T505">
            <v>77.209000000000003</v>
          </cell>
        </row>
        <row r="506">
          <cell r="G506">
            <v>42278</v>
          </cell>
          <cell r="L506" t="str">
            <v>10-29-005-33W1</v>
          </cell>
          <cell r="O506">
            <v>833.7</v>
          </cell>
          <cell r="Q506">
            <v>0.87</v>
          </cell>
          <cell r="T506">
            <v>73.215000000000003</v>
          </cell>
        </row>
        <row r="507">
          <cell r="G507">
            <v>42278</v>
          </cell>
          <cell r="L507" t="str">
            <v>13-12-007-03W2</v>
          </cell>
          <cell r="O507">
            <v>852.6</v>
          </cell>
          <cell r="Q507">
            <v>1.38</v>
          </cell>
          <cell r="T507">
            <v>61.456000000000003</v>
          </cell>
        </row>
        <row r="508">
          <cell r="G508">
            <v>42278</v>
          </cell>
          <cell r="L508" t="str">
            <v>16-15-008-03W2</v>
          </cell>
          <cell r="O508">
            <v>858.4</v>
          </cell>
          <cell r="Q508">
            <v>1.54</v>
          </cell>
          <cell r="T508">
            <v>59.65</v>
          </cell>
        </row>
        <row r="509">
          <cell r="G509">
            <v>42278</v>
          </cell>
          <cell r="L509" t="str">
            <v>16-21-003-33W1</v>
          </cell>
          <cell r="O509">
            <v>851.8</v>
          </cell>
          <cell r="Q509">
            <v>1.84</v>
          </cell>
          <cell r="T509">
            <v>29.029</v>
          </cell>
        </row>
        <row r="510">
          <cell r="G510">
            <v>42278</v>
          </cell>
          <cell r="L510" t="str">
            <v>16-07-006-02W2</v>
          </cell>
          <cell r="O510">
            <v>852.2</v>
          </cell>
          <cell r="Q510">
            <v>1.22</v>
          </cell>
          <cell r="T510">
            <v>27.088999999999999</v>
          </cell>
        </row>
        <row r="511">
          <cell r="G511">
            <v>42278</v>
          </cell>
          <cell r="L511" t="str">
            <v>10-11-003-02W2</v>
          </cell>
          <cell r="O511">
            <v>834</v>
          </cell>
          <cell r="Q511">
            <v>0.69</v>
          </cell>
          <cell r="T511">
            <v>26.619</v>
          </cell>
        </row>
        <row r="512">
          <cell r="G512">
            <v>42278</v>
          </cell>
          <cell r="L512" t="str">
            <v>07-26-005-02W2</v>
          </cell>
          <cell r="O512">
            <v>846.2</v>
          </cell>
          <cell r="Q512">
            <v>1.1599999999999999</v>
          </cell>
          <cell r="T512">
            <v>19.61</v>
          </cell>
        </row>
        <row r="513">
          <cell r="G513">
            <v>42278</v>
          </cell>
          <cell r="L513" t="str">
            <v>15-09-007-03W2</v>
          </cell>
          <cell r="O513">
            <v>846.9</v>
          </cell>
          <cell r="Q513">
            <v>1.29</v>
          </cell>
          <cell r="T513">
            <v>2194.047</v>
          </cell>
        </row>
        <row r="514">
          <cell r="G514">
            <v>42278</v>
          </cell>
          <cell r="L514" t="str">
            <v>04-36-004-02W2</v>
          </cell>
          <cell r="O514">
            <v>849.2</v>
          </cell>
          <cell r="Q514">
            <v>1.64</v>
          </cell>
          <cell r="T514">
            <v>373.59399999999999</v>
          </cell>
        </row>
        <row r="515">
          <cell r="G515">
            <v>42278</v>
          </cell>
          <cell r="L515" t="str">
            <v>13-14-010-05W2</v>
          </cell>
          <cell r="O515">
            <v>848.4</v>
          </cell>
          <cell r="Q515">
            <v>1.54</v>
          </cell>
          <cell r="T515">
            <v>115.352</v>
          </cell>
        </row>
        <row r="516">
          <cell r="G516">
            <v>42278</v>
          </cell>
          <cell r="L516" t="str">
            <v>14-04-006-33W1</v>
          </cell>
          <cell r="O516">
            <v>809</v>
          </cell>
          <cell r="Q516">
            <v>0.85</v>
          </cell>
          <cell r="T516">
            <v>74.938000000000002</v>
          </cell>
        </row>
        <row r="517">
          <cell r="G517">
            <v>42278</v>
          </cell>
          <cell r="L517" t="str">
            <v>03-03-002-34W1</v>
          </cell>
          <cell r="O517">
            <v>841.6</v>
          </cell>
          <cell r="Q517">
            <v>0.64</v>
          </cell>
          <cell r="T517">
            <v>54.366</v>
          </cell>
        </row>
        <row r="518">
          <cell r="G518">
            <v>42278</v>
          </cell>
          <cell r="L518" t="str">
            <v>ALStream</v>
          </cell>
          <cell r="T518">
            <v>0</v>
          </cell>
        </row>
        <row r="519">
          <cell r="G519">
            <v>42278</v>
          </cell>
          <cell r="L519" t="str">
            <v>MWStream</v>
          </cell>
          <cell r="T519">
            <v>0</v>
          </cell>
        </row>
        <row r="520">
          <cell r="G520">
            <v>42278</v>
          </cell>
          <cell r="L520" t="str">
            <v>ALStream</v>
          </cell>
          <cell r="O520">
            <v>831.9</v>
          </cell>
          <cell r="Q520">
            <v>1.03</v>
          </cell>
          <cell r="T520">
            <v>-87649.225000000006</v>
          </cell>
        </row>
        <row r="521">
          <cell r="G521">
            <v>42278</v>
          </cell>
          <cell r="L521" t="str">
            <v>MWStream</v>
          </cell>
          <cell r="O521">
            <v>836.9</v>
          </cell>
          <cell r="Q521">
            <v>1.31</v>
          </cell>
          <cell r="T521">
            <v>-11663.388000000001</v>
          </cell>
        </row>
        <row r="522">
          <cell r="G522">
            <v>42309</v>
          </cell>
          <cell r="L522" t="str">
            <v>16-35-009-09W2</v>
          </cell>
          <cell r="O522">
            <v>884.8</v>
          </cell>
          <cell r="Q522">
            <v>2.46</v>
          </cell>
          <cell r="T522">
            <v>0.23699999999999999</v>
          </cell>
        </row>
        <row r="523">
          <cell r="G523">
            <v>42309</v>
          </cell>
          <cell r="L523" t="str">
            <v>16-16-003-04W2</v>
          </cell>
          <cell r="O523">
            <v>829.5</v>
          </cell>
          <cell r="Q523">
            <v>0.71</v>
          </cell>
          <cell r="T523">
            <v>10.147</v>
          </cell>
        </row>
        <row r="524">
          <cell r="G524">
            <v>42309</v>
          </cell>
          <cell r="L524" t="str">
            <v>07-31-005-33W1</v>
          </cell>
          <cell r="O524">
            <v>822</v>
          </cell>
          <cell r="Q524">
            <v>0.68</v>
          </cell>
          <cell r="T524">
            <v>17.332000000000001</v>
          </cell>
        </row>
        <row r="525">
          <cell r="G525">
            <v>42309</v>
          </cell>
          <cell r="L525" t="str">
            <v>14-04-007-13W2</v>
          </cell>
          <cell r="O525">
            <v>858.6</v>
          </cell>
          <cell r="Q525">
            <v>1.79</v>
          </cell>
          <cell r="T525">
            <v>31.623000000000001</v>
          </cell>
        </row>
        <row r="526">
          <cell r="G526">
            <v>42309</v>
          </cell>
          <cell r="L526" t="str">
            <v>09-23-002-01W2</v>
          </cell>
          <cell r="O526">
            <v>846</v>
          </cell>
          <cell r="Q526">
            <v>0.98</v>
          </cell>
          <cell r="T526">
            <v>40.512999999999998</v>
          </cell>
        </row>
        <row r="527">
          <cell r="G527">
            <v>42309</v>
          </cell>
          <cell r="L527" t="str">
            <v>09-26-004-32W1</v>
          </cell>
          <cell r="O527">
            <v>863.2</v>
          </cell>
          <cell r="Q527">
            <v>1.52</v>
          </cell>
          <cell r="T527">
            <v>62.649000000000001</v>
          </cell>
        </row>
        <row r="528">
          <cell r="G528">
            <v>42309</v>
          </cell>
          <cell r="L528" t="str">
            <v>01-15-005-32W1</v>
          </cell>
          <cell r="O528">
            <v>844</v>
          </cell>
          <cell r="Q528">
            <v>0.98</v>
          </cell>
          <cell r="T528">
            <v>65.497</v>
          </cell>
        </row>
        <row r="529">
          <cell r="G529">
            <v>42309</v>
          </cell>
          <cell r="L529" t="str">
            <v>07-30-007-05W2</v>
          </cell>
          <cell r="O529">
            <v>854.5</v>
          </cell>
          <cell r="Q529">
            <v>1.42</v>
          </cell>
          <cell r="T529">
            <v>74.864999999999995</v>
          </cell>
        </row>
        <row r="530">
          <cell r="G530">
            <v>42309</v>
          </cell>
          <cell r="L530" t="str">
            <v>14-04-003-30W1</v>
          </cell>
          <cell r="O530">
            <v>874.9</v>
          </cell>
          <cell r="Q530">
            <v>2.0499999999999998</v>
          </cell>
          <cell r="T530">
            <v>78.781000000000006</v>
          </cell>
        </row>
        <row r="531">
          <cell r="G531">
            <v>42309</v>
          </cell>
          <cell r="L531" t="str">
            <v>05-28-009-01W2</v>
          </cell>
          <cell r="O531">
            <v>864.4</v>
          </cell>
          <cell r="Q531">
            <v>1.93</v>
          </cell>
          <cell r="T531">
            <v>86.1</v>
          </cell>
        </row>
        <row r="532">
          <cell r="G532">
            <v>42309</v>
          </cell>
          <cell r="L532" t="str">
            <v>08-18-011-03W2</v>
          </cell>
          <cell r="O532">
            <v>856.6</v>
          </cell>
          <cell r="Q532">
            <v>1.87</v>
          </cell>
          <cell r="T532">
            <v>94.031999999999996</v>
          </cell>
        </row>
        <row r="533">
          <cell r="G533">
            <v>42309</v>
          </cell>
          <cell r="L533" t="str">
            <v>13-34-007-14W2</v>
          </cell>
          <cell r="O533">
            <v>860.9</v>
          </cell>
          <cell r="Q533">
            <v>2.08</v>
          </cell>
          <cell r="T533">
            <v>99.608999999999995</v>
          </cell>
        </row>
        <row r="534">
          <cell r="G534">
            <v>42309</v>
          </cell>
          <cell r="L534" t="str">
            <v>07-36-001-34W1</v>
          </cell>
          <cell r="O534">
            <v>848.4</v>
          </cell>
          <cell r="Q534">
            <v>1.61</v>
          </cell>
          <cell r="T534">
            <v>95.346999999999994</v>
          </cell>
        </row>
        <row r="535">
          <cell r="G535">
            <v>42309</v>
          </cell>
          <cell r="L535" t="str">
            <v>02-14-010-01W2</v>
          </cell>
          <cell r="O535">
            <v>858.4</v>
          </cell>
          <cell r="Q535">
            <v>1.69</v>
          </cell>
          <cell r="T535">
            <v>782.70399999999995</v>
          </cell>
        </row>
        <row r="536">
          <cell r="G536">
            <v>42309</v>
          </cell>
          <cell r="L536" t="str">
            <v>02-27-004-33W1</v>
          </cell>
          <cell r="O536">
            <v>830.6</v>
          </cell>
          <cell r="Q536">
            <v>0.67</v>
          </cell>
          <cell r="T536">
            <v>101.678</v>
          </cell>
        </row>
        <row r="537">
          <cell r="G537">
            <v>42309</v>
          </cell>
          <cell r="L537" t="str">
            <v>12-09-004-33W1</v>
          </cell>
          <cell r="O537">
            <v>830.1</v>
          </cell>
          <cell r="Q537">
            <v>0.66</v>
          </cell>
          <cell r="T537">
            <v>113.54300000000001</v>
          </cell>
        </row>
        <row r="538">
          <cell r="G538">
            <v>42309</v>
          </cell>
          <cell r="L538" t="str">
            <v>07-24-001-32W1</v>
          </cell>
          <cell r="O538">
            <v>856.6</v>
          </cell>
          <cell r="Q538">
            <v>1.6</v>
          </cell>
          <cell r="T538">
            <v>115.336</v>
          </cell>
        </row>
        <row r="539">
          <cell r="G539">
            <v>42309</v>
          </cell>
          <cell r="L539" t="str">
            <v>08-01-004-32W1</v>
          </cell>
          <cell r="O539">
            <v>856.2</v>
          </cell>
          <cell r="Q539">
            <v>1.66</v>
          </cell>
          <cell r="T539">
            <v>119.312</v>
          </cell>
        </row>
        <row r="540">
          <cell r="G540">
            <v>42309</v>
          </cell>
          <cell r="L540" t="str">
            <v>10-21-006-32W1</v>
          </cell>
          <cell r="O540">
            <v>830.7</v>
          </cell>
          <cell r="Q540">
            <v>0.78</v>
          </cell>
          <cell r="T540">
            <v>124.239</v>
          </cell>
        </row>
        <row r="541">
          <cell r="G541">
            <v>42309</v>
          </cell>
          <cell r="L541" t="str">
            <v>03-23-001-32W1</v>
          </cell>
          <cell r="O541">
            <v>864.3</v>
          </cell>
          <cell r="Q541">
            <v>1.65</v>
          </cell>
          <cell r="T541">
            <v>131.59700000000001</v>
          </cell>
        </row>
        <row r="542">
          <cell r="G542">
            <v>42309</v>
          </cell>
          <cell r="L542" t="str">
            <v>14-27-001-13W2</v>
          </cell>
          <cell r="O542">
            <v>803</v>
          </cell>
          <cell r="Q542">
            <v>0.11</v>
          </cell>
          <cell r="T542">
            <v>4702.192</v>
          </cell>
        </row>
        <row r="543">
          <cell r="G543">
            <v>42309</v>
          </cell>
          <cell r="L543" t="str">
            <v>01-04-007-09W2</v>
          </cell>
          <cell r="O543">
            <v>813.4</v>
          </cell>
          <cell r="Q543">
            <v>0.17</v>
          </cell>
          <cell r="T543">
            <v>779.35900000000004</v>
          </cell>
        </row>
        <row r="544">
          <cell r="G544">
            <v>42309</v>
          </cell>
          <cell r="L544" t="str">
            <v>09-31-007-12W2</v>
          </cell>
          <cell r="O544">
            <v>869.7</v>
          </cell>
          <cell r="Q544">
            <v>2.31</v>
          </cell>
          <cell r="T544">
            <v>146.89400000000001</v>
          </cell>
        </row>
        <row r="545">
          <cell r="G545">
            <v>42309</v>
          </cell>
          <cell r="L545" t="str">
            <v>15-09-010-08W2</v>
          </cell>
          <cell r="O545">
            <v>884.8</v>
          </cell>
          <cell r="Q545">
            <v>2.5</v>
          </cell>
          <cell r="T545">
            <v>150.197</v>
          </cell>
        </row>
        <row r="546">
          <cell r="G546">
            <v>42309</v>
          </cell>
          <cell r="L546" t="str">
            <v>05-34-005-06W2</v>
          </cell>
          <cell r="O546">
            <v>877.4</v>
          </cell>
          <cell r="Q546">
            <v>2.2799999999999998</v>
          </cell>
          <cell r="T546">
            <v>668.32899999999995</v>
          </cell>
        </row>
        <row r="547">
          <cell r="G547">
            <v>42309</v>
          </cell>
          <cell r="L547" t="str">
            <v>13-07-010-09W2</v>
          </cell>
          <cell r="O547">
            <v>821</v>
          </cell>
          <cell r="Q547">
            <v>0.31</v>
          </cell>
          <cell r="T547">
            <v>1103.8</v>
          </cell>
        </row>
        <row r="548">
          <cell r="G548">
            <v>42309</v>
          </cell>
          <cell r="L548" t="str">
            <v>14-35-006-05W2</v>
          </cell>
          <cell r="O548">
            <v>853.2</v>
          </cell>
          <cell r="Q548">
            <v>1.61</v>
          </cell>
          <cell r="T548">
            <v>141.607</v>
          </cell>
        </row>
        <row r="549">
          <cell r="G549">
            <v>42309</v>
          </cell>
          <cell r="L549" t="str">
            <v>16-08-007-12W2</v>
          </cell>
          <cell r="O549">
            <v>856</v>
          </cell>
          <cell r="Q549">
            <v>2.0099999999999998</v>
          </cell>
          <cell r="T549">
            <v>155.71700000000001</v>
          </cell>
        </row>
        <row r="550">
          <cell r="G550">
            <v>42309</v>
          </cell>
          <cell r="L550" t="str">
            <v>04-15-008-33W1</v>
          </cell>
          <cell r="O550">
            <v>857.5</v>
          </cell>
          <cell r="Q550">
            <v>1.1599999999999999</v>
          </cell>
          <cell r="T550">
            <v>143.15100000000001</v>
          </cell>
        </row>
        <row r="551">
          <cell r="G551">
            <v>42309</v>
          </cell>
          <cell r="L551" t="str">
            <v>13-31-002-30W1</v>
          </cell>
          <cell r="O551">
            <v>867.5</v>
          </cell>
          <cell r="Q551">
            <v>1.88</v>
          </cell>
          <cell r="T551">
            <v>143.44</v>
          </cell>
        </row>
        <row r="552">
          <cell r="G552">
            <v>42309</v>
          </cell>
          <cell r="L552" t="str">
            <v>03-13-006-33W1</v>
          </cell>
          <cell r="O552">
            <v>831</v>
          </cell>
          <cell r="Q552">
            <v>0.77</v>
          </cell>
          <cell r="T552">
            <v>144.649</v>
          </cell>
        </row>
        <row r="553">
          <cell r="G553">
            <v>42309</v>
          </cell>
          <cell r="L553" t="str">
            <v>09-30-002-30W1</v>
          </cell>
          <cell r="O553">
            <v>872.2</v>
          </cell>
          <cell r="Q553">
            <v>1.79</v>
          </cell>
          <cell r="T553">
            <v>148.39599999999999</v>
          </cell>
        </row>
        <row r="554">
          <cell r="G554">
            <v>42309</v>
          </cell>
          <cell r="L554" t="str">
            <v>11-28-005-06W2</v>
          </cell>
          <cell r="O554">
            <v>879.3</v>
          </cell>
          <cell r="Q554">
            <v>2.27</v>
          </cell>
          <cell r="T554">
            <v>1216.46</v>
          </cell>
        </row>
        <row r="555">
          <cell r="G555">
            <v>42309</v>
          </cell>
          <cell r="L555" t="str">
            <v>06-01-007-01W2</v>
          </cell>
          <cell r="O555">
            <v>849.3</v>
          </cell>
          <cell r="Q555">
            <v>1.1299999999999999</v>
          </cell>
          <cell r="T555">
            <v>1760.934</v>
          </cell>
        </row>
        <row r="556">
          <cell r="G556">
            <v>42309</v>
          </cell>
          <cell r="L556" t="str">
            <v>09-26-007-09W2</v>
          </cell>
          <cell r="O556">
            <v>815.7</v>
          </cell>
          <cell r="Q556">
            <v>0.36</v>
          </cell>
          <cell r="T556">
            <v>610.04999999999995</v>
          </cell>
        </row>
        <row r="557">
          <cell r="G557">
            <v>42309</v>
          </cell>
          <cell r="L557" t="str">
            <v>01-19-004-12W2</v>
          </cell>
          <cell r="O557">
            <v>898.7</v>
          </cell>
          <cell r="Q557">
            <v>2.59</v>
          </cell>
          <cell r="T557">
            <v>278.40899999999999</v>
          </cell>
        </row>
        <row r="558">
          <cell r="G558">
            <v>42309</v>
          </cell>
          <cell r="L558" t="str">
            <v>12-06-009-07W2</v>
          </cell>
          <cell r="O558">
            <v>808.3</v>
          </cell>
          <cell r="Q558">
            <v>0.19</v>
          </cell>
          <cell r="T558">
            <v>4507.83</v>
          </cell>
        </row>
        <row r="559">
          <cell r="G559">
            <v>42309</v>
          </cell>
          <cell r="L559" t="str">
            <v>16-16-010-02W2</v>
          </cell>
          <cell r="O559">
            <v>860.5</v>
          </cell>
          <cell r="Q559">
            <v>1.72</v>
          </cell>
          <cell r="T559">
            <v>154.393</v>
          </cell>
        </row>
        <row r="560">
          <cell r="G560">
            <v>42309</v>
          </cell>
          <cell r="L560" t="str">
            <v>04-08-008-08W2</v>
          </cell>
          <cell r="O560">
            <v>803.8</v>
          </cell>
          <cell r="Q560">
            <v>0.21</v>
          </cell>
          <cell r="T560">
            <v>32357.971000000001</v>
          </cell>
        </row>
        <row r="561">
          <cell r="G561">
            <v>42309</v>
          </cell>
          <cell r="L561" t="str">
            <v>03-15-012-06W2</v>
          </cell>
          <cell r="O561">
            <v>884</v>
          </cell>
          <cell r="Q561">
            <v>2.59</v>
          </cell>
          <cell r="T561">
            <v>1240.6890000000001</v>
          </cell>
        </row>
        <row r="562">
          <cell r="G562">
            <v>42309</v>
          </cell>
          <cell r="L562" t="str">
            <v>03-33-008-06W2</v>
          </cell>
          <cell r="O562">
            <v>807.4</v>
          </cell>
          <cell r="Q562">
            <v>0.26</v>
          </cell>
          <cell r="T562">
            <v>7183.1980000000003</v>
          </cell>
        </row>
        <row r="563">
          <cell r="G563">
            <v>42309</v>
          </cell>
          <cell r="L563" t="str">
            <v>08-13-006-33W1</v>
          </cell>
          <cell r="O563">
            <v>845.7</v>
          </cell>
          <cell r="Q563">
            <v>1.5</v>
          </cell>
          <cell r="T563">
            <v>890.73599999999999</v>
          </cell>
        </row>
        <row r="564">
          <cell r="G564">
            <v>42309</v>
          </cell>
          <cell r="L564" t="str">
            <v>03-17-011-06W2</v>
          </cell>
          <cell r="O564">
            <v>867.5</v>
          </cell>
          <cell r="Q564">
            <v>2.5299999999999998</v>
          </cell>
          <cell r="T564">
            <v>1800.4449999999999</v>
          </cell>
        </row>
        <row r="565">
          <cell r="G565">
            <v>42309</v>
          </cell>
          <cell r="L565" t="str">
            <v>09-14-009-08W2</v>
          </cell>
          <cell r="O565">
            <v>802.9</v>
          </cell>
          <cell r="Q565">
            <v>0.14000000000000001</v>
          </cell>
          <cell r="T565">
            <v>49674.461000000003</v>
          </cell>
        </row>
        <row r="566">
          <cell r="G566">
            <v>42309</v>
          </cell>
          <cell r="L566" t="str">
            <v>02-13-006-01W2</v>
          </cell>
          <cell r="O566">
            <v>847.2</v>
          </cell>
          <cell r="Q566">
            <v>1.23</v>
          </cell>
          <cell r="T566">
            <v>168.62299999999999</v>
          </cell>
        </row>
        <row r="567">
          <cell r="G567">
            <v>42309</v>
          </cell>
          <cell r="L567" t="str">
            <v>04-18-009-06W2</v>
          </cell>
          <cell r="O567">
            <v>826.8</v>
          </cell>
          <cell r="Q567">
            <v>0.85</v>
          </cell>
          <cell r="T567">
            <v>1413.377</v>
          </cell>
        </row>
        <row r="568">
          <cell r="G568">
            <v>42309</v>
          </cell>
          <cell r="L568" t="str">
            <v>05-31-009-07W2</v>
          </cell>
          <cell r="O568">
            <v>879.1</v>
          </cell>
          <cell r="Q568">
            <v>2.35</v>
          </cell>
          <cell r="T568">
            <v>693.029</v>
          </cell>
        </row>
        <row r="569">
          <cell r="G569">
            <v>42309</v>
          </cell>
          <cell r="L569" t="str">
            <v>15-09-010-02W2</v>
          </cell>
          <cell r="O569">
            <v>862.9</v>
          </cell>
          <cell r="Q569">
            <v>1.85</v>
          </cell>
          <cell r="T569">
            <v>171.999</v>
          </cell>
        </row>
        <row r="570">
          <cell r="G570">
            <v>42309</v>
          </cell>
          <cell r="L570" t="str">
            <v>13-29-008-07W2</v>
          </cell>
          <cell r="O570">
            <v>801.3</v>
          </cell>
          <cell r="Q570">
            <v>0.15</v>
          </cell>
          <cell r="T570">
            <v>18303.335999999999</v>
          </cell>
        </row>
        <row r="571">
          <cell r="G571">
            <v>42309</v>
          </cell>
          <cell r="L571" t="str">
            <v>13-18-010-06W2</v>
          </cell>
          <cell r="O571">
            <v>827.4</v>
          </cell>
          <cell r="Q571">
            <v>0.69</v>
          </cell>
          <cell r="T571">
            <v>5089.7619999999997</v>
          </cell>
        </row>
        <row r="572">
          <cell r="G572">
            <v>42309</v>
          </cell>
          <cell r="L572" t="str">
            <v>09-20-008-08W2</v>
          </cell>
          <cell r="O572">
            <v>819.7</v>
          </cell>
          <cell r="Q572">
            <v>0.59</v>
          </cell>
          <cell r="T572">
            <v>1924.704</v>
          </cell>
        </row>
        <row r="573">
          <cell r="G573">
            <v>42309</v>
          </cell>
          <cell r="L573" t="str">
            <v>03-06-011-07W2</v>
          </cell>
          <cell r="O573">
            <v>878.2</v>
          </cell>
          <cell r="Q573">
            <v>1.55</v>
          </cell>
          <cell r="T573">
            <v>1508.9829999999999</v>
          </cell>
        </row>
        <row r="574">
          <cell r="G574">
            <v>42309</v>
          </cell>
          <cell r="L574" t="str">
            <v>07-04-010-08W2</v>
          </cell>
          <cell r="O574">
            <v>877.7</v>
          </cell>
          <cell r="Q574">
            <v>2.44</v>
          </cell>
          <cell r="T574">
            <v>1455.914</v>
          </cell>
        </row>
        <row r="575">
          <cell r="G575">
            <v>42309</v>
          </cell>
          <cell r="L575" t="str">
            <v>09-06-010-07W2</v>
          </cell>
          <cell r="O575">
            <v>882.2</v>
          </cell>
          <cell r="Q575">
            <v>2.4500000000000002</v>
          </cell>
          <cell r="T575">
            <v>849.52</v>
          </cell>
        </row>
        <row r="576">
          <cell r="G576">
            <v>42309</v>
          </cell>
          <cell r="L576" t="str">
            <v>09-11-010-08W2</v>
          </cell>
          <cell r="O576">
            <v>881.5</v>
          </cell>
          <cell r="Q576">
            <v>2.4700000000000002</v>
          </cell>
          <cell r="T576">
            <v>816.85</v>
          </cell>
        </row>
        <row r="577">
          <cell r="G577">
            <v>42309</v>
          </cell>
          <cell r="L577" t="str">
            <v>01-22-010-07W2</v>
          </cell>
          <cell r="O577">
            <v>885.2</v>
          </cell>
          <cell r="Q577">
            <v>2.5099999999999998</v>
          </cell>
          <cell r="T577">
            <v>761.303</v>
          </cell>
        </row>
        <row r="578">
          <cell r="G578">
            <v>42309</v>
          </cell>
          <cell r="L578" t="str">
            <v>07-25-009-08W2</v>
          </cell>
          <cell r="O578">
            <v>883.9</v>
          </cell>
          <cell r="Q578">
            <v>2.3199999999999998</v>
          </cell>
          <cell r="T578">
            <v>229.792</v>
          </cell>
        </row>
        <row r="579">
          <cell r="G579">
            <v>42309</v>
          </cell>
          <cell r="L579" t="str">
            <v>11-15-007-09W2</v>
          </cell>
          <cell r="O579">
            <v>807.7</v>
          </cell>
          <cell r="Q579">
            <v>0.21</v>
          </cell>
          <cell r="T579">
            <v>6392.51</v>
          </cell>
        </row>
        <row r="580">
          <cell r="G580">
            <v>42309</v>
          </cell>
          <cell r="L580" t="str">
            <v>15-23-006-08W2</v>
          </cell>
          <cell r="O580">
            <v>862.9</v>
          </cell>
          <cell r="Q580">
            <v>1.79</v>
          </cell>
          <cell r="T580">
            <v>1767.837</v>
          </cell>
        </row>
        <row r="581">
          <cell r="G581">
            <v>42309</v>
          </cell>
          <cell r="L581" t="str">
            <v>01-26-006-09W2</v>
          </cell>
          <cell r="O581">
            <v>884.9</v>
          </cell>
          <cell r="Q581">
            <v>2.2999999999999998</v>
          </cell>
          <cell r="T581">
            <v>1303.296</v>
          </cell>
        </row>
        <row r="582">
          <cell r="G582">
            <v>42309</v>
          </cell>
          <cell r="L582" t="str">
            <v>07-28-007-08W2</v>
          </cell>
          <cell r="O582">
            <v>851.9</v>
          </cell>
          <cell r="Q582">
            <v>1.39</v>
          </cell>
          <cell r="T582">
            <v>969.66800000000001</v>
          </cell>
        </row>
        <row r="583">
          <cell r="G583">
            <v>42309</v>
          </cell>
          <cell r="L583" t="str">
            <v>12-35-008-03W2</v>
          </cell>
          <cell r="O583">
            <v>860.8</v>
          </cell>
          <cell r="Q583">
            <v>1.59</v>
          </cell>
          <cell r="T583">
            <v>499.32499999999999</v>
          </cell>
        </row>
        <row r="584">
          <cell r="G584">
            <v>42309</v>
          </cell>
          <cell r="L584" t="str">
            <v>11-20-007-05W2</v>
          </cell>
          <cell r="O584">
            <v>854.7</v>
          </cell>
          <cell r="Q584">
            <v>1.57</v>
          </cell>
          <cell r="T584">
            <v>249.55</v>
          </cell>
        </row>
        <row r="585">
          <cell r="G585">
            <v>42309</v>
          </cell>
          <cell r="L585" t="str">
            <v>10-09-004-33W1</v>
          </cell>
          <cell r="O585">
            <v>843.5</v>
          </cell>
          <cell r="Q585">
            <v>0.89</v>
          </cell>
          <cell r="T585">
            <v>174.739</v>
          </cell>
        </row>
        <row r="586">
          <cell r="G586">
            <v>42309</v>
          </cell>
          <cell r="L586" t="str">
            <v>11-23-002-34W1</v>
          </cell>
          <cell r="O586">
            <v>839.7</v>
          </cell>
          <cell r="Q586">
            <v>1.63</v>
          </cell>
          <cell r="T586">
            <v>174.90199999999999</v>
          </cell>
        </row>
        <row r="587">
          <cell r="G587">
            <v>42309</v>
          </cell>
          <cell r="L587" t="str">
            <v>01-24-007-05W2</v>
          </cell>
          <cell r="O587">
            <v>846.1</v>
          </cell>
          <cell r="Q587">
            <v>1.31</v>
          </cell>
          <cell r="T587">
            <v>269.06900000000002</v>
          </cell>
        </row>
        <row r="588">
          <cell r="G588">
            <v>42309</v>
          </cell>
          <cell r="L588" t="str">
            <v>05-13-008-06W2</v>
          </cell>
          <cell r="O588">
            <v>818.6</v>
          </cell>
          <cell r="Q588">
            <v>0.49</v>
          </cell>
          <cell r="T588">
            <v>1846.3920000000001</v>
          </cell>
        </row>
        <row r="589">
          <cell r="G589">
            <v>42309</v>
          </cell>
          <cell r="L589" t="str">
            <v>03-05-005-11W2</v>
          </cell>
          <cell r="O589">
            <v>862.5</v>
          </cell>
          <cell r="Q589">
            <v>1.68</v>
          </cell>
          <cell r="T589">
            <v>594.76700000000005</v>
          </cell>
        </row>
        <row r="590">
          <cell r="G590">
            <v>42309</v>
          </cell>
          <cell r="L590" t="str">
            <v>09-19-009-33W1</v>
          </cell>
          <cell r="O590">
            <v>854.5</v>
          </cell>
          <cell r="Q590">
            <v>1.61</v>
          </cell>
          <cell r="T590">
            <v>1768.3610000000001</v>
          </cell>
        </row>
        <row r="591">
          <cell r="G591">
            <v>42309</v>
          </cell>
          <cell r="L591" t="str">
            <v>09-10-009-06W2</v>
          </cell>
          <cell r="O591">
            <v>854.3</v>
          </cell>
          <cell r="Q591">
            <v>1.66</v>
          </cell>
          <cell r="T591">
            <v>1344.5319999999999</v>
          </cell>
        </row>
        <row r="592">
          <cell r="G592">
            <v>42309</v>
          </cell>
          <cell r="L592" t="str">
            <v>02-26-009-09W2</v>
          </cell>
          <cell r="O592">
            <v>808.5</v>
          </cell>
          <cell r="Q592">
            <v>0.17</v>
          </cell>
          <cell r="T592">
            <v>4434.4390000000003</v>
          </cell>
        </row>
        <row r="593">
          <cell r="G593">
            <v>42309</v>
          </cell>
          <cell r="L593" t="str">
            <v>08-35-011-04W2</v>
          </cell>
          <cell r="O593">
            <v>861.1</v>
          </cell>
          <cell r="Q593">
            <v>1.89</v>
          </cell>
          <cell r="T593">
            <v>805.173</v>
          </cell>
        </row>
        <row r="594">
          <cell r="G594">
            <v>42309</v>
          </cell>
          <cell r="L594" t="str">
            <v>05-13-009-06W2</v>
          </cell>
          <cell r="O594">
            <v>850</v>
          </cell>
          <cell r="Q594">
            <v>1.5</v>
          </cell>
          <cell r="T594">
            <v>2176.817</v>
          </cell>
        </row>
        <row r="595">
          <cell r="G595">
            <v>42309</v>
          </cell>
          <cell r="L595" t="str">
            <v>16-27-004-33W1</v>
          </cell>
          <cell r="O595">
            <v>842</v>
          </cell>
          <cell r="Q595">
            <v>0.73</v>
          </cell>
          <cell r="T595">
            <v>187.92099999999999</v>
          </cell>
        </row>
        <row r="596">
          <cell r="G596">
            <v>42309</v>
          </cell>
          <cell r="L596" t="str">
            <v>09-28-001-15W2</v>
          </cell>
          <cell r="O596">
            <v>871.5</v>
          </cell>
          <cell r="Q596">
            <v>1.25</v>
          </cell>
          <cell r="T596">
            <v>206.70400000000001</v>
          </cell>
        </row>
        <row r="597">
          <cell r="G597">
            <v>42309</v>
          </cell>
          <cell r="L597" t="str">
            <v>16-24-004-01W2</v>
          </cell>
          <cell r="O597">
            <v>824.6</v>
          </cell>
          <cell r="Q597">
            <v>0.6</v>
          </cell>
          <cell r="T597">
            <v>186.47</v>
          </cell>
        </row>
        <row r="598">
          <cell r="G598">
            <v>42309</v>
          </cell>
          <cell r="L598" t="str">
            <v>09-27-006-05W2</v>
          </cell>
          <cell r="O598">
            <v>870.1</v>
          </cell>
          <cell r="Q598">
            <v>2.15</v>
          </cell>
          <cell r="T598">
            <v>1472.7629999999999</v>
          </cell>
        </row>
        <row r="599">
          <cell r="G599">
            <v>42309</v>
          </cell>
          <cell r="L599" t="str">
            <v>12-22-007-11W2</v>
          </cell>
          <cell r="O599">
            <v>825.7</v>
          </cell>
          <cell r="Q599">
            <v>1.26</v>
          </cell>
          <cell r="T599">
            <v>5377.1509999999998</v>
          </cell>
        </row>
        <row r="600">
          <cell r="G600">
            <v>42309</v>
          </cell>
          <cell r="L600" t="str">
            <v>06-02-008-02W2</v>
          </cell>
          <cell r="O600">
            <v>858.9</v>
          </cell>
          <cell r="Q600">
            <v>1.51</v>
          </cell>
          <cell r="T600">
            <v>1074.654</v>
          </cell>
        </row>
        <row r="601">
          <cell r="G601">
            <v>42309</v>
          </cell>
          <cell r="L601" t="str">
            <v>13-35-007-12W2</v>
          </cell>
          <cell r="O601">
            <v>883.2</v>
          </cell>
          <cell r="Q601">
            <v>2.1</v>
          </cell>
          <cell r="T601">
            <v>214.857</v>
          </cell>
        </row>
        <row r="602">
          <cell r="G602">
            <v>42309</v>
          </cell>
          <cell r="L602" t="str">
            <v>02-08-004-33W1</v>
          </cell>
          <cell r="O602">
            <v>831.5</v>
          </cell>
          <cell r="Q602">
            <v>0.65</v>
          </cell>
          <cell r="T602">
            <v>192.50700000000001</v>
          </cell>
        </row>
        <row r="603">
          <cell r="G603">
            <v>42309</v>
          </cell>
          <cell r="L603" t="str">
            <v>04-05-002-15W2</v>
          </cell>
          <cell r="O603">
            <v>877.3</v>
          </cell>
          <cell r="Q603">
            <v>2.0099999999999998</v>
          </cell>
          <cell r="T603">
            <v>5188.7640000000001</v>
          </cell>
        </row>
        <row r="604">
          <cell r="G604">
            <v>42309</v>
          </cell>
          <cell r="L604" t="str">
            <v>04-33-006-01W2</v>
          </cell>
          <cell r="O604">
            <v>853.3</v>
          </cell>
          <cell r="Q604">
            <v>1.1299999999999999</v>
          </cell>
          <cell r="T604">
            <v>974.07899999999995</v>
          </cell>
        </row>
        <row r="605">
          <cell r="G605">
            <v>42309</v>
          </cell>
          <cell r="L605" t="str">
            <v>01-21-001-14W2</v>
          </cell>
          <cell r="O605">
            <v>803.7</v>
          </cell>
          <cell r="Q605">
            <v>0.15</v>
          </cell>
          <cell r="T605">
            <v>35996.42</v>
          </cell>
        </row>
        <row r="606">
          <cell r="G606">
            <v>42309</v>
          </cell>
          <cell r="L606" t="str">
            <v>16-12-004-31W1</v>
          </cell>
          <cell r="O606">
            <v>850.7</v>
          </cell>
          <cell r="Q606">
            <v>1.61</v>
          </cell>
          <cell r="T606">
            <v>4676.585</v>
          </cell>
        </row>
        <row r="607">
          <cell r="G607">
            <v>42309</v>
          </cell>
          <cell r="L607" t="str">
            <v>14-33-006-14W2</v>
          </cell>
          <cell r="O607">
            <v>851</v>
          </cell>
          <cell r="Q607">
            <v>1.66</v>
          </cell>
          <cell r="T607">
            <v>2500.018</v>
          </cell>
        </row>
        <row r="608">
          <cell r="G608">
            <v>42309</v>
          </cell>
          <cell r="L608" t="str">
            <v>04-21-006-14W2</v>
          </cell>
          <cell r="O608">
            <v>858.4</v>
          </cell>
          <cell r="Q608">
            <v>2.09</v>
          </cell>
          <cell r="T608">
            <v>1564.9110000000001</v>
          </cell>
        </row>
        <row r="609">
          <cell r="G609">
            <v>42309</v>
          </cell>
          <cell r="L609" t="str">
            <v>01-22-006-14W2</v>
          </cell>
          <cell r="O609">
            <v>864.1</v>
          </cell>
          <cell r="Q609">
            <v>2.14</v>
          </cell>
          <cell r="T609">
            <v>988.52200000000005</v>
          </cell>
        </row>
        <row r="610">
          <cell r="G610">
            <v>42309</v>
          </cell>
          <cell r="L610" t="str">
            <v>01-03-008-13W2</v>
          </cell>
          <cell r="O610">
            <v>853.9</v>
          </cell>
          <cell r="Q610">
            <v>2.0299999999999998</v>
          </cell>
          <cell r="T610">
            <v>445.00400000000002</v>
          </cell>
        </row>
        <row r="611">
          <cell r="G611">
            <v>42309</v>
          </cell>
          <cell r="L611" t="str">
            <v>10-22-006-14W2</v>
          </cell>
          <cell r="O611">
            <v>851.2</v>
          </cell>
          <cell r="Q611">
            <v>1.69</v>
          </cell>
          <cell r="T611">
            <v>437.56799999999998</v>
          </cell>
        </row>
        <row r="612">
          <cell r="G612">
            <v>42309</v>
          </cell>
          <cell r="L612" t="str">
            <v>02-18-007-13W2</v>
          </cell>
          <cell r="O612">
            <v>854.4</v>
          </cell>
          <cell r="Q612">
            <v>1.9</v>
          </cell>
          <cell r="T612">
            <v>435.33499999999998</v>
          </cell>
        </row>
        <row r="613">
          <cell r="G613">
            <v>42309</v>
          </cell>
          <cell r="L613" t="str">
            <v>04-11-007-13W2</v>
          </cell>
          <cell r="O613">
            <v>856.8</v>
          </cell>
          <cell r="Q613">
            <v>1.97</v>
          </cell>
          <cell r="T613">
            <v>411.33600000000001</v>
          </cell>
        </row>
        <row r="614">
          <cell r="G614">
            <v>42309</v>
          </cell>
          <cell r="L614" t="str">
            <v>15-30-007-12W2</v>
          </cell>
          <cell r="O614">
            <v>867.6</v>
          </cell>
          <cell r="Q614">
            <v>2.36</v>
          </cell>
          <cell r="T614">
            <v>295.74400000000003</v>
          </cell>
        </row>
        <row r="615">
          <cell r="G615">
            <v>42309</v>
          </cell>
          <cell r="L615" t="str">
            <v>05-35-006-11W2</v>
          </cell>
          <cell r="O615">
            <v>810.5</v>
          </cell>
          <cell r="Q615">
            <v>0.1</v>
          </cell>
          <cell r="T615">
            <v>585.74699999999996</v>
          </cell>
        </row>
        <row r="616">
          <cell r="G616">
            <v>42309</v>
          </cell>
          <cell r="L616" t="str">
            <v>03-21-001-16W2</v>
          </cell>
          <cell r="O616">
            <v>868.2</v>
          </cell>
          <cell r="Q616">
            <v>0.89</v>
          </cell>
          <cell r="T616">
            <v>437.77600000000001</v>
          </cell>
        </row>
        <row r="617">
          <cell r="G617">
            <v>42309</v>
          </cell>
          <cell r="L617" t="str">
            <v>13-02-007-14W2</v>
          </cell>
          <cell r="O617">
            <v>852.9</v>
          </cell>
          <cell r="Q617">
            <v>1.79</v>
          </cell>
          <cell r="T617">
            <v>1456.568</v>
          </cell>
        </row>
        <row r="618">
          <cell r="G618">
            <v>42309</v>
          </cell>
          <cell r="L618" t="str">
            <v>15-33-006-14W2</v>
          </cell>
          <cell r="O618">
            <v>850.3</v>
          </cell>
          <cell r="Q618">
            <v>1.66</v>
          </cell>
          <cell r="T618">
            <v>1253.5</v>
          </cell>
        </row>
        <row r="619">
          <cell r="G619">
            <v>42309</v>
          </cell>
          <cell r="L619" t="str">
            <v>15-14-009-03W2</v>
          </cell>
          <cell r="O619">
            <v>851.5</v>
          </cell>
          <cell r="Q619">
            <v>1.55</v>
          </cell>
          <cell r="T619">
            <v>1009.449</v>
          </cell>
        </row>
        <row r="620">
          <cell r="G620">
            <v>42309</v>
          </cell>
          <cell r="L620" t="str">
            <v>13-17-001-31W1</v>
          </cell>
          <cell r="O620">
            <v>852.3</v>
          </cell>
          <cell r="Q620">
            <v>1.62</v>
          </cell>
          <cell r="T620">
            <v>207.26</v>
          </cell>
        </row>
        <row r="621">
          <cell r="G621">
            <v>42309</v>
          </cell>
          <cell r="L621" t="str">
            <v>06-03-001-16W2</v>
          </cell>
          <cell r="O621">
            <v>861.3</v>
          </cell>
          <cell r="Q621">
            <v>1.1000000000000001</v>
          </cell>
          <cell r="T621">
            <v>1656.89</v>
          </cell>
        </row>
        <row r="622">
          <cell r="G622">
            <v>42309</v>
          </cell>
          <cell r="L622" t="str">
            <v>02-29-001-17W2</v>
          </cell>
          <cell r="O622">
            <v>867.1</v>
          </cell>
          <cell r="Q622">
            <v>2.21</v>
          </cell>
          <cell r="T622">
            <v>799.96699999999998</v>
          </cell>
        </row>
        <row r="623">
          <cell r="G623">
            <v>42309</v>
          </cell>
          <cell r="L623" t="str">
            <v>16-21-003-32W1</v>
          </cell>
          <cell r="O623">
            <v>861.2</v>
          </cell>
          <cell r="Q623">
            <v>1.68</v>
          </cell>
          <cell r="T623">
            <v>925.58500000000004</v>
          </cell>
        </row>
        <row r="624">
          <cell r="G624">
            <v>42309</v>
          </cell>
          <cell r="L624" t="str">
            <v>09-27-008-03W2</v>
          </cell>
          <cell r="O624">
            <v>853.2</v>
          </cell>
          <cell r="Q624">
            <v>1.55</v>
          </cell>
          <cell r="T624">
            <v>1234.6890000000001</v>
          </cell>
        </row>
        <row r="625">
          <cell r="G625">
            <v>42309</v>
          </cell>
          <cell r="L625" t="str">
            <v>12-12-005-34W1</v>
          </cell>
          <cell r="O625">
            <v>823.2</v>
          </cell>
          <cell r="Q625">
            <v>0.59</v>
          </cell>
          <cell r="T625">
            <v>210.81</v>
          </cell>
        </row>
        <row r="626">
          <cell r="G626">
            <v>42309</v>
          </cell>
          <cell r="L626" t="str">
            <v>16-33-005-06W2</v>
          </cell>
          <cell r="O626">
            <v>864</v>
          </cell>
          <cell r="Q626">
            <v>1.79</v>
          </cell>
          <cell r="T626">
            <v>2745.0039999999999</v>
          </cell>
        </row>
        <row r="627">
          <cell r="G627">
            <v>42309</v>
          </cell>
          <cell r="L627" t="str">
            <v>08-31-004-18W2</v>
          </cell>
          <cell r="O627">
            <v>858.3</v>
          </cell>
          <cell r="Q627">
            <v>1.81</v>
          </cell>
          <cell r="T627">
            <v>8236.9009999999998</v>
          </cell>
        </row>
        <row r="628">
          <cell r="G628">
            <v>42309</v>
          </cell>
          <cell r="L628" t="str">
            <v>05-31-003-16W2</v>
          </cell>
          <cell r="O628">
            <v>891.3</v>
          </cell>
          <cell r="Q628">
            <v>2.83</v>
          </cell>
          <cell r="T628">
            <v>7320.8950000000004</v>
          </cell>
        </row>
        <row r="629">
          <cell r="G629">
            <v>42309</v>
          </cell>
          <cell r="L629" t="str">
            <v>05-18-004-17W2</v>
          </cell>
          <cell r="O629">
            <v>865</v>
          </cell>
          <cell r="Q629">
            <v>2.09</v>
          </cell>
          <cell r="T629">
            <v>2612.194</v>
          </cell>
        </row>
        <row r="630">
          <cell r="G630">
            <v>42309</v>
          </cell>
          <cell r="L630" t="str">
            <v>12-25-004-19W2</v>
          </cell>
          <cell r="O630">
            <v>872</v>
          </cell>
          <cell r="Q630">
            <v>2.3199999999999998</v>
          </cell>
          <cell r="T630">
            <v>697.03300000000002</v>
          </cell>
        </row>
        <row r="631">
          <cell r="G631">
            <v>42309</v>
          </cell>
          <cell r="L631" t="str">
            <v>15-21-008-03W2</v>
          </cell>
          <cell r="O631">
            <v>854.5</v>
          </cell>
          <cell r="Q631">
            <v>1.47</v>
          </cell>
          <cell r="T631">
            <v>498.36900000000003</v>
          </cell>
        </row>
        <row r="632">
          <cell r="G632">
            <v>42309</v>
          </cell>
          <cell r="L632" t="str">
            <v>08-31-005-03W2</v>
          </cell>
          <cell r="O632">
            <v>844.8</v>
          </cell>
          <cell r="Q632">
            <v>1.07</v>
          </cell>
          <cell r="T632">
            <v>213.43</v>
          </cell>
        </row>
        <row r="633">
          <cell r="G633">
            <v>42309</v>
          </cell>
          <cell r="L633" t="str">
            <v>07-28-002-30W1</v>
          </cell>
          <cell r="O633">
            <v>882.6</v>
          </cell>
          <cell r="Q633">
            <v>2.41</v>
          </cell>
          <cell r="T633">
            <v>2634.3690000000001</v>
          </cell>
        </row>
        <row r="634">
          <cell r="G634">
            <v>42309</v>
          </cell>
          <cell r="L634" t="str">
            <v>12-01-003-30W1</v>
          </cell>
          <cell r="O634">
            <v>866.6</v>
          </cell>
          <cell r="Q634">
            <v>1.62</v>
          </cell>
          <cell r="T634">
            <v>436.94799999999998</v>
          </cell>
        </row>
        <row r="635">
          <cell r="G635">
            <v>42309</v>
          </cell>
          <cell r="L635" t="str">
            <v>11-30-005-03W2</v>
          </cell>
          <cell r="O635">
            <v>855.4</v>
          </cell>
          <cell r="Q635">
            <v>1.36</v>
          </cell>
          <cell r="T635">
            <v>3825.22</v>
          </cell>
        </row>
        <row r="636">
          <cell r="G636">
            <v>42309</v>
          </cell>
          <cell r="L636" t="str">
            <v>14-26-002-30W1</v>
          </cell>
          <cell r="O636">
            <v>871</v>
          </cell>
          <cell r="Q636">
            <v>2.0299999999999998</v>
          </cell>
          <cell r="T636">
            <v>682.91899999999998</v>
          </cell>
        </row>
        <row r="637">
          <cell r="G637">
            <v>42309</v>
          </cell>
          <cell r="L637" t="str">
            <v>04-05-003-30W1</v>
          </cell>
          <cell r="O637">
            <v>879.4</v>
          </cell>
          <cell r="Q637">
            <v>1.82</v>
          </cell>
          <cell r="T637">
            <v>226.84200000000001</v>
          </cell>
        </row>
        <row r="638">
          <cell r="G638">
            <v>42309</v>
          </cell>
          <cell r="L638" t="str">
            <v>11-26-002-19W2</v>
          </cell>
          <cell r="O638">
            <v>865.1</v>
          </cell>
          <cell r="Q638">
            <v>2.0499999999999998</v>
          </cell>
          <cell r="T638">
            <v>994.02300000000002</v>
          </cell>
        </row>
        <row r="639">
          <cell r="G639">
            <v>42309</v>
          </cell>
          <cell r="L639" t="str">
            <v>09-18-007-04W2</v>
          </cell>
          <cell r="O639">
            <v>852.4</v>
          </cell>
          <cell r="Q639">
            <v>1.44</v>
          </cell>
          <cell r="T639">
            <v>309.20999999999998</v>
          </cell>
        </row>
        <row r="640">
          <cell r="G640">
            <v>42309</v>
          </cell>
          <cell r="L640" t="str">
            <v>09-28-006-34W1</v>
          </cell>
          <cell r="O640">
            <v>842</v>
          </cell>
          <cell r="Q640">
            <v>1.22</v>
          </cell>
          <cell r="T640">
            <v>2667.2620000000002</v>
          </cell>
        </row>
        <row r="641">
          <cell r="G641">
            <v>42309</v>
          </cell>
          <cell r="L641" t="str">
            <v>11-28-006-05W2</v>
          </cell>
          <cell r="O641">
            <v>854.7</v>
          </cell>
          <cell r="Q641">
            <v>1.48</v>
          </cell>
          <cell r="T641">
            <v>1164.761</v>
          </cell>
        </row>
        <row r="642">
          <cell r="G642">
            <v>42309</v>
          </cell>
          <cell r="L642" t="str">
            <v>09-33-006-05W2</v>
          </cell>
          <cell r="O642">
            <v>859.2</v>
          </cell>
          <cell r="Q642">
            <v>1.78</v>
          </cell>
          <cell r="T642">
            <v>1162.998</v>
          </cell>
        </row>
        <row r="643">
          <cell r="G643">
            <v>42309</v>
          </cell>
          <cell r="L643" t="str">
            <v>13-34-006-05W2</v>
          </cell>
          <cell r="O643">
            <v>864.3</v>
          </cell>
          <cell r="Q643">
            <v>1.92</v>
          </cell>
          <cell r="T643">
            <v>1073.1790000000001</v>
          </cell>
        </row>
        <row r="644">
          <cell r="G644">
            <v>42309</v>
          </cell>
          <cell r="L644" t="str">
            <v>02-20-006-32W1</v>
          </cell>
          <cell r="O644">
            <v>833.5</v>
          </cell>
          <cell r="Q644">
            <v>0.8</v>
          </cell>
          <cell r="T644">
            <v>886.04200000000003</v>
          </cell>
        </row>
        <row r="645">
          <cell r="G645">
            <v>42309</v>
          </cell>
          <cell r="L645" t="str">
            <v>16-09-004-31W1</v>
          </cell>
          <cell r="O645">
            <v>867.6</v>
          </cell>
          <cell r="Q645">
            <v>1.8</v>
          </cell>
          <cell r="T645">
            <v>544.46400000000006</v>
          </cell>
        </row>
        <row r="646">
          <cell r="G646">
            <v>42309</v>
          </cell>
          <cell r="L646" t="str">
            <v>08-26-006-02W2</v>
          </cell>
          <cell r="O646">
            <v>851.2</v>
          </cell>
          <cell r="Q646">
            <v>1.19</v>
          </cell>
          <cell r="T646">
            <v>452.572</v>
          </cell>
        </row>
        <row r="647">
          <cell r="G647">
            <v>42309</v>
          </cell>
          <cell r="L647" t="str">
            <v>13-13-007-02W2</v>
          </cell>
          <cell r="O647">
            <v>845.1</v>
          </cell>
          <cell r="Q647">
            <v>1.25</v>
          </cell>
          <cell r="T647">
            <v>4917.3580000000002</v>
          </cell>
        </row>
        <row r="648">
          <cell r="G648">
            <v>42309</v>
          </cell>
          <cell r="L648" t="str">
            <v>04-04-007-01W2</v>
          </cell>
          <cell r="O648">
            <v>849.9</v>
          </cell>
          <cell r="Q648">
            <v>1.1399999999999999</v>
          </cell>
          <cell r="T648">
            <v>868.32299999999998</v>
          </cell>
        </row>
        <row r="649">
          <cell r="G649">
            <v>42309</v>
          </cell>
          <cell r="L649" t="str">
            <v>07-02-007-11W2</v>
          </cell>
          <cell r="O649">
            <v>861.8</v>
          </cell>
          <cell r="Q649">
            <v>1.04</v>
          </cell>
          <cell r="T649">
            <v>1415.7950000000001</v>
          </cell>
        </row>
        <row r="650">
          <cell r="G650">
            <v>42309</v>
          </cell>
          <cell r="L650" t="str">
            <v>04-22-009-33W1</v>
          </cell>
          <cell r="O650">
            <v>854.8</v>
          </cell>
          <cell r="Q650">
            <v>1.4</v>
          </cell>
          <cell r="T650">
            <v>3505.0320000000002</v>
          </cell>
        </row>
        <row r="651">
          <cell r="G651">
            <v>42309</v>
          </cell>
          <cell r="L651" t="str">
            <v>14-30-009-33W1</v>
          </cell>
          <cell r="O651">
            <v>862.4</v>
          </cell>
          <cell r="Q651">
            <v>1.72</v>
          </cell>
          <cell r="T651">
            <v>1367.5640000000001</v>
          </cell>
        </row>
        <row r="652">
          <cell r="G652">
            <v>42309</v>
          </cell>
          <cell r="L652" t="str">
            <v>10-26-010-03W2</v>
          </cell>
          <cell r="O652">
            <v>854.3</v>
          </cell>
          <cell r="Q652">
            <v>1.59</v>
          </cell>
          <cell r="T652">
            <v>383.50099999999998</v>
          </cell>
        </row>
        <row r="653">
          <cell r="G653">
            <v>42309</v>
          </cell>
          <cell r="L653" t="str">
            <v>16-10-006-30W1</v>
          </cell>
          <cell r="O653">
            <v>857.3</v>
          </cell>
          <cell r="Q653">
            <v>1.51</v>
          </cell>
          <cell r="T653">
            <v>3262.4160000000002</v>
          </cell>
        </row>
        <row r="654">
          <cell r="G654">
            <v>42309</v>
          </cell>
          <cell r="L654" t="str">
            <v>13-25-001-01W2</v>
          </cell>
          <cell r="O654">
            <v>842.5</v>
          </cell>
          <cell r="Q654">
            <v>1.59</v>
          </cell>
          <cell r="T654">
            <v>227.22900000000001</v>
          </cell>
        </row>
        <row r="655">
          <cell r="G655">
            <v>42309</v>
          </cell>
          <cell r="L655" t="str">
            <v>04-10-004-31W1</v>
          </cell>
          <cell r="O655">
            <v>868</v>
          </cell>
          <cell r="Q655">
            <v>1.91</v>
          </cell>
          <cell r="T655">
            <v>2192.2550000000001</v>
          </cell>
        </row>
        <row r="656">
          <cell r="G656">
            <v>42309</v>
          </cell>
          <cell r="L656" t="str">
            <v>14-09-002-29W1</v>
          </cell>
          <cell r="O656">
            <v>838.6</v>
          </cell>
          <cell r="Q656">
            <v>0.79</v>
          </cell>
          <cell r="T656">
            <v>7579.7380000000003</v>
          </cell>
        </row>
        <row r="657">
          <cell r="G657">
            <v>42309</v>
          </cell>
          <cell r="L657" t="str">
            <v>05-07-005-03W2</v>
          </cell>
          <cell r="O657">
            <v>845.8</v>
          </cell>
          <cell r="Q657">
            <v>1.32</v>
          </cell>
          <cell r="T657">
            <v>2849.54</v>
          </cell>
        </row>
        <row r="658">
          <cell r="G658">
            <v>42309</v>
          </cell>
          <cell r="L658" t="str">
            <v>02-16-010-02W2</v>
          </cell>
          <cell r="O658">
            <v>862</v>
          </cell>
          <cell r="Q658">
            <v>1.21</v>
          </cell>
          <cell r="T658">
            <v>485.94499999999999</v>
          </cell>
        </row>
        <row r="659">
          <cell r="G659">
            <v>42309</v>
          </cell>
          <cell r="L659" t="str">
            <v>02-12-010-02W2</v>
          </cell>
          <cell r="O659">
            <v>856.6</v>
          </cell>
          <cell r="Q659">
            <v>1.63</v>
          </cell>
          <cell r="T659">
            <v>482.411</v>
          </cell>
        </row>
        <row r="660">
          <cell r="G660">
            <v>42309</v>
          </cell>
          <cell r="L660" t="str">
            <v>08-31-009-01W2</v>
          </cell>
          <cell r="O660">
            <v>863.4</v>
          </cell>
          <cell r="Q660">
            <v>1.78</v>
          </cell>
          <cell r="T660">
            <v>288.07299999999998</v>
          </cell>
        </row>
        <row r="661">
          <cell r="G661">
            <v>42309</v>
          </cell>
          <cell r="L661" t="str">
            <v>04-05-007-33W1</v>
          </cell>
          <cell r="O661">
            <v>841.1</v>
          </cell>
          <cell r="Q661">
            <v>1.2</v>
          </cell>
          <cell r="T661">
            <v>1789.076</v>
          </cell>
        </row>
        <row r="662">
          <cell r="G662">
            <v>42309</v>
          </cell>
          <cell r="L662" t="str">
            <v>01-28-002-14W2</v>
          </cell>
          <cell r="O662">
            <v>837.7</v>
          </cell>
          <cell r="Q662">
            <v>1.28</v>
          </cell>
          <cell r="T662">
            <v>6226.3019999999997</v>
          </cell>
        </row>
        <row r="663">
          <cell r="G663">
            <v>42309</v>
          </cell>
          <cell r="L663" t="str">
            <v>16-23-006-11W2</v>
          </cell>
          <cell r="O663">
            <v>880.2</v>
          </cell>
          <cell r="Q663">
            <v>2.2999999999999998</v>
          </cell>
          <cell r="T663">
            <v>971.77300000000002</v>
          </cell>
        </row>
        <row r="664">
          <cell r="G664">
            <v>42309</v>
          </cell>
          <cell r="L664" t="str">
            <v>02-14-005-32W1</v>
          </cell>
          <cell r="O664">
            <v>833.7</v>
          </cell>
          <cell r="Q664">
            <v>0.97</v>
          </cell>
          <cell r="T664">
            <v>2052.6190000000001</v>
          </cell>
        </row>
        <row r="665">
          <cell r="G665">
            <v>42309</v>
          </cell>
          <cell r="L665" t="str">
            <v>12-23-005-31W1</v>
          </cell>
          <cell r="O665">
            <v>844.6</v>
          </cell>
          <cell r="Q665">
            <v>1.03</v>
          </cell>
          <cell r="T665">
            <v>1495.549</v>
          </cell>
        </row>
        <row r="666">
          <cell r="G666">
            <v>42309</v>
          </cell>
          <cell r="L666" t="str">
            <v>02-17-005-31W1</v>
          </cell>
          <cell r="O666">
            <v>848.3</v>
          </cell>
          <cell r="Q666">
            <v>1.41</v>
          </cell>
          <cell r="T666">
            <v>247.845</v>
          </cell>
        </row>
        <row r="667">
          <cell r="G667">
            <v>42309</v>
          </cell>
          <cell r="L667" t="str">
            <v>03-03-002-32W1</v>
          </cell>
          <cell r="O667">
            <v>823.1</v>
          </cell>
          <cell r="Q667">
            <v>1.1200000000000001</v>
          </cell>
          <cell r="T667">
            <v>4727.3119999999999</v>
          </cell>
        </row>
        <row r="668">
          <cell r="G668">
            <v>42309</v>
          </cell>
          <cell r="L668" t="str">
            <v>16-24-001-34W1</v>
          </cell>
          <cell r="O668">
            <v>870.4</v>
          </cell>
          <cell r="Q668">
            <v>1.62</v>
          </cell>
          <cell r="T668">
            <v>1829.606</v>
          </cell>
        </row>
        <row r="669">
          <cell r="G669">
            <v>42309</v>
          </cell>
          <cell r="L669" t="str">
            <v>14-28-002-34W1</v>
          </cell>
          <cell r="O669">
            <v>830.6</v>
          </cell>
          <cell r="Q669">
            <v>0.71</v>
          </cell>
          <cell r="T669">
            <v>1533.701</v>
          </cell>
        </row>
        <row r="670">
          <cell r="G670">
            <v>42309</v>
          </cell>
          <cell r="L670" t="str">
            <v>04-14-005-33W1</v>
          </cell>
          <cell r="O670">
            <v>835.5</v>
          </cell>
          <cell r="Q670">
            <v>0.8</v>
          </cell>
          <cell r="T670">
            <v>1490.136</v>
          </cell>
        </row>
        <row r="671">
          <cell r="G671">
            <v>42309</v>
          </cell>
          <cell r="L671" t="str">
            <v>11-25-001-32W1</v>
          </cell>
          <cell r="O671">
            <v>858.4</v>
          </cell>
          <cell r="Q671">
            <v>1.62</v>
          </cell>
          <cell r="T671">
            <v>1326.66</v>
          </cell>
        </row>
        <row r="672">
          <cell r="G672">
            <v>42309</v>
          </cell>
          <cell r="L672" t="str">
            <v>09-08-004-33W1</v>
          </cell>
          <cell r="O672">
            <v>861.6</v>
          </cell>
          <cell r="Q672">
            <v>1.55</v>
          </cell>
          <cell r="T672">
            <v>1241.886</v>
          </cell>
        </row>
        <row r="673">
          <cell r="G673">
            <v>42309</v>
          </cell>
          <cell r="L673" t="str">
            <v>14-33-003-01W2</v>
          </cell>
          <cell r="O673">
            <v>831.6</v>
          </cell>
          <cell r="Q673">
            <v>0.84</v>
          </cell>
          <cell r="T673">
            <v>1189.268</v>
          </cell>
        </row>
        <row r="674">
          <cell r="G674">
            <v>42309</v>
          </cell>
          <cell r="L674" t="str">
            <v>06-24-001-34W1</v>
          </cell>
          <cell r="O674">
            <v>854.4</v>
          </cell>
          <cell r="Q674">
            <v>1.63</v>
          </cell>
          <cell r="T674">
            <v>1111.1410000000001</v>
          </cell>
        </row>
        <row r="675">
          <cell r="G675">
            <v>42309</v>
          </cell>
          <cell r="L675" t="str">
            <v>07-31-001-31W1</v>
          </cell>
          <cell r="O675">
            <v>862.4</v>
          </cell>
          <cell r="Q675">
            <v>1.63</v>
          </cell>
          <cell r="T675">
            <v>1051.229</v>
          </cell>
        </row>
        <row r="676">
          <cell r="G676">
            <v>42309</v>
          </cell>
          <cell r="L676" t="str">
            <v>03-19-001-31W1</v>
          </cell>
          <cell r="O676">
            <v>870.4</v>
          </cell>
          <cell r="Q676">
            <v>1.61</v>
          </cell>
          <cell r="T676">
            <v>456.16500000000002</v>
          </cell>
        </row>
        <row r="677">
          <cell r="G677">
            <v>42309</v>
          </cell>
          <cell r="L677" t="str">
            <v>07-12-005-34W1</v>
          </cell>
          <cell r="O677">
            <v>825.8</v>
          </cell>
          <cell r="Q677">
            <v>0.61</v>
          </cell>
          <cell r="T677">
            <v>395.53300000000002</v>
          </cell>
        </row>
        <row r="678">
          <cell r="G678">
            <v>42309</v>
          </cell>
          <cell r="L678" t="str">
            <v>05-01-001-32W1</v>
          </cell>
          <cell r="O678">
            <v>871.9</v>
          </cell>
          <cell r="Q678">
            <v>1.62</v>
          </cell>
          <cell r="T678">
            <v>363.38299999999998</v>
          </cell>
        </row>
        <row r="679">
          <cell r="G679">
            <v>42309</v>
          </cell>
          <cell r="L679" t="str">
            <v>02-30-001-31W1</v>
          </cell>
          <cell r="O679">
            <v>865.5</v>
          </cell>
          <cell r="Q679">
            <v>1.64</v>
          </cell>
          <cell r="T679">
            <v>243.786</v>
          </cell>
        </row>
        <row r="680">
          <cell r="G680">
            <v>42309</v>
          </cell>
          <cell r="L680" t="str">
            <v>16-18-011-04W2</v>
          </cell>
          <cell r="O680">
            <v>815.1</v>
          </cell>
          <cell r="Q680">
            <v>1.37</v>
          </cell>
          <cell r="T680">
            <v>5890.66</v>
          </cell>
        </row>
        <row r="681">
          <cell r="G681">
            <v>42309</v>
          </cell>
          <cell r="L681" t="str">
            <v>10-13-006-03W2</v>
          </cell>
          <cell r="O681">
            <v>856.2</v>
          </cell>
          <cell r="Q681">
            <v>1.79</v>
          </cell>
          <cell r="T681">
            <v>1702.7719999999999</v>
          </cell>
        </row>
        <row r="682">
          <cell r="G682">
            <v>42309</v>
          </cell>
          <cell r="L682" t="str">
            <v>07-12-008-04W2</v>
          </cell>
          <cell r="O682">
            <v>858.2</v>
          </cell>
          <cell r="Q682">
            <v>1.41</v>
          </cell>
          <cell r="T682">
            <v>789.10299999999995</v>
          </cell>
        </row>
        <row r="683">
          <cell r="G683">
            <v>42309</v>
          </cell>
          <cell r="L683" t="str">
            <v>08-36-003-34W1</v>
          </cell>
          <cell r="O683">
            <v>839.9</v>
          </cell>
          <cell r="Q683">
            <v>1.1599999999999999</v>
          </cell>
          <cell r="T683">
            <v>4975.6589999999997</v>
          </cell>
        </row>
        <row r="684">
          <cell r="G684">
            <v>42309</v>
          </cell>
          <cell r="L684" t="str">
            <v>05-14-003-01W2</v>
          </cell>
          <cell r="O684">
            <v>820.9</v>
          </cell>
          <cell r="Q684">
            <v>0.71</v>
          </cell>
          <cell r="T684">
            <v>3245.8960000000002</v>
          </cell>
        </row>
        <row r="685">
          <cell r="G685">
            <v>42309</v>
          </cell>
          <cell r="L685" t="str">
            <v>01-09-001-31W1</v>
          </cell>
          <cell r="O685">
            <v>871.9</v>
          </cell>
          <cell r="Q685">
            <v>1.63</v>
          </cell>
          <cell r="T685">
            <v>2051.721</v>
          </cell>
        </row>
        <row r="686">
          <cell r="G686">
            <v>42309</v>
          </cell>
          <cell r="L686" t="str">
            <v>05-13-003-02W2</v>
          </cell>
          <cell r="O686">
            <v>828.2</v>
          </cell>
          <cell r="Q686">
            <v>0.53</v>
          </cell>
          <cell r="T686">
            <v>910.03899999999999</v>
          </cell>
        </row>
        <row r="687">
          <cell r="G687">
            <v>42309</v>
          </cell>
          <cell r="L687" t="str">
            <v>10-11-004-34W1</v>
          </cell>
          <cell r="O687">
            <v>838.7</v>
          </cell>
          <cell r="Q687">
            <v>0.82</v>
          </cell>
          <cell r="T687">
            <v>896.62699999999995</v>
          </cell>
        </row>
        <row r="688">
          <cell r="G688">
            <v>42309</v>
          </cell>
          <cell r="L688" t="str">
            <v>13-11-004-02W2</v>
          </cell>
          <cell r="O688">
            <v>839.7</v>
          </cell>
          <cell r="Q688">
            <v>1.05</v>
          </cell>
          <cell r="T688">
            <v>873.029</v>
          </cell>
        </row>
        <row r="689">
          <cell r="G689">
            <v>42309</v>
          </cell>
          <cell r="L689" t="str">
            <v>14-20-005-33W1</v>
          </cell>
          <cell r="O689">
            <v>831.2</v>
          </cell>
          <cell r="Q689">
            <v>0.72</v>
          </cell>
          <cell r="T689">
            <v>706.87699999999995</v>
          </cell>
        </row>
        <row r="690">
          <cell r="G690">
            <v>42309</v>
          </cell>
          <cell r="L690" t="str">
            <v>14-33-003-01W2</v>
          </cell>
          <cell r="O690">
            <v>837</v>
          </cell>
          <cell r="Q690">
            <v>0.67</v>
          </cell>
          <cell r="T690">
            <v>539.928</v>
          </cell>
        </row>
        <row r="691">
          <cell r="G691">
            <v>42309</v>
          </cell>
          <cell r="L691" t="str">
            <v>02-10-003-01W2</v>
          </cell>
          <cell r="O691">
            <v>831.3</v>
          </cell>
          <cell r="Q691">
            <v>0.51</v>
          </cell>
          <cell r="T691">
            <v>457.60700000000003</v>
          </cell>
        </row>
        <row r="692">
          <cell r="G692">
            <v>42309</v>
          </cell>
          <cell r="L692" t="str">
            <v>01-31-003-01W2</v>
          </cell>
          <cell r="O692">
            <v>828.4</v>
          </cell>
          <cell r="Q692">
            <v>0.64</v>
          </cell>
          <cell r="T692">
            <v>292.596</v>
          </cell>
        </row>
        <row r="693">
          <cell r="G693">
            <v>42309</v>
          </cell>
          <cell r="L693" t="str">
            <v>08-33-005-03W2</v>
          </cell>
          <cell r="O693">
            <v>845.3</v>
          </cell>
          <cell r="Q693">
            <v>1.1200000000000001</v>
          </cell>
          <cell r="T693">
            <v>1188.3219999999999</v>
          </cell>
        </row>
        <row r="694">
          <cell r="G694">
            <v>42309</v>
          </cell>
          <cell r="L694" t="str">
            <v>02-02-006-03W2</v>
          </cell>
          <cell r="O694">
            <v>846.7</v>
          </cell>
          <cell r="Q694">
            <v>1.2</v>
          </cell>
          <cell r="T694">
            <v>1101.066</v>
          </cell>
        </row>
        <row r="695">
          <cell r="G695">
            <v>42309</v>
          </cell>
          <cell r="L695" t="str">
            <v>05-29-005-32W1</v>
          </cell>
          <cell r="O695">
            <v>835</v>
          </cell>
          <cell r="Q695">
            <v>0.94</v>
          </cell>
          <cell r="T695">
            <v>3020.6790000000001</v>
          </cell>
        </row>
        <row r="696">
          <cell r="G696">
            <v>42309</v>
          </cell>
          <cell r="L696" t="str">
            <v>15-26-007-04W2</v>
          </cell>
          <cell r="O696">
            <v>852.9</v>
          </cell>
          <cell r="Q696">
            <v>1.4</v>
          </cell>
          <cell r="T696">
            <v>325.80200000000002</v>
          </cell>
        </row>
        <row r="697">
          <cell r="G697">
            <v>42309</v>
          </cell>
          <cell r="L697" t="str">
            <v>07-23-006-02W2</v>
          </cell>
          <cell r="O697">
            <v>852.2</v>
          </cell>
          <cell r="Q697">
            <v>1.1299999999999999</v>
          </cell>
          <cell r="T697">
            <v>244.952</v>
          </cell>
        </row>
        <row r="698">
          <cell r="G698">
            <v>42309</v>
          </cell>
          <cell r="L698" t="str">
            <v>07-25-003-13W2</v>
          </cell>
          <cell r="O698">
            <v>888.7</v>
          </cell>
          <cell r="Q698">
            <v>2.4</v>
          </cell>
          <cell r="T698">
            <v>310.33999999999997</v>
          </cell>
        </row>
        <row r="699">
          <cell r="G699">
            <v>42309</v>
          </cell>
          <cell r="L699" t="str">
            <v>13-30-005-05W2</v>
          </cell>
          <cell r="O699">
            <v>848.3</v>
          </cell>
          <cell r="Q699">
            <v>1.1200000000000001</v>
          </cell>
          <cell r="T699">
            <v>813.38699999999994</v>
          </cell>
        </row>
        <row r="700">
          <cell r="G700">
            <v>42309</v>
          </cell>
          <cell r="L700" t="str">
            <v>09-13-007-11W2</v>
          </cell>
          <cell r="O700">
            <v>811.5</v>
          </cell>
          <cell r="Q700">
            <v>0.37</v>
          </cell>
          <cell r="T700">
            <v>23093.663</v>
          </cell>
        </row>
        <row r="701">
          <cell r="G701">
            <v>42309</v>
          </cell>
          <cell r="L701" t="str">
            <v>04-27-003-33W1</v>
          </cell>
          <cell r="O701">
            <v>841.6</v>
          </cell>
          <cell r="Q701">
            <v>1.1299999999999999</v>
          </cell>
          <cell r="T701">
            <v>2476.8919999999998</v>
          </cell>
        </row>
        <row r="702">
          <cell r="G702">
            <v>42309</v>
          </cell>
          <cell r="L702" t="str">
            <v>03-06-005-12W2</v>
          </cell>
          <cell r="O702">
            <v>887.4</v>
          </cell>
          <cell r="Q702">
            <v>2.25</v>
          </cell>
          <cell r="T702">
            <v>547.73099999999999</v>
          </cell>
        </row>
        <row r="703">
          <cell r="G703">
            <v>42309</v>
          </cell>
          <cell r="L703" t="str">
            <v>15-25-007-11W2</v>
          </cell>
          <cell r="O703">
            <v>866.5</v>
          </cell>
          <cell r="Q703">
            <v>1.94</v>
          </cell>
          <cell r="T703">
            <v>1249.895</v>
          </cell>
        </row>
        <row r="704">
          <cell r="G704">
            <v>42309</v>
          </cell>
          <cell r="L704" t="str">
            <v>07-27-007-06W2</v>
          </cell>
          <cell r="O704">
            <v>805.6</v>
          </cell>
          <cell r="Q704">
            <v>0.24</v>
          </cell>
          <cell r="T704">
            <v>873.31700000000001</v>
          </cell>
        </row>
        <row r="705">
          <cell r="G705">
            <v>42309</v>
          </cell>
          <cell r="L705" t="str">
            <v>05-20-004-04W2</v>
          </cell>
          <cell r="O705">
            <v>823</v>
          </cell>
          <cell r="Q705">
            <v>1.9</v>
          </cell>
          <cell r="T705">
            <v>4689.1949999999997</v>
          </cell>
        </row>
        <row r="706">
          <cell r="G706">
            <v>42309</v>
          </cell>
          <cell r="L706" t="str">
            <v>11-16-005-04W2</v>
          </cell>
          <cell r="O706">
            <v>848.9</v>
          </cell>
          <cell r="Q706">
            <v>1.35</v>
          </cell>
          <cell r="T706">
            <v>2002.692</v>
          </cell>
        </row>
        <row r="707">
          <cell r="G707">
            <v>42309</v>
          </cell>
          <cell r="L707" t="str">
            <v>07-12-006-11W2</v>
          </cell>
          <cell r="O707">
            <v>875.2</v>
          </cell>
          <cell r="Q707">
            <v>2.08</v>
          </cell>
          <cell r="T707">
            <v>23255.667000000001</v>
          </cell>
        </row>
        <row r="708">
          <cell r="G708">
            <v>42309</v>
          </cell>
          <cell r="L708" t="str">
            <v>11-04-005-12W2</v>
          </cell>
          <cell r="O708">
            <v>877.6</v>
          </cell>
          <cell r="Q708">
            <v>2</v>
          </cell>
          <cell r="T708">
            <v>1727.117</v>
          </cell>
        </row>
        <row r="709">
          <cell r="G709">
            <v>42309</v>
          </cell>
          <cell r="L709" t="str">
            <v>15-32-004-12W2</v>
          </cell>
          <cell r="O709">
            <v>882.2</v>
          </cell>
          <cell r="Q709">
            <v>2.12</v>
          </cell>
          <cell r="T709">
            <v>1518.7750000000001</v>
          </cell>
        </row>
        <row r="710">
          <cell r="G710">
            <v>42309</v>
          </cell>
          <cell r="L710" t="str">
            <v>02-13-006-06W2</v>
          </cell>
          <cell r="O710">
            <v>848.5</v>
          </cell>
          <cell r="Q710">
            <v>1.53</v>
          </cell>
          <cell r="T710">
            <v>2083.98</v>
          </cell>
        </row>
        <row r="711">
          <cell r="G711">
            <v>42309</v>
          </cell>
          <cell r="L711" t="str">
            <v>14-13-001-05W2</v>
          </cell>
          <cell r="O711">
            <v>820.2</v>
          </cell>
          <cell r="Q711">
            <v>0.48</v>
          </cell>
          <cell r="T711">
            <v>17740.116999999998</v>
          </cell>
        </row>
        <row r="712">
          <cell r="G712">
            <v>42309</v>
          </cell>
          <cell r="L712" t="str">
            <v>01-07-006-10W2</v>
          </cell>
          <cell r="O712">
            <v>839.2</v>
          </cell>
          <cell r="Q712">
            <v>1.73</v>
          </cell>
          <cell r="T712">
            <v>60869.552000000003</v>
          </cell>
        </row>
        <row r="713">
          <cell r="G713">
            <v>42309</v>
          </cell>
          <cell r="L713" t="str">
            <v>13-30-007-10W2</v>
          </cell>
          <cell r="O713">
            <v>816.5</v>
          </cell>
          <cell r="Q713">
            <v>0.56000000000000005</v>
          </cell>
          <cell r="T713">
            <v>11546.903</v>
          </cell>
        </row>
        <row r="714">
          <cell r="G714">
            <v>42309</v>
          </cell>
          <cell r="L714" t="str">
            <v>04-17-004-31W1</v>
          </cell>
          <cell r="O714">
            <v>862.8</v>
          </cell>
          <cell r="Q714">
            <v>1.73</v>
          </cell>
          <cell r="T714">
            <v>1476.569</v>
          </cell>
        </row>
        <row r="715">
          <cell r="G715">
            <v>42309</v>
          </cell>
          <cell r="L715" t="str">
            <v>10-33-003-31W1</v>
          </cell>
          <cell r="O715">
            <v>880.5</v>
          </cell>
          <cell r="Q715">
            <v>0.88</v>
          </cell>
          <cell r="T715">
            <v>335.08600000000001</v>
          </cell>
        </row>
        <row r="716">
          <cell r="G716">
            <v>42309</v>
          </cell>
          <cell r="L716" t="str">
            <v>11-02-005-12W2</v>
          </cell>
          <cell r="O716">
            <v>846.5</v>
          </cell>
          <cell r="Q716">
            <v>1.44</v>
          </cell>
          <cell r="T716">
            <v>3565.95</v>
          </cell>
        </row>
        <row r="717">
          <cell r="G717">
            <v>42309</v>
          </cell>
          <cell r="L717" t="str">
            <v>16-13-004-32W1</v>
          </cell>
          <cell r="O717">
            <v>860</v>
          </cell>
          <cell r="Q717">
            <v>1.45</v>
          </cell>
          <cell r="T717">
            <v>2548.7049999999999</v>
          </cell>
        </row>
        <row r="718">
          <cell r="G718">
            <v>42309</v>
          </cell>
          <cell r="L718" t="str">
            <v>06-03-004-31W1</v>
          </cell>
          <cell r="O718">
            <v>864.2</v>
          </cell>
          <cell r="Q718">
            <v>1.88</v>
          </cell>
          <cell r="T718">
            <v>355.89400000000001</v>
          </cell>
        </row>
        <row r="719">
          <cell r="G719">
            <v>42309</v>
          </cell>
          <cell r="L719" t="str">
            <v>14-30-001-04W2</v>
          </cell>
          <cell r="O719">
            <v>831.8</v>
          </cell>
          <cell r="Q719">
            <v>0.52</v>
          </cell>
          <cell r="T719">
            <v>3104.422</v>
          </cell>
        </row>
        <row r="720">
          <cell r="G720">
            <v>42309</v>
          </cell>
          <cell r="L720" t="str">
            <v>14-18-001-04W2</v>
          </cell>
          <cell r="O720">
            <v>819.3</v>
          </cell>
          <cell r="Q720">
            <v>0.5</v>
          </cell>
          <cell r="T720">
            <v>574.83399999999995</v>
          </cell>
        </row>
        <row r="721">
          <cell r="G721">
            <v>42309</v>
          </cell>
          <cell r="L721" t="str">
            <v>05-31-002-01W2</v>
          </cell>
          <cell r="O721">
            <v>822.8</v>
          </cell>
          <cell r="Q721">
            <v>0.47</v>
          </cell>
          <cell r="T721">
            <v>5904.951</v>
          </cell>
        </row>
        <row r="722">
          <cell r="G722">
            <v>42309</v>
          </cell>
          <cell r="L722" t="str">
            <v>13-03-006-34W1</v>
          </cell>
          <cell r="O722">
            <v>843.8</v>
          </cell>
          <cell r="Q722">
            <v>1.1599999999999999</v>
          </cell>
          <cell r="T722">
            <v>7172.4589999999998</v>
          </cell>
        </row>
        <row r="723">
          <cell r="G723">
            <v>42309</v>
          </cell>
          <cell r="L723" t="str">
            <v>06-27-006-01W2</v>
          </cell>
          <cell r="O723">
            <v>849.5</v>
          </cell>
          <cell r="Q723">
            <v>1.54</v>
          </cell>
          <cell r="T723">
            <v>1787.0419999999999</v>
          </cell>
        </row>
        <row r="724">
          <cell r="G724">
            <v>42309</v>
          </cell>
          <cell r="L724" t="str">
            <v>10-11-006-34W1</v>
          </cell>
          <cell r="O724">
            <v>849.5</v>
          </cell>
          <cell r="Q724">
            <v>1.48</v>
          </cell>
          <cell r="T724">
            <v>1031.8140000000001</v>
          </cell>
        </row>
        <row r="725">
          <cell r="G725">
            <v>42309</v>
          </cell>
          <cell r="L725" t="str">
            <v>08-32-006-01W2</v>
          </cell>
          <cell r="O725">
            <v>854.4</v>
          </cell>
          <cell r="Q725">
            <v>1.21</v>
          </cell>
          <cell r="T725">
            <v>592.78399999999999</v>
          </cell>
        </row>
        <row r="726">
          <cell r="G726">
            <v>42309</v>
          </cell>
          <cell r="L726" t="str">
            <v>03-29-003-04W2</v>
          </cell>
          <cell r="O726">
            <v>838.9</v>
          </cell>
          <cell r="Q726">
            <v>0.81</v>
          </cell>
          <cell r="T726">
            <v>1502.0229999999999</v>
          </cell>
        </row>
        <row r="727">
          <cell r="G727">
            <v>42309</v>
          </cell>
          <cell r="L727" t="str">
            <v>11-27-005-33W1</v>
          </cell>
          <cell r="O727">
            <v>823.3</v>
          </cell>
          <cell r="Q727">
            <v>0.72</v>
          </cell>
          <cell r="T727">
            <v>4629.4650000000001</v>
          </cell>
        </row>
        <row r="728">
          <cell r="G728">
            <v>42309</v>
          </cell>
          <cell r="L728" t="str">
            <v>02-15-006-01W2</v>
          </cell>
          <cell r="O728">
            <v>851.5</v>
          </cell>
          <cell r="Q728">
            <v>1.1200000000000001</v>
          </cell>
          <cell r="T728">
            <v>1561.6220000000001</v>
          </cell>
        </row>
        <row r="729">
          <cell r="G729">
            <v>42309</v>
          </cell>
          <cell r="L729" t="str">
            <v>10-33-004-32W1</v>
          </cell>
          <cell r="O729">
            <v>837</v>
          </cell>
          <cell r="Q729">
            <v>2.2999999999999998</v>
          </cell>
          <cell r="T729">
            <v>717.39200000000005</v>
          </cell>
        </row>
        <row r="730">
          <cell r="G730">
            <v>42309</v>
          </cell>
          <cell r="L730" t="str">
            <v>08-12-006-01W2</v>
          </cell>
          <cell r="O730">
            <v>844.9</v>
          </cell>
          <cell r="Q730">
            <v>1.29</v>
          </cell>
          <cell r="T730">
            <v>372.19900000000001</v>
          </cell>
        </row>
        <row r="731">
          <cell r="G731">
            <v>42309</v>
          </cell>
          <cell r="L731" t="str">
            <v>07-08-004-05W2</v>
          </cell>
          <cell r="O731">
            <v>843.9</v>
          </cell>
          <cell r="Q731">
            <v>1.07</v>
          </cell>
          <cell r="T731">
            <v>371.108</v>
          </cell>
        </row>
        <row r="732">
          <cell r="G732">
            <v>42309</v>
          </cell>
          <cell r="L732" t="str">
            <v>09-33-005-05W2</v>
          </cell>
          <cell r="O732">
            <v>853</v>
          </cell>
          <cell r="Q732">
            <v>0.69</v>
          </cell>
          <cell r="T732">
            <v>2110.741</v>
          </cell>
        </row>
        <row r="733">
          <cell r="G733">
            <v>42309</v>
          </cell>
          <cell r="L733" t="str">
            <v>08-05-006-33W1</v>
          </cell>
          <cell r="O733">
            <v>832.3</v>
          </cell>
          <cell r="Q733">
            <v>0.84</v>
          </cell>
          <cell r="T733">
            <v>1286.6020000000001</v>
          </cell>
        </row>
        <row r="734">
          <cell r="G734">
            <v>42309</v>
          </cell>
          <cell r="L734" t="str">
            <v>06-04-006-33W1</v>
          </cell>
          <cell r="O734">
            <v>835.2</v>
          </cell>
          <cell r="Q734">
            <v>0.83</v>
          </cell>
          <cell r="T734">
            <v>514.9</v>
          </cell>
        </row>
        <row r="735">
          <cell r="G735">
            <v>42309</v>
          </cell>
          <cell r="L735" t="str">
            <v>01-35-005-06W2</v>
          </cell>
          <cell r="O735">
            <v>851</v>
          </cell>
          <cell r="Q735">
            <v>1.1499999999999999</v>
          </cell>
          <cell r="T735">
            <v>354.10199999999998</v>
          </cell>
        </row>
        <row r="736">
          <cell r="G736">
            <v>42309</v>
          </cell>
          <cell r="L736" t="str">
            <v>01-01-006-06W2</v>
          </cell>
          <cell r="O736">
            <v>849.2</v>
          </cell>
          <cell r="Q736">
            <v>1.17</v>
          </cell>
          <cell r="T736">
            <v>474.49599999999998</v>
          </cell>
        </row>
        <row r="737">
          <cell r="G737">
            <v>42309</v>
          </cell>
          <cell r="L737" t="str">
            <v>03-05-006-05W2</v>
          </cell>
          <cell r="O737">
            <v>870.4</v>
          </cell>
          <cell r="Q737">
            <v>1.01</v>
          </cell>
          <cell r="T737">
            <v>389.37</v>
          </cell>
        </row>
        <row r="738">
          <cell r="G738">
            <v>42309</v>
          </cell>
          <cell r="L738" t="str">
            <v>09-08-004-03W2</v>
          </cell>
          <cell r="O738">
            <v>834.3</v>
          </cell>
          <cell r="Q738">
            <v>1.08</v>
          </cell>
          <cell r="T738">
            <v>5174.5829999999996</v>
          </cell>
        </row>
        <row r="739">
          <cell r="G739">
            <v>42309</v>
          </cell>
          <cell r="L739" t="str">
            <v>05-10-006-05W2</v>
          </cell>
          <cell r="O739">
            <v>851.3</v>
          </cell>
          <cell r="Q739">
            <v>1.47</v>
          </cell>
          <cell r="T739">
            <v>2909.9549999999999</v>
          </cell>
        </row>
        <row r="740">
          <cell r="G740">
            <v>42309</v>
          </cell>
          <cell r="L740" t="str">
            <v>05-24-005-04W2</v>
          </cell>
          <cell r="O740">
            <v>854.7</v>
          </cell>
          <cell r="Q740">
            <v>1.5</v>
          </cell>
          <cell r="T740">
            <v>1948.8869999999999</v>
          </cell>
        </row>
        <row r="741">
          <cell r="G741">
            <v>42309</v>
          </cell>
          <cell r="L741" t="str">
            <v>07-18-005-04W2</v>
          </cell>
          <cell r="O741">
            <v>853.9</v>
          </cell>
          <cell r="Q741">
            <v>1.64</v>
          </cell>
          <cell r="T741">
            <v>419.33600000000001</v>
          </cell>
        </row>
        <row r="742">
          <cell r="G742">
            <v>42309</v>
          </cell>
          <cell r="L742" t="str">
            <v>09-15-004-05W2</v>
          </cell>
          <cell r="O742">
            <v>825.2</v>
          </cell>
          <cell r="Q742">
            <v>0.53</v>
          </cell>
          <cell r="T742">
            <v>411.24599999999998</v>
          </cell>
        </row>
        <row r="743">
          <cell r="G743">
            <v>42309</v>
          </cell>
          <cell r="L743" t="str">
            <v>STEELMAN MIDALE</v>
          </cell>
          <cell r="O743">
            <v>880.8</v>
          </cell>
          <cell r="Q743">
            <v>1.86</v>
          </cell>
          <cell r="T743">
            <v>9355.2430000000004</v>
          </cell>
        </row>
        <row r="744">
          <cell r="G744">
            <v>42309</v>
          </cell>
          <cell r="L744" t="str">
            <v>03-15-004-06W2</v>
          </cell>
          <cell r="O744">
            <v>853.1</v>
          </cell>
          <cell r="Q744">
            <v>1.22</v>
          </cell>
          <cell r="T744">
            <v>4926.366</v>
          </cell>
        </row>
        <row r="745">
          <cell r="G745">
            <v>42309</v>
          </cell>
          <cell r="L745" t="str">
            <v>07-35-004-04W2</v>
          </cell>
          <cell r="O745">
            <v>855.9</v>
          </cell>
          <cell r="Q745">
            <v>1.57</v>
          </cell>
          <cell r="T745">
            <v>2575.1379999999999</v>
          </cell>
        </row>
        <row r="746">
          <cell r="G746">
            <v>42309</v>
          </cell>
          <cell r="L746" t="str">
            <v>11-02-005-04W2</v>
          </cell>
          <cell r="O746">
            <v>851</v>
          </cell>
          <cell r="Q746">
            <v>1.4</v>
          </cell>
          <cell r="T746">
            <v>1677.0709999999999</v>
          </cell>
        </row>
        <row r="747">
          <cell r="G747">
            <v>42309</v>
          </cell>
          <cell r="L747" t="str">
            <v>06-27-004-06W2</v>
          </cell>
          <cell r="O747">
            <v>832.9</v>
          </cell>
          <cell r="Q747">
            <v>0.7</v>
          </cell>
          <cell r="T747">
            <v>1491.665</v>
          </cell>
        </row>
        <row r="748">
          <cell r="G748">
            <v>42309</v>
          </cell>
          <cell r="L748" t="str">
            <v>01-11-005-04W2</v>
          </cell>
          <cell r="O748">
            <v>853.6</v>
          </cell>
          <cell r="Q748">
            <v>1.75</v>
          </cell>
          <cell r="T748">
            <v>455.40699999999998</v>
          </cell>
        </row>
        <row r="749">
          <cell r="G749">
            <v>42309</v>
          </cell>
          <cell r="L749" t="str">
            <v>09-27-004-05W2</v>
          </cell>
          <cell r="O749">
            <v>844.5</v>
          </cell>
          <cell r="Q749">
            <v>1.19</v>
          </cell>
          <cell r="T749">
            <v>1153.1880000000001</v>
          </cell>
        </row>
        <row r="750">
          <cell r="G750">
            <v>42309</v>
          </cell>
          <cell r="L750" t="str">
            <v>09-10-005-04W2</v>
          </cell>
          <cell r="O750">
            <v>852.2</v>
          </cell>
          <cell r="Q750">
            <v>1.2</v>
          </cell>
          <cell r="T750">
            <v>1036.2929999999999</v>
          </cell>
        </row>
        <row r="751">
          <cell r="G751">
            <v>42309</v>
          </cell>
          <cell r="L751" t="str">
            <v>09-13-004-06W2</v>
          </cell>
          <cell r="O751">
            <v>833.3</v>
          </cell>
          <cell r="Q751">
            <v>1</v>
          </cell>
          <cell r="T751">
            <v>627.44500000000005</v>
          </cell>
        </row>
        <row r="752">
          <cell r="G752">
            <v>42309</v>
          </cell>
          <cell r="L752" t="str">
            <v>11-31-005-11W2</v>
          </cell>
          <cell r="O752">
            <v>884.2</v>
          </cell>
          <cell r="Q752">
            <v>1.92</v>
          </cell>
          <cell r="T752">
            <v>2080.8510000000001</v>
          </cell>
        </row>
        <row r="753">
          <cell r="G753">
            <v>42309</v>
          </cell>
          <cell r="L753" t="str">
            <v>01-18-004-08W2</v>
          </cell>
          <cell r="O753">
            <v>889.3</v>
          </cell>
          <cell r="Q753">
            <v>2.42</v>
          </cell>
          <cell r="T753">
            <v>1924.2059999999999</v>
          </cell>
        </row>
        <row r="754">
          <cell r="G754">
            <v>42309</v>
          </cell>
          <cell r="L754" t="str">
            <v>14-27-005-12W2</v>
          </cell>
          <cell r="O754">
            <v>877.8</v>
          </cell>
          <cell r="Q754">
            <v>2.1</v>
          </cell>
          <cell r="T754">
            <v>1149.366</v>
          </cell>
        </row>
        <row r="755">
          <cell r="G755">
            <v>42309</v>
          </cell>
          <cell r="L755" t="str">
            <v>11-14-007-08W2</v>
          </cell>
          <cell r="O755">
            <v>844.2</v>
          </cell>
          <cell r="Q755">
            <v>1.33</v>
          </cell>
          <cell r="T755">
            <v>1095.018</v>
          </cell>
        </row>
        <row r="756">
          <cell r="G756">
            <v>42309</v>
          </cell>
          <cell r="L756" t="str">
            <v>16-09-007-11W2</v>
          </cell>
          <cell r="O756">
            <v>807.8</v>
          </cell>
          <cell r="Q756">
            <v>0.52</v>
          </cell>
          <cell r="T756">
            <v>796.572</v>
          </cell>
        </row>
        <row r="757">
          <cell r="G757">
            <v>42309</v>
          </cell>
          <cell r="L757" t="str">
            <v>16-05-005-08W2</v>
          </cell>
          <cell r="O757">
            <v>884.5</v>
          </cell>
          <cell r="Q757">
            <v>2.04</v>
          </cell>
          <cell r="T757">
            <v>791.298</v>
          </cell>
        </row>
        <row r="758">
          <cell r="G758">
            <v>42309</v>
          </cell>
          <cell r="L758" t="str">
            <v>14-22-004-08W2</v>
          </cell>
          <cell r="O758">
            <v>873.9</v>
          </cell>
          <cell r="Q758">
            <v>2.0099999999999998</v>
          </cell>
          <cell r="T758">
            <v>748.16899999999998</v>
          </cell>
        </row>
        <row r="759">
          <cell r="G759">
            <v>42309</v>
          </cell>
          <cell r="L759" t="str">
            <v>09-02-006-07W2</v>
          </cell>
          <cell r="O759">
            <v>884</v>
          </cell>
          <cell r="Q759">
            <v>2.25</v>
          </cell>
          <cell r="T759">
            <v>679.46900000000005</v>
          </cell>
        </row>
        <row r="760">
          <cell r="G760">
            <v>42309</v>
          </cell>
          <cell r="L760" t="str">
            <v>15-11-005-09W2</v>
          </cell>
          <cell r="O760">
            <v>886.4</v>
          </cell>
          <cell r="Q760">
            <v>2.19</v>
          </cell>
          <cell r="T760">
            <v>643.77200000000005</v>
          </cell>
        </row>
        <row r="761">
          <cell r="G761">
            <v>42309</v>
          </cell>
          <cell r="L761" t="str">
            <v>04-27-004-08W2</v>
          </cell>
          <cell r="O761">
            <v>882.8</v>
          </cell>
          <cell r="Q761">
            <v>2.17</v>
          </cell>
          <cell r="T761">
            <v>636.62599999999998</v>
          </cell>
        </row>
        <row r="762">
          <cell r="G762">
            <v>42309</v>
          </cell>
          <cell r="L762" t="str">
            <v>14-27-001-12W2</v>
          </cell>
          <cell r="O762">
            <v>815.7</v>
          </cell>
          <cell r="Q762">
            <v>0.25</v>
          </cell>
          <cell r="T762">
            <v>533.255</v>
          </cell>
        </row>
        <row r="763">
          <cell r="G763">
            <v>42309</v>
          </cell>
          <cell r="L763" t="str">
            <v>13-33-006-09W2</v>
          </cell>
          <cell r="O763">
            <v>887</v>
          </cell>
          <cell r="Q763">
            <v>2.3199999999999998</v>
          </cell>
          <cell r="T763">
            <v>503.39100000000002</v>
          </cell>
        </row>
        <row r="764">
          <cell r="G764">
            <v>42309</v>
          </cell>
          <cell r="L764" t="str">
            <v>12-20-005-12W2</v>
          </cell>
          <cell r="O764">
            <v>888</v>
          </cell>
          <cell r="Q764">
            <v>2.04</v>
          </cell>
          <cell r="T764">
            <v>439.99900000000002</v>
          </cell>
        </row>
        <row r="765">
          <cell r="G765">
            <v>42309</v>
          </cell>
          <cell r="L765" t="str">
            <v>04-35-004-09W2</v>
          </cell>
          <cell r="O765">
            <v>889.6</v>
          </cell>
          <cell r="Q765">
            <v>2.0299999999999998</v>
          </cell>
          <cell r="T765">
            <v>411.59100000000001</v>
          </cell>
        </row>
        <row r="766">
          <cell r="G766">
            <v>42309</v>
          </cell>
          <cell r="L766" t="str">
            <v>13-06-007-11W2</v>
          </cell>
          <cell r="O766">
            <v>861.9</v>
          </cell>
          <cell r="Q766">
            <v>2</v>
          </cell>
          <cell r="T766">
            <v>411.315</v>
          </cell>
        </row>
        <row r="767">
          <cell r="G767">
            <v>42309</v>
          </cell>
          <cell r="L767" t="str">
            <v>06-18-006-12W2</v>
          </cell>
          <cell r="O767">
            <v>887.5</v>
          </cell>
          <cell r="Q767">
            <v>2.69</v>
          </cell>
          <cell r="T767">
            <v>405.01400000000001</v>
          </cell>
        </row>
        <row r="768">
          <cell r="G768">
            <v>42309</v>
          </cell>
          <cell r="L768" t="str">
            <v>03-18-007-09W2</v>
          </cell>
          <cell r="O768">
            <v>813.4</v>
          </cell>
          <cell r="Q768">
            <v>0.42</v>
          </cell>
          <cell r="T768">
            <v>363.45600000000002</v>
          </cell>
        </row>
        <row r="769">
          <cell r="G769">
            <v>42309</v>
          </cell>
          <cell r="L769" t="str">
            <v>01-01-007-12W2</v>
          </cell>
          <cell r="O769">
            <v>894.3</v>
          </cell>
          <cell r="Q769">
            <v>2.62</v>
          </cell>
          <cell r="T769">
            <v>363.30099999999999</v>
          </cell>
        </row>
        <row r="770">
          <cell r="G770">
            <v>42309</v>
          </cell>
          <cell r="L770" t="str">
            <v>04-13-004-10W2</v>
          </cell>
          <cell r="O770">
            <v>885.2</v>
          </cell>
          <cell r="Q770">
            <v>1.9</v>
          </cell>
          <cell r="T770">
            <v>357.21100000000001</v>
          </cell>
        </row>
        <row r="771">
          <cell r="G771">
            <v>42309</v>
          </cell>
          <cell r="L771" t="str">
            <v>15-29-007-13W2</v>
          </cell>
          <cell r="O771">
            <v>850.1</v>
          </cell>
          <cell r="Q771">
            <v>1.82</v>
          </cell>
          <cell r="T771">
            <v>353.613</v>
          </cell>
        </row>
        <row r="772">
          <cell r="G772">
            <v>42309</v>
          </cell>
          <cell r="L772" t="str">
            <v>04-16-004-21W2</v>
          </cell>
          <cell r="O772">
            <v>818.3</v>
          </cell>
          <cell r="Q772">
            <v>0.66</v>
          </cell>
          <cell r="T772">
            <v>344.53100000000001</v>
          </cell>
        </row>
        <row r="773">
          <cell r="G773">
            <v>42309</v>
          </cell>
          <cell r="L773" t="str">
            <v>15-13-002-12W2</v>
          </cell>
          <cell r="O773">
            <v>818</v>
          </cell>
          <cell r="Q773">
            <v>0.16</v>
          </cell>
          <cell r="T773">
            <v>338.48200000000003</v>
          </cell>
        </row>
        <row r="774">
          <cell r="G774">
            <v>42309</v>
          </cell>
          <cell r="L774" t="str">
            <v>04-23-012-06W2</v>
          </cell>
          <cell r="O774">
            <v>896.6</v>
          </cell>
          <cell r="Q774">
            <v>2.74</v>
          </cell>
          <cell r="T774">
            <v>328.96100000000001</v>
          </cell>
        </row>
        <row r="775">
          <cell r="G775">
            <v>42309</v>
          </cell>
          <cell r="L775" t="str">
            <v>09-21-005-07W2</v>
          </cell>
          <cell r="O775">
            <v>897.5</v>
          </cell>
          <cell r="Q775">
            <v>2.7</v>
          </cell>
          <cell r="T775">
            <v>269.33699999999999</v>
          </cell>
        </row>
        <row r="776">
          <cell r="G776">
            <v>42309</v>
          </cell>
          <cell r="L776" t="str">
            <v>14-20-004-10W2</v>
          </cell>
          <cell r="O776">
            <v>890.1</v>
          </cell>
          <cell r="Q776">
            <v>2.12</v>
          </cell>
          <cell r="T776">
            <v>262.30399999999997</v>
          </cell>
        </row>
        <row r="777">
          <cell r="G777">
            <v>42309</v>
          </cell>
          <cell r="L777" t="str">
            <v>01-10-008-15W2</v>
          </cell>
          <cell r="O777">
            <v>867.4</v>
          </cell>
          <cell r="Q777">
            <v>2.0499999999999998</v>
          </cell>
          <cell r="T777">
            <v>238.32</v>
          </cell>
        </row>
        <row r="778">
          <cell r="G778">
            <v>42309</v>
          </cell>
          <cell r="L778" t="str">
            <v>14-04-006-08W2</v>
          </cell>
          <cell r="O778">
            <v>852</v>
          </cell>
          <cell r="Q778">
            <v>0.62</v>
          </cell>
          <cell r="T778">
            <v>234.79499999999999</v>
          </cell>
        </row>
        <row r="779">
          <cell r="G779">
            <v>42309</v>
          </cell>
          <cell r="L779" t="str">
            <v>02-13-004-12W2</v>
          </cell>
          <cell r="O779">
            <v>884.2</v>
          </cell>
          <cell r="Q779">
            <v>2.06</v>
          </cell>
          <cell r="T779">
            <v>222.488</v>
          </cell>
        </row>
        <row r="780">
          <cell r="G780">
            <v>42309</v>
          </cell>
          <cell r="L780" t="str">
            <v>03-08-001-11W2</v>
          </cell>
          <cell r="O780">
            <v>809</v>
          </cell>
          <cell r="Q780">
            <v>0.24</v>
          </cell>
          <cell r="T780">
            <v>217.321</v>
          </cell>
        </row>
        <row r="781">
          <cell r="G781">
            <v>42309</v>
          </cell>
          <cell r="L781" t="str">
            <v>12-27-006-13W2</v>
          </cell>
          <cell r="O781">
            <v>856.8</v>
          </cell>
          <cell r="Q781">
            <v>2.0099999999999998</v>
          </cell>
          <cell r="T781">
            <v>213.85900000000001</v>
          </cell>
        </row>
        <row r="782">
          <cell r="G782">
            <v>42309</v>
          </cell>
          <cell r="L782" t="str">
            <v>14-27-007-08W2</v>
          </cell>
          <cell r="O782">
            <v>882.1</v>
          </cell>
          <cell r="Q782">
            <v>2.39</v>
          </cell>
          <cell r="T782">
            <v>201.07400000000001</v>
          </cell>
        </row>
        <row r="783">
          <cell r="G783">
            <v>42309</v>
          </cell>
          <cell r="L783" t="str">
            <v>16-31-001-15W2</v>
          </cell>
          <cell r="O783">
            <v>801.2</v>
          </cell>
          <cell r="Q783">
            <v>0.22</v>
          </cell>
          <cell r="T783">
            <v>189.374</v>
          </cell>
        </row>
        <row r="784">
          <cell r="G784">
            <v>42309</v>
          </cell>
          <cell r="L784" t="str">
            <v>05-31-006-13W2</v>
          </cell>
          <cell r="O784">
            <v>805.9</v>
          </cell>
          <cell r="Q784">
            <v>0.19</v>
          </cell>
          <cell r="T784">
            <v>189.31399999999999</v>
          </cell>
        </row>
        <row r="785">
          <cell r="G785">
            <v>42309</v>
          </cell>
          <cell r="L785" t="str">
            <v>14-35-001-12W2</v>
          </cell>
          <cell r="O785">
            <v>816.4</v>
          </cell>
          <cell r="Q785">
            <v>0.18</v>
          </cell>
          <cell r="T785">
            <v>184.04599999999999</v>
          </cell>
        </row>
        <row r="786">
          <cell r="G786">
            <v>42309</v>
          </cell>
          <cell r="L786" t="str">
            <v>09-11-007-14W2</v>
          </cell>
          <cell r="O786">
            <v>843.3</v>
          </cell>
          <cell r="Q786">
            <v>1.54</v>
          </cell>
          <cell r="T786">
            <v>168.923</v>
          </cell>
        </row>
        <row r="787">
          <cell r="G787">
            <v>42309</v>
          </cell>
          <cell r="L787" t="str">
            <v>16-06-005-12W2</v>
          </cell>
          <cell r="O787">
            <v>880.3</v>
          </cell>
          <cell r="Q787">
            <v>2.09</v>
          </cell>
          <cell r="T787">
            <v>164.04300000000001</v>
          </cell>
        </row>
        <row r="788">
          <cell r="G788">
            <v>42309</v>
          </cell>
          <cell r="L788" t="str">
            <v>12-31-001-17W2</v>
          </cell>
          <cell r="O788">
            <v>854.7</v>
          </cell>
          <cell r="Q788">
            <v>1.51</v>
          </cell>
          <cell r="T788">
            <v>161.15899999999999</v>
          </cell>
        </row>
        <row r="789">
          <cell r="G789">
            <v>42309</v>
          </cell>
          <cell r="L789" t="str">
            <v>09-06-010-15W2</v>
          </cell>
          <cell r="O789">
            <v>870.9</v>
          </cell>
          <cell r="Q789">
            <v>0.53</v>
          </cell>
          <cell r="T789">
            <v>153.13999999999999</v>
          </cell>
        </row>
        <row r="790">
          <cell r="G790">
            <v>42309</v>
          </cell>
          <cell r="L790" t="str">
            <v>04-18-007-09W2</v>
          </cell>
          <cell r="O790">
            <v>811.8</v>
          </cell>
          <cell r="Q790">
            <v>0.4</v>
          </cell>
          <cell r="T790">
            <v>142.071</v>
          </cell>
        </row>
        <row r="791">
          <cell r="G791">
            <v>42309</v>
          </cell>
          <cell r="L791" t="str">
            <v>07-02-007-12W2</v>
          </cell>
          <cell r="O791">
            <v>856.9</v>
          </cell>
          <cell r="Q791">
            <v>1.98</v>
          </cell>
          <cell r="T791">
            <v>136.678</v>
          </cell>
        </row>
        <row r="792">
          <cell r="G792">
            <v>42309</v>
          </cell>
          <cell r="L792" t="str">
            <v>01-06-004-11W2</v>
          </cell>
          <cell r="O792">
            <v>883.3</v>
          </cell>
          <cell r="Q792">
            <v>2.4</v>
          </cell>
          <cell r="T792">
            <v>134.84299999999999</v>
          </cell>
        </row>
        <row r="793">
          <cell r="G793">
            <v>42309</v>
          </cell>
          <cell r="L793" t="str">
            <v>03-27-011-08W2</v>
          </cell>
          <cell r="O793">
            <v>899.2</v>
          </cell>
          <cell r="Q793">
            <v>2.64</v>
          </cell>
          <cell r="T793">
            <v>131.084</v>
          </cell>
        </row>
        <row r="794">
          <cell r="G794">
            <v>42309</v>
          </cell>
          <cell r="L794" t="str">
            <v>14-18-163-95W1</v>
          </cell>
          <cell r="O794">
            <v>852.9</v>
          </cell>
          <cell r="Q794">
            <v>1.1399999999999999</v>
          </cell>
          <cell r="T794">
            <v>113.43300000000001</v>
          </cell>
        </row>
        <row r="795">
          <cell r="G795">
            <v>42309</v>
          </cell>
          <cell r="L795" t="str">
            <v>01-06-003-15W2</v>
          </cell>
          <cell r="O795">
            <v>854.9</v>
          </cell>
          <cell r="Q795">
            <v>1.1100000000000001</v>
          </cell>
          <cell r="T795">
            <v>109.14</v>
          </cell>
        </row>
        <row r="796">
          <cell r="G796">
            <v>42309</v>
          </cell>
          <cell r="L796" t="str">
            <v>07-24-006-10W2</v>
          </cell>
          <cell r="O796">
            <v>883.7</v>
          </cell>
          <cell r="Q796">
            <v>2.2599999999999998</v>
          </cell>
          <cell r="T796">
            <v>101.101</v>
          </cell>
        </row>
        <row r="797">
          <cell r="G797">
            <v>42309</v>
          </cell>
          <cell r="L797" t="str">
            <v>09-22-006-12W2</v>
          </cell>
          <cell r="O797">
            <v>879.6</v>
          </cell>
          <cell r="Q797">
            <v>2.34</v>
          </cell>
          <cell r="T797">
            <v>100.542</v>
          </cell>
        </row>
        <row r="798">
          <cell r="G798">
            <v>42309</v>
          </cell>
          <cell r="L798" t="str">
            <v>14-25-003-09W2</v>
          </cell>
          <cell r="O798">
            <v>848.9</v>
          </cell>
          <cell r="Q798">
            <v>1.63</v>
          </cell>
          <cell r="T798">
            <v>95.536000000000001</v>
          </cell>
        </row>
        <row r="799">
          <cell r="G799">
            <v>42309</v>
          </cell>
          <cell r="L799" t="str">
            <v>07-10-001-20W2</v>
          </cell>
          <cell r="O799">
            <v>874.5</v>
          </cell>
          <cell r="Q799">
            <v>1.8</v>
          </cell>
          <cell r="T799">
            <v>86.114999999999995</v>
          </cell>
        </row>
        <row r="800">
          <cell r="G800">
            <v>42309</v>
          </cell>
          <cell r="L800" t="str">
            <v>09-32-006-15W2</v>
          </cell>
          <cell r="O800">
            <v>890.1</v>
          </cell>
          <cell r="Q800">
            <v>2.71</v>
          </cell>
          <cell r="T800">
            <v>78.364999999999995</v>
          </cell>
        </row>
        <row r="801">
          <cell r="G801">
            <v>42309</v>
          </cell>
          <cell r="L801" t="str">
            <v>06-13-007-10W2</v>
          </cell>
          <cell r="O801">
            <v>825.2</v>
          </cell>
          <cell r="Q801">
            <v>0.17</v>
          </cell>
          <cell r="T801">
            <v>69.986000000000004</v>
          </cell>
        </row>
        <row r="802">
          <cell r="G802">
            <v>42309</v>
          </cell>
          <cell r="L802" t="str">
            <v>15-11-008-12W2</v>
          </cell>
          <cell r="O802">
            <v>903.7</v>
          </cell>
          <cell r="Q802">
            <v>2.1800000000000002</v>
          </cell>
          <cell r="T802">
            <v>66.858999999999995</v>
          </cell>
        </row>
        <row r="803">
          <cell r="G803">
            <v>42309</v>
          </cell>
          <cell r="L803" t="str">
            <v>16-29-006-12W2</v>
          </cell>
          <cell r="O803">
            <v>885</v>
          </cell>
          <cell r="Q803">
            <v>2.21</v>
          </cell>
          <cell r="T803">
            <v>65.527000000000001</v>
          </cell>
        </row>
        <row r="804">
          <cell r="G804">
            <v>42309</v>
          </cell>
          <cell r="L804" t="str">
            <v>12-28-006-07W2</v>
          </cell>
          <cell r="O804">
            <v>902.4</v>
          </cell>
          <cell r="Q804">
            <v>2.52</v>
          </cell>
          <cell r="T804">
            <v>63.683</v>
          </cell>
        </row>
        <row r="805">
          <cell r="G805">
            <v>42309</v>
          </cell>
          <cell r="L805" t="str">
            <v>09-12-007-09W2</v>
          </cell>
          <cell r="O805">
            <v>818.6</v>
          </cell>
          <cell r="Q805">
            <v>0.16</v>
          </cell>
          <cell r="T805">
            <v>62.8</v>
          </cell>
        </row>
        <row r="806">
          <cell r="G806">
            <v>42309</v>
          </cell>
          <cell r="L806" t="str">
            <v>01-03-028-58W1</v>
          </cell>
          <cell r="O806">
            <v>853</v>
          </cell>
          <cell r="Q806">
            <v>0.89</v>
          </cell>
          <cell r="T806">
            <v>58.137</v>
          </cell>
        </row>
        <row r="807">
          <cell r="G807">
            <v>42309</v>
          </cell>
          <cell r="L807" t="str">
            <v>05-23-004-07W2</v>
          </cell>
          <cell r="O807">
            <v>888.2</v>
          </cell>
          <cell r="Q807">
            <v>2.0699999999999998</v>
          </cell>
          <cell r="T807">
            <v>54.112000000000002</v>
          </cell>
        </row>
        <row r="808">
          <cell r="G808">
            <v>42309</v>
          </cell>
          <cell r="L808" t="str">
            <v>02-22-009-09W2</v>
          </cell>
          <cell r="O808">
            <v>879.7</v>
          </cell>
          <cell r="Q808">
            <v>2.42</v>
          </cell>
          <cell r="T808">
            <v>51.475000000000001</v>
          </cell>
        </row>
        <row r="809">
          <cell r="G809">
            <v>42309</v>
          </cell>
          <cell r="L809" t="str">
            <v>05-26-164-97W1</v>
          </cell>
          <cell r="O809">
            <v>875.9</v>
          </cell>
          <cell r="Q809">
            <v>1.59</v>
          </cell>
          <cell r="T809">
            <v>39.820999999999998</v>
          </cell>
        </row>
        <row r="810">
          <cell r="G810">
            <v>42309</v>
          </cell>
          <cell r="L810" t="str">
            <v>08-03-006-07W2</v>
          </cell>
          <cell r="O810">
            <v>879.7</v>
          </cell>
          <cell r="Q810">
            <v>2.0099999999999998</v>
          </cell>
          <cell r="T810">
            <v>36.670999999999999</v>
          </cell>
        </row>
        <row r="811">
          <cell r="G811">
            <v>42309</v>
          </cell>
          <cell r="L811" t="str">
            <v>10-05-007-10W2</v>
          </cell>
          <cell r="O811">
            <v>876.3</v>
          </cell>
          <cell r="Q811">
            <v>1.78</v>
          </cell>
          <cell r="T811">
            <v>36.337000000000003</v>
          </cell>
        </row>
        <row r="812">
          <cell r="G812">
            <v>42309</v>
          </cell>
          <cell r="L812" t="str">
            <v>03-07-007-11W2</v>
          </cell>
          <cell r="O812">
            <v>809.5</v>
          </cell>
          <cell r="Q812">
            <v>0.21</v>
          </cell>
          <cell r="T812">
            <v>35.533999999999999</v>
          </cell>
        </row>
        <row r="813">
          <cell r="G813">
            <v>42309</v>
          </cell>
          <cell r="L813" t="str">
            <v>99-37-184-92W1</v>
          </cell>
          <cell r="O813">
            <v>800</v>
          </cell>
          <cell r="Q813">
            <v>1.64</v>
          </cell>
          <cell r="T813">
            <v>34.399000000000001</v>
          </cell>
        </row>
        <row r="814">
          <cell r="G814">
            <v>42309</v>
          </cell>
          <cell r="L814" t="str">
            <v>05-19-007-12W2</v>
          </cell>
          <cell r="O814">
            <v>874.1</v>
          </cell>
          <cell r="Q814">
            <v>1.82</v>
          </cell>
          <cell r="T814">
            <v>33.183</v>
          </cell>
        </row>
        <row r="815">
          <cell r="G815">
            <v>42309</v>
          </cell>
          <cell r="L815" t="str">
            <v>02-05-154-95W1</v>
          </cell>
          <cell r="O815">
            <v>812</v>
          </cell>
          <cell r="Q815">
            <v>0.36</v>
          </cell>
          <cell r="T815">
            <v>32.597999999999999</v>
          </cell>
        </row>
        <row r="816">
          <cell r="G816">
            <v>42309</v>
          </cell>
          <cell r="L816" t="str">
            <v>13-06-007-09W2</v>
          </cell>
          <cell r="O816">
            <v>796.2</v>
          </cell>
          <cell r="Q816">
            <v>0.25</v>
          </cell>
          <cell r="T816">
            <v>31.521999999999998</v>
          </cell>
        </row>
        <row r="817">
          <cell r="G817">
            <v>42309</v>
          </cell>
          <cell r="L817" t="str">
            <v>11-32-003-21W2</v>
          </cell>
          <cell r="O817">
            <v>835.6</v>
          </cell>
          <cell r="Q817">
            <v>0.2</v>
          </cell>
          <cell r="T817">
            <v>31.369</v>
          </cell>
        </row>
        <row r="818">
          <cell r="G818">
            <v>42309</v>
          </cell>
          <cell r="L818" t="str">
            <v>01-27-164-97W1</v>
          </cell>
          <cell r="O818">
            <v>881.9</v>
          </cell>
          <cell r="Q818">
            <v>0.75</v>
          </cell>
          <cell r="T818">
            <v>30.579000000000001</v>
          </cell>
        </row>
        <row r="819">
          <cell r="G819">
            <v>42309</v>
          </cell>
          <cell r="L819" t="str">
            <v>01-13-007-10W2</v>
          </cell>
          <cell r="O819">
            <v>826.9</v>
          </cell>
          <cell r="Q819">
            <v>0.37</v>
          </cell>
          <cell r="T819">
            <v>30.396000000000001</v>
          </cell>
        </row>
        <row r="820">
          <cell r="G820">
            <v>42309</v>
          </cell>
          <cell r="L820" t="str">
            <v>01-08-162-95W1</v>
          </cell>
          <cell r="O820">
            <v>848.8</v>
          </cell>
          <cell r="Q820">
            <v>0.95</v>
          </cell>
          <cell r="T820">
            <v>30.257000000000001</v>
          </cell>
        </row>
        <row r="821">
          <cell r="G821">
            <v>42309</v>
          </cell>
          <cell r="L821" t="str">
            <v>16-22-001-12W2</v>
          </cell>
          <cell r="O821">
            <v>821.2</v>
          </cell>
          <cell r="Q821">
            <v>0.16</v>
          </cell>
          <cell r="T821">
            <v>29.69</v>
          </cell>
        </row>
        <row r="822">
          <cell r="G822">
            <v>42309</v>
          </cell>
          <cell r="L822" t="str">
            <v>01-03-022-57W1</v>
          </cell>
          <cell r="O822">
            <v>887.7</v>
          </cell>
          <cell r="Q822">
            <v>0.53</v>
          </cell>
          <cell r="T822">
            <v>29.507999999999999</v>
          </cell>
        </row>
        <row r="823">
          <cell r="G823">
            <v>42309</v>
          </cell>
          <cell r="L823" t="str">
            <v>01-01-007-12W2</v>
          </cell>
          <cell r="O823">
            <v>894.6</v>
          </cell>
          <cell r="Q823">
            <v>2.74</v>
          </cell>
          <cell r="T823">
            <v>27.277999999999999</v>
          </cell>
        </row>
        <row r="824">
          <cell r="G824">
            <v>42309</v>
          </cell>
          <cell r="L824" t="str">
            <v>01-27-004-07W2</v>
          </cell>
          <cell r="O824">
            <v>891.2</v>
          </cell>
          <cell r="Q824">
            <v>2.0299999999999998</v>
          </cell>
          <cell r="T824">
            <v>23.738</v>
          </cell>
        </row>
        <row r="825">
          <cell r="G825">
            <v>42309</v>
          </cell>
          <cell r="L825" t="str">
            <v>01-35-162-03W1</v>
          </cell>
          <cell r="O825">
            <v>879.7</v>
          </cell>
          <cell r="Q825">
            <v>0.17</v>
          </cell>
          <cell r="T825">
            <v>22.552</v>
          </cell>
        </row>
        <row r="826">
          <cell r="G826">
            <v>42309</v>
          </cell>
          <cell r="L826" t="str">
            <v>04-24-005-15W2</v>
          </cell>
          <cell r="O826">
            <v>892.7</v>
          </cell>
          <cell r="Q826">
            <v>2.75</v>
          </cell>
          <cell r="T826">
            <v>1812.3989999999999</v>
          </cell>
        </row>
        <row r="827">
          <cell r="G827">
            <v>42309</v>
          </cell>
          <cell r="L827" t="str">
            <v>15-29-005-15W2</v>
          </cell>
          <cell r="O827">
            <v>882.9</v>
          </cell>
          <cell r="Q827">
            <v>2.64</v>
          </cell>
          <cell r="T827">
            <v>1264.6969999999999</v>
          </cell>
        </row>
        <row r="828">
          <cell r="G828">
            <v>42309</v>
          </cell>
          <cell r="L828" t="str">
            <v>09-34-005-15W2</v>
          </cell>
          <cell r="O828">
            <v>882.1</v>
          </cell>
          <cell r="Q828">
            <v>2.64</v>
          </cell>
          <cell r="T828">
            <v>1052.982</v>
          </cell>
        </row>
        <row r="829">
          <cell r="G829">
            <v>42309</v>
          </cell>
          <cell r="L829" t="str">
            <v>11-25-005-12W2</v>
          </cell>
          <cell r="O829">
            <v>875.8</v>
          </cell>
          <cell r="Q829">
            <v>2.12</v>
          </cell>
          <cell r="T829">
            <v>2344.1390000000001</v>
          </cell>
        </row>
        <row r="830">
          <cell r="G830">
            <v>42309</v>
          </cell>
          <cell r="L830" t="str">
            <v>16-18-003-15W2</v>
          </cell>
          <cell r="O830">
            <v>888.5</v>
          </cell>
          <cell r="Q830">
            <v>2.29</v>
          </cell>
          <cell r="T830">
            <v>1339.7660000000001</v>
          </cell>
        </row>
        <row r="831">
          <cell r="G831">
            <v>42309</v>
          </cell>
          <cell r="L831" t="str">
            <v>12-30-005-07W2</v>
          </cell>
          <cell r="O831">
            <v>892.6</v>
          </cell>
          <cell r="Q831">
            <v>2.44</v>
          </cell>
          <cell r="T831">
            <v>1247.3130000000001</v>
          </cell>
        </row>
        <row r="832">
          <cell r="G832">
            <v>42309</v>
          </cell>
          <cell r="L832" t="str">
            <v>14-21-001-12W2</v>
          </cell>
          <cell r="O832">
            <v>810</v>
          </cell>
          <cell r="Q832">
            <v>0.14000000000000001</v>
          </cell>
          <cell r="T832">
            <v>948.35699999999997</v>
          </cell>
        </row>
        <row r="833">
          <cell r="G833">
            <v>42309</v>
          </cell>
          <cell r="L833" t="str">
            <v>13-24-001-16W2</v>
          </cell>
          <cell r="O833">
            <v>809.8</v>
          </cell>
          <cell r="Q833">
            <v>0.39</v>
          </cell>
          <cell r="T833">
            <v>539.28399999999999</v>
          </cell>
        </row>
        <row r="834">
          <cell r="G834">
            <v>42309</v>
          </cell>
          <cell r="L834" t="str">
            <v>11-31-006-08W2</v>
          </cell>
          <cell r="O834">
            <v>891.7</v>
          </cell>
          <cell r="Q834">
            <v>2.46</v>
          </cell>
          <cell r="T834">
            <v>532.26199999999994</v>
          </cell>
        </row>
        <row r="835">
          <cell r="G835">
            <v>42309</v>
          </cell>
          <cell r="L835" t="str">
            <v>05-23-005-13W2</v>
          </cell>
          <cell r="O835">
            <v>907.6</v>
          </cell>
          <cell r="Q835">
            <v>2.72</v>
          </cell>
          <cell r="T835">
            <v>375.6</v>
          </cell>
        </row>
        <row r="836">
          <cell r="G836">
            <v>42309</v>
          </cell>
          <cell r="L836" t="str">
            <v>06-20-006-09W2</v>
          </cell>
          <cell r="O836">
            <v>882.5</v>
          </cell>
          <cell r="Q836">
            <v>2.23</v>
          </cell>
          <cell r="T836">
            <v>305.75599999999997</v>
          </cell>
        </row>
        <row r="837">
          <cell r="G837">
            <v>42309</v>
          </cell>
          <cell r="L837" t="str">
            <v>04-35-005-14W2</v>
          </cell>
          <cell r="O837">
            <v>896.1</v>
          </cell>
          <cell r="Q837">
            <v>2.75</v>
          </cell>
          <cell r="T837">
            <v>240.87299999999999</v>
          </cell>
        </row>
        <row r="838">
          <cell r="G838">
            <v>42309</v>
          </cell>
          <cell r="L838" t="str">
            <v>13-22-001-12W2</v>
          </cell>
          <cell r="O838">
            <v>809.4</v>
          </cell>
          <cell r="Q838">
            <v>0.12</v>
          </cell>
          <cell r="T838">
            <v>217.80699999999999</v>
          </cell>
        </row>
        <row r="839">
          <cell r="G839">
            <v>42309</v>
          </cell>
          <cell r="L839" t="str">
            <v>01-10-003-21W2</v>
          </cell>
          <cell r="O839">
            <v>842.6</v>
          </cell>
          <cell r="Q839">
            <v>0.42</v>
          </cell>
          <cell r="T839">
            <v>183.066</v>
          </cell>
        </row>
        <row r="840">
          <cell r="G840">
            <v>42309</v>
          </cell>
          <cell r="L840" t="str">
            <v>06-29-022-06W2</v>
          </cell>
          <cell r="O840">
            <v>887.6</v>
          </cell>
          <cell r="Q840">
            <v>0.97</v>
          </cell>
          <cell r="T840">
            <v>180.96700000000001</v>
          </cell>
        </row>
        <row r="841">
          <cell r="G841">
            <v>42309</v>
          </cell>
          <cell r="L841" t="str">
            <v>05-16-005-13W2</v>
          </cell>
          <cell r="O841">
            <v>904.1</v>
          </cell>
          <cell r="Q841">
            <v>2.61</v>
          </cell>
          <cell r="T841">
            <v>98.962999999999994</v>
          </cell>
        </row>
        <row r="842">
          <cell r="G842">
            <v>42309</v>
          </cell>
          <cell r="L842" t="str">
            <v>07-27-005-25W2</v>
          </cell>
          <cell r="O842">
            <v>822.9</v>
          </cell>
          <cell r="Q842">
            <v>0.37</v>
          </cell>
          <cell r="T842">
            <v>92.715000000000003</v>
          </cell>
        </row>
        <row r="843">
          <cell r="G843">
            <v>42309</v>
          </cell>
          <cell r="L843" t="str">
            <v>13-34-001-13W2</v>
          </cell>
          <cell r="O843">
            <v>809</v>
          </cell>
          <cell r="Q843">
            <v>0.2</v>
          </cell>
          <cell r="T843">
            <v>57.747</v>
          </cell>
        </row>
        <row r="844">
          <cell r="G844">
            <v>42309</v>
          </cell>
          <cell r="L844" t="str">
            <v>04-34-005-11W2</v>
          </cell>
          <cell r="O844">
            <v>887.2</v>
          </cell>
          <cell r="Q844">
            <v>2.0499999999999998</v>
          </cell>
          <cell r="T844">
            <v>29.459</v>
          </cell>
        </row>
        <row r="845">
          <cell r="G845">
            <v>42309</v>
          </cell>
          <cell r="L845" t="str">
            <v>06-17-006-14W2</v>
          </cell>
          <cell r="O845">
            <v>865.9</v>
          </cell>
          <cell r="Q845">
            <v>1.72</v>
          </cell>
          <cell r="T845">
            <v>3226.8649999999998</v>
          </cell>
        </row>
        <row r="846">
          <cell r="G846">
            <v>42309</v>
          </cell>
          <cell r="L846" t="str">
            <v>10-11-005-14W2</v>
          </cell>
          <cell r="O846">
            <v>897.8</v>
          </cell>
          <cell r="Q846">
            <v>2.92</v>
          </cell>
          <cell r="T846">
            <v>426.67500000000001</v>
          </cell>
        </row>
        <row r="847">
          <cell r="G847">
            <v>42309</v>
          </cell>
          <cell r="L847" t="str">
            <v>03-15-005-13W2</v>
          </cell>
          <cell r="O847">
            <v>896.2</v>
          </cell>
          <cell r="Q847">
            <v>2.85</v>
          </cell>
          <cell r="T847">
            <v>369.745</v>
          </cell>
        </row>
        <row r="848">
          <cell r="G848">
            <v>42309</v>
          </cell>
          <cell r="L848" t="str">
            <v>15-19-005-13W2</v>
          </cell>
          <cell r="O848">
            <v>891.7</v>
          </cell>
          <cell r="Q848">
            <v>2.64</v>
          </cell>
          <cell r="T848">
            <v>263.90699999999998</v>
          </cell>
        </row>
        <row r="849">
          <cell r="G849">
            <v>42309</v>
          </cell>
          <cell r="L849" t="str">
            <v>12-13-006-13W2</v>
          </cell>
          <cell r="O849">
            <v>872.8</v>
          </cell>
          <cell r="Q849">
            <v>2.4700000000000002</v>
          </cell>
          <cell r="T849">
            <v>243.363</v>
          </cell>
        </row>
        <row r="850">
          <cell r="G850">
            <v>42309</v>
          </cell>
          <cell r="L850" t="str">
            <v>01-03-006-14W2</v>
          </cell>
          <cell r="O850">
            <v>886</v>
          </cell>
          <cell r="Q850">
            <v>2.37</v>
          </cell>
          <cell r="T850">
            <v>205.988</v>
          </cell>
        </row>
        <row r="851">
          <cell r="G851">
            <v>42309</v>
          </cell>
          <cell r="L851" t="str">
            <v>08-23-005-14W2</v>
          </cell>
          <cell r="O851">
            <v>872.8</v>
          </cell>
          <cell r="Q851">
            <v>2.52</v>
          </cell>
          <cell r="T851">
            <v>173.93199999999999</v>
          </cell>
        </row>
        <row r="852">
          <cell r="G852">
            <v>42309</v>
          </cell>
          <cell r="L852" t="str">
            <v>14-27-005-12W2</v>
          </cell>
          <cell r="O852">
            <v>876.5</v>
          </cell>
          <cell r="Q852">
            <v>2.1</v>
          </cell>
          <cell r="T852">
            <v>20.18</v>
          </cell>
        </row>
        <row r="853">
          <cell r="G853">
            <v>42309</v>
          </cell>
          <cell r="L853" t="str">
            <v>11-12-006-15W2</v>
          </cell>
          <cell r="O853">
            <v>872</v>
          </cell>
          <cell r="Q853">
            <v>2.2999999999999998</v>
          </cell>
          <cell r="T853">
            <v>7873.1390000000001</v>
          </cell>
        </row>
        <row r="854">
          <cell r="G854">
            <v>42309</v>
          </cell>
          <cell r="L854" t="str">
            <v>07-24-006-15W2</v>
          </cell>
          <cell r="O854">
            <v>868.8</v>
          </cell>
          <cell r="Q854">
            <v>2.27</v>
          </cell>
          <cell r="T854">
            <v>899.56399999999996</v>
          </cell>
        </row>
        <row r="855">
          <cell r="G855">
            <v>42309</v>
          </cell>
          <cell r="L855" t="str">
            <v>07-07-006-15W2</v>
          </cell>
          <cell r="O855">
            <v>873.1</v>
          </cell>
          <cell r="Q855">
            <v>2.59</v>
          </cell>
          <cell r="T855">
            <v>7369.9489999999996</v>
          </cell>
        </row>
        <row r="856">
          <cell r="G856">
            <v>42309</v>
          </cell>
          <cell r="L856" t="str">
            <v>12-30-006-15W2</v>
          </cell>
          <cell r="O856">
            <v>895.5</v>
          </cell>
          <cell r="Q856">
            <v>2.8</v>
          </cell>
          <cell r="T856">
            <v>4530.0010000000002</v>
          </cell>
        </row>
        <row r="857">
          <cell r="G857">
            <v>42309</v>
          </cell>
          <cell r="L857" t="str">
            <v>12-11-001-10W2</v>
          </cell>
          <cell r="O857">
            <v>822.9</v>
          </cell>
          <cell r="Q857">
            <v>0.21</v>
          </cell>
          <cell r="T857">
            <v>2800.6410000000001</v>
          </cell>
        </row>
        <row r="858">
          <cell r="G858">
            <v>42309</v>
          </cell>
          <cell r="L858" t="str">
            <v>11-12-007-04W2</v>
          </cell>
          <cell r="O858">
            <v>852</v>
          </cell>
          <cell r="Q858">
            <v>1.42</v>
          </cell>
          <cell r="T858">
            <v>2378.2089999999998</v>
          </cell>
        </row>
        <row r="859">
          <cell r="G859">
            <v>42309</v>
          </cell>
          <cell r="L859" t="str">
            <v>12-32-006-04W2</v>
          </cell>
          <cell r="O859">
            <v>858.9</v>
          </cell>
          <cell r="Q859">
            <v>1.68</v>
          </cell>
          <cell r="T859">
            <v>2349.991</v>
          </cell>
        </row>
        <row r="860">
          <cell r="G860">
            <v>42309</v>
          </cell>
          <cell r="L860" t="str">
            <v>14-03-001-03W2</v>
          </cell>
          <cell r="O860">
            <v>808.3</v>
          </cell>
          <cell r="Q860">
            <v>0.12</v>
          </cell>
          <cell r="T860">
            <v>1478.154</v>
          </cell>
        </row>
        <row r="861">
          <cell r="G861">
            <v>42309</v>
          </cell>
          <cell r="L861" t="str">
            <v>05-20-001-02W2</v>
          </cell>
          <cell r="O861">
            <v>828</v>
          </cell>
          <cell r="Q861">
            <v>0.53</v>
          </cell>
          <cell r="T861">
            <v>1370.9380000000001</v>
          </cell>
        </row>
        <row r="862">
          <cell r="G862">
            <v>42309</v>
          </cell>
          <cell r="L862" t="str">
            <v>02-31-145-98W1</v>
          </cell>
          <cell r="O862">
            <v>819.2</v>
          </cell>
          <cell r="Q862">
            <v>0.41</v>
          </cell>
          <cell r="T862">
            <v>1268.5360000000001</v>
          </cell>
        </row>
        <row r="863">
          <cell r="G863">
            <v>42309</v>
          </cell>
          <cell r="L863" t="str">
            <v>16-03-001-03W2</v>
          </cell>
          <cell r="O863">
            <v>836.2</v>
          </cell>
          <cell r="Q863">
            <v>0.62</v>
          </cell>
          <cell r="T863">
            <v>1174.5609999999999</v>
          </cell>
        </row>
        <row r="864">
          <cell r="G864">
            <v>42309</v>
          </cell>
          <cell r="L864" t="str">
            <v>03-10-145-98W1</v>
          </cell>
          <cell r="O864">
            <v>817.9</v>
          </cell>
          <cell r="Q864">
            <v>0.37</v>
          </cell>
          <cell r="T864">
            <v>886.91800000000001</v>
          </cell>
        </row>
        <row r="865">
          <cell r="G865">
            <v>42309</v>
          </cell>
          <cell r="L865" t="str">
            <v>09-02-007-05W2</v>
          </cell>
          <cell r="O865">
            <v>860.6</v>
          </cell>
          <cell r="Q865">
            <v>1.85</v>
          </cell>
          <cell r="T865">
            <v>872.51800000000003</v>
          </cell>
        </row>
        <row r="866">
          <cell r="G866">
            <v>42309</v>
          </cell>
          <cell r="L866" t="str">
            <v>02-05-163-92W1</v>
          </cell>
          <cell r="O866">
            <v>839.6</v>
          </cell>
          <cell r="Q866">
            <v>0.54</v>
          </cell>
          <cell r="T866">
            <v>785.71600000000001</v>
          </cell>
        </row>
        <row r="867">
          <cell r="G867">
            <v>42309</v>
          </cell>
          <cell r="L867" t="str">
            <v>04-23-006-07W2</v>
          </cell>
          <cell r="O867">
            <v>866.9</v>
          </cell>
          <cell r="Q867">
            <v>1.77</v>
          </cell>
          <cell r="T867">
            <v>667.16300000000001</v>
          </cell>
        </row>
        <row r="868">
          <cell r="G868">
            <v>42309</v>
          </cell>
          <cell r="L868" t="str">
            <v>01-19-145-98W1</v>
          </cell>
          <cell r="O868">
            <v>817.6</v>
          </cell>
          <cell r="Q868">
            <v>0.36</v>
          </cell>
          <cell r="T868">
            <v>666.19399999999996</v>
          </cell>
        </row>
        <row r="869">
          <cell r="G869">
            <v>42309</v>
          </cell>
          <cell r="L869" t="str">
            <v>09-20-006-04W2</v>
          </cell>
          <cell r="O869">
            <v>855.8</v>
          </cell>
          <cell r="Q869">
            <v>1.57</v>
          </cell>
          <cell r="T869">
            <v>652.90899999999999</v>
          </cell>
        </row>
        <row r="870">
          <cell r="G870">
            <v>42309</v>
          </cell>
          <cell r="L870" t="str">
            <v>13-19-001-03W2</v>
          </cell>
          <cell r="O870">
            <v>837.2</v>
          </cell>
          <cell r="Q870">
            <v>0.59</v>
          </cell>
          <cell r="T870">
            <v>428.28100000000001</v>
          </cell>
        </row>
        <row r="871">
          <cell r="G871">
            <v>42309</v>
          </cell>
          <cell r="L871" t="str">
            <v>02-34-143-100W1</v>
          </cell>
          <cell r="O871">
            <v>826</v>
          </cell>
          <cell r="Q871">
            <v>0.33</v>
          </cell>
          <cell r="T871">
            <v>394.745</v>
          </cell>
        </row>
        <row r="872">
          <cell r="G872">
            <v>42309</v>
          </cell>
          <cell r="L872" t="str">
            <v>01-03-163-92W1</v>
          </cell>
          <cell r="O872">
            <v>836.6</v>
          </cell>
          <cell r="Q872">
            <v>0.46</v>
          </cell>
          <cell r="T872">
            <v>368.39600000000002</v>
          </cell>
        </row>
        <row r="873">
          <cell r="G873">
            <v>42309</v>
          </cell>
          <cell r="L873" t="str">
            <v>01-03-162-92W1</v>
          </cell>
          <cell r="O873">
            <v>856.9</v>
          </cell>
          <cell r="Q873">
            <v>0.5</v>
          </cell>
          <cell r="T873">
            <v>344.98599999999999</v>
          </cell>
        </row>
        <row r="874">
          <cell r="G874">
            <v>42309</v>
          </cell>
          <cell r="L874" t="str">
            <v>01-02-021-58W1</v>
          </cell>
          <cell r="O874">
            <v>828.3</v>
          </cell>
          <cell r="Q874">
            <v>0.46</v>
          </cell>
          <cell r="T874">
            <v>331.59899999999999</v>
          </cell>
        </row>
        <row r="875">
          <cell r="G875">
            <v>42309</v>
          </cell>
          <cell r="L875" t="str">
            <v>14-30-001-04W2</v>
          </cell>
          <cell r="O875">
            <v>833.6</v>
          </cell>
          <cell r="Q875">
            <v>0.52</v>
          </cell>
          <cell r="T875">
            <v>313.714</v>
          </cell>
        </row>
        <row r="876">
          <cell r="G876">
            <v>42309</v>
          </cell>
          <cell r="L876" t="str">
            <v>07-04-005-04W2</v>
          </cell>
          <cell r="O876">
            <v>823.8</v>
          </cell>
          <cell r="Q876">
            <v>0.84</v>
          </cell>
          <cell r="T876">
            <v>238.572</v>
          </cell>
        </row>
        <row r="877">
          <cell r="G877">
            <v>42309</v>
          </cell>
          <cell r="L877" t="str">
            <v>01-28-142-100W1</v>
          </cell>
          <cell r="O877">
            <v>834.3</v>
          </cell>
          <cell r="Q877">
            <v>0.38</v>
          </cell>
          <cell r="T877">
            <v>232.655</v>
          </cell>
        </row>
        <row r="878">
          <cell r="G878">
            <v>42309</v>
          </cell>
          <cell r="L878" t="str">
            <v>18-16-154-95W1</v>
          </cell>
          <cell r="O878">
            <v>818.1</v>
          </cell>
          <cell r="Q878">
            <v>0.89</v>
          </cell>
          <cell r="T878">
            <v>226.07599999999999</v>
          </cell>
        </row>
        <row r="879">
          <cell r="G879">
            <v>42309</v>
          </cell>
          <cell r="L879" t="str">
            <v>01-18-145-97W1</v>
          </cell>
          <cell r="O879">
            <v>818.5</v>
          </cell>
          <cell r="Q879">
            <v>0.44</v>
          </cell>
          <cell r="T879">
            <v>223.15</v>
          </cell>
        </row>
        <row r="880">
          <cell r="G880">
            <v>42309</v>
          </cell>
          <cell r="L880" t="str">
            <v>33-14-160-95W1</v>
          </cell>
          <cell r="O880">
            <v>805.2</v>
          </cell>
          <cell r="Q880">
            <v>0.15</v>
          </cell>
          <cell r="T880">
            <v>210.92400000000001</v>
          </cell>
        </row>
        <row r="881">
          <cell r="G881">
            <v>42309</v>
          </cell>
          <cell r="L881" t="str">
            <v>02-30-147-97W1</v>
          </cell>
          <cell r="O881">
            <v>818.2</v>
          </cell>
          <cell r="Q881">
            <v>0.45</v>
          </cell>
          <cell r="T881">
            <v>202.803</v>
          </cell>
        </row>
        <row r="882">
          <cell r="G882">
            <v>42309</v>
          </cell>
          <cell r="L882" t="str">
            <v>11-25-005-06W2</v>
          </cell>
          <cell r="O882">
            <v>852.7</v>
          </cell>
          <cell r="Q882">
            <v>1.0900000000000001</v>
          </cell>
          <cell r="T882">
            <v>201.126</v>
          </cell>
        </row>
        <row r="883">
          <cell r="G883">
            <v>42309</v>
          </cell>
          <cell r="L883" t="str">
            <v>01-08-153-95W1</v>
          </cell>
          <cell r="O883">
            <v>812.8</v>
          </cell>
          <cell r="Q883">
            <v>0.28999999999999998</v>
          </cell>
          <cell r="T883">
            <v>178.089</v>
          </cell>
        </row>
        <row r="884">
          <cell r="G884">
            <v>42309</v>
          </cell>
          <cell r="L884" t="str">
            <v>13-11-160-95W1</v>
          </cell>
          <cell r="O884">
            <v>804.1</v>
          </cell>
          <cell r="Q884">
            <v>0.13</v>
          </cell>
          <cell r="T884">
            <v>172.86699999999999</v>
          </cell>
        </row>
        <row r="885">
          <cell r="G885">
            <v>42309</v>
          </cell>
          <cell r="L885" t="str">
            <v>09-30-006-05W2</v>
          </cell>
          <cell r="O885">
            <v>823.6</v>
          </cell>
          <cell r="Q885">
            <v>0.23</v>
          </cell>
          <cell r="T885">
            <v>170.90299999999999</v>
          </cell>
        </row>
        <row r="886">
          <cell r="G886">
            <v>42309</v>
          </cell>
          <cell r="L886" t="str">
            <v>07-22-003-03W2</v>
          </cell>
          <cell r="O886">
            <v>836.5</v>
          </cell>
          <cell r="Q886">
            <v>0.6</v>
          </cell>
          <cell r="T886">
            <v>169.51400000000001</v>
          </cell>
        </row>
        <row r="887">
          <cell r="G887">
            <v>42309</v>
          </cell>
          <cell r="L887" t="str">
            <v>24-06-158-95W1</v>
          </cell>
          <cell r="O887">
            <v>811.8</v>
          </cell>
          <cell r="Q887">
            <v>0.12</v>
          </cell>
          <cell r="T887">
            <v>168.38399999999999</v>
          </cell>
        </row>
        <row r="888">
          <cell r="G888">
            <v>42309</v>
          </cell>
          <cell r="L888" t="str">
            <v>43-03-160-95W1</v>
          </cell>
          <cell r="O888">
            <v>800.1</v>
          </cell>
          <cell r="Q888">
            <v>0.26</v>
          </cell>
          <cell r="T888">
            <v>167.785</v>
          </cell>
        </row>
        <row r="889">
          <cell r="G889">
            <v>42309</v>
          </cell>
          <cell r="L889" t="str">
            <v>01-17-143-101W1</v>
          </cell>
          <cell r="O889">
            <v>833.3</v>
          </cell>
          <cell r="Q889">
            <v>0.51</v>
          </cell>
          <cell r="T889">
            <v>166.84800000000001</v>
          </cell>
        </row>
        <row r="890">
          <cell r="G890">
            <v>42309</v>
          </cell>
          <cell r="L890" t="str">
            <v>01-33-141-100W1</v>
          </cell>
          <cell r="O890">
            <v>828.9</v>
          </cell>
          <cell r="Q890">
            <v>0.41</v>
          </cell>
          <cell r="T890">
            <v>165.01400000000001</v>
          </cell>
        </row>
        <row r="891">
          <cell r="G891">
            <v>42309</v>
          </cell>
          <cell r="L891" t="str">
            <v>01-22-142-100W1</v>
          </cell>
          <cell r="O891">
            <v>820.2</v>
          </cell>
          <cell r="Q891">
            <v>0.31</v>
          </cell>
          <cell r="T891">
            <v>145.29499999999999</v>
          </cell>
        </row>
        <row r="892">
          <cell r="G892">
            <v>42309</v>
          </cell>
          <cell r="L892" t="str">
            <v>01-20-147-97W1</v>
          </cell>
          <cell r="O892">
            <v>820.6</v>
          </cell>
          <cell r="Q892">
            <v>0.7</v>
          </cell>
          <cell r="T892">
            <v>134.411</v>
          </cell>
        </row>
        <row r="893">
          <cell r="G893">
            <v>42309</v>
          </cell>
          <cell r="L893" t="str">
            <v>04-19-147-97W1</v>
          </cell>
          <cell r="O893">
            <v>820.6</v>
          </cell>
          <cell r="Q893">
            <v>0.61</v>
          </cell>
          <cell r="T893">
            <v>132.78800000000001</v>
          </cell>
        </row>
        <row r="894">
          <cell r="G894">
            <v>42309</v>
          </cell>
          <cell r="L894" t="str">
            <v>02-09-142-100W1</v>
          </cell>
          <cell r="O894">
            <v>827.9</v>
          </cell>
          <cell r="Q894">
            <v>0.45</v>
          </cell>
          <cell r="T894">
            <v>130.726</v>
          </cell>
        </row>
        <row r="895">
          <cell r="G895">
            <v>42309</v>
          </cell>
          <cell r="L895" t="str">
            <v>01-21-153-95W1</v>
          </cell>
          <cell r="O895">
            <v>832</v>
          </cell>
          <cell r="Q895">
            <v>0.36</v>
          </cell>
          <cell r="T895">
            <v>130.417</v>
          </cell>
        </row>
        <row r="896">
          <cell r="G896">
            <v>42309</v>
          </cell>
          <cell r="L896" t="str">
            <v>04-25-144-98W1</v>
          </cell>
          <cell r="O896">
            <v>846.3</v>
          </cell>
          <cell r="Q896">
            <v>0.48</v>
          </cell>
          <cell r="T896">
            <v>127.896</v>
          </cell>
        </row>
        <row r="897">
          <cell r="G897">
            <v>42309</v>
          </cell>
          <cell r="L897" t="str">
            <v>14-23-163-96W1</v>
          </cell>
          <cell r="O897">
            <v>863.7</v>
          </cell>
          <cell r="Q897">
            <v>0.1</v>
          </cell>
          <cell r="T897">
            <v>126.21</v>
          </cell>
        </row>
        <row r="898">
          <cell r="G898">
            <v>42309</v>
          </cell>
          <cell r="L898" t="str">
            <v>12-03-146-100W1</v>
          </cell>
          <cell r="O898">
            <v>839.3</v>
          </cell>
          <cell r="Q898">
            <v>0.47</v>
          </cell>
          <cell r="T898">
            <v>125.172</v>
          </cell>
        </row>
        <row r="899">
          <cell r="G899">
            <v>42309</v>
          </cell>
          <cell r="L899" t="str">
            <v>08-22-002-09W2</v>
          </cell>
          <cell r="O899">
            <v>837.7</v>
          </cell>
          <cell r="Q899">
            <v>0.27</v>
          </cell>
          <cell r="T899">
            <v>108.884</v>
          </cell>
        </row>
        <row r="900">
          <cell r="G900">
            <v>42309</v>
          </cell>
          <cell r="L900" t="str">
            <v>01-15-022-57W1</v>
          </cell>
          <cell r="O900">
            <v>810.5</v>
          </cell>
          <cell r="Q900">
            <v>0.37</v>
          </cell>
          <cell r="T900">
            <v>104.364</v>
          </cell>
        </row>
        <row r="901">
          <cell r="G901">
            <v>42309</v>
          </cell>
          <cell r="L901" t="str">
            <v>01-13-022-57W1</v>
          </cell>
          <cell r="O901">
            <v>816.4</v>
          </cell>
          <cell r="Q901">
            <v>0.11</v>
          </cell>
          <cell r="T901">
            <v>103.669</v>
          </cell>
        </row>
        <row r="902">
          <cell r="G902">
            <v>42309</v>
          </cell>
          <cell r="L902" t="str">
            <v>08-31-007-07W2</v>
          </cell>
          <cell r="O902">
            <v>868.6</v>
          </cell>
          <cell r="Q902">
            <v>1.88</v>
          </cell>
          <cell r="T902">
            <v>102.434</v>
          </cell>
        </row>
        <row r="903">
          <cell r="G903">
            <v>42309</v>
          </cell>
          <cell r="L903" t="str">
            <v>01-28-141-100W1</v>
          </cell>
          <cell r="O903">
            <v>826.5</v>
          </cell>
          <cell r="Q903">
            <v>0.38</v>
          </cell>
          <cell r="T903">
            <v>101.82299999999999</v>
          </cell>
        </row>
        <row r="904">
          <cell r="G904">
            <v>42309</v>
          </cell>
          <cell r="L904" t="str">
            <v>01-30-147-97W1</v>
          </cell>
          <cell r="O904">
            <v>807.7</v>
          </cell>
          <cell r="Q904">
            <v>0.54</v>
          </cell>
          <cell r="T904">
            <v>100.944</v>
          </cell>
        </row>
        <row r="905">
          <cell r="G905">
            <v>42309</v>
          </cell>
          <cell r="L905" t="str">
            <v>01-10-002-03W2</v>
          </cell>
          <cell r="O905">
            <v>838.5</v>
          </cell>
          <cell r="Q905">
            <v>0.67</v>
          </cell>
          <cell r="T905">
            <v>100.41200000000001</v>
          </cell>
        </row>
        <row r="906">
          <cell r="G906">
            <v>42309</v>
          </cell>
          <cell r="L906" t="str">
            <v>03-25-147-98W1</v>
          </cell>
          <cell r="O906">
            <v>810.6</v>
          </cell>
          <cell r="Q906">
            <v>0.42</v>
          </cell>
          <cell r="T906">
            <v>100.249</v>
          </cell>
        </row>
        <row r="907">
          <cell r="G907">
            <v>42309</v>
          </cell>
          <cell r="L907" t="str">
            <v>01-19-147-97W1</v>
          </cell>
          <cell r="O907">
            <v>817.1</v>
          </cell>
          <cell r="Q907">
            <v>0.67</v>
          </cell>
          <cell r="T907">
            <v>99.236000000000004</v>
          </cell>
        </row>
        <row r="908">
          <cell r="G908">
            <v>42309</v>
          </cell>
          <cell r="L908" t="str">
            <v>01-13-152-95W1</v>
          </cell>
          <cell r="O908">
            <v>841.1</v>
          </cell>
          <cell r="Q908">
            <v>0.13</v>
          </cell>
          <cell r="T908">
            <v>98.748000000000005</v>
          </cell>
        </row>
        <row r="909">
          <cell r="G909">
            <v>42309</v>
          </cell>
          <cell r="L909" t="str">
            <v>31-30-164-92W1</v>
          </cell>
          <cell r="O909">
            <v>826.4</v>
          </cell>
          <cell r="Q909">
            <v>0.57999999999999996</v>
          </cell>
          <cell r="T909">
            <v>98.730999999999995</v>
          </cell>
        </row>
        <row r="910">
          <cell r="G910">
            <v>42309</v>
          </cell>
          <cell r="L910" t="str">
            <v>01-09-143-101W1</v>
          </cell>
          <cell r="O910">
            <v>832.6</v>
          </cell>
          <cell r="Q910">
            <v>0.51</v>
          </cell>
          <cell r="T910">
            <v>97.88</v>
          </cell>
        </row>
        <row r="911">
          <cell r="G911">
            <v>42309</v>
          </cell>
          <cell r="L911" t="str">
            <v>03-10-151-96W1</v>
          </cell>
          <cell r="O911">
            <v>816.2</v>
          </cell>
          <cell r="Q911">
            <v>0.24</v>
          </cell>
          <cell r="T911">
            <v>96.391000000000005</v>
          </cell>
        </row>
        <row r="912">
          <cell r="G912">
            <v>42309</v>
          </cell>
          <cell r="L912" t="str">
            <v>01-55-159-94W1</v>
          </cell>
          <cell r="O912">
            <v>834.8</v>
          </cell>
          <cell r="Q912">
            <v>0.38</v>
          </cell>
          <cell r="T912">
            <v>96.174999999999997</v>
          </cell>
        </row>
        <row r="913">
          <cell r="G913">
            <v>42309</v>
          </cell>
          <cell r="L913" t="str">
            <v>34-31-143-102W1</v>
          </cell>
          <cell r="O913">
            <v>853.9</v>
          </cell>
          <cell r="Q913">
            <v>0.08</v>
          </cell>
          <cell r="T913">
            <v>88.144000000000005</v>
          </cell>
        </row>
        <row r="914">
          <cell r="G914">
            <v>42309</v>
          </cell>
          <cell r="L914" t="str">
            <v>03-16-163-91W1</v>
          </cell>
          <cell r="O914">
            <v>836.5</v>
          </cell>
          <cell r="Q914">
            <v>0.46</v>
          </cell>
          <cell r="T914">
            <v>84.088999999999999</v>
          </cell>
        </row>
        <row r="915">
          <cell r="G915">
            <v>42309</v>
          </cell>
          <cell r="L915" t="str">
            <v>01-02-151-102W1</v>
          </cell>
          <cell r="O915">
            <v>836.6</v>
          </cell>
          <cell r="Q915">
            <v>0.34</v>
          </cell>
          <cell r="T915">
            <v>81.94</v>
          </cell>
        </row>
        <row r="916">
          <cell r="G916">
            <v>42309</v>
          </cell>
          <cell r="L916" t="str">
            <v>01-03-155-91W1</v>
          </cell>
          <cell r="O916">
            <v>864.4</v>
          </cell>
          <cell r="Q916">
            <v>1.27</v>
          </cell>
          <cell r="T916">
            <v>81.382999999999996</v>
          </cell>
        </row>
        <row r="917">
          <cell r="G917">
            <v>42309</v>
          </cell>
          <cell r="L917" t="str">
            <v>35-26-164-97W1</v>
          </cell>
          <cell r="O917">
            <v>831.3</v>
          </cell>
          <cell r="Q917">
            <v>0.1</v>
          </cell>
          <cell r="T917">
            <v>75.822000000000003</v>
          </cell>
        </row>
        <row r="918">
          <cell r="G918">
            <v>42309</v>
          </cell>
          <cell r="L918" t="str">
            <v>07-29-009-04W2</v>
          </cell>
          <cell r="O918">
            <v>839.9</v>
          </cell>
          <cell r="Q918">
            <v>1.1399999999999999</v>
          </cell>
          <cell r="T918">
            <v>73.295000000000002</v>
          </cell>
        </row>
        <row r="919">
          <cell r="G919">
            <v>42309</v>
          </cell>
          <cell r="L919" t="str">
            <v>01-24-160-96W1</v>
          </cell>
          <cell r="O919">
            <v>833.5</v>
          </cell>
          <cell r="Q919">
            <v>0.59</v>
          </cell>
          <cell r="T919">
            <v>71.929000000000002</v>
          </cell>
        </row>
        <row r="920">
          <cell r="G920">
            <v>42309</v>
          </cell>
          <cell r="L920" t="str">
            <v>04-24-147-98W1</v>
          </cell>
          <cell r="O920">
            <v>814.4</v>
          </cell>
          <cell r="Q920">
            <v>0.56000000000000005</v>
          </cell>
          <cell r="T920">
            <v>69.900000000000006</v>
          </cell>
        </row>
        <row r="921">
          <cell r="G921">
            <v>42309</v>
          </cell>
          <cell r="L921" t="str">
            <v>15-04-143-101W1</v>
          </cell>
          <cell r="O921">
            <v>836.3</v>
          </cell>
          <cell r="Q921">
            <v>0.51</v>
          </cell>
          <cell r="T921">
            <v>69.570999999999998</v>
          </cell>
        </row>
        <row r="922">
          <cell r="G922">
            <v>42309</v>
          </cell>
          <cell r="L922" t="str">
            <v>03-25-144-98W1</v>
          </cell>
          <cell r="O922">
            <v>830</v>
          </cell>
          <cell r="Q922">
            <v>0.48</v>
          </cell>
          <cell r="T922">
            <v>69.063000000000002</v>
          </cell>
        </row>
        <row r="923">
          <cell r="G923">
            <v>42309</v>
          </cell>
          <cell r="L923" t="str">
            <v>01-03-154-95W1</v>
          </cell>
          <cell r="O923">
            <v>826.1</v>
          </cell>
          <cell r="Q923">
            <v>0.3</v>
          </cell>
          <cell r="T923">
            <v>68.563000000000002</v>
          </cell>
        </row>
        <row r="924">
          <cell r="G924">
            <v>42309</v>
          </cell>
          <cell r="L924" t="str">
            <v>01-12-144-98W1</v>
          </cell>
          <cell r="O924">
            <v>819.6</v>
          </cell>
          <cell r="Q924">
            <v>0.37</v>
          </cell>
          <cell r="T924">
            <v>67.454999999999998</v>
          </cell>
        </row>
        <row r="925">
          <cell r="G925">
            <v>42309</v>
          </cell>
          <cell r="L925" t="str">
            <v>25-11-159-102W1</v>
          </cell>
          <cell r="O925">
            <v>833.9</v>
          </cell>
          <cell r="Q925">
            <v>0.43</v>
          </cell>
          <cell r="T925">
            <v>67.221000000000004</v>
          </cell>
        </row>
        <row r="926">
          <cell r="G926">
            <v>42309</v>
          </cell>
          <cell r="L926" t="str">
            <v>05-01-144-97W1</v>
          </cell>
          <cell r="O926">
            <v>827.1</v>
          </cell>
          <cell r="Q926">
            <v>0.51</v>
          </cell>
          <cell r="T926">
            <v>64.930999999999997</v>
          </cell>
        </row>
        <row r="927">
          <cell r="G927">
            <v>42309</v>
          </cell>
          <cell r="L927" t="str">
            <v>01-01-163-92W1</v>
          </cell>
          <cell r="O927">
            <v>838.5</v>
          </cell>
          <cell r="Q927">
            <v>0.53</v>
          </cell>
          <cell r="T927">
            <v>64.881</v>
          </cell>
        </row>
        <row r="928">
          <cell r="G928">
            <v>42309</v>
          </cell>
          <cell r="L928" t="str">
            <v>16-04-151-96W1</v>
          </cell>
          <cell r="O928">
            <v>810.7</v>
          </cell>
          <cell r="Q928">
            <v>0.28000000000000003</v>
          </cell>
          <cell r="T928">
            <v>64.837999999999994</v>
          </cell>
        </row>
        <row r="929">
          <cell r="G929">
            <v>42309</v>
          </cell>
          <cell r="L929" t="str">
            <v>24-01-160-96W1</v>
          </cell>
          <cell r="O929">
            <v>832.9</v>
          </cell>
          <cell r="Q929">
            <v>0.52</v>
          </cell>
          <cell r="T929">
            <v>64.150999999999996</v>
          </cell>
        </row>
        <row r="930">
          <cell r="G930">
            <v>42309</v>
          </cell>
          <cell r="L930" t="str">
            <v>01-34-159-95W1</v>
          </cell>
          <cell r="O930">
            <v>832.8</v>
          </cell>
          <cell r="Q930">
            <v>0.56999999999999995</v>
          </cell>
          <cell r="T930">
            <v>63.841000000000001</v>
          </cell>
        </row>
        <row r="931">
          <cell r="G931">
            <v>42309</v>
          </cell>
          <cell r="L931" t="str">
            <v>44-35-022-58W1</v>
          </cell>
          <cell r="O931">
            <v>870.2</v>
          </cell>
          <cell r="Q931">
            <v>0.94</v>
          </cell>
          <cell r="T931">
            <v>63.381</v>
          </cell>
        </row>
        <row r="932">
          <cell r="G932">
            <v>42309</v>
          </cell>
          <cell r="L932" t="str">
            <v>34-31-141-97W1</v>
          </cell>
          <cell r="O932">
            <v>827.8</v>
          </cell>
          <cell r="Q932">
            <v>0.76</v>
          </cell>
          <cell r="T932">
            <v>62.767000000000003</v>
          </cell>
        </row>
        <row r="933">
          <cell r="G933">
            <v>42309</v>
          </cell>
          <cell r="L933" t="str">
            <v>10-01-157-95W1</v>
          </cell>
          <cell r="O933">
            <v>831.5</v>
          </cell>
          <cell r="Q933">
            <v>0.56000000000000005</v>
          </cell>
          <cell r="T933">
            <v>59.741</v>
          </cell>
        </row>
        <row r="934">
          <cell r="G934">
            <v>42309</v>
          </cell>
          <cell r="L934" t="str">
            <v>01-14-001-11W2</v>
          </cell>
          <cell r="O934">
            <v>855</v>
          </cell>
          <cell r="Q934">
            <v>0.26</v>
          </cell>
          <cell r="T934">
            <v>56.978999999999999</v>
          </cell>
        </row>
        <row r="935">
          <cell r="G935">
            <v>42309</v>
          </cell>
          <cell r="L935" t="str">
            <v>02-34-159-95W1</v>
          </cell>
          <cell r="O935">
            <v>852.3</v>
          </cell>
          <cell r="Q935">
            <v>0.93</v>
          </cell>
          <cell r="T935">
            <v>55.256</v>
          </cell>
        </row>
        <row r="936">
          <cell r="G936">
            <v>42309</v>
          </cell>
          <cell r="L936" t="str">
            <v>01-08-162-95W1</v>
          </cell>
          <cell r="O936">
            <v>858.5</v>
          </cell>
          <cell r="Q936">
            <v>0.95</v>
          </cell>
          <cell r="T936">
            <v>53.219000000000001</v>
          </cell>
        </row>
        <row r="937">
          <cell r="G937">
            <v>42309</v>
          </cell>
          <cell r="L937" t="str">
            <v>11-15-163-89W1</v>
          </cell>
          <cell r="O937">
            <v>845.7</v>
          </cell>
          <cell r="Q937">
            <v>0.38</v>
          </cell>
          <cell r="T937">
            <v>50.414000000000001</v>
          </cell>
        </row>
        <row r="938">
          <cell r="G938">
            <v>42309</v>
          </cell>
          <cell r="L938" t="str">
            <v>34-01-157-95W1</v>
          </cell>
          <cell r="O938">
            <v>819.5</v>
          </cell>
          <cell r="Q938">
            <v>0.34</v>
          </cell>
          <cell r="T938">
            <v>44.463999999999999</v>
          </cell>
        </row>
        <row r="939">
          <cell r="G939">
            <v>42309</v>
          </cell>
          <cell r="L939" t="str">
            <v>01-33-164-97W1</v>
          </cell>
          <cell r="O939">
            <v>885.6</v>
          </cell>
          <cell r="Q939">
            <v>1.76</v>
          </cell>
          <cell r="T939">
            <v>39.353999999999999</v>
          </cell>
        </row>
        <row r="940">
          <cell r="G940">
            <v>42309</v>
          </cell>
          <cell r="L940" t="str">
            <v>42-26-160-95W1</v>
          </cell>
          <cell r="O940">
            <v>815.3</v>
          </cell>
          <cell r="Q940">
            <v>0.14000000000000001</v>
          </cell>
          <cell r="T940">
            <v>36.161999999999999</v>
          </cell>
        </row>
        <row r="941">
          <cell r="G941">
            <v>42309</v>
          </cell>
          <cell r="L941" t="str">
            <v>03-05-157-95W1</v>
          </cell>
          <cell r="O941">
            <v>850.3</v>
          </cell>
          <cell r="Q941">
            <v>0.74</v>
          </cell>
          <cell r="T941">
            <v>35.76</v>
          </cell>
        </row>
        <row r="942">
          <cell r="G942">
            <v>42309</v>
          </cell>
          <cell r="L942" t="str">
            <v>01-18-147-97W1</v>
          </cell>
          <cell r="O942">
            <v>817.5</v>
          </cell>
          <cell r="Q942">
            <v>0.77</v>
          </cell>
          <cell r="T942">
            <v>35.115000000000002</v>
          </cell>
        </row>
        <row r="943">
          <cell r="G943">
            <v>42309</v>
          </cell>
          <cell r="L943" t="str">
            <v>02-34-145-97W1</v>
          </cell>
          <cell r="O943">
            <v>834.6</v>
          </cell>
          <cell r="Q943">
            <v>0.37</v>
          </cell>
          <cell r="T943">
            <v>34.435000000000002</v>
          </cell>
        </row>
        <row r="944">
          <cell r="G944">
            <v>42309</v>
          </cell>
          <cell r="L944" t="str">
            <v>06-06-162-96W1</v>
          </cell>
          <cell r="O944">
            <v>840.7</v>
          </cell>
          <cell r="Q944">
            <v>0.15</v>
          </cell>
          <cell r="T944">
            <v>34.027000000000001</v>
          </cell>
        </row>
        <row r="945">
          <cell r="G945">
            <v>42309</v>
          </cell>
          <cell r="L945" t="str">
            <v>02-06-144-97W1</v>
          </cell>
          <cell r="O945">
            <v>833</v>
          </cell>
          <cell r="Q945">
            <v>0.37</v>
          </cell>
          <cell r="T945">
            <v>33.976999999999997</v>
          </cell>
        </row>
        <row r="946">
          <cell r="G946">
            <v>42309</v>
          </cell>
          <cell r="L946" t="str">
            <v>01-05-152-88W1</v>
          </cell>
          <cell r="O946">
            <v>868.4</v>
          </cell>
          <cell r="Q946">
            <v>1.04</v>
          </cell>
          <cell r="T946">
            <v>33.573</v>
          </cell>
        </row>
        <row r="947">
          <cell r="G947">
            <v>42309</v>
          </cell>
          <cell r="L947" t="str">
            <v>13-26-007-05W2</v>
          </cell>
          <cell r="O947">
            <v>864.9</v>
          </cell>
          <cell r="Q947">
            <v>1.18</v>
          </cell>
          <cell r="T947">
            <v>33.572000000000003</v>
          </cell>
        </row>
        <row r="948">
          <cell r="G948">
            <v>42309</v>
          </cell>
          <cell r="L948" t="str">
            <v>10-30-147-97W1</v>
          </cell>
          <cell r="O948">
            <v>822.5</v>
          </cell>
          <cell r="Q948">
            <v>0.46</v>
          </cell>
          <cell r="T948">
            <v>33.554000000000002</v>
          </cell>
        </row>
        <row r="949">
          <cell r="G949">
            <v>42309</v>
          </cell>
          <cell r="L949" t="str">
            <v>15-01-144-102W1</v>
          </cell>
          <cell r="O949">
            <v>851.8</v>
          </cell>
          <cell r="Q949">
            <v>0.82</v>
          </cell>
          <cell r="T949">
            <v>33.101999999999997</v>
          </cell>
        </row>
        <row r="950">
          <cell r="G950">
            <v>42309</v>
          </cell>
          <cell r="L950" t="str">
            <v>01-25-150-98W1</v>
          </cell>
          <cell r="O950">
            <v>818.8</v>
          </cell>
          <cell r="Q950">
            <v>0.12</v>
          </cell>
          <cell r="T950">
            <v>33.057000000000002</v>
          </cell>
        </row>
        <row r="951">
          <cell r="G951">
            <v>42309</v>
          </cell>
          <cell r="L951" t="str">
            <v>01-05-161-95W1</v>
          </cell>
          <cell r="O951">
            <v>834.2</v>
          </cell>
          <cell r="Q951">
            <v>0.63</v>
          </cell>
          <cell r="T951">
            <v>32.854999999999997</v>
          </cell>
        </row>
        <row r="952">
          <cell r="G952">
            <v>42309</v>
          </cell>
          <cell r="L952" t="str">
            <v>02-23-144-102W1</v>
          </cell>
          <cell r="O952">
            <v>817.1</v>
          </cell>
          <cell r="Q952">
            <v>0.91</v>
          </cell>
          <cell r="T952">
            <v>32.851999999999997</v>
          </cell>
        </row>
        <row r="953">
          <cell r="G953">
            <v>42309</v>
          </cell>
          <cell r="L953" t="str">
            <v>01-25-156-93W1</v>
          </cell>
          <cell r="O953">
            <v>836.1</v>
          </cell>
          <cell r="Q953">
            <v>0.16</v>
          </cell>
          <cell r="T953">
            <v>32.796999999999997</v>
          </cell>
        </row>
        <row r="954">
          <cell r="G954">
            <v>42309</v>
          </cell>
          <cell r="L954" t="str">
            <v>01-03-153-95W1</v>
          </cell>
          <cell r="O954">
            <v>837.2</v>
          </cell>
          <cell r="Q954">
            <v>0.28999999999999998</v>
          </cell>
          <cell r="T954">
            <v>32.652000000000001</v>
          </cell>
        </row>
        <row r="955">
          <cell r="G955">
            <v>42309</v>
          </cell>
          <cell r="L955" t="str">
            <v>01-26-152-96W1</v>
          </cell>
          <cell r="O955">
            <v>826.9</v>
          </cell>
          <cell r="Q955">
            <v>0.65</v>
          </cell>
          <cell r="T955">
            <v>32.433999999999997</v>
          </cell>
        </row>
        <row r="956">
          <cell r="G956">
            <v>42309</v>
          </cell>
          <cell r="L956" t="str">
            <v>01-28-152-101W1</v>
          </cell>
          <cell r="O956">
            <v>827.5</v>
          </cell>
          <cell r="Q956">
            <v>0.43</v>
          </cell>
          <cell r="T956">
            <v>31.692</v>
          </cell>
        </row>
        <row r="957">
          <cell r="G957">
            <v>42309</v>
          </cell>
          <cell r="L957" t="str">
            <v>04-04-157-95W1</v>
          </cell>
          <cell r="O957">
            <v>842.9</v>
          </cell>
          <cell r="Q957">
            <v>0.62</v>
          </cell>
          <cell r="T957">
            <v>31.402000000000001</v>
          </cell>
        </row>
        <row r="958">
          <cell r="G958">
            <v>42309</v>
          </cell>
          <cell r="L958" t="str">
            <v>01-33-164-91W1</v>
          </cell>
          <cell r="O958">
            <v>840.6</v>
          </cell>
          <cell r="Q958">
            <v>0.53</v>
          </cell>
          <cell r="T958">
            <v>30.015000000000001</v>
          </cell>
        </row>
        <row r="959">
          <cell r="G959">
            <v>42309</v>
          </cell>
          <cell r="L959" t="str">
            <v>01-32-164-01W1</v>
          </cell>
          <cell r="O959">
            <v>838.5</v>
          </cell>
          <cell r="Q959">
            <v>0.47</v>
          </cell>
          <cell r="T959">
            <v>29.712</v>
          </cell>
        </row>
        <row r="960">
          <cell r="G960">
            <v>42309</v>
          </cell>
          <cell r="L960" t="str">
            <v>26-35-163-97W1</v>
          </cell>
          <cell r="O960">
            <v>844.2</v>
          </cell>
          <cell r="Q960">
            <v>0.19</v>
          </cell>
          <cell r="T960">
            <v>29.626999999999999</v>
          </cell>
        </row>
        <row r="961">
          <cell r="G961">
            <v>42309</v>
          </cell>
          <cell r="L961" t="str">
            <v>06-03-002-04W2</v>
          </cell>
          <cell r="O961">
            <v>842.7</v>
          </cell>
          <cell r="Q961">
            <v>0.48</v>
          </cell>
          <cell r="T961">
            <v>29.393999999999998</v>
          </cell>
        </row>
        <row r="962">
          <cell r="G962">
            <v>42309</v>
          </cell>
          <cell r="L962" t="str">
            <v>01-18-163-92W1</v>
          </cell>
          <cell r="O962">
            <v>836.9</v>
          </cell>
          <cell r="Q962">
            <v>0.71</v>
          </cell>
          <cell r="T962">
            <v>29.352</v>
          </cell>
        </row>
        <row r="963">
          <cell r="G963">
            <v>42309</v>
          </cell>
          <cell r="L963" t="str">
            <v>14-18-163-95W1</v>
          </cell>
          <cell r="O963">
            <v>855.4</v>
          </cell>
          <cell r="Q963">
            <v>1.1399999999999999</v>
          </cell>
          <cell r="T963">
            <v>28.571000000000002</v>
          </cell>
        </row>
        <row r="964">
          <cell r="G964">
            <v>42309</v>
          </cell>
          <cell r="L964" t="str">
            <v>03-01-158-95W1</v>
          </cell>
          <cell r="O964">
            <v>829.5</v>
          </cell>
          <cell r="Q964">
            <v>0.61</v>
          </cell>
          <cell r="T964">
            <v>28.28</v>
          </cell>
        </row>
        <row r="965">
          <cell r="G965">
            <v>42309</v>
          </cell>
          <cell r="L965" t="str">
            <v>01-21-159-94W1</v>
          </cell>
          <cell r="O965">
            <v>844.9</v>
          </cell>
          <cell r="Q965">
            <v>0.5</v>
          </cell>
          <cell r="T965">
            <v>28.24</v>
          </cell>
        </row>
        <row r="966">
          <cell r="G966">
            <v>42309</v>
          </cell>
          <cell r="L966" t="str">
            <v>04-03-157-95W1</v>
          </cell>
          <cell r="O966">
            <v>835.9</v>
          </cell>
          <cell r="Q966">
            <v>0.75</v>
          </cell>
          <cell r="T966">
            <v>27.535</v>
          </cell>
        </row>
        <row r="967">
          <cell r="G967">
            <v>42309</v>
          </cell>
          <cell r="L967" t="str">
            <v>03-03-157-95W1</v>
          </cell>
          <cell r="O967">
            <v>832.6</v>
          </cell>
          <cell r="Q967">
            <v>0.51</v>
          </cell>
          <cell r="T967">
            <v>27.02</v>
          </cell>
        </row>
        <row r="968">
          <cell r="G968">
            <v>42309</v>
          </cell>
          <cell r="L968" t="str">
            <v>99-31-160-94W1</v>
          </cell>
          <cell r="O968">
            <v>815.9</v>
          </cell>
          <cell r="Q968">
            <v>0.25</v>
          </cell>
          <cell r="T968">
            <v>26.640999999999998</v>
          </cell>
        </row>
        <row r="969">
          <cell r="G969">
            <v>42309</v>
          </cell>
          <cell r="L969" t="str">
            <v>11-21-163-89W1</v>
          </cell>
          <cell r="O969">
            <v>839</v>
          </cell>
          <cell r="Q969">
            <v>0.5</v>
          </cell>
          <cell r="T969">
            <v>25.265000000000001</v>
          </cell>
        </row>
        <row r="970">
          <cell r="G970">
            <v>42309</v>
          </cell>
          <cell r="L970" t="str">
            <v>01-02-158-95W1</v>
          </cell>
          <cell r="O970">
            <v>829.4</v>
          </cell>
          <cell r="Q970">
            <v>0.53</v>
          </cell>
          <cell r="T970">
            <v>25.193999999999999</v>
          </cell>
        </row>
        <row r="971">
          <cell r="G971">
            <v>42309</v>
          </cell>
          <cell r="L971" t="str">
            <v>34-02-157-95W1</v>
          </cell>
          <cell r="O971">
            <v>846</v>
          </cell>
          <cell r="Q971">
            <v>0.82</v>
          </cell>
          <cell r="T971">
            <v>23.062000000000001</v>
          </cell>
        </row>
        <row r="972">
          <cell r="G972">
            <v>42309</v>
          </cell>
          <cell r="L972" t="str">
            <v>01-11-161-92W1</v>
          </cell>
          <cell r="O972">
            <v>853.5</v>
          </cell>
          <cell r="Q972">
            <v>0.77</v>
          </cell>
          <cell r="T972">
            <v>22.847000000000001</v>
          </cell>
        </row>
        <row r="973">
          <cell r="G973">
            <v>42309</v>
          </cell>
          <cell r="L973" t="str">
            <v>01-29-162-92W1</v>
          </cell>
          <cell r="O973">
            <v>844.5</v>
          </cell>
          <cell r="Q973">
            <v>0.55000000000000004</v>
          </cell>
          <cell r="T973">
            <v>22.826000000000001</v>
          </cell>
        </row>
        <row r="974">
          <cell r="G974">
            <v>42309</v>
          </cell>
          <cell r="L974" t="str">
            <v>02-11-163-97W1</v>
          </cell>
          <cell r="O974">
            <v>855.4</v>
          </cell>
          <cell r="Q974">
            <v>0.1</v>
          </cell>
          <cell r="T974">
            <v>22.094999999999999</v>
          </cell>
        </row>
        <row r="975">
          <cell r="G975">
            <v>42309</v>
          </cell>
          <cell r="L975" t="str">
            <v>01-24-144-98W1</v>
          </cell>
          <cell r="O975">
            <v>832.5</v>
          </cell>
          <cell r="Q975">
            <v>0.61</v>
          </cell>
          <cell r="T975">
            <v>20.792000000000002</v>
          </cell>
        </row>
        <row r="976">
          <cell r="G976">
            <v>42309</v>
          </cell>
          <cell r="L976" t="str">
            <v>01-26-144-98W1</v>
          </cell>
          <cell r="O976">
            <v>836.6</v>
          </cell>
          <cell r="Q976">
            <v>0.47</v>
          </cell>
          <cell r="T976">
            <v>20.52</v>
          </cell>
        </row>
        <row r="977">
          <cell r="G977">
            <v>42309</v>
          </cell>
          <cell r="L977" t="str">
            <v>16-21-001-05W2</v>
          </cell>
          <cell r="O977">
            <v>828.9</v>
          </cell>
          <cell r="Q977">
            <v>0.52</v>
          </cell>
          <cell r="T977">
            <v>4725.9549999999999</v>
          </cell>
        </row>
        <row r="978">
          <cell r="G978">
            <v>42309</v>
          </cell>
          <cell r="L978" t="str">
            <v>14-13-001-05W2</v>
          </cell>
          <cell r="O978">
            <v>822.9</v>
          </cell>
          <cell r="Q978">
            <v>0.48</v>
          </cell>
          <cell r="T978">
            <v>1884.664</v>
          </cell>
        </row>
        <row r="979">
          <cell r="G979">
            <v>42309</v>
          </cell>
          <cell r="L979" t="str">
            <v>07-23-010-06W2</v>
          </cell>
          <cell r="O979">
            <v>846.5</v>
          </cell>
          <cell r="Q979">
            <v>1.51</v>
          </cell>
          <cell r="T979">
            <v>489.11099999999999</v>
          </cell>
        </row>
        <row r="980">
          <cell r="G980">
            <v>42309</v>
          </cell>
          <cell r="L980" t="str">
            <v>01-36-003-03W2</v>
          </cell>
          <cell r="O980">
            <v>840</v>
          </cell>
          <cell r="Q980">
            <v>0.76</v>
          </cell>
          <cell r="T980">
            <v>449.73200000000003</v>
          </cell>
        </row>
        <row r="981">
          <cell r="G981">
            <v>42309</v>
          </cell>
          <cell r="L981" t="str">
            <v>05-36-002-03W2</v>
          </cell>
          <cell r="O981">
            <v>832.8</v>
          </cell>
          <cell r="Q981">
            <v>0.67</v>
          </cell>
          <cell r="T981">
            <v>259.08800000000002</v>
          </cell>
        </row>
        <row r="982">
          <cell r="G982">
            <v>42309</v>
          </cell>
          <cell r="L982" t="str">
            <v>01-16-002-03W2</v>
          </cell>
          <cell r="O982">
            <v>850.2</v>
          </cell>
          <cell r="Q982">
            <v>0.61</v>
          </cell>
          <cell r="T982">
            <v>228.52</v>
          </cell>
        </row>
        <row r="983">
          <cell r="G983">
            <v>42309</v>
          </cell>
          <cell r="L983" t="str">
            <v>08-17-005-03W2</v>
          </cell>
          <cell r="O983">
            <v>861.2</v>
          </cell>
          <cell r="Q983">
            <v>1.41</v>
          </cell>
          <cell r="T983">
            <v>144.15899999999999</v>
          </cell>
        </row>
        <row r="984">
          <cell r="G984">
            <v>42309</v>
          </cell>
          <cell r="L984" t="str">
            <v>09-26-007-05W2</v>
          </cell>
          <cell r="O984">
            <v>865.8</v>
          </cell>
          <cell r="Q984">
            <v>1.67</v>
          </cell>
          <cell r="T984">
            <v>59.015000000000001</v>
          </cell>
        </row>
        <row r="985">
          <cell r="G985">
            <v>42309</v>
          </cell>
          <cell r="L985" t="str">
            <v>12-22-010-05W2</v>
          </cell>
          <cell r="O985">
            <v>865.4</v>
          </cell>
          <cell r="Q985">
            <v>1.88</v>
          </cell>
          <cell r="T985">
            <v>32.375999999999998</v>
          </cell>
        </row>
        <row r="986">
          <cell r="G986">
            <v>42309</v>
          </cell>
          <cell r="L986" t="str">
            <v>05-16-006-13W2</v>
          </cell>
          <cell r="O986">
            <v>871.1</v>
          </cell>
          <cell r="Q986">
            <v>2.41</v>
          </cell>
          <cell r="T986">
            <v>113621.71</v>
          </cell>
        </row>
        <row r="987">
          <cell r="G987">
            <v>42309</v>
          </cell>
          <cell r="L987" t="str">
            <v>08-28-005-33W1</v>
          </cell>
          <cell r="O987">
            <v>819.4</v>
          </cell>
          <cell r="Q987">
            <v>1.02</v>
          </cell>
          <cell r="T987">
            <v>110681.443</v>
          </cell>
        </row>
        <row r="988">
          <cell r="G988">
            <v>42309</v>
          </cell>
          <cell r="L988" t="str">
            <v>14-13-002-02W2</v>
          </cell>
          <cell r="O988">
            <v>822.7</v>
          </cell>
          <cell r="Q988">
            <v>0.54</v>
          </cell>
          <cell r="T988">
            <v>2826.9430000000002</v>
          </cell>
        </row>
        <row r="989">
          <cell r="G989">
            <v>42309</v>
          </cell>
          <cell r="L989" t="str">
            <v>16-03-008-33W1</v>
          </cell>
          <cell r="O989">
            <v>842.5</v>
          </cell>
          <cell r="Q989">
            <v>1.25</v>
          </cell>
          <cell r="T989">
            <v>1602.9939999999999</v>
          </cell>
        </row>
        <row r="990">
          <cell r="G990">
            <v>42309</v>
          </cell>
          <cell r="L990" t="str">
            <v>01-35-007-01W2</v>
          </cell>
          <cell r="O990">
            <v>845.2</v>
          </cell>
          <cell r="Q990">
            <v>1.1399999999999999</v>
          </cell>
          <cell r="T990">
            <v>1293.5</v>
          </cell>
        </row>
        <row r="991">
          <cell r="G991">
            <v>42309</v>
          </cell>
          <cell r="L991" t="str">
            <v>05-18-004-02W2</v>
          </cell>
          <cell r="O991">
            <v>847.8</v>
          </cell>
          <cell r="Q991">
            <v>1.1299999999999999</v>
          </cell>
          <cell r="T991">
            <v>1093.615</v>
          </cell>
        </row>
        <row r="992">
          <cell r="G992">
            <v>42309</v>
          </cell>
          <cell r="L992" t="str">
            <v>16-04-006-32W1</v>
          </cell>
          <cell r="O992">
            <v>838.6</v>
          </cell>
          <cell r="Q992">
            <v>1.07</v>
          </cell>
          <cell r="T992">
            <v>985.97500000000002</v>
          </cell>
        </row>
        <row r="993">
          <cell r="G993">
            <v>42309</v>
          </cell>
          <cell r="L993" t="str">
            <v>13-17-005-33W1</v>
          </cell>
          <cell r="O993">
            <v>825.1</v>
          </cell>
          <cell r="Q993">
            <v>0.67</v>
          </cell>
          <cell r="T993">
            <v>806.18600000000004</v>
          </cell>
        </row>
        <row r="994">
          <cell r="G994">
            <v>42309</v>
          </cell>
          <cell r="L994" t="str">
            <v>05-03-009-33W1</v>
          </cell>
          <cell r="O994">
            <v>845.5</v>
          </cell>
          <cell r="Q994">
            <v>1.32</v>
          </cell>
          <cell r="T994">
            <v>783.28300000000002</v>
          </cell>
        </row>
        <row r="995">
          <cell r="G995">
            <v>42309</v>
          </cell>
          <cell r="L995" t="str">
            <v>16-31-001-32W1</v>
          </cell>
          <cell r="O995">
            <v>843.8</v>
          </cell>
          <cell r="Q995">
            <v>1.1000000000000001</v>
          </cell>
          <cell r="T995">
            <v>676.75199999999995</v>
          </cell>
        </row>
        <row r="996">
          <cell r="G996">
            <v>42309</v>
          </cell>
          <cell r="L996" t="str">
            <v>14-19-006-33W1</v>
          </cell>
          <cell r="O996">
            <v>834.4</v>
          </cell>
          <cell r="Q996">
            <v>1.2</v>
          </cell>
          <cell r="T996">
            <v>616.99699999999996</v>
          </cell>
        </row>
        <row r="997">
          <cell r="G997">
            <v>42309</v>
          </cell>
          <cell r="L997" t="str">
            <v>01-03-003-33W1</v>
          </cell>
          <cell r="O997">
            <v>849.2</v>
          </cell>
          <cell r="Q997">
            <v>0.93</v>
          </cell>
          <cell r="T997">
            <v>555.77700000000004</v>
          </cell>
        </row>
        <row r="998">
          <cell r="G998">
            <v>42309</v>
          </cell>
          <cell r="L998" t="str">
            <v>13-03-006-34W1</v>
          </cell>
          <cell r="O998">
            <v>840.6</v>
          </cell>
          <cell r="Q998">
            <v>1.1599999999999999</v>
          </cell>
          <cell r="T998">
            <v>534.452</v>
          </cell>
        </row>
        <row r="999">
          <cell r="G999">
            <v>42309</v>
          </cell>
          <cell r="L999" t="str">
            <v>04-11-004-32W1</v>
          </cell>
          <cell r="O999">
            <v>853.1</v>
          </cell>
          <cell r="Q999">
            <v>1.57</v>
          </cell>
          <cell r="T999">
            <v>284.71899999999999</v>
          </cell>
        </row>
        <row r="1000">
          <cell r="G1000">
            <v>42309</v>
          </cell>
          <cell r="L1000" t="str">
            <v>10-17-007-33W1</v>
          </cell>
          <cell r="O1000">
            <v>843.1</v>
          </cell>
          <cell r="Q1000">
            <v>1.17</v>
          </cell>
          <cell r="T1000">
            <v>283.25299999999999</v>
          </cell>
        </row>
        <row r="1001">
          <cell r="G1001">
            <v>42309</v>
          </cell>
          <cell r="L1001" t="str">
            <v>16-16-006-02W2</v>
          </cell>
          <cell r="O1001">
            <v>850.3</v>
          </cell>
          <cell r="Q1001">
            <v>1.1399999999999999</v>
          </cell>
          <cell r="T1001">
            <v>273.86099999999999</v>
          </cell>
        </row>
        <row r="1002">
          <cell r="G1002">
            <v>42309</v>
          </cell>
          <cell r="L1002" t="str">
            <v>14-23-005-02W2</v>
          </cell>
          <cell r="O1002">
            <v>850.1</v>
          </cell>
          <cell r="Q1002">
            <v>1.35</v>
          </cell>
          <cell r="T1002">
            <v>267.928</v>
          </cell>
        </row>
        <row r="1003">
          <cell r="G1003">
            <v>42309</v>
          </cell>
          <cell r="L1003" t="str">
            <v>13-13-002-33W1</v>
          </cell>
          <cell r="O1003">
            <v>840.8</v>
          </cell>
          <cell r="Q1003">
            <v>0.72</v>
          </cell>
          <cell r="T1003">
            <v>257.23099999999999</v>
          </cell>
        </row>
        <row r="1004">
          <cell r="G1004">
            <v>42309</v>
          </cell>
          <cell r="L1004" t="str">
            <v>04-05-006-02W2</v>
          </cell>
          <cell r="O1004">
            <v>844.4</v>
          </cell>
          <cell r="Q1004">
            <v>1.17</v>
          </cell>
          <cell r="T1004">
            <v>242.959</v>
          </cell>
        </row>
        <row r="1005">
          <cell r="G1005">
            <v>42309</v>
          </cell>
          <cell r="L1005" t="str">
            <v>09-24-001-01W2</v>
          </cell>
          <cell r="O1005">
            <v>827</v>
          </cell>
          <cell r="Q1005">
            <v>0.56999999999999995</v>
          </cell>
          <cell r="T1005">
            <v>182</v>
          </cell>
        </row>
        <row r="1006">
          <cell r="G1006">
            <v>42309</v>
          </cell>
          <cell r="L1006" t="str">
            <v>01-01-010-04W2</v>
          </cell>
          <cell r="O1006">
            <v>853.3</v>
          </cell>
          <cell r="Q1006">
            <v>1.41</v>
          </cell>
          <cell r="T1006">
            <v>177.05799999999999</v>
          </cell>
        </row>
        <row r="1007">
          <cell r="G1007">
            <v>42309</v>
          </cell>
          <cell r="L1007" t="str">
            <v>01-06-002-32W1</v>
          </cell>
          <cell r="O1007">
            <v>826.4</v>
          </cell>
          <cell r="Q1007">
            <v>0.81</v>
          </cell>
          <cell r="T1007">
            <v>138.392</v>
          </cell>
        </row>
        <row r="1008">
          <cell r="G1008">
            <v>42309</v>
          </cell>
          <cell r="L1008" t="str">
            <v>05-31-002-01W2</v>
          </cell>
          <cell r="O1008">
            <v>818.9</v>
          </cell>
          <cell r="Q1008">
            <v>0.47</v>
          </cell>
          <cell r="T1008">
            <v>125.111</v>
          </cell>
        </row>
        <row r="1009">
          <cell r="G1009">
            <v>42309</v>
          </cell>
          <cell r="L1009" t="str">
            <v>11-25-001-02W2</v>
          </cell>
          <cell r="O1009">
            <v>830.5</v>
          </cell>
          <cell r="Q1009">
            <v>0.59</v>
          </cell>
          <cell r="T1009">
            <v>109.211</v>
          </cell>
        </row>
        <row r="1010">
          <cell r="G1010">
            <v>42309</v>
          </cell>
          <cell r="L1010" t="str">
            <v>10-29-005-33W1</v>
          </cell>
          <cell r="O1010">
            <v>831.9</v>
          </cell>
          <cell r="Q1010">
            <v>0.87</v>
          </cell>
          <cell r="T1010">
            <v>107.91500000000001</v>
          </cell>
        </row>
        <row r="1011">
          <cell r="G1011">
            <v>42309</v>
          </cell>
          <cell r="L1011" t="str">
            <v>15-31-001-31W1</v>
          </cell>
          <cell r="O1011">
            <v>872.5</v>
          </cell>
          <cell r="Q1011">
            <v>1.64</v>
          </cell>
          <cell r="T1011">
            <v>102.974</v>
          </cell>
        </row>
        <row r="1012">
          <cell r="G1012">
            <v>42309</v>
          </cell>
          <cell r="L1012" t="str">
            <v>13-12-007-03W2</v>
          </cell>
          <cell r="O1012">
            <v>852.1</v>
          </cell>
          <cell r="Q1012">
            <v>1.38</v>
          </cell>
          <cell r="T1012">
            <v>91.843000000000004</v>
          </cell>
        </row>
        <row r="1013">
          <cell r="G1013">
            <v>42309</v>
          </cell>
          <cell r="L1013" t="str">
            <v>16-24-001-34W1</v>
          </cell>
          <cell r="O1013">
            <v>869.8</v>
          </cell>
          <cell r="Q1013">
            <v>1.62</v>
          </cell>
          <cell r="T1013">
            <v>87.784000000000006</v>
          </cell>
        </row>
        <row r="1014">
          <cell r="G1014">
            <v>42309</v>
          </cell>
          <cell r="L1014" t="str">
            <v>02-14-006-02W2</v>
          </cell>
          <cell r="O1014">
            <v>847</v>
          </cell>
          <cell r="Q1014">
            <v>1.1599999999999999</v>
          </cell>
          <cell r="T1014">
            <v>71.671000000000006</v>
          </cell>
        </row>
        <row r="1015">
          <cell r="G1015">
            <v>42309</v>
          </cell>
          <cell r="L1015" t="str">
            <v>14-24-001-02W2</v>
          </cell>
          <cell r="O1015">
            <v>852.5</v>
          </cell>
          <cell r="Q1015">
            <v>0.79</v>
          </cell>
          <cell r="T1015">
            <v>65.302000000000007</v>
          </cell>
        </row>
        <row r="1016">
          <cell r="G1016">
            <v>42309</v>
          </cell>
          <cell r="L1016" t="str">
            <v>08-21-004-01W2</v>
          </cell>
          <cell r="O1016">
            <v>769.6</v>
          </cell>
          <cell r="Q1016">
            <v>0.92</v>
          </cell>
          <cell r="T1016">
            <v>64.284000000000006</v>
          </cell>
        </row>
        <row r="1017">
          <cell r="G1017">
            <v>42309</v>
          </cell>
          <cell r="L1017" t="str">
            <v>16-15-008-03W2</v>
          </cell>
          <cell r="O1017">
            <v>856.4</v>
          </cell>
          <cell r="Q1017">
            <v>1.54</v>
          </cell>
          <cell r="T1017">
            <v>60.804000000000002</v>
          </cell>
        </row>
        <row r="1018">
          <cell r="G1018">
            <v>42309</v>
          </cell>
          <cell r="L1018" t="str">
            <v>03-19-001-31W1</v>
          </cell>
          <cell r="O1018">
            <v>864.7</v>
          </cell>
          <cell r="Q1018">
            <v>1.61</v>
          </cell>
          <cell r="T1018">
            <v>58.962000000000003</v>
          </cell>
        </row>
        <row r="1019">
          <cell r="G1019">
            <v>42309</v>
          </cell>
          <cell r="L1019" t="str">
            <v>09-01-002-34W1</v>
          </cell>
          <cell r="O1019">
            <v>828.6</v>
          </cell>
          <cell r="Q1019">
            <v>0.55000000000000004</v>
          </cell>
          <cell r="T1019">
            <v>56.625</v>
          </cell>
        </row>
        <row r="1020">
          <cell r="G1020">
            <v>42309</v>
          </cell>
          <cell r="L1020" t="str">
            <v>11-25-001-32W1</v>
          </cell>
          <cell r="O1020">
            <v>854.4</v>
          </cell>
          <cell r="Q1020">
            <v>1.62</v>
          </cell>
          <cell r="T1020">
            <v>29.72</v>
          </cell>
        </row>
        <row r="1021">
          <cell r="G1021">
            <v>42309</v>
          </cell>
          <cell r="L1021" t="str">
            <v>16-07-006-02W2</v>
          </cell>
          <cell r="O1021">
            <v>858.7</v>
          </cell>
          <cell r="Q1021">
            <v>1.22</v>
          </cell>
          <cell r="T1021">
            <v>25.042000000000002</v>
          </cell>
        </row>
        <row r="1022">
          <cell r="G1022">
            <v>42309</v>
          </cell>
          <cell r="L1022" t="str">
            <v>07-26-005-02W2</v>
          </cell>
          <cell r="O1022">
            <v>847.7</v>
          </cell>
          <cell r="Q1022">
            <v>1.1599999999999999</v>
          </cell>
          <cell r="T1022">
            <v>17.366</v>
          </cell>
        </row>
        <row r="1023">
          <cell r="G1023">
            <v>42309</v>
          </cell>
          <cell r="L1023" t="str">
            <v>15-09-007-03W2</v>
          </cell>
          <cell r="O1023">
            <v>846.5</v>
          </cell>
          <cell r="Q1023">
            <v>1.29</v>
          </cell>
          <cell r="T1023">
            <v>1977.8689999999999</v>
          </cell>
        </row>
        <row r="1024">
          <cell r="G1024">
            <v>42309</v>
          </cell>
          <cell r="L1024" t="str">
            <v>04-36-004-02W2</v>
          </cell>
          <cell r="O1024">
            <v>853.2</v>
          </cell>
          <cell r="Q1024">
            <v>1.64</v>
          </cell>
          <cell r="T1024">
            <v>512.01900000000001</v>
          </cell>
        </row>
        <row r="1025">
          <cell r="G1025">
            <v>42309</v>
          </cell>
          <cell r="L1025" t="str">
            <v>11-27-005-33W1</v>
          </cell>
          <cell r="O1025">
            <v>822.2</v>
          </cell>
          <cell r="Q1025">
            <v>0.72</v>
          </cell>
          <cell r="T1025">
            <v>316.79399999999998</v>
          </cell>
        </row>
        <row r="1026">
          <cell r="G1026">
            <v>42309</v>
          </cell>
          <cell r="L1026" t="str">
            <v>07-31-005-33W1</v>
          </cell>
          <cell r="O1026">
            <v>821.3</v>
          </cell>
          <cell r="Q1026">
            <v>0.68</v>
          </cell>
          <cell r="T1026">
            <v>197.03700000000001</v>
          </cell>
        </row>
        <row r="1027">
          <cell r="G1027">
            <v>42309</v>
          </cell>
          <cell r="L1027" t="str">
            <v>13-14-010-05W2</v>
          </cell>
          <cell r="O1027">
            <v>847.9</v>
          </cell>
          <cell r="Q1027">
            <v>1.54</v>
          </cell>
          <cell r="T1027">
            <v>150.53</v>
          </cell>
        </row>
        <row r="1028">
          <cell r="G1028">
            <v>42309</v>
          </cell>
          <cell r="L1028" t="str">
            <v>04-05-007-33W1</v>
          </cell>
          <cell r="O1028">
            <v>840.8</v>
          </cell>
          <cell r="Q1028">
            <v>1.2</v>
          </cell>
          <cell r="T1028">
            <v>83.555000000000007</v>
          </cell>
        </row>
        <row r="1029">
          <cell r="G1029">
            <v>42309</v>
          </cell>
          <cell r="L1029" t="str">
            <v>02-15-006-01W2</v>
          </cell>
          <cell r="O1029">
            <v>844.2</v>
          </cell>
          <cell r="Q1029">
            <v>1.1200000000000001</v>
          </cell>
          <cell r="T1029">
            <v>62.283000000000001</v>
          </cell>
        </row>
        <row r="1030">
          <cell r="G1030">
            <v>42309</v>
          </cell>
          <cell r="L1030" t="str">
            <v>03-03-002-34W1</v>
          </cell>
          <cell r="O1030">
            <v>847.8</v>
          </cell>
          <cell r="Q1030">
            <v>0.64</v>
          </cell>
          <cell r="T1030">
            <v>60.719000000000001</v>
          </cell>
        </row>
        <row r="1031">
          <cell r="G1031">
            <v>42309</v>
          </cell>
          <cell r="L1031" t="str">
            <v>14-04-006-33W1</v>
          </cell>
          <cell r="O1031">
            <v>831.9</v>
          </cell>
          <cell r="Q1031">
            <v>0.85</v>
          </cell>
          <cell r="T1031">
            <v>47.154000000000003</v>
          </cell>
        </row>
        <row r="1032">
          <cell r="G1032">
            <v>42309</v>
          </cell>
          <cell r="L1032" t="str">
            <v>08-36-003-34W1</v>
          </cell>
          <cell r="O1032">
            <v>845.8</v>
          </cell>
          <cell r="Q1032">
            <v>1.1599999999999999</v>
          </cell>
          <cell r="T1032">
            <v>33.323</v>
          </cell>
        </row>
        <row r="1033">
          <cell r="G1033">
            <v>42309</v>
          </cell>
          <cell r="L1033" t="str">
            <v>ALStream</v>
          </cell>
          <cell r="T1033">
            <v>0</v>
          </cell>
        </row>
        <row r="1034">
          <cell r="G1034">
            <v>42309</v>
          </cell>
          <cell r="L1034" t="str">
            <v>MWStream</v>
          </cell>
          <cell r="T1034">
            <v>0</v>
          </cell>
        </row>
        <row r="1035">
          <cell r="G1035">
            <v>42309</v>
          </cell>
          <cell r="L1035" t="str">
            <v>ALStream</v>
          </cell>
          <cell r="O1035">
            <v>830.2</v>
          </cell>
          <cell r="Q1035">
            <v>1</v>
          </cell>
          <cell r="T1035">
            <v>-85543.207999999999</v>
          </cell>
        </row>
        <row r="1036">
          <cell r="G1036">
            <v>42309</v>
          </cell>
          <cell r="L1036" t="str">
            <v>MWStream</v>
          </cell>
          <cell r="O1036">
            <v>833.8</v>
          </cell>
          <cell r="Q1036">
            <v>1.22</v>
          </cell>
          <cell r="T1036">
            <v>-15604.67</v>
          </cell>
        </row>
        <row r="1037">
          <cell r="G1037">
            <v>42339</v>
          </cell>
          <cell r="L1037" t="str">
            <v>12-09-004-33W1</v>
          </cell>
          <cell r="O1037">
            <v>831.4</v>
          </cell>
          <cell r="Q1037">
            <v>0.66</v>
          </cell>
          <cell r="T1037">
            <v>46.426000000000002</v>
          </cell>
        </row>
        <row r="1038">
          <cell r="G1038">
            <v>42339</v>
          </cell>
          <cell r="L1038" t="str">
            <v>01-15-005-32W1</v>
          </cell>
          <cell r="O1038">
            <v>852.2</v>
          </cell>
          <cell r="Q1038">
            <v>0.98</v>
          </cell>
          <cell r="T1038">
            <v>64.929000000000002</v>
          </cell>
        </row>
        <row r="1039">
          <cell r="G1039">
            <v>42339</v>
          </cell>
          <cell r="L1039" t="str">
            <v>09-26-004-32W1</v>
          </cell>
          <cell r="O1039">
            <v>864.7</v>
          </cell>
          <cell r="Q1039">
            <v>1.52</v>
          </cell>
          <cell r="T1039">
            <v>71.650999999999996</v>
          </cell>
        </row>
        <row r="1040">
          <cell r="G1040">
            <v>42339</v>
          </cell>
          <cell r="L1040" t="str">
            <v>13-34-007-14W2</v>
          </cell>
          <cell r="O1040">
            <v>860.4</v>
          </cell>
          <cell r="Q1040">
            <v>2.08</v>
          </cell>
          <cell r="T1040">
            <v>82.798000000000002</v>
          </cell>
        </row>
        <row r="1041">
          <cell r="G1041">
            <v>42339</v>
          </cell>
          <cell r="L1041" t="str">
            <v>07-30-007-05W2</v>
          </cell>
          <cell r="O1041">
            <v>854.3</v>
          </cell>
          <cell r="Q1041">
            <v>1.42</v>
          </cell>
          <cell r="T1041">
            <v>84.197000000000003</v>
          </cell>
        </row>
        <row r="1042">
          <cell r="G1042">
            <v>42339</v>
          </cell>
          <cell r="L1042" t="str">
            <v>08-18-011-03W2</v>
          </cell>
          <cell r="O1042">
            <v>856.1</v>
          </cell>
          <cell r="Q1042">
            <v>1.87</v>
          </cell>
          <cell r="T1042">
            <v>94.649000000000001</v>
          </cell>
        </row>
        <row r="1043">
          <cell r="G1043">
            <v>42339</v>
          </cell>
          <cell r="L1043" t="str">
            <v>02-14-010-01W2</v>
          </cell>
          <cell r="O1043">
            <v>854.6</v>
          </cell>
          <cell r="Q1043">
            <v>1.69</v>
          </cell>
          <cell r="T1043">
            <v>835.53300000000002</v>
          </cell>
        </row>
        <row r="1044">
          <cell r="G1044">
            <v>42339</v>
          </cell>
          <cell r="L1044" t="str">
            <v>05-28-009-01W2</v>
          </cell>
          <cell r="O1044">
            <v>866.1</v>
          </cell>
          <cell r="Q1044">
            <v>1.93</v>
          </cell>
          <cell r="T1044">
            <v>113.267</v>
          </cell>
        </row>
        <row r="1045">
          <cell r="G1045">
            <v>42339</v>
          </cell>
          <cell r="L1045" t="str">
            <v>13-31-002-30W1</v>
          </cell>
          <cell r="O1045">
            <v>863.8</v>
          </cell>
          <cell r="Q1045">
            <v>1.88</v>
          </cell>
          <cell r="T1045">
            <v>113.678</v>
          </cell>
        </row>
        <row r="1046">
          <cell r="G1046">
            <v>42339</v>
          </cell>
          <cell r="L1046" t="str">
            <v>02-27-004-33W1</v>
          </cell>
          <cell r="O1046">
            <v>829.6</v>
          </cell>
          <cell r="Q1046">
            <v>0.67</v>
          </cell>
          <cell r="T1046">
            <v>118.423</v>
          </cell>
        </row>
        <row r="1047">
          <cell r="G1047">
            <v>42339</v>
          </cell>
          <cell r="L1047" t="str">
            <v>09-23-002-01W2</v>
          </cell>
          <cell r="O1047">
            <v>843.6</v>
          </cell>
          <cell r="Q1047">
            <v>0.98</v>
          </cell>
          <cell r="T1047">
            <v>120.32599999999999</v>
          </cell>
        </row>
        <row r="1048">
          <cell r="G1048">
            <v>42339</v>
          </cell>
          <cell r="L1048" t="str">
            <v>09-30-002-30W1</v>
          </cell>
          <cell r="O1048">
            <v>871.1</v>
          </cell>
          <cell r="Q1048">
            <v>1.79</v>
          </cell>
          <cell r="T1048">
            <v>129.76300000000001</v>
          </cell>
        </row>
        <row r="1049">
          <cell r="G1049">
            <v>42339</v>
          </cell>
          <cell r="L1049" t="str">
            <v>16-16-010-02W2</v>
          </cell>
          <cell r="O1049">
            <v>857</v>
          </cell>
          <cell r="Q1049">
            <v>1.72</v>
          </cell>
          <cell r="T1049">
            <v>132.53</v>
          </cell>
        </row>
        <row r="1050">
          <cell r="G1050">
            <v>42339</v>
          </cell>
          <cell r="L1050" t="str">
            <v>14-27-001-13W2</v>
          </cell>
          <cell r="O1050">
            <v>803.9</v>
          </cell>
          <cell r="Q1050">
            <v>0.11</v>
          </cell>
          <cell r="T1050">
            <v>4440.2259999999997</v>
          </cell>
        </row>
        <row r="1051">
          <cell r="G1051">
            <v>42339</v>
          </cell>
          <cell r="L1051" t="str">
            <v>01-04-007-09W2</v>
          </cell>
          <cell r="O1051">
            <v>812.3</v>
          </cell>
          <cell r="Q1051">
            <v>0.17</v>
          </cell>
          <cell r="T1051">
            <v>804.03300000000002</v>
          </cell>
        </row>
        <row r="1052">
          <cell r="G1052">
            <v>42339</v>
          </cell>
          <cell r="L1052" t="str">
            <v>15-09-010-08W2</v>
          </cell>
          <cell r="O1052">
            <v>884.3</v>
          </cell>
          <cell r="Q1052">
            <v>2.5</v>
          </cell>
          <cell r="T1052">
            <v>154.24199999999999</v>
          </cell>
        </row>
        <row r="1053">
          <cell r="G1053">
            <v>42339</v>
          </cell>
          <cell r="L1053" t="str">
            <v>13-07-010-09W2</v>
          </cell>
          <cell r="O1053">
            <v>825</v>
          </cell>
          <cell r="Q1053">
            <v>0.31</v>
          </cell>
          <cell r="T1053">
            <v>2247.5740000000001</v>
          </cell>
        </row>
        <row r="1054">
          <cell r="G1054">
            <v>42339</v>
          </cell>
          <cell r="L1054" t="str">
            <v>05-34-005-06W2</v>
          </cell>
          <cell r="O1054">
            <v>878.3</v>
          </cell>
          <cell r="Q1054">
            <v>2.2799999999999998</v>
          </cell>
          <cell r="T1054">
            <v>1185.442</v>
          </cell>
        </row>
        <row r="1055">
          <cell r="G1055">
            <v>42339</v>
          </cell>
          <cell r="L1055" t="str">
            <v>07-36-001-34W1</v>
          </cell>
          <cell r="O1055">
            <v>852.6</v>
          </cell>
          <cell r="Q1055">
            <v>1.61</v>
          </cell>
          <cell r="T1055">
            <v>140.48400000000001</v>
          </cell>
        </row>
        <row r="1056">
          <cell r="G1056">
            <v>42339</v>
          </cell>
          <cell r="L1056" t="str">
            <v>01-19-004-12W2</v>
          </cell>
          <cell r="O1056">
            <v>899</v>
          </cell>
          <cell r="Q1056">
            <v>2.59</v>
          </cell>
          <cell r="T1056">
            <v>154.42599999999999</v>
          </cell>
        </row>
        <row r="1057">
          <cell r="G1057">
            <v>42339</v>
          </cell>
          <cell r="L1057" t="str">
            <v>07-24-001-32W1</v>
          </cell>
          <cell r="O1057">
            <v>858.2</v>
          </cell>
          <cell r="Q1057">
            <v>1.6</v>
          </cell>
          <cell r="T1057">
            <v>142.12700000000001</v>
          </cell>
        </row>
        <row r="1058">
          <cell r="G1058">
            <v>42339</v>
          </cell>
          <cell r="L1058" t="str">
            <v>10-09-004-33W1</v>
          </cell>
          <cell r="O1058">
            <v>845.1</v>
          </cell>
          <cell r="Q1058">
            <v>0.89</v>
          </cell>
          <cell r="T1058">
            <v>144.63399999999999</v>
          </cell>
        </row>
        <row r="1059">
          <cell r="G1059">
            <v>42339</v>
          </cell>
          <cell r="L1059" t="str">
            <v>03-13-006-33W1</v>
          </cell>
          <cell r="O1059">
            <v>830.6</v>
          </cell>
          <cell r="Q1059">
            <v>0.77</v>
          </cell>
          <cell r="T1059">
            <v>147.017</v>
          </cell>
        </row>
        <row r="1060">
          <cell r="G1060">
            <v>42339</v>
          </cell>
          <cell r="L1060" t="str">
            <v>13-35-007-12W2</v>
          </cell>
          <cell r="O1060">
            <v>878.9</v>
          </cell>
          <cell r="Q1060">
            <v>2.1</v>
          </cell>
          <cell r="T1060">
            <v>160.82900000000001</v>
          </cell>
        </row>
        <row r="1061">
          <cell r="G1061">
            <v>42339</v>
          </cell>
          <cell r="L1061" t="str">
            <v>11-28-005-06W2</v>
          </cell>
          <cell r="O1061">
            <v>879.2</v>
          </cell>
          <cell r="Q1061">
            <v>2.27</v>
          </cell>
          <cell r="T1061">
            <v>1412.431</v>
          </cell>
        </row>
        <row r="1062">
          <cell r="G1062">
            <v>42339</v>
          </cell>
          <cell r="L1062" t="str">
            <v>11-23-002-34W1</v>
          </cell>
          <cell r="O1062">
            <v>837.7</v>
          </cell>
          <cell r="Q1062">
            <v>1.63</v>
          </cell>
          <cell r="T1062">
            <v>149.947</v>
          </cell>
        </row>
        <row r="1063">
          <cell r="G1063">
            <v>42339</v>
          </cell>
          <cell r="L1063" t="str">
            <v>06-01-007-01W2</v>
          </cell>
          <cell r="O1063">
            <v>849.5</v>
          </cell>
          <cell r="Q1063">
            <v>1.1299999999999999</v>
          </cell>
          <cell r="T1063">
            <v>1966.1420000000001</v>
          </cell>
        </row>
        <row r="1064">
          <cell r="G1064">
            <v>42339</v>
          </cell>
          <cell r="L1064" t="str">
            <v>09-26-007-09W2</v>
          </cell>
          <cell r="O1064">
            <v>812.8</v>
          </cell>
          <cell r="Q1064">
            <v>0.36</v>
          </cell>
          <cell r="T1064">
            <v>706.31700000000001</v>
          </cell>
        </row>
        <row r="1065">
          <cell r="G1065">
            <v>42339</v>
          </cell>
          <cell r="L1065" t="str">
            <v>12-06-009-07W2</v>
          </cell>
          <cell r="O1065">
            <v>808.7</v>
          </cell>
          <cell r="Q1065">
            <v>0.19</v>
          </cell>
          <cell r="T1065">
            <v>4753.567</v>
          </cell>
        </row>
        <row r="1066">
          <cell r="G1066">
            <v>42339</v>
          </cell>
          <cell r="L1066" t="str">
            <v>08-01-004-32W1</v>
          </cell>
          <cell r="O1066">
            <v>858.4</v>
          </cell>
          <cell r="Q1066">
            <v>1.66</v>
          </cell>
          <cell r="T1066">
            <v>158.50200000000001</v>
          </cell>
        </row>
        <row r="1067">
          <cell r="G1067">
            <v>42339</v>
          </cell>
          <cell r="L1067" t="str">
            <v>04-08-008-08W2</v>
          </cell>
          <cell r="O1067">
            <v>802</v>
          </cell>
          <cell r="Q1067">
            <v>0.21</v>
          </cell>
          <cell r="T1067">
            <v>1214.5329999999999</v>
          </cell>
        </row>
        <row r="1068">
          <cell r="G1068">
            <v>42339</v>
          </cell>
          <cell r="L1068" t="str">
            <v>14-04-007-13W2</v>
          </cell>
          <cell r="O1068">
            <v>857.3</v>
          </cell>
          <cell r="Q1068">
            <v>1.79</v>
          </cell>
          <cell r="T1068">
            <v>175.40600000000001</v>
          </cell>
        </row>
        <row r="1069">
          <cell r="G1069">
            <v>42339</v>
          </cell>
          <cell r="L1069" t="str">
            <v>03-15-012-06W2</v>
          </cell>
          <cell r="O1069">
            <v>886.3</v>
          </cell>
          <cell r="Q1069">
            <v>2.59</v>
          </cell>
          <cell r="T1069">
            <v>1272.3409999999999</v>
          </cell>
        </row>
        <row r="1070">
          <cell r="G1070">
            <v>42339</v>
          </cell>
          <cell r="L1070" t="str">
            <v>16-24-004-01W2</v>
          </cell>
          <cell r="O1070">
            <v>824.8</v>
          </cell>
          <cell r="Q1070">
            <v>0.6</v>
          </cell>
          <cell r="T1070">
            <v>158.899</v>
          </cell>
        </row>
        <row r="1071">
          <cell r="G1071">
            <v>42339</v>
          </cell>
          <cell r="L1071" t="str">
            <v>03-33-008-06W2</v>
          </cell>
          <cell r="O1071">
            <v>806.8</v>
          </cell>
          <cell r="Q1071">
            <v>0.26</v>
          </cell>
          <cell r="T1071">
            <v>7907.5169999999998</v>
          </cell>
        </row>
        <row r="1072">
          <cell r="G1072">
            <v>42339</v>
          </cell>
          <cell r="L1072" t="str">
            <v>08-13-006-33W1</v>
          </cell>
          <cell r="O1072">
            <v>842.3</v>
          </cell>
          <cell r="Q1072">
            <v>1.5</v>
          </cell>
          <cell r="T1072">
            <v>1620.1</v>
          </cell>
        </row>
        <row r="1073">
          <cell r="G1073">
            <v>42339</v>
          </cell>
          <cell r="L1073" t="str">
            <v>03-17-011-06W2</v>
          </cell>
          <cell r="O1073">
            <v>881.2</v>
          </cell>
          <cell r="Q1073">
            <v>2.5299999999999998</v>
          </cell>
          <cell r="T1073">
            <v>1827.4590000000001</v>
          </cell>
        </row>
        <row r="1074">
          <cell r="G1074">
            <v>42339</v>
          </cell>
          <cell r="L1074" t="str">
            <v>10-21-006-32W1</v>
          </cell>
          <cell r="O1074">
            <v>832.1</v>
          </cell>
          <cell r="Q1074">
            <v>0.78</v>
          </cell>
          <cell r="T1074">
            <v>160.358</v>
          </cell>
        </row>
        <row r="1075">
          <cell r="G1075">
            <v>42339</v>
          </cell>
          <cell r="L1075" t="str">
            <v>09-14-009-08W2</v>
          </cell>
          <cell r="O1075">
            <v>800.6</v>
          </cell>
          <cell r="Q1075">
            <v>0.14000000000000001</v>
          </cell>
          <cell r="T1075">
            <v>41412.131000000001</v>
          </cell>
        </row>
        <row r="1076">
          <cell r="G1076">
            <v>42339</v>
          </cell>
          <cell r="L1076" t="str">
            <v>02-13-006-01W2</v>
          </cell>
          <cell r="O1076">
            <v>847</v>
          </cell>
          <cell r="Q1076">
            <v>1.23</v>
          </cell>
          <cell r="T1076">
            <v>165.02</v>
          </cell>
        </row>
        <row r="1077">
          <cell r="G1077">
            <v>42339</v>
          </cell>
          <cell r="L1077" t="str">
            <v>09-31-007-12W2</v>
          </cell>
          <cell r="O1077">
            <v>870.3</v>
          </cell>
          <cell r="Q1077">
            <v>2.31</v>
          </cell>
          <cell r="T1077">
            <v>186.126</v>
          </cell>
        </row>
        <row r="1078">
          <cell r="G1078">
            <v>42339</v>
          </cell>
          <cell r="L1078" t="str">
            <v>16-27-004-33W1</v>
          </cell>
          <cell r="O1078">
            <v>841</v>
          </cell>
          <cell r="Q1078">
            <v>0.73</v>
          </cell>
          <cell r="T1078">
            <v>168.965</v>
          </cell>
        </row>
        <row r="1079">
          <cell r="G1079">
            <v>42339</v>
          </cell>
          <cell r="L1079" t="str">
            <v>04-18-009-06W2</v>
          </cell>
          <cell r="O1079">
            <v>828.3</v>
          </cell>
          <cell r="Q1079">
            <v>0.85</v>
          </cell>
          <cell r="T1079">
            <v>1462.3979999999999</v>
          </cell>
        </row>
        <row r="1080">
          <cell r="G1080">
            <v>42339</v>
          </cell>
          <cell r="L1080" t="str">
            <v>05-31-009-07W2</v>
          </cell>
          <cell r="O1080">
            <v>880.2</v>
          </cell>
          <cell r="Q1080">
            <v>2.35</v>
          </cell>
          <cell r="T1080">
            <v>776.53200000000004</v>
          </cell>
        </row>
        <row r="1081">
          <cell r="G1081">
            <v>42339</v>
          </cell>
          <cell r="L1081" t="str">
            <v>16-08-007-12W2</v>
          </cell>
          <cell r="O1081">
            <v>857.2</v>
          </cell>
          <cell r="Q1081">
            <v>2.0099999999999998</v>
          </cell>
          <cell r="T1081">
            <v>188.19499999999999</v>
          </cell>
        </row>
        <row r="1082">
          <cell r="G1082">
            <v>42339</v>
          </cell>
          <cell r="L1082" t="str">
            <v>13-29-008-07W2</v>
          </cell>
          <cell r="O1082">
            <v>802</v>
          </cell>
          <cell r="Q1082">
            <v>0.15</v>
          </cell>
          <cell r="T1082">
            <v>15796.558999999999</v>
          </cell>
        </row>
        <row r="1083">
          <cell r="G1083">
            <v>42339</v>
          </cell>
          <cell r="L1083" t="str">
            <v>13-18-010-06W2</v>
          </cell>
          <cell r="O1083">
            <v>828.2</v>
          </cell>
          <cell r="Q1083">
            <v>0.69</v>
          </cell>
          <cell r="T1083">
            <v>4741.1540000000005</v>
          </cell>
        </row>
        <row r="1084">
          <cell r="G1084">
            <v>42339</v>
          </cell>
          <cell r="L1084" t="str">
            <v>09-20-008-08W2</v>
          </cell>
          <cell r="O1084">
            <v>818.5</v>
          </cell>
          <cell r="Q1084">
            <v>0.59</v>
          </cell>
          <cell r="T1084">
            <v>2015.597</v>
          </cell>
        </row>
        <row r="1085">
          <cell r="G1085">
            <v>42339</v>
          </cell>
          <cell r="L1085" t="str">
            <v>03-06-011-07W2</v>
          </cell>
          <cell r="O1085">
            <v>885.9</v>
          </cell>
          <cell r="Q1085">
            <v>1.55</v>
          </cell>
          <cell r="T1085">
            <v>1584.0640000000001</v>
          </cell>
        </row>
        <row r="1086">
          <cell r="G1086">
            <v>42339</v>
          </cell>
          <cell r="L1086" t="str">
            <v>07-04-010-08W2</v>
          </cell>
          <cell r="O1086">
            <v>877.5</v>
          </cell>
          <cell r="Q1086">
            <v>2.44</v>
          </cell>
          <cell r="T1086">
            <v>1472.635</v>
          </cell>
        </row>
        <row r="1087">
          <cell r="G1087">
            <v>42339</v>
          </cell>
          <cell r="L1087" t="str">
            <v>09-06-010-07W2</v>
          </cell>
          <cell r="O1087">
            <v>885.3</v>
          </cell>
          <cell r="Q1087">
            <v>2.4500000000000002</v>
          </cell>
          <cell r="T1087">
            <v>1046.627</v>
          </cell>
        </row>
        <row r="1088">
          <cell r="G1088">
            <v>42339</v>
          </cell>
          <cell r="L1088" t="str">
            <v>09-11-010-08W2</v>
          </cell>
          <cell r="O1088">
            <v>883.3</v>
          </cell>
          <cell r="Q1088">
            <v>2.4700000000000002</v>
          </cell>
          <cell r="T1088">
            <v>828.16200000000003</v>
          </cell>
        </row>
        <row r="1089">
          <cell r="G1089">
            <v>42339</v>
          </cell>
          <cell r="L1089" t="str">
            <v>01-22-010-07W2</v>
          </cell>
          <cell r="O1089">
            <v>884.5</v>
          </cell>
          <cell r="Q1089">
            <v>2.5099999999999998</v>
          </cell>
          <cell r="T1089">
            <v>721.45699999999999</v>
          </cell>
        </row>
        <row r="1090">
          <cell r="G1090">
            <v>42339</v>
          </cell>
          <cell r="L1090" t="str">
            <v>16-35-009-09W2</v>
          </cell>
          <cell r="O1090">
            <v>880.4</v>
          </cell>
          <cell r="Q1090">
            <v>2.46</v>
          </cell>
          <cell r="T1090">
            <v>631.49300000000005</v>
          </cell>
        </row>
        <row r="1091">
          <cell r="G1091">
            <v>42339</v>
          </cell>
          <cell r="L1091" t="str">
            <v>07-25-009-08W2</v>
          </cell>
          <cell r="O1091">
            <v>883.3</v>
          </cell>
          <cell r="Q1091">
            <v>2.3199999999999998</v>
          </cell>
          <cell r="T1091">
            <v>249.29300000000001</v>
          </cell>
        </row>
        <row r="1092">
          <cell r="G1092">
            <v>42339</v>
          </cell>
          <cell r="L1092" t="str">
            <v>11-15-007-09W2</v>
          </cell>
          <cell r="O1092">
            <v>802.4</v>
          </cell>
          <cell r="Q1092">
            <v>0.21</v>
          </cell>
          <cell r="T1092">
            <v>7101.2780000000002</v>
          </cell>
        </row>
        <row r="1093">
          <cell r="G1093">
            <v>42339</v>
          </cell>
          <cell r="L1093" t="str">
            <v>15-23-006-08W2</v>
          </cell>
          <cell r="O1093">
            <v>858.1</v>
          </cell>
          <cell r="Q1093">
            <v>1.79</v>
          </cell>
          <cell r="T1093">
            <v>1561.1980000000001</v>
          </cell>
        </row>
        <row r="1094">
          <cell r="G1094">
            <v>42339</v>
          </cell>
          <cell r="L1094" t="str">
            <v>01-26-006-09W2</v>
          </cell>
          <cell r="O1094">
            <v>886.2</v>
          </cell>
          <cell r="Q1094">
            <v>2.2999999999999998</v>
          </cell>
          <cell r="T1094">
            <v>1255.104</v>
          </cell>
        </row>
        <row r="1095">
          <cell r="G1095">
            <v>42339</v>
          </cell>
          <cell r="L1095" t="str">
            <v>07-28-007-08W2</v>
          </cell>
          <cell r="O1095">
            <v>845.9</v>
          </cell>
          <cell r="Q1095">
            <v>1.39</v>
          </cell>
          <cell r="T1095">
            <v>1017.125</v>
          </cell>
        </row>
        <row r="1096">
          <cell r="G1096">
            <v>42339</v>
          </cell>
          <cell r="L1096" t="str">
            <v>12-35-008-03W2</v>
          </cell>
          <cell r="O1096">
            <v>858</v>
          </cell>
          <cell r="Q1096">
            <v>1.59</v>
          </cell>
          <cell r="T1096">
            <v>531.60900000000004</v>
          </cell>
        </row>
        <row r="1097">
          <cell r="G1097">
            <v>42339</v>
          </cell>
          <cell r="L1097" t="str">
            <v>11-20-007-05W2</v>
          </cell>
          <cell r="O1097">
            <v>857.4</v>
          </cell>
          <cell r="Q1097">
            <v>1.57</v>
          </cell>
          <cell r="T1097">
            <v>241.36799999999999</v>
          </cell>
        </row>
        <row r="1098">
          <cell r="G1098">
            <v>42339</v>
          </cell>
          <cell r="L1098" t="str">
            <v>01-24-007-05W2</v>
          </cell>
          <cell r="O1098">
            <v>852.3</v>
          </cell>
          <cell r="Q1098">
            <v>1.31</v>
          </cell>
          <cell r="T1098">
            <v>238.34700000000001</v>
          </cell>
        </row>
        <row r="1099">
          <cell r="G1099">
            <v>42339</v>
          </cell>
          <cell r="L1099" t="str">
            <v>05-13-008-06W2</v>
          </cell>
          <cell r="O1099">
            <v>815.4</v>
          </cell>
          <cell r="Q1099">
            <v>0.49</v>
          </cell>
          <cell r="T1099">
            <v>1748.8689999999999</v>
          </cell>
        </row>
        <row r="1100">
          <cell r="G1100">
            <v>42339</v>
          </cell>
          <cell r="L1100" t="str">
            <v>15-09-010-02W2</v>
          </cell>
          <cell r="O1100">
            <v>863</v>
          </cell>
          <cell r="Q1100">
            <v>1.85</v>
          </cell>
          <cell r="T1100">
            <v>179.5</v>
          </cell>
        </row>
        <row r="1101">
          <cell r="G1101">
            <v>42339</v>
          </cell>
          <cell r="L1101" t="str">
            <v>03-05-005-11W2</v>
          </cell>
          <cell r="O1101">
            <v>864.3</v>
          </cell>
          <cell r="Q1101">
            <v>1.68</v>
          </cell>
          <cell r="T1101">
            <v>244.358</v>
          </cell>
        </row>
        <row r="1102">
          <cell r="G1102">
            <v>42339</v>
          </cell>
          <cell r="L1102" t="str">
            <v>09-19-009-33W1</v>
          </cell>
          <cell r="O1102">
            <v>855.3</v>
          </cell>
          <cell r="Q1102">
            <v>1.61</v>
          </cell>
          <cell r="T1102">
            <v>1181.269</v>
          </cell>
        </row>
        <row r="1103">
          <cell r="G1103">
            <v>42339</v>
          </cell>
          <cell r="L1103" t="str">
            <v>09-10-009-06W2</v>
          </cell>
          <cell r="O1103">
            <v>853.4</v>
          </cell>
          <cell r="Q1103">
            <v>1.66</v>
          </cell>
          <cell r="T1103">
            <v>1326.5060000000001</v>
          </cell>
        </row>
        <row r="1104">
          <cell r="G1104">
            <v>42339</v>
          </cell>
          <cell r="L1104" t="str">
            <v>02-26-009-09W2</v>
          </cell>
          <cell r="O1104">
            <v>807.8</v>
          </cell>
          <cell r="Q1104">
            <v>0.17</v>
          </cell>
          <cell r="T1104">
            <v>4133.3980000000001</v>
          </cell>
        </row>
        <row r="1105">
          <cell r="G1105">
            <v>42339</v>
          </cell>
          <cell r="L1105" t="str">
            <v>08-35-011-04W2</v>
          </cell>
          <cell r="O1105">
            <v>861.3</v>
          </cell>
          <cell r="Q1105">
            <v>1.89</v>
          </cell>
          <cell r="T1105">
            <v>729.39499999999998</v>
          </cell>
        </row>
        <row r="1106">
          <cell r="G1106">
            <v>42339</v>
          </cell>
          <cell r="L1106" t="str">
            <v>05-13-009-06W2</v>
          </cell>
          <cell r="O1106">
            <v>847.6</v>
          </cell>
          <cell r="Q1106">
            <v>1.5</v>
          </cell>
          <cell r="T1106">
            <v>2179.6579999999999</v>
          </cell>
        </row>
        <row r="1107">
          <cell r="G1107">
            <v>42339</v>
          </cell>
          <cell r="L1107" t="str">
            <v>09-27-006-05W2</v>
          </cell>
          <cell r="O1107">
            <v>872.8</v>
          </cell>
          <cell r="Q1107">
            <v>2.15</v>
          </cell>
          <cell r="T1107">
            <v>1665.2049999999999</v>
          </cell>
        </row>
        <row r="1108">
          <cell r="G1108">
            <v>42339</v>
          </cell>
          <cell r="L1108" t="str">
            <v>14-35-006-05W2</v>
          </cell>
          <cell r="O1108">
            <v>850.8</v>
          </cell>
          <cell r="Q1108">
            <v>1.61</v>
          </cell>
          <cell r="T1108">
            <v>568.35799999999995</v>
          </cell>
        </row>
        <row r="1109">
          <cell r="G1109">
            <v>42339</v>
          </cell>
          <cell r="L1109" t="str">
            <v>12-22-007-11W2</v>
          </cell>
          <cell r="O1109">
            <v>801.6</v>
          </cell>
          <cell r="Q1109">
            <v>1.26</v>
          </cell>
          <cell r="T1109">
            <v>5694.4459999999999</v>
          </cell>
        </row>
        <row r="1110">
          <cell r="G1110">
            <v>42339</v>
          </cell>
          <cell r="L1110" t="str">
            <v>02-17-005-31W1</v>
          </cell>
          <cell r="O1110">
            <v>848</v>
          </cell>
          <cell r="Q1110">
            <v>1.41</v>
          </cell>
          <cell r="T1110">
            <v>189.654</v>
          </cell>
        </row>
        <row r="1111">
          <cell r="G1111">
            <v>42339</v>
          </cell>
          <cell r="L1111" t="str">
            <v>06-02-008-02W2</v>
          </cell>
          <cell r="O1111">
            <v>853.5</v>
          </cell>
          <cell r="Q1111">
            <v>1.51</v>
          </cell>
          <cell r="T1111">
            <v>995.46900000000005</v>
          </cell>
        </row>
        <row r="1112">
          <cell r="G1112">
            <v>42339</v>
          </cell>
          <cell r="L1112" t="str">
            <v>04-05-002-15W2</v>
          </cell>
          <cell r="O1112">
            <v>874.9</v>
          </cell>
          <cell r="Q1112">
            <v>2.0099999999999998</v>
          </cell>
          <cell r="T1112">
            <v>4942.0640000000003</v>
          </cell>
        </row>
        <row r="1113">
          <cell r="G1113">
            <v>42339</v>
          </cell>
          <cell r="L1113" t="str">
            <v>05-01-001-32W1</v>
          </cell>
          <cell r="O1113">
            <v>874.5</v>
          </cell>
          <cell r="Q1113">
            <v>1.62</v>
          </cell>
          <cell r="T1113">
            <v>195.55799999999999</v>
          </cell>
        </row>
        <row r="1114">
          <cell r="G1114">
            <v>42339</v>
          </cell>
          <cell r="L1114" t="str">
            <v>15-30-007-12W2</v>
          </cell>
          <cell r="O1114">
            <v>872.4</v>
          </cell>
          <cell r="Q1114">
            <v>2.36</v>
          </cell>
          <cell r="T1114">
            <v>223.08600000000001</v>
          </cell>
        </row>
        <row r="1115">
          <cell r="G1115">
            <v>42339</v>
          </cell>
          <cell r="L1115" t="str">
            <v>04-33-006-01W2</v>
          </cell>
          <cell r="O1115">
            <v>846.2</v>
          </cell>
          <cell r="Q1115">
            <v>1.1299999999999999</v>
          </cell>
          <cell r="T1115">
            <v>1110.693</v>
          </cell>
        </row>
        <row r="1116">
          <cell r="G1116">
            <v>42339</v>
          </cell>
          <cell r="L1116" t="str">
            <v>03-12-002-19W2</v>
          </cell>
          <cell r="O1116">
            <v>866.3</v>
          </cell>
          <cell r="Q1116">
            <v>2.39</v>
          </cell>
          <cell r="T1116">
            <v>221.584</v>
          </cell>
        </row>
        <row r="1117">
          <cell r="G1117">
            <v>42339</v>
          </cell>
          <cell r="L1117" t="str">
            <v>01-21-001-14W2</v>
          </cell>
          <cell r="O1117">
            <v>807.1</v>
          </cell>
          <cell r="Q1117">
            <v>0.15</v>
          </cell>
          <cell r="T1117">
            <v>36173.296000000002</v>
          </cell>
        </row>
        <row r="1118">
          <cell r="G1118">
            <v>42339</v>
          </cell>
          <cell r="L1118" t="str">
            <v>16-12-004-31W1</v>
          </cell>
          <cell r="O1118">
            <v>848.5</v>
          </cell>
          <cell r="Q1118">
            <v>1.61</v>
          </cell>
          <cell r="T1118">
            <v>5130.076</v>
          </cell>
        </row>
        <row r="1119">
          <cell r="G1119">
            <v>42339</v>
          </cell>
          <cell r="L1119" t="str">
            <v>14-33-006-14W2</v>
          </cell>
          <cell r="O1119">
            <v>849.7</v>
          </cell>
          <cell r="Q1119">
            <v>1.66</v>
          </cell>
          <cell r="T1119">
            <v>2535.3290000000002</v>
          </cell>
        </row>
        <row r="1120">
          <cell r="G1120">
            <v>42339</v>
          </cell>
          <cell r="L1120" t="str">
            <v>04-21-006-14W2</v>
          </cell>
          <cell r="O1120">
            <v>864.6</v>
          </cell>
          <cell r="Q1120">
            <v>2.09</v>
          </cell>
          <cell r="T1120">
            <v>1568.3209999999999</v>
          </cell>
        </row>
        <row r="1121">
          <cell r="G1121">
            <v>42339</v>
          </cell>
          <cell r="L1121" t="str">
            <v>01-22-006-14W2</v>
          </cell>
          <cell r="O1121">
            <v>864.6</v>
          </cell>
          <cell r="Q1121">
            <v>2.14</v>
          </cell>
          <cell r="T1121">
            <v>1016.789</v>
          </cell>
        </row>
        <row r="1122">
          <cell r="G1122">
            <v>42339</v>
          </cell>
          <cell r="L1122" t="str">
            <v>10-22-006-14W2</v>
          </cell>
          <cell r="O1122">
            <v>848.3</v>
          </cell>
          <cell r="Q1122">
            <v>1.69</v>
          </cell>
          <cell r="T1122">
            <v>509.05700000000002</v>
          </cell>
        </row>
        <row r="1123">
          <cell r="G1123">
            <v>42339</v>
          </cell>
          <cell r="L1123" t="str">
            <v>04-11-007-13W2</v>
          </cell>
          <cell r="O1123">
            <v>856</v>
          </cell>
          <cell r="Q1123">
            <v>1.97</v>
          </cell>
          <cell r="T1123">
            <v>495.61200000000002</v>
          </cell>
        </row>
        <row r="1124">
          <cell r="G1124">
            <v>42339</v>
          </cell>
          <cell r="L1124" t="str">
            <v>02-18-007-13W2</v>
          </cell>
          <cell r="O1124">
            <v>854</v>
          </cell>
          <cell r="Q1124">
            <v>1.9</v>
          </cell>
          <cell r="T1124">
            <v>442.351</v>
          </cell>
        </row>
        <row r="1125">
          <cell r="G1125">
            <v>42339</v>
          </cell>
          <cell r="L1125" t="str">
            <v>01-03-008-13W2</v>
          </cell>
          <cell r="O1125">
            <v>853.2</v>
          </cell>
          <cell r="Q1125">
            <v>2.0299999999999998</v>
          </cell>
          <cell r="T1125">
            <v>441.62200000000001</v>
          </cell>
        </row>
        <row r="1126">
          <cell r="G1126">
            <v>42339</v>
          </cell>
          <cell r="L1126" t="str">
            <v>05-35-006-11W2</v>
          </cell>
          <cell r="O1126">
            <v>808.4</v>
          </cell>
          <cell r="Q1126">
            <v>0.1</v>
          </cell>
          <cell r="T1126">
            <v>632.69299999999998</v>
          </cell>
        </row>
        <row r="1127">
          <cell r="G1127">
            <v>42339</v>
          </cell>
          <cell r="L1127" t="str">
            <v>03-21-001-16W2</v>
          </cell>
          <cell r="O1127">
            <v>861.4</v>
          </cell>
          <cell r="Q1127">
            <v>0.89</v>
          </cell>
          <cell r="T1127">
            <v>445.88499999999999</v>
          </cell>
        </row>
        <row r="1128">
          <cell r="G1128">
            <v>42339</v>
          </cell>
          <cell r="L1128" t="str">
            <v>13-02-007-14W2</v>
          </cell>
          <cell r="O1128">
            <v>850.8</v>
          </cell>
          <cell r="Q1128">
            <v>1.79</v>
          </cell>
          <cell r="T1128">
            <v>1545.242</v>
          </cell>
        </row>
        <row r="1129">
          <cell r="G1129">
            <v>42339</v>
          </cell>
          <cell r="L1129" t="str">
            <v>15-33-006-14W2</v>
          </cell>
          <cell r="O1129">
            <v>848.8</v>
          </cell>
          <cell r="Q1129">
            <v>1.66</v>
          </cell>
          <cell r="T1129">
            <v>1255.92</v>
          </cell>
        </row>
        <row r="1130">
          <cell r="G1130">
            <v>42339</v>
          </cell>
          <cell r="L1130" t="str">
            <v>15-14-009-03W2</v>
          </cell>
          <cell r="O1130">
            <v>850.8</v>
          </cell>
          <cell r="Q1130">
            <v>1.55</v>
          </cell>
          <cell r="T1130">
            <v>926.11</v>
          </cell>
        </row>
        <row r="1131">
          <cell r="G1131">
            <v>42339</v>
          </cell>
          <cell r="L1131" t="str">
            <v>02-30-001-31W1</v>
          </cell>
          <cell r="O1131">
            <v>867.4</v>
          </cell>
          <cell r="Q1131">
            <v>1.64</v>
          </cell>
          <cell r="T1131">
            <v>208.30500000000001</v>
          </cell>
        </row>
        <row r="1132">
          <cell r="G1132">
            <v>42339</v>
          </cell>
          <cell r="L1132" t="str">
            <v>06-03-001-16W2</v>
          </cell>
          <cell r="O1132">
            <v>863.5</v>
          </cell>
          <cell r="Q1132">
            <v>1.1000000000000001</v>
          </cell>
          <cell r="T1132">
            <v>2010.2470000000001</v>
          </cell>
        </row>
        <row r="1133">
          <cell r="G1133">
            <v>42339</v>
          </cell>
          <cell r="L1133" t="str">
            <v>02-29-001-17W2</v>
          </cell>
          <cell r="O1133">
            <v>860.1</v>
          </cell>
          <cell r="Q1133">
            <v>2.21</v>
          </cell>
          <cell r="T1133">
            <v>910.24300000000005</v>
          </cell>
        </row>
        <row r="1134">
          <cell r="G1134">
            <v>42339</v>
          </cell>
          <cell r="L1134" t="str">
            <v>09-28-001-15W2</v>
          </cell>
          <cell r="O1134">
            <v>870.6</v>
          </cell>
          <cell r="Q1134">
            <v>1.25</v>
          </cell>
          <cell r="T1134">
            <v>405.60500000000002</v>
          </cell>
        </row>
        <row r="1135">
          <cell r="G1135">
            <v>42339</v>
          </cell>
          <cell r="L1135" t="str">
            <v>16-21-003-32W1</v>
          </cell>
          <cell r="O1135">
            <v>860</v>
          </cell>
          <cell r="Q1135">
            <v>1.68</v>
          </cell>
          <cell r="T1135">
            <v>1658.9680000000001</v>
          </cell>
        </row>
        <row r="1136">
          <cell r="G1136">
            <v>42339</v>
          </cell>
          <cell r="L1136" t="str">
            <v>09-27-008-03W2</v>
          </cell>
          <cell r="O1136">
            <v>857.5</v>
          </cell>
          <cell r="Q1136">
            <v>1.55</v>
          </cell>
          <cell r="T1136">
            <v>1255.5360000000001</v>
          </cell>
        </row>
        <row r="1137">
          <cell r="G1137">
            <v>42339</v>
          </cell>
          <cell r="L1137" t="str">
            <v>16-33-005-06W2</v>
          </cell>
          <cell r="O1137">
            <v>863.9</v>
          </cell>
          <cell r="Q1137">
            <v>1.79</v>
          </cell>
          <cell r="T1137">
            <v>3280.415</v>
          </cell>
        </row>
        <row r="1138">
          <cell r="G1138">
            <v>42339</v>
          </cell>
          <cell r="L1138" t="str">
            <v>08-31-004-18W2</v>
          </cell>
          <cell r="O1138">
            <v>855.6</v>
          </cell>
          <cell r="Q1138">
            <v>1.81</v>
          </cell>
          <cell r="T1138">
            <v>8613.8610000000008</v>
          </cell>
        </row>
        <row r="1139">
          <cell r="G1139">
            <v>42339</v>
          </cell>
          <cell r="L1139" t="str">
            <v>05-31-003-16W2</v>
          </cell>
          <cell r="O1139">
            <v>887.3</v>
          </cell>
          <cell r="Q1139">
            <v>2.83</v>
          </cell>
          <cell r="T1139">
            <v>7547.4369999999999</v>
          </cell>
        </row>
        <row r="1140">
          <cell r="G1140">
            <v>42339</v>
          </cell>
          <cell r="L1140" t="str">
            <v>05-18-004-17W2</v>
          </cell>
          <cell r="O1140">
            <v>861.5</v>
          </cell>
          <cell r="Q1140">
            <v>2.09</v>
          </cell>
          <cell r="T1140">
            <v>2663.2649999999999</v>
          </cell>
        </row>
        <row r="1141">
          <cell r="G1141">
            <v>42339</v>
          </cell>
          <cell r="L1141" t="str">
            <v>12-25-004-19W2</v>
          </cell>
          <cell r="O1141">
            <v>868.2</v>
          </cell>
          <cell r="Q1141">
            <v>2.3199999999999998</v>
          </cell>
          <cell r="T1141">
            <v>819.58900000000006</v>
          </cell>
        </row>
        <row r="1142">
          <cell r="G1142">
            <v>42339</v>
          </cell>
          <cell r="L1142" t="str">
            <v>09-15-004-05W2</v>
          </cell>
          <cell r="O1142">
            <v>825.7</v>
          </cell>
          <cell r="Q1142">
            <v>0.53</v>
          </cell>
          <cell r="T1142">
            <v>225.036</v>
          </cell>
        </row>
        <row r="1143">
          <cell r="G1143">
            <v>42339</v>
          </cell>
          <cell r="L1143" t="str">
            <v>15-21-008-03W2</v>
          </cell>
          <cell r="O1143">
            <v>859.2</v>
          </cell>
          <cell r="Q1143">
            <v>1.47</v>
          </cell>
          <cell r="T1143">
            <v>619.78800000000001</v>
          </cell>
        </row>
        <row r="1144">
          <cell r="G1144">
            <v>42339</v>
          </cell>
          <cell r="L1144" t="str">
            <v>07-28-002-30W1</v>
          </cell>
          <cell r="O1144">
            <v>880.7</v>
          </cell>
          <cell r="Q1144">
            <v>2.41</v>
          </cell>
          <cell r="T1144">
            <v>2925.114</v>
          </cell>
        </row>
        <row r="1145">
          <cell r="G1145">
            <v>42339</v>
          </cell>
          <cell r="L1145" t="str">
            <v>12-01-003-30W1</v>
          </cell>
          <cell r="O1145">
            <v>870.1</v>
          </cell>
          <cell r="Q1145">
            <v>1.62</v>
          </cell>
          <cell r="T1145">
            <v>530.779</v>
          </cell>
        </row>
        <row r="1146">
          <cell r="G1146">
            <v>42339</v>
          </cell>
          <cell r="L1146" t="str">
            <v>11-30-005-03W2</v>
          </cell>
          <cell r="O1146">
            <v>854.3</v>
          </cell>
          <cell r="Q1146">
            <v>1.36</v>
          </cell>
          <cell r="T1146">
            <v>5088.576</v>
          </cell>
        </row>
        <row r="1147">
          <cell r="G1147">
            <v>42339</v>
          </cell>
          <cell r="L1147" t="str">
            <v>14-26-002-30W1</v>
          </cell>
          <cell r="O1147">
            <v>870.3</v>
          </cell>
          <cell r="Q1147">
            <v>2.0299999999999998</v>
          </cell>
          <cell r="T1147">
            <v>665.351</v>
          </cell>
        </row>
        <row r="1148">
          <cell r="G1148">
            <v>42339</v>
          </cell>
          <cell r="L1148" t="str">
            <v>04-05-003-30W1</v>
          </cell>
          <cell r="O1148">
            <v>867.7</v>
          </cell>
          <cell r="Q1148">
            <v>1.82</v>
          </cell>
          <cell r="T1148">
            <v>269.65699999999998</v>
          </cell>
        </row>
        <row r="1149">
          <cell r="G1149">
            <v>42339</v>
          </cell>
          <cell r="L1149" t="str">
            <v>11-26-002-19W2</v>
          </cell>
          <cell r="O1149">
            <v>868.2</v>
          </cell>
          <cell r="Q1149">
            <v>2.0499999999999998</v>
          </cell>
          <cell r="T1149">
            <v>1150.067</v>
          </cell>
        </row>
        <row r="1150">
          <cell r="G1150">
            <v>42339</v>
          </cell>
          <cell r="L1150" t="str">
            <v>09-18-007-04W2</v>
          </cell>
          <cell r="O1150">
            <v>856</v>
          </cell>
          <cell r="Q1150">
            <v>1.44</v>
          </cell>
          <cell r="T1150">
            <v>309.18299999999999</v>
          </cell>
        </row>
        <row r="1151">
          <cell r="G1151">
            <v>42339</v>
          </cell>
          <cell r="L1151" t="str">
            <v>04-15-008-33W1</v>
          </cell>
          <cell r="O1151">
            <v>851.9</v>
          </cell>
          <cell r="Q1151">
            <v>1.1599999999999999</v>
          </cell>
          <cell r="T1151">
            <v>223.756</v>
          </cell>
        </row>
        <row r="1152">
          <cell r="G1152">
            <v>42339</v>
          </cell>
          <cell r="L1152" t="str">
            <v>09-28-006-34W1</v>
          </cell>
          <cell r="O1152">
            <v>842.9</v>
          </cell>
          <cell r="Q1152">
            <v>1.22</v>
          </cell>
          <cell r="T1152">
            <v>2611.08</v>
          </cell>
        </row>
        <row r="1153">
          <cell r="G1153">
            <v>42339</v>
          </cell>
          <cell r="L1153" t="str">
            <v>09-33-006-05W2</v>
          </cell>
          <cell r="O1153">
            <v>860.3</v>
          </cell>
          <cell r="Q1153">
            <v>1.78</v>
          </cell>
          <cell r="T1153">
            <v>1229.777</v>
          </cell>
        </row>
        <row r="1154">
          <cell r="G1154">
            <v>42339</v>
          </cell>
          <cell r="L1154" t="str">
            <v>13-34-006-05W2</v>
          </cell>
          <cell r="O1154">
            <v>861.9</v>
          </cell>
          <cell r="Q1154">
            <v>1.92</v>
          </cell>
          <cell r="T1154">
            <v>1159.078</v>
          </cell>
        </row>
        <row r="1155">
          <cell r="G1155">
            <v>42339</v>
          </cell>
          <cell r="L1155" t="str">
            <v>11-28-006-05W2</v>
          </cell>
          <cell r="O1155">
            <v>853.4</v>
          </cell>
          <cell r="Q1155">
            <v>1.48</v>
          </cell>
          <cell r="T1155">
            <v>1158.942</v>
          </cell>
        </row>
        <row r="1156">
          <cell r="G1156">
            <v>42339</v>
          </cell>
          <cell r="L1156" t="str">
            <v>02-20-006-32W1</v>
          </cell>
          <cell r="O1156">
            <v>830.3</v>
          </cell>
          <cell r="Q1156">
            <v>0.8</v>
          </cell>
          <cell r="T1156">
            <v>888.80799999999999</v>
          </cell>
        </row>
        <row r="1157">
          <cell r="G1157">
            <v>42339</v>
          </cell>
          <cell r="L1157" t="str">
            <v>13-17-001-31W1</v>
          </cell>
          <cell r="O1157">
            <v>851.7</v>
          </cell>
          <cell r="Q1157">
            <v>1.62</v>
          </cell>
          <cell r="T1157">
            <v>227.267</v>
          </cell>
        </row>
        <row r="1158">
          <cell r="G1158">
            <v>42339</v>
          </cell>
          <cell r="L1158" t="str">
            <v>16-09-004-31W1</v>
          </cell>
          <cell r="O1158">
            <v>867.7</v>
          </cell>
          <cell r="Q1158">
            <v>1.8</v>
          </cell>
          <cell r="T1158">
            <v>595.67899999999997</v>
          </cell>
        </row>
        <row r="1159">
          <cell r="G1159">
            <v>42339</v>
          </cell>
          <cell r="L1159" t="str">
            <v>08-26-006-02W2</v>
          </cell>
          <cell r="O1159">
            <v>848.8</v>
          </cell>
          <cell r="Q1159">
            <v>1.19</v>
          </cell>
          <cell r="T1159">
            <v>476.779</v>
          </cell>
        </row>
        <row r="1160">
          <cell r="G1160">
            <v>42339</v>
          </cell>
          <cell r="L1160" t="str">
            <v>13-13-007-02W2</v>
          </cell>
          <cell r="O1160">
            <v>846.4</v>
          </cell>
          <cell r="Q1160">
            <v>1.25</v>
          </cell>
          <cell r="T1160">
            <v>5264.4610000000002</v>
          </cell>
        </row>
        <row r="1161">
          <cell r="G1161">
            <v>42339</v>
          </cell>
          <cell r="L1161" t="str">
            <v>04-04-007-01W2</v>
          </cell>
          <cell r="O1161">
            <v>849.8</v>
          </cell>
          <cell r="Q1161">
            <v>1.1399999999999999</v>
          </cell>
          <cell r="T1161">
            <v>744.928</v>
          </cell>
        </row>
        <row r="1162">
          <cell r="G1162">
            <v>42339</v>
          </cell>
          <cell r="L1162" t="str">
            <v>07-02-007-11W2</v>
          </cell>
          <cell r="O1162">
            <v>853.6</v>
          </cell>
          <cell r="Q1162">
            <v>1.04</v>
          </cell>
          <cell r="T1162">
            <v>1220.203</v>
          </cell>
        </row>
        <row r="1163">
          <cell r="G1163">
            <v>42339</v>
          </cell>
          <cell r="L1163" t="str">
            <v>04-22-009-33W1</v>
          </cell>
          <cell r="O1163">
            <v>854.9</v>
          </cell>
          <cell r="Q1163">
            <v>1.4</v>
          </cell>
          <cell r="T1163">
            <v>3088.5990000000002</v>
          </cell>
        </row>
        <row r="1164">
          <cell r="G1164">
            <v>42339</v>
          </cell>
          <cell r="L1164" t="str">
            <v>05-03-009-33W1</v>
          </cell>
          <cell r="O1164">
            <v>850.5</v>
          </cell>
          <cell r="Q1164">
            <v>1.32</v>
          </cell>
          <cell r="T1164">
            <v>2692.7370000000001</v>
          </cell>
        </row>
        <row r="1165">
          <cell r="G1165">
            <v>42339</v>
          </cell>
          <cell r="L1165" t="str">
            <v>14-30-009-33W1</v>
          </cell>
          <cell r="O1165">
            <v>857.3</v>
          </cell>
          <cell r="Q1165">
            <v>1.72</v>
          </cell>
          <cell r="T1165">
            <v>1237.588</v>
          </cell>
        </row>
        <row r="1166">
          <cell r="G1166">
            <v>42339</v>
          </cell>
          <cell r="L1166" t="str">
            <v>10-26-010-03W2</v>
          </cell>
          <cell r="O1166">
            <v>855.8</v>
          </cell>
          <cell r="Q1166">
            <v>1.59</v>
          </cell>
          <cell r="T1166">
            <v>344.70100000000002</v>
          </cell>
        </row>
        <row r="1167">
          <cell r="G1167">
            <v>42339</v>
          </cell>
          <cell r="L1167" t="str">
            <v>16-10-006-30W1</v>
          </cell>
          <cell r="O1167">
            <v>856.6</v>
          </cell>
          <cell r="Q1167">
            <v>1.51</v>
          </cell>
          <cell r="T1167">
            <v>3109.7370000000001</v>
          </cell>
        </row>
        <row r="1168">
          <cell r="G1168">
            <v>42339</v>
          </cell>
          <cell r="L1168" t="str">
            <v>04-10-004-31W1</v>
          </cell>
          <cell r="O1168">
            <v>866.5</v>
          </cell>
          <cell r="Q1168">
            <v>1.91</v>
          </cell>
          <cell r="T1168">
            <v>2348.6170000000002</v>
          </cell>
        </row>
        <row r="1169">
          <cell r="G1169">
            <v>42339</v>
          </cell>
          <cell r="L1169" t="str">
            <v>05-07-005-03W2</v>
          </cell>
          <cell r="O1169">
            <v>847.4</v>
          </cell>
          <cell r="Q1169">
            <v>1.32</v>
          </cell>
          <cell r="T1169">
            <v>2949.5340000000001</v>
          </cell>
        </row>
        <row r="1170">
          <cell r="G1170">
            <v>42339</v>
          </cell>
          <cell r="L1170" t="str">
            <v>14-09-002-29W1</v>
          </cell>
          <cell r="O1170">
            <v>837.8</v>
          </cell>
          <cell r="Q1170">
            <v>0.79</v>
          </cell>
          <cell r="T1170">
            <v>8252.2630000000008</v>
          </cell>
        </row>
        <row r="1171">
          <cell r="G1171">
            <v>42339</v>
          </cell>
          <cell r="L1171" t="str">
            <v>02-12-010-02W2</v>
          </cell>
          <cell r="O1171">
            <v>855.9</v>
          </cell>
          <cell r="Q1171">
            <v>1.63</v>
          </cell>
          <cell r="T1171">
            <v>564.65599999999995</v>
          </cell>
        </row>
        <row r="1172">
          <cell r="G1172">
            <v>42339</v>
          </cell>
          <cell r="L1172" t="str">
            <v>02-16-010-02W2</v>
          </cell>
          <cell r="O1172">
            <v>855.3</v>
          </cell>
          <cell r="Q1172">
            <v>1.21</v>
          </cell>
          <cell r="T1172">
            <v>487.702</v>
          </cell>
        </row>
        <row r="1173">
          <cell r="G1173">
            <v>42339</v>
          </cell>
          <cell r="L1173" t="str">
            <v>08-31-009-01W2</v>
          </cell>
          <cell r="O1173">
            <v>856.9</v>
          </cell>
          <cell r="Q1173">
            <v>1.78</v>
          </cell>
          <cell r="T1173">
            <v>268.483</v>
          </cell>
        </row>
        <row r="1174">
          <cell r="G1174">
            <v>42339</v>
          </cell>
          <cell r="L1174" t="str">
            <v>01-28-002-14W2</v>
          </cell>
          <cell r="O1174">
            <v>844.4</v>
          </cell>
          <cell r="Q1174">
            <v>1.38</v>
          </cell>
          <cell r="T1174">
            <v>6260.2569999999996</v>
          </cell>
        </row>
        <row r="1175">
          <cell r="G1175">
            <v>42339</v>
          </cell>
          <cell r="L1175" t="str">
            <v>16-23-006-11W2</v>
          </cell>
          <cell r="O1175">
            <v>877.6</v>
          </cell>
          <cell r="Q1175">
            <v>2.2999999999999998</v>
          </cell>
          <cell r="T1175">
            <v>1249.4659999999999</v>
          </cell>
        </row>
        <row r="1176">
          <cell r="G1176">
            <v>42339</v>
          </cell>
          <cell r="L1176" t="str">
            <v>04-05-007-33W1</v>
          </cell>
          <cell r="O1176">
            <v>841.7</v>
          </cell>
          <cell r="Q1176">
            <v>1.2</v>
          </cell>
          <cell r="T1176">
            <v>1999.597</v>
          </cell>
        </row>
        <row r="1177">
          <cell r="G1177">
            <v>42339</v>
          </cell>
          <cell r="L1177" t="str">
            <v>08-31-005-03W2</v>
          </cell>
          <cell r="O1177">
            <v>842</v>
          </cell>
          <cell r="Q1177">
            <v>1.07</v>
          </cell>
          <cell r="T1177">
            <v>232.03100000000001</v>
          </cell>
        </row>
        <row r="1178">
          <cell r="G1178">
            <v>42339</v>
          </cell>
          <cell r="L1178" t="str">
            <v>02-14-005-32W1</v>
          </cell>
          <cell r="O1178">
            <v>834.8</v>
          </cell>
          <cell r="Q1178">
            <v>0.97</v>
          </cell>
          <cell r="T1178">
            <v>2068.8670000000002</v>
          </cell>
        </row>
        <row r="1179">
          <cell r="G1179">
            <v>42339</v>
          </cell>
          <cell r="L1179" t="str">
            <v>12-23-005-31W1</v>
          </cell>
          <cell r="O1179">
            <v>844.6</v>
          </cell>
          <cell r="Q1179">
            <v>1.03</v>
          </cell>
          <cell r="T1179">
            <v>1485.5609999999999</v>
          </cell>
        </row>
        <row r="1180">
          <cell r="G1180">
            <v>42339</v>
          </cell>
          <cell r="L1180" t="str">
            <v>03-03-002-32W1</v>
          </cell>
          <cell r="O1180">
            <v>825.8</v>
          </cell>
          <cell r="Q1180">
            <v>1.22</v>
          </cell>
          <cell r="T1180">
            <v>6181.3109999999997</v>
          </cell>
        </row>
        <row r="1181">
          <cell r="G1181">
            <v>42339</v>
          </cell>
          <cell r="L1181" t="str">
            <v>11-25-001-32W1</v>
          </cell>
          <cell r="O1181">
            <v>866.5</v>
          </cell>
          <cell r="Q1181">
            <v>1.62</v>
          </cell>
          <cell r="T1181">
            <v>2201.5659999999998</v>
          </cell>
        </row>
        <row r="1182">
          <cell r="G1182">
            <v>42339</v>
          </cell>
          <cell r="L1182" t="str">
            <v>14-28-002-34W1</v>
          </cell>
          <cell r="O1182">
            <v>829.2</v>
          </cell>
          <cell r="Q1182">
            <v>0.71</v>
          </cell>
          <cell r="T1182">
            <v>1649.163</v>
          </cell>
        </row>
        <row r="1183">
          <cell r="G1183">
            <v>42339</v>
          </cell>
          <cell r="L1183" t="str">
            <v>03-19-001-31W1</v>
          </cell>
          <cell r="O1183">
            <v>875.4</v>
          </cell>
          <cell r="Q1183">
            <v>1.61</v>
          </cell>
          <cell r="T1183">
            <v>1535.308</v>
          </cell>
        </row>
        <row r="1184">
          <cell r="G1184">
            <v>42339</v>
          </cell>
          <cell r="L1184" t="str">
            <v>09-08-004-33W1</v>
          </cell>
          <cell r="O1184">
            <v>861.9</v>
          </cell>
          <cell r="Q1184">
            <v>1.55</v>
          </cell>
          <cell r="T1184">
            <v>1221.903</v>
          </cell>
        </row>
        <row r="1185">
          <cell r="G1185">
            <v>42339</v>
          </cell>
          <cell r="L1185" t="str">
            <v>14-33-003-01W2</v>
          </cell>
          <cell r="O1185">
            <v>829.6</v>
          </cell>
          <cell r="Q1185">
            <v>0.84</v>
          </cell>
          <cell r="T1185">
            <v>1201.1189999999999</v>
          </cell>
        </row>
        <row r="1186">
          <cell r="G1186">
            <v>42339</v>
          </cell>
          <cell r="L1186" t="str">
            <v>07-31-001-31W1</v>
          </cell>
          <cell r="O1186">
            <v>859.3</v>
          </cell>
          <cell r="Q1186">
            <v>1.63</v>
          </cell>
          <cell r="T1186">
            <v>1124.5170000000001</v>
          </cell>
        </row>
        <row r="1187">
          <cell r="G1187">
            <v>42339</v>
          </cell>
          <cell r="L1187" t="str">
            <v>06-24-001-34W1</v>
          </cell>
          <cell r="O1187">
            <v>867.2</v>
          </cell>
          <cell r="Q1187">
            <v>1.63</v>
          </cell>
          <cell r="T1187">
            <v>1054.124</v>
          </cell>
        </row>
        <row r="1188">
          <cell r="G1188">
            <v>42339</v>
          </cell>
          <cell r="L1188" t="str">
            <v>05-12-002-32W1</v>
          </cell>
          <cell r="O1188">
            <v>862.5</v>
          </cell>
          <cell r="Q1188">
            <v>1.63</v>
          </cell>
          <cell r="T1188">
            <v>751.34799999999996</v>
          </cell>
        </row>
        <row r="1189">
          <cell r="G1189">
            <v>42339</v>
          </cell>
          <cell r="L1189" t="str">
            <v>16-24-001-34W1</v>
          </cell>
          <cell r="O1189">
            <v>869.5</v>
          </cell>
          <cell r="Q1189">
            <v>1.62</v>
          </cell>
          <cell r="T1189">
            <v>738.80700000000002</v>
          </cell>
        </row>
        <row r="1190">
          <cell r="G1190">
            <v>42339</v>
          </cell>
          <cell r="L1190" t="str">
            <v>04-14-005-33W1</v>
          </cell>
          <cell r="O1190">
            <v>834.9</v>
          </cell>
          <cell r="Q1190">
            <v>0.8</v>
          </cell>
          <cell r="T1190">
            <v>616.01</v>
          </cell>
        </row>
        <row r="1191">
          <cell r="G1191">
            <v>42339</v>
          </cell>
          <cell r="L1191" t="str">
            <v>07-12-005-34W1</v>
          </cell>
          <cell r="O1191">
            <v>825.4</v>
          </cell>
          <cell r="Q1191">
            <v>0.61</v>
          </cell>
          <cell r="T1191">
            <v>406.99599999999998</v>
          </cell>
        </row>
        <row r="1192">
          <cell r="G1192">
            <v>42339</v>
          </cell>
          <cell r="L1192" t="str">
            <v>03-23-001-32W1</v>
          </cell>
          <cell r="O1192">
            <v>862.9</v>
          </cell>
          <cell r="Q1192">
            <v>1.65</v>
          </cell>
          <cell r="T1192">
            <v>286.09800000000001</v>
          </cell>
        </row>
        <row r="1193">
          <cell r="G1193">
            <v>42339</v>
          </cell>
          <cell r="L1193" t="str">
            <v>16-18-011-04W2</v>
          </cell>
          <cell r="O1193">
            <v>813.7</v>
          </cell>
          <cell r="Q1193">
            <v>1.36</v>
          </cell>
          <cell r="T1193">
            <v>5847.0219999999999</v>
          </cell>
        </row>
        <row r="1194">
          <cell r="G1194">
            <v>42339</v>
          </cell>
          <cell r="L1194" t="str">
            <v>10-13-006-03W2</v>
          </cell>
          <cell r="O1194">
            <v>856.2</v>
          </cell>
          <cell r="Q1194">
            <v>1.79</v>
          </cell>
          <cell r="T1194">
            <v>1542.9469999999999</v>
          </cell>
        </row>
        <row r="1195">
          <cell r="G1195">
            <v>42339</v>
          </cell>
          <cell r="L1195" t="str">
            <v>07-12-008-04W2</v>
          </cell>
          <cell r="O1195">
            <v>856.8</v>
          </cell>
          <cell r="Q1195">
            <v>1.41</v>
          </cell>
          <cell r="T1195">
            <v>824.84699999999998</v>
          </cell>
        </row>
        <row r="1196">
          <cell r="G1196">
            <v>42339</v>
          </cell>
          <cell r="L1196" t="str">
            <v>08-36-003-34W1</v>
          </cell>
          <cell r="O1196">
            <v>847.6</v>
          </cell>
          <cell r="Q1196">
            <v>1.1599999999999999</v>
          </cell>
          <cell r="T1196">
            <v>4429.3249999999998</v>
          </cell>
        </row>
        <row r="1197">
          <cell r="G1197">
            <v>42339</v>
          </cell>
          <cell r="L1197" t="str">
            <v>05-14-003-01W2</v>
          </cell>
          <cell r="O1197">
            <v>827.9</v>
          </cell>
          <cell r="Q1197">
            <v>0.71</v>
          </cell>
          <cell r="T1197">
            <v>2813.25</v>
          </cell>
        </row>
        <row r="1198">
          <cell r="G1198">
            <v>42339</v>
          </cell>
          <cell r="L1198" t="str">
            <v>01-09-001-31W1</v>
          </cell>
          <cell r="O1198">
            <v>875.5</v>
          </cell>
          <cell r="Q1198">
            <v>1.63</v>
          </cell>
          <cell r="T1198">
            <v>1959.0239999999999</v>
          </cell>
        </row>
        <row r="1199">
          <cell r="G1199">
            <v>42339</v>
          </cell>
          <cell r="L1199" t="str">
            <v>14-33-003-01W2</v>
          </cell>
          <cell r="O1199">
            <v>836.1</v>
          </cell>
          <cell r="Q1199">
            <v>0.67</v>
          </cell>
          <cell r="T1199">
            <v>1277.5350000000001</v>
          </cell>
        </row>
        <row r="1200">
          <cell r="G1200">
            <v>42339</v>
          </cell>
          <cell r="L1200" t="str">
            <v>10-11-004-34W1</v>
          </cell>
          <cell r="O1200">
            <v>834.8</v>
          </cell>
          <cell r="Q1200">
            <v>0.82</v>
          </cell>
          <cell r="T1200">
            <v>922.32799999999997</v>
          </cell>
        </row>
        <row r="1201">
          <cell r="G1201">
            <v>42339</v>
          </cell>
          <cell r="L1201" t="str">
            <v>13-11-004-02W2</v>
          </cell>
          <cell r="O1201">
            <v>837.8</v>
          </cell>
          <cell r="Q1201">
            <v>1.05</v>
          </cell>
          <cell r="T1201">
            <v>859.74199999999996</v>
          </cell>
        </row>
        <row r="1202">
          <cell r="G1202">
            <v>42339</v>
          </cell>
          <cell r="L1202" t="str">
            <v>05-13-003-02W2</v>
          </cell>
          <cell r="O1202">
            <v>826</v>
          </cell>
          <cell r="Q1202">
            <v>0.53</v>
          </cell>
          <cell r="T1202">
            <v>819.49400000000003</v>
          </cell>
        </row>
        <row r="1203">
          <cell r="G1203">
            <v>42339</v>
          </cell>
          <cell r="L1203" t="str">
            <v>14-20-005-33W1</v>
          </cell>
          <cell r="O1203">
            <v>830.5</v>
          </cell>
          <cell r="Q1203">
            <v>0.72</v>
          </cell>
          <cell r="T1203">
            <v>513.15</v>
          </cell>
        </row>
        <row r="1204">
          <cell r="G1204">
            <v>42339</v>
          </cell>
          <cell r="L1204" t="str">
            <v>02-10-003-01W2</v>
          </cell>
          <cell r="O1204">
            <v>825.3</v>
          </cell>
          <cell r="Q1204">
            <v>0.51</v>
          </cell>
          <cell r="T1204">
            <v>497.57400000000001</v>
          </cell>
        </row>
        <row r="1205">
          <cell r="G1205">
            <v>42339</v>
          </cell>
          <cell r="L1205" t="str">
            <v>02-08-004-33W1</v>
          </cell>
          <cell r="O1205">
            <v>831.4</v>
          </cell>
          <cell r="Q1205">
            <v>0.65</v>
          </cell>
          <cell r="T1205">
            <v>388.06900000000002</v>
          </cell>
        </row>
        <row r="1206">
          <cell r="G1206">
            <v>42339</v>
          </cell>
          <cell r="L1206" t="str">
            <v>12-12-005-34W1</v>
          </cell>
          <cell r="O1206">
            <v>823.2</v>
          </cell>
          <cell r="Q1206">
            <v>0.59</v>
          </cell>
          <cell r="T1206">
            <v>241.37799999999999</v>
          </cell>
        </row>
        <row r="1207">
          <cell r="G1207">
            <v>42339</v>
          </cell>
          <cell r="L1207" t="str">
            <v>13-25-001-01W2</v>
          </cell>
          <cell r="O1207">
            <v>842.4</v>
          </cell>
          <cell r="Q1207">
            <v>1.59</v>
          </cell>
          <cell r="T1207">
            <v>240.99700000000001</v>
          </cell>
        </row>
        <row r="1208">
          <cell r="G1208">
            <v>42339</v>
          </cell>
          <cell r="L1208" t="str">
            <v>08-33-005-03W2</v>
          </cell>
          <cell r="O1208">
            <v>842</v>
          </cell>
          <cell r="Q1208">
            <v>1.1200000000000001</v>
          </cell>
          <cell r="T1208">
            <v>1256.306</v>
          </cell>
        </row>
        <row r="1209">
          <cell r="G1209">
            <v>42339</v>
          </cell>
          <cell r="L1209" t="str">
            <v>02-02-006-03W2</v>
          </cell>
          <cell r="O1209">
            <v>850.9</v>
          </cell>
          <cell r="Q1209">
            <v>1.2</v>
          </cell>
          <cell r="T1209">
            <v>1107.385</v>
          </cell>
        </row>
        <row r="1210">
          <cell r="G1210">
            <v>42339</v>
          </cell>
          <cell r="L1210" t="str">
            <v>05-29-005-32W1</v>
          </cell>
          <cell r="O1210">
            <v>834</v>
          </cell>
          <cell r="Q1210">
            <v>0.94</v>
          </cell>
          <cell r="T1210">
            <v>3204.576</v>
          </cell>
        </row>
        <row r="1211">
          <cell r="G1211">
            <v>42339</v>
          </cell>
          <cell r="L1211" t="str">
            <v>15-26-007-04W2</v>
          </cell>
          <cell r="O1211">
            <v>850.2</v>
          </cell>
          <cell r="Q1211">
            <v>1.4</v>
          </cell>
          <cell r="T1211">
            <v>444.91699999999997</v>
          </cell>
        </row>
        <row r="1212">
          <cell r="G1212">
            <v>42339</v>
          </cell>
          <cell r="L1212" t="str">
            <v>07-25-003-13W2</v>
          </cell>
          <cell r="O1212">
            <v>889.4</v>
          </cell>
          <cell r="Q1212">
            <v>2.4</v>
          </cell>
          <cell r="T1212">
            <v>332.07100000000003</v>
          </cell>
        </row>
        <row r="1213">
          <cell r="G1213">
            <v>42339</v>
          </cell>
          <cell r="L1213" t="str">
            <v>07-23-006-02W2</v>
          </cell>
          <cell r="O1213">
            <v>847.4</v>
          </cell>
          <cell r="Q1213">
            <v>1.1299999999999999</v>
          </cell>
          <cell r="T1213">
            <v>312.73099999999999</v>
          </cell>
        </row>
        <row r="1214">
          <cell r="G1214">
            <v>42339</v>
          </cell>
          <cell r="L1214" t="str">
            <v>13-30-005-05W2</v>
          </cell>
          <cell r="O1214">
            <v>848.5</v>
          </cell>
          <cell r="Q1214">
            <v>1.1200000000000001</v>
          </cell>
          <cell r="T1214">
            <v>875.27200000000005</v>
          </cell>
        </row>
        <row r="1215">
          <cell r="G1215">
            <v>42339</v>
          </cell>
          <cell r="L1215" t="str">
            <v>09-13-007-11W2</v>
          </cell>
          <cell r="O1215">
            <v>813.8</v>
          </cell>
          <cell r="Q1215">
            <v>0.37</v>
          </cell>
          <cell r="T1215">
            <v>26375.690999999999</v>
          </cell>
        </row>
        <row r="1216">
          <cell r="G1216">
            <v>42339</v>
          </cell>
          <cell r="L1216" t="str">
            <v>04-27-003-33W1</v>
          </cell>
          <cell r="O1216">
            <v>845.1</v>
          </cell>
          <cell r="Q1216">
            <v>1.1299999999999999</v>
          </cell>
          <cell r="T1216">
            <v>2665.3150000000001</v>
          </cell>
        </row>
        <row r="1217">
          <cell r="G1217">
            <v>42339</v>
          </cell>
          <cell r="L1217" t="str">
            <v>03-06-005-12W2</v>
          </cell>
          <cell r="O1217">
            <v>881.5</v>
          </cell>
          <cell r="Q1217">
            <v>2.25</v>
          </cell>
          <cell r="T1217">
            <v>541.78899999999999</v>
          </cell>
        </row>
        <row r="1218">
          <cell r="G1218">
            <v>42339</v>
          </cell>
          <cell r="L1218" t="str">
            <v>15-25-007-11W2</v>
          </cell>
          <cell r="O1218">
            <v>869.2</v>
          </cell>
          <cell r="Q1218">
            <v>1.94</v>
          </cell>
          <cell r="T1218">
            <v>1272.4369999999999</v>
          </cell>
        </row>
        <row r="1219">
          <cell r="G1219">
            <v>42339</v>
          </cell>
          <cell r="L1219" t="str">
            <v>07-27-007-06W2</v>
          </cell>
          <cell r="O1219">
            <v>804.6</v>
          </cell>
          <cell r="Q1219">
            <v>0.24</v>
          </cell>
          <cell r="T1219">
            <v>832.02099999999996</v>
          </cell>
        </row>
        <row r="1220">
          <cell r="G1220">
            <v>42339</v>
          </cell>
          <cell r="L1220" t="str">
            <v>05-20-004-04W2</v>
          </cell>
          <cell r="O1220">
            <v>839.1</v>
          </cell>
          <cell r="Q1220">
            <v>1.9</v>
          </cell>
          <cell r="T1220">
            <v>9200.7980000000007</v>
          </cell>
        </row>
        <row r="1221">
          <cell r="G1221">
            <v>42339</v>
          </cell>
          <cell r="L1221" t="str">
            <v>11-16-005-04W2</v>
          </cell>
          <cell r="O1221">
            <v>848.2</v>
          </cell>
          <cell r="Q1221">
            <v>1.35</v>
          </cell>
          <cell r="T1221">
            <v>2374.549</v>
          </cell>
        </row>
        <row r="1222">
          <cell r="G1222">
            <v>42339</v>
          </cell>
          <cell r="L1222" t="str">
            <v>07-12-006-11W2</v>
          </cell>
          <cell r="O1222">
            <v>874.9</v>
          </cell>
          <cell r="Q1222">
            <v>2.08</v>
          </cell>
          <cell r="T1222">
            <v>24480.578000000001</v>
          </cell>
        </row>
        <row r="1223">
          <cell r="G1223">
            <v>42339</v>
          </cell>
          <cell r="L1223" t="str">
            <v>11-04-005-12W2</v>
          </cell>
          <cell r="O1223">
            <v>876.3</v>
          </cell>
          <cell r="Q1223">
            <v>2</v>
          </cell>
          <cell r="T1223">
            <v>1732.501</v>
          </cell>
        </row>
        <row r="1224">
          <cell r="G1224">
            <v>42339</v>
          </cell>
          <cell r="L1224" t="str">
            <v>15-32-004-12W2</v>
          </cell>
          <cell r="O1224">
            <v>881.4</v>
          </cell>
          <cell r="Q1224">
            <v>2.12</v>
          </cell>
          <cell r="T1224">
            <v>1508.875</v>
          </cell>
        </row>
        <row r="1225">
          <cell r="G1225">
            <v>42339</v>
          </cell>
          <cell r="L1225" t="str">
            <v>06-03-004-31W1</v>
          </cell>
          <cell r="O1225">
            <v>867.2</v>
          </cell>
          <cell r="Q1225">
            <v>1.88</v>
          </cell>
          <cell r="T1225">
            <v>267.76799999999997</v>
          </cell>
        </row>
        <row r="1226">
          <cell r="G1226">
            <v>42339</v>
          </cell>
          <cell r="L1226" t="str">
            <v>02-13-006-06W2</v>
          </cell>
          <cell r="O1226">
            <v>848.6</v>
          </cell>
          <cell r="Q1226">
            <v>1.53</v>
          </cell>
          <cell r="T1226">
            <v>2173.7730000000001</v>
          </cell>
        </row>
        <row r="1227">
          <cell r="G1227">
            <v>42339</v>
          </cell>
          <cell r="L1227" t="str">
            <v>14-13-001-05W2</v>
          </cell>
          <cell r="O1227">
            <v>812.7</v>
          </cell>
          <cell r="Q1227">
            <v>0.48</v>
          </cell>
          <cell r="T1227">
            <v>20694.09</v>
          </cell>
        </row>
        <row r="1228">
          <cell r="G1228">
            <v>42339</v>
          </cell>
          <cell r="L1228" t="str">
            <v>01-07-006-10W2</v>
          </cell>
          <cell r="O1228">
            <v>830.9</v>
          </cell>
          <cell r="Q1228">
            <v>1.64</v>
          </cell>
          <cell r="T1228">
            <v>52537.993999999999</v>
          </cell>
        </row>
        <row r="1229">
          <cell r="G1229">
            <v>42339</v>
          </cell>
          <cell r="L1229" t="str">
            <v>13-30-007-10W2</v>
          </cell>
          <cell r="O1229">
            <v>812.9</v>
          </cell>
          <cell r="Q1229">
            <v>0.56000000000000005</v>
          </cell>
          <cell r="T1229">
            <v>12685.463</v>
          </cell>
        </row>
        <row r="1230">
          <cell r="G1230">
            <v>42339</v>
          </cell>
          <cell r="L1230" t="str">
            <v>04-17-004-31W1</v>
          </cell>
          <cell r="O1230">
            <v>865.1</v>
          </cell>
          <cell r="Q1230">
            <v>1.73</v>
          </cell>
          <cell r="T1230">
            <v>1524.914</v>
          </cell>
        </row>
        <row r="1231">
          <cell r="G1231">
            <v>42339</v>
          </cell>
          <cell r="L1231" t="str">
            <v>10-33-003-31W1</v>
          </cell>
          <cell r="O1231">
            <v>881.4</v>
          </cell>
          <cell r="Q1231">
            <v>0.88</v>
          </cell>
          <cell r="T1231">
            <v>364.52300000000002</v>
          </cell>
        </row>
        <row r="1232">
          <cell r="G1232">
            <v>42339</v>
          </cell>
          <cell r="L1232" t="str">
            <v>11-02-005-12W2</v>
          </cell>
          <cell r="O1232">
            <v>837.8</v>
          </cell>
          <cell r="Q1232">
            <v>1.44</v>
          </cell>
          <cell r="T1232">
            <v>3686.4169999999999</v>
          </cell>
        </row>
        <row r="1233">
          <cell r="G1233">
            <v>42339</v>
          </cell>
          <cell r="L1233" t="str">
            <v>16-13-004-32W1</v>
          </cell>
          <cell r="O1233">
            <v>859.9</v>
          </cell>
          <cell r="Q1233">
            <v>1.45</v>
          </cell>
          <cell r="T1233">
            <v>2316.5819999999999</v>
          </cell>
        </row>
        <row r="1234">
          <cell r="G1234">
            <v>42339</v>
          </cell>
          <cell r="L1234" t="str">
            <v>14-30-001-04W2</v>
          </cell>
          <cell r="O1234">
            <v>830.6</v>
          </cell>
          <cell r="Q1234">
            <v>0.52</v>
          </cell>
          <cell r="T1234">
            <v>2666.2139999999999</v>
          </cell>
        </row>
        <row r="1235">
          <cell r="G1235">
            <v>42339</v>
          </cell>
          <cell r="L1235" t="str">
            <v>14-18-001-04W2</v>
          </cell>
          <cell r="O1235">
            <v>817.1</v>
          </cell>
          <cell r="Q1235">
            <v>0.5</v>
          </cell>
          <cell r="T1235">
            <v>496.274</v>
          </cell>
        </row>
        <row r="1236">
          <cell r="G1236">
            <v>42339</v>
          </cell>
          <cell r="L1236" t="str">
            <v>05-31-002-01W2</v>
          </cell>
          <cell r="O1236">
            <v>820.4</v>
          </cell>
          <cell r="Q1236">
            <v>0.47</v>
          </cell>
          <cell r="T1236">
            <v>6271.6890000000003</v>
          </cell>
        </row>
        <row r="1237">
          <cell r="G1237">
            <v>42339</v>
          </cell>
          <cell r="L1237" t="str">
            <v>13-03-006-34W1</v>
          </cell>
          <cell r="O1237">
            <v>842.8</v>
          </cell>
          <cell r="Q1237">
            <v>1.1599999999999999</v>
          </cell>
          <cell r="T1237">
            <v>7351.3919999999998</v>
          </cell>
        </row>
        <row r="1238">
          <cell r="G1238">
            <v>42339</v>
          </cell>
          <cell r="L1238" t="str">
            <v>06-27-006-01W2</v>
          </cell>
          <cell r="O1238">
            <v>844.8</v>
          </cell>
          <cell r="Q1238">
            <v>1.54</v>
          </cell>
          <cell r="T1238">
            <v>1852.51</v>
          </cell>
        </row>
        <row r="1239">
          <cell r="G1239">
            <v>42339</v>
          </cell>
          <cell r="L1239" t="str">
            <v>10-11-006-34W1</v>
          </cell>
          <cell r="O1239">
            <v>850.4</v>
          </cell>
          <cell r="Q1239">
            <v>1.48</v>
          </cell>
          <cell r="T1239">
            <v>1292.104</v>
          </cell>
        </row>
        <row r="1240">
          <cell r="G1240">
            <v>42339</v>
          </cell>
          <cell r="L1240" t="str">
            <v>08-32-006-01W2</v>
          </cell>
          <cell r="O1240">
            <v>846.9</v>
          </cell>
          <cell r="Q1240">
            <v>1.21</v>
          </cell>
          <cell r="T1240">
            <v>636.23099999999999</v>
          </cell>
        </row>
        <row r="1241">
          <cell r="G1241">
            <v>42339</v>
          </cell>
          <cell r="L1241" t="str">
            <v>03-29-003-04W2</v>
          </cell>
          <cell r="O1241">
            <v>838.7</v>
          </cell>
          <cell r="Q1241">
            <v>0.81</v>
          </cell>
          <cell r="T1241">
            <v>1571.539</v>
          </cell>
        </row>
        <row r="1242">
          <cell r="G1242">
            <v>42339</v>
          </cell>
          <cell r="L1242" t="str">
            <v>11-27-005-33W1</v>
          </cell>
          <cell r="O1242">
            <v>824.5</v>
          </cell>
          <cell r="Q1242">
            <v>0.72</v>
          </cell>
          <cell r="T1242">
            <v>5045.2640000000001</v>
          </cell>
        </row>
        <row r="1243">
          <cell r="G1243">
            <v>42339</v>
          </cell>
          <cell r="L1243" t="str">
            <v>02-15-006-01W2</v>
          </cell>
          <cell r="O1243">
            <v>845.4</v>
          </cell>
          <cell r="Q1243">
            <v>1.1200000000000001</v>
          </cell>
          <cell r="T1243">
            <v>1411.54</v>
          </cell>
        </row>
        <row r="1244">
          <cell r="G1244">
            <v>42339</v>
          </cell>
          <cell r="L1244" t="str">
            <v>10-33-004-32W1</v>
          </cell>
          <cell r="O1244">
            <v>837.5</v>
          </cell>
          <cell r="Q1244">
            <v>2.2999999999999998</v>
          </cell>
          <cell r="T1244">
            <v>797.654</v>
          </cell>
        </row>
        <row r="1245">
          <cell r="G1245">
            <v>42339</v>
          </cell>
          <cell r="L1245" t="str">
            <v>08-12-006-01W2</v>
          </cell>
          <cell r="O1245">
            <v>845.1</v>
          </cell>
          <cell r="Q1245">
            <v>1.29</v>
          </cell>
          <cell r="T1245">
            <v>397.82</v>
          </cell>
        </row>
        <row r="1246">
          <cell r="G1246">
            <v>42339</v>
          </cell>
          <cell r="L1246" t="str">
            <v>07-08-004-05W2</v>
          </cell>
          <cell r="O1246">
            <v>843</v>
          </cell>
          <cell r="Q1246">
            <v>1.07</v>
          </cell>
          <cell r="T1246">
            <v>857.31600000000003</v>
          </cell>
        </row>
        <row r="1247">
          <cell r="G1247">
            <v>42339</v>
          </cell>
          <cell r="L1247" t="str">
            <v>09-33-005-05W2</v>
          </cell>
          <cell r="O1247">
            <v>858.6</v>
          </cell>
          <cell r="Q1247">
            <v>0.69</v>
          </cell>
          <cell r="T1247">
            <v>1944.079</v>
          </cell>
        </row>
        <row r="1248">
          <cell r="G1248">
            <v>42339</v>
          </cell>
          <cell r="L1248" t="str">
            <v>08-05-006-33W1</v>
          </cell>
          <cell r="O1248">
            <v>831.8</v>
          </cell>
          <cell r="Q1248">
            <v>0.84</v>
          </cell>
          <cell r="T1248">
            <v>1277.588</v>
          </cell>
        </row>
        <row r="1249">
          <cell r="G1249">
            <v>42339</v>
          </cell>
          <cell r="L1249" t="str">
            <v>06-04-006-33W1</v>
          </cell>
          <cell r="O1249">
            <v>833.5</v>
          </cell>
          <cell r="Q1249">
            <v>0.83</v>
          </cell>
          <cell r="T1249">
            <v>527.20299999999997</v>
          </cell>
        </row>
        <row r="1250">
          <cell r="G1250">
            <v>42339</v>
          </cell>
          <cell r="L1250" t="str">
            <v>03-05-006-05W2</v>
          </cell>
          <cell r="O1250">
            <v>868.2</v>
          </cell>
          <cell r="Q1250">
            <v>1.01</v>
          </cell>
          <cell r="T1250">
            <v>489.09</v>
          </cell>
        </row>
        <row r="1251">
          <cell r="G1251">
            <v>42339</v>
          </cell>
          <cell r="L1251" t="str">
            <v>01-01-006-06W2</v>
          </cell>
          <cell r="O1251">
            <v>848.7</v>
          </cell>
          <cell r="Q1251">
            <v>1.17</v>
          </cell>
          <cell r="T1251">
            <v>435.48200000000003</v>
          </cell>
        </row>
        <row r="1252">
          <cell r="G1252">
            <v>42339</v>
          </cell>
          <cell r="L1252" t="str">
            <v>01-35-005-06W2</v>
          </cell>
          <cell r="O1252">
            <v>850.3</v>
          </cell>
          <cell r="Q1252">
            <v>1.1499999999999999</v>
          </cell>
          <cell r="T1252">
            <v>403.03100000000001</v>
          </cell>
        </row>
        <row r="1253">
          <cell r="G1253">
            <v>42339</v>
          </cell>
          <cell r="L1253" t="str">
            <v>09-08-004-03W2</v>
          </cell>
          <cell r="O1253">
            <v>834.8</v>
          </cell>
          <cell r="Q1253">
            <v>1.08</v>
          </cell>
          <cell r="T1253">
            <v>4944.5259999999998</v>
          </cell>
        </row>
        <row r="1254">
          <cell r="G1254">
            <v>42339</v>
          </cell>
          <cell r="L1254" t="str">
            <v>05-10-006-05W2</v>
          </cell>
          <cell r="O1254">
            <v>854.9</v>
          </cell>
          <cell r="Q1254">
            <v>1.47</v>
          </cell>
          <cell r="T1254">
            <v>2705.1880000000001</v>
          </cell>
        </row>
        <row r="1255">
          <cell r="G1255">
            <v>42339</v>
          </cell>
          <cell r="L1255" t="str">
            <v>05-24-005-04W2</v>
          </cell>
          <cell r="O1255">
            <v>855.8</v>
          </cell>
          <cell r="Q1255">
            <v>1.5</v>
          </cell>
          <cell r="T1255">
            <v>2050.9319999999998</v>
          </cell>
        </row>
        <row r="1256">
          <cell r="G1256">
            <v>42339</v>
          </cell>
          <cell r="L1256" t="str">
            <v>07-18-005-04W2</v>
          </cell>
          <cell r="O1256">
            <v>848.1</v>
          </cell>
          <cell r="Q1256">
            <v>1.64</v>
          </cell>
          <cell r="T1256">
            <v>418.69099999999997</v>
          </cell>
        </row>
        <row r="1257">
          <cell r="G1257">
            <v>42339</v>
          </cell>
          <cell r="L1257" t="str">
            <v>STEELMAN MIDALE</v>
          </cell>
          <cell r="O1257">
            <v>877.7</v>
          </cell>
          <cell r="Q1257">
            <v>1.86</v>
          </cell>
          <cell r="T1257">
            <v>9256.0509999999995</v>
          </cell>
        </row>
        <row r="1258">
          <cell r="G1258">
            <v>42339</v>
          </cell>
          <cell r="L1258" t="str">
            <v>03-15-004-06W2</v>
          </cell>
          <cell r="O1258">
            <v>852.9</v>
          </cell>
          <cell r="Q1258">
            <v>1.22</v>
          </cell>
          <cell r="T1258">
            <v>4936.4489999999996</v>
          </cell>
        </row>
        <row r="1259">
          <cell r="G1259">
            <v>42339</v>
          </cell>
          <cell r="L1259" t="str">
            <v>07-35-004-04W2</v>
          </cell>
          <cell r="O1259">
            <v>854.5</v>
          </cell>
          <cell r="Q1259">
            <v>1.57</v>
          </cell>
          <cell r="T1259">
            <v>3165.6329999999998</v>
          </cell>
        </row>
        <row r="1260">
          <cell r="G1260">
            <v>42339</v>
          </cell>
          <cell r="L1260" t="str">
            <v>11-02-005-04W2</v>
          </cell>
          <cell r="O1260">
            <v>853</v>
          </cell>
          <cell r="Q1260">
            <v>1.4</v>
          </cell>
          <cell r="T1260">
            <v>1726.501</v>
          </cell>
        </row>
        <row r="1261">
          <cell r="G1261">
            <v>42339</v>
          </cell>
          <cell r="L1261" t="str">
            <v>06-27-004-06W2</v>
          </cell>
          <cell r="O1261">
            <v>833.9</v>
          </cell>
          <cell r="Q1261">
            <v>0.7</v>
          </cell>
          <cell r="T1261">
            <v>1514.39</v>
          </cell>
        </row>
        <row r="1262">
          <cell r="G1262">
            <v>42339</v>
          </cell>
          <cell r="L1262" t="str">
            <v>01-11-005-04W2</v>
          </cell>
          <cell r="O1262">
            <v>870.2</v>
          </cell>
          <cell r="Q1262">
            <v>1.75</v>
          </cell>
          <cell r="T1262">
            <v>483.16800000000001</v>
          </cell>
        </row>
        <row r="1263">
          <cell r="G1263">
            <v>42339</v>
          </cell>
          <cell r="L1263" t="str">
            <v>09-27-004-05W2</v>
          </cell>
          <cell r="O1263">
            <v>846</v>
          </cell>
          <cell r="Q1263">
            <v>1.19</v>
          </cell>
          <cell r="T1263">
            <v>1140.895</v>
          </cell>
        </row>
        <row r="1264">
          <cell r="G1264">
            <v>42339</v>
          </cell>
          <cell r="L1264" t="str">
            <v>09-10-005-04W2</v>
          </cell>
          <cell r="O1264">
            <v>853.9</v>
          </cell>
          <cell r="Q1264">
            <v>1.2</v>
          </cell>
          <cell r="T1264">
            <v>1091.704</v>
          </cell>
        </row>
        <row r="1265">
          <cell r="G1265">
            <v>42339</v>
          </cell>
          <cell r="L1265" t="str">
            <v>09-13-004-06W2</v>
          </cell>
          <cell r="O1265">
            <v>832.2</v>
          </cell>
          <cell r="Q1265">
            <v>1</v>
          </cell>
          <cell r="T1265">
            <v>655.31899999999996</v>
          </cell>
        </row>
        <row r="1266">
          <cell r="G1266">
            <v>42339</v>
          </cell>
          <cell r="L1266" t="str">
            <v>11-31-005-11W2</v>
          </cell>
          <cell r="O1266">
            <v>882.8</v>
          </cell>
          <cell r="Q1266">
            <v>1.92</v>
          </cell>
          <cell r="T1266">
            <v>2988.9360000000001</v>
          </cell>
        </row>
        <row r="1267">
          <cell r="G1267">
            <v>42339</v>
          </cell>
          <cell r="L1267" t="str">
            <v>01-18-004-08W2</v>
          </cell>
          <cell r="O1267">
            <v>889.3</v>
          </cell>
          <cell r="Q1267">
            <v>2.42</v>
          </cell>
          <cell r="T1267">
            <v>1764.27</v>
          </cell>
        </row>
        <row r="1268">
          <cell r="G1268">
            <v>42339</v>
          </cell>
          <cell r="L1268" t="str">
            <v>11-14-007-08W2</v>
          </cell>
          <cell r="O1268">
            <v>839.8</v>
          </cell>
          <cell r="Q1268">
            <v>1.33</v>
          </cell>
          <cell r="T1268">
            <v>1236.491</v>
          </cell>
        </row>
        <row r="1269">
          <cell r="G1269">
            <v>42339</v>
          </cell>
          <cell r="L1269" t="str">
            <v>14-27-005-12W2</v>
          </cell>
          <cell r="O1269">
            <v>875.9</v>
          </cell>
          <cell r="Q1269">
            <v>2.1</v>
          </cell>
          <cell r="T1269">
            <v>1183.0999999999999</v>
          </cell>
        </row>
        <row r="1270">
          <cell r="G1270">
            <v>42339</v>
          </cell>
          <cell r="L1270" t="str">
            <v>15-36-001-12W2</v>
          </cell>
          <cell r="O1270">
            <v>816.6</v>
          </cell>
          <cell r="Q1270">
            <v>0.16</v>
          </cell>
          <cell r="T1270">
            <v>1013.1420000000001</v>
          </cell>
        </row>
        <row r="1271">
          <cell r="G1271">
            <v>42339</v>
          </cell>
          <cell r="L1271" t="str">
            <v>16-09-007-11W2</v>
          </cell>
          <cell r="O1271">
            <v>828.8</v>
          </cell>
          <cell r="Q1271">
            <v>0.52</v>
          </cell>
          <cell r="T1271">
            <v>849.04499999999996</v>
          </cell>
        </row>
        <row r="1272">
          <cell r="G1272">
            <v>42339</v>
          </cell>
          <cell r="L1272" t="str">
            <v>16-05-005-08W2</v>
          </cell>
          <cell r="O1272">
            <v>885.6</v>
          </cell>
          <cell r="Q1272">
            <v>2.04</v>
          </cell>
          <cell r="T1272">
            <v>741.60400000000004</v>
          </cell>
        </row>
        <row r="1273">
          <cell r="G1273">
            <v>42339</v>
          </cell>
          <cell r="L1273" t="str">
            <v>14-22-004-08W2</v>
          </cell>
          <cell r="O1273">
            <v>875</v>
          </cell>
          <cell r="Q1273">
            <v>2.0099999999999998</v>
          </cell>
          <cell r="T1273">
            <v>666.11900000000003</v>
          </cell>
        </row>
        <row r="1274">
          <cell r="G1274">
            <v>42339</v>
          </cell>
          <cell r="L1274" t="str">
            <v>01-01-007-12W2</v>
          </cell>
          <cell r="O1274">
            <v>892.5</v>
          </cell>
          <cell r="Q1274">
            <v>2.62</v>
          </cell>
          <cell r="T1274">
            <v>594.68600000000004</v>
          </cell>
        </row>
        <row r="1275">
          <cell r="G1275">
            <v>42339</v>
          </cell>
          <cell r="L1275" t="str">
            <v>09-02-006-07W2</v>
          </cell>
          <cell r="O1275">
            <v>886.3</v>
          </cell>
          <cell r="Q1275">
            <v>2.25</v>
          </cell>
          <cell r="T1275">
            <v>589.03899999999999</v>
          </cell>
        </row>
        <row r="1276">
          <cell r="G1276">
            <v>42339</v>
          </cell>
          <cell r="L1276" t="str">
            <v>15-11-005-09W2</v>
          </cell>
          <cell r="O1276">
            <v>884.5</v>
          </cell>
          <cell r="Q1276">
            <v>2.19</v>
          </cell>
          <cell r="T1276">
            <v>575.15300000000002</v>
          </cell>
        </row>
        <row r="1277">
          <cell r="G1277">
            <v>42339</v>
          </cell>
          <cell r="L1277" t="str">
            <v>16-22-001-12W2</v>
          </cell>
          <cell r="O1277">
            <v>818.1</v>
          </cell>
          <cell r="Q1277">
            <v>0.16</v>
          </cell>
          <cell r="T1277">
            <v>537.38400000000001</v>
          </cell>
        </row>
        <row r="1278">
          <cell r="G1278">
            <v>42339</v>
          </cell>
          <cell r="L1278" t="str">
            <v>04-27-004-08W2</v>
          </cell>
          <cell r="O1278">
            <v>883.3</v>
          </cell>
          <cell r="Q1278">
            <v>2.17</v>
          </cell>
          <cell r="T1278">
            <v>497.68099999999998</v>
          </cell>
        </row>
        <row r="1279">
          <cell r="G1279">
            <v>42339</v>
          </cell>
          <cell r="L1279" t="str">
            <v>06-18-006-12W2</v>
          </cell>
          <cell r="O1279">
            <v>887.8</v>
          </cell>
          <cell r="Q1279">
            <v>2.69</v>
          </cell>
          <cell r="T1279">
            <v>472.21499999999997</v>
          </cell>
        </row>
        <row r="1280">
          <cell r="G1280">
            <v>42339</v>
          </cell>
          <cell r="L1280" t="str">
            <v>13-33-006-09W2</v>
          </cell>
          <cell r="O1280">
            <v>887</v>
          </cell>
          <cell r="Q1280">
            <v>2.3199999999999998</v>
          </cell>
          <cell r="T1280">
            <v>451.255</v>
          </cell>
        </row>
        <row r="1281">
          <cell r="G1281">
            <v>42339</v>
          </cell>
          <cell r="L1281" t="str">
            <v>03-18-007-09W2</v>
          </cell>
          <cell r="O1281">
            <v>811.3</v>
          </cell>
          <cell r="Q1281">
            <v>0.42</v>
          </cell>
          <cell r="T1281">
            <v>441.18599999999998</v>
          </cell>
        </row>
        <row r="1282">
          <cell r="G1282">
            <v>42339</v>
          </cell>
          <cell r="L1282" t="str">
            <v>04-35-004-09W2</v>
          </cell>
          <cell r="O1282">
            <v>889.9</v>
          </cell>
          <cell r="Q1282">
            <v>2.0299999999999998</v>
          </cell>
          <cell r="T1282">
            <v>436.07799999999997</v>
          </cell>
        </row>
        <row r="1283">
          <cell r="G1283">
            <v>42339</v>
          </cell>
          <cell r="L1283" t="str">
            <v>12-20-005-12W2</v>
          </cell>
          <cell r="O1283">
            <v>885.1</v>
          </cell>
          <cell r="Q1283">
            <v>2.04</v>
          </cell>
          <cell r="T1283">
            <v>431.62099999999998</v>
          </cell>
        </row>
        <row r="1284">
          <cell r="G1284">
            <v>42339</v>
          </cell>
          <cell r="L1284" t="str">
            <v>04-23-012-06W2</v>
          </cell>
          <cell r="O1284">
            <v>894.7</v>
          </cell>
          <cell r="Q1284">
            <v>2.74</v>
          </cell>
          <cell r="T1284">
            <v>411.58100000000002</v>
          </cell>
        </row>
        <row r="1285">
          <cell r="G1285">
            <v>42339</v>
          </cell>
          <cell r="L1285" t="str">
            <v>13-06-007-11W2</v>
          </cell>
          <cell r="O1285">
            <v>861.8</v>
          </cell>
          <cell r="Q1285">
            <v>2</v>
          </cell>
          <cell r="T1285">
            <v>400.74400000000003</v>
          </cell>
        </row>
        <row r="1286">
          <cell r="G1286">
            <v>42339</v>
          </cell>
          <cell r="L1286" t="str">
            <v>04-13-004-10W2</v>
          </cell>
          <cell r="O1286">
            <v>885.1</v>
          </cell>
          <cell r="Q1286">
            <v>1.9</v>
          </cell>
          <cell r="T1286">
            <v>386.86200000000002</v>
          </cell>
        </row>
        <row r="1287">
          <cell r="G1287">
            <v>42339</v>
          </cell>
          <cell r="L1287" t="str">
            <v>15-13-002-12W2</v>
          </cell>
          <cell r="O1287">
            <v>822.1</v>
          </cell>
          <cell r="Q1287">
            <v>0.16</v>
          </cell>
          <cell r="T1287">
            <v>385.97300000000001</v>
          </cell>
        </row>
        <row r="1288">
          <cell r="G1288">
            <v>42339</v>
          </cell>
          <cell r="L1288" t="str">
            <v>15-29-007-13W2</v>
          </cell>
          <cell r="O1288">
            <v>851.4</v>
          </cell>
          <cell r="Q1288">
            <v>1.82</v>
          </cell>
          <cell r="T1288">
            <v>372.59800000000001</v>
          </cell>
        </row>
        <row r="1289">
          <cell r="G1289">
            <v>42339</v>
          </cell>
          <cell r="L1289" t="str">
            <v>14-27-001-12W2</v>
          </cell>
          <cell r="O1289">
            <v>819</v>
          </cell>
          <cell r="Q1289">
            <v>0.25</v>
          </cell>
          <cell r="T1289">
            <v>320.137</v>
          </cell>
        </row>
        <row r="1290">
          <cell r="G1290">
            <v>42339</v>
          </cell>
          <cell r="L1290" t="str">
            <v>14-04-006-08W2</v>
          </cell>
          <cell r="O1290">
            <v>853.8</v>
          </cell>
          <cell r="Q1290">
            <v>0.62</v>
          </cell>
          <cell r="T1290">
            <v>298.15499999999997</v>
          </cell>
        </row>
        <row r="1291">
          <cell r="G1291">
            <v>42339</v>
          </cell>
          <cell r="L1291" t="str">
            <v>04-16-004-21W2</v>
          </cell>
          <cell r="O1291">
            <v>819.6</v>
          </cell>
          <cell r="Q1291">
            <v>0.66</v>
          </cell>
          <cell r="T1291">
            <v>284.59500000000003</v>
          </cell>
        </row>
        <row r="1292">
          <cell r="G1292">
            <v>42339</v>
          </cell>
          <cell r="L1292" t="str">
            <v>02-13-004-12W2</v>
          </cell>
          <cell r="O1292">
            <v>884.2</v>
          </cell>
          <cell r="Q1292">
            <v>2.06</v>
          </cell>
          <cell r="T1292">
            <v>282.60899999999998</v>
          </cell>
        </row>
        <row r="1293">
          <cell r="G1293">
            <v>42339</v>
          </cell>
          <cell r="L1293" t="str">
            <v>03-08-001-11W2</v>
          </cell>
          <cell r="O1293">
            <v>810.8</v>
          </cell>
          <cell r="Q1293">
            <v>0.24</v>
          </cell>
          <cell r="T1293">
            <v>275.36399999999998</v>
          </cell>
        </row>
        <row r="1294">
          <cell r="G1294">
            <v>42339</v>
          </cell>
          <cell r="L1294" t="str">
            <v>13-29-001-15W2</v>
          </cell>
          <cell r="O1294">
            <v>808</v>
          </cell>
          <cell r="Q1294">
            <v>0.22</v>
          </cell>
          <cell r="T1294">
            <v>274.59800000000001</v>
          </cell>
        </row>
        <row r="1295">
          <cell r="G1295">
            <v>42339</v>
          </cell>
          <cell r="L1295" t="str">
            <v>01-10-008-15W2</v>
          </cell>
          <cell r="O1295">
            <v>862.7</v>
          </cell>
          <cell r="Q1295">
            <v>2.0499999999999998</v>
          </cell>
          <cell r="T1295">
            <v>246.702</v>
          </cell>
        </row>
        <row r="1296">
          <cell r="G1296">
            <v>42339</v>
          </cell>
          <cell r="L1296" t="str">
            <v>14-27-007-08W2</v>
          </cell>
          <cell r="O1296">
            <v>883</v>
          </cell>
          <cell r="Q1296">
            <v>2.39</v>
          </cell>
          <cell r="T1296">
            <v>211.863</v>
          </cell>
        </row>
        <row r="1297">
          <cell r="G1297">
            <v>42339</v>
          </cell>
          <cell r="L1297" t="str">
            <v>05-31-006-13W2</v>
          </cell>
          <cell r="O1297">
            <v>805.6</v>
          </cell>
          <cell r="Q1297">
            <v>0.19</v>
          </cell>
          <cell r="T1297">
            <v>192.12100000000001</v>
          </cell>
        </row>
        <row r="1298">
          <cell r="G1298">
            <v>42339</v>
          </cell>
          <cell r="L1298" t="str">
            <v>16-29-006-12W2</v>
          </cell>
          <cell r="O1298">
            <v>878.9</v>
          </cell>
          <cell r="Q1298">
            <v>2.21</v>
          </cell>
          <cell r="T1298">
            <v>171.369</v>
          </cell>
        </row>
        <row r="1299">
          <cell r="G1299">
            <v>42339</v>
          </cell>
          <cell r="L1299" t="str">
            <v>16-06-005-12W2</v>
          </cell>
          <cell r="O1299">
            <v>880</v>
          </cell>
          <cell r="Q1299">
            <v>2.09</v>
          </cell>
          <cell r="T1299">
            <v>169.99100000000001</v>
          </cell>
        </row>
        <row r="1300">
          <cell r="G1300">
            <v>42339</v>
          </cell>
          <cell r="L1300" t="str">
            <v>09-21-005-07W2</v>
          </cell>
          <cell r="O1300">
            <v>896.8</v>
          </cell>
          <cell r="Q1300">
            <v>2.7</v>
          </cell>
          <cell r="T1300">
            <v>167.017</v>
          </cell>
        </row>
        <row r="1301">
          <cell r="G1301">
            <v>42339</v>
          </cell>
          <cell r="L1301" t="str">
            <v>09-11-007-14W2</v>
          </cell>
          <cell r="O1301">
            <v>848.2</v>
          </cell>
          <cell r="Q1301">
            <v>1.54</v>
          </cell>
          <cell r="T1301">
            <v>166.39099999999999</v>
          </cell>
        </row>
        <row r="1302">
          <cell r="G1302">
            <v>42339</v>
          </cell>
          <cell r="L1302" t="str">
            <v>09-06-010-15W2</v>
          </cell>
          <cell r="O1302">
            <v>854.9</v>
          </cell>
          <cell r="Q1302">
            <v>0.53</v>
          </cell>
          <cell r="T1302">
            <v>160.488</v>
          </cell>
        </row>
        <row r="1303">
          <cell r="G1303">
            <v>42339</v>
          </cell>
          <cell r="L1303" t="str">
            <v>14-20-004-10W2</v>
          </cell>
          <cell r="O1303">
            <v>889.6</v>
          </cell>
          <cell r="Q1303">
            <v>2.12</v>
          </cell>
          <cell r="T1303">
            <v>156.03899999999999</v>
          </cell>
        </row>
        <row r="1304">
          <cell r="G1304">
            <v>42339</v>
          </cell>
          <cell r="L1304" t="str">
            <v>03-27-011-08W2</v>
          </cell>
          <cell r="O1304">
            <v>900.1</v>
          </cell>
          <cell r="Q1304">
            <v>2.64</v>
          </cell>
          <cell r="T1304">
            <v>134.892</v>
          </cell>
        </row>
        <row r="1305">
          <cell r="G1305">
            <v>42339</v>
          </cell>
          <cell r="L1305" t="str">
            <v>07-02-007-12W2</v>
          </cell>
          <cell r="O1305">
            <v>862.4</v>
          </cell>
          <cell r="Q1305">
            <v>1.98</v>
          </cell>
          <cell r="T1305">
            <v>130.17400000000001</v>
          </cell>
        </row>
        <row r="1306">
          <cell r="G1306">
            <v>42339</v>
          </cell>
          <cell r="L1306" t="str">
            <v>01-06-004-11W2</v>
          </cell>
          <cell r="O1306">
            <v>883.5</v>
          </cell>
          <cell r="Q1306">
            <v>2.4</v>
          </cell>
          <cell r="T1306">
            <v>128.99700000000001</v>
          </cell>
        </row>
        <row r="1307">
          <cell r="G1307">
            <v>42339</v>
          </cell>
          <cell r="L1307" t="str">
            <v>12-31-001-17W2</v>
          </cell>
          <cell r="O1307">
            <v>853.8</v>
          </cell>
          <cell r="Q1307">
            <v>1.51</v>
          </cell>
          <cell r="T1307">
            <v>125.742</v>
          </cell>
        </row>
        <row r="1308">
          <cell r="G1308">
            <v>42339</v>
          </cell>
          <cell r="L1308" t="str">
            <v>01-27-164-97W1</v>
          </cell>
          <cell r="O1308">
            <v>877.7</v>
          </cell>
          <cell r="Q1308">
            <v>0.75</v>
          </cell>
          <cell r="T1308">
            <v>124.994</v>
          </cell>
        </row>
        <row r="1309">
          <cell r="G1309">
            <v>42339</v>
          </cell>
          <cell r="L1309" t="str">
            <v>14-35-001-12W2</v>
          </cell>
          <cell r="O1309">
            <v>816.6</v>
          </cell>
          <cell r="Q1309">
            <v>0.18</v>
          </cell>
          <cell r="T1309">
            <v>118.72799999999999</v>
          </cell>
        </row>
        <row r="1310">
          <cell r="G1310">
            <v>42339</v>
          </cell>
          <cell r="L1310" t="str">
            <v>09-22-006-12W2</v>
          </cell>
          <cell r="O1310">
            <v>878.2</v>
          </cell>
          <cell r="Q1310">
            <v>2.34</v>
          </cell>
          <cell r="T1310">
            <v>102.506</v>
          </cell>
        </row>
        <row r="1311">
          <cell r="G1311">
            <v>42339</v>
          </cell>
          <cell r="L1311" t="str">
            <v>01-01-003-16W2</v>
          </cell>
          <cell r="O1311">
            <v>867.3</v>
          </cell>
          <cell r="Q1311">
            <v>1.1100000000000001</v>
          </cell>
          <cell r="T1311">
            <v>101.18899999999999</v>
          </cell>
        </row>
        <row r="1312">
          <cell r="G1312">
            <v>42339</v>
          </cell>
          <cell r="L1312" t="str">
            <v>12-27-006-13W2</v>
          </cell>
          <cell r="O1312">
            <v>860.7</v>
          </cell>
          <cell r="Q1312">
            <v>2.0099999999999998</v>
          </cell>
          <cell r="T1312">
            <v>100.78400000000001</v>
          </cell>
        </row>
        <row r="1313">
          <cell r="G1313">
            <v>42339</v>
          </cell>
          <cell r="L1313" t="str">
            <v>05-26-164-97W1</v>
          </cell>
          <cell r="O1313">
            <v>877.9</v>
          </cell>
          <cell r="Q1313">
            <v>1.59</v>
          </cell>
          <cell r="T1313">
            <v>95.819000000000003</v>
          </cell>
        </row>
        <row r="1314">
          <cell r="G1314">
            <v>42339</v>
          </cell>
          <cell r="L1314" t="str">
            <v>11-32-003-21W2</v>
          </cell>
          <cell r="O1314">
            <v>829.6</v>
          </cell>
          <cell r="Q1314">
            <v>0.2</v>
          </cell>
          <cell r="T1314">
            <v>94.403999999999996</v>
          </cell>
        </row>
        <row r="1315">
          <cell r="G1315">
            <v>42339</v>
          </cell>
          <cell r="L1315" t="str">
            <v>07-10-001-20W2</v>
          </cell>
          <cell r="O1315">
            <v>873.9</v>
          </cell>
          <cell r="Q1315">
            <v>1.8</v>
          </cell>
          <cell r="T1315">
            <v>89.075000000000003</v>
          </cell>
        </row>
        <row r="1316">
          <cell r="G1316">
            <v>42339</v>
          </cell>
          <cell r="L1316" t="str">
            <v>14-18-163-95W1</v>
          </cell>
          <cell r="O1316">
            <v>852</v>
          </cell>
          <cell r="Q1316">
            <v>1.1399999999999999</v>
          </cell>
          <cell r="T1316">
            <v>89.058000000000007</v>
          </cell>
        </row>
        <row r="1317">
          <cell r="G1317">
            <v>42339</v>
          </cell>
          <cell r="L1317" t="str">
            <v>09-32-006-15W2</v>
          </cell>
          <cell r="O1317">
            <v>896.5</v>
          </cell>
          <cell r="Q1317">
            <v>2.71</v>
          </cell>
          <cell r="T1317">
            <v>78.813000000000002</v>
          </cell>
        </row>
        <row r="1318">
          <cell r="G1318">
            <v>42339</v>
          </cell>
          <cell r="L1318" t="str">
            <v>01-23-155-91W1</v>
          </cell>
          <cell r="O1318">
            <v>885.3</v>
          </cell>
          <cell r="Q1318">
            <v>1.85</v>
          </cell>
          <cell r="T1318">
            <v>78.484999999999999</v>
          </cell>
        </row>
        <row r="1319">
          <cell r="G1319">
            <v>42339</v>
          </cell>
          <cell r="L1319" t="str">
            <v>15-11-008-12W2</v>
          </cell>
          <cell r="O1319">
            <v>905.6</v>
          </cell>
          <cell r="Q1319">
            <v>2.1800000000000002</v>
          </cell>
          <cell r="T1319">
            <v>77.83</v>
          </cell>
        </row>
        <row r="1320">
          <cell r="G1320">
            <v>42339</v>
          </cell>
          <cell r="L1320" t="str">
            <v>04-18-007-09W2</v>
          </cell>
          <cell r="O1320">
            <v>813.2</v>
          </cell>
          <cell r="Q1320">
            <v>0.4</v>
          </cell>
          <cell r="T1320">
            <v>76.019000000000005</v>
          </cell>
        </row>
        <row r="1321">
          <cell r="G1321">
            <v>42339</v>
          </cell>
          <cell r="L1321" t="str">
            <v>01-22-005-07W2</v>
          </cell>
          <cell r="O1321">
            <v>894</v>
          </cell>
          <cell r="Q1321">
            <v>2.5499999999999998</v>
          </cell>
          <cell r="T1321">
            <v>68.421999999999997</v>
          </cell>
        </row>
        <row r="1322">
          <cell r="G1322">
            <v>42339</v>
          </cell>
          <cell r="L1322" t="str">
            <v>01-35-162-03W1</v>
          </cell>
          <cell r="O1322">
            <v>877.8</v>
          </cell>
          <cell r="Q1322">
            <v>0.17</v>
          </cell>
          <cell r="T1322">
            <v>66.852000000000004</v>
          </cell>
        </row>
        <row r="1323">
          <cell r="G1323">
            <v>42339</v>
          </cell>
          <cell r="L1323" t="str">
            <v>07-24-006-10W2</v>
          </cell>
          <cell r="O1323">
            <v>883.3</v>
          </cell>
          <cell r="Q1323">
            <v>2.2599999999999998</v>
          </cell>
          <cell r="T1323">
            <v>65.831999999999994</v>
          </cell>
        </row>
        <row r="1324">
          <cell r="G1324">
            <v>42339</v>
          </cell>
          <cell r="L1324" t="str">
            <v>01-13-007-10W2</v>
          </cell>
          <cell r="O1324">
            <v>818.7</v>
          </cell>
          <cell r="Q1324">
            <v>0.37</v>
          </cell>
          <cell r="T1324">
            <v>64.741</v>
          </cell>
        </row>
        <row r="1325">
          <cell r="G1325">
            <v>42339</v>
          </cell>
          <cell r="L1325" t="str">
            <v>03-07-007-11W2</v>
          </cell>
          <cell r="O1325">
            <v>802.6</v>
          </cell>
          <cell r="Q1325">
            <v>0.21</v>
          </cell>
          <cell r="T1325">
            <v>62.984000000000002</v>
          </cell>
        </row>
        <row r="1326">
          <cell r="G1326">
            <v>42339</v>
          </cell>
          <cell r="L1326" t="str">
            <v>05-23-004-07W2</v>
          </cell>
          <cell r="O1326">
            <v>887.6</v>
          </cell>
          <cell r="Q1326">
            <v>2.0699999999999998</v>
          </cell>
          <cell r="T1326">
            <v>54.697000000000003</v>
          </cell>
        </row>
        <row r="1327">
          <cell r="G1327">
            <v>42339</v>
          </cell>
          <cell r="L1327" t="str">
            <v>20-01-161-90W1</v>
          </cell>
          <cell r="O1327">
            <v>864.5</v>
          </cell>
          <cell r="Q1327">
            <v>1.4</v>
          </cell>
          <cell r="T1327">
            <v>47.4</v>
          </cell>
        </row>
        <row r="1328">
          <cell r="G1328">
            <v>42339</v>
          </cell>
          <cell r="L1328" t="str">
            <v>01-34-164-97W1</v>
          </cell>
          <cell r="O1328">
            <v>882.7</v>
          </cell>
          <cell r="Q1328">
            <v>2.54</v>
          </cell>
          <cell r="T1328">
            <v>46.673000000000002</v>
          </cell>
        </row>
        <row r="1329">
          <cell r="G1329">
            <v>42339</v>
          </cell>
          <cell r="L1329" t="str">
            <v>15-19-005-13W2</v>
          </cell>
          <cell r="O1329">
            <v>902.4</v>
          </cell>
          <cell r="Q1329">
            <v>2.64</v>
          </cell>
          <cell r="T1329">
            <v>39.427</v>
          </cell>
        </row>
        <row r="1330">
          <cell r="G1330">
            <v>42339</v>
          </cell>
          <cell r="L1330" t="str">
            <v>13-06-007-09W2</v>
          </cell>
          <cell r="O1330">
            <v>813.4</v>
          </cell>
          <cell r="Q1330">
            <v>0.25</v>
          </cell>
          <cell r="T1330">
            <v>34.634999999999998</v>
          </cell>
        </row>
        <row r="1331">
          <cell r="G1331">
            <v>42339</v>
          </cell>
          <cell r="L1331" t="str">
            <v>09-12-007-09W2</v>
          </cell>
          <cell r="O1331">
            <v>828.4</v>
          </cell>
          <cell r="Q1331">
            <v>0.16</v>
          </cell>
          <cell r="T1331">
            <v>34.125999999999998</v>
          </cell>
        </row>
        <row r="1332">
          <cell r="G1332">
            <v>42339</v>
          </cell>
          <cell r="L1332" t="str">
            <v>14-25-003-09W2</v>
          </cell>
          <cell r="O1332">
            <v>849.9</v>
          </cell>
          <cell r="Q1332">
            <v>1.63</v>
          </cell>
          <cell r="T1332">
            <v>33.954000000000001</v>
          </cell>
        </row>
        <row r="1333">
          <cell r="G1333">
            <v>42339</v>
          </cell>
          <cell r="L1333" t="str">
            <v>01-03-162-92W1</v>
          </cell>
          <cell r="O1333">
            <v>847.5</v>
          </cell>
          <cell r="Q1333">
            <v>0.5</v>
          </cell>
          <cell r="T1333">
            <v>31.936</v>
          </cell>
        </row>
        <row r="1334">
          <cell r="G1334">
            <v>42339</v>
          </cell>
          <cell r="L1334" t="str">
            <v>01-27-004-07W2</v>
          </cell>
          <cell r="O1334">
            <v>889.3</v>
          </cell>
          <cell r="Q1334">
            <v>2.0299999999999998</v>
          </cell>
          <cell r="T1334">
            <v>30.893999999999998</v>
          </cell>
        </row>
        <row r="1335">
          <cell r="G1335">
            <v>42339</v>
          </cell>
          <cell r="L1335" t="str">
            <v>01-01-007-12W2</v>
          </cell>
          <cell r="O1335">
            <v>894.6</v>
          </cell>
          <cell r="Q1335">
            <v>2.74</v>
          </cell>
          <cell r="T1335">
            <v>30.706</v>
          </cell>
        </row>
        <row r="1336">
          <cell r="G1336">
            <v>42339</v>
          </cell>
          <cell r="L1336" t="str">
            <v>08-34-006-12W2</v>
          </cell>
          <cell r="O1336">
            <v>879.3</v>
          </cell>
          <cell r="Q1336">
            <v>1.89</v>
          </cell>
          <cell r="T1336">
            <v>30.690999999999999</v>
          </cell>
        </row>
        <row r="1337">
          <cell r="G1337">
            <v>42339</v>
          </cell>
          <cell r="L1337" t="str">
            <v>01-33-164-97W1</v>
          </cell>
          <cell r="O1337">
            <v>880.1</v>
          </cell>
          <cell r="Q1337">
            <v>1.76</v>
          </cell>
          <cell r="T1337">
            <v>30.489000000000001</v>
          </cell>
        </row>
        <row r="1338">
          <cell r="G1338">
            <v>42339</v>
          </cell>
          <cell r="L1338" t="str">
            <v>12-28-006-07W2</v>
          </cell>
          <cell r="O1338">
            <v>904</v>
          </cell>
          <cell r="Q1338">
            <v>2.52</v>
          </cell>
          <cell r="T1338">
            <v>28.097000000000001</v>
          </cell>
        </row>
        <row r="1339">
          <cell r="G1339">
            <v>42339</v>
          </cell>
          <cell r="L1339" t="str">
            <v>09-34-154-95W1</v>
          </cell>
          <cell r="O1339">
            <v>813.4</v>
          </cell>
          <cell r="Q1339">
            <v>0.51</v>
          </cell>
          <cell r="T1339">
            <v>27.923999999999999</v>
          </cell>
        </row>
        <row r="1340">
          <cell r="G1340">
            <v>42339</v>
          </cell>
          <cell r="L1340" t="str">
            <v>31-15-159-87W1</v>
          </cell>
          <cell r="O1340">
            <v>886.6</v>
          </cell>
          <cell r="Q1340">
            <v>2.16</v>
          </cell>
          <cell r="T1340">
            <v>23.513000000000002</v>
          </cell>
        </row>
        <row r="1341">
          <cell r="G1341">
            <v>42339</v>
          </cell>
          <cell r="L1341" t="str">
            <v>09-02-159-90W1</v>
          </cell>
          <cell r="O1341">
            <v>893.3</v>
          </cell>
          <cell r="Q1341">
            <v>2.67</v>
          </cell>
          <cell r="T1341">
            <v>21.613</v>
          </cell>
        </row>
        <row r="1342">
          <cell r="G1342">
            <v>42339</v>
          </cell>
          <cell r="L1342" t="str">
            <v>08-03-006-07W2</v>
          </cell>
          <cell r="O1342">
            <v>890.3</v>
          </cell>
          <cell r="Q1342">
            <v>2.0099999999999998</v>
          </cell>
          <cell r="T1342">
            <v>15.851000000000001</v>
          </cell>
        </row>
        <row r="1343">
          <cell r="G1343">
            <v>42339</v>
          </cell>
          <cell r="L1343" t="str">
            <v>04-24-005-15W2</v>
          </cell>
          <cell r="O1343">
            <v>889.2</v>
          </cell>
          <cell r="Q1343">
            <v>2.75</v>
          </cell>
          <cell r="T1343">
            <v>1739.875</v>
          </cell>
        </row>
        <row r="1344">
          <cell r="G1344">
            <v>42339</v>
          </cell>
          <cell r="L1344" t="str">
            <v>15-29-005-15W2</v>
          </cell>
          <cell r="O1344">
            <v>884.4</v>
          </cell>
          <cell r="Q1344">
            <v>2.64</v>
          </cell>
          <cell r="T1344">
            <v>1343.45</v>
          </cell>
        </row>
        <row r="1345">
          <cell r="G1345">
            <v>42339</v>
          </cell>
          <cell r="L1345" t="str">
            <v>09-34-005-15W2</v>
          </cell>
          <cell r="O1345">
            <v>879</v>
          </cell>
          <cell r="Q1345">
            <v>2.64</v>
          </cell>
          <cell r="T1345">
            <v>293.92599999999999</v>
          </cell>
        </row>
        <row r="1346">
          <cell r="G1346">
            <v>42339</v>
          </cell>
          <cell r="L1346" t="str">
            <v>11-25-005-12W2</v>
          </cell>
          <cell r="O1346">
            <v>875.3</v>
          </cell>
          <cell r="Q1346">
            <v>2.12</v>
          </cell>
          <cell r="T1346">
            <v>2480.8110000000001</v>
          </cell>
        </row>
        <row r="1347">
          <cell r="G1347">
            <v>42339</v>
          </cell>
          <cell r="L1347" t="str">
            <v>16-18-003-15W2</v>
          </cell>
          <cell r="O1347">
            <v>888</v>
          </cell>
          <cell r="Q1347">
            <v>2.29</v>
          </cell>
          <cell r="T1347">
            <v>1325.9179999999999</v>
          </cell>
        </row>
        <row r="1348">
          <cell r="G1348">
            <v>42339</v>
          </cell>
          <cell r="L1348" t="str">
            <v>12-30-005-07W2</v>
          </cell>
          <cell r="O1348">
            <v>893.6</v>
          </cell>
          <cell r="Q1348">
            <v>2.44</v>
          </cell>
          <cell r="T1348">
            <v>1186.403</v>
          </cell>
        </row>
        <row r="1349">
          <cell r="G1349">
            <v>42339</v>
          </cell>
          <cell r="L1349" t="str">
            <v>14-21-001-12W2</v>
          </cell>
          <cell r="O1349">
            <v>812.6</v>
          </cell>
          <cell r="Q1349">
            <v>0.14000000000000001</v>
          </cell>
          <cell r="T1349">
            <v>814.22199999999998</v>
          </cell>
        </row>
        <row r="1350">
          <cell r="G1350">
            <v>42339</v>
          </cell>
          <cell r="L1350" t="str">
            <v>11-31-006-08W2</v>
          </cell>
          <cell r="O1350">
            <v>891</v>
          </cell>
          <cell r="Q1350">
            <v>2.46</v>
          </cell>
          <cell r="T1350">
            <v>525.40499999999997</v>
          </cell>
        </row>
        <row r="1351">
          <cell r="G1351">
            <v>42339</v>
          </cell>
          <cell r="L1351" t="str">
            <v>13-24-001-16W2</v>
          </cell>
          <cell r="O1351">
            <v>806.2</v>
          </cell>
          <cell r="Q1351">
            <v>0.39</v>
          </cell>
          <cell r="T1351">
            <v>488.04700000000003</v>
          </cell>
        </row>
        <row r="1352">
          <cell r="G1352">
            <v>42339</v>
          </cell>
          <cell r="L1352" t="str">
            <v>05-23-005-13W2</v>
          </cell>
          <cell r="O1352">
            <v>907.3</v>
          </cell>
          <cell r="Q1352">
            <v>2.72</v>
          </cell>
          <cell r="T1352">
            <v>301.37599999999998</v>
          </cell>
        </row>
        <row r="1353">
          <cell r="G1353">
            <v>42339</v>
          </cell>
          <cell r="L1353" t="str">
            <v>06-20-006-09W2</v>
          </cell>
          <cell r="O1353">
            <v>882.8</v>
          </cell>
          <cell r="Q1353">
            <v>2.23</v>
          </cell>
          <cell r="T1353">
            <v>294.04899999999998</v>
          </cell>
        </row>
        <row r="1354">
          <cell r="G1354">
            <v>42339</v>
          </cell>
          <cell r="L1354" t="str">
            <v>13-22-001-12W2</v>
          </cell>
          <cell r="O1354">
            <v>806</v>
          </cell>
          <cell r="Q1354">
            <v>0.12</v>
          </cell>
          <cell r="T1354">
            <v>186.98099999999999</v>
          </cell>
        </row>
        <row r="1355">
          <cell r="G1355">
            <v>42339</v>
          </cell>
          <cell r="L1355" t="str">
            <v>01-10-003-21W2</v>
          </cell>
          <cell r="O1355">
            <v>852.5</v>
          </cell>
          <cell r="Q1355">
            <v>0.42</v>
          </cell>
          <cell r="T1355">
            <v>133.43600000000001</v>
          </cell>
        </row>
        <row r="1356">
          <cell r="G1356">
            <v>42339</v>
          </cell>
          <cell r="L1356" t="str">
            <v>06-29-022-06W2</v>
          </cell>
          <cell r="O1356">
            <v>892.3</v>
          </cell>
          <cell r="Q1356">
            <v>0.97</v>
          </cell>
          <cell r="T1356">
            <v>132.50399999999999</v>
          </cell>
        </row>
        <row r="1357">
          <cell r="G1357">
            <v>42339</v>
          </cell>
          <cell r="L1357" t="str">
            <v>13-34-001-13W2</v>
          </cell>
          <cell r="O1357">
            <v>808.9</v>
          </cell>
          <cell r="Q1357">
            <v>0.2</v>
          </cell>
          <cell r="T1357">
            <v>97.783000000000001</v>
          </cell>
        </row>
        <row r="1358">
          <cell r="G1358">
            <v>42339</v>
          </cell>
          <cell r="L1358" t="str">
            <v>04-34-005-11W2</v>
          </cell>
          <cell r="O1358">
            <v>884.6</v>
          </cell>
          <cell r="Q1358">
            <v>2.0499999999999998</v>
          </cell>
          <cell r="T1358">
            <v>34.710999999999999</v>
          </cell>
        </row>
        <row r="1359">
          <cell r="G1359">
            <v>42339</v>
          </cell>
          <cell r="L1359" t="str">
            <v>06-17-006-14W2</v>
          </cell>
          <cell r="O1359">
            <v>870.3</v>
          </cell>
          <cell r="Q1359">
            <v>1.72</v>
          </cell>
          <cell r="T1359">
            <v>3272.1280000000002</v>
          </cell>
        </row>
        <row r="1360">
          <cell r="G1360">
            <v>42339</v>
          </cell>
          <cell r="L1360" t="str">
            <v>10-11-005-14W2</v>
          </cell>
          <cell r="O1360">
            <v>898</v>
          </cell>
          <cell r="Q1360">
            <v>2.92</v>
          </cell>
          <cell r="T1360">
            <v>446.03899999999999</v>
          </cell>
        </row>
        <row r="1361">
          <cell r="G1361">
            <v>42339</v>
          </cell>
          <cell r="L1361" t="str">
            <v>12-13-006-13W2</v>
          </cell>
          <cell r="O1361">
            <v>875.2</v>
          </cell>
          <cell r="Q1361">
            <v>2.4700000000000002</v>
          </cell>
          <cell r="T1361">
            <v>394.10199999999998</v>
          </cell>
        </row>
        <row r="1362">
          <cell r="G1362">
            <v>42339</v>
          </cell>
          <cell r="L1362" t="str">
            <v>03-15-005-13W2</v>
          </cell>
          <cell r="O1362">
            <v>896</v>
          </cell>
          <cell r="Q1362">
            <v>2.85</v>
          </cell>
          <cell r="T1362">
            <v>368.08199999999999</v>
          </cell>
        </row>
        <row r="1363">
          <cell r="G1363">
            <v>42339</v>
          </cell>
          <cell r="L1363" t="str">
            <v>15-19-005-13W2</v>
          </cell>
          <cell r="O1363">
            <v>890</v>
          </cell>
          <cell r="Q1363">
            <v>2.64</v>
          </cell>
          <cell r="T1363">
            <v>244.59399999999999</v>
          </cell>
        </row>
        <row r="1364">
          <cell r="G1364">
            <v>42339</v>
          </cell>
          <cell r="L1364" t="str">
            <v>08-23-005-14W2</v>
          </cell>
          <cell r="O1364">
            <v>876.4</v>
          </cell>
          <cell r="Q1364">
            <v>2.52</v>
          </cell>
          <cell r="T1364">
            <v>168.405</v>
          </cell>
        </row>
        <row r="1365">
          <cell r="G1365">
            <v>42339</v>
          </cell>
          <cell r="L1365" t="str">
            <v>01-03-006-14W2</v>
          </cell>
          <cell r="O1365">
            <v>872</v>
          </cell>
          <cell r="Q1365">
            <v>2.37</v>
          </cell>
          <cell r="T1365">
            <v>68.275999999999996</v>
          </cell>
        </row>
        <row r="1366">
          <cell r="G1366">
            <v>42339</v>
          </cell>
          <cell r="L1366" t="str">
            <v>11-12-006-15W2</v>
          </cell>
          <cell r="O1366">
            <v>872</v>
          </cell>
          <cell r="Q1366">
            <v>2.2999999999999998</v>
          </cell>
          <cell r="T1366">
            <v>7916.5720000000001</v>
          </cell>
        </row>
        <row r="1367">
          <cell r="G1367">
            <v>42339</v>
          </cell>
          <cell r="L1367" t="str">
            <v>07-24-006-15W2</v>
          </cell>
          <cell r="O1367">
            <v>863</v>
          </cell>
          <cell r="Q1367">
            <v>2.27</v>
          </cell>
          <cell r="T1367">
            <v>214.93799999999999</v>
          </cell>
        </row>
        <row r="1368">
          <cell r="G1368">
            <v>42339</v>
          </cell>
          <cell r="L1368" t="str">
            <v>07-07-006-15W2</v>
          </cell>
          <cell r="O1368">
            <v>871</v>
          </cell>
          <cell r="Q1368">
            <v>2.59</v>
          </cell>
          <cell r="T1368">
            <v>6021.2470000000003</v>
          </cell>
        </row>
        <row r="1369">
          <cell r="G1369">
            <v>42339</v>
          </cell>
          <cell r="L1369" t="str">
            <v>12-30-006-15W2</v>
          </cell>
          <cell r="O1369">
            <v>893.1</v>
          </cell>
          <cell r="Q1369">
            <v>2.8</v>
          </cell>
          <cell r="T1369">
            <v>4522.9830000000002</v>
          </cell>
        </row>
        <row r="1370">
          <cell r="G1370">
            <v>42339</v>
          </cell>
          <cell r="L1370" t="str">
            <v>12-11-001-10W2</v>
          </cell>
          <cell r="O1370">
            <v>822.9</v>
          </cell>
          <cell r="Q1370">
            <v>0.21</v>
          </cell>
          <cell r="T1370">
            <v>3257.5569999999998</v>
          </cell>
        </row>
        <row r="1371">
          <cell r="G1371">
            <v>42339</v>
          </cell>
          <cell r="L1371" t="str">
            <v>31-30-164-92W1</v>
          </cell>
          <cell r="O1371">
            <v>827.3</v>
          </cell>
          <cell r="Q1371">
            <v>0.57999999999999996</v>
          </cell>
          <cell r="T1371">
            <v>2605.9009999999998</v>
          </cell>
        </row>
        <row r="1372">
          <cell r="G1372">
            <v>42339</v>
          </cell>
          <cell r="L1372" t="str">
            <v>11-12-007-04W2</v>
          </cell>
          <cell r="O1372">
            <v>851.4</v>
          </cell>
          <cell r="Q1372">
            <v>1.42</v>
          </cell>
          <cell r="T1372">
            <v>2289.3000000000002</v>
          </cell>
        </row>
        <row r="1373">
          <cell r="G1373">
            <v>42339</v>
          </cell>
          <cell r="L1373" t="str">
            <v>12-32-006-04W2</v>
          </cell>
          <cell r="O1373">
            <v>860.1</v>
          </cell>
          <cell r="Q1373">
            <v>1.68</v>
          </cell>
          <cell r="T1373">
            <v>2245.4670000000001</v>
          </cell>
        </row>
        <row r="1374">
          <cell r="G1374">
            <v>42339</v>
          </cell>
          <cell r="L1374" t="str">
            <v>09-02-007-05W2</v>
          </cell>
          <cell r="O1374">
            <v>854.5</v>
          </cell>
          <cell r="Q1374">
            <v>1.85</v>
          </cell>
          <cell r="T1374">
            <v>1767.633</v>
          </cell>
        </row>
        <row r="1375">
          <cell r="G1375">
            <v>42339</v>
          </cell>
          <cell r="L1375" t="str">
            <v>14-03-001-03W2</v>
          </cell>
          <cell r="O1375">
            <v>807.6</v>
          </cell>
          <cell r="Q1375">
            <v>0.12</v>
          </cell>
          <cell r="T1375">
            <v>1677.114</v>
          </cell>
        </row>
        <row r="1376">
          <cell r="G1376">
            <v>42339</v>
          </cell>
          <cell r="L1376" t="str">
            <v>05-20-001-02W2</v>
          </cell>
          <cell r="O1376">
            <v>828</v>
          </cell>
          <cell r="Q1376">
            <v>0.53</v>
          </cell>
          <cell r="T1376">
            <v>1307.1099999999999</v>
          </cell>
        </row>
        <row r="1377">
          <cell r="G1377">
            <v>42339</v>
          </cell>
          <cell r="L1377" t="str">
            <v>02-31-145-98W1</v>
          </cell>
          <cell r="O1377">
            <v>819.2</v>
          </cell>
          <cell r="Q1377">
            <v>0.41</v>
          </cell>
          <cell r="T1377">
            <v>1122.2950000000001</v>
          </cell>
        </row>
        <row r="1378">
          <cell r="G1378">
            <v>42339</v>
          </cell>
          <cell r="L1378" t="str">
            <v>16-03-001-03W2</v>
          </cell>
          <cell r="O1378">
            <v>836.2</v>
          </cell>
          <cell r="Q1378">
            <v>0.62</v>
          </cell>
          <cell r="T1378">
            <v>787.36300000000006</v>
          </cell>
        </row>
        <row r="1379">
          <cell r="G1379">
            <v>42339</v>
          </cell>
          <cell r="L1379" t="str">
            <v>01-19-145-98W1</v>
          </cell>
          <cell r="O1379">
            <v>817.2</v>
          </cell>
          <cell r="Q1379">
            <v>0.36</v>
          </cell>
          <cell r="T1379">
            <v>764.36</v>
          </cell>
        </row>
        <row r="1380">
          <cell r="G1380">
            <v>42339</v>
          </cell>
          <cell r="L1380" t="str">
            <v>02-34-143-100W1</v>
          </cell>
          <cell r="O1380">
            <v>826.3</v>
          </cell>
          <cell r="Q1380">
            <v>0.33</v>
          </cell>
          <cell r="T1380">
            <v>757.84199999999998</v>
          </cell>
        </row>
        <row r="1381">
          <cell r="G1381">
            <v>42339</v>
          </cell>
          <cell r="L1381" t="str">
            <v>09-20-006-04W2</v>
          </cell>
          <cell r="O1381">
            <v>855.8</v>
          </cell>
          <cell r="Q1381">
            <v>1.57</v>
          </cell>
          <cell r="T1381">
            <v>748.03300000000002</v>
          </cell>
        </row>
        <row r="1382">
          <cell r="G1382">
            <v>42339</v>
          </cell>
          <cell r="L1382" t="str">
            <v>03-10-145-98W1</v>
          </cell>
          <cell r="O1382">
            <v>817.9</v>
          </cell>
          <cell r="Q1382">
            <v>0.37</v>
          </cell>
          <cell r="T1382">
            <v>741.73400000000004</v>
          </cell>
        </row>
        <row r="1383">
          <cell r="G1383">
            <v>42339</v>
          </cell>
          <cell r="L1383" t="str">
            <v>04-23-006-07W2</v>
          </cell>
          <cell r="O1383">
            <v>867.8</v>
          </cell>
          <cell r="Q1383">
            <v>1.77</v>
          </cell>
          <cell r="T1383">
            <v>594.76800000000003</v>
          </cell>
        </row>
        <row r="1384">
          <cell r="G1384">
            <v>42339</v>
          </cell>
          <cell r="L1384" t="str">
            <v>13-19-001-03W2</v>
          </cell>
          <cell r="O1384">
            <v>837.2</v>
          </cell>
          <cell r="Q1384">
            <v>0.59</v>
          </cell>
          <cell r="T1384">
            <v>389.11799999999999</v>
          </cell>
        </row>
        <row r="1385">
          <cell r="G1385">
            <v>42339</v>
          </cell>
          <cell r="L1385" t="str">
            <v>01-03-162-92W1</v>
          </cell>
          <cell r="O1385">
            <v>856.9</v>
          </cell>
          <cell r="Q1385">
            <v>0.5</v>
          </cell>
          <cell r="T1385">
            <v>295.58199999999999</v>
          </cell>
        </row>
        <row r="1386">
          <cell r="G1386">
            <v>42339</v>
          </cell>
          <cell r="L1386" t="str">
            <v>01-22-142-100W1</v>
          </cell>
          <cell r="O1386">
            <v>820.2</v>
          </cell>
          <cell r="Q1386">
            <v>0.31</v>
          </cell>
          <cell r="T1386">
            <v>263.71199999999999</v>
          </cell>
        </row>
        <row r="1387">
          <cell r="G1387">
            <v>42339</v>
          </cell>
          <cell r="L1387" t="str">
            <v>08-21-004-01W2</v>
          </cell>
          <cell r="O1387">
            <v>828.8</v>
          </cell>
          <cell r="Q1387">
            <v>0.92</v>
          </cell>
          <cell r="T1387">
            <v>254.27099999999999</v>
          </cell>
        </row>
        <row r="1388">
          <cell r="G1388">
            <v>42339</v>
          </cell>
          <cell r="L1388" t="str">
            <v>02-30-147-97W1</v>
          </cell>
          <cell r="O1388">
            <v>818.2</v>
          </cell>
          <cell r="Q1388">
            <v>0.45</v>
          </cell>
          <cell r="T1388">
            <v>237.40600000000001</v>
          </cell>
        </row>
        <row r="1389">
          <cell r="G1389">
            <v>42339</v>
          </cell>
          <cell r="L1389" t="str">
            <v>43-03-160-95W1</v>
          </cell>
          <cell r="O1389">
            <v>800.1</v>
          </cell>
          <cell r="Q1389">
            <v>0.26</v>
          </cell>
          <cell r="T1389">
            <v>231.78</v>
          </cell>
        </row>
        <row r="1390">
          <cell r="G1390">
            <v>42339</v>
          </cell>
          <cell r="L1390" t="str">
            <v>18-16-154-95W1</v>
          </cell>
          <cell r="O1390">
            <v>818.1</v>
          </cell>
          <cell r="Q1390">
            <v>0.89</v>
          </cell>
          <cell r="T1390">
            <v>223.40899999999999</v>
          </cell>
        </row>
        <row r="1391">
          <cell r="G1391">
            <v>42339</v>
          </cell>
          <cell r="L1391" t="str">
            <v>01-02-021-58W1</v>
          </cell>
          <cell r="O1391">
            <v>828.3</v>
          </cell>
          <cell r="Q1391">
            <v>0.46</v>
          </cell>
          <cell r="T1391">
            <v>219.90799999999999</v>
          </cell>
        </row>
        <row r="1392">
          <cell r="G1392">
            <v>42339</v>
          </cell>
          <cell r="L1392" t="str">
            <v>01-18-145-97W1</v>
          </cell>
          <cell r="O1392">
            <v>818.5</v>
          </cell>
          <cell r="Q1392">
            <v>0.44</v>
          </cell>
          <cell r="T1392">
            <v>210.548</v>
          </cell>
        </row>
        <row r="1393">
          <cell r="G1393">
            <v>42339</v>
          </cell>
          <cell r="L1393" t="str">
            <v>01-28-142-100W1</v>
          </cell>
          <cell r="O1393">
            <v>834.7</v>
          </cell>
          <cell r="Q1393">
            <v>0.38</v>
          </cell>
          <cell r="T1393">
            <v>205.66900000000001</v>
          </cell>
        </row>
        <row r="1394">
          <cell r="G1394">
            <v>42339</v>
          </cell>
          <cell r="L1394" t="str">
            <v>13-11-160-95W1</v>
          </cell>
          <cell r="O1394">
            <v>804.1</v>
          </cell>
          <cell r="Q1394">
            <v>0.13</v>
          </cell>
          <cell r="T1394">
            <v>205.35</v>
          </cell>
        </row>
        <row r="1395">
          <cell r="G1395">
            <v>42339</v>
          </cell>
          <cell r="L1395" t="str">
            <v>07-04-005-04W2</v>
          </cell>
          <cell r="O1395">
            <v>823.8</v>
          </cell>
          <cell r="Q1395">
            <v>0.84</v>
          </cell>
          <cell r="T1395">
            <v>191.48099999999999</v>
          </cell>
        </row>
        <row r="1396">
          <cell r="G1396">
            <v>42339</v>
          </cell>
          <cell r="L1396" t="str">
            <v>11-25-005-06W2</v>
          </cell>
          <cell r="O1396">
            <v>852.7</v>
          </cell>
          <cell r="Q1396">
            <v>1.0900000000000001</v>
          </cell>
          <cell r="T1396">
            <v>174.548</v>
          </cell>
        </row>
        <row r="1397">
          <cell r="G1397">
            <v>42339</v>
          </cell>
          <cell r="L1397" t="str">
            <v>01-19-147-97W1</v>
          </cell>
          <cell r="O1397">
            <v>817.1</v>
          </cell>
          <cell r="Q1397">
            <v>0.67</v>
          </cell>
          <cell r="T1397">
            <v>165.09100000000001</v>
          </cell>
        </row>
        <row r="1398">
          <cell r="G1398">
            <v>42339</v>
          </cell>
          <cell r="L1398" t="str">
            <v>01-33-141-100W1</v>
          </cell>
          <cell r="O1398">
            <v>828.9</v>
          </cell>
          <cell r="Q1398">
            <v>0.41</v>
          </cell>
          <cell r="T1398">
            <v>165.048</v>
          </cell>
        </row>
        <row r="1399">
          <cell r="G1399">
            <v>42339</v>
          </cell>
          <cell r="L1399" t="str">
            <v>24-06-158-95W1</v>
          </cell>
          <cell r="O1399">
            <v>811.8</v>
          </cell>
          <cell r="Q1399">
            <v>0.12</v>
          </cell>
          <cell r="T1399">
            <v>157.83600000000001</v>
          </cell>
        </row>
        <row r="1400">
          <cell r="G1400">
            <v>42339</v>
          </cell>
          <cell r="L1400" t="str">
            <v>01-28-141-100W1</v>
          </cell>
          <cell r="O1400">
            <v>826.5</v>
          </cell>
          <cell r="Q1400">
            <v>0.38</v>
          </cell>
          <cell r="T1400">
            <v>157.39599999999999</v>
          </cell>
        </row>
        <row r="1401">
          <cell r="G1401">
            <v>42339</v>
          </cell>
          <cell r="L1401" t="str">
            <v>09-30-006-05W2</v>
          </cell>
          <cell r="O1401">
            <v>823.6</v>
          </cell>
          <cell r="Q1401">
            <v>0.23</v>
          </cell>
          <cell r="T1401">
            <v>155.32300000000001</v>
          </cell>
        </row>
        <row r="1402">
          <cell r="G1402">
            <v>42339</v>
          </cell>
          <cell r="L1402" t="str">
            <v>07-22-003-03W2</v>
          </cell>
          <cell r="O1402">
            <v>836.5</v>
          </cell>
          <cell r="Q1402">
            <v>0.6</v>
          </cell>
          <cell r="T1402">
            <v>138.03</v>
          </cell>
        </row>
        <row r="1403">
          <cell r="G1403">
            <v>42339</v>
          </cell>
          <cell r="L1403" t="str">
            <v>22-11-160-95W1</v>
          </cell>
          <cell r="O1403">
            <v>810.3</v>
          </cell>
          <cell r="Q1403">
            <v>0.14000000000000001</v>
          </cell>
          <cell r="T1403">
            <v>137.625</v>
          </cell>
        </row>
        <row r="1404">
          <cell r="G1404">
            <v>42339</v>
          </cell>
          <cell r="L1404" t="str">
            <v>33-14-160-95W1</v>
          </cell>
          <cell r="O1404">
            <v>805.2</v>
          </cell>
          <cell r="Q1404">
            <v>0.15</v>
          </cell>
          <cell r="T1404">
            <v>136.82599999999999</v>
          </cell>
        </row>
        <row r="1405">
          <cell r="G1405">
            <v>42339</v>
          </cell>
          <cell r="L1405" t="str">
            <v>04-19-147-97W1</v>
          </cell>
          <cell r="O1405">
            <v>820.6</v>
          </cell>
          <cell r="Q1405">
            <v>0.61</v>
          </cell>
          <cell r="T1405">
            <v>136.292</v>
          </cell>
        </row>
        <row r="1406">
          <cell r="G1406">
            <v>42339</v>
          </cell>
          <cell r="L1406" t="str">
            <v>01-09-143-101W1</v>
          </cell>
          <cell r="O1406">
            <v>832.6</v>
          </cell>
          <cell r="Q1406">
            <v>0.51</v>
          </cell>
          <cell r="T1406">
            <v>133.93</v>
          </cell>
        </row>
        <row r="1407">
          <cell r="G1407">
            <v>42339</v>
          </cell>
          <cell r="L1407" t="str">
            <v>03-25-147-98W1</v>
          </cell>
          <cell r="O1407">
            <v>810.6</v>
          </cell>
          <cell r="Q1407">
            <v>0.42</v>
          </cell>
          <cell r="T1407">
            <v>128.84399999999999</v>
          </cell>
        </row>
        <row r="1408">
          <cell r="G1408">
            <v>42339</v>
          </cell>
          <cell r="L1408" t="str">
            <v>04-25-144-98W1</v>
          </cell>
          <cell r="O1408">
            <v>846.3</v>
          </cell>
          <cell r="Q1408">
            <v>0.48</v>
          </cell>
          <cell r="T1408">
            <v>128.78700000000001</v>
          </cell>
        </row>
        <row r="1409">
          <cell r="G1409">
            <v>42339</v>
          </cell>
          <cell r="L1409" t="str">
            <v>34-31-141-97W1</v>
          </cell>
          <cell r="O1409">
            <v>827.8</v>
          </cell>
          <cell r="Q1409">
            <v>0.76</v>
          </cell>
          <cell r="T1409">
            <v>120.94499999999999</v>
          </cell>
        </row>
        <row r="1410">
          <cell r="G1410">
            <v>42339</v>
          </cell>
          <cell r="L1410" t="str">
            <v>01-02-151-102W1</v>
          </cell>
          <cell r="O1410">
            <v>836.6</v>
          </cell>
          <cell r="Q1410">
            <v>0.34</v>
          </cell>
          <cell r="T1410">
            <v>119.80500000000001</v>
          </cell>
        </row>
        <row r="1411">
          <cell r="G1411">
            <v>42339</v>
          </cell>
          <cell r="L1411" t="str">
            <v>01-03-155-91W1</v>
          </cell>
          <cell r="O1411">
            <v>864.4</v>
          </cell>
          <cell r="Q1411">
            <v>1.27</v>
          </cell>
          <cell r="T1411">
            <v>111.13</v>
          </cell>
        </row>
        <row r="1412">
          <cell r="G1412">
            <v>42339</v>
          </cell>
          <cell r="L1412" t="str">
            <v>08-31-007-07W2</v>
          </cell>
          <cell r="O1412">
            <v>868.6</v>
          </cell>
          <cell r="Q1412">
            <v>1.88</v>
          </cell>
          <cell r="T1412">
            <v>100.699</v>
          </cell>
        </row>
        <row r="1413">
          <cell r="G1413">
            <v>42339</v>
          </cell>
          <cell r="L1413" t="str">
            <v>02-09-142-100W1</v>
          </cell>
          <cell r="O1413">
            <v>824.9</v>
          </cell>
          <cell r="Q1413">
            <v>0.45</v>
          </cell>
          <cell r="T1413">
            <v>100.64700000000001</v>
          </cell>
        </row>
        <row r="1414">
          <cell r="G1414">
            <v>42339</v>
          </cell>
          <cell r="L1414" t="str">
            <v>01-17-143-101W1</v>
          </cell>
          <cell r="O1414">
            <v>833.3</v>
          </cell>
          <cell r="Q1414">
            <v>0.51</v>
          </cell>
          <cell r="T1414">
            <v>99.631</v>
          </cell>
        </row>
        <row r="1415">
          <cell r="G1415">
            <v>42339</v>
          </cell>
          <cell r="L1415" t="str">
            <v>01-24-160-96W1</v>
          </cell>
          <cell r="O1415">
            <v>833.5</v>
          </cell>
          <cell r="Q1415">
            <v>0.59</v>
          </cell>
          <cell r="T1415">
            <v>98.456000000000003</v>
          </cell>
        </row>
        <row r="1416">
          <cell r="G1416">
            <v>42339</v>
          </cell>
          <cell r="L1416" t="str">
            <v>12-03-146-100W1</v>
          </cell>
          <cell r="O1416">
            <v>839.3</v>
          </cell>
          <cell r="Q1416">
            <v>0.47</v>
          </cell>
          <cell r="T1416">
            <v>98.125</v>
          </cell>
        </row>
        <row r="1417">
          <cell r="G1417">
            <v>42339</v>
          </cell>
          <cell r="L1417" t="str">
            <v>01-03-153-95W1</v>
          </cell>
          <cell r="O1417">
            <v>828.8</v>
          </cell>
          <cell r="Q1417">
            <v>0.28999999999999998</v>
          </cell>
          <cell r="T1417">
            <v>97.823999999999998</v>
          </cell>
        </row>
        <row r="1418">
          <cell r="G1418">
            <v>42339</v>
          </cell>
          <cell r="L1418" t="str">
            <v>01-55-159-94W1</v>
          </cell>
          <cell r="O1418">
            <v>834.8</v>
          </cell>
          <cell r="Q1418">
            <v>0.38</v>
          </cell>
          <cell r="T1418">
            <v>97.32</v>
          </cell>
        </row>
        <row r="1419">
          <cell r="G1419">
            <v>42339</v>
          </cell>
          <cell r="L1419" t="str">
            <v>01-13-022-57W1</v>
          </cell>
          <cell r="O1419">
            <v>816.4</v>
          </cell>
          <cell r="Q1419">
            <v>0.11</v>
          </cell>
          <cell r="T1419">
            <v>95.802999999999997</v>
          </cell>
        </row>
        <row r="1420">
          <cell r="G1420">
            <v>42339</v>
          </cell>
          <cell r="L1420" t="str">
            <v>01-03-158-95W1</v>
          </cell>
          <cell r="O1420">
            <v>854.6</v>
          </cell>
          <cell r="Q1420">
            <v>0.75</v>
          </cell>
          <cell r="T1420">
            <v>83.959000000000003</v>
          </cell>
        </row>
        <row r="1421">
          <cell r="G1421">
            <v>42339</v>
          </cell>
          <cell r="L1421" t="str">
            <v>03-25-144-98W1</v>
          </cell>
          <cell r="O1421">
            <v>833.7</v>
          </cell>
          <cell r="Q1421">
            <v>0.48</v>
          </cell>
          <cell r="T1421">
            <v>83.730999999999995</v>
          </cell>
        </row>
        <row r="1422">
          <cell r="G1422">
            <v>42339</v>
          </cell>
          <cell r="L1422" t="str">
            <v>11-15-163-89W1</v>
          </cell>
          <cell r="O1422">
            <v>845.7</v>
          </cell>
          <cell r="Q1422">
            <v>0.38</v>
          </cell>
          <cell r="T1422">
            <v>83.688999999999993</v>
          </cell>
        </row>
        <row r="1423">
          <cell r="G1423">
            <v>42339</v>
          </cell>
          <cell r="L1423" t="str">
            <v>10-01-157-95W1</v>
          </cell>
          <cell r="O1423">
            <v>831.5</v>
          </cell>
          <cell r="Q1423">
            <v>0.56000000000000005</v>
          </cell>
          <cell r="T1423">
            <v>83.263000000000005</v>
          </cell>
        </row>
        <row r="1424">
          <cell r="G1424">
            <v>42339</v>
          </cell>
          <cell r="L1424" t="str">
            <v>08-22-002-09W2</v>
          </cell>
          <cell r="O1424">
            <v>837.7</v>
          </cell>
          <cell r="Q1424">
            <v>0.27</v>
          </cell>
          <cell r="T1424">
            <v>73.299000000000007</v>
          </cell>
        </row>
        <row r="1425">
          <cell r="G1425">
            <v>42339</v>
          </cell>
          <cell r="L1425" t="str">
            <v>07-29-009-04W2</v>
          </cell>
          <cell r="O1425">
            <v>839.9</v>
          </cell>
          <cell r="Q1425">
            <v>1.1399999999999999</v>
          </cell>
          <cell r="T1425">
            <v>71.766000000000005</v>
          </cell>
        </row>
        <row r="1426">
          <cell r="G1426">
            <v>42339</v>
          </cell>
          <cell r="L1426" t="str">
            <v>13-26-007-05W2</v>
          </cell>
          <cell r="O1426">
            <v>864.9</v>
          </cell>
          <cell r="Q1426">
            <v>1.18</v>
          </cell>
          <cell r="T1426">
            <v>70.775999999999996</v>
          </cell>
        </row>
        <row r="1427">
          <cell r="G1427">
            <v>42339</v>
          </cell>
          <cell r="L1427" t="str">
            <v>01-15-022-57W1</v>
          </cell>
          <cell r="O1427">
            <v>825.3</v>
          </cell>
          <cell r="Q1427">
            <v>0.37</v>
          </cell>
          <cell r="T1427">
            <v>70.531000000000006</v>
          </cell>
        </row>
        <row r="1428">
          <cell r="G1428">
            <v>42339</v>
          </cell>
          <cell r="L1428" t="str">
            <v>16-19-002-04W2</v>
          </cell>
          <cell r="O1428">
            <v>832.5</v>
          </cell>
          <cell r="Q1428">
            <v>0.55000000000000004</v>
          </cell>
          <cell r="T1428">
            <v>69.918000000000006</v>
          </cell>
        </row>
        <row r="1429">
          <cell r="G1429">
            <v>42339</v>
          </cell>
          <cell r="L1429" t="str">
            <v>34-01-157-95W1</v>
          </cell>
          <cell r="O1429">
            <v>819.5</v>
          </cell>
          <cell r="Q1429">
            <v>0.34</v>
          </cell>
          <cell r="T1429">
            <v>68.942999999999998</v>
          </cell>
        </row>
        <row r="1430">
          <cell r="G1430">
            <v>42339</v>
          </cell>
          <cell r="L1430" t="str">
            <v>10-30-147-97W1</v>
          </cell>
          <cell r="O1430">
            <v>822.5</v>
          </cell>
          <cell r="Q1430">
            <v>0.46</v>
          </cell>
          <cell r="T1430">
            <v>68.653999999999996</v>
          </cell>
        </row>
        <row r="1431">
          <cell r="G1431">
            <v>42339</v>
          </cell>
          <cell r="L1431" t="str">
            <v>01-30-147-97W1</v>
          </cell>
          <cell r="O1431">
            <v>807.7</v>
          </cell>
          <cell r="Q1431">
            <v>0.54</v>
          </cell>
          <cell r="T1431">
            <v>68.64</v>
          </cell>
        </row>
        <row r="1432">
          <cell r="G1432">
            <v>42339</v>
          </cell>
          <cell r="L1432" t="str">
            <v>04-24-147-98W1</v>
          </cell>
          <cell r="O1432">
            <v>814.4</v>
          </cell>
          <cell r="Q1432">
            <v>0.56000000000000005</v>
          </cell>
          <cell r="T1432">
            <v>68.522000000000006</v>
          </cell>
        </row>
        <row r="1433">
          <cell r="G1433">
            <v>42339</v>
          </cell>
          <cell r="L1433" t="str">
            <v>44-35-022-58W1</v>
          </cell>
          <cell r="O1433">
            <v>870.2</v>
          </cell>
          <cell r="Q1433">
            <v>0.94</v>
          </cell>
          <cell r="T1433">
            <v>66.087000000000003</v>
          </cell>
        </row>
        <row r="1434">
          <cell r="G1434">
            <v>42339</v>
          </cell>
          <cell r="L1434" t="str">
            <v>01-21-153-95W1</v>
          </cell>
          <cell r="O1434">
            <v>832</v>
          </cell>
          <cell r="Q1434">
            <v>0.36</v>
          </cell>
          <cell r="T1434">
            <v>65.77</v>
          </cell>
        </row>
        <row r="1435">
          <cell r="G1435">
            <v>42339</v>
          </cell>
          <cell r="L1435" t="str">
            <v>01-08-153-95W1</v>
          </cell>
          <cell r="O1435">
            <v>812.8</v>
          </cell>
          <cell r="Q1435">
            <v>0.28999999999999998</v>
          </cell>
          <cell r="T1435">
            <v>65.465000000000003</v>
          </cell>
        </row>
        <row r="1436">
          <cell r="G1436">
            <v>42339</v>
          </cell>
          <cell r="L1436" t="str">
            <v>02-23-144-102W1</v>
          </cell>
          <cell r="O1436">
            <v>817.1</v>
          </cell>
          <cell r="Q1436">
            <v>0.91</v>
          </cell>
          <cell r="T1436">
            <v>65.081000000000003</v>
          </cell>
        </row>
        <row r="1437">
          <cell r="G1437">
            <v>42339</v>
          </cell>
          <cell r="L1437" t="str">
            <v>03-10-151-96W1</v>
          </cell>
          <cell r="O1437">
            <v>816.2</v>
          </cell>
          <cell r="Q1437">
            <v>0.24</v>
          </cell>
          <cell r="T1437">
            <v>64.525999999999996</v>
          </cell>
        </row>
        <row r="1438">
          <cell r="G1438">
            <v>42339</v>
          </cell>
          <cell r="L1438" t="str">
            <v>01-18-147-97W1</v>
          </cell>
          <cell r="O1438">
            <v>817.5</v>
          </cell>
          <cell r="Q1438">
            <v>0.77</v>
          </cell>
          <cell r="T1438">
            <v>64.513000000000005</v>
          </cell>
        </row>
        <row r="1439">
          <cell r="G1439">
            <v>42339</v>
          </cell>
          <cell r="L1439" t="str">
            <v>01-20-147-97W1</v>
          </cell>
          <cell r="O1439">
            <v>820.6</v>
          </cell>
          <cell r="Q1439">
            <v>0.7</v>
          </cell>
          <cell r="T1439">
            <v>64.078000000000003</v>
          </cell>
        </row>
        <row r="1440">
          <cell r="G1440">
            <v>42339</v>
          </cell>
          <cell r="L1440" t="str">
            <v>15-01-144-102W1</v>
          </cell>
          <cell r="O1440">
            <v>851.8</v>
          </cell>
          <cell r="Q1440">
            <v>0.82</v>
          </cell>
          <cell r="T1440">
            <v>63.668999999999997</v>
          </cell>
        </row>
        <row r="1441">
          <cell r="G1441">
            <v>42339</v>
          </cell>
          <cell r="L1441" t="str">
            <v>02-05-154-95W1</v>
          </cell>
          <cell r="O1441">
            <v>815.1</v>
          </cell>
          <cell r="Q1441">
            <v>0.36</v>
          </cell>
          <cell r="T1441">
            <v>63.347999999999999</v>
          </cell>
        </row>
        <row r="1442">
          <cell r="G1442">
            <v>42339</v>
          </cell>
          <cell r="L1442" t="str">
            <v>01-28-152-101W1</v>
          </cell>
          <cell r="O1442">
            <v>830.9</v>
          </cell>
          <cell r="Q1442">
            <v>0.43</v>
          </cell>
          <cell r="T1442">
            <v>62.695</v>
          </cell>
        </row>
        <row r="1443">
          <cell r="G1443">
            <v>42339</v>
          </cell>
          <cell r="L1443" t="str">
            <v>02-18-154-95W1</v>
          </cell>
          <cell r="O1443">
            <v>816.4</v>
          </cell>
          <cell r="Q1443">
            <v>0.46</v>
          </cell>
          <cell r="T1443">
            <v>61.555</v>
          </cell>
        </row>
        <row r="1444">
          <cell r="G1444">
            <v>42339</v>
          </cell>
          <cell r="L1444" t="str">
            <v>24-01-160-96W1</v>
          </cell>
          <cell r="O1444">
            <v>832.9</v>
          </cell>
          <cell r="Q1444">
            <v>0.52</v>
          </cell>
          <cell r="T1444">
            <v>59.12</v>
          </cell>
        </row>
        <row r="1445">
          <cell r="G1445">
            <v>42339</v>
          </cell>
          <cell r="L1445" t="str">
            <v>04-04-157-95W1</v>
          </cell>
          <cell r="O1445">
            <v>842.9</v>
          </cell>
          <cell r="Q1445">
            <v>0.62</v>
          </cell>
          <cell r="T1445">
            <v>58.216000000000001</v>
          </cell>
        </row>
        <row r="1446">
          <cell r="G1446">
            <v>42339</v>
          </cell>
          <cell r="L1446" t="str">
            <v>01-26-144-98W1</v>
          </cell>
          <cell r="O1446">
            <v>836.6</v>
          </cell>
          <cell r="Q1446">
            <v>0.47</v>
          </cell>
          <cell r="T1446">
            <v>58.082000000000001</v>
          </cell>
        </row>
        <row r="1447">
          <cell r="G1447">
            <v>42339</v>
          </cell>
          <cell r="L1447" t="str">
            <v>01-34-159-95W1</v>
          </cell>
          <cell r="O1447">
            <v>832.8</v>
          </cell>
          <cell r="Q1447">
            <v>0.56999999999999995</v>
          </cell>
          <cell r="T1447">
            <v>55.987000000000002</v>
          </cell>
        </row>
        <row r="1448">
          <cell r="G1448">
            <v>42339</v>
          </cell>
          <cell r="L1448" t="str">
            <v>03-03-157-95W1</v>
          </cell>
          <cell r="O1448">
            <v>832.6</v>
          </cell>
          <cell r="Q1448">
            <v>0.51</v>
          </cell>
          <cell r="T1448">
            <v>52.999000000000002</v>
          </cell>
        </row>
        <row r="1449">
          <cell r="G1449">
            <v>42339</v>
          </cell>
          <cell r="L1449" t="str">
            <v>01-21-159-94W1</v>
          </cell>
          <cell r="O1449">
            <v>842.1</v>
          </cell>
          <cell r="Q1449">
            <v>0.5</v>
          </cell>
          <cell r="T1449">
            <v>51.758000000000003</v>
          </cell>
        </row>
        <row r="1450">
          <cell r="G1450">
            <v>42339</v>
          </cell>
          <cell r="L1450" t="str">
            <v>34-02-157-95W1</v>
          </cell>
          <cell r="O1450">
            <v>846</v>
          </cell>
          <cell r="Q1450">
            <v>0.82</v>
          </cell>
          <cell r="T1450">
            <v>49.573</v>
          </cell>
        </row>
        <row r="1451">
          <cell r="G1451">
            <v>42339</v>
          </cell>
          <cell r="L1451" t="str">
            <v>11-21-163-89W1</v>
          </cell>
          <cell r="O1451">
            <v>839</v>
          </cell>
          <cell r="Q1451">
            <v>0.5</v>
          </cell>
          <cell r="T1451">
            <v>49.048000000000002</v>
          </cell>
        </row>
        <row r="1452">
          <cell r="G1452">
            <v>42339</v>
          </cell>
          <cell r="L1452" t="str">
            <v>20-01-161-90W1</v>
          </cell>
          <cell r="O1452">
            <v>866.7</v>
          </cell>
          <cell r="Q1452">
            <v>1.4</v>
          </cell>
          <cell r="T1452">
            <v>48.656999999999996</v>
          </cell>
        </row>
        <row r="1453">
          <cell r="G1453">
            <v>42339</v>
          </cell>
          <cell r="L1453" t="str">
            <v>34-31-143-102W1</v>
          </cell>
          <cell r="O1453">
            <v>853.9</v>
          </cell>
          <cell r="Q1453">
            <v>0.08</v>
          </cell>
          <cell r="T1453">
            <v>47.959000000000003</v>
          </cell>
        </row>
        <row r="1454">
          <cell r="G1454">
            <v>42339</v>
          </cell>
          <cell r="L1454" t="str">
            <v>07-33-161-91W1</v>
          </cell>
          <cell r="O1454">
            <v>856.1</v>
          </cell>
          <cell r="Q1454">
            <v>0.54</v>
          </cell>
          <cell r="T1454">
            <v>44.625</v>
          </cell>
        </row>
        <row r="1455">
          <cell r="G1455">
            <v>42339</v>
          </cell>
          <cell r="L1455" t="str">
            <v>01-07-153-95W1</v>
          </cell>
          <cell r="O1455">
            <v>820.8</v>
          </cell>
          <cell r="Q1455">
            <v>0.24</v>
          </cell>
          <cell r="T1455">
            <v>34.843000000000004</v>
          </cell>
        </row>
        <row r="1456">
          <cell r="G1456">
            <v>42339</v>
          </cell>
          <cell r="L1456" t="str">
            <v>02-34-145-97W1</v>
          </cell>
          <cell r="O1456">
            <v>834.6</v>
          </cell>
          <cell r="Q1456">
            <v>0.37</v>
          </cell>
          <cell r="T1456">
            <v>34.418999999999997</v>
          </cell>
        </row>
        <row r="1457">
          <cell r="G1457">
            <v>42339</v>
          </cell>
          <cell r="L1457" t="str">
            <v>02-06-144-97W1</v>
          </cell>
          <cell r="O1457">
            <v>839.2</v>
          </cell>
          <cell r="Q1457">
            <v>0.37</v>
          </cell>
          <cell r="T1457">
            <v>34.167000000000002</v>
          </cell>
        </row>
        <row r="1458">
          <cell r="G1458">
            <v>42339</v>
          </cell>
          <cell r="L1458" t="str">
            <v>01-02-158-95W1</v>
          </cell>
          <cell r="O1458">
            <v>829.4</v>
          </cell>
          <cell r="Q1458">
            <v>0.53</v>
          </cell>
          <cell r="T1458">
            <v>34.042999999999999</v>
          </cell>
        </row>
        <row r="1459">
          <cell r="G1459">
            <v>42339</v>
          </cell>
          <cell r="L1459" t="str">
            <v>15-04-143-101W1</v>
          </cell>
          <cell r="O1459">
            <v>836.3</v>
          </cell>
          <cell r="Q1459">
            <v>0.51</v>
          </cell>
          <cell r="T1459">
            <v>33.677</v>
          </cell>
        </row>
        <row r="1460">
          <cell r="G1460">
            <v>42339</v>
          </cell>
          <cell r="L1460" t="str">
            <v>24-01-142-100W1</v>
          </cell>
          <cell r="O1460">
            <v>826.3</v>
          </cell>
          <cell r="Q1460">
            <v>0.08</v>
          </cell>
          <cell r="T1460">
            <v>33.643000000000001</v>
          </cell>
        </row>
        <row r="1461">
          <cell r="G1461">
            <v>42339</v>
          </cell>
          <cell r="L1461" t="str">
            <v>25-11-159-102W1</v>
          </cell>
          <cell r="O1461">
            <v>833.9</v>
          </cell>
          <cell r="Q1461">
            <v>0.43</v>
          </cell>
          <cell r="T1461">
            <v>33.545000000000002</v>
          </cell>
        </row>
        <row r="1462">
          <cell r="G1462">
            <v>42339</v>
          </cell>
          <cell r="L1462" t="str">
            <v>05-01-144-97W1</v>
          </cell>
          <cell r="O1462">
            <v>827.1</v>
          </cell>
          <cell r="Q1462">
            <v>0.51</v>
          </cell>
          <cell r="T1462">
            <v>33.423999999999999</v>
          </cell>
        </row>
        <row r="1463">
          <cell r="G1463">
            <v>42339</v>
          </cell>
          <cell r="L1463" t="str">
            <v>01-31-164-98W1</v>
          </cell>
          <cell r="O1463">
            <v>845.7</v>
          </cell>
          <cell r="Q1463">
            <v>0.19</v>
          </cell>
          <cell r="T1463">
            <v>33.368000000000002</v>
          </cell>
        </row>
        <row r="1464">
          <cell r="G1464">
            <v>42339</v>
          </cell>
          <cell r="L1464" t="str">
            <v>01-03-154-95W1</v>
          </cell>
          <cell r="O1464">
            <v>826.1</v>
          </cell>
          <cell r="Q1464">
            <v>0.3</v>
          </cell>
          <cell r="T1464">
            <v>33.308</v>
          </cell>
        </row>
        <row r="1465">
          <cell r="G1465">
            <v>42339</v>
          </cell>
          <cell r="L1465" t="str">
            <v>05-25-147-98W1</v>
          </cell>
          <cell r="O1465">
            <v>847</v>
          </cell>
          <cell r="Q1465">
            <v>0.46</v>
          </cell>
          <cell r="T1465">
            <v>32.518000000000001</v>
          </cell>
        </row>
        <row r="1466">
          <cell r="G1466">
            <v>42339</v>
          </cell>
          <cell r="L1466" t="str">
            <v>01-06-144-98W1</v>
          </cell>
          <cell r="O1466">
            <v>838.9</v>
          </cell>
          <cell r="Q1466">
            <v>0.49</v>
          </cell>
          <cell r="T1466">
            <v>31.56</v>
          </cell>
        </row>
        <row r="1467">
          <cell r="G1467">
            <v>42339</v>
          </cell>
          <cell r="L1467" t="str">
            <v>01-20-163-91W1</v>
          </cell>
          <cell r="O1467">
            <v>840</v>
          </cell>
          <cell r="Q1467">
            <v>0.5</v>
          </cell>
          <cell r="T1467">
            <v>31.422999999999998</v>
          </cell>
        </row>
        <row r="1468">
          <cell r="G1468">
            <v>42339</v>
          </cell>
          <cell r="L1468" t="str">
            <v>01-05-161-95W1</v>
          </cell>
          <cell r="O1468">
            <v>834.2</v>
          </cell>
          <cell r="Q1468">
            <v>0.63</v>
          </cell>
          <cell r="T1468">
            <v>30.954999999999998</v>
          </cell>
        </row>
        <row r="1469">
          <cell r="G1469">
            <v>42339</v>
          </cell>
          <cell r="L1469" t="str">
            <v>01-03-162-90W1</v>
          </cell>
          <cell r="O1469">
            <v>854.1</v>
          </cell>
          <cell r="Q1469">
            <v>0.53</v>
          </cell>
          <cell r="T1469">
            <v>30.800999999999998</v>
          </cell>
        </row>
        <row r="1470">
          <cell r="G1470">
            <v>42339</v>
          </cell>
          <cell r="L1470" t="str">
            <v>01-33-162-90W1</v>
          </cell>
          <cell r="O1470">
            <v>861.8</v>
          </cell>
          <cell r="Q1470">
            <v>0.42</v>
          </cell>
          <cell r="T1470">
            <v>30.640999999999998</v>
          </cell>
        </row>
        <row r="1471">
          <cell r="G1471">
            <v>42339</v>
          </cell>
          <cell r="L1471" t="str">
            <v>01-12-144-98W1</v>
          </cell>
          <cell r="O1471">
            <v>819.6</v>
          </cell>
          <cell r="Q1471">
            <v>0.46</v>
          </cell>
          <cell r="T1471">
            <v>30.451000000000001</v>
          </cell>
        </row>
        <row r="1472">
          <cell r="G1472">
            <v>42339</v>
          </cell>
          <cell r="L1472" t="str">
            <v>01-33-164-91W1</v>
          </cell>
          <cell r="O1472">
            <v>840.6</v>
          </cell>
          <cell r="Q1472">
            <v>0.53</v>
          </cell>
          <cell r="T1472">
            <v>30.116</v>
          </cell>
        </row>
        <row r="1473">
          <cell r="G1473">
            <v>42339</v>
          </cell>
          <cell r="L1473" t="str">
            <v>01-34-164-92W1</v>
          </cell>
          <cell r="O1473">
            <v>831.1</v>
          </cell>
          <cell r="Q1473">
            <v>0.6</v>
          </cell>
          <cell r="T1473">
            <v>30.084</v>
          </cell>
        </row>
        <row r="1474">
          <cell r="G1474">
            <v>42339</v>
          </cell>
          <cell r="L1474" t="str">
            <v>99-31-160-94W1</v>
          </cell>
          <cell r="O1474">
            <v>815.9</v>
          </cell>
          <cell r="Q1474">
            <v>0.25</v>
          </cell>
          <cell r="T1474">
            <v>30.029</v>
          </cell>
        </row>
        <row r="1475">
          <cell r="G1475">
            <v>42339</v>
          </cell>
          <cell r="L1475" t="str">
            <v>16-04-151-96W1</v>
          </cell>
          <cell r="O1475">
            <v>810.7</v>
          </cell>
          <cell r="Q1475">
            <v>0.28000000000000003</v>
          </cell>
          <cell r="T1475">
            <v>30.016999999999999</v>
          </cell>
        </row>
        <row r="1476">
          <cell r="G1476">
            <v>42339</v>
          </cell>
          <cell r="L1476" t="str">
            <v>02-30-004-05W2</v>
          </cell>
          <cell r="O1476">
            <v>855.6</v>
          </cell>
          <cell r="Q1476">
            <v>0.78</v>
          </cell>
          <cell r="T1476">
            <v>29.510999999999999</v>
          </cell>
        </row>
        <row r="1477">
          <cell r="G1477">
            <v>42339</v>
          </cell>
          <cell r="L1477" t="str">
            <v>01-14-001-11W2</v>
          </cell>
          <cell r="O1477">
            <v>855</v>
          </cell>
          <cell r="Q1477">
            <v>0.26</v>
          </cell>
          <cell r="T1477">
            <v>29.33</v>
          </cell>
        </row>
        <row r="1478">
          <cell r="G1478">
            <v>42339</v>
          </cell>
          <cell r="L1478" t="str">
            <v>01-12-159-96W1</v>
          </cell>
          <cell r="O1478">
            <v>836</v>
          </cell>
          <cell r="Q1478">
            <v>0.5</v>
          </cell>
          <cell r="T1478">
            <v>28.588999999999999</v>
          </cell>
        </row>
        <row r="1479">
          <cell r="G1479">
            <v>42339</v>
          </cell>
          <cell r="L1479" t="str">
            <v>03-01-158-95W1</v>
          </cell>
          <cell r="O1479">
            <v>829.5</v>
          </cell>
          <cell r="Q1479">
            <v>0.61</v>
          </cell>
          <cell r="T1479">
            <v>28.33</v>
          </cell>
        </row>
        <row r="1480">
          <cell r="G1480">
            <v>42339</v>
          </cell>
          <cell r="L1480" t="str">
            <v>03-02-157-95W1</v>
          </cell>
          <cell r="O1480">
            <v>860.2</v>
          </cell>
          <cell r="Q1480">
            <v>0.76</v>
          </cell>
          <cell r="T1480">
            <v>28.221</v>
          </cell>
        </row>
        <row r="1481">
          <cell r="G1481">
            <v>42339</v>
          </cell>
          <cell r="L1481" t="str">
            <v>03-05-157-95W1</v>
          </cell>
          <cell r="O1481">
            <v>850.3</v>
          </cell>
          <cell r="Q1481">
            <v>0.74</v>
          </cell>
          <cell r="T1481">
            <v>27.555</v>
          </cell>
        </row>
        <row r="1482">
          <cell r="G1482">
            <v>42339</v>
          </cell>
          <cell r="L1482" t="str">
            <v>01-08-162-95W1</v>
          </cell>
          <cell r="O1482">
            <v>859</v>
          </cell>
          <cell r="Q1482">
            <v>0.95</v>
          </cell>
          <cell r="T1482">
            <v>27.542000000000002</v>
          </cell>
        </row>
        <row r="1483">
          <cell r="G1483">
            <v>42339</v>
          </cell>
          <cell r="L1483" t="str">
            <v>02-05-163-92W1</v>
          </cell>
          <cell r="O1483">
            <v>839.6</v>
          </cell>
          <cell r="Q1483">
            <v>0.54</v>
          </cell>
          <cell r="T1483">
            <v>26.667999999999999</v>
          </cell>
        </row>
        <row r="1484">
          <cell r="G1484">
            <v>42339</v>
          </cell>
          <cell r="L1484" t="str">
            <v>04-05-002-11W2</v>
          </cell>
          <cell r="O1484">
            <v>835.1</v>
          </cell>
          <cell r="Q1484">
            <v>0.21</v>
          </cell>
          <cell r="T1484">
            <v>25.806999999999999</v>
          </cell>
        </row>
        <row r="1485">
          <cell r="G1485">
            <v>42339</v>
          </cell>
          <cell r="L1485" t="str">
            <v>01-18-162-91W1</v>
          </cell>
          <cell r="O1485">
            <v>852.8</v>
          </cell>
          <cell r="Q1485">
            <v>0.53</v>
          </cell>
          <cell r="T1485">
            <v>25.338000000000001</v>
          </cell>
        </row>
        <row r="1486">
          <cell r="G1486">
            <v>42339</v>
          </cell>
          <cell r="L1486" t="str">
            <v>01-29-162-92W1</v>
          </cell>
          <cell r="O1486">
            <v>844.5</v>
          </cell>
          <cell r="Q1486">
            <v>0.55000000000000004</v>
          </cell>
          <cell r="T1486">
            <v>25.004999999999999</v>
          </cell>
        </row>
        <row r="1487">
          <cell r="G1487">
            <v>42339</v>
          </cell>
          <cell r="L1487" t="str">
            <v>11-02-163-96W1</v>
          </cell>
          <cell r="O1487">
            <v>827.3</v>
          </cell>
          <cell r="Q1487">
            <v>0.1</v>
          </cell>
          <cell r="T1487">
            <v>24.524999999999999</v>
          </cell>
        </row>
        <row r="1488">
          <cell r="G1488">
            <v>42339</v>
          </cell>
          <cell r="L1488" t="str">
            <v>12-10-163-92W1</v>
          </cell>
          <cell r="O1488">
            <v>833.8</v>
          </cell>
          <cell r="Q1488">
            <v>0.57999999999999996</v>
          </cell>
          <cell r="T1488">
            <v>23.975999999999999</v>
          </cell>
        </row>
        <row r="1489">
          <cell r="G1489">
            <v>42339</v>
          </cell>
          <cell r="L1489" t="str">
            <v>01-11-161-92W1</v>
          </cell>
          <cell r="O1489">
            <v>853.5</v>
          </cell>
          <cell r="Q1489">
            <v>0.77</v>
          </cell>
          <cell r="T1489">
            <v>23.454999999999998</v>
          </cell>
        </row>
        <row r="1490">
          <cell r="G1490">
            <v>42339</v>
          </cell>
          <cell r="L1490" t="str">
            <v>01-24-144-98W1</v>
          </cell>
          <cell r="O1490">
            <v>832.5</v>
          </cell>
          <cell r="Q1490">
            <v>0.61</v>
          </cell>
          <cell r="T1490">
            <v>22.152000000000001</v>
          </cell>
        </row>
        <row r="1491">
          <cell r="G1491">
            <v>42339</v>
          </cell>
          <cell r="L1491" t="str">
            <v>01-04-162-90W1</v>
          </cell>
          <cell r="O1491">
            <v>862.9</v>
          </cell>
          <cell r="Q1491">
            <v>0.42</v>
          </cell>
          <cell r="T1491">
            <v>19.859000000000002</v>
          </cell>
        </row>
        <row r="1492">
          <cell r="G1492">
            <v>42339</v>
          </cell>
          <cell r="L1492" t="str">
            <v>01-05-144-97W1</v>
          </cell>
          <cell r="O1492">
            <v>848.6</v>
          </cell>
          <cell r="Q1492">
            <v>0.37</v>
          </cell>
          <cell r="T1492">
            <v>19.835999999999999</v>
          </cell>
        </row>
        <row r="1493">
          <cell r="G1493">
            <v>42339</v>
          </cell>
          <cell r="L1493" t="str">
            <v>07-23-010-06W2</v>
          </cell>
          <cell r="O1493">
            <v>846.5</v>
          </cell>
          <cell r="Q1493">
            <v>1.51</v>
          </cell>
          <cell r="T1493">
            <v>486.89699999999999</v>
          </cell>
        </row>
        <row r="1494">
          <cell r="G1494">
            <v>42339</v>
          </cell>
          <cell r="L1494" t="str">
            <v>01-36-003-03W2</v>
          </cell>
          <cell r="O1494">
            <v>840</v>
          </cell>
          <cell r="Q1494">
            <v>0.76</v>
          </cell>
          <cell r="T1494">
            <v>415.24599999999998</v>
          </cell>
        </row>
        <row r="1495">
          <cell r="G1495">
            <v>42339</v>
          </cell>
          <cell r="L1495" t="str">
            <v>05-36-002-03W2</v>
          </cell>
          <cell r="O1495">
            <v>848.6</v>
          </cell>
          <cell r="Q1495">
            <v>0.67</v>
          </cell>
          <cell r="T1495">
            <v>247.154</v>
          </cell>
        </row>
        <row r="1496">
          <cell r="G1496">
            <v>42339</v>
          </cell>
          <cell r="L1496" t="str">
            <v>08-17-005-03W2</v>
          </cell>
          <cell r="O1496">
            <v>861.2</v>
          </cell>
          <cell r="Q1496">
            <v>1.41</v>
          </cell>
          <cell r="T1496">
            <v>191.29599999999999</v>
          </cell>
        </row>
        <row r="1497">
          <cell r="G1497">
            <v>42339</v>
          </cell>
          <cell r="L1497" t="str">
            <v>12-22-010-05W2</v>
          </cell>
          <cell r="O1497">
            <v>865.4</v>
          </cell>
          <cell r="Q1497">
            <v>1.88</v>
          </cell>
          <cell r="T1497">
            <v>66.986000000000004</v>
          </cell>
        </row>
        <row r="1498">
          <cell r="G1498">
            <v>42339</v>
          </cell>
          <cell r="L1498" t="str">
            <v>09-26-007-05W2</v>
          </cell>
          <cell r="O1498">
            <v>865.8</v>
          </cell>
          <cell r="Q1498">
            <v>1.67</v>
          </cell>
          <cell r="T1498">
            <v>34.44</v>
          </cell>
        </row>
        <row r="1499">
          <cell r="G1499">
            <v>42339</v>
          </cell>
          <cell r="L1499" t="str">
            <v>11-36-005-04W2</v>
          </cell>
          <cell r="O1499">
            <v>844.1</v>
          </cell>
          <cell r="Q1499">
            <v>1</v>
          </cell>
          <cell r="T1499">
            <v>5.165</v>
          </cell>
        </row>
        <row r="1500">
          <cell r="G1500">
            <v>42339</v>
          </cell>
          <cell r="L1500" t="str">
            <v>05-16-006-13W2</v>
          </cell>
          <cell r="O1500">
            <v>871.5</v>
          </cell>
          <cell r="Q1500">
            <v>2.41</v>
          </cell>
          <cell r="T1500">
            <v>118241.302</v>
          </cell>
        </row>
        <row r="1501">
          <cell r="G1501">
            <v>42339</v>
          </cell>
          <cell r="L1501" t="str">
            <v>08-28-005-33W1</v>
          </cell>
          <cell r="O1501">
            <v>823.4</v>
          </cell>
          <cell r="Q1501">
            <v>1.1599999999999999</v>
          </cell>
          <cell r="T1501">
            <v>114038.14599999999</v>
          </cell>
        </row>
        <row r="1502">
          <cell r="G1502">
            <v>42339</v>
          </cell>
          <cell r="L1502" t="str">
            <v>14-13-002-02W2</v>
          </cell>
          <cell r="O1502">
            <v>821.7</v>
          </cell>
          <cell r="Q1502">
            <v>0.54</v>
          </cell>
          <cell r="T1502">
            <v>2874.6979999999999</v>
          </cell>
        </row>
        <row r="1503">
          <cell r="G1503">
            <v>42339</v>
          </cell>
          <cell r="L1503" t="str">
            <v>16-03-008-33W1</v>
          </cell>
          <cell r="O1503">
            <v>838.8</v>
          </cell>
          <cell r="Q1503">
            <v>1.25</v>
          </cell>
          <cell r="T1503">
            <v>1495.2929999999999</v>
          </cell>
        </row>
        <row r="1504">
          <cell r="G1504">
            <v>42339</v>
          </cell>
          <cell r="L1504" t="str">
            <v>01-35-007-01W2</v>
          </cell>
          <cell r="O1504">
            <v>840.5</v>
          </cell>
          <cell r="Q1504">
            <v>1.1399999999999999</v>
          </cell>
          <cell r="T1504">
            <v>1359.0329999999999</v>
          </cell>
        </row>
        <row r="1505">
          <cell r="G1505">
            <v>42339</v>
          </cell>
          <cell r="L1505" t="str">
            <v>13-17-005-33W1</v>
          </cell>
          <cell r="O1505">
            <v>822.1</v>
          </cell>
          <cell r="Q1505">
            <v>0.67</v>
          </cell>
          <cell r="T1505">
            <v>1060.5909999999999</v>
          </cell>
        </row>
        <row r="1506">
          <cell r="G1506">
            <v>42339</v>
          </cell>
          <cell r="L1506" t="str">
            <v>16-04-006-32W1</v>
          </cell>
          <cell r="O1506">
            <v>836.4</v>
          </cell>
          <cell r="Q1506">
            <v>1.07</v>
          </cell>
          <cell r="T1506">
            <v>1052.1120000000001</v>
          </cell>
        </row>
        <row r="1507">
          <cell r="G1507">
            <v>42339</v>
          </cell>
          <cell r="L1507" t="str">
            <v>05-18-004-02W2</v>
          </cell>
          <cell r="O1507">
            <v>847.4</v>
          </cell>
          <cell r="Q1507">
            <v>1.1299999999999999</v>
          </cell>
          <cell r="T1507">
            <v>1007.071</v>
          </cell>
        </row>
        <row r="1508">
          <cell r="G1508">
            <v>42339</v>
          </cell>
          <cell r="L1508" t="str">
            <v>01-03-003-33W1</v>
          </cell>
          <cell r="O1508">
            <v>850.1</v>
          </cell>
          <cell r="Q1508">
            <v>0.93</v>
          </cell>
          <cell r="T1508">
            <v>785.17499999999995</v>
          </cell>
        </row>
        <row r="1509">
          <cell r="G1509">
            <v>42339</v>
          </cell>
          <cell r="L1509" t="str">
            <v>16-31-001-32W1</v>
          </cell>
          <cell r="O1509">
            <v>843.1</v>
          </cell>
          <cell r="Q1509">
            <v>1.1000000000000001</v>
          </cell>
          <cell r="T1509">
            <v>682.33199999999999</v>
          </cell>
        </row>
        <row r="1510">
          <cell r="G1510">
            <v>42339</v>
          </cell>
          <cell r="L1510" t="str">
            <v>14-19-006-33W1</v>
          </cell>
          <cell r="O1510">
            <v>834.4</v>
          </cell>
          <cell r="Q1510">
            <v>1.2</v>
          </cell>
          <cell r="T1510">
            <v>567.44299999999998</v>
          </cell>
        </row>
        <row r="1511">
          <cell r="G1511">
            <v>42339</v>
          </cell>
          <cell r="L1511" t="str">
            <v>05-31-002-01W2</v>
          </cell>
          <cell r="O1511">
            <v>817.9</v>
          </cell>
          <cell r="Q1511">
            <v>0.47</v>
          </cell>
          <cell r="T1511">
            <v>476.66699999999997</v>
          </cell>
        </row>
        <row r="1512">
          <cell r="G1512">
            <v>42339</v>
          </cell>
          <cell r="L1512" t="str">
            <v>16-24-001-34W1</v>
          </cell>
          <cell r="O1512">
            <v>871.9</v>
          </cell>
          <cell r="Q1512">
            <v>1.62</v>
          </cell>
          <cell r="T1512">
            <v>373.334</v>
          </cell>
        </row>
        <row r="1513">
          <cell r="G1513">
            <v>42339</v>
          </cell>
          <cell r="L1513" t="str">
            <v>14-23-005-02W2</v>
          </cell>
          <cell r="O1513">
            <v>849.7</v>
          </cell>
          <cell r="Q1513">
            <v>1.35</v>
          </cell>
          <cell r="T1513">
            <v>295.00900000000001</v>
          </cell>
        </row>
        <row r="1514">
          <cell r="G1514">
            <v>42339</v>
          </cell>
          <cell r="L1514" t="str">
            <v>04-11-004-32W1</v>
          </cell>
          <cell r="O1514">
            <v>852.3</v>
          </cell>
          <cell r="Q1514">
            <v>1.57</v>
          </cell>
          <cell r="T1514">
            <v>288.79599999999999</v>
          </cell>
        </row>
        <row r="1515">
          <cell r="G1515">
            <v>42339</v>
          </cell>
          <cell r="L1515" t="str">
            <v>13-13-002-33W1</v>
          </cell>
          <cell r="O1515">
            <v>839.4</v>
          </cell>
          <cell r="Q1515">
            <v>0.72</v>
          </cell>
          <cell r="T1515">
            <v>259.97699999999998</v>
          </cell>
        </row>
        <row r="1516">
          <cell r="G1516">
            <v>42339</v>
          </cell>
          <cell r="L1516" t="str">
            <v>04-05-006-02W2</v>
          </cell>
          <cell r="O1516">
            <v>843.8</v>
          </cell>
          <cell r="Q1516">
            <v>1.17</v>
          </cell>
          <cell r="T1516">
            <v>245.72800000000001</v>
          </cell>
        </row>
        <row r="1517">
          <cell r="G1517">
            <v>42339</v>
          </cell>
          <cell r="L1517" t="str">
            <v>01-01-010-04W2</v>
          </cell>
          <cell r="O1517">
            <v>844.8</v>
          </cell>
          <cell r="Q1517">
            <v>1.41</v>
          </cell>
          <cell r="T1517">
            <v>241.90600000000001</v>
          </cell>
        </row>
        <row r="1518">
          <cell r="G1518">
            <v>42339</v>
          </cell>
          <cell r="L1518" t="str">
            <v>10-17-007-33W1</v>
          </cell>
          <cell r="O1518">
            <v>840.4</v>
          </cell>
          <cell r="Q1518">
            <v>1.17</v>
          </cell>
          <cell r="T1518">
            <v>214.58</v>
          </cell>
        </row>
        <row r="1519">
          <cell r="G1519">
            <v>42339</v>
          </cell>
          <cell r="L1519" t="str">
            <v>16-16-006-02W2</v>
          </cell>
          <cell r="O1519">
            <v>846.3</v>
          </cell>
          <cell r="Q1519">
            <v>1.1399999999999999</v>
          </cell>
          <cell r="T1519">
            <v>197.62799999999999</v>
          </cell>
        </row>
        <row r="1520">
          <cell r="G1520">
            <v>42339</v>
          </cell>
          <cell r="L1520" t="str">
            <v>03-19-001-31W1</v>
          </cell>
          <cell r="O1520">
            <v>872.3</v>
          </cell>
          <cell r="Q1520">
            <v>1.61</v>
          </cell>
          <cell r="T1520">
            <v>188.56200000000001</v>
          </cell>
        </row>
        <row r="1521">
          <cell r="G1521">
            <v>42339</v>
          </cell>
          <cell r="L1521" t="str">
            <v>11-25-001-32W1</v>
          </cell>
          <cell r="O1521">
            <v>866.5</v>
          </cell>
          <cell r="Q1521">
            <v>1.62</v>
          </cell>
          <cell r="T1521">
            <v>179.85</v>
          </cell>
        </row>
        <row r="1522">
          <cell r="G1522">
            <v>42339</v>
          </cell>
          <cell r="L1522" t="str">
            <v>09-24-001-01W2</v>
          </cell>
          <cell r="O1522">
            <v>824.9</v>
          </cell>
          <cell r="Q1522">
            <v>0.56999999999999995</v>
          </cell>
          <cell r="T1522">
            <v>167.88300000000001</v>
          </cell>
        </row>
        <row r="1523">
          <cell r="G1523">
            <v>42339</v>
          </cell>
          <cell r="L1523" t="str">
            <v>12-20-008-02W2</v>
          </cell>
          <cell r="O1523">
            <v>850.8</v>
          </cell>
          <cell r="Q1523">
            <v>1.77</v>
          </cell>
          <cell r="T1523">
            <v>166.76400000000001</v>
          </cell>
        </row>
        <row r="1524">
          <cell r="G1524">
            <v>42339</v>
          </cell>
          <cell r="L1524" t="str">
            <v>01-06-002-32W1</v>
          </cell>
          <cell r="O1524">
            <v>832</v>
          </cell>
          <cell r="Q1524">
            <v>0.81</v>
          </cell>
          <cell r="T1524">
            <v>148.19200000000001</v>
          </cell>
        </row>
        <row r="1525">
          <cell r="G1525">
            <v>42339</v>
          </cell>
          <cell r="L1525" t="str">
            <v>03-05-006-02W2</v>
          </cell>
          <cell r="O1525">
            <v>841</v>
          </cell>
          <cell r="Q1525">
            <v>1.03</v>
          </cell>
          <cell r="T1525">
            <v>128.31299999999999</v>
          </cell>
        </row>
        <row r="1526">
          <cell r="G1526">
            <v>42339</v>
          </cell>
          <cell r="L1526" t="str">
            <v>11-25-001-02W2</v>
          </cell>
          <cell r="O1526">
            <v>829.5</v>
          </cell>
          <cell r="Q1526">
            <v>0.59</v>
          </cell>
          <cell r="T1526">
            <v>112.5</v>
          </cell>
        </row>
        <row r="1527">
          <cell r="G1527">
            <v>42339</v>
          </cell>
          <cell r="L1527" t="str">
            <v>02-14-006-02W2</v>
          </cell>
          <cell r="O1527">
            <v>839.4</v>
          </cell>
          <cell r="Q1527">
            <v>1.1599999999999999</v>
          </cell>
          <cell r="T1527">
            <v>107.696</v>
          </cell>
        </row>
        <row r="1528">
          <cell r="G1528">
            <v>42339</v>
          </cell>
          <cell r="L1528" t="str">
            <v>14-24-001-02W2</v>
          </cell>
          <cell r="O1528">
            <v>846.9</v>
          </cell>
          <cell r="Q1528">
            <v>0.79</v>
          </cell>
          <cell r="T1528">
            <v>103.402</v>
          </cell>
        </row>
        <row r="1529">
          <cell r="G1529">
            <v>42339</v>
          </cell>
          <cell r="L1529" t="str">
            <v>03-03-002-32W1</v>
          </cell>
          <cell r="O1529">
            <v>825.8</v>
          </cell>
          <cell r="Q1529">
            <v>1.22</v>
          </cell>
          <cell r="T1529">
            <v>90.688000000000002</v>
          </cell>
        </row>
        <row r="1530">
          <cell r="G1530">
            <v>42339</v>
          </cell>
          <cell r="L1530" t="str">
            <v>16-15-008-03W2</v>
          </cell>
          <cell r="O1530">
            <v>854.6</v>
          </cell>
          <cell r="Q1530">
            <v>1.54</v>
          </cell>
          <cell r="T1530">
            <v>90.421999999999997</v>
          </cell>
        </row>
        <row r="1531">
          <cell r="G1531">
            <v>42339</v>
          </cell>
          <cell r="L1531" t="str">
            <v>10-29-005-33W1</v>
          </cell>
          <cell r="O1531">
            <v>835.2</v>
          </cell>
          <cell r="Q1531">
            <v>0.87</v>
          </cell>
          <cell r="T1531">
            <v>72.3</v>
          </cell>
        </row>
        <row r="1532">
          <cell r="G1532">
            <v>42339</v>
          </cell>
          <cell r="L1532" t="str">
            <v>13-12-007-03W2</v>
          </cell>
          <cell r="O1532">
            <v>852.5</v>
          </cell>
          <cell r="Q1532">
            <v>1.38</v>
          </cell>
          <cell r="T1532">
            <v>62.753</v>
          </cell>
        </row>
        <row r="1533">
          <cell r="G1533">
            <v>42339</v>
          </cell>
          <cell r="L1533" t="str">
            <v>05-03-009-33W1</v>
          </cell>
          <cell r="O1533">
            <v>849.5</v>
          </cell>
          <cell r="Q1533">
            <v>1.32</v>
          </cell>
          <cell r="T1533">
            <v>62.180999999999997</v>
          </cell>
        </row>
        <row r="1534">
          <cell r="G1534">
            <v>42339</v>
          </cell>
          <cell r="L1534" t="str">
            <v>09-01-002-34W1</v>
          </cell>
          <cell r="O1534">
            <v>832.3</v>
          </cell>
          <cell r="Q1534">
            <v>0.55000000000000004</v>
          </cell>
          <cell r="T1534">
            <v>61.851999999999997</v>
          </cell>
        </row>
        <row r="1535">
          <cell r="G1535">
            <v>42339</v>
          </cell>
          <cell r="L1535" t="str">
            <v>16-07-006-02W2</v>
          </cell>
          <cell r="O1535">
            <v>859.3</v>
          </cell>
          <cell r="Q1535">
            <v>1.22</v>
          </cell>
          <cell r="T1535">
            <v>54.329000000000001</v>
          </cell>
        </row>
        <row r="1536">
          <cell r="G1536">
            <v>42339</v>
          </cell>
          <cell r="L1536" t="str">
            <v>04-14-005-33W1</v>
          </cell>
          <cell r="O1536">
            <v>852.2</v>
          </cell>
          <cell r="Q1536">
            <v>0.8</v>
          </cell>
          <cell r="T1536">
            <v>47.420999999999999</v>
          </cell>
        </row>
        <row r="1537">
          <cell r="G1537">
            <v>42339</v>
          </cell>
          <cell r="L1537" t="str">
            <v>02-33-001-34W1</v>
          </cell>
          <cell r="O1537">
            <v>840.9</v>
          </cell>
          <cell r="Q1537">
            <v>0.66</v>
          </cell>
          <cell r="T1537">
            <v>36.634999999999998</v>
          </cell>
        </row>
        <row r="1538">
          <cell r="G1538">
            <v>42339</v>
          </cell>
          <cell r="L1538" t="str">
            <v>16-21-003-33W1</v>
          </cell>
          <cell r="O1538">
            <v>846</v>
          </cell>
          <cell r="Q1538">
            <v>1.84</v>
          </cell>
          <cell r="T1538">
            <v>28.454000000000001</v>
          </cell>
        </row>
        <row r="1539">
          <cell r="G1539">
            <v>42339</v>
          </cell>
          <cell r="L1539" t="str">
            <v>07-26-005-02W2</v>
          </cell>
          <cell r="O1539">
            <v>846.1</v>
          </cell>
          <cell r="Q1539">
            <v>1.1599999999999999</v>
          </cell>
          <cell r="T1539">
            <v>17.797000000000001</v>
          </cell>
        </row>
        <row r="1540">
          <cell r="G1540">
            <v>42339</v>
          </cell>
          <cell r="L1540" t="str">
            <v>15-09-007-03W2</v>
          </cell>
          <cell r="O1540">
            <v>844.8</v>
          </cell>
          <cell r="Q1540">
            <v>1.29</v>
          </cell>
          <cell r="T1540">
            <v>1906.806</v>
          </cell>
        </row>
        <row r="1541">
          <cell r="G1541">
            <v>42339</v>
          </cell>
          <cell r="L1541" t="str">
            <v>08-36-003-34W1</v>
          </cell>
          <cell r="O1541">
            <v>846.2</v>
          </cell>
          <cell r="Q1541">
            <v>1.1599999999999999</v>
          </cell>
          <cell r="T1541">
            <v>382.81099999999998</v>
          </cell>
        </row>
        <row r="1542">
          <cell r="G1542">
            <v>42339</v>
          </cell>
          <cell r="L1542" t="str">
            <v>04-36-004-02W2</v>
          </cell>
          <cell r="O1542">
            <v>853.4</v>
          </cell>
          <cell r="Q1542">
            <v>1.64</v>
          </cell>
          <cell r="T1542">
            <v>381.80500000000001</v>
          </cell>
        </row>
        <row r="1543">
          <cell r="G1543">
            <v>42339</v>
          </cell>
          <cell r="L1543" t="str">
            <v>07-31-005-33W1</v>
          </cell>
          <cell r="O1543">
            <v>825.3</v>
          </cell>
          <cell r="Q1543">
            <v>0.68</v>
          </cell>
          <cell r="T1543">
            <v>216.09200000000001</v>
          </cell>
        </row>
        <row r="1544">
          <cell r="G1544">
            <v>42339</v>
          </cell>
          <cell r="L1544" t="str">
            <v>13-14-010-05W2</v>
          </cell>
          <cell r="O1544">
            <v>846.9</v>
          </cell>
          <cell r="Q1544">
            <v>1.54</v>
          </cell>
          <cell r="T1544">
            <v>149.85</v>
          </cell>
        </row>
        <row r="1545">
          <cell r="G1545">
            <v>42339</v>
          </cell>
          <cell r="L1545" t="str">
            <v>05-14-003-01W2</v>
          </cell>
          <cell r="O1545">
            <v>820.6</v>
          </cell>
          <cell r="Q1545">
            <v>0.71</v>
          </cell>
          <cell r="T1545">
            <v>68.731999999999999</v>
          </cell>
        </row>
        <row r="1546">
          <cell r="G1546">
            <v>42339</v>
          </cell>
          <cell r="L1546" t="str">
            <v>14-04-006-33W1</v>
          </cell>
          <cell r="O1546">
            <v>835.1</v>
          </cell>
          <cell r="Q1546">
            <v>0.85</v>
          </cell>
          <cell r="T1546">
            <v>64.400999999999996</v>
          </cell>
        </row>
        <row r="1547">
          <cell r="G1547">
            <v>42339</v>
          </cell>
          <cell r="L1547" t="str">
            <v>03-03-002-34W1</v>
          </cell>
          <cell r="O1547">
            <v>849.5</v>
          </cell>
          <cell r="Q1547">
            <v>0.64</v>
          </cell>
          <cell r="T1547">
            <v>61.942</v>
          </cell>
        </row>
        <row r="1548">
          <cell r="G1548">
            <v>42339</v>
          </cell>
          <cell r="L1548" t="str">
            <v>01-07-006-10W2</v>
          </cell>
          <cell r="O1548">
            <v>0</v>
          </cell>
          <cell r="Q1548">
            <v>0</v>
          </cell>
          <cell r="T1548">
            <v>0</v>
          </cell>
        </row>
        <row r="1549">
          <cell r="G1549">
            <v>42339</v>
          </cell>
          <cell r="L1549" t="str">
            <v>MWStream</v>
          </cell>
        </row>
        <row r="1550">
          <cell r="G1550">
            <v>42339</v>
          </cell>
          <cell r="L1550" t="str">
            <v>ALStream</v>
          </cell>
          <cell r="O1550">
            <v>831.8</v>
          </cell>
          <cell r="Q1550">
            <v>1.07</v>
          </cell>
          <cell r="T1550">
            <v>-73949.748000000007</v>
          </cell>
        </row>
        <row r="1551">
          <cell r="G1551">
            <v>42339</v>
          </cell>
          <cell r="L1551" t="str">
            <v>MWStream</v>
          </cell>
          <cell r="O1551">
            <v>831</v>
          </cell>
          <cell r="Q1551">
            <v>1.1599999999999999</v>
          </cell>
          <cell r="T1551">
            <v>-16209.3</v>
          </cell>
        </row>
        <row r="1552">
          <cell r="G1552">
            <v>42339</v>
          </cell>
          <cell r="L1552" t="str">
            <v>ALStream</v>
          </cell>
          <cell r="O1552">
            <v>874.5</v>
          </cell>
          <cell r="Q1552">
            <v>2.33</v>
          </cell>
          <cell r="T1552">
            <v>-13431.428</v>
          </cell>
        </row>
        <row r="1553">
          <cell r="G1553">
            <v>42370</v>
          </cell>
          <cell r="L1553" t="str">
            <v>01-19-004-12W2</v>
          </cell>
          <cell r="O1553">
            <v>900.7</v>
          </cell>
          <cell r="Q1553">
            <v>2.59</v>
          </cell>
          <cell r="T1553">
            <v>8.4000000000000005E-2</v>
          </cell>
        </row>
        <row r="1554">
          <cell r="G1554">
            <v>42370</v>
          </cell>
          <cell r="L1554" t="str">
            <v>13-14-009-09W2</v>
          </cell>
          <cell r="O1554">
            <v>889.7</v>
          </cell>
          <cell r="Q1554">
            <v>2.46</v>
          </cell>
          <cell r="T1554">
            <v>23.911999999999999</v>
          </cell>
        </row>
        <row r="1555">
          <cell r="G1555">
            <v>42370</v>
          </cell>
          <cell r="L1555" t="str">
            <v>03-05-005-11W2</v>
          </cell>
          <cell r="O1555">
            <v>865</v>
          </cell>
          <cell r="Q1555">
            <v>1.68</v>
          </cell>
          <cell r="T1555">
            <v>35.76</v>
          </cell>
        </row>
        <row r="1556">
          <cell r="G1556">
            <v>42370</v>
          </cell>
          <cell r="L1556" t="str">
            <v>13-34-007-14W2</v>
          </cell>
          <cell r="O1556">
            <v>859.9</v>
          </cell>
          <cell r="Q1556">
            <v>2.08</v>
          </cell>
          <cell r="T1556">
            <v>40.384</v>
          </cell>
        </row>
        <row r="1557">
          <cell r="G1557">
            <v>42370</v>
          </cell>
          <cell r="L1557" t="str">
            <v>08-18-011-03W2</v>
          </cell>
          <cell r="O1557">
            <v>856.4</v>
          </cell>
          <cell r="Q1557">
            <v>1.87</v>
          </cell>
          <cell r="T1557">
            <v>58.673000000000002</v>
          </cell>
        </row>
        <row r="1558">
          <cell r="G1558">
            <v>42370</v>
          </cell>
          <cell r="L1558" t="str">
            <v>09-26-004-32W1</v>
          </cell>
          <cell r="O1558">
            <v>865.1</v>
          </cell>
          <cell r="Q1558">
            <v>1.52</v>
          </cell>
          <cell r="T1558">
            <v>62.509</v>
          </cell>
        </row>
        <row r="1559">
          <cell r="G1559">
            <v>42370</v>
          </cell>
          <cell r="L1559" t="str">
            <v>01-15-005-32W1</v>
          </cell>
          <cell r="O1559">
            <v>849.2</v>
          </cell>
          <cell r="Q1559">
            <v>0.98</v>
          </cell>
          <cell r="T1559">
            <v>70.430000000000007</v>
          </cell>
        </row>
        <row r="1560">
          <cell r="G1560">
            <v>42370</v>
          </cell>
          <cell r="L1560" t="str">
            <v>07-30-007-05W2</v>
          </cell>
          <cell r="O1560">
            <v>857.6</v>
          </cell>
          <cell r="Q1560">
            <v>1.42</v>
          </cell>
          <cell r="T1560">
            <v>74.635000000000005</v>
          </cell>
        </row>
        <row r="1561">
          <cell r="G1561">
            <v>42370</v>
          </cell>
          <cell r="L1561" t="str">
            <v>02-14-010-01W2</v>
          </cell>
          <cell r="O1561">
            <v>855</v>
          </cell>
          <cell r="Q1561">
            <v>1.69</v>
          </cell>
          <cell r="T1561">
            <v>829.31700000000001</v>
          </cell>
        </row>
        <row r="1562">
          <cell r="G1562">
            <v>42370</v>
          </cell>
          <cell r="L1562" t="str">
            <v>10-09-004-33W1</v>
          </cell>
          <cell r="O1562">
            <v>843.5</v>
          </cell>
          <cell r="Q1562">
            <v>0.89</v>
          </cell>
          <cell r="T1562">
            <v>108.13800000000001</v>
          </cell>
        </row>
        <row r="1563">
          <cell r="G1563">
            <v>42370</v>
          </cell>
          <cell r="L1563" t="str">
            <v>05-28-009-01W2</v>
          </cell>
          <cell r="O1563">
            <v>866</v>
          </cell>
          <cell r="Q1563">
            <v>1.93</v>
          </cell>
          <cell r="T1563">
            <v>113.03400000000001</v>
          </cell>
        </row>
        <row r="1564">
          <cell r="G1564">
            <v>42370</v>
          </cell>
          <cell r="L1564" t="str">
            <v>09-30-002-30W1</v>
          </cell>
          <cell r="O1564">
            <v>872.2</v>
          </cell>
          <cell r="Q1564">
            <v>1.79</v>
          </cell>
          <cell r="T1564">
            <v>123.74299999999999</v>
          </cell>
        </row>
        <row r="1565">
          <cell r="G1565">
            <v>42370</v>
          </cell>
          <cell r="L1565" t="str">
            <v>07-24-001-32W1</v>
          </cell>
          <cell r="O1565">
            <v>854.1</v>
          </cell>
          <cell r="Q1565">
            <v>1.6</v>
          </cell>
          <cell r="T1565">
            <v>125.58199999999999</v>
          </cell>
        </row>
        <row r="1566">
          <cell r="G1566">
            <v>42370</v>
          </cell>
          <cell r="L1566" t="str">
            <v>02-27-004-33W1</v>
          </cell>
          <cell r="O1566">
            <v>829.4</v>
          </cell>
          <cell r="Q1566">
            <v>0.67</v>
          </cell>
          <cell r="T1566">
            <v>127.36199999999999</v>
          </cell>
        </row>
        <row r="1567">
          <cell r="G1567">
            <v>42370</v>
          </cell>
          <cell r="L1567" t="str">
            <v>08-01-004-32W1</v>
          </cell>
          <cell r="O1567">
            <v>848.2</v>
          </cell>
          <cell r="Q1567">
            <v>1.66</v>
          </cell>
          <cell r="T1567">
            <v>127.63200000000001</v>
          </cell>
        </row>
        <row r="1568">
          <cell r="G1568">
            <v>42370</v>
          </cell>
          <cell r="L1568" t="str">
            <v>13-31-002-30W1</v>
          </cell>
          <cell r="O1568">
            <v>869.7</v>
          </cell>
          <cell r="Q1568">
            <v>1.88</v>
          </cell>
          <cell r="T1568">
            <v>130.261</v>
          </cell>
        </row>
        <row r="1569">
          <cell r="G1569">
            <v>42370</v>
          </cell>
          <cell r="L1569" t="str">
            <v>14-27-001-13W2</v>
          </cell>
          <cell r="O1569">
            <v>802</v>
          </cell>
          <cell r="Q1569">
            <v>0.11</v>
          </cell>
          <cell r="T1569">
            <v>4138.4170000000004</v>
          </cell>
        </row>
        <row r="1570">
          <cell r="G1570">
            <v>42370</v>
          </cell>
          <cell r="L1570" t="str">
            <v>04-15-008-33W1</v>
          </cell>
          <cell r="O1570">
            <v>849.8</v>
          </cell>
          <cell r="Q1570">
            <v>1.1599999999999999</v>
          </cell>
          <cell r="T1570">
            <v>133.93600000000001</v>
          </cell>
        </row>
        <row r="1571">
          <cell r="G1571">
            <v>42370</v>
          </cell>
          <cell r="L1571" t="str">
            <v>10-21-006-32W1</v>
          </cell>
          <cell r="O1571">
            <v>832.3</v>
          </cell>
          <cell r="Q1571">
            <v>0.78</v>
          </cell>
          <cell r="T1571">
            <v>133.58000000000001</v>
          </cell>
        </row>
        <row r="1572">
          <cell r="G1572">
            <v>42370</v>
          </cell>
          <cell r="L1572" t="str">
            <v>01-04-007-09W2</v>
          </cell>
          <cell r="O1572">
            <v>808.6</v>
          </cell>
          <cell r="Q1572">
            <v>0.17</v>
          </cell>
          <cell r="T1572">
            <v>681.25</v>
          </cell>
        </row>
        <row r="1573">
          <cell r="G1573">
            <v>42370</v>
          </cell>
          <cell r="L1573" t="str">
            <v>09-23-002-01W2</v>
          </cell>
          <cell r="O1573">
            <v>842.9</v>
          </cell>
          <cell r="Q1573">
            <v>0.98</v>
          </cell>
          <cell r="T1573">
            <v>136.10900000000001</v>
          </cell>
        </row>
        <row r="1574">
          <cell r="G1574">
            <v>42370</v>
          </cell>
          <cell r="L1574" t="str">
            <v>15-09-010-08W2</v>
          </cell>
          <cell r="O1574">
            <v>884.4</v>
          </cell>
          <cell r="Q1574">
            <v>2.5</v>
          </cell>
          <cell r="T1574">
            <v>155.018</v>
          </cell>
        </row>
        <row r="1575">
          <cell r="G1575">
            <v>42370</v>
          </cell>
          <cell r="L1575" t="str">
            <v>13-07-010-09W2</v>
          </cell>
          <cell r="O1575">
            <v>823.1</v>
          </cell>
          <cell r="Q1575">
            <v>0.31</v>
          </cell>
          <cell r="T1575">
            <v>2742.549</v>
          </cell>
        </row>
        <row r="1576">
          <cell r="G1576">
            <v>42370</v>
          </cell>
          <cell r="L1576" t="str">
            <v>05-34-005-06W2</v>
          </cell>
          <cell r="O1576">
            <v>878.2</v>
          </cell>
          <cell r="Q1576">
            <v>2.2799999999999998</v>
          </cell>
          <cell r="T1576">
            <v>1205.0889999999999</v>
          </cell>
        </row>
        <row r="1577">
          <cell r="G1577">
            <v>42370</v>
          </cell>
          <cell r="L1577" t="str">
            <v>03-13-006-33W1</v>
          </cell>
          <cell r="O1577">
            <v>833</v>
          </cell>
          <cell r="Q1577">
            <v>0.77</v>
          </cell>
          <cell r="T1577">
            <v>139.35</v>
          </cell>
        </row>
        <row r="1578">
          <cell r="G1578">
            <v>42370</v>
          </cell>
          <cell r="L1578" t="str">
            <v>09-31-007-12W2</v>
          </cell>
          <cell r="O1578">
            <v>873.6</v>
          </cell>
          <cell r="Q1578">
            <v>2.31</v>
          </cell>
          <cell r="T1578">
            <v>154.31299999999999</v>
          </cell>
        </row>
        <row r="1579">
          <cell r="G1579">
            <v>42370</v>
          </cell>
          <cell r="L1579" t="str">
            <v>16-16-010-02W2</v>
          </cell>
          <cell r="O1579">
            <v>855.9</v>
          </cell>
          <cell r="Q1579">
            <v>1.72</v>
          </cell>
          <cell r="T1579">
            <v>142.65299999999999</v>
          </cell>
        </row>
        <row r="1580">
          <cell r="G1580">
            <v>42370</v>
          </cell>
          <cell r="L1580" t="str">
            <v>14-04-007-13W2</v>
          </cell>
          <cell r="O1580">
            <v>857.5</v>
          </cell>
          <cell r="Q1580">
            <v>1.79</v>
          </cell>
          <cell r="T1580">
            <v>157.98500000000001</v>
          </cell>
        </row>
        <row r="1581">
          <cell r="G1581">
            <v>42370</v>
          </cell>
          <cell r="L1581" t="str">
            <v>11-28-005-06W2</v>
          </cell>
          <cell r="O1581">
            <v>878.2</v>
          </cell>
          <cell r="Q1581">
            <v>2.27</v>
          </cell>
          <cell r="T1581">
            <v>1369.73</v>
          </cell>
        </row>
        <row r="1582">
          <cell r="G1582">
            <v>42370</v>
          </cell>
          <cell r="L1582" t="str">
            <v>06-01-007-01W2</v>
          </cell>
          <cell r="O1582">
            <v>845.2</v>
          </cell>
          <cell r="Q1582">
            <v>1.1299999999999999</v>
          </cell>
          <cell r="T1582">
            <v>2455.7280000000001</v>
          </cell>
        </row>
        <row r="1583">
          <cell r="G1583">
            <v>42370</v>
          </cell>
          <cell r="L1583" t="str">
            <v>09-26-007-09W2</v>
          </cell>
          <cell r="O1583">
            <v>809.8</v>
          </cell>
          <cell r="Q1583">
            <v>0.36</v>
          </cell>
          <cell r="T1583">
            <v>658.70299999999997</v>
          </cell>
        </row>
        <row r="1584">
          <cell r="G1584">
            <v>42370</v>
          </cell>
          <cell r="L1584" t="str">
            <v>12-06-009-07W2</v>
          </cell>
          <cell r="O1584">
            <v>806.9</v>
          </cell>
          <cell r="Q1584">
            <v>0.19</v>
          </cell>
          <cell r="T1584">
            <v>4964.7479999999996</v>
          </cell>
        </row>
        <row r="1585">
          <cell r="G1585">
            <v>42370</v>
          </cell>
          <cell r="L1585" t="str">
            <v>16-08-007-12W2</v>
          </cell>
          <cell r="O1585">
            <v>858.2</v>
          </cell>
          <cell r="Q1585">
            <v>2.0099999999999998</v>
          </cell>
          <cell r="T1585">
            <v>168.84800000000001</v>
          </cell>
        </row>
        <row r="1586">
          <cell r="G1586">
            <v>42370</v>
          </cell>
          <cell r="L1586" t="str">
            <v>04-08-008-08W2</v>
          </cell>
          <cell r="O1586">
            <v>801.2</v>
          </cell>
          <cell r="Q1586">
            <v>0.21</v>
          </cell>
          <cell r="T1586">
            <v>51755.012999999999</v>
          </cell>
        </row>
        <row r="1587">
          <cell r="G1587">
            <v>42370</v>
          </cell>
          <cell r="L1587" t="str">
            <v>03-15-012-06W2</v>
          </cell>
          <cell r="O1587">
            <v>883.2</v>
          </cell>
          <cell r="Q1587">
            <v>2.59</v>
          </cell>
          <cell r="T1587">
            <v>1238.5999999999999</v>
          </cell>
        </row>
        <row r="1588">
          <cell r="G1588">
            <v>42370</v>
          </cell>
          <cell r="L1588" t="str">
            <v>03-33-008-06W2</v>
          </cell>
          <cell r="O1588">
            <v>805.3</v>
          </cell>
          <cell r="Q1588">
            <v>0.26</v>
          </cell>
          <cell r="T1588">
            <v>6723.3770000000004</v>
          </cell>
        </row>
        <row r="1589">
          <cell r="G1589">
            <v>42370</v>
          </cell>
          <cell r="L1589" t="str">
            <v>08-13-006-33W1</v>
          </cell>
          <cell r="O1589">
            <v>844.7</v>
          </cell>
          <cell r="Q1589">
            <v>1.5</v>
          </cell>
          <cell r="T1589">
            <v>1278.904</v>
          </cell>
        </row>
        <row r="1590">
          <cell r="G1590">
            <v>42370</v>
          </cell>
          <cell r="L1590" t="str">
            <v>03-17-011-06W2</v>
          </cell>
          <cell r="O1590">
            <v>881</v>
          </cell>
          <cell r="Q1590">
            <v>2.5299999999999998</v>
          </cell>
          <cell r="T1590">
            <v>1795.308</v>
          </cell>
        </row>
        <row r="1591">
          <cell r="G1591">
            <v>42370</v>
          </cell>
          <cell r="L1591" t="str">
            <v>09-14-009-08W2</v>
          </cell>
          <cell r="O1591">
            <v>800.7</v>
          </cell>
          <cell r="Q1591">
            <v>0.14000000000000001</v>
          </cell>
          <cell r="T1591">
            <v>50386.156999999999</v>
          </cell>
        </row>
        <row r="1592">
          <cell r="G1592">
            <v>42370</v>
          </cell>
          <cell r="L1592" t="str">
            <v>16-24-004-01W2</v>
          </cell>
          <cell r="O1592">
            <v>824.3</v>
          </cell>
          <cell r="Q1592">
            <v>0.6</v>
          </cell>
          <cell r="T1592">
            <v>162.16499999999999</v>
          </cell>
        </row>
        <row r="1593">
          <cell r="G1593">
            <v>42370</v>
          </cell>
          <cell r="L1593" t="str">
            <v>04-18-009-06W2</v>
          </cell>
          <cell r="O1593">
            <v>827.8</v>
          </cell>
          <cell r="Q1593">
            <v>0.85</v>
          </cell>
          <cell r="T1593">
            <v>1489.1880000000001</v>
          </cell>
        </row>
        <row r="1594">
          <cell r="G1594">
            <v>42370</v>
          </cell>
          <cell r="L1594" t="str">
            <v>05-31-009-07W2</v>
          </cell>
          <cell r="O1594">
            <v>879.5</v>
          </cell>
          <cell r="Q1594">
            <v>2.35</v>
          </cell>
          <cell r="T1594">
            <v>640.17999999999995</v>
          </cell>
        </row>
        <row r="1595">
          <cell r="G1595">
            <v>42370</v>
          </cell>
          <cell r="L1595" t="str">
            <v>13-29-008-07W2</v>
          </cell>
          <cell r="O1595">
            <v>801.1</v>
          </cell>
          <cell r="Q1595">
            <v>0.15</v>
          </cell>
          <cell r="T1595">
            <v>19657.478999999999</v>
          </cell>
        </row>
        <row r="1596">
          <cell r="G1596">
            <v>42370</v>
          </cell>
          <cell r="L1596" t="str">
            <v>13-18-010-06W2</v>
          </cell>
          <cell r="O1596">
            <v>831</v>
          </cell>
          <cell r="Q1596">
            <v>0.69</v>
          </cell>
          <cell r="T1596">
            <v>4776.4830000000002</v>
          </cell>
        </row>
        <row r="1597">
          <cell r="G1597">
            <v>42370</v>
          </cell>
          <cell r="L1597" t="str">
            <v>09-20-008-08W2</v>
          </cell>
          <cell r="O1597">
            <v>820.2</v>
          </cell>
          <cell r="Q1597">
            <v>0.59</v>
          </cell>
          <cell r="T1597">
            <v>1944.7339999999999</v>
          </cell>
        </row>
        <row r="1598">
          <cell r="G1598">
            <v>42370</v>
          </cell>
          <cell r="L1598" t="str">
            <v>03-06-011-07W2</v>
          </cell>
          <cell r="O1598">
            <v>863.7</v>
          </cell>
          <cell r="Q1598">
            <v>1.55</v>
          </cell>
          <cell r="T1598">
            <v>1659.7750000000001</v>
          </cell>
        </row>
        <row r="1599">
          <cell r="G1599">
            <v>42370</v>
          </cell>
          <cell r="L1599" t="str">
            <v>07-04-010-08W2</v>
          </cell>
          <cell r="O1599">
            <v>876.3</v>
          </cell>
          <cell r="Q1599">
            <v>2.44</v>
          </cell>
          <cell r="T1599">
            <v>1480.9780000000001</v>
          </cell>
        </row>
        <row r="1600">
          <cell r="G1600">
            <v>42370</v>
          </cell>
          <cell r="L1600" t="str">
            <v>09-06-010-07W2</v>
          </cell>
          <cell r="O1600">
            <v>880.7</v>
          </cell>
          <cell r="Q1600">
            <v>2.4500000000000002</v>
          </cell>
          <cell r="T1600">
            <v>1023.647</v>
          </cell>
        </row>
        <row r="1601">
          <cell r="G1601">
            <v>42370</v>
          </cell>
          <cell r="L1601" t="str">
            <v>09-11-010-08W2</v>
          </cell>
          <cell r="O1601">
            <v>881.9</v>
          </cell>
          <cell r="Q1601">
            <v>2.4700000000000002</v>
          </cell>
          <cell r="T1601">
            <v>798.54899999999998</v>
          </cell>
        </row>
        <row r="1602">
          <cell r="G1602">
            <v>42370</v>
          </cell>
          <cell r="L1602" t="str">
            <v>01-22-010-07W2</v>
          </cell>
          <cell r="O1602">
            <v>885.7</v>
          </cell>
          <cell r="Q1602">
            <v>2.5099999999999998</v>
          </cell>
          <cell r="T1602">
            <v>731.55399999999997</v>
          </cell>
        </row>
        <row r="1603">
          <cell r="G1603">
            <v>42370</v>
          </cell>
          <cell r="L1603" t="str">
            <v>16-35-009-09W2</v>
          </cell>
          <cell r="O1603">
            <v>880.1</v>
          </cell>
          <cell r="Q1603">
            <v>2.46</v>
          </cell>
          <cell r="T1603">
            <v>694.81</v>
          </cell>
        </row>
        <row r="1604">
          <cell r="G1604">
            <v>42370</v>
          </cell>
          <cell r="L1604" t="str">
            <v>07-25-009-08W2</v>
          </cell>
          <cell r="O1604">
            <v>883.1</v>
          </cell>
          <cell r="Q1604">
            <v>2.3199999999999998</v>
          </cell>
          <cell r="T1604">
            <v>240.97300000000001</v>
          </cell>
        </row>
        <row r="1605">
          <cell r="G1605">
            <v>42370</v>
          </cell>
          <cell r="L1605" t="str">
            <v>11-15-007-09W2</v>
          </cell>
          <cell r="O1605">
            <v>800.3</v>
          </cell>
          <cell r="Q1605">
            <v>0.21</v>
          </cell>
          <cell r="T1605">
            <v>7481.3050000000003</v>
          </cell>
        </row>
        <row r="1606">
          <cell r="G1606">
            <v>42370</v>
          </cell>
          <cell r="L1606" t="str">
            <v>15-23-006-08W2</v>
          </cell>
          <cell r="O1606">
            <v>857.2</v>
          </cell>
          <cell r="Q1606">
            <v>1.79</v>
          </cell>
          <cell r="T1606">
            <v>1579.364</v>
          </cell>
        </row>
        <row r="1607">
          <cell r="G1607">
            <v>42370</v>
          </cell>
          <cell r="L1607" t="str">
            <v>01-26-006-09W2</v>
          </cell>
          <cell r="O1607">
            <v>884.2</v>
          </cell>
          <cell r="Q1607">
            <v>2.2999999999999998</v>
          </cell>
          <cell r="T1607">
            <v>1238.634</v>
          </cell>
        </row>
        <row r="1608">
          <cell r="G1608">
            <v>42370</v>
          </cell>
          <cell r="L1608" t="str">
            <v>07-28-007-08W2</v>
          </cell>
          <cell r="O1608">
            <v>845.1</v>
          </cell>
          <cell r="Q1608">
            <v>1.39</v>
          </cell>
          <cell r="T1608">
            <v>932.55600000000004</v>
          </cell>
        </row>
        <row r="1609">
          <cell r="G1609">
            <v>42370</v>
          </cell>
          <cell r="L1609" t="str">
            <v>12-35-008-03W2</v>
          </cell>
          <cell r="O1609">
            <v>855.2</v>
          </cell>
          <cell r="Q1609">
            <v>1.59</v>
          </cell>
          <cell r="T1609">
            <v>450.79899999999998</v>
          </cell>
        </row>
        <row r="1610">
          <cell r="G1610">
            <v>42370</v>
          </cell>
          <cell r="L1610" t="str">
            <v>11-20-007-05W2</v>
          </cell>
          <cell r="O1610">
            <v>857.2</v>
          </cell>
          <cell r="Q1610">
            <v>1.57</v>
          </cell>
          <cell r="T1610">
            <v>231.90899999999999</v>
          </cell>
        </row>
        <row r="1611">
          <cell r="G1611">
            <v>42370</v>
          </cell>
          <cell r="L1611" t="str">
            <v>13-17-001-31W1</v>
          </cell>
          <cell r="O1611">
            <v>854.2</v>
          </cell>
          <cell r="Q1611">
            <v>1.62</v>
          </cell>
          <cell r="T1611">
            <v>173.93799999999999</v>
          </cell>
        </row>
        <row r="1612">
          <cell r="G1612">
            <v>42370</v>
          </cell>
          <cell r="L1612" t="str">
            <v>02-13-006-01W2</v>
          </cell>
          <cell r="O1612">
            <v>845.2</v>
          </cell>
          <cell r="Q1612">
            <v>1.23</v>
          </cell>
          <cell r="T1612">
            <v>173.93700000000001</v>
          </cell>
        </row>
        <row r="1613">
          <cell r="G1613">
            <v>42370</v>
          </cell>
          <cell r="L1613" t="str">
            <v>01-24-007-05W2</v>
          </cell>
          <cell r="O1613">
            <v>847</v>
          </cell>
          <cell r="Q1613">
            <v>1.31</v>
          </cell>
          <cell r="T1613">
            <v>247.59100000000001</v>
          </cell>
        </row>
        <row r="1614">
          <cell r="G1614">
            <v>42370</v>
          </cell>
          <cell r="L1614" t="str">
            <v>05-13-008-06W2</v>
          </cell>
          <cell r="O1614">
            <v>817.7</v>
          </cell>
          <cell r="Q1614">
            <v>0.49</v>
          </cell>
          <cell r="T1614">
            <v>1555.51</v>
          </cell>
        </row>
        <row r="1615">
          <cell r="G1615">
            <v>42370</v>
          </cell>
          <cell r="L1615" t="str">
            <v>09-19-009-33W1</v>
          </cell>
          <cell r="O1615">
            <v>855.4</v>
          </cell>
          <cell r="Q1615">
            <v>1.61</v>
          </cell>
          <cell r="T1615">
            <v>738.15800000000002</v>
          </cell>
        </row>
        <row r="1616">
          <cell r="G1616">
            <v>42370</v>
          </cell>
          <cell r="L1616" t="str">
            <v>09-10-009-06W2</v>
          </cell>
          <cell r="O1616">
            <v>852.1</v>
          </cell>
          <cell r="Q1616">
            <v>1.66</v>
          </cell>
          <cell r="T1616">
            <v>1341.1849999999999</v>
          </cell>
        </row>
        <row r="1617">
          <cell r="G1617">
            <v>42370</v>
          </cell>
          <cell r="L1617" t="str">
            <v>02-26-009-09W2</v>
          </cell>
          <cell r="O1617">
            <v>807.9</v>
          </cell>
          <cell r="Q1617">
            <v>0.17</v>
          </cell>
          <cell r="T1617">
            <v>5052.058</v>
          </cell>
        </row>
        <row r="1618">
          <cell r="G1618">
            <v>42370</v>
          </cell>
          <cell r="L1618" t="str">
            <v>08-35-011-04W2</v>
          </cell>
          <cell r="O1618">
            <v>860.4</v>
          </cell>
          <cell r="Q1618">
            <v>1.89</v>
          </cell>
          <cell r="T1618">
            <v>678.22500000000002</v>
          </cell>
        </row>
        <row r="1619">
          <cell r="G1619">
            <v>42370</v>
          </cell>
          <cell r="L1619" t="str">
            <v>05-13-009-06W2</v>
          </cell>
          <cell r="O1619">
            <v>846.6</v>
          </cell>
          <cell r="Q1619">
            <v>1.5</v>
          </cell>
          <cell r="T1619">
            <v>2149.25</v>
          </cell>
        </row>
        <row r="1620">
          <cell r="G1620">
            <v>42370</v>
          </cell>
          <cell r="L1620" t="str">
            <v>09-27-006-05W2</v>
          </cell>
          <cell r="O1620">
            <v>868.2</v>
          </cell>
          <cell r="Q1620">
            <v>2.15</v>
          </cell>
          <cell r="T1620">
            <v>1597.3209999999999</v>
          </cell>
        </row>
        <row r="1621">
          <cell r="G1621">
            <v>42370</v>
          </cell>
          <cell r="L1621" t="str">
            <v>15-09-010-02W2</v>
          </cell>
          <cell r="O1621">
            <v>860.6</v>
          </cell>
          <cell r="Q1621">
            <v>1.85</v>
          </cell>
          <cell r="T1621">
            <v>190.804</v>
          </cell>
        </row>
        <row r="1622">
          <cell r="G1622">
            <v>42370</v>
          </cell>
          <cell r="L1622" t="str">
            <v>14-35-006-05W2</v>
          </cell>
          <cell r="O1622">
            <v>850.5</v>
          </cell>
          <cell r="Q1622">
            <v>1.61</v>
          </cell>
          <cell r="T1622">
            <v>517.02300000000002</v>
          </cell>
        </row>
        <row r="1623">
          <cell r="G1623">
            <v>42370</v>
          </cell>
          <cell r="L1623" t="str">
            <v>12-22-007-11W2</v>
          </cell>
          <cell r="O1623">
            <v>814.6</v>
          </cell>
          <cell r="Q1623">
            <v>1.26</v>
          </cell>
          <cell r="T1623">
            <v>5725.6790000000001</v>
          </cell>
        </row>
        <row r="1624">
          <cell r="G1624">
            <v>42370</v>
          </cell>
          <cell r="L1624" t="str">
            <v>07-36-001-34W1</v>
          </cell>
          <cell r="O1624">
            <v>855.2</v>
          </cell>
          <cell r="Q1624">
            <v>1.61</v>
          </cell>
          <cell r="T1624">
            <v>189.86799999999999</v>
          </cell>
        </row>
        <row r="1625">
          <cell r="G1625">
            <v>42370</v>
          </cell>
          <cell r="L1625" t="str">
            <v>06-02-008-02W2</v>
          </cell>
          <cell r="O1625">
            <v>848.1</v>
          </cell>
          <cell r="Q1625">
            <v>1.51</v>
          </cell>
          <cell r="T1625">
            <v>1041.1849999999999</v>
          </cell>
        </row>
        <row r="1626">
          <cell r="G1626">
            <v>42370</v>
          </cell>
          <cell r="L1626" t="str">
            <v>04-05-002-15W2</v>
          </cell>
          <cell r="O1626">
            <v>877.4</v>
          </cell>
          <cell r="Q1626">
            <v>2.0099999999999998</v>
          </cell>
          <cell r="T1626">
            <v>4869.5720000000001</v>
          </cell>
        </row>
        <row r="1627">
          <cell r="G1627">
            <v>42370</v>
          </cell>
          <cell r="L1627" t="str">
            <v>16-27-004-33W1</v>
          </cell>
          <cell r="O1627">
            <v>840</v>
          </cell>
          <cell r="Q1627">
            <v>0.73</v>
          </cell>
          <cell r="T1627">
            <v>195.309</v>
          </cell>
        </row>
        <row r="1628">
          <cell r="G1628">
            <v>42370</v>
          </cell>
          <cell r="L1628" t="str">
            <v>04-33-006-01W2</v>
          </cell>
          <cell r="O1628">
            <v>847.1</v>
          </cell>
          <cell r="Q1628">
            <v>1.1299999999999999</v>
          </cell>
          <cell r="T1628">
            <v>1067.3119999999999</v>
          </cell>
        </row>
        <row r="1629">
          <cell r="G1629">
            <v>42370</v>
          </cell>
          <cell r="L1629" t="str">
            <v>11-23-002-34W1</v>
          </cell>
          <cell r="O1629">
            <v>836.3</v>
          </cell>
          <cell r="Q1629">
            <v>1.63</v>
          </cell>
          <cell r="T1629">
            <v>199.541</v>
          </cell>
        </row>
        <row r="1630">
          <cell r="G1630">
            <v>42370</v>
          </cell>
          <cell r="L1630" t="str">
            <v>01-21-001-14W2</v>
          </cell>
          <cell r="O1630">
            <v>805.2</v>
          </cell>
          <cell r="Q1630">
            <v>0.15</v>
          </cell>
          <cell r="T1630">
            <v>37228.493000000002</v>
          </cell>
        </row>
        <row r="1631">
          <cell r="G1631">
            <v>42370</v>
          </cell>
          <cell r="L1631" t="str">
            <v>16-12-004-31W1</v>
          </cell>
          <cell r="O1631">
            <v>847.2</v>
          </cell>
          <cell r="Q1631">
            <v>1.61</v>
          </cell>
          <cell r="T1631">
            <v>5266.5370000000003</v>
          </cell>
        </row>
        <row r="1632">
          <cell r="G1632">
            <v>42370</v>
          </cell>
          <cell r="L1632" t="str">
            <v>14-33-006-14W2</v>
          </cell>
          <cell r="O1632">
            <v>849.5</v>
          </cell>
          <cell r="Q1632">
            <v>1.66</v>
          </cell>
          <cell r="T1632">
            <v>2518.42</v>
          </cell>
        </row>
        <row r="1633">
          <cell r="G1633">
            <v>42370</v>
          </cell>
          <cell r="L1633" t="str">
            <v>04-21-006-14W2</v>
          </cell>
          <cell r="O1633">
            <v>864.9</v>
          </cell>
          <cell r="Q1633">
            <v>2.09</v>
          </cell>
          <cell r="T1633">
            <v>1542.4469999999999</v>
          </cell>
        </row>
        <row r="1634">
          <cell r="G1634">
            <v>42370</v>
          </cell>
          <cell r="L1634" t="str">
            <v>01-22-006-14W2</v>
          </cell>
          <cell r="O1634">
            <v>863.9</v>
          </cell>
          <cell r="Q1634">
            <v>2.14</v>
          </cell>
          <cell r="T1634">
            <v>910.76700000000005</v>
          </cell>
        </row>
        <row r="1635">
          <cell r="G1635">
            <v>42370</v>
          </cell>
          <cell r="L1635" t="str">
            <v>02-18-007-13W2</v>
          </cell>
          <cell r="O1635">
            <v>854.7</v>
          </cell>
          <cell r="Q1635">
            <v>1.9</v>
          </cell>
          <cell r="T1635">
            <v>544.32100000000003</v>
          </cell>
        </row>
        <row r="1636">
          <cell r="G1636">
            <v>42370</v>
          </cell>
          <cell r="L1636" t="str">
            <v>04-11-007-13W2</v>
          </cell>
          <cell r="O1636">
            <v>854.7</v>
          </cell>
          <cell r="Q1636">
            <v>1.97</v>
          </cell>
          <cell r="T1636">
            <v>450.90600000000001</v>
          </cell>
        </row>
        <row r="1637">
          <cell r="G1637">
            <v>42370</v>
          </cell>
          <cell r="L1637" t="str">
            <v>01-03-008-13W2</v>
          </cell>
          <cell r="O1637">
            <v>854.4</v>
          </cell>
          <cell r="Q1637">
            <v>2.0299999999999998</v>
          </cell>
          <cell r="T1637">
            <v>440.93599999999998</v>
          </cell>
        </row>
        <row r="1638">
          <cell r="G1638">
            <v>42370</v>
          </cell>
          <cell r="L1638" t="str">
            <v>10-22-006-14W2</v>
          </cell>
          <cell r="O1638">
            <v>849.8</v>
          </cell>
          <cell r="Q1638">
            <v>1.69</v>
          </cell>
          <cell r="T1638">
            <v>370.21800000000002</v>
          </cell>
        </row>
        <row r="1639">
          <cell r="G1639">
            <v>42370</v>
          </cell>
          <cell r="L1639" t="str">
            <v>15-30-007-12W2</v>
          </cell>
          <cell r="O1639">
            <v>873.3</v>
          </cell>
          <cell r="Q1639">
            <v>2.36</v>
          </cell>
          <cell r="T1639">
            <v>235.84700000000001</v>
          </cell>
        </row>
        <row r="1640">
          <cell r="G1640">
            <v>42370</v>
          </cell>
          <cell r="L1640" t="str">
            <v>02-17-005-31W1</v>
          </cell>
          <cell r="O1640">
            <v>846</v>
          </cell>
          <cell r="Q1640">
            <v>1.41</v>
          </cell>
          <cell r="T1640">
            <v>200.167</v>
          </cell>
        </row>
        <row r="1641">
          <cell r="G1641">
            <v>42370</v>
          </cell>
          <cell r="L1641" t="str">
            <v>05-35-006-11W2</v>
          </cell>
          <cell r="O1641">
            <v>809.6</v>
          </cell>
          <cell r="Q1641">
            <v>0.1</v>
          </cell>
          <cell r="T1641">
            <v>628.04200000000003</v>
          </cell>
        </row>
        <row r="1642">
          <cell r="G1642">
            <v>42370</v>
          </cell>
          <cell r="L1642" t="str">
            <v>03-21-001-16W2</v>
          </cell>
          <cell r="O1642">
            <v>863.1</v>
          </cell>
          <cell r="Q1642">
            <v>0.89</v>
          </cell>
          <cell r="T1642">
            <v>424.17700000000002</v>
          </cell>
        </row>
        <row r="1643">
          <cell r="G1643">
            <v>42370</v>
          </cell>
          <cell r="L1643" t="str">
            <v>13-02-007-14W2</v>
          </cell>
          <cell r="O1643">
            <v>849.7</v>
          </cell>
          <cell r="Q1643">
            <v>1.79</v>
          </cell>
          <cell r="T1643">
            <v>1491.7249999999999</v>
          </cell>
        </row>
        <row r="1644">
          <cell r="G1644">
            <v>42370</v>
          </cell>
          <cell r="L1644" t="str">
            <v>15-33-006-14W2</v>
          </cell>
          <cell r="O1644">
            <v>848.4</v>
          </cell>
          <cell r="Q1644">
            <v>1.66</v>
          </cell>
          <cell r="T1644">
            <v>1253.3820000000001</v>
          </cell>
        </row>
        <row r="1645">
          <cell r="G1645">
            <v>42370</v>
          </cell>
          <cell r="L1645" t="str">
            <v>15-14-009-03W2</v>
          </cell>
          <cell r="O1645">
            <v>850.8</v>
          </cell>
          <cell r="Q1645">
            <v>1.55</v>
          </cell>
          <cell r="T1645">
            <v>987.70699999999999</v>
          </cell>
        </row>
        <row r="1646">
          <cell r="G1646">
            <v>42370</v>
          </cell>
          <cell r="L1646" t="str">
            <v>02-30-001-31W1</v>
          </cell>
          <cell r="O1646">
            <v>864</v>
          </cell>
          <cell r="Q1646">
            <v>1.64</v>
          </cell>
          <cell r="T1646">
            <v>209.10300000000001</v>
          </cell>
        </row>
        <row r="1647">
          <cell r="G1647">
            <v>42370</v>
          </cell>
          <cell r="L1647" t="str">
            <v>06-03-001-16W2</v>
          </cell>
          <cell r="O1647">
            <v>848.7</v>
          </cell>
          <cell r="Q1647">
            <v>1.1000000000000001</v>
          </cell>
          <cell r="T1647">
            <v>1931.55</v>
          </cell>
        </row>
        <row r="1648">
          <cell r="G1648">
            <v>42370</v>
          </cell>
          <cell r="L1648" t="str">
            <v>02-29-001-17W2</v>
          </cell>
          <cell r="O1648">
            <v>858.6</v>
          </cell>
          <cell r="Q1648">
            <v>2.21</v>
          </cell>
          <cell r="T1648">
            <v>867.55700000000002</v>
          </cell>
        </row>
        <row r="1649">
          <cell r="G1649">
            <v>42370</v>
          </cell>
          <cell r="L1649" t="str">
            <v>09-28-001-15W2</v>
          </cell>
          <cell r="O1649">
            <v>871.3</v>
          </cell>
          <cell r="Q1649">
            <v>1.25</v>
          </cell>
          <cell r="T1649">
            <v>304.20800000000003</v>
          </cell>
        </row>
        <row r="1650">
          <cell r="G1650">
            <v>42370</v>
          </cell>
          <cell r="L1650" t="str">
            <v>16-21-003-32W1</v>
          </cell>
          <cell r="O1650">
            <v>863.5</v>
          </cell>
          <cell r="Q1650">
            <v>1.68</v>
          </cell>
          <cell r="T1650">
            <v>1284.4269999999999</v>
          </cell>
        </row>
        <row r="1651">
          <cell r="G1651">
            <v>42370</v>
          </cell>
          <cell r="L1651" t="str">
            <v>09-27-008-03W2</v>
          </cell>
          <cell r="O1651">
            <v>855.1</v>
          </cell>
          <cell r="Q1651">
            <v>1.55</v>
          </cell>
          <cell r="T1651">
            <v>1232.096</v>
          </cell>
        </row>
        <row r="1652">
          <cell r="G1652">
            <v>42370</v>
          </cell>
          <cell r="L1652" t="str">
            <v>16-33-005-06W2</v>
          </cell>
          <cell r="O1652">
            <v>865.5</v>
          </cell>
          <cell r="Q1652">
            <v>1.79</v>
          </cell>
          <cell r="T1652">
            <v>2827.8049999999998</v>
          </cell>
        </row>
        <row r="1653">
          <cell r="G1653">
            <v>42370</v>
          </cell>
          <cell r="L1653" t="str">
            <v>08-31-004-18W2</v>
          </cell>
          <cell r="O1653">
            <v>857.2</v>
          </cell>
          <cell r="Q1653">
            <v>1.81</v>
          </cell>
          <cell r="T1653">
            <v>7848.0330000000004</v>
          </cell>
        </row>
        <row r="1654">
          <cell r="G1654">
            <v>42370</v>
          </cell>
          <cell r="L1654" t="str">
            <v>05-31-003-16W2</v>
          </cell>
          <cell r="O1654">
            <v>889.4</v>
          </cell>
          <cell r="Q1654">
            <v>2.83</v>
          </cell>
          <cell r="T1654">
            <v>7445.1760000000004</v>
          </cell>
        </row>
        <row r="1655">
          <cell r="G1655">
            <v>42370</v>
          </cell>
          <cell r="L1655" t="str">
            <v>05-18-004-17W2</v>
          </cell>
          <cell r="O1655">
            <v>868.8</v>
          </cell>
          <cell r="Q1655">
            <v>2.09</v>
          </cell>
          <cell r="T1655">
            <v>2446.2689999999998</v>
          </cell>
        </row>
        <row r="1656">
          <cell r="G1656">
            <v>42370</v>
          </cell>
          <cell r="L1656" t="str">
            <v>12-25-004-19W2</v>
          </cell>
          <cell r="O1656">
            <v>871.8</v>
          </cell>
          <cell r="Q1656">
            <v>2.3199999999999998</v>
          </cell>
          <cell r="T1656">
            <v>614.84699999999998</v>
          </cell>
        </row>
        <row r="1657">
          <cell r="G1657">
            <v>42370</v>
          </cell>
          <cell r="L1657" t="str">
            <v>15-21-008-03W2</v>
          </cell>
          <cell r="O1657">
            <v>855.8</v>
          </cell>
          <cell r="Q1657">
            <v>1.47</v>
          </cell>
          <cell r="T1657">
            <v>656.23099999999999</v>
          </cell>
        </row>
        <row r="1658">
          <cell r="G1658">
            <v>42370</v>
          </cell>
          <cell r="L1658" t="str">
            <v>07-28-002-30W1</v>
          </cell>
          <cell r="O1658">
            <v>885.7</v>
          </cell>
          <cell r="Q1658">
            <v>2.41</v>
          </cell>
          <cell r="T1658">
            <v>3002.9259999999999</v>
          </cell>
        </row>
        <row r="1659">
          <cell r="G1659">
            <v>42370</v>
          </cell>
          <cell r="L1659" t="str">
            <v>12-01-003-30W1</v>
          </cell>
          <cell r="O1659">
            <v>868.3</v>
          </cell>
          <cell r="Q1659">
            <v>1.62</v>
          </cell>
          <cell r="T1659">
            <v>470.30599999999998</v>
          </cell>
        </row>
        <row r="1660">
          <cell r="G1660">
            <v>42370</v>
          </cell>
          <cell r="L1660" t="str">
            <v>11-30-005-03W2</v>
          </cell>
          <cell r="O1660">
            <v>851.5</v>
          </cell>
          <cell r="Q1660">
            <v>1.36</v>
          </cell>
          <cell r="T1660">
            <v>4729.2460000000001</v>
          </cell>
        </row>
        <row r="1661">
          <cell r="G1661">
            <v>42370</v>
          </cell>
          <cell r="L1661" t="str">
            <v>14-26-002-30W1</v>
          </cell>
          <cell r="O1661">
            <v>870.2</v>
          </cell>
          <cell r="Q1661">
            <v>2.0299999999999998</v>
          </cell>
          <cell r="T1661">
            <v>933.48699999999997</v>
          </cell>
        </row>
        <row r="1662">
          <cell r="G1662">
            <v>42370</v>
          </cell>
          <cell r="L1662" t="str">
            <v>04-05-003-30W1</v>
          </cell>
          <cell r="O1662">
            <v>868.9</v>
          </cell>
          <cell r="Q1662">
            <v>1.82</v>
          </cell>
          <cell r="T1662">
            <v>347.08300000000003</v>
          </cell>
        </row>
        <row r="1663">
          <cell r="G1663">
            <v>42370</v>
          </cell>
          <cell r="L1663" t="str">
            <v>11-26-002-19W2</v>
          </cell>
          <cell r="O1663">
            <v>871.2</v>
          </cell>
          <cell r="Q1663">
            <v>2.0499999999999998</v>
          </cell>
          <cell r="T1663">
            <v>848.26800000000003</v>
          </cell>
        </row>
        <row r="1664">
          <cell r="G1664">
            <v>42370</v>
          </cell>
          <cell r="L1664" t="str">
            <v>03-12-002-19W2</v>
          </cell>
          <cell r="O1664">
            <v>867</v>
          </cell>
          <cell r="Q1664">
            <v>2.39</v>
          </cell>
          <cell r="T1664">
            <v>349.20400000000001</v>
          </cell>
        </row>
        <row r="1665">
          <cell r="G1665">
            <v>42370</v>
          </cell>
          <cell r="L1665" t="str">
            <v>09-18-007-04W2</v>
          </cell>
          <cell r="O1665">
            <v>854</v>
          </cell>
          <cell r="Q1665">
            <v>1.44</v>
          </cell>
          <cell r="T1665">
            <v>313.18</v>
          </cell>
        </row>
        <row r="1666">
          <cell r="G1666">
            <v>42370</v>
          </cell>
          <cell r="L1666" t="str">
            <v>09-28-006-34W1</v>
          </cell>
          <cell r="O1666">
            <v>841.5</v>
          </cell>
          <cell r="Q1666">
            <v>1.22</v>
          </cell>
          <cell r="T1666">
            <v>2471.66</v>
          </cell>
        </row>
        <row r="1667">
          <cell r="G1667">
            <v>42370</v>
          </cell>
          <cell r="L1667" t="str">
            <v>09-33-006-05W2</v>
          </cell>
          <cell r="O1667">
            <v>860.3</v>
          </cell>
          <cell r="Q1667">
            <v>1.78</v>
          </cell>
          <cell r="T1667">
            <v>2342.5650000000001</v>
          </cell>
        </row>
        <row r="1668">
          <cell r="G1668">
            <v>42370</v>
          </cell>
          <cell r="L1668" t="str">
            <v>13-34-006-05W2</v>
          </cell>
          <cell r="O1668">
            <v>860.7</v>
          </cell>
          <cell r="Q1668">
            <v>1.92</v>
          </cell>
          <cell r="T1668">
            <v>1147.9349999999999</v>
          </cell>
        </row>
        <row r="1669">
          <cell r="G1669">
            <v>42370</v>
          </cell>
          <cell r="L1669" t="str">
            <v>11-28-006-05W2</v>
          </cell>
          <cell r="O1669">
            <v>851.8</v>
          </cell>
          <cell r="Q1669">
            <v>1.48</v>
          </cell>
          <cell r="T1669">
            <v>1108.616</v>
          </cell>
        </row>
        <row r="1670">
          <cell r="G1670">
            <v>42370</v>
          </cell>
          <cell r="L1670" t="str">
            <v>02-20-006-32W1</v>
          </cell>
          <cell r="O1670">
            <v>831.5</v>
          </cell>
          <cell r="Q1670">
            <v>0.8</v>
          </cell>
          <cell r="T1670">
            <v>820.94200000000001</v>
          </cell>
        </row>
        <row r="1671">
          <cell r="G1671">
            <v>42370</v>
          </cell>
          <cell r="L1671" t="str">
            <v>16-09-004-31W1</v>
          </cell>
          <cell r="O1671">
            <v>870.8</v>
          </cell>
          <cell r="Q1671">
            <v>1.8</v>
          </cell>
          <cell r="T1671">
            <v>603.69200000000001</v>
          </cell>
        </row>
        <row r="1672">
          <cell r="G1672">
            <v>42370</v>
          </cell>
          <cell r="L1672" t="str">
            <v>08-26-006-02W2</v>
          </cell>
          <cell r="O1672">
            <v>847.9</v>
          </cell>
          <cell r="Q1672">
            <v>1.19</v>
          </cell>
          <cell r="T1672">
            <v>368.09699999999998</v>
          </cell>
        </row>
        <row r="1673">
          <cell r="G1673">
            <v>42370</v>
          </cell>
          <cell r="L1673" t="str">
            <v>13-13-007-02W2</v>
          </cell>
          <cell r="O1673">
            <v>846</v>
          </cell>
          <cell r="Q1673">
            <v>1.25</v>
          </cell>
          <cell r="T1673">
            <v>5048.9319999999998</v>
          </cell>
        </row>
        <row r="1674">
          <cell r="G1674">
            <v>42370</v>
          </cell>
          <cell r="L1674" t="str">
            <v>04-04-007-01W2</v>
          </cell>
          <cell r="O1674">
            <v>848.4</v>
          </cell>
          <cell r="Q1674">
            <v>1.1399999999999999</v>
          </cell>
          <cell r="T1674">
            <v>811.72799999999995</v>
          </cell>
        </row>
        <row r="1675">
          <cell r="G1675">
            <v>42370</v>
          </cell>
          <cell r="L1675" t="str">
            <v>07-02-007-11W2</v>
          </cell>
          <cell r="O1675">
            <v>855.9</v>
          </cell>
          <cell r="Q1675">
            <v>1.04</v>
          </cell>
          <cell r="T1675">
            <v>1729.56</v>
          </cell>
        </row>
        <row r="1676">
          <cell r="G1676">
            <v>42370</v>
          </cell>
          <cell r="L1676" t="str">
            <v>05-03-009-33W1</v>
          </cell>
          <cell r="O1676">
            <v>847.9</v>
          </cell>
          <cell r="Q1676">
            <v>1.32</v>
          </cell>
          <cell r="T1676">
            <v>3060.7109999999998</v>
          </cell>
        </row>
        <row r="1677">
          <cell r="G1677">
            <v>42370</v>
          </cell>
          <cell r="L1677" t="str">
            <v>04-22-009-33W1</v>
          </cell>
          <cell r="O1677">
            <v>855.5</v>
          </cell>
          <cell r="Q1677">
            <v>1.4</v>
          </cell>
          <cell r="T1677">
            <v>2536.018</v>
          </cell>
        </row>
        <row r="1678">
          <cell r="G1678">
            <v>42370</v>
          </cell>
          <cell r="L1678" t="str">
            <v>14-30-009-33W1</v>
          </cell>
          <cell r="O1678">
            <v>858.2</v>
          </cell>
          <cell r="Q1678">
            <v>1.72</v>
          </cell>
          <cell r="T1678">
            <v>1082.546</v>
          </cell>
        </row>
        <row r="1679">
          <cell r="G1679">
            <v>42370</v>
          </cell>
          <cell r="L1679" t="str">
            <v>10-26-010-03W2</v>
          </cell>
          <cell r="O1679">
            <v>855.5</v>
          </cell>
          <cell r="Q1679">
            <v>1.59</v>
          </cell>
          <cell r="T1679">
            <v>394.34</v>
          </cell>
        </row>
        <row r="1680">
          <cell r="G1680">
            <v>42370</v>
          </cell>
          <cell r="L1680" t="str">
            <v>16-10-006-30W1</v>
          </cell>
          <cell r="O1680">
            <v>856.5</v>
          </cell>
          <cell r="Q1680">
            <v>1.51</v>
          </cell>
          <cell r="T1680">
            <v>2766.2950000000001</v>
          </cell>
        </row>
        <row r="1681">
          <cell r="G1681">
            <v>42370</v>
          </cell>
          <cell r="L1681" t="str">
            <v>04-10-004-31W1</v>
          </cell>
          <cell r="O1681">
            <v>867.7</v>
          </cell>
          <cell r="Q1681">
            <v>1.91</v>
          </cell>
          <cell r="T1681">
            <v>2140.1959999999999</v>
          </cell>
        </row>
        <row r="1682">
          <cell r="G1682">
            <v>42370</v>
          </cell>
          <cell r="L1682" t="str">
            <v>05-07-005-03W2</v>
          </cell>
          <cell r="O1682">
            <v>848.5</v>
          </cell>
          <cell r="Q1682">
            <v>1.32</v>
          </cell>
          <cell r="T1682">
            <v>2774.99</v>
          </cell>
        </row>
        <row r="1683">
          <cell r="G1683">
            <v>42370</v>
          </cell>
          <cell r="L1683" t="str">
            <v>14-09-002-29W1</v>
          </cell>
          <cell r="O1683">
            <v>837.3</v>
          </cell>
          <cell r="Q1683">
            <v>0.79</v>
          </cell>
          <cell r="T1683">
            <v>7758.2849999999999</v>
          </cell>
        </row>
        <row r="1684">
          <cell r="G1684">
            <v>42370</v>
          </cell>
          <cell r="L1684" t="str">
            <v>02-12-010-02W2</v>
          </cell>
          <cell r="O1684">
            <v>855.6</v>
          </cell>
          <cell r="Q1684">
            <v>1.63</v>
          </cell>
          <cell r="T1684">
            <v>548.63900000000001</v>
          </cell>
        </row>
        <row r="1685">
          <cell r="G1685">
            <v>42370</v>
          </cell>
          <cell r="L1685" t="str">
            <v>02-16-010-02W2</v>
          </cell>
          <cell r="O1685">
            <v>855.2</v>
          </cell>
          <cell r="Q1685">
            <v>1.21</v>
          </cell>
          <cell r="T1685">
            <v>493.149</v>
          </cell>
        </row>
        <row r="1686">
          <cell r="G1686">
            <v>42370</v>
          </cell>
          <cell r="L1686" t="str">
            <v>08-31-009-01W2</v>
          </cell>
          <cell r="O1686">
            <v>856.2</v>
          </cell>
          <cell r="Q1686">
            <v>1.78</v>
          </cell>
          <cell r="T1686">
            <v>232.75299999999999</v>
          </cell>
        </row>
        <row r="1687">
          <cell r="G1687">
            <v>42370</v>
          </cell>
          <cell r="L1687" t="str">
            <v>01-28-002-14W2</v>
          </cell>
          <cell r="O1687">
            <v>843.1</v>
          </cell>
          <cell r="Q1687">
            <v>1.36</v>
          </cell>
          <cell r="T1687">
            <v>6571.7129999999997</v>
          </cell>
        </row>
        <row r="1688">
          <cell r="G1688">
            <v>42370</v>
          </cell>
          <cell r="L1688" t="str">
            <v>16-23-006-11W2</v>
          </cell>
          <cell r="O1688">
            <v>877.3</v>
          </cell>
          <cell r="Q1688">
            <v>2.2999999999999998</v>
          </cell>
          <cell r="T1688">
            <v>1284.1959999999999</v>
          </cell>
        </row>
        <row r="1689">
          <cell r="G1689">
            <v>42370</v>
          </cell>
          <cell r="L1689" t="str">
            <v>04-05-007-33W1</v>
          </cell>
          <cell r="O1689">
            <v>841.6</v>
          </cell>
          <cell r="Q1689">
            <v>1.2</v>
          </cell>
          <cell r="T1689">
            <v>2257.2350000000001</v>
          </cell>
        </row>
        <row r="1690">
          <cell r="G1690">
            <v>42370</v>
          </cell>
          <cell r="L1690" t="str">
            <v>02-14-005-32W1</v>
          </cell>
          <cell r="O1690">
            <v>835.3</v>
          </cell>
          <cell r="Q1690">
            <v>0.97</v>
          </cell>
          <cell r="T1690">
            <v>1921.4659999999999</v>
          </cell>
        </row>
        <row r="1691">
          <cell r="G1691">
            <v>42370</v>
          </cell>
          <cell r="L1691" t="str">
            <v>12-23-005-31W1</v>
          </cell>
          <cell r="O1691">
            <v>844.9</v>
          </cell>
          <cell r="Q1691">
            <v>1.03</v>
          </cell>
          <cell r="T1691">
            <v>1196.681</v>
          </cell>
        </row>
        <row r="1692">
          <cell r="G1692">
            <v>42370</v>
          </cell>
          <cell r="L1692" t="str">
            <v>12-12-005-34W1</v>
          </cell>
          <cell r="O1692">
            <v>820.3</v>
          </cell>
          <cell r="Q1692">
            <v>0.59</v>
          </cell>
          <cell r="T1692">
            <v>233.16</v>
          </cell>
        </row>
        <row r="1693">
          <cell r="G1693">
            <v>42370</v>
          </cell>
          <cell r="L1693" t="str">
            <v>13-25-001-01W2</v>
          </cell>
          <cell r="O1693">
            <v>840.9</v>
          </cell>
          <cell r="Q1693">
            <v>1.59</v>
          </cell>
          <cell r="T1693">
            <v>233.376</v>
          </cell>
        </row>
        <row r="1694">
          <cell r="G1694">
            <v>42370</v>
          </cell>
          <cell r="L1694" t="str">
            <v>03-03-002-32W1</v>
          </cell>
          <cell r="O1694">
            <v>826.3</v>
          </cell>
          <cell r="Q1694">
            <v>0.95</v>
          </cell>
          <cell r="T1694">
            <v>5160.3289999999997</v>
          </cell>
        </row>
        <row r="1695">
          <cell r="G1695">
            <v>42370</v>
          </cell>
          <cell r="L1695" t="str">
            <v>03-19-001-31W1</v>
          </cell>
          <cell r="O1695">
            <v>877.8</v>
          </cell>
          <cell r="Q1695">
            <v>1.61</v>
          </cell>
          <cell r="T1695">
            <v>1865.356</v>
          </cell>
        </row>
        <row r="1696">
          <cell r="G1696">
            <v>42370</v>
          </cell>
          <cell r="L1696" t="str">
            <v>16-24-001-34W1</v>
          </cell>
          <cell r="O1696">
            <v>870.7</v>
          </cell>
          <cell r="Q1696">
            <v>1.62</v>
          </cell>
          <cell r="T1696">
            <v>1765.972</v>
          </cell>
        </row>
        <row r="1697">
          <cell r="G1697">
            <v>42370</v>
          </cell>
          <cell r="L1697" t="str">
            <v>14-28-002-34W1</v>
          </cell>
          <cell r="O1697">
            <v>828.6</v>
          </cell>
          <cell r="Q1697">
            <v>0.71</v>
          </cell>
          <cell r="T1697">
            <v>1640.202</v>
          </cell>
        </row>
        <row r="1698">
          <cell r="G1698">
            <v>42370</v>
          </cell>
          <cell r="L1698" t="str">
            <v>04-14-005-33W1</v>
          </cell>
          <cell r="O1698">
            <v>833.7</v>
          </cell>
          <cell r="Q1698">
            <v>0.8</v>
          </cell>
          <cell r="T1698">
            <v>1621.54</v>
          </cell>
        </row>
        <row r="1699">
          <cell r="G1699">
            <v>42370</v>
          </cell>
          <cell r="L1699" t="str">
            <v>14-33-003-01W2</v>
          </cell>
          <cell r="O1699">
            <v>829.2</v>
          </cell>
          <cell r="Q1699">
            <v>0.84</v>
          </cell>
          <cell r="T1699">
            <v>1086.327</v>
          </cell>
        </row>
        <row r="1700">
          <cell r="G1700">
            <v>42370</v>
          </cell>
          <cell r="L1700" t="str">
            <v>06-24-001-34W1</v>
          </cell>
          <cell r="O1700">
            <v>856</v>
          </cell>
          <cell r="Q1700">
            <v>1.63</v>
          </cell>
          <cell r="T1700">
            <v>904.68600000000004</v>
          </cell>
        </row>
        <row r="1701">
          <cell r="G1701">
            <v>42370</v>
          </cell>
          <cell r="L1701" t="str">
            <v>07-31-001-31W1</v>
          </cell>
          <cell r="O1701">
            <v>852.6</v>
          </cell>
          <cell r="Q1701">
            <v>1.63</v>
          </cell>
          <cell r="T1701">
            <v>898.00599999999997</v>
          </cell>
        </row>
        <row r="1702">
          <cell r="G1702">
            <v>42370</v>
          </cell>
          <cell r="L1702" t="str">
            <v>05-12-002-32W1</v>
          </cell>
          <cell r="O1702">
            <v>861.4</v>
          </cell>
          <cell r="Q1702">
            <v>1.63</v>
          </cell>
          <cell r="T1702">
            <v>789.90599999999995</v>
          </cell>
        </row>
        <row r="1703">
          <cell r="G1703">
            <v>42370</v>
          </cell>
          <cell r="L1703" t="str">
            <v>11-25-001-32W1</v>
          </cell>
          <cell r="O1703">
            <v>863.4</v>
          </cell>
          <cell r="Q1703">
            <v>1.62</v>
          </cell>
          <cell r="T1703">
            <v>762.15499999999997</v>
          </cell>
        </row>
        <row r="1704">
          <cell r="G1704">
            <v>42370</v>
          </cell>
          <cell r="L1704" t="str">
            <v>09-08-004-33W1</v>
          </cell>
          <cell r="O1704">
            <v>847.8</v>
          </cell>
          <cell r="Q1704">
            <v>1.55</v>
          </cell>
          <cell r="T1704">
            <v>545.09299999999996</v>
          </cell>
        </row>
        <row r="1705">
          <cell r="G1705">
            <v>42370</v>
          </cell>
          <cell r="L1705" t="str">
            <v>03-23-001-32W1</v>
          </cell>
          <cell r="O1705">
            <v>856.9</v>
          </cell>
          <cell r="Q1705">
            <v>1.65</v>
          </cell>
          <cell r="T1705">
            <v>409.93200000000002</v>
          </cell>
        </row>
        <row r="1706">
          <cell r="G1706">
            <v>42370</v>
          </cell>
          <cell r="L1706" t="str">
            <v>07-12-005-34W1</v>
          </cell>
          <cell r="O1706">
            <v>824.6</v>
          </cell>
          <cell r="Q1706">
            <v>0.61</v>
          </cell>
          <cell r="T1706">
            <v>398.96899999999999</v>
          </cell>
        </row>
        <row r="1707">
          <cell r="G1707">
            <v>42370</v>
          </cell>
          <cell r="L1707" t="str">
            <v>05-01-001-32W1</v>
          </cell>
          <cell r="O1707">
            <v>865.8</v>
          </cell>
          <cell r="Q1707">
            <v>1.62</v>
          </cell>
          <cell r="T1707">
            <v>281.108</v>
          </cell>
        </row>
        <row r="1708">
          <cell r="G1708">
            <v>42370</v>
          </cell>
          <cell r="L1708" t="str">
            <v>16-18-011-04W2</v>
          </cell>
          <cell r="O1708">
            <v>832.7</v>
          </cell>
          <cell r="Q1708">
            <v>1.49</v>
          </cell>
          <cell r="T1708">
            <v>5078.8159999999998</v>
          </cell>
        </row>
        <row r="1709">
          <cell r="G1709">
            <v>42370</v>
          </cell>
          <cell r="L1709" t="str">
            <v>10-13-006-03W2</v>
          </cell>
          <cell r="O1709">
            <v>855.9</v>
          </cell>
          <cell r="Q1709">
            <v>1.79</v>
          </cell>
          <cell r="T1709">
            <v>1454.1410000000001</v>
          </cell>
        </row>
        <row r="1710">
          <cell r="G1710">
            <v>42370</v>
          </cell>
          <cell r="L1710" t="str">
            <v>07-12-008-04W2</v>
          </cell>
          <cell r="O1710">
            <v>851.4</v>
          </cell>
          <cell r="Q1710">
            <v>1.41</v>
          </cell>
          <cell r="T1710">
            <v>794.69500000000005</v>
          </cell>
        </row>
        <row r="1711">
          <cell r="G1711">
            <v>42370</v>
          </cell>
          <cell r="L1711" t="str">
            <v>08-36-003-34W1</v>
          </cell>
          <cell r="O1711">
            <v>846.8</v>
          </cell>
          <cell r="Q1711">
            <v>1.1599999999999999</v>
          </cell>
          <cell r="T1711">
            <v>4867.6559999999999</v>
          </cell>
        </row>
        <row r="1712">
          <cell r="G1712">
            <v>42370</v>
          </cell>
          <cell r="L1712" t="str">
            <v>05-14-003-01W2</v>
          </cell>
          <cell r="O1712">
            <v>819</v>
          </cell>
          <cell r="Q1712">
            <v>0.71</v>
          </cell>
          <cell r="T1712">
            <v>2808.846</v>
          </cell>
        </row>
        <row r="1713">
          <cell r="G1713">
            <v>42370</v>
          </cell>
          <cell r="L1713" t="str">
            <v>01-09-001-31W1</v>
          </cell>
          <cell r="O1713">
            <v>875.5</v>
          </cell>
          <cell r="Q1713">
            <v>1.63</v>
          </cell>
          <cell r="T1713">
            <v>2148.0160000000001</v>
          </cell>
        </row>
        <row r="1714">
          <cell r="G1714">
            <v>42370</v>
          </cell>
          <cell r="L1714" t="str">
            <v>05-13-003-02W2</v>
          </cell>
          <cell r="O1714">
            <v>825.8</v>
          </cell>
          <cell r="Q1714">
            <v>0.53</v>
          </cell>
          <cell r="T1714">
            <v>1245.31</v>
          </cell>
        </row>
        <row r="1715">
          <cell r="G1715">
            <v>42370</v>
          </cell>
          <cell r="L1715" t="str">
            <v>14-33-003-01W2</v>
          </cell>
          <cell r="O1715">
            <v>836.8</v>
          </cell>
          <cell r="Q1715">
            <v>0.67</v>
          </cell>
          <cell r="T1715">
            <v>1196.0039999999999</v>
          </cell>
        </row>
        <row r="1716">
          <cell r="G1716">
            <v>42370</v>
          </cell>
          <cell r="L1716" t="str">
            <v>13-11-004-02W2</v>
          </cell>
          <cell r="O1716">
            <v>837.2</v>
          </cell>
          <cell r="Q1716">
            <v>1.05</v>
          </cell>
          <cell r="T1716">
            <v>893.29899999999998</v>
          </cell>
        </row>
        <row r="1717">
          <cell r="G1717">
            <v>42370</v>
          </cell>
          <cell r="L1717" t="str">
            <v>10-11-004-34W1</v>
          </cell>
          <cell r="O1717">
            <v>835.9</v>
          </cell>
          <cell r="Q1717">
            <v>0.82</v>
          </cell>
          <cell r="T1717">
            <v>802.74099999999999</v>
          </cell>
        </row>
        <row r="1718">
          <cell r="G1718">
            <v>42370</v>
          </cell>
          <cell r="L1718" t="str">
            <v>14-20-005-33W1</v>
          </cell>
          <cell r="O1718">
            <v>829.3</v>
          </cell>
          <cell r="Q1718">
            <v>0.72</v>
          </cell>
          <cell r="T1718">
            <v>678.80399999999997</v>
          </cell>
        </row>
        <row r="1719">
          <cell r="G1719">
            <v>42370</v>
          </cell>
          <cell r="L1719" t="str">
            <v>02-10-003-01W2</v>
          </cell>
          <cell r="O1719">
            <v>825.2</v>
          </cell>
          <cell r="Q1719">
            <v>0.51</v>
          </cell>
          <cell r="T1719">
            <v>434.983</v>
          </cell>
        </row>
        <row r="1720">
          <cell r="G1720">
            <v>42370</v>
          </cell>
          <cell r="L1720" t="str">
            <v>02-08-004-33W1</v>
          </cell>
          <cell r="O1720">
            <v>831.7</v>
          </cell>
          <cell r="Q1720">
            <v>0.65</v>
          </cell>
          <cell r="T1720">
            <v>394.23</v>
          </cell>
        </row>
        <row r="1721">
          <cell r="G1721">
            <v>42370</v>
          </cell>
          <cell r="L1721" t="str">
            <v>08-33-005-03W2</v>
          </cell>
          <cell r="O1721">
            <v>841.6</v>
          </cell>
          <cell r="Q1721">
            <v>1.1200000000000001</v>
          </cell>
          <cell r="T1721">
            <v>1187.8599999999999</v>
          </cell>
        </row>
        <row r="1722">
          <cell r="G1722">
            <v>42370</v>
          </cell>
          <cell r="L1722" t="str">
            <v>02-02-006-03W2</v>
          </cell>
          <cell r="O1722">
            <v>846.4</v>
          </cell>
          <cell r="Q1722">
            <v>1.2</v>
          </cell>
          <cell r="T1722">
            <v>1083.67</v>
          </cell>
        </row>
        <row r="1723">
          <cell r="G1723">
            <v>42370</v>
          </cell>
          <cell r="L1723" t="str">
            <v>08-31-005-03W2</v>
          </cell>
          <cell r="O1723">
            <v>836.4</v>
          </cell>
          <cell r="Q1723">
            <v>1.07</v>
          </cell>
          <cell r="T1723">
            <v>249.62299999999999</v>
          </cell>
        </row>
        <row r="1724">
          <cell r="G1724">
            <v>42370</v>
          </cell>
          <cell r="L1724" t="str">
            <v>05-29-005-32W1</v>
          </cell>
          <cell r="O1724">
            <v>834.7</v>
          </cell>
          <cell r="Q1724">
            <v>0.94</v>
          </cell>
          <cell r="T1724">
            <v>3213.4960000000001</v>
          </cell>
        </row>
        <row r="1725">
          <cell r="G1725">
            <v>42370</v>
          </cell>
          <cell r="L1725" t="str">
            <v>15-26-007-04W2</v>
          </cell>
          <cell r="O1725">
            <v>849.6</v>
          </cell>
          <cell r="Q1725">
            <v>1.4</v>
          </cell>
          <cell r="T1725">
            <v>384.47</v>
          </cell>
        </row>
        <row r="1726">
          <cell r="G1726">
            <v>42370</v>
          </cell>
          <cell r="L1726" t="str">
            <v>07-25-003-13W2</v>
          </cell>
          <cell r="O1726">
            <v>889.6</v>
          </cell>
          <cell r="Q1726">
            <v>2.4</v>
          </cell>
          <cell r="T1726">
            <v>320.00799999999998</v>
          </cell>
        </row>
        <row r="1727">
          <cell r="G1727">
            <v>42370</v>
          </cell>
          <cell r="L1727" t="str">
            <v>07-23-006-02W2</v>
          </cell>
          <cell r="O1727">
            <v>846.2</v>
          </cell>
          <cell r="Q1727">
            <v>1.1299999999999999</v>
          </cell>
          <cell r="T1727">
            <v>322.255</v>
          </cell>
        </row>
        <row r="1728">
          <cell r="G1728">
            <v>42370</v>
          </cell>
          <cell r="L1728" t="str">
            <v>13-30-005-05W2</v>
          </cell>
          <cell r="O1728">
            <v>847.6</v>
          </cell>
          <cell r="Q1728">
            <v>1.1200000000000001</v>
          </cell>
          <cell r="T1728">
            <v>834.08199999999999</v>
          </cell>
        </row>
        <row r="1729">
          <cell r="G1729">
            <v>42370</v>
          </cell>
          <cell r="L1729" t="str">
            <v>09-13-007-11W2</v>
          </cell>
          <cell r="O1729">
            <v>816</v>
          </cell>
          <cell r="Q1729">
            <v>0.37</v>
          </cell>
          <cell r="T1729">
            <v>25725.919000000002</v>
          </cell>
        </row>
        <row r="1730">
          <cell r="G1730">
            <v>42370</v>
          </cell>
          <cell r="L1730" t="str">
            <v>04-27-003-33W1</v>
          </cell>
          <cell r="O1730">
            <v>843.2</v>
          </cell>
          <cell r="Q1730">
            <v>1.1299999999999999</v>
          </cell>
          <cell r="T1730">
            <v>2613.3069999999998</v>
          </cell>
        </row>
        <row r="1731">
          <cell r="G1731">
            <v>42370</v>
          </cell>
          <cell r="L1731" t="str">
            <v>03-06-005-12W2</v>
          </cell>
          <cell r="O1731">
            <v>887.7</v>
          </cell>
          <cell r="Q1731">
            <v>2.25</v>
          </cell>
          <cell r="T1731">
            <v>517.173</v>
          </cell>
        </row>
        <row r="1732">
          <cell r="G1732">
            <v>42370</v>
          </cell>
          <cell r="L1732" t="str">
            <v>15-25-007-11W2</v>
          </cell>
          <cell r="O1732">
            <v>869.7</v>
          </cell>
          <cell r="Q1732">
            <v>1.94</v>
          </cell>
          <cell r="T1732">
            <v>1244.3409999999999</v>
          </cell>
        </row>
        <row r="1733">
          <cell r="G1733">
            <v>42370</v>
          </cell>
          <cell r="L1733" t="str">
            <v>07-27-007-06W2</v>
          </cell>
          <cell r="O1733">
            <v>803.7</v>
          </cell>
          <cell r="Q1733">
            <v>0.24</v>
          </cell>
          <cell r="T1733">
            <v>625.87</v>
          </cell>
        </row>
        <row r="1734">
          <cell r="G1734">
            <v>42370</v>
          </cell>
          <cell r="L1734" t="str">
            <v>05-20-004-04W2</v>
          </cell>
          <cell r="O1734">
            <v>817.3</v>
          </cell>
          <cell r="Q1734">
            <v>1.9</v>
          </cell>
          <cell r="T1734">
            <v>7361.6890000000003</v>
          </cell>
        </row>
        <row r="1735">
          <cell r="G1735">
            <v>42370</v>
          </cell>
          <cell r="L1735" t="str">
            <v>11-16-005-04W2</v>
          </cell>
          <cell r="O1735">
            <v>853.6</v>
          </cell>
          <cell r="Q1735">
            <v>1.35</v>
          </cell>
          <cell r="T1735">
            <v>2562.797</v>
          </cell>
        </row>
        <row r="1736">
          <cell r="G1736">
            <v>42370</v>
          </cell>
          <cell r="L1736" t="str">
            <v>07-12-006-11W2</v>
          </cell>
          <cell r="O1736">
            <v>875.9</v>
          </cell>
          <cell r="Q1736">
            <v>1.99</v>
          </cell>
          <cell r="T1736">
            <v>24188.976999999999</v>
          </cell>
        </row>
        <row r="1737">
          <cell r="G1737">
            <v>42370</v>
          </cell>
          <cell r="L1737" t="str">
            <v>11-04-005-12W2</v>
          </cell>
          <cell r="O1737">
            <v>876.3</v>
          </cell>
          <cell r="Q1737">
            <v>2</v>
          </cell>
          <cell r="T1737">
            <v>1786.8489999999999</v>
          </cell>
        </row>
        <row r="1738">
          <cell r="G1738">
            <v>42370</v>
          </cell>
          <cell r="L1738" t="str">
            <v>15-32-004-12W2</v>
          </cell>
          <cell r="O1738">
            <v>881.4</v>
          </cell>
          <cell r="Q1738">
            <v>2.12</v>
          </cell>
          <cell r="T1738">
            <v>1452.008</v>
          </cell>
        </row>
        <row r="1739">
          <cell r="G1739">
            <v>42370</v>
          </cell>
          <cell r="L1739" t="str">
            <v>02-13-006-06W2</v>
          </cell>
          <cell r="O1739">
            <v>846.3</v>
          </cell>
          <cell r="Q1739">
            <v>1.53</v>
          </cell>
          <cell r="T1739">
            <v>2204.2890000000002</v>
          </cell>
        </row>
        <row r="1740">
          <cell r="G1740">
            <v>42370</v>
          </cell>
          <cell r="L1740" t="str">
            <v>14-13-001-05W2</v>
          </cell>
          <cell r="O1740">
            <v>811.7</v>
          </cell>
          <cell r="Q1740">
            <v>0.48</v>
          </cell>
          <cell r="T1740">
            <v>20454.306</v>
          </cell>
        </row>
        <row r="1741">
          <cell r="G1741">
            <v>42370</v>
          </cell>
          <cell r="L1741" t="str">
            <v>01-07-006-10W2</v>
          </cell>
          <cell r="O1741">
            <v>829.8</v>
          </cell>
          <cell r="Q1741">
            <v>1.69</v>
          </cell>
          <cell r="T1741">
            <v>60205.728999999999</v>
          </cell>
        </row>
        <row r="1742">
          <cell r="G1742">
            <v>42370</v>
          </cell>
          <cell r="L1742" t="str">
            <v>13-30-007-10W2</v>
          </cell>
          <cell r="O1742">
            <v>810</v>
          </cell>
          <cell r="Q1742">
            <v>0.56000000000000005</v>
          </cell>
          <cell r="T1742">
            <v>12553.36</v>
          </cell>
        </row>
        <row r="1743">
          <cell r="G1743">
            <v>42370</v>
          </cell>
          <cell r="L1743" t="str">
            <v>04-17-004-31W1</v>
          </cell>
          <cell r="O1743">
            <v>864.3</v>
          </cell>
          <cell r="Q1743">
            <v>1.73</v>
          </cell>
          <cell r="T1743">
            <v>1516.463</v>
          </cell>
        </row>
        <row r="1744">
          <cell r="G1744">
            <v>42370</v>
          </cell>
          <cell r="L1744" t="str">
            <v>10-33-003-31W1</v>
          </cell>
          <cell r="O1744">
            <v>881.5</v>
          </cell>
          <cell r="Q1744">
            <v>0.88</v>
          </cell>
          <cell r="T1744">
            <v>419.34500000000003</v>
          </cell>
        </row>
        <row r="1745">
          <cell r="G1745">
            <v>42370</v>
          </cell>
          <cell r="L1745" t="str">
            <v>11-02-005-12W2</v>
          </cell>
          <cell r="O1745">
            <v>841.4</v>
          </cell>
          <cell r="Q1745">
            <v>1.44</v>
          </cell>
          <cell r="T1745">
            <v>3677.3530000000001</v>
          </cell>
        </row>
        <row r="1746">
          <cell r="G1746">
            <v>42370</v>
          </cell>
          <cell r="L1746" t="str">
            <v>16-13-004-32W1</v>
          </cell>
          <cell r="O1746">
            <v>858.7</v>
          </cell>
          <cell r="Q1746">
            <v>1.45</v>
          </cell>
          <cell r="T1746">
            <v>1538.9749999999999</v>
          </cell>
        </row>
        <row r="1747">
          <cell r="G1747">
            <v>42370</v>
          </cell>
          <cell r="L1747" t="str">
            <v>06-03-004-31W1</v>
          </cell>
          <cell r="O1747">
            <v>866.2</v>
          </cell>
          <cell r="Q1747">
            <v>1.88</v>
          </cell>
          <cell r="T1747">
            <v>358.33100000000002</v>
          </cell>
        </row>
        <row r="1748">
          <cell r="G1748">
            <v>42370</v>
          </cell>
          <cell r="L1748" t="str">
            <v>14-30-001-04W2</v>
          </cell>
          <cell r="O1748">
            <v>825.6</v>
          </cell>
          <cell r="Q1748">
            <v>0.52</v>
          </cell>
          <cell r="T1748">
            <v>2523.2190000000001</v>
          </cell>
        </row>
        <row r="1749">
          <cell r="G1749">
            <v>42370</v>
          </cell>
          <cell r="L1749" t="str">
            <v>14-18-001-04W2</v>
          </cell>
          <cell r="O1749">
            <v>814.7</v>
          </cell>
          <cell r="Q1749">
            <v>0.5</v>
          </cell>
          <cell r="T1749">
            <v>437.58600000000001</v>
          </cell>
        </row>
        <row r="1750">
          <cell r="G1750">
            <v>42370</v>
          </cell>
          <cell r="L1750" t="str">
            <v>05-31-002-01W2</v>
          </cell>
          <cell r="O1750">
            <v>818.3</v>
          </cell>
          <cell r="Q1750">
            <v>0.47</v>
          </cell>
          <cell r="T1750">
            <v>8479.4860000000008</v>
          </cell>
        </row>
        <row r="1751">
          <cell r="G1751">
            <v>42370</v>
          </cell>
          <cell r="L1751" t="str">
            <v>13-03-006-34W1</v>
          </cell>
          <cell r="O1751">
            <v>844.1</v>
          </cell>
          <cell r="Q1751">
            <v>1.1599999999999999</v>
          </cell>
          <cell r="T1751">
            <v>6869.68</v>
          </cell>
        </row>
        <row r="1752">
          <cell r="G1752">
            <v>42370</v>
          </cell>
          <cell r="L1752" t="str">
            <v>06-27-006-01W2</v>
          </cell>
          <cell r="O1752">
            <v>847.9</v>
          </cell>
          <cell r="Q1752">
            <v>1.54</v>
          </cell>
          <cell r="T1752">
            <v>2333.0709999999999</v>
          </cell>
        </row>
        <row r="1753">
          <cell r="G1753">
            <v>42370</v>
          </cell>
          <cell r="L1753" t="str">
            <v>10-11-006-34W1</v>
          </cell>
          <cell r="O1753">
            <v>850.4</v>
          </cell>
          <cell r="Q1753">
            <v>1.48</v>
          </cell>
          <cell r="T1753">
            <v>1170.1500000000001</v>
          </cell>
        </row>
        <row r="1754">
          <cell r="G1754">
            <v>42370</v>
          </cell>
          <cell r="L1754" t="str">
            <v>08-32-006-01W2</v>
          </cell>
          <cell r="O1754">
            <v>842.5</v>
          </cell>
          <cell r="Q1754">
            <v>1.21</v>
          </cell>
          <cell r="T1754">
            <v>554.99300000000005</v>
          </cell>
        </row>
        <row r="1755">
          <cell r="G1755">
            <v>42370</v>
          </cell>
          <cell r="L1755" t="str">
            <v>03-29-003-04W2</v>
          </cell>
          <cell r="O1755">
            <v>836.2</v>
          </cell>
          <cell r="Q1755">
            <v>0.81</v>
          </cell>
          <cell r="T1755">
            <v>1452.181</v>
          </cell>
        </row>
        <row r="1756">
          <cell r="G1756">
            <v>42370</v>
          </cell>
          <cell r="L1756" t="str">
            <v>11-27-005-33W1</v>
          </cell>
          <cell r="O1756">
            <v>825.8</v>
          </cell>
          <cell r="Q1756">
            <v>0.72</v>
          </cell>
          <cell r="T1756">
            <v>4987.3639999999996</v>
          </cell>
        </row>
        <row r="1757">
          <cell r="G1757">
            <v>42370</v>
          </cell>
          <cell r="L1757" t="str">
            <v>02-15-006-01W2</v>
          </cell>
          <cell r="O1757">
            <v>844.6</v>
          </cell>
          <cell r="Q1757">
            <v>1.1200000000000001</v>
          </cell>
          <cell r="T1757">
            <v>1212.0989999999999</v>
          </cell>
        </row>
        <row r="1758">
          <cell r="G1758">
            <v>42370</v>
          </cell>
          <cell r="L1758" t="str">
            <v>10-33-004-32W1</v>
          </cell>
          <cell r="O1758">
            <v>837.5</v>
          </cell>
          <cell r="Q1758">
            <v>2.2999999999999998</v>
          </cell>
          <cell r="T1758">
            <v>792.93499999999995</v>
          </cell>
        </row>
        <row r="1759">
          <cell r="G1759">
            <v>42370</v>
          </cell>
          <cell r="L1759" t="str">
            <v>08-12-006-01W2</v>
          </cell>
          <cell r="O1759">
            <v>844.9</v>
          </cell>
          <cell r="Q1759">
            <v>1.29</v>
          </cell>
          <cell r="T1759">
            <v>357.34199999999998</v>
          </cell>
        </row>
        <row r="1760">
          <cell r="G1760">
            <v>42370</v>
          </cell>
          <cell r="L1760" t="str">
            <v>07-08-004-05W2</v>
          </cell>
          <cell r="O1760">
            <v>835.4</v>
          </cell>
          <cell r="Q1760">
            <v>1.07</v>
          </cell>
          <cell r="T1760">
            <v>1284.3869999999999</v>
          </cell>
        </row>
        <row r="1761">
          <cell r="G1761">
            <v>42370</v>
          </cell>
          <cell r="L1761" t="str">
            <v>09-33-005-05W2</v>
          </cell>
          <cell r="O1761">
            <v>852.4</v>
          </cell>
          <cell r="Q1761">
            <v>0.69</v>
          </cell>
          <cell r="T1761">
            <v>1680.375</v>
          </cell>
        </row>
        <row r="1762">
          <cell r="G1762">
            <v>42370</v>
          </cell>
          <cell r="L1762" t="str">
            <v>08-05-006-33W1</v>
          </cell>
          <cell r="O1762">
            <v>830.5</v>
          </cell>
          <cell r="Q1762">
            <v>0.84</v>
          </cell>
          <cell r="T1762">
            <v>1307.27</v>
          </cell>
        </row>
        <row r="1763">
          <cell r="G1763">
            <v>42370</v>
          </cell>
          <cell r="L1763" t="str">
            <v>06-04-006-33W1</v>
          </cell>
          <cell r="O1763">
            <v>833.7</v>
          </cell>
          <cell r="Q1763">
            <v>0.83</v>
          </cell>
          <cell r="T1763">
            <v>539.553</v>
          </cell>
        </row>
        <row r="1764">
          <cell r="G1764">
            <v>42370</v>
          </cell>
          <cell r="L1764" t="str">
            <v>01-01-006-06W2</v>
          </cell>
          <cell r="O1764">
            <v>848</v>
          </cell>
          <cell r="Q1764">
            <v>1.17</v>
          </cell>
          <cell r="T1764">
            <v>454.59300000000002</v>
          </cell>
        </row>
        <row r="1765">
          <cell r="G1765">
            <v>42370</v>
          </cell>
          <cell r="L1765" t="str">
            <v>01-35-005-06W2</v>
          </cell>
          <cell r="O1765">
            <v>848.3</v>
          </cell>
          <cell r="Q1765">
            <v>1.1499999999999999</v>
          </cell>
          <cell r="T1765">
            <v>395.82900000000001</v>
          </cell>
        </row>
        <row r="1766">
          <cell r="G1766">
            <v>42370</v>
          </cell>
          <cell r="L1766" t="str">
            <v>03-05-006-05W2</v>
          </cell>
          <cell r="O1766">
            <v>863.4</v>
          </cell>
          <cell r="Q1766">
            <v>1.01</v>
          </cell>
          <cell r="T1766">
            <v>389.81900000000002</v>
          </cell>
        </row>
        <row r="1767">
          <cell r="G1767">
            <v>42370</v>
          </cell>
          <cell r="L1767" t="str">
            <v>09-08-004-03W2</v>
          </cell>
          <cell r="O1767">
            <v>830.5</v>
          </cell>
          <cell r="Q1767">
            <v>1.08</v>
          </cell>
          <cell r="T1767">
            <v>4911.7619999999997</v>
          </cell>
        </row>
        <row r="1768">
          <cell r="G1768">
            <v>42370</v>
          </cell>
          <cell r="L1768" t="str">
            <v>05-10-006-05W2</v>
          </cell>
          <cell r="O1768">
            <v>853</v>
          </cell>
          <cell r="Q1768">
            <v>1.47</v>
          </cell>
          <cell r="T1768">
            <v>3631.8110000000001</v>
          </cell>
        </row>
        <row r="1769">
          <cell r="G1769">
            <v>42370</v>
          </cell>
          <cell r="L1769" t="str">
            <v>05-24-005-04W2</v>
          </cell>
          <cell r="O1769">
            <v>853.4</v>
          </cell>
          <cell r="Q1769">
            <v>1.5</v>
          </cell>
          <cell r="T1769">
            <v>1978.0060000000001</v>
          </cell>
        </row>
        <row r="1770">
          <cell r="G1770">
            <v>42370</v>
          </cell>
          <cell r="L1770" t="str">
            <v>STEELMAN MIDALE</v>
          </cell>
          <cell r="O1770">
            <v>879</v>
          </cell>
          <cell r="Q1770">
            <v>1.85</v>
          </cell>
          <cell r="T1770">
            <v>9266.1290000000008</v>
          </cell>
        </row>
        <row r="1771">
          <cell r="G1771">
            <v>42370</v>
          </cell>
          <cell r="L1771" t="str">
            <v>03-15-004-06W2</v>
          </cell>
          <cell r="O1771">
            <v>852.4</v>
          </cell>
          <cell r="Q1771">
            <v>1.22</v>
          </cell>
          <cell r="T1771">
            <v>5048.5429999999997</v>
          </cell>
        </row>
        <row r="1772">
          <cell r="G1772">
            <v>42370</v>
          </cell>
          <cell r="L1772" t="str">
            <v>07-35-004-04W2</v>
          </cell>
          <cell r="O1772">
            <v>847.6</v>
          </cell>
          <cell r="Q1772">
            <v>1.57</v>
          </cell>
          <cell r="T1772">
            <v>2802.739</v>
          </cell>
        </row>
        <row r="1773">
          <cell r="G1773">
            <v>42370</v>
          </cell>
          <cell r="L1773" t="str">
            <v>11-02-005-04W2</v>
          </cell>
          <cell r="O1773">
            <v>848.4</v>
          </cell>
          <cell r="Q1773">
            <v>1.4</v>
          </cell>
          <cell r="T1773">
            <v>1701.857</v>
          </cell>
        </row>
        <row r="1774">
          <cell r="G1774">
            <v>42370</v>
          </cell>
          <cell r="L1774" t="str">
            <v>06-27-004-06W2</v>
          </cell>
          <cell r="O1774">
            <v>835.3</v>
          </cell>
          <cell r="Q1774">
            <v>0.7</v>
          </cell>
          <cell r="T1774">
            <v>1488.809</v>
          </cell>
        </row>
        <row r="1775">
          <cell r="G1775">
            <v>42370</v>
          </cell>
          <cell r="L1775" t="str">
            <v>07-18-005-04W2</v>
          </cell>
          <cell r="O1775">
            <v>844.6</v>
          </cell>
          <cell r="Q1775">
            <v>1.64</v>
          </cell>
          <cell r="T1775">
            <v>454.15600000000001</v>
          </cell>
        </row>
        <row r="1776">
          <cell r="G1776">
            <v>42370</v>
          </cell>
          <cell r="L1776" t="str">
            <v>01-11-005-04W2</v>
          </cell>
          <cell r="O1776">
            <v>857.1</v>
          </cell>
          <cell r="Q1776">
            <v>1.75</v>
          </cell>
          <cell r="T1776">
            <v>435.92599999999999</v>
          </cell>
        </row>
        <row r="1777">
          <cell r="G1777">
            <v>42370</v>
          </cell>
          <cell r="L1777" t="str">
            <v>09-27-004-05W2</v>
          </cell>
          <cell r="O1777">
            <v>844.5</v>
          </cell>
          <cell r="Q1777">
            <v>1.19</v>
          </cell>
          <cell r="T1777">
            <v>1175.183</v>
          </cell>
        </row>
        <row r="1778">
          <cell r="G1778">
            <v>42370</v>
          </cell>
          <cell r="L1778" t="str">
            <v>09-10-005-04W2</v>
          </cell>
          <cell r="O1778">
            <v>850.3</v>
          </cell>
          <cell r="Q1778">
            <v>1.2</v>
          </cell>
          <cell r="T1778">
            <v>1059.0809999999999</v>
          </cell>
        </row>
        <row r="1779">
          <cell r="G1779">
            <v>42370</v>
          </cell>
          <cell r="L1779" t="str">
            <v>09-13-004-06W2</v>
          </cell>
          <cell r="O1779">
            <v>833.5</v>
          </cell>
          <cell r="Q1779">
            <v>1</v>
          </cell>
          <cell r="T1779">
            <v>469.54500000000002</v>
          </cell>
        </row>
        <row r="1780">
          <cell r="G1780">
            <v>42370</v>
          </cell>
          <cell r="L1780" t="str">
            <v>11-31-005-11W2</v>
          </cell>
          <cell r="O1780">
            <v>880.9</v>
          </cell>
          <cell r="Q1780">
            <v>1.92</v>
          </cell>
          <cell r="T1780">
            <v>3054.2669999999998</v>
          </cell>
        </row>
        <row r="1781">
          <cell r="G1781">
            <v>42370</v>
          </cell>
          <cell r="L1781" t="str">
            <v>01-18-004-08W2</v>
          </cell>
          <cell r="O1781">
            <v>889.1</v>
          </cell>
          <cell r="Q1781">
            <v>2.42</v>
          </cell>
          <cell r="T1781">
            <v>1436.4590000000001</v>
          </cell>
        </row>
        <row r="1782">
          <cell r="G1782">
            <v>42370</v>
          </cell>
          <cell r="L1782" t="str">
            <v>15-36-001-12W2</v>
          </cell>
          <cell r="O1782">
            <v>823</v>
          </cell>
          <cell r="Q1782">
            <v>0.12</v>
          </cell>
          <cell r="T1782">
            <v>1288.7260000000001</v>
          </cell>
        </row>
        <row r="1783">
          <cell r="G1783">
            <v>42370</v>
          </cell>
          <cell r="L1783" t="str">
            <v>16-09-007-11W2</v>
          </cell>
          <cell r="O1783">
            <v>822.8</v>
          </cell>
          <cell r="Q1783">
            <v>0.52</v>
          </cell>
          <cell r="T1783">
            <v>1246.242</v>
          </cell>
        </row>
        <row r="1784">
          <cell r="G1784">
            <v>42370</v>
          </cell>
          <cell r="L1784" t="str">
            <v>14-27-005-12W2</v>
          </cell>
          <cell r="O1784">
            <v>874.5</v>
          </cell>
          <cell r="Q1784">
            <v>2.1</v>
          </cell>
          <cell r="T1784">
            <v>1098.9929999999999</v>
          </cell>
        </row>
        <row r="1785">
          <cell r="G1785">
            <v>42370</v>
          </cell>
          <cell r="L1785" t="str">
            <v>16-05-005-08W2</v>
          </cell>
          <cell r="O1785">
            <v>887.2</v>
          </cell>
          <cell r="Q1785">
            <v>2.04</v>
          </cell>
          <cell r="T1785">
            <v>899.88900000000001</v>
          </cell>
        </row>
        <row r="1786">
          <cell r="G1786">
            <v>42370</v>
          </cell>
          <cell r="L1786" t="str">
            <v>14-22-004-08W2</v>
          </cell>
          <cell r="O1786">
            <v>872.1</v>
          </cell>
          <cell r="Q1786">
            <v>2.0099999999999998</v>
          </cell>
          <cell r="T1786">
            <v>696.57</v>
          </cell>
        </row>
        <row r="1787">
          <cell r="G1787">
            <v>42370</v>
          </cell>
          <cell r="L1787" t="str">
            <v>16-22-001-12W2</v>
          </cell>
          <cell r="O1787">
            <v>817.2</v>
          </cell>
          <cell r="Q1787">
            <v>0.16</v>
          </cell>
          <cell r="T1787">
            <v>571.47699999999998</v>
          </cell>
        </row>
        <row r="1788">
          <cell r="G1788">
            <v>42370</v>
          </cell>
          <cell r="L1788" t="str">
            <v>15-11-005-09W2</v>
          </cell>
          <cell r="O1788">
            <v>882.1</v>
          </cell>
          <cell r="Q1788">
            <v>2.19</v>
          </cell>
          <cell r="T1788">
            <v>551.673</v>
          </cell>
        </row>
        <row r="1789">
          <cell r="G1789">
            <v>42370</v>
          </cell>
          <cell r="L1789" t="str">
            <v>09-02-006-07W2</v>
          </cell>
          <cell r="O1789">
            <v>883.1</v>
          </cell>
          <cell r="Q1789">
            <v>2.25</v>
          </cell>
          <cell r="T1789">
            <v>505.33699999999999</v>
          </cell>
        </row>
        <row r="1790">
          <cell r="G1790">
            <v>42370</v>
          </cell>
          <cell r="L1790" t="str">
            <v>01-01-007-12W2</v>
          </cell>
          <cell r="O1790">
            <v>892.3</v>
          </cell>
          <cell r="Q1790">
            <v>2.62</v>
          </cell>
          <cell r="T1790">
            <v>487.995</v>
          </cell>
        </row>
        <row r="1791">
          <cell r="G1791">
            <v>42370</v>
          </cell>
          <cell r="L1791" t="str">
            <v>04-27-004-08W2</v>
          </cell>
          <cell r="O1791">
            <v>884.8</v>
          </cell>
          <cell r="Q1791">
            <v>2.17</v>
          </cell>
          <cell r="T1791">
            <v>476.05700000000002</v>
          </cell>
        </row>
        <row r="1792">
          <cell r="G1792">
            <v>42370</v>
          </cell>
          <cell r="L1792" t="str">
            <v>06-18-006-12W2</v>
          </cell>
          <cell r="O1792">
            <v>887.8</v>
          </cell>
          <cell r="Q1792">
            <v>2.69</v>
          </cell>
          <cell r="T1792">
            <v>438.64600000000002</v>
          </cell>
        </row>
        <row r="1793">
          <cell r="G1793">
            <v>42370</v>
          </cell>
          <cell r="L1793" t="str">
            <v>13-33-006-09W2</v>
          </cell>
          <cell r="O1793">
            <v>885.7</v>
          </cell>
          <cell r="Q1793">
            <v>2.3199999999999998</v>
          </cell>
          <cell r="T1793">
            <v>415.97399999999999</v>
          </cell>
        </row>
        <row r="1794">
          <cell r="G1794">
            <v>42370</v>
          </cell>
          <cell r="L1794" t="str">
            <v>12-20-005-12W2</v>
          </cell>
          <cell r="O1794">
            <v>884.6</v>
          </cell>
          <cell r="Q1794">
            <v>2.04</v>
          </cell>
          <cell r="T1794">
            <v>407.77199999999999</v>
          </cell>
        </row>
        <row r="1795">
          <cell r="G1795">
            <v>42370</v>
          </cell>
          <cell r="L1795" t="str">
            <v>03-18-007-09W2</v>
          </cell>
          <cell r="O1795">
            <v>815.6</v>
          </cell>
          <cell r="Q1795">
            <v>0.42</v>
          </cell>
          <cell r="T1795">
            <v>388.70699999999999</v>
          </cell>
        </row>
        <row r="1796">
          <cell r="G1796">
            <v>42370</v>
          </cell>
          <cell r="L1796" t="str">
            <v>13-06-007-11W2</v>
          </cell>
          <cell r="O1796">
            <v>861.6</v>
          </cell>
          <cell r="Q1796">
            <v>2</v>
          </cell>
          <cell r="T1796">
            <v>380.24599999999998</v>
          </cell>
        </row>
        <row r="1797">
          <cell r="G1797">
            <v>42370</v>
          </cell>
          <cell r="L1797" t="str">
            <v>15-29-007-13W2</v>
          </cell>
          <cell r="O1797">
            <v>848.3</v>
          </cell>
          <cell r="Q1797">
            <v>1.82</v>
          </cell>
          <cell r="T1797">
            <v>377.27800000000002</v>
          </cell>
        </row>
        <row r="1798">
          <cell r="G1798">
            <v>42370</v>
          </cell>
          <cell r="L1798" t="str">
            <v>04-35-004-09W2</v>
          </cell>
          <cell r="O1798">
            <v>889.6</v>
          </cell>
          <cell r="Q1798">
            <v>2.0299999999999998</v>
          </cell>
          <cell r="T1798">
            <v>362.59500000000003</v>
          </cell>
        </row>
        <row r="1799">
          <cell r="G1799">
            <v>42370</v>
          </cell>
          <cell r="L1799" t="str">
            <v>04-23-012-06W2</v>
          </cell>
          <cell r="O1799">
            <v>894.7</v>
          </cell>
          <cell r="Q1799">
            <v>2.74</v>
          </cell>
          <cell r="T1799">
            <v>342.79899999999998</v>
          </cell>
        </row>
        <row r="1800">
          <cell r="G1800">
            <v>42370</v>
          </cell>
          <cell r="L1800" t="str">
            <v>04-13-004-10W2</v>
          </cell>
          <cell r="O1800">
            <v>884.5</v>
          </cell>
          <cell r="Q1800">
            <v>1.9</v>
          </cell>
          <cell r="T1800">
            <v>330.71300000000002</v>
          </cell>
        </row>
        <row r="1801">
          <cell r="G1801">
            <v>42370</v>
          </cell>
          <cell r="L1801" t="str">
            <v>11-14-007-08W2</v>
          </cell>
          <cell r="O1801">
            <v>840.8</v>
          </cell>
          <cell r="Q1801">
            <v>1.33</v>
          </cell>
          <cell r="T1801">
            <v>330.625</v>
          </cell>
        </row>
        <row r="1802">
          <cell r="G1802">
            <v>42370</v>
          </cell>
          <cell r="L1802" t="str">
            <v>14-27-001-12W2</v>
          </cell>
          <cell r="O1802">
            <v>818</v>
          </cell>
          <cell r="Q1802">
            <v>0.25</v>
          </cell>
          <cell r="T1802">
            <v>304.57900000000001</v>
          </cell>
        </row>
        <row r="1803">
          <cell r="G1803">
            <v>42370</v>
          </cell>
          <cell r="L1803" t="str">
            <v>02-13-004-12W2</v>
          </cell>
          <cell r="O1803">
            <v>883.1</v>
          </cell>
          <cell r="Q1803">
            <v>2.06</v>
          </cell>
          <cell r="T1803">
            <v>278.62599999999998</v>
          </cell>
        </row>
        <row r="1804">
          <cell r="G1804">
            <v>42370</v>
          </cell>
          <cell r="L1804" t="str">
            <v>15-13-002-12W2</v>
          </cell>
          <cell r="O1804">
            <v>812.5</v>
          </cell>
          <cell r="Q1804">
            <v>0.22</v>
          </cell>
          <cell r="T1804">
            <v>271.46199999999999</v>
          </cell>
        </row>
        <row r="1805">
          <cell r="G1805">
            <v>42370</v>
          </cell>
          <cell r="L1805" t="str">
            <v>14-04-006-08W2</v>
          </cell>
          <cell r="O1805">
            <v>849.3</v>
          </cell>
          <cell r="Q1805">
            <v>0.62</v>
          </cell>
          <cell r="T1805">
            <v>267.57299999999998</v>
          </cell>
        </row>
        <row r="1806">
          <cell r="G1806">
            <v>42370</v>
          </cell>
          <cell r="L1806" t="str">
            <v>03-08-001-11W2</v>
          </cell>
          <cell r="O1806">
            <v>808.2</v>
          </cell>
          <cell r="Q1806">
            <v>0.24</v>
          </cell>
          <cell r="T1806">
            <v>258.08499999999998</v>
          </cell>
        </row>
        <row r="1807">
          <cell r="G1807">
            <v>42370</v>
          </cell>
          <cell r="L1807" t="str">
            <v>01-10-008-15W2</v>
          </cell>
          <cell r="O1807">
            <v>856.8</v>
          </cell>
          <cell r="Q1807">
            <v>2.0499999999999998</v>
          </cell>
          <cell r="T1807">
            <v>245.16300000000001</v>
          </cell>
        </row>
        <row r="1808">
          <cell r="G1808">
            <v>42370</v>
          </cell>
          <cell r="L1808" t="str">
            <v>14-27-007-08W2</v>
          </cell>
          <cell r="O1808">
            <v>882.9</v>
          </cell>
          <cell r="Q1808">
            <v>2.39</v>
          </cell>
          <cell r="T1808">
            <v>217.29</v>
          </cell>
        </row>
        <row r="1809">
          <cell r="G1809">
            <v>42370</v>
          </cell>
          <cell r="L1809" t="str">
            <v>12-27-006-13W2</v>
          </cell>
          <cell r="O1809">
            <v>855.7</v>
          </cell>
          <cell r="Q1809">
            <v>2.0099999999999998</v>
          </cell>
          <cell r="T1809">
            <v>212.71100000000001</v>
          </cell>
        </row>
        <row r="1810">
          <cell r="G1810">
            <v>42370</v>
          </cell>
          <cell r="L1810" t="str">
            <v>09-11-007-14W2</v>
          </cell>
          <cell r="O1810">
            <v>842.5</v>
          </cell>
          <cell r="Q1810">
            <v>1.54</v>
          </cell>
          <cell r="T1810">
            <v>174.291</v>
          </cell>
        </row>
        <row r="1811">
          <cell r="G1811">
            <v>42370</v>
          </cell>
          <cell r="L1811" t="str">
            <v>16-06-005-12W2</v>
          </cell>
          <cell r="O1811">
            <v>879.5</v>
          </cell>
          <cell r="Q1811">
            <v>2.09</v>
          </cell>
          <cell r="T1811">
            <v>169.92699999999999</v>
          </cell>
        </row>
        <row r="1812">
          <cell r="G1812">
            <v>42370</v>
          </cell>
          <cell r="L1812" t="str">
            <v>03-27-011-08W2</v>
          </cell>
          <cell r="O1812">
            <v>897.6</v>
          </cell>
          <cell r="Q1812">
            <v>2.64</v>
          </cell>
          <cell r="T1812">
            <v>169.458</v>
          </cell>
        </row>
        <row r="1813">
          <cell r="G1813">
            <v>42370</v>
          </cell>
          <cell r="L1813" t="str">
            <v>16-29-006-12W2</v>
          </cell>
          <cell r="O1813">
            <v>881.4</v>
          </cell>
          <cell r="Q1813">
            <v>2.21</v>
          </cell>
          <cell r="T1813">
            <v>163.255</v>
          </cell>
        </row>
        <row r="1814">
          <cell r="G1814">
            <v>42370</v>
          </cell>
          <cell r="L1814" t="str">
            <v>05-31-006-13W2</v>
          </cell>
          <cell r="O1814">
            <v>808.4</v>
          </cell>
          <cell r="Q1814">
            <v>0.19</v>
          </cell>
          <cell r="T1814">
            <v>158.51400000000001</v>
          </cell>
        </row>
        <row r="1815">
          <cell r="G1815">
            <v>42370</v>
          </cell>
          <cell r="L1815" t="str">
            <v>12-31-001-17W2</v>
          </cell>
          <cell r="O1815">
            <v>846.4</v>
          </cell>
          <cell r="Q1815">
            <v>1.51</v>
          </cell>
          <cell r="T1815">
            <v>158.14500000000001</v>
          </cell>
        </row>
        <row r="1816">
          <cell r="G1816">
            <v>42370</v>
          </cell>
          <cell r="L1816" t="str">
            <v>09-06-010-15W2</v>
          </cell>
          <cell r="O1816">
            <v>871.9</v>
          </cell>
          <cell r="Q1816">
            <v>0.53</v>
          </cell>
          <cell r="T1816">
            <v>154.60900000000001</v>
          </cell>
        </row>
        <row r="1817">
          <cell r="G1817">
            <v>42370</v>
          </cell>
          <cell r="L1817" t="str">
            <v>13-29-001-15W2</v>
          </cell>
          <cell r="O1817">
            <v>801.2</v>
          </cell>
          <cell r="Q1817">
            <v>0.22</v>
          </cell>
          <cell r="T1817">
            <v>149.44900000000001</v>
          </cell>
        </row>
        <row r="1818">
          <cell r="G1818">
            <v>42370</v>
          </cell>
          <cell r="L1818" t="str">
            <v>18-16-154-95W1</v>
          </cell>
          <cell r="O1818">
            <v>821.2</v>
          </cell>
          <cell r="Q1818">
            <v>0.89</v>
          </cell>
          <cell r="T1818">
            <v>135.953</v>
          </cell>
        </row>
        <row r="1819">
          <cell r="G1819">
            <v>42370</v>
          </cell>
          <cell r="L1819" t="str">
            <v>01-06-004-11W2</v>
          </cell>
          <cell r="O1819">
            <v>881.6</v>
          </cell>
          <cell r="Q1819">
            <v>2.4</v>
          </cell>
          <cell r="T1819">
            <v>135.876</v>
          </cell>
        </row>
        <row r="1820">
          <cell r="G1820">
            <v>42370</v>
          </cell>
          <cell r="L1820" t="str">
            <v>07-02-007-12W2</v>
          </cell>
          <cell r="O1820">
            <v>850.7</v>
          </cell>
          <cell r="Q1820">
            <v>1.98</v>
          </cell>
          <cell r="T1820">
            <v>135.792</v>
          </cell>
        </row>
        <row r="1821">
          <cell r="G1821">
            <v>42370</v>
          </cell>
          <cell r="L1821" t="str">
            <v>14-20-004-10W2</v>
          </cell>
          <cell r="O1821">
            <v>888.8</v>
          </cell>
          <cell r="Q1821">
            <v>2.12</v>
          </cell>
          <cell r="T1821">
            <v>131.92599999999999</v>
          </cell>
        </row>
        <row r="1822">
          <cell r="G1822">
            <v>42370</v>
          </cell>
          <cell r="L1822" t="str">
            <v>04-27-032-56W1</v>
          </cell>
          <cell r="O1822">
            <v>791.6</v>
          </cell>
          <cell r="Q1822">
            <v>0.25</v>
          </cell>
          <cell r="T1822">
            <v>124.91800000000001</v>
          </cell>
        </row>
        <row r="1823">
          <cell r="G1823">
            <v>42370</v>
          </cell>
          <cell r="L1823" t="str">
            <v>07-10-001-20W2</v>
          </cell>
          <cell r="O1823">
            <v>876.9</v>
          </cell>
          <cell r="Q1823">
            <v>1.8</v>
          </cell>
          <cell r="T1823">
            <v>121.226</v>
          </cell>
        </row>
        <row r="1824">
          <cell r="G1824">
            <v>42370</v>
          </cell>
          <cell r="L1824" t="str">
            <v>04-16-004-21W2</v>
          </cell>
          <cell r="O1824">
            <v>817.7</v>
          </cell>
          <cell r="Q1824">
            <v>0.66</v>
          </cell>
          <cell r="T1824">
            <v>119.621</v>
          </cell>
        </row>
        <row r="1825">
          <cell r="G1825">
            <v>42370</v>
          </cell>
          <cell r="L1825" t="str">
            <v>07-24-006-10W2</v>
          </cell>
          <cell r="O1825">
            <v>884.3</v>
          </cell>
          <cell r="Q1825">
            <v>2.2599999999999998</v>
          </cell>
          <cell r="T1825">
            <v>95.103999999999999</v>
          </cell>
        </row>
        <row r="1826">
          <cell r="G1826">
            <v>42370</v>
          </cell>
          <cell r="L1826" t="str">
            <v>14-35-001-12W2</v>
          </cell>
          <cell r="O1826">
            <v>824.5</v>
          </cell>
          <cell r="Q1826">
            <v>0.2</v>
          </cell>
          <cell r="T1826">
            <v>90.447000000000003</v>
          </cell>
        </row>
        <row r="1827">
          <cell r="G1827">
            <v>42370</v>
          </cell>
          <cell r="L1827" t="str">
            <v>09-32-006-15W2</v>
          </cell>
          <cell r="O1827">
            <v>892</v>
          </cell>
          <cell r="Q1827">
            <v>2.71</v>
          </cell>
          <cell r="T1827">
            <v>88.373999999999995</v>
          </cell>
        </row>
        <row r="1828">
          <cell r="G1828">
            <v>42370</v>
          </cell>
          <cell r="L1828" t="str">
            <v>12-28-006-07W2</v>
          </cell>
          <cell r="O1828">
            <v>908.9</v>
          </cell>
          <cell r="Q1828">
            <v>2.52</v>
          </cell>
          <cell r="T1828">
            <v>82.468999999999994</v>
          </cell>
        </row>
        <row r="1829">
          <cell r="G1829">
            <v>42370</v>
          </cell>
          <cell r="L1829" t="str">
            <v>01-27-164-97W1</v>
          </cell>
          <cell r="O1829">
            <v>873.8</v>
          </cell>
          <cell r="Q1829">
            <v>0.75</v>
          </cell>
          <cell r="T1829">
            <v>80.611000000000004</v>
          </cell>
        </row>
        <row r="1830">
          <cell r="G1830">
            <v>42370</v>
          </cell>
          <cell r="L1830" t="str">
            <v>04-18-007-09W2</v>
          </cell>
          <cell r="O1830">
            <v>814.4</v>
          </cell>
          <cell r="Q1830">
            <v>0.4</v>
          </cell>
          <cell r="T1830">
            <v>71.015000000000001</v>
          </cell>
        </row>
        <row r="1831">
          <cell r="G1831">
            <v>42370</v>
          </cell>
          <cell r="L1831" t="str">
            <v>09-34-154-95W1</v>
          </cell>
          <cell r="O1831">
            <v>791.8</v>
          </cell>
          <cell r="Q1831">
            <v>0.51</v>
          </cell>
          <cell r="T1831">
            <v>68.400000000000006</v>
          </cell>
        </row>
        <row r="1832">
          <cell r="G1832">
            <v>42370</v>
          </cell>
          <cell r="L1832" t="str">
            <v>15-11-008-12W2</v>
          </cell>
          <cell r="O1832">
            <v>905.1</v>
          </cell>
          <cell r="Q1832">
            <v>2.1800000000000002</v>
          </cell>
          <cell r="T1832">
            <v>68.275000000000006</v>
          </cell>
        </row>
        <row r="1833">
          <cell r="G1833">
            <v>42370</v>
          </cell>
          <cell r="L1833" t="str">
            <v>09-22-006-12W2</v>
          </cell>
          <cell r="O1833">
            <v>879.4</v>
          </cell>
          <cell r="Q1833">
            <v>2.34</v>
          </cell>
          <cell r="T1833">
            <v>68.260000000000005</v>
          </cell>
        </row>
        <row r="1834">
          <cell r="G1834">
            <v>42370</v>
          </cell>
          <cell r="L1834" t="str">
            <v>08-34-006-12W2</v>
          </cell>
          <cell r="O1834">
            <v>872.6</v>
          </cell>
          <cell r="Q1834">
            <v>1.89</v>
          </cell>
          <cell r="T1834">
            <v>67.938000000000002</v>
          </cell>
        </row>
        <row r="1835">
          <cell r="G1835">
            <v>42370</v>
          </cell>
          <cell r="L1835" t="str">
            <v>14-25-003-09W2</v>
          </cell>
          <cell r="O1835">
            <v>858.8</v>
          </cell>
          <cell r="Q1835">
            <v>1.63</v>
          </cell>
          <cell r="T1835">
            <v>67.927999999999997</v>
          </cell>
        </row>
        <row r="1836">
          <cell r="G1836">
            <v>42370</v>
          </cell>
          <cell r="L1836" t="str">
            <v>09-12-007-09W2</v>
          </cell>
          <cell r="O1836">
            <v>826.7</v>
          </cell>
          <cell r="Q1836">
            <v>0.16</v>
          </cell>
          <cell r="T1836">
            <v>66.147999999999996</v>
          </cell>
        </row>
        <row r="1837">
          <cell r="G1837">
            <v>42370</v>
          </cell>
          <cell r="L1837" t="str">
            <v>02-22-009-09W2</v>
          </cell>
          <cell r="O1837">
            <v>880.4</v>
          </cell>
          <cell r="Q1837">
            <v>2.42</v>
          </cell>
          <cell r="T1837">
            <v>65.054000000000002</v>
          </cell>
        </row>
        <row r="1838">
          <cell r="G1838">
            <v>42370</v>
          </cell>
          <cell r="L1838" t="str">
            <v>01-01-003-16W2</v>
          </cell>
          <cell r="O1838">
            <v>887.6</v>
          </cell>
          <cell r="Q1838">
            <v>1.1100000000000001</v>
          </cell>
          <cell r="T1838">
            <v>64.831999999999994</v>
          </cell>
        </row>
        <row r="1839">
          <cell r="G1839">
            <v>42370</v>
          </cell>
          <cell r="L1839" t="str">
            <v>05-26-164-97W1</v>
          </cell>
          <cell r="O1839">
            <v>878.2</v>
          </cell>
          <cell r="Q1839">
            <v>1.59</v>
          </cell>
          <cell r="T1839">
            <v>63.673000000000002</v>
          </cell>
        </row>
        <row r="1840">
          <cell r="G1840">
            <v>42370</v>
          </cell>
          <cell r="L1840" t="str">
            <v>01-03-028-58W1</v>
          </cell>
          <cell r="O1840">
            <v>854.3</v>
          </cell>
          <cell r="Q1840">
            <v>0.89</v>
          </cell>
          <cell r="T1840">
            <v>60.43</v>
          </cell>
        </row>
        <row r="1841">
          <cell r="G1841">
            <v>42370</v>
          </cell>
          <cell r="L1841" t="str">
            <v>05-23-004-07W2</v>
          </cell>
          <cell r="O1841">
            <v>888.5</v>
          </cell>
          <cell r="Q1841">
            <v>2.0699999999999998</v>
          </cell>
          <cell r="T1841">
            <v>58.052999999999997</v>
          </cell>
        </row>
        <row r="1842">
          <cell r="G1842">
            <v>42370</v>
          </cell>
          <cell r="L1842" t="str">
            <v>01-33-164-97W1</v>
          </cell>
          <cell r="O1842">
            <v>880.6</v>
          </cell>
          <cell r="Q1842">
            <v>1.76</v>
          </cell>
          <cell r="T1842">
            <v>48.253999999999998</v>
          </cell>
        </row>
        <row r="1843">
          <cell r="G1843">
            <v>42370</v>
          </cell>
          <cell r="L1843" t="str">
            <v>01-35-162-03W1</v>
          </cell>
          <cell r="O1843">
            <v>878.3</v>
          </cell>
          <cell r="Q1843">
            <v>0.17</v>
          </cell>
          <cell r="T1843">
            <v>45.183999999999997</v>
          </cell>
        </row>
        <row r="1844">
          <cell r="G1844">
            <v>42370</v>
          </cell>
          <cell r="L1844" t="str">
            <v>03-07-007-11W2</v>
          </cell>
          <cell r="O1844">
            <v>806.9</v>
          </cell>
          <cell r="Q1844">
            <v>0.21</v>
          </cell>
          <cell r="T1844">
            <v>35.93</v>
          </cell>
        </row>
        <row r="1845">
          <cell r="G1845">
            <v>42370</v>
          </cell>
          <cell r="L1845" t="str">
            <v>06-13-007-10W2</v>
          </cell>
          <cell r="O1845">
            <v>820.4</v>
          </cell>
          <cell r="Q1845">
            <v>0.17</v>
          </cell>
          <cell r="T1845">
            <v>32.694000000000003</v>
          </cell>
        </row>
        <row r="1846">
          <cell r="G1846">
            <v>42370</v>
          </cell>
          <cell r="L1846" t="str">
            <v>01-01-007-12W2</v>
          </cell>
          <cell r="O1846">
            <v>895</v>
          </cell>
          <cell r="Q1846">
            <v>2.74</v>
          </cell>
          <cell r="T1846">
            <v>31.33</v>
          </cell>
        </row>
        <row r="1847">
          <cell r="G1847">
            <v>42370</v>
          </cell>
          <cell r="L1847" t="str">
            <v>02-05-154-95W1</v>
          </cell>
          <cell r="O1847">
            <v>816.3</v>
          </cell>
          <cell r="Q1847">
            <v>0.36</v>
          </cell>
          <cell r="T1847">
            <v>30.5</v>
          </cell>
        </row>
        <row r="1848">
          <cell r="G1848">
            <v>42370</v>
          </cell>
          <cell r="L1848" t="str">
            <v>01-34-164-97W1</v>
          </cell>
          <cell r="O1848">
            <v>879.9</v>
          </cell>
          <cell r="Q1848">
            <v>2.54</v>
          </cell>
          <cell r="T1848">
            <v>28.776</v>
          </cell>
        </row>
        <row r="1849">
          <cell r="G1849">
            <v>42370</v>
          </cell>
          <cell r="L1849" t="str">
            <v>01-27-004-07W2</v>
          </cell>
          <cell r="O1849">
            <v>890.2</v>
          </cell>
          <cell r="Q1849">
            <v>2.0299999999999998</v>
          </cell>
          <cell r="T1849">
            <v>25.216999999999999</v>
          </cell>
        </row>
        <row r="1850">
          <cell r="G1850">
            <v>42370</v>
          </cell>
          <cell r="L1850" t="str">
            <v>01-08-162-95W1</v>
          </cell>
          <cell r="O1850">
            <v>851.5</v>
          </cell>
          <cell r="Q1850">
            <v>0.95</v>
          </cell>
          <cell r="T1850">
            <v>24.591000000000001</v>
          </cell>
        </row>
        <row r="1851">
          <cell r="G1851">
            <v>42370</v>
          </cell>
          <cell r="L1851" t="str">
            <v>05-19-007-12W2</v>
          </cell>
          <cell r="O1851">
            <v>868.2</v>
          </cell>
          <cell r="Q1851">
            <v>1.82</v>
          </cell>
          <cell r="T1851">
            <v>24.013999999999999</v>
          </cell>
        </row>
        <row r="1852">
          <cell r="G1852">
            <v>42370</v>
          </cell>
          <cell r="L1852" t="str">
            <v>01-09-161-86W1</v>
          </cell>
          <cell r="O1852">
            <v>890.3</v>
          </cell>
          <cell r="Q1852">
            <v>2.15</v>
          </cell>
          <cell r="T1852">
            <v>23.555</v>
          </cell>
        </row>
        <row r="1853">
          <cell r="G1853">
            <v>42370</v>
          </cell>
          <cell r="L1853" t="str">
            <v>13-06-007-09W2</v>
          </cell>
          <cell r="O1853">
            <v>818.7</v>
          </cell>
          <cell r="Q1853">
            <v>0.25</v>
          </cell>
          <cell r="T1853">
            <v>18.869</v>
          </cell>
        </row>
        <row r="1854">
          <cell r="G1854">
            <v>42370</v>
          </cell>
          <cell r="L1854" t="str">
            <v>04-24-005-15W2</v>
          </cell>
          <cell r="O1854">
            <v>893.8</v>
          </cell>
          <cell r="Q1854">
            <v>2.75</v>
          </cell>
          <cell r="T1854">
            <v>1863.4349999999999</v>
          </cell>
        </row>
        <row r="1855">
          <cell r="G1855">
            <v>42370</v>
          </cell>
          <cell r="L1855" t="str">
            <v>15-29-005-15W2</v>
          </cell>
          <cell r="O1855">
            <v>887.1</v>
          </cell>
          <cell r="Q1855">
            <v>2.64</v>
          </cell>
          <cell r="T1855">
            <v>1421.24</v>
          </cell>
        </row>
        <row r="1856">
          <cell r="G1856">
            <v>42370</v>
          </cell>
          <cell r="L1856" t="str">
            <v>09-34-005-15W2</v>
          </cell>
          <cell r="O1856">
            <v>879.9</v>
          </cell>
          <cell r="Q1856">
            <v>2.64</v>
          </cell>
          <cell r="T1856">
            <v>1036.326</v>
          </cell>
        </row>
        <row r="1857">
          <cell r="G1857">
            <v>42370</v>
          </cell>
          <cell r="L1857" t="str">
            <v>11-25-005-12W2</v>
          </cell>
          <cell r="O1857">
            <v>875.3</v>
          </cell>
          <cell r="Q1857">
            <v>2.12</v>
          </cell>
          <cell r="T1857">
            <v>2509.9229999999998</v>
          </cell>
        </row>
        <row r="1858">
          <cell r="G1858">
            <v>42370</v>
          </cell>
          <cell r="L1858" t="str">
            <v>12-30-005-07W2</v>
          </cell>
          <cell r="O1858">
            <v>891.5</v>
          </cell>
          <cell r="Q1858">
            <v>2.44</v>
          </cell>
          <cell r="T1858">
            <v>1334.787</v>
          </cell>
        </row>
        <row r="1859">
          <cell r="G1859">
            <v>42370</v>
          </cell>
          <cell r="L1859" t="str">
            <v>16-18-003-15W2</v>
          </cell>
          <cell r="O1859">
            <v>886.6</v>
          </cell>
          <cell r="Q1859">
            <v>2.29</v>
          </cell>
          <cell r="T1859">
            <v>1298.7460000000001</v>
          </cell>
        </row>
        <row r="1860">
          <cell r="G1860">
            <v>42370</v>
          </cell>
          <cell r="L1860" t="str">
            <v>14-21-001-12W2</v>
          </cell>
          <cell r="O1860">
            <v>813.8</v>
          </cell>
          <cell r="Q1860">
            <v>0.14000000000000001</v>
          </cell>
          <cell r="T1860">
            <v>740.40599999999995</v>
          </cell>
        </row>
        <row r="1861">
          <cell r="G1861">
            <v>42370</v>
          </cell>
          <cell r="L1861" t="str">
            <v>11-31-006-08W2</v>
          </cell>
          <cell r="O1861">
            <v>889.3</v>
          </cell>
          <cell r="Q1861">
            <v>2.46</v>
          </cell>
          <cell r="T1861">
            <v>498.13900000000001</v>
          </cell>
        </row>
        <row r="1862">
          <cell r="G1862">
            <v>42370</v>
          </cell>
          <cell r="L1862" t="str">
            <v>13-24-001-16W2</v>
          </cell>
          <cell r="O1862">
            <v>806.5</v>
          </cell>
          <cell r="Q1862">
            <v>0.39</v>
          </cell>
          <cell r="T1862">
            <v>473.77600000000001</v>
          </cell>
        </row>
        <row r="1863">
          <cell r="G1863">
            <v>42370</v>
          </cell>
          <cell r="L1863" t="str">
            <v>05-23-005-13W2</v>
          </cell>
          <cell r="O1863">
            <v>907</v>
          </cell>
          <cell r="Q1863">
            <v>2.72</v>
          </cell>
          <cell r="T1863">
            <v>361.41300000000001</v>
          </cell>
        </row>
        <row r="1864">
          <cell r="G1864">
            <v>42370</v>
          </cell>
          <cell r="L1864" t="str">
            <v>06-20-006-09W2</v>
          </cell>
          <cell r="O1864">
            <v>879.5</v>
          </cell>
          <cell r="Q1864">
            <v>2.23</v>
          </cell>
          <cell r="T1864">
            <v>333.875</v>
          </cell>
        </row>
        <row r="1865">
          <cell r="G1865">
            <v>42370</v>
          </cell>
          <cell r="L1865" t="str">
            <v>13-22-001-12W2</v>
          </cell>
          <cell r="O1865">
            <v>810.4</v>
          </cell>
          <cell r="Q1865">
            <v>0.12</v>
          </cell>
          <cell r="T1865">
            <v>100.902</v>
          </cell>
        </row>
        <row r="1866">
          <cell r="G1866">
            <v>42370</v>
          </cell>
          <cell r="L1866" t="str">
            <v>06-29-022-06W2</v>
          </cell>
          <cell r="O1866">
            <v>895.4</v>
          </cell>
          <cell r="Q1866">
            <v>0.97</v>
          </cell>
          <cell r="T1866">
            <v>93.691000000000003</v>
          </cell>
        </row>
        <row r="1867">
          <cell r="G1867">
            <v>42370</v>
          </cell>
          <cell r="L1867" t="str">
            <v>04-34-005-11W2</v>
          </cell>
          <cell r="O1867">
            <v>883.8</v>
          </cell>
          <cell r="Q1867">
            <v>2.0499999999999998</v>
          </cell>
          <cell r="T1867">
            <v>34.234000000000002</v>
          </cell>
        </row>
        <row r="1868">
          <cell r="G1868">
            <v>42370</v>
          </cell>
          <cell r="L1868" t="str">
            <v>13-34-001-13W2</v>
          </cell>
          <cell r="O1868">
            <v>814.6</v>
          </cell>
          <cell r="Q1868">
            <v>0.2</v>
          </cell>
          <cell r="T1868">
            <v>34.186</v>
          </cell>
        </row>
        <row r="1869">
          <cell r="G1869">
            <v>42370</v>
          </cell>
          <cell r="L1869" t="str">
            <v>15-23-006-08W2</v>
          </cell>
          <cell r="O1869">
            <v>858.3</v>
          </cell>
          <cell r="Q1869">
            <v>1.79</v>
          </cell>
          <cell r="T1869">
            <v>32.677</v>
          </cell>
        </row>
        <row r="1870">
          <cell r="G1870">
            <v>42370</v>
          </cell>
          <cell r="L1870" t="str">
            <v>06-17-006-14W2</v>
          </cell>
          <cell r="O1870">
            <v>871.9</v>
          </cell>
          <cell r="Q1870">
            <v>1.72</v>
          </cell>
          <cell r="T1870">
            <v>3509.1489999999999</v>
          </cell>
        </row>
        <row r="1871">
          <cell r="G1871">
            <v>42370</v>
          </cell>
          <cell r="L1871" t="str">
            <v>10-11-005-14W2</v>
          </cell>
          <cell r="O1871">
            <v>900.7</v>
          </cell>
          <cell r="Q1871">
            <v>2.92</v>
          </cell>
          <cell r="T1871">
            <v>432.5</v>
          </cell>
        </row>
        <row r="1872">
          <cell r="G1872">
            <v>42370</v>
          </cell>
          <cell r="L1872" t="str">
            <v>12-13-006-13W2</v>
          </cell>
          <cell r="O1872">
            <v>867.3</v>
          </cell>
          <cell r="Q1872">
            <v>2.4700000000000002</v>
          </cell>
          <cell r="T1872">
            <v>364.79599999999999</v>
          </cell>
        </row>
        <row r="1873">
          <cell r="G1873">
            <v>42370</v>
          </cell>
          <cell r="L1873" t="str">
            <v>03-15-005-13W2</v>
          </cell>
          <cell r="O1873">
            <v>900.4</v>
          </cell>
          <cell r="Q1873">
            <v>2.85</v>
          </cell>
          <cell r="T1873">
            <v>318.39400000000001</v>
          </cell>
        </row>
        <row r="1874">
          <cell r="G1874">
            <v>42370</v>
          </cell>
          <cell r="L1874" t="str">
            <v>15-19-005-13W2</v>
          </cell>
          <cell r="O1874">
            <v>895.6</v>
          </cell>
          <cell r="Q1874">
            <v>2.64</v>
          </cell>
          <cell r="T1874">
            <v>250.42</v>
          </cell>
        </row>
        <row r="1875">
          <cell r="G1875">
            <v>42370</v>
          </cell>
          <cell r="L1875" t="str">
            <v>08-23-005-14W2</v>
          </cell>
          <cell r="O1875">
            <v>878.8</v>
          </cell>
          <cell r="Q1875">
            <v>2.52</v>
          </cell>
          <cell r="T1875">
            <v>162.63399999999999</v>
          </cell>
        </row>
        <row r="1876">
          <cell r="G1876">
            <v>42370</v>
          </cell>
          <cell r="L1876" t="str">
            <v>11-12-006-15W2</v>
          </cell>
          <cell r="O1876">
            <v>872</v>
          </cell>
          <cell r="Q1876">
            <v>2.2999999999999998</v>
          </cell>
          <cell r="T1876">
            <v>7935.4639999999999</v>
          </cell>
        </row>
        <row r="1877">
          <cell r="G1877">
            <v>42370</v>
          </cell>
          <cell r="L1877" t="str">
            <v>07-24-006-15W2</v>
          </cell>
          <cell r="O1877">
            <v>864.8</v>
          </cell>
          <cell r="Q1877">
            <v>2.27</v>
          </cell>
          <cell r="T1877">
            <v>1115.8309999999999</v>
          </cell>
        </row>
        <row r="1878">
          <cell r="G1878">
            <v>42370</v>
          </cell>
          <cell r="L1878" t="str">
            <v>07-07-006-15W2</v>
          </cell>
          <cell r="O1878">
            <v>870.3</v>
          </cell>
          <cell r="Q1878">
            <v>2.59</v>
          </cell>
          <cell r="T1878">
            <v>8594.3690000000006</v>
          </cell>
        </row>
        <row r="1879">
          <cell r="G1879">
            <v>42370</v>
          </cell>
          <cell r="L1879" t="str">
            <v>12-30-006-15W2</v>
          </cell>
          <cell r="O1879">
            <v>893</v>
          </cell>
          <cell r="Q1879">
            <v>2.8</v>
          </cell>
          <cell r="T1879">
            <v>4417.058</v>
          </cell>
        </row>
        <row r="1880">
          <cell r="G1880">
            <v>42370</v>
          </cell>
          <cell r="L1880" t="str">
            <v>12-11-001-10W2</v>
          </cell>
          <cell r="O1880">
            <v>820.5</v>
          </cell>
          <cell r="Q1880">
            <v>0.21</v>
          </cell>
          <cell r="T1880">
            <v>3808.7809999999999</v>
          </cell>
        </row>
        <row r="1881">
          <cell r="G1881">
            <v>42370</v>
          </cell>
          <cell r="L1881" t="str">
            <v>31-30-164-92W1</v>
          </cell>
          <cell r="O1881">
            <v>830.5</v>
          </cell>
          <cell r="Q1881">
            <v>0.57999999999999996</v>
          </cell>
          <cell r="T1881">
            <v>2927.3040000000001</v>
          </cell>
        </row>
        <row r="1882">
          <cell r="G1882">
            <v>42370</v>
          </cell>
          <cell r="L1882" t="str">
            <v>12-32-006-04W2</v>
          </cell>
          <cell r="O1882">
            <v>859.3</v>
          </cell>
          <cell r="Q1882">
            <v>1.68</v>
          </cell>
          <cell r="T1882">
            <v>2156.8389999999999</v>
          </cell>
        </row>
        <row r="1883">
          <cell r="G1883">
            <v>42370</v>
          </cell>
          <cell r="L1883" t="str">
            <v>16-19-002-04W2</v>
          </cell>
          <cell r="O1883">
            <v>832.9</v>
          </cell>
          <cell r="Q1883">
            <v>0.55000000000000004</v>
          </cell>
          <cell r="T1883">
            <v>2149.3440000000001</v>
          </cell>
        </row>
        <row r="1884">
          <cell r="G1884">
            <v>42370</v>
          </cell>
          <cell r="L1884" t="str">
            <v>11-12-007-04W2</v>
          </cell>
          <cell r="O1884">
            <v>851.8</v>
          </cell>
          <cell r="Q1884">
            <v>1.42</v>
          </cell>
          <cell r="T1884">
            <v>2050.4589999999998</v>
          </cell>
        </row>
        <row r="1885">
          <cell r="G1885">
            <v>42370</v>
          </cell>
          <cell r="L1885" t="str">
            <v>09-02-007-05W2</v>
          </cell>
          <cell r="O1885">
            <v>854.6</v>
          </cell>
          <cell r="Q1885">
            <v>1.85</v>
          </cell>
          <cell r="T1885">
            <v>1697.6479999999999</v>
          </cell>
        </row>
        <row r="1886">
          <cell r="G1886">
            <v>42370</v>
          </cell>
          <cell r="L1886" t="str">
            <v>14-03-001-03W2</v>
          </cell>
          <cell r="O1886">
            <v>804.2</v>
          </cell>
          <cell r="Q1886">
            <v>0.12</v>
          </cell>
          <cell r="T1886">
            <v>1451.2529999999999</v>
          </cell>
        </row>
        <row r="1887">
          <cell r="G1887">
            <v>42370</v>
          </cell>
          <cell r="L1887" t="str">
            <v>05-20-001-02W2</v>
          </cell>
          <cell r="O1887">
            <v>830.4</v>
          </cell>
          <cell r="Q1887">
            <v>0.53</v>
          </cell>
          <cell r="T1887">
            <v>1227.588</v>
          </cell>
        </row>
        <row r="1888">
          <cell r="G1888">
            <v>42370</v>
          </cell>
          <cell r="L1888" t="str">
            <v>02-31-145-98W1</v>
          </cell>
          <cell r="O1888">
            <v>818.1</v>
          </cell>
          <cell r="Q1888">
            <v>0.41</v>
          </cell>
          <cell r="T1888">
            <v>932.35400000000004</v>
          </cell>
        </row>
        <row r="1889">
          <cell r="G1889">
            <v>42370</v>
          </cell>
          <cell r="L1889" t="str">
            <v>03-10-145-98W1</v>
          </cell>
          <cell r="O1889">
            <v>816.1</v>
          </cell>
          <cell r="Q1889">
            <v>0.37</v>
          </cell>
          <cell r="T1889">
            <v>849.28599999999994</v>
          </cell>
        </row>
        <row r="1890">
          <cell r="G1890">
            <v>42370</v>
          </cell>
          <cell r="L1890" t="str">
            <v>16-03-001-03W2</v>
          </cell>
          <cell r="O1890">
            <v>836.2</v>
          </cell>
          <cell r="Q1890">
            <v>0.62</v>
          </cell>
          <cell r="T1890">
            <v>771.96900000000005</v>
          </cell>
        </row>
        <row r="1891">
          <cell r="G1891">
            <v>42370</v>
          </cell>
          <cell r="L1891" t="str">
            <v>01-19-145-98W1</v>
          </cell>
          <cell r="O1891">
            <v>814.8</v>
          </cell>
          <cell r="Q1891">
            <v>0.36</v>
          </cell>
          <cell r="T1891">
            <v>700.54600000000005</v>
          </cell>
        </row>
        <row r="1892">
          <cell r="G1892">
            <v>42370</v>
          </cell>
          <cell r="L1892" t="str">
            <v>04-23-006-07W2</v>
          </cell>
          <cell r="O1892">
            <v>867.9</v>
          </cell>
          <cell r="Q1892">
            <v>1.77</v>
          </cell>
          <cell r="T1892">
            <v>634.66999999999996</v>
          </cell>
        </row>
        <row r="1893">
          <cell r="G1893">
            <v>42370</v>
          </cell>
          <cell r="L1893" t="str">
            <v>09-20-006-04W2</v>
          </cell>
          <cell r="O1893">
            <v>855.8</v>
          </cell>
          <cell r="Q1893">
            <v>1.57</v>
          </cell>
          <cell r="T1893">
            <v>616.74699999999996</v>
          </cell>
        </row>
        <row r="1894">
          <cell r="G1894">
            <v>42370</v>
          </cell>
          <cell r="L1894" t="str">
            <v>02-34-143-100W1</v>
          </cell>
          <cell r="O1894">
            <v>826.3</v>
          </cell>
          <cell r="Q1894">
            <v>0.33</v>
          </cell>
          <cell r="T1894">
            <v>580.68799999999999</v>
          </cell>
        </row>
        <row r="1895">
          <cell r="G1895">
            <v>42370</v>
          </cell>
          <cell r="L1895" t="str">
            <v>01-02-021-58W1</v>
          </cell>
          <cell r="O1895">
            <v>828</v>
          </cell>
          <cell r="Q1895">
            <v>0.46</v>
          </cell>
          <cell r="T1895">
            <v>336.39800000000002</v>
          </cell>
        </row>
        <row r="1896">
          <cell r="G1896">
            <v>42370</v>
          </cell>
          <cell r="L1896" t="str">
            <v>13-19-001-03W2</v>
          </cell>
          <cell r="O1896">
            <v>837.2</v>
          </cell>
          <cell r="Q1896">
            <v>0.59</v>
          </cell>
          <cell r="T1896">
            <v>317.80900000000003</v>
          </cell>
        </row>
        <row r="1897">
          <cell r="G1897">
            <v>42370</v>
          </cell>
          <cell r="L1897" t="str">
            <v>33-14-160-95W1</v>
          </cell>
          <cell r="O1897">
            <v>805.2</v>
          </cell>
          <cell r="Q1897">
            <v>0.15</v>
          </cell>
          <cell r="T1897">
            <v>262.78500000000003</v>
          </cell>
        </row>
        <row r="1898">
          <cell r="G1898">
            <v>42370</v>
          </cell>
          <cell r="L1898" t="str">
            <v>01-22-142-100W1</v>
          </cell>
          <cell r="O1898">
            <v>820.2</v>
          </cell>
          <cell r="Q1898">
            <v>0.31</v>
          </cell>
          <cell r="T1898">
            <v>258.12200000000001</v>
          </cell>
        </row>
        <row r="1899">
          <cell r="G1899">
            <v>42370</v>
          </cell>
          <cell r="L1899" t="str">
            <v>24-06-158-95W1</v>
          </cell>
          <cell r="O1899">
            <v>810.5</v>
          </cell>
          <cell r="Q1899">
            <v>0.12</v>
          </cell>
          <cell r="T1899">
            <v>205.05</v>
          </cell>
        </row>
        <row r="1900">
          <cell r="G1900">
            <v>42370</v>
          </cell>
          <cell r="L1900" t="str">
            <v>11-25-005-06W2</v>
          </cell>
          <cell r="O1900">
            <v>852.7</v>
          </cell>
          <cell r="Q1900">
            <v>1.0900000000000001</v>
          </cell>
          <cell r="T1900">
            <v>204.57900000000001</v>
          </cell>
        </row>
        <row r="1901">
          <cell r="G1901">
            <v>42370</v>
          </cell>
          <cell r="L1901" t="str">
            <v>02-30-147-97W1</v>
          </cell>
          <cell r="O1901">
            <v>815.2</v>
          </cell>
          <cell r="Q1901">
            <v>0.45</v>
          </cell>
          <cell r="T1901">
            <v>203.846</v>
          </cell>
        </row>
        <row r="1902">
          <cell r="G1902">
            <v>42370</v>
          </cell>
          <cell r="L1902" t="str">
            <v>01-03-162-92W1</v>
          </cell>
          <cell r="O1902">
            <v>856.9</v>
          </cell>
          <cell r="Q1902">
            <v>0.5</v>
          </cell>
          <cell r="T1902">
            <v>201.19499999999999</v>
          </cell>
        </row>
        <row r="1903">
          <cell r="G1903">
            <v>42370</v>
          </cell>
          <cell r="L1903" t="str">
            <v>01-28-142-100W1</v>
          </cell>
          <cell r="O1903">
            <v>834.3</v>
          </cell>
          <cell r="Q1903">
            <v>0.38</v>
          </cell>
          <cell r="T1903">
            <v>196.25</v>
          </cell>
        </row>
        <row r="1904">
          <cell r="G1904">
            <v>42370</v>
          </cell>
          <cell r="L1904" t="str">
            <v>07-04-005-04W2</v>
          </cell>
          <cell r="O1904">
            <v>823.8</v>
          </cell>
          <cell r="Q1904">
            <v>0.84</v>
          </cell>
          <cell r="T1904">
            <v>183.54400000000001</v>
          </cell>
        </row>
        <row r="1905">
          <cell r="G1905">
            <v>42370</v>
          </cell>
          <cell r="L1905" t="str">
            <v>01-18-145-97W1</v>
          </cell>
          <cell r="O1905">
            <v>821.5</v>
          </cell>
          <cell r="Q1905">
            <v>0.44</v>
          </cell>
          <cell r="T1905">
            <v>177.00899999999999</v>
          </cell>
        </row>
        <row r="1906">
          <cell r="G1906">
            <v>42370</v>
          </cell>
          <cell r="L1906" t="str">
            <v>43-03-160-95W1</v>
          </cell>
          <cell r="O1906">
            <v>800.1</v>
          </cell>
          <cell r="Q1906">
            <v>0.26</v>
          </cell>
          <cell r="T1906">
            <v>168.02699999999999</v>
          </cell>
        </row>
        <row r="1907">
          <cell r="G1907">
            <v>42370</v>
          </cell>
          <cell r="L1907" t="str">
            <v>02-30-004-05W2</v>
          </cell>
          <cell r="O1907">
            <v>855.6</v>
          </cell>
          <cell r="Q1907">
            <v>0.78</v>
          </cell>
          <cell r="T1907">
            <v>154.77000000000001</v>
          </cell>
        </row>
        <row r="1908">
          <cell r="G1908">
            <v>42370</v>
          </cell>
          <cell r="L1908" t="str">
            <v>04-19-147-97W1</v>
          </cell>
          <cell r="O1908">
            <v>820.6</v>
          </cell>
          <cell r="Q1908">
            <v>0.61</v>
          </cell>
          <cell r="T1908">
            <v>139.535</v>
          </cell>
        </row>
        <row r="1909">
          <cell r="G1909">
            <v>42370</v>
          </cell>
          <cell r="L1909" t="str">
            <v>01-17-143-101W1</v>
          </cell>
          <cell r="O1909">
            <v>833.3</v>
          </cell>
          <cell r="Q1909">
            <v>0.51</v>
          </cell>
          <cell r="T1909">
            <v>136.80600000000001</v>
          </cell>
        </row>
        <row r="1910">
          <cell r="G1910">
            <v>42370</v>
          </cell>
          <cell r="L1910" t="str">
            <v>05-25-147-98W1</v>
          </cell>
          <cell r="O1910">
            <v>847</v>
          </cell>
          <cell r="Q1910">
            <v>0.46</v>
          </cell>
          <cell r="T1910">
            <v>136.57</v>
          </cell>
        </row>
        <row r="1911">
          <cell r="G1911">
            <v>42370</v>
          </cell>
          <cell r="L1911" t="str">
            <v>01-28-141-100W1</v>
          </cell>
          <cell r="O1911">
            <v>827.3</v>
          </cell>
          <cell r="Q1911">
            <v>0.38</v>
          </cell>
          <cell r="T1911">
            <v>136.53100000000001</v>
          </cell>
        </row>
        <row r="1912">
          <cell r="G1912">
            <v>42370</v>
          </cell>
          <cell r="L1912" t="str">
            <v>01-33-141-100W1</v>
          </cell>
          <cell r="O1912">
            <v>823.8</v>
          </cell>
          <cell r="Q1912">
            <v>0.41</v>
          </cell>
          <cell r="T1912">
            <v>134.76900000000001</v>
          </cell>
        </row>
        <row r="1913">
          <cell r="G1913">
            <v>42370</v>
          </cell>
          <cell r="L1913" t="str">
            <v>02-09-142-100W1</v>
          </cell>
          <cell r="O1913">
            <v>824.9</v>
          </cell>
          <cell r="Q1913">
            <v>0.45</v>
          </cell>
          <cell r="T1913">
            <v>133.50200000000001</v>
          </cell>
        </row>
        <row r="1914">
          <cell r="G1914">
            <v>42370</v>
          </cell>
          <cell r="L1914" t="str">
            <v>01-09-143-101W1</v>
          </cell>
          <cell r="O1914">
            <v>833.7</v>
          </cell>
          <cell r="Q1914">
            <v>0.51</v>
          </cell>
          <cell r="T1914">
            <v>132.61600000000001</v>
          </cell>
        </row>
        <row r="1915">
          <cell r="G1915">
            <v>42370</v>
          </cell>
          <cell r="L1915" t="str">
            <v>12-03-146-100W1</v>
          </cell>
          <cell r="O1915">
            <v>839.3</v>
          </cell>
          <cell r="Q1915">
            <v>0.47</v>
          </cell>
          <cell r="T1915">
            <v>125.932</v>
          </cell>
        </row>
        <row r="1916">
          <cell r="G1916">
            <v>42370</v>
          </cell>
          <cell r="L1916" t="str">
            <v>09-30-006-05W2</v>
          </cell>
          <cell r="O1916">
            <v>823.6</v>
          </cell>
          <cell r="Q1916">
            <v>0.23</v>
          </cell>
          <cell r="T1916">
            <v>120.773</v>
          </cell>
        </row>
        <row r="1917">
          <cell r="G1917">
            <v>42370</v>
          </cell>
          <cell r="L1917" t="str">
            <v>07-22-003-03W2</v>
          </cell>
          <cell r="O1917">
            <v>833.3</v>
          </cell>
          <cell r="Q1917">
            <v>0.6</v>
          </cell>
          <cell r="T1917">
            <v>117.55500000000001</v>
          </cell>
        </row>
        <row r="1918">
          <cell r="G1918">
            <v>42370</v>
          </cell>
          <cell r="L1918" t="str">
            <v>08-22-002-09W2</v>
          </cell>
          <cell r="O1918">
            <v>837.7</v>
          </cell>
          <cell r="Q1918">
            <v>0.27</v>
          </cell>
          <cell r="T1918">
            <v>112.63</v>
          </cell>
        </row>
        <row r="1919">
          <cell r="G1919">
            <v>42370</v>
          </cell>
          <cell r="L1919" t="str">
            <v>09-19-004-04W2</v>
          </cell>
          <cell r="O1919">
            <v>845.9</v>
          </cell>
          <cell r="Q1919">
            <v>1</v>
          </cell>
          <cell r="T1919">
            <v>109.057</v>
          </cell>
        </row>
        <row r="1920">
          <cell r="G1920">
            <v>42370</v>
          </cell>
          <cell r="L1920" t="str">
            <v>04-25-144-98W1</v>
          </cell>
          <cell r="O1920">
            <v>820.7</v>
          </cell>
          <cell r="Q1920">
            <v>0.48</v>
          </cell>
          <cell r="T1920">
            <v>108.569</v>
          </cell>
        </row>
        <row r="1921">
          <cell r="G1921">
            <v>42370</v>
          </cell>
          <cell r="L1921" t="str">
            <v>01-02-151-102W1</v>
          </cell>
          <cell r="O1921">
            <v>836.6</v>
          </cell>
          <cell r="Q1921">
            <v>0.34</v>
          </cell>
          <cell r="T1921">
            <v>106.515</v>
          </cell>
        </row>
        <row r="1922">
          <cell r="G1922">
            <v>42370</v>
          </cell>
          <cell r="L1922" t="str">
            <v>13-11-160-95W1</v>
          </cell>
          <cell r="O1922">
            <v>804.1</v>
          </cell>
          <cell r="Q1922">
            <v>0.13</v>
          </cell>
          <cell r="T1922">
            <v>106.492</v>
          </cell>
        </row>
        <row r="1923">
          <cell r="G1923">
            <v>42370</v>
          </cell>
          <cell r="L1923" t="str">
            <v>01-13-022-57W1</v>
          </cell>
          <cell r="O1923">
            <v>816.4</v>
          </cell>
          <cell r="Q1923">
            <v>0.11</v>
          </cell>
          <cell r="T1923">
            <v>106.343</v>
          </cell>
        </row>
        <row r="1924">
          <cell r="G1924">
            <v>42370</v>
          </cell>
          <cell r="L1924" t="str">
            <v>03-25-147-98W1</v>
          </cell>
          <cell r="O1924">
            <v>810.6</v>
          </cell>
          <cell r="Q1924">
            <v>0.42</v>
          </cell>
          <cell r="T1924">
            <v>105.376</v>
          </cell>
        </row>
        <row r="1925">
          <cell r="G1925">
            <v>42370</v>
          </cell>
          <cell r="L1925" t="str">
            <v>08-31-007-07W2</v>
          </cell>
          <cell r="O1925">
            <v>868.6</v>
          </cell>
          <cell r="Q1925">
            <v>1.88</v>
          </cell>
          <cell r="T1925">
            <v>104.617</v>
          </cell>
        </row>
        <row r="1926">
          <cell r="G1926">
            <v>42370</v>
          </cell>
          <cell r="L1926" t="str">
            <v>01-15-022-57W1</v>
          </cell>
          <cell r="O1926">
            <v>810.5</v>
          </cell>
          <cell r="Q1926">
            <v>0.37</v>
          </cell>
          <cell r="T1926">
            <v>104.324</v>
          </cell>
        </row>
        <row r="1927">
          <cell r="G1927">
            <v>42370</v>
          </cell>
          <cell r="L1927" t="str">
            <v>01-20-147-97W1</v>
          </cell>
          <cell r="O1927">
            <v>820.6</v>
          </cell>
          <cell r="Q1927">
            <v>0.7</v>
          </cell>
          <cell r="T1927">
            <v>103.548</v>
          </cell>
        </row>
        <row r="1928">
          <cell r="G1928">
            <v>42370</v>
          </cell>
          <cell r="L1928" t="str">
            <v>34-31-141-97W1</v>
          </cell>
          <cell r="O1928">
            <v>827.8</v>
          </cell>
          <cell r="Q1928">
            <v>0.76</v>
          </cell>
          <cell r="T1928">
            <v>102.73099999999999</v>
          </cell>
        </row>
        <row r="1929">
          <cell r="G1929">
            <v>42370</v>
          </cell>
          <cell r="L1929" t="str">
            <v>22-11-160-95W1</v>
          </cell>
          <cell r="O1929">
            <v>815.9</v>
          </cell>
          <cell r="Q1929">
            <v>0.14000000000000001</v>
          </cell>
          <cell r="T1929">
            <v>102.023</v>
          </cell>
        </row>
        <row r="1930">
          <cell r="G1930">
            <v>42370</v>
          </cell>
          <cell r="L1930" t="str">
            <v>01-30-147-97W1</v>
          </cell>
          <cell r="O1930">
            <v>807.7</v>
          </cell>
          <cell r="Q1930">
            <v>0.54</v>
          </cell>
          <cell r="T1930">
            <v>102.003</v>
          </cell>
        </row>
        <row r="1931">
          <cell r="G1931">
            <v>42370</v>
          </cell>
          <cell r="L1931" t="str">
            <v>04-24-147-98W1</v>
          </cell>
          <cell r="O1931">
            <v>814.4</v>
          </cell>
          <cell r="Q1931">
            <v>0.56000000000000005</v>
          </cell>
          <cell r="T1931">
            <v>98.350999999999999</v>
          </cell>
        </row>
        <row r="1932">
          <cell r="G1932">
            <v>42370</v>
          </cell>
          <cell r="L1932" t="str">
            <v>18-16-154-95W1</v>
          </cell>
          <cell r="O1932">
            <v>818.1</v>
          </cell>
          <cell r="Q1932">
            <v>0.89</v>
          </cell>
          <cell r="T1932">
            <v>94.566999999999993</v>
          </cell>
        </row>
        <row r="1933">
          <cell r="G1933">
            <v>42370</v>
          </cell>
          <cell r="L1933" t="str">
            <v>01-55-159-94W1</v>
          </cell>
          <cell r="O1933">
            <v>834.8</v>
          </cell>
          <cell r="Q1933">
            <v>0.38</v>
          </cell>
          <cell r="T1933">
            <v>94.370999999999995</v>
          </cell>
        </row>
        <row r="1934">
          <cell r="G1934">
            <v>42370</v>
          </cell>
          <cell r="L1934" t="str">
            <v>03-10-151-96W1</v>
          </cell>
          <cell r="O1934">
            <v>816.2</v>
          </cell>
          <cell r="Q1934">
            <v>0.24</v>
          </cell>
          <cell r="T1934">
            <v>91.415999999999997</v>
          </cell>
        </row>
        <row r="1935">
          <cell r="G1935">
            <v>42370</v>
          </cell>
          <cell r="L1935" t="str">
            <v>05-01-144-97W1</v>
          </cell>
          <cell r="O1935">
            <v>827.1</v>
          </cell>
          <cell r="Q1935">
            <v>0.51</v>
          </cell>
          <cell r="T1935">
            <v>80.626000000000005</v>
          </cell>
        </row>
        <row r="1936">
          <cell r="G1936">
            <v>42370</v>
          </cell>
          <cell r="L1936" t="str">
            <v>02-34-159-95W1</v>
          </cell>
          <cell r="O1936">
            <v>852.3</v>
          </cell>
          <cell r="Q1936">
            <v>0.93</v>
          </cell>
          <cell r="T1936">
            <v>79.625</v>
          </cell>
        </row>
        <row r="1937">
          <cell r="G1937">
            <v>42370</v>
          </cell>
          <cell r="L1937" t="str">
            <v>34-01-157-95W1</v>
          </cell>
          <cell r="O1937">
            <v>819.5</v>
          </cell>
          <cell r="Q1937">
            <v>0.34</v>
          </cell>
          <cell r="T1937">
            <v>77.721999999999994</v>
          </cell>
        </row>
        <row r="1938">
          <cell r="G1938">
            <v>42370</v>
          </cell>
          <cell r="L1938" t="str">
            <v>24-01-160-96W1</v>
          </cell>
          <cell r="O1938">
            <v>832.9</v>
          </cell>
          <cell r="Q1938">
            <v>0.52</v>
          </cell>
          <cell r="T1938">
            <v>67.692999999999998</v>
          </cell>
        </row>
        <row r="1939">
          <cell r="G1939">
            <v>42370</v>
          </cell>
          <cell r="L1939" t="str">
            <v>16-04-151-96W1</v>
          </cell>
          <cell r="O1939">
            <v>810.7</v>
          </cell>
          <cell r="Q1939">
            <v>0.28000000000000003</v>
          </cell>
          <cell r="T1939">
            <v>65.894000000000005</v>
          </cell>
        </row>
        <row r="1940">
          <cell r="G1940">
            <v>42370</v>
          </cell>
          <cell r="L1940" t="str">
            <v>01-34-159-95W1</v>
          </cell>
          <cell r="O1940">
            <v>832.8</v>
          </cell>
          <cell r="Q1940">
            <v>0.56999999999999995</v>
          </cell>
          <cell r="T1940">
            <v>65.519000000000005</v>
          </cell>
        </row>
        <row r="1941">
          <cell r="G1941">
            <v>42370</v>
          </cell>
          <cell r="L1941" t="str">
            <v>10-01-157-95W1</v>
          </cell>
          <cell r="O1941">
            <v>831.5</v>
          </cell>
          <cell r="Q1941">
            <v>0.56000000000000005</v>
          </cell>
          <cell r="T1941">
            <v>60.710999999999999</v>
          </cell>
        </row>
        <row r="1942">
          <cell r="G1942">
            <v>42370</v>
          </cell>
          <cell r="L1942" t="str">
            <v>01-26-144-98W1</v>
          </cell>
          <cell r="O1942">
            <v>835.7</v>
          </cell>
          <cell r="Q1942">
            <v>0.47</v>
          </cell>
          <cell r="T1942">
            <v>60.537999999999997</v>
          </cell>
        </row>
        <row r="1943">
          <cell r="G1943">
            <v>42370</v>
          </cell>
          <cell r="L1943" t="str">
            <v>03-25-144-98W1</v>
          </cell>
          <cell r="O1943">
            <v>844.5</v>
          </cell>
          <cell r="Q1943">
            <v>0.48</v>
          </cell>
          <cell r="T1943">
            <v>60.042999999999999</v>
          </cell>
        </row>
        <row r="1944">
          <cell r="G1944">
            <v>42370</v>
          </cell>
          <cell r="L1944" t="str">
            <v>01-08-162-95W1</v>
          </cell>
          <cell r="O1944">
            <v>856</v>
          </cell>
          <cell r="Q1944">
            <v>0.95</v>
          </cell>
          <cell r="T1944">
            <v>52.524999999999999</v>
          </cell>
        </row>
        <row r="1945">
          <cell r="G1945">
            <v>42370</v>
          </cell>
          <cell r="L1945" t="str">
            <v>12-10-163-92W1</v>
          </cell>
          <cell r="O1945">
            <v>827.4</v>
          </cell>
          <cell r="Q1945">
            <v>0.57999999999999996</v>
          </cell>
          <cell r="T1945">
            <v>50.113</v>
          </cell>
        </row>
        <row r="1946">
          <cell r="G1946">
            <v>42370</v>
          </cell>
          <cell r="L1946" t="str">
            <v>11-15-163-89W1</v>
          </cell>
          <cell r="O1946">
            <v>845.7</v>
          </cell>
          <cell r="Q1946">
            <v>0.38</v>
          </cell>
          <cell r="T1946">
            <v>48.49</v>
          </cell>
        </row>
        <row r="1947">
          <cell r="G1947">
            <v>42370</v>
          </cell>
          <cell r="L1947" t="str">
            <v>01-24-144-98W1</v>
          </cell>
          <cell r="O1947">
            <v>832.7</v>
          </cell>
          <cell r="Q1947">
            <v>0.61</v>
          </cell>
          <cell r="T1947">
            <v>48.164000000000001</v>
          </cell>
        </row>
        <row r="1948">
          <cell r="G1948">
            <v>42370</v>
          </cell>
          <cell r="L1948" t="str">
            <v>01-12-144-98W1</v>
          </cell>
          <cell r="O1948">
            <v>818.6</v>
          </cell>
          <cell r="Q1948">
            <v>0.46</v>
          </cell>
          <cell r="T1948">
            <v>43.567999999999998</v>
          </cell>
        </row>
        <row r="1949">
          <cell r="G1949">
            <v>42370</v>
          </cell>
          <cell r="L1949" t="str">
            <v>13-26-007-05W2</v>
          </cell>
          <cell r="O1949">
            <v>864.9</v>
          </cell>
          <cell r="Q1949">
            <v>1.18</v>
          </cell>
          <cell r="T1949">
            <v>39.944000000000003</v>
          </cell>
        </row>
        <row r="1950">
          <cell r="G1950">
            <v>42370</v>
          </cell>
          <cell r="L1950" t="str">
            <v>03-01-158-95W1</v>
          </cell>
          <cell r="O1950">
            <v>829.5</v>
          </cell>
          <cell r="Q1950">
            <v>0.61</v>
          </cell>
          <cell r="T1950">
            <v>37.411000000000001</v>
          </cell>
        </row>
        <row r="1951">
          <cell r="G1951">
            <v>42370</v>
          </cell>
          <cell r="L1951" t="str">
            <v>10-30-147-97W1</v>
          </cell>
          <cell r="O1951">
            <v>822.5</v>
          </cell>
          <cell r="Q1951">
            <v>0.46</v>
          </cell>
          <cell r="T1951">
            <v>36.826999999999998</v>
          </cell>
        </row>
        <row r="1952">
          <cell r="G1952">
            <v>42370</v>
          </cell>
          <cell r="L1952" t="str">
            <v>01-05-161-95W1</v>
          </cell>
          <cell r="O1952">
            <v>834.2</v>
          </cell>
          <cell r="Q1952">
            <v>0.63</v>
          </cell>
          <cell r="T1952">
            <v>36.171999999999997</v>
          </cell>
        </row>
        <row r="1953">
          <cell r="G1953">
            <v>42370</v>
          </cell>
          <cell r="L1953" t="str">
            <v>44-35-022-58W1</v>
          </cell>
          <cell r="O1953">
            <v>870.2</v>
          </cell>
          <cell r="Q1953">
            <v>0.94</v>
          </cell>
          <cell r="T1953">
            <v>35.972999999999999</v>
          </cell>
        </row>
        <row r="1954">
          <cell r="G1954">
            <v>42370</v>
          </cell>
          <cell r="L1954" t="str">
            <v>01-03-154-95W1</v>
          </cell>
          <cell r="O1954">
            <v>826.1</v>
          </cell>
          <cell r="Q1954">
            <v>0.3</v>
          </cell>
          <cell r="T1954">
            <v>35.795000000000002</v>
          </cell>
        </row>
        <row r="1955">
          <cell r="G1955">
            <v>42370</v>
          </cell>
          <cell r="L1955" t="str">
            <v>01-18-147-97W1</v>
          </cell>
          <cell r="O1955">
            <v>819.6</v>
          </cell>
          <cell r="Q1955">
            <v>0.77</v>
          </cell>
          <cell r="T1955">
            <v>35.302</v>
          </cell>
        </row>
        <row r="1956">
          <cell r="G1956">
            <v>42370</v>
          </cell>
          <cell r="L1956" t="str">
            <v>04-03-157-95W1</v>
          </cell>
          <cell r="O1956">
            <v>835.9</v>
          </cell>
          <cell r="Q1956">
            <v>0.75</v>
          </cell>
          <cell r="T1956">
            <v>35.020000000000003</v>
          </cell>
        </row>
        <row r="1957">
          <cell r="G1957">
            <v>42370</v>
          </cell>
          <cell r="L1957" t="str">
            <v>01-02-158-95W1</v>
          </cell>
          <cell r="O1957">
            <v>831.4</v>
          </cell>
          <cell r="Q1957">
            <v>0.53</v>
          </cell>
          <cell r="T1957">
            <v>34.003</v>
          </cell>
        </row>
        <row r="1958">
          <cell r="G1958">
            <v>42370</v>
          </cell>
          <cell r="L1958" t="str">
            <v>02-18-154-95W1</v>
          </cell>
          <cell r="O1958">
            <v>815.6</v>
          </cell>
          <cell r="Q1958">
            <v>0.46</v>
          </cell>
          <cell r="T1958">
            <v>33.854999999999997</v>
          </cell>
        </row>
        <row r="1959">
          <cell r="G1959">
            <v>42370</v>
          </cell>
          <cell r="L1959" t="str">
            <v>25-11-159-102W1</v>
          </cell>
          <cell r="O1959">
            <v>833.9</v>
          </cell>
          <cell r="Q1959">
            <v>0.43</v>
          </cell>
          <cell r="T1959">
            <v>33.475999999999999</v>
          </cell>
        </row>
        <row r="1960">
          <cell r="G1960">
            <v>42370</v>
          </cell>
          <cell r="L1960" t="str">
            <v>01-03-155-91W1</v>
          </cell>
          <cell r="O1960">
            <v>864.4</v>
          </cell>
          <cell r="Q1960">
            <v>1.27</v>
          </cell>
          <cell r="T1960">
            <v>32.32</v>
          </cell>
        </row>
        <row r="1961">
          <cell r="G1961">
            <v>42370</v>
          </cell>
          <cell r="L1961" t="str">
            <v>02-23-144-102W1</v>
          </cell>
          <cell r="O1961">
            <v>836.2</v>
          </cell>
          <cell r="Q1961">
            <v>0.91</v>
          </cell>
          <cell r="T1961">
            <v>32.085000000000001</v>
          </cell>
        </row>
        <row r="1962">
          <cell r="G1962">
            <v>42370</v>
          </cell>
          <cell r="L1962" t="str">
            <v>01-08-153-95W1</v>
          </cell>
          <cell r="O1962">
            <v>812.8</v>
          </cell>
          <cell r="Q1962">
            <v>0.28999999999999998</v>
          </cell>
          <cell r="T1962">
            <v>32.061</v>
          </cell>
        </row>
        <row r="1963">
          <cell r="G1963">
            <v>42370</v>
          </cell>
          <cell r="L1963" t="str">
            <v>15-01-144-102W1</v>
          </cell>
          <cell r="O1963">
            <v>851.8</v>
          </cell>
          <cell r="Q1963">
            <v>0.82</v>
          </cell>
          <cell r="T1963">
            <v>30.498000000000001</v>
          </cell>
        </row>
        <row r="1964">
          <cell r="G1964">
            <v>42370</v>
          </cell>
          <cell r="L1964" t="str">
            <v>99-31-160-94W1</v>
          </cell>
          <cell r="O1964">
            <v>817.3</v>
          </cell>
          <cell r="Q1964">
            <v>0.25</v>
          </cell>
          <cell r="T1964">
            <v>30.181000000000001</v>
          </cell>
        </row>
        <row r="1965">
          <cell r="G1965">
            <v>42370</v>
          </cell>
          <cell r="L1965" t="str">
            <v>01-32-164-01W1</v>
          </cell>
          <cell r="O1965">
            <v>843.8</v>
          </cell>
          <cell r="Q1965">
            <v>0.47</v>
          </cell>
          <cell r="T1965">
            <v>30.135000000000002</v>
          </cell>
        </row>
        <row r="1966">
          <cell r="G1966">
            <v>42370</v>
          </cell>
          <cell r="L1966" t="str">
            <v>01-28-152-101W1</v>
          </cell>
          <cell r="O1966">
            <v>830.3</v>
          </cell>
          <cell r="Q1966">
            <v>0.43</v>
          </cell>
          <cell r="T1966">
            <v>30.108000000000001</v>
          </cell>
        </row>
        <row r="1967">
          <cell r="G1967">
            <v>42370</v>
          </cell>
          <cell r="L1967" t="str">
            <v>03-05-157-95W1</v>
          </cell>
          <cell r="O1967">
            <v>838</v>
          </cell>
          <cell r="Q1967">
            <v>0.74</v>
          </cell>
          <cell r="T1967">
            <v>30.087</v>
          </cell>
        </row>
        <row r="1968">
          <cell r="G1968">
            <v>42370</v>
          </cell>
          <cell r="L1968" t="str">
            <v>01-20-163-91W1</v>
          </cell>
          <cell r="O1968">
            <v>840</v>
          </cell>
          <cell r="Q1968">
            <v>0.5</v>
          </cell>
          <cell r="T1968">
            <v>30.074999999999999</v>
          </cell>
        </row>
        <row r="1969">
          <cell r="G1969">
            <v>42370</v>
          </cell>
          <cell r="L1969" t="str">
            <v>01-33-164-91W1</v>
          </cell>
          <cell r="O1969">
            <v>828.8</v>
          </cell>
          <cell r="Q1969">
            <v>0.53</v>
          </cell>
          <cell r="T1969">
            <v>30.047999999999998</v>
          </cell>
        </row>
        <row r="1970">
          <cell r="G1970">
            <v>42370</v>
          </cell>
          <cell r="L1970" t="str">
            <v>04-04-157-95W1</v>
          </cell>
          <cell r="O1970">
            <v>842.9</v>
          </cell>
          <cell r="Q1970">
            <v>0.62</v>
          </cell>
          <cell r="T1970">
            <v>29.77</v>
          </cell>
        </row>
        <row r="1971">
          <cell r="G1971">
            <v>42370</v>
          </cell>
          <cell r="L1971" t="str">
            <v>01-18-163-92W1</v>
          </cell>
          <cell r="O1971">
            <v>836.9</v>
          </cell>
          <cell r="Q1971">
            <v>0.71</v>
          </cell>
          <cell r="T1971">
            <v>29.721</v>
          </cell>
        </row>
        <row r="1972">
          <cell r="G1972">
            <v>42370</v>
          </cell>
          <cell r="L1972" t="str">
            <v>01-18-162-91W1</v>
          </cell>
          <cell r="O1972">
            <v>852.8</v>
          </cell>
          <cell r="Q1972">
            <v>0.53</v>
          </cell>
          <cell r="T1972">
            <v>27.63</v>
          </cell>
        </row>
        <row r="1973">
          <cell r="G1973">
            <v>42370</v>
          </cell>
          <cell r="L1973" t="str">
            <v>01-03-158-95W1</v>
          </cell>
          <cell r="O1973">
            <v>844.6</v>
          </cell>
          <cell r="Q1973">
            <v>0.75</v>
          </cell>
          <cell r="T1973">
            <v>26.768999999999998</v>
          </cell>
        </row>
        <row r="1974">
          <cell r="G1974">
            <v>42370</v>
          </cell>
          <cell r="L1974" t="str">
            <v>01-11-161-92W1</v>
          </cell>
          <cell r="O1974">
            <v>853.5</v>
          </cell>
          <cell r="Q1974">
            <v>0.77</v>
          </cell>
          <cell r="T1974">
            <v>25.334</v>
          </cell>
        </row>
        <row r="1975">
          <cell r="G1975">
            <v>42370</v>
          </cell>
          <cell r="L1975" t="str">
            <v>07-33-161-91W1</v>
          </cell>
          <cell r="O1975">
            <v>856.1</v>
          </cell>
          <cell r="Q1975">
            <v>0.54</v>
          </cell>
          <cell r="T1975">
            <v>25.143000000000001</v>
          </cell>
        </row>
        <row r="1976">
          <cell r="G1976">
            <v>42370</v>
          </cell>
          <cell r="L1976" t="str">
            <v>20-01-161-90W1</v>
          </cell>
          <cell r="O1976">
            <v>866.7</v>
          </cell>
          <cell r="Q1976">
            <v>1.4</v>
          </cell>
          <cell r="T1976">
            <v>25.055</v>
          </cell>
        </row>
        <row r="1977">
          <cell r="G1977">
            <v>42370</v>
          </cell>
          <cell r="L1977" t="str">
            <v>03-03-157-95W1</v>
          </cell>
          <cell r="O1977">
            <v>832.6</v>
          </cell>
          <cell r="Q1977">
            <v>0.51</v>
          </cell>
          <cell r="T1977">
            <v>23.763000000000002</v>
          </cell>
        </row>
        <row r="1978">
          <cell r="G1978">
            <v>42370</v>
          </cell>
          <cell r="L1978" t="str">
            <v>01-29-162-92W1</v>
          </cell>
          <cell r="O1978">
            <v>844.5</v>
          </cell>
          <cell r="Q1978">
            <v>0.55000000000000004</v>
          </cell>
          <cell r="T1978">
            <v>22.202999999999999</v>
          </cell>
        </row>
        <row r="1979">
          <cell r="G1979">
            <v>42370</v>
          </cell>
          <cell r="L1979" t="str">
            <v>34-02-157-95W1</v>
          </cell>
          <cell r="O1979">
            <v>846</v>
          </cell>
          <cell r="Q1979">
            <v>0.82</v>
          </cell>
          <cell r="T1979">
            <v>22.004000000000001</v>
          </cell>
        </row>
        <row r="1980">
          <cell r="G1980">
            <v>42370</v>
          </cell>
          <cell r="L1980" t="str">
            <v>01-36-003-03W2</v>
          </cell>
          <cell r="O1980">
            <v>840</v>
          </cell>
          <cell r="Q1980">
            <v>0.76</v>
          </cell>
          <cell r="T1980">
            <v>778.75099999999998</v>
          </cell>
        </row>
        <row r="1981">
          <cell r="G1981">
            <v>42370</v>
          </cell>
          <cell r="L1981" t="str">
            <v>07-23-010-06W2</v>
          </cell>
          <cell r="O1981">
            <v>846.2</v>
          </cell>
          <cell r="Q1981">
            <v>1.51</v>
          </cell>
          <cell r="T1981">
            <v>463.14299999999997</v>
          </cell>
        </row>
        <row r="1982">
          <cell r="G1982">
            <v>42370</v>
          </cell>
          <cell r="L1982" t="str">
            <v>05-36-002-03W2</v>
          </cell>
          <cell r="O1982">
            <v>845.2</v>
          </cell>
          <cell r="Q1982">
            <v>0.67</v>
          </cell>
          <cell r="T1982">
            <v>302.20100000000002</v>
          </cell>
        </row>
        <row r="1983">
          <cell r="G1983">
            <v>42370</v>
          </cell>
          <cell r="L1983" t="str">
            <v>08-17-005-03W2</v>
          </cell>
          <cell r="O1983">
            <v>861.2</v>
          </cell>
          <cell r="Q1983">
            <v>1.41</v>
          </cell>
          <cell r="T1983">
            <v>120.599</v>
          </cell>
        </row>
        <row r="1984">
          <cell r="G1984">
            <v>42370</v>
          </cell>
          <cell r="L1984" t="str">
            <v>09-26-007-05W2</v>
          </cell>
          <cell r="O1984">
            <v>865.8</v>
          </cell>
          <cell r="Q1984">
            <v>1.67</v>
          </cell>
          <cell r="T1984">
            <v>69.117000000000004</v>
          </cell>
        </row>
        <row r="1985">
          <cell r="G1985">
            <v>42370</v>
          </cell>
          <cell r="L1985" t="str">
            <v>12-22-010-05W2</v>
          </cell>
          <cell r="O1985">
            <v>865.4</v>
          </cell>
          <cell r="Q1985">
            <v>1.88</v>
          </cell>
          <cell r="T1985">
            <v>65.869</v>
          </cell>
        </row>
        <row r="1986">
          <cell r="G1986">
            <v>42370</v>
          </cell>
          <cell r="L1986" t="str">
            <v>16-21-001-05W2</v>
          </cell>
          <cell r="O1986">
            <v>828.9</v>
          </cell>
          <cell r="Q1986">
            <v>0.52</v>
          </cell>
          <cell r="T1986">
            <v>34.223999999999997</v>
          </cell>
        </row>
        <row r="1987">
          <cell r="G1987">
            <v>42370</v>
          </cell>
          <cell r="L1987" t="str">
            <v>11-36-005-04W2</v>
          </cell>
          <cell r="O1987">
            <v>844.1</v>
          </cell>
          <cell r="Q1987">
            <v>1</v>
          </cell>
          <cell r="T1987">
            <v>4.9009999999999998</v>
          </cell>
        </row>
        <row r="1988">
          <cell r="G1988">
            <v>42370</v>
          </cell>
          <cell r="L1988" t="str">
            <v>05-16-006-13W2</v>
          </cell>
          <cell r="O1988">
            <v>869.4</v>
          </cell>
          <cell r="Q1988">
            <v>2.41</v>
          </cell>
          <cell r="T1988">
            <v>121535.349</v>
          </cell>
        </row>
        <row r="1989">
          <cell r="G1989">
            <v>42370</v>
          </cell>
          <cell r="L1989" t="str">
            <v>08-28-005-33W1</v>
          </cell>
          <cell r="O1989">
            <v>820.3</v>
          </cell>
          <cell r="Q1989">
            <v>1.05</v>
          </cell>
          <cell r="T1989">
            <v>113303.908</v>
          </cell>
        </row>
        <row r="1990">
          <cell r="G1990">
            <v>42370</v>
          </cell>
          <cell r="L1990" t="str">
            <v>14-05-002-31W1</v>
          </cell>
          <cell r="O1990">
            <v>856.2</v>
          </cell>
          <cell r="Q1990">
            <v>1.71</v>
          </cell>
          <cell r="T1990">
            <v>2948.9169999999999</v>
          </cell>
        </row>
        <row r="1991">
          <cell r="G1991">
            <v>42370</v>
          </cell>
          <cell r="L1991" t="str">
            <v>14-13-002-02W2</v>
          </cell>
          <cell r="O1991">
            <v>821.9</v>
          </cell>
          <cell r="Q1991">
            <v>0.54</v>
          </cell>
          <cell r="T1991">
            <v>2548.9549999999999</v>
          </cell>
        </row>
        <row r="1992">
          <cell r="G1992">
            <v>42370</v>
          </cell>
          <cell r="L1992" t="str">
            <v>16-03-008-33W1</v>
          </cell>
          <cell r="O1992">
            <v>841.5</v>
          </cell>
          <cell r="Q1992">
            <v>1.25</v>
          </cell>
          <cell r="T1992">
            <v>1574.62</v>
          </cell>
        </row>
        <row r="1993">
          <cell r="G1993">
            <v>42370</v>
          </cell>
          <cell r="L1993" t="str">
            <v>01-35-007-01W2</v>
          </cell>
          <cell r="O1993">
            <v>842.5</v>
          </cell>
          <cell r="Q1993">
            <v>1.1399999999999999</v>
          </cell>
          <cell r="T1993">
            <v>1294.943</v>
          </cell>
        </row>
        <row r="1994">
          <cell r="G1994">
            <v>42370</v>
          </cell>
          <cell r="L1994" t="str">
            <v>05-18-004-02W2</v>
          </cell>
          <cell r="O1994">
            <v>846</v>
          </cell>
          <cell r="Q1994">
            <v>1.1299999999999999</v>
          </cell>
          <cell r="T1994">
            <v>1024.6869999999999</v>
          </cell>
        </row>
        <row r="1995">
          <cell r="G1995">
            <v>42370</v>
          </cell>
          <cell r="L1995" t="str">
            <v>13-17-005-33W1</v>
          </cell>
          <cell r="O1995">
            <v>825.7</v>
          </cell>
          <cell r="Q1995">
            <v>0.67</v>
          </cell>
          <cell r="T1995">
            <v>985.98500000000001</v>
          </cell>
        </row>
        <row r="1996">
          <cell r="G1996">
            <v>42370</v>
          </cell>
          <cell r="L1996" t="str">
            <v>16-04-006-32W1</v>
          </cell>
          <cell r="O1996">
            <v>838</v>
          </cell>
          <cell r="Q1996">
            <v>1.07</v>
          </cell>
          <cell r="T1996">
            <v>859.26099999999997</v>
          </cell>
        </row>
        <row r="1997">
          <cell r="G1997">
            <v>42370</v>
          </cell>
          <cell r="L1997" t="str">
            <v>16-31-001-32W1</v>
          </cell>
          <cell r="O1997">
            <v>843.2</v>
          </cell>
          <cell r="Q1997">
            <v>1.1000000000000001</v>
          </cell>
          <cell r="T1997">
            <v>690.44100000000003</v>
          </cell>
        </row>
        <row r="1998">
          <cell r="G1998">
            <v>42370</v>
          </cell>
          <cell r="L1998" t="str">
            <v>14-19-006-33W1</v>
          </cell>
          <cell r="O1998">
            <v>832.8</v>
          </cell>
          <cell r="Q1998">
            <v>1.2</v>
          </cell>
          <cell r="T1998">
            <v>556.721</v>
          </cell>
        </row>
        <row r="1999">
          <cell r="G1999">
            <v>42370</v>
          </cell>
          <cell r="L1999" t="str">
            <v>03-05-006-02W2</v>
          </cell>
          <cell r="O1999">
            <v>839.8</v>
          </cell>
          <cell r="Q1999">
            <v>1.03</v>
          </cell>
          <cell r="T1999">
            <v>524.73800000000006</v>
          </cell>
        </row>
        <row r="2000">
          <cell r="G2000">
            <v>42370</v>
          </cell>
          <cell r="L2000" t="str">
            <v>01-03-003-33W1</v>
          </cell>
          <cell r="O2000">
            <v>850.7</v>
          </cell>
          <cell r="Q2000">
            <v>0.93</v>
          </cell>
          <cell r="T2000">
            <v>478.72</v>
          </cell>
        </row>
        <row r="2001">
          <cell r="G2001">
            <v>42370</v>
          </cell>
          <cell r="L2001" t="str">
            <v>13-13-002-33W1</v>
          </cell>
          <cell r="O2001">
            <v>842.1</v>
          </cell>
          <cell r="Q2001">
            <v>0.72</v>
          </cell>
          <cell r="T2001">
            <v>278.702</v>
          </cell>
        </row>
        <row r="2002">
          <cell r="G2002">
            <v>42370</v>
          </cell>
          <cell r="L2002" t="str">
            <v>04-11-004-32W1</v>
          </cell>
          <cell r="O2002">
            <v>840.4</v>
          </cell>
          <cell r="Q2002">
            <v>1.57</v>
          </cell>
          <cell r="T2002">
            <v>272.44499999999999</v>
          </cell>
        </row>
        <row r="2003">
          <cell r="G2003">
            <v>42370</v>
          </cell>
          <cell r="L2003" t="str">
            <v>14-23-005-02W2</v>
          </cell>
          <cell r="O2003">
            <v>848.9</v>
          </cell>
          <cell r="Q2003">
            <v>1.35</v>
          </cell>
          <cell r="T2003">
            <v>269.08600000000001</v>
          </cell>
        </row>
        <row r="2004">
          <cell r="G2004">
            <v>42370</v>
          </cell>
          <cell r="L2004" t="str">
            <v>10-17-007-33W1</v>
          </cell>
          <cell r="O2004">
            <v>844.4</v>
          </cell>
          <cell r="Q2004">
            <v>1.17</v>
          </cell>
          <cell r="T2004">
            <v>255.24299999999999</v>
          </cell>
        </row>
        <row r="2005">
          <cell r="G2005">
            <v>42370</v>
          </cell>
          <cell r="L2005" t="str">
            <v>04-05-006-02W2</v>
          </cell>
          <cell r="O2005">
            <v>840.5</v>
          </cell>
          <cell r="Q2005">
            <v>1.17</v>
          </cell>
          <cell r="T2005">
            <v>220.29499999999999</v>
          </cell>
        </row>
        <row r="2006">
          <cell r="G2006">
            <v>42370</v>
          </cell>
          <cell r="L2006" t="str">
            <v>01-01-010-04W2</v>
          </cell>
          <cell r="O2006">
            <v>843.4</v>
          </cell>
          <cell r="Q2006">
            <v>1.41</v>
          </cell>
          <cell r="T2006">
            <v>192.631</v>
          </cell>
        </row>
        <row r="2007">
          <cell r="G2007">
            <v>42370</v>
          </cell>
          <cell r="L2007" t="str">
            <v>16-16-006-02W2</v>
          </cell>
          <cell r="O2007">
            <v>844.9</v>
          </cell>
          <cell r="Q2007">
            <v>1.1399999999999999</v>
          </cell>
          <cell r="T2007">
            <v>178.483</v>
          </cell>
        </row>
        <row r="2008">
          <cell r="G2008">
            <v>42370</v>
          </cell>
          <cell r="L2008" t="str">
            <v>12-20-008-02W2</v>
          </cell>
          <cell r="O2008">
            <v>857.6</v>
          </cell>
          <cell r="Q2008">
            <v>1.77</v>
          </cell>
          <cell r="T2008">
            <v>165.55</v>
          </cell>
        </row>
        <row r="2009">
          <cell r="G2009">
            <v>42370</v>
          </cell>
          <cell r="L2009" t="str">
            <v>03-03-002-32W1</v>
          </cell>
          <cell r="O2009">
            <v>826.3</v>
          </cell>
          <cell r="Q2009">
            <v>0.95</v>
          </cell>
          <cell r="T2009">
            <v>154.43100000000001</v>
          </cell>
        </row>
        <row r="2010">
          <cell r="G2010">
            <v>42370</v>
          </cell>
          <cell r="L2010" t="str">
            <v>10-29-005-33W1</v>
          </cell>
          <cell r="O2010">
            <v>831.7</v>
          </cell>
          <cell r="Q2010">
            <v>0.87</v>
          </cell>
          <cell r="T2010">
            <v>136.41499999999999</v>
          </cell>
        </row>
        <row r="2011">
          <cell r="G2011">
            <v>42370</v>
          </cell>
          <cell r="L2011" t="str">
            <v>01-06-002-32W1</v>
          </cell>
          <cell r="O2011">
            <v>830.6</v>
          </cell>
          <cell r="Q2011">
            <v>0.81</v>
          </cell>
          <cell r="T2011">
            <v>132.59299999999999</v>
          </cell>
        </row>
        <row r="2012">
          <cell r="G2012">
            <v>42370</v>
          </cell>
          <cell r="L2012" t="str">
            <v>11-25-001-02W2</v>
          </cell>
          <cell r="O2012">
            <v>833.9</v>
          </cell>
          <cell r="Q2012">
            <v>0.59</v>
          </cell>
          <cell r="T2012">
            <v>122.77800000000001</v>
          </cell>
        </row>
        <row r="2013">
          <cell r="G2013">
            <v>42370</v>
          </cell>
          <cell r="L2013" t="str">
            <v>09-24-001-01W2</v>
          </cell>
          <cell r="O2013">
            <v>829.4</v>
          </cell>
          <cell r="Q2013">
            <v>0.56999999999999995</v>
          </cell>
          <cell r="T2013">
            <v>108.324</v>
          </cell>
        </row>
        <row r="2014">
          <cell r="G2014">
            <v>42370</v>
          </cell>
          <cell r="L2014" t="str">
            <v>16-15-008-03W2</v>
          </cell>
          <cell r="O2014">
            <v>851.3</v>
          </cell>
          <cell r="Q2014">
            <v>1.54</v>
          </cell>
          <cell r="T2014">
            <v>90.887</v>
          </cell>
        </row>
        <row r="2015">
          <cell r="G2015">
            <v>42370</v>
          </cell>
          <cell r="L2015" t="str">
            <v>16-07-006-02W2</v>
          </cell>
          <cell r="O2015">
            <v>857.2</v>
          </cell>
          <cell r="Q2015">
            <v>1.22</v>
          </cell>
          <cell r="T2015">
            <v>69.582999999999998</v>
          </cell>
        </row>
        <row r="2016">
          <cell r="G2016">
            <v>42370</v>
          </cell>
          <cell r="L2016" t="str">
            <v>14-24-001-02W2</v>
          </cell>
          <cell r="O2016">
            <v>836.9</v>
          </cell>
          <cell r="Q2016">
            <v>0.79</v>
          </cell>
          <cell r="T2016">
            <v>69.48</v>
          </cell>
        </row>
        <row r="2017">
          <cell r="G2017">
            <v>42370</v>
          </cell>
          <cell r="L2017" t="str">
            <v>16-21-003-33W1</v>
          </cell>
          <cell r="O2017">
            <v>851.6</v>
          </cell>
          <cell r="Q2017">
            <v>1.84</v>
          </cell>
          <cell r="T2017">
            <v>69.075999999999993</v>
          </cell>
        </row>
        <row r="2018">
          <cell r="G2018">
            <v>42370</v>
          </cell>
          <cell r="L2018" t="str">
            <v>02-14-006-02W2</v>
          </cell>
          <cell r="O2018">
            <v>851.9</v>
          </cell>
          <cell r="Q2018">
            <v>1.1599999999999999</v>
          </cell>
          <cell r="T2018">
            <v>68.11</v>
          </cell>
        </row>
        <row r="2019">
          <cell r="G2019">
            <v>42370</v>
          </cell>
          <cell r="L2019" t="str">
            <v>13-12-007-03W2</v>
          </cell>
          <cell r="O2019">
            <v>855.4</v>
          </cell>
          <cell r="Q2019">
            <v>1.38</v>
          </cell>
          <cell r="T2019">
            <v>64.412000000000006</v>
          </cell>
        </row>
        <row r="2020">
          <cell r="G2020">
            <v>42370</v>
          </cell>
          <cell r="L2020" t="str">
            <v>09-01-002-34W1</v>
          </cell>
          <cell r="O2020">
            <v>829.1</v>
          </cell>
          <cell r="Q2020">
            <v>0.55000000000000004</v>
          </cell>
          <cell r="T2020">
            <v>63.94</v>
          </cell>
        </row>
        <row r="2021">
          <cell r="G2021">
            <v>42370</v>
          </cell>
          <cell r="L2021" t="str">
            <v>10-11-003-02W2</v>
          </cell>
          <cell r="O2021">
            <v>830.2</v>
          </cell>
          <cell r="Q2021">
            <v>0.69</v>
          </cell>
          <cell r="T2021">
            <v>34.386000000000003</v>
          </cell>
        </row>
        <row r="2022">
          <cell r="G2022">
            <v>42370</v>
          </cell>
          <cell r="L2022" t="str">
            <v>07-26-005-02W2</v>
          </cell>
          <cell r="O2022">
            <v>843.5</v>
          </cell>
          <cell r="Q2022">
            <v>1.1599999999999999</v>
          </cell>
          <cell r="T2022">
            <v>18.181999999999999</v>
          </cell>
        </row>
        <row r="2023">
          <cell r="G2023">
            <v>42370</v>
          </cell>
          <cell r="L2023" t="str">
            <v>15-09-007-03W2</v>
          </cell>
          <cell r="O2023">
            <v>844.2</v>
          </cell>
          <cell r="Q2023">
            <v>1.29</v>
          </cell>
          <cell r="T2023">
            <v>1733.0250000000001</v>
          </cell>
        </row>
        <row r="2024">
          <cell r="G2024">
            <v>42370</v>
          </cell>
          <cell r="L2024" t="str">
            <v>04-36-004-02W2</v>
          </cell>
          <cell r="O2024">
            <v>853.2</v>
          </cell>
          <cell r="Q2024">
            <v>1.64</v>
          </cell>
          <cell r="T2024">
            <v>384.57</v>
          </cell>
        </row>
        <row r="2025">
          <cell r="G2025">
            <v>42370</v>
          </cell>
          <cell r="L2025" t="str">
            <v>07-31-005-33W1</v>
          </cell>
          <cell r="O2025">
            <v>819.6</v>
          </cell>
          <cell r="Q2025">
            <v>0.68</v>
          </cell>
          <cell r="T2025">
            <v>284.55900000000003</v>
          </cell>
        </row>
        <row r="2026">
          <cell r="G2026">
            <v>42370</v>
          </cell>
          <cell r="L2026" t="str">
            <v>13-14-010-05W2</v>
          </cell>
          <cell r="O2026">
            <v>840.5</v>
          </cell>
          <cell r="Q2026">
            <v>1.54</v>
          </cell>
          <cell r="T2026">
            <v>155.322</v>
          </cell>
        </row>
        <row r="2027">
          <cell r="G2027">
            <v>42370</v>
          </cell>
          <cell r="L2027" t="str">
            <v>03-03-002-34W1</v>
          </cell>
          <cell r="O2027">
            <v>823.5</v>
          </cell>
          <cell r="Q2027">
            <v>0.64</v>
          </cell>
          <cell r="T2027">
            <v>65.073999999999998</v>
          </cell>
        </row>
        <row r="2028">
          <cell r="G2028">
            <v>42370</v>
          </cell>
          <cell r="L2028" t="str">
            <v>14-04-006-33W1</v>
          </cell>
          <cell r="O2028">
            <v>841.2</v>
          </cell>
          <cell r="Q2028">
            <v>0.85</v>
          </cell>
          <cell r="T2028">
            <v>37.43</v>
          </cell>
        </row>
        <row r="2029">
          <cell r="G2029">
            <v>42370</v>
          </cell>
          <cell r="L2029" t="str">
            <v>01-07-006-10W2</v>
          </cell>
          <cell r="O2029">
            <v>0</v>
          </cell>
          <cell r="Q2029">
            <v>0</v>
          </cell>
          <cell r="T2029">
            <v>0</v>
          </cell>
        </row>
        <row r="2030">
          <cell r="G2030">
            <v>42370</v>
          </cell>
          <cell r="L2030" t="str">
            <v>ALStream</v>
          </cell>
          <cell r="O2030">
            <v>874.5</v>
          </cell>
          <cell r="Q2030">
            <v>2.33</v>
          </cell>
          <cell r="T2030">
            <v>0</v>
          </cell>
        </row>
        <row r="2031">
          <cell r="G2031">
            <v>42370</v>
          </cell>
          <cell r="L2031" t="str">
            <v>MWStream</v>
          </cell>
          <cell r="T2031">
            <v>0</v>
          </cell>
        </row>
        <row r="2032">
          <cell r="G2032">
            <v>42370</v>
          </cell>
          <cell r="L2032" t="str">
            <v>ALStream</v>
          </cell>
          <cell r="O2032">
            <v>828.1</v>
          </cell>
          <cell r="Q2032">
            <v>0.98</v>
          </cell>
          <cell r="T2032">
            <v>-87979</v>
          </cell>
        </row>
        <row r="2033">
          <cell r="G2033">
            <v>42370</v>
          </cell>
          <cell r="L2033" t="str">
            <v>MWStream</v>
          </cell>
          <cell r="O2033">
            <v>830.4</v>
          </cell>
          <cell r="Q2033">
            <v>1.18</v>
          </cell>
          <cell r="T2033">
            <v>-9195</v>
          </cell>
        </row>
        <row r="2034">
          <cell r="G2034">
            <v>42401</v>
          </cell>
          <cell r="L2034" t="str">
            <v>07-30-007-05W2</v>
          </cell>
          <cell r="O2034">
            <v>856.5</v>
          </cell>
          <cell r="Q2034">
            <v>1.42</v>
          </cell>
          <cell r="T2034">
            <v>39.109000000000002</v>
          </cell>
        </row>
        <row r="2035">
          <cell r="G2035">
            <v>42401</v>
          </cell>
          <cell r="L2035" t="str">
            <v>13-35-007-12W2</v>
          </cell>
          <cell r="O2035">
            <v>877.4</v>
          </cell>
          <cell r="Q2035">
            <v>2.1</v>
          </cell>
          <cell r="T2035">
            <v>55.883000000000003</v>
          </cell>
        </row>
        <row r="2036">
          <cell r="G2036">
            <v>42401</v>
          </cell>
          <cell r="L2036" t="str">
            <v>01-15-005-32W1</v>
          </cell>
          <cell r="O2036">
            <v>848</v>
          </cell>
          <cell r="Q2036">
            <v>0.98</v>
          </cell>
          <cell r="T2036">
            <v>56.298999999999999</v>
          </cell>
        </row>
        <row r="2037">
          <cell r="G2037">
            <v>42401</v>
          </cell>
          <cell r="L2037" t="str">
            <v>09-26-004-32W1</v>
          </cell>
          <cell r="O2037">
            <v>866.5</v>
          </cell>
          <cell r="Q2037">
            <v>1.52</v>
          </cell>
          <cell r="T2037">
            <v>56.966999999999999</v>
          </cell>
        </row>
        <row r="2038">
          <cell r="G2038">
            <v>42401</v>
          </cell>
          <cell r="L2038" t="str">
            <v>08-18-011-03W2</v>
          </cell>
          <cell r="O2038">
            <v>854.1</v>
          </cell>
          <cell r="Q2038">
            <v>1.87</v>
          </cell>
          <cell r="T2038">
            <v>73.593000000000004</v>
          </cell>
        </row>
        <row r="2039">
          <cell r="G2039">
            <v>42401</v>
          </cell>
          <cell r="L2039" t="str">
            <v>10-09-004-33W1</v>
          </cell>
          <cell r="O2039">
            <v>841.5</v>
          </cell>
          <cell r="Q2039">
            <v>0.89</v>
          </cell>
          <cell r="T2039">
            <v>89.869</v>
          </cell>
        </row>
        <row r="2040">
          <cell r="G2040">
            <v>42401</v>
          </cell>
          <cell r="L2040" t="str">
            <v>13-34-007-14W2</v>
          </cell>
          <cell r="O2040">
            <v>862.9</v>
          </cell>
          <cell r="Q2040">
            <v>2.08</v>
          </cell>
          <cell r="T2040">
            <v>101.376</v>
          </cell>
        </row>
        <row r="2041">
          <cell r="G2041">
            <v>42401</v>
          </cell>
          <cell r="L2041" t="str">
            <v>15-30-007-12W2</v>
          </cell>
          <cell r="O2041">
            <v>873.2</v>
          </cell>
          <cell r="Q2041">
            <v>2.36</v>
          </cell>
          <cell r="T2041">
            <v>102.313</v>
          </cell>
        </row>
        <row r="2042">
          <cell r="G2042">
            <v>42401</v>
          </cell>
          <cell r="L2042" t="str">
            <v>02-14-010-01W2</v>
          </cell>
          <cell r="O2042">
            <v>855</v>
          </cell>
          <cell r="Q2042">
            <v>1.69</v>
          </cell>
          <cell r="T2042">
            <v>704.39700000000005</v>
          </cell>
        </row>
        <row r="2043">
          <cell r="G2043">
            <v>42401</v>
          </cell>
          <cell r="L2043" t="str">
            <v>03-05-005-11W2</v>
          </cell>
          <cell r="O2043">
            <v>864.7</v>
          </cell>
          <cell r="Q2043">
            <v>1.68</v>
          </cell>
          <cell r="T2043">
            <v>107.70399999999999</v>
          </cell>
        </row>
        <row r="2044">
          <cell r="G2044">
            <v>42401</v>
          </cell>
          <cell r="L2044" t="str">
            <v>02-27-004-33W1</v>
          </cell>
          <cell r="O2044">
            <v>829</v>
          </cell>
          <cell r="Q2044">
            <v>0.67</v>
          </cell>
          <cell r="T2044">
            <v>103.295</v>
          </cell>
        </row>
        <row r="2045">
          <cell r="G2045">
            <v>42401</v>
          </cell>
          <cell r="L2045" t="str">
            <v>01-19-004-12W2</v>
          </cell>
          <cell r="O2045">
            <v>897.5</v>
          </cell>
          <cell r="Q2045">
            <v>2.59</v>
          </cell>
          <cell r="T2045">
            <v>111.47199999999999</v>
          </cell>
        </row>
        <row r="2046">
          <cell r="G2046">
            <v>42401</v>
          </cell>
          <cell r="L2046" t="str">
            <v>09-30-002-30W1</v>
          </cell>
          <cell r="O2046">
            <v>865.8</v>
          </cell>
          <cell r="Q2046">
            <v>1.79</v>
          </cell>
          <cell r="T2046">
            <v>112.809</v>
          </cell>
        </row>
        <row r="2047">
          <cell r="G2047">
            <v>42401</v>
          </cell>
          <cell r="L2047" t="str">
            <v>10-21-006-32W1</v>
          </cell>
          <cell r="O2047">
            <v>832.3</v>
          </cell>
          <cell r="Q2047">
            <v>0.78</v>
          </cell>
          <cell r="T2047">
            <v>113.33799999999999</v>
          </cell>
        </row>
        <row r="2048">
          <cell r="G2048">
            <v>42401</v>
          </cell>
          <cell r="L2048" t="str">
            <v>07-24-001-32W1</v>
          </cell>
          <cell r="O2048">
            <v>853.4</v>
          </cell>
          <cell r="Q2048">
            <v>1.6</v>
          </cell>
          <cell r="T2048">
            <v>116.139</v>
          </cell>
        </row>
        <row r="2049">
          <cell r="G2049">
            <v>42401</v>
          </cell>
          <cell r="L2049" t="str">
            <v>16-16-010-02W2</v>
          </cell>
          <cell r="O2049">
            <v>855.6</v>
          </cell>
          <cell r="Q2049">
            <v>1.72</v>
          </cell>
          <cell r="T2049">
            <v>120.23699999999999</v>
          </cell>
        </row>
        <row r="2050">
          <cell r="G2050">
            <v>42401</v>
          </cell>
          <cell r="L2050" t="str">
            <v>14-04-007-13W2</v>
          </cell>
          <cell r="O2050">
            <v>856</v>
          </cell>
          <cell r="Q2050">
            <v>1.79</v>
          </cell>
          <cell r="T2050">
            <v>131.53899999999999</v>
          </cell>
        </row>
        <row r="2051">
          <cell r="G2051">
            <v>42401</v>
          </cell>
          <cell r="L2051" t="str">
            <v>14-27-001-13W2</v>
          </cell>
          <cell r="O2051">
            <v>801.4</v>
          </cell>
          <cell r="Q2051">
            <v>0.11</v>
          </cell>
          <cell r="T2051">
            <v>4051.2570000000001</v>
          </cell>
        </row>
        <row r="2052">
          <cell r="G2052">
            <v>42401</v>
          </cell>
          <cell r="L2052" t="str">
            <v>08-01-004-32W1</v>
          </cell>
          <cell r="O2052">
            <v>859</v>
          </cell>
          <cell r="Q2052">
            <v>1.66</v>
          </cell>
          <cell r="T2052">
            <v>133.25899999999999</v>
          </cell>
        </row>
        <row r="2053">
          <cell r="G2053">
            <v>42401</v>
          </cell>
          <cell r="L2053" t="str">
            <v>09-31-007-12W2</v>
          </cell>
          <cell r="O2053">
            <v>872.7</v>
          </cell>
          <cell r="Q2053">
            <v>2.31</v>
          </cell>
          <cell r="T2053">
            <v>144.60400000000001</v>
          </cell>
        </row>
        <row r="2054">
          <cell r="G2054">
            <v>42401</v>
          </cell>
          <cell r="L2054" t="str">
            <v>16-24-004-01W2</v>
          </cell>
          <cell r="O2054">
            <v>824.2</v>
          </cell>
          <cell r="Q2054">
            <v>0.6</v>
          </cell>
          <cell r="T2054">
            <v>132.78</v>
          </cell>
        </row>
        <row r="2055">
          <cell r="G2055">
            <v>42401</v>
          </cell>
          <cell r="L2055" t="str">
            <v>01-04-007-09W2</v>
          </cell>
          <cell r="O2055">
            <v>813.2</v>
          </cell>
          <cell r="Q2055">
            <v>0.17</v>
          </cell>
          <cell r="T2055">
            <v>756.86699999999996</v>
          </cell>
        </row>
        <row r="2056">
          <cell r="G2056">
            <v>42401</v>
          </cell>
          <cell r="L2056" t="str">
            <v>04-15-008-33W1</v>
          </cell>
          <cell r="O2056">
            <v>847.8</v>
          </cell>
          <cell r="Q2056">
            <v>1.1599999999999999</v>
          </cell>
          <cell r="T2056">
            <v>136.72900000000001</v>
          </cell>
        </row>
        <row r="2057">
          <cell r="G2057">
            <v>42401</v>
          </cell>
          <cell r="L2057" t="str">
            <v>15-09-010-08W2</v>
          </cell>
          <cell r="O2057">
            <v>886.9</v>
          </cell>
          <cell r="Q2057">
            <v>2.5</v>
          </cell>
          <cell r="T2057">
            <v>156.97800000000001</v>
          </cell>
        </row>
        <row r="2058">
          <cell r="G2058">
            <v>42401</v>
          </cell>
          <cell r="L2058" t="str">
            <v>16-27-004-33W1</v>
          </cell>
          <cell r="O2058">
            <v>843.3</v>
          </cell>
          <cell r="Q2058">
            <v>0.73</v>
          </cell>
          <cell r="T2058">
            <v>137.93100000000001</v>
          </cell>
        </row>
        <row r="2059">
          <cell r="G2059">
            <v>42401</v>
          </cell>
          <cell r="L2059" t="str">
            <v>13-07-010-09W2</v>
          </cell>
          <cell r="O2059">
            <v>822.1</v>
          </cell>
          <cell r="Q2059">
            <v>0.31</v>
          </cell>
          <cell r="T2059">
            <v>3615.058</v>
          </cell>
        </row>
        <row r="2060">
          <cell r="G2060">
            <v>42401</v>
          </cell>
          <cell r="L2060" t="str">
            <v>05-34-005-06W2</v>
          </cell>
          <cell r="O2060">
            <v>877.4</v>
          </cell>
          <cell r="Q2060">
            <v>2.2799999999999998</v>
          </cell>
          <cell r="T2060">
            <v>1157.0170000000001</v>
          </cell>
        </row>
        <row r="2061">
          <cell r="G2061">
            <v>42401</v>
          </cell>
          <cell r="L2061" t="str">
            <v>03-13-006-33W1</v>
          </cell>
          <cell r="O2061">
            <v>832.9</v>
          </cell>
          <cell r="Q2061">
            <v>0.77</v>
          </cell>
          <cell r="T2061">
            <v>138.98400000000001</v>
          </cell>
        </row>
        <row r="2062">
          <cell r="G2062">
            <v>42401</v>
          </cell>
          <cell r="L2062" t="str">
            <v>09-23-002-01W2</v>
          </cell>
          <cell r="O2062">
            <v>842.9</v>
          </cell>
          <cell r="Q2062">
            <v>0.98</v>
          </cell>
          <cell r="T2062">
            <v>140.24</v>
          </cell>
        </row>
        <row r="2063">
          <cell r="G2063">
            <v>42401</v>
          </cell>
          <cell r="L2063" t="str">
            <v>16-08-007-12W2</v>
          </cell>
          <cell r="O2063">
            <v>857.7</v>
          </cell>
          <cell r="Q2063">
            <v>2.0099999999999998</v>
          </cell>
          <cell r="T2063">
            <v>158.56200000000001</v>
          </cell>
        </row>
        <row r="2064">
          <cell r="G2064">
            <v>42401</v>
          </cell>
          <cell r="L2064" t="str">
            <v>07-36-001-34W1</v>
          </cell>
          <cell r="O2064">
            <v>856.1</v>
          </cell>
          <cell r="Q2064">
            <v>1.61</v>
          </cell>
          <cell r="T2064">
            <v>147.99600000000001</v>
          </cell>
        </row>
        <row r="2065">
          <cell r="G2065">
            <v>42401</v>
          </cell>
          <cell r="L2065" t="str">
            <v>11-28-005-06W2</v>
          </cell>
          <cell r="O2065">
            <v>877.8</v>
          </cell>
          <cell r="Q2065">
            <v>2.27</v>
          </cell>
          <cell r="T2065">
            <v>1276.8630000000001</v>
          </cell>
        </row>
        <row r="2066">
          <cell r="G2066">
            <v>42401</v>
          </cell>
          <cell r="L2066" t="str">
            <v>11-23-002-34W1</v>
          </cell>
          <cell r="O2066">
            <v>835.9</v>
          </cell>
          <cell r="Q2066">
            <v>1.63</v>
          </cell>
          <cell r="T2066">
            <v>150.77000000000001</v>
          </cell>
        </row>
        <row r="2067">
          <cell r="G2067">
            <v>42401</v>
          </cell>
          <cell r="L2067" t="str">
            <v>06-01-007-01W2</v>
          </cell>
          <cell r="O2067">
            <v>845</v>
          </cell>
          <cell r="Q2067">
            <v>1.1299999999999999</v>
          </cell>
          <cell r="T2067">
            <v>2180.6469999999999</v>
          </cell>
        </row>
        <row r="2068">
          <cell r="G2068">
            <v>42401</v>
          </cell>
          <cell r="L2068" t="str">
            <v>09-26-007-09W2</v>
          </cell>
          <cell r="O2068">
            <v>812.7</v>
          </cell>
          <cell r="Q2068">
            <v>0.36</v>
          </cell>
          <cell r="T2068">
            <v>574.09299999999996</v>
          </cell>
        </row>
        <row r="2069">
          <cell r="G2069">
            <v>42401</v>
          </cell>
          <cell r="L2069" t="str">
            <v>12-06-009-07W2</v>
          </cell>
          <cell r="O2069">
            <v>806.9</v>
          </cell>
          <cell r="Q2069">
            <v>0.19</v>
          </cell>
          <cell r="T2069">
            <v>11155.007</v>
          </cell>
        </row>
        <row r="2070">
          <cell r="G2070">
            <v>42401</v>
          </cell>
          <cell r="L2070" t="str">
            <v>04-08-008-08W2</v>
          </cell>
          <cell r="O2070">
            <v>800.5</v>
          </cell>
          <cell r="Q2070">
            <v>0.21</v>
          </cell>
          <cell r="T2070">
            <v>45233.968999999997</v>
          </cell>
        </row>
        <row r="2071">
          <cell r="G2071">
            <v>42401</v>
          </cell>
          <cell r="L2071" t="str">
            <v>03-15-012-06W2</v>
          </cell>
          <cell r="O2071">
            <v>885.1</v>
          </cell>
          <cell r="Q2071">
            <v>2.59</v>
          </cell>
          <cell r="T2071">
            <v>1099.2760000000001</v>
          </cell>
        </row>
        <row r="2072">
          <cell r="G2072">
            <v>42401</v>
          </cell>
          <cell r="L2072" t="str">
            <v>09-08-004-33W1</v>
          </cell>
          <cell r="O2072">
            <v>845</v>
          </cell>
          <cell r="Q2072">
            <v>1.55</v>
          </cell>
          <cell r="T2072">
            <v>159.786</v>
          </cell>
        </row>
        <row r="2073">
          <cell r="G2073">
            <v>42401</v>
          </cell>
          <cell r="L2073" t="str">
            <v>03-33-008-06W2</v>
          </cell>
          <cell r="O2073">
            <v>805.3</v>
          </cell>
          <cell r="Q2073">
            <v>0.26</v>
          </cell>
          <cell r="T2073">
            <v>14884.21</v>
          </cell>
        </row>
        <row r="2074">
          <cell r="G2074">
            <v>42401</v>
          </cell>
          <cell r="L2074" t="str">
            <v>08-13-006-33W1</v>
          </cell>
          <cell r="O2074">
            <v>845.8</v>
          </cell>
          <cell r="Q2074">
            <v>1.5</v>
          </cell>
          <cell r="T2074">
            <v>1067.4829999999999</v>
          </cell>
        </row>
        <row r="2075">
          <cell r="G2075">
            <v>42401</v>
          </cell>
          <cell r="L2075" t="str">
            <v>03-17-011-06W2</v>
          </cell>
          <cell r="O2075">
            <v>883.5</v>
          </cell>
          <cell r="Q2075">
            <v>2.5299999999999998</v>
          </cell>
          <cell r="T2075">
            <v>1709.1510000000001</v>
          </cell>
        </row>
        <row r="2076">
          <cell r="G2076">
            <v>42401</v>
          </cell>
          <cell r="L2076" t="str">
            <v>13-14-009-09W2</v>
          </cell>
          <cell r="O2076">
            <v>889.2</v>
          </cell>
          <cell r="Q2076">
            <v>2.46</v>
          </cell>
          <cell r="T2076">
            <v>234.922</v>
          </cell>
        </row>
        <row r="2077">
          <cell r="G2077">
            <v>42401</v>
          </cell>
          <cell r="L2077" t="str">
            <v>09-14-009-08W2</v>
          </cell>
          <cell r="O2077">
            <v>800.5</v>
          </cell>
          <cell r="Q2077">
            <v>0.14000000000000001</v>
          </cell>
          <cell r="T2077">
            <v>41400.065999999999</v>
          </cell>
        </row>
        <row r="2078">
          <cell r="G2078">
            <v>42401</v>
          </cell>
          <cell r="L2078" t="str">
            <v>04-18-009-06W2</v>
          </cell>
          <cell r="O2078">
            <v>828.7</v>
          </cell>
          <cell r="Q2078">
            <v>0.85</v>
          </cell>
          <cell r="T2078">
            <v>1326.386</v>
          </cell>
        </row>
        <row r="2079">
          <cell r="G2079">
            <v>42401</v>
          </cell>
          <cell r="L2079" t="str">
            <v>05-31-009-07W2</v>
          </cell>
          <cell r="O2079">
            <v>880.2</v>
          </cell>
          <cell r="Q2079">
            <v>2.35</v>
          </cell>
          <cell r="T2079">
            <v>663.73</v>
          </cell>
        </row>
        <row r="2080">
          <cell r="G2080">
            <v>42401</v>
          </cell>
          <cell r="L2080" t="str">
            <v>13-29-008-07W2</v>
          </cell>
          <cell r="O2080">
            <v>800.4</v>
          </cell>
          <cell r="Q2080">
            <v>0.15</v>
          </cell>
          <cell r="T2080">
            <v>15571.153</v>
          </cell>
        </row>
        <row r="2081">
          <cell r="G2081">
            <v>42401</v>
          </cell>
          <cell r="L2081" t="str">
            <v>13-18-010-06W2</v>
          </cell>
          <cell r="O2081">
            <v>828.1</v>
          </cell>
          <cell r="Q2081">
            <v>0.69</v>
          </cell>
          <cell r="T2081">
            <v>4264.2809999999999</v>
          </cell>
        </row>
        <row r="2082">
          <cell r="G2082">
            <v>42401</v>
          </cell>
          <cell r="L2082" t="str">
            <v>03-06-011-07W2</v>
          </cell>
          <cell r="O2082">
            <v>858.3</v>
          </cell>
          <cell r="Q2082">
            <v>1.55</v>
          </cell>
          <cell r="T2082">
            <v>1564.336</v>
          </cell>
        </row>
        <row r="2083">
          <cell r="G2083">
            <v>42401</v>
          </cell>
          <cell r="L2083" t="str">
            <v>09-20-008-08W2</v>
          </cell>
          <cell r="O2083">
            <v>825.2</v>
          </cell>
          <cell r="Q2083">
            <v>0.59</v>
          </cell>
          <cell r="T2083">
            <v>1413.4639999999999</v>
          </cell>
        </row>
        <row r="2084">
          <cell r="G2084">
            <v>42401</v>
          </cell>
          <cell r="L2084" t="str">
            <v>07-04-010-08W2</v>
          </cell>
          <cell r="O2084">
            <v>876.8</v>
          </cell>
          <cell r="Q2084">
            <v>2.44</v>
          </cell>
          <cell r="T2084">
            <v>1379.213</v>
          </cell>
        </row>
        <row r="2085">
          <cell r="G2085">
            <v>42401</v>
          </cell>
          <cell r="L2085" t="str">
            <v>09-06-010-07W2</v>
          </cell>
          <cell r="O2085">
            <v>880.3</v>
          </cell>
          <cell r="Q2085">
            <v>2.4500000000000002</v>
          </cell>
          <cell r="T2085">
            <v>874.35400000000004</v>
          </cell>
        </row>
        <row r="2086">
          <cell r="G2086">
            <v>42401</v>
          </cell>
          <cell r="L2086" t="str">
            <v>09-11-010-08W2</v>
          </cell>
          <cell r="O2086">
            <v>881</v>
          </cell>
          <cell r="Q2086">
            <v>2.4700000000000002</v>
          </cell>
          <cell r="T2086">
            <v>693.97299999999996</v>
          </cell>
        </row>
        <row r="2087">
          <cell r="G2087">
            <v>42401</v>
          </cell>
          <cell r="L2087" t="str">
            <v>01-22-010-07W2</v>
          </cell>
          <cell r="O2087">
            <v>885.9</v>
          </cell>
          <cell r="Q2087">
            <v>2.5099999999999998</v>
          </cell>
          <cell r="T2087">
            <v>639.49599999999998</v>
          </cell>
        </row>
        <row r="2088">
          <cell r="G2088">
            <v>42401</v>
          </cell>
          <cell r="L2088" t="str">
            <v>16-35-009-09W2</v>
          </cell>
          <cell r="O2088">
            <v>881</v>
          </cell>
          <cell r="Q2088">
            <v>2.46</v>
          </cell>
          <cell r="T2088">
            <v>636.48099999999999</v>
          </cell>
        </row>
        <row r="2089">
          <cell r="G2089">
            <v>42401</v>
          </cell>
          <cell r="L2089" t="str">
            <v>07-25-009-08W2</v>
          </cell>
          <cell r="O2089">
            <v>885.9</v>
          </cell>
          <cell r="Q2089">
            <v>2.3199999999999998</v>
          </cell>
          <cell r="T2089">
            <v>238.40100000000001</v>
          </cell>
        </row>
        <row r="2090">
          <cell r="G2090">
            <v>42401</v>
          </cell>
          <cell r="L2090" t="str">
            <v>11-15-007-09W2</v>
          </cell>
          <cell r="O2090">
            <v>800.7</v>
          </cell>
          <cell r="Q2090">
            <v>0.21</v>
          </cell>
          <cell r="T2090">
            <v>7737.9530000000004</v>
          </cell>
        </row>
        <row r="2091">
          <cell r="G2091">
            <v>42401</v>
          </cell>
          <cell r="L2091" t="str">
            <v>15-23-006-08W2</v>
          </cell>
          <cell r="O2091">
            <v>858.3</v>
          </cell>
          <cell r="Q2091">
            <v>1.79</v>
          </cell>
          <cell r="T2091">
            <v>1574.9280000000001</v>
          </cell>
        </row>
        <row r="2092">
          <cell r="G2092">
            <v>42401</v>
          </cell>
          <cell r="L2092" t="str">
            <v>01-26-006-09W2</v>
          </cell>
          <cell r="O2092">
            <v>885</v>
          </cell>
          <cell r="Q2092">
            <v>2.2999999999999998</v>
          </cell>
          <cell r="T2092">
            <v>1236.261</v>
          </cell>
        </row>
        <row r="2093">
          <cell r="G2093">
            <v>42401</v>
          </cell>
          <cell r="L2093" t="str">
            <v>07-28-007-08W2</v>
          </cell>
          <cell r="O2093">
            <v>845.9</v>
          </cell>
          <cell r="Q2093">
            <v>1.39</v>
          </cell>
          <cell r="T2093">
            <v>806.43899999999996</v>
          </cell>
        </row>
        <row r="2094">
          <cell r="G2094">
            <v>42401</v>
          </cell>
          <cell r="L2094" t="str">
            <v>12-35-008-03W2</v>
          </cell>
          <cell r="O2094">
            <v>855.2</v>
          </cell>
          <cell r="Q2094">
            <v>1.59</v>
          </cell>
          <cell r="T2094">
            <v>435.45800000000003</v>
          </cell>
        </row>
        <row r="2095">
          <cell r="G2095">
            <v>42401</v>
          </cell>
          <cell r="L2095" t="str">
            <v>11-20-007-05W2</v>
          </cell>
          <cell r="O2095">
            <v>861.2</v>
          </cell>
          <cell r="Q2095">
            <v>1.57</v>
          </cell>
          <cell r="T2095">
            <v>220.577</v>
          </cell>
        </row>
        <row r="2096">
          <cell r="G2096">
            <v>42401</v>
          </cell>
          <cell r="L2096" t="str">
            <v>01-24-007-05W2</v>
          </cell>
          <cell r="O2096">
            <v>852.8</v>
          </cell>
          <cell r="Q2096">
            <v>1.31</v>
          </cell>
          <cell r="T2096">
            <v>238.69900000000001</v>
          </cell>
        </row>
        <row r="2097">
          <cell r="G2097">
            <v>42401</v>
          </cell>
          <cell r="L2097" t="str">
            <v>05-13-008-06W2</v>
          </cell>
          <cell r="O2097">
            <v>822.3</v>
          </cell>
          <cell r="Q2097">
            <v>0.49</v>
          </cell>
          <cell r="T2097">
            <v>1645.5740000000001</v>
          </cell>
        </row>
        <row r="2098">
          <cell r="G2098">
            <v>42401</v>
          </cell>
          <cell r="L2098" t="str">
            <v>09-19-009-33W1</v>
          </cell>
          <cell r="O2098">
            <v>859.7</v>
          </cell>
          <cell r="Q2098">
            <v>1.61</v>
          </cell>
          <cell r="T2098">
            <v>813.67899999999997</v>
          </cell>
        </row>
        <row r="2099">
          <cell r="G2099">
            <v>42401</v>
          </cell>
          <cell r="L2099" t="str">
            <v>09-10-009-06W2</v>
          </cell>
          <cell r="O2099">
            <v>854.5</v>
          </cell>
          <cell r="Q2099">
            <v>1.66</v>
          </cell>
          <cell r="T2099">
            <v>1239.8320000000001</v>
          </cell>
        </row>
        <row r="2100">
          <cell r="G2100">
            <v>42401</v>
          </cell>
          <cell r="L2100" t="str">
            <v>02-26-009-09W2</v>
          </cell>
          <cell r="O2100">
            <v>808.1</v>
          </cell>
          <cell r="Q2100">
            <v>0.17</v>
          </cell>
          <cell r="T2100">
            <v>8476.1350000000002</v>
          </cell>
        </row>
        <row r="2101">
          <cell r="G2101">
            <v>42401</v>
          </cell>
          <cell r="L2101" t="str">
            <v>08-35-011-04W2</v>
          </cell>
          <cell r="O2101">
            <v>860.9</v>
          </cell>
          <cell r="Q2101">
            <v>1.89</v>
          </cell>
          <cell r="T2101">
            <v>682.40099999999995</v>
          </cell>
        </row>
        <row r="2102">
          <cell r="G2102">
            <v>42401</v>
          </cell>
          <cell r="L2102" t="str">
            <v>05-13-009-06W2</v>
          </cell>
          <cell r="O2102">
            <v>845.8</v>
          </cell>
          <cell r="Q2102">
            <v>1.5</v>
          </cell>
          <cell r="T2102">
            <v>2070.152</v>
          </cell>
        </row>
        <row r="2103">
          <cell r="G2103">
            <v>42401</v>
          </cell>
          <cell r="L2103" t="str">
            <v>09-27-006-05W2</v>
          </cell>
          <cell r="O2103">
            <v>874.8</v>
          </cell>
          <cell r="Q2103">
            <v>2.15</v>
          </cell>
          <cell r="T2103">
            <v>1459.2439999999999</v>
          </cell>
        </row>
        <row r="2104">
          <cell r="G2104">
            <v>42401</v>
          </cell>
          <cell r="L2104" t="str">
            <v>14-35-006-05W2</v>
          </cell>
          <cell r="O2104">
            <v>848.1</v>
          </cell>
          <cell r="Q2104">
            <v>1.61</v>
          </cell>
          <cell r="T2104">
            <v>415.38600000000002</v>
          </cell>
        </row>
        <row r="2105">
          <cell r="G2105">
            <v>42401</v>
          </cell>
          <cell r="L2105" t="str">
            <v>12-22-007-11W2</v>
          </cell>
          <cell r="O2105">
            <v>839.9</v>
          </cell>
          <cell r="Q2105">
            <v>1.26</v>
          </cell>
          <cell r="T2105">
            <v>5212.893</v>
          </cell>
        </row>
        <row r="2106">
          <cell r="G2106">
            <v>42401</v>
          </cell>
          <cell r="L2106" t="str">
            <v>06-02-008-02W2</v>
          </cell>
          <cell r="O2106">
            <v>852.8</v>
          </cell>
          <cell r="Q2106">
            <v>1.51</v>
          </cell>
          <cell r="T2106">
            <v>880.92899999999997</v>
          </cell>
        </row>
        <row r="2107">
          <cell r="G2107">
            <v>42401</v>
          </cell>
          <cell r="L2107" t="str">
            <v>04-05-002-15W2</v>
          </cell>
          <cell r="O2107">
            <v>876</v>
          </cell>
          <cell r="Q2107">
            <v>2.0099999999999998</v>
          </cell>
          <cell r="T2107">
            <v>4367.0349999999999</v>
          </cell>
        </row>
        <row r="2108">
          <cell r="G2108">
            <v>42401</v>
          </cell>
          <cell r="L2108" t="str">
            <v>15-09-010-02W2</v>
          </cell>
          <cell r="O2108">
            <v>860.9</v>
          </cell>
          <cell r="Q2108">
            <v>1.85</v>
          </cell>
          <cell r="T2108">
            <v>198.465</v>
          </cell>
        </row>
        <row r="2109">
          <cell r="G2109">
            <v>42401</v>
          </cell>
          <cell r="L2109" t="str">
            <v>04-33-006-01W2</v>
          </cell>
          <cell r="O2109">
            <v>843.5</v>
          </cell>
          <cell r="Q2109">
            <v>1.1299999999999999</v>
          </cell>
          <cell r="T2109">
            <v>1032.0550000000001</v>
          </cell>
        </row>
        <row r="2110">
          <cell r="G2110">
            <v>42401</v>
          </cell>
          <cell r="L2110" t="str">
            <v>01-21-001-14W2</v>
          </cell>
          <cell r="O2110">
            <v>806.8</v>
          </cell>
          <cell r="Q2110">
            <v>0.15</v>
          </cell>
          <cell r="T2110">
            <v>32761.73</v>
          </cell>
        </row>
        <row r="2111">
          <cell r="G2111">
            <v>42401</v>
          </cell>
          <cell r="L2111" t="str">
            <v>16-12-004-31W1</v>
          </cell>
          <cell r="O2111">
            <v>841.6</v>
          </cell>
          <cell r="Q2111">
            <v>1.61</v>
          </cell>
          <cell r="T2111">
            <v>4902.6090000000004</v>
          </cell>
        </row>
        <row r="2112">
          <cell r="G2112">
            <v>42401</v>
          </cell>
          <cell r="L2112" t="str">
            <v>14-33-006-14W2</v>
          </cell>
          <cell r="O2112">
            <v>850.2</v>
          </cell>
          <cell r="Q2112">
            <v>1.66</v>
          </cell>
          <cell r="T2112">
            <v>2382.6660000000002</v>
          </cell>
        </row>
        <row r="2113">
          <cell r="G2113">
            <v>42401</v>
          </cell>
          <cell r="L2113" t="str">
            <v>04-21-006-14W2</v>
          </cell>
          <cell r="O2113">
            <v>865.8</v>
          </cell>
          <cell r="Q2113">
            <v>2.09</v>
          </cell>
          <cell r="T2113">
            <v>1474.19</v>
          </cell>
        </row>
        <row r="2114">
          <cell r="G2114">
            <v>42401</v>
          </cell>
          <cell r="L2114" t="str">
            <v>01-22-006-14W2</v>
          </cell>
          <cell r="O2114">
            <v>863.2</v>
          </cell>
          <cell r="Q2114">
            <v>2.14</v>
          </cell>
          <cell r="T2114">
            <v>891.83299999999997</v>
          </cell>
        </row>
        <row r="2115">
          <cell r="G2115">
            <v>42401</v>
          </cell>
          <cell r="L2115" t="str">
            <v>02-18-007-13W2</v>
          </cell>
          <cell r="O2115">
            <v>854.9</v>
          </cell>
          <cell r="Q2115">
            <v>1.9</v>
          </cell>
          <cell r="T2115">
            <v>530.95699999999999</v>
          </cell>
        </row>
        <row r="2116">
          <cell r="G2116">
            <v>42401</v>
          </cell>
          <cell r="L2116" t="str">
            <v>04-11-007-13W2</v>
          </cell>
          <cell r="O2116">
            <v>855</v>
          </cell>
          <cell r="Q2116">
            <v>1.97</v>
          </cell>
          <cell r="T2116">
            <v>458.339</v>
          </cell>
        </row>
        <row r="2117">
          <cell r="G2117">
            <v>42401</v>
          </cell>
          <cell r="L2117" t="str">
            <v>01-03-008-13W2</v>
          </cell>
          <cell r="O2117">
            <v>854</v>
          </cell>
          <cell r="Q2117">
            <v>2.0299999999999998</v>
          </cell>
          <cell r="T2117">
            <v>425.178</v>
          </cell>
        </row>
        <row r="2118">
          <cell r="G2118">
            <v>42401</v>
          </cell>
          <cell r="L2118" t="str">
            <v>10-22-006-14W2</v>
          </cell>
          <cell r="O2118">
            <v>848.5</v>
          </cell>
          <cell r="Q2118">
            <v>1.69</v>
          </cell>
          <cell r="T2118">
            <v>334.315</v>
          </cell>
        </row>
        <row r="2119">
          <cell r="G2119">
            <v>42401</v>
          </cell>
          <cell r="L2119" t="str">
            <v>05-35-006-11W2</v>
          </cell>
          <cell r="O2119">
            <v>806.7</v>
          </cell>
          <cell r="Q2119">
            <v>0.1</v>
          </cell>
          <cell r="T2119">
            <v>561.25199999999995</v>
          </cell>
        </row>
        <row r="2120">
          <cell r="G2120">
            <v>42401</v>
          </cell>
          <cell r="L2120" t="str">
            <v>13-17-001-31W1</v>
          </cell>
          <cell r="O2120">
            <v>848</v>
          </cell>
          <cell r="Q2120">
            <v>1.62</v>
          </cell>
          <cell r="T2120">
            <v>203.732</v>
          </cell>
        </row>
        <row r="2121">
          <cell r="G2121">
            <v>42401</v>
          </cell>
          <cell r="L2121" t="str">
            <v>03-21-001-16W2</v>
          </cell>
          <cell r="O2121">
            <v>863.3</v>
          </cell>
          <cell r="Q2121">
            <v>0.89</v>
          </cell>
          <cell r="T2121">
            <v>474.65</v>
          </cell>
        </row>
        <row r="2122">
          <cell r="G2122">
            <v>42401</v>
          </cell>
          <cell r="L2122" t="str">
            <v>13-02-007-14W2</v>
          </cell>
          <cell r="O2122">
            <v>848.9</v>
          </cell>
          <cell r="Q2122">
            <v>1.79</v>
          </cell>
          <cell r="T2122">
            <v>1439.14</v>
          </cell>
        </row>
        <row r="2123">
          <cell r="G2123">
            <v>42401</v>
          </cell>
          <cell r="L2123" t="str">
            <v>15-33-006-14W2</v>
          </cell>
          <cell r="O2123">
            <v>848.2</v>
          </cell>
          <cell r="Q2123">
            <v>1.66</v>
          </cell>
          <cell r="T2123">
            <v>1149.6489999999999</v>
          </cell>
        </row>
        <row r="2124">
          <cell r="G2124">
            <v>42401</v>
          </cell>
          <cell r="L2124" t="str">
            <v>08-31-005-03W2</v>
          </cell>
          <cell r="O2124">
            <v>842.7</v>
          </cell>
          <cell r="Q2124">
            <v>1.07</v>
          </cell>
          <cell r="T2124">
            <v>203.762</v>
          </cell>
        </row>
        <row r="2125">
          <cell r="G2125">
            <v>42401</v>
          </cell>
          <cell r="L2125" t="str">
            <v>15-14-009-03W2</v>
          </cell>
          <cell r="O2125">
            <v>849.8</v>
          </cell>
          <cell r="Q2125">
            <v>1.55</v>
          </cell>
          <cell r="T2125">
            <v>922.49699999999996</v>
          </cell>
        </row>
        <row r="2126">
          <cell r="G2126">
            <v>42401</v>
          </cell>
          <cell r="L2126" t="str">
            <v>06-03-001-16W2</v>
          </cell>
          <cell r="O2126">
            <v>857.8</v>
          </cell>
          <cell r="Q2126">
            <v>1.1000000000000001</v>
          </cell>
          <cell r="T2126">
            <v>2186.732</v>
          </cell>
        </row>
        <row r="2127">
          <cell r="G2127">
            <v>42401</v>
          </cell>
          <cell r="L2127" t="str">
            <v>02-29-001-17W2</v>
          </cell>
          <cell r="O2127">
            <v>860.3</v>
          </cell>
          <cell r="Q2127">
            <v>2.21</v>
          </cell>
          <cell r="T2127">
            <v>815.58100000000002</v>
          </cell>
        </row>
        <row r="2128">
          <cell r="G2128">
            <v>42401</v>
          </cell>
          <cell r="L2128" t="str">
            <v>09-28-001-15W2</v>
          </cell>
          <cell r="O2128">
            <v>870.3</v>
          </cell>
          <cell r="Q2128">
            <v>1.25</v>
          </cell>
          <cell r="T2128">
            <v>308.93200000000002</v>
          </cell>
        </row>
        <row r="2129">
          <cell r="G2129">
            <v>42401</v>
          </cell>
          <cell r="L2129" t="str">
            <v>16-21-003-32W1</v>
          </cell>
          <cell r="O2129">
            <v>856.9</v>
          </cell>
          <cell r="Q2129">
            <v>1.68</v>
          </cell>
          <cell r="T2129">
            <v>835.495</v>
          </cell>
        </row>
        <row r="2130">
          <cell r="G2130">
            <v>42401</v>
          </cell>
          <cell r="L2130" t="str">
            <v>09-27-008-03W2</v>
          </cell>
          <cell r="O2130">
            <v>853.1</v>
          </cell>
          <cell r="Q2130">
            <v>1.55</v>
          </cell>
          <cell r="T2130">
            <v>1172.048</v>
          </cell>
        </row>
        <row r="2131">
          <cell r="G2131">
            <v>42401</v>
          </cell>
          <cell r="L2131" t="str">
            <v>16-33-005-06W2</v>
          </cell>
          <cell r="O2131">
            <v>865</v>
          </cell>
          <cell r="Q2131">
            <v>1.79</v>
          </cell>
          <cell r="T2131">
            <v>2716.616</v>
          </cell>
        </row>
        <row r="2132">
          <cell r="G2132">
            <v>42401</v>
          </cell>
          <cell r="L2132" t="str">
            <v>08-31-004-18W2</v>
          </cell>
          <cell r="O2132">
            <v>858.2</v>
          </cell>
          <cell r="Q2132">
            <v>1.81</v>
          </cell>
          <cell r="T2132">
            <v>8153.5</v>
          </cell>
        </row>
        <row r="2133">
          <cell r="G2133">
            <v>42401</v>
          </cell>
          <cell r="L2133" t="str">
            <v>05-31-003-16W2</v>
          </cell>
          <cell r="O2133">
            <v>890.7</v>
          </cell>
          <cell r="Q2133">
            <v>2.83</v>
          </cell>
          <cell r="T2133">
            <v>6848.6390000000001</v>
          </cell>
        </row>
        <row r="2134">
          <cell r="G2134">
            <v>42401</v>
          </cell>
          <cell r="L2134" t="str">
            <v>05-18-004-17W2</v>
          </cell>
          <cell r="O2134">
            <v>865.5</v>
          </cell>
          <cell r="Q2134">
            <v>2.09</v>
          </cell>
          <cell r="T2134">
            <v>2242.953</v>
          </cell>
        </row>
        <row r="2135">
          <cell r="G2135">
            <v>42401</v>
          </cell>
          <cell r="L2135" t="str">
            <v>12-25-004-19W2</v>
          </cell>
          <cell r="O2135">
            <v>873.4</v>
          </cell>
          <cell r="Q2135">
            <v>2.3199999999999998</v>
          </cell>
          <cell r="T2135">
            <v>679.45299999999997</v>
          </cell>
        </row>
        <row r="2136">
          <cell r="G2136">
            <v>42401</v>
          </cell>
          <cell r="L2136" t="str">
            <v>13-25-001-01W2</v>
          </cell>
          <cell r="O2136">
            <v>838</v>
          </cell>
          <cell r="Q2136">
            <v>1.59</v>
          </cell>
          <cell r="T2136">
            <v>211.87799999999999</v>
          </cell>
        </row>
        <row r="2137">
          <cell r="G2137">
            <v>42401</v>
          </cell>
          <cell r="L2137" t="str">
            <v>15-21-008-03W2</v>
          </cell>
          <cell r="O2137">
            <v>858.9</v>
          </cell>
          <cell r="Q2137">
            <v>1.47</v>
          </cell>
          <cell r="T2137">
            <v>289.87</v>
          </cell>
        </row>
        <row r="2138">
          <cell r="G2138">
            <v>42401</v>
          </cell>
          <cell r="L2138" t="str">
            <v>01-35-005-06W2</v>
          </cell>
          <cell r="O2138">
            <v>851.5</v>
          </cell>
          <cell r="Q2138">
            <v>1.1499999999999999</v>
          </cell>
          <cell r="T2138">
            <v>226.41900000000001</v>
          </cell>
        </row>
        <row r="2139">
          <cell r="G2139">
            <v>42401</v>
          </cell>
          <cell r="L2139" t="str">
            <v>07-28-002-30W1</v>
          </cell>
          <cell r="O2139">
            <v>883.5</v>
          </cell>
          <cell r="Q2139">
            <v>2.41</v>
          </cell>
          <cell r="T2139">
            <v>2761.1860000000001</v>
          </cell>
        </row>
        <row r="2140">
          <cell r="G2140">
            <v>42401</v>
          </cell>
          <cell r="L2140" t="str">
            <v>12-01-003-30W1</v>
          </cell>
          <cell r="O2140">
            <v>870.2</v>
          </cell>
          <cell r="Q2140">
            <v>1.62</v>
          </cell>
          <cell r="T2140">
            <v>444.45299999999997</v>
          </cell>
        </row>
        <row r="2141">
          <cell r="G2141">
            <v>42401</v>
          </cell>
          <cell r="L2141" t="str">
            <v>11-30-005-03W2</v>
          </cell>
          <cell r="O2141">
            <v>853.2</v>
          </cell>
          <cell r="Q2141">
            <v>1.36</v>
          </cell>
          <cell r="T2141">
            <v>5066.8860000000004</v>
          </cell>
        </row>
        <row r="2142">
          <cell r="G2142">
            <v>42401</v>
          </cell>
          <cell r="L2142" t="str">
            <v>08-31-009-01W2</v>
          </cell>
          <cell r="O2142">
            <v>857.9</v>
          </cell>
          <cell r="Q2142">
            <v>1.78</v>
          </cell>
          <cell r="T2142">
            <v>215.04</v>
          </cell>
        </row>
        <row r="2143">
          <cell r="G2143">
            <v>42401</v>
          </cell>
          <cell r="L2143" t="str">
            <v>14-26-002-30W1</v>
          </cell>
          <cell r="O2143">
            <v>861.9</v>
          </cell>
          <cell r="Q2143">
            <v>2.0299999999999998</v>
          </cell>
          <cell r="T2143">
            <v>941.60400000000004</v>
          </cell>
        </row>
        <row r="2144">
          <cell r="G2144">
            <v>42401</v>
          </cell>
          <cell r="L2144" t="str">
            <v>04-05-003-30W1</v>
          </cell>
          <cell r="O2144">
            <v>870.8</v>
          </cell>
          <cell r="Q2144">
            <v>1.82</v>
          </cell>
          <cell r="T2144">
            <v>245.40700000000001</v>
          </cell>
        </row>
        <row r="2145">
          <cell r="G2145">
            <v>42401</v>
          </cell>
          <cell r="L2145" t="str">
            <v>11-26-002-19W2</v>
          </cell>
          <cell r="O2145">
            <v>875.2</v>
          </cell>
          <cell r="Q2145">
            <v>2.0499999999999998</v>
          </cell>
          <cell r="T2145">
            <v>979.28300000000002</v>
          </cell>
        </row>
        <row r="2146">
          <cell r="G2146">
            <v>42401</v>
          </cell>
          <cell r="L2146" t="str">
            <v>03-12-002-19W2</v>
          </cell>
          <cell r="O2146">
            <v>869.1</v>
          </cell>
          <cell r="Q2146">
            <v>2.39</v>
          </cell>
          <cell r="T2146">
            <v>328.14800000000002</v>
          </cell>
        </row>
        <row r="2147">
          <cell r="G2147">
            <v>42401</v>
          </cell>
          <cell r="L2147" t="str">
            <v>09-18-007-04W2</v>
          </cell>
          <cell r="O2147">
            <v>851.9</v>
          </cell>
          <cell r="Q2147">
            <v>1.44</v>
          </cell>
          <cell r="T2147">
            <v>280.95800000000003</v>
          </cell>
        </row>
        <row r="2148">
          <cell r="G2148">
            <v>42401</v>
          </cell>
          <cell r="L2148" t="str">
            <v>09-28-006-34W1</v>
          </cell>
          <cell r="O2148">
            <v>841.2</v>
          </cell>
          <cell r="Q2148">
            <v>1.22</v>
          </cell>
          <cell r="T2148">
            <v>2215.8330000000001</v>
          </cell>
        </row>
        <row r="2149">
          <cell r="G2149">
            <v>42401</v>
          </cell>
          <cell r="L2149" t="str">
            <v>09-33-006-05W2</v>
          </cell>
          <cell r="O2149">
            <v>863.3</v>
          </cell>
          <cell r="Q2149">
            <v>1.78</v>
          </cell>
          <cell r="T2149">
            <v>1992.518</v>
          </cell>
        </row>
        <row r="2150">
          <cell r="G2150">
            <v>42401</v>
          </cell>
          <cell r="L2150" t="str">
            <v>11-28-006-05W2</v>
          </cell>
          <cell r="O2150">
            <v>852.6</v>
          </cell>
          <cell r="Q2150">
            <v>1.48</v>
          </cell>
          <cell r="T2150">
            <v>1063.9459999999999</v>
          </cell>
        </row>
        <row r="2151">
          <cell r="G2151">
            <v>42401</v>
          </cell>
          <cell r="L2151" t="str">
            <v>13-34-006-05W2</v>
          </cell>
          <cell r="O2151">
            <v>863.5</v>
          </cell>
          <cell r="Q2151">
            <v>1.92</v>
          </cell>
          <cell r="T2151">
            <v>1054.3240000000001</v>
          </cell>
        </row>
        <row r="2152">
          <cell r="G2152">
            <v>42401</v>
          </cell>
          <cell r="L2152" t="str">
            <v>02-20-006-32W1</v>
          </cell>
          <cell r="O2152">
            <v>832.6</v>
          </cell>
          <cell r="Q2152">
            <v>0.8</v>
          </cell>
          <cell r="T2152">
            <v>1022.39</v>
          </cell>
        </row>
        <row r="2153">
          <cell r="G2153">
            <v>42401</v>
          </cell>
          <cell r="L2153" t="str">
            <v>16-09-004-31W1</v>
          </cell>
          <cell r="O2153">
            <v>868.5</v>
          </cell>
          <cell r="Q2153">
            <v>1.8</v>
          </cell>
          <cell r="T2153">
            <v>522.36400000000003</v>
          </cell>
        </row>
        <row r="2154">
          <cell r="G2154">
            <v>42401</v>
          </cell>
          <cell r="L2154" t="str">
            <v>08-26-006-02W2</v>
          </cell>
          <cell r="O2154">
            <v>847.1</v>
          </cell>
          <cell r="Q2154">
            <v>1.19</v>
          </cell>
          <cell r="T2154">
            <v>722.23699999999997</v>
          </cell>
        </row>
        <row r="2155">
          <cell r="G2155">
            <v>42401</v>
          </cell>
          <cell r="L2155" t="str">
            <v>13-13-007-02W2</v>
          </cell>
          <cell r="O2155">
            <v>847.4</v>
          </cell>
          <cell r="Q2155">
            <v>1.25</v>
          </cell>
          <cell r="T2155">
            <v>4610.6890000000003</v>
          </cell>
        </row>
        <row r="2156">
          <cell r="G2156">
            <v>42401</v>
          </cell>
          <cell r="L2156" t="str">
            <v>04-04-007-01W2</v>
          </cell>
          <cell r="O2156">
            <v>845.9</v>
          </cell>
          <cell r="Q2156">
            <v>1.1399999999999999</v>
          </cell>
          <cell r="T2156">
            <v>776.10400000000004</v>
          </cell>
        </row>
        <row r="2157">
          <cell r="G2157">
            <v>42401</v>
          </cell>
          <cell r="L2157" t="str">
            <v>07-02-007-11W2</v>
          </cell>
          <cell r="O2157">
            <v>849.4</v>
          </cell>
          <cell r="Q2157">
            <v>1.04</v>
          </cell>
          <cell r="T2157">
            <v>1292.33</v>
          </cell>
        </row>
        <row r="2158">
          <cell r="G2158">
            <v>42401</v>
          </cell>
          <cell r="L2158" t="str">
            <v>07-25-003-13W2</v>
          </cell>
          <cell r="O2158">
            <v>889</v>
          </cell>
          <cell r="Q2158">
            <v>2.4</v>
          </cell>
          <cell r="T2158">
            <v>258.71899999999999</v>
          </cell>
        </row>
        <row r="2159">
          <cell r="G2159">
            <v>42401</v>
          </cell>
          <cell r="L2159" t="str">
            <v>05-03-009-33W1</v>
          </cell>
          <cell r="O2159">
            <v>848.3</v>
          </cell>
          <cell r="Q2159">
            <v>1.32</v>
          </cell>
          <cell r="T2159">
            <v>2749.0160000000001</v>
          </cell>
        </row>
        <row r="2160">
          <cell r="G2160">
            <v>42401</v>
          </cell>
          <cell r="L2160" t="str">
            <v>04-22-009-33W1</v>
          </cell>
          <cell r="O2160">
            <v>854.5</v>
          </cell>
          <cell r="Q2160">
            <v>1.4</v>
          </cell>
          <cell r="T2160">
            <v>2229.9650000000001</v>
          </cell>
        </row>
        <row r="2161">
          <cell r="G2161">
            <v>42401</v>
          </cell>
          <cell r="L2161" t="str">
            <v>14-30-009-33W1</v>
          </cell>
          <cell r="O2161">
            <v>856.8</v>
          </cell>
          <cell r="Q2161">
            <v>1.72</v>
          </cell>
          <cell r="T2161">
            <v>1266.57</v>
          </cell>
        </row>
        <row r="2162">
          <cell r="G2162">
            <v>42401</v>
          </cell>
          <cell r="L2162" t="str">
            <v>10-26-010-03W2</v>
          </cell>
          <cell r="O2162">
            <v>854.6</v>
          </cell>
          <cell r="Q2162">
            <v>1.59</v>
          </cell>
          <cell r="T2162">
            <v>306.85599999999999</v>
          </cell>
        </row>
        <row r="2163">
          <cell r="G2163">
            <v>42401</v>
          </cell>
          <cell r="L2163" t="str">
            <v>16-10-006-30W1</v>
          </cell>
          <cell r="O2163">
            <v>854.9</v>
          </cell>
          <cell r="Q2163">
            <v>1.51</v>
          </cell>
          <cell r="T2163">
            <v>2597.4299999999998</v>
          </cell>
        </row>
        <row r="2164">
          <cell r="G2164">
            <v>42401</v>
          </cell>
          <cell r="L2164" t="str">
            <v>04-10-004-31W1</v>
          </cell>
          <cell r="O2164">
            <v>864.6</v>
          </cell>
          <cell r="Q2164">
            <v>1.91</v>
          </cell>
          <cell r="T2164">
            <v>2384.8380000000002</v>
          </cell>
        </row>
        <row r="2165">
          <cell r="G2165">
            <v>42401</v>
          </cell>
          <cell r="L2165" t="str">
            <v>05-07-005-03W2</v>
          </cell>
          <cell r="O2165">
            <v>853.4</v>
          </cell>
          <cell r="Q2165">
            <v>1.32</v>
          </cell>
          <cell r="T2165">
            <v>2318.1179999999999</v>
          </cell>
        </row>
        <row r="2166">
          <cell r="G2166">
            <v>42401</v>
          </cell>
          <cell r="L2166" t="str">
            <v>14-09-002-29W1</v>
          </cell>
          <cell r="O2166">
            <v>836.3</v>
          </cell>
          <cell r="Q2166">
            <v>0.79</v>
          </cell>
          <cell r="T2166">
            <v>7697.3010000000004</v>
          </cell>
        </row>
        <row r="2167">
          <cell r="G2167">
            <v>42401</v>
          </cell>
          <cell r="L2167" t="str">
            <v>02-12-010-02W2</v>
          </cell>
          <cell r="O2167">
            <v>854.6</v>
          </cell>
          <cell r="Q2167">
            <v>1.63</v>
          </cell>
          <cell r="T2167">
            <v>499.46499999999997</v>
          </cell>
        </row>
        <row r="2168">
          <cell r="G2168">
            <v>42401</v>
          </cell>
          <cell r="L2168" t="str">
            <v>02-16-010-02W2</v>
          </cell>
          <cell r="O2168">
            <v>860.3</v>
          </cell>
          <cell r="Q2168">
            <v>1.21</v>
          </cell>
          <cell r="T2168">
            <v>440.40499999999997</v>
          </cell>
        </row>
        <row r="2169">
          <cell r="G2169">
            <v>42401</v>
          </cell>
          <cell r="L2169" t="str">
            <v>01-28-002-14W2</v>
          </cell>
          <cell r="O2169">
            <v>847.3</v>
          </cell>
          <cell r="Q2169">
            <v>1.47</v>
          </cell>
          <cell r="T2169">
            <v>5626.2809999999999</v>
          </cell>
        </row>
        <row r="2170">
          <cell r="G2170">
            <v>42401</v>
          </cell>
          <cell r="L2170" t="str">
            <v>16-23-006-11W2</v>
          </cell>
          <cell r="O2170">
            <v>879.5</v>
          </cell>
          <cell r="Q2170">
            <v>2.2999999999999998</v>
          </cell>
          <cell r="T2170">
            <v>1227.0340000000001</v>
          </cell>
        </row>
        <row r="2171">
          <cell r="G2171">
            <v>42401</v>
          </cell>
          <cell r="L2171" t="str">
            <v>04-05-007-33W1</v>
          </cell>
          <cell r="O2171">
            <v>842.3</v>
          </cell>
          <cell r="Q2171">
            <v>1.2</v>
          </cell>
          <cell r="T2171">
            <v>1989.4169999999999</v>
          </cell>
        </row>
        <row r="2172">
          <cell r="G2172">
            <v>42401</v>
          </cell>
          <cell r="L2172" t="str">
            <v>02-14-005-32W1</v>
          </cell>
          <cell r="O2172">
            <v>835.7</v>
          </cell>
          <cell r="Q2172">
            <v>0.97</v>
          </cell>
          <cell r="T2172">
            <v>1892.607</v>
          </cell>
        </row>
        <row r="2173">
          <cell r="G2173">
            <v>42401</v>
          </cell>
          <cell r="L2173" t="str">
            <v>12-23-005-31W1</v>
          </cell>
          <cell r="O2173">
            <v>845.9</v>
          </cell>
          <cell r="Q2173">
            <v>1.03</v>
          </cell>
          <cell r="T2173">
            <v>1197.8150000000001</v>
          </cell>
        </row>
        <row r="2174">
          <cell r="G2174">
            <v>42401</v>
          </cell>
          <cell r="L2174" t="str">
            <v>02-17-005-31W1</v>
          </cell>
          <cell r="O2174">
            <v>845.2</v>
          </cell>
          <cell r="Q2174">
            <v>1.41</v>
          </cell>
          <cell r="T2174">
            <v>234.95400000000001</v>
          </cell>
        </row>
        <row r="2175">
          <cell r="G2175">
            <v>42401</v>
          </cell>
          <cell r="L2175" t="str">
            <v>02-30-001-31W1</v>
          </cell>
          <cell r="O2175">
            <v>867.6</v>
          </cell>
          <cell r="Q2175">
            <v>1.64</v>
          </cell>
          <cell r="T2175">
            <v>237.124</v>
          </cell>
        </row>
        <row r="2176">
          <cell r="G2176">
            <v>42401</v>
          </cell>
          <cell r="L2176" t="str">
            <v>03-03-002-32W1</v>
          </cell>
          <cell r="O2176">
            <v>826.7</v>
          </cell>
          <cell r="Q2176">
            <v>0.95</v>
          </cell>
          <cell r="T2176">
            <v>5006.799</v>
          </cell>
        </row>
        <row r="2177">
          <cell r="G2177">
            <v>42401</v>
          </cell>
          <cell r="L2177" t="str">
            <v>16-24-001-34W1</v>
          </cell>
          <cell r="O2177">
            <v>861.9</v>
          </cell>
          <cell r="Q2177">
            <v>1.62</v>
          </cell>
          <cell r="T2177">
            <v>2658.35</v>
          </cell>
        </row>
        <row r="2178">
          <cell r="G2178">
            <v>42401</v>
          </cell>
          <cell r="L2178" t="str">
            <v>03-19-001-31W1</v>
          </cell>
          <cell r="O2178">
            <v>876</v>
          </cell>
          <cell r="Q2178">
            <v>1.61</v>
          </cell>
          <cell r="T2178">
            <v>1614.489</v>
          </cell>
        </row>
        <row r="2179">
          <cell r="G2179">
            <v>42401</v>
          </cell>
          <cell r="L2179" t="str">
            <v>11-25-001-32W1</v>
          </cell>
          <cell r="O2179">
            <v>866.8</v>
          </cell>
          <cell r="Q2179">
            <v>1.62</v>
          </cell>
          <cell r="T2179">
            <v>1534.9</v>
          </cell>
        </row>
        <row r="2180">
          <cell r="G2180">
            <v>42401</v>
          </cell>
          <cell r="L2180" t="str">
            <v>14-28-002-34W1</v>
          </cell>
          <cell r="O2180">
            <v>829.7</v>
          </cell>
          <cell r="Q2180">
            <v>0.71</v>
          </cell>
          <cell r="T2180">
            <v>1365.0350000000001</v>
          </cell>
        </row>
        <row r="2181">
          <cell r="G2181">
            <v>42401</v>
          </cell>
          <cell r="L2181" t="str">
            <v>14-33-003-01W2</v>
          </cell>
          <cell r="O2181">
            <v>828</v>
          </cell>
          <cell r="Q2181">
            <v>0.84</v>
          </cell>
          <cell r="T2181">
            <v>1244.5630000000001</v>
          </cell>
        </row>
        <row r="2182">
          <cell r="G2182">
            <v>42401</v>
          </cell>
          <cell r="L2182" t="str">
            <v>06-24-001-34W1</v>
          </cell>
          <cell r="O2182">
            <v>849.9</v>
          </cell>
          <cell r="Q2182">
            <v>1.63</v>
          </cell>
          <cell r="T2182">
            <v>866.62800000000004</v>
          </cell>
        </row>
        <row r="2183">
          <cell r="G2183">
            <v>42401</v>
          </cell>
          <cell r="L2183" t="str">
            <v>07-31-001-31W1</v>
          </cell>
          <cell r="O2183">
            <v>865.6</v>
          </cell>
          <cell r="Q2183">
            <v>1.63</v>
          </cell>
          <cell r="T2183">
            <v>797.83500000000004</v>
          </cell>
        </row>
        <row r="2184">
          <cell r="G2184">
            <v>42401</v>
          </cell>
          <cell r="L2184" t="str">
            <v>04-14-005-33W1</v>
          </cell>
          <cell r="O2184">
            <v>838.1</v>
          </cell>
          <cell r="Q2184">
            <v>0.8</v>
          </cell>
          <cell r="T2184">
            <v>726.14700000000005</v>
          </cell>
        </row>
        <row r="2185">
          <cell r="G2185">
            <v>42401</v>
          </cell>
          <cell r="L2185" t="str">
            <v>05-12-002-32W1</v>
          </cell>
          <cell r="O2185">
            <v>863.7</v>
          </cell>
          <cell r="Q2185">
            <v>1.63</v>
          </cell>
          <cell r="T2185">
            <v>712.26700000000005</v>
          </cell>
        </row>
        <row r="2186">
          <cell r="G2186">
            <v>42401</v>
          </cell>
          <cell r="L2186" t="str">
            <v>03-23-001-32W1</v>
          </cell>
          <cell r="O2186">
            <v>854.3</v>
          </cell>
          <cell r="Q2186">
            <v>1.65</v>
          </cell>
          <cell r="T2186">
            <v>374.37700000000001</v>
          </cell>
        </row>
        <row r="2187">
          <cell r="G2187">
            <v>42401</v>
          </cell>
          <cell r="L2187" t="str">
            <v>07-12-005-34W1</v>
          </cell>
          <cell r="O2187">
            <v>824.3</v>
          </cell>
          <cell r="Q2187">
            <v>0.61</v>
          </cell>
          <cell r="T2187">
            <v>366.98399999999998</v>
          </cell>
        </row>
        <row r="2188">
          <cell r="G2188">
            <v>42401</v>
          </cell>
          <cell r="L2188" t="str">
            <v>05-01-001-32W1</v>
          </cell>
          <cell r="O2188">
            <v>863.8</v>
          </cell>
          <cell r="Q2188">
            <v>1.62</v>
          </cell>
          <cell r="T2188">
            <v>300.62900000000002</v>
          </cell>
        </row>
        <row r="2189">
          <cell r="G2189">
            <v>42401</v>
          </cell>
          <cell r="L2189" t="str">
            <v>16-18-011-04W2</v>
          </cell>
          <cell r="O2189">
            <v>824.2</v>
          </cell>
          <cell r="Q2189">
            <v>1.44</v>
          </cell>
          <cell r="T2189">
            <v>5129.5119999999997</v>
          </cell>
        </row>
        <row r="2190">
          <cell r="G2190">
            <v>42401</v>
          </cell>
          <cell r="L2190" t="str">
            <v>10-13-006-03W2</v>
          </cell>
          <cell r="O2190">
            <v>857</v>
          </cell>
          <cell r="Q2190">
            <v>1.79</v>
          </cell>
          <cell r="T2190">
            <v>1277.587</v>
          </cell>
        </row>
        <row r="2191">
          <cell r="G2191">
            <v>42401</v>
          </cell>
          <cell r="L2191" t="str">
            <v>07-12-008-04W2</v>
          </cell>
          <cell r="O2191">
            <v>849.9</v>
          </cell>
          <cell r="Q2191">
            <v>1.41</v>
          </cell>
          <cell r="T2191">
            <v>769.79499999999996</v>
          </cell>
        </row>
        <row r="2192">
          <cell r="G2192">
            <v>42401</v>
          </cell>
          <cell r="L2192" t="str">
            <v>08-36-003-34W1</v>
          </cell>
          <cell r="O2192">
            <v>850</v>
          </cell>
          <cell r="Q2192">
            <v>1.1599999999999999</v>
          </cell>
          <cell r="T2192">
            <v>5170.232</v>
          </cell>
        </row>
        <row r="2193">
          <cell r="G2193">
            <v>42401</v>
          </cell>
          <cell r="L2193" t="str">
            <v>05-14-003-01W2</v>
          </cell>
          <cell r="O2193">
            <v>830.4</v>
          </cell>
          <cell r="Q2193">
            <v>0.71</v>
          </cell>
          <cell r="T2193">
            <v>2657.9679999999998</v>
          </cell>
        </row>
        <row r="2194">
          <cell r="G2194">
            <v>42401</v>
          </cell>
          <cell r="L2194" t="str">
            <v>01-09-001-31W1</v>
          </cell>
          <cell r="O2194">
            <v>874.4</v>
          </cell>
          <cell r="Q2194">
            <v>1.63</v>
          </cell>
          <cell r="T2194">
            <v>1943.713</v>
          </cell>
        </row>
        <row r="2195">
          <cell r="G2195">
            <v>42401</v>
          </cell>
          <cell r="L2195" t="str">
            <v>05-13-003-02W2</v>
          </cell>
          <cell r="O2195">
            <v>824.1</v>
          </cell>
          <cell r="Q2195">
            <v>0.53</v>
          </cell>
          <cell r="T2195">
            <v>1870.7349999999999</v>
          </cell>
        </row>
        <row r="2196">
          <cell r="G2196">
            <v>42401</v>
          </cell>
          <cell r="L2196" t="str">
            <v>14-33-003-01W2</v>
          </cell>
          <cell r="O2196">
            <v>836.8</v>
          </cell>
          <cell r="Q2196">
            <v>0.67</v>
          </cell>
          <cell r="T2196">
            <v>1069.875</v>
          </cell>
        </row>
        <row r="2197">
          <cell r="G2197">
            <v>42401</v>
          </cell>
          <cell r="L2197" t="str">
            <v>13-11-004-02W2</v>
          </cell>
          <cell r="O2197">
            <v>840.4</v>
          </cell>
          <cell r="Q2197">
            <v>1.05</v>
          </cell>
          <cell r="T2197">
            <v>759.07299999999998</v>
          </cell>
        </row>
        <row r="2198">
          <cell r="G2198">
            <v>42401</v>
          </cell>
          <cell r="L2198" t="str">
            <v>10-11-004-34W1</v>
          </cell>
          <cell r="O2198">
            <v>828.9</v>
          </cell>
          <cell r="Q2198">
            <v>0.82</v>
          </cell>
          <cell r="T2198">
            <v>619.41499999999996</v>
          </cell>
        </row>
        <row r="2199">
          <cell r="G2199">
            <v>42401</v>
          </cell>
          <cell r="L2199" t="str">
            <v>14-20-005-33W1</v>
          </cell>
          <cell r="O2199">
            <v>828.2</v>
          </cell>
          <cell r="Q2199">
            <v>0.72</v>
          </cell>
          <cell r="T2199">
            <v>591.40300000000002</v>
          </cell>
        </row>
        <row r="2200">
          <cell r="G2200">
            <v>42401</v>
          </cell>
          <cell r="L2200" t="str">
            <v>02-10-003-01W2</v>
          </cell>
          <cell r="O2200">
            <v>825.2</v>
          </cell>
          <cell r="Q2200">
            <v>0.51</v>
          </cell>
          <cell r="T2200">
            <v>405.63</v>
          </cell>
        </row>
        <row r="2201">
          <cell r="G2201">
            <v>42401</v>
          </cell>
          <cell r="L2201" t="str">
            <v>02-08-004-33W1</v>
          </cell>
          <cell r="O2201">
            <v>830.9</v>
          </cell>
          <cell r="Q2201">
            <v>0.65</v>
          </cell>
          <cell r="T2201">
            <v>338.221</v>
          </cell>
        </row>
        <row r="2202">
          <cell r="G2202">
            <v>42401</v>
          </cell>
          <cell r="L2202" t="str">
            <v>12-12-005-34W1</v>
          </cell>
          <cell r="O2202">
            <v>820.2</v>
          </cell>
          <cell r="Q2202">
            <v>0.59</v>
          </cell>
          <cell r="T2202">
            <v>259.80799999999999</v>
          </cell>
        </row>
        <row r="2203">
          <cell r="G2203">
            <v>42401</v>
          </cell>
          <cell r="L2203" t="str">
            <v>08-33-005-03W2</v>
          </cell>
          <cell r="O2203">
            <v>843.5</v>
          </cell>
          <cell r="Q2203">
            <v>1.1200000000000001</v>
          </cell>
          <cell r="T2203">
            <v>1105.72</v>
          </cell>
        </row>
        <row r="2204">
          <cell r="G2204">
            <v>42401</v>
          </cell>
          <cell r="L2204" t="str">
            <v>02-02-006-03W2</v>
          </cell>
          <cell r="O2204">
            <v>847.6</v>
          </cell>
          <cell r="Q2204">
            <v>1.2</v>
          </cell>
          <cell r="T2204">
            <v>1075.0340000000001</v>
          </cell>
        </row>
        <row r="2205">
          <cell r="G2205">
            <v>42401</v>
          </cell>
          <cell r="L2205" t="str">
            <v>05-29-005-32W1</v>
          </cell>
          <cell r="O2205">
            <v>833.5</v>
          </cell>
          <cell r="Q2205">
            <v>0.94</v>
          </cell>
          <cell r="T2205">
            <v>2968.4229999999998</v>
          </cell>
        </row>
        <row r="2206">
          <cell r="G2206">
            <v>42401</v>
          </cell>
          <cell r="L2206" t="str">
            <v>15-26-007-04W2</v>
          </cell>
          <cell r="O2206">
            <v>853.1</v>
          </cell>
          <cell r="Q2206">
            <v>1.4</v>
          </cell>
          <cell r="T2206">
            <v>361.44299999999998</v>
          </cell>
        </row>
        <row r="2207">
          <cell r="G2207">
            <v>42401</v>
          </cell>
          <cell r="L2207" t="str">
            <v>02-13-006-01W2</v>
          </cell>
          <cell r="O2207">
            <v>844.7</v>
          </cell>
          <cell r="Q2207">
            <v>1.23</v>
          </cell>
          <cell r="T2207">
            <v>251.04300000000001</v>
          </cell>
        </row>
        <row r="2208">
          <cell r="G2208">
            <v>42401</v>
          </cell>
          <cell r="L2208" t="str">
            <v>07-23-006-02W2</v>
          </cell>
          <cell r="O2208">
            <v>842.9</v>
          </cell>
          <cell r="Q2208">
            <v>1.1299999999999999</v>
          </cell>
          <cell r="T2208">
            <v>305.80500000000001</v>
          </cell>
        </row>
        <row r="2209">
          <cell r="G2209">
            <v>42401</v>
          </cell>
          <cell r="L2209" t="str">
            <v>13-30-005-05W2</v>
          </cell>
          <cell r="O2209">
            <v>848.2</v>
          </cell>
          <cell r="Q2209">
            <v>1.1200000000000001</v>
          </cell>
          <cell r="T2209">
            <v>729.36400000000003</v>
          </cell>
        </row>
        <row r="2210">
          <cell r="G2210">
            <v>42401</v>
          </cell>
          <cell r="L2210" t="str">
            <v>09-13-007-11W2</v>
          </cell>
          <cell r="O2210">
            <v>807.7</v>
          </cell>
          <cell r="Q2210">
            <v>0.37</v>
          </cell>
          <cell r="T2210">
            <v>21872.923999999999</v>
          </cell>
        </row>
        <row r="2211">
          <cell r="G2211">
            <v>42401</v>
          </cell>
          <cell r="L2211" t="str">
            <v>04-27-003-33W1</v>
          </cell>
          <cell r="O2211">
            <v>844.6</v>
          </cell>
          <cell r="Q2211">
            <v>1.1299999999999999</v>
          </cell>
          <cell r="T2211">
            <v>2498.6950000000002</v>
          </cell>
        </row>
        <row r="2212">
          <cell r="G2212">
            <v>42401</v>
          </cell>
          <cell r="L2212" t="str">
            <v>03-06-005-12W2</v>
          </cell>
          <cell r="O2212">
            <v>884.6</v>
          </cell>
          <cell r="Q2212">
            <v>2.25</v>
          </cell>
          <cell r="T2212">
            <v>472.05799999999999</v>
          </cell>
        </row>
        <row r="2213">
          <cell r="G2213">
            <v>42401</v>
          </cell>
          <cell r="L2213" t="str">
            <v>15-25-007-11W2</v>
          </cell>
          <cell r="O2213">
            <v>866.8</v>
          </cell>
          <cell r="Q2213">
            <v>1.94</v>
          </cell>
          <cell r="T2213">
            <v>1332.075</v>
          </cell>
        </row>
        <row r="2214">
          <cell r="G2214">
            <v>42401</v>
          </cell>
          <cell r="L2214" t="str">
            <v>07-27-007-06W2</v>
          </cell>
          <cell r="O2214">
            <v>809.9</v>
          </cell>
          <cell r="Q2214">
            <v>0.24</v>
          </cell>
          <cell r="T2214">
            <v>531.90899999999999</v>
          </cell>
        </row>
        <row r="2215">
          <cell r="G2215">
            <v>42401</v>
          </cell>
          <cell r="L2215" t="str">
            <v>05-20-004-04W2</v>
          </cell>
          <cell r="O2215">
            <v>840.3</v>
          </cell>
          <cell r="Q2215">
            <v>1.9</v>
          </cell>
          <cell r="T2215">
            <v>5783.2979999999998</v>
          </cell>
        </row>
        <row r="2216">
          <cell r="G2216">
            <v>42401</v>
          </cell>
          <cell r="L2216" t="str">
            <v>11-16-005-04W2</v>
          </cell>
          <cell r="O2216">
            <v>851.4</v>
          </cell>
          <cell r="Q2216">
            <v>1.35</v>
          </cell>
          <cell r="T2216">
            <v>2625.8330000000001</v>
          </cell>
        </row>
        <row r="2217">
          <cell r="G2217">
            <v>42401</v>
          </cell>
          <cell r="L2217" t="str">
            <v>07-12-006-11W2</v>
          </cell>
          <cell r="O2217">
            <v>877.4</v>
          </cell>
          <cell r="Q2217">
            <v>1.99</v>
          </cell>
          <cell r="T2217">
            <v>22276.416000000001</v>
          </cell>
        </row>
        <row r="2218">
          <cell r="G2218">
            <v>42401</v>
          </cell>
          <cell r="L2218" t="str">
            <v>11-04-005-12W2</v>
          </cell>
          <cell r="O2218">
            <v>874.6</v>
          </cell>
          <cell r="Q2218">
            <v>2</v>
          </cell>
          <cell r="T2218">
            <v>1515.0709999999999</v>
          </cell>
        </row>
        <row r="2219">
          <cell r="G2219">
            <v>42401</v>
          </cell>
          <cell r="L2219" t="str">
            <v>15-32-004-12W2</v>
          </cell>
          <cell r="O2219">
            <v>880.8</v>
          </cell>
          <cell r="Q2219">
            <v>2.12</v>
          </cell>
          <cell r="T2219">
            <v>1462.0930000000001</v>
          </cell>
        </row>
        <row r="2220">
          <cell r="G2220">
            <v>42401</v>
          </cell>
          <cell r="L2220" t="str">
            <v>02-13-006-06W2</v>
          </cell>
          <cell r="O2220">
            <v>847.1</v>
          </cell>
          <cell r="Q2220">
            <v>1.53</v>
          </cell>
          <cell r="T2220">
            <v>2036.048</v>
          </cell>
        </row>
        <row r="2221">
          <cell r="G2221">
            <v>42401</v>
          </cell>
          <cell r="L2221" t="str">
            <v>14-13-001-05W2</v>
          </cell>
          <cell r="O2221">
            <v>812.2</v>
          </cell>
          <cell r="Q2221">
            <v>0.48</v>
          </cell>
          <cell r="T2221">
            <v>22211.281999999999</v>
          </cell>
        </row>
        <row r="2222">
          <cell r="G2222">
            <v>42401</v>
          </cell>
          <cell r="L2222" t="str">
            <v>01-07-006-10W2</v>
          </cell>
          <cell r="O2222">
            <v>827.6</v>
          </cell>
          <cell r="Q2222">
            <v>1.68</v>
          </cell>
          <cell r="T2222">
            <v>59506.839</v>
          </cell>
        </row>
        <row r="2223">
          <cell r="G2223">
            <v>42401</v>
          </cell>
          <cell r="L2223" t="str">
            <v>13-30-007-10W2</v>
          </cell>
          <cell r="O2223">
            <v>808.7</v>
          </cell>
          <cell r="Q2223">
            <v>0.56000000000000005</v>
          </cell>
          <cell r="T2223">
            <v>12164.111000000001</v>
          </cell>
        </row>
        <row r="2224">
          <cell r="G2224">
            <v>42401</v>
          </cell>
          <cell r="L2224" t="str">
            <v>04-17-004-31W1</v>
          </cell>
          <cell r="O2224">
            <v>861.9</v>
          </cell>
          <cell r="Q2224">
            <v>1.73</v>
          </cell>
          <cell r="T2224">
            <v>1412.825</v>
          </cell>
        </row>
        <row r="2225">
          <cell r="G2225">
            <v>42401</v>
          </cell>
          <cell r="L2225" t="str">
            <v>10-33-003-31W1</v>
          </cell>
          <cell r="O2225">
            <v>883.2</v>
          </cell>
          <cell r="Q2225">
            <v>0.88</v>
          </cell>
          <cell r="T2225">
            <v>310.43</v>
          </cell>
        </row>
        <row r="2226">
          <cell r="G2226">
            <v>42401</v>
          </cell>
          <cell r="L2226" t="str">
            <v>11-02-005-12W2</v>
          </cell>
          <cell r="O2226">
            <v>834.8</v>
          </cell>
          <cell r="Q2226">
            <v>1.44</v>
          </cell>
          <cell r="T2226">
            <v>3507.4290000000001</v>
          </cell>
        </row>
        <row r="2227">
          <cell r="G2227">
            <v>42401</v>
          </cell>
          <cell r="L2227" t="str">
            <v>16-13-004-32W1</v>
          </cell>
          <cell r="O2227">
            <v>852.9</v>
          </cell>
          <cell r="Q2227">
            <v>1.45</v>
          </cell>
          <cell r="T2227">
            <v>1072.7950000000001</v>
          </cell>
        </row>
        <row r="2228">
          <cell r="G2228">
            <v>42401</v>
          </cell>
          <cell r="L2228" t="str">
            <v>06-03-004-31W1</v>
          </cell>
          <cell r="O2228">
            <v>867.7</v>
          </cell>
          <cell r="Q2228">
            <v>1.88</v>
          </cell>
          <cell r="T2228">
            <v>375.79599999999999</v>
          </cell>
        </row>
        <row r="2229">
          <cell r="G2229">
            <v>42401</v>
          </cell>
          <cell r="L2229" t="str">
            <v>14-30-001-04W2</v>
          </cell>
          <cell r="O2229">
            <v>828.3</v>
          </cell>
          <cell r="Q2229">
            <v>0.52</v>
          </cell>
          <cell r="T2229">
            <v>3171.1680000000001</v>
          </cell>
        </row>
        <row r="2230">
          <cell r="G2230">
            <v>42401</v>
          </cell>
          <cell r="L2230" t="str">
            <v>14-18-001-04W2</v>
          </cell>
          <cell r="O2230">
            <v>824.5</v>
          </cell>
          <cell r="Q2230">
            <v>0.5</v>
          </cell>
          <cell r="T2230">
            <v>316.60700000000003</v>
          </cell>
        </row>
        <row r="2231">
          <cell r="G2231">
            <v>42401</v>
          </cell>
          <cell r="L2231" t="str">
            <v>05-31-002-01W2</v>
          </cell>
          <cell r="O2231">
            <v>825.7</v>
          </cell>
          <cell r="Q2231">
            <v>0.47</v>
          </cell>
          <cell r="T2231">
            <v>7346.4830000000002</v>
          </cell>
        </row>
        <row r="2232">
          <cell r="G2232">
            <v>42401</v>
          </cell>
          <cell r="L2232" t="str">
            <v>13-03-006-34W1</v>
          </cell>
          <cell r="O2232">
            <v>841.6</v>
          </cell>
          <cell r="Q2232">
            <v>1.1599999999999999</v>
          </cell>
          <cell r="T2232">
            <v>6350.8860000000004</v>
          </cell>
        </row>
        <row r="2233">
          <cell r="G2233">
            <v>42401</v>
          </cell>
          <cell r="L2233" t="str">
            <v>06-27-006-01W2</v>
          </cell>
          <cell r="O2233">
            <v>843.2</v>
          </cell>
          <cell r="Q2233">
            <v>1.54</v>
          </cell>
          <cell r="T2233">
            <v>2388.7570000000001</v>
          </cell>
        </row>
        <row r="2234">
          <cell r="G2234">
            <v>42401</v>
          </cell>
          <cell r="L2234" t="str">
            <v>10-11-006-34W1</v>
          </cell>
          <cell r="O2234">
            <v>853</v>
          </cell>
          <cell r="Q2234">
            <v>1.48</v>
          </cell>
          <cell r="T2234">
            <v>1349.0989999999999</v>
          </cell>
        </row>
        <row r="2235">
          <cell r="G2235">
            <v>42401</v>
          </cell>
          <cell r="L2235" t="str">
            <v>08-32-006-01W2</v>
          </cell>
          <cell r="O2235">
            <v>845.5</v>
          </cell>
          <cell r="Q2235">
            <v>1.21</v>
          </cell>
          <cell r="T2235">
            <v>577.37199999999996</v>
          </cell>
        </row>
        <row r="2236">
          <cell r="G2236">
            <v>42401</v>
          </cell>
          <cell r="L2236" t="str">
            <v>03-29-003-04W2</v>
          </cell>
          <cell r="O2236">
            <v>832.9</v>
          </cell>
          <cell r="Q2236">
            <v>0.81</v>
          </cell>
          <cell r="T2236">
            <v>1282.038</v>
          </cell>
        </row>
        <row r="2237">
          <cell r="G2237">
            <v>42401</v>
          </cell>
          <cell r="L2237" t="str">
            <v>11-27-005-33W1</v>
          </cell>
          <cell r="O2237">
            <v>824.5</v>
          </cell>
          <cell r="Q2237">
            <v>0.72</v>
          </cell>
          <cell r="T2237">
            <v>4502.442</v>
          </cell>
        </row>
        <row r="2238">
          <cell r="G2238">
            <v>42401</v>
          </cell>
          <cell r="L2238" t="str">
            <v>02-15-006-01W2</v>
          </cell>
          <cell r="O2238">
            <v>845.1</v>
          </cell>
          <cell r="Q2238">
            <v>1.1200000000000001</v>
          </cell>
          <cell r="T2238">
            <v>1192.9179999999999</v>
          </cell>
        </row>
        <row r="2239">
          <cell r="G2239">
            <v>42401</v>
          </cell>
          <cell r="L2239" t="str">
            <v>10-33-004-32W1</v>
          </cell>
          <cell r="O2239">
            <v>838.1</v>
          </cell>
          <cell r="Q2239">
            <v>2.2999999999999998</v>
          </cell>
          <cell r="T2239">
            <v>723.35</v>
          </cell>
        </row>
        <row r="2240">
          <cell r="G2240">
            <v>42401</v>
          </cell>
          <cell r="L2240" t="str">
            <v>08-12-006-01W2</v>
          </cell>
          <cell r="O2240">
            <v>844.5</v>
          </cell>
          <cell r="Q2240">
            <v>1.29</v>
          </cell>
          <cell r="T2240">
            <v>364.03399999999999</v>
          </cell>
        </row>
        <row r="2241">
          <cell r="G2241">
            <v>42401</v>
          </cell>
          <cell r="L2241" t="str">
            <v>07-08-004-05W2</v>
          </cell>
          <cell r="O2241">
            <v>837.2</v>
          </cell>
          <cell r="Q2241">
            <v>1.07</v>
          </cell>
          <cell r="T2241">
            <v>1176.3109999999999</v>
          </cell>
        </row>
        <row r="2242">
          <cell r="G2242">
            <v>42401</v>
          </cell>
          <cell r="L2242" t="str">
            <v>09-33-005-05W2</v>
          </cell>
          <cell r="O2242">
            <v>845.2</v>
          </cell>
          <cell r="Q2242">
            <v>0.69</v>
          </cell>
          <cell r="T2242">
            <v>2072.085</v>
          </cell>
        </row>
        <row r="2243">
          <cell r="G2243">
            <v>42401</v>
          </cell>
          <cell r="L2243" t="str">
            <v>08-05-006-33W1</v>
          </cell>
          <cell r="O2243">
            <v>831.8</v>
          </cell>
          <cell r="Q2243">
            <v>0.84</v>
          </cell>
          <cell r="T2243">
            <v>1300.18</v>
          </cell>
        </row>
        <row r="2244">
          <cell r="G2244">
            <v>42401</v>
          </cell>
          <cell r="L2244" t="str">
            <v>06-04-006-33W1</v>
          </cell>
          <cell r="O2244">
            <v>834.5</v>
          </cell>
          <cell r="Q2244">
            <v>0.83</v>
          </cell>
          <cell r="T2244">
            <v>496.892</v>
          </cell>
        </row>
        <row r="2245">
          <cell r="G2245">
            <v>42401</v>
          </cell>
          <cell r="L2245" t="str">
            <v>03-05-006-05W2</v>
          </cell>
          <cell r="O2245">
            <v>866.9</v>
          </cell>
          <cell r="Q2245">
            <v>1.01</v>
          </cell>
          <cell r="T2245">
            <v>448.76900000000001</v>
          </cell>
        </row>
        <row r="2246">
          <cell r="G2246">
            <v>42401</v>
          </cell>
          <cell r="L2246" t="str">
            <v>01-01-006-06W2</v>
          </cell>
          <cell r="O2246">
            <v>848.6</v>
          </cell>
          <cell r="Q2246">
            <v>1.17</v>
          </cell>
          <cell r="T2246">
            <v>371.03300000000002</v>
          </cell>
        </row>
        <row r="2247">
          <cell r="G2247">
            <v>42401</v>
          </cell>
          <cell r="L2247" t="str">
            <v>07-18-005-04W2</v>
          </cell>
          <cell r="O2247">
            <v>847.3</v>
          </cell>
          <cell r="Q2247">
            <v>1.64</v>
          </cell>
          <cell r="T2247">
            <v>380.27100000000002</v>
          </cell>
        </row>
        <row r="2248">
          <cell r="G2248">
            <v>42401</v>
          </cell>
          <cell r="L2248" t="str">
            <v>09-08-004-03W2</v>
          </cell>
          <cell r="O2248">
            <v>840.4</v>
          </cell>
          <cell r="Q2248">
            <v>1.08</v>
          </cell>
          <cell r="T2248">
            <v>4509.8549999999996</v>
          </cell>
        </row>
        <row r="2249">
          <cell r="G2249">
            <v>42401</v>
          </cell>
          <cell r="L2249" t="str">
            <v>05-10-006-05W2</v>
          </cell>
          <cell r="O2249">
            <v>853.3</v>
          </cell>
          <cell r="Q2249">
            <v>1.47</v>
          </cell>
          <cell r="T2249">
            <v>3708.9580000000001</v>
          </cell>
        </row>
        <row r="2250">
          <cell r="G2250">
            <v>42401</v>
          </cell>
          <cell r="L2250" t="str">
            <v>05-24-005-04W2</v>
          </cell>
          <cell r="O2250">
            <v>856.1</v>
          </cell>
          <cell r="Q2250">
            <v>1.5</v>
          </cell>
          <cell r="T2250">
            <v>1875.337</v>
          </cell>
        </row>
        <row r="2251">
          <cell r="G2251">
            <v>42401</v>
          </cell>
          <cell r="L2251" t="str">
            <v>STEELMAN MIDALE</v>
          </cell>
          <cell r="O2251">
            <v>879</v>
          </cell>
          <cell r="Q2251">
            <v>1.86</v>
          </cell>
          <cell r="T2251">
            <v>9194.5010000000002</v>
          </cell>
        </row>
        <row r="2252">
          <cell r="G2252">
            <v>42401</v>
          </cell>
          <cell r="L2252" t="str">
            <v>03-15-004-06W2</v>
          </cell>
          <cell r="O2252">
            <v>852</v>
          </cell>
          <cell r="Q2252">
            <v>1.22</v>
          </cell>
          <cell r="T2252">
            <v>4753.9690000000001</v>
          </cell>
        </row>
        <row r="2253">
          <cell r="G2253">
            <v>42401</v>
          </cell>
          <cell r="L2253" t="str">
            <v>07-35-004-04W2</v>
          </cell>
          <cell r="O2253">
            <v>853.4</v>
          </cell>
          <cell r="Q2253">
            <v>1.57</v>
          </cell>
          <cell r="T2253">
            <v>2697.1849999999999</v>
          </cell>
        </row>
        <row r="2254">
          <cell r="G2254">
            <v>42401</v>
          </cell>
          <cell r="L2254" t="str">
            <v>11-02-005-04W2</v>
          </cell>
          <cell r="O2254">
            <v>850.6</v>
          </cell>
          <cell r="Q2254">
            <v>1.4</v>
          </cell>
          <cell r="T2254">
            <v>1543.82</v>
          </cell>
        </row>
        <row r="2255">
          <cell r="G2255">
            <v>42401</v>
          </cell>
          <cell r="L2255" t="str">
            <v>06-27-004-06W2</v>
          </cell>
          <cell r="O2255">
            <v>833</v>
          </cell>
          <cell r="Q2255">
            <v>0.7</v>
          </cell>
          <cell r="T2255">
            <v>1435.4839999999999</v>
          </cell>
        </row>
        <row r="2256">
          <cell r="G2256">
            <v>42401</v>
          </cell>
          <cell r="L2256" t="str">
            <v>01-11-005-04W2</v>
          </cell>
          <cell r="O2256">
            <v>868.9</v>
          </cell>
          <cell r="Q2256">
            <v>1.75</v>
          </cell>
          <cell r="T2256">
            <v>478.47800000000001</v>
          </cell>
        </row>
        <row r="2257">
          <cell r="G2257">
            <v>42401</v>
          </cell>
          <cell r="L2257" t="str">
            <v>09-13-004-06W2</v>
          </cell>
          <cell r="O2257">
            <v>834.8</v>
          </cell>
          <cell r="Q2257">
            <v>1</v>
          </cell>
          <cell r="T2257">
            <v>422.18299999999999</v>
          </cell>
        </row>
        <row r="2258">
          <cell r="G2258">
            <v>42401</v>
          </cell>
          <cell r="L2258" t="str">
            <v>09-27-004-05W2</v>
          </cell>
          <cell r="O2258">
            <v>845.4</v>
          </cell>
          <cell r="Q2258">
            <v>1.19</v>
          </cell>
          <cell r="T2258">
            <v>1146.088</v>
          </cell>
        </row>
        <row r="2259">
          <cell r="G2259">
            <v>42401</v>
          </cell>
          <cell r="L2259" t="str">
            <v>09-10-005-04W2</v>
          </cell>
          <cell r="O2259">
            <v>854.6</v>
          </cell>
          <cell r="Q2259">
            <v>1.2</v>
          </cell>
          <cell r="T2259">
            <v>1044.0219999999999</v>
          </cell>
        </row>
        <row r="2260">
          <cell r="G2260">
            <v>42401</v>
          </cell>
          <cell r="L2260" t="str">
            <v>11-31-005-11W2</v>
          </cell>
          <cell r="O2260">
            <v>880.1</v>
          </cell>
          <cell r="Q2260">
            <v>1.92</v>
          </cell>
          <cell r="T2260">
            <v>2264.6419999999998</v>
          </cell>
        </row>
        <row r="2261">
          <cell r="G2261">
            <v>42401</v>
          </cell>
          <cell r="L2261" t="str">
            <v>01-18-004-08W2</v>
          </cell>
          <cell r="O2261">
            <v>890.6</v>
          </cell>
          <cell r="Q2261">
            <v>2.42</v>
          </cell>
          <cell r="T2261">
            <v>1352.386</v>
          </cell>
        </row>
        <row r="2262">
          <cell r="G2262">
            <v>42401</v>
          </cell>
          <cell r="L2262" t="str">
            <v>15-36-001-12W2</v>
          </cell>
          <cell r="O2262">
            <v>814.6</v>
          </cell>
          <cell r="Q2262">
            <v>0.12</v>
          </cell>
          <cell r="T2262">
            <v>1106.5809999999999</v>
          </cell>
        </row>
        <row r="2263">
          <cell r="G2263">
            <v>42401</v>
          </cell>
          <cell r="L2263" t="str">
            <v>14-27-005-12W2</v>
          </cell>
          <cell r="O2263">
            <v>874.3</v>
          </cell>
          <cell r="Q2263">
            <v>2.1</v>
          </cell>
          <cell r="T2263">
            <v>1050.222</v>
          </cell>
        </row>
        <row r="2264">
          <cell r="G2264">
            <v>42401</v>
          </cell>
          <cell r="L2264" t="str">
            <v>16-05-005-08W2</v>
          </cell>
          <cell r="O2264">
            <v>883.8</v>
          </cell>
          <cell r="Q2264">
            <v>2.04</v>
          </cell>
          <cell r="T2264">
            <v>730.47799999999995</v>
          </cell>
        </row>
        <row r="2265">
          <cell r="G2265">
            <v>42401</v>
          </cell>
          <cell r="L2265" t="str">
            <v>14-22-004-08W2</v>
          </cell>
          <cell r="O2265">
            <v>873.5</v>
          </cell>
          <cell r="Q2265">
            <v>2.0099999999999998</v>
          </cell>
          <cell r="T2265">
            <v>622.16399999999999</v>
          </cell>
        </row>
        <row r="2266">
          <cell r="G2266">
            <v>42401</v>
          </cell>
          <cell r="L2266" t="str">
            <v>11-14-007-08W2</v>
          </cell>
          <cell r="O2266">
            <v>846.9</v>
          </cell>
          <cell r="Q2266">
            <v>1.33</v>
          </cell>
          <cell r="T2266">
            <v>569.65899999999999</v>
          </cell>
        </row>
        <row r="2267">
          <cell r="G2267">
            <v>42401</v>
          </cell>
          <cell r="L2267" t="str">
            <v>16-09-007-11W2</v>
          </cell>
          <cell r="O2267">
            <v>831.3</v>
          </cell>
          <cell r="Q2267">
            <v>0.52</v>
          </cell>
          <cell r="T2267">
            <v>556.79999999999995</v>
          </cell>
        </row>
        <row r="2268">
          <cell r="G2268">
            <v>42401</v>
          </cell>
          <cell r="L2268" t="str">
            <v>12-20-005-12W2</v>
          </cell>
          <cell r="O2268">
            <v>884.6</v>
          </cell>
          <cell r="Q2268">
            <v>2.04</v>
          </cell>
          <cell r="T2268">
            <v>442.19799999999998</v>
          </cell>
        </row>
        <row r="2269">
          <cell r="G2269">
            <v>42401</v>
          </cell>
          <cell r="L2269" t="str">
            <v>13-33-006-09W2</v>
          </cell>
          <cell r="O2269">
            <v>886.2</v>
          </cell>
          <cell r="Q2269">
            <v>2.3199999999999998</v>
          </cell>
          <cell r="T2269">
            <v>441.05</v>
          </cell>
        </row>
        <row r="2270">
          <cell r="G2270">
            <v>42401</v>
          </cell>
          <cell r="L2270" t="str">
            <v>04-35-004-09W2</v>
          </cell>
          <cell r="O2270">
            <v>891.2</v>
          </cell>
          <cell r="Q2270">
            <v>2.0299999999999998</v>
          </cell>
          <cell r="T2270">
            <v>436.399</v>
          </cell>
        </row>
        <row r="2271">
          <cell r="G2271">
            <v>42401</v>
          </cell>
          <cell r="L2271" t="str">
            <v>15-11-005-09W2</v>
          </cell>
          <cell r="O2271">
            <v>884.1</v>
          </cell>
          <cell r="Q2271">
            <v>2.19</v>
          </cell>
          <cell r="T2271">
            <v>420.42</v>
          </cell>
        </row>
        <row r="2272">
          <cell r="G2272">
            <v>42401</v>
          </cell>
          <cell r="L2272" t="str">
            <v>04-27-004-08W2</v>
          </cell>
          <cell r="O2272">
            <v>884</v>
          </cell>
          <cell r="Q2272">
            <v>2.17</v>
          </cell>
          <cell r="T2272">
            <v>374.63</v>
          </cell>
        </row>
        <row r="2273">
          <cell r="G2273">
            <v>42401</v>
          </cell>
          <cell r="L2273" t="str">
            <v>09-02-006-07W2</v>
          </cell>
          <cell r="O2273">
            <v>877.8</v>
          </cell>
          <cell r="Q2273">
            <v>2.25</v>
          </cell>
          <cell r="T2273">
            <v>373.40800000000002</v>
          </cell>
        </row>
        <row r="2274">
          <cell r="G2274">
            <v>42401</v>
          </cell>
          <cell r="L2274" t="str">
            <v>13-06-007-11W2</v>
          </cell>
          <cell r="O2274">
            <v>858.6</v>
          </cell>
          <cell r="Q2274">
            <v>2</v>
          </cell>
          <cell r="T2274">
            <v>372.892</v>
          </cell>
        </row>
        <row r="2275">
          <cell r="G2275">
            <v>42401</v>
          </cell>
          <cell r="L2275" t="str">
            <v>06-18-006-12W2</v>
          </cell>
          <cell r="O2275">
            <v>885.2</v>
          </cell>
          <cell r="Q2275">
            <v>2.69</v>
          </cell>
          <cell r="T2275">
            <v>337.56200000000001</v>
          </cell>
        </row>
        <row r="2276">
          <cell r="G2276">
            <v>42401</v>
          </cell>
          <cell r="L2276" t="str">
            <v>15-29-007-13W2</v>
          </cell>
          <cell r="O2276">
            <v>848.8</v>
          </cell>
          <cell r="Q2276">
            <v>1.82</v>
          </cell>
          <cell r="T2276">
            <v>335.01900000000001</v>
          </cell>
        </row>
        <row r="2277">
          <cell r="G2277">
            <v>42401</v>
          </cell>
          <cell r="L2277" t="str">
            <v>04-13-004-10W2</v>
          </cell>
          <cell r="O2277">
            <v>884.2</v>
          </cell>
          <cell r="Q2277">
            <v>1.9</v>
          </cell>
          <cell r="T2277">
            <v>312.20699999999999</v>
          </cell>
        </row>
        <row r="2278">
          <cell r="G2278">
            <v>42401</v>
          </cell>
          <cell r="L2278" t="str">
            <v>04-23-012-06W2</v>
          </cell>
          <cell r="O2278">
            <v>895.2</v>
          </cell>
          <cell r="Q2278">
            <v>2.74</v>
          </cell>
          <cell r="T2278">
            <v>303.64999999999998</v>
          </cell>
        </row>
        <row r="2279">
          <cell r="G2279">
            <v>42401</v>
          </cell>
          <cell r="L2279" t="str">
            <v>03-18-007-09W2</v>
          </cell>
          <cell r="O2279">
            <v>814</v>
          </cell>
          <cell r="Q2279">
            <v>0.42</v>
          </cell>
          <cell r="T2279">
            <v>303.55799999999999</v>
          </cell>
        </row>
        <row r="2280">
          <cell r="G2280">
            <v>42401</v>
          </cell>
          <cell r="L2280" t="str">
            <v>01-10-008-15W2</v>
          </cell>
          <cell r="O2280">
            <v>864.1</v>
          </cell>
          <cell r="Q2280">
            <v>2.0499999999999998</v>
          </cell>
          <cell r="T2280">
            <v>277.30799999999999</v>
          </cell>
        </row>
        <row r="2281">
          <cell r="G2281">
            <v>42401</v>
          </cell>
          <cell r="L2281" t="str">
            <v>04-16-004-21W2</v>
          </cell>
          <cell r="O2281">
            <v>819.5</v>
          </cell>
          <cell r="Q2281">
            <v>0.66</v>
          </cell>
          <cell r="T2281">
            <v>270.75700000000001</v>
          </cell>
        </row>
        <row r="2282">
          <cell r="G2282">
            <v>42401</v>
          </cell>
          <cell r="L2282" t="str">
            <v>01-01-007-12W2</v>
          </cell>
          <cell r="O2282">
            <v>891.9</v>
          </cell>
          <cell r="Q2282">
            <v>2.62</v>
          </cell>
          <cell r="T2282">
            <v>265.23399999999998</v>
          </cell>
        </row>
        <row r="2283">
          <cell r="G2283">
            <v>42401</v>
          </cell>
          <cell r="L2283" t="str">
            <v>15-13-002-12W2</v>
          </cell>
          <cell r="O2283">
            <v>821.9</v>
          </cell>
          <cell r="Q2283">
            <v>0.22</v>
          </cell>
          <cell r="T2283">
            <v>258.03300000000002</v>
          </cell>
        </row>
        <row r="2284">
          <cell r="G2284">
            <v>42401</v>
          </cell>
          <cell r="L2284" t="str">
            <v>14-04-006-08W2</v>
          </cell>
          <cell r="O2284">
            <v>846.3</v>
          </cell>
          <cell r="Q2284">
            <v>0.62</v>
          </cell>
          <cell r="T2284">
            <v>239.92699999999999</v>
          </cell>
        </row>
        <row r="2285">
          <cell r="G2285">
            <v>42401</v>
          </cell>
          <cell r="L2285" t="str">
            <v>02-13-004-12W2</v>
          </cell>
          <cell r="O2285">
            <v>883.8</v>
          </cell>
          <cell r="Q2285">
            <v>2.06</v>
          </cell>
          <cell r="T2285">
            <v>227.23099999999999</v>
          </cell>
        </row>
        <row r="2286">
          <cell r="G2286">
            <v>42401</v>
          </cell>
          <cell r="L2286" t="str">
            <v>03-08-001-11W2</v>
          </cell>
          <cell r="O2286">
            <v>821.1</v>
          </cell>
          <cell r="Q2286">
            <v>0.24</v>
          </cell>
          <cell r="T2286">
            <v>188.11199999999999</v>
          </cell>
        </row>
        <row r="2287">
          <cell r="G2287">
            <v>42401</v>
          </cell>
          <cell r="L2287" t="str">
            <v>05-31-006-13W2</v>
          </cell>
          <cell r="O2287">
            <v>805</v>
          </cell>
          <cell r="Q2287">
            <v>0.19</v>
          </cell>
          <cell r="T2287">
            <v>164.02099999999999</v>
          </cell>
        </row>
        <row r="2288">
          <cell r="G2288">
            <v>42401</v>
          </cell>
          <cell r="L2288" t="str">
            <v>12-27-006-13W2</v>
          </cell>
          <cell r="O2288">
            <v>858.2</v>
          </cell>
          <cell r="Q2288">
            <v>2.0099999999999998</v>
          </cell>
          <cell r="T2288">
            <v>163.59299999999999</v>
          </cell>
        </row>
        <row r="2289">
          <cell r="G2289">
            <v>42401</v>
          </cell>
          <cell r="L2289" t="str">
            <v>09-06-010-15W2</v>
          </cell>
          <cell r="O2289">
            <v>874.4</v>
          </cell>
          <cell r="Q2289">
            <v>0.53</v>
          </cell>
          <cell r="T2289">
            <v>158.83699999999999</v>
          </cell>
        </row>
        <row r="2290">
          <cell r="G2290">
            <v>42401</v>
          </cell>
          <cell r="L2290" t="str">
            <v>04-27-032-56W1</v>
          </cell>
          <cell r="O2290">
            <v>804.6</v>
          </cell>
          <cell r="Q2290">
            <v>0.25</v>
          </cell>
          <cell r="T2290">
            <v>154.34200000000001</v>
          </cell>
        </row>
        <row r="2291">
          <cell r="G2291">
            <v>42401</v>
          </cell>
          <cell r="L2291" t="str">
            <v>14-27-007-08W2</v>
          </cell>
          <cell r="O2291">
            <v>882.9</v>
          </cell>
          <cell r="Q2291">
            <v>2.39</v>
          </cell>
          <cell r="T2291">
            <v>151.14400000000001</v>
          </cell>
        </row>
        <row r="2292">
          <cell r="G2292">
            <v>42401</v>
          </cell>
          <cell r="L2292" t="str">
            <v>09-11-007-14W2</v>
          </cell>
          <cell r="O2292">
            <v>842.7</v>
          </cell>
          <cell r="Q2292">
            <v>1.54</v>
          </cell>
          <cell r="T2292">
            <v>138.94399999999999</v>
          </cell>
        </row>
        <row r="2293">
          <cell r="G2293">
            <v>42401</v>
          </cell>
          <cell r="L2293" t="str">
            <v>12-31-001-17W2</v>
          </cell>
          <cell r="O2293">
            <v>854.1</v>
          </cell>
          <cell r="Q2293">
            <v>1.51</v>
          </cell>
          <cell r="T2293">
            <v>136.988</v>
          </cell>
        </row>
        <row r="2294">
          <cell r="G2294">
            <v>42401</v>
          </cell>
          <cell r="L2294" t="str">
            <v>01-06-004-11W2</v>
          </cell>
          <cell r="O2294">
            <v>880.8</v>
          </cell>
          <cell r="Q2294">
            <v>2.4</v>
          </cell>
          <cell r="T2294">
            <v>136.208</v>
          </cell>
        </row>
        <row r="2295">
          <cell r="G2295">
            <v>42401</v>
          </cell>
          <cell r="L2295" t="str">
            <v>04-18-007-09W2</v>
          </cell>
          <cell r="O2295">
            <v>810.8</v>
          </cell>
          <cell r="Q2295">
            <v>0.4</v>
          </cell>
          <cell r="T2295">
            <v>136.15299999999999</v>
          </cell>
        </row>
        <row r="2296">
          <cell r="G2296">
            <v>42401</v>
          </cell>
          <cell r="L2296" t="str">
            <v>16-06-005-12W2</v>
          </cell>
          <cell r="O2296">
            <v>880.1</v>
          </cell>
          <cell r="Q2296">
            <v>2.09</v>
          </cell>
          <cell r="T2296">
            <v>135.29499999999999</v>
          </cell>
        </row>
        <row r="2297">
          <cell r="G2297">
            <v>42401</v>
          </cell>
          <cell r="L2297" t="str">
            <v>07-02-007-12W2</v>
          </cell>
          <cell r="O2297">
            <v>853.1</v>
          </cell>
          <cell r="Q2297">
            <v>1.98</v>
          </cell>
          <cell r="T2297">
            <v>132.297</v>
          </cell>
        </row>
        <row r="2298">
          <cell r="G2298">
            <v>42401</v>
          </cell>
          <cell r="L2298" t="str">
            <v>03-27-011-08W2</v>
          </cell>
          <cell r="O2298">
            <v>900</v>
          </cell>
          <cell r="Q2298">
            <v>2.64</v>
          </cell>
          <cell r="T2298">
            <v>130.16900000000001</v>
          </cell>
        </row>
        <row r="2299">
          <cell r="G2299">
            <v>42401</v>
          </cell>
          <cell r="L2299" t="str">
            <v>14-20-004-10W2</v>
          </cell>
          <cell r="O2299">
            <v>891.9</v>
          </cell>
          <cell r="Q2299">
            <v>2.12</v>
          </cell>
          <cell r="T2299">
            <v>128.89500000000001</v>
          </cell>
        </row>
        <row r="2300">
          <cell r="G2300">
            <v>42401</v>
          </cell>
          <cell r="L2300" t="str">
            <v>18-16-154-95W1</v>
          </cell>
          <cell r="O2300">
            <v>815.6</v>
          </cell>
          <cell r="Q2300">
            <v>0.89</v>
          </cell>
          <cell r="T2300">
            <v>101.235</v>
          </cell>
        </row>
        <row r="2301">
          <cell r="G2301">
            <v>42401</v>
          </cell>
          <cell r="L2301" t="str">
            <v>16-29-006-12W2</v>
          </cell>
          <cell r="O2301">
            <v>876.6</v>
          </cell>
          <cell r="Q2301">
            <v>2.21</v>
          </cell>
          <cell r="T2301">
            <v>97.417000000000002</v>
          </cell>
        </row>
        <row r="2302">
          <cell r="G2302">
            <v>42401</v>
          </cell>
          <cell r="L2302" t="str">
            <v>07-10-001-20W2</v>
          </cell>
          <cell r="O2302">
            <v>876.3</v>
          </cell>
          <cell r="Q2302">
            <v>1.8</v>
          </cell>
          <cell r="T2302">
            <v>91.149000000000001</v>
          </cell>
        </row>
        <row r="2303">
          <cell r="G2303">
            <v>42401</v>
          </cell>
          <cell r="L2303" t="str">
            <v>09-32-006-15W2</v>
          </cell>
          <cell r="O2303">
            <v>890.4</v>
          </cell>
          <cell r="Q2303">
            <v>2.71</v>
          </cell>
          <cell r="T2303">
            <v>78.134</v>
          </cell>
        </row>
        <row r="2304">
          <cell r="G2304">
            <v>42401</v>
          </cell>
          <cell r="L2304" t="str">
            <v>14-25-003-09W2</v>
          </cell>
          <cell r="O2304">
            <v>841.3</v>
          </cell>
          <cell r="Q2304">
            <v>1.63</v>
          </cell>
          <cell r="T2304">
            <v>68.620999999999995</v>
          </cell>
        </row>
        <row r="2305">
          <cell r="G2305">
            <v>42401</v>
          </cell>
          <cell r="L2305" t="str">
            <v>09-12-007-09W2</v>
          </cell>
          <cell r="O2305">
            <v>822.5</v>
          </cell>
          <cell r="Q2305">
            <v>0.16</v>
          </cell>
          <cell r="T2305">
            <v>67.084999999999994</v>
          </cell>
        </row>
        <row r="2306">
          <cell r="G2306">
            <v>42401</v>
          </cell>
          <cell r="L2306" t="str">
            <v>15-11-008-12W2</v>
          </cell>
          <cell r="O2306">
            <v>901.4</v>
          </cell>
          <cell r="Q2306">
            <v>2.1800000000000002</v>
          </cell>
          <cell r="T2306">
            <v>65.989000000000004</v>
          </cell>
        </row>
        <row r="2307">
          <cell r="G2307">
            <v>42401</v>
          </cell>
          <cell r="L2307" t="str">
            <v>12-28-006-07W2</v>
          </cell>
          <cell r="O2307">
            <v>907.7</v>
          </cell>
          <cell r="Q2307">
            <v>2.52</v>
          </cell>
          <cell r="T2307">
            <v>64.814999999999998</v>
          </cell>
        </row>
        <row r="2308">
          <cell r="G2308">
            <v>42401</v>
          </cell>
          <cell r="L2308" t="str">
            <v>07-24-006-10W2</v>
          </cell>
          <cell r="O2308">
            <v>882.5</v>
          </cell>
          <cell r="Q2308">
            <v>2.2599999999999998</v>
          </cell>
          <cell r="T2308">
            <v>64.658000000000001</v>
          </cell>
        </row>
        <row r="2309">
          <cell r="G2309">
            <v>42401</v>
          </cell>
          <cell r="L2309" t="str">
            <v>09-22-006-12W2</v>
          </cell>
          <cell r="O2309">
            <v>876.3</v>
          </cell>
          <cell r="Q2309">
            <v>2.34</v>
          </cell>
          <cell r="T2309">
            <v>64.356999999999999</v>
          </cell>
        </row>
        <row r="2310">
          <cell r="G2310">
            <v>42401</v>
          </cell>
          <cell r="L2310" t="str">
            <v>01-03-028-58W1</v>
          </cell>
          <cell r="O2310">
            <v>854.4</v>
          </cell>
          <cell r="Q2310">
            <v>0.89</v>
          </cell>
          <cell r="T2310">
            <v>59.543999999999997</v>
          </cell>
        </row>
        <row r="2311">
          <cell r="G2311">
            <v>42401</v>
          </cell>
          <cell r="L2311" t="str">
            <v>08-34-006-12W2</v>
          </cell>
          <cell r="O2311">
            <v>880.7</v>
          </cell>
          <cell r="Q2311">
            <v>1.89</v>
          </cell>
          <cell r="T2311">
            <v>42.179000000000002</v>
          </cell>
        </row>
        <row r="2312">
          <cell r="G2312">
            <v>42401</v>
          </cell>
          <cell r="L2312" t="str">
            <v>03-07-007-11W2</v>
          </cell>
          <cell r="O2312">
            <v>806.9</v>
          </cell>
          <cell r="Q2312">
            <v>0.21</v>
          </cell>
          <cell r="T2312">
            <v>35.384</v>
          </cell>
        </row>
        <row r="2313">
          <cell r="G2313">
            <v>42401</v>
          </cell>
          <cell r="L2313" t="str">
            <v>05-23-004-07W2</v>
          </cell>
          <cell r="O2313">
            <v>889</v>
          </cell>
          <cell r="Q2313">
            <v>2.0699999999999998</v>
          </cell>
          <cell r="T2313">
            <v>34.609000000000002</v>
          </cell>
        </row>
        <row r="2314">
          <cell r="G2314">
            <v>42401</v>
          </cell>
          <cell r="L2314" t="str">
            <v>06-13-007-10W2</v>
          </cell>
          <cell r="O2314">
            <v>820.5</v>
          </cell>
          <cell r="Q2314">
            <v>0.17</v>
          </cell>
          <cell r="T2314">
            <v>33.698999999999998</v>
          </cell>
        </row>
        <row r="2315">
          <cell r="G2315">
            <v>42401</v>
          </cell>
          <cell r="L2315" t="str">
            <v>01-36-006-12W2</v>
          </cell>
          <cell r="O2315">
            <v>894.9</v>
          </cell>
          <cell r="Q2315">
            <v>2.7</v>
          </cell>
          <cell r="T2315">
            <v>31.062999999999999</v>
          </cell>
        </row>
        <row r="2316">
          <cell r="G2316">
            <v>42401</v>
          </cell>
          <cell r="L2316" t="str">
            <v>02-22-009-09W2</v>
          </cell>
          <cell r="O2316">
            <v>891.8</v>
          </cell>
          <cell r="Q2316">
            <v>2.42</v>
          </cell>
          <cell r="T2316">
            <v>31.041</v>
          </cell>
        </row>
        <row r="2317">
          <cell r="G2317">
            <v>42401</v>
          </cell>
          <cell r="L2317" t="str">
            <v>01-23-155-91W1</v>
          </cell>
          <cell r="O2317">
            <v>891.6</v>
          </cell>
          <cell r="Q2317">
            <v>1.85</v>
          </cell>
          <cell r="T2317">
            <v>30.663</v>
          </cell>
        </row>
        <row r="2318">
          <cell r="G2318">
            <v>42401</v>
          </cell>
          <cell r="L2318" t="str">
            <v>01-27-164-97W1</v>
          </cell>
          <cell r="O2318">
            <v>885.5</v>
          </cell>
          <cell r="Q2318">
            <v>0.75</v>
          </cell>
          <cell r="T2318">
            <v>30.629000000000001</v>
          </cell>
        </row>
        <row r="2319">
          <cell r="G2319">
            <v>42401</v>
          </cell>
          <cell r="L2319" t="str">
            <v>13-06-007-09W2</v>
          </cell>
          <cell r="O2319">
            <v>827.3</v>
          </cell>
          <cell r="Q2319">
            <v>0.25</v>
          </cell>
          <cell r="T2319">
            <v>30.472000000000001</v>
          </cell>
        </row>
        <row r="2320">
          <cell r="G2320">
            <v>42401</v>
          </cell>
          <cell r="L2320" t="str">
            <v>01-27-004-07W2</v>
          </cell>
          <cell r="O2320">
            <v>887</v>
          </cell>
          <cell r="Q2320">
            <v>2.0299999999999998</v>
          </cell>
          <cell r="T2320">
            <v>27.315000000000001</v>
          </cell>
        </row>
        <row r="2321">
          <cell r="G2321">
            <v>42401</v>
          </cell>
          <cell r="L2321" t="str">
            <v>31-15-159-87W1</v>
          </cell>
          <cell r="O2321">
            <v>884.4</v>
          </cell>
          <cell r="Q2321">
            <v>2.16</v>
          </cell>
          <cell r="T2321">
            <v>23.69</v>
          </cell>
        </row>
        <row r="2322">
          <cell r="G2322">
            <v>42401</v>
          </cell>
          <cell r="L2322" t="str">
            <v>20-01-161-90W1</v>
          </cell>
          <cell r="O2322">
            <v>844.3</v>
          </cell>
          <cell r="Q2322">
            <v>1.4</v>
          </cell>
          <cell r="T2322">
            <v>22.972000000000001</v>
          </cell>
        </row>
        <row r="2323">
          <cell r="G2323">
            <v>42401</v>
          </cell>
          <cell r="L2323" t="str">
            <v>01-35-162-03W1</v>
          </cell>
          <cell r="O2323">
            <v>876.3</v>
          </cell>
          <cell r="Q2323">
            <v>0.17</v>
          </cell>
          <cell r="T2323">
            <v>22.135999999999999</v>
          </cell>
        </row>
        <row r="2324">
          <cell r="G2324">
            <v>42401</v>
          </cell>
          <cell r="L2324" t="str">
            <v>14-35-001-12W2</v>
          </cell>
          <cell r="O2324">
            <v>814</v>
          </cell>
          <cell r="Q2324">
            <v>0.2</v>
          </cell>
          <cell r="T2324">
            <v>17.402999999999999</v>
          </cell>
        </row>
        <row r="2325">
          <cell r="G2325">
            <v>42401</v>
          </cell>
          <cell r="L2325" t="str">
            <v>04-24-005-15W2</v>
          </cell>
          <cell r="O2325">
            <v>890.2</v>
          </cell>
          <cell r="Q2325">
            <v>2.75</v>
          </cell>
          <cell r="T2325">
            <v>1647.009</v>
          </cell>
        </row>
        <row r="2326">
          <cell r="G2326">
            <v>42401</v>
          </cell>
          <cell r="L2326" t="str">
            <v>15-29-005-15W2</v>
          </cell>
          <cell r="O2326">
            <v>883.3</v>
          </cell>
          <cell r="Q2326">
            <v>2.64</v>
          </cell>
          <cell r="T2326">
            <v>1262.027</v>
          </cell>
        </row>
        <row r="2327">
          <cell r="G2327">
            <v>42401</v>
          </cell>
          <cell r="L2327" t="str">
            <v>09-34-005-15W2</v>
          </cell>
          <cell r="O2327">
            <v>882.1</v>
          </cell>
          <cell r="Q2327">
            <v>2.64</v>
          </cell>
          <cell r="T2327">
            <v>902.77700000000004</v>
          </cell>
        </row>
        <row r="2328">
          <cell r="G2328">
            <v>42401</v>
          </cell>
          <cell r="L2328" t="str">
            <v>11-25-005-12W2</v>
          </cell>
          <cell r="O2328">
            <v>874.8</v>
          </cell>
          <cell r="Q2328">
            <v>2.12</v>
          </cell>
          <cell r="T2328">
            <v>2315.5219999999999</v>
          </cell>
        </row>
        <row r="2329">
          <cell r="G2329">
            <v>42401</v>
          </cell>
          <cell r="L2329" t="str">
            <v>16-18-003-15W2</v>
          </cell>
          <cell r="O2329">
            <v>887.3</v>
          </cell>
          <cell r="Q2329">
            <v>2.29</v>
          </cell>
          <cell r="T2329">
            <v>1082.6199999999999</v>
          </cell>
        </row>
        <row r="2330">
          <cell r="G2330">
            <v>42401</v>
          </cell>
          <cell r="L2330" t="str">
            <v>12-30-005-07W2</v>
          </cell>
          <cell r="O2330">
            <v>890.8</v>
          </cell>
          <cell r="Q2330">
            <v>2.44</v>
          </cell>
          <cell r="T2330">
            <v>823.31700000000001</v>
          </cell>
        </row>
        <row r="2331">
          <cell r="G2331">
            <v>42401</v>
          </cell>
          <cell r="L2331" t="str">
            <v>14-21-001-12W2</v>
          </cell>
          <cell r="O2331">
            <v>809</v>
          </cell>
          <cell r="Q2331">
            <v>0.14000000000000001</v>
          </cell>
          <cell r="T2331">
            <v>568.26400000000001</v>
          </cell>
        </row>
        <row r="2332">
          <cell r="G2332">
            <v>42401</v>
          </cell>
          <cell r="L2332" t="str">
            <v>11-31-006-08W2</v>
          </cell>
          <cell r="O2332">
            <v>887.9</v>
          </cell>
          <cell r="Q2332">
            <v>2.46</v>
          </cell>
          <cell r="T2332">
            <v>476.61399999999998</v>
          </cell>
        </row>
        <row r="2333">
          <cell r="G2333">
            <v>42401</v>
          </cell>
          <cell r="L2333" t="str">
            <v>16-22-001-12W2</v>
          </cell>
          <cell r="O2333">
            <v>823.8</v>
          </cell>
          <cell r="Q2333">
            <v>0.16</v>
          </cell>
          <cell r="T2333">
            <v>359.57</v>
          </cell>
        </row>
        <row r="2334">
          <cell r="G2334">
            <v>42401</v>
          </cell>
          <cell r="L2334" t="str">
            <v>05-23-005-13W2</v>
          </cell>
          <cell r="O2334">
            <v>906.3</v>
          </cell>
          <cell r="Q2334">
            <v>2.72</v>
          </cell>
          <cell r="T2334">
            <v>356.92700000000002</v>
          </cell>
        </row>
        <row r="2335">
          <cell r="G2335">
            <v>42401</v>
          </cell>
          <cell r="L2335" t="str">
            <v>14-27-001-12W2</v>
          </cell>
          <cell r="O2335">
            <v>814.7</v>
          </cell>
          <cell r="Q2335">
            <v>0.25</v>
          </cell>
          <cell r="T2335">
            <v>299.76100000000002</v>
          </cell>
        </row>
        <row r="2336">
          <cell r="G2336">
            <v>42401</v>
          </cell>
          <cell r="L2336" t="str">
            <v>06-20-006-09W2</v>
          </cell>
          <cell r="O2336">
            <v>880.4</v>
          </cell>
          <cell r="Q2336">
            <v>2.23</v>
          </cell>
          <cell r="T2336">
            <v>294.71699999999998</v>
          </cell>
        </row>
        <row r="2337">
          <cell r="G2337">
            <v>42401</v>
          </cell>
          <cell r="L2337" t="str">
            <v>13-24-001-16W2</v>
          </cell>
          <cell r="O2337">
            <v>805.7</v>
          </cell>
          <cell r="Q2337">
            <v>0.39</v>
          </cell>
          <cell r="T2337">
            <v>242.267</v>
          </cell>
        </row>
        <row r="2338">
          <cell r="G2338">
            <v>42401</v>
          </cell>
          <cell r="L2338" t="str">
            <v>13-29-001-15W2</v>
          </cell>
          <cell r="O2338">
            <v>798.6</v>
          </cell>
          <cell r="Q2338">
            <v>0.22</v>
          </cell>
          <cell r="T2338">
            <v>134.03299999999999</v>
          </cell>
        </row>
        <row r="2339">
          <cell r="G2339">
            <v>42401</v>
          </cell>
          <cell r="L2339" t="str">
            <v>13-22-001-12W2</v>
          </cell>
          <cell r="O2339">
            <v>809.2</v>
          </cell>
          <cell r="Q2339">
            <v>0.12</v>
          </cell>
          <cell r="T2339">
            <v>133.85900000000001</v>
          </cell>
        </row>
        <row r="2340">
          <cell r="G2340">
            <v>42401</v>
          </cell>
          <cell r="L2340" t="str">
            <v>06-29-022-06W2</v>
          </cell>
          <cell r="O2340">
            <v>892.8</v>
          </cell>
          <cell r="Q2340">
            <v>0.97</v>
          </cell>
          <cell r="T2340">
            <v>89.320999999999998</v>
          </cell>
        </row>
        <row r="2341">
          <cell r="G2341">
            <v>42401</v>
          </cell>
          <cell r="L2341" t="str">
            <v>13-34-001-13W2</v>
          </cell>
          <cell r="O2341">
            <v>815.1</v>
          </cell>
          <cell r="Q2341">
            <v>0.2</v>
          </cell>
          <cell r="T2341">
            <v>66.721999999999994</v>
          </cell>
        </row>
        <row r="2342">
          <cell r="G2342">
            <v>42401</v>
          </cell>
          <cell r="L2342" t="str">
            <v>06-17-006-14W2</v>
          </cell>
          <cell r="O2342">
            <v>871.5</v>
          </cell>
          <cell r="Q2342">
            <v>1.72</v>
          </cell>
          <cell r="T2342">
            <v>3252.1779999999999</v>
          </cell>
        </row>
        <row r="2343">
          <cell r="G2343">
            <v>42401</v>
          </cell>
          <cell r="L2343" t="str">
            <v>10-11-005-14W2</v>
          </cell>
          <cell r="O2343">
            <v>899.6</v>
          </cell>
          <cell r="Q2343">
            <v>2.92</v>
          </cell>
          <cell r="T2343">
            <v>414.04899999999998</v>
          </cell>
        </row>
        <row r="2344">
          <cell r="G2344">
            <v>42401</v>
          </cell>
          <cell r="L2344" t="str">
            <v>03-15-005-13W2</v>
          </cell>
          <cell r="O2344">
            <v>898</v>
          </cell>
          <cell r="Q2344">
            <v>2.85</v>
          </cell>
          <cell r="T2344">
            <v>356.87599999999998</v>
          </cell>
        </row>
        <row r="2345">
          <cell r="G2345">
            <v>42401</v>
          </cell>
          <cell r="L2345" t="str">
            <v>12-13-006-13W2</v>
          </cell>
          <cell r="O2345">
            <v>872.3</v>
          </cell>
          <cell r="Q2345">
            <v>2.4700000000000002</v>
          </cell>
          <cell r="T2345">
            <v>333.76299999999998</v>
          </cell>
        </row>
        <row r="2346">
          <cell r="G2346">
            <v>42401</v>
          </cell>
          <cell r="L2346" t="str">
            <v>15-19-005-13W2</v>
          </cell>
          <cell r="O2346">
            <v>896.6</v>
          </cell>
          <cell r="Q2346">
            <v>2.64</v>
          </cell>
          <cell r="T2346">
            <v>240.56100000000001</v>
          </cell>
        </row>
        <row r="2347">
          <cell r="G2347">
            <v>42401</v>
          </cell>
          <cell r="L2347" t="str">
            <v>08-23-005-14W2</v>
          </cell>
          <cell r="O2347">
            <v>879.1</v>
          </cell>
          <cell r="Q2347">
            <v>2.52</v>
          </cell>
          <cell r="T2347">
            <v>134.804</v>
          </cell>
        </row>
        <row r="2348">
          <cell r="G2348">
            <v>42401</v>
          </cell>
          <cell r="L2348" t="str">
            <v>01-03-006-14W2</v>
          </cell>
          <cell r="O2348">
            <v>875.7</v>
          </cell>
          <cell r="Q2348">
            <v>2.37</v>
          </cell>
          <cell r="T2348">
            <v>33.917000000000002</v>
          </cell>
        </row>
        <row r="2349">
          <cell r="G2349">
            <v>42401</v>
          </cell>
          <cell r="L2349" t="str">
            <v>11-12-006-15W2</v>
          </cell>
          <cell r="O2349">
            <v>872</v>
          </cell>
          <cell r="Q2349">
            <v>2.2999999999999998</v>
          </cell>
          <cell r="T2349">
            <v>7493.6049999999996</v>
          </cell>
        </row>
        <row r="2350">
          <cell r="G2350">
            <v>42401</v>
          </cell>
          <cell r="L2350" t="str">
            <v>07-24-006-15W2</v>
          </cell>
          <cell r="O2350">
            <v>865</v>
          </cell>
          <cell r="Q2350">
            <v>2.27</v>
          </cell>
          <cell r="T2350">
            <v>961.048</v>
          </cell>
        </row>
        <row r="2351">
          <cell r="G2351">
            <v>42401</v>
          </cell>
          <cell r="L2351" t="str">
            <v>07-07-006-15W2</v>
          </cell>
          <cell r="O2351">
            <v>870</v>
          </cell>
          <cell r="Q2351">
            <v>2.59</v>
          </cell>
          <cell r="T2351">
            <v>7432.6139999999996</v>
          </cell>
        </row>
        <row r="2352">
          <cell r="G2352">
            <v>42401</v>
          </cell>
          <cell r="L2352" t="str">
            <v>12-30-006-15W2</v>
          </cell>
          <cell r="O2352">
            <v>894.4</v>
          </cell>
          <cell r="Q2352">
            <v>2.8</v>
          </cell>
          <cell r="T2352">
            <v>3851.7739999999999</v>
          </cell>
        </row>
        <row r="2353">
          <cell r="G2353">
            <v>42401</v>
          </cell>
          <cell r="L2353" t="str">
            <v>12-11-001-10W2</v>
          </cell>
          <cell r="O2353">
            <v>819.9</v>
          </cell>
          <cell r="Q2353">
            <v>0.21</v>
          </cell>
          <cell r="T2353">
            <v>3240.5250000000001</v>
          </cell>
        </row>
        <row r="2354">
          <cell r="G2354">
            <v>42401</v>
          </cell>
          <cell r="L2354" t="str">
            <v>31-30-164-92W1</v>
          </cell>
          <cell r="O2354">
            <v>825.6</v>
          </cell>
          <cell r="Q2354">
            <v>0.57999999999999996</v>
          </cell>
          <cell r="T2354">
            <v>2664.931</v>
          </cell>
        </row>
        <row r="2355">
          <cell r="G2355">
            <v>42401</v>
          </cell>
          <cell r="L2355" t="str">
            <v>12-32-006-04W2</v>
          </cell>
          <cell r="O2355">
            <v>859.1</v>
          </cell>
          <cell r="Q2355">
            <v>1.68</v>
          </cell>
          <cell r="T2355">
            <v>1965.6420000000001</v>
          </cell>
        </row>
        <row r="2356">
          <cell r="G2356">
            <v>42401</v>
          </cell>
          <cell r="L2356" t="str">
            <v>11-12-007-04W2</v>
          </cell>
          <cell r="O2356">
            <v>853.1</v>
          </cell>
          <cell r="Q2356">
            <v>1.42</v>
          </cell>
          <cell r="T2356">
            <v>1761.2629999999999</v>
          </cell>
        </row>
        <row r="2357">
          <cell r="G2357">
            <v>42401</v>
          </cell>
          <cell r="L2357" t="str">
            <v>09-02-007-05W2</v>
          </cell>
          <cell r="O2357">
            <v>857.2</v>
          </cell>
          <cell r="Q2357">
            <v>1.85</v>
          </cell>
          <cell r="T2357">
            <v>1353.8489999999999</v>
          </cell>
        </row>
        <row r="2358">
          <cell r="G2358">
            <v>42401</v>
          </cell>
          <cell r="L2358" t="str">
            <v>16-19-002-04W2</v>
          </cell>
          <cell r="O2358">
            <v>834</v>
          </cell>
          <cell r="Q2358">
            <v>0.5</v>
          </cell>
          <cell r="T2358">
            <v>1065.558</v>
          </cell>
        </row>
        <row r="2359">
          <cell r="G2359">
            <v>42401</v>
          </cell>
          <cell r="L2359" t="str">
            <v>02-31-145-98W1</v>
          </cell>
          <cell r="O2359">
            <v>819.1</v>
          </cell>
          <cell r="Q2359">
            <v>0.41</v>
          </cell>
          <cell r="T2359">
            <v>1017.23</v>
          </cell>
        </row>
        <row r="2360">
          <cell r="G2360">
            <v>42401</v>
          </cell>
          <cell r="L2360" t="str">
            <v>03-10-145-98W1</v>
          </cell>
          <cell r="O2360">
            <v>815.3</v>
          </cell>
          <cell r="Q2360">
            <v>0.37</v>
          </cell>
          <cell r="T2360">
            <v>832.67899999999997</v>
          </cell>
        </row>
        <row r="2361">
          <cell r="G2361">
            <v>42401</v>
          </cell>
          <cell r="L2361" t="str">
            <v>01-19-145-98W1</v>
          </cell>
          <cell r="O2361">
            <v>814.4</v>
          </cell>
          <cell r="Q2361">
            <v>0.36</v>
          </cell>
          <cell r="T2361">
            <v>593.77099999999996</v>
          </cell>
        </row>
        <row r="2362">
          <cell r="G2362">
            <v>42401</v>
          </cell>
          <cell r="L2362" t="str">
            <v>09-20-006-04W2</v>
          </cell>
          <cell r="O2362">
            <v>854</v>
          </cell>
          <cell r="Q2362">
            <v>1.57</v>
          </cell>
          <cell r="T2362">
            <v>556.57299999999998</v>
          </cell>
        </row>
        <row r="2363">
          <cell r="G2363">
            <v>42401</v>
          </cell>
          <cell r="L2363" t="str">
            <v>14-03-001-03W2</v>
          </cell>
          <cell r="O2363">
            <v>801.4</v>
          </cell>
          <cell r="Q2363">
            <v>0.12</v>
          </cell>
          <cell r="T2363">
            <v>505.39499999999998</v>
          </cell>
        </row>
        <row r="2364">
          <cell r="G2364">
            <v>42401</v>
          </cell>
          <cell r="L2364" t="str">
            <v>05-20-001-02W2</v>
          </cell>
          <cell r="O2364">
            <v>832.2</v>
          </cell>
          <cell r="Q2364">
            <v>0.53</v>
          </cell>
          <cell r="T2364">
            <v>489.65499999999997</v>
          </cell>
        </row>
        <row r="2365">
          <cell r="G2365">
            <v>42401</v>
          </cell>
          <cell r="L2365" t="str">
            <v>04-23-006-07W2</v>
          </cell>
          <cell r="O2365">
            <v>868.3</v>
          </cell>
          <cell r="Q2365">
            <v>1.77</v>
          </cell>
          <cell r="T2365">
            <v>471.49700000000001</v>
          </cell>
        </row>
        <row r="2366">
          <cell r="G2366">
            <v>42401</v>
          </cell>
          <cell r="L2366" t="str">
            <v>02-34-143-100W1</v>
          </cell>
          <cell r="O2366">
            <v>826.3</v>
          </cell>
          <cell r="Q2366">
            <v>0.33</v>
          </cell>
          <cell r="T2366">
            <v>459.60599999999999</v>
          </cell>
        </row>
        <row r="2367">
          <cell r="G2367">
            <v>42401</v>
          </cell>
          <cell r="L2367" t="str">
            <v>14-05-002-31W1</v>
          </cell>
          <cell r="O2367">
            <v>850.2</v>
          </cell>
          <cell r="Q2367">
            <v>1.71</v>
          </cell>
          <cell r="T2367">
            <v>338.11200000000002</v>
          </cell>
        </row>
        <row r="2368">
          <cell r="G2368">
            <v>42401</v>
          </cell>
          <cell r="L2368" t="str">
            <v>09-19-004-04W2</v>
          </cell>
          <cell r="O2368">
            <v>845.9</v>
          </cell>
          <cell r="Q2368">
            <v>1</v>
          </cell>
          <cell r="T2368">
            <v>319.98599999999999</v>
          </cell>
        </row>
        <row r="2369">
          <cell r="G2369">
            <v>42401</v>
          </cell>
          <cell r="L2369" t="str">
            <v>13-19-001-03W2</v>
          </cell>
          <cell r="O2369">
            <v>837.2</v>
          </cell>
          <cell r="Q2369">
            <v>0.59</v>
          </cell>
          <cell r="T2369">
            <v>282.03399999999999</v>
          </cell>
        </row>
        <row r="2370">
          <cell r="G2370">
            <v>42401</v>
          </cell>
          <cell r="L2370" t="str">
            <v>01-02-021-58W1</v>
          </cell>
          <cell r="O2370">
            <v>829.1</v>
          </cell>
          <cell r="Q2370">
            <v>0.46</v>
          </cell>
          <cell r="T2370">
            <v>278.20600000000002</v>
          </cell>
        </row>
        <row r="2371">
          <cell r="G2371">
            <v>42401</v>
          </cell>
          <cell r="L2371" t="str">
            <v>01-28-142-100W1</v>
          </cell>
          <cell r="O2371">
            <v>824.5</v>
          </cell>
          <cell r="Q2371">
            <v>0.38</v>
          </cell>
          <cell r="T2371">
            <v>211.79900000000001</v>
          </cell>
        </row>
        <row r="2372">
          <cell r="G2372">
            <v>42401</v>
          </cell>
          <cell r="L2372" t="str">
            <v>02-30-147-97W1</v>
          </cell>
          <cell r="O2372">
            <v>809.4</v>
          </cell>
          <cell r="Q2372">
            <v>0.45</v>
          </cell>
          <cell r="T2372">
            <v>210.00399999999999</v>
          </cell>
        </row>
        <row r="2373">
          <cell r="G2373">
            <v>42401</v>
          </cell>
          <cell r="L2373" t="str">
            <v>33-14-160-95W1</v>
          </cell>
          <cell r="O2373">
            <v>805.2</v>
          </cell>
          <cell r="Q2373">
            <v>0.15</v>
          </cell>
          <cell r="T2373">
            <v>205.89400000000001</v>
          </cell>
        </row>
        <row r="2374">
          <cell r="G2374">
            <v>42401</v>
          </cell>
          <cell r="L2374" t="str">
            <v>01-13-152-95W1</v>
          </cell>
          <cell r="O2374">
            <v>841.1</v>
          </cell>
          <cell r="Q2374">
            <v>0.13</v>
          </cell>
          <cell r="T2374">
            <v>201.04599999999999</v>
          </cell>
        </row>
        <row r="2375">
          <cell r="G2375">
            <v>42401</v>
          </cell>
          <cell r="L2375" t="str">
            <v>14-13-002-02W2</v>
          </cell>
          <cell r="O2375">
            <v>823.4</v>
          </cell>
          <cell r="Q2375">
            <v>0.54</v>
          </cell>
          <cell r="T2375">
            <v>195.68299999999999</v>
          </cell>
        </row>
        <row r="2376">
          <cell r="G2376">
            <v>42401</v>
          </cell>
          <cell r="L2376" t="str">
            <v>24-06-158-95W1</v>
          </cell>
          <cell r="O2376">
            <v>810.1</v>
          </cell>
          <cell r="Q2376">
            <v>0.12</v>
          </cell>
          <cell r="T2376">
            <v>189.566</v>
          </cell>
        </row>
        <row r="2377">
          <cell r="G2377">
            <v>42401</v>
          </cell>
          <cell r="L2377" t="str">
            <v>16-03-001-03W2</v>
          </cell>
          <cell r="O2377">
            <v>836.2</v>
          </cell>
          <cell r="Q2377">
            <v>0.62</v>
          </cell>
          <cell r="T2377">
            <v>178.24299999999999</v>
          </cell>
        </row>
        <row r="2378">
          <cell r="G2378">
            <v>42401</v>
          </cell>
          <cell r="L2378" t="str">
            <v>14-23-163-96W1</v>
          </cell>
          <cell r="O2378">
            <v>818.6</v>
          </cell>
          <cell r="Q2378">
            <v>0.1</v>
          </cell>
          <cell r="T2378">
            <v>174.149</v>
          </cell>
        </row>
        <row r="2379">
          <cell r="G2379">
            <v>42401</v>
          </cell>
          <cell r="L2379" t="str">
            <v>01-03-162-92W1</v>
          </cell>
          <cell r="O2379">
            <v>856.9</v>
          </cell>
          <cell r="Q2379">
            <v>0.5</v>
          </cell>
          <cell r="T2379">
            <v>170.10300000000001</v>
          </cell>
        </row>
        <row r="2380">
          <cell r="G2380">
            <v>42401</v>
          </cell>
          <cell r="L2380" t="str">
            <v>01-17-143-101W1</v>
          </cell>
          <cell r="O2380">
            <v>833.7</v>
          </cell>
          <cell r="Q2380">
            <v>0.51</v>
          </cell>
          <cell r="T2380">
            <v>161.309</v>
          </cell>
        </row>
        <row r="2381">
          <cell r="G2381">
            <v>42401</v>
          </cell>
          <cell r="L2381" t="str">
            <v>09-30-006-05W2</v>
          </cell>
          <cell r="O2381">
            <v>811.5</v>
          </cell>
          <cell r="Q2381">
            <v>0.23</v>
          </cell>
          <cell r="T2381">
            <v>161.22200000000001</v>
          </cell>
        </row>
        <row r="2382">
          <cell r="G2382">
            <v>42401</v>
          </cell>
          <cell r="L2382" t="str">
            <v>01-22-142-100W1</v>
          </cell>
          <cell r="O2382">
            <v>820.2</v>
          </cell>
          <cell r="Q2382">
            <v>0.31</v>
          </cell>
          <cell r="T2382">
            <v>160.17400000000001</v>
          </cell>
        </row>
        <row r="2383">
          <cell r="G2383">
            <v>42401</v>
          </cell>
          <cell r="L2383" t="str">
            <v>07-04-005-04W2</v>
          </cell>
          <cell r="O2383">
            <v>823.8</v>
          </cell>
          <cell r="Q2383">
            <v>0.84</v>
          </cell>
          <cell r="T2383">
            <v>155.85300000000001</v>
          </cell>
        </row>
        <row r="2384">
          <cell r="G2384">
            <v>42401</v>
          </cell>
          <cell r="L2384" t="str">
            <v>01-03-163-99W1</v>
          </cell>
          <cell r="O2384">
            <v>832.2</v>
          </cell>
          <cell r="Q2384">
            <v>0.11</v>
          </cell>
          <cell r="T2384">
            <v>153.786</v>
          </cell>
        </row>
        <row r="2385">
          <cell r="G2385">
            <v>42401</v>
          </cell>
          <cell r="L2385" t="str">
            <v>01-08-153-95W1</v>
          </cell>
          <cell r="O2385">
            <v>812.8</v>
          </cell>
          <cell r="Q2385">
            <v>0.28999999999999998</v>
          </cell>
          <cell r="T2385">
            <v>149.59800000000001</v>
          </cell>
        </row>
        <row r="2386">
          <cell r="G2386">
            <v>42401</v>
          </cell>
          <cell r="L2386" t="str">
            <v>07-22-003-03W2</v>
          </cell>
          <cell r="O2386">
            <v>827.2</v>
          </cell>
          <cell r="Q2386">
            <v>0.6</v>
          </cell>
          <cell r="T2386">
            <v>145.02500000000001</v>
          </cell>
        </row>
        <row r="2387">
          <cell r="G2387">
            <v>42401</v>
          </cell>
          <cell r="L2387" t="str">
            <v>11-25-005-06W2</v>
          </cell>
          <cell r="O2387">
            <v>850.8</v>
          </cell>
          <cell r="Q2387">
            <v>1.0900000000000001</v>
          </cell>
          <cell r="T2387">
            <v>139.505</v>
          </cell>
        </row>
        <row r="2388">
          <cell r="G2388">
            <v>42401</v>
          </cell>
          <cell r="L2388" t="str">
            <v>01-25-156-93W1</v>
          </cell>
          <cell r="O2388">
            <v>809.5</v>
          </cell>
          <cell r="Q2388">
            <v>0.16</v>
          </cell>
          <cell r="T2388">
            <v>137.09899999999999</v>
          </cell>
        </row>
        <row r="2389">
          <cell r="G2389">
            <v>42401</v>
          </cell>
          <cell r="L2389" t="str">
            <v>01-25-150-98W1</v>
          </cell>
          <cell r="O2389">
            <v>818.8</v>
          </cell>
          <cell r="Q2389">
            <v>0.12</v>
          </cell>
          <cell r="T2389">
            <v>136.93299999999999</v>
          </cell>
        </row>
        <row r="2390">
          <cell r="G2390">
            <v>42401</v>
          </cell>
          <cell r="L2390" t="str">
            <v>12-03-146-100W1</v>
          </cell>
          <cell r="O2390">
            <v>839.3</v>
          </cell>
          <cell r="Q2390">
            <v>0.47</v>
          </cell>
          <cell r="T2390">
            <v>134.97499999999999</v>
          </cell>
        </row>
        <row r="2391">
          <cell r="G2391">
            <v>42401</v>
          </cell>
          <cell r="L2391" t="str">
            <v>02-30-004-05W2</v>
          </cell>
          <cell r="O2391">
            <v>840.8</v>
          </cell>
          <cell r="Q2391">
            <v>0.78</v>
          </cell>
          <cell r="T2391">
            <v>132.56200000000001</v>
          </cell>
        </row>
        <row r="2392">
          <cell r="G2392">
            <v>42401</v>
          </cell>
          <cell r="L2392" t="str">
            <v>01-31-164-98W1</v>
          </cell>
          <cell r="O2392">
            <v>845.7</v>
          </cell>
          <cell r="Q2392">
            <v>0.19</v>
          </cell>
          <cell r="T2392">
            <v>127.626</v>
          </cell>
        </row>
        <row r="2393">
          <cell r="G2393">
            <v>42401</v>
          </cell>
          <cell r="L2393" t="str">
            <v>01-07-153-95W1</v>
          </cell>
          <cell r="O2393">
            <v>818.8</v>
          </cell>
          <cell r="Q2393">
            <v>0.24</v>
          </cell>
          <cell r="T2393">
            <v>125.709</v>
          </cell>
        </row>
        <row r="2394">
          <cell r="G2394">
            <v>42401</v>
          </cell>
          <cell r="L2394" t="str">
            <v>01-33-141-100W1</v>
          </cell>
          <cell r="O2394">
            <v>818.5</v>
          </cell>
          <cell r="Q2394">
            <v>0.41</v>
          </cell>
          <cell r="T2394">
            <v>125.38500000000001</v>
          </cell>
        </row>
        <row r="2395">
          <cell r="G2395">
            <v>42401</v>
          </cell>
          <cell r="L2395" t="str">
            <v>01-03-155-91W1</v>
          </cell>
          <cell r="O2395">
            <v>863.3</v>
          </cell>
          <cell r="Q2395">
            <v>1.27</v>
          </cell>
          <cell r="T2395">
            <v>121.553</v>
          </cell>
        </row>
        <row r="2396">
          <cell r="G2396">
            <v>42401</v>
          </cell>
          <cell r="L2396" t="str">
            <v>07-29-009-04W2</v>
          </cell>
          <cell r="O2396">
            <v>839.9</v>
          </cell>
          <cell r="Q2396">
            <v>1.1399999999999999</v>
          </cell>
          <cell r="T2396">
            <v>116.373</v>
          </cell>
        </row>
        <row r="2397">
          <cell r="G2397">
            <v>42401</v>
          </cell>
          <cell r="L2397" t="str">
            <v>01-30-147-97W1</v>
          </cell>
          <cell r="O2397">
            <v>807.7</v>
          </cell>
          <cell r="Q2397">
            <v>0.54</v>
          </cell>
          <cell r="T2397">
            <v>108.68600000000001</v>
          </cell>
        </row>
        <row r="2398">
          <cell r="G2398">
            <v>42401</v>
          </cell>
          <cell r="L2398" t="str">
            <v>08-22-002-09W2</v>
          </cell>
          <cell r="O2398">
            <v>837.7</v>
          </cell>
          <cell r="Q2398">
            <v>0.27</v>
          </cell>
          <cell r="T2398">
            <v>108.443</v>
          </cell>
        </row>
        <row r="2399">
          <cell r="G2399">
            <v>42401</v>
          </cell>
          <cell r="L2399" t="str">
            <v>01-13-022-57W1</v>
          </cell>
          <cell r="O2399">
            <v>816.4</v>
          </cell>
          <cell r="Q2399">
            <v>0.11</v>
          </cell>
          <cell r="T2399">
            <v>104.791</v>
          </cell>
        </row>
        <row r="2400">
          <cell r="G2400">
            <v>42401</v>
          </cell>
          <cell r="L2400" t="str">
            <v>03-25-147-98W1</v>
          </cell>
          <cell r="O2400">
            <v>810.6</v>
          </cell>
          <cell r="Q2400">
            <v>0.42</v>
          </cell>
          <cell r="T2400">
            <v>102.133</v>
          </cell>
        </row>
        <row r="2401">
          <cell r="G2401">
            <v>42401</v>
          </cell>
          <cell r="L2401" t="str">
            <v>13-17-005-33W1</v>
          </cell>
          <cell r="O2401">
            <v>822.9</v>
          </cell>
          <cell r="Q2401">
            <v>0.67</v>
          </cell>
          <cell r="T2401">
            <v>101.074</v>
          </cell>
        </row>
        <row r="2402">
          <cell r="G2402">
            <v>42401</v>
          </cell>
          <cell r="L2402" t="str">
            <v>01-21-153-95W1</v>
          </cell>
          <cell r="O2402">
            <v>832</v>
          </cell>
          <cell r="Q2402">
            <v>0.36</v>
          </cell>
          <cell r="T2402">
            <v>100.908</v>
          </cell>
        </row>
        <row r="2403">
          <cell r="G2403">
            <v>42401</v>
          </cell>
          <cell r="L2403" t="str">
            <v>01-09-143-101W1</v>
          </cell>
          <cell r="O2403">
            <v>834.1</v>
          </cell>
          <cell r="Q2403">
            <v>0.51</v>
          </cell>
          <cell r="T2403">
            <v>100.246</v>
          </cell>
        </row>
        <row r="2404">
          <cell r="G2404">
            <v>42401</v>
          </cell>
          <cell r="L2404" t="str">
            <v>43-03-160-95W1</v>
          </cell>
          <cell r="O2404">
            <v>800.1</v>
          </cell>
          <cell r="Q2404">
            <v>0.26</v>
          </cell>
          <cell r="T2404">
            <v>99.805000000000007</v>
          </cell>
        </row>
        <row r="2405">
          <cell r="G2405">
            <v>42401</v>
          </cell>
          <cell r="L2405" t="str">
            <v>01-28-141-100W1</v>
          </cell>
          <cell r="O2405">
            <v>829.7</v>
          </cell>
          <cell r="Q2405">
            <v>0.38</v>
          </cell>
          <cell r="T2405">
            <v>98.064999999999998</v>
          </cell>
        </row>
        <row r="2406">
          <cell r="G2406">
            <v>42401</v>
          </cell>
          <cell r="L2406" t="str">
            <v>04-19-147-97W1</v>
          </cell>
          <cell r="O2406">
            <v>820.6</v>
          </cell>
          <cell r="Q2406">
            <v>0.61</v>
          </cell>
          <cell r="T2406">
            <v>95.394999999999996</v>
          </cell>
        </row>
        <row r="2407">
          <cell r="G2407">
            <v>42401</v>
          </cell>
          <cell r="L2407" t="str">
            <v>16-03-008-33W1</v>
          </cell>
          <cell r="O2407">
            <v>841.8</v>
          </cell>
          <cell r="Q2407">
            <v>1.25</v>
          </cell>
          <cell r="T2407">
            <v>93.724999999999994</v>
          </cell>
        </row>
        <row r="2408">
          <cell r="G2408">
            <v>42401</v>
          </cell>
          <cell r="L2408" t="str">
            <v>25-11-159-102W1</v>
          </cell>
          <cell r="O2408">
            <v>831</v>
          </cell>
          <cell r="Q2408">
            <v>0.43</v>
          </cell>
          <cell r="T2408">
            <v>93.400999999999996</v>
          </cell>
        </row>
        <row r="2409">
          <cell r="G2409">
            <v>42401</v>
          </cell>
          <cell r="L2409" t="str">
            <v>05-18-004-02W2</v>
          </cell>
          <cell r="O2409">
            <v>853.5</v>
          </cell>
          <cell r="Q2409">
            <v>1.1299999999999999</v>
          </cell>
          <cell r="T2409">
            <v>89.197999999999993</v>
          </cell>
        </row>
        <row r="2410">
          <cell r="G2410">
            <v>42401</v>
          </cell>
          <cell r="L2410" t="str">
            <v>05-25-147-98W1</v>
          </cell>
          <cell r="O2410">
            <v>826.9</v>
          </cell>
          <cell r="Q2410">
            <v>0.46</v>
          </cell>
          <cell r="T2410">
            <v>88.691999999999993</v>
          </cell>
        </row>
        <row r="2411">
          <cell r="G2411">
            <v>42401</v>
          </cell>
          <cell r="L2411" t="str">
            <v>04-25-144-98W1</v>
          </cell>
          <cell r="O2411">
            <v>820.7</v>
          </cell>
          <cell r="Q2411">
            <v>0.48</v>
          </cell>
          <cell r="T2411">
            <v>85.311000000000007</v>
          </cell>
        </row>
        <row r="2412">
          <cell r="G2412">
            <v>42401</v>
          </cell>
          <cell r="L2412" t="str">
            <v>02-09-142-100W1</v>
          </cell>
          <cell r="O2412">
            <v>824.9</v>
          </cell>
          <cell r="Q2412">
            <v>0.45</v>
          </cell>
          <cell r="T2412">
            <v>84.385000000000005</v>
          </cell>
        </row>
        <row r="2413">
          <cell r="G2413">
            <v>42401</v>
          </cell>
          <cell r="L2413" t="str">
            <v>01-02-151-102W1</v>
          </cell>
          <cell r="O2413">
            <v>834.4</v>
          </cell>
          <cell r="Q2413">
            <v>0.34</v>
          </cell>
          <cell r="T2413">
            <v>84.052999999999997</v>
          </cell>
        </row>
        <row r="2414">
          <cell r="G2414">
            <v>42401</v>
          </cell>
          <cell r="L2414" t="str">
            <v>01-08-162-95W1</v>
          </cell>
          <cell r="O2414">
            <v>853</v>
          </cell>
          <cell r="Q2414">
            <v>0.95</v>
          </cell>
          <cell r="T2414">
            <v>78.793999999999997</v>
          </cell>
        </row>
        <row r="2415">
          <cell r="G2415">
            <v>42401</v>
          </cell>
          <cell r="L2415" t="str">
            <v>10-01-157-95W1</v>
          </cell>
          <cell r="O2415">
            <v>831.5</v>
          </cell>
          <cell r="Q2415">
            <v>0.56000000000000005</v>
          </cell>
          <cell r="T2415">
            <v>76.337000000000003</v>
          </cell>
        </row>
        <row r="2416">
          <cell r="G2416">
            <v>42401</v>
          </cell>
          <cell r="L2416" t="str">
            <v>01-55-159-94W1</v>
          </cell>
          <cell r="O2416">
            <v>810.2</v>
          </cell>
          <cell r="Q2416">
            <v>0.38</v>
          </cell>
          <cell r="T2416">
            <v>72.596000000000004</v>
          </cell>
        </row>
        <row r="2417">
          <cell r="G2417">
            <v>42401</v>
          </cell>
          <cell r="L2417" t="str">
            <v>01-20-147-97W1</v>
          </cell>
          <cell r="O2417">
            <v>820.6</v>
          </cell>
          <cell r="Q2417">
            <v>0.7</v>
          </cell>
          <cell r="T2417">
            <v>72.19</v>
          </cell>
        </row>
        <row r="2418">
          <cell r="G2418">
            <v>42401</v>
          </cell>
          <cell r="L2418" t="str">
            <v>03-25-144-98W1</v>
          </cell>
          <cell r="O2418">
            <v>844.5</v>
          </cell>
          <cell r="Q2418">
            <v>0.48</v>
          </cell>
          <cell r="T2418">
            <v>70.369</v>
          </cell>
        </row>
        <row r="2419">
          <cell r="G2419">
            <v>42401</v>
          </cell>
          <cell r="L2419" t="str">
            <v>01-12-144-98W1</v>
          </cell>
          <cell r="O2419">
            <v>817.7</v>
          </cell>
          <cell r="Q2419">
            <v>0.46</v>
          </cell>
          <cell r="T2419">
            <v>68.784000000000006</v>
          </cell>
        </row>
        <row r="2420">
          <cell r="G2420">
            <v>42401</v>
          </cell>
          <cell r="L2420" t="str">
            <v>18-16-154-95W1</v>
          </cell>
          <cell r="O2420">
            <v>817.2</v>
          </cell>
          <cell r="Q2420">
            <v>0.89</v>
          </cell>
          <cell r="T2420">
            <v>67.036000000000001</v>
          </cell>
        </row>
        <row r="2421">
          <cell r="G2421">
            <v>42401</v>
          </cell>
          <cell r="L2421" t="str">
            <v>14-18-163-95W1</v>
          </cell>
          <cell r="O2421">
            <v>848.9</v>
          </cell>
          <cell r="Q2421">
            <v>1.1399999999999999</v>
          </cell>
          <cell r="T2421">
            <v>61.618000000000002</v>
          </cell>
        </row>
        <row r="2422">
          <cell r="G2422">
            <v>42401</v>
          </cell>
          <cell r="L2422" t="str">
            <v>08-31-007-07W2</v>
          </cell>
          <cell r="O2422">
            <v>868.6</v>
          </cell>
          <cell r="Q2422">
            <v>1.88</v>
          </cell>
          <cell r="T2422">
            <v>58.51</v>
          </cell>
        </row>
        <row r="2423">
          <cell r="G2423">
            <v>42401</v>
          </cell>
          <cell r="L2423" t="str">
            <v>01-14-001-11W2</v>
          </cell>
          <cell r="O2423">
            <v>855</v>
          </cell>
          <cell r="Q2423">
            <v>0.26</v>
          </cell>
          <cell r="T2423">
            <v>58.042999999999999</v>
          </cell>
        </row>
        <row r="2424">
          <cell r="G2424">
            <v>42401</v>
          </cell>
          <cell r="L2424" t="str">
            <v>03-01-158-95W1</v>
          </cell>
          <cell r="O2424">
            <v>829.5</v>
          </cell>
          <cell r="Q2424">
            <v>0.61</v>
          </cell>
          <cell r="T2424">
            <v>57.972000000000001</v>
          </cell>
        </row>
        <row r="2425">
          <cell r="G2425">
            <v>42401</v>
          </cell>
          <cell r="L2425" t="str">
            <v>01-05-144-97W1</v>
          </cell>
          <cell r="O2425">
            <v>848.6</v>
          </cell>
          <cell r="Q2425">
            <v>0.37</v>
          </cell>
          <cell r="T2425">
            <v>55.709000000000003</v>
          </cell>
        </row>
        <row r="2426">
          <cell r="G2426">
            <v>42401</v>
          </cell>
          <cell r="L2426" t="str">
            <v>26-35-163-97W1</v>
          </cell>
          <cell r="O2426">
            <v>820.8</v>
          </cell>
          <cell r="Q2426">
            <v>0.19</v>
          </cell>
          <cell r="T2426">
            <v>54.536000000000001</v>
          </cell>
        </row>
        <row r="2427">
          <cell r="G2427">
            <v>42401</v>
          </cell>
          <cell r="L2427" t="str">
            <v>03-03-157-95W1</v>
          </cell>
          <cell r="O2427">
            <v>832.6</v>
          </cell>
          <cell r="Q2427">
            <v>0.51</v>
          </cell>
          <cell r="T2427">
            <v>54.122</v>
          </cell>
        </row>
        <row r="2428">
          <cell r="G2428">
            <v>42401</v>
          </cell>
          <cell r="L2428" t="str">
            <v>34-02-157-95W1</v>
          </cell>
          <cell r="O2428">
            <v>846</v>
          </cell>
          <cell r="Q2428">
            <v>0.82</v>
          </cell>
          <cell r="T2428">
            <v>47.67</v>
          </cell>
        </row>
        <row r="2429">
          <cell r="G2429">
            <v>42401</v>
          </cell>
          <cell r="L2429" t="str">
            <v>34-01-157-95W1</v>
          </cell>
          <cell r="O2429">
            <v>819.5</v>
          </cell>
          <cell r="Q2429">
            <v>0.34</v>
          </cell>
          <cell r="T2429">
            <v>45.076999999999998</v>
          </cell>
        </row>
        <row r="2430">
          <cell r="G2430">
            <v>42401</v>
          </cell>
          <cell r="L2430" t="str">
            <v>13-26-007-05W2</v>
          </cell>
          <cell r="O2430">
            <v>864.9</v>
          </cell>
          <cell r="Q2430">
            <v>1.18</v>
          </cell>
          <cell r="T2430">
            <v>41.140999999999998</v>
          </cell>
        </row>
        <row r="2431">
          <cell r="G2431">
            <v>42401</v>
          </cell>
          <cell r="L2431" t="str">
            <v>13-13-002-33W1</v>
          </cell>
          <cell r="O2431">
            <v>842</v>
          </cell>
          <cell r="Q2431">
            <v>0.72</v>
          </cell>
          <cell r="T2431">
            <v>41.027999999999999</v>
          </cell>
        </row>
        <row r="2432">
          <cell r="G2432">
            <v>42401</v>
          </cell>
          <cell r="L2432" t="str">
            <v>16-04-006-32W1</v>
          </cell>
          <cell r="O2432">
            <v>838</v>
          </cell>
          <cell r="Q2432">
            <v>1.07</v>
          </cell>
          <cell r="T2432">
            <v>38.048000000000002</v>
          </cell>
        </row>
        <row r="2433">
          <cell r="G2433">
            <v>42401</v>
          </cell>
          <cell r="L2433" t="str">
            <v>04-24-147-98W1</v>
          </cell>
          <cell r="O2433">
            <v>814.1</v>
          </cell>
          <cell r="Q2433">
            <v>0.56000000000000005</v>
          </cell>
          <cell r="T2433">
            <v>37.271000000000001</v>
          </cell>
        </row>
        <row r="2434">
          <cell r="G2434">
            <v>42401</v>
          </cell>
          <cell r="L2434" t="str">
            <v>01-15-022-57W1</v>
          </cell>
          <cell r="O2434">
            <v>810.5</v>
          </cell>
          <cell r="Q2434">
            <v>0.37</v>
          </cell>
          <cell r="T2434">
            <v>36.950000000000003</v>
          </cell>
        </row>
        <row r="2435">
          <cell r="G2435">
            <v>42401</v>
          </cell>
          <cell r="L2435" t="str">
            <v>01-26-152-96W1</v>
          </cell>
          <cell r="O2435">
            <v>826.9</v>
          </cell>
          <cell r="Q2435">
            <v>0.65</v>
          </cell>
          <cell r="T2435">
            <v>36.040999999999997</v>
          </cell>
        </row>
        <row r="2436">
          <cell r="G2436">
            <v>42401</v>
          </cell>
          <cell r="L2436" t="str">
            <v>44-35-022-58W1</v>
          </cell>
          <cell r="O2436">
            <v>870.2</v>
          </cell>
          <cell r="Q2436">
            <v>0.94</v>
          </cell>
          <cell r="T2436">
            <v>35.753</v>
          </cell>
        </row>
        <row r="2437">
          <cell r="G2437">
            <v>42401</v>
          </cell>
          <cell r="L2437" t="str">
            <v>24-01-160-96W1</v>
          </cell>
          <cell r="O2437">
            <v>832.9</v>
          </cell>
          <cell r="Q2437">
            <v>0.52</v>
          </cell>
          <cell r="T2437">
            <v>35.631</v>
          </cell>
        </row>
        <row r="2438">
          <cell r="G2438">
            <v>42401</v>
          </cell>
          <cell r="L2438" t="str">
            <v>01-06-144-98W1</v>
          </cell>
          <cell r="O2438">
            <v>838.9</v>
          </cell>
          <cell r="Q2438">
            <v>0.49</v>
          </cell>
          <cell r="T2438">
            <v>35.44</v>
          </cell>
        </row>
        <row r="2439">
          <cell r="G2439">
            <v>42401</v>
          </cell>
          <cell r="L2439" t="str">
            <v>02-18-154-95W1</v>
          </cell>
          <cell r="O2439">
            <v>815.6</v>
          </cell>
          <cell r="Q2439">
            <v>0.46</v>
          </cell>
          <cell r="T2439">
            <v>34.951999999999998</v>
          </cell>
        </row>
        <row r="2440">
          <cell r="G2440">
            <v>42401</v>
          </cell>
          <cell r="L2440" t="str">
            <v>01-06-144-97W1</v>
          </cell>
          <cell r="O2440">
            <v>838.5</v>
          </cell>
          <cell r="Q2440">
            <v>0.17</v>
          </cell>
          <cell r="T2440">
            <v>34.466999999999999</v>
          </cell>
        </row>
        <row r="2441">
          <cell r="G2441">
            <v>42401</v>
          </cell>
          <cell r="L2441" t="str">
            <v>14-23-005-02W2</v>
          </cell>
          <cell r="O2441">
            <v>848.9</v>
          </cell>
          <cell r="Q2441">
            <v>1.35</v>
          </cell>
          <cell r="T2441">
            <v>34.390999999999998</v>
          </cell>
        </row>
        <row r="2442">
          <cell r="G2442">
            <v>42401</v>
          </cell>
          <cell r="L2442" t="str">
            <v>03-10-151-96W1</v>
          </cell>
          <cell r="O2442">
            <v>809.7</v>
          </cell>
          <cell r="Q2442">
            <v>0.24</v>
          </cell>
          <cell r="T2442">
            <v>33.966000000000001</v>
          </cell>
        </row>
        <row r="2443">
          <cell r="G2443">
            <v>42401</v>
          </cell>
          <cell r="L2443" t="str">
            <v>10-30-147-97W1</v>
          </cell>
          <cell r="O2443">
            <v>822.5</v>
          </cell>
          <cell r="Q2443">
            <v>0.46</v>
          </cell>
          <cell r="T2443">
            <v>33.744</v>
          </cell>
        </row>
        <row r="2444">
          <cell r="G2444">
            <v>42401</v>
          </cell>
          <cell r="L2444" t="str">
            <v>08-02-008-03W2</v>
          </cell>
          <cell r="O2444">
            <v>851.6</v>
          </cell>
          <cell r="Q2444">
            <v>0.15</v>
          </cell>
          <cell r="T2444">
            <v>33.729999999999997</v>
          </cell>
        </row>
        <row r="2445">
          <cell r="G2445">
            <v>42401</v>
          </cell>
          <cell r="L2445" t="str">
            <v>01-35-007-01W2</v>
          </cell>
          <cell r="O2445">
            <v>842.5</v>
          </cell>
          <cell r="Q2445">
            <v>1.1399999999999999</v>
          </cell>
          <cell r="T2445">
            <v>33.728999999999999</v>
          </cell>
        </row>
        <row r="2446">
          <cell r="G2446">
            <v>42401</v>
          </cell>
          <cell r="L2446" t="str">
            <v>01-18-145-97W1</v>
          </cell>
          <cell r="O2446">
            <v>824.4</v>
          </cell>
          <cell r="Q2446">
            <v>0.44</v>
          </cell>
          <cell r="T2446">
            <v>33.595999999999997</v>
          </cell>
        </row>
        <row r="2447">
          <cell r="G2447">
            <v>42401</v>
          </cell>
          <cell r="L2447" t="str">
            <v>02-34-145-97W1</v>
          </cell>
          <cell r="O2447">
            <v>830.1</v>
          </cell>
          <cell r="Q2447">
            <v>0.37</v>
          </cell>
          <cell r="T2447">
            <v>33.585999999999999</v>
          </cell>
        </row>
        <row r="2448">
          <cell r="G2448">
            <v>42401</v>
          </cell>
          <cell r="L2448" t="str">
            <v>01-03-162-90W1</v>
          </cell>
          <cell r="O2448">
            <v>830.2</v>
          </cell>
          <cell r="Q2448">
            <v>0.53</v>
          </cell>
          <cell r="T2448">
            <v>32.734000000000002</v>
          </cell>
        </row>
        <row r="2449">
          <cell r="G2449">
            <v>42401</v>
          </cell>
          <cell r="L2449" t="str">
            <v>03-05-006-02W2</v>
          </cell>
          <cell r="O2449">
            <v>849.4</v>
          </cell>
          <cell r="Q2449">
            <v>1.03</v>
          </cell>
          <cell r="T2449">
            <v>32.51</v>
          </cell>
        </row>
        <row r="2450">
          <cell r="G2450">
            <v>42401</v>
          </cell>
          <cell r="L2450" t="str">
            <v>11-24-160-95W1</v>
          </cell>
          <cell r="O2450">
            <v>814.8</v>
          </cell>
          <cell r="Q2450">
            <v>0.37</v>
          </cell>
          <cell r="T2450">
            <v>31.96</v>
          </cell>
        </row>
        <row r="2451">
          <cell r="G2451">
            <v>42401</v>
          </cell>
          <cell r="L2451" t="str">
            <v>16-31-001-32W1</v>
          </cell>
          <cell r="O2451">
            <v>843.2</v>
          </cell>
          <cell r="Q2451">
            <v>1.1000000000000001</v>
          </cell>
          <cell r="T2451">
            <v>31.896999999999998</v>
          </cell>
        </row>
        <row r="2452">
          <cell r="G2452">
            <v>42401</v>
          </cell>
          <cell r="L2452" t="str">
            <v>03-34-145-97W1</v>
          </cell>
          <cell r="O2452">
            <v>843.1</v>
          </cell>
          <cell r="Q2452">
            <v>0.37</v>
          </cell>
          <cell r="T2452">
            <v>31.757000000000001</v>
          </cell>
        </row>
        <row r="2453">
          <cell r="G2453">
            <v>42401</v>
          </cell>
          <cell r="L2453" t="str">
            <v>01-21-159-94W1</v>
          </cell>
          <cell r="O2453">
            <v>838.7</v>
          </cell>
          <cell r="Q2453">
            <v>0.5</v>
          </cell>
          <cell r="T2453">
            <v>31.052</v>
          </cell>
        </row>
        <row r="2454">
          <cell r="G2454">
            <v>42401</v>
          </cell>
          <cell r="L2454" t="str">
            <v>16-04-151-96W1</v>
          </cell>
          <cell r="O2454">
            <v>810.7</v>
          </cell>
          <cell r="Q2454">
            <v>0.28000000000000003</v>
          </cell>
          <cell r="T2454">
            <v>29.882999999999999</v>
          </cell>
        </row>
        <row r="2455">
          <cell r="G2455">
            <v>42401</v>
          </cell>
          <cell r="L2455" t="str">
            <v>09-01-002-34W1</v>
          </cell>
          <cell r="O2455">
            <v>829.1</v>
          </cell>
          <cell r="Q2455">
            <v>0.55000000000000004</v>
          </cell>
          <cell r="T2455">
            <v>29.745000000000001</v>
          </cell>
        </row>
        <row r="2456">
          <cell r="G2456">
            <v>42401</v>
          </cell>
          <cell r="L2456" t="str">
            <v>04-03-157-95W1</v>
          </cell>
          <cell r="O2456">
            <v>835.9</v>
          </cell>
          <cell r="Q2456">
            <v>0.75</v>
          </cell>
          <cell r="T2456">
            <v>29.466000000000001</v>
          </cell>
        </row>
        <row r="2457">
          <cell r="G2457">
            <v>42401</v>
          </cell>
          <cell r="L2457" t="str">
            <v>03-02-157-95W1</v>
          </cell>
          <cell r="O2457">
            <v>831.1</v>
          </cell>
          <cell r="Q2457">
            <v>0.76</v>
          </cell>
          <cell r="T2457">
            <v>29.271999999999998</v>
          </cell>
        </row>
        <row r="2458">
          <cell r="G2458">
            <v>42401</v>
          </cell>
          <cell r="L2458" t="str">
            <v>01-03-154-95W1</v>
          </cell>
          <cell r="O2458">
            <v>826.1</v>
          </cell>
          <cell r="Q2458">
            <v>0.3</v>
          </cell>
          <cell r="T2458">
            <v>28.701000000000001</v>
          </cell>
        </row>
        <row r="2459">
          <cell r="G2459">
            <v>42401</v>
          </cell>
          <cell r="L2459" t="str">
            <v>02-34-159-95W1</v>
          </cell>
          <cell r="O2459">
            <v>852.3</v>
          </cell>
          <cell r="Q2459">
            <v>0.93</v>
          </cell>
          <cell r="T2459">
            <v>28.443999999999999</v>
          </cell>
        </row>
        <row r="2460">
          <cell r="G2460">
            <v>42401</v>
          </cell>
          <cell r="L2460" t="str">
            <v>02-06-144-97W1</v>
          </cell>
          <cell r="O2460">
            <v>839.2</v>
          </cell>
          <cell r="Q2460">
            <v>0.37</v>
          </cell>
          <cell r="T2460">
            <v>27.617000000000001</v>
          </cell>
        </row>
        <row r="2461">
          <cell r="G2461">
            <v>42401</v>
          </cell>
          <cell r="L2461" t="str">
            <v>01-12-159-96W1</v>
          </cell>
          <cell r="O2461">
            <v>836</v>
          </cell>
          <cell r="Q2461">
            <v>0.5</v>
          </cell>
          <cell r="T2461">
            <v>26.974</v>
          </cell>
        </row>
        <row r="2462">
          <cell r="G2462">
            <v>42401</v>
          </cell>
          <cell r="L2462" t="str">
            <v>11-15-163-89W1</v>
          </cell>
          <cell r="O2462">
            <v>845.7</v>
          </cell>
          <cell r="Q2462">
            <v>0.38</v>
          </cell>
          <cell r="T2462">
            <v>25.492000000000001</v>
          </cell>
        </row>
        <row r="2463">
          <cell r="G2463">
            <v>42401</v>
          </cell>
          <cell r="L2463" t="str">
            <v>03-16-163-91W1</v>
          </cell>
          <cell r="O2463">
            <v>836.6</v>
          </cell>
          <cell r="Q2463">
            <v>0.46</v>
          </cell>
          <cell r="T2463">
            <v>25.335999999999999</v>
          </cell>
        </row>
        <row r="2464">
          <cell r="G2464">
            <v>42401</v>
          </cell>
          <cell r="L2464" t="str">
            <v>01-34-164-92W1</v>
          </cell>
          <cell r="O2464">
            <v>831.1</v>
          </cell>
          <cell r="Q2464">
            <v>0.6</v>
          </cell>
          <cell r="T2464">
            <v>24.988</v>
          </cell>
        </row>
        <row r="2465">
          <cell r="G2465">
            <v>42401</v>
          </cell>
          <cell r="L2465" t="str">
            <v>01-33-164-91W1</v>
          </cell>
          <cell r="O2465">
            <v>828.8</v>
          </cell>
          <cell r="Q2465">
            <v>0.53</v>
          </cell>
          <cell r="T2465">
            <v>24.812000000000001</v>
          </cell>
        </row>
        <row r="2466">
          <cell r="G2466">
            <v>42401</v>
          </cell>
          <cell r="L2466" t="str">
            <v>01-29-162-92W1</v>
          </cell>
          <cell r="O2466">
            <v>844.5</v>
          </cell>
          <cell r="Q2466">
            <v>0.55000000000000004</v>
          </cell>
          <cell r="T2466">
            <v>24.523</v>
          </cell>
        </row>
        <row r="2467">
          <cell r="G2467">
            <v>42401</v>
          </cell>
          <cell r="L2467" t="str">
            <v>01-25-153-96W1</v>
          </cell>
          <cell r="O2467">
            <v>749.8</v>
          </cell>
          <cell r="Q2467">
            <v>0.36</v>
          </cell>
          <cell r="T2467">
            <v>24.132999999999999</v>
          </cell>
        </row>
        <row r="2468">
          <cell r="G2468">
            <v>42401</v>
          </cell>
          <cell r="L2468" t="str">
            <v>07-33-161-91W1</v>
          </cell>
          <cell r="O2468">
            <v>856.1</v>
          </cell>
          <cell r="Q2468">
            <v>0.54</v>
          </cell>
          <cell r="T2468">
            <v>22.504999999999999</v>
          </cell>
        </row>
        <row r="2469">
          <cell r="G2469">
            <v>42401</v>
          </cell>
          <cell r="L2469" t="str">
            <v>01-24-144-98W1</v>
          </cell>
          <cell r="O2469">
            <v>824.3</v>
          </cell>
          <cell r="Q2469">
            <v>0.61</v>
          </cell>
          <cell r="T2469">
            <v>22.227</v>
          </cell>
        </row>
        <row r="2470">
          <cell r="G2470">
            <v>42401</v>
          </cell>
          <cell r="L2470" t="str">
            <v>01-26-144-98W1</v>
          </cell>
          <cell r="O2470">
            <v>835.7</v>
          </cell>
          <cell r="Q2470">
            <v>0.47</v>
          </cell>
          <cell r="T2470">
            <v>20.542999999999999</v>
          </cell>
        </row>
        <row r="2471">
          <cell r="G2471">
            <v>42401</v>
          </cell>
          <cell r="L2471" t="str">
            <v>01-23-144-98W1</v>
          </cell>
          <cell r="O2471">
            <v>848.6</v>
          </cell>
          <cell r="Q2471">
            <v>0.37</v>
          </cell>
          <cell r="T2471">
            <v>18.364000000000001</v>
          </cell>
        </row>
        <row r="2472">
          <cell r="G2472">
            <v>42401</v>
          </cell>
          <cell r="L2472" t="str">
            <v>07-26-005-02W2</v>
          </cell>
          <cell r="O2472">
            <v>843.5</v>
          </cell>
          <cell r="Q2472">
            <v>1.1599999999999999</v>
          </cell>
          <cell r="T2472">
            <v>16.818999999999999</v>
          </cell>
        </row>
        <row r="2473">
          <cell r="G2473">
            <v>42401</v>
          </cell>
          <cell r="L2473" t="str">
            <v>01-36-003-03W2</v>
          </cell>
          <cell r="O2473">
            <v>839.1</v>
          </cell>
          <cell r="Q2473">
            <v>0.76</v>
          </cell>
          <cell r="T2473">
            <v>648.03399999999999</v>
          </cell>
        </row>
        <row r="2474">
          <cell r="G2474">
            <v>42401</v>
          </cell>
          <cell r="L2474" t="str">
            <v>07-23-010-06W2</v>
          </cell>
          <cell r="O2474">
            <v>845.1</v>
          </cell>
          <cell r="Q2474">
            <v>1.51</v>
          </cell>
          <cell r="T2474">
            <v>459.36599999999999</v>
          </cell>
        </row>
        <row r="2475">
          <cell r="G2475">
            <v>42401</v>
          </cell>
          <cell r="L2475" t="str">
            <v>08-17-005-03W2</v>
          </cell>
          <cell r="O2475">
            <v>860.4</v>
          </cell>
          <cell r="Q2475">
            <v>1.41</v>
          </cell>
          <cell r="T2475">
            <v>158.47300000000001</v>
          </cell>
        </row>
        <row r="2476">
          <cell r="G2476">
            <v>42401</v>
          </cell>
          <cell r="L2476" t="str">
            <v>12-22-010-05W2</v>
          </cell>
          <cell r="O2476">
            <v>865.4</v>
          </cell>
          <cell r="Q2476">
            <v>1.88</v>
          </cell>
          <cell r="T2476">
            <v>75.007999999999996</v>
          </cell>
        </row>
        <row r="2477">
          <cell r="G2477">
            <v>42401</v>
          </cell>
          <cell r="L2477" t="str">
            <v>09-26-007-05W2</v>
          </cell>
          <cell r="O2477">
            <v>865.8</v>
          </cell>
          <cell r="Q2477">
            <v>1.67</v>
          </cell>
          <cell r="T2477">
            <v>69.695999999999998</v>
          </cell>
        </row>
        <row r="2478">
          <cell r="G2478">
            <v>42401</v>
          </cell>
          <cell r="L2478" t="str">
            <v>15-09-007-03W2</v>
          </cell>
          <cell r="O2478">
            <v>844.2</v>
          </cell>
          <cell r="Q2478">
            <v>1.29</v>
          </cell>
          <cell r="T2478">
            <v>66.424000000000007</v>
          </cell>
        </row>
        <row r="2479">
          <cell r="G2479">
            <v>42401</v>
          </cell>
          <cell r="L2479" t="str">
            <v>05-36-002-03W2</v>
          </cell>
          <cell r="O2479">
            <v>844.3</v>
          </cell>
          <cell r="Q2479">
            <v>0.67</v>
          </cell>
          <cell r="T2479">
            <v>30.611000000000001</v>
          </cell>
        </row>
        <row r="2480">
          <cell r="G2480">
            <v>42401</v>
          </cell>
          <cell r="L2480" t="str">
            <v>05-16-006-13W2</v>
          </cell>
          <cell r="O2480">
            <v>869.7</v>
          </cell>
          <cell r="Q2480">
            <v>2.41</v>
          </cell>
          <cell r="T2480">
            <v>111855.156</v>
          </cell>
        </row>
        <row r="2481">
          <cell r="G2481">
            <v>42401</v>
          </cell>
          <cell r="L2481" t="str">
            <v>08-28-005-33W1</v>
          </cell>
          <cell r="O2481">
            <v>817.9</v>
          </cell>
          <cell r="Q2481">
            <v>0.96</v>
          </cell>
          <cell r="T2481">
            <v>106551.844</v>
          </cell>
        </row>
        <row r="2482">
          <cell r="G2482">
            <v>42401</v>
          </cell>
          <cell r="L2482" t="str">
            <v>14-05-002-31W1</v>
          </cell>
          <cell r="O2482">
            <v>858.1</v>
          </cell>
          <cell r="Q2482">
            <v>1.71</v>
          </cell>
          <cell r="T2482">
            <v>4162.8969999999999</v>
          </cell>
        </row>
        <row r="2483">
          <cell r="G2483">
            <v>42401</v>
          </cell>
          <cell r="L2483" t="str">
            <v>14-13-002-02W2</v>
          </cell>
          <cell r="O2483">
            <v>821.9</v>
          </cell>
          <cell r="Q2483">
            <v>0.54</v>
          </cell>
          <cell r="T2483">
            <v>1894.309</v>
          </cell>
        </row>
        <row r="2484">
          <cell r="G2484">
            <v>42401</v>
          </cell>
          <cell r="L2484" t="str">
            <v>16-03-008-33W1</v>
          </cell>
          <cell r="O2484">
            <v>841.4</v>
          </cell>
          <cell r="Q2484">
            <v>1.25</v>
          </cell>
          <cell r="T2484">
            <v>1229.9580000000001</v>
          </cell>
        </row>
        <row r="2485">
          <cell r="G2485">
            <v>42401</v>
          </cell>
          <cell r="L2485" t="str">
            <v>01-35-007-01W2</v>
          </cell>
          <cell r="O2485">
            <v>843.5</v>
          </cell>
          <cell r="Q2485">
            <v>1.1399999999999999</v>
          </cell>
          <cell r="T2485">
            <v>1091.059</v>
          </cell>
        </row>
        <row r="2486">
          <cell r="G2486">
            <v>42401</v>
          </cell>
          <cell r="L2486" t="str">
            <v>14-03-001-03W2</v>
          </cell>
          <cell r="O2486">
            <v>800</v>
          </cell>
          <cell r="Q2486">
            <v>0.12</v>
          </cell>
          <cell r="T2486">
            <v>900.46299999999997</v>
          </cell>
        </row>
        <row r="2487">
          <cell r="G2487">
            <v>42401</v>
          </cell>
          <cell r="L2487" t="str">
            <v>05-18-004-02W2</v>
          </cell>
          <cell r="O2487">
            <v>849.8</v>
          </cell>
          <cell r="Q2487">
            <v>1.1299999999999999</v>
          </cell>
          <cell r="T2487">
            <v>814.15599999999995</v>
          </cell>
        </row>
        <row r="2488">
          <cell r="G2488">
            <v>42401</v>
          </cell>
          <cell r="L2488" t="str">
            <v>13-17-005-33W1</v>
          </cell>
          <cell r="O2488">
            <v>824.5</v>
          </cell>
          <cell r="Q2488">
            <v>0.67</v>
          </cell>
          <cell r="T2488">
            <v>804.755</v>
          </cell>
        </row>
        <row r="2489">
          <cell r="G2489">
            <v>42401</v>
          </cell>
          <cell r="L2489" t="str">
            <v>16-04-006-32W1</v>
          </cell>
          <cell r="O2489">
            <v>841.6</v>
          </cell>
          <cell r="Q2489">
            <v>1.07</v>
          </cell>
          <cell r="T2489">
            <v>698.93100000000004</v>
          </cell>
        </row>
        <row r="2490">
          <cell r="G2490">
            <v>42401</v>
          </cell>
          <cell r="L2490" t="str">
            <v>16-31-001-32W1</v>
          </cell>
          <cell r="O2490">
            <v>842.9</v>
          </cell>
          <cell r="Q2490">
            <v>1.1000000000000001</v>
          </cell>
          <cell r="T2490">
            <v>534.34400000000005</v>
          </cell>
        </row>
        <row r="2491">
          <cell r="G2491">
            <v>42401</v>
          </cell>
          <cell r="L2491" t="str">
            <v>05-20-001-02W2</v>
          </cell>
          <cell r="O2491">
            <v>822.2</v>
          </cell>
          <cell r="Q2491">
            <v>0.53</v>
          </cell>
          <cell r="T2491">
            <v>472.85399999999998</v>
          </cell>
        </row>
        <row r="2492">
          <cell r="G2492">
            <v>42401</v>
          </cell>
          <cell r="L2492" t="str">
            <v>14-19-006-33W1</v>
          </cell>
          <cell r="O2492">
            <v>835.3</v>
          </cell>
          <cell r="Q2492">
            <v>1.2</v>
          </cell>
          <cell r="T2492">
            <v>441.67599999999999</v>
          </cell>
        </row>
        <row r="2493">
          <cell r="G2493">
            <v>42401</v>
          </cell>
          <cell r="L2493" t="str">
            <v>16-03-001-03W2</v>
          </cell>
          <cell r="O2493">
            <v>830.5</v>
          </cell>
          <cell r="Q2493">
            <v>0.62</v>
          </cell>
          <cell r="T2493">
            <v>317.75400000000002</v>
          </cell>
        </row>
        <row r="2494">
          <cell r="G2494">
            <v>42401</v>
          </cell>
          <cell r="L2494" t="str">
            <v>01-03-003-33W1</v>
          </cell>
          <cell r="O2494">
            <v>855.5</v>
          </cell>
          <cell r="Q2494">
            <v>0.93</v>
          </cell>
          <cell r="T2494">
            <v>308.96100000000001</v>
          </cell>
        </row>
        <row r="2495">
          <cell r="G2495">
            <v>42401</v>
          </cell>
          <cell r="L2495" t="str">
            <v>03-05-006-02W2</v>
          </cell>
          <cell r="O2495">
            <v>842.9</v>
          </cell>
          <cell r="Q2495">
            <v>1.03</v>
          </cell>
          <cell r="T2495">
            <v>247.922</v>
          </cell>
        </row>
        <row r="2496">
          <cell r="G2496">
            <v>42401</v>
          </cell>
          <cell r="L2496" t="str">
            <v>14-23-005-02W2</v>
          </cell>
          <cell r="O2496">
            <v>848.2</v>
          </cell>
          <cell r="Q2496">
            <v>1.35</v>
          </cell>
          <cell r="T2496">
            <v>226.33799999999999</v>
          </cell>
        </row>
        <row r="2497">
          <cell r="G2497">
            <v>42401</v>
          </cell>
          <cell r="L2497" t="str">
            <v>04-05-006-02W2</v>
          </cell>
          <cell r="O2497">
            <v>844.7</v>
          </cell>
          <cell r="Q2497">
            <v>1.17</v>
          </cell>
          <cell r="T2497">
            <v>214.733</v>
          </cell>
        </row>
        <row r="2498">
          <cell r="G2498">
            <v>42401</v>
          </cell>
          <cell r="L2498" t="str">
            <v>04-11-004-32W1</v>
          </cell>
          <cell r="O2498">
            <v>850.4</v>
          </cell>
          <cell r="Q2498">
            <v>1.57</v>
          </cell>
          <cell r="T2498">
            <v>208.84299999999999</v>
          </cell>
        </row>
        <row r="2499">
          <cell r="G2499">
            <v>42401</v>
          </cell>
          <cell r="L2499" t="str">
            <v>13-13-002-33W1</v>
          </cell>
          <cell r="O2499">
            <v>842.9</v>
          </cell>
          <cell r="Q2499">
            <v>0.72</v>
          </cell>
          <cell r="T2499">
            <v>200.096</v>
          </cell>
        </row>
        <row r="2500">
          <cell r="G2500">
            <v>42401</v>
          </cell>
          <cell r="L2500" t="str">
            <v>10-17-007-33W1</v>
          </cell>
          <cell r="O2500">
            <v>844</v>
          </cell>
          <cell r="Q2500">
            <v>1.17</v>
          </cell>
          <cell r="T2500">
            <v>175.43199999999999</v>
          </cell>
        </row>
        <row r="2501">
          <cell r="G2501">
            <v>42401</v>
          </cell>
          <cell r="L2501" t="str">
            <v>01-01-010-04W2</v>
          </cell>
          <cell r="O2501">
            <v>842.1</v>
          </cell>
          <cell r="Q2501">
            <v>1.41</v>
          </cell>
          <cell r="T2501">
            <v>158.46700000000001</v>
          </cell>
        </row>
        <row r="2502">
          <cell r="G2502">
            <v>42401</v>
          </cell>
          <cell r="L2502" t="str">
            <v>16-16-006-02W2</v>
          </cell>
          <cell r="O2502">
            <v>849.5</v>
          </cell>
          <cell r="Q2502">
            <v>1.1399999999999999</v>
          </cell>
          <cell r="T2502">
            <v>135.81399999999999</v>
          </cell>
        </row>
        <row r="2503">
          <cell r="G2503">
            <v>42401</v>
          </cell>
          <cell r="L2503" t="str">
            <v>31-30-164-92W1</v>
          </cell>
          <cell r="O2503">
            <v>834.8</v>
          </cell>
          <cell r="Q2503">
            <v>0.57999999999999996</v>
          </cell>
          <cell r="T2503">
            <v>134.928</v>
          </cell>
        </row>
        <row r="2504">
          <cell r="G2504">
            <v>42401</v>
          </cell>
          <cell r="L2504" t="str">
            <v>12-20-008-02W2</v>
          </cell>
          <cell r="O2504">
            <v>860.3</v>
          </cell>
          <cell r="Q2504">
            <v>1.77</v>
          </cell>
          <cell r="T2504">
            <v>126.79</v>
          </cell>
        </row>
        <row r="2505">
          <cell r="G2505">
            <v>42401</v>
          </cell>
          <cell r="L2505" t="str">
            <v>09-24-001-01W2</v>
          </cell>
          <cell r="O2505">
            <v>829.1</v>
          </cell>
          <cell r="Q2505">
            <v>0.56999999999999995</v>
          </cell>
          <cell r="T2505">
            <v>109.34399999999999</v>
          </cell>
        </row>
        <row r="2506">
          <cell r="G2506">
            <v>42401</v>
          </cell>
          <cell r="L2506" t="str">
            <v>01-06-002-32W1</v>
          </cell>
          <cell r="O2506">
            <v>826.4</v>
          </cell>
          <cell r="Q2506">
            <v>0.81</v>
          </cell>
          <cell r="T2506">
            <v>107.908</v>
          </cell>
        </row>
        <row r="2507">
          <cell r="G2507">
            <v>42401</v>
          </cell>
          <cell r="L2507" t="str">
            <v>02-14-006-02W2</v>
          </cell>
          <cell r="O2507">
            <v>853.3</v>
          </cell>
          <cell r="Q2507">
            <v>1.1599999999999999</v>
          </cell>
          <cell r="T2507">
            <v>106.89</v>
          </cell>
        </row>
        <row r="2508">
          <cell r="G2508">
            <v>42401</v>
          </cell>
          <cell r="L2508" t="str">
            <v>08-02-008-03W2</v>
          </cell>
          <cell r="O2508">
            <v>852.7</v>
          </cell>
          <cell r="Q2508">
            <v>0.15</v>
          </cell>
          <cell r="T2508">
            <v>93.072000000000003</v>
          </cell>
        </row>
        <row r="2509">
          <cell r="G2509">
            <v>42401</v>
          </cell>
          <cell r="L2509" t="str">
            <v>03-03-002-32W1</v>
          </cell>
          <cell r="O2509">
            <v>826.7</v>
          </cell>
          <cell r="Q2509">
            <v>0.95</v>
          </cell>
          <cell r="T2509">
            <v>86.956000000000003</v>
          </cell>
        </row>
        <row r="2510">
          <cell r="G2510">
            <v>42401</v>
          </cell>
          <cell r="L2510" t="str">
            <v>11-25-001-02W2</v>
          </cell>
          <cell r="O2510">
            <v>828.4</v>
          </cell>
          <cell r="Q2510">
            <v>0.59</v>
          </cell>
          <cell r="T2510">
            <v>80.444000000000003</v>
          </cell>
        </row>
        <row r="2511">
          <cell r="G2511">
            <v>42401</v>
          </cell>
          <cell r="L2511" t="str">
            <v>14-24-001-02W2</v>
          </cell>
          <cell r="O2511">
            <v>835.9</v>
          </cell>
          <cell r="Q2511">
            <v>0.79</v>
          </cell>
          <cell r="T2511">
            <v>70.397000000000006</v>
          </cell>
        </row>
        <row r="2512">
          <cell r="G2512">
            <v>42401</v>
          </cell>
          <cell r="L2512" t="str">
            <v>10-29-005-33W1</v>
          </cell>
          <cell r="O2512">
            <v>835.3</v>
          </cell>
          <cell r="Q2512">
            <v>0.87</v>
          </cell>
          <cell r="T2512">
            <v>69.272000000000006</v>
          </cell>
        </row>
        <row r="2513">
          <cell r="G2513">
            <v>42401</v>
          </cell>
          <cell r="L2513" t="str">
            <v>16-15-008-03W2</v>
          </cell>
          <cell r="O2513">
            <v>854.7</v>
          </cell>
          <cell r="Q2513">
            <v>1.54</v>
          </cell>
          <cell r="T2513">
            <v>66.661000000000001</v>
          </cell>
        </row>
        <row r="2514">
          <cell r="G2514">
            <v>42401</v>
          </cell>
          <cell r="L2514" t="str">
            <v>13-12-007-03W2</v>
          </cell>
          <cell r="O2514">
            <v>851.6</v>
          </cell>
          <cell r="Q2514">
            <v>1.38</v>
          </cell>
          <cell r="T2514">
            <v>64.858000000000004</v>
          </cell>
        </row>
        <row r="2515">
          <cell r="G2515">
            <v>42401</v>
          </cell>
          <cell r="L2515" t="str">
            <v>16-07-006-02W2</v>
          </cell>
          <cell r="O2515">
            <v>854.5</v>
          </cell>
          <cell r="Q2515">
            <v>1.22</v>
          </cell>
          <cell r="T2515">
            <v>35.365000000000002</v>
          </cell>
        </row>
        <row r="2516">
          <cell r="G2516">
            <v>42401</v>
          </cell>
          <cell r="L2516" t="str">
            <v>16-21-003-33W1</v>
          </cell>
          <cell r="O2516">
            <v>848.3</v>
          </cell>
          <cell r="Q2516">
            <v>1.84</v>
          </cell>
          <cell r="T2516">
            <v>34.749000000000002</v>
          </cell>
        </row>
        <row r="2517">
          <cell r="G2517">
            <v>42401</v>
          </cell>
          <cell r="L2517" t="str">
            <v>09-01-002-34W1</v>
          </cell>
          <cell r="O2517">
            <v>821.4</v>
          </cell>
          <cell r="Q2517">
            <v>0.55000000000000004</v>
          </cell>
          <cell r="T2517">
            <v>28.875</v>
          </cell>
        </row>
        <row r="2518">
          <cell r="G2518">
            <v>42401</v>
          </cell>
          <cell r="L2518" t="str">
            <v>03-10-145-98W1</v>
          </cell>
          <cell r="O2518">
            <v>815.9</v>
          </cell>
          <cell r="Q2518">
            <v>0.37</v>
          </cell>
          <cell r="T2518">
            <v>24.533999999999999</v>
          </cell>
        </row>
        <row r="2519">
          <cell r="G2519">
            <v>42401</v>
          </cell>
          <cell r="L2519" t="str">
            <v>15-09-007-03W2</v>
          </cell>
          <cell r="O2519">
            <v>845</v>
          </cell>
          <cell r="Q2519">
            <v>1.29</v>
          </cell>
          <cell r="T2519">
            <v>1400.836</v>
          </cell>
        </row>
        <row r="2520">
          <cell r="G2520">
            <v>42401</v>
          </cell>
          <cell r="L2520" t="str">
            <v>07-31-005-33W1</v>
          </cell>
          <cell r="O2520">
            <v>821.2</v>
          </cell>
          <cell r="Q2520">
            <v>0.68</v>
          </cell>
          <cell r="T2520">
            <v>1079.8710000000001</v>
          </cell>
        </row>
        <row r="2521">
          <cell r="G2521">
            <v>42401</v>
          </cell>
          <cell r="L2521" t="str">
            <v>04-36-004-02W2</v>
          </cell>
          <cell r="O2521">
            <v>851.9</v>
          </cell>
          <cell r="Q2521">
            <v>1.64</v>
          </cell>
          <cell r="T2521">
            <v>340.87200000000001</v>
          </cell>
        </row>
        <row r="2522">
          <cell r="G2522">
            <v>42401</v>
          </cell>
          <cell r="L2522" t="str">
            <v>13-14-010-05W2</v>
          </cell>
          <cell r="O2522">
            <v>846.1</v>
          </cell>
          <cell r="Q2522">
            <v>1.54</v>
          </cell>
          <cell r="T2522">
            <v>159.34399999999999</v>
          </cell>
        </row>
        <row r="2523">
          <cell r="G2523">
            <v>42401</v>
          </cell>
          <cell r="L2523" t="str">
            <v>14-04-006-33W1</v>
          </cell>
          <cell r="O2523">
            <v>836.8</v>
          </cell>
          <cell r="Q2523">
            <v>0.85</v>
          </cell>
          <cell r="T2523">
            <v>73.495000000000005</v>
          </cell>
        </row>
        <row r="2524">
          <cell r="G2524">
            <v>42401</v>
          </cell>
          <cell r="L2524" t="str">
            <v>03-03-002-34W1</v>
          </cell>
          <cell r="O2524">
            <v>839.9</v>
          </cell>
          <cell r="Q2524">
            <v>0.64</v>
          </cell>
          <cell r="T2524">
            <v>33.322000000000003</v>
          </cell>
        </row>
        <row r="2525">
          <cell r="G2525">
            <v>42401</v>
          </cell>
          <cell r="L2525" t="str">
            <v>01-07-006-10W2</v>
          </cell>
          <cell r="O2525">
            <v>0</v>
          </cell>
          <cell r="Q2525">
            <v>0</v>
          </cell>
          <cell r="T2525">
            <v>0</v>
          </cell>
        </row>
        <row r="2526">
          <cell r="G2526">
            <v>42401</v>
          </cell>
          <cell r="L2526" t="str">
            <v>ALStream</v>
          </cell>
          <cell r="T2526">
            <v>0</v>
          </cell>
        </row>
        <row r="2527">
          <cell r="G2527">
            <v>42401</v>
          </cell>
          <cell r="L2527" t="str">
            <v>MWStream</v>
          </cell>
          <cell r="T2527">
            <v>0</v>
          </cell>
        </row>
        <row r="2528">
          <cell r="G2528">
            <v>42401</v>
          </cell>
          <cell r="L2528" t="str">
            <v>ALStream</v>
          </cell>
          <cell r="O2528">
            <v>827.9</v>
          </cell>
          <cell r="Q2528">
            <v>0.97</v>
          </cell>
          <cell r="T2528">
            <v>-83068.051000000007</v>
          </cell>
        </row>
        <row r="2529">
          <cell r="G2529">
            <v>42401</v>
          </cell>
          <cell r="L2529" t="str">
            <v>MWStream</v>
          </cell>
          <cell r="O2529">
            <v>830.4</v>
          </cell>
          <cell r="Q2529">
            <v>1.21</v>
          </cell>
          <cell r="T2529">
            <v>-9596.5229999999992</v>
          </cell>
        </row>
        <row r="2530">
          <cell r="G2530">
            <v>42430</v>
          </cell>
          <cell r="L2530" t="str">
            <v>13-35-007-12W2</v>
          </cell>
          <cell r="O2530">
            <v>878.7</v>
          </cell>
          <cell r="Q2530">
            <v>2.1</v>
          </cell>
          <cell r="T2530">
            <v>19.777000000000001</v>
          </cell>
        </row>
        <row r="2531">
          <cell r="G2531">
            <v>42430</v>
          </cell>
          <cell r="L2531" t="str">
            <v>09-26-004-32W1</v>
          </cell>
          <cell r="O2531">
            <v>868.3</v>
          </cell>
          <cell r="Q2531">
            <v>1.52</v>
          </cell>
          <cell r="T2531">
            <v>63.686999999999998</v>
          </cell>
        </row>
        <row r="2532">
          <cell r="G2532">
            <v>42430</v>
          </cell>
          <cell r="L2532" t="str">
            <v>01-15-005-32W1</v>
          </cell>
          <cell r="O2532">
            <v>844.8</v>
          </cell>
          <cell r="Q2532">
            <v>0.98</v>
          </cell>
          <cell r="T2532">
            <v>65.994</v>
          </cell>
        </row>
        <row r="2533">
          <cell r="G2533">
            <v>42430</v>
          </cell>
          <cell r="L2533" t="str">
            <v>07-24-001-32W1</v>
          </cell>
          <cell r="O2533">
            <v>854.6</v>
          </cell>
          <cell r="Q2533">
            <v>1.6</v>
          </cell>
          <cell r="T2533">
            <v>85.995999999999995</v>
          </cell>
        </row>
        <row r="2534">
          <cell r="G2534">
            <v>42430</v>
          </cell>
          <cell r="L2534" t="str">
            <v>01-19-004-12W2</v>
          </cell>
          <cell r="O2534">
            <v>898.5</v>
          </cell>
          <cell r="Q2534">
            <v>2.59</v>
          </cell>
          <cell r="T2534">
            <v>93.775000000000006</v>
          </cell>
        </row>
        <row r="2535">
          <cell r="G2535">
            <v>42430</v>
          </cell>
          <cell r="L2535" t="str">
            <v>02-14-010-01W2</v>
          </cell>
          <cell r="O2535">
            <v>855.3</v>
          </cell>
          <cell r="Q2535">
            <v>1.69</v>
          </cell>
          <cell r="T2535">
            <v>851.00599999999997</v>
          </cell>
        </row>
        <row r="2536">
          <cell r="G2536">
            <v>42430</v>
          </cell>
          <cell r="L2536" t="str">
            <v>07-30-007-05W2</v>
          </cell>
          <cell r="O2536">
            <v>851.3</v>
          </cell>
          <cell r="Q2536">
            <v>1.42</v>
          </cell>
          <cell r="T2536">
            <v>102.837</v>
          </cell>
        </row>
        <row r="2537">
          <cell r="G2537">
            <v>42430</v>
          </cell>
          <cell r="L2537" t="str">
            <v>08-18-011-03W2</v>
          </cell>
          <cell r="O2537">
            <v>856.8</v>
          </cell>
          <cell r="Q2537">
            <v>1.87</v>
          </cell>
          <cell r="T2537">
            <v>103.02800000000001</v>
          </cell>
        </row>
        <row r="2538">
          <cell r="G2538">
            <v>42430</v>
          </cell>
          <cell r="L2538" t="str">
            <v>15-09-010-08W2</v>
          </cell>
          <cell r="O2538">
            <v>885.1</v>
          </cell>
          <cell r="Q2538">
            <v>2.5</v>
          </cell>
          <cell r="T2538">
            <v>109.69799999999999</v>
          </cell>
        </row>
        <row r="2539">
          <cell r="G2539">
            <v>42430</v>
          </cell>
          <cell r="L2539" t="str">
            <v>02-27-004-33W1</v>
          </cell>
          <cell r="O2539">
            <v>828.5</v>
          </cell>
          <cell r="Q2539">
            <v>0.67</v>
          </cell>
          <cell r="T2539">
            <v>105.19199999999999</v>
          </cell>
        </row>
        <row r="2540">
          <cell r="G2540">
            <v>42430</v>
          </cell>
          <cell r="L2540" t="str">
            <v>10-21-006-32W1</v>
          </cell>
          <cell r="O2540">
            <v>832.5</v>
          </cell>
          <cell r="Q2540">
            <v>0.78</v>
          </cell>
          <cell r="T2540">
            <v>107.616</v>
          </cell>
        </row>
        <row r="2541">
          <cell r="G2541">
            <v>42430</v>
          </cell>
          <cell r="L2541" t="str">
            <v>10-09-004-33W1</v>
          </cell>
          <cell r="O2541">
            <v>837.9</v>
          </cell>
          <cell r="Q2541">
            <v>0.89</v>
          </cell>
          <cell r="T2541">
            <v>112.008</v>
          </cell>
        </row>
        <row r="2542">
          <cell r="G2542">
            <v>42430</v>
          </cell>
          <cell r="L2542" t="str">
            <v>16-24-004-01W2</v>
          </cell>
          <cell r="O2542">
            <v>822.8</v>
          </cell>
          <cell r="Q2542">
            <v>0.6</v>
          </cell>
          <cell r="T2542">
            <v>117.66200000000001</v>
          </cell>
        </row>
        <row r="2543">
          <cell r="G2543">
            <v>42430</v>
          </cell>
          <cell r="L2543" t="str">
            <v>13-34-007-14W2</v>
          </cell>
          <cell r="O2543">
            <v>859.9</v>
          </cell>
          <cell r="Q2543">
            <v>2.08</v>
          </cell>
          <cell r="T2543">
            <v>129.059</v>
          </cell>
        </row>
        <row r="2544">
          <cell r="G2544">
            <v>42430</v>
          </cell>
          <cell r="L2544" t="str">
            <v>03-05-005-11W2</v>
          </cell>
          <cell r="O2544">
            <v>860.4</v>
          </cell>
          <cell r="Q2544">
            <v>1.68</v>
          </cell>
          <cell r="T2544">
            <v>132.57599999999999</v>
          </cell>
        </row>
        <row r="2545">
          <cell r="G2545">
            <v>42430</v>
          </cell>
          <cell r="L2545" t="str">
            <v>13-14-009-09W2</v>
          </cell>
          <cell r="O2545">
            <v>883.8</v>
          </cell>
          <cell r="Q2545">
            <v>2.46</v>
          </cell>
          <cell r="T2545">
            <v>138.21</v>
          </cell>
        </row>
        <row r="2546">
          <cell r="G2546">
            <v>42430</v>
          </cell>
          <cell r="L2546" t="str">
            <v>14-27-001-13W2</v>
          </cell>
          <cell r="O2546">
            <v>805.4</v>
          </cell>
          <cell r="Q2546">
            <v>0.11</v>
          </cell>
          <cell r="T2546">
            <v>4923.1509999999998</v>
          </cell>
        </row>
        <row r="2547">
          <cell r="G2547">
            <v>42430</v>
          </cell>
          <cell r="L2547" t="str">
            <v>01-04-007-09W2</v>
          </cell>
          <cell r="O2547">
            <v>813.1</v>
          </cell>
          <cell r="Q2547">
            <v>0.17</v>
          </cell>
          <cell r="T2547">
            <v>714.40200000000004</v>
          </cell>
        </row>
        <row r="2548">
          <cell r="G2548">
            <v>42430</v>
          </cell>
          <cell r="L2548" t="str">
            <v>16-27-004-33W1</v>
          </cell>
          <cell r="O2548">
            <v>845</v>
          </cell>
          <cell r="Q2548">
            <v>0.73</v>
          </cell>
          <cell r="T2548">
            <v>136.91499999999999</v>
          </cell>
        </row>
        <row r="2549">
          <cell r="G2549">
            <v>42430</v>
          </cell>
          <cell r="L2549" t="str">
            <v>13-07-010-09W2</v>
          </cell>
          <cell r="O2549">
            <v>822.1</v>
          </cell>
          <cell r="Q2549">
            <v>0.31</v>
          </cell>
          <cell r="T2549">
            <v>3760.8980000000001</v>
          </cell>
        </row>
        <row r="2550">
          <cell r="G2550">
            <v>42430</v>
          </cell>
          <cell r="L2550" t="str">
            <v>05-34-005-06W2</v>
          </cell>
          <cell r="O2550">
            <v>867.4</v>
          </cell>
          <cell r="Q2550">
            <v>2.2799999999999998</v>
          </cell>
          <cell r="T2550">
            <v>1596.855</v>
          </cell>
        </row>
        <row r="2551">
          <cell r="G2551">
            <v>42430</v>
          </cell>
          <cell r="L2551" t="str">
            <v>09-30-002-30W1</v>
          </cell>
          <cell r="O2551">
            <v>863.3</v>
          </cell>
          <cell r="Q2551">
            <v>1.79</v>
          </cell>
          <cell r="T2551">
            <v>141.39099999999999</v>
          </cell>
        </row>
        <row r="2552">
          <cell r="G2552">
            <v>42430</v>
          </cell>
          <cell r="L2552" t="str">
            <v>03-13-006-33W1</v>
          </cell>
          <cell r="O2552">
            <v>834.7</v>
          </cell>
          <cell r="Q2552">
            <v>0.77</v>
          </cell>
          <cell r="T2552">
            <v>146.60900000000001</v>
          </cell>
        </row>
        <row r="2553">
          <cell r="G2553">
            <v>42430</v>
          </cell>
          <cell r="L2553" t="str">
            <v>11-28-005-06W2</v>
          </cell>
          <cell r="O2553">
            <v>875.4</v>
          </cell>
          <cell r="Q2553">
            <v>2.27</v>
          </cell>
          <cell r="T2553">
            <v>1280.4000000000001</v>
          </cell>
        </row>
        <row r="2554">
          <cell r="G2554">
            <v>42430</v>
          </cell>
          <cell r="L2554" t="str">
            <v>08-01-004-32W1</v>
          </cell>
          <cell r="O2554">
            <v>850.1</v>
          </cell>
          <cell r="Q2554">
            <v>1.66</v>
          </cell>
          <cell r="T2554">
            <v>149.94499999999999</v>
          </cell>
        </row>
        <row r="2555">
          <cell r="G2555">
            <v>42430</v>
          </cell>
          <cell r="L2555" t="str">
            <v>09-31-007-12W2</v>
          </cell>
          <cell r="O2555">
            <v>866.2</v>
          </cell>
          <cell r="Q2555">
            <v>2.31</v>
          </cell>
          <cell r="T2555">
            <v>164.69900000000001</v>
          </cell>
        </row>
        <row r="2556">
          <cell r="G2556">
            <v>42430</v>
          </cell>
          <cell r="L2556" t="str">
            <v>06-01-007-01W2</v>
          </cell>
          <cell r="O2556">
            <v>844.3</v>
          </cell>
          <cell r="Q2556">
            <v>1.1299999999999999</v>
          </cell>
          <cell r="T2556">
            <v>2268.6089999999999</v>
          </cell>
        </row>
        <row r="2557">
          <cell r="G2557">
            <v>42430</v>
          </cell>
          <cell r="L2557" t="str">
            <v>09-26-007-09W2</v>
          </cell>
          <cell r="O2557">
            <v>806.9</v>
          </cell>
          <cell r="Q2557">
            <v>0.36</v>
          </cell>
          <cell r="T2557">
            <v>583.48900000000003</v>
          </cell>
        </row>
        <row r="2558">
          <cell r="G2558">
            <v>42430</v>
          </cell>
          <cell r="L2558" t="str">
            <v>12-06-009-07W2</v>
          </cell>
          <cell r="O2558">
            <v>805.5</v>
          </cell>
          <cell r="Q2558">
            <v>0.19</v>
          </cell>
          <cell r="T2558">
            <v>10385.751</v>
          </cell>
        </row>
        <row r="2559">
          <cell r="G2559">
            <v>42430</v>
          </cell>
          <cell r="L2559" t="str">
            <v>04-15-008-33W1</v>
          </cell>
          <cell r="O2559">
            <v>845.8</v>
          </cell>
          <cell r="Q2559">
            <v>1.1599999999999999</v>
          </cell>
          <cell r="T2559">
            <v>158.29900000000001</v>
          </cell>
        </row>
        <row r="2560">
          <cell r="G2560">
            <v>42430</v>
          </cell>
          <cell r="L2560" t="str">
            <v>04-08-008-08W2</v>
          </cell>
          <cell r="O2560">
            <v>801.1</v>
          </cell>
          <cell r="Q2560">
            <v>0.21</v>
          </cell>
          <cell r="T2560">
            <v>49014.500999999997</v>
          </cell>
        </row>
        <row r="2561">
          <cell r="G2561">
            <v>42430</v>
          </cell>
          <cell r="L2561" t="str">
            <v>03-15-012-06W2</v>
          </cell>
          <cell r="O2561">
            <v>886.8</v>
          </cell>
          <cell r="Q2561">
            <v>2.6</v>
          </cell>
          <cell r="T2561">
            <v>1206.298</v>
          </cell>
        </row>
        <row r="2562">
          <cell r="G2562">
            <v>42430</v>
          </cell>
          <cell r="L2562" t="str">
            <v>16-16-010-02W2</v>
          </cell>
          <cell r="O2562">
            <v>856.2</v>
          </cell>
          <cell r="Q2562">
            <v>1.72</v>
          </cell>
          <cell r="T2562">
            <v>161.10599999999999</v>
          </cell>
        </row>
        <row r="2563">
          <cell r="G2563">
            <v>42430</v>
          </cell>
          <cell r="L2563" t="str">
            <v>03-33-008-06W2</v>
          </cell>
          <cell r="O2563">
            <v>805.5</v>
          </cell>
          <cell r="Q2563">
            <v>0.26</v>
          </cell>
          <cell r="T2563">
            <v>15865.705</v>
          </cell>
        </row>
        <row r="2564">
          <cell r="G2564">
            <v>42430</v>
          </cell>
          <cell r="L2564" t="str">
            <v>08-13-006-33W1</v>
          </cell>
          <cell r="O2564">
            <v>842.8</v>
          </cell>
          <cell r="Q2564">
            <v>1.5</v>
          </cell>
          <cell r="T2564">
            <v>1248.0930000000001</v>
          </cell>
        </row>
        <row r="2565">
          <cell r="G2565">
            <v>42430</v>
          </cell>
          <cell r="L2565" t="str">
            <v>03-17-011-06W2</v>
          </cell>
          <cell r="O2565">
            <v>884.2</v>
          </cell>
          <cell r="Q2565">
            <v>2.59</v>
          </cell>
          <cell r="T2565">
            <v>1827.473</v>
          </cell>
        </row>
        <row r="2566">
          <cell r="G2566">
            <v>42430</v>
          </cell>
          <cell r="L2566" t="str">
            <v>14-04-007-13W2</v>
          </cell>
          <cell r="O2566">
            <v>856.2</v>
          </cell>
          <cell r="Q2566">
            <v>1.79</v>
          </cell>
          <cell r="T2566">
            <v>178.619</v>
          </cell>
        </row>
        <row r="2567">
          <cell r="G2567">
            <v>42430</v>
          </cell>
          <cell r="L2567" t="str">
            <v>09-14-009-08W2</v>
          </cell>
          <cell r="O2567">
            <v>801.6</v>
          </cell>
          <cell r="Q2567">
            <v>0.14000000000000001</v>
          </cell>
          <cell r="T2567">
            <v>46024.504999999997</v>
          </cell>
        </row>
        <row r="2568">
          <cell r="G2568">
            <v>42430</v>
          </cell>
          <cell r="L2568" t="str">
            <v>16-08-007-12W2</v>
          </cell>
          <cell r="O2568">
            <v>856.9</v>
          </cell>
          <cell r="Q2568">
            <v>2.0099999999999998</v>
          </cell>
          <cell r="T2568">
            <v>180.97800000000001</v>
          </cell>
        </row>
        <row r="2569">
          <cell r="G2569">
            <v>42430</v>
          </cell>
          <cell r="L2569" t="str">
            <v>04-18-009-06W2</v>
          </cell>
          <cell r="O2569">
            <v>829.7</v>
          </cell>
          <cell r="Q2569">
            <v>0.85</v>
          </cell>
          <cell r="T2569">
            <v>1429.5640000000001</v>
          </cell>
        </row>
        <row r="2570">
          <cell r="G2570">
            <v>42430</v>
          </cell>
          <cell r="L2570" t="str">
            <v>05-31-009-07W2</v>
          </cell>
          <cell r="O2570">
            <v>879.1</v>
          </cell>
          <cell r="Q2570">
            <v>2.35</v>
          </cell>
          <cell r="T2570">
            <v>734.37599999999998</v>
          </cell>
        </row>
        <row r="2571">
          <cell r="G2571">
            <v>42430</v>
          </cell>
          <cell r="L2571" t="str">
            <v>13-29-008-07W2</v>
          </cell>
          <cell r="O2571">
            <v>803.2</v>
          </cell>
          <cell r="Q2571">
            <v>0.15</v>
          </cell>
          <cell r="T2571">
            <v>15704.973</v>
          </cell>
        </row>
        <row r="2572">
          <cell r="G2572">
            <v>42430</v>
          </cell>
          <cell r="L2572" t="str">
            <v>13-18-010-06W2</v>
          </cell>
          <cell r="O2572">
            <v>826.8</v>
          </cell>
          <cell r="Q2572">
            <v>0.69</v>
          </cell>
          <cell r="T2572">
            <v>4445.3459999999995</v>
          </cell>
        </row>
        <row r="2573">
          <cell r="G2573">
            <v>42430</v>
          </cell>
          <cell r="L2573" t="str">
            <v>09-20-008-08W2</v>
          </cell>
          <cell r="O2573">
            <v>822</v>
          </cell>
          <cell r="Q2573">
            <v>0.59</v>
          </cell>
          <cell r="T2573">
            <v>2551.0940000000001</v>
          </cell>
        </row>
        <row r="2574">
          <cell r="G2574">
            <v>42430</v>
          </cell>
          <cell r="L2574" t="str">
            <v>03-06-011-07W2</v>
          </cell>
          <cell r="O2574">
            <v>855.8</v>
          </cell>
          <cell r="Q2574">
            <v>1.55</v>
          </cell>
          <cell r="T2574">
            <v>1470.6210000000001</v>
          </cell>
        </row>
        <row r="2575">
          <cell r="G2575">
            <v>42430</v>
          </cell>
          <cell r="L2575" t="str">
            <v>07-04-010-08W2</v>
          </cell>
          <cell r="O2575">
            <v>878</v>
          </cell>
          <cell r="Q2575">
            <v>2.44</v>
          </cell>
          <cell r="T2575">
            <v>1443.3209999999999</v>
          </cell>
        </row>
        <row r="2576">
          <cell r="G2576">
            <v>42430</v>
          </cell>
          <cell r="L2576" t="str">
            <v>09-06-010-07W2</v>
          </cell>
          <cell r="O2576">
            <v>880.9</v>
          </cell>
          <cell r="Q2576">
            <v>2.4500000000000002</v>
          </cell>
          <cell r="T2576">
            <v>915.67399999999998</v>
          </cell>
        </row>
        <row r="2577">
          <cell r="G2577">
            <v>42430</v>
          </cell>
          <cell r="L2577" t="str">
            <v>09-11-010-08W2</v>
          </cell>
          <cell r="O2577">
            <v>881.9</v>
          </cell>
          <cell r="Q2577">
            <v>2.4700000000000002</v>
          </cell>
          <cell r="T2577">
            <v>756.58799999999997</v>
          </cell>
        </row>
        <row r="2578">
          <cell r="G2578">
            <v>42430</v>
          </cell>
          <cell r="L2578" t="str">
            <v>01-22-010-07W2</v>
          </cell>
          <cell r="O2578">
            <v>887</v>
          </cell>
          <cell r="Q2578">
            <v>2.5099999999999998</v>
          </cell>
          <cell r="T2578">
            <v>716.98699999999997</v>
          </cell>
        </row>
        <row r="2579">
          <cell r="G2579">
            <v>42430</v>
          </cell>
          <cell r="L2579" t="str">
            <v>16-35-009-09W2</v>
          </cell>
          <cell r="O2579">
            <v>881.2</v>
          </cell>
          <cell r="Q2579">
            <v>2.46</v>
          </cell>
          <cell r="T2579">
            <v>639.32799999999997</v>
          </cell>
        </row>
        <row r="2580">
          <cell r="G2580">
            <v>42430</v>
          </cell>
          <cell r="L2580" t="str">
            <v>07-25-009-08W2</v>
          </cell>
          <cell r="O2580">
            <v>886.6</v>
          </cell>
          <cell r="Q2580">
            <v>2.3199999999999998</v>
          </cell>
          <cell r="T2580">
            <v>241.858</v>
          </cell>
        </row>
        <row r="2581">
          <cell r="G2581">
            <v>42430</v>
          </cell>
          <cell r="L2581" t="str">
            <v>15-09-010-02W2</v>
          </cell>
          <cell r="O2581">
            <v>859.5</v>
          </cell>
          <cell r="Q2581">
            <v>1.85</v>
          </cell>
          <cell r="T2581">
            <v>172.166</v>
          </cell>
        </row>
        <row r="2582">
          <cell r="G2582">
            <v>42430</v>
          </cell>
          <cell r="L2582" t="str">
            <v>11-15-007-09W2</v>
          </cell>
          <cell r="O2582">
            <v>810.1</v>
          </cell>
          <cell r="Q2582">
            <v>0.21</v>
          </cell>
          <cell r="T2582">
            <v>8149.9189999999999</v>
          </cell>
        </row>
        <row r="2583">
          <cell r="G2583">
            <v>42430</v>
          </cell>
          <cell r="L2583" t="str">
            <v>15-23-006-08W2</v>
          </cell>
          <cell r="O2583">
            <v>861.6</v>
          </cell>
          <cell r="Q2583">
            <v>1.79</v>
          </cell>
          <cell r="T2583">
            <v>1577.08</v>
          </cell>
        </row>
        <row r="2584">
          <cell r="G2584">
            <v>42430</v>
          </cell>
          <cell r="L2584" t="str">
            <v>01-26-006-09W2</v>
          </cell>
          <cell r="O2584">
            <v>882.4</v>
          </cell>
          <cell r="Q2584">
            <v>2.2999999999999998</v>
          </cell>
          <cell r="T2584">
            <v>1199.7449999999999</v>
          </cell>
        </row>
        <row r="2585">
          <cell r="G2585">
            <v>42430</v>
          </cell>
          <cell r="L2585" t="str">
            <v>07-28-007-08W2</v>
          </cell>
          <cell r="O2585">
            <v>848.4</v>
          </cell>
          <cell r="Q2585">
            <v>1.39</v>
          </cell>
          <cell r="T2585">
            <v>854.36900000000003</v>
          </cell>
        </row>
        <row r="2586">
          <cell r="G2586">
            <v>42430</v>
          </cell>
          <cell r="L2586" t="str">
            <v>12-35-008-03W2</v>
          </cell>
          <cell r="O2586">
            <v>856.4</v>
          </cell>
          <cell r="Q2586">
            <v>1.59</v>
          </cell>
          <cell r="T2586">
            <v>511.77100000000002</v>
          </cell>
        </row>
        <row r="2587">
          <cell r="G2587">
            <v>42430</v>
          </cell>
          <cell r="L2587" t="str">
            <v>11-20-007-05W2</v>
          </cell>
          <cell r="O2587">
            <v>860.2</v>
          </cell>
          <cell r="Q2587">
            <v>1.57</v>
          </cell>
          <cell r="T2587">
            <v>222.47399999999999</v>
          </cell>
        </row>
        <row r="2588">
          <cell r="G2588">
            <v>42430</v>
          </cell>
          <cell r="L2588" t="str">
            <v>02-30-001-31W1</v>
          </cell>
          <cell r="O2588">
            <v>869</v>
          </cell>
          <cell r="Q2588">
            <v>1.64</v>
          </cell>
          <cell r="T2588">
            <v>173.72</v>
          </cell>
        </row>
        <row r="2589">
          <cell r="G2589">
            <v>42430</v>
          </cell>
          <cell r="L2589" t="str">
            <v>01-24-007-05W2</v>
          </cell>
          <cell r="O2589">
            <v>854.9</v>
          </cell>
          <cell r="Q2589">
            <v>1.31</v>
          </cell>
          <cell r="T2589">
            <v>224.37200000000001</v>
          </cell>
        </row>
        <row r="2590">
          <cell r="G2590">
            <v>42430</v>
          </cell>
          <cell r="L2590" t="str">
            <v>05-13-008-06W2</v>
          </cell>
          <cell r="O2590">
            <v>822.3</v>
          </cell>
          <cell r="Q2590">
            <v>0.49</v>
          </cell>
          <cell r="T2590">
            <v>1698.145</v>
          </cell>
        </row>
        <row r="2591">
          <cell r="G2591">
            <v>42430</v>
          </cell>
          <cell r="L2591" t="str">
            <v>09-19-009-33W1</v>
          </cell>
          <cell r="O2591">
            <v>855</v>
          </cell>
          <cell r="Q2591">
            <v>1.61</v>
          </cell>
          <cell r="T2591">
            <v>900.70299999999997</v>
          </cell>
        </row>
        <row r="2592">
          <cell r="G2592">
            <v>42430</v>
          </cell>
          <cell r="L2592" t="str">
            <v>09-10-009-06W2</v>
          </cell>
          <cell r="O2592">
            <v>853.9</v>
          </cell>
          <cell r="Q2592">
            <v>1.66</v>
          </cell>
          <cell r="T2592">
            <v>1300.251</v>
          </cell>
        </row>
        <row r="2593">
          <cell r="G2593">
            <v>42430</v>
          </cell>
          <cell r="L2593" t="str">
            <v>02-26-009-09W2</v>
          </cell>
          <cell r="O2593">
            <v>807.3</v>
          </cell>
          <cell r="Q2593">
            <v>0.17</v>
          </cell>
          <cell r="T2593">
            <v>8345.0769999999993</v>
          </cell>
        </row>
        <row r="2594">
          <cell r="G2594">
            <v>42430</v>
          </cell>
          <cell r="L2594" t="str">
            <v>08-35-011-04W2</v>
          </cell>
          <cell r="O2594">
            <v>861.2</v>
          </cell>
          <cell r="Q2594">
            <v>1.89</v>
          </cell>
          <cell r="T2594">
            <v>741.92200000000003</v>
          </cell>
        </row>
        <row r="2595">
          <cell r="G2595">
            <v>42430</v>
          </cell>
          <cell r="L2595" t="str">
            <v>05-13-009-06W2</v>
          </cell>
          <cell r="O2595">
            <v>848.1</v>
          </cell>
          <cell r="Q2595">
            <v>1.5</v>
          </cell>
          <cell r="T2595">
            <v>2136.8910000000001</v>
          </cell>
        </row>
        <row r="2596">
          <cell r="G2596">
            <v>42430</v>
          </cell>
          <cell r="L2596" t="str">
            <v>09-27-006-05W2</v>
          </cell>
          <cell r="O2596">
            <v>870.6</v>
          </cell>
          <cell r="Q2596">
            <v>2.15</v>
          </cell>
          <cell r="T2596">
            <v>1462.319</v>
          </cell>
        </row>
        <row r="2597">
          <cell r="G2597">
            <v>42430</v>
          </cell>
          <cell r="L2597" t="str">
            <v>14-35-006-05W2</v>
          </cell>
          <cell r="O2597">
            <v>847.5</v>
          </cell>
          <cell r="Q2597">
            <v>1.61</v>
          </cell>
          <cell r="T2597">
            <v>353.96600000000001</v>
          </cell>
        </row>
        <row r="2598">
          <cell r="G2598">
            <v>42430</v>
          </cell>
          <cell r="L2598" t="str">
            <v>11-23-002-34W1</v>
          </cell>
          <cell r="O2598">
            <v>837.3</v>
          </cell>
          <cell r="Q2598">
            <v>1.63</v>
          </cell>
          <cell r="T2598">
            <v>191.28700000000001</v>
          </cell>
        </row>
        <row r="2599">
          <cell r="G2599">
            <v>42430</v>
          </cell>
          <cell r="L2599" t="str">
            <v>12-22-007-11W2</v>
          </cell>
          <cell r="O2599">
            <v>806.1</v>
          </cell>
          <cell r="Q2599">
            <v>1.26</v>
          </cell>
          <cell r="T2599">
            <v>5938.7809999999999</v>
          </cell>
        </row>
        <row r="2600">
          <cell r="G2600">
            <v>42430</v>
          </cell>
          <cell r="L2600" t="str">
            <v>15-21-008-03W2</v>
          </cell>
          <cell r="O2600">
            <v>856.6</v>
          </cell>
          <cell r="Q2600">
            <v>1.47</v>
          </cell>
          <cell r="T2600">
            <v>191.15899999999999</v>
          </cell>
        </row>
        <row r="2601">
          <cell r="G2601">
            <v>42430</v>
          </cell>
          <cell r="L2601" t="str">
            <v>06-02-008-02W2</v>
          </cell>
          <cell r="O2601">
            <v>852.6</v>
          </cell>
          <cell r="Q2601">
            <v>1.51</v>
          </cell>
          <cell r="T2601">
            <v>1020.35</v>
          </cell>
        </row>
        <row r="2602">
          <cell r="G2602">
            <v>42430</v>
          </cell>
          <cell r="L2602" t="str">
            <v>04-05-002-15W2</v>
          </cell>
          <cell r="O2602">
            <v>877.7</v>
          </cell>
          <cell r="Q2602">
            <v>2.0099999999999998</v>
          </cell>
          <cell r="T2602">
            <v>4413.0069999999996</v>
          </cell>
        </row>
        <row r="2603">
          <cell r="G2603">
            <v>42430</v>
          </cell>
          <cell r="L2603" t="str">
            <v>09-23-002-01W2</v>
          </cell>
          <cell r="O2603">
            <v>844.1</v>
          </cell>
          <cell r="Q2603">
            <v>0.98</v>
          </cell>
          <cell r="T2603">
            <v>194.75200000000001</v>
          </cell>
        </row>
        <row r="2604">
          <cell r="G2604">
            <v>42430</v>
          </cell>
          <cell r="L2604" t="str">
            <v>04-33-006-01W2</v>
          </cell>
          <cell r="O2604">
            <v>843.2</v>
          </cell>
          <cell r="Q2604">
            <v>1.1299999999999999</v>
          </cell>
          <cell r="T2604">
            <v>935.16099999999994</v>
          </cell>
        </row>
        <row r="2605">
          <cell r="G2605">
            <v>42430</v>
          </cell>
          <cell r="L2605" t="str">
            <v>01-21-001-14W2</v>
          </cell>
          <cell r="O2605">
            <v>804.4</v>
          </cell>
          <cell r="Q2605">
            <v>0.15</v>
          </cell>
          <cell r="T2605">
            <v>38104.936999999998</v>
          </cell>
        </row>
        <row r="2606">
          <cell r="G2606">
            <v>42430</v>
          </cell>
          <cell r="L2606" t="str">
            <v>16-12-004-31W1</v>
          </cell>
          <cell r="O2606">
            <v>859.4</v>
          </cell>
          <cell r="Q2606">
            <v>1.61</v>
          </cell>
          <cell r="T2606">
            <v>3944.451</v>
          </cell>
        </row>
        <row r="2607">
          <cell r="G2607">
            <v>42430</v>
          </cell>
          <cell r="L2607" t="str">
            <v>14-33-006-14W2</v>
          </cell>
          <cell r="O2607">
            <v>850.4</v>
          </cell>
          <cell r="Q2607">
            <v>1.66</v>
          </cell>
          <cell r="T2607">
            <v>2492.723</v>
          </cell>
        </row>
        <row r="2608">
          <cell r="G2608">
            <v>42430</v>
          </cell>
          <cell r="L2608" t="str">
            <v>04-21-006-14W2</v>
          </cell>
          <cell r="O2608">
            <v>865.8</v>
          </cell>
          <cell r="Q2608">
            <v>2.09</v>
          </cell>
          <cell r="T2608">
            <v>1499.213</v>
          </cell>
        </row>
        <row r="2609">
          <cell r="G2609">
            <v>42430</v>
          </cell>
          <cell r="L2609" t="str">
            <v>01-22-006-14W2</v>
          </cell>
          <cell r="O2609">
            <v>863.5</v>
          </cell>
          <cell r="Q2609">
            <v>2.14</v>
          </cell>
          <cell r="T2609">
            <v>999.97799999999995</v>
          </cell>
        </row>
        <row r="2610">
          <cell r="G2610">
            <v>42430</v>
          </cell>
          <cell r="L2610" t="str">
            <v>02-18-007-13W2</v>
          </cell>
          <cell r="O2610">
            <v>859.8</v>
          </cell>
          <cell r="Q2610">
            <v>1.9</v>
          </cell>
          <cell r="T2610">
            <v>616.04</v>
          </cell>
        </row>
        <row r="2611">
          <cell r="G2611">
            <v>42430</v>
          </cell>
          <cell r="L2611" t="str">
            <v>15-30-007-12W2</v>
          </cell>
          <cell r="O2611">
            <v>871.4</v>
          </cell>
          <cell r="Q2611">
            <v>2.36</v>
          </cell>
          <cell r="T2611">
            <v>474.54899999999998</v>
          </cell>
        </row>
        <row r="2612">
          <cell r="G2612">
            <v>42430</v>
          </cell>
          <cell r="L2612" t="str">
            <v>01-03-008-13W2</v>
          </cell>
          <cell r="O2612">
            <v>853.3</v>
          </cell>
          <cell r="Q2612">
            <v>2.0299999999999998</v>
          </cell>
          <cell r="T2612">
            <v>446.9</v>
          </cell>
        </row>
        <row r="2613">
          <cell r="G2613">
            <v>42430</v>
          </cell>
          <cell r="L2613" t="str">
            <v>04-11-007-13W2</v>
          </cell>
          <cell r="O2613">
            <v>856.7</v>
          </cell>
          <cell r="Q2613">
            <v>1.97</v>
          </cell>
          <cell r="T2613">
            <v>439.69099999999997</v>
          </cell>
        </row>
        <row r="2614">
          <cell r="G2614">
            <v>42430</v>
          </cell>
          <cell r="L2614" t="str">
            <v>10-22-006-14W2</v>
          </cell>
          <cell r="O2614">
            <v>845.1</v>
          </cell>
          <cell r="Q2614">
            <v>1.69</v>
          </cell>
          <cell r="T2614">
            <v>354.35700000000003</v>
          </cell>
        </row>
        <row r="2615">
          <cell r="G2615">
            <v>42430</v>
          </cell>
          <cell r="L2615" t="str">
            <v>05-35-006-11W2</v>
          </cell>
          <cell r="O2615">
            <v>806.4</v>
          </cell>
          <cell r="Q2615">
            <v>0.1</v>
          </cell>
          <cell r="T2615">
            <v>597.69899999999996</v>
          </cell>
        </row>
        <row r="2616">
          <cell r="G2616">
            <v>42430</v>
          </cell>
          <cell r="L2616" t="str">
            <v>03-21-001-16W2</v>
          </cell>
          <cell r="O2616">
            <v>865.1</v>
          </cell>
          <cell r="Q2616">
            <v>0.89</v>
          </cell>
          <cell r="T2616">
            <v>431.69499999999999</v>
          </cell>
        </row>
        <row r="2617">
          <cell r="G2617">
            <v>42430</v>
          </cell>
          <cell r="L2617" t="str">
            <v>13-02-007-14W2</v>
          </cell>
          <cell r="O2617">
            <v>849.3</v>
          </cell>
          <cell r="Q2617">
            <v>1.79</v>
          </cell>
          <cell r="T2617">
            <v>1494.43</v>
          </cell>
        </row>
        <row r="2618">
          <cell r="G2618">
            <v>42430</v>
          </cell>
          <cell r="L2618" t="str">
            <v>15-33-006-14W2</v>
          </cell>
          <cell r="O2618">
            <v>847.3</v>
          </cell>
          <cell r="Q2618">
            <v>1.66</v>
          </cell>
          <cell r="T2618">
            <v>1275.7380000000001</v>
          </cell>
        </row>
        <row r="2619">
          <cell r="G2619">
            <v>42430</v>
          </cell>
          <cell r="L2619" t="str">
            <v>15-14-009-03W2</v>
          </cell>
          <cell r="O2619">
            <v>852</v>
          </cell>
          <cell r="Q2619">
            <v>1.52</v>
          </cell>
          <cell r="T2619">
            <v>932.91700000000003</v>
          </cell>
        </row>
        <row r="2620">
          <cell r="G2620">
            <v>42430</v>
          </cell>
          <cell r="L2620" t="str">
            <v>06-03-001-16W2</v>
          </cell>
          <cell r="O2620">
            <v>862.3</v>
          </cell>
          <cell r="Q2620">
            <v>1.1000000000000001</v>
          </cell>
          <cell r="T2620">
            <v>1820.557</v>
          </cell>
        </row>
        <row r="2621">
          <cell r="G2621">
            <v>42430</v>
          </cell>
          <cell r="L2621" t="str">
            <v>02-29-001-17W2</v>
          </cell>
          <cell r="O2621">
            <v>860.5</v>
          </cell>
          <cell r="Q2621">
            <v>2.21</v>
          </cell>
          <cell r="T2621">
            <v>847.99099999999999</v>
          </cell>
        </row>
        <row r="2622">
          <cell r="G2622">
            <v>42430</v>
          </cell>
          <cell r="L2622" t="str">
            <v>09-28-001-15W2</v>
          </cell>
          <cell r="O2622">
            <v>871.1</v>
          </cell>
          <cell r="Q2622">
            <v>1.25</v>
          </cell>
          <cell r="T2622">
            <v>323.30200000000002</v>
          </cell>
        </row>
        <row r="2623">
          <cell r="G2623">
            <v>42430</v>
          </cell>
          <cell r="L2623" t="str">
            <v>13-17-001-31W1</v>
          </cell>
          <cell r="O2623">
            <v>848.2</v>
          </cell>
          <cell r="Q2623">
            <v>1.62</v>
          </cell>
          <cell r="T2623">
            <v>210.70699999999999</v>
          </cell>
        </row>
        <row r="2624">
          <cell r="G2624">
            <v>42430</v>
          </cell>
          <cell r="L2624" t="str">
            <v>16-21-003-32W1</v>
          </cell>
          <cell r="O2624">
            <v>854.2</v>
          </cell>
          <cell r="Q2624">
            <v>1.68</v>
          </cell>
          <cell r="T2624">
            <v>861.11699999999996</v>
          </cell>
        </row>
        <row r="2625">
          <cell r="G2625">
            <v>42430</v>
          </cell>
          <cell r="L2625" t="str">
            <v>09-27-008-03W2</v>
          </cell>
          <cell r="O2625">
            <v>855.3</v>
          </cell>
          <cell r="Q2625">
            <v>1.55</v>
          </cell>
          <cell r="T2625">
            <v>1321.3620000000001</v>
          </cell>
        </row>
        <row r="2626">
          <cell r="G2626">
            <v>42430</v>
          </cell>
          <cell r="L2626" t="str">
            <v>16-33-005-06W2</v>
          </cell>
          <cell r="O2626">
            <v>857.1</v>
          </cell>
          <cell r="Q2626">
            <v>1.79</v>
          </cell>
          <cell r="T2626">
            <v>2602.5880000000002</v>
          </cell>
        </row>
        <row r="2627">
          <cell r="G2627">
            <v>42430</v>
          </cell>
          <cell r="L2627" t="str">
            <v>05-31-003-16W2</v>
          </cell>
          <cell r="O2627">
            <v>894.2</v>
          </cell>
          <cell r="Q2627">
            <v>2.83</v>
          </cell>
          <cell r="T2627">
            <v>8072.0780000000004</v>
          </cell>
        </row>
        <row r="2628">
          <cell r="G2628">
            <v>42430</v>
          </cell>
          <cell r="L2628" t="str">
            <v>08-31-004-18W2</v>
          </cell>
          <cell r="O2628">
            <v>860.8</v>
          </cell>
          <cell r="Q2628">
            <v>1.81</v>
          </cell>
          <cell r="T2628">
            <v>8000.098</v>
          </cell>
        </row>
        <row r="2629">
          <cell r="G2629">
            <v>42430</v>
          </cell>
          <cell r="L2629" t="str">
            <v>05-18-004-17W2</v>
          </cell>
          <cell r="O2629">
            <v>864.6</v>
          </cell>
          <cell r="Q2629">
            <v>2.09</v>
          </cell>
          <cell r="T2629">
            <v>2430.7330000000002</v>
          </cell>
        </row>
        <row r="2630">
          <cell r="G2630">
            <v>42430</v>
          </cell>
          <cell r="L2630" t="str">
            <v>12-25-004-19W2</v>
          </cell>
          <cell r="O2630">
            <v>868.3</v>
          </cell>
          <cell r="Q2630">
            <v>2.3199999999999998</v>
          </cell>
          <cell r="T2630">
            <v>849.89400000000001</v>
          </cell>
        </row>
        <row r="2631">
          <cell r="G2631">
            <v>42430</v>
          </cell>
          <cell r="L2631" t="str">
            <v>07-28-002-30W1</v>
          </cell>
          <cell r="O2631">
            <v>882.8</v>
          </cell>
          <cell r="Q2631">
            <v>2.41</v>
          </cell>
          <cell r="T2631">
            <v>2907.326</v>
          </cell>
        </row>
        <row r="2632">
          <cell r="G2632">
            <v>42430</v>
          </cell>
          <cell r="L2632" t="str">
            <v>12-01-003-30W1</v>
          </cell>
          <cell r="O2632">
            <v>869.3</v>
          </cell>
          <cell r="Q2632">
            <v>1.62</v>
          </cell>
          <cell r="T2632">
            <v>446.35199999999998</v>
          </cell>
        </row>
        <row r="2633">
          <cell r="G2633">
            <v>42430</v>
          </cell>
          <cell r="L2633" t="str">
            <v>11-30-005-03W2</v>
          </cell>
          <cell r="O2633">
            <v>853.6</v>
          </cell>
          <cell r="Q2633">
            <v>1.36</v>
          </cell>
          <cell r="T2633">
            <v>5225.4070000000002</v>
          </cell>
        </row>
        <row r="2634">
          <cell r="G2634">
            <v>42430</v>
          </cell>
          <cell r="L2634" t="str">
            <v>14-26-002-30W1</v>
          </cell>
          <cell r="O2634">
            <v>869</v>
          </cell>
          <cell r="Q2634">
            <v>2.0299999999999998</v>
          </cell>
          <cell r="T2634">
            <v>757.00599999999997</v>
          </cell>
        </row>
        <row r="2635">
          <cell r="G2635">
            <v>42430</v>
          </cell>
          <cell r="L2635" t="str">
            <v>11-26-002-19W2</v>
          </cell>
          <cell r="O2635">
            <v>872</v>
          </cell>
          <cell r="Q2635">
            <v>2.0499999999999998</v>
          </cell>
          <cell r="T2635">
            <v>1873.7670000000001</v>
          </cell>
        </row>
        <row r="2636">
          <cell r="G2636">
            <v>42430</v>
          </cell>
          <cell r="L2636" t="str">
            <v>03-12-002-19W2</v>
          </cell>
          <cell r="O2636">
            <v>871.2</v>
          </cell>
          <cell r="Q2636">
            <v>2.39</v>
          </cell>
          <cell r="T2636">
            <v>360.59500000000003</v>
          </cell>
        </row>
        <row r="2637">
          <cell r="G2637">
            <v>42430</v>
          </cell>
          <cell r="L2637" t="str">
            <v>09-13-004-06W2</v>
          </cell>
          <cell r="O2637">
            <v>833.4</v>
          </cell>
          <cell r="Q2637">
            <v>1</v>
          </cell>
          <cell r="T2637">
            <v>232.81399999999999</v>
          </cell>
        </row>
        <row r="2638">
          <cell r="G2638">
            <v>42430</v>
          </cell>
          <cell r="L2638" t="str">
            <v>09-02-007-05W2</v>
          </cell>
          <cell r="O2638">
            <v>855.3</v>
          </cell>
          <cell r="Q2638">
            <v>1.85</v>
          </cell>
          <cell r="T2638">
            <v>506.84</v>
          </cell>
        </row>
        <row r="2639">
          <cell r="G2639">
            <v>42430</v>
          </cell>
          <cell r="L2639" t="str">
            <v>09-18-007-04W2</v>
          </cell>
          <cell r="O2639">
            <v>850.5</v>
          </cell>
          <cell r="Q2639">
            <v>1.44</v>
          </cell>
          <cell r="T2639">
            <v>296.99099999999999</v>
          </cell>
        </row>
        <row r="2640">
          <cell r="G2640">
            <v>42430</v>
          </cell>
          <cell r="L2640" t="str">
            <v>09-28-006-34W1</v>
          </cell>
          <cell r="O2640">
            <v>841.1</v>
          </cell>
          <cell r="Q2640">
            <v>1.22</v>
          </cell>
          <cell r="T2640">
            <v>2261.5700000000002</v>
          </cell>
        </row>
        <row r="2641">
          <cell r="G2641">
            <v>42430</v>
          </cell>
          <cell r="L2641" t="str">
            <v>09-33-006-05W2</v>
          </cell>
          <cell r="O2641">
            <v>861.4</v>
          </cell>
          <cell r="Q2641">
            <v>1.78</v>
          </cell>
          <cell r="T2641">
            <v>1798.7280000000001</v>
          </cell>
        </row>
        <row r="2642">
          <cell r="G2642">
            <v>42430</v>
          </cell>
          <cell r="L2642" t="str">
            <v>11-28-006-05W2</v>
          </cell>
          <cell r="O2642">
            <v>852.8</v>
          </cell>
          <cell r="Q2642">
            <v>1.48</v>
          </cell>
          <cell r="T2642">
            <v>1206.8520000000001</v>
          </cell>
        </row>
        <row r="2643">
          <cell r="G2643">
            <v>42430</v>
          </cell>
          <cell r="L2643" t="str">
            <v>13-34-006-05W2</v>
          </cell>
          <cell r="O2643">
            <v>857.9</v>
          </cell>
          <cell r="Q2643">
            <v>1.92</v>
          </cell>
          <cell r="T2643">
            <v>1135.6320000000001</v>
          </cell>
        </row>
        <row r="2644">
          <cell r="G2644">
            <v>42430</v>
          </cell>
          <cell r="L2644" t="str">
            <v>02-20-006-32W1</v>
          </cell>
          <cell r="O2644">
            <v>831.8</v>
          </cell>
          <cell r="Q2644">
            <v>0.8</v>
          </cell>
          <cell r="T2644">
            <v>952.46400000000006</v>
          </cell>
        </row>
        <row r="2645">
          <cell r="G2645">
            <v>42430</v>
          </cell>
          <cell r="L2645" t="str">
            <v>16-09-004-31W1</v>
          </cell>
          <cell r="O2645">
            <v>868.9</v>
          </cell>
          <cell r="Q2645">
            <v>1.8</v>
          </cell>
          <cell r="T2645">
            <v>560.79100000000005</v>
          </cell>
        </row>
        <row r="2646">
          <cell r="G2646">
            <v>42430</v>
          </cell>
          <cell r="L2646" t="str">
            <v>12-12-005-34W1</v>
          </cell>
          <cell r="O2646">
            <v>822.6</v>
          </cell>
          <cell r="Q2646">
            <v>0.59</v>
          </cell>
          <cell r="T2646">
            <v>224.39500000000001</v>
          </cell>
        </row>
        <row r="2647">
          <cell r="G2647">
            <v>42430</v>
          </cell>
          <cell r="L2647" t="str">
            <v>08-26-006-02W2</v>
          </cell>
          <cell r="O2647">
            <v>844</v>
          </cell>
          <cell r="Q2647">
            <v>1.19</v>
          </cell>
          <cell r="T2647">
            <v>747.62900000000002</v>
          </cell>
        </row>
        <row r="2648">
          <cell r="G2648">
            <v>42430</v>
          </cell>
          <cell r="L2648" t="str">
            <v>13-13-007-02W2</v>
          </cell>
          <cell r="O2648">
            <v>846.9</v>
          </cell>
          <cell r="Q2648">
            <v>1.25</v>
          </cell>
          <cell r="T2648">
            <v>4879.0450000000001</v>
          </cell>
        </row>
        <row r="2649">
          <cell r="G2649">
            <v>42430</v>
          </cell>
          <cell r="L2649" t="str">
            <v>04-04-007-01W2</v>
          </cell>
          <cell r="O2649">
            <v>848.5</v>
          </cell>
          <cell r="Q2649">
            <v>1.1399999999999999</v>
          </cell>
          <cell r="T2649">
            <v>763.25300000000004</v>
          </cell>
        </row>
        <row r="2650">
          <cell r="G2650">
            <v>42430</v>
          </cell>
          <cell r="L2650" t="str">
            <v>02-17-005-31W1</v>
          </cell>
          <cell r="O2650">
            <v>843.6</v>
          </cell>
          <cell r="Q2650">
            <v>1.41</v>
          </cell>
          <cell r="T2650">
            <v>225.762</v>
          </cell>
        </row>
        <row r="2651">
          <cell r="G2651">
            <v>42430</v>
          </cell>
          <cell r="L2651" t="str">
            <v>07-02-007-11W2</v>
          </cell>
          <cell r="O2651">
            <v>853.4</v>
          </cell>
          <cell r="Q2651">
            <v>1.04</v>
          </cell>
          <cell r="T2651">
            <v>1511.6759999999999</v>
          </cell>
        </row>
        <row r="2652">
          <cell r="G2652">
            <v>42430</v>
          </cell>
          <cell r="L2652" t="str">
            <v>09-08-004-33W1</v>
          </cell>
          <cell r="O2652">
            <v>842.1</v>
          </cell>
          <cell r="Q2652">
            <v>1.55</v>
          </cell>
          <cell r="T2652">
            <v>229.69499999999999</v>
          </cell>
        </row>
        <row r="2653">
          <cell r="G2653">
            <v>42430</v>
          </cell>
          <cell r="L2653" t="str">
            <v>05-03-009-33W1</v>
          </cell>
          <cell r="O2653">
            <v>850.1</v>
          </cell>
          <cell r="Q2653">
            <v>1.32</v>
          </cell>
          <cell r="T2653">
            <v>2856.92</v>
          </cell>
        </row>
        <row r="2654">
          <cell r="G2654">
            <v>42430</v>
          </cell>
          <cell r="L2654" t="str">
            <v>04-22-009-33W1</v>
          </cell>
          <cell r="O2654">
            <v>854</v>
          </cell>
          <cell r="Q2654">
            <v>1.4</v>
          </cell>
          <cell r="T2654">
            <v>2292.8249999999998</v>
          </cell>
        </row>
        <row r="2655">
          <cell r="G2655">
            <v>42430</v>
          </cell>
          <cell r="L2655" t="str">
            <v>14-30-009-33W1</v>
          </cell>
          <cell r="O2655">
            <v>854.6</v>
          </cell>
          <cell r="Q2655">
            <v>1.72</v>
          </cell>
          <cell r="T2655">
            <v>1357.8330000000001</v>
          </cell>
        </row>
        <row r="2656">
          <cell r="G2656">
            <v>42430</v>
          </cell>
          <cell r="L2656" t="str">
            <v>10-26-010-03W2</v>
          </cell>
          <cell r="O2656">
            <v>855.5</v>
          </cell>
          <cell r="Q2656">
            <v>1.59</v>
          </cell>
          <cell r="T2656">
            <v>366.47399999999999</v>
          </cell>
        </row>
        <row r="2657">
          <cell r="G2657">
            <v>42430</v>
          </cell>
          <cell r="L2657" t="str">
            <v>16-10-006-30W1</v>
          </cell>
          <cell r="O2657">
            <v>852.8</v>
          </cell>
          <cell r="Q2657">
            <v>1.51</v>
          </cell>
          <cell r="T2657">
            <v>3525.058</v>
          </cell>
        </row>
        <row r="2658">
          <cell r="G2658">
            <v>42430</v>
          </cell>
          <cell r="L2658" t="str">
            <v>04-10-004-31W1</v>
          </cell>
          <cell r="O2658">
            <v>867.2</v>
          </cell>
          <cell r="Q2658">
            <v>1.91</v>
          </cell>
          <cell r="T2658">
            <v>2452.1350000000002</v>
          </cell>
        </row>
        <row r="2659">
          <cell r="G2659">
            <v>42430</v>
          </cell>
          <cell r="L2659" t="str">
            <v>05-07-005-03W2</v>
          </cell>
          <cell r="O2659">
            <v>845.3</v>
          </cell>
          <cell r="Q2659">
            <v>1.32</v>
          </cell>
          <cell r="T2659">
            <v>3151.26</v>
          </cell>
        </row>
        <row r="2660">
          <cell r="G2660">
            <v>42430</v>
          </cell>
          <cell r="L2660" t="str">
            <v>14-09-002-29W1</v>
          </cell>
          <cell r="O2660">
            <v>836.1</v>
          </cell>
          <cell r="Q2660">
            <v>0.79</v>
          </cell>
          <cell r="T2660">
            <v>8783.8469999999998</v>
          </cell>
        </row>
        <row r="2661">
          <cell r="G2661">
            <v>42430</v>
          </cell>
          <cell r="L2661" t="str">
            <v>02-12-010-02W2</v>
          </cell>
          <cell r="O2661">
            <v>856</v>
          </cell>
          <cell r="Q2661">
            <v>1.63</v>
          </cell>
          <cell r="T2661">
            <v>539.52700000000004</v>
          </cell>
        </row>
        <row r="2662">
          <cell r="G2662">
            <v>42430</v>
          </cell>
          <cell r="L2662" t="str">
            <v>02-16-010-02W2</v>
          </cell>
          <cell r="O2662">
            <v>860</v>
          </cell>
          <cell r="Q2662">
            <v>1.21</v>
          </cell>
          <cell r="T2662">
            <v>513.12199999999996</v>
          </cell>
        </row>
        <row r="2663">
          <cell r="G2663">
            <v>42430</v>
          </cell>
          <cell r="L2663" t="str">
            <v>08-31-009-01W2</v>
          </cell>
          <cell r="O2663">
            <v>856.3</v>
          </cell>
          <cell r="Q2663">
            <v>1.78</v>
          </cell>
          <cell r="T2663">
            <v>269.71499999999997</v>
          </cell>
        </row>
        <row r="2664">
          <cell r="G2664">
            <v>42430</v>
          </cell>
          <cell r="L2664" t="str">
            <v>01-28-002-14W2</v>
          </cell>
          <cell r="O2664">
            <v>824.9</v>
          </cell>
          <cell r="Q2664">
            <v>1.22</v>
          </cell>
          <cell r="T2664">
            <v>6831.9229999999998</v>
          </cell>
        </row>
        <row r="2665">
          <cell r="G2665">
            <v>42430</v>
          </cell>
          <cell r="L2665" t="str">
            <v>16-23-006-11W2</v>
          </cell>
          <cell r="O2665">
            <v>880.3</v>
          </cell>
          <cell r="Q2665">
            <v>2.2999999999999998</v>
          </cell>
          <cell r="T2665">
            <v>1314.1110000000001</v>
          </cell>
        </row>
        <row r="2666">
          <cell r="G2666">
            <v>42430</v>
          </cell>
          <cell r="L2666" t="str">
            <v>04-05-007-33W1</v>
          </cell>
          <cell r="O2666">
            <v>841</v>
          </cell>
          <cell r="Q2666">
            <v>1.2</v>
          </cell>
          <cell r="T2666">
            <v>2034.854</v>
          </cell>
        </row>
        <row r="2667">
          <cell r="G2667">
            <v>42430</v>
          </cell>
          <cell r="L2667" t="str">
            <v>02-14-005-32W1</v>
          </cell>
          <cell r="O2667">
            <v>832.9</v>
          </cell>
          <cell r="Q2667">
            <v>0.97</v>
          </cell>
          <cell r="T2667">
            <v>1910.6790000000001</v>
          </cell>
        </row>
        <row r="2668">
          <cell r="G2668">
            <v>42430</v>
          </cell>
          <cell r="L2668" t="str">
            <v>12-23-005-31W1</v>
          </cell>
          <cell r="O2668">
            <v>844.3</v>
          </cell>
          <cell r="Q2668">
            <v>1.03</v>
          </cell>
          <cell r="T2668">
            <v>1297.53</v>
          </cell>
        </row>
        <row r="2669">
          <cell r="G2669">
            <v>42430</v>
          </cell>
          <cell r="L2669" t="str">
            <v>03-03-002-32W1</v>
          </cell>
          <cell r="O2669">
            <v>826.8</v>
          </cell>
          <cell r="Q2669">
            <v>0.91</v>
          </cell>
          <cell r="T2669">
            <v>4604.1419999999998</v>
          </cell>
        </row>
        <row r="2670">
          <cell r="G2670">
            <v>42430</v>
          </cell>
          <cell r="L2670" t="str">
            <v>16-24-001-34W1</v>
          </cell>
          <cell r="O2670">
            <v>857.9</v>
          </cell>
          <cell r="Q2670">
            <v>1.62</v>
          </cell>
          <cell r="T2670">
            <v>2838.6149999999998</v>
          </cell>
        </row>
        <row r="2671">
          <cell r="G2671">
            <v>42430</v>
          </cell>
          <cell r="L2671" t="str">
            <v>14-28-002-34W1</v>
          </cell>
          <cell r="O2671">
            <v>831.3</v>
          </cell>
          <cell r="Q2671">
            <v>0.71</v>
          </cell>
          <cell r="T2671">
            <v>1395.63</v>
          </cell>
        </row>
        <row r="2672">
          <cell r="G2672">
            <v>42430</v>
          </cell>
          <cell r="L2672" t="str">
            <v>11-25-001-32W1</v>
          </cell>
          <cell r="O2672">
            <v>863.9</v>
          </cell>
          <cell r="Q2672">
            <v>1.62</v>
          </cell>
          <cell r="T2672">
            <v>1184.934</v>
          </cell>
        </row>
        <row r="2673">
          <cell r="G2673">
            <v>42430</v>
          </cell>
          <cell r="L2673" t="str">
            <v>14-33-003-01W2</v>
          </cell>
          <cell r="O2673">
            <v>831</v>
          </cell>
          <cell r="Q2673">
            <v>0.84</v>
          </cell>
          <cell r="T2673">
            <v>1174.7090000000001</v>
          </cell>
        </row>
        <row r="2674">
          <cell r="G2674">
            <v>42430</v>
          </cell>
          <cell r="L2674" t="str">
            <v>06-24-001-34W1</v>
          </cell>
          <cell r="O2674">
            <v>856.3</v>
          </cell>
          <cell r="Q2674">
            <v>1.63</v>
          </cell>
          <cell r="T2674">
            <v>946.23299999999995</v>
          </cell>
        </row>
        <row r="2675">
          <cell r="G2675">
            <v>42430</v>
          </cell>
          <cell r="L2675" t="str">
            <v>03-19-001-31W1</v>
          </cell>
          <cell r="O2675">
            <v>876</v>
          </cell>
          <cell r="Q2675">
            <v>1.61</v>
          </cell>
          <cell r="T2675">
            <v>923.32899999999995</v>
          </cell>
        </row>
        <row r="2676">
          <cell r="G2676">
            <v>42430</v>
          </cell>
          <cell r="L2676" t="str">
            <v>07-31-001-31W1</v>
          </cell>
          <cell r="O2676">
            <v>865.3</v>
          </cell>
          <cell r="Q2676">
            <v>1.63</v>
          </cell>
          <cell r="T2676">
            <v>780.83399999999995</v>
          </cell>
        </row>
        <row r="2677">
          <cell r="G2677">
            <v>42430</v>
          </cell>
          <cell r="L2677" t="str">
            <v>05-12-002-32W1</v>
          </cell>
          <cell r="O2677">
            <v>862.4</v>
          </cell>
          <cell r="Q2677">
            <v>1.63</v>
          </cell>
          <cell r="T2677">
            <v>760.80899999999997</v>
          </cell>
        </row>
        <row r="2678">
          <cell r="G2678">
            <v>42430</v>
          </cell>
          <cell r="L2678" t="str">
            <v>04-14-005-33W1</v>
          </cell>
          <cell r="O2678">
            <v>835.7</v>
          </cell>
          <cell r="Q2678">
            <v>0.8</v>
          </cell>
          <cell r="T2678">
            <v>668.49199999999996</v>
          </cell>
        </row>
        <row r="2679">
          <cell r="G2679">
            <v>42430</v>
          </cell>
          <cell r="L2679" t="str">
            <v>03-23-001-32W1</v>
          </cell>
          <cell r="O2679">
            <v>854.9</v>
          </cell>
          <cell r="Q2679">
            <v>1.65</v>
          </cell>
          <cell r="T2679">
            <v>382.83600000000001</v>
          </cell>
        </row>
        <row r="2680">
          <cell r="G2680">
            <v>42430</v>
          </cell>
          <cell r="L2680" t="str">
            <v>07-12-005-34W1</v>
          </cell>
          <cell r="O2680">
            <v>823.8</v>
          </cell>
          <cell r="Q2680">
            <v>0.61</v>
          </cell>
          <cell r="T2680">
            <v>369.63499999999999</v>
          </cell>
        </row>
        <row r="2681">
          <cell r="G2681">
            <v>42430</v>
          </cell>
          <cell r="L2681" t="str">
            <v>05-01-001-32W1</v>
          </cell>
          <cell r="O2681">
            <v>866.1</v>
          </cell>
          <cell r="Q2681">
            <v>1.62</v>
          </cell>
          <cell r="T2681">
            <v>255.19</v>
          </cell>
        </row>
        <row r="2682">
          <cell r="G2682">
            <v>42430</v>
          </cell>
          <cell r="L2682" t="str">
            <v>16-18-011-04W2</v>
          </cell>
          <cell r="O2682">
            <v>827.7</v>
          </cell>
          <cell r="Q2682">
            <v>1.46</v>
          </cell>
          <cell r="T2682">
            <v>5677.48</v>
          </cell>
        </row>
        <row r="2683">
          <cell r="G2683">
            <v>42430</v>
          </cell>
          <cell r="L2683" t="str">
            <v>10-13-006-03W2</v>
          </cell>
          <cell r="O2683">
            <v>856.4</v>
          </cell>
          <cell r="Q2683">
            <v>1.79</v>
          </cell>
          <cell r="T2683">
            <v>1269.23</v>
          </cell>
        </row>
        <row r="2684">
          <cell r="G2684">
            <v>42430</v>
          </cell>
          <cell r="L2684" t="str">
            <v>07-12-008-04W2</v>
          </cell>
          <cell r="O2684">
            <v>853.4</v>
          </cell>
          <cell r="Q2684">
            <v>1.41</v>
          </cell>
          <cell r="T2684">
            <v>795.38300000000004</v>
          </cell>
        </row>
        <row r="2685">
          <cell r="G2685">
            <v>42430</v>
          </cell>
          <cell r="L2685" t="str">
            <v>08-36-003-34W1</v>
          </cell>
          <cell r="O2685">
            <v>850</v>
          </cell>
          <cell r="Q2685">
            <v>1.1599999999999999</v>
          </cell>
          <cell r="T2685">
            <v>5111.68</v>
          </cell>
        </row>
        <row r="2686">
          <cell r="G2686">
            <v>42430</v>
          </cell>
          <cell r="L2686" t="str">
            <v>05-14-003-01W2</v>
          </cell>
          <cell r="O2686">
            <v>831.1</v>
          </cell>
          <cell r="Q2686">
            <v>0.71</v>
          </cell>
          <cell r="T2686">
            <v>3088.4</v>
          </cell>
        </row>
        <row r="2687">
          <cell r="G2687">
            <v>42430</v>
          </cell>
          <cell r="L2687" t="str">
            <v>05-13-003-02W2</v>
          </cell>
          <cell r="O2687">
            <v>826.6</v>
          </cell>
          <cell r="Q2687">
            <v>0.53</v>
          </cell>
          <cell r="T2687">
            <v>2133.1909999999998</v>
          </cell>
        </row>
        <row r="2688">
          <cell r="G2688">
            <v>42430</v>
          </cell>
          <cell r="L2688" t="str">
            <v>01-09-001-31W1</v>
          </cell>
          <cell r="O2688">
            <v>875.6</v>
          </cell>
          <cell r="Q2688">
            <v>1.63</v>
          </cell>
          <cell r="T2688">
            <v>2098.0639999999999</v>
          </cell>
        </row>
        <row r="2689">
          <cell r="G2689">
            <v>42430</v>
          </cell>
          <cell r="L2689" t="str">
            <v>14-33-003-01W2</v>
          </cell>
          <cell r="O2689">
            <v>837.4</v>
          </cell>
          <cell r="Q2689">
            <v>0.67</v>
          </cell>
          <cell r="T2689">
            <v>1084.4449999999999</v>
          </cell>
        </row>
        <row r="2690">
          <cell r="G2690">
            <v>42430</v>
          </cell>
          <cell r="L2690" t="str">
            <v>13-11-004-02W2</v>
          </cell>
          <cell r="O2690">
            <v>838.4</v>
          </cell>
          <cell r="Q2690">
            <v>1.05</v>
          </cell>
          <cell r="T2690">
            <v>1015.4160000000001</v>
          </cell>
        </row>
        <row r="2691">
          <cell r="G2691">
            <v>42430</v>
          </cell>
          <cell r="L2691" t="str">
            <v>10-11-004-34W1</v>
          </cell>
          <cell r="O2691">
            <v>830.7</v>
          </cell>
          <cell r="Q2691">
            <v>0.82</v>
          </cell>
          <cell r="T2691">
            <v>640.87900000000002</v>
          </cell>
        </row>
        <row r="2692">
          <cell r="G2692">
            <v>42430</v>
          </cell>
          <cell r="L2692" t="str">
            <v>14-20-005-33W1</v>
          </cell>
          <cell r="O2692">
            <v>829.4</v>
          </cell>
          <cell r="Q2692">
            <v>0.72</v>
          </cell>
          <cell r="T2692">
            <v>563.88699999999994</v>
          </cell>
        </row>
        <row r="2693">
          <cell r="G2693">
            <v>42430</v>
          </cell>
          <cell r="L2693" t="str">
            <v>02-10-003-01W2</v>
          </cell>
          <cell r="O2693">
            <v>829.6</v>
          </cell>
          <cell r="Q2693">
            <v>0.51</v>
          </cell>
          <cell r="T2693">
            <v>385.44900000000001</v>
          </cell>
        </row>
        <row r="2694">
          <cell r="G2694">
            <v>42430</v>
          </cell>
          <cell r="L2694" t="str">
            <v>02-08-004-33W1</v>
          </cell>
          <cell r="O2694">
            <v>833.3</v>
          </cell>
          <cell r="Q2694">
            <v>0.65</v>
          </cell>
          <cell r="T2694">
            <v>307.137</v>
          </cell>
        </row>
        <row r="2695">
          <cell r="G2695">
            <v>42430</v>
          </cell>
          <cell r="L2695" t="str">
            <v>07-36-001-34W1</v>
          </cell>
          <cell r="O2695">
            <v>857</v>
          </cell>
          <cell r="Q2695">
            <v>1.61</v>
          </cell>
          <cell r="T2695">
            <v>259.471</v>
          </cell>
        </row>
        <row r="2696">
          <cell r="G2696">
            <v>42430</v>
          </cell>
          <cell r="L2696" t="str">
            <v>13-25-001-01W2</v>
          </cell>
          <cell r="O2696">
            <v>837.9</v>
          </cell>
          <cell r="Q2696">
            <v>1.59</v>
          </cell>
          <cell r="T2696">
            <v>241.88800000000001</v>
          </cell>
        </row>
        <row r="2697">
          <cell r="G2697">
            <v>42430</v>
          </cell>
          <cell r="L2697" t="str">
            <v>02-02-006-03W2</v>
          </cell>
          <cell r="O2697">
            <v>848.3</v>
          </cell>
          <cell r="Q2697">
            <v>1.2</v>
          </cell>
          <cell r="T2697">
            <v>1161.5119999999999</v>
          </cell>
        </row>
        <row r="2698">
          <cell r="G2698">
            <v>42430</v>
          </cell>
          <cell r="L2698" t="str">
            <v>08-33-005-03W2</v>
          </cell>
          <cell r="O2698">
            <v>841.8</v>
          </cell>
          <cell r="Q2698">
            <v>1.1200000000000001</v>
          </cell>
          <cell r="T2698">
            <v>1109.0740000000001</v>
          </cell>
        </row>
        <row r="2699">
          <cell r="G2699">
            <v>42430</v>
          </cell>
          <cell r="L2699" t="str">
            <v>08-31-005-03W2</v>
          </cell>
          <cell r="O2699">
            <v>841.3</v>
          </cell>
          <cell r="Q2699">
            <v>1.07</v>
          </cell>
          <cell r="T2699">
            <v>278.18</v>
          </cell>
        </row>
        <row r="2700">
          <cell r="G2700">
            <v>42430</v>
          </cell>
          <cell r="L2700" t="str">
            <v>05-29-005-32W1</v>
          </cell>
          <cell r="O2700">
            <v>833</v>
          </cell>
          <cell r="Q2700">
            <v>0.94</v>
          </cell>
          <cell r="T2700">
            <v>3220.4160000000002</v>
          </cell>
        </row>
        <row r="2701">
          <cell r="G2701">
            <v>42430</v>
          </cell>
          <cell r="L2701" t="str">
            <v>15-26-007-04W2</v>
          </cell>
          <cell r="O2701">
            <v>855.5</v>
          </cell>
          <cell r="Q2701">
            <v>1.4</v>
          </cell>
          <cell r="T2701">
            <v>396.16199999999998</v>
          </cell>
        </row>
        <row r="2702">
          <cell r="G2702">
            <v>42430</v>
          </cell>
          <cell r="L2702" t="str">
            <v>07-25-003-13W2</v>
          </cell>
          <cell r="O2702">
            <v>890.9</v>
          </cell>
          <cell r="Q2702">
            <v>2.4</v>
          </cell>
          <cell r="T2702">
            <v>317.322</v>
          </cell>
        </row>
        <row r="2703">
          <cell r="G2703">
            <v>42430</v>
          </cell>
          <cell r="L2703" t="str">
            <v>07-23-006-02W2</v>
          </cell>
          <cell r="O2703">
            <v>846.9</v>
          </cell>
          <cell r="Q2703">
            <v>1.1299999999999999</v>
          </cell>
          <cell r="T2703">
            <v>287.96899999999999</v>
          </cell>
        </row>
        <row r="2704">
          <cell r="G2704">
            <v>42430</v>
          </cell>
          <cell r="L2704" t="str">
            <v>13-30-005-05W2</v>
          </cell>
          <cell r="O2704">
            <v>851.4</v>
          </cell>
          <cell r="Q2704">
            <v>1.1200000000000001</v>
          </cell>
          <cell r="T2704">
            <v>727.80799999999999</v>
          </cell>
        </row>
        <row r="2705">
          <cell r="G2705">
            <v>42430</v>
          </cell>
          <cell r="L2705" t="str">
            <v>09-13-007-11W2</v>
          </cell>
          <cell r="O2705">
            <v>807.2</v>
          </cell>
          <cell r="Q2705">
            <v>0.37</v>
          </cell>
          <cell r="T2705">
            <v>22800.579000000002</v>
          </cell>
        </row>
        <row r="2706">
          <cell r="G2706">
            <v>42430</v>
          </cell>
          <cell r="L2706" t="str">
            <v>04-27-003-33W1</v>
          </cell>
          <cell r="O2706">
            <v>843.9</v>
          </cell>
          <cell r="Q2706">
            <v>1.1299999999999999</v>
          </cell>
          <cell r="T2706">
            <v>2440.5479999999998</v>
          </cell>
        </row>
        <row r="2707">
          <cell r="G2707">
            <v>42430</v>
          </cell>
          <cell r="L2707" t="str">
            <v>03-06-005-12W2</v>
          </cell>
          <cell r="O2707">
            <v>883.9</v>
          </cell>
          <cell r="Q2707">
            <v>2.25</v>
          </cell>
          <cell r="T2707">
            <v>448.87599999999998</v>
          </cell>
        </row>
        <row r="2708">
          <cell r="G2708">
            <v>42430</v>
          </cell>
          <cell r="L2708" t="str">
            <v>15-25-007-11W2</v>
          </cell>
          <cell r="O2708">
            <v>865.7</v>
          </cell>
          <cell r="Q2708">
            <v>1.94</v>
          </cell>
          <cell r="T2708">
            <v>1383.7159999999999</v>
          </cell>
        </row>
        <row r="2709">
          <cell r="G2709">
            <v>42430</v>
          </cell>
          <cell r="L2709" t="str">
            <v>07-27-007-06W2</v>
          </cell>
          <cell r="O2709">
            <v>809.1</v>
          </cell>
          <cell r="Q2709">
            <v>0.24</v>
          </cell>
          <cell r="T2709">
            <v>575.11900000000003</v>
          </cell>
        </row>
        <row r="2710">
          <cell r="G2710">
            <v>42430</v>
          </cell>
          <cell r="L2710" t="str">
            <v>05-20-004-04W2</v>
          </cell>
          <cell r="O2710">
            <v>843.7</v>
          </cell>
          <cell r="Q2710">
            <v>1.9</v>
          </cell>
          <cell r="T2710">
            <v>6088.9930000000004</v>
          </cell>
        </row>
        <row r="2711">
          <cell r="G2711">
            <v>42430</v>
          </cell>
          <cell r="L2711" t="str">
            <v>11-16-005-04W2</v>
          </cell>
          <cell r="O2711">
            <v>848.5</v>
          </cell>
          <cell r="Q2711">
            <v>1.35</v>
          </cell>
          <cell r="T2711">
            <v>2113.1570000000002</v>
          </cell>
        </row>
        <row r="2712">
          <cell r="G2712">
            <v>42430</v>
          </cell>
          <cell r="L2712" t="str">
            <v>07-12-006-11W2</v>
          </cell>
          <cell r="O2712">
            <v>876.4</v>
          </cell>
          <cell r="Q2712">
            <v>1.99</v>
          </cell>
          <cell r="T2712">
            <v>23577.241000000002</v>
          </cell>
        </row>
        <row r="2713">
          <cell r="G2713">
            <v>42430</v>
          </cell>
          <cell r="L2713" t="str">
            <v>11-04-005-12W2</v>
          </cell>
          <cell r="O2713">
            <v>877.4</v>
          </cell>
          <cell r="Q2713">
            <v>2</v>
          </cell>
          <cell r="T2713">
            <v>1613.4490000000001</v>
          </cell>
        </row>
        <row r="2714">
          <cell r="G2714">
            <v>42430</v>
          </cell>
          <cell r="L2714" t="str">
            <v>15-32-004-12W2</v>
          </cell>
          <cell r="O2714">
            <v>879.9</v>
          </cell>
          <cell r="Q2714">
            <v>2.12</v>
          </cell>
          <cell r="T2714">
            <v>1448.296</v>
          </cell>
        </row>
        <row r="2715">
          <cell r="G2715">
            <v>42430</v>
          </cell>
          <cell r="L2715" t="str">
            <v>02-13-006-06W2</v>
          </cell>
          <cell r="O2715">
            <v>846.7</v>
          </cell>
          <cell r="Q2715">
            <v>1.53</v>
          </cell>
          <cell r="T2715">
            <v>1966.5340000000001</v>
          </cell>
        </row>
        <row r="2716">
          <cell r="G2716">
            <v>42430</v>
          </cell>
          <cell r="L2716" t="str">
            <v>14-13-001-05W2</v>
          </cell>
          <cell r="O2716">
            <v>815.8</v>
          </cell>
          <cell r="Q2716">
            <v>0.48</v>
          </cell>
          <cell r="T2716">
            <v>24646.315999999999</v>
          </cell>
        </row>
        <row r="2717">
          <cell r="G2717">
            <v>42430</v>
          </cell>
          <cell r="L2717" t="str">
            <v>01-07-006-10W2</v>
          </cell>
          <cell r="O2717">
            <v>827.5</v>
          </cell>
          <cell r="Q2717">
            <v>1.68</v>
          </cell>
          <cell r="T2717">
            <v>66459.384000000005</v>
          </cell>
        </row>
        <row r="2718">
          <cell r="G2718">
            <v>42430</v>
          </cell>
          <cell r="L2718" t="str">
            <v>13-30-007-10W2</v>
          </cell>
          <cell r="O2718">
            <v>810.9</v>
          </cell>
          <cell r="Q2718">
            <v>0.56000000000000005</v>
          </cell>
          <cell r="T2718">
            <v>12989.419</v>
          </cell>
        </row>
        <row r="2719">
          <cell r="G2719">
            <v>42430</v>
          </cell>
          <cell r="L2719" t="str">
            <v>04-17-004-31W1</v>
          </cell>
          <cell r="O2719">
            <v>862.6</v>
          </cell>
          <cell r="Q2719">
            <v>1.73</v>
          </cell>
          <cell r="T2719">
            <v>1459.7629999999999</v>
          </cell>
        </row>
        <row r="2720">
          <cell r="G2720">
            <v>42430</v>
          </cell>
          <cell r="L2720" t="str">
            <v>10-33-003-31W1</v>
          </cell>
          <cell r="O2720">
            <v>882.6</v>
          </cell>
          <cell r="Q2720">
            <v>0.88</v>
          </cell>
          <cell r="T2720">
            <v>355.46499999999997</v>
          </cell>
        </row>
        <row r="2721">
          <cell r="G2721">
            <v>42430</v>
          </cell>
          <cell r="L2721" t="str">
            <v>11-02-005-12W2</v>
          </cell>
          <cell r="O2721">
            <v>832</v>
          </cell>
          <cell r="Q2721">
            <v>1.44</v>
          </cell>
          <cell r="T2721">
            <v>3624.09</v>
          </cell>
        </row>
        <row r="2722">
          <cell r="G2722">
            <v>42430</v>
          </cell>
          <cell r="L2722" t="str">
            <v>16-13-004-32W1</v>
          </cell>
          <cell r="O2722">
            <v>854.9</v>
          </cell>
          <cell r="Q2722">
            <v>1.45</v>
          </cell>
          <cell r="T2722">
            <v>1120.0219999999999</v>
          </cell>
        </row>
        <row r="2723">
          <cell r="G2723">
            <v>42430</v>
          </cell>
          <cell r="L2723" t="str">
            <v>06-03-004-31W1</v>
          </cell>
          <cell r="O2723">
            <v>870.6</v>
          </cell>
          <cell r="Q2723">
            <v>1.88</v>
          </cell>
          <cell r="T2723">
            <v>388.24900000000002</v>
          </cell>
        </row>
        <row r="2724">
          <cell r="G2724">
            <v>42430</v>
          </cell>
          <cell r="L2724" t="str">
            <v>14-30-001-04W2</v>
          </cell>
          <cell r="O2724">
            <v>827.9</v>
          </cell>
          <cell r="Q2724">
            <v>0.52</v>
          </cell>
          <cell r="T2724">
            <v>4582.8540000000003</v>
          </cell>
        </row>
        <row r="2725">
          <cell r="G2725">
            <v>42430</v>
          </cell>
          <cell r="L2725" t="str">
            <v>14-18-001-04W2</v>
          </cell>
          <cell r="O2725">
            <v>820.7</v>
          </cell>
          <cell r="Q2725">
            <v>0.5</v>
          </cell>
          <cell r="T2725">
            <v>399.04300000000001</v>
          </cell>
        </row>
        <row r="2726">
          <cell r="G2726">
            <v>42430</v>
          </cell>
          <cell r="L2726" t="str">
            <v>05-31-002-01W2</v>
          </cell>
          <cell r="O2726">
            <v>821.5</v>
          </cell>
          <cell r="Q2726">
            <v>0.47</v>
          </cell>
          <cell r="T2726">
            <v>10107.995000000001</v>
          </cell>
        </row>
        <row r="2727">
          <cell r="G2727">
            <v>42430</v>
          </cell>
          <cell r="L2727" t="str">
            <v>13-03-006-34W1</v>
          </cell>
          <cell r="O2727">
            <v>842.9</v>
          </cell>
          <cell r="Q2727">
            <v>1.1599999999999999</v>
          </cell>
          <cell r="T2727">
            <v>6236.3249999999998</v>
          </cell>
        </row>
        <row r="2728">
          <cell r="G2728">
            <v>42430</v>
          </cell>
          <cell r="L2728" t="str">
            <v>06-27-006-01W2</v>
          </cell>
          <cell r="O2728">
            <v>845.6</v>
          </cell>
          <cell r="Q2728">
            <v>1.54</v>
          </cell>
          <cell r="T2728">
            <v>2359.4560000000001</v>
          </cell>
        </row>
        <row r="2729">
          <cell r="G2729">
            <v>42430</v>
          </cell>
          <cell r="L2729" t="str">
            <v>10-11-006-34W1</v>
          </cell>
          <cell r="O2729">
            <v>853</v>
          </cell>
          <cell r="Q2729">
            <v>1.48</v>
          </cell>
          <cell r="T2729">
            <v>2207.5309999999999</v>
          </cell>
        </row>
        <row r="2730">
          <cell r="G2730">
            <v>42430</v>
          </cell>
          <cell r="L2730" t="str">
            <v>02-13-006-01W2</v>
          </cell>
          <cell r="O2730">
            <v>844.8</v>
          </cell>
          <cell r="Q2730">
            <v>1.23</v>
          </cell>
          <cell r="T2730">
            <v>908.49900000000002</v>
          </cell>
        </row>
        <row r="2731">
          <cell r="G2731">
            <v>42430</v>
          </cell>
          <cell r="L2731" t="str">
            <v>08-32-006-01W2</v>
          </cell>
          <cell r="O2731">
            <v>843.5</v>
          </cell>
          <cell r="Q2731">
            <v>1.21</v>
          </cell>
          <cell r="T2731">
            <v>607.87699999999995</v>
          </cell>
        </row>
        <row r="2732">
          <cell r="G2732">
            <v>42430</v>
          </cell>
          <cell r="L2732" t="str">
            <v>03-29-003-04W2</v>
          </cell>
          <cell r="O2732">
            <v>839.4</v>
          </cell>
          <cell r="Q2732">
            <v>0.81</v>
          </cell>
          <cell r="T2732">
            <v>1379.8879999999999</v>
          </cell>
        </row>
        <row r="2733">
          <cell r="G2733">
            <v>42430</v>
          </cell>
          <cell r="L2733" t="str">
            <v>11-27-005-33W1</v>
          </cell>
          <cell r="O2733">
            <v>822.4</v>
          </cell>
          <cell r="Q2733">
            <v>0.72</v>
          </cell>
          <cell r="T2733">
            <v>4861.098</v>
          </cell>
        </row>
        <row r="2734">
          <cell r="G2734">
            <v>42430</v>
          </cell>
          <cell r="L2734" t="str">
            <v>02-15-006-01W2</v>
          </cell>
          <cell r="O2734">
            <v>847.9</v>
          </cell>
          <cell r="Q2734">
            <v>1.1200000000000001</v>
          </cell>
          <cell r="T2734">
            <v>1198.367</v>
          </cell>
        </row>
        <row r="2735">
          <cell r="G2735">
            <v>42430</v>
          </cell>
          <cell r="L2735" t="str">
            <v>10-33-004-32W1</v>
          </cell>
          <cell r="O2735">
            <v>836.9</v>
          </cell>
          <cell r="Q2735">
            <v>2.2999999999999998</v>
          </cell>
          <cell r="T2735">
            <v>801.13900000000001</v>
          </cell>
        </row>
        <row r="2736">
          <cell r="G2736">
            <v>42430</v>
          </cell>
          <cell r="L2736" t="str">
            <v>08-12-006-01W2</v>
          </cell>
          <cell r="O2736">
            <v>844.1</v>
          </cell>
          <cell r="Q2736">
            <v>1.29</v>
          </cell>
          <cell r="T2736">
            <v>413.23099999999999</v>
          </cell>
        </row>
        <row r="2737">
          <cell r="G2737">
            <v>42430</v>
          </cell>
          <cell r="L2737" t="str">
            <v>07-08-004-05W2</v>
          </cell>
          <cell r="O2737">
            <v>837.4</v>
          </cell>
          <cell r="Q2737">
            <v>1.07</v>
          </cell>
          <cell r="T2737">
            <v>1587.3430000000001</v>
          </cell>
        </row>
        <row r="2738">
          <cell r="G2738">
            <v>42430</v>
          </cell>
          <cell r="L2738" t="str">
            <v>09-33-005-05W2</v>
          </cell>
          <cell r="O2738">
            <v>850.8</v>
          </cell>
          <cell r="Q2738">
            <v>0.69</v>
          </cell>
          <cell r="T2738">
            <v>1748.7750000000001</v>
          </cell>
        </row>
        <row r="2739">
          <cell r="G2739">
            <v>42430</v>
          </cell>
          <cell r="L2739" t="str">
            <v>08-05-006-33W1</v>
          </cell>
          <cell r="O2739">
            <v>831.3</v>
          </cell>
          <cell r="Q2739">
            <v>0.84</v>
          </cell>
          <cell r="T2739">
            <v>1351.5940000000001</v>
          </cell>
        </row>
        <row r="2740">
          <cell r="G2740">
            <v>42430</v>
          </cell>
          <cell r="L2740" t="str">
            <v>06-04-006-33W1</v>
          </cell>
          <cell r="O2740">
            <v>833.2</v>
          </cell>
          <cell r="Q2740">
            <v>0.83</v>
          </cell>
          <cell r="T2740">
            <v>528.70799999999997</v>
          </cell>
        </row>
        <row r="2741">
          <cell r="G2741">
            <v>42430</v>
          </cell>
          <cell r="L2741" t="str">
            <v>01-01-006-06W2</v>
          </cell>
          <cell r="O2741">
            <v>853.1</v>
          </cell>
          <cell r="Q2741">
            <v>1.17</v>
          </cell>
          <cell r="T2741">
            <v>449.81299999999999</v>
          </cell>
        </row>
        <row r="2742">
          <cell r="G2742">
            <v>42430</v>
          </cell>
          <cell r="L2742" t="str">
            <v>03-05-006-05W2</v>
          </cell>
          <cell r="O2742">
            <v>868.1</v>
          </cell>
          <cell r="Q2742">
            <v>1.01</v>
          </cell>
          <cell r="T2742">
            <v>373.76799999999997</v>
          </cell>
        </row>
        <row r="2743">
          <cell r="G2743">
            <v>42430</v>
          </cell>
          <cell r="L2743" t="str">
            <v>09-08-004-03W2</v>
          </cell>
          <cell r="O2743">
            <v>836</v>
          </cell>
          <cell r="Q2743">
            <v>1.08</v>
          </cell>
          <cell r="T2743">
            <v>4074.2649999999999</v>
          </cell>
        </row>
        <row r="2744">
          <cell r="G2744">
            <v>42430</v>
          </cell>
          <cell r="L2744" t="str">
            <v>05-10-006-05W2</v>
          </cell>
          <cell r="O2744">
            <v>853.5</v>
          </cell>
          <cell r="Q2744">
            <v>1.47</v>
          </cell>
          <cell r="T2744">
            <v>4610.0339999999997</v>
          </cell>
        </row>
        <row r="2745">
          <cell r="G2745">
            <v>42430</v>
          </cell>
          <cell r="L2745" t="str">
            <v>05-24-005-04W2</v>
          </cell>
          <cell r="O2745">
            <v>854</v>
          </cell>
          <cell r="Q2745">
            <v>1.5</v>
          </cell>
          <cell r="T2745">
            <v>2101.8290000000002</v>
          </cell>
        </row>
        <row r="2746">
          <cell r="G2746">
            <v>42430</v>
          </cell>
          <cell r="L2746" t="str">
            <v>01-11-005-04W2</v>
          </cell>
          <cell r="O2746">
            <v>869.1</v>
          </cell>
          <cell r="Q2746">
            <v>1.75</v>
          </cell>
          <cell r="T2746">
            <v>408.14100000000002</v>
          </cell>
        </row>
        <row r="2747">
          <cell r="G2747">
            <v>42430</v>
          </cell>
          <cell r="L2747" t="str">
            <v>STEELMAN MIDALE</v>
          </cell>
          <cell r="O2747">
            <v>878.3</v>
          </cell>
          <cell r="Q2747">
            <v>1.86</v>
          </cell>
          <cell r="T2747">
            <v>8841.0869999999995</v>
          </cell>
        </row>
        <row r="2748">
          <cell r="G2748">
            <v>42430</v>
          </cell>
          <cell r="L2748" t="str">
            <v>03-15-004-06W2</v>
          </cell>
          <cell r="O2748">
            <v>852.9</v>
          </cell>
          <cell r="Q2748">
            <v>1.22</v>
          </cell>
          <cell r="T2748">
            <v>5229.3249999999998</v>
          </cell>
        </row>
        <row r="2749">
          <cell r="G2749">
            <v>42430</v>
          </cell>
          <cell r="L2749" t="str">
            <v>07-35-004-04W2</v>
          </cell>
          <cell r="O2749">
            <v>853.1</v>
          </cell>
          <cell r="Q2749">
            <v>1.57</v>
          </cell>
          <cell r="T2749">
            <v>2695.433</v>
          </cell>
        </row>
        <row r="2750">
          <cell r="G2750">
            <v>42430</v>
          </cell>
          <cell r="L2750" t="str">
            <v>11-02-005-04W2</v>
          </cell>
          <cell r="O2750">
            <v>849.4</v>
          </cell>
          <cell r="Q2750">
            <v>1.4</v>
          </cell>
          <cell r="T2750">
            <v>1627.4259999999999</v>
          </cell>
        </row>
        <row r="2751">
          <cell r="G2751">
            <v>42430</v>
          </cell>
          <cell r="L2751" t="str">
            <v>06-27-004-06W2</v>
          </cell>
          <cell r="O2751">
            <v>834.9</v>
          </cell>
          <cell r="Q2751">
            <v>0.7</v>
          </cell>
          <cell r="T2751">
            <v>1535.471</v>
          </cell>
        </row>
        <row r="2752">
          <cell r="G2752">
            <v>42430</v>
          </cell>
          <cell r="L2752" t="str">
            <v>07-18-005-04W2</v>
          </cell>
          <cell r="O2752">
            <v>851.5</v>
          </cell>
          <cell r="Q2752">
            <v>1.64</v>
          </cell>
          <cell r="T2752">
            <v>434.02</v>
          </cell>
        </row>
        <row r="2753">
          <cell r="G2753">
            <v>42430</v>
          </cell>
          <cell r="L2753" t="str">
            <v>09-27-004-05W2</v>
          </cell>
          <cell r="O2753">
            <v>841.8</v>
          </cell>
          <cell r="Q2753">
            <v>1.19</v>
          </cell>
          <cell r="T2753">
            <v>1095.2260000000001</v>
          </cell>
        </row>
        <row r="2754">
          <cell r="G2754">
            <v>42430</v>
          </cell>
          <cell r="L2754" t="str">
            <v>09-10-005-04W2</v>
          </cell>
          <cell r="O2754">
            <v>850.2</v>
          </cell>
          <cell r="Q2754">
            <v>1.2</v>
          </cell>
          <cell r="T2754">
            <v>1046.9760000000001</v>
          </cell>
        </row>
        <row r="2755">
          <cell r="G2755">
            <v>42430</v>
          </cell>
          <cell r="L2755" t="str">
            <v>11-31-005-11W2</v>
          </cell>
          <cell r="O2755">
            <v>879.5</v>
          </cell>
          <cell r="Q2755">
            <v>1.92</v>
          </cell>
          <cell r="T2755">
            <v>2328.2840000000001</v>
          </cell>
        </row>
        <row r="2756">
          <cell r="G2756">
            <v>42430</v>
          </cell>
          <cell r="L2756" t="str">
            <v>01-18-004-08W2</v>
          </cell>
          <cell r="O2756">
            <v>889.4</v>
          </cell>
          <cell r="Q2756">
            <v>2.42</v>
          </cell>
          <cell r="T2756">
            <v>1087.827</v>
          </cell>
        </row>
        <row r="2757">
          <cell r="G2757">
            <v>42430</v>
          </cell>
          <cell r="L2757" t="str">
            <v>15-36-001-12W2</v>
          </cell>
          <cell r="O2757">
            <v>818.3</v>
          </cell>
          <cell r="Q2757">
            <v>0.12</v>
          </cell>
          <cell r="T2757">
            <v>1085.6489999999999</v>
          </cell>
        </row>
        <row r="2758">
          <cell r="G2758">
            <v>42430</v>
          </cell>
          <cell r="L2758" t="str">
            <v>14-27-005-12W2</v>
          </cell>
          <cell r="O2758">
            <v>875.2</v>
          </cell>
          <cell r="Q2758">
            <v>2.1</v>
          </cell>
          <cell r="T2758">
            <v>1024.222</v>
          </cell>
        </row>
        <row r="2759">
          <cell r="G2759">
            <v>42430</v>
          </cell>
          <cell r="L2759" t="str">
            <v>16-05-005-08W2</v>
          </cell>
          <cell r="O2759">
            <v>882.9</v>
          </cell>
          <cell r="Q2759">
            <v>2.04</v>
          </cell>
          <cell r="T2759">
            <v>626.73800000000006</v>
          </cell>
        </row>
        <row r="2760">
          <cell r="G2760">
            <v>42430</v>
          </cell>
          <cell r="L2760" t="str">
            <v>01-36-006-12W2</v>
          </cell>
          <cell r="O2760">
            <v>890.3</v>
          </cell>
          <cell r="Q2760">
            <v>2.7</v>
          </cell>
          <cell r="T2760">
            <v>528.73500000000001</v>
          </cell>
        </row>
        <row r="2761">
          <cell r="G2761">
            <v>42430</v>
          </cell>
          <cell r="L2761" t="str">
            <v>11-14-007-08W2</v>
          </cell>
          <cell r="O2761">
            <v>845.7</v>
          </cell>
          <cell r="Q2761">
            <v>1.33</v>
          </cell>
          <cell r="T2761">
            <v>497.08699999999999</v>
          </cell>
        </row>
        <row r="2762">
          <cell r="G2762">
            <v>42430</v>
          </cell>
          <cell r="L2762" t="str">
            <v>04-27-004-08W2</v>
          </cell>
          <cell r="O2762">
            <v>884.1</v>
          </cell>
          <cell r="Q2762">
            <v>2.17</v>
          </cell>
          <cell r="T2762">
            <v>454.67399999999998</v>
          </cell>
        </row>
        <row r="2763">
          <cell r="G2763">
            <v>42430</v>
          </cell>
          <cell r="L2763" t="str">
            <v>13-33-006-09W2</v>
          </cell>
          <cell r="O2763">
            <v>887.7</v>
          </cell>
          <cell r="Q2763">
            <v>2.3199999999999998</v>
          </cell>
          <cell r="T2763">
            <v>451.80799999999999</v>
          </cell>
        </row>
        <row r="2764">
          <cell r="G2764">
            <v>42430</v>
          </cell>
          <cell r="L2764" t="str">
            <v>12-20-005-12W2</v>
          </cell>
          <cell r="O2764">
            <v>885</v>
          </cell>
          <cell r="Q2764">
            <v>2.04</v>
          </cell>
          <cell r="T2764">
            <v>437.74900000000002</v>
          </cell>
        </row>
        <row r="2765">
          <cell r="G2765">
            <v>42430</v>
          </cell>
          <cell r="L2765" t="str">
            <v>13-06-007-11W2</v>
          </cell>
          <cell r="O2765">
            <v>859</v>
          </cell>
          <cell r="Q2765">
            <v>2</v>
          </cell>
          <cell r="T2765">
            <v>428.47899999999998</v>
          </cell>
        </row>
        <row r="2766">
          <cell r="G2766">
            <v>42430</v>
          </cell>
          <cell r="L2766" t="str">
            <v>15-11-005-09W2</v>
          </cell>
          <cell r="O2766">
            <v>885.6</v>
          </cell>
          <cell r="Q2766">
            <v>2.19</v>
          </cell>
          <cell r="T2766">
            <v>414.82</v>
          </cell>
        </row>
        <row r="2767">
          <cell r="G2767">
            <v>42430</v>
          </cell>
          <cell r="L2767" t="str">
            <v>15-29-007-13W2</v>
          </cell>
          <cell r="O2767">
            <v>847.4</v>
          </cell>
          <cell r="Q2767">
            <v>1.82</v>
          </cell>
          <cell r="T2767">
            <v>414.65699999999998</v>
          </cell>
        </row>
        <row r="2768">
          <cell r="G2768">
            <v>42430</v>
          </cell>
          <cell r="L2768" t="str">
            <v>06-18-006-12W2</v>
          </cell>
          <cell r="O2768">
            <v>886.2</v>
          </cell>
          <cell r="Q2768">
            <v>2.69</v>
          </cell>
          <cell r="T2768">
            <v>403.17500000000001</v>
          </cell>
        </row>
        <row r="2769">
          <cell r="G2769">
            <v>42430</v>
          </cell>
          <cell r="L2769" t="str">
            <v>04-23-012-06W2</v>
          </cell>
          <cell r="O2769">
            <v>894.7</v>
          </cell>
          <cell r="Q2769">
            <v>2.74</v>
          </cell>
          <cell r="T2769">
            <v>330.08100000000002</v>
          </cell>
        </row>
        <row r="2770">
          <cell r="G2770">
            <v>42430</v>
          </cell>
          <cell r="L2770" t="str">
            <v>09-02-006-07W2</v>
          </cell>
          <cell r="O2770">
            <v>880.5</v>
          </cell>
          <cell r="Q2770">
            <v>2.25</v>
          </cell>
          <cell r="T2770">
            <v>316.13099999999997</v>
          </cell>
        </row>
        <row r="2771">
          <cell r="G2771">
            <v>42430</v>
          </cell>
          <cell r="L2771" t="str">
            <v>16-09-007-11W2</v>
          </cell>
          <cell r="O2771">
            <v>830.9</v>
          </cell>
          <cell r="Q2771">
            <v>0.52</v>
          </cell>
          <cell r="T2771">
            <v>309.39999999999998</v>
          </cell>
        </row>
        <row r="2772">
          <cell r="G2772">
            <v>42430</v>
          </cell>
          <cell r="L2772" t="str">
            <v>03-18-007-09W2</v>
          </cell>
          <cell r="O2772">
            <v>817.4</v>
          </cell>
          <cell r="Q2772">
            <v>0.42</v>
          </cell>
          <cell r="T2772">
            <v>292.75700000000001</v>
          </cell>
        </row>
        <row r="2773">
          <cell r="G2773">
            <v>42430</v>
          </cell>
          <cell r="L2773" t="str">
            <v>04-13-004-10W2</v>
          </cell>
          <cell r="O2773">
            <v>884</v>
          </cell>
          <cell r="Q2773">
            <v>1.9</v>
          </cell>
          <cell r="T2773">
            <v>284.83600000000001</v>
          </cell>
        </row>
        <row r="2774">
          <cell r="G2774">
            <v>42430</v>
          </cell>
          <cell r="L2774" t="str">
            <v>01-10-008-15W2</v>
          </cell>
          <cell r="O2774">
            <v>862.4</v>
          </cell>
          <cell r="Q2774">
            <v>2.0499999999999998</v>
          </cell>
          <cell r="T2774">
            <v>277.11700000000002</v>
          </cell>
        </row>
        <row r="2775">
          <cell r="G2775">
            <v>42430</v>
          </cell>
          <cell r="L2775" t="str">
            <v>14-04-006-08W2</v>
          </cell>
          <cell r="O2775">
            <v>851</v>
          </cell>
          <cell r="Q2775">
            <v>0.62</v>
          </cell>
          <cell r="T2775">
            <v>273.81799999999998</v>
          </cell>
        </row>
        <row r="2776">
          <cell r="G2776">
            <v>42430</v>
          </cell>
          <cell r="L2776" t="str">
            <v>02-13-004-12W2</v>
          </cell>
          <cell r="O2776">
            <v>883.8</v>
          </cell>
          <cell r="Q2776">
            <v>2.06</v>
          </cell>
          <cell r="T2776">
            <v>264.66300000000001</v>
          </cell>
        </row>
        <row r="2777">
          <cell r="G2777">
            <v>42430</v>
          </cell>
          <cell r="L2777" t="str">
            <v>14-27-007-08W2</v>
          </cell>
          <cell r="O2777">
            <v>881.1</v>
          </cell>
          <cell r="Q2777">
            <v>2.39</v>
          </cell>
          <cell r="T2777">
            <v>247.77799999999999</v>
          </cell>
        </row>
        <row r="2778">
          <cell r="G2778">
            <v>42430</v>
          </cell>
          <cell r="L2778" t="str">
            <v>03-08-001-11W2</v>
          </cell>
          <cell r="O2778">
            <v>807.6</v>
          </cell>
          <cell r="Q2778">
            <v>0.24</v>
          </cell>
          <cell r="T2778">
            <v>247.66499999999999</v>
          </cell>
        </row>
        <row r="2779">
          <cell r="G2779">
            <v>42430</v>
          </cell>
          <cell r="L2779" t="str">
            <v>12-27-006-13W2</v>
          </cell>
          <cell r="O2779">
            <v>858.3</v>
          </cell>
          <cell r="Q2779">
            <v>2.0099999999999998</v>
          </cell>
          <cell r="T2779">
            <v>247.52799999999999</v>
          </cell>
        </row>
        <row r="2780">
          <cell r="G2780">
            <v>42430</v>
          </cell>
          <cell r="L2780" t="str">
            <v>14-22-004-08W2</v>
          </cell>
          <cell r="O2780">
            <v>874.5</v>
          </cell>
          <cell r="Q2780">
            <v>2.0099999999999998</v>
          </cell>
          <cell r="T2780">
            <v>236.77099999999999</v>
          </cell>
        </row>
        <row r="2781">
          <cell r="G2781">
            <v>42430</v>
          </cell>
          <cell r="L2781" t="str">
            <v>04-16-004-21W2</v>
          </cell>
          <cell r="O2781">
            <v>819.7</v>
          </cell>
          <cell r="Q2781">
            <v>0.66</v>
          </cell>
          <cell r="T2781">
            <v>234.529</v>
          </cell>
        </row>
        <row r="2782">
          <cell r="G2782">
            <v>42430</v>
          </cell>
          <cell r="L2782" t="str">
            <v>16-29-006-12W2</v>
          </cell>
          <cell r="O2782">
            <v>868.2</v>
          </cell>
          <cell r="Q2782">
            <v>2.21</v>
          </cell>
          <cell r="T2782">
            <v>227.381</v>
          </cell>
        </row>
        <row r="2783">
          <cell r="G2783">
            <v>42430</v>
          </cell>
          <cell r="L2783" t="str">
            <v>09-11-007-14W2</v>
          </cell>
          <cell r="O2783">
            <v>841.4</v>
          </cell>
          <cell r="Q2783">
            <v>1.54</v>
          </cell>
          <cell r="T2783">
            <v>193.2</v>
          </cell>
        </row>
        <row r="2784">
          <cell r="G2784">
            <v>42430</v>
          </cell>
          <cell r="L2784" t="str">
            <v>16-06-005-12W2</v>
          </cell>
          <cell r="O2784">
            <v>880.6</v>
          </cell>
          <cell r="Q2784">
            <v>2.09</v>
          </cell>
          <cell r="T2784">
            <v>183.143</v>
          </cell>
        </row>
        <row r="2785">
          <cell r="G2785">
            <v>42430</v>
          </cell>
          <cell r="L2785" t="str">
            <v>05-31-006-13W2</v>
          </cell>
          <cell r="O2785">
            <v>805.8</v>
          </cell>
          <cell r="Q2785">
            <v>0.19</v>
          </cell>
          <cell r="T2785">
            <v>172.84100000000001</v>
          </cell>
        </row>
        <row r="2786">
          <cell r="G2786">
            <v>42430</v>
          </cell>
          <cell r="L2786" t="str">
            <v>09-06-010-15W2</v>
          </cell>
          <cell r="O2786">
            <v>869.2</v>
          </cell>
          <cell r="Q2786">
            <v>0.53</v>
          </cell>
          <cell r="T2786">
            <v>169.40299999999999</v>
          </cell>
        </row>
        <row r="2787">
          <cell r="G2787">
            <v>42430</v>
          </cell>
          <cell r="L2787" t="str">
            <v>04-18-007-09W2</v>
          </cell>
          <cell r="O2787">
            <v>815.2</v>
          </cell>
          <cell r="Q2787">
            <v>0.4</v>
          </cell>
          <cell r="T2787">
            <v>149.55099999999999</v>
          </cell>
        </row>
        <row r="2788">
          <cell r="G2788">
            <v>42430</v>
          </cell>
          <cell r="L2788" t="str">
            <v>12-31-001-17W2</v>
          </cell>
          <cell r="O2788">
            <v>853.1</v>
          </cell>
          <cell r="Q2788">
            <v>1.51</v>
          </cell>
          <cell r="T2788">
            <v>145.559</v>
          </cell>
        </row>
        <row r="2789">
          <cell r="G2789">
            <v>42430</v>
          </cell>
          <cell r="L2789" t="str">
            <v>04-27-032-56W1</v>
          </cell>
          <cell r="O2789">
            <v>798.4</v>
          </cell>
          <cell r="Q2789">
            <v>0.25</v>
          </cell>
          <cell r="T2789">
            <v>131.303</v>
          </cell>
        </row>
        <row r="2790">
          <cell r="G2790">
            <v>42430</v>
          </cell>
          <cell r="L2790" t="str">
            <v>01-06-004-11W2</v>
          </cell>
          <cell r="O2790">
            <v>880.6</v>
          </cell>
          <cell r="Q2790">
            <v>2.4</v>
          </cell>
          <cell r="T2790">
            <v>122.508</v>
          </cell>
        </row>
        <row r="2791">
          <cell r="G2791">
            <v>42430</v>
          </cell>
          <cell r="L2791" t="str">
            <v>15-13-002-12W2</v>
          </cell>
          <cell r="O2791">
            <v>818.8</v>
          </cell>
          <cell r="Q2791">
            <v>0.22</v>
          </cell>
          <cell r="T2791">
            <v>116.57599999999999</v>
          </cell>
        </row>
        <row r="2792">
          <cell r="G2792">
            <v>42430</v>
          </cell>
          <cell r="L2792" t="str">
            <v>07-02-007-12W2</v>
          </cell>
          <cell r="O2792">
            <v>824.5</v>
          </cell>
          <cell r="Q2792">
            <v>1.98</v>
          </cell>
          <cell r="T2792">
            <v>108.566</v>
          </cell>
        </row>
        <row r="2793">
          <cell r="G2793">
            <v>42430</v>
          </cell>
          <cell r="L2793" t="str">
            <v>07-24-006-10W2</v>
          </cell>
          <cell r="O2793">
            <v>881.6</v>
          </cell>
          <cell r="Q2793">
            <v>2.2599999999999998</v>
          </cell>
          <cell r="T2793">
            <v>108.309</v>
          </cell>
        </row>
        <row r="2794">
          <cell r="G2794">
            <v>42430</v>
          </cell>
          <cell r="L2794" t="str">
            <v>07-10-001-20W2</v>
          </cell>
          <cell r="O2794">
            <v>876.1</v>
          </cell>
          <cell r="Q2794">
            <v>1.8</v>
          </cell>
          <cell r="T2794">
            <v>107.468</v>
          </cell>
        </row>
        <row r="2795">
          <cell r="G2795">
            <v>42430</v>
          </cell>
          <cell r="L2795" t="str">
            <v>01-29-004-07W2</v>
          </cell>
          <cell r="O2795">
            <v>888.5</v>
          </cell>
          <cell r="Q2795">
            <v>2.0699999999999998</v>
          </cell>
          <cell r="T2795">
            <v>101.47499999999999</v>
          </cell>
        </row>
        <row r="2796">
          <cell r="G2796">
            <v>42430</v>
          </cell>
          <cell r="L2796" t="str">
            <v>03-27-011-08W2</v>
          </cell>
          <cell r="O2796">
            <v>898.6</v>
          </cell>
          <cell r="Q2796">
            <v>2.64</v>
          </cell>
          <cell r="T2796">
            <v>97.647000000000006</v>
          </cell>
        </row>
        <row r="2797">
          <cell r="G2797">
            <v>42430</v>
          </cell>
          <cell r="L2797" t="str">
            <v>01-35-162-03W1</v>
          </cell>
          <cell r="O2797">
            <v>880.9</v>
          </cell>
          <cell r="Q2797">
            <v>0.17</v>
          </cell>
          <cell r="T2797">
            <v>90.388999999999996</v>
          </cell>
        </row>
        <row r="2798">
          <cell r="G2798">
            <v>42430</v>
          </cell>
          <cell r="L2798" t="str">
            <v>09-22-006-12W2</v>
          </cell>
          <cell r="O2798">
            <v>877.3</v>
          </cell>
          <cell r="Q2798">
            <v>2.34</v>
          </cell>
          <cell r="T2798">
            <v>84.960999999999999</v>
          </cell>
        </row>
        <row r="2799">
          <cell r="G2799">
            <v>42430</v>
          </cell>
          <cell r="L2799" t="str">
            <v>06-13-007-10W2</v>
          </cell>
          <cell r="O2799">
            <v>820.8</v>
          </cell>
          <cell r="Q2799">
            <v>0.17</v>
          </cell>
          <cell r="T2799">
            <v>84.53</v>
          </cell>
        </row>
        <row r="2800">
          <cell r="G2800">
            <v>42430</v>
          </cell>
          <cell r="L2800" t="str">
            <v>14-20-004-10W2</v>
          </cell>
          <cell r="O2800">
            <v>890.8</v>
          </cell>
          <cell r="Q2800">
            <v>2.12</v>
          </cell>
          <cell r="T2800">
            <v>64.608999999999995</v>
          </cell>
        </row>
        <row r="2801">
          <cell r="G2801">
            <v>42430</v>
          </cell>
          <cell r="L2801" t="str">
            <v>04-35-004-09W2</v>
          </cell>
          <cell r="O2801">
            <v>892.5</v>
          </cell>
          <cell r="Q2801">
            <v>2.0299999999999998</v>
          </cell>
          <cell r="T2801">
            <v>63.143000000000001</v>
          </cell>
        </row>
        <row r="2802">
          <cell r="G2802">
            <v>42430</v>
          </cell>
          <cell r="L2802" t="str">
            <v>12-28-006-07W2</v>
          </cell>
          <cell r="O2802">
            <v>906.3</v>
          </cell>
          <cell r="Q2802">
            <v>2.52</v>
          </cell>
          <cell r="T2802">
            <v>57.335999999999999</v>
          </cell>
        </row>
        <row r="2803">
          <cell r="G2803">
            <v>42430</v>
          </cell>
          <cell r="L2803" t="str">
            <v>15-11-008-12W2</v>
          </cell>
          <cell r="O2803">
            <v>898.1</v>
          </cell>
          <cell r="Q2803">
            <v>2.1800000000000002</v>
          </cell>
          <cell r="T2803">
            <v>55.743000000000002</v>
          </cell>
        </row>
        <row r="2804">
          <cell r="G2804">
            <v>42430</v>
          </cell>
          <cell r="L2804" t="str">
            <v>09-12-007-09W2</v>
          </cell>
          <cell r="O2804">
            <v>815.7</v>
          </cell>
          <cell r="Q2804">
            <v>0.16</v>
          </cell>
          <cell r="T2804">
            <v>54.24</v>
          </cell>
        </row>
        <row r="2805">
          <cell r="G2805">
            <v>42430</v>
          </cell>
          <cell r="L2805" t="str">
            <v>14-25-003-09W2</v>
          </cell>
          <cell r="O2805">
            <v>842.5</v>
          </cell>
          <cell r="Q2805">
            <v>1.63</v>
          </cell>
          <cell r="T2805">
            <v>50.584000000000003</v>
          </cell>
        </row>
        <row r="2806">
          <cell r="G2806">
            <v>42430</v>
          </cell>
          <cell r="L2806" t="str">
            <v>09-32-006-15W2</v>
          </cell>
          <cell r="O2806">
            <v>890.2</v>
          </cell>
          <cell r="Q2806">
            <v>2.71</v>
          </cell>
          <cell r="T2806">
            <v>38.003</v>
          </cell>
        </row>
        <row r="2807">
          <cell r="G2807">
            <v>42430</v>
          </cell>
          <cell r="L2807" t="str">
            <v>01-23-155-91W1</v>
          </cell>
          <cell r="O2807">
            <v>881.9</v>
          </cell>
          <cell r="Q2807">
            <v>1.85</v>
          </cell>
          <cell r="T2807">
            <v>33.999000000000002</v>
          </cell>
        </row>
        <row r="2808">
          <cell r="G2808">
            <v>42430</v>
          </cell>
          <cell r="L2808" t="str">
            <v>05-23-004-07W2</v>
          </cell>
          <cell r="O2808">
            <v>887.9</v>
          </cell>
          <cell r="Q2808">
            <v>2.0699999999999998</v>
          </cell>
          <cell r="T2808">
            <v>33.533000000000001</v>
          </cell>
        </row>
        <row r="2809">
          <cell r="G2809">
            <v>42430</v>
          </cell>
          <cell r="L2809" t="str">
            <v>08-34-006-12W2</v>
          </cell>
          <cell r="O2809">
            <v>892.4</v>
          </cell>
          <cell r="Q2809">
            <v>1.89</v>
          </cell>
          <cell r="T2809">
            <v>32.54</v>
          </cell>
        </row>
        <row r="2810">
          <cell r="G2810">
            <v>42430</v>
          </cell>
          <cell r="L2810" t="str">
            <v>08-23-005-14W2</v>
          </cell>
          <cell r="O2810">
            <v>889.7</v>
          </cell>
          <cell r="Q2810">
            <v>2.52</v>
          </cell>
          <cell r="T2810">
            <v>30.462</v>
          </cell>
        </row>
        <row r="2811">
          <cell r="G2811">
            <v>42430</v>
          </cell>
          <cell r="L2811" t="str">
            <v>02-22-009-09W2</v>
          </cell>
          <cell r="O2811">
            <v>885.3</v>
          </cell>
          <cell r="Q2811">
            <v>2.42</v>
          </cell>
          <cell r="T2811">
            <v>29.29</v>
          </cell>
        </row>
        <row r="2812">
          <cell r="G2812">
            <v>42430</v>
          </cell>
          <cell r="L2812" t="str">
            <v>01-03-028-58W1</v>
          </cell>
          <cell r="O2812">
            <v>852</v>
          </cell>
          <cell r="Q2812">
            <v>0.89</v>
          </cell>
          <cell r="T2812">
            <v>28.707999999999998</v>
          </cell>
        </row>
        <row r="2813">
          <cell r="G2813">
            <v>42430</v>
          </cell>
          <cell r="L2813" t="str">
            <v>02-22-163-93W1</v>
          </cell>
          <cell r="O2813">
            <v>889.9</v>
          </cell>
          <cell r="Q2813">
            <v>0.53</v>
          </cell>
          <cell r="T2813">
            <v>27.931999999999999</v>
          </cell>
        </row>
        <row r="2814">
          <cell r="G2814">
            <v>42430</v>
          </cell>
          <cell r="L2814" t="str">
            <v>03-07-007-11W2</v>
          </cell>
          <cell r="O2814">
            <v>819.9</v>
          </cell>
          <cell r="Q2814">
            <v>0.21</v>
          </cell>
          <cell r="T2814">
            <v>26.832999999999998</v>
          </cell>
        </row>
        <row r="2815">
          <cell r="G2815">
            <v>42430</v>
          </cell>
          <cell r="L2815" t="str">
            <v>13-06-007-09W2</v>
          </cell>
          <cell r="O2815">
            <v>817.3</v>
          </cell>
          <cell r="Q2815">
            <v>0.25</v>
          </cell>
          <cell r="T2815">
            <v>25.609000000000002</v>
          </cell>
        </row>
        <row r="2816">
          <cell r="G2816">
            <v>42430</v>
          </cell>
          <cell r="L2816" t="str">
            <v>18-16-154-95W1</v>
          </cell>
          <cell r="O2816">
            <v>806.9</v>
          </cell>
          <cell r="Q2816">
            <v>0.89</v>
          </cell>
          <cell r="T2816">
            <v>23.416</v>
          </cell>
        </row>
        <row r="2817">
          <cell r="G2817">
            <v>42430</v>
          </cell>
          <cell r="L2817" t="str">
            <v>05-19-007-12W2</v>
          </cell>
          <cell r="O2817">
            <v>865</v>
          </cell>
          <cell r="Q2817">
            <v>1.82</v>
          </cell>
          <cell r="T2817">
            <v>23.193000000000001</v>
          </cell>
        </row>
        <row r="2818">
          <cell r="G2818">
            <v>42430</v>
          </cell>
          <cell r="L2818" t="str">
            <v>20-01-161-90W1</v>
          </cell>
          <cell r="O2818">
            <v>865.1</v>
          </cell>
          <cell r="Q2818">
            <v>1.4</v>
          </cell>
          <cell r="T2818">
            <v>23.035</v>
          </cell>
        </row>
        <row r="2819">
          <cell r="G2819">
            <v>42430</v>
          </cell>
          <cell r="L2819" t="str">
            <v>09-02-159-90W1</v>
          </cell>
          <cell r="O2819">
            <v>891.1</v>
          </cell>
          <cell r="Q2819">
            <v>2.67</v>
          </cell>
          <cell r="T2819">
            <v>21.875</v>
          </cell>
        </row>
        <row r="2820">
          <cell r="G2820">
            <v>42430</v>
          </cell>
          <cell r="L2820" t="str">
            <v>09-34-005-15W2</v>
          </cell>
          <cell r="O2820">
            <v>882.5</v>
          </cell>
          <cell r="Q2820">
            <v>2.64</v>
          </cell>
          <cell r="T2820">
            <v>1825.489</v>
          </cell>
        </row>
        <row r="2821">
          <cell r="G2821">
            <v>42430</v>
          </cell>
          <cell r="L2821" t="str">
            <v>04-24-005-15W2</v>
          </cell>
          <cell r="O2821">
            <v>890</v>
          </cell>
          <cell r="Q2821">
            <v>2.75</v>
          </cell>
          <cell r="T2821">
            <v>1590.7819999999999</v>
          </cell>
        </row>
        <row r="2822">
          <cell r="G2822">
            <v>42430</v>
          </cell>
          <cell r="L2822" t="str">
            <v>15-29-005-15W2</v>
          </cell>
          <cell r="O2822">
            <v>885.2</v>
          </cell>
          <cell r="Q2822">
            <v>2.64</v>
          </cell>
          <cell r="T2822">
            <v>1461.885</v>
          </cell>
        </row>
        <row r="2823">
          <cell r="G2823">
            <v>42430</v>
          </cell>
          <cell r="L2823" t="str">
            <v>11-25-005-12W2</v>
          </cell>
          <cell r="O2823">
            <v>874.9</v>
          </cell>
          <cell r="Q2823">
            <v>2.12</v>
          </cell>
          <cell r="T2823">
            <v>2437.8620000000001</v>
          </cell>
        </row>
        <row r="2824">
          <cell r="G2824">
            <v>42430</v>
          </cell>
          <cell r="L2824" t="str">
            <v>16-18-003-15W2</v>
          </cell>
          <cell r="O2824">
            <v>885.2</v>
          </cell>
          <cell r="Q2824">
            <v>2.29</v>
          </cell>
          <cell r="T2824">
            <v>1160.508</v>
          </cell>
        </row>
        <row r="2825">
          <cell r="G2825">
            <v>42430</v>
          </cell>
          <cell r="L2825" t="str">
            <v>14-21-001-12W2</v>
          </cell>
          <cell r="O2825">
            <v>812.7</v>
          </cell>
          <cell r="Q2825">
            <v>0.14000000000000001</v>
          </cell>
          <cell r="T2825">
            <v>654.62800000000004</v>
          </cell>
        </row>
        <row r="2826">
          <cell r="G2826">
            <v>42430</v>
          </cell>
          <cell r="L2826" t="str">
            <v>12-30-005-07W2</v>
          </cell>
          <cell r="O2826">
            <v>890.8</v>
          </cell>
          <cell r="Q2826">
            <v>2.44</v>
          </cell>
          <cell r="T2826">
            <v>508.89</v>
          </cell>
        </row>
        <row r="2827">
          <cell r="G2827">
            <v>42430</v>
          </cell>
          <cell r="L2827" t="str">
            <v>11-31-006-08W2</v>
          </cell>
          <cell r="O2827">
            <v>889.5</v>
          </cell>
          <cell r="Q2827">
            <v>2.46</v>
          </cell>
          <cell r="T2827">
            <v>471.55</v>
          </cell>
        </row>
        <row r="2828">
          <cell r="G2828">
            <v>42430</v>
          </cell>
          <cell r="L2828" t="str">
            <v>14-27-001-12W2</v>
          </cell>
          <cell r="O2828">
            <v>813.6</v>
          </cell>
          <cell r="Q2828">
            <v>0.25</v>
          </cell>
          <cell r="T2828">
            <v>294.02199999999999</v>
          </cell>
        </row>
        <row r="2829">
          <cell r="G2829">
            <v>42430</v>
          </cell>
          <cell r="L2829" t="str">
            <v>05-23-005-13W2</v>
          </cell>
          <cell r="O2829">
            <v>906.4</v>
          </cell>
          <cell r="Q2829">
            <v>2.72</v>
          </cell>
          <cell r="T2829">
            <v>285.28399999999999</v>
          </cell>
        </row>
        <row r="2830">
          <cell r="G2830">
            <v>42430</v>
          </cell>
          <cell r="L2830" t="str">
            <v>13-24-001-16W2</v>
          </cell>
          <cell r="O2830">
            <v>809.6</v>
          </cell>
          <cell r="Q2830">
            <v>0.39</v>
          </cell>
          <cell r="T2830">
            <v>274.36700000000002</v>
          </cell>
        </row>
        <row r="2831">
          <cell r="G2831">
            <v>42430</v>
          </cell>
          <cell r="L2831" t="str">
            <v>06-20-006-09W2</v>
          </cell>
          <cell r="O2831">
            <v>880.8</v>
          </cell>
          <cell r="Q2831">
            <v>2.23</v>
          </cell>
          <cell r="T2831">
            <v>237.215</v>
          </cell>
        </row>
        <row r="2832">
          <cell r="G2832">
            <v>42430</v>
          </cell>
          <cell r="L2832" t="str">
            <v>13-22-001-12W2</v>
          </cell>
          <cell r="O2832">
            <v>809.2</v>
          </cell>
          <cell r="Q2832">
            <v>0.12</v>
          </cell>
          <cell r="T2832">
            <v>151.08799999999999</v>
          </cell>
        </row>
        <row r="2833">
          <cell r="G2833">
            <v>42430</v>
          </cell>
          <cell r="L2833" t="str">
            <v>13-29-001-15W2</v>
          </cell>
          <cell r="O2833">
            <v>805.8</v>
          </cell>
          <cell r="Q2833">
            <v>0.22</v>
          </cell>
          <cell r="T2833">
            <v>100.301</v>
          </cell>
        </row>
        <row r="2834">
          <cell r="G2834">
            <v>42430</v>
          </cell>
          <cell r="L2834" t="str">
            <v>16-22-001-12W2</v>
          </cell>
          <cell r="O2834">
            <v>818.9</v>
          </cell>
          <cell r="Q2834">
            <v>0.16</v>
          </cell>
          <cell r="T2834">
            <v>96.471000000000004</v>
          </cell>
        </row>
        <row r="2835">
          <cell r="G2835">
            <v>42430</v>
          </cell>
          <cell r="L2835" t="str">
            <v>06-29-022-06W2</v>
          </cell>
          <cell r="O2835">
            <v>896.1</v>
          </cell>
          <cell r="Q2835">
            <v>0.97</v>
          </cell>
          <cell r="T2835">
            <v>87.683000000000007</v>
          </cell>
        </row>
        <row r="2836">
          <cell r="G2836">
            <v>42430</v>
          </cell>
          <cell r="L2836" t="str">
            <v>13-34-001-13W2</v>
          </cell>
          <cell r="O2836">
            <v>809</v>
          </cell>
          <cell r="Q2836">
            <v>0.2</v>
          </cell>
          <cell r="T2836">
            <v>30.824999999999999</v>
          </cell>
        </row>
        <row r="2837">
          <cell r="G2837">
            <v>42430</v>
          </cell>
          <cell r="L2837" t="str">
            <v>16-25-001-15W2</v>
          </cell>
          <cell r="O2837">
            <v>811.8</v>
          </cell>
          <cell r="Q2837">
            <v>0.32</v>
          </cell>
          <cell r="T2837">
            <v>25.376999999999999</v>
          </cell>
        </row>
        <row r="2838">
          <cell r="G2838">
            <v>42430</v>
          </cell>
          <cell r="L2838" t="str">
            <v>06-17-006-14W2</v>
          </cell>
          <cell r="O2838">
            <v>869.4</v>
          </cell>
          <cell r="Q2838">
            <v>1.72</v>
          </cell>
          <cell r="T2838">
            <v>3060.0149999999999</v>
          </cell>
        </row>
        <row r="2839">
          <cell r="G2839">
            <v>42430</v>
          </cell>
          <cell r="L2839" t="str">
            <v>10-11-005-14W2</v>
          </cell>
          <cell r="O2839">
            <v>901</v>
          </cell>
          <cell r="Q2839">
            <v>2.92</v>
          </cell>
          <cell r="T2839">
            <v>415.084</v>
          </cell>
        </row>
        <row r="2840">
          <cell r="G2840">
            <v>42430</v>
          </cell>
          <cell r="L2840" t="str">
            <v>03-15-005-13W2</v>
          </cell>
          <cell r="O2840">
            <v>899.3</v>
          </cell>
          <cell r="Q2840">
            <v>2.85</v>
          </cell>
          <cell r="T2840">
            <v>367.83699999999999</v>
          </cell>
        </row>
        <row r="2841">
          <cell r="G2841">
            <v>42430</v>
          </cell>
          <cell r="L2841" t="str">
            <v>12-13-006-13W2</v>
          </cell>
          <cell r="O2841">
            <v>869.7</v>
          </cell>
          <cell r="Q2841">
            <v>2.4700000000000002</v>
          </cell>
          <cell r="T2841">
            <v>312.74</v>
          </cell>
        </row>
        <row r="2842">
          <cell r="G2842">
            <v>42430</v>
          </cell>
          <cell r="L2842" t="str">
            <v>15-19-005-13W2</v>
          </cell>
          <cell r="O2842">
            <v>898.4</v>
          </cell>
          <cell r="Q2842">
            <v>2.64</v>
          </cell>
          <cell r="T2842">
            <v>243.01499999999999</v>
          </cell>
        </row>
        <row r="2843">
          <cell r="G2843">
            <v>42430</v>
          </cell>
          <cell r="L2843" t="str">
            <v>08-23-005-14W2</v>
          </cell>
          <cell r="O2843">
            <v>877.1</v>
          </cell>
          <cell r="Q2843">
            <v>2.52</v>
          </cell>
          <cell r="T2843">
            <v>93.042000000000002</v>
          </cell>
        </row>
        <row r="2844">
          <cell r="G2844">
            <v>42430</v>
          </cell>
          <cell r="L2844" t="str">
            <v>11-12-006-15W2</v>
          </cell>
          <cell r="O2844">
            <v>872</v>
          </cell>
          <cell r="Q2844">
            <v>2.2999999999999998</v>
          </cell>
          <cell r="T2844">
            <v>7936.5209999999997</v>
          </cell>
        </row>
        <row r="2845">
          <cell r="G2845">
            <v>42430</v>
          </cell>
          <cell r="L2845" t="str">
            <v>07-24-006-15W2</v>
          </cell>
          <cell r="O2845">
            <v>865</v>
          </cell>
          <cell r="Q2845">
            <v>2.27</v>
          </cell>
          <cell r="T2845">
            <v>1045.096</v>
          </cell>
        </row>
        <row r="2846">
          <cell r="G2846">
            <v>42430</v>
          </cell>
          <cell r="L2846" t="str">
            <v>07-07-006-15W2</v>
          </cell>
          <cell r="O2846">
            <v>870.4</v>
          </cell>
          <cell r="Q2846">
            <v>2.59</v>
          </cell>
          <cell r="T2846">
            <v>8372.2510000000002</v>
          </cell>
        </row>
        <row r="2847">
          <cell r="G2847">
            <v>42430</v>
          </cell>
          <cell r="L2847" t="str">
            <v>12-30-006-15W2</v>
          </cell>
          <cell r="O2847">
            <v>890.1</v>
          </cell>
          <cell r="Q2847">
            <v>2.8</v>
          </cell>
          <cell r="T2847">
            <v>4338.0959999999995</v>
          </cell>
        </row>
        <row r="2848">
          <cell r="G2848">
            <v>42430</v>
          </cell>
          <cell r="L2848" t="str">
            <v>12-11-001-10W2</v>
          </cell>
          <cell r="O2848">
            <v>819.9</v>
          </cell>
          <cell r="Q2848">
            <v>0.21</v>
          </cell>
          <cell r="T2848">
            <v>3531.8870000000002</v>
          </cell>
        </row>
        <row r="2849">
          <cell r="G2849">
            <v>42430</v>
          </cell>
          <cell r="L2849" t="str">
            <v>31-30-164-92W1</v>
          </cell>
          <cell r="O2849">
            <v>825.6</v>
          </cell>
          <cell r="Q2849">
            <v>0.57999999999999996</v>
          </cell>
          <cell r="T2849">
            <v>2471.8980000000001</v>
          </cell>
        </row>
        <row r="2850">
          <cell r="G2850">
            <v>42430</v>
          </cell>
          <cell r="L2850" t="str">
            <v>11-12-007-04W2</v>
          </cell>
          <cell r="O2850">
            <v>853.1</v>
          </cell>
          <cell r="Q2850">
            <v>1.42</v>
          </cell>
          <cell r="T2850">
            <v>2039.529</v>
          </cell>
        </row>
        <row r="2851">
          <cell r="G2851">
            <v>42430</v>
          </cell>
          <cell r="L2851" t="str">
            <v>12-32-006-04W2</v>
          </cell>
          <cell r="O2851">
            <v>859.1</v>
          </cell>
          <cell r="Q2851">
            <v>1.68</v>
          </cell>
          <cell r="T2851">
            <v>2000.097</v>
          </cell>
        </row>
        <row r="2852">
          <cell r="G2852">
            <v>42430</v>
          </cell>
          <cell r="L2852" t="str">
            <v>16-19-002-04W2</v>
          </cell>
          <cell r="O2852">
            <v>834</v>
          </cell>
          <cell r="Q2852">
            <v>0.5</v>
          </cell>
          <cell r="T2852">
            <v>1076.162</v>
          </cell>
        </row>
        <row r="2853">
          <cell r="G2853">
            <v>42430</v>
          </cell>
          <cell r="L2853" t="str">
            <v>02-31-145-98W1</v>
          </cell>
          <cell r="O2853">
            <v>819.1</v>
          </cell>
          <cell r="Q2853">
            <v>0.41</v>
          </cell>
          <cell r="T2853">
            <v>710.06200000000001</v>
          </cell>
        </row>
        <row r="2854">
          <cell r="G2854">
            <v>42430</v>
          </cell>
          <cell r="L2854" t="str">
            <v>09-02-007-05W2</v>
          </cell>
          <cell r="O2854">
            <v>857.2</v>
          </cell>
          <cell r="Q2854">
            <v>1.85</v>
          </cell>
          <cell r="T2854">
            <v>611.74099999999999</v>
          </cell>
        </row>
        <row r="2855">
          <cell r="G2855">
            <v>42430</v>
          </cell>
          <cell r="L2855" t="str">
            <v>14-05-002-31W1</v>
          </cell>
          <cell r="O2855">
            <v>849.3</v>
          </cell>
          <cell r="Q2855">
            <v>1.71</v>
          </cell>
          <cell r="T2855">
            <v>586.79300000000001</v>
          </cell>
        </row>
        <row r="2856">
          <cell r="G2856">
            <v>42430</v>
          </cell>
          <cell r="L2856" t="str">
            <v>09-20-006-04W2</v>
          </cell>
          <cell r="O2856">
            <v>852.6</v>
          </cell>
          <cell r="Q2856">
            <v>1.57</v>
          </cell>
          <cell r="T2856">
            <v>561.952</v>
          </cell>
        </row>
        <row r="2857">
          <cell r="G2857">
            <v>42430</v>
          </cell>
          <cell r="L2857" t="str">
            <v>03-10-145-98W1</v>
          </cell>
          <cell r="O2857">
            <v>815.3</v>
          </cell>
          <cell r="Q2857">
            <v>0.37</v>
          </cell>
          <cell r="T2857">
            <v>489.96199999999999</v>
          </cell>
        </row>
        <row r="2858">
          <cell r="G2858">
            <v>42430</v>
          </cell>
          <cell r="L2858" t="str">
            <v>04-23-006-07W2</v>
          </cell>
          <cell r="O2858">
            <v>868.3</v>
          </cell>
          <cell r="Q2858">
            <v>1.77</v>
          </cell>
          <cell r="T2858">
            <v>433.10500000000002</v>
          </cell>
        </row>
        <row r="2859">
          <cell r="G2859">
            <v>42430</v>
          </cell>
          <cell r="L2859" t="str">
            <v>09-19-004-04W2</v>
          </cell>
          <cell r="O2859">
            <v>853.3</v>
          </cell>
          <cell r="Q2859">
            <v>1</v>
          </cell>
          <cell r="T2859">
            <v>317.39299999999997</v>
          </cell>
        </row>
        <row r="2860">
          <cell r="G2860">
            <v>42430</v>
          </cell>
          <cell r="L2860" t="str">
            <v>01-19-145-98W1</v>
          </cell>
          <cell r="O2860">
            <v>814.4</v>
          </cell>
          <cell r="Q2860">
            <v>0.36</v>
          </cell>
          <cell r="T2860">
            <v>284.02699999999999</v>
          </cell>
        </row>
        <row r="2861">
          <cell r="G2861">
            <v>42430</v>
          </cell>
          <cell r="L2861" t="str">
            <v>02-34-143-100W1</v>
          </cell>
          <cell r="O2861">
            <v>826.2</v>
          </cell>
          <cell r="Q2861">
            <v>0.33</v>
          </cell>
          <cell r="T2861">
            <v>253.70599999999999</v>
          </cell>
        </row>
        <row r="2862">
          <cell r="G2862">
            <v>42430</v>
          </cell>
          <cell r="L2862" t="str">
            <v>14-13-002-02W2</v>
          </cell>
          <cell r="O2862">
            <v>818.1</v>
          </cell>
          <cell r="Q2862">
            <v>0.54</v>
          </cell>
          <cell r="T2862">
            <v>242.53200000000001</v>
          </cell>
        </row>
        <row r="2863">
          <cell r="G2863">
            <v>42430</v>
          </cell>
          <cell r="L2863" t="str">
            <v>11-25-005-06W2</v>
          </cell>
          <cell r="O2863">
            <v>851.2</v>
          </cell>
          <cell r="Q2863">
            <v>1.0900000000000001</v>
          </cell>
          <cell r="T2863">
            <v>211.96199999999999</v>
          </cell>
        </row>
        <row r="2864">
          <cell r="G2864">
            <v>42430</v>
          </cell>
          <cell r="L2864" t="str">
            <v>13-19-001-03W2</v>
          </cell>
          <cell r="O2864">
            <v>836.5</v>
          </cell>
          <cell r="Q2864">
            <v>0.59</v>
          </cell>
          <cell r="T2864">
            <v>211.06399999999999</v>
          </cell>
        </row>
        <row r="2865">
          <cell r="G2865">
            <v>42430</v>
          </cell>
          <cell r="L2865" t="str">
            <v>05-18-004-02W2</v>
          </cell>
          <cell r="O2865">
            <v>852.1</v>
          </cell>
          <cell r="Q2865">
            <v>1.1299999999999999</v>
          </cell>
          <cell r="T2865">
            <v>205.566</v>
          </cell>
        </row>
        <row r="2866">
          <cell r="G2866">
            <v>42430</v>
          </cell>
          <cell r="L2866" t="str">
            <v>01-03-163-99W1</v>
          </cell>
          <cell r="O2866">
            <v>832.2</v>
          </cell>
          <cell r="Q2866">
            <v>0.11</v>
          </cell>
          <cell r="T2866">
            <v>203.79499999999999</v>
          </cell>
        </row>
        <row r="2867">
          <cell r="G2867">
            <v>42430</v>
          </cell>
          <cell r="L2867" t="str">
            <v>16-03-001-03W2</v>
          </cell>
          <cell r="O2867">
            <v>836.2</v>
          </cell>
          <cell r="Q2867">
            <v>0.62</v>
          </cell>
          <cell r="T2867">
            <v>189.596</v>
          </cell>
        </row>
        <row r="2868">
          <cell r="G2868">
            <v>42430</v>
          </cell>
          <cell r="L2868" t="str">
            <v>01-35-007-01W2</v>
          </cell>
          <cell r="O2868">
            <v>842.5</v>
          </cell>
          <cell r="Q2868">
            <v>1.1399999999999999</v>
          </cell>
          <cell r="T2868">
            <v>186.41800000000001</v>
          </cell>
        </row>
        <row r="2869">
          <cell r="G2869">
            <v>42430</v>
          </cell>
          <cell r="L2869" t="str">
            <v>18-16-154-95W1</v>
          </cell>
          <cell r="O2869">
            <v>817.2</v>
          </cell>
          <cell r="Q2869">
            <v>0.89</v>
          </cell>
          <cell r="T2869">
            <v>178.27500000000001</v>
          </cell>
        </row>
        <row r="2870">
          <cell r="G2870">
            <v>42430</v>
          </cell>
          <cell r="L2870" t="str">
            <v>09-30-006-05W2</v>
          </cell>
          <cell r="O2870">
            <v>807.4</v>
          </cell>
          <cell r="Q2870">
            <v>0.23</v>
          </cell>
          <cell r="T2870">
            <v>166.733</v>
          </cell>
        </row>
        <row r="2871">
          <cell r="G2871">
            <v>42430</v>
          </cell>
          <cell r="L2871" t="str">
            <v>01-13-152-95W1</v>
          </cell>
          <cell r="O2871">
            <v>841.1</v>
          </cell>
          <cell r="Q2871">
            <v>0.13</v>
          </cell>
          <cell r="T2871">
            <v>166.21</v>
          </cell>
        </row>
        <row r="2872">
          <cell r="G2872">
            <v>42430</v>
          </cell>
          <cell r="L2872" t="str">
            <v>07-04-005-04W2</v>
          </cell>
          <cell r="O2872">
            <v>823.8</v>
          </cell>
          <cell r="Q2872">
            <v>0.84</v>
          </cell>
          <cell r="T2872">
            <v>161.78299999999999</v>
          </cell>
        </row>
        <row r="2873">
          <cell r="G2873">
            <v>42430</v>
          </cell>
          <cell r="L2873" t="str">
            <v>16-03-008-33W1</v>
          </cell>
          <cell r="O2873">
            <v>841.9</v>
          </cell>
          <cell r="Q2873">
            <v>1.25</v>
          </cell>
          <cell r="T2873">
            <v>161.125</v>
          </cell>
        </row>
        <row r="2874">
          <cell r="G2874">
            <v>42430</v>
          </cell>
          <cell r="L2874" t="str">
            <v>01-03-162-92W1</v>
          </cell>
          <cell r="O2874">
            <v>856.9</v>
          </cell>
          <cell r="Q2874">
            <v>0.5</v>
          </cell>
          <cell r="T2874">
            <v>160.85499999999999</v>
          </cell>
        </row>
        <row r="2875">
          <cell r="G2875">
            <v>42430</v>
          </cell>
          <cell r="L2875" t="str">
            <v>33-14-160-95W1</v>
          </cell>
          <cell r="O2875">
            <v>805.2</v>
          </cell>
          <cell r="Q2875">
            <v>0.15</v>
          </cell>
          <cell r="T2875">
            <v>152.66499999999999</v>
          </cell>
        </row>
        <row r="2876">
          <cell r="G2876">
            <v>42430</v>
          </cell>
          <cell r="L2876" t="str">
            <v>07-22-003-03W2</v>
          </cell>
          <cell r="O2876">
            <v>827.2</v>
          </cell>
          <cell r="Q2876">
            <v>0.6</v>
          </cell>
          <cell r="T2876">
            <v>147.292</v>
          </cell>
        </row>
        <row r="2877">
          <cell r="G2877">
            <v>42430</v>
          </cell>
          <cell r="L2877" t="str">
            <v>14-03-001-03W2</v>
          </cell>
          <cell r="O2877">
            <v>801.4</v>
          </cell>
          <cell r="Q2877">
            <v>0.12</v>
          </cell>
          <cell r="T2877">
            <v>139.453</v>
          </cell>
        </row>
        <row r="2878">
          <cell r="G2878">
            <v>42430</v>
          </cell>
          <cell r="L2878" t="str">
            <v>01-02-021-58W1</v>
          </cell>
          <cell r="O2878">
            <v>829.1</v>
          </cell>
          <cell r="Q2878">
            <v>0.46</v>
          </cell>
          <cell r="T2878">
            <v>132.34200000000001</v>
          </cell>
        </row>
        <row r="2879">
          <cell r="G2879">
            <v>42430</v>
          </cell>
          <cell r="L2879" t="str">
            <v>13-17-005-33W1</v>
          </cell>
          <cell r="O2879">
            <v>822.9</v>
          </cell>
          <cell r="Q2879">
            <v>0.67</v>
          </cell>
          <cell r="T2879">
            <v>121.023</v>
          </cell>
        </row>
        <row r="2880">
          <cell r="G2880">
            <v>42430</v>
          </cell>
          <cell r="L2880" t="str">
            <v>08-02-008-03W2</v>
          </cell>
          <cell r="O2880">
            <v>851.6</v>
          </cell>
          <cell r="Q2880">
            <v>0.15</v>
          </cell>
          <cell r="T2880">
            <v>113.50700000000001</v>
          </cell>
        </row>
        <row r="2881">
          <cell r="G2881">
            <v>42430</v>
          </cell>
          <cell r="L2881" t="str">
            <v>08-31-007-07W2</v>
          </cell>
          <cell r="O2881">
            <v>868.6</v>
          </cell>
          <cell r="Q2881">
            <v>1.88</v>
          </cell>
          <cell r="T2881">
            <v>112.76900000000001</v>
          </cell>
        </row>
        <row r="2882">
          <cell r="G2882">
            <v>42430</v>
          </cell>
          <cell r="L2882" t="str">
            <v>05-20-001-02W2</v>
          </cell>
          <cell r="O2882">
            <v>832.2</v>
          </cell>
          <cell r="Q2882">
            <v>0.53</v>
          </cell>
          <cell r="T2882">
            <v>111.083</v>
          </cell>
        </row>
        <row r="2883">
          <cell r="G2883">
            <v>42430</v>
          </cell>
          <cell r="L2883" t="str">
            <v>13-11-160-95W1</v>
          </cell>
          <cell r="O2883">
            <v>804.1</v>
          </cell>
          <cell r="Q2883">
            <v>0.13</v>
          </cell>
          <cell r="T2883">
            <v>109.941</v>
          </cell>
        </row>
        <row r="2884">
          <cell r="G2884">
            <v>42430</v>
          </cell>
          <cell r="L2884" t="str">
            <v>14-23-163-96W1</v>
          </cell>
          <cell r="O2884">
            <v>818.6</v>
          </cell>
          <cell r="Q2884">
            <v>0.1</v>
          </cell>
          <cell r="T2884">
            <v>104.363</v>
          </cell>
        </row>
        <row r="2885">
          <cell r="G2885">
            <v>42430</v>
          </cell>
          <cell r="L2885" t="str">
            <v>01-18-145-97W1</v>
          </cell>
          <cell r="O2885">
            <v>824.4</v>
          </cell>
          <cell r="Q2885">
            <v>0.44</v>
          </cell>
          <cell r="T2885">
            <v>97.983000000000004</v>
          </cell>
        </row>
        <row r="2886">
          <cell r="G2886">
            <v>42430</v>
          </cell>
          <cell r="L2886" t="str">
            <v>14-18-163-95W1</v>
          </cell>
          <cell r="O2886">
            <v>848.9</v>
          </cell>
          <cell r="Q2886">
            <v>1.1399999999999999</v>
          </cell>
          <cell r="T2886">
            <v>97.772000000000006</v>
          </cell>
        </row>
        <row r="2887">
          <cell r="G2887">
            <v>42430</v>
          </cell>
          <cell r="L2887" t="str">
            <v>05-25-147-98W1</v>
          </cell>
          <cell r="O2887">
            <v>814.9</v>
          </cell>
          <cell r="Q2887">
            <v>0.46</v>
          </cell>
          <cell r="T2887">
            <v>97.552999999999997</v>
          </cell>
        </row>
        <row r="2888">
          <cell r="G2888">
            <v>42430</v>
          </cell>
          <cell r="L2888" t="str">
            <v>02-30-147-97W1</v>
          </cell>
          <cell r="O2888">
            <v>809.4</v>
          </cell>
          <cell r="Q2888">
            <v>0.45</v>
          </cell>
          <cell r="T2888">
            <v>95.606999999999999</v>
          </cell>
        </row>
        <row r="2889">
          <cell r="G2889">
            <v>42430</v>
          </cell>
          <cell r="L2889" t="str">
            <v>14-30-001-04W2</v>
          </cell>
          <cell r="O2889">
            <v>830</v>
          </cell>
          <cell r="Q2889">
            <v>0.52</v>
          </cell>
          <cell r="T2889">
            <v>94.73</v>
          </cell>
        </row>
        <row r="2890">
          <cell r="G2890">
            <v>42430</v>
          </cell>
          <cell r="L2890" t="str">
            <v>01-17-143-101W1</v>
          </cell>
          <cell r="O2890">
            <v>833.7</v>
          </cell>
          <cell r="Q2890">
            <v>0.51</v>
          </cell>
          <cell r="T2890">
            <v>94.474000000000004</v>
          </cell>
        </row>
        <row r="2891">
          <cell r="G2891">
            <v>42430</v>
          </cell>
          <cell r="L2891" t="str">
            <v>01-28-142-100W1</v>
          </cell>
          <cell r="O2891">
            <v>824.5</v>
          </cell>
          <cell r="Q2891">
            <v>0.38</v>
          </cell>
          <cell r="T2891">
            <v>90.230999999999995</v>
          </cell>
        </row>
        <row r="2892">
          <cell r="G2892">
            <v>42430</v>
          </cell>
          <cell r="L2892" t="str">
            <v>01-33-141-100W1</v>
          </cell>
          <cell r="O2892">
            <v>818.5</v>
          </cell>
          <cell r="Q2892">
            <v>0.41</v>
          </cell>
          <cell r="T2892">
            <v>89.573999999999998</v>
          </cell>
        </row>
        <row r="2893">
          <cell r="G2893">
            <v>42430</v>
          </cell>
          <cell r="L2893" t="str">
            <v>04-25-144-98W1</v>
          </cell>
          <cell r="O2893">
            <v>820.7</v>
          </cell>
          <cell r="Q2893">
            <v>0.48</v>
          </cell>
          <cell r="T2893">
            <v>84.921999999999997</v>
          </cell>
        </row>
        <row r="2894">
          <cell r="G2894">
            <v>42430</v>
          </cell>
          <cell r="L2894" t="str">
            <v>13-24-160-96W1</v>
          </cell>
          <cell r="O2894">
            <v>840.7</v>
          </cell>
          <cell r="Q2894">
            <v>0.62</v>
          </cell>
          <cell r="T2894">
            <v>83.326999999999998</v>
          </cell>
        </row>
        <row r="2895">
          <cell r="G2895">
            <v>42430</v>
          </cell>
          <cell r="L2895" t="str">
            <v>02-30-004-05W2</v>
          </cell>
          <cell r="O2895">
            <v>840.8</v>
          </cell>
          <cell r="Q2895">
            <v>0.78</v>
          </cell>
          <cell r="T2895">
            <v>81.790000000000006</v>
          </cell>
        </row>
        <row r="2896">
          <cell r="G2896">
            <v>42430</v>
          </cell>
          <cell r="L2896" t="str">
            <v>01-31-164-98W1</v>
          </cell>
          <cell r="O2896">
            <v>819.5</v>
          </cell>
          <cell r="Q2896">
            <v>0.19</v>
          </cell>
          <cell r="T2896">
            <v>78.888000000000005</v>
          </cell>
        </row>
        <row r="2897">
          <cell r="G2897">
            <v>42430</v>
          </cell>
          <cell r="L2897" t="str">
            <v>01-03-155-91W1</v>
          </cell>
          <cell r="O2897">
            <v>863.3</v>
          </cell>
          <cell r="Q2897">
            <v>1.27</v>
          </cell>
          <cell r="T2897">
            <v>73.47</v>
          </cell>
        </row>
        <row r="2898">
          <cell r="G2898">
            <v>42430</v>
          </cell>
          <cell r="L2898" t="str">
            <v>01-08-162-95W1</v>
          </cell>
          <cell r="O2898">
            <v>853</v>
          </cell>
          <cell r="Q2898">
            <v>0.95</v>
          </cell>
          <cell r="T2898">
            <v>73.224999999999994</v>
          </cell>
        </row>
        <row r="2899">
          <cell r="G2899">
            <v>42430</v>
          </cell>
          <cell r="L2899" t="str">
            <v>01-55-159-94W1</v>
          </cell>
          <cell r="O2899">
            <v>810.2</v>
          </cell>
          <cell r="Q2899">
            <v>0.38</v>
          </cell>
          <cell r="T2899">
            <v>71.900999999999996</v>
          </cell>
        </row>
        <row r="2900">
          <cell r="G2900">
            <v>42430</v>
          </cell>
          <cell r="L2900" t="str">
            <v>34-01-157-95W1</v>
          </cell>
          <cell r="O2900">
            <v>819.5</v>
          </cell>
          <cell r="Q2900">
            <v>0.34</v>
          </cell>
          <cell r="T2900">
            <v>71.572000000000003</v>
          </cell>
        </row>
        <row r="2901">
          <cell r="G2901">
            <v>42430</v>
          </cell>
          <cell r="L2901" t="str">
            <v>16-31-001-32W1</v>
          </cell>
          <cell r="O2901">
            <v>843.2</v>
          </cell>
          <cell r="Q2901">
            <v>1.1000000000000001</v>
          </cell>
          <cell r="T2901">
            <v>71.344999999999999</v>
          </cell>
        </row>
        <row r="2902">
          <cell r="G2902">
            <v>42430</v>
          </cell>
          <cell r="L2902" t="str">
            <v>03-25-147-98W1</v>
          </cell>
          <cell r="O2902">
            <v>810.6</v>
          </cell>
          <cell r="Q2902">
            <v>0.42</v>
          </cell>
          <cell r="T2902">
            <v>69.481999999999999</v>
          </cell>
        </row>
        <row r="2903">
          <cell r="G2903">
            <v>42430</v>
          </cell>
          <cell r="L2903" t="str">
            <v>11-21-163-89W1</v>
          </cell>
          <cell r="O2903">
            <v>839</v>
          </cell>
          <cell r="Q2903">
            <v>0.5</v>
          </cell>
          <cell r="T2903">
            <v>68.87</v>
          </cell>
        </row>
        <row r="2904">
          <cell r="G2904">
            <v>42430</v>
          </cell>
          <cell r="L2904" t="str">
            <v>13-26-007-05W2</v>
          </cell>
          <cell r="O2904">
            <v>864.9</v>
          </cell>
          <cell r="Q2904">
            <v>1.18</v>
          </cell>
          <cell r="T2904">
            <v>68.738</v>
          </cell>
        </row>
        <row r="2905">
          <cell r="G2905">
            <v>42430</v>
          </cell>
          <cell r="L2905" t="str">
            <v>12-03-146-100W1</v>
          </cell>
          <cell r="O2905">
            <v>837.1</v>
          </cell>
          <cell r="Q2905">
            <v>0.47</v>
          </cell>
          <cell r="T2905">
            <v>68.480999999999995</v>
          </cell>
        </row>
        <row r="2906">
          <cell r="G2906">
            <v>42430</v>
          </cell>
          <cell r="L2906" t="str">
            <v>01-25-156-93W1</v>
          </cell>
          <cell r="O2906">
            <v>809.5</v>
          </cell>
          <cell r="Q2906">
            <v>0.16</v>
          </cell>
          <cell r="T2906">
            <v>68.126999999999995</v>
          </cell>
        </row>
        <row r="2907">
          <cell r="G2907">
            <v>42430</v>
          </cell>
          <cell r="L2907" t="str">
            <v>01-30-147-97W1</v>
          </cell>
          <cell r="O2907">
            <v>807.7</v>
          </cell>
          <cell r="Q2907">
            <v>0.54</v>
          </cell>
          <cell r="T2907">
            <v>67.688999999999993</v>
          </cell>
        </row>
        <row r="2908">
          <cell r="G2908">
            <v>42430</v>
          </cell>
          <cell r="L2908" t="str">
            <v>01-25-150-98W1</v>
          </cell>
          <cell r="O2908">
            <v>818.8</v>
          </cell>
          <cell r="Q2908">
            <v>0.12</v>
          </cell>
          <cell r="T2908">
            <v>67.686999999999998</v>
          </cell>
        </row>
        <row r="2909">
          <cell r="G2909">
            <v>42430</v>
          </cell>
          <cell r="L2909" t="str">
            <v>24-06-158-95W1</v>
          </cell>
          <cell r="O2909">
            <v>810.1</v>
          </cell>
          <cell r="Q2909">
            <v>0.12</v>
          </cell>
          <cell r="T2909">
            <v>66.078000000000003</v>
          </cell>
        </row>
        <row r="2910">
          <cell r="G2910">
            <v>42430</v>
          </cell>
          <cell r="L2910" t="str">
            <v>16-24-008-07W2</v>
          </cell>
          <cell r="O2910">
            <v>824.9</v>
          </cell>
          <cell r="Q2910">
            <v>0.72</v>
          </cell>
          <cell r="T2910">
            <v>65.706999999999994</v>
          </cell>
        </row>
        <row r="2911">
          <cell r="G2911">
            <v>42430</v>
          </cell>
          <cell r="L2911" t="str">
            <v>08-22-002-09W2</v>
          </cell>
          <cell r="O2911">
            <v>837.7</v>
          </cell>
          <cell r="Q2911">
            <v>0.27</v>
          </cell>
          <cell r="T2911">
            <v>64.950999999999993</v>
          </cell>
        </row>
        <row r="2912">
          <cell r="G2912">
            <v>42430</v>
          </cell>
          <cell r="L2912" t="str">
            <v>01-08-153-95W1</v>
          </cell>
          <cell r="O2912">
            <v>812.8</v>
          </cell>
          <cell r="Q2912">
            <v>0.28999999999999998</v>
          </cell>
          <cell r="T2912">
            <v>64.69</v>
          </cell>
        </row>
        <row r="2913">
          <cell r="G2913">
            <v>42430</v>
          </cell>
          <cell r="L2913" t="str">
            <v>01-01-010-04W2</v>
          </cell>
          <cell r="O2913">
            <v>843.4</v>
          </cell>
          <cell r="Q2913">
            <v>1.41</v>
          </cell>
          <cell r="T2913">
            <v>64.614000000000004</v>
          </cell>
        </row>
        <row r="2914">
          <cell r="G2914">
            <v>42430</v>
          </cell>
          <cell r="L2914" t="str">
            <v>01-28-141-100W1</v>
          </cell>
          <cell r="O2914">
            <v>829.7</v>
          </cell>
          <cell r="Q2914">
            <v>0.38</v>
          </cell>
          <cell r="T2914">
            <v>63.7</v>
          </cell>
        </row>
        <row r="2915">
          <cell r="G2915">
            <v>42430</v>
          </cell>
          <cell r="L2915" t="str">
            <v>01-21-153-95W1</v>
          </cell>
          <cell r="O2915">
            <v>832</v>
          </cell>
          <cell r="Q2915">
            <v>0.36</v>
          </cell>
          <cell r="T2915">
            <v>63.337000000000003</v>
          </cell>
        </row>
        <row r="2916">
          <cell r="G2916">
            <v>42430</v>
          </cell>
          <cell r="L2916" t="str">
            <v>01-22-142-100W1</v>
          </cell>
          <cell r="O2916">
            <v>820.2</v>
          </cell>
          <cell r="Q2916">
            <v>0.31</v>
          </cell>
          <cell r="T2916">
            <v>63.155000000000001</v>
          </cell>
        </row>
        <row r="2917">
          <cell r="G2917">
            <v>42430</v>
          </cell>
          <cell r="L2917" t="str">
            <v>01-09-143-101W1</v>
          </cell>
          <cell r="O2917">
            <v>834.1</v>
          </cell>
          <cell r="Q2917">
            <v>0.51</v>
          </cell>
          <cell r="T2917">
            <v>62.031999999999996</v>
          </cell>
        </row>
        <row r="2918">
          <cell r="G2918">
            <v>42430</v>
          </cell>
          <cell r="L2918" t="str">
            <v>02-09-142-100W1</v>
          </cell>
          <cell r="O2918">
            <v>824.9</v>
          </cell>
          <cell r="Q2918">
            <v>0.45</v>
          </cell>
          <cell r="T2918">
            <v>61.723999999999997</v>
          </cell>
        </row>
        <row r="2919">
          <cell r="G2919">
            <v>42430</v>
          </cell>
          <cell r="L2919" t="str">
            <v>04-19-147-97W1</v>
          </cell>
          <cell r="O2919">
            <v>820.6</v>
          </cell>
          <cell r="Q2919">
            <v>0.61</v>
          </cell>
          <cell r="T2919">
            <v>61.512</v>
          </cell>
        </row>
        <row r="2920">
          <cell r="G2920">
            <v>42430</v>
          </cell>
          <cell r="L2920" t="str">
            <v>01-14-001-11W2</v>
          </cell>
          <cell r="O2920">
            <v>845.8</v>
          </cell>
          <cell r="Q2920">
            <v>0.26</v>
          </cell>
          <cell r="T2920">
            <v>59.418999999999997</v>
          </cell>
        </row>
        <row r="2921">
          <cell r="G2921">
            <v>42430</v>
          </cell>
          <cell r="L2921" t="str">
            <v>16-04-006-32W1</v>
          </cell>
          <cell r="O2921">
            <v>838</v>
          </cell>
          <cell r="Q2921">
            <v>1.07</v>
          </cell>
          <cell r="T2921">
            <v>58.908000000000001</v>
          </cell>
        </row>
        <row r="2922">
          <cell r="G2922">
            <v>42430</v>
          </cell>
          <cell r="L2922" t="str">
            <v>04-11-004-32W1</v>
          </cell>
          <cell r="O2922">
            <v>840.4</v>
          </cell>
          <cell r="Q2922">
            <v>1.57</v>
          </cell>
          <cell r="T2922">
            <v>56.119</v>
          </cell>
        </row>
        <row r="2923">
          <cell r="G2923">
            <v>42430</v>
          </cell>
          <cell r="L2923" t="str">
            <v>01-28-152-101W1</v>
          </cell>
          <cell r="O2923">
            <v>830.3</v>
          </cell>
          <cell r="Q2923">
            <v>0.43</v>
          </cell>
          <cell r="T2923">
            <v>53.981000000000002</v>
          </cell>
        </row>
        <row r="2924">
          <cell r="G2924">
            <v>42430</v>
          </cell>
          <cell r="L2924" t="str">
            <v>04-04-157-95W1</v>
          </cell>
          <cell r="O2924">
            <v>842.9</v>
          </cell>
          <cell r="Q2924">
            <v>0.62</v>
          </cell>
          <cell r="T2924">
            <v>51.462000000000003</v>
          </cell>
        </row>
        <row r="2925">
          <cell r="G2925">
            <v>42430</v>
          </cell>
          <cell r="L2925" t="str">
            <v>02-34-159-95W1</v>
          </cell>
          <cell r="O2925">
            <v>852.3</v>
          </cell>
          <cell r="Q2925">
            <v>0.93</v>
          </cell>
          <cell r="T2925">
            <v>51.045999999999999</v>
          </cell>
        </row>
        <row r="2926">
          <cell r="G2926">
            <v>42430</v>
          </cell>
          <cell r="L2926" t="str">
            <v>01-13-154-95W1</v>
          </cell>
          <cell r="O2926">
            <v>824.2</v>
          </cell>
          <cell r="Q2926">
            <v>0.59</v>
          </cell>
          <cell r="T2926">
            <v>50.594000000000001</v>
          </cell>
        </row>
        <row r="2927">
          <cell r="G2927">
            <v>42430</v>
          </cell>
          <cell r="L2927" t="str">
            <v>01-03-158-95W1</v>
          </cell>
          <cell r="O2927">
            <v>844.6</v>
          </cell>
          <cell r="Q2927">
            <v>0.75</v>
          </cell>
          <cell r="T2927">
            <v>49.268000000000001</v>
          </cell>
        </row>
        <row r="2928">
          <cell r="G2928">
            <v>42430</v>
          </cell>
          <cell r="L2928" t="str">
            <v>26-35-163-97W1</v>
          </cell>
          <cell r="O2928">
            <v>820.8</v>
          </cell>
          <cell r="Q2928">
            <v>0.19</v>
          </cell>
          <cell r="T2928">
            <v>48.765999999999998</v>
          </cell>
        </row>
        <row r="2929">
          <cell r="G2929">
            <v>42430</v>
          </cell>
          <cell r="L2929" t="str">
            <v>01-02-151-102W1</v>
          </cell>
          <cell r="O2929">
            <v>830.4</v>
          </cell>
          <cell r="Q2929">
            <v>0.34</v>
          </cell>
          <cell r="T2929">
            <v>48.466000000000001</v>
          </cell>
        </row>
        <row r="2930">
          <cell r="G2930">
            <v>42430</v>
          </cell>
          <cell r="L2930" t="str">
            <v>12-20-008-02W2</v>
          </cell>
          <cell r="O2930">
            <v>857.6</v>
          </cell>
          <cell r="Q2930">
            <v>1.77</v>
          </cell>
          <cell r="T2930">
            <v>47.94</v>
          </cell>
        </row>
        <row r="2931">
          <cell r="G2931">
            <v>42430</v>
          </cell>
          <cell r="L2931" t="str">
            <v>99-31-160-94W1</v>
          </cell>
          <cell r="O2931">
            <v>817.3</v>
          </cell>
          <cell r="Q2931">
            <v>0.25</v>
          </cell>
          <cell r="T2931">
            <v>45.343000000000004</v>
          </cell>
        </row>
        <row r="2932">
          <cell r="G2932">
            <v>42430</v>
          </cell>
          <cell r="L2932" t="str">
            <v>02-11-163-97W1</v>
          </cell>
          <cell r="O2932">
            <v>828.5</v>
          </cell>
          <cell r="Q2932">
            <v>0.1</v>
          </cell>
          <cell r="T2932">
            <v>42.593000000000004</v>
          </cell>
        </row>
        <row r="2933">
          <cell r="G2933">
            <v>42430</v>
          </cell>
          <cell r="L2933" t="str">
            <v>03-25-144-98W1</v>
          </cell>
          <cell r="O2933">
            <v>844.5</v>
          </cell>
          <cell r="Q2933">
            <v>0.48</v>
          </cell>
          <cell r="T2933">
            <v>42.526000000000003</v>
          </cell>
        </row>
        <row r="2934">
          <cell r="G2934">
            <v>42430</v>
          </cell>
          <cell r="L2934" t="str">
            <v>07-29-009-04W2</v>
          </cell>
          <cell r="O2934">
            <v>839.9</v>
          </cell>
          <cell r="Q2934">
            <v>1.1399999999999999</v>
          </cell>
          <cell r="T2934">
            <v>37.290999999999997</v>
          </cell>
        </row>
        <row r="2935">
          <cell r="G2935">
            <v>42430</v>
          </cell>
          <cell r="L2935" t="str">
            <v>01-13-022-57W1</v>
          </cell>
          <cell r="O2935">
            <v>816.4</v>
          </cell>
          <cell r="Q2935">
            <v>0.11</v>
          </cell>
          <cell r="T2935">
            <v>36.695</v>
          </cell>
        </row>
        <row r="2936">
          <cell r="G2936">
            <v>42430</v>
          </cell>
          <cell r="L2936" t="str">
            <v>01-15-022-57W1</v>
          </cell>
          <cell r="O2936">
            <v>810.5</v>
          </cell>
          <cell r="Q2936">
            <v>0.37</v>
          </cell>
          <cell r="T2936">
            <v>36.478999999999999</v>
          </cell>
        </row>
        <row r="2937">
          <cell r="G2937">
            <v>42430</v>
          </cell>
          <cell r="L2937" t="str">
            <v>01-20-147-97W1</v>
          </cell>
          <cell r="O2937">
            <v>820.6</v>
          </cell>
          <cell r="Q2937">
            <v>0.7</v>
          </cell>
          <cell r="T2937">
            <v>36.081000000000003</v>
          </cell>
        </row>
        <row r="2938">
          <cell r="G2938">
            <v>42430</v>
          </cell>
          <cell r="L2938" t="str">
            <v>09-24-001-01W2</v>
          </cell>
          <cell r="O2938">
            <v>848.6</v>
          </cell>
          <cell r="Q2938">
            <v>0.56999999999999995</v>
          </cell>
          <cell r="T2938">
            <v>34.414000000000001</v>
          </cell>
        </row>
        <row r="2939">
          <cell r="G2939">
            <v>42430</v>
          </cell>
          <cell r="L2939" t="str">
            <v>24-01-142-100W1</v>
          </cell>
          <cell r="O2939">
            <v>826.3</v>
          </cell>
          <cell r="Q2939">
            <v>0.08</v>
          </cell>
          <cell r="T2939">
            <v>34.084000000000003</v>
          </cell>
        </row>
        <row r="2940">
          <cell r="G2940">
            <v>42430</v>
          </cell>
          <cell r="L2940" t="str">
            <v>04-24-147-98W1</v>
          </cell>
          <cell r="O2940">
            <v>814.1</v>
          </cell>
          <cell r="Q2940">
            <v>0.56000000000000005</v>
          </cell>
          <cell r="T2940">
            <v>33.776000000000003</v>
          </cell>
        </row>
        <row r="2941">
          <cell r="G2941">
            <v>42430</v>
          </cell>
          <cell r="L2941" t="str">
            <v>10-30-147-97W1</v>
          </cell>
          <cell r="O2941">
            <v>822.5</v>
          </cell>
          <cell r="Q2941">
            <v>0.46</v>
          </cell>
          <cell r="T2941">
            <v>33.530999999999999</v>
          </cell>
        </row>
        <row r="2942">
          <cell r="G2942">
            <v>42430</v>
          </cell>
          <cell r="L2942" t="str">
            <v>02-05-154-95W1</v>
          </cell>
          <cell r="O2942">
            <v>815.1</v>
          </cell>
          <cell r="Q2942">
            <v>0.36</v>
          </cell>
          <cell r="T2942">
            <v>32.960999999999999</v>
          </cell>
        </row>
        <row r="2943">
          <cell r="G2943">
            <v>42430</v>
          </cell>
          <cell r="L2943" t="str">
            <v>25-11-159-102W1</v>
          </cell>
          <cell r="O2943">
            <v>829.3</v>
          </cell>
          <cell r="Q2943">
            <v>0.43</v>
          </cell>
          <cell r="T2943">
            <v>32.475000000000001</v>
          </cell>
        </row>
        <row r="2944">
          <cell r="G2944">
            <v>42430</v>
          </cell>
          <cell r="L2944" t="str">
            <v>03-05-157-95W1</v>
          </cell>
          <cell r="O2944">
            <v>838</v>
          </cell>
          <cell r="Q2944">
            <v>0.74</v>
          </cell>
          <cell r="T2944">
            <v>32.072000000000003</v>
          </cell>
        </row>
        <row r="2945">
          <cell r="G2945">
            <v>42430</v>
          </cell>
          <cell r="L2945" t="str">
            <v>03-10-151-96W1</v>
          </cell>
          <cell r="O2945">
            <v>809.7</v>
          </cell>
          <cell r="Q2945">
            <v>0.24</v>
          </cell>
          <cell r="T2945">
            <v>30.943999999999999</v>
          </cell>
        </row>
        <row r="2946">
          <cell r="G2946">
            <v>42430</v>
          </cell>
          <cell r="L2946" t="str">
            <v>02-18-154-95W1</v>
          </cell>
          <cell r="O2946">
            <v>815.6</v>
          </cell>
          <cell r="Q2946">
            <v>0.46</v>
          </cell>
          <cell r="T2946">
            <v>30.527999999999999</v>
          </cell>
        </row>
        <row r="2947">
          <cell r="G2947">
            <v>42430</v>
          </cell>
          <cell r="L2947" t="str">
            <v>01-32-164-01W1</v>
          </cell>
          <cell r="O2947">
            <v>843.8</v>
          </cell>
          <cell r="Q2947">
            <v>0.47</v>
          </cell>
          <cell r="T2947">
            <v>29.981999999999999</v>
          </cell>
        </row>
        <row r="2948">
          <cell r="G2948">
            <v>42430</v>
          </cell>
          <cell r="L2948" t="str">
            <v>01-33-164-91W1</v>
          </cell>
          <cell r="O2948">
            <v>828.8</v>
          </cell>
          <cell r="Q2948">
            <v>0.53</v>
          </cell>
          <cell r="T2948">
            <v>29.966999999999999</v>
          </cell>
        </row>
        <row r="2949">
          <cell r="G2949">
            <v>42430</v>
          </cell>
          <cell r="L2949" t="str">
            <v>16-04-151-96W1</v>
          </cell>
          <cell r="O2949">
            <v>810.7</v>
          </cell>
          <cell r="Q2949">
            <v>0.28000000000000003</v>
          </cell>
          <cell r="T2949">
            <v>29.867999999999999</v>
          </cell>
        </row>
        <row r="2950">
          <cell r="G2950">
            <v>42430</v>
          </cell>
          <cell r="L2950" t="str">
            <v>01-12-163-91W1</v>
          </cell>
          <cell r="O2950">
            <v>846.3</v>
          </cell>
          <cell r="Q2950">
            <v>0.53</v>
          </cell>
          <cell r="T2950">
            <v>29.744</v>
          </cell>
        </row>
        <row r="2951">
          <cell r="G2951">
            <v>42430</v>
          </cell>
          <cell r="L2951" t="str">
            <v>05-16-163-91W1</v>
          </cell>
          <cell r="O2951">
            <v>836.7</v>
          </cell>
          <cell r="Q2951">
            <v>0.5</v>
          </cell>
          <cell r="T2951">
            <v>29.734000000000002</v>
          </cell>
        </row>
        <row r="2952">
          <cell r="G2952">
            <v>42430</v>
          </cell>
          <cell r="L2952" t="str">
            <v>24-01-160-96W1</v>
          </cell>
          <cell r="O2952">
            <v>832.9</v>
          </cell>
          <cell r="Q2952">
            <v>0.52</v>
          </cell>
          <cell r="T2952">
            <v>29.728000000000002</v>
          </cell>
        </row>
        <row r="2953">
          <cell r="G2953">
            <v>42430</v>
          </cell>
          <cell r="L2953" t="str">
            <v>01-26-144-98W1</v>
          </cell>
          <cell r="O2953">
            <v>835.7</v>
          </cell>
          <cell r="Q2953">
            <v>0.47</v>
          </cell>
          <cell r="T2953">
            <v>29.605</v>
          </cell>
        </row>
        <row r="2954">
          <cell r="G2954">
            <v>42430</v>
          </cell>
          <cell r="L2954" t="str">
            <v>11-24-160-95W1</v>
          </cell>
          <cell r="O2954">
            <v>806.8</v>
          </cell>
          <cell r="Q2954">
            <v>0.37</v>
          </cell>
          <cell r="T2954">
            <v>28.978000000000002</v>
          </cell>
        </row>
        <row r="2955">
          <cell r="G2955">
            <v>42430</v>
          </cell>
          <cell r="L2955" t="str">
            <v>04-05-006-02W2</v>
          </cell>
          <cell r="O2955">
            <v>840.5</v>
          </cell>
          <cell r="Q2955">
            <v>1.17</v>
          </cell>
          <cell r="T2955">
            <v>28.568000000000001</v>
          </cell>
        </row>
        <row r="2956">
          <cell r="G2956">
            <v>42430</v>
          </cell>
          <cell r="L2956" t="str">
            <v>03-03-157-95W1</v>
          </cell>
          <cell r="O2956">
            <v>820.2</v>
          </cell>
          <cell r="Q2956">
            <v>0.51</v>
          </cell>
          <cell r="T2956">
            <v>27.748999999999999</v>
          </cell>
        </row>
        <row r="2957">
          <cell r="G2957">
            <v>42430</v>
          </cell>
          <cell r="L2957" t="str">
            <v>03-01-158-95W1</v>
          </cell>
          <cell r="O2957">
            <v>829.5</v>
          </cell>
          <cell r="Q2957">
            <v>0.61</v>
          </cell>
          <cell r="T2957">
            <v>27.245000000000001</v>
          </cell>
        </row>
        <row r="2958">
          <cell r="G2958">
            <v>42430</v>
          </cell>
          <cell r="L2958" t="str">
            <v>01-12-159-96W1</v>
          </cell>
          <cell r="O2958">
            <v>836</v>
          </cell>
          <cell r="Q2958">
            <v>0.5</v>
          </cell>
          <cell r="T2958">
            <v>27.047999999999998</v>
          </cell>
        </row>
        <row r="2959">
          <cell r="G2959">
            <v>42430</v>
          </cell>
          <cell r="L2959" t="str">
            <v>10-01-157-95W1</v>
          </cell>
          <cell r="O2959">
            <v>831.5</v>
          </cell>
          <cell r="Q2959">
            <v>0.56000000000000005</v>
          </cell>
          <cell r="T2959">
            <v>26.766999999999999</v>
          </cell>
        </row>
        <row r="2960">
          <cell r="G2960">
            <v>42430</v>
          </cell>
          <cell r="L2960" t="str">
            <v>05-01-144-97W1</v>
          </cell>
          <cell r="O2960">
            <v>827.1</v>
          </cell>
          <cell r="Q2960">
            <v>0.51</v>
          </cell>
          <cell r="T2960">
            <v>26.626000000000001</v>
          </cell>
        </row>
        <row r="2961">
          <cell r="G2961">
            <v>42430</v>
          </cell>
          <cell r="L2961" t="str">
            <v>01-06-002-32W1</v>
          </cell>
          <cell r="O2961">
            <v>830.6</v>
          </cell>
          <cell r="Q2961">
            <v>0.81</v>
          </cell>
          <cell r="T2961">
            <v>26.347999999999999</v>
          </cell>
        </row>
        <row r="2962">
          <cell r="G2962">
            <v>42430</v>
          </cell>
          <cell r="L2962" t="str">
            <v>01-34-159-95W1</v>
          </cell>
          <cell r="O2962">
            <v>832.8</v>
          </cell>
          <cell r="Q2962">
            <v>0.56999999999999995</v>
          </cell>
          <cell r="T2962">
            <v>25.314</v>
          </cell>
        </row>
        <row r="2963">
          <cell r="G2963">
            <v>42430</v>
          </cell>
          <cell r="L2963" t="str">
            <v>01-14-163-91W1</v>
          </cell>
          <cell r="O2963">
            <v>849.8</v>
          </cell>
          <cell r="Q2963">
            <v>0.5</v>
          </cell>
          <cell r="T2963">
            <v>25.225000000000001</v>
          </cell>
        </row>
        <row r="2964">
          <cell r="G2964">
            <v>42430</v>
          </cell>
          <cell r="L2964" t="str">
            <v>01-05-161-95W1</v>
          </cell>
          <cell r="O2964">
            <v>834.2</v>
          </cell>
          <cell r="Q2964">
            <v>0.63</v>
          </cell>
          <cell r="T2964">
            <v>25.103000000000002</v>
          </cell>
        </row>
        <row r="2965">
          <cell r="G2965">
            <v>42430</v>
          </cell>
          <cell r="L2965" t="str">
            <v>01-34-164-92W1</v>
          </cell>
          <cell r="O2965">
            <v>831.1</v>
          </cell>
          <cell r="Q2965">
            <v>0.6</v>
          </cell>
          <cell r="T2965">
            <v>25.093</v>
          </cell>
        </row>
        <row r="2966">
          <cell r="G2966">
            <v>42430</v>
          </cell>
          <cell r="L2966" t="str">
            <v>12-10-163-92W1</v>
          </cell>
          <cell r="O2966">
            <v>827.4</v>
          </cell>
          <cell r="Q2966">
            <v>0.57999999999999996</v>
          </cell>
          <cell r="T2966">
            <v>24.832000000000001</v>
          </cell>
        </row>
        <row r="2967">
          <cell r="G2967">
            <v>42430</v>
          </cell>
          <cell r="L2967" t="str">
            <v>11-15-163-89W1</v>
          </cell>
          <cell r="O2967">
            <v>845.7</v>
          </cell>
          <cell r="Q2967">
            <v>0.38</v>
          </cell>
          <cell r="T2967">
            <v>24.702000000000002</v>
          </cell>
        </row>
        <row r="2968">
          <cell r="G2968">
            <v>42430</v>
          </cell>
          <cell r="L2968" t="str">
            <v>03-16-163-91W1</v>
          </cell>
          <cell r="O2968">
            <v>836.7</v>
          </cell>
          <cell r="Q2968">
            <v>0.46</v>
          </cell>
          <cell r="T2968">
            <v>24.626999999999999</v>
          </cell>
        </row>
        <row r="2969">
          <cell r="G2969">
            <v>42430</v>
          </cell>
          <cell r="L2969" t="str">
            <v>34-31-143-102W1</v>
          </cell>
          <cell r="O2969">
            <v>853.9</v>
          </cell>
          <cell r="Q2969">
            <v>0.08</v>
          </cell>
          <cell r="T2969">
            <v>23.969000000000001</v>
          </cell>
        </row>
        <row r="2970">
          <cell r="G2970">
            <v>42430</v>
          </cell>
          <cell r="L2970" t="str">
            <v>01-29-162-92W1</v>
          </cell>
          <cell r="O2970">
            <v>844.5</v>
          </cell>
          <cell r="Q2970">
            <v>0.55000000000000004</v>
          </cell>
          <cell r="T2970">
            <v>23.343</v>
          </cell>
        </row>
        <row r="2971">
          <cell r="G2971">
            <v>42430</v>
          </cell>
          <cell r="L2971" t="str">
            <v>01-21-159-94W1</v>
          </cell>
          <cell r="O2971">
            <v>838.7</v>
          </cell>
          <cell r="Q2971">
            <v>0.5</v>
          </cell>
          <cell r="T2971">
            <v>22.753</v>
          </cell>
        </row>
        <row r="2972">
          <cell r="G2972">
            <v>42430</v>
          </cell>
          <cell r="L2972" t="str">
            <v>34-02-157-95W1</v>
          </cell>
          <cell r="O2972">
            <v>846</v>
          </cell>
          <cell r="Q2972">
            <v>0.82</v>
          </cell>
          <cell r="T2972">
            <v>22.244</v>
          </cell>
        </row>
        <row r="2973">
          <cell r="G2973">
            <v>42430</v>
          </cell>
          <cell r="L2973" t="str">
            <v>01-24-144-98W1</v>
          </cell>
          <cell r="O2973">
            <v>824.3</v>
          </cell>
          <cell r="Q2973">
            <v>0.61</v>
          </cell>
          <cell r="T2973">
            <v>20.585999999999999</v>
          </cell>
        </row>
        <row r="2974">
          <cell r="G2974">
            <v>42430</v>
          </cell>
          <cell r="L2974" t="str">
            <v>01-36-003-03W2</v>
          </cell>
          <cell r="O2974">
            <v>835.4</v>
          </cell>
          <cell r="Q2974">
            <v>0.76</v>
          </cell>
          <cell r="T2974">
            <v>641.19399999999996</v>
          </cell>
        </row>
        <row r="2975">
          <cell r="G2975">
            <v>42430</v>
          </cell>
          <cell r="L2975" t="str">
            <v>15-09-007-03W2</v>
          </cell>
          <cell r="O2975">
            <v>844.2</v>
          </cell>
          <cell r="Q2975">
            <v>1.29</v>
          </cell>
          <cell r="T2975">
            <v>563.78700000000003</v>
          </cell>
        </row>
        <row r="2976">
          <cell r="G2976">
            <v>42430</v>
          </cell>
          <cell r="L2976" t="str">
            <v>07-23-010-06W2</v>
          </cell>
          <cell r="O2976">
            <v>845.1</v>
          </cell>
          <cell r="Q2976">
            <v>1.51</v>
          </cell>
          <cell r="T2976">
            <v>455.39299999999997</v>
          </cell>
        </row>
        <row r="2977">
          <cell r="G2977">
            <v>42430</v>
          </cell>
          <cell r="L2977" t="str">
            <v>08-17-005-03W2</v>
          </cell>
          <cell r="O2977">
            <v>858.1</v>
          </cell>
          <cell r="Q2977">
            <v>1.41</v>
          </cell>
          <cell r="T2977">
            <v>141.91900000000001</v>
          </cell>
        </row>
        <row r="2978">
          <cell r="G2978">
            <v>42430</v>
          </cell>
          <cell r="L2978" t="str">
            <v>11-36-005-04W2</v>
          </cell>
          <cell r="O2978">
            <v>844.1</v>
          </cell>
          <cell r="Q2978">
            <v>1</v>
          </cell>
          <cell r="T2978">
            <v>84.775999999999996</v>
          </cell>
        </row>
        <row r="2979">
          <cell r="G2979">
            <v>42430</v>
          </cell>
          <cell r="L2979" t="str">
            <v>12-22-010-05W2</v>
          </cell>
          <cell r="O2979">
            <v>865.4</v>
          </cell>
          <cell r="Q2979">
            <v>1.88</v>
          </cell>
          <cell r="T2979">
            <v>51.746000000000002</v>
          </cell>
        </row>
        <row r="2980">
          <cell r="G2980">
            <v>42430</v>
          </cell>
          <cell r="L2980" t="str">
            <v>09-26-007-05W2</v>
          </cell>
          <cell r="O2980">
            <v>865.8</v>
          </cell>
          <cell r="Q2980">
            <v>1.67</v>
          </cell>
          <cell r="T2980">
            <v>34.476999999999997</v>
          </cell>
        </row>
        <row r="2981">
          <cell r="G2981">
            <v>42430</v>
          </cell>
          <cell r="L2981" t="str">
            <v>05-16-006-13W2</v>
          </cell>
          <cell r="O2981">
            <v>868.9</v>
          </cell>
          <cell r="Q2981">
            <v>2.41</v>
          </cell>
          <cell r="T2981">
            <v>116985.039</v>
          </cell>
        </row>
        <row r="2982">
          <cell r="G2982">
            <v>42430</v>
          </cell>
          <cell r="L2982" t="str">
            <v>08-28-005-33W1</v>
          </cell>
          <cell r="O2982">
            <v>817.8</v>
          </cell>
          <cell r="Q2982">
            <v>0.97</v>
          </cell>
          <cell r="T2982">
            <v>109333.743</v>
          </cell>
        </row>
        <row r="2983">
          <cell r="G2983">
            <v>42430</v>
          </cell>
          <cell r="L2983" t="str">
            <v>14-05-002-31W1</v>
          </cell>
          <cell r="O2983">
            <v>860.6</v>
          </cell>
          <cell r="Q2983">
            <v>1.71</v>
          </cell>
          <cell r="T2983">
            <v>3527.752</v>
          </cell>
        </row>
        <row r="2984">
          <cell r="G2984">
            <v>42430</v>
          </cell>
          <cell r="L2984" t="str">
            <v>14-13-002-02W2</v>
          </cell>
          <cell r="O2984">
            <v>823.3</v>
          </cell>
          <cell r="Q2984">
            <v>0.54</v>
          </cell>
          <cell r="T2984">
            <v>1816.9280000000001</v>
          </cell>
        </row>
        <row r="2985">
          <cell r="G2985">
            <v>42430</v>
          </cell>
          <cell r="L2985" t="str">
            <v>15-26-001-31W1</v>
          </cell>
          <cell r="O2985">
            <v>874.2</v>
          </cell>
          <cell r="Q2985">
            <v>1.95</v>
          </cell>
          <cell r="T2985">
            <v>1715.549</v>
          </cell>
        </row>
        <row r="2986">
          <cell r="G2986">
            <v>42430</v>
          </cell>
          <cell r="L2986" t="str">
            <v>02-25-002-03W2</v>
          </cell>
          <cell r="O2986">
            <v>825.4</v>
          </cell>
          <cell r="Q2986">
            <v>0.5</v>
          </cell>
          <cell r="T2986">
            <v>1218.192</v>
          </cell>
        </row>
        <row r="2987">
          <cell r="G2987">
            <v>42430</v>
          </cell>
          <cell r="L2987" t="str">
            <v>16-03-001-03W2</v>
          </cell>
          <cell r="O2987">
            <v>815.1</v>
          </cell>
          <cell r="Q2987">
            <v>0.62</v>
          </cell>
          <cell r="T2987">
            <v>1209.8530000000001</v>
          </cell>
        </row>
        <row r="2988">
          <cell r="G2988">
            <v>42430</v>
          </cell>
          <cell r="L2988" t="str">
            <v>16-03-008-33W1</v>
          </cell>
          <cell r="O2988">
            <v>844.7</v>
          </cell>
          <cell r="Q2988">
            <v>1.25</v>
          </cell>
          <cell r="T2988">
            <v>1175.953</v>
          </cell>
        </row>
        <row r="2989">
          <cell r="G2989">
            <v>42430</v>
          </cell>
          <cell r="L2989" t="str">
            <v>01-35-007-01W2</v>
          </cell>
          <cell r="O2989">
            <v>843.5</v>
          </cell>
          <cell r="Q2989">
            <v>1.1399999999999999</v>
          </cell>
          <cell r="T2989">
            <v>1040.8420000000001</v>
          </cell>
        </row>
        <row r="2990">
          <cell r="G2990">
            <v>42430</v>
          </cell>
          <cell r="L2990" t="str">
            <v>05-18-004-02W2</v>
          </cell>
          <cell r="O2990">
            <v>853.8</v>
          </cell>
          <cell r="Q2990">
            <v>1.1299999999999999</v>
          </cell>
          <cell r="T2990">
            <v>910.42100000000005</v>
          </cell>
        </row>
        <row r="2991">
          <cell r="G2991">
            <v>42430</v>
          </cell>
          <cell r="L2991" t="str">
            <v>05-20-001-02W2</v>
          </cell>
          <cell r="O2991">
            <v>826.2</v>
          </cell>
          <cell r="Q2991">
            <v>0.53</v>
          </cell>
          <cell r="T2991">
            <v>888.41700000000003</v>
          </cell>
        </row>
        <row r="2992">
          <cell r="G2992">
            <v>42430</v>
          </cell>
          <cell r="L2992" t="str">
            <v>13-17-005-33W1</v>
          </cell>
          <cell r="O2992">
            <v>825.8</v>
          </cell>
          <cell r="Q2992">
            <v>0.67</v>
          </cell>
          <cell r="T2992">
            <v>751.36800000000005</v>
          </cell>
        </row>
        <row r="2993">
          <cell r="G2993">
            <v>42430</v>
          </cell>
          <cell r="L2993" t="str">
            <v>02-31-145-98W1</v>
          </cell>
          <cell r="O2993">
            <v>814.3</v>
          </cell>
          <cell r="Q2993">
            <v>0.41</v>
          </cell>
          <cell r="T2993">
            <v>569.47799999999995</v>
          </cell>
        </row>
        <row r="2994">
          <cell r="G2994">
            <v>42430</v>
          </cell>
          <cell r="L2994" t="str">
            <v>16-31-001-32W1</v>
          </cell>
          <cell r="O2994">
            <v>844.9</v>
          </cell>
          <cell r="Q2994">
            <v>1.1000000000000001</v>
          </cell>
          <cell r="T2994">
            <v>536.80700000000002</v>
          </cell>
        </row>
        <row r="2995">
          <cell r="G2995">
            <v>42430</v>
          </cell>
          <cell r="L2995" t="str">
            <v>03-10-145-98W1</v>
          </cell>
          <cell r="O2995">
            <v>814.2</v>
          </cell>
          <cell r="Q2995">
            <v>0.37</v>
          </cell>
          <cell r="T2995">
            <v>482.57900000000001</v>
          </cell>
        </row>
        <row r="2996">
          <cell r="G2996">
            <v>42430</v>
          </cell>
          <cell r="L2996" t="str">
            <v>01-35-006-30W1</v>
          </cell>
          <cell r="O2996">
            <v>818.4</v>
          </cell>
          <cell r="Q2996">
            <v>0.3</v>
          </cell>
          <cell r="T2996">
            <v>481.45</v>
          </cell>
        </row>
        <row r="2997">
          <cell r="G2997">
            <v>42430</v>
          </cell>
          <cell r="L2997" t="str">
            <v>16-04-006-32W1</v>
          </cell>
          <cell r="O2997">
            <v>843.4</v>
          </cell>
          <cell r="Q2997">
            <v>1.07</v>
          </cell>
          <cell r="T2997">
            <v>476.85899999999998</v>
          </cell>
        </row>
        <row r="2998">
          <cell r="G2998">
            <v>42430</v>
          </cell>
          <cell r="L2998" t="str">
            <v>14-19-006-33W1</v>
          </cell>
          <cell r="O2998">
            <v>836.5</v>
          </cell>
          <cell r="Q2998">
            <v>1.2</v>
          </cell>
          <cell r="T2998">
            <v>459.33</v>
          </cell>
        </row>
        <row r="2999">
          <cell r="G2999">
            <v>42430</v>
          </cell>
          <cell r="L2999" t="str">
            <v>14-03-001-03W2</v>
          </cell>
          <cell r="O2999">
            <v>803</v>
          </cell>
          <cell r="Q2999">
            <v>0.12</v>
          </cell>
          <cell r="T2999">
            <v>448.02199999999999</v>
          </cell>
        </row>
        <row r="3000">
          <cell r="G3000">
            <v>42430</v>
          </cell>
          <cell r="L3000" t="str">
            <v>08-16-007-29W1</v>
          </cell>
          <cell r="O3000">
            <v>824.2</v>
          </cell>
          <cell r="Q3000">
            <v>0.23</v>
          </cell>
          <cell r="T3000">
            <v>388.82400000000001</v>
          </cell>
        </row>
        <row r="3001">
          <cell r="G3001">
            <v>42430</v>
          </cell>
          <cell r="L3001" t="str">
            <v>01-01-010-04W2</v>
          </cell>
          <cell r="O3001">
            <v>842.3</v>
          </cell>
          <cell r="Q3001">
            <v>1.41</v>
          </cell>
          <cell r="T3001">
            <v>344.67500000000001</v>
          </cell>
        </row>
        <row r="3002">
          <cell r="G3002">
            <v>42430</v>
          </cell>
          <cell r="L3002" t="str">
            <v>01-19-145-98W1</v>
          </cell>
          <cell r="O3002">
            <v>817.8</v>
          </cell>
          <cell r="Q3002">
            <v>0.36</v>
          </cell>
          <cell r="T3002">
            <v>340.57600000000002</v>
          </cell>
        </row>
        <row r="3003">
          <cell r="G3003">
            <v>42430</v>
          </cell>
          <cell r="L3003" t="str">
            <v>08-02-008-03W2</v>
          </cell>
          <cell r="O3003">
            <v>853.3</v>
          </cell>
          <cell r="Q3003">
            <v>0.15</v>
          </cell>
          <cell r="T3003">
            <v>329.964</v>
          </cell>
        </row>
        <row r="3004">
          <cell r="G3004">
            <v>42430</v>
          </cell>
          <cell r="L3004" t="str">
            <v>08-23-007-30W1</v>
          </cell>
          <cell r="O3004">
            <v>813.8</v>
          </cell>
          <cell r="Q3004">
            <v>0.22</v>
          </cell>
          <cell r="T3004">
            <v>329.8</v>
          </cell>
        </row>
        <row r="3005">
          <cell r="G3005">
            <v>42430</v>
          </cell>
          <cell r="L3005" t="str">
            <v>14-23-005-02W2</v>
          </cell>
          <cell r="O3005">
            <v>849.3</v>
          </cell>
          <cell r="Q3005">
            <v>1.35</v>
          </cell>
          <cell r="T3005">
            <v>297.03699999999998</v>
          </cell>
        </row>
        <row r="3006">
          <cell r="G3006">
            <v>42430</v>
          </cell>
          <cell r="L3006" t="str">
            <v>02-34-143-100W1</v>
          </cell>
          <cell r="O3006">
            <v>827</v>
          </cell>
          <cell r="Q3006">
            <v>0.33</v>
          </cell>
          <cell r="T3006">
            <v>266.964</v>
          </cell>
        </row>
        <row r="3007">
          <cell r="G3007">
            <v>42430</v>
          </cell>
          <cell r="L3007" t="str">
            <v>13-13-002-33W1</v>
          </cell>
          <cell r="O3007">
            <v>843</v>
          </cell>
          <cell r="Q3007">
            <v>0.72</v>
          </cell>
          <cell r="T3007">
            <v>260.43299999999999</v>
          </cell>
        </row>
        <row r="3008">
          <cell r="G3008">
            <v>42430</v>
          </cell>
          <cell r="L3008" t="str">
            <v>03-05-006-02W2</v>
          </cell>
          <cell r="O3008">
            <v>843.4</v>
          </cell>
          <cell r="Q3008">
            <v>1.03</v>
          </cell>
          <cell r="T3008">
            <v>221.40899999999999</v>
          </cell>
        </row>
        <row r="3009">
          <cell r="G3009">
            <v>42430</v>
          </cell>
          <cell r="L3009" t="str">
            <v>04-11-004-32W1</v>
          </cell>
          <cell r="O3009">
            <v>853.9</v>
          </cell>
          <cell r="Q3009">
            <v>1.57</v>
          </cell>
          <cell r="T3009">
            <v>212.495</v>
          </cell>
        </row>
        <row r="3010">
          <cell r="G3010">
            <v>42430</v>
          </cell>
          <cell r="L3010" t="str">
            <v>04-05-006-02W2</v>
          </cell>
          <cell r="O3010">
            <v>843.7</v>
          </cell>
          <cell r="Q3010">
            <v>1.17</v>
          </cell>
          <cell r="T3010">
            <v>203.554</v>
          </cell>
        </row>
        <row r="3011">
          <cell r="G3011">
            <v>42430</v>
          </cell>
          <cell r="L3011" t="str">
            <v>03-03-002-32W1</v>
          </cell>
          <cell r="O3011">
            <v>826.8</v>
          </cell>
          <cell r="Q3011">
            <v>0.91</v>
          </cell>
          <cell r="T3011">
            <v>198.46899999999999</v>
          </cell>
        </row>
        <row r="3012">
          <cell r="G3012">
            <v>42430</v>
          </cell>
          <cell r="L3012" t="str">
            <v>01-02-021-58W1</v>
          </cell>
          <cell r="O3012">
            <v>837.8</v>
          </cell>
          <cell r="Q3012">
            <v>0.46</v>
          </cell>
          <cell r="T3012">
            <v>186.012</v>
          </cell>
        </row>
        <row r="3013">
          <cell r="G3013">
            <v>42430</v>
          </cell>
          <cell r="L3013" t="str">
            <v>15-26-001-31W1</v>
          </cell>
          <cell r="O3013">
            <v>873</v>
          </cell>
          <cell r="Q3013">
            <v>1.95</v>
          </cell>
          <cell r="T3013">
            <v>178.43</v>
          </cell>
        </row>
        <row r="3014">
          <cell r="G3014">
            <v>42430</v>
          </cell>
          <cell r="L3014" t="str">
            <v>16-16-006-02W2</v>
          </cell>
          <cell r="O3014">
            <v>853</v>
          </cell>
          <cell r="Q3014">
            <v>1.1399999999999999</v>
          </cell>
          <cell r="T3014">
            <v>170.92500000000001</v>
          </cell>
        </row>
        <row r="3015">
          <cell r="G3015">
            <v>42430</v>
          </cell>
          <cell r="L3015" t="str">
            <v>01-28-142-100W1</v>
          </cell>
          <cell r="O3015">
            <v>823</v>
          </cell>
          <cell r="Q3015">
            <v>0.38</v>
          </cell>
          <cell r="T3015">
            <v>162.80000000000001</v>
          </cell>
        </row>
        <row r="3016">
          <cell r="G3016">
            <v>42430</v>
          </cell>
          <cell r="L3016" t="str">
            <v>10-17-007-33W1</v>
          </cell>
          <cell r="O3016">
            <v>845.4</v>
          </cell>
          <cell r="Q3016">
            <v>1.17</v>
          </cell>
          <cell r="T3016">
            <v>161.851</v>
          </cell>
        </row>
        <row r="3017">
          <cell r="G3017">
            <v>42430</v>
          </cell>
          <cell r="L3017" t="str">
            <v>03-25-147-98W1</v>
          </cell>
          <cell r="O3017">
            <v>817.7</v>
          </cell>
          <cell r="Q3017">
            <v>0.42</v>
          </cell>
          <cell r="T3017">
            <v>132.21199999999999</v>
          </cell>
        </row>
        <row r="3018">
          <cell r="G3018">
            <v>42430</v>
          </cell>
          <cell r="L3018" t="str">
            <v>01-05-144-97W1</v>
          </cell>
          <cell r="O3018">
            <v>820.7</v>
          </cell>
          <cell r="Q3018">
            <v>0.37</v>
          </cell>
          <cell r="T3018">
            <v>107.59</v>
          </cell>
        </row>
        <row r="3019">
          <cell r="G3019">
            <v>42430</v>
          </cell>
          <cell r="L3019" t="str">
            <v>01-13-152-95W1</v>
          </cell>
          <cell r="O3019">
            <v>814.7</v>
          </cell>
          <cell r="Q3019">
            <v>0.13</v>
          </cell>
          <cell r="T3019">
            <v>106.414</v>
          </cell>
        </row>
        <row r="3020">
          <cell r="G3020">
            <v>42430</v>
          </cell>
          <cell r="L3020" t="str">
            <v>11-25-001-02W2</v>
          </cell>
          <cell r="O3020">
            <v>827.9</v>
          </cell>
          <cell r="Q3020">
            <v>0.59</v>
          </cell>
          <cell r="T3020">
            <v>106.033</v>
          </cell>
        </row>
        <row r="3021">
          <cell r="G3021">
            <v>42430</v>
          </cell>
          <cell r="L3021" t="str">
            <v>01-30-147-97W1</v>
          </cell>
          <cell r="O3021">
            <v>809.5</v>
          </cell>
          <cell r="Q3021">
            <v>0.54</v>
          </cell>
          <cell r="T3021">
            <v>104.545</v>
          </cell>
        </row>
        <row r="3022">
          <cell r="G3022">
            <v>42430</v>
          </cell>
          <cell r="L3022" t="str">
            <v>12-20-008-02W2</v>
          </cell>
          <cell r="O3022">
            <v>859.5</v>
          </cell>
          <cell r="Q3022">
            <v>1.77</v>
          </cell>
          <cell r="T3022">
            <v>99.793999999999997</v>
          </cell>
        </row>
        <row r="3023">
          <cell r="G3023">
            <v>42430</v>
          </cell>
          <cell r="L3023" t="str">
            <v>02-14-006-02W2</v>
          </cell>
          <cell r="O3023">
            <v>850</v>
          </cell>
          <cell r="Q3023">
            <v>1.1599999999999999</v>
          </cell>
          <cell r="T3023">
            <v>96.805000000000007</v>
          </cell>
        </row>
        <row r="3024">
          <cell r="G3024">
            <v>42430</v>
          </cell>
          <cell r="L3024" t="str">
            <v>16-15-008-03W2</v>
          </cell>
          <cell r="O3024">
            <v>858.3</v>
          </cell>
          <cell r="Q3024">
            <v>1.54</v>
          </cell>
          <cell r="T3024">
            <v>89.06</v>
          </cell>
        </row>
        <row r="3025">
          <cell r="G3025">
            <v>42430</v>
          </cell>
          <cell r="L3025" t="str">
            <v>04-25-144-98W1</v>
          </cell>
          <cell r="O3025">
            <v>822.5</v>
          </cell>
          <cell r="Q3025">
            <v>0.48</v>
          </cell>
          <cell r="T3025">
            <v>87.8</v>
          </cell>
        </row>
        <row r="3026">
          <cell r="G3026">
            <v>42430</v>
          </cell>
          <cell r="L3026" t="str">
            <v>01-06-002-32W1</v>
          </cell>
          <cell r="O3026">
            <v>833.8</v>
          </cell>
          <cell r="Q3026">
            <v>0.81</v>
          </cell>
          <cell r="T3026">
            <v>82.787000000000006</v>
          </cell>
        </row>
        <row r="3027">
          <cell r="G3027">
            <v>42430</v>
          </cell>
          <cell r="L3027" t="str">
            <v>01-22-142-100W1</v>
          </cell>
          <cell r="O3027">
            <v>821.6</v>
          </cell>
          <cell r="Q3027">
            <v>0.31</v>
          </cell>
          <cell r="T3027">
            <v>79.156000000000006</v>
          </cell>
        </row>
        <row r="3028">
          <cell r="G3028">
            <v>42430</v>
          </cell>
          <cell r="L3028" t="str">
            <v>09-24-001-01W2</v>
          </cell>
          <cell r="O3028">
            <v>828.9</v>
          </cell>
          <cell r="Q3028">
            <v>0.56999999999999995</v>
          </cell>
          <cell r="T3028">
            <v>78.587999999999994</v>
          </cell>
        </row>
        <row r="3029">
          <cell r="G3029">
            <v>42430</v>
          </cell>
          <cell r="L3029" t="str">
            <v>01-17-143-101W1</v>
          </cell>
          <cell r="O3029">
            <v>832.1</v>
          </cell>
          <cell r="Q3029">
            <v>0.51</v>
          </cell>
          <cell r="T3029">
            <v>77.052000000000007</v>
          </cell>
        </row>
        <row r="3030">
          <cell r="G3030">
            <v>42430</v>
          </cell>
          <cell r="L3030" t="str">
            <v>01-10-002-03W2</v>
          </cell>
          <cell r="O3030">
            <v>838.6</v>
          </cell>
          <cell r="Q3030">
            <v>0.67</v>
          </cell>
          <cell r="T3030">
            <v>73.637</v>
          </cell>
        </row>
        <row r="3031">
          <cell r="G3031">
            <v>42430</v>
          </cell>
          <cell r="L3031" t="str">
            <v>13-12-007-03W2</v>
          </cell>
          <cell r="O3031">
            <v>854.2</v>
          </cell>
          <cell r="Q3031">
            <v>1.38</v>
          </cell>
          <cell r="T3031">
            <v>59.695</v>
          </cell>
        </row>
        <row r="3032">
          <cell r="G3032">
            <v>42430</v>
          </cell>
          <cell r="L3032" t="str">
            <v>01-25-156-93W1</v>
          </cell>
          <cell r="O3032">
            <v>813.7</v>
          </cell>
          <cell r="Q3032">
            <v>0.16</v>
          </cell>
          <cell r="T3032">
            <v>58.935000000000002</v>
          </cell>
        </row>
        <row r="3033">
          <cell r="G3033">
            <v>42430</v>
          </cell>
          <cell r="L3033" t="str">
            <v>01-33-141-100W1</v>
          </cell>
          <cell r="O3033">
            <v>823</v>
          </cell>
          <cell r="Q3033">
            <v>0.41</v>
          </cell>
          <cell r="T3033">
            <v>58.814</v>
          </cell>
        </row>
        <row r="3034">
          <cell r="G3034">
            <v>42430</v>
          </cell>
          <cell r="L3034" t="str">
            <v>01-07-153-95W1</v>
          </cell>
          <cell r="O3034">
            <v>807.4</v>
          </cell>
          <cell r="Q3034">
            <v>0.24</v>
          </cell>
          <cell r="T3034">
            <v>55.143999999999998</v>
          </cell>
        </row>
        <row r="3035">
          <cell r="G3035">
            <v>42430</v>
          </cell>
          <cell r="L3035" t="str">
            <v>01-02-151-102W1</v>
          </cell>
          <cell r="O3035">
            <v>830.6</v>
          </cell>
          <cell r="Q3035">
            <v>0.34</v>
          </cell>
          <cell r="T3035">
            <v>54.279000000000003</v>
          </cell>
        </row>
        <row r="3036">
          <cell r="G3036">
            <v>42430</v>
          </cell>
          <cell r="L3036" t="str">
            <v>14-24-001-02W2</v>
          </cell>
          <cell r="O3036">
            <v>830.6</v>
          </cell>
          <cell r="Q3036">
            <v>0.79</v>
          </cell>
          <cell r="T3036">
            <v>53.143000000000001</v>
          </cell>
        </row>
        <row r="3037">
          <cell r="G3037">
            <v>42430</v>
          </cell>
          <cell r="L3037" t="str">
            <v>01-09-143-101W1</v>
          </cell>
          <cell r="O3037">
            <v>827.9</v>
          </cell>
          <cell r="Q3037">
            <v>0.51</v>
          </cell>
          <cell r="T3037">
            <v>53.075000000000003</v>
          </cell>
        </row>
        <row r="3038">
          <cell r="G3038">
            <v>42430</v>
          </cell>
          <cell r="L3038" t="str">
            <v>01-21-153-95W1</v>
          </cell>
          <cell r="O3038">
            <v>822.1</v>
          </cell>
          <cell r="Q3038">
            <v>0.36</v>
          </cell>
          <cell r="T3038">
            <v>52.209000000000003</v>
          </cell>
        </row>
        <row r="3039">
          <cell r="G3039">
            <v>42430</v>
          </cell>
          <cell r="L3039" t="str">
            <v>09-01-002-34W1</v>
          </cell>
          <cell r="O3039">
            <v>829.9</v>
          </cell>
          <cell r="Q3039">
            <v>0.55000000000000004</v>
          </cell>
          <cell r="T3039">
            <v>50.201999999999998</v>
          </cell>
        </row>
        <row r="3040">
          <cell r="G3040">
            <v>42430</v>
          </cell>
          <cell r="L3040" t="str">
            <v>13-24-160-96W1</v>
          </cell>
          <cell r="O3040">
            <v>821.9</v>
          </cell>
          <cell r="Q3040">
            <v>0.62</v>
          </cell>
          <cell r="T3040">
            <v>50.194000000000003</v>
          </cell>
        </row>
        <row r="3041">
          <cell r="G3041">
            <v>42430</v>
          </cell>
          <cell r="L3041" t="str">
            <v>01-08-153-95W1</v>
          </cell>
          <cell r="O3041">
            <v>818.1</v>
          </cell>
          <cell r="Q3041">
            <v>0.28999999999999998</v>
          </cell>
          <cell r="T3041">
            <v>49.281999999999996</v>
          </cell>
        </row>
        <row r="3042">
          <cell r="G3042">
            <v>42430</v>
          </cell>
          <cell r="L3042" t="str">
            <v>01-26-152-96W1</v>
          </cell>
          <cell r="O3042">
            <v>817.9</v>
          </cell>
          <cell r="Q3042">
            <v>0.65</v>
          </cell>
          <cell r="T3042">
            <v>33.978000000000002</v>
          </cell>
        </row>
        <row r="3043">
          <cell r="G3043">
            <v>42430</v>
          </cell>
          <cell r="L3043" t="str">
            <v>02-09-142-100W1</v>
          </cell>
          <cell r="O3043">
            <v>831.8</v>
          </cell>
          <cell r="Q3043">
            <v>0.45</v>
          </cell>
          <cell r="T3043">
            <v>31.97</v>
          </cell>
        </row>
        <row r="3044">
          <cell r="G3044">
            <v>42430</v>
          </cell>
          <cell r="L3044" t="str">
            <v>12-03-146-100W1</v>
          </cell>
          <cell r="O3044">
            <v>834.8</v>
          </cell>
          <cell r="Q3044">
            <v>0.47</v>
          </cell>
          <cell r="T3044">
            <v>31.827999999999999</v>
          </cell>
        </row>
        <row r="3045">
          <cell r="G3045">
            <v>42430</v>
          </cell>
          <cell r="L3045" t="str">
            <v>10-29-005-33W1</v>
          </cell>
          <cell r="O3045">
            <v>831</v>
          </cell>
          <cell r="Q3045">
            <v>0.87</v>
          </cell>
          <cell r="T3045">
            <v>29.989000000000001</v>
          </cell>
        </row>
        <row r="3046">
          <cell r="G3046">
            <v>42430</v>
          </cell>
          <cell r="L3046" t="str">
            <v>10-30-147-97W1</v>
          </cell>
          <cell r="O3046">
            <v>813.3</v>
          </cell>
          <cell r="Q3046">
            <v>0.46</v>
          </cell>
          <cell r="T3046">
            <v>27.347000000000001</v>
          </cell>
        </row>
        <row r="3047">
          <cell r="G3047">
            <v>42430</v>
          </cell>
          <cell r="L3047" t="str">
            <v>16-07-006-02W2</v>
          </cell>
          <cell r="O3047">
            <v>861.3</v>
          </cell>
          <cell r="Q3047">
            <v>1.22</v>
          </cell>
          <cell r="T3047">
            <v>27.337</v>
          </cell>
        </row>
        <row r="3048">
          <cell r="G3048">
            <v>42430</v>
          </cell>
          <cell r="L3048" t="str">
            <v>16-04-151-96W1</v>
          </cell>
          <cell r="O3048">
            <v>817</v>
          </cell>
          <cell r="Q3048">
            <v>0.28000000000000003</v>
          </cell>
          <cell r="T3048">
            <v>26.873999999999999</v>
          </cell>
        </row>
        <row r="3049">
          <cell r="G3049">
            <v>42430</v>
          </cell>
          <cell r="L3049" t="str">
            <v>24-01-142-100W1</v>
          </cell>
          <cell r="O3049">
            <v>826.5</v>
          </cell>
          <cell r="Q3049">
            <v>0.08</v>
          </cell>
          <cell r="T3049">
            <v>26.622</v>
          </cell>
        </row>
        <row r="3050">
          <cell r="G3050">
            <v>42430</v>
          </cell>
          <cell r="L3050" t="str">
            <v>01-19-147-97W1</v>
          </cell>
          <cell r="O3050">
            <v>820.8</v>
          </cell>
          <cell r="Q3050">
            <v>0.67</v>
          </cell>
          <cell r="T3050">
            <v>26.602</v>
          </cell>
        </row>
        <row r="3051">
          <cell r="G3051">
            <v>42430</v>
          </cell>
          <cell r="L3051" t="str">
            <v>01-13-022-57W1</v>
          </cell>
          <cell r="O3051">
            <v>797.7</v>
          </cell>
          <cell r="Q3051">
            <v>0.11</v>
          </cell>
          <cell r="T3051">
            <v>26.172000000000001</v>
          </cell>
        </row>
        <row r="3052">
          <cell r="G3052">
            <v>42430</v>
          </cell>
          <cell r="L3052" t="str">
            <v>01-28-152-101W1</v>
          </cell>
          <cell r="O3052">
            <v>830.9</v>
          </cell>
          <cell r="Q3052">
            <v>0.43</v>
          </cell>
          <cell r="T3052">
            <v>26.1</v>
          </cell>
        </row>
        <row r="3053">
          <cell r="G3053">
            <v>42430</v>
          </cell>
          <cell r="L3053" t="str">
            <v>03-10-151-96W1</v>
          </cell>
          <cell r="O3053">
            <v>811.2</v>
          </cell>
          <cell r="Q3053">
            <v>0.24</v>
          </cell>
          <cell r="T3053">
            <v>25.443000000000001</v>
          </cell>
        </row>
        <row r="3054">
          <cell r="G3054">
            <v>42430</v>
          </cell>
          <cell r="L3054" t="str">
            <v>01-20-163-91W1</v>
          </cell>
          <cell r="O3054">
            <v>826.6</v>
          </cell>
          <cell r="Q3054">
            <v>0.5</v>
          </cell>
          <cell r="T3054">
            <v>24.847999999999999</v>
          </cell>
        </row>
        <row r="3055">
          <cell r="G3055">
            <v>42430</v>
          </cell>
          <cell r="L3055" t="str">
            <v>01-20-147-97W1</v>
          </cell>
          <cell r="O3055">
            <v>814.7</v>
          </cell>
          <cell r="Q3055">
            <v>0.7</v>
          </cell>
          <cell r="T3055">
            <v>24.771000000000001</v>
          </cell>
        </row>
        <row r="3056">
          <cell r="G3056">
            <v>42430</v>
          </cell>
          <cell r="L3056" t="str">
            <v>03-34-145-97W1</v>
          </cell>
          <cell r="O3056">
            <v>833.7</v>
          </cell>
          <cell r="Q3056">
            <v>0.37</v>
          </cell>
          <cell r="T3056">
            <v>24.696000000000002</v>
          </cell>
        </row>
        <row r="3057">
          <cell r="G3057">
            <v>42430</v>
          </cell>
          <cell r="L3057" t="str">
            <v>01-18-145-97W1</v>
          </cell>
          <cell r="O3057">
            <v>817.6</v>
          </cell>
          <cell r="Q3057">
            <v>0.44</v>
          </cell>
          <cell r="T3057">
            <v>24.044</v>
          </cell>
        </row>
        <row r="3058">
          <cell r="G3058">
            <v>42430</v>
          </cell>
          <cell r="L3058" t="str">
            <v>01-12-144-98W1</v>
          </cell>
          <cell r="O3058">
            <v>820.5</v>
          </cell>
          <cell r="Q3058">
            <v>0.46</v>
          </cell>
          <cell r="T3058">
            <v>21.734000000000002</v>
          </cell>
        </row>
        <row r="3059">
          <cell r="G3059">
            <v>42430</v>
          </cell>
          <cell r="L3059" t="str">
            <v>07-26-005-02W2</v>
          </cell>
          <cell r="O3059">
            <v>846.9</v>
          </cell>
          <cell r="Q3059">
            <v>1.1599999999999999</v>
          </cell>
          <cell r="T3059">
            <v>16.722999999999999</v>
          </cell>
        </row>
        <row r="3060">
          <cell r="G3060">
            <v>42430</v>
          </cell>
          <cell r="L3060" t="str">
            <v>15-09-007-03W2</v>
          </cell>
          <cell r="O3060">
            <v>846.6</v>
          </cell>
          <cell r="Q3060">
            <v>1.29</v>
          </cell>
          <cell r="T3060">
            <v>1123.674</v>
          </cell>
        </row>
        <row r="3061">
          <cell r="G3061">
            <v>42430</v>
          </cell>
          <cell r="L3061" t="str">
            <v>07-31-005-33W1</v>
          </cell>
          <cell r="O3061">
            <v>825.4</v>
          </cell>
          <cell r="Q3061">
            <v>0.68</v>
          </cell>
          <cell r="T3061">
            <v>1033.3699999999999</v>
          </cell>
        </row>
        <row r="3062">
          <cell r="G3062">
            <v>42430</v>
          </cell>
          <cell r="L3062" t="str">
            <v>04-36-004-02W2</v>
          </cell>
          <cell r="O3062">
            <v>853.6</v>
          </cell>
          <cell r="Q3062">
            <v>1.64</v>
          </cell>
          <cell r="T3062">
            <v>385.71199999999999</v>
          </cell>
        </row>
        <row r="3063">
          <cell r="G3063">
            <v>42430</v>
          </cell>
          <cell r="L3063" t="str">
            <v>13-14-010-05W2</v>
          </cell>
          <cell r="O3063">
            <v>846.8</v>
          </cell>
          <cell r="Q3063">
            <v>1.54</v>
          </cell>
          <cell r="T3063">
            <v>134.6</v>
          </cell>
        </row>
        <row r="3064">
          <cell r="G3064">
            <v>42430</v>
          </cell>
          <cell r="L3064" t="str">
            <v>14-04-006-33W1</v>
          </cell>
          <cell r="O3064">
            <v>834</v>
          </cell>
          <cell r="Q3064">
            <v>0.85</v>
          </cell>
          <cell r="T3064">
            <v>35.362000000000002</v>
          </cell>
        </row>
        <row r="3065">
          <cell r="G3065">
            <v>42430</v>
          </cell>
          <cell r="L3065" t="str">
            <v>01-07-006-10W2</v>
          </cell>
          <cell r="O3065">
            <v>0</v>
          </cell>
          <cell r="Q3065">
            <v>0</v>
          </cell>
          <cell r="T3065">
            <v>0</v>
          </cell>
        </row>
        <row r="3066">
          <cell r="G3066">
            <v>42430</v>
          </cell>
          <cell r="L3066" t="str">
            <v>ALStream</v>
          </cell>
          <cell r="T3066">
            <v>0</v>
          </cell>
        </row>
        <row r="3067">
          <cell r="G3067">
            <v>42430</v>
          </cell>
          <cell r="L3067" t="str">
            <v>MWStream</v>
          </cell>
          <cell r="T3067">
            <v>0</v>
          </cell>
        </row>
        <row r="3068">
          <cell r="G3068">
            <v>42430</v>
          </cell>
          <cell r="L3068" t="str">
            <v>ALStream</v>
          </cell>
          <cell r="O3068">
            <v>827.6</v>
          </cell>
          <cell r="Q3068">
            <v>0.96</v>
          </cell>
          <cell r="T3068">
            <v>-85380.520999999993</v>
          </cell>
        </row>
        <row r="3069">
          <cell r="G3069">
            <v>42430</v>
          </cell>
          <cell r="L3069" t="str">
            <v>MWStream</v>
          </cell>
          <cell r="O3069">
            <v>828.6</v>
          </cell>
          <cell r="Q3069">
            <v>1.2</v>
          </cell>
          <cell r="T3069">
            <v>-9855.0560000000005</v>
          </cell>
        </row>
        <row r="3070">
          <cell r="G3070">
            <v>42461</v>
          </cell>
          <cell r="L3070" t="str">
            <v>13-35-007-12W2</v>
          </cell>
          <cell r="O3070">
            <v>878.2</v>
          </cell>
          <cell r="Q3070">
            <v>2.1</v>
          </cell>
          <cell r="T3070">
            <v>43.063000000000002</v>
          </cell>
        </row>
        <row r="3071">
          <cell r="G3071">
            <v>42461</v>
          </cell>
          <cell r="L3071" t="str">
            <v>07-30-007-05W2</v>
          </cell>
          <cell r="O3071">
            <v>849.5</v>
          </cell>
          <cell r="Q3071">
            <v>1.42</v>
          </cell>
          <cell r="T3071">
            <v>47.188000000000002</v>
          </cell>
        </row>
        <row r="3072">
          <cell r="G3072">
            <v>42461</v>
          </cell>
          <cell r="L3072" t="str">
            <v>15-09-010-08W2</v>
          </cell>
          <cell r="O3072">
            <v>884.3</v>
          </cell>
          <cell r="Q3072">
            <v>2.5</v>
          </cell>
          <cell r="T3072">
            <v>54.752000000000002</v>
          </cell>
        </row>
        <row r="3073">
          <cell r="G3073">
            <v>42461</v>
          </cell>
          <cell r="L3073" t="str">
            <v>01-15-005-32W1</v>
          </cell>
          <cell r="O3073">
            <v>845</v>
          </cell>
          <cell r="Q3073">
            <v>0.98</v>
          </cell>
          <cell r="T3073">
            <v>54.62</v>
          </cell>
        </row>
        <row r="3074">
          <cell r="G3074">
            <v>42461</v>
          </cell>
          <cell r="L3074" t="str">
            <v>09-26-004-32W1</v>
          </cell>
          <cell r="O3074">
            <v>868</v>
          </cell>
          <cell r="Q3074">
            <v>1.52</v>
          </cell>
          <cell r="T3074">
            <v>68.176000000000002</v>
          </cell>
        </row>
        <row r="3075">
          <cell r="G3075">
            <v>42461</v>
          </cell>
          <cell r="L3075" t="str">
            <v>08-18-011-03W2</v>
          </cell>
          <cell r="O3075">
            <v>855.1</v>
          </cell>
          <cell r="Q3075">
            <v>1.87</v>
          </cell>
          <cell r="T3075">
            <v>72.97</v>
          </cell>
        </row>
        <row r="3076">
          <cell r="G3076">
            <v>42461</v>
          </cell>
          <cell r="L3076" t="str">
            <v>01-19-004-12W2</v>
          </cell>
          <cell r="O3076">
            <v>897.3</v>
          </cell>
          <cell r="Q3076">
            <v>2.59</v>
          </cell>
          <cell r="T3076">
            <v>79.120999999999995</v>
          </cell>
        </row>
        <row r="3077">
          <cell r="G3077">
            <v>42461</v>
          </cell>
          <cell r="L3077" t="str">
            <v>10-21-006-32W1</v>
          </cell>
          <cell r="O3077">
            <v>834.6</v>
          </cell>
          <cell r="Q3077">
            <v>0.78</v>
          </cell>
          <cell r="T3077">
            <v>88.364000000000004</v>
          </cell>
        </row>
        <row r="3078">
          <cell r="G3078">
            <v>42461</v>
          </cell>
          <cell r="L3078" t="str">
            <v>07-24-001-32W1</v>
          </cell>
          <cell r="O3078">
            <v>855.4</v>
          </cell>
          <cell r="Q3078">
            <v>1.6</v>
          </cell>
          <cell r="T3078">
            <v>92.316999999999993</v>
          </cell>
        </row>
        <row r="3079">
          <cell r="G3079">
            <v>42461</v>
          </cell>
          <cell r="L3079" t="str">
            <v>07-25-009-08W2</v>
          </cell>
          <cell r="O3079">
            <v>886.1</v>
          </cell>
          <cell r="Q3079">
            <v>2.3199999999999998</v>
          </cell>
          <cell r="T3079">
            <v>96.644000000000005</v>
          </cell>
        </row>
        <row r="3080">
          <cell r="G3080">
            <v>42461</v>
          </cell>
          <cell r="L3080" t="str">
            <v>10-09-004-33W1</v>
          </cell>
          <cell r="O3080">
            <v>838</v>
          </cell>
          <cell r="Q3080">
            <v>0.89</v>
          </cell>
          <cell r="T3080">
            <v>94.397999999999996</v>
          </cell>
        </row>
        <row r="3081">
          <cell r="G3081">
            <v>42461</v>
          </cell>
          <cell r="L3081" t="str">
            <v>02-14-010-01W2</v>
          </cell>
          <cell r="O3081">
            <v>854.6</v>
          </cell>
          <cell r="Q3081">
            <v>1.69</v>
          </cell>
          <cell r="T3081">
            <v>755.94200000000001</v>
          </cell>
        </row>
        <row r="3082">
          <cell r="G3082">
            <v>42461</v>
          </cell>
          <cell r="L3082" t="str">
            <v>03-05-005-11W2</v>
          </cell>
          <cell r="O3082">
            <v>857.2</v>
          </cell>
          <cell r="Q3082">
            <v>1.68</v>
          </cell>
          <cell r="T3082">
            <v>107.886</v>
          </cell>
        </row>
        <row r="3083">
          <cell r="G3083">
            <v>42461</v>
          </cell>
          <cell r="L3083" t="str">
            <v>02-27-004-33W1</v>
          </cell>
          <cell r="O3083">
            <v>829.9</v>
          </cell>
          <cell r="Q3083">
            <v>0.67</v>
          </cell>
          <cell r="T3083">
            <v>108.328</v>
          </cell>
        </row>
        <row r="3084">
          <cell r="G3084">
            <v>42461</v>
          </cell>
          <cell r="L3084" t="str">
            <v>08-01-004-32W1</v>
          </cell>
          <cell r="O3084">
            <v>855.1</v>
          </cell>
          <cell r="Q3084">
            <v>1.66</v>
          </cell>
          <cell r="T3084">
            <v>119.535</v>
          </cell>
        </row>
        <row r="3085">
          <cell r="G3085">
            <v>42461</v>
          </cell>
          <cell r="L3085" t="str">
            <v>16-08-007-12W2</v>
          </cell>
          <cell r="O3085">
            <v>856.7</v>
          </cell>
          <cell r="Q3085">
            <v>2.0099999999999998</v>
          </cell>
          <cell r="T3085">
            <v>130.49</v>
          </cell>
        </row>
        <row r="3086">
          <cell r="G3086">
            <v>42461</v>
          </cell>
          <cell r="L3086" t="str">
            <v>13-34-007-14W2</v>
          </cell>
          <cell r="O3086">
            <v>861.8</v>
          </cell>
          <cell r="Q3086">
            <v>2.08</v>
          </cell>
          <cell r="T3086">
            <v>132.172</v>
          </cell>
        </row>
        <row r="3087">
          <cell r="G3087">
            <v>42461</v>
          </cell>
          <cell r="L3087" t="str">
            <v>16-16-010-02W2</v>
          </cell>
          <cell r="O3087">
            <v>854.8</v>
          </cell>
          <cell r="Q3087">
            <v>1.72</v>
          </cell>
          <cell r="T3087">
            <v>130.53800000000001</v>
          </cell>
        </row>
        <row r="3088">
          <cell r="G3088">
            <v>42461</v>
          </cell>
          <cell r="L3088" t="str">
            <v>14-27-001-13W2</v>
          </cell>
          <cell r="O3088">
            <v>801.2</v>
          </cell>
          <cell r="Q3088">
            <v>0.11</v>
          </cell>
          <cell r="T3088">
            <v>4734.5510000000004</v>
          </cell>
        </row>
        <row r="3089">
          <cell r="G3089">
            <v>42461</v>
          </cell>
          <cell r="L3089" t="str">
            <v>13-14-009-09W2</v>
          </cell>
          <cell r="O3089">
            <v>882.6</v>
          </cell>
          <cell r="Q3089">
            <v>2.46</v>
          </cell>
          <cell r="T3089">
            <v>142.345</v>
          </cell>
        </row>
        <row r="3090">
          <cell r="G3090">
            <v>42461</v>
          </cell>
          <cell r="L3090" t="str">
            <v>01-04-007-09W2</v>
          </cell>
          <cell r="O3090">
            <v>812.6</v>
          </cell>
          <cell r="Q3090">
            <v>0.17</v>
          </cell>
          <cell r="T3090">
            <v>627.27099999999996</v>
          </cell>
        </row>
        <row r="3091">
          <cell r="G3091">
            <v>42461</v>
          </cell>
          <cell r="L3091" t="str">
            <v>14-04-007-13W2</v>
          </cell>
          <cell r="O3091">
            <v>857.6</v>
          </cell>
          <cell r="Q3091">
            <v>1.79</v>
          </cell>
          <cell r="T3091">
            <v>146.899</v>
          </cell>
        </row>
        <row r="3092">
          <cell r="G3092">
            <v>42461</v>
          </cell>
          <cell r="L3092" t="str">
            <v>09-30-002-30W1</v>
          </cell>
          <cell r="O3092">
            <v>866.6</v>
          </cell>
          <cell r="Q3092">
            <v>1.79</v>
          </cell>
          <cell r="T3092">
            <v>138.64699999999999</v>
          </cell>
        </row>
        <row r="3093">
          <cell r="G3093">
            <v>42461</v>
          </cell>
          <cell r="L3093" t="str">
            <v>13-07-010-09W2</v>
          </cell>
          <cell r="O3093">
            <v>821.5</v>
          </cell>
          <cell r="Q3093">
            <v>0.31</v>
          </cell>
          <cell r="T3093">
            <v>2226.366</v>
          </cell>
        </row>
        <row r="3094">
          <cell r="G3094">
            <v>42461</v>
          </cell>
          <cell r="L3094" t="str">
            <v>05-34-005-06W2</v>
          </cell>
          <cell r="O3094">
            <v>865.9</v>
          </cell>
          <cell r="Q3094">
            <v>2.2799999999999998</v>
          </cell>
          <cell r="T3094">
            <v>1540.672</v>
          </cell>
        </row>
        <row r="3095">
          <cell r="G3095">
            <v>42461</v>
          </cell>
          <cell r="L3095" t="str">
            <v>03-13-006-33W1</v>
          </cell>
          <cell r="O3095">
            <v>834.1</v>
          </cell>
          <cell r="Q3095">
            <v>0.77</v>
          </cell>
          <cell r="T3095">
            <v>138.67699999999999</v>
          </cell>
        </row>
        <row r="3096">
          <cell r="G3096">
            <v>42461</v>
          </cell>
          <cell r="L3096" t="str">
            <v>15-09-010-02W2</v>
          </cell>
          <cell r="O3096">
            <v>861.3</v>
          </cell>
          <cell r="Q3096">
            <v>1.85</v>
          </cell>
          <cell r="T3096">
            <v>140.27099999999999</v>
          </cell>
        </row>
        <row r="3097">
          <cell r="G3097">
            <v>42461</v>
          </cell>
          <cell r="L3097" t="str">
            <v>09-31-007-12W2</v>
          </cell>
          <cell r="O3097">
            <v>868.9</v>
          </cell>
          <cell r="Q3097">
            <v>2.31</v>
          </cell>
          <cell r="T3097">
            <v>156.887</v>
          </cell>
        </row>
        <row r="3098">
          <cell r="G3098">
            <v>42461</v>
          </cell>
          <cell r="L3098" t="str">
            <v>11-28-005-06W2</v>
          </cell>
          <cell r="O3098">
            <v>879</v>
          </cell>
          <cell r="Q3098">
            <v>2.27</v>
          </cell>
          <cell r="T3098">
            <v>1218.855</v>
          </cell>
        </row>
        <row r="3099">
          <cell r="G3099">
            <v>42461</v>
          </cell>
          <cell r="L3099" t="str">
            <v>16-27-004-33W1</v>
          </cell>
          <cell r="O3099">
            <v>845</v>
          </cell>
          <cell r="Q3099">
            <v>0.73</v>
          </cell>
          <cell r="T3099">
            <v>149.892</v>
          </cell>
        </row>
        <row r="3100">
          <cell r="G3100">
            <v>42461</v>
          </cell>
          <cell r="L3100" t="str">
            <v>09-26-007-09W2</v>
          </cell>
          <cell r="O3100">
            <v>811.5</v>
          </cell>
          <cell r="Q3100">
            <v>0.36</v>
          </cell>
          <cell r="T3100">
            <v>512.18100000000004</v>
          </cell>
        </row>
        <row r="3101">
          <cell r="G3101">
            <v>42461</v>
          </cell>
          <cell r="L3101" t="str">
            <v>06-01-007-01W2</v>
          </cell>
          <cell r="O3101">
            <v>845.6</v>
          </cell>
          <cell r="Q3101">
            <v>1.1299999999999999</v>
          </cell>
          <cell r="T3101">
            <v>2163.7139999999999</v>
          </cell>
        </row>
        <row r="3102">
          <cell r="G3102">
            <v>42461</v>
          </cell>
          <cell r="L3102" t="str">
            <v>12-06-009-07W2</v>
          </cell>
          <cell r="O3102">
            <v>806.9</v>
          </cell>
          <cell r="Q3102">
            <v>0.19</v>
          </cell>
          <cell r="T3102">
            <v>9948.65</v>
          </cell>
        </row>
        <row r="3103">
          <cell r="G3103">
            <v>42461</v>
          </cell>
          <cell r="L3103" t="str">
            <v>16-24-004-01W2</v>
          </cell>
          <cell r="O3103">
            <v>824.6</v>
          </cell>
          <cell r="Q3103">
            <v>0.6</v>
          </cell>
          <cell r="T3103">
            <v>153.816</v>
          </cell>
        </row>
        <row r="3104">
          <cell r="G3104">
            <v>42461</v>
          </cell>
          <cell r="L3104" t="str">
            <v>04-08-008-08W2</v>
          </cell>
          <cell r="O3104">
            <v>801.5</v>
          </cell>
          <cell r="Q3104">
            <v>0.21</v>
          </cell>
          <cell r="T3104">
            <v>57873.212</v>
          </cell>
        </row>
        <row r="3105">
          <cell r="G3105">
            <v>42461</v>
          </cell>
          <cell r="L3105" t="str">
            <v>03-15-012-06W2</v>
          </cell>
          <cell r="O3105">
            <v>885.6</v>
          </cell>
          <cell r="Q3105">
            <v>2.6</v>
          </cell>
          <cell r="T3105">
            <v>1110.4690000000001</v>
          </cell>
        </row>
        <row r="3106">
          <cell r="G3106">
            <v>42461</v>
          </cell>
          <cell r="L3106" t="str">
            <v>09-08-004-33W1</v>
          </cell>
          <cell r="O3106">
            <v>843.2</v>
          </cell>
          <cell r="Q3106">
            <v>1.55</v>
          </cell>
          <cell r="T3106">
            <v>160.72</v>
          </cell>
        </row>
        <row r="3107">
          <cell r="G3107">
            <v>42461</v>
          </cell>
          <cell r="L3107" t="str">
            <v>15-21-008-03W2</v>
          </cell>
          <cell r="O3107">
            <v>851</v>
          </cell>
          <cell r="Q3107">
            <v>1.47</v>
          </cell>
          <cell r="T3107">
            <v>159.12899999999999</v>
          </cell>
        </row>
        <row r="3108">
          <cell r="G3108">
            <v>42461</v>
          </cell>
          <cell r="L3108" t="str">
            <v>03-33-008-06W2</v>
          </cell>
          <cell r="O3108">
            <v>812.7</v>
          </cell>
          <cell r="Q3108">
            <v>0.26</v>
          </cell>
          <cell r="T3108">
            <v>14130.948</v>
          </cell>
        </row>
        <row r="3109">
          <cell r="G3109">
            <v>42461</v>
          </cell>
          <cell r="L3109" t="str">
            <v>03-17-011-06W2</v>
          </cell>
          <cell r="O3109">
            <v>885.7</v>
          </cell>
          <cell r="Q3109">
            <v>2.59</v>
          </cell>
          <cell r="T3109">
            <v>1525.6010000000001</v>
          </cell>
        </row>
        <row r="3110">
          <cell r="G3110">
            <v>42461</v>
          </cell>
          <cell r="L3110" t="str">
            <v>08-13-006-33W1</v>
          </cell>
          <cell r="O3110">
            <v>844.6</v>
          </cell>
          <cell r="Q3110">
            <v>1.5</v>
          </cell>
          <cell r="T3110">
            <v>1023.8579999999999</v>
          </cell>
        </row>
        <row r="3111">
          <cell r="G3111">
            <v>42461</v>
          </cell>
          <cell r="L3111" t="str">
            <v>09-14-009-08W2</v>
          </cell>
          <cell r="O3111">
            <v>801.4</v>
          </cell>
          <cell r="Q3111">
            <v>0.14000000000000001</v>
          </cell>
          <cell r="T3111">
            <v>47572.436999999998</v>
          </cell>
        </row>
        <row r="3112">
          <cell r="G3112">
            <v>42461</v>
          </cell>
          <cell r="L3112" t="str">
            <v>11-20-007-05W2</v>
          </cell>
          <cell r="O3112">
            <v>856.7</v>
          </cell>
          <cell r="Q3112">
            <v>1.57</v>
          </cell>
          <cell r="T3112">
            <v>168.51400000000001</v>
          </cell>
        </row>
        <row r="3113">
          <cell r="G3113">
            <v>42461</v>
          </cell>
          <cell r="L3113" t="str">
            <v>04-18-009-06W2</v>
          </cell>
          <cell r="O3113">
            <v>830.9</v>
          </cell>
          <cell r="Q3113">
            <v>0.85</v>
          </cell>
          <cell r="T3113">
            <v>1388.838</v>
          </cell>
        </row>
        <row r="3114">
          <cell r="G3114">
            <v>42461</v>
          </cell>
          <cell r="L3114" t="str">
            <v>05-31-009-07W2</v>
          </cell>
          <cell r="O3114">
            <v>879.9</v>
          </cell>
          <cell r="Q3114">
            <v>2.35</v>
          </cell>
          <cell r="T3114">
            <v>686.99699999999996</v>
          </cell>
        </row>
        <row r="3115">
          <cell r="G3115">
            <v>42461</v>
          </cell>
          <cell r="L3115" t="str">
            <v>13-29-008-07W2</v>
          </cell>
          <cell r="O3115">
            <v>800.8</v>
          </cell>
          <cell r="Q3115">
            <v>0.15</v>
          </cell>
          <cell r="T3115">
            <v>20795.141</v>
          </cell>
        </row>
        <row r="3116">
          <cell r="G3116">
            <v>42461</v>
          </cell>
          <cell r="L3116" t="str">
            <v>13-18-010-06W2</v>
          </cell>
          <cell r="O3116">
            <v>827.6</v>
          </cell>
          <cell r="Q3116">
            <v>0.69</v>
          </cell>
          <cell r="T3116">
            <v>3807.556</v>
          </cell>
        </row>
        <row r="3117">
          <cell r="G3117">
            <v>42461</v>
          </cell>
          <cell r="L3117" t="str">
            <v>09-20-008-08W2</v>
          </cell>
          <cell r="O3117">
            <v>814.2</v>
          </cell>
          <cell r="Q3117">
            <v>0.59</v>
          </cell>
          <cell r="T3117">
            <v>3231.873</v>
          </cell>
        </row>
        <row r="3118">
          <cell r="G3118">
            <v>42461</v>
          </cell>
          <cell r="L3118" t="str">
            <v>03-06-011-07W2</v>
          </cell>
          <cell r="O3118">
            <v>886.9</v>
          </cell>
          <cell r="Q3118">
            <v>1.55</v>
          </cell>
          <cell r="T3118">
            <v>1617.0429999999999</v>
          </cell>
        </row>
        <row r="3119">
          <cell r="G3119">
            <v>42461</v>
          </cell>
          <cell r="L3119" t="str">
            <v>07-04-010-08W2</v>
          </cell>
          <cell r="O3119">
            <v>878.5</v>
          </cell>
          <cell r="Q3119">
            <v>2.44</v>
          </cell>
          <cell r="T3119">
            <v>1412.989</v>
          </cell>
        </row>
        <row r="3120">
          <cell r="G3120">
            <v>42461</v>
          </cell>
          <cell r="L3120" t="str">
            <v>09-11-010-08W2</v>
          </cell>
          <cell r="O3120">
            <v>880.1</v>
          </cell>
          <cell r="Q3120">
            <v>2.4700000000000002</v>
          </cell>
          <cell r="T3120">
            <v>741.07899999999995</v>
          </cell>
        </row>
        <row r="3121">
          <cell r="G3121">
            <v>42461</v>
          </cell>
          <cell r="L3121" t="str">
            <v>09-06-010-07W2</v>
          </cell>
          <cell r="O3121">
            <v>881.8</v>
          </cell>
          <cell r="Q3121">
            <v>2.4500000000000002</v>
          </cell>
          <cell r="T3121">
            <v>729.56399999999996</v>
          </cell>
        </row>
        <row r="3122">
          <cell r="G3122">
            <v>42461</v>
          </cell>
          <cell r="L3122" t="str">
            <v>01-22-010-07W2</v>
          </cell>
          <cell r="O3122">
            <v>885.5</v>
          </cell>
          <cell r="Q3122">
            <v>2.5099999999999998</v>
          </cell>
          <cell r="T3122">
            <v>615.28</v>
          </cell>
        </row>
        <row r="3123">
          <cell r="G3123">
            <v>42461</v>
          </cell>
          <cell r="L3123" t="str">
            <v>16-35-009-09W2</v>
          </cell>
          <cell r="O3123">
            <v>878.6</v>
          </cell>
          <cell r="Q3123">
            <v>2.46</v>
          </cell>
          <cell r="T3123">
            <v>597.68600000000004</v>
          </cell>
        </row>
        <row r="3124">
          <cell r="G3124">
            <v>42461</v>
          </cell>
          <cell r="L3124" t="str">
            <v>11-15-007-09W2</v>
          </cell>
          <cell r="O3124">
            <v>802.8</v>
          </cell>
          <cell r="Q3124">
            <v>0.21</v>
          </cell>
          <cell r="T3124">
            <v>7343.9809999999998</v>
          </cell>
        </row>
        <row r="3125">
          <cell r="G3125">
            <v>42461</v>
          </cell>
          <cell r="L3125" t="str">
            <v>15-23-006-08W2</v>
          </cell>
          <cell r="O3125">
            <v>861.5</v>
          </cell>
          <cell r="Q3125">
            <v>1.79</v>
          </cell>
          <cell r="T3125">
            <v>1590.5250000000001</v>
          </cell>
        </row>
        <row r="3126">
          <cell r="G3126">
            <v>42461</v>
          </cell>
          <cell r="L3126" t="str">
            <v>01-26-006-09W2</v>
          </cell>
          <cell r="O3126">
            <v>884.1</v>
          </cell>
          <cell r="Q3126">
            <v>2.2999999999999998</v>
          </cell>
          <cell r="T3126">
            <v>1214.0719999999999</v>
          </cell>
        </row>
        <row r="3127">
          <cell r="G3127">
            <v>42461</v>
          </cell>
          <cell r="L3127" t="str">
            <v>07-28-007-08W2</v>
          </cell>
          <cell r="O3127">
            <v>845.8</v>
          </cell>
          <cell r="Q3127">
            <v>1.39</v>
          </cell>
          <cell r="T3127">
            <v>839.94200000000001</v>
          </cell>
        </row>
        <row r="3128">
          <cell r="G3128">
            <v>42461</v>
          </cell>
          <cell r="L3128" t="str">
            <v>09-23-002-01W2</v>
          </cell>
          <cell r="O3128">
            <v>843</v>
          </cell>
          <cell r="Q3128">
            <v>0.98</v>
          </cell>
          <cell r="T3128">
            <v>170.78</v>
          </cell>
        </row>
        <row r="3129">
          <cell r="G3129">
            <v>42461</v>
          </cell>
          <cell r="L3129" t="str">
            <v>12-35-008-03W2</v>
          </cell>
          <cell r="O3129">
            <v>858.5</v>
          </cell>
          <cell r="Q3129">
            <v>1.59</v>
          </cell>
          <cell r="T3129">
            <v>472.30700000000002</v>
          </cell>
        </row>
        <row r="3130">
          <cell r="G3130">
            <v>42461</v>
          </cell>
          <cell r="L3130" t="str">
            <v>03-19-001-31W1</v>
          </cell>
          <cell r="O3130">
            <v>873.6</v>
          </cell>
          <cell r="Q3130">
            <v>1.61</v>
          </cell>
          <cell r="T3130">
            <v>174.93100000000001</v>
          </cell>
        </row>
        <row r="3131">
          <cell r="G3131">
            <v>42461</v>
          </cell>
          <cell r="L3131" t="str">
            <v>01-24-007-05W2</v>
          </cell>
          <cell r="O3131">
            <v>844.8</v>
          </cell>
          <cell r="Q3131">
            <v>1.31</v>
          </cell>
          <cell r="T3131">
            <v>209.16499999999999</v>
          </cell>
        </row>
        <row r="3132">
          <cell r="G3132">
            <v>42461</v>
          </cell>
          <cell r="L3132" t="str">
            <v>05-13-008-06W2</v>
          </cell>
          <cell r="O3132">
            <v>820.5</v>
          </cell>
          <cell r="Q3132">
            <v>0.49</v>
          </cell>
          <cell r="T3132">
            <v>1508.1279999999999</v>
          </cell>
        </row>
        <row r="3133">
          <cell r="G3133">
            <v>42461</v>
          </cell>
          <cell r="L3133" t="str">
            <v>09-19-009-33W1</v>
          </cell>
          <cell r="O3133">
            <v>854.1</v>
          </cell>
          <cell r="Q3133">
            <v>1.61</v>
          </cell>
          <cell r="T3133">
            <v>720.60799999999995</v>
          </cell>
        </row>
        <row r="3134">
          <cell r="G3134">
            <v>42461</v>
          </cell>
          <cell r="L3134" t="str">
            <v>02-30-001-31W1</v>
          </cell>
          <cell r="O3134">
            <v>868.4</v>
          </cell>
          <cell r="Q3134">
            <v>1.64</v>
          </cell>
          <cell r="T3134">
            <v>180.381</v>
          </cell>
        </row>
        <row r="3135">
          <cell r="G3135">
            <v>42461</v>
          </cell>
          <cell r="L3135" t="str">
            <v>09-10-009-06W2</v>
          </cell>
          <cell r="O3135">
            <v>854.2</v>
          </cell>
          <cell r="Q3135">
            <v>1.66</v>
          </cell>
          <cell r="T3135">
            <v>1259.432</v>
          </cell>
        </row>
        <row r="3136">
          <cell r="G3136">
            <v>42461</v>
          </cell>
          <cell r="L3136" t="str">
            <v>02-26-009-09W2</v>
          </cell>
          <cell r="O3136">
            <v>806.8</v>
          </cell>
          <cell r="Q3136">
            <v>0.17</v>
          </cell>
          <cell r="T3136">
            <v>7120.0259999999998</v>
          </cell>
        </row>
        <row r="3137">
          <cell r="G3137">
            <v>42461</v>
          </cell>
          <cell r="L3137" t="str">
            <v>05-13-009-06W2</v>
          </cell>
          <cell r="O3137">
            <v>847.1</v>
          </cell>
          <cell r="Q3137">
            <v>1.5</v>
          </cell>
          <cell r="T3137">
            <v>1960.8789999999999</v>
          </cell>
        </row>
        <row r="3138">
          <cell r="G3138">
            <v>42461</v>
          </cell>
          <cell r="L3138" t="str">
            <v>08-35-011-04W2</v>
          </cell>
          <cell r="O3138">
            <v>860.2</v>
          </cell>
          <cell r="Q3138">
            <v>1.89</v>
          </cell>
          <cell r="T3138">
            <v>742.74199999999996</v>
          </cell>
        </row>
        <row r="3139">
          <cell r="G3139">
            <v>42461</v>
          </cell>
          <cell r="L3139" t="str">
            <v>04-15-008-33W1</v>
          </cell>
          <cell r="O3139">
            <v>845.9</v>
          </cell>
          <cell r="Q3139">
            <v>1.1599999999999999</v>
          </cell>
          <cell r="T3139">
            <v>185.047</v>
          </cell>
        </row>
        <row r="3140">
          <cell r="G3140">
            <v>42461</v>
          </cell>
          <cell r="L3140" t="str">
            <v>13-17-001-31W1</v>
          </cell>
          <cell r="O3140">
            <v>849.9</v>
          </cell>
          <cell r="Q3140">
            <v>1.62</v>
          </cell>
          <cell r="T3140">
            <v>185.893</v>
          </cell>
        </row>
        <row r="3141">
          <cell r="G3141">
            <v>42461</v>
          </cell>
          <cell r="L3141" t="str">
            <v>09-27-006-05W2</v>
          </cell>
          <cell r="O3141">
            <v>872.1</v>
          </cell>
          <cell r="Q3141">
            <v>2.15</v>
          </cell>
          <cell r="T3141">
            <v>1245.7470000000001</v>
          </cell>
        </row>
        <row r="3142">
          <cell r="G3142">
            <v>42461</v>
          </cell>
          <cell r="L3142" t="str">
            <v>14-35-006-05W2</v>
          </cell>
          <cell r="O3142">
            <v>850.7</v>
          </cell>
          <cell r="Q3142">
            <v>1.61</v>
          </cell>
          <cell r="T3142">
            <v>407.29700000000003</v>
          </cell>
        </row>
        <row r="3143">
          <cell r="G3143">
            <v>42461</v>
          </cell>
          <cell r="L3143" t="str">
            <v>12-22-007-11W2</v>
          </cell>
          <cell r="O3143">
            <v>804.7</v>
          </cell>
          <cell r="Q3143">
            <v>1.26</v>
          </cell>
          <cell r="T3143">
            <v>6136.5</v>
          </cell>
        </row>
        <row r="3144">
          <cell r="G3144">
            <v>42461</v>
          </cell>
          <cell r="L3144" t="str">
            <v>13-25-001-01W2</v>
          </cell>
          <cell r="O3144">
            <v>836.7</v>
          </cell>
          <cell r="Q3144">
            <v>1.59</v>
          </cell>
          <cell r="T3144">
            <v>190.03299999999999</v>
          </cell>
        </row>
        <row r="3145">
          <cell r="G3145">
            <v>42461</v>
          </cell>
          <cell r="L3145" t="str">
            <v>06-02-008-02W2</v>
          </cell>
          <cell r="O3145">
            <v>854.1</v>
          </cell>
          <cell r="Q3145">
            <v>1.51</v>
          </cell>
          <cell r="T3145">
            <v>1049.125</v>
          </cell>
        </row>
        <row r="3146">
          <cell r="G3146">
            <v>42461</v>
          </cell>
          <cell r="L3146" t="str">
            <v>04-05-002-15W2</v>
          </cell>
          <cell r="O3146">
            <v>879.4</v>
          </cell>
          <cell r="Q3146">
            <v>2.0099999999999998</v>
          </cell>
          <cell r="T3146">
            <v>4130.634</v>
          </cell>
        </row>
        <row r="3147">
          <cell r="G3147">
            <v>42461</v>
          </cell>
          <cell r="L3147" t="str">
            <v>10-22-006-14W2</v>
          </cell>
          <cell r="O3147">
            <v>847.1</v>
          </cell>
          <cell r="Q3147">
            <v>1.69</v>
          </cell>
          <cell r="T3147">
            <v>224.4</v>
          </cell>
        </row>
        <row r="3148">
          <cell r="G3148">
            <v>42461</v>
          </cell>
          <cell r="L3148" t="str">
            <v>04-33-006-01W2</v>
          </cell>
          <cell r="O3148">
            <v>841.9</v>
          </cell>
          <cell r="Q3148">
            <v>1.1299999999999999</v>
          </cell>
          <cell r="T3148">
            <v>1007.5549999999999</v>
          </cell>
        </row>
        <row r="3149">
          <cell r="G3149">
            <v>42461</v>
          </cell>
          <cell r="L3149" t="str">
            <v>01-21-001-14W2</v>
          </cell>
          <cell r="O3149">
            <v>805.1</v>
          </cell>
          <cell r="Q3149">
            <v>0.15</v>
          </cell>
          <cell r="T3149">
            <v>35533.161</v>
          </cell>
        </row>
        <row r="3150">
          <cell r="G3150">
            <v>42461</v>
          </cell>
          <cell r="L3150" t="str">
            <v>14-33-006-14W2</v>
          </cell>
          <cell r="O3150">
            <v>849.7</v>
          </cell>
          <cell r="Q3150">
            <v>1.66</v>
          </cell>
          <cell r="T3150">
            <v>2341.2849999999999</v>
          </cell>
        </row>
        <row r="3151">
          <cell r="G3151">
            <v>42461</v>
          </cell>
          <cell r="L3151" t="str">
            <v>04-21-006-14W2</v>
          </cell>
          <cell r="O3151">
            <v>865.5</v>
          </cell>
          <cell r="Q3151">
            <v>2.09</v>
          </cell>
          <cell r="T3151">
            <v>1522.5</v>
          </cell>
        </row>
        <row r="3152">
          <cell r="G3152">
            <v>42461</v>
          </cell>
          <cell r="L3152" t="str">
            <v>01-22-006-14W2</v>
          </cell>
          <cell r="O3152">
            <v>864.5</v>
          </cell>
          <cell r="Q3152">
            <v>2.14</v>
          </cell>
          <cell r="T3152">
            <v>948.37900000000002</v>
          </cell>
        </row>
        <row r="3153">
          <cell r="G3153">
            <v>42461</v>
          </cell>
          <cell r="L3153" t="str">
            <v>01-03-008-13W2</v>
          </cell>
          <cell r="O3153">
            <v>854.2</v>
          </cell>
          <cell r="Q3153">
            <v>2.0299999999999998</v>
          </cell>
          <cell r="T3153">
            <v>467.524</v>
          </cell>
        </row>
        <row r="3154">
          <cell r="G3154">
            <v>42461</v>
          </cell>
          <cell r="L3154" t="str">
            <v>15-30-007-12W2</v>
          </cell>
          <cell r="O3154">
            <v>870.8</v>
          </cell>
          <cell r="Q3154">
            <v>2.36</v>
          </cell>
          <cell r="T3154">
            <v>422.72</v>
          </cell>
        </row>
        <row r="3155">
          <cell r="G3155">
            <v>42461</v>
          </cell>
          <cell r="L3155" t="str">
            <v>02-18-007-13W2</v>
          </cell>
          <cell r="O3155">
            <v>858.8</v>
          </cell>
          <cell r="Q3155">
            <v>1.9</v>
          </cell>
          <cell r="T3155">
            <v>417.87799999999999</v>
          </cell>
        </row>
        <row r="3156">
          <cell r="G3156">
            <v>42461</v>
          </cell>
          <cell r="L3156" t="str">
            <v>04-11-007-13W2</v>
          </cell>
          <cell r="O3156">
            <v>852.4</v>
          </cell>
          <cell r="Q3156">
            <v>1.97</v>
          </cell>
          <cell r="T3156">
            <v>371.25900000000001</v>
          </cell>
        </row>
        <row r="3157">
          <cell r="G3157">
            <v>42461</v>
          </cell>
          <cell r="L3157" t="str">
            <v>16-12-004-31W1</v>
          </cell>
          <cell r="O3157">
            <v>845.3</v>
          </cell>
          <cell r="Q3157">
            <v>1.61</v>
          </cell>
          <cell r="T3157">
            <v>3142.6619999999998</v>
          </cell>
        </row>
        <row r="3158">
          <cell r="G3158">
            <v>42461</v>
          </cell>
          <cell r="L3158" t="str">
            <v>05-35-006-11W2</v>
          </cell>
          <cell r="O3158">
            <v>805.8</v>
          </cell>
          <cell r="Q3158">
            <v>0.1</v>
          </cell>
          <cell r="T3158">
            <v>547.63800000000003</v>
          </cell>
        </row>
        <row r="3159">
          <cell r="G3159">
            <v>42461</v>
          </cell>
          <cell r="L3159" t="str">
            <v>03-21-001-16W2</v>
          </cell>
          <cell r="O3159">
            <v>865.9</v>
          </cell>
          <cell r="Q3159">
            <v>0.89</v>
          </cell>
          <cell r="T3159">
            <v>392.30500000000001</v>
          </cell>
        </row>
        <row r="3160">
          <cell r="G3160">
            <v>42461</v>
          </cell>
          <cell r="L3160" t="str">
            <v>13-02-007-14W2</v>
          </cell>
          <cell r="O3160">
            <v>850.1</v>
          </cell>
          <cell r="Q3160">
            <v>1.79</v>
          </cell>
          <cell r="T3160">
            <v>1356.7439999999999</v>
          </cell>
        </row>
        <row r="3161">
          <cell r="G3161">
            <v>42461</v>
          </cell>
          <cell r="L3161" t="str">
            <v>15-33-006-14W2</v>
          </cell>
          <cell r="O3161">
            <v>847.2</v>
          </cell>
          <cell r="Q3161">
            <v>1.66</v>
          </cell>
          <cell r="T3161">
            <v>1186.191</v>
          </cell>
        </row>
        <row r="3162">
          <cell r="G3162">
            <v>42461</v>
          </cell>
          <cell r="L3162" t="str">
            <v>15-14-009-03W2</v>
          </cell>
          <cell r="O3162">
            <v>850.3</v>
          </cell>
          <cell r="Q3162">
            <v>1.52</v>
          </cell>
          <cell r="T3162">
            <v>890.726</v>
          </cell>
        </row>
        <row r="3163">
          <cell r="G3163">
            <v>42461</v>
          </cell>
          <cell r="L3163" t="str">
            <v>06-03-001-16W2</v>
          </cell>
          <cell r="O3163">
            <v>862.2</v>
          </cell>
          <cell r="Q3163">
            <v>1.1000000000000001</v>
          </cell>
          <cell r="T3163">
            <v>2363.5740000000001</v>
          </cell>
        </row>
        <row r="3164">
          <cell r="G3164">
            <v>42461</v>
          </cell>
          <cell r="L3164" t="str">
            <v>02-29-001-17W2</v>
          </cell>
          <cell r="O3164">
            <v>857.5</v>
          </cell>
          <cell r="Q3164">
            <v>2.21</v>
          </cell>
          <cell r="T3164">
            <v>646.28300000000002</v>
          </cell>
        </row>
        <row r="3165">
          <cell r="G3165">
            <v>42461</v>
          </cell>
          <cell r="L3165" t="str">
            <v>09-28-001-15W2</v>
          </cell>
          <cell r="O3165">
            <v>866.7</v>
          </cell>
          <cell r="Q3165">
            <v>1.25</v>
          </cell>
          <cell r="T3165">
            <v>334.09</v>
          </cell>
        </row>
        <row r="3166">
          <cell r="G3166">
            <v>42461</v>
          </cell>
          <cell r="L3166" t="str">
            <v>11-23-002-34W1</v>
          </cell>
          <cell r="O3166">
            <v>834.9</v>
          </cell>
          <cell r="Q3166">
            <v>1.63</v>
          </cell>
          <cell r="T3166">
            <v>211.67599999999999</v>
          </cell>
        </row>
        <row r="3167">
          <cell r="G3167">
            <v>42461</v>
          </cell>
          <cell r="L3167" t="str">
            <v>16-21-003-32W1</v>
          </cell>
          <cell r="O3167">
            <v>854</v>
          </cell>
          <cell r="Q3167">
            <v>1.68</v>
          </cell>
          <cell r="T3167">
            <v>814.22500000000002</v>
          </cell>
        </row>
        <row r="3168">
          <cell r="G3168">
            <v>42461</v>
          </cell>
          <cell r="L3168" t="str">
            <v>09-27-008-03W2</v>
          </cell>
          <cell r="O3168">
            <v>850</v>
          </cell>
          <cell r="Q3168">
            <v>1.55</v>
          </cell>
          <cell r="T3168">
            <v>1168.4000000000001</v>
          </cell>
        </row>
        <row r="3169">
          <cell r="G3169">
            <v>42461</v>
          </cell>
          <cell r="L3169" t="str">
            <v>16-33-005-06W2</v>
          </cell>
          <cell r="O3169">
            <v>864.8</v>
          </cell>
          <cell r="Q3169">
            <v>1.79</v>
          </cell>
          <cell r="T3169">
            <v>2429.8629999999998</v>
          </cell>
        </row>
        <row r="3170">
          <cell r="G3170">
            <v>42461</v>
          </cell>
          <cell r="L3170" t="str">
            <v>08-31-004-18W2</v>
          </cell>
          <cell r="O3170">
            <v>860</v>
          </cell>
          <cell r="Q3170">
            <v>1.81</v>
          </cell>
          <cell r="T3170">
            <v>7536.8050000000003</v>
          </cell>
        </row>
        <row r="3171">
          <cell r="G3171">
            <v>42461</v>
          </cell>
          <cell r="L3171" t="str">
            <v>05-31-003-16W2</v>
          </cell>
          <cell r="O3171">
            <v>891.5</v>
          </cell>
          <cell r="Q3171">
            <v>2.83</v>
          </cell>
          <cell r="T3171">
            <v>7067.89</v>
          </cell>
        </row>
        <row r="3172">
          <cell r="G3172">
            <v>42461</v>
          </cell>
          <cell r="L3172" t="str">
            <v>05-18-004-17W2</v>
          </cell>
          <cell r="O3172">
            <v>864</v>
          </cell>
          <cell r="Q3172">
            <v>2.09</v>
          </cell>
          <cell r="T3172">
            <v>2322.0070000000001</v>
          </cell>
        </row>
        <row r="3173">
          <cell r="G3173">
            <v>42461</v>
          </cell>
          <cell r="L3173" t="str">
            <v>12-25-004-19W2</v>
          </cell>
          <cell r="O3173">
            <v>868.3</v>
          </cell>
          <cell r="Q3173">
            <v>2.3199999999999998</v>
          </cell>
          <cell r="T3173">
            <v>474.11099999999999</v>
          </cell>
        </row>
        <row r="3174">
          <cell r="G3174">
            <v>42461</v>
          </cell>
          <cell r="L3174" t="str">
            <v>07-28-002-30W1</v>
          </cell>
          <cell r="O3174">
            <v>880.2</v>
          </cell>
          <cell r="Q3174">
            <v>2.41</v>
          </cell>
          <cell r="T3174">
            <v>2629.9920000000002</v>
          </cell>
        </row>
        <row r="3175">
          <cell r="G3175">
            <v>42461</v>
          </cell>
          <cell r="L3175" t="str">
            <v>12-01-003-30W1</v>
          </cell>
          <cell r="O3175">
            <v>878.4</v>
          </cell>
          <cell r="Q3175">
            <v>1.62</v>
          </cell>
          <cell r="T3175">
            <v>438.601</v>
          </cell>
        </row>
        <row r="3176">
          <cell r="G3176">
            <v>42461</v>
          </cell>
          <cell r="L3176" t="str">
            <v>11-30-005-03W2</v>
          </cell>
          <cell r="O3176">
            <v>854.4</v>
          </cell>
          <cell r="Q3176">
            <v>1.36</v>
          </cell>
          <cell r="T3176">
            <v>4882.4769999999999</v>
          </cell>
        </row>
        <row r="3177">
          <cell r="G3177">
            <v>42461</v>
          </cell>
          <cell r="L3177" t="str">
            <v>11-26-002-19W2</v>
          </cell>
          <cell r="O3177">
            <v>872.1</v>
          </cell>
          <cell r="Q3177">
            <v>2.0499999999999998</v>
          </cell>
          <cell r="T3177">
            <v>1271.24</v>
          </cell>
        </row>
        <row r="3178">
          <cell r="G3178">
            <v>42461</v>
          </cell>
          <cell r="L3178" t="str">
            <v>03-12-002-19W2</v>
          </cell>
          <cell r="O3178">
            <v>868.3</v>
          </cell>
          <cell r="Q3178">
            <v>2.39</v>
          </cell>
          <cell r="T3178">
            <v>327.99099999999999</v>
          </cell>
        </row>
        <row r="3179">
          <cell r="G3179">
            <v>42461</v>
          </cell>
          <cell r="L3179" t="str">
            <v>14-26-002-30W1</v>
          </cell>
          <cell r="O3179">
            <v>870.4</v>
          </cell>
          <cell r="Q3179">
            <v>2.0299999999999998</v>
          </cell>
          <cell r="T3179">
            <v>761.89</v>
          </cell>
        </row>
        <row r="3180">
          <cell r="G3180">
            <v>42461</v>
          </cell>
          <cell r="L3180" t="str">
            <v>12-12-005-34W1</v>
          </cell>
          <cell r="O3180">
            <v>822</v>
          </cell>
          <cell r="Q3180">
            <v>0.59</v>
          </cell>
          <cell r="T3180">
            <v>218.47900000000001</v>
          </cell>
        </row>
        <row r="3181">
          <cell r="G3181">
            <v>42461</v>
          </cell>
          <cell r="L3181" t="str">
            <v>09-02-007-05W2</v>
          </cell>
          <cell r="O3181">
            <v>857.4</v>
          </cell>
          <cell r="Q3181">
            <v>1.85</v>
          </cell>
          <cell r="T3181">
            <v>918.16800000000001</v>
          </cell>
        </row>
        <row r="3182">
          <cell r="G3182">
            <v>42461</v>
          </cell>
          <cell r="L3182" t="str">
            <v>09-18-007-04W2</v>
          </cell>
          <cell r="O3182">
            <v>854.6</v>
          </cell>
          <cell r="Q3182">
            <v>1.44</v>
          </cell>
          <cell r="T3182">
            <v>286.12799999999999</v>
          </cell>
        </row>
        <row r="3183">
          <cell r="G3183">
            <v>42461</v>
          </cell>
          <cell r="L3183" t="str">
            <v>09-28-006-34W1</v>
          </cell>
          <cell r="O3183">
            <v>840.3</v>
          </cell>
          <cell r="Q3183">
            <v>1.22</v>
          </cell>
          <cell r="T3183">
            <v>2015.38</v>
          </cell>
        </row>
        <row r="3184">
          <cell r="G3184">
            <v>42461</v>
          </cell>
          <cell r="L3184" t="str">
            <v>09-33-006-05W2</v>
          </cell>
          <cell r="O3184">
            <v>859.9</v>
          </cell>
          <cell r="Q3184">
            <v>1.78</v>
          </cell>
          <cell r="T3184">
            <v>1558.9490000000001</v>
          </cell>
        </row>
        <row r="3185">
          <cell r="G3185">
            <v>42461</v>
          </cell>
          <cell r="L3185" t="str">
            <v>11-28-006-05W2</v>
          </cell>
          <cell r="O3185">
            <v>853.4</v>
          </cell>
          <cell r="Q3185">
            <v>1.48</v>
          </cell>
          <cell r="T3185">
            <v>1122.127</v>
          </cell>
        </row>
        <row r="3186">
          <cell r="G3186">
            <v>42461</v>
          </cell>
          <cell r="L3186" t="str">
            <v>13-34-006-05W2</v>
          </cell>
          <cell r="O3186">
            <v>861.8</v>
          </cell>
          <cell r="Q3186">
            <v>1.92</v>
          </cell>
          <cell r="T3186">
            <v>946.63800000000003</v>
          </cell>
        </row>
        <row r="3187">
          <cell r="G3187">
            <v>42461</v>
          </cell>
          <cell r="L3187" t="str">
            <v>02-20-006-32W1</v>
          </cell>
          <cell r="O3187">
            <v>830.4</v>
          </cell>
          <cell r="Q3187">
            <v>0.8</v>
          </cell>
          <cell r="T3187">
            <v>768.70399999999995</v>
          </cell>
        </row>
        <row r="3188">
          <cell r="G3188">
            <v>42461</v>
          </cell>
          <cell r="L3188" t="str">
            <v>16-09-004-31W1</v>
          </cell>
          <cell r="O3188">
            <v>869.9</v>
          </cell>
          <cell r="Q3188">
            <v>1.8</v>
          </cell>
          <cell r="T3188">
            <v>497.81200000000001</v>
          </cell>
        </row>
        <row r="3189">
          <cell r="G3189">
            <v>42461</v>
          </cell>
          <cell r="L3189" t="str">
            <v>08-26-006-02W2</v>
          </cell>
          <cell r="O3189">
            <v>844.2</v>
          </cell>
          <cell r="Q3189">
            <v>1.19</v>
          </cell>
          <cell r="T3189">
            <v>611.98099999999999</v>
          </cell>
        </row>
        <row r="3190">
          <cell r="G3190">
            <v>42461</v>
          </cell>
          <cell r="L3190" t="str">
            <v>13-13-007-02W2</v>
          </cell>
          <cell r="O3190">
            <v>846.7</v>
          </cell>
          <cell r="Q3190">
            <v>1.25</v>
          </cell>
          <cell r="T3190">
            <v>4335.7259999999997</v>
          </cell>
        </row>
        <row r="3191">
          <cell r="G3191">
            <v>42461</v>
          </cell>
          <cell r="L3191" t="str">
            <v>04-04-007-01W2</v>
          </cell>
          <cell r="O3191">
            <v>847.8</v>
          </cell>
          <cell r="Q3191">
            <v>1.1399999999999999</v>
          </cell>
          <cell r="T3191">
            <v>576.67200000000003</v>
          </cell>
        </row>
        <row r="3192">
          <cell r="G3192">
            <v>42461</v>
          </cell>
          <cell r="L3192" t="str">
            <v>07-02-007-11W2</v>
          </cell>
          <cell r="O3192">
            <v>851.1</v>
          </cell>
          <cell r="Q3192">
            <v>1.04</v>
          </cell>
          <cell r="T3192">
            <v>1422.74</v>
          </cell>
        </row>
        <row r="3193">
          <cell r="G3193">
            <v>42461</v>
          </cell>
          <cell r="L3193" t="str">
            <v>05-03-009-33W1</v>
          </cell>
          <cell r="O3193">
            <v>848.2</v>
          </cell>
          <cell r="Q3193">
            <v>1.32</v>
          </cell>
          <cell r="T3193">
            <v>2463.5520000000001</v>
          </cell>
        </row>
        <row r="3194">
          <cell r="G3194">
            <v>42461</v>
          </cell>
          <cell r="L3194" t="str">
            <v>04-22-009-33W1</v>
          </cell>
          <cell r="O3194">
            <v>852.7</v>
          </cell>
          <cell r="Q3194">
            <v>1.4</v>
          </cell>
          <cell r="T3194">
            <v>1948.171</v>
          </cell>
        </row>
        <row r="3195">
          <cell r="G3195">
            <v>42461</v>
          </cell>
          <cell r="L3195" t="str">
            <v>14-30-009-33W1</v>
          </cell>
          <cell r="O3195">
            <v>859.3</v>
          </cell>
          <cell r="Q3195">
            <v>1.72</v>
          </cell>
          <cell r="T3195">
            <v>1160.27</v>
          </cell>
        </row>
        <row r="3196">
          <cell r="G3196">
            <v>42461</v>
          </cell>
          <cell r="L3196" t="str">
            <v>10-26-010-03W2</v>
          </cell>
          <cell r="O3196">
            <v>853.9</v>
          </cell>
          <cell r="Q3196">
            <v>1.59</v>
          </cell>
          <cell r="T3196">
            <v>466.58499999999998</v>
          </cell>
        </row>
        <row r="3197">
          <cell r="G3197">
            <v>42461</v>
          </cell>
          <cell r="L3197" t="str">
            <v>16-10-006-30W1</v>
          </cell>
          <cell r="O3197">
            <v>853.9</v>
          </cell>
          <cell r="Q3197">
            <v>1.51</v>
          </cell>
          <cell r="T3197">
            <v>2990.779</v>
          </cell>
        </row>
        <row r="3198">
          <cell r="G3198">
            <v>42461</v>
          </cell>
          <cell r="L3198" t="str">
            <v>05-07-005-03W2</v>
          </cell>
          <cell r="O3198">
            <v>848</v>
          </cell>
          <cell r="Q3198">
            <v>1.32</v>
          </cell>
          <cell r="T3198">
            <v>2204.23</v>
          </cell>
        </row>
        <row r="3199">
          <cell r="G3199">
            <v>42461</v>
          </cell>
          <cell r="L3199" t="str">
            <v>04-10-004-31W1</v>
          </cell>
          <cell r="O3199">
            <v>866.5</v>
          </cell>
          <cell r="Q3199">
            <v>1.91</v>
          </cell>
          <cell r="T3199">
            <v>2280.6669999999999</v>
          </cell>
        </row>
        <row r="3200">
          <cell r="G3200">
            <v>42461</v>
          </cell>
          <cell r="L3200" t="str">
            <v>14-09-002-29W1</v>
          </cell>
          <cell r="O3200">
            <v>836.4</v>
          </cell>
          <cell r="Q3200">
            <v>0.79</v>
          </cell>
          <cell r="T3200">
            <v>8309.0419999999995</v>
          </cell>
        </row>
        <row r="3201">
          <cell r="G3201">
            <v>42461</v>
          </cell>
          <cell r="L3201" t="str">
            <v>02-12-010-02W2</v>
          </cell>
          <cell r="O3201">
            <v>857.2</v>
          </cell>
          <cell r="Q3201">
            <v>1.63</v>
          </cell>
          <cell r="T3201">
            <v>488.61500000000001</v>
          </cell>
        </row>
        <row r="3202">
          <cell r="G3202">
            <v>42461</v>
          </cell>
          <cell r="L3202" t="str">
            <v>02-16-010-02W2</v>
          </cell>
          <cell r="O3202">
            <v>860.2</v>
          </cell>
          <cell r="Q3202">
            <v>1.21</v>
          </cell>
          <cell r="T3202">
            <v>438.07</v>
          </cell>
        </row>
        <row r="3203">
          <cell r="G3203">
            <v>42461</v>
          </cell>
          <cell r="L3203" t="str">
            <v>08-31-009-01W2</v>
          </cell>
          <cell r="O3203">
            <v>859.2</v>
          </cell>
          <cell r="Q3203">
            <v>1.78</v>
          </cell>
          <cell r="T3203">
            <v>237.232</v>
          </cell>
        </row>
        <row r="3204">
          <cell r="G3204">
            <v>42461</v>
          </cell>
          <cell r="L3204" t="str">
            <v>01-28-002-14W2</v>
          </cell>
          <cell r="O3204">
            <v>823.3</v>
          </cell>
          <cell r="Q3204">
            <v>1.2</v>
          </cell>
          <cell r="T3204">
            <v>6872.53</v>
          </cell>
        </row>
        <row r="3205">
          <cell r="G3205">
            <v>42461</v>
          </cell>
          <cell r="L3205" t="str">
            <v>16-23-006-11W2</v>
          </cell>
          <cell r="O3205">
            <v>877.7</v>
          </cell>
          <cell r="Q3205">
            <v>2.2999999999999998</v>
          </cell>
          <cell r="T3205">
            <v>1327.2470000000001</v>
          </cell>
        </row>
        <row r="3206">
          <cell r="G3206">
            <v>42461</v>
          </cell>
          <cell r="L3206" t="str">
            <v>04-05-007-33W1</v>
          </cell>
          <cell r="O3206">
            <v>839.3</v>
          </cell>
          <cell r="Q3206">
            <v>1.2</v>
          </cell>
          <cell r="T3206">
            <v>1999.203</v>
          </cell>
        </row>
        <row r="3207">
          <cell r="G3207">
            <v>42461</v>
          </cell>
          <cell r="L3207" t="str">
            <v>02-14-005-32W1</v>
          </cell>
          <cell r="O3207">
            <v>834.9</v>
          </cell>
          <cell r="Q3207">
            <v>0.97</v>
          </cell>
          <cell r="T3207">
            <v>1734.116</v>
          </cell>
        </row>
        <row r="3208">
          <cell r="G3208">
            <v>42461</v>
          </cell>
          <cell r="L3208" t="str">
            <v>12-23-005-31W1</v>
          </cell>
          <cell r="O3208">
            <v>844</v>
          </cell>
          <cell r="Q3208">
            <v>1.03</v>
          </cell>
          <cell r="T3208">
            <v>1274.0840000000001</v>
          </cell>
        </row>
        <row r="3209">
          <cell r="G3209">
            <v>42461</v>
          </cell>
          <cell r="L3209" t="str">
            <v>02-17-005-31W1</v>
          </cell>
          <cell r="O3209">
            <v>844</v>
          </cell>
          <cell r="Q3209">
            <v>1.41</v>
          </cell>
          <cell r="T3209">
            <v>243.11500000000001</v>
          </cell>
        </row>
        <row r="3210">
          <cell r="G3210">
            <v>42461</v>
          </cell>
          <cell r="L3210" t="str">
            <v>03-03-002-32W1</v>
          </cell>
          <cell r="O3210">
            <v>825.8</v>
          </cell>
          <cell r="Q3210">
            <v>0.9</v>
          </cell>
          <cell r="T3210">
            <v>3331.0340000000001</v>
          </cell>
        </row>
        <row r="3211">
          <cell r="G3211">
            <v>42461</v>
          </cell>
          <cell r="L3211" t="str">
            <v>16-24-001-34W1</v>
          </cell>
          <cell r="O3211">
            <v>864.9</v>
          </cell>
          <cell r="Q3211">
            <v>1.62</v>
          </cell>
          <cell r="T3211">
            <v>2199.7620000000002</v>
          </cell>
        </row>
        <row r="3212">
          <cell r="G3212">
            <v>42461</v>
          </cell>
          <cell r="L3212" t="str">
            <v>14-28-002-34W1</v>
          </cell>
          <cell r="O3212">
            <v>832.5</v>
          </cell>
          <cell r="Q3212">
            <v>0.71</v>
          </cell>
          <cell r="T3212">
            <v>1163.8</v>
          </cell>
        </row>
        <row r="3213">
          <cell r="G3213">
            <v>42461</v>
          </cell>
          <cell r="L3213" t="str">
            <v>14-33-003-01W2</v>
          </cell>
          <cell r="O3213">
            <v>826.5</v>
          </cell>
          <cell r="Q3213">
            <v>0.84</v>
          </cell>
          <cell r="T3213">
            <v>1087.972</v>
          </cell>
        </row>
        <row r="3214">
          <cell r="G3214">
            <v>42461</v>
          </cell>
          <cell r="L3214" t="str">
            <v>06-24-001-34W1</v>
          </cell>
          <cell r="O3214">
            <v>850.4</v>
          </cell>
          <cell r="Q3214">
            <v>1.63</v>
          </cell>
          <cell r="T3214">
            <v>785.18499999999995</v>
          </cell>
        </row>
        <row r="3215">
          <cell r="G3215">
            <v>42461</v>
          </cell>
          <cell r="L3215" t="str">
            <v>07-31-001-31W1</v>
          </cell>
          <cell r="O3215">
            <v>866</v>
          </cell>
          <cell r="Q3215">
            <v>1.63</v>
          </cell>
          <cell r="T3215">
            <v>769.02</v>
          </cell>
        </row>
        <row r="3216">
          <cell r="G3216">
            <v>42461</v>
          </cell>
          <cell r="L3216" t="str">
            <v>05-12-002-32W1</v>
          </cell>
          <cell r="O3216">
            <v>861.2</v>
          </cell>
          <cell r="Q3216">
            <v>1.63</v>
          </cell>
          <cell r="T3216">
            <v>706.101</v>
          </cell>
        </row>
        <row r="3217">
          <cell r="G3217">
            <v>42461</v>
          </cell>
          <cell r="L3217" t="str">
            <v>11-25-001-32W1</v>
          </cell>
          <cell r="O3217">
            <v>856.2</v>
          </cell>
          <cell r="Q3217">
            <v>1.62</v>
          </cell>
          <cell r="T3217">
            <v>664.1</v>
          </cell>
        </row>
        <row r="3218">
          <cell r="G3218">
            <v>42461</v>
          </cell>
          <cell r="L3218" t="str">
            <v>04-14-005-33W1</v>
          </cell>
          <cell r="O3218">
            <v>834.9</v>
          </cell>
          <cell r="Q3218">
            <v>0.8</v>
          </cell>
          <cell r="T3218">
            <v>545.375</v>
          </cell>
        </row>
        <row r="3219">
          <cell r="G3219">
            <v>42461</v>
          </cell>
          <cell r="L3219" t="str">
            <v>03-23-001-32W1</v>
          </cell>
          <cell r="O3219">
            <v>845.9</v>
          </cell>
          <cell r="Q3219">
            <v>1.65</v>
          </cell>
          <cell r="T3219">
            <v>370.18099999999998</v>
          </cell>
        </row>
        <row r="3220">
          <cell r="G3220">
            <v>42461</v>
          </cell>
          <cell r="L3220" t="str">
            <v>07-12-005-34W1</v>
          </cell>
          <cell r="O3220">
            <v>823.8</v>
          </cell>
          <cell r="Q3220">
            <v>0.61</v>
          </cell>
          <cell r="T3220">
            <v>330.11099999999999</v>
          </cell>
        </row>
        <row r="3221">
          <cell r="G3221">
            <v>42461</v>
          </cell>
          <cell r="L3221" t="str">
            <v>05-01-001-32W1</v>
          </cell>
          <cell r="O3221">
            <v>866.3</v>
          </cell>
          <cell r="Q3221">
            <v>1.62</v>
          </cell>
          <cell r="T3221">
            <v>244.256</v>
          </cell>
        </row>
        <row r="3222">
          <cell r="G3222">
            <v>42461</v>
          </cell>
          <cell r="L3222" t="str">
            <v>16-18-011-04W2</v>
          </cell>
          <cell r="O3222">
            <v>825</v>
          </cell>
          <cell r="Q3222">
            <v>1.37</v>
          </cell>
          <cell r="T3222">
            <v>4963.1080000000002</v>
          </cell>
        </row>
        <row r="3223">
          <cell r="G3223">
            <v>42461</v>
          </cell>
          <cell r="L3223" t="str">
            <v>10-13-006-03W2</v>
          </cell>
          <cell r="O3223">
            <v>857.8</v>
          </cell>
          <cell r="Q3223">
            <v>1.79</v>
          </cell>
          <cell r="T3223">
            <v>1143.4100000000001</v>
          </cell>
        </row>
        <row r="3224">
          <cell r="G3224">
            <v>42461</v>
          </cell>
          <cell r="L3224" t="str">
            <v>07-12-008-04W2</v>
          </cell>
          <cell r="O3224">
            <v>855</v>
          </cell>
          <cell r="Q3224">
            <v>1.41</v>
          </cell>
          <cell r="T3224">
            <v>726.68100000000004</v>
          </cell>
        </row>
        <row r="3225">
          <cell r="G3225">
            <v>42461</v>
          </cell>
          <cell r="L3225" t="str">
            <v>08-36-003-34W1</v>
          </cell>
          <cell r="O3225">
            <v>848.7</v>
          </cell>
          <cell r="Q3225">
            <v>1.1599999999999999</v>
          </cell>
          <cell r="T3225">
            <v>4908.0959999999995</v>
          </cell>
        </row>
        <row r="3226">
          <cell r="G3226">
            <v>42461</v>
          </cell>
          <cell r="L3226" t="str">
            <v>05-14-003-01W2</v>
          </cell>
          <cell r="O3226">
            <v>828.4</v>
          </cell>
          <cell r="Q3226">
            <v>0.71</v>
          </cell>
          <cell r="T3226">
            <v>2884.9520000000002</v>
          </cell>
        </row>
        <row r="3227">
          <cell r="G3227">
            <v>42461</v>
          </cell>
          <cell r="L3227" t="str">
            <v>05-13-003-02W2</v>
          </cell>
          <cell r="O3227">
            <v>829.8</v>
          </cell>
          <cell r="Q3227">
            <v>0.53</v>
          </cell>
          <cell r="T3227">
            <v>2070.9749999999999</v>
          </cell>
        </row>
        <row r="3228">
          <cell r="G3228">
            <v>42461</v>
          </cell>
          <cell r="L3228" t="str">
            <v>01-09-001-31W1</v>
          </cell>
          <cell r="O3228">
            <v>875</v>
          </cell>
          <cell r="Q3228">
            <v>1.63</v>
          </cell>
          <cell r="T3228">
            <v>2012.819</v>
          </cell>
        </row>
        <row r="3229">
          <cell r="G3229">
            <v>42461</v>
          </cell>
          <cell r="L3229" t="str">
            <v>14-33-003-01W2</v>
          </cell>
          <cell r="O3229">
            <v>837.4</v>
          </cell>
          <cell r="Q3229">
            <v>0.67</v>
          </cell>
          <cell r="T3229">
            <v>1034.2139999999999</v>
          </cell>
        </row>
        <row r="3230">
          <cell r="G3230">
            <v>42461</v>
          </cell>
          <cell r="L3230" t="str">
            <v>13-11-004-02W2</v>
          </cell>
          <cell r="O3230">
            <v>842.1</v>
          </cell>
          <cell r="Q3230">
            <v>1.05</v>
          </cell>
          <cell r="T3230">
            <v>993.702</v>
          </cell>
        </row>
        <row r="3231">
          <cell r="G3231">
            <v>42461</v>
          </cell>
          <cell r="L3231" t="str">
            <v>10-11-004-34W1</v>
          </cell>
          <cell r="O3231">
            <v>828.6</v>
          </cell>
          <cell r="Q3231">
            <v>0.82</v>
          </cell>
          <cell r="T3231">
            <v>593.78</v>
          </cell>
        </row>
        <row r="3232">
          <cell r="G3232">
            <v>42461</v>
          </cell>
          <cell r="L3232" t="str">
            <v>14-20-005-33W1</v>
          </cell>
          <cell r="O3232">
            <v>828.4</v>
          </cell>
          <cell r="Q3232">
            <v>0.72</v>
          </cell>
          <cell r="T3232">
            <v>582.44399999999996</v>
          </cell>
        </row>
        <row r="3233">
          <cell r="G3233">
            <v>42461</v>
          </cell>
          <cell r="L3233" t="str">
            <v>02-10-003-01W2</v>
          </cell>
          <cell r="O3233">
            <v>828.5</v>
          </cell>
          <cell r="Q3233">
            <v>0.51</v>
          </cell>
          <cell r="T3233">
            <v>374.916</v>
          </cell>
        </row>
        <row r="3234">
          <cell r="G3234">
            <v>42461</v>
          </cell>
          <cell r="L3234" t="str">
            <v>02-08-004-33W1</v>
          </cell>
          <cell r="O3234">
            <v>835.4</v>
          </cell>
          <cell r="Q3234">
            <v>0.65</v>
          </cell>
          <cell r="T3234">
            <v>334.21100000000001</v>
          </cell>
        </row>
        <row r="3235">
          <cell r="G3235">
            <v>42461</v>
          </cell>
          <cell r="L3235" t="str">
            <v>07-36-001-34W1</v>
          </cell>
          <cell r="O3235">
            <v>854.5</v>
          </cell>
          <cell r="Q3235">
            <v>1.61</v>
          </cell>
          <cell r="T3235">
            <v>254.072</v>
          </cell>
        </row>
        <row r="3236">
          <cell r="G3236">
            <v>42461</v>
          </cell>
          <cell r="L3236" t="str">
            <v>08-33-005-03W2</v>
          </cell>
          <cell r="O3236">
            <v>845</v>
          </cell>
          <cell r="Q3236">
            <v>1.1200000000000001</v>
          </cell>
          <cell r="T3236">
            <v>1225.6189999999999</v>
          </cell>
        </row>
        <row r="3237">
          <cell r="G3237">
            <v>42461</v>
          </cell>
          <cell r="L3237" t="str">
            <v>02-02-006-03W2</v>
          </cell>
          <cell r="O3237">
            <v>845.1</v>
          </cell>
          <cell r="Q3237">
            <v>1.2</v>
          </cell>
          <cell r="T3237">
            <v>1092.3910000000001</v>
          </cell>
        </row>
        <row r="3238">
          <cell r="G3238">
            <v>42461</v>
          </cell>
          <cell r="L3238" t="str">
            <v>08-31-005-03W2</v>
          </cell>
          <cell r="O3238">
            <v>840.4</v>
          </cell>
          <cell r="Q3238">
            <v>1.07</v>
          </cell>
          <cell r="T3238">
            <v>249.27699999999999</v>
          </cell>
        </row>
        <row r="3239">
          <cell r="G3239">
            <v>42461</v>
          </cell>
          <cell r="L3239" t="str">
            <v>05-29-005-32W1</v>
          </cell>
          <cell r="O3239">
            <v>833.9</v>
          </cell>
          <cell r="Q3239">
            <v>0.94</v>
          </cell>
          <cell r="T3239">
            <v>3050.0120000000002</v>
          </cell>
        </row>
        <row r="3240">
          <cell r="G3240">
            <v>42461</v>
          </cell>
          <cell r="L3240" t="str">
            <v>15-26-007-04W2</v>
          </cell>
          <cell r="O3240">
            <v>848.4</v>
          </cell>
          <cell r="Q3240">
            <v>1.4</v>
          </cell>
          <cell r="T3240">
            <v>470.435</v>
          </cell>
        </row>
        <row r="3241">
          <cell r="G3241">
            <v>42461</v>
          </cell>
          <cell r="L3241" t="str">
            <v>07-25-003-13W2</v>
          </cell>
          <cell r="O3241">
            <v>885.7</v>
          </cell>
          <cell r="Q3241">
            <v>2.4</v>
          </cell>
          <cell r="T3241">
            <v>285.46899999999999</v>
          </cell>
        </row>
        <row r="3242">
          <cell r="G3242">
            <v>42461</v>
          </cell>
          <cell r="L3242" t="str">
            <v>07-23-006-02W2</v>
          </cell>
          <cell r="O3242">
            <v>851.4</v>
          </cell>
          <cell r="Q3242">
            <v>1.1299999999999999</v>
          </cell>
          <cell r="T3242">
            <v>341.13499999999999</v>
          </cell>
        </row>
        <row r="3243">
          <cell r="G3243">
            <v>42461</v>
          </cell>
          <cell r="L3243" t="str">
            <v>13-30-005-05W2</v>
          </cell>
          <cell r="O3243">
            <v>854.1</v>
          </cell>
          <cell r="Q3243">
            <v>1.1200000000000001</v>
          </cell>
          <cell r="T3243">
            <v>767.80600000000004</v>
          </cell>
        </row>
        <row r="3244">
          <cell r="G3244">
            <v>42461</v>
          </cell>
          <cell r="L3244" t="str">
            <v>09-13-007-11W2</v>
          </cell>
          <cell r="O3244">
            <v>807.8</v>
          </cell>
          <cell r="Q3244">
            <v>0.37</v>
          </cell>
          <cell r="T3244">
            <v>21898.512999999999</v>
          </cell>
        </row>
        <row r="3245">
          <cell r="G3245">
            <v>42461</v>
          </cell>
          <cell r="L3245" t="str">
            <v>04-27-003-33W1</v>
          </cell>
          <cell r="O3245">
            <v>842.2</v>
          </cell>
          <cell r="Q3245">
            <v>1.1299999999999999</v>
          </cell>
          <cell r="T3245">
            <v>2460.4349999999999</v>
          </cell>
        </row>
        <row r="3246">
          <cell r="G3246">
            <v>42461</v>
          </cell>
          <cell r="L3246" t="str">
            <v>03-06-005-12W2</v>
          </cell>
          <cell r="O3246">
            <v>885.7</v>
          </cell>
          <cell r="Q3246">
            <v>2.25</v>
          </cell>
          <cell r="T3246">
            <v>443.77499999999998</v>
          </cell>
        </row>
        <row r="3247">
          <cell r="G3247">
            <v>42461</v>
          </cell>
          <cell r="L3247" t="str">
            <v>15-25-007-11W2</v>
          </cell>
          <cell r="O3247">
            <v>867.8</v>
          </cell>
          <cell r="Q3247">
            <v>1.94</v>
          </cell>
          <cell r="T3247">
            <v>1272.258</v>
          </cell>
        </row>
        <row r="3248">
          <cell r="G3248">
            <v>42461</v>
          </cell>
          <cell r="L3248" t="str">
            <v>07-27-007-06W2</v>
          </cell>
          <cell r="O3248">
            <v>804.6</v>
          </cell>
          <cell r="Q3248">
            <v>0.24</v>
          </cell>
          <cell r="T3248">
            <v>528.072</v>
          </cell>
        </row>
        <row r="3249">
          <cell r="G3249">
            <v>42461</v>
          </cell>
          <cell r="L3249" t="str">
            <v>05-20-004-04W2</v>
          </cell>
          <cell r="O3249">
            <v>821.3</v>
          </cell>
          <cell r="Q3249">
            <v>1.9</v>
          </cell>
          <cell r="T3249">
            <v>6620.52</v>
          </cell>
        </row>
        <row r="3250">
          <cell r="G3250">
            <v>42461</v>
          </cell>
          <cell r="L3250" t="str">
            <v>11-16-005-04W2</v>
          </cell>
          <cell r="O3250">
            <v>853.2</v>
          </cell>
          <cell r="Q3250">
            <v>1.35</v>
          </cell>
          <cell r="T3250">
            <v>1812.068</v>
          </cell>
        </row>
        <row r="3251">
          <cell r="G3251">
            <v>42461</v>
          </cell>
          <cell r="L3251" t="str">
            <v>07-12-006-11W2</v>
          </cell>
          <cell r="O3251">
            <v>883.8</v>
          </cell>
          <cell r="Q3251">
            <v>2.0099999999999998</v>
          </cell>
          <cell r="T3251">
            <v>22290.197</v>
          </cell>
        </row>
        <row r="3252">
          <cell r="G3252">
            <v>42461</v>
          </cell>
          <cell r="L3252" t="str">
            <v>11-04-005-12W2</v>
          </cell>
          <cell r="O3252">
            <v>878.6</v>
          </cell>
          <cell r="Q3252">
            <v>2</v>
          </cell>
          <cell r="T3252">
            <v>1760.182</v>
          </cell>
        </row>
        <row r="3253">
          <cell r="G3253">
            <v>42461</v>
          </cell>
          <cell r="L3253" t="str">
            <v>15-32-004-12W2</v>
          </cell>
          <cell r="O3253">
            <v>881.2</v>
          </cell>
          <cell r="Q3253">
            <v>2.12</v>
          </cell>
          <cell r="T3253">
            <v>1304.749</v>
          </cell>
        </row>
        <row r="3254">
          <cell r="G3254">
            <v>42461</v>
          </cell>
          <cell r="L3254" t="str">
            <v>02-13-006-06W2</v>
          </cell>
          <cell r="O3254">
            <v>847.4</v>
          </cell>
          <cell r="Q3254">
            <v>1.53</v>
          </cell>
          <cell r="T3254">
            <v>1897.519</v>
          </cell>
        </row>
        <row r="3255">
          <cell r="G3255">
            <v>42461</v>
          </cell>
          <cell r="L3255" t="str">
            <v>03-05-006-05W2</v>
          </cell>
          <cell r="O3255">
            <v>868.7</v>
          </cell>
          <cell r="Q3255">
            <v>1.01</v>
          </cell>
          <cell r="T3255">
            <v>290.52199999999999</v>
          </cell>
        </row>
        <row r="3256">
          <cell r="G3256">
            <v>42461</v>
          </cell>
          <cell r="L3256" t="str">
            <v>01-07-006-10W2</v>
          </cell>
          <cell r="O3256">
            <v>809.3</v>
          </cell>
          <cell r="Q3256">
            <v>1.62</v>
          </cell>
          <cell r="T3256">
            <v>61389.807999999997</v>
          </cell>
        </row>
        <row r="3257">
          <cell r="G3257">
            <v>42461</v>
          </cell>
          <cell r="L3257" t="str">
            <v>13-30-007-10W2</v>
          </cell>
          <cell r="O3257">
            <v>817.7</v>
          </cell>
          <cell r="Q3257">
            <v>0.56000000000000005</v>
          </cell>
          <cell r="T3257">
            <v>11794.388000000001</v>
          </cell>
        </row>
        <row r="3258">
          <cell r="G3258">
            <v>42461</v>
          </cell>
          <cell r="L3258" t="str">
            <v>14-13-001-05W2</v>
          </cell>
          <cell r="O3258">
            <v>818.4</v>
          </cell>
          <cell r="Q3258">
            <v>0.48</v>
          </cell>
          <cell r="T3258">
            <v>26331.701000000001</v>
          </cell>
        </row>
        <row r="3259">
          <cell r="G3259">
            <v>42461</v>
          </cell>
          <cell r="L3259" t="str">
            <v>04-17-004-31W1</v>
          </cell>
          <cell r="O3259">
            <v>862.5</v>
          </cell>
          <cell r="Q3259">
            <v>1.73</v>
          </cell>
          <cell r="T3259">
            <v>1385.557</v>
          </cell>
        </row>
        <row r="3260">
          <cell r="G3260">
            <v>42461</v>
          </cell>
          <cell r="L3260" t="str">
            <v>10-33-003-31W1</v>
          </cell>
          <cell r="O3260">
            <v>882.4</v>
          </cell>
          <cell r="Q3260">
            <v>0.88</v>
          </cell>
          <cell r="T3260">
            <v>310.63400000000001</v>
          </cell>
        </row>
        <row r="3261">
          <cell r="G3261">
            <v>42461</v>
          </cell>
          <cell r="L3261" t="str">
            <v>11-02-005-12W2</v>
          </cell>
          <cell r="O3261">
            <v>831.9</v>
          </cell>
          <cell r="Q3261">
            <v>1.44</v>
          </cell>
          <cell r="T3261">
            <v>3445.0160000000001</v>
          </cell>
        </row>
        <row r="3262">
          <cell r="G3262">
            <v>42461</v>
          </cell>
          <cell r="L3262" t="str">
            <v>14-30-001-04W2</v>
          </cell>
          <cell r="O3262">
            <v>829.4</v>
          </cell>
          <cell r="Q3262">
            <v>0.52</v>
          </cell>
          <cell r="T3262">
            <v>4120.8149999999996</v>
          </cell>
        </row>
        <row r="3263">
          <cell r="G3263">
            <v>42461</v>
          </cell>
          <cell r="L3263" t="str">
            <v>14-18-001-04W2</v>
          </cell>
          <cell r="O3263">
            <v>824.2</v>
          </cell>
          <cell r="Q3263">
            <v>0.5</v>
          </cell>
          <cell r="T3263">
            <v>339.47899999999998</v>
          </cell>
        </row>
        <row r="3264">
          <cell r="G3264">
            <v>42461</v>
          </cell>
          <cell r="L3264" t="str">
            <v>16-13-004-32W1</v>
          </cell>
          <cell r="O3264">
            <v>853.9</v>
          </cell>
          <cell r="Q3264">
            <v>1.45</v>
          </cell>
          <cell r="T3264">
            <v>1313.4190000000001</v>
          </cell>
        </row>
        <row r="3265">
          <cell r="G3265">
            <v>42461</v>
          </cell>
          <cell r="L3265" t="str">
            <v>06-03-004-31W1</v>
          </cell>
          <cell r="O3265">
            <v>870.5</v>
          </cell>
          <cell r="Q3265">
            <v>1.88</v>
          </cell>
          <cell r="T3265">
            <v>381.11900000000003</v>
          </cell>
        </row>
        <row r="3266">
          <cell r="G3266">
            <v>42461</v>
          </cell>
          <cell r="L3266" t="str">
            <v>05-31-002-01W2</v>
          </cell>
          <cell r="O3266">
            <v>822.2</v>
          </cell>
          <cell r="Q3266">
            <v>0.47</v>
          </cell>
          <cell r="T3266">
            <v>8420.6139999999996</v>
          </cell>
        </row>
        <row r="3267">
          <cell r="G3267">
            <v>42461</v>
          </cell>
          <cell r="L3267" t="str">
            <v>13-03-006-34W1</v>
          </cell>
          <cell r="O3267">
            <v>843.7</v>
          </cell>
          <cell r="Q3267">
            <v>1.1599999999999999</v>
          </cell>
          <cell r="T3267">
            <v>5699.61</v>
          </cell>
        </row>
        <row r="3268">
          <cell r="G3268">
            <v>42461</v>
          </cell>
          <cell r="L3268" t="str">
            <v>06-27-006-01W2</v>
          </cell>
          <cell r="O3268">
            <v>844.5</v>
          </cell>
          <cell r="Q3268">
            <v>1.54</v>
          </cell>
          <cell r="T3268">
            <v>2182.672</v>
          </cell>
        </row>
        <row r="3269">
          <cell r="G3269">
            <v>42461</v>
          </cell>
          <cell r="L3269" t="str">
            <v>10-11-006-34W1</v>
          </cell>
          <cell r="O3269">
            <v>852.9</v>
          </cell>
          <cell r="Q3269">
            <v>1.48</v>
          </cell>
          <cell r="T3269">
            <v>1662.857</v>
          </cell>
        </row>
        <row r="3270">
          <cell r="G3270">
            <v>42461</v>
          </cell>
          <cell r="L3270" t="str">
            <v>02-13-006-01W2</v>
          </cell>
          <cell r="O3270">
            <v>841.8</v>
          </cell>
          <cell r="Q3270">
            <v>1.23</v>
          </cell>
          <cell r="T3270">
            <v>826.56899999999996</v>
          </cell>
        </row>
        <row r="3271">
          <cell r="G3271">
            <v>42461</v>
          </cell>
          <cell r="L3271" t="str">
            <v>08-32-006-01W2</v>
          </cell>
          <cell r="O3271">
            <v>845</v>
          </cell>
          <cell r="Q3271">
            <v>1.21</v>
          </cell>
          <cell r="T3271">
            <v>585.125</v>
          </cell>
        </row>
        <row r="3272">
          <cell r="G3272">
            <v>42461</v>
          </cell>
          <cell r="L3272" t="str">
            <v>03-29-003-04W2</v>
          </cell>
          <cell r="O3272">
            <v>837.5</v>
          </cell>
          <cell r="Q3272">
            <v>0.81</v>
          </cell>
          <cell r="T3272">
            <v>1197.4369999999999</v>
          </cell>
        </row>
        <row r="3273">
          <cell r="G3273">
            <v>42461</v>
          </cell>
          <cell r="L3273" t="str">
            <v>11-27-005-33W1</v>
          </cell>
          <cell r="O3273">
            <v>822.1</v>
          </cell>
          <cell r="Q3273">
            <v>0.72</v>
          </cell>
          <cell r="T3273">
            <v>4382.6049999999996</v>
          </cell>
        </row>
        <row r="3274">
          <cell r="G3274">
            <v>42461</v>
          </cell>
          <cell r="L3274" t="str">
            <v>02-15-006-01W2</v>
          </cell>
          <cell r="O3274">
            <v>846.3</v>
          </cell>
          <cell r="Q3274">
            <v>1.1200000000000001</v>
          </cell>
          <cell r="T3274">
            <v>1098.8969999999999</v>
          </cell>
        </row>
        <row r="3275">
          <cell r="G3275">
            <v>42461</v>
          </cell>
          <cell r="L3275" t="str">
            <v>10-33-004-32W1</v>
          </cell>
          <cell r="O3275">
            <v>837.8</v>
          </cell>
          <cell r="Q3275">
            <v>2.2999999999999998</v>
          </cell>
          <cell r="T3275">
            <v>744.11300000000006</v>
          </cell>
        </row>
        <row r="3276">
          <cell r="G3276">
            <v>42461</v>
          </cell>
          <cell r="L3276" t="str">
            <v>08-12-006-01W2</v>
          </cell>
          <cell r="O3276">
            <v>844.2</v>
          </cell>
          <cell r="Q3276">
            <v>1.29</v>
          </cell>
          <cell r="T3276">
            <v>299.28699999999998</v>
          </cell>
        </row>
        <row r="3277">
          <cell r="G3277">
            <v>42461</v>
          </cell>
          <cell r="L3277" t="str">
            <v>07-08-004-05W2</v>
          </cell>
          <cell r="O3277">
            <v>835.6</v>
          </cell>
          <cell r="Q3277">
            <v>1.07</v>
          </cell>
          <cell r="T3277">
            <v>1512.8430000000001</v>
          </cell>
        </row>
        <row r="3278">
          <cell r="G3278">
            <v>42461</v>
          </cell>
          <cell r="L3278" t="str">
            <v>09-33-005-05W2</v>
          </cell>
          <cell r="O3278">
            <v>852</v>
          </cell>
          <cell r="Q3278">
            <v>0.69</v>
          </cell>
          <cell r="T3278">
            <v>2114.8789999999999</v>
          </cell>
        </row>
        <row r="3279">
          <cell r="G3279">
            <v>42461</v>
          </cell>
          <cell r="L3279" t="str">
            <v>08-05-006-33W1</v>
          </cell>
          <cell r="O3279">
            <v>831.7</v>
          </cell>
          <cell r="Q3279">
            <v>0.84</v>
          </cell>
          <cell r="T3279">
            <v>1178.739</v>
          </cell>
        </row>
        <row r="3280">
          <cell r="G3280">
            <v>42461</v>
          </cell>
          <cell r="L3280" t="str">
            <v>06-04-006-33W1</v>
          </cell>
          <cell r="O3280">
            <v>832.8</v>
          </cell>
          <cell r="Q3280">
            <v>0.83</v>
          </cell>
          <cell r="T3280">
            <v>500.57</v>
          </cell>
        </row>
        <row r="3281">
          <cell r="G3281">
            <v>42461</v>
          </cell>
          <cell r="L3281" t="str">
            <v>01-01-006-06W2</v>
          </cell>
          <cell r="O3281">
            <v>848.2</v>
          </cell>
          <cell r="Q3281">
            <v>1.17</v>
          </cell>
          <cell r="T3281">
            <v>425.76600000000002</v>
          </cell>
        </row>
        <row r="3282">
          <cell r="G3282">
            <v>42461</v>
          </cell>
          <cell r="L3282" t="str">
            <v>09-08-004-03W2</v>
          </cell>
          <cell r="O3282">
            <v>840.1</v>
          </cell>
          <cell r="Q3282">
            <v>1.08</v>
          </cell>
          <cell r="T3282">
            <v>3846.4929999999999</v>
          </cell>
        </row>
        <row r="3283">
          <cell r="G3283">
            <v>42461</v>
          </cell>
          <cell r="L3283" t="str">
            <v>01-11-005-04W2</v>
          </cell>
          <cell r="O3283">
            <v>861.3</v>
          </cell>
          <cell r="Q3283">
            <v>1.75</v>
          </cell>
          <cell r="T3283">
            <v>384.22899999999998</v>
          </cell>
        </row>
        <row r="3284">
          <cell r="G3284">
            <v>42461</v>
          </cell>
          <cell r="L3284" t="str">
            <v>05-10-006-05W2</v>
          </cell>
          <cell r="O3284">
            <v>854.7</v>
          </cell>
          <cell r="Q3284">
            <v>1.47</v>
          </cell>
          <cell r="T3284">
            <v>4395.3360000000002</v>
          </cell>
        </row>
        <row r="3285">
          <cell r="G3285">
            <v>42461</v>
          </cell>
          <cell r="L3285" t="str">
            <v>05-24-005-04W2</v>
          </cell>
          <cell r="O3285">
            <v>855.7</v>
          </cell>
          <cell r="Q3285">
            <v>1.5</v>
          </cell>
          <cell r="T3285">
            <v>1935.393</v>
          </cell>
        </row>
        <row r="3286">
          <cell r="G3286">
            <v>42461</v>
          </cell>
          <cell r="L3286" t="str">
            <v>07-18-005-04W2</v>
          </cell>
          <cell r="O3286">
            <v>852.1</v>
          </cell>
          <cell r="Q3286">
            <v>1.64</v>
          </cell>
          <cell r="T3286">
            <v>425.95100000000002</v>
          </cell>
        </row>
        <row r="3287">
          <cell r="G3287">
            <v>42461</v>
          </cell>
          <cell r="L3287" t="str">
            <v>STEELMAN MIDALE</v>
          </cell>
          <cell r="O3287">
            <v>879.7</v>
          </cell>
          <cell r="Q3287">
            <v>1.87</v>
          </cell>
          <cell r="T3287">
            <v>8585.9809999999998</v>
          </cell>
        </row>
        <row r="3288">
          <cell r="G3288">
            <v>42461</v>
          </cell>
          <cell r="L3288" t="str">
            <v>03-15-004-06W2</v>
          </cell>
          <cell r="O3288">
            <v>855.2</v>
          </cell>
          <cell r="Q3288">
            <v>1.22</v>
          </cell>
          <cell r="T3288">
            <v>6044.7150000000001</v>
          </cell>
        </row>
        <row r="3289">
          <cell r="G3289">
            <v>42461</v>
          </cell>
          <cell r="L3289" t="str">
            <v>07-35-004-04W2</v>
          </cell>
          <cell r="O3289">
            <v>854.3</v>
          </cell>
          <cell r="Q3289">
            <v>1.57</v>
          </cell>
          <cell r="T3289">
            <v>2417.3980000000001</v>
          </cell>
        </row>
        <row r="3290">
          <cell r="G3290">
            <v>42461</v>
          </cell>
          <cell r="L3290" t="str">
            <v>06-27-004-06W2</v>
          </cell>
          <cell r="O3290">
            <v>835.3</v>
          </cell>
          <cell r="Q3290">
            <v>0.7</v>
          </cell>
          <cell r="T3290">
            <v>1591.566</v>
          </cell>
        </row>
        <row r="3291">
          <cell r="G3291">
            <v>42461</v>
          </cell>
          <cell r="L3291" t="str">
            <v>11-02-005-04W2</v>
          </cell>
          <cell r="O3291">
            <v>854.1</v>
          </cell>
          <cell r="Q3291">
            <v>1.4</v>
          </cell>
          <cell r="T3291">
            <v>1559.4</v>
          </cell>
        </row>
        <row r="3292">
          <cell r="G3292">
            <v>42461</v>
          </cell>
          <cell r="L3292" t="str">
            <v>09-27-004-05W2</v>
          </cell>
          <cell r="O3292">
            <v>843.1</v>
          </cell>
          <cell r="Q3292">
            <v>1.19</v>
          </cell>
          <cell r="T3292">
            <v>1044.963</v>
          </cell>
        </row>
        <row r="3293">
          <cell r="G3293">
            <v>42461</v>
          </cell>
          <cell r="L3293" t="str">
            <v>09-10-005-04W2</v>
          </cell>
          <cell r="O3293">
            <v>853.1</v>
          </cell>
          <cell r="Q3293">
            <v>1.2</v>
          </cell>
          <cell r="T3293">
            <v>958.23</v>
          </cell>
        </row>
        <row r="3294">
          <cell r="G3294">
            <v>42461</v>
          </cell>
          <cell r="L3294" t="str">
            <v>11-31-005-11W2</v>
          </cell>
          <cell r="O3294">
            <v>880</v>
          </cell>
          <cell r="Q3294">
            <v>1.92</v>
          </cell>
          <cell r="T3294">
            <v>2221.1930000000002</v>
          </cell>
        </row>
        <row r="3295">
          <cell r="G3295">
            <v>42461</v>
          </cell>
          <cell r="L3295" t="str">
            <v>14-27-005-12W2</v>
          </cell>
          <cell r="O3295">
            <v>873</v>
          </cell>
          <cell r="Q3295">
            <v>2.1</v>
          </cell>
          <cell r="T3295">
            <v>1036.7239999999999</v>
          </cell>
        </row>
        <row r="3296">
          <cell r="G3296">
            <v>42461</v>
          </cell>
          <cell r="L3296" t="str">
            <v>15-36-001-12W2</v>
          </cell>
          <cell r="O3296">
            <v>819.1</v>
          </cell>
          <cell r="Q3296">
            <v>0.12</v>
          </cell>
          <cell r="T3296">
            <v>980.58100000000002</v>
          </cell>
        </row>
        <row r="3297">
          <cell r="G3297">
            <v>42461</v>
          </cell>
          <cell r="L3297" t="str">
            <v>01-18-004-08W2</v>
          </cell>
          <cell r="O3297">
            <v>889</v>
          </cell>
          <cell r="Q3297">
            <v>2.42</v>
          </cell>
          <cell r="T3297">
            <v>912.90200000000004</v>
          </cell>
        </row>
        <row r="3298">
          <cell r="G3298">
            <v>42461</v>
          </cell>
          <cell r="L3298" t="str">
            <v>16-05-005-08W2</v>
          </cell>
          <cell r="O3298">
            <v>884.1</v>
          </cell>
          <cell r="Q3298">
            <v>2.04</v>
          </cell>
          <cell r="T3298">
            <v>770.93200000000002</v>
          </cell>
        </row>
        <row r="3299">
          <cell r="G3299">
            <v>42461</v>
          </cell>
          <cell r="L3299" t="str">
            <v>14-22-004-08W2</v>
          </cell>
          <cell r="O3299">
            <v>875.3</v>
          </cell>
          <cell r="Q3299">
            <v>2.0099999999999998</v>
          </cell>
          <cell r="T3299">
            <v>715.66800000000001</v>
          </cell>
        </row>
        <row r="3300">
          <cell r="G3300">
            <v>42461</v>
          </cell>
          <cell r="L3300" t="str">
            <v>16-09-007-11W2</v>
          </cell>
          <cell r="O3300">
            <v>831.4</v>
          </cell>
          <cell r="Q3300">
            <v>0.52</v>
          </cell>
          <cell r="T3300">
            <v>675.25099999999998</v>
          </cell>
        </row>
        <row r="3301">
          <cell r="G3301">
            <v>42461</v>
          </cell>
          <cell r="L3301" t="str">
            <v>11-14-007-08W2</v>
          </cell>
          <cell r="O3301">
            <v>846.3</v>
          </cell>
          <cell r="Q3301">
            <v>1.33</v>
          </cell>
          <cell r="T3301">
            <v>508.21699999999998</v>
          </cell>
        </row>
        <row r="3302">
          <cell r="G3302">
            <v>42461</v>
          </cell>
          <cell r="L3302" t="str">
            <v>09-02-006-07W2</v>
          </cell>
          <cell r="O3302">
            <v>883.6</v>
          </cell>
          <cell r="Q3302">
            <v>2.25</v>
          </cell>
          <cell r="T3302">
            <v>482.899</v>
          </cell>
        </row>
        <row r="3303">
          <cell r="G3303">
            <v>42461</v>
          </cell>
          <cell r="L3303" t="str">
            <v>13-33-006-09W2</v>
          </cell>
          <cell r="O3303">
            <v>886.8</v>
          </cell>
          <cell r="Q3303">
            <v>2.3199999999999998</v>
          </cell>
          <cell r="T3303">
            <v>479.858</v>
          </cell>
        </row>
        <row r="3304">
          <cell r="G3304">
            <v>42461</v>
          </cell>
          <cell r="L3304" t="str">
            <v>15-11-005-09W2</v>
          </cell>
          <cell r="O3304">
            <v>881</v>
          </cell>
          <cell r="Q3304">
            <v>2.19</v>
          </cell>
          <cell r="T3304">
            <v>455.654</v>
          </cell>
        </row>
        <row r="3305">
          <cell r="G3305">
            <v>42461</v>
          </cell>
          <cell r="L3305" t="str">
            <v>12-20-005-12W2</v>
          </cell>
          <cell r="O3305">
            <v>884.6</v>
          </cell>
          <cell r="Q3305">
            <v>2.04</v>
          </cell>
          <cell r="T3305">
            <v>428.94099999999997</v>
          </cell>
        </row>
        <row r="3306">
          <cell r="G3306">
            <v>42461</v>
          </cell>
          <cell r="L3306" t="str">
            <v>13-06-007-11W2</v>
          </cell>
          <cell r="O3306">
            <v>856.6</v>
          </cell>
          <cell r="Q3306">
            <v>2</v>
          </cell>
          <cell r="T3306">
            <v>404.45699999999999</v>
          </cell>
        </row>
        <row r="3307">
          <cell r="G3307">
            <v>42461</v>
          </cell>
          <cell r="L3307" t="str">
            <v>04-27-004-08W2</v>
          </cell>
          <cell r="O3307">
            <v>884.1</v>
          </cell>
          <cell r="Q3307">
            <v>2.17</v>
          </cell>
          <cell r="T3307">
            <v>390.39400000000001</v>
          </cell>
        </row>
        <row r="3308">
          <cell r="G3308">
            <v>42461</v>
          </cell>
          <cell r="L3308" t="str">
            <v>06-18-006-12W2</v>
          </cell>
          <cell r="O3308">
            <v>888.2</v>
          </cell>
          <cell r="Q3308">
            <v>2.69</v>
          </cell>
          <cell r="T3308">
            <v>356.661</v>
          </cell>
        </row>
        <row r="3309">
          <cell r="G3309">
            <v>42461</v>
          </cell>
          <cell r="L3309" t="str">
            <v>15-29-007-13W2</v>
          </cell>
          <cell r="O3309">
            <v>851.6</v>
          </cell>
          <cell r="Q3309">
            <v>1.82</v>
          </cell>
          <cell r="T3309">
            <v>355.84699999999998</v>
          </cell>
        </row>
        <row r="3310">
          <cell r="G3310">
            <v>42461</v>
          </cell>
          <cell r="L3310" t="str">
            <v>01-36-006-12W2</v>
          </cell>
          <cell r="O3310">
            <v>890.7</v>
          </cell>
          <cell r="Q3310">
            <v>2.63</v>
          </cell>
          <cell r="T3310">
            <v>349.30900000000003</v>
          </cell>
        </row>
        <row r="3311">
          <cell r="G3311">
            <v>42461</v>
          </cell>
          <cell r="L3311" t="str">
            <v>04-13-004-10W2</v>
          </cell>
          <cell r="O3311">
            <v>883.4</v>
          </cell>
          <cell r="Q3311">
            <v>1.9</v>
          </cell>
          <cell r="T3311">
            <v>283.267</v>
          </cell>
        </row>
        <row r="3312">
          <cell r="G3312">
            <v>42461</v>
          </cell>
          <cell r="L3312" t="str">
            <v>03-18-007-09W2</v>
          </cell>
          <cell r="O3312">
            <v>816.6</v>
          </cell>
          <cell r="Q3312">
            <v>0.42</v>
          </cell>
          <cell r="T3312">
            <v>277.44299999999998</v>
          </cell>
        </row>
        <row r="3313">
          <cell r="G3313">
            <v>42461</v>
          </cell>
          <cell r="L3313" t="str">
            <v>01-10-008-15W2</v>
          </cell>
          <cell r="O3313">
            <v>850.1</v>
          </cell>
          <cell r="Q3313">
            <v>2.0499999999999998</v>
          </cell>
          <cell r="T3313">
            <v>263.74900000000002</v>
          </cell>
        </row>
        <row r="3314">
          <cell r="G3314">
            <v>42461</v>
          </cell>
          <cell r="L3314" t="str">
            <v>04-35-004-09W2</v>
          </cell>
          <cell r="O3314">
            <v>889.1</v>
          </cell>
          <cell r="Q3314">
            <v>2.0299999999999998</v>
          </cell>
          <cell r="T3314">
            <v>252.51400000000001</v>
          </cell>
        </row>
        <row r="3315">
          <cell r="G3315">
            <v>42461</v>
          </cell>
          <cell r="L3315" t="str">
            <v>03-08-001-11W2</v>
          </cell>
          <cell r="O3315">
            <v>821.9</v>
          </cell>
          <cell r="Q3315">
            <v>0.24</v>
          </cell>
          <cell r="T3315">
            <v>241.08699999999999</v>
          </cell>
        </row>
        <row r="3316">
          <cell r="G3316">
            <v>42461</v>
          </cell>
          <cell r="L3316" t="str">
            <v>14-04-006-08W2</v>
          </cell>
          <cell r="O3316">
            <v>852.1</v>
          </cell>
          <cell r="Q3316">
            <v>0.62</v>
          </cell>
          <cell r="T3316">
            <v>230.387</v>
          </cell>
        </row>
        <row r="3317">
          <cell r="G3317">
            <v>42461</v>
          </cell>
          <cell r="L3317" t="str">
            <v>15-13-002-12W2</v>
          </cell>
          <cell r="O3317">
            <v>836.8</v>
          </cell>
          <cell r="Q3317">
            <v>0.22</v>
          </cell>
          <cell r="T3317">
            <v>217.345</v>
          </cell>
        </row>
        <row r="3318">
          <cell r="G3318">
            <v>42461</v>
          </cell>
          <cell r="L3318" t="str">
            <v>04-16-004-21W2</v>
          </cell>
          <cell r="O3318">
            <v>816.7</v>
          </cell>
          <cell r="Q3318">
            <v>0.66</v>
          </cell>
          <cell r="T3318">
            <v>215.267</v>
          </cell>
        </row>
        <row r="3319">
          <cell r="G3319">
            <v>42461</v>
          </cell>
          <cell r="L3319" t="str">
            <v>12-27-006-13W2</v>
          </cell>
          <cell r="O3319">
            <v>865.5</v>
          </cell>
          <cell r="Q3319">
            <v>2.0099999999999998</v>
          </cell>
          <cell r="T3319">
            <v>206.297</v>
          </cell>
        </row>
        <row r="3320">
          <cell r="G3320">
            <v>42461</v>
          </cell>
          <cell r="L3320" t="str">
            <v>02-13-004-12W2</v>
          </cell>
          <cell r="O3320">
            <v>883.1</v>
          </cell>
          <cell r="Q3320">
            <v>2.06</v>
          </cell>
          <cell r="T3320">
            <v>205.47900000000001</v>
          </cell>
        </row>
        <row r="3321">
          <cell r="G3321">
            <v>42461</v>
          </cell>
          <cell r="L3321" t="str">
            <v>09-06-010-15W2</v>
          </cell>
          <cell r="O3321">
            <v>870</v>
          </cell>
          <cell r="Q3321">
            <v>0.53</v>
          </cell>
          <cell r="T3321">
            <v>179.08199999999999</v>
          </cell>
        </row>
        <row r="3322">
          <cell r="G3322">
            <v>42461</v>
          </cell>
          <cell r="L3322" t="str">
            <v>04-18-007-09W2</v>
          </cell>
          <cell r="O3322">
            <v>814.6</v>
          </cell>
          <cell r="Q3322">
            <v>0.4</v>
          </cell>
          <cell r="T3322">
            <v>173.339</v>
          </cell>
        </row>
        <row r="3323">
          <cell r="G3323">
            <v>42461</v>
          </cell>
          <cell r="L3323" t="str">
            <v>14-27-007-08W2</v>
          </cell>
          <cell r="O3323">
            <v>881.8</v>
          </cell>
          <cell r="Q3323">
            <v>2.39</v>
          </cell>
          <cell r="T3323">
            <v>153.91900000000001</v>
          </cell>
        </row>
        <row r="3324">
          <cell r="G3324">
            <v>42461</v>
          </cell>
          <cell r="L3324" t="str">
            <v>05-31-006-13W2</v>
          </cell>
          <cell r="O3324">
            <v>809.3</v>
          </cell>
          <cell r="Q3324">
            <v>0.19</v>
          </cell>
          <cell r="T3324">
            <v>149.93</v>
          </cell>
        </row>
        <row r="3325">
          <cell r="G3325">
            <v>42461</v>
          </cell>
          <cell r="L3325" t="str">
            <v>09-11-007-14W2</v>
          </cell>
          <cell r="O3325">
            <v>842.7</v>
          </cell>
          <cell r="Q3325">
            <v>1.54</v>
          </cell>
          <cell r="T3325">
            <v>145.06299999999999</v>
          </cell>
        </row>
        <row r="3326">
          <cell r="G3326">
            <v>42461</v>
          </cell>
          <cell r="L3326" t="str">
            <v>12-31-001-17W2</v>
          </cell>
          <cell r="O3326">
            <v>851.1</v>
          </cell>
          <cell r="Q3326">
            <v>1.51</v>
          </cell>
          <cell r="T3326">
            <v>137.86699999999999</v>
          </cell>
        </row>
        <row r="3327">
          <cell r="G3327">
            <v>42461</v>
          </cell>
          <cell r="L3327" t="str">
            <v>04-23-012-06W2</v>
          </cell>
          <cell r="O3327">
            <v>894.5</v>
          </cell>
          <cell r="Q3327">
            <v>2.74</v>
          </cell>
          <cell r="T3327">
            <v>134.43199999999999</v>
          </cell>
        </row>
        <row r="3328">
          <cell r="G3328">
            <v>42461</v>
          </cell>
          <cell r="L3328" t="str">
            <v>14-20-004-10W2</v>
          </cell>
          <cell r="O3328">
            <v>895.4</v>
          </cell>
          <cell r="Q3328">
            <v>2.12</v>
          </cell>
          <cell r="T3328">
            <v>131.50200000000001</v>
          </cell>
        </row>
        <row r="3329">
          <cell r="G3329">
            <v>42461</v>
          </cell>
          <cell r="L3329" t="str">
            <v>16-06-005-12W2</v>
          </cell>
          <cell r="O3329">
            <v>879.6</v>
          </cell>
          <cell r="Q3329">
            <v>2.09</v>
          </cell>
          <cell r="T3329">
            <v>127.94799999999999</v>
          </cell>
        </row>
        <row r="3330">
          <cell r="G3330">
            <v>42461</v>
          </cell>
          <cell r="L3330" t="str">
            <v>07-02-007-12W2</v>
          </cell>
          <cell r="O3330">
            <v>860.1</v>
          </cell>
          <cell r="Q3330">
            <v>1.98</v>
          </cell>
          <cell r="T3330">
            <v>122.679</v>
          </cell>
        </row>
        <row r="3331">
          <cell r="G3331">
            <v>42461</v>
          </cell>
          <cell r="L3331" t="str">
            <v>01-06-004-11W2</v>
          </cell>
          <cell r="O3331">
            <v>879</v>
          </cell>
          <cell r="Q3331">
            <v>2.4</v>
          </cell>
          <cell r="T3331">
            <v>94.858000000000004</v>
          </cell>
        </row>
        <row r="3332">
          <cell r="G3332">
            <v>42461</v>
          </cell>
          <cell r="L3332" t="str">
            <v>07-10-001-20W2</v>
          </cell>
          <cell r="O3332">
            <v>874.8</v>
          </cell>
          <cell r="Q3332">
            <v>1.8</v>
          </cell>
          <cell r="T3332">
            <v>92.759</v>
          </cell>
        </row>
        <row r="3333">
          <cell r="G3333">
            <v>42461</v>
          </cell>
          <cell r="L3333" t="str">
            <v>09-32-006-15W2</v>
          </cell>
          <cell r="O3333">
            <v>889.4</v>
          </cell>
          <cell r="Q3333">
            <v>2.71</v>
          </cell>
          <cell r="T3333">
            <v>89.290999999999997</v>
          </cell>
        </row>
        <row r="3334">
          <cell r="G3334">
            <v>42461</v>
          </cell>
          <cell r="L3334" t="str">
            <v>01-04-153-01W1</v>
          </cell>
          <cell r="O3334">
            <v>802.4</v>
          </cell>
          <cell r="Q3334">
            <v>0.83</v>
          </cell>
          <cell r="T3334">
            <v>85.043000000000006</v>
          </cell>
        </row>
        <row r="3335">
          <cell r="G3335">
            <v>42461</v>
          </cell>
          <cell r="L3335" t="str">
            <v>12-28-006-07W2</v>
          </cell>
          <cell r="O3335">
            <v>906.2</v>
          </cell>
          <cell r="Q3335">
            <v>2.52</v>
          </cell>
          <cell r="T3335">
            <v>81.367999999999995</v>
          </cell>
        </row>
        <row r="3336">
          <cell r="G3336">
            <v>42461</v>
          </cell>
          <cell r="L3336" t="str">
            <v>05-23-004-07W2</v>
          </cell>
          <cell r="O3336">
            <v>888.5</v>
          </cell>
          <cell r="Q3336">
            <v>2.0699999999999998</v>
          </cell>
          <cell r="T3336">
            <v>80.022000000000006</v>
          </cell>
        </row>
        <row r="3337">
          <cell r="G3337">
            <v>42461</v>
          </cell>
          <cell r="L3337" t="str">
            <v>07-24-006-10W2</v>
          </cell>
          <cell r="O3337">
            <v>881.4</v>
          </cell>
          <cell r="Q3337">
            <v>2.2599999999999998</v>
          </cell>
          <cell r="T3337">
            <v>78.122</v>
          </cell>
        </row>
        <row r="3338">
          <cell r="G3338">
            <v>42461</v>
          </cell>
          <cell r="L3338" t="str">
            <v>06-13-007-10W2</v>
          </cell>
          <cell r="O3338">
            <v>822.1</v>
          </cell>
          <cell r="Q3338">
            <v>0.17</v>
          </cell>
          <cell r="T3338">
            <v>71.099999999999994</v>
          </cell>
        </row>
        <row r="3339">
          <cell r="G3339">
            <v>42461</v>
          </cell>
          <cell r="L3339" t="str">
            <v>09-22-006-12W2</v>
          </cell>
          <cell r="O3339">
            <v>877.8</v>
          </cell>
          <cell r="Q3339">
            <v>2.34</v>
          </cell>
          <cell r="T3339">
            <v>66.72</v>
          </cell>
        </row>
        <row r="3340">
          <cell r="G3340">
            <v>42461</v>
          </cell>
          <cell r="L3340" t="str">
            <v>16-29-006-12W2</v>
          </cell>
          <cell r="O3340">
            <v>872.7</v>
          </cell>
          <cell r="Q3340">
            <v>2.21</v>
          </cell>
          <cell r="T3340">
            <v>66.176000000000002</v>
          </cell>
        </row>
        <row r="3341">
          <cell r="G3341">
            <v>42461</v>
          </cell>
          <cell r="L3341" t="str">
            <v>01-01-003-16W2</v>
          </cell>
          <cell r="O3341">
            <v>876.5</v>
          </cell>
          <cell r="Q3341">
            <v>1.1100000000000001</v>
          </cell>
          <cell r="T3341">
            <v>65.260000000000005</v>
          </cell>
        </row>
        <row r="3342">
          <cell r="G3342">
            <v>42461</v>
          </cell>
          <cell r="L3342" t="str">
            <v>08-03-006-07W2</v>
          </cell>
          <cell r="O3342">
            <v>874.4</v>
          </cell>
          <cell r="Q3342">
            <v>2.0099999999999998</v>
          </cell>
          <cell r="T3342">
            <v>59.726999999999997</v>
          </cell>
        </row>
        <row r="3343">
          <cell r="G3343">
            <v>42461</v>
          </cell>
          <cell r="L3343" t="str">
            <v>15-11-008-12W2</v>
          </cell>
          <cell r="O3343">
            <v>903.6</v>
          </cell>
          <cell r="Q3343">
            <v>2.1800000000000002</v>
          </cell>
          <cell r="T3343">
            <v>53.98</v>
          </cell>
        </row>
        <row r="3344">
          <cell r="G3344">
            <v>42461</v>
          </cell>
          <cell r="L3344" t="str">
            <v>01-35-162-03W1</v>
          </cell>
          <cell r="O3344">
            <v>876.1</v>
          </cell>
          <cell r="Q3344">
            <v>0.17</v>
          </cell>
          <cell r="T3344">
            <v>50.439</v>
          </cell>
        </row>
        <row r="3345">
          <cell r="G3345">
            <v>42461</v>
          </cell>
          <cell r="L3345" t="str">
            <v>09-12-007-09W2</v>
          </cell>
          <cell r="O3345">
            <v>817</v>
          </cell>
          <cell r="Q3345">
            <v>0.16</v>
          </cell>
          <cell r="T3345">
            <v>49.718000000000004</v>
          </cell>
        </row>
        <row r="3346">
          <cell r="G3346">
            <v>42461</v>
          </cell>
          <cell r="L3346" t="str">
            <v>01-23-155-91W1</v>
          </cell>
          <cell r="O3346">
            <v>879.5</v>
          </cell>
          <cell r="Q3346">
            <v>1.85</v>
          </cell>
          <cell r="T3346">
            <v>49.234999999999999</v>
          </cell>
        </row>
        <row r="3347">
          <cell r="G3347">
            <v>42461</v>
          </cell>
          <cell r="L3347" t="str">
            <v>03-07-007-11W2</v>
          </cell>
          <cell r="O3347">
            <v>809</v>
          </cell>
          <cell r="Q3347">
            <v>0.21</v>
          </cell>
          <cell r="T3347">
            <v>36.563000000000002</v>
          </cell>
        </row>
        <row r="3348">
          <cell r="G3348">
            <v>42461</v>
          </cell>
          <cell r="L3348" t="str">
            <v>01-22-005-07W2</v>
          </cell>
          <cell r="O3348">
            <v>890.8</v>
          </cell>
          <cell r="Q3348">
            <v>2.5499999999999998</v>
          </cell>
          <cell r="T3348">
            <v>29.623999999999999</v>
          </cell>
        </row>
        <row r="3349">
          <cell r="G3349">
            <v>42461</v>
          </cell>
          <cell r="L3349" t="str">
            <v>01-27-004-07W2</v>
          </cell>
          <cell r="O3349">
            <v>886.8</v>
          </cell>
          <cell r="Q3349">
            <v>2.0299999999999998</v>
          </cell>
          <cell r="T3349">
            <v>28.137</v>
          </cell>
        </row>
        <row r="3350">
          <cell r="G3350">
            <v>42461</v>
          </cell>
          <cell r="L3350" t="str">
            <v>02-22-009-09W2</v>
          </cell>
          <cell r="O3350">
            <v>889.1</v>
          </cell>
          <cell r="Q3350">
            <v>2.42</v>
          </cell>
          <cell r="T3350">
            <v>27.027999999999999</v>
          </cell>
        </row>
        <row r="3351">
          <cell r="G3351">
            <v>42461</v>
          </cell>
          <cell r="L3351" t="str">
            <v>01-08-162-95W1</v>
          </cell>
          <cell r="O3351">
            <v>849.6</v>
          </cell>
          <cell r="Q3351">
            <v>0.95</v>
          </cell>
          <cell r="T3351">
            <v>26.861000000000001</v>
          </cell>
        </row>
        <row r="3352">
          <cell r="G3352">
            <v>42461</v>
          </cell>
          <cell r="L3352" t="str">
            <v>14-25-003-09W2</v>
          </cell>
          <cell r="O3352">
            <v>834.8</v>
          </cell>
          <cell r="Q3352">
            <v>1.63</v>
          </cell>
          <cell r="T3352">
            <v>26.314</v>
          </cell>
        </row>
        <row r="3353">
          <cell r="G3353">
            <v>42461</v>
          </cell>
          <cell r="L3353" t="str">
            <v>01-03-022-57W1</v>
          </cell>
          <cell r="O3353">
            <v>884.1</v>
          </cell>
          <cell r="Q3353">
            <v>0.53</v>
          </cell>
          <cell r="T3353">
            <v>26.236999999999998</v>
          </cell>
        </row>
        <row r="3354">
          <cell r="G3354">
            <v>42461</v>
          </cell>
          <cell r="L3354" t="str">
            <v>01-03-028-58W1</v>
          </cell>
          <cell r="O3354">
            <v>852.7</v>
          </cell>
          <cell r="Q3354">
            <v>0.89</v>
          </cell>
          <cell r="T3354">
            <v>23.172999999999998</v>
          </cell>
        </row>
        <row r="3355">
          <cell r="G3355">
            <v>42461</v>
          </cell>
          <cell r="L3355" t="str">
            <v>04-27-032-56W1</v>
          </cell>
          <cell r="O3355">
            <v>804.2</v>
          </cell>
          <cell r="Q3355">
            <v>0.25</v>
          </cell>
          <cell r="T3355">
            <v>22.885999999999999</v>
          </cell>
        </row>
        <row r="3356">
          <cell r="G3356">
            <v>42461</v>
          </cell>
          <cell r="L3356" t="str">
            <v>03-27-011-08W2</v>
          </cell>
          <cell r="O3356">
            <v>902.2</v>
          </cell>
          <cell r="Q3356">
            <v>2.64</v>
          </cell>
          <cell r="T3356">
            <v>22.373999999999999</v>
          </cell>
        </row>
        <row r="3357">
          <cell r="G3357">
            <v>42461</v>
          </cell>
          <cell r="L3357" t="str">
            <v>13-06-007-09W2</v>
          </cell>
          <cell r="O3357">
            <v>812.2</v>
          </cell>
          <cell r="Q3357">
            <v>0.25</v>
          </cell>
          <cell r="T3357">
            <v>20.776</v>
          </cell>
        </row>
        <row r="3358">
          <cell r="G3358">
            <v>42461</v>
          </cell>
          <cell r="L3358" t="str">
            <v>11-25-005-12W2</v>
          </cell>
          <cell r="O3358">
            <v>875.3</v>
          </cell>
          <cell r="Q3358">
            <v>2.12</v>
          </cell>
          <cell r="T3358">
            <v>2334.7379999999998</v>
          </cell>
        </row>
        <row r="3359">
          <cell r="G3359">
            <v>42461</v>
          </cell>
          <cell r="L3359" t="str">
            <v>16-18-003-15W2</v>
          </cell>
          <cell r="O3359">
            <v>886.1</v>
          </cell>
          <cell r="Q3359">
            <v>2.29</v>
          </cell>
          <cell r="T3359">
            <v>1163.2840000000001</v>
          </cell>
        </row>
        <row r="3360">
          <cell r="G3360">
            <v>42461</v>
          </cell>
          <cell r="L3360" t="str">
            <v>12-30-005-07W2</v>
          </cell>
          <cell r="O3360">
            <v>889.7</v>
          </cell>
          <cell r="Q3360">
            <v>2.44</v>
          </cell>
          <cell r="T3360">
            <v>948.25800000000004</v>
          </cell>
        </row>
        <row r="3361">
          <cell r="G3361">
            <v>42461</v>
          </cell>
          <cell r="L3361" t="str">
            <v>14-21-001-12W2</v>
          </cell>
          <cell r="O3361">
            <v>808.5</v>
          </cell>
          <cell r="Q3361">
            <v>0.14000000000000001</v>
          </cell>
          <cell r="T3361">
            <v>529.38</v>
          </cell>
        </row>
        <row r="3362">
          <cell r="G3362">
            <v>42461</v>
          </cell>
          <cell r="L3362" t="str">
            <v>16-22-001-12W2</v>
          </cell>
          <cell r="O3362">
            <v>813.3</v>
          </cell>
          <cell r="Q3362">
            <v>0.16</v>
          </cell>
          <cell r="T3362">
            <v>492.18</v>
          </cell>
        </row>
        <row r="3363">
          <cell r="G3363">
            <v>42461</v>
          </cell>
          <cell r="L3363" t="str">
            <v>11-31-006-08W2</v>
          </cell>
          <cell r="O3363">
            <v>889.6</v>
          </cell>
          <cell r="Q3363">
            <v>2.46</v>
          </cell>
          <cell r="T3363">
            <v>404.64</v>
          </cell>
        </row>
        <row r="3364">
          <cell r="G3364">
            <v>42461</v>
          </cell>
          <cell r="L3364" t="str">
            <v>05-23-005-13W2</v>
          </cell>
          <cell r="O3364">
            <v>905.2</v>
          </cell>
          <cell r="Q3364">
            <v>2.72</v>
          </cell>
          <cell r="T3364">
            <v>401.91699999999997</v>
          </cell>
        </row>
        <row r="3365">
          <cell r="G3365">
            <v>42461</v>
          </cell>
          <cell r="L3365" t="str">
            <v>06-20-006-09W2</v>
          </cell>
          <cell r="O3365">
            <v>878.5</v>
          </cell>
          <cell r="Q3365">
            <v>2.23</v>
          </cell>
          <cell r="T3365">
            <v>311.88099999999997</v>
          </cell>
        </row>
        <row r="3366">
          <cell r="G3366">
            <v>42461</v>
          </cell>
          <cell r="L3366" t="str">
            <v>13-22-001-12W2</v>
          </cell>
          <cell r="O3366">
            <v>809.1</v>
          </cell>
          <cell r="Q3366">
            <v>0.12</v>
          </cell>
          <cell r="T3366">
            <v>159.45500000000001</v>
          </cell>
        </row>
        <row r="3367">
          <cell r="G3367">
            <v>42461</v>
          </cell>
          <cell r="L3367" t="str">
            <v>14-27-001-12W2</v>
          </cell>
          <cell r="O3367">
            <v>813.1</v>
          </cell>
          <cell r="Q3367">
            <v>0.25</v>
          </cell>
          <cell r="T3367">
            <v>156.58500000000001</v>
          </cell>
        </row>
        <row r="3368">
          <cell r="G3368">
            <v>42461</v>
          </cell>
          <cell r="L3368" t="str">
            <v>16-25-001-15W2</v>
          </cell>
          <cell r="O3368">
            <v>818.7</v>
          </cell>
          <cell r="Q3368">
            <v>0.32</v>
          </cell>
          <cell r="T3368">
            <v>101.771</v>
          </cell>
        </row>
        <row r="3369">
          <cell r="G3369">
            <v>42461</v>
          </cell>
          <cell r="L3369" t="str">
            <v>15-06-006-21W2</v>
          </cell>
          <cell r="O3369">
            <v>826.5</v>
          </cell>
          <cell r="Q3369">
            <v>0.18</v>
          </cell>
          <cell r="T3369">
            <v>86.994</v>
          </cell>
        </row>
        <row r="3370">
          <cell r="G3370">
            <v>42461</v>
          </cell>
          <cell r="L3370" t="str">
            <v>13-24-001-16W2</v>
          </cell>
          <cell r="O3370">
            <v>811.9</v>
          </cell>
          <cell r="Q3370">
            <v>0.39</v>
          </cell>
          <cell r="T3370">
            <v>58.308</v>
          </cell>
        </row>
        <row r="3371">
          <cell r="G3371">
            <v>42461</v>
          </cell>
          <cell r="L3371" t="str">
            <v>13-34-001-13W2</v>
          </cell>
          <cell r="O3371">
            <v>813.3</v>
          </cell>
          <cell r="Q3371">
            <v>0.2</v>
          </cell>
          <cell r="T3371">
            <v>54.423999999999999</v>
          </cell>
        </row>
        <row r="3372">
          <cell r="G3372">
            <v>42461</v>
          </cell>
          <cell r="L3372" t="str">
            <v>13-29-001-15W2</v>
          </cell>
          <cell r="O3372">
            <v>804.7</v>
          </cell>
          <cell r="Q3372">
            <v>0.22</v>
          </cell>
          <cell r="T3372">
            <v>54.185000000000002</v>
          </cell>
        </row>
        <row r="3373">
          <cell r="G3373">
            <v>42461</v>
          </cell>
          <cell r="L3373" t="str">
            <v>06-29-022-06W2</v>
          </cell>
          <cell r="O3373">
            <v>889.7</v>
          </cell>
          <cell r="Q3373">
            <v>0.97</v>
          </cell>
          <cell r="T3373">
            <v>45.079000000000001</v>
          </cell>
        </row>
        <row r="3374">
          <cell r="G3374">
            <v>42461</v>
          </cell>
          <cell r="L3374" t="str">
            <v>15-29-005-15W2</v>
          </cell>
          <cell r="O3374">
            <v>883.9</v>
          </cell>
          <cell r="Q3374">
            <v>2.64</v>
          </cell>
          <cell r="T3374">
            <v>1796.9780000000001</v>
          </cell>
        </row>
        <row r="3375">
          <cell r="G3375">
            <v>42461</v>
          </cell>
          <cell r="L3375" t="str">
            <v>04-24-005-15W2</v>
          </cell>
          <cell r="O3375">
            <v>887.6</v>
          </cell>
          <cell r="Q3375">
            <v>2.75</v>
          </cell>
          <cell r="T3375">
            <v>1634.153</v>
          </cell>
        </row>
        <row r="3376">
          <cell r="G3376">
            <v>42461</v>
          </cell>
          <cell r="L3376" t="str">
            <v>09-34-005-15W2</v>
          </cell>
          <cell r="O3376">
            <v>879</v>
          </cell>
          <cell r="Q3376">
            <v>2.64</v>
          </cell>
          <cell r="T3376">
            <v>1563.366</v>
          </cell>
        </row>
        <row r="3377">
          <cell r="G3377">
            <v>42461</v>
          </cell>
          <cell r="L3377" t="str">
            <v>06-17-006-14W2</v>
          </cell>
          <cell r="O3377">
            <v>867.1</v>
          </cell>
          <cell r="Q3377">
            <v>1.72</v>
          </cell>
          <cell r="T3377">
            <v>3099.2719999999999</v>
          </cell>
        </row>
        <row r="3378">
          <cell r="G3378">
            <v>42461</v>
          </cell>
          <cell r="L3378" t="str">
            <v>10-11-005-14W2</v>
          </cell>
          <cell r="O3378">
            <v>898.4</v>
          </cell>
          <cell r="Q3378">
            <v>2.92</v>
          </cell>
          <cell r="T3378">
            <v>428.70600000000002</v>
          </cell>
        </row>
        <row r="3379">
          <cell r="G3379">
            <v>42461</v>
          </cell>
          <cell r="L3379" t="str">
            <v>03-15-005-13W2</v>
          </cell>
          <cell r="O3379">
            <v>898.7</v>
          </cell>
          <cell r="Q3379">
            <v>2.85</v>
          </cell>
          <cell r="T3379">
            <v>390.28800000000001</v>
          </cell>
        </row>
        <row r="3380">
          <cell r="G3380">
            <v>42461</v>
          </cell>
          <cell r="L3380" t="str">
            <v>12-13-006-13W2</v>
          </cell>
          <cell r="O3380">
            <v>869.8</v>
          </cell>
          <cell r="Q3380">
            <v>2.4700000000000002</v>
          </cell>
          <cell r="T3380">
            <v>326.41399999999999</v>
          </cell>
        </row>
        <row r="3381">
          <cell r="G3381">
            <v>42461</v>
          </cell>
          <cell r="L3381" t="str">
            <v>15-19-005-13W2</v>
          </cell>
          <cell r="O3381">
            <v>898.5</v>
          </cell>
          <cell r="Q3381">
            <v>2.64</v>
          </cell>
          <cell r="T3381">
            <v>224.93600000000001</v>
          </cell>
        </row>
        <row r="3382">
          <cell r="G3382">
            <v>42461</v>
          </cell>
          <cell r="L3382" t="str">
            <v>08-23-005-14W2</v>
          </cell>
          <cell r="O3382">
            <v>872.6</v>
          </cell>
          <cell r="Q3382">
            <v>2.52</v>
          </cell>
          <cell r="T3382">
            <v>148.22</v>
          </cell>
        </row>
        <row r="3383">
          <cell r="G3383">
            <v>42461</v>
          </cell>
          <cell r="L3383" t="str">
            <v>11-12-006-15W2</v>
          </cell>
          <cell r="O3383">
            <v>872</v>
          </cell>
          <cell r="Q3383">
            <v>2.2999999999999998</v>
          </cell>
          <cell r="T3383">
            <v>7709.2969999999996</v>
          </cell>
        </row>
        <row r="3384">
          <cell r="G3384">
            <v>42461</v>
          </cell>
          <cell r="L3384" t="str">
            <v>07-24-006-15W2</v>
          </cell>
          <cell r="O3384">
            <v>868</v>
          </cell>
          <cell r="Q3384">
            <v>2.27</v>
          </cell>
          <cell r="T3384">
            <v>948.26599999999996</v>
          </cell>
        </row>
        <row r="3385">
          <cell r="G3385">
            <v>42461</v>
          </cell>
          <cell r="L3385" t="str">
            <v>07-07-006-15W2</v>
          </cell>
          <cell r="O3385">
            <v>871.2</v>
          </cell>
          <cell r="Q3385">
            <v>2.59</v>
          </cell>
          <cell r="T3385">
            <v>8132.3109999999997</v>
          </cell>
        </row>
        <row r="3386">
          <cell r="G3386">
            <v>42461</v>
          </cell>
          <cell r="L3386" t="str">
            <v>12-30-006-15W2</v>
          </cell>
          <cell r="O3386">
            <v>889.8</v>
          </cell>
          <cell r="Q3386">
            <v>2.8</v>
          </cell>
          <cell r="T3386">
            <v>5790.9930000000004</v>
          </cell>
        </row>
        <row r="3387">
          <cell r="G3387">
            <v>42461</v>
          </cell>
          <cell r="L3387" t="str">
            <v>12-11-001-10W2</v>
          </cell>
          <cell r="O3387">
            <v>819.6</v>
          </cell>
          <cell r="Q3387">
            <v>0.21</v>
          </cell>
          <cell r="T3387">
            <v>3071.0630000000001</v>
          </cell>
        </row>
        <row r="3388">
          <cell r="G3388">
            <v>42461</v>
          </cell>
          <cell r="L3388" t="str">
            <v>31-30-164-92W1</v>
          </cell>
          <cell r="O3388">
            <v>830.4</v>
          </cell>
          <cell r="Q3388">
            <v>0.57999999999999996</v>
          </cell>
          <cell r="T3388">
            <v>2391.5619999999999</v>
          </cell>
        </row>
        <row r="3389">
          <cell r="G3389">
            <v>42461</v>
          </cell>
          <cell r="L3389" t="str">
            <v>12-32-006-04W2</v>
          </cell>
          <cell r="O3389">
            <v>858.3</v>
          </cell>
          <cell r="Q3389">
            <v>1.68</v>
          </cell>
          <cell r="T3389">
            <v>1952.3409999999999</v>
          </cell>
        </row>
        <row r="3390">
          <cell r="G3390">
            <v>42461</v>
          </cell>
          <cell r="L3390" t="str">
            <v>11-12-007-04W2</v>
          </cell>
          <cell r="O3390">
            <v>854.1</v>
          </cell>
          <cell r="Q3390">
            <v>1.42</v>
          </cell>
          <cell r="T3390">
            <v>1842.807</v>
          </cell>
        </row>
        <row r="3391">
          <cell r="G3391">
            <v>42461</v>
          </cell>
          <cell r="L3391" t="str">
            <v>16-19-002-04W2</v>
          </cell>
          <cell r="O3391">
            <v>830.2</v>
          </cell>
          <cell r="Q3391">
            <v>0.5</v>
          </cell>
          <cell r="T3391">
            <v>1151.7239999999999</v>
          </cell>
        </row>
        <row r="3392">
          <cell r="G3392">
            <v>42461</v>
          </cell>
          <cell r="L3392" t="str">
            <v>02-31-145-98W1</v>
          </cell>
          <cell r="O3392">
            <v>814.3</v>
          </cell>
          <cell r="Q3392">
            <v>0.41</v>
          </cell>
          <cell r="T3392">
            <v>969.26199999999994</v>
          </cell>
        </row>
        <row r="3393">
          <cell r="G3393">
            <v>42461</v>
          </cell>
          <cell r="L3393" t="str">
            <v>03-10-145-98W1</v>
          </cell>
          <cell r="O3393">
            <v>816.1</v>
          </cell>
          <cell r="Q3393">
            <v>0.37</v>
          </cell>
          <cell r="T3393">
            <v>867.03300000000002</v>
          </cell>
        </row>
        <row r="3394">
          <cell r="G3394">
            <v>42461</v>
          </cell>
          <cell r="L3394" t="str">
            <v>01-19-145-98W1</v>
          </cell>
          <cell r="O3394">
            <v>814.9</v>
          </cell>
          <cell r="Q3394">
            <v>0.36</v>
          </cell>
          <cell r="T3394">
            <v>578.37599999999998</v>
          </cell>
        </row>
        <row r="3395">
          <cell r="G3395">
            <v>42461</v>
          </cell>
          <cell r="L3395" t="str">
            <v>09-20-006-04W2</v>
          </cell>
          <cell r="O3395">
            <v>852.6</v>
          </cell>
          <cell r="Q3395">
            <v>1.57</v>
          </cell>
          <cell r="T3395">
            <v>522.19899999999996</v>
          </cell>
        </row>
        <row r="3396">
          <cell r="G3396">
            <v>42461</v>
          </cell>
          <cell r="L3396" t="str">
            <v>04-23-006-07W2</v>
          </cell>
          <cell r="O3396">
            <v>868.3</v>
          </cell>
          <cell r="Q3396">
            <v>1.77</v>
          </cell>
          <cell r="T3396">
            <v>378.36099999999999</v>
          </cell>
        </row>
        <row r="3397">
          <cell r="G3397">
            <v>42461</v>
          </cell>
          <cell r="L3397" t="str">
            <v>02-05-163-92W1</v>
          </cell>
          <cell r="O3397">
            <v>834.9</v>
          </cell>
          <cell r="Q3397">
            <v>0.54</v>
          </cell>
          <cell r="T3397">
            <v>362.815</v>
          </cell>
        </row>
        <row r="3398">
          <cell r="G3398">
            <v>42461</v>
          </cell>
          <cell r="L3398" t="str">
            <v>09-19-004-04W2</v>
          </cell>
          <cell r="O3398">
            <v>850.1</v>
          </cell>
          <cell r="Q3398">
            <v>1</v>
          </cell>
          <cell r="T3398">
            <v>362.46899999999999</v>
          </cell>
        </row>
        <row r="3399">
          <cell r="G3399">
            <v>42461</v>
          </cell>
          <cell r="L3399" t="str">
            <v>02-34-143-100W1</v>
          </cell>
          <cell r="O3399">
            <v>826.2</v>
          </cell>
          <cell r="Q3399">
            <v>0.33</v>
          </cell>
          <cell r="T3399">
            <v>339.70400000000001</v>
          </cell>
        </row>
        <row r="3400">
          <cell r="G3400">
            <v>42461</v>
          </cell>
          <cell r="L3400" t="str">
            <v>01-02-021-58W1</v>
          </cell>
          <cell r="O3400">
            <v>829.6</v>
          </cell>
          <cell r="Q3400">
            <v>0.46</v>
          </cell>
          <cell r="T3400">
            <v>303.34399999999999</v>
          </cell>
        </row>
        <row r="3401">
          <cell r="G3401">
            <v>42461</v>
          </cell>
          <cell r="L3401" t="str">
            <v>01-05-163-92W1</v>
          </cell>
          <cell r="O3401">
            <v>841.3</v>
          </cell>
          <cell r="Q3401">
            <v>0.53</v>
          </cell>
          <cell r="T3401">
            <v>262.74700000000001</v>
          </cell>
        </row>
        <row r="3402">
          <cell r="G3402">
            <v>42461</v>
          </cell>
          <cell r="L3402" t="str">
            <v>13-19-001-03W2</v>
          </cell>
          <cell r="O3402">
            <v>835.6</v>
          </cell>
          <cell r="Q3402">
            <v>0.59</v>
          </cell>
          <cell r="T3402">
            <v>225.87</v>
          </cell>
        </row>
        <row r="3403">
          <cell r="G3403">
            <v>42461</v>
          </cell>
          <cell r="L3403" t="str">
            <v>02-30-147-97W1</v>
          </cell>
          <cell r="O3403">
            <v>809.4</v>
          </cell>
          <cell r="Q3403">
            <v>0.45</v>
          </cell>
          <cell r="T3403">
            <v>221.26300000000001</v>
          </cell>
        </row>
        <row r="3404">
          <cell r="G3404">
            <v>42461</v>
          </cell>
          <cell r="L3404" t="str">
            <v>01-13-152-95W1</v>
          </cell>
          <cell r="O3404">
            <v>836.2</v>
          </cell>
          <cell r="Q3404">
            <v>0.13</v>
          </cell>
          <cell r="T3404">
            <v>221.035</v>
          </cell>
        </row>
        <row r="3405">
          <cell r="G3405">
            <v>42461</v>
          </cell>
          <cell r="L3405" t="str">
            <v>14-23-163-96W1</v>
          </cell>
          <cell r="O3405">
            <v>819.1</v>
          </cell>
          <cell r="Q3405">
            <v>0.1</v>
          </cell>
          <cell r="T3405">
            <v>215.35599999999999</v>
          </cell>
        </row>
        <row r="3406">
          <cell r="G3406">
            <v>42461</v>
          </cell>
          <cell r="L3406" t="str">
            <v>01-31-164-98W1</v>
          </cell>
          <cell r="O3406">
            <v>819.5</v>
          </cell>
          <cell r="Q3406">
            <v>0.19</v>
          </cell>
          <cell r="T3406">
            <v>171.92400000000001</v>
          </cell>
        </row>
        <row r="3407">
          <cell r="G3407">
            <v>42461</v>
          </cell>
          <cell r="L3407" t="str">
            <v>43-03-160-95W1</v>
          </cell>
          <cell r="O3407">
            <v>800.6</v>
          </cell>
          <cell r="Q3407">
            <v>0.26</v>
          </cell>
          <cell r="T3407">
            <v>168.81200000000001</v>
          </cell>
        </row>
        <row r="3408">
          <cell r="G3408">
            <v>42461</v>
          </cell>
          <cell r="L3408" t="str">
            <v>01-18-145-97W1</v>
          </cell>
          <cell r="O3408">
            <v>824.4</v>
          </cell>
          <cell r="Q3408">
            <v>0.44</v>
          </cell>
          <cell r="T3408">
            <v>160.36799999999999</v>
          </cell>
        </row>
        <row r="3409">
          <cell r="G3409">
            <v>42461</v>
          </cell>
          <cell r="L3409" t="str">
            <v>01-17-143-101W1</v>
          </cell>
          <cell r="O3409">
            <v>833.7</v>
          </cell>
          <cell r="Q3409">
            <v>0.51</v>
          </cell>
          <cell r="T3409">
            <v>159.62700000000001</v>
          </cell>
        </row>
        <row r="3410">
          <cell r="G3410">
            <v>42461</v>
          </cell>
          <cell r="L3410" t="str">
            <v>01-22-142-100W1</v>
          </cell>
          <cell r="O3410">
            <v>820.8</v>
          </cell>
          <cell r="Q3410">
            <v>0.31</v>
          </cell>
          <cell r="T3410">
            <v>158.81</v>
          </cell>
        </row>
        <row r="3411">
          <cell r="G3411">
            <v>42461</v>
          </cell>
          <cell r="L3411" t="str">
            <v>05-25-147-98W1</v>
          </cell>
          <cell r="O3411">
            <v>815.5</v>
          </cell>
          <cell r="Q3411">
            <v>0.46</v>
          </cell>
          <cell r="T3411">
            <v>153.113</v>
          </cell>
        </row>
        <row r="3412">
          <cell r="G3412">
            <v>42461</v>
          </cell>
          <cell r="L3412" t="str">
            <v>11-25-005-06W2</v>
          </cell>
          <cell r="O3412">
            <v>851.2</v>
          </cell>
          <cell r="Q3412">
            <v>1.0900000000000001</v>
          </cell>
          <cell r="T3412">
            <v>152.673</v>
          </cell>
        </row>
        <row r="3413">
          <cell r="G3413">
            <v>42461</v>
          </cell>
          <cell r="L3413" t="str">
            <v>16-03-008-33W1</v>
          </cell>
          <cell r="O3413">
            <v>843.9</v>
          </cell>
          <cell r="Q3413">
            <v>1.25</v>
          </cell>
          <cell r="T3413">
            <v>147.02600000000001</v>
          </cell>
        </row>
        <row r="3414">
          <cell r="G3414">
            <v>42461</v>
          </cell>
          <cell r="L3414" t="str">
            <v>07-04-005-04W2</v>
          </cell>
          <cell r="O3414">
            <v>823.8</v>
          </cell>
          <cell r="Q3414">
            <v>0.84</v>
          </cell>
          <cell r="T3414">
            <v>146.90100000000001</v>
          </cell>
        </row>
        <row r="3415">
          <cell r="G3415">
            <v>42461</v>
          </cell>
          <cell r="L3415" t="str">
            <v>09-30-006-05W2</v>
          </cell>
          <cell r="O3415">
            <v>807.4</v>
          </cell>
          <cell r="Q3415">
            <v>0.23</v>
          </cell>
          <cell r="T3415">
            <v>146.08199999999999</v>
          </cell>
        </row>
        <row r="3416">
          <cell r="G3416">
            <v>42461</v>
          </cell>
          <cell r="L3416" t="str">
            <v>07-22-003-03W2</v>
          </cell>
          <cell r="O3416">
            <v>827.2</v>
          </cell>
          <cell r="Q3416">
            <v>0.6</v>
          </cell>
          <cell r="T3416">
            <v>145.98099999999999</v>
          </cell>
        </row>
        <row r="3417">
          <cell r="G3417">
            <v>42461</v>
          </cell>
          <cell r="L3417" t="str">
            <v>01-03-163-99W1</v>
          </cell>
          <cell r="O3417">
            <v>832.2</v>
          </cell>
          <cell r="Q3417">
            <v>0.11</v>
          </cell>
          <cell r="T3417">
            <v>141.363</v>
          </cell>
        </row>
        <row r="3418">
          <cell r="G3418">
            <v>42461</v>
          </cell>
          <cell r="L3418" t="str">
            <v>24-06-158-95W1</v>
          </cell>
          <cell r="O3418">
            <v>810.1</v>
          </cell>
          <cell r="Q3418">
            <v>0.12</v>
          </cell>
          <cell r="T3418">
            <v>133.88</v>
          </cell>
        </row>
        <row r="3419">
          <cell r="G3419">
            <v>42461</v>
          </cell>
          <cell r="L3419" t="str">
            <v>01-28-142-100W1</v>
          </cell>
          <cell r="O3419">
            <v>824.5</v>
          </cell>
          <cell r="Q3419">
            <v>0.38</v>
          </cell>
          <cell r="T3419">
            <v>126.89</v>
          </cell>
        </row>
        <row r="3420">
          <cell r="G3420">
            <v>42461</v>
          </cell>
          <cell r="L3420" t="str">
            <v>01-33-141-100W1</v>
          </cell>
          <cell r="O3420">
            <v>819.3</v>
          </cell>
          <cell r="Q3420">
            <v>0.41</v>
          </cell>
          <cell r="T3420">
            <v>122.425</v>
          </cell>
        </row>
        <row r="3421">
          <cell r="G3421">
            <v>42461</v>
          </cell>
          <cell r="L3421" t="str">
            <v>08-22-002-09W2</v>
          </cell>
          <cell r="O3421">
            <v>839.6</v>
          </cell>
          <cell r="Q3421">
            <v>0.27</v>
          </cell>
          <cell r="T3421">
            <v>121.09399999999999</v>
          </cell>
        </row>
        <row r="3422">
          <cell r="G3422">
            <v>42461</v>
          </cell>
          <cell r="L3422" t="str">
            <v>01-03-162-92W1</v>
          </cell>
          <cell r="O3422">
            <v>853.6</v>
          </cell>
          <cell r="Q3422">
            <v>0.5</v>
          </cell>
          <cell r="T3422">
            <v>114.28</v>
          </cell>
        </row>
        <row r="3423">
          <cell r="G3423">
            <v>42461</v>
          </cell>
          <cell r="L3423" t="str">
            <v>01-03-163-92W1</v>
          </cell>
          <cell r="O3423">
            <v>829.9</v>
          </cell>
          <cell r="Q3423">
            <v>0.46</v>
          </cell>
          <cell r="T3423">
            <v>113.05200000000001</v>
          </cell>
        </row>
        <row r="3424">
          <cell r="G3424">
            <v>42461</v>
          </cell>
          <cell r="L3424" t="str">
            <v>35-26-164-97W1</v>
          </cell>
          <cell r="O3424">
            <v>835.2</v>
          </cell>
          <cell r="Q3424">
            <v>0.1</v>
          </cell>
          <cell r="T3424">
            <v>112.58499999999999</v>
          </cell>
        </row>
        <row r="3425">
          <cell r="G3425">
            <v>42461</v>
          </cell>
          <cell r="L3425" t="str">
            <v>13-24-160-96W1</v>
          </cell>
          <cell r="O3425">
            <v>840.7</v>
          </cell>
          <cell r="Q3425">
            <v>0.62</v>
          </cell>
          <cell r="T3425">
            <v>108.40300000000001</v>
          </cell>
        </row>
        <row r="3426">
          <cell r="G3426">
            <v>42461</v>
          </cell>
          <cell r="L3426" t="str">
            <v>01-03-155-91W1</v>
          </cell>
          <cell r="O3426">
            <v>863.3</v>
          </cell>
          <cell r="Q3426">
            <v>1.27</v>
          </cell>
          <cell r="T3426">
            <v>104.616</v>
          </cell>
        </row>
        <row r="3427">
          <cell r="G3427">
            <v>42461</v>
          </cell>
          <cell r="L3427" t="str">
            <v>04-25-144-98W1</v>
          </cell>
          <cell r="O3427">
            <v>820</v>
          </cell>
          <cell r="Q3427">
            <v>0.48</v>
          </cell>
          <cell r="T3427">
            <v>103.023</v>
          </cell>
        </row>
        <row r="3428">
          <cell r="G3428">
            <v>42461</v>
          </cell>
          <cell r="L3428" t="str">
            <v>01-30-147-97W1</v>
          </cell>
          <cell r="O3428">
            <v>807.7</v>
          </cell>
          <cell r="Q3428">
            <v>0.54</v>
          </cell>
          <cell r="T3428">
            <v>99.709000000000003</v>
          </cell>
        </row>
        <row r="3429">
          <cell r="G3429">
            <v>42461</v>
          </cell>
          <cell r="L3429" t="str">
            <v>12-03-146-100W1</v>
          </cell>
          <cell r="O3429">
            <v>834.7</v>
          </cell>
          <cell r="Q3429">
            <v>0.47</v>
          </cell>
          <cell r="T3429">
            <v>94.177999999999997</v>
          </cell>
        </row>
        <row r="3430">
          <cell r="G3430">
            <v>42461</v>
          </cell>
          <cell r="L3430" t="str">
            <v>01-55-159-94W1</v>
          </cell>
          <cell r="O3430">
            <v>820.9</v>
          </cell>
          <cell r="Q3430">
            <v>0.38</v>
          </cell>
          <cell r="T3430">
            <v>93.489000000000004</v>
          </cell>
        </row>
        <row r="3431">
          <cell r="G3431">
            <v>42461</v>
          </cell>
          <cell r="L3431" t="str">
            <v>18-16-154-95W1</v>
          </cell>
          <cell r="O3431">
            <v>817.2</v>
          </cell>
          <cell r="Q3431">
            <v>0.89</v>
          </cell>
          <cell r="T3431">
            <v>90.730999999999995</v>
          </cell>
        </row>
        <row r="3432">
          <cell r="G3432">
            <v>42461</v>
          </cell>
          <cell r="L3432" t="str">
            <v>04-19-147-97W1</v>
          </cell>
          <cell r="O3432">
            <v>820.6</v>
          </cell>
          <cell r="Q3432">
            <v>0.61</v>
          </cell>
          <cell r="T3432">
            <v>90.355000000000004</v>
          </cell>
        </row>
        <row r="3433">
          <cell r="G3433">
            <v>42461</v>
          </cell>
          <cell r="L3433" t="str">
            <v>01-25-150-98W1</v>
          </cell>
          <cell r="O3433">
            <v>818.8</v>
          </cell>
          <cell r="Q3433">
            <v>0.12</v>
          </cell>
          <cell r="T3433">
            <v>89.549000000000007</v>
          </cell>
        </row>
        <row r="3434">
          <cell r="G3434">
            <v>42461</v>
          </cell>
          <cell r="L3434" t="str">
            <v>02-30-004-05W2</v>
          </cell>
          <cell r="O3434">
            <v>841.3</v>
          </cell>
          <cell r="Q3434">
            <v>0.78</v>
          </cell>
          <cell r="T3434">
            <v>88.32</v>
          </cell>
        </row>
        <row r="3435">
          <cell r="G3435">
            <v>42461</v>
          </cell>
          <cell r="L3435" t="str">
            <v>01-02-151-102W1</v>
          </cell>
          <cell r="O3435">
            <v>830.4</v>
          </cell>
          <cell r="Q3435">
            <v>0.34</v>
          </cell>
          <cell r="T3435">
            <v>87.372</v>
          </cell>
        </row>
        <row r="3436">
          <cell r="G3436">
            <v>42461</v>
          </cell>
          <cell r="L3436" t="str">
            <v>02-09-142-100W1</v>
          </cell>
          <cell r="O3436">
            <v>824.9</v>
          </cell>
          <cell r="Q3436">
            <v>0.45</v>
          </cell>
          <cell r="T3436">
            <v>84.974000000000004</v>
          </cell>
        </row>
        <row r="3437">
          <cell r="G3437">
            <v>42461</v>
          </cell>
          <cell r="L3437" t="str">
            <v>01-33-164-91W1</v>
          </cell>
          <cell r="O3437">
            <v>832.7</v>
          </cell>
          <cell r="Q3437">
            <v>0.53</v>
          </cell>
          <cell r="T3437">
            <v>84.488</v>
          </cell>
        </row>
        <row r="3438">
          <cell r="G3438">
            <v>42461</v>
          </cell>
          <cell r="L3438" t="str">
            <v>03-25-147-98W1</v>
          </cell>
          <cell r="O3438">
            <v>810.8</v>
          </cell>
          <cell r="Q3438">
            <v>0.42</v>
          </cell>
          <cell r="T3438">
            <v>84.016999999999996</v>
          </cell>
        </row>
        <row r="3439">
          <cell r="G3439">
            <v>42461</v>
          </cell>
          <cell r="L3439" t="str">
            <v>33-14-160-95W1</v>
          </cell>
          <cell r="O3439">
            <v>805.2</v>
          </cell>
          <cell r="Q3439">
            <v>0.15</v>
          </cell>
          <cell r="T3439">
            <v>83.522999999999996</v>
          </cell>
        </row>
        <row r="3440">
          <cell r="G3440">
            <v>42461</v>
          </cell>
          <cell r="L3440" t="str">
            <v>01-34-159-95W1</v>
          </cell>
          <cell r="O3440">
            <v>833.5</v>
          </cell>
          <cell r="Q3440">
            <v>0.56999999999999995</v>
          </cell>
          <cell r="T3440">
            <v>79.795000000000002</v>
          </cell>
        </row>
        <row r="3441">
          <cell r="G3441">
            <v>42461</v>
          </cell>
          <cell r="L3441" t="str">
            <v>26-35-163-97W1</v>
          </cell>
          <cell r="O3441">
            <v>830.4</v>
          </cell>
          <cell r="Q3441">
            <v>0.19</v>
          </cell>
          <cell r="T3441">
            <v>79.113</v>
          </cell>
        </row>
        <row r="3442">
          <cell r="G3442">
            <v>42461</v>
          </cell>
          <cell r="L3442" t="str">
            <v>14-18-163-95W1</v>
          </cell>
          <cell r="O3442">
            <v>848.9</v>
          </cell>
          <cell r="Q3442">
            <v>1.1399999999999999</v>
          </cell>
          <cell r="T3442">
            <v>70.504999999999995</v>
          </cell>
        </row>
        <row r="3443">
          <cell r="G3443">
            <v>42461</v>
          </cell>
          <cell r="L3443" t="str">
            <v>34-01-157-95W1</v>
          </cell>
          <cell r="O3443">
            <v>830.5</v>
          </cell>
          <cell r="Q3443">
            <v>0.34</v>
          </cell>
          <cell r="T3443">
            <v>70.206999999999994</v>
          </cell>
        </row>
        <row r="3444">
          <cell r="G3444">
            <v>42461</v>
          </cell>
          <cell r="L3444" t="str">
            <v>25-11-159-102W1</v>
          </cell>
          <cell r="O3444">
            <v>829.3</v>
          </cell>
          <cell r="Q3444">
            <v>0.43</v>
          </cell>
          <cell r="T3444">
            <v>63.96</v>
          </cell>
        </row>
        <row r="3445">
          <cell r="G3445">
            <v>42461</v>
          </cell>
          <cell r="L3445" t="str">
            <v>04-24-147-98W1</v>
          </cell>
          <cell r="O3445">
            <v>814.1</v>
          </cell>
          <cell r="Q3445">
            <v>0.56000000000000005</v>
          </cell>
          <cell r="T3445">
            <v>63.926000000000002</v>
          </cell>
        </row>
        <row r="3446">
          <cell r="G3446">
            <v>42461</v>
          </cell>
          <cell r="L3446" t="str">
            <v>01-09-143-101W1</v>
          </cell>
          <cell r="O3446">
            <v>834.1</v>
          </cell>
          <cell r="Q3446">
            <v>0.51</v>
          </cell>
          <cell r="T3446">
            <v>63.13</v>
          </cell>
        </row>
        <row r="3447">
          <cell r="G3447">
            <v>42461</v>
          </cell>
          <cell r="L3447" t="str">
            <v>07-29-009-04W2</v>
          </cell>
          <cell r="O3447">
            <v>839.9</v>
          </cell>
          <cell r="Q3447">
            <v>1.1399999999999999</v>
          </cell>
          <cell r="T3447">
            <v>62.557000000000002</v>
          </cell>
        </row>
        <row r="3448">
          <cell r="G3448">
            <v>42461</v>
          </cell>
          <cell r="L3448" t="str">
            <v>03-10-151-96W1</v>
          </cell>
          <cell r="O3448">
            <v>809.7</v>
          </cell>
          <cell r="Q3448">
            <v>0.24</v>
          </cell>
          <cell r="T3448">
            <v>62.216000000000001</v>
          </cell>
        </row>
        <row r="3449">
          <cell r="G3449">
            <v>42461</v>
          </cell>
          <cell r="L3449" t="str">
            <v>01-25-156-93W1</v>
          </cell>
          <cell r="O3449">
            <v>809.5</v>
          </cell>
          <cell r="Q3449">
            <v>0.16</v>
          </cell>
          <cell r="T3449">
            <v>61.100999999999999</v>
          </cell>
        </row>
        <row r="3450">
          <cell r="G3450">
            <v>42461</v>
          </cell>
          <cell r="L3450" t="str">
            <v>01-20-147-97W1</v>
          </cell>
          <cell r="O3450">
            <v>820.6</v>
          </cell>
          <cell r="Q3450">
            <v>0.7</v>
          </cell>
          <cell r="T3450">
            <v>59.918999999999997</v>
          </cell>
        </row>
        <row r="3451">
          <cell r="G3451">
            <v>42461</v>
          </cell>
          <cell r="L3451" t="str">
            <v>44-35-022-58W1</v>
          </cell>
          <cell r="O3451">
            <v>866.9</v>
          </cell>
          <cell r="Q3451">
            <v>0.94</v>
          </cell>
          <cell r="T3451">
            <v>59.543999999999997</v>
          </cell>
        </row>
        <row r="3452">
          <cell r="G3452">
            <v>42461</v>
          </cell>
          <cell r="L3452" t="str">
            <v>24-01-160-96W1</v>
          </cell>
          <cell r="O3452">
            <v>828.7</v>
          </cell>
          <cell r="Q3452">
            <v>0.52</v>
          </cell>
          <cell r="T3452">
            <v>59.311999999999998</v>
          </cell>
        </row>
        <row r="3453">
          <cell r="G3453">
            <v>42461</v>
          </cell>
          <cell r="L3453" t="str">
            <v>01-28-141-100W1</v>
          </cell>
          <cell r="O3453">
            <v>826.7</v>
          </cell>
          <cell r="Q3453">
            <v>0.38</v>
          </cell>
          <cell r="T3453">
            <v>59.094999999999999</v>
          </cell>
        </row>
        <row r="3454">
          <cell r="G3454">
            <v>42461</v>
          </cell>
          <cell r="L3454" t="str">
            <v>11-24-160-95W1</v>
          </cell>
          <cell r="O3454">
            <v>806.8</v>
          </cell>
          <cell r="Q3454">
            <v>0.37</v>
          </cell>
          <cell r="T3454">
            <v>58.737000000000002</v>
          </cell>
        </row>
        <row r="3455">
          <cell r="G3455">
            <v>42461</v>
          </cell>
          <cell r="L3455" t="str">
            <v>16-04-151-96W1</v>
          </cell>
          <cell r="O3455">
            <v>810.7</v>
          </cell>
          <cell r="Q3455">
            <v>0.28000000000000003</v>
          </cell>
          <cell r="T3455">
            <v>58.02</v>
          </cell>
        </row>
        <row r="3456">
          <cell r="G3456">
            <v>42461</v>
          </cell>
          <cell r="L3456" t="str">
            <v>13-11-160-95W1</v>
          </cell>
          <cell r="O3456">
            <v>804.1</v>
          </cell>
          <cell r="Q3456">
            <v>0.13</v>
          </cell>
          <cell r="T3456">
            <v>56.463999999999999</v>
          </cell>
        </row>
        <row r="3457">
          <cell r="G3457">
            <v>42461</v>
          </cell>
          <cell r="L3457" t="str">
            <v>01-15-022-57W1</v>
          </cell>
          <cell r="O3457">
            <v>809.6</v>
          </cell>
          <cell r="Q3457">
            <v>0.37</v>
          </cell>
          <cell r="T3457">
            <v>56.427999999999997</v>
          </cell>
        </row>
        <row r="3458">
          <cell r="G3458">
            <v>42461</v>
          </cell>
          <cell r="L3458" t="str">
            <v>08-31-007-07W2</v>
          </cell>
          <cell r="O3458">
            <v>868</v>
          </cell>
          <cell r="Q3458">
            <v>1.88</v>
          </cell>
          <cell r="T3458">
            <v>52.662999999999997</v>
          </cell>
        </row>
        <row r="3459">
          <cell r="G3459">
            <v>42461</v>
          </cell>
          <cell r="L3459" t="str">
            <v>05-01-144-97W1</v>
          </cell>
          <cell r="O3459">
            <v>823.3</v>
          </cell>
          <cell r="Q3459">
            <v>0.51</v>
          </cell>
          <cell r="T3459">
            <v>49.975999999999999</v>
          </cell>
        </row>
        <row r="3460">
          <cell r="G3460">
            <v>42461</v>
          </cell>
          <cell r="L3460" t="str">
            <v>01-14-001-11W2</v>
          </cell>
          <cell r="O3460">
            <v>849</v>
          </cell>
          <cell r="Q3460">
            <v>0.26</v>
          </cell>
          <cell r="T3460">
            <v>49.975000000000001</v>
          </cell>
        </row>
        <row r="3461">
          <cell r="G3461">
            <v>42461</v>
          </cell>
          <cell r="L3461" t="str">
            <v>03-01-158-95W1</v>
          </cell>
          <cell r="O3461">
            <v>828.6</v>
          </cell>
          <cell r="Q3461">
            <v>0.61</v>
          </cell>
          <cell r="T3461">
            <v>49.661000000000001</v>
          </cell>
        </row>
        <row r="3462">
          <cell r="G3462">
            <v>42461</v>
          </cell>
          <cell r="L3462" t="str">
            <v>02-34-159-95W1</v>
          </cell>
          <cell r="O3462">
            <v>852.3</v>
          </cell>
          <cell r="Q3462">
            <v>0.93</v>
          </cell>
          <cell r="T3462">
            <v>48.954000000000001</v>
          </cell>
        </row>
        <row r="3463">
          <cell r="G3463">
            <v>42461</v>
          </cell>
          <cell r="L3463" t="str">
            <v>16-24-008-07W2</v>
          </cell>
          <cell r="O3463">
            <v>824.9</v>
          </cell>
          <cell r="Q3463">
            <v>0.72</v>
          </cell>
          <cell r="T3463">
            <v>48.851999999999997</v>
          </cell>
        </row>
        <row r="3464">
          <cell r="G3464">
            <v>42461</v>
          </cell>
          <cell r="L3464" t="str">
            <v>20-01-161-90W1</v>
          </cell>
          <cell r="O3464">
            <v>862.5</v>
          </cell>
          <cell r="Q3464">
            <v>1.4</v>
          </cell>
          <cell r="T3464">
            <v>48.845999999999997</v>
          </cell>
        </row>
        <row r="3465">
          <cell r="G3465">
            <v>42461</v>
          </cell>
          <cell r="L3465" t="str">
            <v>11-15-163-89W1</v>
          </cell>
          <cell r="O3465">
            <v>845.7</v>
          </cell>
          <cell r="Q3465">
            <v>0.38</v>
          </cell>
          <cell r="T3465">
            <v>48.198999999999998</v>
          </cell>
        </row>
        <row r="3466">
          <cell r="G3466">
            <v>42461</v>
          </cell>
          <cell r="L3466" t="str">
            <v>34-02-157-95W1</v>
          </cell>
          <cell r="O3466">
            <v>845.1</v>
          </cell>
          <cell r="Q3466">
            <v>0.82</v>
          </cell>
          <cell r="T3466">
            <v>47.656999999999996</v>
          </cell>
        </row>
        <row r="3467">
          <cell r="G3467">
            <v>42461</v>
          </cell>
          <cell r="L3467" t="str">
            <v>11-21-163-89W1</v>
          </cell>
          <cell r="O3467">
            <v>839</v>
          </cell>
          <cell r="Q3467">
            <v>0.5</v>
          </cell>
          <cell r="T3467">
            <v>45.387999999999998</v>
          </cell>
        </row>
        <row r="3468">
          <cell r="G3468">
            <v>42461</v>
          </cell>
          <cell r="L3468" t="str">
            <v>02-11-163-97W1</v>
          </cell>
          <cell r="O3468">
            <v>828.5</v>
          </cell>
          <cell r="Q3468">
            <v>0.1</v>
          </cell>
          <cell r="T3468">
            <v>41.518999999999998</v>
          </cell>
        </row>
        <row r="3469">
          <cell r="G3469">
            <v>42461</v>
          </cell>
          <cell r="L3469" t="str">
            <v>13-26-007-05W2</v>
          </cell>
          <cell r="O3469">
            <v>864.9</v>
          </cell>
          <cell r="Q3469">
            <v>1.18</v>
          </cell>
          <cell r="T3469">
            <v>36.686</v>
          </cell>
        </row>
        <row r="3470">
          <cell r="G3470">
            <v>42461</v>
          </cell>
          <cell r="L3470" t="str">
            <v>01-13-022-57W1</v>
          </cell>
          <cell r="O3470">
            <v>816.4</v>
          </cell>
          <cell r="Q3470">
            <v>0.11</v>
          </cell>
          <cell r="T3470">
            <v>35.938000000000002</v>
          </cell>
        </row>
        <row r="3471">
          <cell r="G3471">
            <v>42461</v>
          </cell>
          <cell r="L3471" t="str">
            <v>15-04-143-101W1</v>
          </cell>
          <cell r="O3471">
            <v>836.3</v>
          </cell>
          <cell r="Q3471">
            <v>0.51</v>
          </cell>
          <cell r="T3471">
            <v>32.768999999999998</v>
          </cell>
        </row>
        <row r="3472">
          <cell r="G3472">
            <v>42461</v>
          </cell>
          <cell r="L3472" t="str">
            <v>06-06-162-96W1</v>
          </cell>
          <cell r="O3472">
            <v>834.7</v>
          </cell>
          <cell r="Q3472">
            <v>0.15</v>
          </cell>
          <cell r="T3472">
            <v>30.99</v>
          </cell>
        </row>
        <row r="3473">
          <cell r="G3473">
            <v>42461</v>
          </cell>
          <cell r="L3473" t="str">
            <v>01-14-163-91W1</v>
          </cell>
          <cell r="O3473">
            <v>846.5</v>
          </cell>
          <cell r="Q3473">
            <v>0.5</v>
          </cell>
          <cell r="T3473">
            <v>29.917000000000002</v>
          </cell>
        </row>
        <row r="3474">
          <cell r="G3474">
            <v>42461</v>
          </cell>
          <cell r="L3474" t="str">
            <v>01-08-153-95W1</v>
          </cell>
          <cell r="O3474">
            <v>812.8</v>
          </cell>
          <cell r="Q3474">
            <v>0.28999999999999998</v>
          </cell>
          <cell r="T3474">
            <v>29.81</v>
          </cell>
        </row>
        <row r="3475">
          <cell r="G3475">
            <v>42461</v>
          </cell>
          <cell r="L3475" t="str">
            <v>34-31-143-102W1</v>
          </cell>
          <cell r="O3475">
            <v>853.9</v>
          </cell>
          <cell r="Q3475">
            <v>0.08</v>
          </cell>
          <cell r="T3475">
            <v>29.765999999999998</v>
          </cell>
        </row>
        <row r="3476">
          <cell r="G3476">
            <v>42461</v>
          </cell>
          <cell r="L3476" t="str">
            <v>11-02-163-96W1</v>
          </cell>
          <cell r="O3476">
            <v>826.4</v>
          </cell>
          <cell r="Q3476">
            <v>0.1</v>
          </cell>
          <cell r="T3476">
            <v>29.393000000000001</v>
          </cell>
        </row>
        <row r="3477">
          <cell r="G3477">
            <v>42461</v>
          </cell>
          <cell r="L3477" t="str">
            <v>10-30-147-97W1</v>
          </cell>
          <cell r="O3477">
            <v>822.5</v>
          </cell>
          <cell r="Q3477">
            <v>0.46</v>
          </cell>
          <cell r="T3477">
            <v>28.911000000000001</v>
          </cell>
        </row>
        <row r="3478">
          <cell r="G3478">
            <v>42461</v>
          </cell>
          <cell r="L3478" t="str">
            <v>05-16-163-91W1</v>
          </cell>
          <cell r="O3478">
            <v>836.7</v>
          </cell>
          <cell r="Q3478">
            <v>0.5</v>
          </cell>
          <cell r="T3478">
            <v>28.155999999999999</v>
          </cell>
        </row>
        <row r="3479">
          <cell r="G3479">
            <v>42461</v>
          </cell>
          <cell r="L3479" t="str">
            <v>01-14-163-91W1</v>
          </cell>
          <cell r="O3479">
            <v>840.6</v>
          </cell>
          <cell r="Q3479">
            <v>0.55000000000000004</v>
          </cell>
          <cell r="T3479">
            <v>27.956</v>
          </cell>
        </row>
        <row r="3480">
          <cell r="G3480">
            <v>42461</v>
          </cell>
          <cell r="L3480" t="str">
            <v>01-07-163-90W1</v>
          </cell>
          <cell r="O3480">
            <v>850.8</v>
          </cell>
          <cell r="Q3480">
            <v>0.53</v>
          </cell>
          <cell r="T3480">
            <v>27.268000000000001</v>
          </cell>
        </row>
        <row r="3481">
          <cell r="G3481">
            <v>42461</v>
          </cell>
          <cell r="L3481" t="str">
            <v>01-13-154-95W1</v>
          </cell>
          <cell r="O3481">
            <v>824.2</v>
          </cell>
          <cell r="Q3481">
            <v>0.59</v>
          </cell>
          <cell r="T3481">
            <v>27.016999999999999</v>
          </cell>
        </row>
        <row r="3482">
          <cell r="G3482">
            <v>42461</v>
          </cell>
          <cell r="L3482" t="str">
            <v>04-03-157-95W1</v>
          </cell>
          <cell r="O3482">
            <v>834.9</v>
          </cell>
          <cell r="Q3482">
            <v>0.75</v>
          </cell>
          <cell r="T3482">
            <v>26.946000000000002</v>
          </cell>
        </row>
        <row r="3483">
          <cell r="G3483">
            <v>42461</v>
          </cell>
          <cell r="L3483" t="str">
            <v>01-03-158-95W1</v>
          </cell>
          <cell r="O3483">
            <v>844.6</v>
          </cell>
          <cell r="Q3483">
            <v>0.75</v>
          </cell>
          <cell r="T3483">
            <v>26.498000000000001</v>
          </cell>
        </row>
        <row r="3484">
          <cell r="G3484">
            <v>42461</v>
          </cell>
          <cell r="L3484" t="str">
            <v>03-02-157-95W1</v>
          </cell>
          <cell r="O3484">
            <v>831.1</v>
          </cell>
          <cell r="Q3484">
            <v>0.76</v>
          </cell>
          <cell r="T3484">
            <v>26.253</v>
          </cell>
        </row>
        <row r="3485">
          <cell r="G3485">
            <v>42461</v>
          </cell>
          <cell r="L3485" t="str">
            <v>01-08-162-95W1</v>
          </cell>
          <cell r="O3485">
            <v>853</v>
          </cell>
          <cell r="Q3485">
            <v>0.95</v>
          </cell>
          <cell r="T3485">
            <v>25.652999999999999</v>
          </cell>
        </row>
        <row r="3486">
          <cell r="G3486">
            <v>42461</v>
          </cell>
          <cell r="L3486" t="str">
            <v>10-01-157-95W1</v>
          </cell>
          <cell r="O3486">
            <v>831.5</v>
          </cell>
          <cell r="Q3486">
            <v>0.56000000000000005</v>
          </cell>
          <cell r="T3486">
            <v>25.547000000000001</v>
          </cell>
        </row>
        <row r="3487">
          <cell r="G3487">
            <v>42461</v>
          </cell>
          <cell r="L3487" t="str">
            <v>01-34-164-92W1</v>
          </cell>
          <cell r="O3487">
            <v>831.1</v>
          </cell>
          <cell r="Q3487">
            <v>0.6</v>
          </cell>
          <cell r="T3487">
            <v>25.198</v>
          </cell>
        </row>
        <row r="3488">
          <cell r="G3488">
            <v>42461</v>
          </cell>
          <cell r="L3488" t="str">
            <v>01-32-164-01W1</v>
          </cell>
          <cell r="O3488">
            <v>843.8</v>
          </cell>
          <cell r="Q3488">
            <v>0.47</v>
          </cell>
          <cell r="T3488">
            <v>24.963000000000001</v>
          </cell>
        </row>
        <row r="3489">
          <cell r="G3489">
            <v>42461</v>
          </cell>
          <cell r="L3489" t="str">
            <v>01-12-144-98W1</v>
          </cell>
          <cell r="O3489">
            <v>817.7</v>
          </cell>
          <cell r="Q3489">
            <v>0.46</v>
          </cell>
          <cell r="T3489">
            <v>24.780999999999999</v>
          </cell>
        </row>
        <row r="3490">
          <cell r="G3490">
            <v>42461</v>
          </cell>
          <cell r="L3490" t="str">
            <v>03-03-157-95W1</v>
          </cell>
          <cell r="O3490">
            <v>820.2</v>
          </cell>
          <cell r="Q3490">
            <v>0.51</v>
          </cell>
          <cell r="T3490">
            <v>24.632000000000001</v>
          </cell>
        </row>
        <row r="3491">
          <cell r="G3491">
            <v>42461</v>
          </cell>
          <cell r="L3491" t="str">
            <v>01-29-162-92W1</v>
          </cell>
          <cell r="O3491">
            <v>841.7</v>
          </cell>
          <cell r="Q3491">
            <v>0.55000000000000004</v>
          </cell>
          <cell r="T3491">
            <v>22.786999999999999</v>
          </cell>
        </row>
        <row r="3492">
          <cell r="G3492">
            <v>42461</v>
          </cell>
          <cell r="L3492" t="str">
            <v>04-04-157-95W1</v>
          </cell>
          <cell r="O3492">
            <v>838.4</v>
          </cell>
          <cell r="Q3492">
            <v>0.62</v>
          </cell>
          <cell r="T3492">
            <v>22.765999999999998</v>
          </cell>
        </row>
        <row r="3493">
          <cell r="G3493">
            <v>42461</v>
          </cell>
          <cell r="L3493" t="str">
            <v>01-11-161-92W1</v>
          </cell>
          <cell r="O3493">
            <v>853.5</v>
          </cell>
          <cell r="Q3493">
            <v>0.77</v>
          </cell>
          <cell r="T3493">
            <v>22.716999999999999</v>
          </cell>
        </row>
        <row r="3494">
          <cell r="G3494">
            <v>42461</v>
          </cell>
          <cell r="L3494" t="str">
            <v>01-18-162-91W1</v>
          </cell>
          <cell r="O3494">
            <v>852.8</v>
          </cell>
          <cell r="Q3494">
            <v>0.53</v>
          </cell>
          <cell r="T3494">
            <v>22.114000000000001</v>
          </cell>
        </row>
        <row r="3495">
          <cell r="G3495">
            <v>42461</v>
          </cell>
          <cell r="L3495" t="str">
            <v>03-25-144-98W1</v>
          </cell>
          <cell r="O3495">
            <v>844.5</v>
          </cell>
          <cell r="Q3495">
            <v>0.48</v>
          </cell>
          <cell r="T3495">
            <v>21.952000000000002</v>
          </cell>
        </row>
        <row r="3496">
          <cell r="G3496">
            <v>42461</v>
          </cell>
          <cell r="L3496" t="str">
            <v>01-26-144-98W1</v>
          </cell>
          <cell r="O3496">
            <v>835.7</v>
          </cell>
          <cell r="Q3496">
            <v>0.47</v>
          </cell>
          <cell r="T3496">
            <v>21.812999999999999</v>
          </cell>
        </row>
        <row r="3497">
          <cell r="G3497">
            <v>42461</v>
          </cell>
          <cell r="L3497" t="str">
            <v>01-24-144-98W1</v>
          </cell>
          <cell r="O3497">
            <v>824.3</v>
          </cell>
          <cell r="Q3497">
            <v>0.61</v>
          </cell>
          <cell r="T3497">
            <v>21.742999999999999</v>
          </cell>
        </row>
        <row r="3498">
          <cell r="G3498">
            <v>42461</v>
          </cell>
          <cell r="L3498" t="str">
            <v>01-20-163-91W1</v>
          </cell>
          <cell r="O3498">
            <v>840</v>
          </cell>
          <cell r="Q3498">
            <v>0.5</v>
          </cell>
          <cell r="T3498">
            <v>21.501999999999999</v>
          </cell>
        </row>
        <row r="3499">
          <cell r="G3499">
            <v>42461</v>
          </cell>
          <cell r="L3499" t="str">
            <v>01-36-003-03W2</v>
          </cell>
          <cell r="O3499">
            <v>835.4</v>
          </cell>
          <cell r="Q3499">
            <v>0.76</v>
          </cell>
          <cell r="T3499">
            <v>602.78499999999997</v>
          </cell>
        </row>
        <row r="3500">
          <cell r="G3500">
            <v>42461</v>
          </cell>
          <cell r="L3500" t="str">
            <v>07-23-010-06W2</v>
          </cell>
          <cell r="O3500">
            <v>845.1</v>
          </cell>
          <cell r="Q3500">
            <v>1.51</v>
          </cell>
          <cell r="T3500">
            <v>441.87200000000001</v>
          </cell>
        </row>
        <row r="3501">
          <cell r="G3501">
            <v>42461</v>
          </cell>
          <cell r="L3501" t="str">
            <v>05-23-008-09W2</v>
          </cell>
          <cell r="O3501">
            <v>821.8</v>
          </cell>
          <cell r="Q3501">
            <v>0.13</v>
          </cell>
          <cell r="T3501">
            <v>371.59</v>
          </cell>
        </row>
        <row r="3502">
          <cell r="G3502">
            <v>42461</v>
          </cell>
          <cell r="L3502" t="str">
            <v>09-32-007-07W2</v>
          </cell>
          <cell r="O3502">
            <v>801.2</v>
          </cell>
          <cell r="Q3502">
            <v>0.15</v>
          </cell>
          <cell r="T3502">
            <v>201.60499999999999</v>
          </cell>
        </row>
        <row r="3503">
          <cell r="G3503">
            <v>42461</v>
          </cell>
          <cell r="L3503" t="str">
            <v>12-05-008-08W2</v>
          </cell>
          <cell r="O3503">
            <v>828.9</v>
          </cell>
          <cell r="Q3503">
            <v>0.24</v>
          </cell>
          <cell r="T3503">
            <v>89.736000000000004</v>
          </cell>
        </row>
        <row r="3504">
          <cell r="G3504">
            <v>42461</v>
          </cell>
          <cell r="L3504" t="str">
            <v>12-22-010-05W2</v>
          </cell>
          <cell r="O3504">
            <v>867.4</v>
          </cell>
          <cell r="Q3504">
            <v>1.88</v>
          </cell>
          <cell r="T3504">
            <v>65.759</v>
          </cell>
        </row>
        <row r="3505">
          <cell r="G3505">
            <v>42461</v>
          </cell>
          <cell r="L3505" t="str">
            <v>08-17-005-03W2</v>
          </cell>
          <cell r="O3505">
            <v>858.1</v>
          </cell>
          <cell r="Q3505">
            <v>1.41</v>
          </cell>
          <cell r="T3505">
            <v>57.908000000000001</v>
          </cell>
        </row>
        <row r="3506">
          <cell r="G3506">
            <v>42461</v>
          </cell>
          <cell r="L3506" t="str">
            <v>08-23-008-08W2</v>
          </cell>
          <cell r="O3506">
            <v>821.8</v>
          </cell>
          <cell r="Q3506">
            <v>1.91</v>
          </cell>
          <cell r="T3506">
            <v>56.351999999999997</v>
          </cell>
        </row>
        <row r="3507">
          <cell r="G3507">
            <v>42461</v>
          </cell>
          <cell r="L3507" t="str">
            <v>04-29-008-09W2</v>
          </cell>
          <cell r="O3507">
            <v>822.1</v>
          </cell>
          <cell r="Q3507">
            <v>0.13</v>
          </cell>
          <cell r="T3507">
            <v>49.872</v>
          </cell>
        </row>
        <row r="3508">
          <cell r="G3508">
            <v>42461</v>
          </cell>
          <cell r="L3508" t="str">
            <v>11-36-005-04W2</v>
          </cell>
          <cell r="O3508">
            <v>856.6</v>
          </cell>
          <cell r="Q3508">
            <v>1</v>
          </cell>
          <cell r="T3508">
            <v>32.228999999999999</v>
          </cell>
        </row>
        <row r="3509">
          <cell r="G3509">
            <v>42461</v>
          </cell>
          <cell r="L3509" t="str">
            <v>09-26-007-05W2</v>
          </cell>
          <cell r="O3509">
            <v>865.8</v>
          </cell>
          <cell r="Q3509">
            <v>1.67</v>
          </cell>
          <cell r="T3509">
            <v>24.698</v>
          </cell>
        </row>
        <row r="3510">
          <cell r="G3510">
            <v>42461</v>
          </cell>
          <cell r="L3510" t="str">
            <v>05-16-006-13W2</v>
          </cell>
          <cell r="O3510">
            <v>870.5</v>
          </cell>
          <cell r="Q3510">
            <v>2.41</v>
          </cell>
          <cell r="T3510">
            <v>113007.879</v>
          </cell>
        </row>
        <row r="3511">
          <cell r="G3511">
            <v>42461</v>
          </cell>
          <cell r="L3511" t="str">
            <v>08-28-005-33W1</v>
          </cell>
          <cell r="O3511">
            <v>822.6</v>
          </cell>
          <cell r="Q3511">
            <v>1.1499999999999999</v>
          </cell>
          <cell r="T3511">
            <v>104990.086</v>
          </cell>
        </row>
        <row r="3512">
          <cell r="G3512">
            <v>42461</v>
          </cell>
          <cell r="L3512" t="str">
            <v>15-26-001-31W1</v>
          </cell>
          <cell r="O3512">
            <v>873.7</v>
          </cell>
          <cell r="Q3512">
            <v>1.95</v>
          </cell>
          <cell r="T3512">
            <v>4254.2719999999999</v>
          </cell>
        </row>
        <row r="3513">
          <cell r="G3513">
            <v>42461</v>
          </cell>
          <cell r="L3513" t="str">
            <v>14-05-002-31W1</v>
          </cell>
          <cell r="O3513">
            <v>860.6</v>
          </cell>
          <cell r="Q3513">
            <v>1.71</v>
          </cell>
          <cell r="T3513">
            <v>3362.0680000000002</v>
          </cell>
        </row>
        <row r="3514">
          <cell r="G3514">
            <v>42461</v>
          </cell>
          <cell r="L3514" t="str">
            <v>08-21-004-01W2</v>
          </cell>
          <cell r="O3514">
            <v>828.5</v>
          </cell>
          <cell r="Q3514">
            <v>0.92</v>
          </cell>
          <cell r="T3514">
            <v>3054.57</v>
          </cell>
        </row>
        <row r="3515">
          <cell r="G3515">
            <v>42461</v>
          </cell>
          <cell r="L3515" t="str">
            <v>14-03-001-03W2</v>
          </cell>
          <cell r="O3515">
            <v>815.1</v>
          </cell>
          <cell r="Q3515">
            <v>0.12</v>
          </cell>
          <cell r="T3515">
            <v>2449.665</v>
          </cell>
        </row>
        <row r="3516">
          <cell r="G3516">
            <v>42461</v>
          </cell>
          <cell r="L3516" t="str">
            <v>14-13-002-02W2</v>
          </cell>
          <cell r="O3516">
            <v>824.5</v>
          </cell>
          <cell r="Q3516">
            <v>0.54</v>
          </cell>
          <cell r="T3516">
            <v>1911.674</v>
          </cell>
        </row>
        <row r="3517">
          <cell r="G3517">
            <v>42461</v>
          </cell>
          <cell r="L3517" t="str">
            <v>02-25-002-03W2</v>
          </cell>
          <cell r="O3517">
            <v>828.7</v>
          </cell>
          <cell r="Q3517">
            <v>0.5</v>
          </cell>
          <cell r="T3517">
            <v>1591.4849999999999</v>
          </cell>
        </row>
        <row r="3518">
          <cell r="G3518">
            <v>42461</v>
          </cell>
          <cell r="L3518" t="str">
            <v>16-03-008-33W1</v>
          </cell>
          <cell r="O3518">
            <v>841.9</v>
          </cell>
          <cell r="Q3518">
            <v>1.25</v>
          </cell>
          <cell r="T3518">
            <v>1143.954</v>
          </cell>
        </row>
        <row r="3519">
          <cell r="G3519">
            <v>42461</v>
          </cell>
          <cell r="L3519" t="str">
            <v>01-35-007-01W2</v>
          </cell>
          <cell r="O3519">
            <v>844.5</v>
          </cell>
          <cell r="Q3519">
            <v>1.1399999999999999</v>
          </cell>
          <cell r="T3519">
            <v>1118.3820000000001</v>
          </cell>
        </row>
        <row r="3520">
          <cell r="G3520">
            <v>42461</v>
          </cell>
          <cell r="L3520" t="str">
            <v>05-18-004-02W2</v>
          </cell>
          <cell r="O3520">
            <v>855.4</v>
          </cell>
          <cell r="Q3520">
            <v>1.1299999999999999</v>
          </cell>
          <cell r="T3520">
            <v>876.24800000000005</v>
          </cell>
        </row>
        <row r="3521">
          <cell r="G3521">
            <v>42461</v>
          </cell>
          <cell r="L3521" t="str">
            <v>13-17-005-33W1</v>
          </cell>
          <cell r="O3521">
            <v>826.4</v>
          </cell>
          <cell r="Q3521">
            <v>0.67</v>
          </cell>
          <cell r="T3521">
            <v>754.75400000000002</v>
          </cell>
        </row>
        <row r="3522">
          <cell r="G3522">
            <v>42461</v>
          </cell>
          <cell r="L3522" t="str">
            <v>16-04-006-32W1</v>
          </cell>
          <cell r="O3522">
            <v>843.6</v>
          </cell>
          <cell r="Q3522">
            <v>1.07</v>
          </cell>
          <cell r="T3522">
            <v>735.80799999999999</v>
          </cell>
        </row>
        <row r="3523">
          <cell r="G3523">
            <v>42461</v>
          </cell>
          <cell r="L3523" t="str">
            <v>05-20-001-02W2</v>
          </cell>
          <cell r="O3523">
            <v>827.3</v>
          </cell>
          <cell r="Q3523">
            <v>0.53</v>
          </cell>
          <cell r="T3523">
            <v>591.37400000000002</v>
          </cell>
        </row>
        <row r="3524">
          <cell r="G3524">
            <v>42461</v>
          </cell>
          <cell r="L3524" t="str">
            <v>16-31-001-32W1</v>
          </cell>
          <cell r="O3524">
            <v>845.4</v>
          </cell>
          <cell r="Q3524">
            <v>1.1000000000000001</v>
          </cell>
          <cell r="T3524">
            <v>507.49799999999999</v>
          </cell>
        </row>
        <row r="3525">
          <cell r="G3525">
            <v>42461</v>
          </cell>
          <cell r="L3525" t="str">
            <v>08-02-008-03W2</v>
          </cell>
          <cell r="O3525">
            <v>853.5</v>
          </cell>
          <cell r="Q3525">
            <v>0.15</v>
          </cell>
          <cell r="T3525">
            <v>427.28199999999998</v>
          </cell>
        </row>
        <row r="3526">
          <cell r="G3526">
            <v>42461</v>
          </cell>
          <cell r="L3526" t="str">
            <v>14-19-006-33W1</v>
          </cell>
          <cell r="O3526">
            <v>837.5</v>
          </cell>
          <cell r="Q3526">
            <v>1.2</v>
          </cell>
          <cell r="T3526">
            <v>426.92099999999999</v>
          </cell>
        </row>
        <row r="3527">
          <cell r="G3527">
            <v>42461</v>
          </cell>
          <cell r="L3527" t="str">
            <v>01-01-010-04W2</v>
          </cell>
          <cell r="O3527">
            <v>841.8</v>
          </cell>
          <cell r="Q3527">
            <v>1.41</v>
          </cell>
          <cell r="T3527">
            <v>393.86500000000001</v>
          </cell>
        </row>
        <row r="3528">
          <cell r="G3528">
            <v>42461</v>
          </cell>
          <cell r="L3528" t="str">
            <v>14-23-005-02W2</v>
          </cell>
          <cell r="O3528">
            <v>852.5</v>
          </cell>
          <cell r="Q3528">
            <v>1.35</v>
          </cell>
          <cell r="T3528">
            <v>287.06400000000002</v>
          </cell>
        </row>
        <row r="3529">
          <cell r="G3529">
            <v>42461</v>
          </cell>
          <cell r="L3529" t="str">
            <v>01-03-003-33W1</v>
          </cell>
          <cell r="O3529">
            <v>852.6</v>
          </cell>
          <cell r="Q3529">
            <v>0.93</v>
          </cell>
          <cell r="T3529">
            <v>282.68099999999998</v>
          </cell>
        </row>
        <row r="3530">
          <cell r="G3530">
            <v>42461</v>
          </cell>
          <cell r="L3530" t="str">
            <v>13-13-002-33W1</v>
          </cell>
          <cell r="O3530">
            <v>843.7</v>
          </cell>
          <cell r="Q3530">
            <v>0.72</v>
          </cell>
          <cell r="T3530">
            <v>229.625</v>
          </cell>
        </row>
        <row r="3531">
          <cell r="G3531">
            <v>42461</v>
          </cell>
          <cell r="L3531" t="str">
            <v>03-05-006-02W2</v>
          </cell>
          <cell r="O3531">
            <v>844.2</v>
          </cell>
          <cell r="Q3531">
            <v>1.03</v>
          </cell>
          <cell r="T3531">
            <v>226.452</v>
          </cell>
        </row>
        <row r="3532">
          <cell r="G3532">
            <v>42461</v>
          </cell>
          <cell r="L3532" t="str">
            <v>01-35-006-30W1</v>
          </cell>
          <cell r="O3532">
            <v>821</v>
          </cell>
          <cell r="Q3532">
            <v>0.3</v>
          </cell>
          <cell r="T3532">
            <v>209.47900000000001</v>
          </cell>
        </row>
        <row r="3533">
          <cell r="G3533">
            <v>42461</v>
          </cell>
          <cell r="L3533" t="str">
            <v>04-05-006-02W2</v>
          </cell>
          <cell r="O3533">
            <v>844.2</v>
          </cell>
          <cell r="Q3533">
            <v>1.17</v>
          </cell>
          <cell r="T3533">
            <v>205.49199999999999</v>
          </cell>
        </row>
        <row r="3534">
          <cell r="G3534">
            <v>42461</v>
          </cell>
          <cell r="L3534" t="str">
            <v>04-11-004-32W1</v>
          </cell>
          <cell r="O3534">
            <v>856</v>
          </cell>
          <cell r="Q3534">
            <v>1.57</v>
          </cell>
          <cell r="T3534">
            <v>204.459</v>
          </cell>
        </row>
        <row r="3535">
          <cell r="G3535">
            <v>42461</v>
          </cell>
          <cell r="L3535" t="str">
            <v>10-17-007-33W1</v>
          </cell>
          <cell r="O3535">
            <v>846.4</v>
          </cell>
          <cell r="Q3535">
            <v>1.17</v>
          </cell>
          <cell r="T3535">
            <v>191.096</v>
          </cell>
        </row>
        <row r="3536">
          <cell r="G3536">
            <v>42461</v>
          </cell>
          <cell r="L3536" t="str">
            <v>16-16-006-02W2</v>
          </cell>
          <cell r="O3536">
            <v>845.3</v>
          </cell>
          <cell r="Q3536">
            <v>1.1399999999999999</v>
          </cell>
          <cell r="T3536">
            <v>160.506</v>
          </cell>
        </row>
        <row r="3537">
          <cell r="G3537">
            <v>42461</v>
          </cell>
          <cell r="L3537" t="str">
            <v>08-23-007-30W1</v>
          </cell>
          <cell r="O3537">
            <v>818.5</v>
          </cell>
          <cell r="Q3537">
            <v>0.22</v>
          </cell>
          <cell r="T3537">
            <v>159.58000000000001</v>
          </cell>
        </row>
        <row r="3538">
          <cell r="G3538">
            <v>42461</v>
          </cell>
          <cell r="L3538" t="str">
            <v>08-16-007-29W1</v>
          </cell>
          <cell r="O3538">
            <v>828.3</v>
          </cell>
          <cell r="Q3538">
            <v>0.23</v>
          </cell>
          <cell r="T3538">
            <v>155.94499999999999</v>
          </cell>
        </row>
        <row r="3539">
          <cell r="G3539">
            <v>42461</v>
          </cell>
          <cell r="L3539" t="str">
            <v>01-06-002-32W1</v>
          </cell>
          <cell r="O3539">
            <v>836.7</v>
          </cell>
          <cell r="Q3539">
            <v>0.81</v>
          </cell>
          <cell r="T3539">
            <v>143.24100000000001</v>
          </cell>
        </row>
        <row r="3540">
          <cell r="G3540">
            <v>42461</v>
          </cell>
          <cell r="L3540" t="str">
            <v>11-25-001-02W2</v>
          </cell>
          <cell r="O3540">
            <v>826.8</v>
          </cell>
          <cell r="Q3540">
            <v>0.59</v>
          </cell>
          <cell r="T3540">
            <v>139.797</v>
          </cell>
        </row>
        <row r="3541">
          <cell r="G3541">
            <v>42461</v>
          </cell>
          <cell r="L3541" t="str">
            <v>09-24-001-01W2</v>
          </cell>
          <cell r="O3541">
            <v>829.6</v>
          </cell>
          <cell r="Q3541">
            <v>0.56999999999999995</v>
          </cell>
          <cell r="T3541">
            <v>124.107</v>
          </cell>
        </row>
        <row r="3542">
          <cell r="G3542">
            <v>42461</v>
          </cell>
          <cell r="L3542" t="str">
            <v>12-20-008-02W2</v>
          </cell>
          <cell r="O3542">
            <v>860.3</v>
          </cell>
          <cell r="Q3542">
            <v>1.77</v>
          </cell>
          <cell r="T3542">
            <v>89.272000000000006</v>
          </cell>
        </row>
        <row r="3543">
          <cell r="G3543">
            <v>42461</v>
          </cell>
          <cell r="L3543" t="str">
            <v>02-14-006-02W2</v>
          </cell>
          <cell r="O3543">
            <v>845.7</v>
          </cell>
          <cell r="Q3543">
            <v>1.1599999999999999</v>
          </cell>
          <cell r="T3543">
            <v>87.966999999999999</v>
          </cell>
        </row>
        <row r="3544">
          <cell r="G3544">
            <v>42461</v>
          </cell>
          <cell r="L3544" t="str">
            <v>16-15-008-03W2</v>
          </cell>
          <cell r="O3544">
            <v>860</v>
          </cell>
          <cell r="Q3544">
            <v>1.54</v>
          </cell>
          <cell r="T3544">
            <v>84.03</v>
          </cell>
        </row>
        <row r="3545">
          <cell r="G3545">
            <v>42461</v>
          </cell>
          <cell r="L3545" t="str">
            <v>10-29-005-33W1</v>
          </cell>
          <cell r="O3545">
            <v>833.5</v>
          </cell>
          <cell r="Q3545">
            <v>0.87</v>
          </cell>
          <cell r="T3545">
            <v>82.882999999999996</v>
          </cell>
        </row>
        <row r="3546">
          <cell r="G3546">
            <v>42461</v>
          </cell>
          <cell r="L3546" t="str">
            <v>02-31-145-98W1</v>
          </cell>
          <cell r="O3546">
            <v>814.3</v>
          </cell>
          <cell r="Q3546">
            <v>0.41</v>
          </cell>
          <cell r="T3546">
            <v>76.713999999999999</v>
          </cell>
        </row>
        <row r="3547">
          <cell r="G3547">
            <v>42461</v>
          </cell>
          <cell r="L3547" t="str">
            <v>13-12-007-03W2</v>
          </cell>
          <cell r="O3547">
            <v>853</v>
          </cell>
          <cell r="Q3547">
            <v>1.38</v>
          </cell>
          <cell r="T3547">
            <v>57.81</v>
          </cell>
        </row>
        <row r="3548">
          <cell r="G3548">
            <v>42461</v>
          </cell>
          <cell r="L3548" t="str">
            <v>16-03-001-03W2</v>
          </cell>
          <cell r="O3548">
            <v>835.2</v>
          </cell>
          <cell r="Q3548">
            <v>0.62</v>
          </cell>
          <cell r="T3548">
            <v>55.433999999999997</v>
          </cell>
        </row>
        <row r="3549">
          <cell r="G3549">
            <v>42461</v>
          </cell>
          <cell r="L3549" t="str">
            <v>14-24-001-02W2</v>
          </cell>
          <cell r="O3549">
            <v>835.8</v>
          </cell>
          <cell r="Q3549">
            <v>0.79</v>
          </cell>
          <cell r="T3549">
            <v>52.188000000000002</v>
          </cell>
        </row>
        <row r="3550">
          <cell r="G3550">
            <v>42461</v>
          </cell>
          <cell r="L3550" t="str">
            <v>03-10-145-98W1</v>
          </cell>
          <cell r="O3550">
            <v>814</v>
          </cell>
          <cell r="Q3550">
            <v>0.37</v>
          </cell>
          <cell r="T3550">
            <v>49.674999999999997</v>
          </cell>
        </row>
        <row r="3551">
          <cell r="G3551">
            <v>42461</v>
          </cell>
          <cell r="L3551" t="str">
            <v>09-01-002-34W1</v>
          </cell>
          <cell r="O3551">
            <v>835.4</v>
          </cell>
          <cell r="Q3551">
            <v>0.55000000000000004</v>
          </cell>
          <cell r="T3551">
            <v>27.741</v>
          </cell>
        </row>
        <row r="3552">
          <cell r="G3552">
            <v>42461</v>
          </cell>
          <cell r="L3552" t="str">
            <v>01-25-153-96W1</v>
          </cell>
          <cell r="O3552">
            <v>790.3</v>
          </cell>
          <cell r="Q3552">
            <v>0.36</v>
          </cell>
          <cell r="T3552">
            <v>27.286000000000001</v>
          </cell>
        </row>
        <row r="3553">
          <cell r="G3553">
            <v>42461</v>
          </cell>
          <cell r="L3553" t="str">
            <v>01-05-144-97W1</v>
          </cell>
          <cell r="O3553">
            <v>820.7</v>
          </cell>
          <cell r="Q3553">
            <v>0.37</v>
          </cell>
          <cell r="T3553">
            <v>27.245000000000001</v>
          </cell>
        </row>
        <row r="3554">
          <cell r="G3554">
            <v>42461</v>
          </cell>
          <cell r="L3554" t="str">
            <v>02-34-143-100W1</v>
          </cell>
          <cell r="O3554">
            <v>824.1</v>
          </cell>
          <cell r="Q3554">
            <v>0.33</v>
          </cell>
          <cell r="T3554">
            <v>27.228999999999999</v>
          </cell>
        </row>
        <row r="3555">
          <cell r="G3555">
            <v>42461</v>
          </cell>
          <cell r="L3555" t="str">
            <v>16-07-006-02W2</v>
          </cell>
          <cell r="O3555">
            <v>840.2</v>
          </cell>
          <cell r="Q3555">
            <v>1.22</v>
          </cell>
          <cell r="T3555">
            <v>27.132999999999999</v>
          </cell>
        </row>
        <row r="3556">
          <cell r="G3556">
            <v>42461</v>
          </cell>
          <cell r="L3556" t="str">
            <v>01-13-022-57W1</v>
          </cell>
          <cell r="O3556">
            <v>853.8</v>
          </cell>
          <cell r="Q3556">
            <v>0.11</v>
          </cell>
          <cell r="T3556">
            <v>26.588999999999999</v>
          </cell>
        </row>
        <row r="3557">
          <cell r="G3557">
            <v>42461</v>
          </cell>
          <cell r="L3557" t="str">
            <v>34-31-143-102W1</v>
          </cell>
          <cell r="O3557">
            <v>849.6</v>
          </cell>
          <cell r="Q3557">
            <v>0.08</v>
          </cell>
          <cell r="T3557">
            <v>25.594000000000001</v>
          </cell>
        </row>
        <row r="3558">
          <cell r="G3558">
            <v>42461</v>
          </cell>
          <cell r="L3558" t="str">
            <v>16-21-003-33W1</v>
          </cell>
          <cell r="O3558">
            <v>857.3</v>
          </cell>
          <cell r="Q3558">
            <v>1.84</v>
          </cell>
          <cell r="T3558">
            <v>24.931999999999999</v>
          </cell>
        </row>
        <row r="3559">
          <cell r="G3559">
            <v>42461</v>
          </cell>
          <cell r="L3559" t="str">
            <v>01-06-144-97W1</v>
          </cell>
          <cell r="O3559">
            <v>834.8</v>
          </cell>
          <cell r="Q3559">
            <v>0.17</v>
          </cell>
          <cell r="T3559">
            <v>24.884</v>
          </cell>
        </row>
        <row r="3560">
          <cell r="G3560">
            <v>42461</v>
          </cell>
          <cell r="L3560" t="str">
            <v>01-19-145-98W1</v>
          </cell>
          <cell r="O3560">
            <v>815.8</v>
          </cell>
          <cell r="Q3560">
            <v>0.36</v>
          </cell>
          <cell r="T3560">
            <v>24.585000000000001</v>
          </cell>
        </row>
        <row r="3561">
          <cell r="G3561">
            <v>42461</v>
          </cell>
          <cell r="L3561" t="str">
            <v>04-25-144-98W1</v>
          </cell>
          <cell r="O3561">
            <v>821.1</v>
          </cell>
          <cell r="Q3561">
            <v>0.48</v>
          </cell>
          <cell r="T3561">
            <v>22.693000000000001</v>
          </cell>
        </row>
        <row r="3562">
          <cell r="G3562">
            <v>42461</v>
          </cell>
          <cell r="L3562" t="str">
            <v>07-26-005-02W2</v>
          </cell>
          <cell r="O3562">
            <v>849.6</v>
          </cell>
          <cell r="Q3562">
            <v>1.1599999999999999</v>
          </cell>
          <cell r="T3562">
            <v>18.408000000000001</v>
          </cell>
        </row>
        <row r="3563">
          <cell r="G3563">
            <v>42461</v>
          </cell>
          <cell r="L3563" t="str">
            <v>15-09-007-03W2</v>
          </cell>
          <cell r="O3563">
            <v>847.6</v>
          </cell>
          <cell r="Q3563">
            <v>1.29</v>
          </cell>
          <cell r="T3563">
            <v>1553.731</v>
          </cell>
        </row>
        <row r="3564">
          <cell r="G3564">
            <v>42461</v>
          </cell>
          <cell r="L3564" t="str">
            <v>07-31-005-33W1</v>
          </cell>
          <cell r="O3564">
            <v>824.3</v>
          </cell>
          <cell r="Q3564">
            <v>0.68</v>
          </cell>
          <cell r="T3564">
            <v>935.91600000000005</v>
          </cell>
        </row>
        <row r="3565">
          <cell r="G3565">
            <v>42461</v>
          </cell>
          <cell r="L3565" t="str">
            <v>04-36-004-02W2</v>
          </cell>
          <cell r="O3565">
            <v>851.8</v>
          </cell>
          <cell r="Q3565">
            <v>1.64</v>
          </cell>
          <cell r="T3565">
            <v>318.17599999999999</v>
          </cell>
        </row>
        <row r="3566">
          <cell r="G3566">
            <v>42461</v>
          </cell>
          <cell r="L3566" t="str">
            <v>13-14-010-05W2</v>
          </cell>
          <cell r="O3566">
            <v>847.2</v>
          </cell>
          <cell r="Q3566">
            <v>1.54</v>
          </cell>
          <cell r="T3566">
            <v>159.85499999999999</v>
          </cell>
        </row>
        <row r="3567">
          <cell r="G3567">
            <v>42461</v>
          </cell>
          <cell r="L3567" t="str">
            <v>14-04-006-33W1</v>
          </cell>
          <cell r="O3567">
            <v>836.4</v>
          </cell>
          <cell r="Q3567">
            <v>0.85</v>
          </cell>
          <cell r="T3567">
            <v>61.027000000000001</v>
          </cell>
        </row>
        <row r="3568">
          <cell r="G3568">
            <v>42461</v>
          </cell>
          <cell r="L3568" t="str">
            <v>01-07-006-10W2</v>
          </cell>
          <cell r="O3568">
            <v>0</v>
          </cell>
          <cell r="Q3568">
            <v>0</v>
          </cell>
          <cell r="T3568">
            <v>0</v>
          </cell>
        </row>
        <row r="3569">
          <cell r="G3569">
            <v>42461</v>
          </cell>
          <cell r="L3569" t="str">
            <v>MWStream</v>
          </cell>
          <cell r="T3569">
            <v>0</v>
          </cell>
        </row>
        <row r="3570">
          <cell r="G3570">
            <v>42461</v>
          </cell>
          <cell r="L3570" t="str">
            <v>ALStream</v>
          </cell>
          <cell r="O3570">
            <v>826</v>
          </cell>
          <cell r="Q3570">
            <v>0.95</v>
          </cell>
          <cell r="T3570">
            <v>-71602.085999999996</v>
          </cell>
        </row>
        <row r="3571">
          <cell r="G3571">
            <v>42461</v>
          </cell>
          <cell r="L3571" t="str">
            <v>ALStream</v>
          </cell>
          <cell r="O3571">
            <v>874.6</v>
          </cell>
          <cell r="Q3571">
            <v>2.33</v>
          </cell>
          <cell r="T3571">
            <v>-14281.331</v>
          </cell>
        </row>
        <row r="3572">
          <cell r="G3572">
            <v>42461</v>
          </cell>
          <cell r="L3572" t="str">
            <v>MWStream</v>
          </cell>
          <cell r="O3572">
            <v>823.3</v>
          </cell>
          <cell r="Q3572">
            <v>1.17</v>
          </cell>
          <cell r="T3572">
            <v>-9503.5750000000007</v>
          </cell>
        </row>
        <row r="3573">
          <cell r="G3573">
            <v>42491</v>
          </cell>
          <cell r="L3573" t="str">
            <v>07-25-009-08W2</v>
          </cell>
          <cell r="O3573">
            <v>886.1</v>
          </cell>
          <cell r="Q3573">
            <v>2.3199999999999998</v>
          </cell>
          <cell r="T3573">
            <v>15.999000000000001</v>
          </cell>
        </row>
        <row r="3574">
          <cell r="G3574">
            <v>42491</v>
          </cell>
          <cell r="L3574" t="str">
            <v>01-19-004-12W2</v>
          </cell>
          <cell r="O3574">
            <v>895</v>
          </cell>
          <cell r="Q3574">
            <v>2.59</v>
          </cell>
          <cell r="T3574">
            <v>30.141999999999999</v>
          </cell>
        </row>
        <row r="3575">
          <cell r="G3575">
            <v>42491</v>
          </cell>
          <cell r="L3575" t="str">
            <v>07-30-007-05W2</v>
          </cell>
          <cell r="O3575">
            <v>850.5</v>
          </cell>
          <cell r="Q3575">
            <v>1.42</v>
          </cell>
          <cell r="T3575">
            <v>50.905999999999999</v>
          </cell>
        </row>
        <row r="3576">
          <cell r="G3576">
            <v>42491</v>
          </cell>
          <cell r="L3576" t="str">
            <v>09-26-004-32W1</v>
          </cell>
          <cell r="O3576">
            <v>868.9</v>
          </cell>
          <cell r="Q3576">
            <v>1.52</v>
          </cell>
          <cell r="T3576">
            <v>52.04</v>
          </cell>
        </row>
        <row r="3577">
          <cell r="G3577">
            <v>42491</v>
          </cell>
          <cell r="L3577" t="str">
            <v>01-15-005-32W1</v>
          </cell>
          <cell r="O3577">
            <v>845</v>
          </cell>
          <cell r="Q3577">
            <v>0.98</v>
          </cell>
          <cell r="T3577">
            <v>61.280999999999999</v>
          </cell>
        </row>
        <row r="3578">
          <cell r="G3578">
            <v>42491</v>
          </cell>
          <cell r="L3578" t="str">
            <v>02-27-004-33W1</v>
          </cell>
          <cell r="O3578">
            <v>830</v>
          </cell>
          <cell r="Q3578">
            <v>0.67</v>
          </cell>
          <cell r="T3578">
            <v>61.671999999999997</v>
          </cell>
        </row>
        <row r="3579">
          <cell r="G3579">
            <v>42491</v>
          </cell>
          <cell r="L3579" t="str">
            <v>13-35-007-12W2</v>
          </cell>
          <cell r="O3579">
            <v>879.6</v>
          </cell>
          <cell r="Q3579">
            <v>2.1</v>
          </cell>
          <cell r="T3579">
            <v>69.668000000000006</v>
          </cell>
        </row>
        <row r="3580">
          <cell r="G3580">
            <v>42491</v>
          </cell>
          <cell r="L3580" t="str">
            <v>10-09-004-33W1</v>
          </cell>
          <cell r="O3580">
            <v>842.8</v>
          </cell>
          <cell r="Q3580">
            <v>0.89</v>
          </cell>
          <cell r="T3580">
            <v>78.563999999999993</v>
          </cell>
        </row>
        <row r="3581">
          <cell r="G3581">
            <v>42491</v>
          </cell>
          <cell r="L3581" t="str">
            <v>07-24-001-32W1</v>
          </cell>
          <cell r="O3581">
            <v>852.6</v>
          </cell>
          <cell r="Q3581">
            <v>1.6</v>
          </cell>
          <cell r="T3581">
            <v>88.988</v>
          </cell>
        </row>
        <row r="3582">
          <cell r="G3582">
            <v>42491</v>
          </cell>
          <cell r="L3582" t="str">
            <v>15-09-010-08W2</v>
          </cell>
          <cell r="O3582">
            <v>886.2</v>
          </cell>
          <cell r="Q3582">
            <v>2.5</v>
          </cell>
          <cell r="T3582">
            <v>101.712</v>
          </cell>
        </row>
        <row r="3583">
          <cell r="G3583">
            <v>42491</v>
          </cell>
          <cell r="L3583" t="str">
            <v>03-05-005-11W2</v>
          </cell>
          <cell r="O3583">
            <v>863.1</v>
          </cell>
          <cell r="Q3583">
            <v>1.68</v>
          </cell>
          <cell r="T3583">
            <v>103.86199999999999</v>
          </cell>
        </row>
        <row r="3584">
          <cell r="G3584">
            <v>42491</v>
          </cell>
          <cell r="L3584" t="str">
            <v>03-19-001-31W1</v>
          </cell>
          <cell r="O3584">
            <v>868.9</v>
          </cell>
          <cell r="Q3584">
            <v>1.61</v>
          </cell>
          <cell r="T3584">
            <v>99.108000000000004</v>
          </cell>
        </row>
        <row r="3585">
          <cell r="G3585">
            <v>42491</v>
          </cell>
          <cell r="L3585" t="str">
            <v>08-18-011-03W2</v>
          </cell>
          <cell r="O3585">
            <v>855.2</v>
          </cell>
          <cell r="Q3585">
            <v>1.87</v>
          </cell>
          <cell r="T3585">
            <v>104.30200000000001</v>
          </cell>
        </row>
        <row r="3586">
          <cell r="G3586">
            <v>42491</v>
          </cell>
          <cell r="L3586" t="str">
            <v>10-21-006-32W1</v>
          </cell>
          <cell r="O3586">
            <v>834.3</v>
          </cell>
          <cell r="Q3586">
            <v>0.78</v>
          </cell>
          <cell r="T3586">
            <v>105.018</v>
          </cell>
        </row>
        <row r="3587">
          <cell r="G3587">
            <v>42491</v>
          </cell>
          <cell r="L3587" t="str">
            <v>14-04-007-13W2</v>
          </cell>
          <cell r="O3587">
            <v>861</v>
          </cell>
          <cell r="Q3587">
            <v>1.79</v>
          </cell>
          <cell r="T3587">
            <v>126.602</v>
          </cell>
        </row>
        <row r="3588">
          <cell r="G3588">
            <v>42491</v>
          </cell>
          <cell r="L3588" t="str">
            <v>13-34-007-14W2</v>
          </cell>
          <cell r="O3588">
            <v>861.6</v>
          </cell>
          <cell r="Q3588">
            <v>2.08</v>
          </cell>
          <cell r="T3588">
            <v>131.90700000000001</v>
          </cell>
        </row>
        <row r="3589">
          <cell r="G3589">
            <v>42491</v>
          </cell>
          <cell r="L3589" t="str">
            <v>09-30-002-30W1</v>
          </cell>
          <cell r="O3589">
            <v>862.3</v>
          </cell>
          <cell r="Q3589">
            <v>1.72</v>
          </cell>
          <cell r="T3589">
            <v>124.748</v>
          </cell>
        </row>
        <row r="3590">
          <cell r="G3590">
            <v>42491</v>
          </cell>
          <cell r="L3590" t="str">
            <v>09-31-007-12W2</v>
          </cell>
          <cell r="O3590">
            <v>873.5</v>
          </cell>
          <cell r="Q3590">
            <v>2.31</v>
          </cell>
          <cell r="T3590">
            <v>137.13300000000001</v>
          </cell>
        </row>
        <row r="3591">
          <cell r="G3591">
            <v>42491</v>
          </cell>
          <cell r="L3591" t="str">
            <v>16-24-004-01W2</v>
          </cell>
          <cell r="O3591">
            <v>824.4</v>
          </cell>
          <cell r="Q3591">
            <v>0.6</v>
          </cell>
          <cell r="T3591">
            <v>129.65100000000001</v>
          </cell>
        </row>
        <row r="3592">
          <cell r="G3592">
            <v>42491</v>
          </cell>
          <cell r="L3592" t="str">
            <v>16-27-004-33W1</v>
          </cell>
          <cell r="O3592">
            <v>843.8</v>
          </cell>
          <cell r="Q3592">
            <v>0.73</v>
          </cell>
          <cell r="T3592">
            <v>133.26300000000001</v>
          </cell>
        </row>
        <row r="3593">
          <cell r="G3593">
            <v>42491</v>
          </cell>
          <cell r="L3593" t="str">
            <v>16-16-010-02W2</v>
          </cell>
          <cell r="O3593">
            <v>854.5</v>
          </cell>
          <cell r="Q3593">
            <v>1.72</v>
          </cell>
          <cell r="T3593">
            <v>144.53299999999999</v>
          </cell>
        </row>
        <row r="3594">
          <cell r="G3594">
            <v>42491</v>
          </cell>
          <cell r="L3594" t="str">
            <v>08-01-004-32W1</v>
          </cell>
          <cell r="O3594">
            <v>860.5</v>
          </cell>
          <cell r="Q3594">
            <v>1.62</v>
          </cell>
          <cell r="T3594">
            <v>145.119</v>
          </cell>
        </row>
        <row r="3595">
          <cell r="G3595">
            <v>42491</v>
          </cell>
          <cell r="L3595" t="str">
            <v>15-09-010-02W2</v>
          </cell>
          <cell r="O3595">
            <v>861.6</v>
          </cell>
          <cell r="Q3595">
            <v>1.85</v>
          </cell>
          <cell r="T3595">
            <v>149.12299999999999</v>
          </cell>
        </row>
        <row r="3596">
          <cell r="G3596">
            <v>42491</v>
          </cell>
          <cell r="L3596" t="str">
            <v>16-08-007-12W2</v>
          </cell>
          <cell r="O3596">
            <v>856.5</v>
          </cell>
          <cell r="Q3596">
            <v>2.0099999999999998</v>
          </cell>
          <cell r="T3596">
            <v>164.38200000000001</v>
          </cell>
        </row>
        <row r="3597">
          <cell r="G3597">
            <v>42491</v>
          </cell>
          <cell r="L3597" t="str">
            <v>03-13-006-33W1</v>
          </cell>
          <cell r="O3597">
            <v>832.7</v>
          </cell>
          <cell r="Q3597">
            <v>0.77</v>
          </cell>
          <cell r="T3597">
            <v>151.68600000000001</v>
          </cell>
        </row>
        <row r="3598">
          <cell r="G3598">
            <v>42491</v>
          </cell>
          <cell r="L3598" t="str">
            <v>04-15-008-33W1</v>
          </cell>
          <cell r="O3598">
            <v>847.4</v>
          </cell>
          <cell r="Q3598">
            <v>1.1599999999999999</v>
          </cell>
          <cell r="T3598">
            <v>161.399</v>
          </cell>
        </row>
        <row r="3599">
          <cell r="G3599">
            <v>42491</v>
          </cell>
          <cell r="L3599" t="str">
            <v>09-08-004-33W1</v>
          </cell>
          <cell r="O3599">
            <v>841</v>
          </cell>
          <cell r="Q3599">
            <v>1.55</v>
          </cell>
          <cell r="T3599">
            <v>174.36500000000001</v>
          </cell>
        </row>
        <row r="3600">
          <cell r="G3600">
            <v>42491</v>
          </cell>
          <cell r="L3600" t="str">
            <v>09-23-002-01W2</v>
          </cell>
          <cell r="O3600">
            <v>843.3</v>
          </cell>
          <cell r="Q3600">
            <v>0.98</v>
          </cell>
          <cell r="T3600">
            <v>177.86799999999999</v>
          </cell>
        </row>
        <row r="3601">
          <cell r="G3601">
            <v>42491</v>
          </cell>
          <cell r="L3601" t="str">
            <v>15-21-008-03W2</v>
          </cell>
          <cell r="O3601">
            <v>851.8</v>
          </cell>
          <cell r="Q3601">
            <v>1.47</v>
          </cell>
          <cell r="T3601">
            <v>179.56899999999999</v>
          </cell>
        </row>
        <row r="3602">
          <cell r="G3602">
            <v>42491</v>
          </cell>
          <cell r="L3602" t="str">
            <v>11-23-002-34W1</v>
          </cell>
          <cell r="O3602">
            <v>838.4</v>
          </cell>
          <cell r="Q3602">
            <v>1.63</v>
          </cell>
          <cell r="T3602">
            <v>191.76599999999999</v>
          </cell>
        </row>
        <row r="3603">
          <cell r="G3603">
            <v>42491</v>
          </cell>
          <cell r="L3603" t="str">
            <v>02-30-001-31W1</v>
          </cell>
          <cell r="O3603">
            <v>870.4</v>
          </cell>
          <cell r="Q3603">
            <v>1.64</v>
          </cell>
          <cell r="T3603">
            <v>211.06899999999999</v>
          </cell>
        </row>
        <row r="3604">
          <cell r="G3604">
            <v>42491</v>
          </cell>
          <cell r="L3604" t="str">
            <v>07-25-003-13W2</v>
          </cell>
          <cell r="O3604">
            <v>890</v>
          </cell>
          <cell r="Q3604">
            <v>2.4</v>
          </cell>
          <cell r="T3604">
            <v>243.327</v>
          </cell>
        </row>
        <row r="3605">
          <cell r="G3605">
            <v>42491</v>
          </cell>
          <cell r="L3605" t="str">
            <v>12-12-005-34W1</v>
          </cell>
          <cell r="O3605">
            <v>821.4</v>
          </cell>
          <cell r="Q3605">
            <v>0.59</v>
          </cell>
          <cell r="T3605">
            <v>224.72800000000001</v>
          </cell>
        </row>
        <row r="3606">
          <cell r="G3606">
            <v>42491</v>
          </cell>
          <cell r="L3606" t="str">
            <v>13-17-001-31W1</v>
          </cell>
          <cell r="O3606">
            <v>849.7</v>
          </cell>
          <cell r="Q3606">
            <v>1.62</v>
          </cell>
          <cell r="T3606">
            <v>229.12299999999999</v>
          </cell>
        </row>
        <row r="3607">
          <cell r="G3607">
            <v>42491</v>
          </cell>
          <cell r="L3607" t="str">
            <v>02-17-005-31W1</v>
          </cell>
          <cell r="O3607">
            <v>848.3</v>
          </cell>
          <cell r="Q3607">
            <v>1.41</v>
          </cell>
          <cell r="T3607">
            <v>228.77500000000001</v>
          </cell>
        </row>
        <row r="3608">
          <cell r="G3608">
            <v>42491</v>
          </cell>
          <cell r="L3608" t="str">
            <v>03-05-006-05W2</v>
          </cell>
          <cell r="O3608">
            <v>851.1</v>
          </cell>
          <cell r="Q3608">
            <v>1.01</v>
          </cell>
          <cell r="T3608">
            <v>244.86500000000001</v>
          </cell>
        </row>
        <row r="3609">
          <cell r="G3609">
            <v>42491</v>
          </cell>
          <cell r="L3609" t="str">
            <v>13-25-001-01W2</v>
          </cell>
          <cell r="O3609">
            <v>837.5</v>
          </cell>
          <cell r="Q3609">
            <v>1.59</v>
          </cell>
          <cell r="T3609">
            <v>234.07300000000001</v>
          </cell>
        </row>
        <row r="3610">
          <cell r="G3610">
            <v>42491</v>
          </cell>
          <cell r="L3610" t="str">
            <v>08-31-005-03W2</v>
          </cell>
          <cell r="O3610">
            <v>842.9</v>
          </cell>
          <cell r="Q3610">
            <v>1.07</v>
          </cell>
          <cell r="T3610">
            <v>235.48699999999999</v>
          </cell>
        </row>
        <row r="3611">
          <cell r="G3611">
            <v>42491</v>
          </cell>
          <cell r="L3611" t="str">
            <v>14-27-001-13W2</v>
          </cell>
          <cell r="O3611">
            <v>805.6</v>
          </cell>
          <cell r="Q3611">
            <v>0.11</v>
          </cell>
          <cell r="T3611">
            <v>3885.0210000000002</v>
          </cell>
        </row>
        <row r="3612">
          <cell r="G3612">
            <v>42491</v>
          </cell>
          <cell r="L3612" t="str">
            <v>14-33-006-14W2</v>
          </cell>
          <cell r="O3612">
            <v>847.6</v>
          </cell>
          <cell r="Q3612">
            <v>1.66</v>
          </cell>
          <cell r="T3612">
            <v>2459.0010000000002</v>
          </cell>
        </row>
        <row r="3613">
          <cell r="G3613">
            <v>42491</v>
          </cell>
          <cell r="L3613" t="str">
            <v>04-21-006-14W2</v>
          </cell>
          <cell r="O3613">
            <v>865.6</v>
          </cell>
          <cell r="Q3613">
            <v>2.09</v>
          </cell>
          <cell r="T3613">
            <v>1580.521</v>
          </cell>
        </row>
        <row r="3614">
          <cell r="G3614">
            <v>42491</v>
          </cell>
          <cell r="L3614" t="str">
            <v>07-02-007-11W2</v>
          </cell>
          <cell r="O3614">
            <v>859.1</v>
          </cell>
          <cell r="Q3614">
            <v>1.04</v>
          </cell>
          <cell r="T3614">
            <v>1227.0250000000001</v>
          </cell>
        </row>
        <row r="3615">
          <cell r="G3615">
            <v>42491</v>
          </cell>
          <cell r="L3615" t="str">
            <v>01-22-006-14W2</v>
          </cell>
          <cell r="O3615">
            <v>864</v>
          </cell>
          <cell r="Q3615">
            <v>2.14</v>
          </cell>
          <cell r="T3615">
            <v>989.56600000000003</v>
          </cell>
        </row>
        <row r="3616">
          <cell r="G3616">
            <v>42491</v>
          </cell>
          <cell r="L3616" t="str">
            <v>03-06-005-12W2</v>
          </cell>
          <cell r="O3616">
            <v>881.6</v>
          </cell>
          <cell r="Q3616">
            <v>2.25</v>
          </cell>
          <cell r="T3616">
            <v>479.81299999999999</v>
          </cell>
        </row>
        <row r="3617">
          <cell r="G3617">
            <v>42491</v>
          </cell>
          <cell r="L3617" t="str">
            <v>01-03-008-13W2</v>
          </cell>
          <cell r="O3617">
            <v>853.2</v>
          </cell>
          <cell r="Q3617">
            <v>2.0299999999999998</v>
          </cell>
          <cell r="T3617">
            <v>449.71</v>
          </cell>
        </row>
        <row r="3618">
          <cell r="G3618">
            <v>42491</v>
          </cell>
          <cell r="L3618" t="str">
            <v>02-18-007-13W2</v>
          </cell>
          <cell r="O3618">
            <v>857.4</v>
          </cell>
          <cell r="Q3618">
            <v>1.9</v>
          </cell>
          <cell r="T3618">
            <v>448.33499999999998</v>
          </cell>
        </row>
        <row r="3619">
          <cell r="G3619">
            <v>42491</v>
          </cell>
          <cell r="L3619" t="str">
            <v>04-11-007-13W2</v>
          </cell>
          <cell r="O3619">
            <v>853.6</v>
          </cell>
          <cell r="Q3619">
            <v>1.97</v>
          </cell>
          <cell r="T3619">
            <v>371.71800000000002</v>
          </cell>
        </row>
        <row r="3620">
          <cell r="G3620">
            <v>42491</v>
          </cell>
          <cell r="L3620" t="str">
            <v>03-21-001-16W2</v>
          </cell>
          <cell r="O3620">
            <v>863</v>
          </cell>
          <cell r="Q3620">
            <v>0.89</v>
          </cell>
          <cell r="T3620">
            <v>356.62200000000001</v>
          </cell>
        </row>
        <row r="3621">
          <cell r="G3621">
            <v>42491</v>
          </cell>
          <cell r="L3621" t="str">
            <v>15-30-007-12W2</v>
          </cell>
          <cell r="O3621">
            <v>871.8</v>
          </cell>
          <cell r="Q3621">
            <v>2.36</v>
          </cell>
          <cell r="T3621">
            <v>342.54399999999998</v>
          </cell>
        </row>
        <row r="3622">
          <cell r="G3622">
            <v>42491</v>
          </cell>
          <cell r="L3622" t="str">
            <v>10-22-006-14W2</v>
          </cell>
          <cell r="O3622">
            <v>847.8</v>
          </cell>
          <cell r="Q3622">
            <v>1.69</v>
          </cell>
          <cell r="T3622">
            <v>300.92200000000003</v>
          </cell>
        </row>
        <row r="3623">
          <cell r="G3623">
            <v>42491</v>
          </cell>
          <cell r="L3623" t="str">
            <v>01-24-007-05W2</v>
          </cell>
          <cell r="O3623">
            <v>846.9</v>
          </cell>
          <cell r="Q3623">
            <v>1.31</v>
          </cell>
          <cell r="T3623">
            <v>244.458</v>
          </cell>
        </row>
        <row r="3624">
          <cell r="G3624">
            <v>42491</v>
          </cell>
          <cell r="L3624" t="str">
            <v>01-21-001-14W2</v>
          </cell>
          <cell r="O3624">
            <v>807.2</v>
          </cell>
          <cell r="Q3624">
            <v>0.15</v>
          </cell>
          <cell r="T3624">
            <v>34144.245999999999</v>
          </cell>
        </row>
        <row r="3625">
          <cell r="G3625">
            <v>42491</v>
          </cell>
          <cell r="L3625" t="str">
            <v>07-12-006-11W2</v>
          </cell>
          <cell r="O3625">
            <v>877.5</v>
          </cell>
          <cell r="Q3625">
            <v>2.0099999999999998</v>
          </cell>
          <cell r="T3625">
            <v>23264.974999999999</v>
          </cell>
        </row>
        <row r="3626">
          <cell r="G3626">
            <v>42491</v>
          </cell>
          <cell r="L3626" t="str">
            <v>09-13-007-11W2</v>
          </cell>
          <cell r="O3626">
            <v>811.6</v>
          </cell>
          <cell r="Q3626">
            <v>0.37</v>
          </cell>
          <cell r="T3626">
            <v>20402.616999999998</v>
          </cell>
        </row>
        <row r="3627">
          <cell r="G3627">
            <v>42491</v>
          </cell>
          <cell r="L3627" t="str">
            <v>13-30-007-10W2</v>
          </cell>
          <cell r="O3627">
            <v>819.5</v>
          </cell>
          <cell r="Q3627">
            <v>0.56000000000000005</v>
          </cell>
          <cell r="T3627">
            <v>12619.412</v>
          </cell>
        </row>
        <row r="3628">
          <cell r="G3628">
            <v>42491</v>
          </cell>
          <cell r="L3628" t="str">
            <v>08-31-004-18W2</v>
          </cell>
          <cell r="O3628">
            <v>858.9</v>
          </cell>
          <cell r="Q3628">
            <v>1.81</v>
          </cell>
          <cell r="T3628">
            <v>8116.5290000000005</v>
          </cell>
        </row>
        <row r="3629">
          <cell r="G3629">
            <v>42491</v>
          </cell>
          <cell r="L3629" t="str">
            <v>01-28-002-14W2</v>
          </cell>
          <cell r="O3629">
            <v>839.8</v>
          </cell>
          <cell r="Q3629">
            <v>1.4</v>
          </cell>
          <cell r="T3629">
            <v>5988.0969999999998</v>
          </cell>
        </row>
        <row r="3630">
          <cell r="G3630">
            <v>42491</v>
          </cell>
          <cell r="L3630" t="str">
            <v>05-31-003-16W2</v>
          </cell>
          <cell r="O3630">
            <v>894.2</v>
          </cell>
          <cell r="Q3630">
            <v>2.83</v>
          </cell>
          <cell r="T3630">
            <v>4446.1570000000002</v>
          </cell>
        </row>
        <row r="3631">
          <cell r="G3631">
            <v>42491</v>
          </cell>
          <cell r="L3631" t="str">
            <v>04-05-002-15W2</v>
          </cell>
          <cell r="O3631">
            <v>878.1</v>
          </cell>
          <cell r="Q3631">
            <v>2.0099999999999998</v>
          </cell>
          <cell r="T3631">
            <v>4218.1779999999999</v>
          </cell>
        </row>
        <row r="3632">
          <cell r="G3632">
            <v>42491</v>
          </cell>
          <cell r="L3632" t="str">
            <v>11-02-005-12W2</v>
          </cell>
          <cell r="O3632">
            <v>832.9</v>
          </cell>
          <cell r="Q3632">
            <v>1.44</v>
          </cell>
          <cell r="T3632">
            <v>3381.45</v>
          </cell>
        </row>
        <row r="3633">
          <cell r="G3633">
            <v>42491</v>
          </cell>
          <cell r="L3633" t="str">
            <v>05-18-004-17W2</v>
          </cell>
          <cell r="O3633">
            <v>863.4</v>
          </cell>
          <cell r="Q3633">
            <v>2.09</v>
          </cell>
          <cell r="T3633">
            <v>2281.415</v>
          </cell>
        </row>
        <row r="3634">
          <cell r="G3634">
            <v>42491</v>
          </cell>
          <cell r="L3634" t="str">
            <v>06-03-001-16W2</v>
          </cell>
          <cell r="O3634">
            <v>868.7</v>
          </cell>
          <cell r="Q3634">
            <v>1.1000000000000001</v>
          </cell>
          <cell r="T3634">
            <v>2261.2640000000001</v>
          </cell>
        </row>
        <row r="3635">
          <cell r="G3635">
            <v>42491</v>
          </cell>
          <cell r="L3635" t="str">
            <v>11-04-005-12W2</v>
          </cell>
          <cell r="O3635">
            <v>876.5</v>
          </cell>
          <cell r="Q3635">
            <v>2</v>
          </cell>
          <cell r="T3635">
            <v>1629.32</v>
          </cell>
        </row>
        <row r="3636">
          <cell r="G3636">
            <v>42491</v>
          </cell>
          <cell r="L3636" t="str">
            <v>13-02-007-14W2</v>
          </cell>
          <cell r="O3636">
            <v>850.4</v>
          </cell>
          <cell r="Q3636">
            <v>1.79</v>
          </cell>
          <cell r="T3636">
            <v>1503.538</v>
          </cell>
        </row>
        <row r="3637">
          <cell r="G3637">
            <v>42491</v>
          </cell>
          <cell r="L3637" t="str">
            <v>15-32-004-12W2</v>
          </cell>
          <cell r="O3637">
            <v>881.9</v>
          </cell>
          <cell r="Q3637">
            <v>2.12</v>
          </cell>
          <cell r="T3637">
            <v>1501.1679999999999</v>
          </cell>
        </row>
        <row r="3638">
          <cell r="G3638">
            <v>42491</v>
          </cell>
          <cell r="L3638" t="str">
            <v>15-25-007-11W2</v>
          </cell>
          <cell r="O3638">
            <v>868.7</v>
          </cell>
          <cell r="Q3638">
            <v>1.94</v>
          </cell>
          <cell r="T3638">
            <v>1471.8820000000001</v>
          </cell>
        </row>
        <row r="3639">
          <cell r="G3639">
            <v>42491</v>
          </cell>
          <cell r="L3639" t="str">
            <v>16-23-006-11W2</v>
          </cell>
          <cell r="O3639">
            <v>881</v>
          </cell>
          <cell r="Q3639">
            <v>2.2999999999999998</v>
          </cell>
          <cell r="T3639">
            <v>1353.0809999999999</v>
          </cell>
        </row>
        <row r="3640">
          <cell r="G3640">
            <v>42491</v>
          </cell>
          <cell r="L3640" t="str">
            <v>15-33-006-14W2</v>
          </cell>
          <cell r="O3640">
            <v>847.9</v>
          </cell>
          <cell r="Q3640">
            <v>1.66</v>
          </cell>
          <cell r="T3640">
            <v>1227.0319999999999</v>
          </cell>
        </row>
        <row r="3641">
          <cell r="G3641">
            <v>42491</v>
          </cell>
          <cell r="L3641" t="str">
            <v>12-25-004-19W2</v>
          </cell>
          <cell r="O3641">
            <v>870.7</v>
          </cell>
          <cell r="Q3641">
            <v>2.3199999999999998</v>
          </cell>
          <cell r="T3641">
            <v>892.34</v>
          </cell>
        </row>
        <row r="3642">
          <cell r="G3642">
            <v>42491</v>
          </cell>
          <cell r="L3642" t="str">
            <v>11-26-002-19W2</v>
          </cell>
          <cell r="O3642">
            <v>866</v>
          </cell>
          <cell r="Q3642">
            <v>2.0499999999999998</v>
          </cell>
          <cell r="T3642">
            <v>834.601</v>
          </cell>
        </row>
        <row r="3643">
          <cell r="G3643">
            <v>42491</v>
          </cell>
          <cell r="L3643" t="str">
            <v>02-29-001-17W2</v>
          </cell>
          <cell r="O3643">
            <v>854.6</v>
          </cell>
          <cell r="Q3643">
            <v>2.21</v>
          </cell>
          <cell r="T3643">
            <v>718.77800000000002</v>
          </cell>
        </row>
        <row r="3644">
          <cell r="G3644">
            <v>42491</v>
          </cell>
          <cell r="L3644" t="str">
            <v>05-35-006-11W2</v>
          </cell>
          <cell r="O3644">
            <v>809.1</v>
          </cell>
          <cell r="Q3644">
            <v>0.1</v>
          </cell>
          <cell r="T3644">
            <v>574.26199999999994</v>
          </cell>
        </row>
        <row r="3645">
          <cell r="G3645">
            <v>42491</v>
          </cell>
          <cell r="L3645" t="str">
            <v>09-28-001-15W2</v>
          </cell>
          <cell r="O3645">
            <v>864.3</v>
          </cell>
          <cell r="Q3645">
            <v>1.25</v>
          </cell>
          <cell r="T3645">
            <v>416.40800000000002</v>
          </cell>
        </row>
        <row r="3646">
          <cell r="G3646">
            <v>42491</v>
          </cell>
          <cell r="L3646" t="str">
            <v>03-12-002-19W2</v>
          </cell>
          <cell r="O3646">
            <v>864.3</v>
          </cell>
          <cell r="Q3646">
            <v>2.39</v>
          </cell>
          <cell r="T3646">
            <v>307.625</v>
          </cell>
        </row>
        <row r="3647">
          <cell r="G3647">
            <v>42491</v>
          </cell>
          <cell r="L3647" t="str">
            <v>05-01-001-32W1</v>
          </cell>
          <cell r="O3647">
            <v>870.2</v>
          </cell>
          <cell r="Q3647">
            <v>1.62</v>
          </cell>
          <cell r="T3647">
            <v>259.66199999999998</v>
          </cell>
        </row>
        <row r="3648">
          <cell r="G3648">
            <v>42491</v>
          </cell>
          <cell r="L3648" t="str">
            <v>13-14-009-09W2</v>
          </cell>
          <cell r="O3648">
            <v>886.5</v>
          </cell>
          <cell r="Q3648">
            <v>2.46</v>
          </cell>
          <cell r="T3648">
            <v>301.27699999999999</v>
          </cell>
        </row>
        <row r="3649">
          <cell r="G3649">
            <v>42491</v>
          </cell>
          <cell r="L3649" t="str">
            <v>09-18-007-04W2</v>
          </cell>
          <cell r="O3649">
            <v>858</v>
          </cell>
          <cell r="Q3649">
            <v>1.44</v>
          </cell>
          <cell r="T3649">
            <v>265</v>
          </cell>
        </row>
        <row r="3650">
          <cell r="G3650">
            <v>42491</v>
          </cell>
          <cell r="L3650" t="str">
            <v>08-31-009-01W2</v>
          </cell>
          <cell r="O3650">
            <v>858.9</v>
          </cell>
          <cell r="Q3650">
            <v>1.78</v>
          </cell>
          <cell r="T3650">
            <v>265.04700000000003</v>
          </cell>
        </row>
        <row r="3651">
          <cell r="G3651">
            <v>42491</v>
          </cell>
          <cell r="L3651" t="str">
            <v>11-20-007-05W2</v>
          </cell>
          <cell r="O3651">
            <v>858.3</v>
          </cell>
          <cell r="Q3651">
            <v>1.57</v>
          </cell>
          <cell r="T3651">
            <v>272.81599999999997</v>
          </cell>
        </row>
        <row r="3652">
          <cell r="G3652">
            <v>42491</v>
          </cell>
          <cell r="L3652" t="str">
            <v>01-07-006-10W2</v>
          </cell>
          <cell r="O3652">
            <v>816.1</v>
          </cell>
          <cell r="Q3652">
            <v>1.6</v>
          </cell>
          <cell r="T3652">
            <v>65106.546000000002</v>
          </cell>
        </row>
        <row r="3653">
          <cell r="G3653">
            <v>42491</v>
          </cell>
          <cell r="L3653" t="str">
            <v>07-36-001-34W1</v>
          </cell>
          <cell r="O3653">
            <v>854.2</v>
          </cell>
          <cell r="Q3653">
            <v>1.61</v>
          </cell>
          <cell r="T3653">
            <v>270.66000000000003</v>
          </cell>
        </row>
        <row r="3654">
          <cell r="G3654">
            <v>42491</v>
          </cell>
          <cell r="L3654" t="str">
            <v>14-18-001-04W2</v>
          </cell>
          <cell r="O3654">
            <v>825</v>
          </cell>
          <cell r="Q3654">
            <v>0.5</v>
          </cell>
          <cell r="T3654">
            <v>310.21100000000001</v>
          </cell>
        </row>
        <row r="3655">
          <cell r="G3655">
            <v>42491</v>
          </cell>
          <cell r="L3655" t="str">
            <v>07-23-006-02W2</v>
          </cell>
          <cell r="O3655">
            <v>850.1</v>
          </cell>
          <cell r="Q3655">
            <v>1.1299999999999999</v>
          </cell>
          <cell r="T3655">
            <v>281.19799999999998</v>
          </cell>
        </row>
        <row r="3656">
          <cell r="G3656">
            <v>42491</v>
          </cell>
          <cell r="L3656" t="str">
            <v>03-33-008-06W2</v>
          </cell>
          <cell r="O3656">
            <v>817.1</v>
          </cell>
          <cell r="Q3656">
            <v>0.26</v>
          </cell>
          <cell r="T3656">
            <v>16126.073</v>
          </cell>
        </row>
        <row r="3657">
          <cell r="G3657">
            <v>42491</v>
          </cell>
          <cell r="L3657" t="str">
            <v>12-06-009-07W2</v>
          </cell>
          <cell r="O3657">
            <v>810.5</v>
          </cell>
          <cell r="Q3657">
            <v>0.19</v>
          </cell>
          <cell r="T3657">
            <v>11957.736999999999</v>
          </cell>
        </row>
        <row r="3658">
          <cell r="G3658">
            <v>42491</v>
          </cell>
          <cell r="L3658" t="str">
            <v>02-26-009-09W2</v>
          </cell>
          <cell r="O3658">
            <v>811.1</v>
          </cell>
          <cell r="Q3658">
            <v>0.17</v>
          </cell>
          <cell r="T3658">
            <v>8886.0290000000005</v>
          </cell>
        </row>
        <row r="3659">
          <cell r="G3659">
            <v>42491</v>
          </cell>
          <cell r="L3659" t="str">
            <v>04-18-009-06W2</v>
          </cell>
          <cell r="O3659">
            <v>832.5</v>
          </cell>
          <cell r="Q3659">
            <v>0.85</v>
          </cell>
          <cell r="T3659">
            <v>1388.26</v>
          </cell>
        </row>
        <row r="3660">
          <cell r="G3660">
            <v>42491</v>
          </cell>
          <cell r="L3660" t="str">
            <v>09-10-009-06W2</v>
          </cell>
          <cell r="O3660">
            <v>855.6</v>
          </cell>
          <cell r="Q3660">
            <v>1.66</v>
          </cell>
          <cell r="T3660">
            <v>1325.6510000000001</v>
          </cell>
        </row>
        <row r="3661">
          <cell r="G3661">
            <v>42491</v>
          </cell>
          <cell r="L3661" t="str">
            <v>05-31-009-07W2</v>
          </cell>
          <cell r="O3661">
            <v>881</v>
          </cell>
          <cell r="Q3661">
            <v>2.35</v>
          </cell>
          <cell r="T3661">
            <v>658.21100000000001</v>
          </cell>
        </row>
        <row r="3662">
          <cell r="G3662">
            <v>42491</v>
          </cell>
          <cell r="L3662" t="str">
            <v>09-26-007-09W2</v>
          </cell>
          <cell r="O3662">
            <v>814.8</v>
          </cell>
          <cell r="Q3662">
            <v>0.36</v>
          </cell>
          <cell r="T3662">
            <v>498.05200000000002</v>
          </cell>
        </row>
        <row r="3663">
          <cell r="G3663">
            <v>42491</v>
          </cell>
          <cell r="L3663" t="str">
            <v>04-08-008-08W2</v>
          </cell>
          <cell r="O3663">
            <v>803.2</v>
          </cell>
          <cell r="Q3663">
            <v>0.21</v>
          </cell>
          <cell r="T3663">
            <v>57057.805</v>
          </cell>
        </row>
        <row r="3664">
          <cell r="G3664">
            <v>42491</v>
          </cell>
          <cell r="L3664" t="str">
            <v>09-14-009-08W2</v>
          </cell>
          <cell r="O3664">
            <v>803.1</v>
          </cell>
          <cell r="Q3664">
            <v>0.14000000000000001</v>
          </cell>
          <cell r="T3664">
            <v>45143.608</v>
          </cell>
        </row>
        <row r="3665">
          <cell r="G3665">
            <v>42491</v>
          </cell>
          <cell r="L3665" t="str">
            <v>13-29-008-07W2</v>
          </cell>
          <cell r="O3665">
            <v>801.2</v>
          </cell>
          <cell r="Q3665">
            <v>0.15</v>
          </cell>
          <cell r="T3665">
            <v>21322.589</v>
          </cell>
        </row>
        <row r="3666">
          <cell r="G3666">
            <v>42491</v>
          </cell>
          <cell r="L3666" t="str">
            <v>11-15-007-09W2</v>
          </cell>
          <cell r="O3666">
            <v>813.7</v>
          </cell>
          <cell r="Q3666">
            <v>0.21</v>
          </cell>
          <cell r="T3666">
            <v>6943.06</v>
          </cell>
        </row>
        <row r="3667">
          <cell r="G3667">
            <v>42491</v>
          </cell>
          <cell r="L3667" t="str">
            <v>13-18-010-06W2</v>
          </cell>
          <cell r="O3667">
            <v>832.7</v>
          </cell>
          <cell r="Q3667">
            <v>0.69</v>
          </cell>
          <cell r="T3667">
            <v>3711.8159999999998</v>
          </cell>
        </row>
        <row r="3668">
          <cell r="G3668">
            <v>42491</v>
          </cell>
          <cell r="L3668" t="str">
            <v>09-20-008-08W2</v>
          </cell>
          <cell r="O3668">
            <v>818.9</v>
          </cell>
          <cell r="Q3668">
            <v>0.59</v>
          </cell>
          <cell r="T3668">
            <v>2939.0239999999999</v>
          </cell>
        </row>
        <row r="3669">
          <cell r="G3669">
            <v>42491</v>
          </cell>
          <cell r="L3669" t="str">
            <v>05-13-009-06W2</v>
          </cell>
          <cell r="O3669">
            <v>849.6</v>
          </cell>
          <cell r="Q3669">
            <v>1.5</v>
          </cell>
          <cell r="T3669">
            <v>1944.0519999999999</v>
          </cell>
        </row>
        <row r="3670">
          <cell r="G3670">
            <v>42491</v>
          </cell>
          <cell r="L3670" t="str">
            <v>15-23-006-08W2</v>
          </cell>
          <cell r="O3670">
            <v>863.3</v>
          </cell>
          <cell r="Q3670">
            <v>1.79</v>
          </cell>
          <cell r="T3670">
            <v>1796.0050000000001</v>
          </cell>
        </row>
        <row r="3671">
          <cell r="G3671">
            <v>42491</v>
          </cell>
          <cell r="L3671" t="str">
            <v>03-17-011-06W2</v>
          </cell>
          <cell r="O3671">
            <v>883.8</v>
          </cell>
          <cell r="Q3671">
            <v>2.59</v>
          </cell>
          <cell r="T3671">
            <v>1786.9179999999999</v>
          </cell>
        </row>
        <row r="3672">
          <cell r="G3672">
            <v>42491</v>
          </cell>
          <cell r="L3672" t="str">
            <v>03-06-011-07W2</v>
          </cell>
          <cell r="O3672">
            <v>886.5</v>
          </cell>
          <cell r="Q3672">
            <v>1.55</v>
          </cell>
          <cell r="T3672">
            <v>1528.902</v>
          </cell>
        </row>
        <row r="3673">
          <cell r="G3673">
            <v>42491</v>
          </cell>
          <cell r="L3673" t="str">
            <v>07-04-010-08W2</v>
          </cell>
          <cell r="O3673">
            <v>879.7</v>
          </cell>
          <cell r="Q3673">
            <v>2.44</v>
          </cell>
          <cell r="T3673">
            <v>1446.896</v>
          </cell>
        </row>
        <row r="3674">
          <cell r="G3674">
            <v>42491</v>
          </cell>
          <cell r="L3674" t="str">
            <v>05-13-008-06W2</v>
          </cell>
          <cell r="O3674">
            <v>822.4</v>
          </cell>
          <cell r="Q3674">
            <v>0.49</v>
          </cell>
          <cell r="T3674">
            <v>1367.2919999999999</v>
          </cell>
        </row>
        <row r="3675">
          <cell r="G3675">
            <v>42491</v>
          </cell>
          <cell r="L3675" t="str">
            <v>13-07-010-09W2</v>
          </cell>
          <cell r="O3675">
            <v>811.6</v>
          </cell>
          <cell r="Q3675">
            <v>0.31</v>
          </cell>
          <cell r="T3675">
            <v>1352.1189999999999</v>
          </cell>
        </row>
        <row r="3676">
          <cell r="G3676">
            <v>42491</v>
          </cell>
          <cell r="L3676" t="str">
            <v>01-26-006-09W2</v>
          </cell>
          <cell r="O3676">
            <v>885</v>
          </cell>
          <cell r="Q3676">
            <v>2.2999999999999998</v>
          </cell>
          <cell r="T3676">
            <v>1181.433</v>
          </cell>
        </row>
        <row r="3677">
          <cell r="G3677">
            <v>42491</v>
          </cell>
          <cell r="L3677" t="str">
            <v>03-15-012-06W2</v>
          </cell>
          <cell r="O3677">
            <v>886.6</v>
          </cell>
          <cell r="Q3677">
            <v>2.6</v>
          </cell>
          <cell r="T3677">
            <v>1168.145</v>
          </cell>
        </row>
        <row r="3678">
          <cell r="G3678">
            <v>42491</v>
          </cell>
          <cell r="L3678" t="str">
            <v>07-28-007-08W2</v>
          </cell>
          <cell r="O3678">
            <v>844.4</v>
          </cell>
          <cell r="Q3678">
            <v>1.39</v>
          </cell>
          <cell r="T3678">
            <v>913.88599999999997</v>
          </cell>
        </row>
        <row r="3679">
          <cell r="G3679">
            <v>42491</v>
          </cell>
          <cell r="L3679" t="str">
            <v>09-06-010-07W2</v>
          </cell>
          <cell r="O3679">
            <v>884.1</v>
          </cell>
          <cell r="Q3679">
            <v>2.4500000000000002</v>
          </cell>
          <cell r="T3679">
            <v>768.60799999999995</v>
          </cell>
        </row>
        <row r="3680">
          <cell r="G3680">
            <v>42491</v>
          </cell>
          <cell r="L3680" t="str">
            <v>01-22-010-07W2</v>
          </cell>
          <cell r="O3680">
            <v>884.3</v>
          </cell>
          <cell r="Q3680">
            <v>2.5099999999999998</v>
          </cell>
          <cell r="T3680">
            <v>728.27200000000005</v>
          </cell>
        </row>
        <row r="3681">
          <cell r="G3681">
            <v>42491</v>
          </cell>
          <cell r="L3681" t="str">
            <v>01-04-007-09W2</v>
          </cell>
          <cell r="O3681">
            <v>813.1</v>
          </cell>
          <cell r="Q3681">
            <v>0.17</v>
          </cell>
          <cell r="T3681">
            <v>703.84500000000003</v>
          </cell>
        </row>
        <row r="3682">
          <cell r="G3682">
            <v>42491</v>
          </cell>
          <cell r="L3682" t="str">
            <v>09-11-010-08W2</v>
          </cell>
          <cell r="O3682">
            <v>882.2</v>
          </cell>
          <cell r="Q3682">
            <v>2.4700000000000002</v>
          </cell>
          <cell r="T3682">
            <v>685.56299999999999</v>
          </cell>
        </row>
        <row r="3683">
          <cell r="G3683">
            <v>42491</v>
          </cell>
          <cell r="L3683" t="str">
            <v>16-35-009-09W2</v>
          </cell>
          <cell r="O3683">
            <v>882.5</v>
          </cell>
          <cell r="Q3683">
            <v>2.46</v>
          </cell>
          <cell r="T3683">
            <v>661.34299999999996</v>
          </cell>
        </row>
        <row r="3684">
          <cell r="G3684">
            <v>42491</v>
          </cell>
          <cell r="L3684" t="str">
            <v>03-23-001-32W1</v>
          </cell>
          <cell r="O3684">
            <v>854.1</v>
          </cell>
          <cell r="Q3684">
            <v>1.65</v>
          </cell>
          <cell r="T3684">
            <v>332.59500000000003</v>
          </cell>
        </row>
        <row r="3685">
          <cell r="G3685">
            <v>42491</v>
          </cell>
          <cell r="L3685" t="str">
            <v>05-31-002-01W2</v>
          </cell>
          <cell r="O3685">
            <v>819.1</v>
          </cell>
          <cell r="Q3685">
            <v>0.47</v>
          </cell>
          <cell r="T3685">
            <v>8301.9940000000006</v>
          </cell>
        </row>
        <row r="3686">
          <cell r="G3686">
            <v>42491</v>
          </cell>
          <cell r="L3686" t="str">
            <v>13-03-006-34W1</v>
          </cell>
          <cell r="O3686">
            <v>846.1</v>
          </cell>
          <cell r="Q3686">
            <v>1.1599999999999999</v>
          </cell>
          <cell r="T3686">
            <v>5744.3590000000004</v>
          </cell>
        </row>
        <row r="3687">
          <cell r="G3687">
            <v>42491</v>
          </cell>
          <cell r="L3687" t="str">
            <v>16-12-004-31W1</v>
          </cell>
          <cell r="O3687">
            <v>860.7</v>
          </cell>
          <cell r="Q3687">
            <v>1.7</v>
          </cell>
          <cell r="T3687">
            <v>4654.12</v>
          </cell>
        </row>
        <row r="3688">
          <cell r="G3688">
            <v>42491</v>
          </cell>
          <cell r="L3688" t="str">
            <v>11-30-005-03W2</v>
          </cell>
          <cell r="O3688">
            <v>857.2</v>
          </cell>
          <cell r="Q3688">
            <v>1.36</v>
          </cell>
          <cell r="T3688">
            <v>4522.3310000000001</v>
          </cell>
        </row>
        <row r="3689">
          <cell r="G3689">
            <v>42491</v>
          </cell>
          <cell r="L3689" t="str">
            <v>03-03-002-32W1</v>
          </cell>
          <cell r="O3689">
            <v>825</v>
          </cell>
          <cell r="Q3689">
            <v>0.9</v>
          </cell>
          <cell r="T3689">
            <v>3966.6509999999998</v>
          </cell>
        </row>
        <row r="3690">
          <cell r="G3690">
            <v>42491</v>
          </cell>
          <cell r="L3690" t="str">
            <v>07-28-002-30W1</v>
          </cell>
          <cell r="O3690">
            <v>882.8</v>
          </cell>
          <cell r="Q3690">
            <v>2.41</v>
          </cell>
          <cell r="T3690">
            <v>2795.5430000000001</v>
          </cell>
        </row>
        <row r="3691">
          <cell r="G3691">
            <v>42491</v>
          </cell>
          <cell r="L3691" t="str">
            <v>04-27-003-33W1</v>
          </cell>
          <cell r="O3691">
            <v>845.1</v>
          </cell>
          <cell r="Q3691">
            <v>1.1299999999999999</v>
          </cell>
          <cell r="T3691">
            <v>2674.0309999999999</v>
          </cell>
        </row>
        <row r="3692">
          <cell r="G3692">
            <v>42491</v>
          </cell>
          <cell r="L3692" t="str">
            <v>16-24-001-34W1</v>
          </cell>
          <cell r="O3692">
            <v>861.4</v>
          </cell>
          <cell r="Q3692">
            <v>1.62</v>
          </cell>
          <cell r="T3692">
            <v>2483.4490000000001</v>
          </cell>
        </row>
        <row r="3693">
          <cell r="G3693">
            <v>42491</v>
          </cell>
          <cell r="L3693" t="str">
            <v>09-28-006-34W1</v>
          </cell>
          <cell r="O3693">
            <v>842.3</v>
          </cell>
          <cell r="Q3693">
            <v>1.22</v>
          </cell>
          <cell r="T3693">
            <v>2478.4569999999999</v>
          </cell>
        </row>
        <row r="3694">
          <cell r="G3694">
            <v>42491</v>
          </cell>
          <cell r="L3694" t="str">
            <v>05-03-009-33W1</v>
          </cell>
          <cell r="O3694">
            <v>848.6</v>
          </cell>
          <cell r="Q3694">
            <v>1.32</v>
          </cell>
          <cell r="T3694">
            <v>2378.6089999999999</v>
          </cell>
        </row>
        <row r="3695">
          <cell r="G3695">
            <v>42491</v>
          </cell>
          <cell r="L3695" t="str">
            <v>04-14-005-33W1</v>
          </cell>
          <cell r="O3695">
            <v>858.9</v>
          </cell>
          <cell r="Q3695">
            <v>0.8</v>
          </cell>
          <cell r="T3695">
            <v>2129.64</v>
          </cell>
        </row>
        <row r="3696">
          <cell r="G3696">
            <v>42491</v>
          </cell>
          <cell r="L3696" t="str">
            <v>04-22-009-33W1</v>
          </cell>
          <cell r="O3696">
            <v>851.3</v>
          </cell>
          <cell r="Q3696">
            <v>1.4</v>
          </cell>
          <cell r="T3696">
            <v>2063.598</v>
          </cell>
        </row>
        <row r="3697">
          <cell r="G3697">
            <v>42491</v>
          </cell>
          <cell r="L3697" t="str">
            <v>14-30-009-33W1</v>
          </cell>
          <cell r="O3697">
            <v>855.3</v>
          </cell>
          <cell r="Q3697">
            <v>1.72</v>
          </cell>
          <cell r="T3697">
            <v>1477.146</v>
          </cell>
        </row>
        <row r="3698">
          <cell r="G3698">
            <v>42491</v>
          </cell>
          <cell r="L3698" t="str">
            <v>10-11-006-34W1</v>
          </cell>
          <cell r="O3698">
            <v>852.9</v>
          </cell>
          <cell r="Q3698">
            <v>1.48</v>
          </cell>
          <cell r="T3698">
            <v>1476.3340000000001</v>
          </cell>
        </row>
        <row r="3699">
          <cell r="G3699">
            <v>42491</v>
          </cell>
          <cell r="L3699" t="str">
            <v>04-17-004-31W1</v>
          </cell>
          <cell r="O3699">
            <v>862.5</v>
          </cell>
          <cell r="Q3699">
            <v>1.74</v>
          </cell>
          <cell r="T3699">
            <v>1413.011</v>
          </cell>
        </row>
        <row r="3700">
          <cell r="G3700">
            <v>42491</v>
          </cell>
          <cell r="L3700" t="str">
            <v>09-27-006-05W2</v>
          </cell>
          <cell r="O3700">
            <v>873.3</v>
          </cell>
          <cell r="Q3700">
            <v>2.15</v>
          </cell>
          <cell r="T3700">
            <v>1308.9929999999999</v>
          </cell>
        </row>
        <row r="3701">
          <cell r="G3701">
            <v>42491</v>
          </cell>
          <cell r="L3701" t="str">
            <v>08-05-006-33W1</v>
          </cell>
          <cell r="O3701">
            <v>832</v>
          </cell>
          <cell r="Q3701">
            <v>0.84</v>
          </cell>
          <cell r="T3701">
            <v>1219.549</v>
          </cell>
        </row>
        <row r="3702">
          <cell r="G3702">
            <v>42491</v>
          </cell>
          <cell r="L3702" t="str">
            <v>09-27-008-03W2</v>
          </cell>
          <cell r="O3702">
            <v>853.3</v>
          </cell>
          <cell r="Q3702">
            <v>1.55</v>
          </cell>
          <cell r="T3702">
            <v>1217.059</v>
          </cell>
        </row>
        <row r="3703">
          <cell r="G3703">
            <v>42491</v>
          </cell>
          <cell r="L3703" t="str">
            <v>10-13-006-03W2</v>
          </cell>
          <cell r="O3703">
            <v>856.1</v>
          </cell>
          <cell r="Q3703">
            <v>1.79</v>
          </cell>
          <cell r="T3703">
            <v>1190.8050000000001</v>
          </cell>
        </row>
        <row r="3704">
          <cell r="G3704">
            <v>42491</v>
          </cell>
          <cell r="L3704" t="str">
            <v>06-27-006-01W2</v>
          </cell>
          <cell r="O3704">
            <v>841.8</v>
          </cell>
          <cell r="Q3704">
            <v>1.54</v>
          </cell>
          <cell r="T3704">
            <v>1186.1569999999999</v>
          </cell>
        </row>
        <row r="3705">
          <cell r="G3705">
            <v>42491</v>
          </cell>
          <cell r="L3705" t="str">
            <v>14-33-003-01W2</v>
          </cell>
          <cell r="O3705">
            <v>829.3</v>
          </cell>
          <cell r="Q3705">
            <v>0.84</v>
          </cell>
          <cell r="T3705">
            <v>1128.49</v>
          </cell>
        </row>
        <row r="3706">
          <cell r="G3706">
            <v>42491</v>
          </cell>
          <cell r="L3706" t="str">
            <v>14-28-002-34W1</v>
          </cell>
          <cell r="O3706">
            <v>833.7</v>
          </cell>
          <cell r="Q3706">
            <v>0.71</v>
          </cell>
          <cell r="T3706">
            <v>1058.3720000000001</v>
          </cell>
        </row>
        <row r="3707">
          <cell r="G3707">
            <v>42491</v>
          </cell>
          <cell r="L3707" t="str">
            <v>11-25-001-32W1</v>
          </cell>
          <cell r="O3707">
            <v>856.6</v>
          </cell>
          <cell r="Q3707">
            <v>1.62</v>
          </cell>
          <cell r="T3707">
            <v>842.029</v>
          </cell>
        </row>
        <row r="3708">
          <cell r="G3708">
            <v>42491</v>
          </cell>
          <cell r="L3708" t="str">
            <v>16-21-003-32W1</v>
          </cell>
          <cell r="O3708">
            <v>858.9</v>
          </cell>
          <cell r="Q3708">
            <v>1.61</v>
          </cell>
          <cell r="T3708">
            <v>833.54200000000003</v>
          </cell>
        </row>
        <row r="3709">
          <cell r="G3709">
            <v>42491</v>
          </cell>
          <cell r="L3709" t="str">
            <v>07-31-001-31W1</v>
          </cell>
          <cell r="O3709">
            <v>865.6</v>
          </cell>
          <cell r="Q3709">
            <v>1.63</v>
          </cell>
          <cell r="T3709">
            <v>806.16600000000005</v>
          </cell>
        </row>
        <row r="3710">
          <cell r="G3710">
            <v>42491</v>
          </cell>
          <cell r="L3710" t="str">
            <v>09-02-007-05W2</v>
          </cell>
          <cell r="O3710">
            <v>859.2</v>
          </cell>
          <cell r="Q3710">
            <v>1.85</v>
          </cell>
          <cell r="T3710">
            <v>783.09100000000001</v>
          </cell>
        </row>
        <row r="3711">
          <cell r="G3711">
            <v>42491</v>
          </cell>
          <cell r="L3711" t="str">
            <v>07-12-008-04W2</v>
          </cell>
          <cell r="O3711">
            <v>856.4</v>
          </cell>
          <cell r="Q3711">
            <v>1.41</v>
          </cell>
          <cell r="T3711">
            <v>780.15</v>
          </cell>
        </row>
        <row r="3712">
          <cell r="G3712">
            <v>42491</v>
          </cell>
          <cell r="L3712" t="str">
            <v>08-35-011-04W2</v>
          </cell>
          <cell r="O3712">
            <v>861.4</v>
          </cell>
          <cell r="Q3712">
            <v>1.89</v>
          </cell>
          <cell r="T3712">
            <v>764.51</v>
          </cell>
        </row>
        <row r="3713">
          <cell r="G3713">
            <v>42491</v>
          </cell>
          <cell r="L3713" t="str">
            <v>05-12-002-32W1</v>
          </cell>
          <cell r="O3713">
            <v>861.2</v>
          </cell>
          <cell r="Q3713">
            <v>1.63</v>
          </cell>
          <cell r="T3713">
            <v>743.81399999999996</v>
          </cell>
        </row>
        <row r="3714">
          <cell r="G3714">
            <v>42491</v>
          </cell>
          <cell r="L3714" t="str">
            <v>02-13-006-01W2</v>
          </cell>
          <cell r="O3714">
            <v>845.6</v>
          </cell>
          <cell r="Q3714">
            <v>1.23</v>
          </cell>
          <cell r="T3714">
            <v>723.298</v>
          </cell>
        </row>
        <row r="3715">
          <cell r="G3715">
            <v>42491</v>
          </cell>
          <cell r="L3715" t="str">
            <v>06-24-001-34W1</v>
          </cell>
          <cell r="O3715">
            <v>839.7</v>
          </cell>
          <cell r="Q3715">
            <v>1.63</v>
          </cell>
          <cell r="T3715">
            <v>719.60799999999995</v>
          </cell>
        </row>
        <row r="3716">
          <cell r="G3716">
            <v>42491</v>
          </cell>
          <cell r="L3716" t="str">
            <v>09-19-009-33W1</v>
          </cell>
          <cell r="O3716">
            <v>854.4</v>
          </cell>
          <cell r="Q3716">
            <v>1.61</v>
          </cell>
          <cell r="T3716">
            <v>702.59699999999998</v>
          </cell>
        </row>
        <row r="3717">
          <cell r="G3717">
            <v>42491</v>
          </cell>
          <cell r="L3717" t="str">
            <v>08-32-006-01W2</v>
          </cell>
          <cell r="O3717">
            <v>843.5</v>
          </cell>
          <cell r="Q3717">
            <v>1.21</v>
          </cell>
          <cell r="T3717">
            <v>596.66700000000003</v>
          </cell>
        </row>
        <row r="3718">
          <cell r="G3718">
            <v>42491</v>
          </cell>
          <cell r="L3718" t="str">
            <v>08-26-006-02W2</v>
          </cell>
          <cell r="O3718">
            <v>845.2</v>
          </cell>
          <cell r="Q3718">
            <v>1.19</v>
          </cell>
          <cell r="T3718">
            <v>567.92499999999995</v>
          </cell>
        </row>
        <row r="3719">
          <cell r="G3719">
            <v>42491</v>
          </cell>
          <cell r="L3719" t="str">
            <v>16-09-004-31W1</v>
          </cell>
          <cell r="O3719">
            <v>869.3</v>
          </cell>
          <cell r="Q3719">
            <v>1.81</v>
          </cell>
          <cell r="T3719">
            <v>502.036</v>
          </cell>
        </row>
        <row r="3720">
          <cell r="G3720">
            <v>42491</v>
          </cell>
          <cell r="L3720" t="str">
            <v>12-35-008-03W2</v>
          </cell>
          <cell r="O3720">
            <v>850.8</v>
          </cell>
          <cell r="Q3720">
            <v>1.59</v>
          </cell>
          <cell r="T3720">
            <v>482.95</v>
          </cell>
        </row>
        <row r="3721">
          <cell r="G3721">
            <v>42491</v>
          </cell>
          <cell r="L3721" t="str">
            <v>12-01-003-30W1</v>
          </cell>
          <cell r="O3721">
            <v>871.5</v>
          </cell>
          <cell r="Q3721">
            <v>1.91</v>
          </cell>
          <cell r="T3721">
            <v>432.38400000000001</v>
          </cell>
        </row>
        <row r="3722">
          <cell r="G3722">
            <v>42491</v>
          </cell>
          <cell r="L3722" t="str">
            <v>10-26-010-03W2</v>
          </cell>
          <cell r="O3722">
            <v>855.7</v>
          </cell>
          <cell r="Q3722">
            <v>1.59</v>
          </cell>
          <cell r="T3722">
            <v>404.24900000000002</v>
          </cell>
        </row>
        <row r="3723">
          <cell r="G3723">
            <v>42491</v>
          </cell>
          <cell r="L3723" t="str">
            <v>10-33-003-31W1</v>
          </cell>
          <cell r="O3723">
            <v>887.1</v>
          </cell>
          <cell r="Q3723">
            <v>0.88</v>
          </cell>
          <cell r="T3723">
            <v>395.63200000000001</v>
          </cell>
        </row>
        <row r="3724">
          <cell r="G3724">
            <v>42491</v>
          </cell>
          <cell r="L3724" t="str">
            <v>14-35-006-05W2</v>
          </cell>
          <cell r="O3724">
            <v>856.4</v>
          </cell>
          <cell r="Q3724">
            <v>1.61</v>
          </cell>
          <cell r="T3724">
            <v>362.47699999999998</v>
          </cell>
        </row>
        <row r="3725">
          <cell r="G3725">
            <v>42491</v>
          </cell>
          <cell r="L3725" t="str">
            <v>07-12-005-34W1</v>
          </cell>
          <cell r="O3725">
            <v>828.2</v>
          </cell>
          <cell r="Q3725">
            <v>0.61</v>
          </cell>
          <cell r="T3725">
            <v>345.40499999999997</v>
          </cell>
        </row>
        <row r="3726">
          <cell r="G3726">
            <v>42491</v>
          </cell>
          <cell r="L3726" t="str">
            <v>02-08-004-33W1</v>
          </cell>
          <cell r="O3726">
            <v>835</v>
          </cell>
          <cell r="Q3726">
            <v>0.65</v>
          </cell>
          <cell r="T3726">
            <v>339.13200000000001</v>
          </cell>
        </row>
        <row r="3727">
          <cell r="G3727">
            <v>42491</v>
          </cell>
          <cell r="L3727" t="str">
            <v>14-09-002-29W1</v>
          </cell>
          <cell r="O3727">
            <v>841.3</v>
          </cell>
          <cell r="Q3727">
            <v>0.81</v>
          </cell>
          <cell r="T3727">
            <v>8838.1790000000001</v>
          </cell>
        </row>
        <row r="3728">
          <cell r="G3728">
            <v>42491</v>
          </cell>
          <cell r="L3728" t="str">
            <v>13-13-007-02W2</v>
          </cell>
          <cell r="O3728">
            <v>844.8</v>
          </cell>
          <cell r="Q3728">
            <v>1.25</v>
          </cell>
          <cell r="T3728">
            <v>5642.0110000000004</v>
          </cell>
        </row>
        <row r="3729">
          <cell r="G3729">
            <v>42491</v>
          </cell>
          <cell r="L3729" t="str">
            <v>08-36-003-34W1</v>
          </cell>
          <cell r="O3729">
            <v>849.1</v>
          </cell>
          <cell r="Q3729">
            <v>1.1599999999999999</v>
          </cell>
          <cell r="T3729">
            <v>5150.9769999999999</v>
          </cell>
        </row>
        <row r="3730">
          <cell r="G3730">
            <v>42491</v>
          </cell>
          <cell r="L3730" t="str">
            <v>16-18-011-04W2</v>
          </cell>
          <cell r="O3730">
            <v>821.9</v>
          </cell>
          <cell r="Q3730">
            <v>1.38</v>
          </cell>
          <cell r="T3730">
            <v>5132.7520000000004</v>
          </cell>
        </row>
        <row r="3731">
          <cell r="G3731">
            <v>42491</v>
          </cell>
          <cell r="L3731" t="str">
            <v>11-27-005-33W1</v>
          </cell>
          <cell r="O3731">
            <v>824.5</v>
          </cell>
          <cell r="Q3731">
            <v>0.72</v>
          </cell>
          <cell r="T3731">
            <v>4385.26</v>
          </cell>
        </row>
        <row r="3732">
          <cell r="G3732">
            <v>42491</v>
          </cell>
          <cell r="L3732" t="str">
            <v>05-29-005-32W1</v>
          </cell>
          <cell r="O3732">
            <v>835.7</v>
          </cell>
          <cell r="Q3732">
            <v>0.94</v>
          </cell>
          <cell r="T3732">
            <v>3099.806</v>
          </cell>
        </row>
        <row r="3733">
          <cell r="G3733">
            <v>42491</v>
          </cell>
          <cell r="L3733" t="str">
            <v>05-14-003-01W2</v>
          </cell>
          <cell r="O3733">
            <v>825</v>
          </cell>
          <cell r="Q3733">
            <v>0.71</v>
          </cell>
          <cell r="T3733">
            <v>2867.049</v>
          </cell>
        </row>
        <row r="3734">
          <cell r="G3734">
            <v>42491</v>
          </cell>
          <cell r="L3734" t="str">
            <v>16-10-006-30W1</v>
          </cell>
          <cell r="O3734">
            <v>851.7</v>
          </cell>
          <cell r="Q3734">
            <v>1.51</v>
          </cell>
          <cell r="T3734">
            <v>2857.08</v>
          </cell>
        </row>
        <row r="3735">
          <cell r="G3735">
            <v>42491</v>
          </cell>
          <cell r="L3735" t="str">
            <v>04-10-004-31W1</v>
          </cell>
          <cell r="O3735">
            <v>869.3</v>
          </cell>
          <cell r="Q3735">
            <v>1.79</v>
          </cell>
          <cell r="T3735">
            <v>2194.8530000000001</v>
          </cell>
        </row>
        <row r="3736">
          <cell r="G3736">
            <v>42491</v>
          </cell>
          <cell r="L3736" t="str">
            <v>06-01-007-01W2</v>
          </cell>
          <cell r="O3736">
            <v>847.6</v>
          </cell>
          <cell r="Q3736">
            <v>1.1299999999999999</v>
          </cell>
          <cell r="T3736">
            <v>2186.7449999999999</v>
          </cell>
        </row>
        <row r="3737">
          <cell r="G3737">
            <v>42491</v>
          </cell>
          <cell r="L3737" t="str">
            <v>01-09-001-31W1</v>
          </cell>
          <cell r="O3737">
            <v>874</v>
          </cell>
          <cell r="Q3737">
            <v>1.63</v>
          </cell>
          <cell r="T3737">
            <v>2061.7139999999999</v>
          </cell>
        </row>
        <row r="3738">
          <cell r="G3738">
            <v>42491</v>
          </cell>
          <cell r="L3738" t="str">
            <v>05-13-003-02W2</v>
          </cell>
          <cell r="O3738">
            <v>831.4</v>
          </cell>
          <cell r="Q3738">
            <v>0.53</v>
          </cell>
          <cell r="T3738">
            <v>2055.7950000000001</v>
          </cell>
        </row>
        <row r="3739">
          <cell r="G3739">
            <v>42491</v>
          </cell>
          <cell r="L3739" t="str">
            <v>04-05-007-33W1</v>
          </cell>
          <cell r="O3739">
            <v>842</v>
          </cell>
          <cell r="Q3739">
            <v>1.2</v>
          </cell>
          <cell r="T3739">
            <v>2020.671</v>
          </cell>
        </row>
        <row r="3740">
          <cell r="G3740">
            <v>42491</v>
          </cell>
          <cell r="L3740" t="str">
            <v>02-14-005-32W1</v>
          </cell>
          <cell r="O3740">
            <v>835.5</v>
          </cell>
          <cell r="Q3740">
            <v>0.97</v>
          </cell>
          <cell r="T3740">
            <v>1908.0519999999999</v>
          </cell>
        </row>
        <row r="3741">
          <cell r="G3741">
            <v>42491</v>
          </cell>
          <cell r="L3741" t="str">
            <v>09-33-006-05W2</v>
          </cell>
          <cell r="O3741">
            <v>860.7</v>
          </cell>
          <cell r="Q3741">
            <v>1.78</v>
          </cell>
          <cell r="T3741">
            <v>1436.652</v>
          </cell>
        </row>
        <row r="3742">
          <cell r="G3742">
            <v>42491</v>
          </cell>
          <cell r="L3742" t="str">
            <v>08-33-005-03W2</v>
          </cell>
          <cell r="O3742">
            <v>839.3</v>
          </cell>
          <cell r="Q3742">
            <v>1.1200000000000001</v>
          </cell>
          <cell r="T3742">
            <v>1407.027</v>
          </cell>
        </row>
        <row r="3743">
          <cell r="G3743">
            <v>42491</v>
          </cell>
          <cell r="L3743" t="str">
            <v>16-13-004-32W1</v>
          </cell>
          <cell r="O3743">
            <v>856.7</v>
          </cell>
          <cell r="Q3743">
            <v>1.45</v>
          </cell>
          <cell r="T3743">
            <v>1345.7750000000001</v>
          </cell>
        </row>
        <row r="3744">
          <cell r="G3744">
            <v>42491</v>
          </cell>
          <cell r="L3744" t="str">
            <v>12-23-005-31W1</v>
          </cell>
          <cell r="O3744">
            <v>848.5</v>
          </cell>
          <cell r="Q3744">
            <v>1.03</v>
          </cell>
          <cell r="T3744">
            <v>1211.2059999999999</v>
          </cell>
        </row>
        <row r="3745">
          <cell r="G3745">
            <v>42491</v>
          </cell>
          <cell r="L3745" t="str">
            <v>11-28-006-05W2</v>
          </cell>
          <cell r="O3745">
            <v>855.3</v>
          </cell>
          <cell r="Q3745">
            <v>1.48</v>
          </cell>
          <cell r="T3745">
            <v>1140.152</v>
          </cell>
        </row>
        <row r="3746">
          <cell r="G3746">
            <v>42491</v>
          </cell>
          <cell r="L3746" t="str">
            <v>02-02-006-03W2</v>
          </cell>
          <cell r="O3746">
            <v>845.7</v>
          </cell>
          <cell r="Q3746">
            <v>1.2</v>
          </cell>
          <cell r="T3746">
            <v>1125.7260000000001</v>
          </cell>
        </row>
        <row r="3747">
          <cell r="G3747">
            <v>42491</v>
          </cell>
          <cell r="L3747" t="str">
            <v>13-34-006-05W2</v>
          </cell>
          <cell r="O3747">
            <v>862.6</v>
          </cell>
          <cell r="Q3747">
            <v>1.92</v>
          </cell>
          <cell r="T3747">
            <v>1079.5250000000001</v>
          </cell>
        </row>
        <row r="3748">
          <cell r="G3748">
            <v>42491</v>
          </cell>
          <cell r="L3748" t="str">
            <v>06-02-008-02W2</v>
          </cell>
          <cell r="O3748">
            <v>854.3</v>
          </cell>
          <cell r="Q3748">
            <v>1.51</v>
          </cell>
          <cell r="T3748">
            <v>1071.1949999999999</v>
          </cell>
        </row>
        <row r="3749">
          <cell r="G3749">
            <v>42491</v>
          </cell>
          <cell r="L3749" t="str">
            <v>14-33-003-01W2</v>
          </cell>
          <cell r="O3749">
            <v>836.8</v>
          </cell>
          <cell r="Q3749">
            <v>0.67</v>
          </cell>
          <cell r="T3749">
            <v>1035.5909999999999</v>
          </cell>
        </row>
        <row r="3750">
          <cell r="G3750">
            <v>42491</v>
          </cell>
          <cell r="L3750" t="str">
            <v>04-33-006-01W2</v>
          </cell>
          <cell r="O3750">
            <v>844.4</v>
          </cell>
          <cell r="Q3750">
            <v>1.1299999999999999</v>
          </cell>
          <cell r="T3750">
            <v>978.51800000000003</v>
          </cell>
        </row>
        <row r="3751">
          <cell r="G3751">
            <v>42491</v>
          </cell>
          <cell r="L3751" t="str">
            <v>13-11-004-02W2</v>
          </cell>
          <cell r="O3751">
            <v>843.2</v>
          </cell>
          <cell r="Q3751">
            <v>1.05</v>
          </cell>
          <cell r="T3751">
            <v>973.46799999999996</v>
          </cell>
        </row>
        <row r="3752">
          <cell r="G3752">
            <v>42491</v>
          </cell>
          <cell r="L3752" t="str">
            <v>02-15-006-01W2</v>
          </cell>
          <cell r="O3752">
            <v>847.2</v>
          </cell>
          <cell r="Q3752">
            <v>1.1200000000000001</v>
          </cell>
          <cell r="T3752">
            <v>952.27800000000002</v>
          </cell>
        </row>
        <row r="3753">
          <cell r="G3753">
            <v>42491</v>
          </cell>
          <cell r="L3753" t="str">
            <v>15-14-009-03W2</v>
          </cell>
          <cell r="O3753">
            <v>843.1</v>
          </cell>
          <cell r="Q3753">
            <v>1.52</v>
          </cell>
          <cell r="T3753">
            <v>895.86699999999996</v>
          </cell>
        </row>
        <row r="3754">
          <cell r="G3754">
            <v>42491</v>
          </cell>
          <cell r="L3754" t="str">
            <v>08-13-006-33W1</v>
          </cell>
          <cell r="O3754">
            <v>845.2</v>
          </cell>
          <cell r="Q3754">
            <v>1.5</v>
          </cell>
          <cell r="T3754">
            <v>858.09799999999996</v>
          </cell>
        </row>
        <row r="3755">
          <cell r="G3755">
            <v>42491</v>
          </cell>
          <cell r="L3755" t="str">
            <v>02-14-010-01W2</v>
          </cell>
          <cell r="O3755">
            <v>855.3</v>
          </cell>
          <cell r="Q3755">
            <v>1.69</v>
          </cell>
          <cell r="T3755">
            <v>776.33799999999997</v>
          </cell>
        </row>
        <row r="3756">
          <cell r="G3756">
            <v>42491</v>
          </cell>
          <cell r="L3756" t="str">
            <v>02-20-006-32W1</v>
          </cell>
          <cell r="O3756">
            <v>830.2</v>
          </cell>
          <cell r="Q3756">
            <v>0.8</v>
          </cell>
          <cell r="T3756">
            <v>762.55399999999997</v>
          </cell>
        </row>
        <row r="3757">
          <cell r="G3757">
            <v>42491</v>
          </cell>
          <cell r="L3757" t="str">
            <v>14-26-002-30W1</v>
          </cell>
          <cell r="O3757">
            <v>867.4</v>
          </cell>
          <cell r="Q3757">
            <v>2.02</v>
          </cell>
          <cell r="T3757">
            <v>743.27499999999998</v>
          </cell>
        </row>
        <row r="3758">
          <cell r="G3758">
            <v>42491</v>
          </cell>
          <cell r="L3758" t="str">
            <v>10-33-004-32W1</v>
          </cell>
          <cell r="O3758">
            <v>835.3</v>
          </cell>
          <cell r="Q3758">
            <v>2.2999999999999998</v>
          </cell>
          <cell r="T3758">
            <v>738.846</v>
          </cell>
        </row>
        <row r="3759">
          <cell r="G3759">
            <v>42491</v>
          </cell>
          <cell r="L3759" t="str">
            <v>10-11-004-34W1</v>
          </cell>
          <cell r="O3759">
            <v>830.1</v>
          </cell>
          <cell r="Q3759">
            <v>0.82</v>
          </cell>
          <cell r="T3759">
            <v>670.05899999999997</v>
          </cell>
        </row>
        <row r="3760">
          <cell r="G3760">
            <v>42491</v>
          </cell>
          <cell r="L3760" t="str">
            <v>14-20-005-33W1</v>
          </cell>
          <cell r="O3760">
            <v>828.2</v>
          </cell>
          <cell r="Q3760">
            <v>0.72</v>
          </cell>
          <cell r="T3760">
            <v>558.08399999999995</v>
          </cell>
        </row>
        <row r="3761">
          <cell r="G3761">
            <v>42491</v>
          </cell>
          <cell r="L3761" t="str">
            <v>06-04-006-33W1</v>
          </cell>
          <cell r="O3761">
            <v>832.7</v>
          </cell>
          <cell r="Q3761">
            <v>0.83</v>
          </cell>
          <cell r="T3761">
            <v>499.71100000000001</v>
          </cell>
        </row>
        <row r="3762">
          <cell r="G3762">
            <v>42491</v>
          </cell>
          <cell r="L3762" t="str">
            <v>02-12-010-02W2</v>
          </cell>
          <cell r="O3762">
            <v>857</v>
          </cell>
          <cell r="Q3762">
            <v>1.63</v>
          </cell>
          <cell r="T3762">
            <v>486.4</v>
          </cell>
        </row>
        <row r="3763">
          <cell r="G3763">
            <v>42491</v>
          </cell>
          <cell r="L3763" t="str">
            <v>04-04-007-01W2</v>
          </cell>
          <cell r="O3763">
            <v>850</v>
          </cell>
          <cell r="Q3763">
            <v>1.1399999999999999</v>
          </cell>
          <cell r="T3763">
            <v>481.28500000000003</v>
          </cell>
        </row>
        <row r="3764">
          <cell r="G3764">
            <v>42491</v>
          </cell>
          <cell r="L3764" t="str">
            <v>15-26-007-04W2</v>
          </cell>
          <cell r="O3764">
            <v>850.5</v>
          </cell>
          <cell r="Q3764">
            <v>1.4</v>
          </cell>
          <cell r="T3764">
            <v>460.93099999999998</v>
          </cell>
        </row>
        <row r="3765">
          <cell r="G3765">
            <v>42491</v>
          </cell>
          <cell r="L3765" t="str">
            <v>02-16-010-02W2</v>
          </cell>
          <cell r="O3765">
            <v>860.2</v>
          </cell>
          <cell r="Q3765">
            <v>1.21</v>
          </cell>
          <cell r="T3765">
            <v>404.80399999999997</v>
          </cell>
        </row>
        <row r="3766">
          <cell r="G3766">
            <v>42491</v>
          </cell>
          <cell r="L3766" t="str">
            <v>06-03-004-31W1</v>
          </cell>
          <cell r="O3766">
            <v>869.7</v>
          </cell>
          <cell r="Q3766">
            <v>1.87</v>
          </cell>
          <cell r="T3766">
            <v>379.54399999999998</v>
          </cell>
        </row>
        <row r="3767">
          <cell r="G3767">
            <v>42491</v>
          </cell>
          <cell r="L3767" t="str">
            <v>02-10-003-01W2</v>
          </cell>
          <cell r="O3767">
            <v>829.3</v>
          </cell>
          <cell r="Q3767">
            <v>0.51</v>
          </cell>
          <cell r="T3767">
            <v>361.04300000000001</v>
          </cell>
        </row>
        <row r="3768">
          <cell r="G3768">
            <v>42491</v>
          </cell>
          <cell r="L3768" t="str">
            <v>08-12-006-01W2</v>
          </cell>
          <cell r="O3768">
            <v>845.4</v>
          </cell>
          <cell r="Q3768">
            <v>1.29</v>
          </cell>
          <cell r="T3768">
            <v>356.22399999999999</v>
          </cell>
        </row>
        <row r="3769">
          <cell r="G3769">
            <v>42491</v>
          </cell>
          <cell r="L3769" t="str">
            <v>01-11-005-04W2</v>
          </cell>
          <cell r="O3769">
            <v>867.5</v>
          </cell>
          <cell r="Q3769">
            <v>1.75</v>
          </cell>
          <cell r="T3769">
            <v>391.702</v>
          </cell>
        </row>
        <row r="3770">
          <cell r="G3770">
            <v>42491</v>
          </cell>
          <cell r="L3770" t="str">
            <v>STEELMAN MIDALE</v>
          </cell>
          <cell r="O3770">
            <v>881.5</v>
          </cell>
          <cell r="Q3770">
            <v>1.86</v>
          </cell>
          <cell r="T3770">
            <v>8689.5439999999999</v>
          </cell>
        </row>
        <row r="3771">
          <cell r="G3771">
            <v>42491</v>
          </cell>
          <cell r="L3771" t="str">
            <v>03-15-004-06W2</v>
          </cell>
          <cell r="O3771">
            <v>853.2</v>
          </cell>
          <cell r="Q3771">
            <v>1.22</v>
          </cell>
          <cell r="T3771">
            <v>5423.9</v>
          </cell>
        </row>
        <row r="3772">
          <cell r="G3772">
            <v>42491</v>
          </cell>
          <cell r="L3772" t="str">
            <v>09-08-004-03W2</v>
          </cell>
          <cell r="O3772">
            <v>843.3</v>
          </cell>
          <cell r="Q3772">
            <v>1.08</v>
          </cell>
          <cell r="T3772">
            <v>3736.6970000000001</v>
          </cell>
        </row>
        <row r="3773">
          <cell r="G3773">
            <v>42491</v>
          </cell>
          <cell r="L3773" t="str">
            <v>09-33-005-05W2</v>
          </cell>
          <cell r="O3773">
            <v>848.7</v>
          </cell>
          <cell r="Q3773">
            <v>0.69</v>
          </cell>
          <cell r="T3773">
            <v>3333.7460000000001</v>
          </cell>
        </row>
        <row r="3774">
          <cell r="G3774">
            <v>42491</v>
          </cell>
          <cell r="L3774" t="str">
            <v>14-30-001-04W2</v>
          </cell>
          <cell r="O3774">
            <v>830.9</v>
          </cell>
          <cell r="Q3774">
            <v>0.52</v>
          </cell>
          <cell r="T3774">
            <v>3191.2179999999998</v>
          </cell>
        </row>
        <row r="3775">
          <cell r="G3775">
            <v>42491</v>
          </cell>
          <cell r="L3775" t="str">
            <v>07-35-004-04W2</v>
          </cell>
          <cell r="O3775">
            <v>851.1</v>
          </cell>
          <cell r="Q3775">
            <v>1.57</v>
          </cell>
          <cell r="T3775">
            <v>2640.08</v>
          </cell>
        </row>
        <row r="3776">
          <cell r="G3776">
            <v>42491</v>
          </cell>
          <cell r="L3776" t="str">
            <v>05-07-005-03W2</v>
          </cell>
          <cell r="O3776">
            <v>847.3</v>
          </cell>
          <cell r="Q3776">
            <v>1.32</v>
          </cell>
          <cell r="T3776">
            <v>2396.2809999999999</v>
          </cell>
        </row>
        <row r="3777">
          <cell r="G3777">
            <v>42491</v>
          </cell>
          <cell r="L3777" t="str">
            <v>16-33-005-06W2</v>
          </cell>
          <cell r="O3777">
            <v>868.1</v>
          </cell>
          <cell r="Q3777">
            <v>1.79</v>
          </cell>
          <cell r="T3777">
            <v>2376.991</v>
          </cell>
        </row>
        <row r="3778">
          <cell r="G3778">
            <v>42491</v>
          </cell>
          <cell r="L3778" t="str">
            <v>11-02-005-04W2</v>
          </cell>
          <cell r="O3778">
            <v>850.6</v>
          </cell>
          <cell r="Q3778">
            <v>1.4</v>
          </cell>
          <cell r="T3778">
            <v>1553.636</v>
          </cell>
        </row>
        <row r="3779">
          <cell r="G3779">
            <v>42491</v>
          </cell>
          <cell r="L3779" t="str">
            <v>06-27-004-06W2</v>
          </cell>
          <cell r="O3779">
            <v>835.3</v>
          </cell>
          <cell r="Q3779">
            <v>0.7</v>
          </cell>
          <cell r="T3779">
            <v>1520.326</v>
          </cell>
        </row>
        <row r="3780">
          <cell r="G3780">
            <v>42491</v>
          </cell>
          <cell r="L3780" t="str">
            <v>11-28-005-06W2</v>
          </cell>
          <cell r="O3780">
            <v>878.8</v>
          </cell>
          <cell r="Q3780">
            <v>2.27</v>
          </cell>
          <cell r="T3780">
            <v>1230.973</v>
          </cell>
        </row>
        <row r="3781">
          <cell r="G3781">
            <v>42491</v>
          </cell>
          <cell r="L3781" t="str">
            <v>07-18-005-04W2</v>
          </cell>
          <cell r="O3781">
            <v>850.2</v>
          </cell>
          <cell r="Q3781">
            <v>1.64</v>
          </cell>
          <cell r="T3781">
            <v>441.80200000000002</v>
          </cell>
        </row>
        <row r="3782">
          <cell r="G3782">
            <v>42491</v>
          </cell>
          <cell r="L3782" t="str">
            <v>01-01-006-06W2</v>
          </cell>
          <cell r="O3782">
            <v>849.3</v>
          </cell>
          <cell r="Q3782">
            <v>1.17</v>
          </cell>
          <cell r="T3782">
            <v>420.67500000000001</v>
          </cell>
        </row>
        <row r="3783">
          <cell r="G3783">
            <v>42491</v>
          </cell>
          <cell r="L3783" t="str">
            <v>14-13-001-05W2</v>
          </cell>
          <cell r="O3783">
            <v>822.9</v>
          </cell>
          <cell r="Q3783">
            <v>0.48</v>
          </cell>
          <cell r="T3783">
            <v>26229.774000000001</v>
          </cell>
        </row>
        <row r="3784">
          <cell r="G3784">
            <v>42491</v>
          </cell>
          <cell r="L3784" t="str">
            <v>05-20-004-04W2</v>
          </cell>
          <cell r="O3784">
            <v>826.1</v>
          </cell>
          <cell r="Q3784">
            <v>1.9</v>
          </cell>
          <cell r="T3784">
            <v>5468.8130000000001</v>
          </cell>
        </row>
        <row r="3785">
          <cell r="G3785">
            <v>42491</v>
          </cell>
          <cell r="L3785" t="str">
            <v>05-10-006-05W2</v>
          </cell>
          <cell r="O3785">
            <v>855.7</v>
          </cell>
          <cell r="Q3785">
            <v>1.47</v>
          </cell>
          <cell r="T3785">
            <v>4319.8149999999996</v>
          </cell>
        </row>
        <row r="3786">
          <cell r="G3786">
            <v>42491</v>
          </cell>
          <cell r="L3786" t="str">
            <v>05-24-005-04W2</v>
          </cell>
          <cell r="O3786">
            <v>857</v>
          </cell>
          <cell r="Q3786">
            <v>1.5</v>
          </cell>
          <cell r="T3786">
            <v>2054.183</v>
          </cell>
        </row>
        <row r="3787">
          <cell r="G3787">
            <v>42491</v>
          </cell>
          <cell r="L3787" t="str">
            <v>02-13-006-06W2</v>
          </cell>
          <cell r="O3787">
            <v>846.6</v>
          </cell>
          <cell r="Q3787">
            <v>1.53</v>
          </cell>
          <cell r="T3787">
            <v>1870.559</v>
          </cell>
        </row>
        <row r="3788">
          <cell r="G3788">
            <v>42491</v>
          </cell>
          <cell r="L3788" t="str">
            <v>05-34-005-06W2</v>
          </cell>
          <cell r="O3788">
            <v>868.9</v>
          </cell>
          <cell r="Q3788">
            <v>2.2799999999999998</v>
          </cell>
          <cell r="T3788">
            <v>1806.15</v>
          </cell>
        </row>
        <row r="3789">
          <cell r="G3789">
            <v>42491</v>
          </cell>
          <cell r="L3789" t="str">
            <v>11-16-005-04W2</v>
          </cell>
          <cell r="O3789">
            <v>852.6</v>
          </cell>
          <cell r="Q3789">
            <v>1.35</v>
          </cell>
          <cell r="T3789">
            <v>1781.626</v>
          </cell>
        </row>
        <row r="3790">
          <cell r="G3790">
            <v>42491</v>
          </cell>
          <cell r="L3790" t="str">
            <v>07-08-004-05W2</v>
          </cell>
          <cell r="O3790">
            <v>835.7</v>
          </cell>
          <cell r="Q3790">
            <v>1.07</v>
          </cell>
          <cell r="T3790">
            <v>1638.674</v>
          </cell>
        </row>
        <row r="3791">
          <cell r="G3791">
            <v>42491</v>
          </cell>
          <cell r="L3791" t="str">
            <v>03-29-003-04W2</v>
          </cell>
          <cell r="O3791">
            <v>837.9</v>
          </cell>
          <cell r="Q3791">
            <v>0.81</v>
          </cell>
          <cell r="T3791">
            <v>1242.675</v>
          </cell>
        </row>
        <row r="3792">
          <cell r="G3792">
            <v>42491</v>
          </cell>
          <cell r="L3792" t="str">
            <v>09-27-004-05W2</v>
          </cell>
          <cell r="O3792">
            <v>841.8</v>
          </cell>
          <cell r="Q3792">
            <v>1.19</v>
          </cell>
          <cell r="T3792">
            <v>1161.3440000000001</v>
          </cell>
        </row>
        <row r="3793">
          <cell r="G3793">
            <v>42491</v>
          </cell>
          <cell r="L3793" t="str">
            <v>09-10-005-04W2</v>
          </cell>
          <cell r="O3793">
            <v>853.1</v>
          </cell>
          <cell r="Q3793">
            <v>1.2</v>
          </cell>
          <cell r="T3793">
            <v>961.01900000000001</v>
          </cell>
        </row>
        <row r="3794">
          <cell r="G3794">
            <v>42491</v>
          </cell>
          <cell r="L3794" t="str">
            <v>13-30-005-05W2</v>
          </cell>
          <cell r="O3794">
            <v>849.8</v>
          </cell>
          <cell r="Q3794">
            <v>1.1200000000000001</v>
          </cell>
          <cell r="T3794">
            <v>771.74800000000005</v>
          </cell>
        </row>
        <row r="3795">
          <cell r="G3795">
            <v>42491</v>
          </cell>
          <cell r="L3795" t="str">
            <v>07-27-007-06W2</v>
          </cell>
          <cell r="O3795">
            <v>813.6</v>
          </cell>
          <cell r="Q3795">
            <v>0.24</v>
          </cell>
          <cell r="T3795">
            <v>566.274</v>
          </cell>
        </row>
        <row r="3796">
          <cell r="G3796">
            <v>42491</v>
          </cell>
          <cell r="L3796" t="str">
            <v>11-31-005-11W2</v>
          </cell>
          <cell r="O3796">
            <v>881.5</v>
          </cell>
          <cell r="Q3796">
            <v>1.92</v>
          </cell>
          <cell r="T3796">
            <v>2561.944</v>
          </cell>
        </row>
        <row r="3797">
          <cell r="G3797">
            <v>42491</v>
          </cell>
          <cell r="L3797" t="str">
            <v>14-27-005-12W2</v>
          </cell>
          <cell r="O3797">
            <v>876.4</v>
          </cell>
          <cell r="Q3797">
            <v>2.1</v>
          </cell>
          <cell r="T3797">
            <v>1111.252</v>
          </cell>
        </row>
        <row r="3798">
          <cell r="G3798">
            <v>42491</v>
          </cell>
          <cell r="L3798" t="str">
            <v>16-05-005-08W2</v>
          </cell>
          <cell r="O3798">
            <v>887.8</v>
          </cell>
          <cell r="Q3798">
            <v>2.04</v>
          </cell>
          <cell r="T3798">
            <v>1061.287</v>
          </cell>
        </row>
        <row r="3799">
          <cell r="G3799">
            <v>42491</v>
          </cell>
          <cell r="L3799" t="str">
            <v>01-18-004-08W2</v>
          </cell>
          <cell r="O3799">
            <v>890.5</v>
          </cell>
          <cell r="Q3799">
            <v>2.42</v>
          </cell>
          <cell r="T3799">
            <v>903.19100000000003</v>
          </cell>
        </row>
        <row r="3800">
          <cell r="G3800">
            <v>42491</v>
          </cell>
          <cell r="L3800" t="str">
            <v>15-36-001-12W2</v>
          </cell>
          <cell r="O3800">
            <v>820.2</v>
          </cell>
          <cell r="Q3800">
            <v>0.12</v>
          </cell>
          <cell r="T3800">
            <v>791.77700000000004</v>
          </cell>
        </row>
        <row r="3801">
          <cell r="G3801">
            <v>42491</v>
          </cell>
          <cell r="L3801" t="str">
            <v>14-22-004-08W2</v>
          </cell>
          <cell r="O3801">
            <v>877.1</v>
          </cell>
          <cell r="Q3801">
            <v>2.0099999999999998</v>
          </cell>
          <cell r="T3801">
            <v>636.12199999999996</v>
          </cell>
        </row>
        <row r="3802">
          <cell r="G3802">
            <v>42491</v>
          </cell>
          <cell r="L3802" t="str">
            <v>15-11-005-09W2</v>
          </cell>
          <cell r="O3802">
            <v>884.2</v>
          </cell>
          <cell r="Q3802">
            <v>2.19</v>
          </cell>
          <cell r="T3802">
            <v>564.40899999999999</v>
          </cell>
        </row>
        <row r="3803">
          <cell r="G3803">
            <v>42491</v>
          </cell>
          <cell r="L3803" t="str">
            <v>16-09-007-11W2</v>
          </cell>
          <cell r="O3803">
            <v>837.2</v>
          </cell>
          <cell r="Q3803">
            <v>0.52</v>
          </cell>
          <cell r="T3803">
            <v>545.66999999999996</v>
          </cell>
        </row>
        <row r="3804">
          <cell r="G3804">
            <v>42491</v>
          </cell>
          <cell r="L3804" t="str">
            <v>09-02-006-07W2</v>
          </cell>
          <cell r="O3804">
            <v>881.8</v>
          </cell>
          <cell r="Q3804">
            <v>2.25</v>
          </cell>
          <cell r="T3804">
            <v>544.63400000000001</v>
          </cell>
        </row>
        <row r="3805">
          <cell r="G3805">
            <v>42491</v>
          </cell>
          <cell r="L3805" t="str">
            <v>13-33-006-09W2</v>
          </cell>
          <cell r="O3805">
            <v>888.4</v>
          </cell>
          <cell r="Q3805">
            <v>2.3199999999999998</v>
          </cell>
          <cell r="T3805">
            <v>512.44799999999998</v>
          </cell>
        </row>
        <row r="3806">
          <cell r="G3806">
            <v>42491</v>
          </cell>
          <cell r="L3806" t="str">
            <v>04-27-004-08W2</v>
          </cell>
          <cell r="O3806">
            <v>882</v>
          </cell>
          <cell r="Q3806">
            <v>2.17</v>
          </cell>
          <cell r="T3806">
            <v>461.863</v>
          </cell>
        </row>
        <row r="3807">
          <cell r="G3807">
            <v>42491</v>
          </cell>
          <cell r="L3807" t="str">
            <v>12-20-005-12W2</v>
          </cell>
          <cell r="O3807">
            <v>884.2</v>
          </cell>
          <cell r="Q3807">
            <v>2.04</v>
          </cell>
          <cell r="T3807">
            <v>437.66899999999998</v>
          </cell>
        </row>
        <row r="3808">
          <cell r="G3808">
            <v>42491</v>
          </cell>
          <cell r="L3808" t="str">
            <v>13-06-007-11W2</v>
          </cell>
          <cell r="O3808">
            <v>858.6</v>
          </cell>
          <cell r="Q3808">
            <v>2</v>
          </cell>
          <cell r="T3808">
            <v>398.36399999999998</v>
          </cell>
        </row>
        <row r="3809">
          <cell r="G3809">
            <v>42491</v>
          </cell>
          <cell r="L3809" t="str">
            <v>04-35-004-09W2</v>
          </cell>
          <cell r="O3809">
            <v>891.9</v>
          </cell>
          <cell r="Q3809">
            <v>2.0299999999999998</v>
          </cell>
          <cell r="T3809">
            <v>389.80799999999999</v>
          </cell>
        </row>
        <row r="3810">
          <cell r="G3810">
            <v>42491</v>
          </cell>
          <cell r="L3810" t="str">
            <v>06-18-006-12W2</v>
          </cell>
          <cell r="O3810">
            <v>887.5</v>
          </cell>
          <cell r="Q3810">
            <v>2.69</v>
          </cell>
          <cell r="T3810">
            <v>370.61399999999998</v>
          </cell>
        </row>
        <row r="3811">
          <cell r="G3811">
            <v>42491</v>
          </cell>
          <cell r="L3811" t="str">
            <v>15-29-007-13W2</v>
          </cell>
          <cell r="O3811">
            <v>849.3</v>
          </cell>
          <cell r="Q3811">
            <v>1.82</v>
          </cell>
          <cell r="T3811">
            <v>358.60300000000001</v>
          </cell>
        </row>
        <row r="3812">
          <cell r="G3812">
            <v>42491</v>
          </cell>
          <cell r="L3812" t="str">
            <v>14-20-004-10W2</v>
          </cell>
          <cell r="O3812">
            <v>887.7</v>
          </cell>
          <cell r="Q3812">
            <v>2.12</v>
          </cell>
          <cell r="T3812">
            <v>294.73500000000001</v>
          </cell>
        </row>
        <row r="3813">
          <cell r="G3813">
            <v>42491</v>
          </cell>
          <cell r="L3813" t="str">
            <v>04-13-004-10W2</v>
          </cell>
          <cell r="O3813">
            <v>883.4</v>
          </cell>
          <cell r="Q3813">
            <v>1.9</v>
          </cell>
          <cell r="T3813">
            <v>281.92</v>
          </cell>
        </row>
        <row r="3814">
          <cell r="G3814">
            <v>42491</v>
          </cell>
          <cell r="L3814" t="str">
            <v>03-18-007-09W2</v>
          </cell>
          <cell r="O3814">
            <v>815</v>
          </cell>
          <cell r="Q3814">
            <v>0.42</v>
          </cell>
          <cell r="T3814">
            <v>270.286</v>
          </cell>
        </row>
        <row r="3815">
          <cell r="G3815">
            <v>42491</v>
          </cell>
          <cell r="L3815" t="str">
            <v>01-10-008-15W2</v>
          </cell>
          <cell r="O3815">
            <v>866.7</v>
          </cell>
          <cell r="Q3815">
            <v>2.0499999999999998</v>
          </cell>
          <cell r="T3815">
            <v>268.81400000000002</v>
          </cell>
        </row>
        <row r="3816">
          <cell r="G3816">
            <v>42491</v>
          </cell>
          <cell r="L3816" t="str">
            <v>01-36-006-12W2</v>
          </cell>
          <cell r="O3816">
            <v>890.8</v>
          </cell>
          <cell r="Q3816">
            <v>2.63</v>
          </cell>
          <cell r="T3816">
            <v>263.13900000000001</v>
          </cell>
        </row>
        <row r="3817">
          <cell r="G3817">
            <v>42491</v>
          </cell>
          <cell r="L3817" t="str">
            <v>12-27-006-13W2</v>
          </cell>
          <cell r="O3817">
            <v>855.4</v>
          </cell>
          <cell r="Q3817">
            <v>2.0099999999999998</v>
          </cell>
          <cell r="T3817">
            <v>207.39699999999999</v>
          </cell>
        </row>
        <row r="3818">
          <cell r="G3818">
            <v>42491</v>
          </cell>
          <cell r="L3818" t="str">
            <v>04-16-004-21W2</v>
          </cell>
          <cell r="O3818">
            <v>817.2</v>
          </cell>
          <cell r="Q3818">
            <v>0.66</v>
          </cell>
          <cell r="T3818">
            <v>202.25700000000001</v>
          </cell>
        </row>
        <row r="3819">
          <cell r="G3819">
            <v>42491</v>
          </cell>
          <cell r="L3819" t="str">
            <v>03-08-001-11W2</v>
          </cell>
          <cell r="O3819">
            <v>811.4</v>
          </cell>
          <cell r="Q3819">
            <v>0.24</v>
          </cell>
          <cell r="T3819">
            <v>198.244</v>
          </cell>
        </row>
        <row r="3820">
          <cell r="G3820">
            <v>42491</v>
          </cell>
          <cell r="L3820" t="str">
            <v>15-13-002-12W2</v>
          </cell>
          <cell r="O3820">
            <v>823.3</v>
          </cell>
          <cell r="Q3820">
            <v>0.22</v>
          </cell>
          <cell r="T3820">
            <v>198.05</v>
          </cell>
        </row>
        <row r="3821">
          <cell r="G3821">
            <v>42491</v>
          </cell>
          <cell r="L3821" t="str">
            <v>02-13-004-12W2</v>
          </cell>
          <cell r="O3821">
            <v>882.6</v>
          </cell>
          <cell r="Q3821">
            <v>2.06</v>
          </cell>
          <cell r="T3821">
            <v>188.54499999999999</v>
          </cell>
        </row>
        <row r="3822">
          <cell r="G3822">
            <v>42491</v>
          </cell>
          <cell r="L3822" t="str">
            <v>09-11-007-14W2</v>
          </cell>
          <cell r="O3822">
            <v>845.2</v>
          </cell>
          <cell r="Q3822">
            <v>1.54</v>
          </cell>
          <cell r="T3822">
            <v>175.48699999999999</v>
          </cell>
        </row>
        <row r="3823">
          <cell r="G3823">
            <v>42491</v>
          </cell>
          <cell r="L3823" t="str">
            <v>04-18-007-09W2</v>
          </cell>
          <cell r="O3823">
            <v>811</v>
          </cell>
          <cell r="Q3823">
            <v>0.4</v>
          </cell>
          <cell r="T3823">
            <v>166.595</v>
          </cell>
        </row>
        <row r="3824">
          <cell r="G3824">
            <v>42491</v>
          </cell>
          <cell r="L3824" t="str">
            <v>16-06-005-12W2</v>
          </cell>
          <cell r="O3824">
            <v>880.7</v>
          </cell>
          <cell r="Q3824">
            <v>2.09</v>
          </cell>
          <cell r="T3824">
            <v>165.66399999999999</v>
          </cell>
        </row>
        <row r="3825">
          <cell r="G3825">
            <v>42491</v>
          </cell>
          <cell r="L3825" t="str">
            <v>12-31-001-17W2</v>
          </cell>
          <cell r="O3825">
            <v>850.2</v>
          </cell>
          <cell r="Q3825">
            <v>1.51</v>
          </cell>
          <cell r="T3825">
            <v>154.56</v>
          </cell>
        </row>
        <row r="3826">
          <cell r="G3826">
            <v>42491</v>
          </cell>
          <cell r="L3826" t="str">
            <v>03-27-011-08W2</v>
          </cell>
          <cell r="O3826">
            <v>898.7</v>
          </cell>
          <cell r="Q3826">
            <v>2.64</v>
          </cell>
          <cell r="T3826">
            <v>149.46299999999999</v>
          </cell>
        </row>
        <row r="3827">
          <cell r="G3827">
            <v>42491</v>
          </cell>
          <cell r="L3827" t="str">
            <v>11-14-007-08W2</v>
          </cell>
          <cell r="O3827">
            <v>837.8</v>
          </cell>
          <cell r="Q3827">
            <v>1.33</v>
          </cell>
          <cell r="T3827">
            <v>142.494</v>
          </cell>
        </row>
        <row r="3828">
          <cell r="G3828">
            <v>42491</v>
          </cell>
          <cell r="L3828" t="str">
            <v>04-23-012-06W2</v>
          </cell>
          <cell r="O3828">
            <v>889.6</v>
          </cell>
          <cell r="Q3828">
            <v>2.74</v>
          </cell>
          <cell r="T3828">
            <v>142.20500000000001</v>
          </cell>
        </row>
        <row r="3829">
          <cell r="G3829">
            <v>42491</v>
          </cell>
          <cell r="L3829" t="str">
            <v>09-22-006-12W2</v>
          </cell>
          <cell r="O3829">
            <v>875.2</v>
          </cell>
          <cell r="Q3829">
            <v>2.34</v>
          </cell>
          <cell r="T3829">
            <v>135.869</v>
          </cell>
        </row>
        <row r="3830">
          <cell r="G3830">
            <v>42491</v>
          </cell>
          <cell r="L3830" t="str">
            <v>16-29-006-12W2</v>
          </cell>
          <cell r="O3830">
            <v>875.5</v>
          </cell>
          <cell r="Q3830">
            <v>2.21</v>
          </cell>
          <cell r="T3830">
            <v>131.76499999999999</v>
          </cell>
        </row>
        <row r="3831">
          <cell r="G3831">
            <v>42491</v>
          </cell>
          <cell r="L3831" t="str">
            <v>05-31-006-13W2</v>
          </cell>
          <cell r="O3831">
            <v>809.4</v>
          </cell>
          <cell r="Q3831">
            <v>0.19</v>
          </cell>
          <cell r="T3831">
            <v>128.06299999999999</v>
          </cell>
        </row>
        <row r="3832">
          <cell r="G3832">
            <v>42491</v>
          </cell>
          <cell r="L3832" t="str">
            <v>01-01-003-16W2</v>
          </cell>
          <cell r="O3832">
            <v>839.1</v>
          </cell>
          <cell r="Q3832">
            <v>1.1100000000000001</v>
          </cell>
          <cell r="T3832">
            <v>127.035</v>
          </cell>
        </row>
        <row r="3833">
          <cell r="G3833">
            <v>42491</v>
          </cell>
          <cell r="L3833" t="str">
            <v>09-06-010-15W2</v>
          </cell>
          <cell r="O3833">
            <v>870.9</v>
          </cell>
          <cell r="Q3833">
            <v>0.53</v>
          </cell>
          <cell r="T3833">
            <v>126.178</v>
          </cell>
        </row>
        <row r="3834">
          <cell r="G3834">
            <v>42491</v>
          </cell>
          <cell r="L3834" t="str">
            <v>07-10-001-20W2</v>
          </cell>
          <cell r="O3834">
            <v>872.8</v>
          </cell>
          <cell r="Q3834">
            <v>1.8</v>
          </cell>
          <cell r="T3834">
            <v>125.747</v>
          </cell>
        </row>
        <row r="3835">
          <cell r="G3835">
            <v>42491</v>
          </cell>
          <cell r="L3835" t="str">
            <v>07-02-007-12W2</v>
          </cell>
          <cell r="O3835">
            <v>852.3</v>
          </cell>
          <cell r="Q3835">
            <v>1.98</v>
          </cell>
          <cell r="T3835">
            <v>102.066</v>
          </cell>
        </row>
        <row r="3836">
          <cell r="G3836">
            <v>42491</v>
          </cell>
          <cell r="L3836" t="str">
            <v>12-28-006-07W2</v>
          </cell>
          <cell r="O3836">
            <v>907.4</v>
          </cell>
          <cell r="Q3836">
            <v>2.52</v>
          </cell>
          <cell r="T3836">
            <v>101.28100000000001</v>
          </cell>
        </row>
        <row r="3837">
          <cell r="G3837">
            <v>42491</v>
          </cell>
          <cell r="L3837" t="str">
            <v>01-06-004-11W2</v>
          </cell>
          <cell r="O3837">
            <v>880.4</v>
          </cell>
          <cell r="Q3837">
            <v>2.4</v>
          </cell>
          <cell r="T3837">
            <v>99.992000000000004</v>
          </cell>
        </row>
        <row r="3838">
          <cell r="G3838">
            <v>42491</v>
          </cell>
          <cell r="L3838" t="str">
            <v>09-32-006-15W2</v>
          </cell>
          <cell r="O3838">
            <v>889.7</v>
          </cell>
          <cell r="Q3838">
            <v>2.71</v>
          </cell>
          <cell r="T3838">
            <v>73.272999999999996</v>
          </cell>
        </row>
        <row r="3839">
          <cell r="G3839">
            <v>42491</v>
          </cell>
          <cell r="L3839" t="str">
            <v>15-11-008-12W2</v>
          </cell>
          <cell r="O3839">
            <v>901.8</v>
          </cell>
          <cell r="Q3839">
            <v>2.1800000000000002</v>
          </cell>
          <cell r="T3839">
            <v>65.12</v>
          </cell>
        </row>
        <row r="3840">
          <cell r="G3840">
            <v>42491</v>
          </cell>
          <cell r="L3840" t="str">
            <v>05-23-004-07W2</v>
          </cell>
          <cell r="O3840">
            <v>887.3</v>
          </cell>
          <cell r="Q3840">
            <v>2.0699999999999998</v>
          </cell>
          <cell r="T3840">
            <v>64.817999999999998</v>
          </cell>
        </row>
        <row r="3841">
          <cell r="G3841">
            <v>42491</v>
          </cell>
          <cell r="L3841" t="str">
            <v>07-24-006-10W2</v>
          </cell>
          <cell r="O3841">
            <v>881.8</v>
          </cell>
          <cell r="Q3841">
            <v>2.2599999999999998</v>
          </cell>
          <cell r="T3841">
            <v>64.510000000000005</v>
          </cell>
        </row>
        <row r="3842">
          <cell r="G3842">
            <v>42491</v>
          </cell>
          <cell r="L3842" t="str">
            <v>08-34-006-12W2</v>
          </cell>
          <cell r="O3842">
            <v>877.5</v>
          </cell>
          <cell r="Q3842">
            <v>1.89</v>
          </cell>
          <cell r="T3842">
            <v>62.59</v>
          </cell>
        </row>
        <row r="3843">
          <cell r="G3843">
            <v>42491</v>
          </cell>
          <cell r="L3843" t="str">
            <v>14-25-003-09W2</v>
          </cell>
          <cell r="O3843">
            <v>857.6</v>
          </cell>
          <cell r="Q3843">
            <v>1.63</v>
          </cell>
          <cell r="T3843">
            <v>60.779000000000003</v>
          </cell>
        </row>
        <row r="3844">
          <cell r="G3844">
            <v>42491</v>
          </cell>
          <cell r="L3844" t="str">
            <v>06-13-007-10W2</v>
          </cell>
          <cell r="O3844">
            <v>824.6</v>
          </cell>
          <cell r="Q3844">
            <v>0.17</v>
          </cell>
          <cell r="T3844">
            <v>57.784999999999997</v>
          </cell>
        </row>
        <row r="3845">
          <cell r="G3845">
            <v>42491</v>
          </cell>
          <cell r="L3845" t="str">
            <v>01-03-022-57W1</v>
          </cell>
          <cell r="O3845">
            <v>885.2</v>
          </cell>
          <cell r="Q3845">
            <v>0.53</v>
          </cell>
          <cell r="T3845">
            <v>47.92</v>
          </cell>
        </row>
        <row r="3846">
          <cell r="G3846">
            <v>42491</v>
          </cell>
          <cell r="L3846" t="str">
            <v>02-22-009-09W2</v>
          </cell>
          <cell r="O3846">
            <v>885.2</v>
          </cell>
          <cell r="Q3846">
            <v>2.42</v>
          </cell>
          <cell r="T3846">
            <v>38.302999999999997</v>
          </cell>
        </row>
        <row r="3847">
          <cell r="G3847">
            <v>42491</v>
          </cell>
          <cell r="L3847" t="str">
            <v>03-07-007-11W2</v>
          </cell>
          <cell r="O3847">
            <v>807.5</v>
          </cell>
          <cell r="Q3847">
            <v>0.21</v>
          </cell>
          <cell r="T3847">
            <v>36.15</v>
          </cell>
        </row>
        <row r="3848">
          <cell r="G3848">
            <v>42491</v>
          </cell>
          <cell r="L3848" t="str">
            <v>08-03-006-07W2</v>
          </cell>
          <cell r="O3848">
            <v>875.6</v>
          </cell>
          <cell r="Q3848">
            <v>2.0099999999999998</v>
          </cell>
          <cell r="T3848">
            <v>34.493000000000002</v>
          </cell>
        </row>
        <row r="3849">
          <cell r="G3849">
            <v>42491</v>
          </cell>
          <cell r="L3849" t="str">
            <v>09-12-007-09W2</v>
          </cell>
          <cell r="O3849">
            <v>814.3</v>
          </cell>
          <cell r="Q3849">
            <v>0.16</v>
          </cell>
          <cell r="T3849">
            <v>32.527000000000001</v>
          </cell>
        </row>
        <row r="3850">
          <cell r="G3850">
            <v>42491</v>
          </cell>
          <cell r="L3850" t="str">
            <v>14-27-007-08W2</v>
          </cell>
          <cell r="O3850">
            <v>880.2</v>
          </cell>
          <cell r="Q3850">
            <v>2.39</v>
          </cell>
          <cell r="T3850">
            <v>32.195</v>
          </cell>
        </row>
        <row r="3851">
          <cell r="G3851">
            <v>42491</v>
          </cell>
          <cell r="L3851" t="str">
            <v>09-02-159-90W1</v>
          </cell>
          <cell r="O3851">
            <v>890.5</v>
          </cell>
          <cell r="Q3851">
            <v>2.67</v>
          </cell>
          <cell r="T3851">
            <v>31.788</v>
          </cell>
        </row>
        <row r="3852">
          <cell r="G3852">
            <v>42491</v>
          </cell>
          <cell r="L3852" t="str">
            <v>01-19-004-12W2</v>
          </cell>
          <cell r="O3852">
            <v>896.2</v>
          </cell>
          <cell r="Q3852">
            <v>2.59</v>
          </cell>
          <cell r="T3852">
            <v>31.54</v>
          </cell>
        </row>
        <row r="3853">
          <cell r="G3853">
            <v>42491</v>
          </cell>
          <cell r="L3853" t="str">
            <v>01-04-153-01W1</v>
          </cell>
          <cell r="O3853">
            <v>803.7</v>
          </cell>
          <cell r="Q3853">
            <v>0.83</v>
          </cell>
          <cell r="T3853">
            <v>30.331</v>
          </cell>
        </row>
        <row r="3854">
          <cell r="G3854">
            <v>42491</v>
          </cell>
          <cell r="L3854" t="str">
            <v>01-35-163-84W1</v>
          </cell>
          <cell r="O3854">
            <v>875.4</v>
          </cell>
          <cell r="Q3854">
            <v>2.33</v>
          </cell>
          <cell r="T3854">
            <v>30.256</v>
          </cell>
        </row>
        <row r="3855">
          <cell r="G3855">
            <v>42491</v>
          </cell>
          <cell r="L3855" t="str">
            <v>04-27-032-56W1</v>
          </cell>
          <cell r="O3855">
            <v>804.4</v>
          </cell>
          <cell r="Q3855">
            <v>0.25</v>
          </cell>
          <cell r="T3855">
            <v>29.245000000000001</v>
          </cell>
        </row>
        <row r="3856">
          <cell r="G3856">
            <v>42491</v>
          </cell>
          <cell r="L3856" t="str">
            <v>01-23-155-91W1</v>
          </cell>
          <cell r="O3856">
            <v>880.6</v>
          </cell>
          <cell r="Q3856">
            <v>1.85</v>
          </cell>
          <cell r="T3856">
            <v>28.963000000000001</v>
          </cell>
        </row>
        <row r="3857">
          <cell r="G3857">
            <v>42491</v>
          </cell>
          <cell r="L3857" t="str">
            <v>01-03-028-58W1</v>
          </cell>
          <cell r="O3857">
            <v>852.3</v>
          </cell>
          <cell r="Q3857">
            <v>0.89</v>
          </cell>
          <cell r="T3857">
            <v>28.175999999999998</v>
          </cell>
        </row>
        <row r="3858">
          <cell r="G3858">
            <v>42491</v>
          </cell>
          <cell r="L3858" t="str">
            <v>01-35-162-03W1</v>
          </cell>
          <cell r="O3858">
            <v>879.4</v>
          </cell>
          <cell r="Q3858">
            <v>0.17</v>
          </cell>
          <cell r="T3858">
            <v>27.247</v>
          </cell>
        </row>
        <row r="3859">
          <cell r="G3859">
            <v>42491</v>
          </cell>
          <cell r="L3859" t="str">
            <v>01-27-004-07W2</v>
          </cell>
          <cell r="O3859">
            <v>891.5</v>
          </cell>
          <cell r="Q3859">
            <v>2.0299999999999998</v>
          </cell>
          <cell r="T3859">
            <v>25.83</v>
          </cell>
        </row>
        <row r="3860">
          <cell r="G3860">
            <v>42491</v>
          </cell>
          <cell r="L3860" t="str">
            <v>11-25-005-12W2</v>
          </cell>
          <cell r="O3860">
            <v>874.8</v>
          </cell>
          <cell r="Q3860">
            <v>2.12</v>
          </cell>
          <cell r="T3860">
            <v>2392.5720000000001</v>
          </cell>
        </row>
        <row r="3861">
          <cell r="G3861">
            <v>42491</v>
          </cell>
          <cell r="L3861" t="str">
            <v>12-30-005-07W2</v>
          </cell>
          <cell r="O3861">
            <v>890.7</v>
          </cell>
          <cell r="Q3861">
            <v>2.44</v>
          </cell>
          <cell r="T3861">
            <v>1197.068</v>
          </cell>
        </row>
        <row r="3862">
          <cell r="G3862">
            <v>42491</v>
          </cell>
          <cell r="L3862" t="str">
            <v>16-18-003-15W2</v>
          </cell>
          <cell r="O3862">
            <v>885.7</v>
          </cell>
          <cell r="Q3862">
            <v>2.29</v>
          </cell>
          <cell r="T3862">
            <v>1009.167</v>
          </cell>
        </row>
        <row r="3863">
          <cell r="G3863">
            <v>42491</v>
          </cell>
          <cell r="L3863" t="str">
            <v>11-31-006-08W2</v>
          </cell>
          <cell r="O3863">
            <v>889.4</v>
          </cell>
          <cell r="Q3863">
            <v>2.46</v>
          </cell>
          <cell r="T3863">
            <v>419.82</v>
          </cell>
        </row>
        <row r="3864">
          <cell r="G3864">
            <v>42491</v>
          </cell>
          <cell r="L3864" t="str">
            <v>14-21-001-12W2</v>
          </cell>
          <cell r="O3864">
            <v>809.1</v>
          </cell>
          <cell r="Q3864">
            <v>0.14000000000000001</v>
          </cell>
          <cell r="T3864">
            <v>413.87200000000001</v>
          </cell>
        </row>
        <row r="3865">
          <cell r="G3865">
            <v>42491</v>
          </cell>
          <cell r="L3865" t="str">
            <v>16-22-001-12W2</v>
          </cell>
          <cell r="O3865">
            <v>815.6</v>
          </cell>
          <cell r="Q3865">
            <v>0.16</v>
          </cell>
          <cell r="T3865">
            <v>373.71699999999998</v>
          </cell>
        </row>
        <row r="3866">
          <cell r="G3866">
            <v>42491</v>
          </cell>
          <cell r="L3866" t="str">
            <v>06-20-006-09W2</v>
          </cell>
          <cell r="O3866">
            <v>880.2</v>
          </cell>
          <cell r="Q3866">
            <v>2.23</v>
          </cell>
          <cell r="T3866">
            <v>328.96300000000002</v>
          </cell>
        </row>
        <row r="3867">
          <cell r="G3867">
            <v>42491</v>
          </cell>
          <cell r="L3867" t="str">
            <v>05-23-005-13W2</v>
          </cell>
          <cell r="O3867">
            <v>901.8</v>
          </cell>
          <cell r="Q3867">
            <v>2.72</v>
          </cell>
          <cell r="T3867">
            <v>315.37299999999999</v>
          </cell>
        </row>
        <row r="3868">
          <cell r="G3868">
            <v>42491</v>
          </cell>
          <cell r="L3868" t="str">
            <v>13-24-001-16W2</v>
          </cell>
          <cell r="O3868">
            <v>806.8</v>
          </cell>
          <cell r="Q3868">
            <v>0.39</v>
          </cell>
          <cell r="T3868">
            <v>255.797</v>
          </cell>
        </row>
        <row r="3869">
          <cell r="G3869">
            <v>42491</v>
          </cell>
          <cell r="L3869" t="str">
            <v>14-27-001-12W2</v>
          </cell>
          <cell r="O3869">
            <v>817.4</v>
          </cell>
          <cell r="Q3869">
            <v>0.25</v>
          </cell>
          <cell r="T3869">
            <v>146.38399999999999</v>
          </cell>
        </row>
        <row r="3870">
          <cell r="G3870">
            <v>42491</v>
          </cell>
          <cell r="L3870" t="str">
            <v>13-29-001-15W2</v>
          </cell>
          <cell r="O3870">
            <v>805.6</v>
          </cell>
          <cell r="Q3870">
            <v>0.22</v>
          </cell>
          <cell r="T3870">
            <v>113.53700000000001</v>
          </cell>
        </row>
        <row r="3871">
          <cell r="G3871">
            <v>42491</v>
          </cell>
          <cell r="L3871" t="str">
            <v>13-34-001-13W2</v>
          </cell>
          <cell r="O3871">
            <v>819.7</v>
          </cell>
          <cell r="Q3871">
            <v>0.2</v>
          </cell>
          <cell r="T3871">
            <v>88.522999999999996</v>
          </cell>
        </row>
        <row r="3872">
          <cell r="G3872">
            <v>42491</v>
          </cell>
          <cell r="L3872" t="str">
            <v>13-22-001-12W2</v>
          </cell>
          <cell r="O3872">
            <v>807.8</v>
          </cell>
          <cell r="Q3872">
            <v>0.12</v>
          </cell>
          <cell r="T3872">
            <v>81.716999999999999</v>
          </cell>
        </row>
        <row r="3873">
          <cell r="G3873">
            <v>42491</v>
          </cell>
          <cell r="L3873" t="str">
            <v>16-34-001-15W2</v>
          </cell>
          <cell r="O3873">
            <v>808.1</v>
          </cell>
          <cell r="Q3873">
            <v>0.22</v>
          </cell>
          <cell r="T3873">
            <v>61.133000000000003</v>
          </cell>
        </row>
        <row r="3874">
          <cell r="G3874">
            <v>42491</v>
          </cell>
          <cell r="L3874" t="str">
            <v>15-06-006-21W2</v>
          </cell>
          <cell r="O3874">
            <v>824.1</v>
          </cell>
          <cell r="Q3874">
            <v>0.18</v>
          </cell>
          <cell r="T3874">
            <v>32.198999999999998</v>
          </cell>
        </row>
        <row r="3875">
          <cell r="G3875">
            <v>42491</v>
          </cell>
          <cell r="L3875" t="str">
            <v>15-29-005-15W2</v>
          </cell>
          <cell r="O3875">
            <v>890.1</v>
          </cell>
          <cell r="Q3875">
            <v>2.64</v>
          </cell>
          <cell r="T3875">
            <v>4422.567</v>
          </cell>
        </row>
        <row r="3876">
          <cell r="G3876">
            <v>42491</v>
          </cell>
          <cell r="L3876" t="str">
            <v>04-24-005-15W2</v>
          </cell>
          <cell r="O3876">
            <v>892.6</v>
          </cell>
          <cell r="Q3876">
            <v>2.75</v>
          </cell>
          <cell r="T3876">
            <v>1500.961</v>
          </cell>
        </row>
        <row r="3877">
          <cell r="G3877">
            <v>42491</v>
          </cell>
          <cell r="L3877" t="str">
            <v>09-34-005-15W2</v>
          </cell>
          <cell r="O3877">
            <v>878.4</v>
          </cell>
          <cell r="Q3877">
            <v>2.64</v>
          </cell>
          <cell r="T3877">
            <v>992.13199999999995</v>
          </cell>
        </row>
        <row r="3878">
          <cell r="G3878">
            <v>42491</v>
          </cell>
          <cell r="L3878" t="str">
            <v>06-17-006-14W2</v>
          </cell>
          <cell r="O3878">
            <v>870.5</v>
          </cell>
          <cell r="Q3878">
            <v>1.72</v>
          </cell>
          <cell r="T3878">
            <v>3833.5390000000002</v>
          </cell>
        </row>
        <row r="3879">
          <cell r="G3879">
            <v>42491</v>
          </cell>
          <cell r="L3879" t="str">
            <v>03-15-005-13W2</v>
          </cell>
          <cell r="O3879">
            <v>897</v>
          </cell>
          <cell r="Q3879">
            <v>2.85</v>
          </cell>
          <cell r="T3879">
            <v>359.55700000000002</v>
          </cell>
        </row>
        <row r="3880">
          <cell r="G3880">
            <v>42491</v>
          </cell>
          <cell r="L3880" t="str">
            <v>12-13-006-13W2</v>
          </cell>
          <cell r="O3880">
            <v>875.2</v>
          </cell>
          <cell r="Q3880">
            <v>2.4700000000000002</v>
          </cell>
          <cell r="T3880">
            <v>307.71499999999997</v>
          </cell>
        </row>
        <row r="3881">
          <cell r="G3881">
            <v>42491</v>
          </cell>
          <cell r="L3881" t="str">
            <v>10-11-005-14W2</v>
          </cell>
          <cell r="O3881">
            <v>900.4</v>
          </cell>
          <cell r="Q3881">
            <v>2.92</v>
          </cell>
          <cell r="T3881">
            <v>305.25599999999997</v>
          </cell>
        </row>
        <row r="3882">
          <cell r="G3882">
            <v>42491</v>
          </cell>
          <cell r="L3882" t="str">
            <v>15-19-005-13W2</v>
          </cell>
          <cell r="O3882">
            <v>895</v>
          </cell>
          <cell r="Q3882">
            <v>2.64</v>
          </cell>
          <cell r="T3882">
            <v>234.91399999999999</v>
          </cell>
        </row>
        <row r="3883">
          <cell r="G3883">
            <v>42491</v>
          </cell>
          <cell r="L3883" t="str">
            <v>08-23-005-14W2</v>
          </cell>
          <cell r="O3883">
            <v>882.2</v>
          </cell>
          <cell r="Q3883">
            <v>2.52</v>
          </cell>
          <cell r="T3883">
            <v>92.427999999999997</v>
          </cell>
        </row>
        <row r="3884">
          <cell r="G3884">
            <v>42491</v>
          </cell>
          <cell r="L3884" t="str">
            <v>01-03-006-14W2</v>
          </cell>
          <cell r="O3884">
            <v>816.3</v>
          </cell>
          <cell r="Q3884">
            <v>2.37</v>
          </cell>
          <cell r="T3884">
            <v>4.4139999999999997</v>
          </cell>
        </row>
        <row r="3885">
          <cell r="G3885">
            <v>42491</v>
          </cell>
          <cell r="L3885" t="str">
            <v>11-12-006-15W2</v>
          </cell>
          <cell r="O3885">
            <v>872</v>
          </cell>
          <cell r="Q3885">
            <v>2.2999999999999998</v>
          </cell>
          <cell r="T3885">
            <v>7741.1940000000004</v>
          </cell>
        </row>
        <row r="3886">
          <cell r="G3886">
            <v>42491</v>
          </cell>
          <cell r="L3886" t="str">
            <v>07-24-006-15W2</v>
          </cell>
          <cell r="O3886">
            <v>872.3</v>
          </cell>
          <cell r="Q3886">
            <v>2.27</v>
          </cell>
          <cell r="T3886">
            <v>1119.328</v>
          </cell>
        </row>
        <row r="3887">
          <cell r="G3887">
            <v>42491</v>
          </cell>
          <cell r="L3887" t="str">
            <v>07-07-006-15W2</v>
          </cell>
          <cell r="O3887">
            <v>872.2</v>
          </cell>
          <cell r="Q3887">
            <v>2.59</v>
          </cell>
          <cell r="T3887">
            <v>7696.8040000000001</v>
          </cell>
        </row>
        <row r="3888">
          <cell r="G3888">
            <v>42491</v>
          </cell>
          <cell r="L3888" t="str">
            <v>12-30-006-15W2</v>
          </cell>
          <cell r="O3888">
            <v>886.8</v>
          </cell>
          <cell r="Q3888">
            <v>2.8</v>
          </cell>
          <cell r="T3888">
            <v>4411.6440000000002</v>
          </cell>
        </row>
        <row r="3889">
          <cell r="G3889">
            <v>42491</v>
          </cell>
          <cell r="L3889" t="str">
            <v>31-30-164-92W1</v>
          </cell>
          <cell r="O3889">
            <v>830.9</v>
          </cell>
          <cell r="Q3889">
            <v>0.57999999999999996</v>
          </cell>
          <cell r="T3889">
            <v>2485.3580000000002</v>
          </cell>
        </row>
        <row r="3890">
          <cell r="G3890">
            <v>42491</v>
          </cell>
          <cell r="L3890" t="str">
            <v>12-11-001-10W2</v>
          </cell>
          <cell r="O3890">
            <v>818.6</v>
          </cell>
          <cell r="Q3890">
            <v>0.21</v>
          </cell>
          <cell r="T3890">
            <v>2342.2220000000002</v>
          </cell>
        </row>
        <row r="3891">
          <cell r="G3891">
            <v>42491</v>
          </cell>
          <cell r="L3891" t="str">
            <v>12-32-006-04W2</v>
          </cell>
          <cell r="O3891">
            <v>858.2</v>
          </cell>
          <cell r="Q3891">
            <v>1.68</v>
          </cell>
          <cell r="T3891">
            <v>1998.175</v>
          </cell>
        </row>
        <row r="3892">
          <cell r="G3892">
            <v>42491</v>
          </cell>
          <cell r="L3892" t="str">
            <v>11-12-007-04W2</v>
          </cell>
          <cell r="O3892">
            <v>854.3</v>
          </cell>
          <cell r="Q3892">
            <v>1.42</v>
          </cell>
          <cell r="T3892">
            <v>1764.847</v>
          </cell>
        </row>
        <row r="3893">
          <cell r="G3893">
            <v>42491</v>
          </cell>
          <cell r="L3893" t="str">
            <v>16-19-002-04W2</v>
          </cell>
          <cell r="O3893">
            <v>829.7</v>
          </cell>
          <cell r="Q3893">
            <v>0.5</v>
          </cell>
          <cell r="T3893">
            <v>1574.9059999999999</v>
          </cell>
        </row>
        <row r="3894">
          <cell r="G3894">
            <v>42491</v>
          </cell>
          <cell r="L3894" t="str">
            <v>02-31-145-98W1</v>
          </cell>
          <cell r="O3894">
            <v>813.8</v>
          </cell>
          <cell r="Q3894">
            <v>0.41</v>
          </cell>
          <cell r="T3894">
            <v>1048.4839999999999</v>
          </cell>
        </row>
        <row r="3895">
          <cell r="G3895">
            <v>42491</v>
          </cell>
          <cell r="L3895" t="str">
            <v>02-05-163-92W1</v>
          </cell>
          <cell r="O3895">
            <v>833.1</v>
          </cell>
          <cell r="Q3895">
            <v>0.54</v>
          </cell>
          <cell r="T3895">
            <v>966.37599999999998</v>
          </cell>
        </row>
        <row r="3896">
          <cell r="G3896">
            <v>42491</v>
          </cell>
          <cell r="L3896" t="str">
            <v>03-10-145-98W1</v>
          </cell>
          <cell r="O3896">
            <v>816.1</v>
          </cell>
          <cell r="Q3896">
            <v>0.37</v>
          </cell>
          <cell r="T3896">
            <v>933.221</v>
          </cell>
        </row>
        <row r="3897">
          <cell r="G3897">
            <v>42491</v>
          </cell>
          <cell r="L3897" t="str">
            <v>01-19-145-98W1</v>
          </cell>
          <cell r="O3897">
            <v>814.9</v>
          </cell>
          <cell r="Q3897">
            <v>0.36</v>
          </cell>
          <cell r="T3897">
            <v>578.92499999999995</v>
          </cell>
        </row>
        <row r="3898">
          <cell r="G3898">
            <v>42491</v>
          </cell>
          <cell r="L3898" t="str">
            <v>09-20-006-04W2</v>
          </cell>
          <cell r="O3898">
            <v>852.6</v>
          </cell>
          <cell r="Q3898">
            <v>1.57</v>
          </cell>
          <cell r="T3898">
            <v>478.27300000000002</v>
          </cell>
        </row>
        <row r="3899">
          <cell r="G3899">
            <v>42491</v>
          </cell>
          <cell r="L3899" t="str">
            <v>01-05-163-92W1</v>
          </cell>
          <cell r="O3899">
            <v>842.1</v>
          </cell>
          <cell r="Q3899">
            <v>0.53</v>
          </cell>
          <cell r="T3899">
            <v>371.87799999999999</v>
          </cell>
        </row>
        <row r="3900">
          <cell r="G3900">
            <v>42491</v>
          </cell>
          <cell r="L3900" t="str">
            <v>01-13-152-95W1</v>
          </cell>
          <cell r="O3900">
            <v>833.8</v>
          </cell>
          <cell r="Q3900">
            <v>0.13</v>
          </cell>
          <cell r="T3900">
            <v>354.416</v>
          </cell>
        </row>
        <row r="3901">
          <cell r="G3901">
            <v>42491</v>
          </cell>
          <cell r="L3901" t="str">
            <v>01-02-021-58W1</v>
          </cell>
          <cell r="O3901">
            <v>830.1</v>
          </cell>
          <cell r="Q3901">
            <v>0.46</v>
          </cell>
          <cell r="T3901">
            <v>317.78100000000001</v>
          </cell>
        </row>
        <row r="3902">
          <cell r="G3902">
            <v>42491</v>
          </cell>
          <cell r="L3902" t="str">
            <v>02-34-143-100W1</v>
          </cell>
          <cell r="O3902">
            <v>827.6</v>
          </cell>
          <cell r="Q3902">
            <v>0.33</v>
          </cell>
          <cell r="T3902">
            <v>275.78899999999999</v>
          </cell>
        </row>
        <row r="3903">
          <cell r="G3903">
            <v>42491</v>
          </cell>
          <cell r="L3903" t="str">
            <v>01-31-164-98W1</v>
          </cell>
          <cell r="O3903">
            <v>819.5</v>
          </cell>
          <cell r="Q3903">
            <v>0.19</v>
          </cell>
          <cell r="T3903">
            <v>268.113</v>
          </cell>
        </row>
        <row r="3904">
          <cell r="G3904">
            <v>42491</v>
          </cell>
          <cell r="L3904" t="str">
            <v>01-03-163-92W1</v>
          </cell>
          <cell r="O3904">
            <v>813.4</v>
          </cell>
          <cell r="Q3904">
            <v>0.46</v>
          </cell>
          <cell r="T3904">
            <v>259.81299999999999</v>
          </cell>
        </row>
        <row r="3905">
          <cell r="G3905">
            <v>42491</v>
          </cell>
          <cell r="L3905" t="str">
            <v>09-19-004-04W2</v>
          </cell>
          <cell r="O3905">
            <v>850.1</v>
          </cell>
          <cell r="Q3905">
            <v>1.23</v>
          </cell>
          <cell r="T3905">
            <v>251.785</v>
          </cell>
        </row>
        <row r="3906">
          <cell r="G3906">
            <v>42491</v>
          </cell>
          <cell r="L3906" t="str">
            <v>13-19-001-03W2</v>
          </cell>
          <cell r="O3906">
            <v>835.6</v>
          </cell>
          <cell r="Q3906">
            <v>0.59</v>
          </cell>
          <cell r="T3906">
            <v>245.80500000000001</v>
          </cell>
        </row>
        <row r="3907">
          <cell r="G3907">
            <v>42491</v>
          </cell>
          <cell r="L3907" t="str">
            <v>24-06-158-95W1</v>
          </cell>
          <cell r="O3907">
            <v>810.1</v>
          </cell>
          <cell r="Q3907">
            <v>0.12</v>
          </cell>
          <cell r="T3907">
            <v>222.28700000000001</v>
          </cell>
        </row>
        <row r="3908">
          <cell r="G3908">
            <v>42491</v>
          </cell>
          <cell r="L3908" t="str">
            <v>02-30-147-97W1</v>
          </cell>
          <cell r="O3908">
            <v>809.4</v>
          </cell>
          <cell r="Q3908">
            <v>0.45</v>
          </cell>
          <cell r="T3908">
            <v>210.96899999999999</v>
          </cell>
        </row>
        <row r="3909">
          <cell r="G3909">
            <v>42491</v>
          </cell>
          <cell r="L3909" t="str">
            <v>07-04-005-04W2</v>
          </cell>
          <cell r="O3909">
            <v>834.4</v>
          </cell>
          <cell r="Q3909">
            <v>0.84</v>
          </cell>
          <cell r="T3909">
            <v>197.44900000000001</v>
          </cell>
        </row>
        <row r="3910">
          <cell r="G3910">
            <v>42491</v>
          </cell>
          <cell r="L3910" t="str">
            <v>05-25-147-98W1</v>
          </cell>
          <cell r="O3910">
            <v>815.5</v>
          </cell>
          <cell r="Q3910">
            <v>0.46</v>
          </cell>
          <cell r="T3910">
            <v>186.59200000000001</v>
          </cell>
        </row>
        <row r="3911">
          <cell r="G3911">
            <v>42491</v>
          </cell>
          <cell r="L3911" t="str">
            <v>01-28-142-100W1</v>
          </cell>
          <cell r="O3911">
            <v>824.5</v>
          </cell>
          <cell r="Q3911">
            <v>0.38</v>
          </cell>
          <cell r="T3911">
            <v>180.86099999999999</v>
          </cell>
        </row>
        <row r="3912">
          <cell r="G3912">
            <v>42491</v>
          </cell>
          <cell r="L3912" t="str">
            <v>04-23-006-07W2</v>
          </cell>
          <cell r="O3912">
            <v>868.3</v>
          </cell>
          <cell r="Q3912">
            <v>1.77</v>
          </cell>
          <cell r="T3912">
            <v>180.59</v>
          </cell>
        </row>
        <row r="3913">
          <cell r="G3913">
            <v>42491</v>
          </cell>
          <cell r="L3913" t="str">
            <v>01-17-143-101W1</v>
          </cell>
          <cell r="O3913">
            <v>831.9</v>
          </cell>
          <cell r="Q3913">
            <v>0.51</v>
          </cell>
          <cell r="T3913">
            <v>179.78700000000001</v>
          </cell>
        </row>
        <row r="3914">
          <cell r="G3914">
            <v>42491</v>
          </cell>
          <cell r="L3914" t="str">
            <v>01-03-163-99W1</v>
          </cell>
          <cell r="O3914">
            <v>832.2</v>
          </cell>
          <cell r="Q3914">
            <v>0.11</v>
          </cell>
          <cell r="T3914">
            <v>174.589</v>
          </cell>
        </row>
        <row r="3915">
          <cell r="G3915">
            <v>42491</v>
          </cell>
          <cell r="L3915" t="str">
            <v>04-25-144-98W1</v>
          </cell>
          <cell r="O3915">
            <v>818.9</v>
          </cell>
          <cell r="Q3915">
            <v>0.48</v>
          </cell>
          <cell r="T3915">
            <v>173.08799999999999</v>
          </cell>
        </row>
        <row r="3916">
          <cell r="G3916">
            <v>42491</v>
          </cell>
          <cell r="L3916" t="str">
            <v>01-25-156-93W1</v>
          </cell>
          <cell r="O3916">
            <v>809.5</v>
          </cell>
          <cell r="Q3916">
            <v>0.16</v>
          </cell>
          <cell r="T3916">
            <v>160.38200000000001</v>
          </cell>
        </row>
        <row r="3917">
          <cell r="G3917">
            <v>42491</v>
          </cell>
          <cell r="L3917" t="str">
            <v>01-33-141-100W1</v>
          </cell>
          <cell r="O3917">
            <v>819.6</v>
          </cell>
          <cell r="Q3917">
            <v>0.41</v>
          </cell>
          <cell r="T3917">
            <v>152.57300000000001</v>
          </cell>
        </row>
        <row r="3918">
          <cell r="G3918">
            <v>42491</v>
          </cell>
          <cell r="L3918" t="str">
            <v>01-09-143-101W1</v>
          </cell>
          <cell r="O3918">
            <v>834.1</v>
          </cell>
          <cell r="Q3918">
            <v>0.51</v>
          </cell>
          <cell r="T3918">
            <v>151.12899999999999</v>
          </cell>
        </row>
        <row r="3919">
          <cell r="G3919">
            <v>42491</v>
          </cell>
          <cell r="L3919" t="str">
            <v>35-26-164-97W1</v>
          </cell>
          <cell r="O3919">
            <v>836.6</v>
          </cell>
          <cell r="Q3919">
            <v>0.1</v>
          </cell>
          <cell r="T3919">
            <v>149.30600000000001</v>
          </cell>
        </row>
        <row r="3920">
          <cell r="G3920">
            <v>42491</v>
          </cell>
          <cell r="L3920" t="str">
            <v>01-28-141-100W1</v>
          </cell>
          <cell r="O3920">
            <v>826.7</v>
          </cell>
          <cell r="Q3920">
            <v>0.38</v>
          </cell>
          <cell r="T3920">
            <v>146.27699999999999</v>
          </cell>
        </row>
        <row r="3921">
          <cell r="G3921">
            <v>42491</v>
          </cell>
          <cell r="L3921" t="str">
            <v>12-03-146-100W1</v>
          </cell>
          <cell r="O3921">
            <v>834.7</v>
          </cell>
          <cell r="Q3921">
            <v>0.47</v>
          </cell>
          <cell r="T3921">
            <v>132.40600000000001</v>
          </cell>
        </row>
        <row r="3922">
          <cell r="G3922">
            <v>42491</v>
          </cell>
          <cell r="L3922" t="str">
            <v>01-18-145-97W1</v>
          </cell>
          <cell r="O3922">
            <v>819.2</v>
          </cell>
          <cell r="Q3922">
            <v>0.44</v>
          </cell>
          <cell r="T3922">
            <v>130.77500000000001</v>
          </cell>
        </row>
        <row r="3923">
          <cell r="G3923">
            <v>42491</v>
          </cell>
          <cell r="L3923" t="str">
            <v>14-23-163-96W1</v>
          </cell>
          <cell r="O3923">
            <v>823.1</v>
          </cell>
          <cell r="Q3923">
            <v>0.1</v>
          </cell>
          <cell r="T3923">
            <v>128.69999999999999</v>
          </cell>
        </row>
        <row r="3924">
          <cell r="G3924">
            <v>42491</v>
          </cell>
          <cell r="L3924" t="str">
            <v>01-20-147-97W1</v>
          </cell>
          <cell r="O3924">
            <v>826.4</v>
          </cell>
          <cell r="Q3924">
            <v>0.7</v>
          </cell>
          <cell r="T3924">
            <v>127.68300000000001</v>
          </cell>
        </row>
        <row r="3925">
          <cell r="G3925">
            <v>42491</v>
          </cell>
          <cell r="L3925" t="str">
            <v>06-06-162-96W1</v>
          </cell>
          <cell r="O3925">
            <v>834.7</v>
          </cell>
          <cell r="Q3925">
            <v>0.15</v>
          </cell>
          <cell r="T3925">
            <v>125.07</v>
          </cell>
        </row>
        <row r="3926">
          <cell r="G3926">
            <v>42491</v>
          </cell>
          <cell r="L3926" t="str">
            <v>01-22-142-100W1</v>
          </cell>
          <cell r="O3926">
            <v>820.8</v>
          </cell>
          <cell r="Q3926">
            <v>0.31</v>
          </cell>
          <cell r="T3926">
            <v>124.553</v>
          </cell>
        </row>
        <row r="3927">
          <cell r="G3927">
            <v>42491</v>
          </cell>
          <cell r="L3927" t="str">
            <v>01-02-151-102W1</v>
          </cell>
          <cell r="O3927">
            <v>830.4</v>
          </cell>
          <cell r="Q3927">
            <v>0.34</v>
          </cell>
          <cell r="T3927">
            <v>121.431</v>
          </cell>
        </row>
        <row r="3928">
          <cell r="G3928">
            <v>42491</v>
          </cell>
          <cell r="L3928" t="str">
            <v>07-22-003-03W2</v>
          </cell>
          <cell r="O3928">
            <v>827.2</v>
          </cell>
          <cell r="Q3928">
            <v>0.6</v>
          </cell>
          <cell r="T3928">
            <v>109.071</v>
          </cell>
        </row>
        <row r="3929">
          <cell r="G3929">
            <v>42491</v>
          </cell>
          <cell r="L3929" t="str">
            <v>01-03-155-91W1</v>
          </cell>
          <cell r="O3929">
            <v>863.3</v>
          </cell>
          <cell r="Q3929">
            <v>1.27</v>
          </cell>
          <cell r="T3929">
            <v>107.449</v>
          </cell>
        </row>
        <row r="3930">
          <cell r="G3930">
            <v>42491</v>
          </cell>
          <cell r="L3930" t="str">
            <v>01-03-162-92W1</v>
          </cell>
          <cell r="O3930">
            <v>840.3</v>
          </cell>
          <cell r="Q3930">
            <v>0.5</v>
          </cell>
          <cell r="T3930">
            <v>103.08499999999999</v>
          </cell>
        </row>
        <row r="3931">
          <cell r="G3931">
            <v>42491</v>
          </cell>
          <cell r="L3931" t="str">
            <v>03-25-147-98W1</v>
          </cell>
          <cell r="O3931">
            <v>811.2</v>
          </cell>
          <cell r="Q3931">
            <v>0.42</v>
          </cell>
          <cell r="T3931">
            <v>96.762</v>
          </cell>
        </row>
        <row r="3932">
          <cell r="G3932">
            <v>42491</v>
          </cell>
          <cell r="L3932" t="str">
            <v>08-31-007-07W2</v>
          </cell>
          <cell r="O3932">
            <v>867.3</v>
          </cell>
          <cell r="Q3932">
            <v>1.88</v>
          </cell>
          <cell r="T3932">
            <v>93.555000000000007</v>
          </cell>
        </row>
        <row r="3933">
          <cell r="G3933">
            <v>42491</v>
          </cell>
          <cell r="L3933" t="str">
            <v>01-30-147-97W1</v>
          </cell>
          <cell r="O3933">
            <v>817.6</v>
          </cell>
          <cell r="Q3933">
            <v>0.54</v>
          </cell>
          <cell r="T3933">
            <v>92.012</v>
          </cell>
        </row>
        <row r="3934">
          <cell r="G3934">
            <v>42491</v>
          </cell>
          <cell r="L3934" t="str">
            <v>02-30-004-05W2</v>
          </cell>
          <cell r="O3934">
            <v>841.6</v>
          </cell>
          <cell r="Q3934">
            <v>0.78</v>
          </cell>
          <cell r="T3934">
            <v>85.73</v>
          </cell>
        </row>
        <row r="3935">
          <cell r="G3935">
            <v>42491</v>
          </cell>
          <cell r="L3935" t="str">
            <v>05-01-144-97W1</v>
          </cell>
          <cell r="O3935">
            <v>823.3</v>
          </cell>
          <cell r="Q3935">
            <v>0.51</v>
          </cell>
          <cell r="T3935">
            <v>78.256</v>
          </cell>
        </row>
        <row r="3936">
          <cell r="G3936">
            <v>42491</v>
          </cell>
          <cell r="L3936" t="str">
            <v>01-55-159-94W1</v>
          </cell>
          <cell r="O3936">
            <v>820.9</v>
          </cell>
          <cell r="Q3936">
            <v>0.38</v>
          </cell>
          <cell r="T3936">
            <v>77.45</v>
          </cell>
        </row>
        <row r="3937">
          <cell r="G3937">
            <v>42491</v>
          </cell>
          <cell r="L3937" t="str">
            <v>10-01-157-95W1</v>
          </cell>
          <cell r="O3937">
            <v>828.2</v>
          </cell>
          <cell r="Q3937">
            <v>0.69</v>
          </cell>
          <cell r="T3937">
            <v>77.05</v>
          </cell>
        </row>
        <row r="3938">
          <cell r="G3938">
            <v>42491</v>
          </cell>
          <cell r="L3938" t="str">
            <v>01-08-162-95W1</v>
          </cell>
          <cell r="O3938">
            <v>853</v>
          </cell>
          <cell r="Q3938">
            <v>0.95</v>
          </cell>
          <cell r="T3938">
            <v>75.915999999999997</v>
          </cell>
        </row>
        <row r="3939">
          <cell r="G3939">
            <v>42491</v>
          </cell>
          <cell r="L3939" t="str">
            <v>08-22-002-09W2</v>
          </cell>
          <cell r="O3939">
            <v>841.2</v>
          </cell>
          <cell r="Q3939">
            <v>0.27</v>
          </cell>
          <cell r="T3939">
            <v>75.319999999999993</v>
          </cell>
        </row>
        <row r="3940">
          <cell r="G3940">
            <v>42491</v>
          </cell>
          <cell r="L3940" t="str">
            <v>07-29-009-04W2</v>
          </cell>
          <cell r="O3940">
            <v>839.9</v>
          </cell>
          <cell r="Q3940">
            <v>1.1399999999999999</v>
          </cell>
          <cell r="T3940">
            <v>74.25</v>
          </cell>
        </row>
        <row r="3941">
          <cell r="G3941">
            <v>42491</v>
          </cell>
          <cell r="L3941" t="str">
            <v>01-34-159-95W1</v>
          </cell>
          <cell r="O3941">
            <v>833.9</v>
          </cell>
          <cell r="Q3941">
            <v>0.56999999999999995</v>
          </cell>
          <cell r="T3941">
            <v>69.102999999999994</v>
          </cell>
        </row>
        <row r="3942">
          <cell r="G3942">
            <v>42491</v>
          </cell>
          <cell r="L3942" t="str">
            <v>15-04-143-101W1</v>
          </cell>
          <cell r="O3942">
            <v>835.7</v>
          </cell>
          <cell r="Q3942">
            <v>0.51</v>
          </cell>
          <cell r="T3942">
            <v>68.096000000000004</v>
          </cell>
        </row>
        <row r="3943">
          <cell r="G3943">
            <v>42491</v>
          </cell>
          <cell r="L3943" t="str">
            <v>02-09-142-100W1</v>
          </cell>
          <cell r="O3943">
            <v>824.9</v>
          </cell>
          <cell r="Q3943">
            <v>0.45</v>
          </cell>
          <cell r="T3943">
            <v>66.117000000000004</v>
          </cell>
        </row>
        <row r="3944">
          <cell r="G3944">
            <v>42491</v>
          </cell>
          <cell r="L3944" t="str">
            <v>01-26-144-98W1</v>
          </cell>
          <cell r="O3944">
            <v>835.7</v>
          </cell>
          <cell r="Q3944">
            <v>0.47</v>
          </cell>
          <cell r="T3944">
            <v>65.771000000000001</v>
          </cell>
        </row>
        <row r="3945">
          <cell r="G3945">
            <v>42491</v>
          </cell>
          <cell r="L3945" t="str">
            <v>03-25-144-98W1</v>
          </cell>
          <cell r="O3945">
            <v>837.4</v>
          </cell>
          <cell r="Q3945">
            <v>0.48</v>
          </cell>
          <cell r="T3945">
            <v>65.573999999999998</v>
          </cell>
        </row>
        <row r="3946">
          <cell r="G3946">
            <v>42491</v>
          </cell>
          <cell r="L3946" t="str">
            <v>04-24-147-98W1</v>
          </cell>
          <cell r="O3946">
            <v>814.1</v>
          </cell>
          <cell r="Q3946">
            <v>0.56000000000000005</v>
          </cell>
          <cell r="T3946">
            <v>65.447000000000003</v>
          </cell>
        </row>
        <row r="3947">
          <cell r="G3947">
            <v>42491</v>
          </cell>
          <cell r="L3947" t="str">
            <v>02-11-163-97W1</v>
          </cell>
          <cell r="O3947">
            <v>828.5</v>
          </cell>
          <cell r="Q3947">
            <v>0.1</v>
          </cell>
          <cell r="T3947">
            <v>65.102999999999994</v>
          </cell>
        </row>
        <row r="3948">
          <cell r="G3948">
            <v>42491</v>
          </cell>
          <cell r="L3948" t="str">
            <v>10-30-147-97W1</v>
          </cell>
          <cell r="O3948">
            <v>826.3</v>
          </cell>
          <cell r="Q3948">
            <v>0.46</v>
          </cell>
          <cell r="T3948">
            <v>64.658000000000001</v>
          </cell>
        </row>
        <row r="3949">
          <cell r="G3949">
            <v>42491</v>
          </cell>
          <cell r="L3949" t="str">
            <v>44-35-022-58W1</v>
          </cell>
          <cell r="O3949">
            <v>863.7</v>
          </cell>
          <cell r="Q3949">
            <v>0.94</v>
          </cell>
          <cell r="T3949">
            <v>64.105000000000004</v>
          </cell>
        </row>
        <row r="3950">
          <cell r="G3950">
            <v>42491</v>
          </cell>
          <cell r="L3950" t="str">
            <v>01-05-150-96W1</v>
          </cell>
          <cell r="O3950">
            <v>813.6</v>
          </cell>
          <cell r="Q3950">
            <v>0.02</v>
          </cell>
          <cell r="T3950">
            <v>62.351999999999997</v>
          </cell>
        </row>
        <row r="3951">
          <cell r="G3951">
            <v>42491</v>
          </cell>
          <cell r="L3951" t="str">
            <v>01-13-022-57W1</v>
          </cell>
          <cell r="O3951">
            <v>816.4</v>
          </cell>
          <cell r="Q3951">
            <v>0.11</v>
          </cell>
          <cell r="T3951">
            <v>61.534999999999997</v>
          </cell>
        </row>
        <row r="3952">
          <cell r="G3952">
            <v>42491</v>
          </cell>
          <cell r="L3952" t="str">
            <v>25-11-159-102W1</v>
          </cell>
          <cell r="O3952">
            <v>829.3</v>
          </cell>
          <cell r="Q3952">
            <v>0.43</v>
          </cell>
          <cell r="T3952">
            <v>60.045000000000002</v>
          </cell>
        </row>
        <row r="3953">
          <cell r="G3953">
            <v>42491</v>
          </cell>
          <cell r="L3953" t="str">
            <v>43-03-160-95W1</v>
          </cell>
          <cell r="O3953">
            <v>802.7</v>
          </cell>
          <cell r="Q3953">
            <v>0.26</v>
          </cell>
          <cell r="T3953">
            <v>59.77</v>
          </cell>
        </row>
        <row r="3954">
          <cell r="G3954">
            <v>42491</v>
          </cell>
          <cell r="L3954" t="str">
            <v>03-10-151-96W1</v>
          </cell>
          <cell r="O3954">
            <v>809.7</v>
          </cell>
          <cell r="Q3954">
            <v>0.24</v>
          </cell>
          <cell r="T3954">
            <v>58.698</v>
          </cell>
        </row>
        <row r="3955">
          <cell r="G3955">
            <v>42491</v>
          </cell>
          <cell r="L3955" t="str">
            <v>13-11-160-95W1</v>
          </cell>
          <cell r="O3955">
            <v>802.7</v>
          </cell>
          <cell r="Q3955">
            <v>0.13</v>
          </cell>
          <cell r="T3955">
            <v>57.499000000000002</v>
          </cell>
        </row>
        <row r="3956">
          <cell r="G3956">
            <v>42491</v>
          </cell>
          <cell r="L3956" t="str">
            <v>01-18-163-92W1</v>
          </cell>
          <cell r="O3956">
            <v>841.2</v>
          </cell>
          <cell r="Q3956">
            <v>0.71</v>
          </cell>
          <cell r="T3956">
            <v>55.505000000000003</v>
          </cell>
        </row>
        <row r="3957">
          <cell r="G3957">
            <v>42491</v>
          </cell>
          <cell r="L3957" t="str">
            <v>01-34-164-92W1</v>
          </cell>
          <cell r="O3957">
            <v>831.1</v>
          </cell>
          <cell r="Q3957">
            <v>0.6</v>
          </cell>
          <cell r="T3957">
            <v>54.850999999999999</v>
          </cell>
        </row>
        <row r="3958">
          <cell r="G3958">
            <v>42491</v>
          </cell>
          <cell r="L3958" t="str">
            <v>24-01-160-96W1</v>
          </cell>
          <cell r="O3958">
            <v>828.7</v>
          </cell>
          <cell r="Q3958">
            <v>0.52</v>
          </cell>
          <cell r="T3958">
            <v>54.066000000000003</v>
          </cell>
        </row>
        <row r="3959">
          <cell r="G3959">
            <v>42491</v>
          </cell>
          <cell r="L3959" t="str">
            <v>01-12-144-98W1</v>
          </cell>
          <cell r="O3959">
            <v>817.7</v>
          </cell>
          <cell r="Q3959">
            <v>0.46</v>
          </cell>
          <cell r="T3959">
            <v>53.414000000000001</v>
          </cell>
        </row>
        <row r="3960">
          <cell r="G3960">
            <v>42491</v>
          </cell>
          <cell r="L3960" t="str">
            <v>34-01-157-95W1</v>
          </cell>
          <cell r="O3960">
            <v>830.5</v>
          </cell>
          <cell r="Q3960">
            <v>0.34</v>
          </cell>
          <cell r="T3960">
            <v>50.040999999999997</v>
          </cell>
        </row>
        <row r="3961">
          <cell r="G3961">
            <v>42491</v>
          </cell>
          <cell r="L3961" t="str">
            <v>04-04-157-95W1</v>
          </cell>
          <cell r="O3961">
            <v>838.4</v>
          </cell>
          <cell r="Q3961">
            <v>0.62</v>
          </cell>
          <cell r="T3961">
            <v>49.737000000000002</v>
          </cell>
        </row>
        <row r="3962">
          <cell r="G3962">
            <v>42491</v>
          </cell>
          <cell r="L3962" t="str">
            <v>11-25-005-06W2</v>
          </cell>
          <cell r="O3962">
            <v>851.2</v>
          </cell>
          <cell r="Q3962">
            <v>1.0900000000000001</v>
          </cell>
          <cell r="T3962">
            <v>47.716999999999999</v>
          </cell>
        </row>
        <row r="3963">
          <cell r="G3963">
            <v>42491</v>
          </cell>
          <cell r="L3963" t="str">
            <v>11-15-163-89W1</v>
          </cell>
          <cell r="O3963">
            <v>845.7</v>
          </cell>
          <cell r="Q3963">
            <v>0.38</v>
          </cell>
          <cell r="T3963">
            <v>46.774000000000001</v>
          </cell>
        </row>
        <row r="3964">
          <cell r="G3964">
            <v>42491</v>
          </cell>
          <cell r="L3964" t="str">
            <v>01-28-152-101W1</v>
          </cell>
          <cell r="O3964">
            <v>830.3</v>
          </cell>
          <cell r="Q3964">
            <v>0.43</v>
          </cell>
          <cell r="T3964">
            <v>45.786999999999999</v>
          </cell>
        </row>
        <row r="3965">
          <cell r="G3965">
            <v>42491</v>
          </cell>
          <cell r="L3965" t="str">
            <v>01-02-158-95W1</v>
          </cell>
          <cell r="O3965">
            <v>831.4</v>
          </cell>
          <cell r="Q3965">
            <v>0.53</v>
          </cell>
          <cell r="T3965">
            <v>44.988999999999997</v>
          </cell>
        </row>
        <row r="3966">
          <cell r="G3966">
            <v>42491</v>
          </cell>
          <cell r="L3966" t="str">
            <v>13-26-007-05W2</v>
          </cell>
          <cell r="O3966">
            <v>864.9</v>
          </cell>
          <cell r="Q3966">
            <v>1.18</v>
          </cell>
          <cell r="T3966">
            <v>37.045000000000002</v>
          </cell>
        </row>
        <row r="3967">
          <cell r="G3967">
            <v>42491</v>
          </cell>
          <cell r="L3967" t="str">
            <v>18-16-154-95W1</v>
          </cell>
          <cell r="O3967">
            <v>817.2</v>
          </cell>
          <cell r="Q3967">
            <v>0.89</v>
          </cell>
          <cell r="T3967">
            <v>35.063000000000002</v>
          </cell>
        </row>
        <row r="3968">
          <cell r="G3968">
            <v>42491</v>
          </cell>
          <cell r="L3968" t="str">
            <v>03-05-157-95W1</v>
          </cell>
          <cell r="O3968">
            <v>838</v>
          </cell>
          <cell r="Q3968">
            <v>0.74</v>
          </cell>
          <cell r="T3968">
            <v>34.360999999999997</v>
          </cell>
        </row>
        <row r="3969">
          <cell r="G3969">
            <v>42491</v>
          </cell>
          <cell r="L3969" t="str">
            <v>14-18-163-95W1</v>
          </cell>
          <cell r="O3969">
            <v>848.9</v>
          </cell>
          <cell r="Q3969">
            <v>1.1399999999999999</v>
          </cell>
          <cell r="T3969">
            <v>34.35</v>
          </cell>
        </row>
        <row r="3970">
          <cell r="G3970">
            <v>42491</v>
          </cell>
          <cell r="L3970" t="str">
            <v>16-24-008-07W2</v>
          </cell>
          <cell r="O3970">
            <v>824.9</v>
          </cell>
          <cell r="Q3970">
            <v>0.71</v>
          </cell>
          <cell r="T3970">
            <v>33.930999999999997</v>
          </cell>
        </row>
        <row r="3971">
          <cell r="G3971">
            <v>42491</v>
          </cell>
          <cell r="L3971" t="str">
            <v>44-11-162-90W1</v>
          </cell>
          <cell r="O3971">
            <v>849.9</v>
          </cell>
          <cell r="Q3971">
            <v>0.57999999999999996</v>
          </cell>
          <cell r="T3971">
            <v>33.898000000000003</v>
          </cell>
        </row>
        <row r="3972">
          <cell r="G3972">
            <v>42491</v>
          </cell>
          <cell r="L3972" t="str">
            <v>01-06-144-98W1</v>
          </cell>
          <cell r="O3972">
            <v>838.9</v>
          </cell>
          <cell r="Q3972">
            <v>0.49</v>
          </cell>
          <cell r="T3972">
            <v>32.819000000000003</v>
          </cell>
        </row>
        <row r="3973">
          <cell r="G3973">
            <v>42491</v>
          </cell>
          <cell r="L3973" t="str">
            <v>01-29-162-92W1</v>
          </cell>
          <cell r="O3973">
            <v>841.7</v>
          </cell>
          <cell r="Q3973">
            <v>0.55000000000000004</v>
          </cell>
          <cell r="T3973">
            <v>32.539000000000001</v>
          </cell>
        </row>
        <row r="3974">
          <cell r="G3974">
            <v>42491</v>
          </cell>
          <cell r="L3974" t="str">
            <v>16-04-151-96W1</v>
          </cell>
          <cell r="O3974">
            <v>810.7</v>
          </cell>
          <cell r="Q3974">
            <v>0.28000000000000003</v>
          </cell>
          <cell r="T3974">
            <v>32.450000000000003</v>
          </cell>
        </row>
        <row r="3975">
          <cell r="G3975">
            <v>42491</v>
          </cell>
          <cell r="L3975" t="str">
            <v>01-12-159-96W1</v>
          </cell>
          <cell r="O3975">
            <v>836</v>
          </cell>
          <cell r="Q3975">
            <v>0.5</v>
          </cell>
          <cell r="T3975">
            <v>32.036000000000001</v>
          </cell>
        </row>
        <row r="3976">
          <cell r="G3976">
            <v>42491</v>
          </cell>
          <cell r="L3976" t="str">
            <v>02-34-159-95W1</v>
          </cell>
          <cell r="O3976">
            <v>852.3</v>
          </cell>
          <cell r="Q3976">
            <v>0.93</v>
          </cell>
          <cell r="T3976">
            <v>32.012999999999998</v>
          </cell>
        </row>
        <row r="3977">
          <cell r="G3977">
            <v>42491</v>
          </cell>
          <cell r="L3977" t="str">
            <v>13-13-163-91W1</v>
          </cell>
          <cell r="O3977">
            <v>854.5</v>
          </cell>
          <cell r="Q3977">
            <v>0.46</v>
          </cell>
          <cell r="T3977">
            <v>31.895</v>
          </cell>
        </row>
        <row r="3978">
          <cell r="G3978">
            <v>42491</v>
          </cell>
          <cell r="L3978" t="str">
            <v>01-12-163-91W1</v>
          </cell>
          <cell r="O3978">
            <v>846.3</v>
          </cell>
          <cell r="Q3978">
            <v>0.53</v>
          </cell>
          <cell r="T3978">
            <v>31.417000000000002</v>
          </cell>
        </row>
        <row r="3979">
          <cell r="G3979">
            <v>42491</v>
          </cell>
          <cell r="L3979" t="str">
            <v>03-01-158-95W1</v>
          </cell>
          <cell r="O3979">
            <v>827.6</v>
          </cell>
          <cell r="Q3979">
            <v>0.61</v>
          </cell>
          <cell r="T3979">
            <v>30.792999999999999</v>
          </cell>
        </row>
        <row r="3980">
          <cell r="G3980">
            <v>42491</v>
          </cell>
          <cell r="L3980" t="str">
            <v>01-03-158-95W1</v>
          </cell>
          <cell r="O3980">
            <v>844.6</v>
          </cell>
          <cell r="Q3980">
            <v>0.75</v>
          </cell>
          <cell r="T3980">
            <v>29.776</v>
          </cell>
        </row>
        <row r="3981">
          <cell r="G3981">
            <v>42491</v>
          </cell>
          <cell r="L3981" t="str">
            <v>01-08-153-95W1</v>
          </cell>
          <cell r="O3981">
            <v>812.8</v>
          </cell>
          <cell r="Q3981">
            <v>0.28999999999999998</v>
          </cell>
          <cell r="T3981">
            <v>29.706</v>
          </cell>
        </row>
        <row r="3982">
          <cell r="G3982">
            <v>42491</v>
          </cell>
          <cell r="L3982" t="str">
            <v>01-17-163-91W1</v>
          </cell>
          <cell r="O3982">
            <v>844.6</v>
          </cell>
          <cell r="Q3982">
            <v>0.47</v>
          </cell>
          <cell r="T3982">
            <v>29.047000000000001</v>
          </cell>
        </row>
        <row r="3983">
          <cell r="G3983">
            <v>42491</v>
          </cell>
          <cell r="L3983" t="str">
            <v>13-12-163-91W1</v>
          </cell>
          <cell r="O3983">
            <v>845</v>
          </cell>
          <cell r="Q3983">
            <v>0.46</v>
          </cell>
          <cell r="T3983">
            <v>28.765999999999998</v>
          </cell>
        </row>
        <row r="3984">
          <cell r="G3984">
            <v>42491</v>
          </cell>
          <cell r="L3984" t="str">
            <v>01-15-022-57W1</v>
          </cell>
          <cell r="O3984">
            <v>810.5</v>
          </cell>
          <cell r="Q3984">
            <v>0.37</v>
          </cell>
          <cell r="T3984">
            <v>28.751999999999999</v>
          </cell>
        </row>
        <row r="3985">
          <cell r="G3985">
            <v>42491</v>
          </cell>
          <cell r="L3985" t="str">
            <v>33-14-160-95W1</v>
          </cell>
          <cell r="O3985">
            <v>800.1</v>
          </cell>
          <cell r="Q3985">
            <v>0.15</v>
          </cell>
          <cell r="T3985">
            <v>28.597000000000001</v>
          </cell>
        </row>
        <row r="3986">
          <cell r="G3986">
            <v>42491</v>
          </cell>
          <cell r="L3986" t="str">
            <v>01-14-001-11W2</v>
          </cell>
          <cell r="O3986">
            <v>843.9</v>
          </cell>
          <cell r="Q3986">
            <v>0.26</v>
          </cell>
          <cell r="T3986">
            <v>26.372</v>
          </cell>
        </row>
        <row r="3987">
          <cell r="G3987">
            <v>42491</v>
          </cell>
          <cell r="L3987" t="str">
            <v>02-18-154-95W1</v>
          </cell>
          <cell r="O3987">
            <v>815.6</v>
          </cell>
          <cell r="Q3987">
            <v>0.46</v>
          </cell>
          <cell r="T3987">
            <v>25.805</v>
          </cell>
        </row>
        <row r="3988">
          <cell r="G3988">
            <v>42491</v>
          </cell>
          <cell r="L3988" t="str">
            <v>03-03-157-95W1</v>
          </cell>
          <cell r="O3988">
            <v>820.2</v>
          </cell>
          <cell r="Q3988">
            <v>0.51</v>
          </cell>
          <cell r="T3988">
            <v>25.559000000000001</v>
          </cell>
        </row>
        <row r="3989">
          <cell r="G3989">
            <v>42491</v>
          </cell>
          <cell r="L3989" t="str">
            <v>01-21-159-94W1</v>
          </cell>
          <cell r="O3989">
            <v>831.9</v>
          </cell>
          <cell r="Q3989">
            <v>0.5</v>
          </cell>
          <cell r="T3989">
            <v>25.536000000000001</v>
          </cell>
        </row>
        <row r="3990">
          <cell r="G3990">
            <v>42491</v>
          </cell>
          <cell r="L3990" t="str">
            <v>11-21-163-89W1</v>
          </cell>
          <cell r="O3990">
            <v>839</v>
          </cell>
          <cell r="Q3990">
            <v>0.5</v>
          </cell>
          <cell r="T3990">
            <v>25.484000000000002</v>
          </cell>
        </row>
        <row r="3991">
          <cell r="G3991">
            <v>42491</v>
          </cell>
          <cell r="L3991" t="str">
            <v>01-20-163-91W1</v>
          </cell>
          <cell r="O3991">
            <v>839.6</v>
          </cell>
          <cell r="Q3991">
            <v>0.5</v>
          </cell>
          <cell r="T3991">
            <v>25.431000000000001</v>
          </cell>
        </row>
        <row r="3992">
          <cell r="G3992">
            <v>42491</v>
          </cell>
          <cell r="L3992" t="str">
            <v>01-11-161-92W1</v>
          </cell>
          <cell r="O3992">
            <v>853.5</v>
          </cell>
          <cell r="Q3992">
            <v>0.77</v>
          </cell>
          <cell r="T3992">
            <v>25.045000000000002</v>
          </cell>
        </row>
        <row r="3993">
          <cell r="G3993">
            <v>42491</v>
          </cell>
          <cell r="L3993" t="str">
            <v>01-07-162-90W1</v>
          </cell>
          <cell r="O3993">
            <v>875.8</v>
          </cell>
          <cell r="Q3993">
            <v>3.3</v>
          </cell>
          <cell r="T3993">
            <v>24.968</v>
          </cell>
        </row>
        <row r="3994">
          <cell r="G3994">
            <v>42491</v>
          </cell>
          <cell r="L3994" t="str">
            <v>01-32-164-01W1</v>
          </cell>
          <cell r="O3994">
            <v>843.8</v>
          </cell>
          <cell r="Q3994">
            <v>0.47</v>
          </cell>
          <cell r="T3994">
            <v>24.943000000000001</v>
          </cell>
        </row>
        <row r="3995">
          <cell r="G3995">
            <v>42491</v>
          </cell>
          <cell r="L3995" t="str">
            <v>01-33-164-91W1</v>
          </cell>
          <cell r="O3995">
            <v>828.8</v>
          </cell>
          <cell r="Q3995">
            <v>0.53</v>
          </cell>
          <cell r="T3995">
            <v>24.852</v>
          </cell>
        </row>
        <row r="3996">
          <cell r="G3996">
            <v>42491</v>
          </cell>
          <cell r="L3996" t="str">
            <v>12-10-163-92W1</v>
          </cell>
          <cell r="O3996">
            <v>827.4</v>
          </cell>
          <cell r="Q3996">
            <v>0.57999999999999996</v>
          </cell>
          <cell r="T3996">
            <v>24.562999999999999</v>
          </cell>
        </row>
        <row r="3997">
          <cell r="G3997">
            <v>42491</v>
          </cell>
          <cell r="L3997" t="str">
            <v>01-05-163-89W1</v>
          </cell>
          <cell r="O3997">
            <v>842.6</v>
          </cell>
          <cell r="Q3997">
            <v>0.42</v>
          </cell>
          <cell r="T3997">
            <v>24.402999999999999</v>
          </cell>
        </row>
        <row r="3998">
          <cell r="G3998">
            <v>42491</v>
          </cell>
          <cell r="L3998" t="str">
            <v>03-16-163-91W1</v>
          </cell>
          <cell r="O3998">
            <v>836.6</v>
          </cell>
          <cell r="Q3998">
            <v>0.46</v>
          </cell>
          <cell r="T3998">
            <v>24.254000000000001</v>
          </cell>
        </row>
        <row r="3999">
          <cell r="G3999">
            <v>42491</v>
          </cell>
          <cell r="L3999" t="str">
            <v>26-35-163-97W1</v>
          </cell>
          <cell r="O3999">
            <v>830.4</v>
          </cell>
          <cell r="Q3999">
            <v>0.19</v>
          </cell>
          <cell r="T3999">
            <v>24.117999999999999</v>
          </cell>
        </row>
        <row r="4000">
          <cell r="G4000">
            <v>42491</v>
          </cell>
          <cell r="L4000" t="str">
            <v>34-02-157-95W1</v>
          </cell>
          <cell r="O4000">
            <v>844.1</v>
          </cell>
          <cell r="Q4000">
            <v>0.82</v>
          </cell>
          <cell r="T4000">
            <v>22.974</v>
          </cell>
        </row>
        <row r="4001">
          <cell r="G4001">
            <v>42491</v>
          </cell>
          <cell r="L4001" t="str">
            <v>01-24-144-98W1</v>
          </cell>
          <cell r="O4001">
            <v>824.3</v>
          </cell>
          <cell r="Q4001">
            <v>0.61</v>
          </cell>
          <cell r="T4001">
            <v>21.405000000000001</v>
          </cell>
        </row>
        <row r="4002">
          <cell r="G4002">
            <v>42491</v>
          </cell>
          <cell r="L4002" t="str">
            <v>34-31-143-102W1</v>
          </cell>
          <cell r="O4002">
            <v>853.9</v>
          </cell>
          <cell r="Q4002">
            <v>0.08</v>
          </cell>
          <cell r="T4002">
            <v>17.463000000000001</v>
          </cell>
        </row>
        <row r="4003">
          <cell r="G4003">
            <v>42491</v>
          </cell>
          <cell r="L4003" t="str">
            <v>01-36-003-03W2</v>
          </cell>
          <cell r="O4003">
            <v>835.4</v>
          </cell>
          <cell r="Q4003">
            <v>0.76</v>
          </cell>
          <cell r="T4003">
            <v>640.15200000000004</v>
          </cell>
        </row>
        <row r="4004">
          <cell r="G4004">
            <v>42491</v>
          </cell>
          <cell r="L4004" t="str">
            <v>07-23-010-06W2</v>
          </cell>
          <cell r="O4004">
            <v>844.9</v>
          </cell>
          <cell r="Q4004">
            <v>1.51</v>
          </cell>
          <cell r="T4004">
            <v>447.89100000000002</v>
          </cell>
        </row>
        <row r="4005">
          <cell r="G4005">
            <v>42491</v>
          </cell>
          <cell r="L4005" t="str">
            <v>11-36-005-04W2</v>
          </cell>
          <cell r="O4005">
            <v>856.6</v>
          </cell>
          <cell r="Q4005">
            <v>1</v>
          </cell>
          <cell r="T4005">
            <v>62.085000000000001</v>
          </cell>
        </row>
        <row r="4006">
          <cell r="G4006">
            <v>42491</v>
          </cell>
          <cell r="L4006" t="str">
            <v>12-22-010-05W2</v>
          </cell>
          <cell r="O4006">
            <v>869.1</v>
          </cell>
          <cell r="Q4006">
            <v>1.88</v>
          </cell>
          <cell r="T4006">
            <v>36.393999999999998</v>
          </cell>
        </row>
        <row r="4007">
          <cell r="G4007">
            <v>42491</v>
          </cell>
          <cell r="L4007" t="str">
            <v>09-26-007-05W2</v>
          </cell>
          <cell r="O4007">
            <v>866.6</v>
          </cell>
          <cell r="Q4007">
            <v>1.67</v>
          </cell>
          <cell r="T4007">
            <v>30.123000000000001</v>
          </cell>
        </row>
        <row r="4008">
          <cell r="G4008">
            <v>42491</v>
          </cell>
          <cell r="L4008" t="str">
            <v>05-16-006-13W2</v>
          </cell>
          <cell r="O4008">
            <v>873.5</v>
          </cell>
          <cell r="Q4008">
            <v>2.41</v>
          </cell>
          <cell r="T4008">
            <v>116895.311</v>
          </cell>
        </row>
        <row r="4009">
          <cell r="G4009">
            <v>42491</v>
          </cell>
          <cell r="L4009" t="str">
            <v>08-28-005-33W1</v>
          </cell>
          <cell r="O4009">
            <v>822</v>
          </cell>
          <cell r="Q4009">
            <v>1.1499999999999999</v>
          </cell>
          <cell r="T4009">
            <v>107173.281</v>
          </cell>
        </row>
        <row r="4010">
          <cell r="G4010">
            <v>42491</v>
          </cell>
          <cell r="L4010" t="str">
            <v>14-05-002-31W1</v>
          </cell>
          <cell r="O4010">
            <v>860.1</v>
          </cell>
          <cell r="Q4010">
            <v>1.71</v>
          </cell>
          <cell r="T4010">
            <v>3151.7919999999999</v>
          </cell>
        </row>
        <row r="4011">
          <cell r="G4011">
            <v>42491</v>
          </cell>
          <cell r="L4011" t="str">
            <v>08-21-004-01W2</v>
          </cell>
          <cell r="O4011">
            <v>830.7</v>
          </cell>
          <cell r="Q4011">
            <v>0.92</v>
          </cell>
          <cell r="T4011">
            <v>2860.569</v>
          </cell>
        </row>
        <row r="4012">
          <cell r="G4012">
            <v>42491</v>
          </cell>
          <cell r="L4012" t="str">
            <v>14-03-001-03W2</v>
          </cell>
          <cell r="O4012">
            <v>813.3</v>
          </cell>
          <cell r="Q4012">
            <v>0.12</v>
          </cell>
          <cell r="T4012">
            <v>2258.6320000000001</v>
          </cell>
        </row>
        <row r="4013">
          <cell r="G4013">
            <v>42491</v>
          </cell>
          <cell r="L4013" t="str">
            <v>14-13-002-02W2</v>
          </cell>
          <cell r="O4013">
            <v>826.2</v>
          </cell>
          <cell r="Q4013">
            <v>0.54</v>
          </cell>
          <cell r="T4013">
            <v>1683.3330000000001</v>
          </cell>
        </row>
        <row r="4014">
          <cell r="G4014">
            <v>42491</v>
          </cell>
          <cell r="L4014" t="str">
            <v>15-26-001-31W1</v>
          </cell>
          <cell r="O4014">
            <v>875.1</v>
          </cell>
          <cell r="Q4014">
            <v>1.95</v>
          </cell>
          <cell r="T4014">
            <v>1322.912</v>
          </cell>
        </row>
        <row r="4015">
          <cell r="G4015">
            <v>42491</v>
          </cell>
          <cell r="L4015" t="str">
            <v>16-03-008-33W1</v>
          </cell>
          <cell r="O4015">
            <v>845.5</v>
          </cell>
          <cell r="Q4015">
            <v>1.25</v>
          </cell>
          <cell r="T4015">
            <v>1210.472</v>
          </cell>
        </row>
        <row r="4016">
          <cell r="G4016">
            <v>42491</v>
          </cell>
          <cell r="L4016" t="str">
            <v>01-35-007-01W2</v>
          </cell>
          <cell r="O4016">
            <v>844.5</v>
          </cell>
          <cell r="Q4016">
            <v>1.1399999999999999</v>
          </cell>
          <cell r="T4016">
            <v>1205.645</v>
          </cell>
        </row>
        <row r="4017">
          <cell r="G4017">
            <v>42491</v>
          </cell>
          <cell r="L4017" t="str">
            <v>01-35-006-30W1</v>
          </cell>
          <cell r="O4017">
            <v>820.3</v>
          </cell>
          <cell r="Q4017">
            <v>0.3</v>
          </cell>
          <cell r="T4017">
            <v>1032.902</v>
          </cell>
        </row>
        <row r="4018">
          <cell r="G4018">
            <v>42491</v>
          </cell>
          <cell r="L4018" t="str">
            <v>08-16-007-29W1</v>
          </cell>
          <cell r="O4018">
            <v>824</v>
          </cell>
          <cell r="Q4018">
            <v>0.23</v>
          </cell>
          <cell r="T4018">
            <v>843.26700000000005</v>
          </cell>
        </row>
        <row r="4019">
          <cell r="G4019">
            <v>42491</v>
          </cell>
          <cell r="L4019" t="str">
            <v>05-18-004-02W2</v>
          </cell>
          <cell r="O4019">
            <v>850.2</v>
          </cell>
          <cell r="Q4019">
            <v>1.1299999999999999</v>
          </cell>
          <cell r="T4019">
            <v>781.02200000000005</v>
          </cell>
        </row>
        <row r="4020">
          <cell r="G4020">
            <v>42491</v>
          </cell>
          <cell r="L4020" t="str">
            <v>13-17-005-33W1</v>
          </cell>
          <cell r="O4020">
            <v>827.2</v>
          </cell>
          <cell r="Q4020">
            <v>0.67</v>
          </cell>
          <cell r="T4020">
            <v>691.39300000000003</v>
          </cell>
        </row>
        <row r="4021">
          <cell r="G4021">
            <v>42491</v>
          </cell>
          <cell r="L4021" t="str">
            <v>16-04-006-32W1</v>
          </cell>
          <cell r="O4021">
            <v>843.2</v>
          </cell>
          <cell r="Q4021">
            <v>1.07</v>
          </cell>
          <cell r="T4021">
            <v>639.53</v>
          </cell>
        </row>
        <row r="4022">
          <cell r="G4022">
            <v>42491</v>
          </cell>
          <cell r="L4022" t="str">
            <v>05-20-001-02W2</v>
          </cell>
          <cell r="O4022">
            <v>826</v>
          </cell>
          <cell r="Q4022">
            <v>0.53</v>
          </cell>
          <cell r="T4022">
            <v>623.55999999999995</v>
          </cell>
        </row>
        <row r="4023">
          <cell r="G4023">
            <v>42491</v>
          </cell>
          <cell r="L4023" t="str">
            <v>08-23-007-30W1</v>
          </cell>
          <cell r="O4023">
            <v>818.1</v>
          </cell>
          <cell r="Q4023">
            <v>0.22</v>
          </cell>
          <cell r="T4023">
            <v>540.13800000000003</v>
          </cell>
        </row>
        <row r="4024">
          <cell r="G4024">
            <v>42491</v>
          </cell>
          <cell r="L4024" t="str">
            <v>06-27-006-01W2</v>
          </cell>
          <cell r="O4024">
            <v>844</v>
          </cell>
          <cell r="Q4024">
            <v>1.54</v>
          </cell>
          <cell r="T4024">
            <v>536.57100000000003</v>
          </cell>
        </row>
        <row r="4025">
          <cell r="G4025">
            <v>42491</v>
          </cell>
          <cell r="L4025" t="str">
            <v>14-19-006-33W1</v>
          </cell>
          <cell r="O4025">
            <v>838.5</v>
          </cell>
          <cell r="Q4025">
            <v>1.2</v>
          </cell>
          <cell r="T4025">
            <v>487.459</v>
          </cell>
        </row>
        <row r="4026">
          <cell r="G4026">
            <v>42491</v>
          </cell>
          <cell r="L4026" t="str">
            <v>16-31-001-32W1</v>
          </cell>
          <cell r="O4026">
            <v>845.5</v>
          </cell>
          <cell r="Q4026">
            <v>1.1000000000000001</v>
          </cell>
          <cell r="T4026">
            <v>455.392</v>
          </cell>
        </row>
        <row r="4027">
          <cell r="G4027">
            <v>42491</v>
          </cell>
          <cell r="L4027" t="str">
            <v>08-02-008-03W2</v>
          </cell>
          <cell r="O4027">
            <v>853.6</v>
          </cell>
          <cell r="Q4027">
            <v>0.15</v>
          </cell>
          <cell r="T4027">
            <v>415.61900000000003</v>
          </cell>
        </row>
        <row r="4028">
          <cell r="G4028">
            <v>42491</v>
          </cell>
          <cell r="L4028" t="str">
            <v>01-01-010-04W2</v>
          </cell>
          <cell r="O4028">
            <v>842.3</v>
          </cell>
          <cell r="Q4028">
            <v>1.41</v>
          </cell>
          <cell r="T4028">
            <v>404.54599999999999</v>
          </cell>
        </row>
        <row r="4029">
          <cell r="G4029">
            <v>42491</v>
          </cell>
          <cell r="L4029" t="str">
            <v>01-03-003-33W1</v>
          </cell>
          <cell r="O4029">
            <v>853.9</v>
          </cell>
          <cell r="Q4029">
            <v>0.93</v>
          </cell>
          <cell r="T4029">
            <v>379.49900000000002</v>
          </cell>
        </row>
        <row r="4030">
          <cell r="G4030">
            <v>42491</v>
          </cell>
          <cell r="L4030" t="str">
            <v>14-23-005-02W2</v>
          </cell>
          <cell r="O4030">
            <v>851.1</v>
          </cell>
          <cell r="Q4030">
            <v>1.35</v>
          </cell>
          <cell r="T4030">
            <v>251.90100000000001</v>
          </cell>
        </row>
        <row r="4031">
          <cell r="G4031">
            <v>42491</v>
          </cell>
          <cell r="L4031" t="str">
            <v>04-11-004-32W1</v>
          </cell>
          <cell r="O4031">
            <v>854.6</v>
          </cell>
          <cell r="Q4031">
            <v>1.57</v>
          </cell>
          <cell r="T4031">
            <v>235.488</v>
          </cell>
        </row>
        <row r="4032">
          <cell r="G4032">
            <v>42491</v>
          </cell>
          <cell r="L4032" t="str">
            <v>13-13-002-33W1</v>
          </cell>
          <cell r="O4032">
            <v>844.7</v>
          </cell>
          <cell r="Q4032">
            <v>0.72</v>
          </cell>
          <cell r="T4032">
            <v>220.423</v>
          </cell>
        </row>
        <row r="4033">
          <cell r="G4033">
            <v>42491</v>
          </cell>
          <cell r="L4033" t="str">
            <v>04-05-006-02W2</v>
          </cell>
          <cell r="O4033">
            <v>845.9</v>
          </cell>
          <cell r="Q4033">
            <v>1.17</v>
          </cell>
          <cell r="T4033">
            <v>207.70599999999999</v>
          </cell>
        </row>
        <row r="4034">
          <cell r="G4034">
            <v>42491</v>
          </cell>
          <cell r="L4034" t="str">
            <v>10-17-007-33W1</v>
          </cell>
          <cell r="O4034">
            <v>847.6</v>
          </cell>
          <cell r="Q4034">
            <v>1.17</v>
          </cell>
          <cell r="T4034">
            <v>178.87700000000001</v>
          </cell>
        </row>
        <row r="4035">
          <cell r="G4035">
            <v>42491</v>
          </cell>
          <cell r="L4035" t="str">
            <v>03-05-006-02W2</v>
          </cell>
          <cell r="O4035">
            <v>843.7</v>
          </cell>
          <cell r="Q4035">
            <v>1.03</v>
          </cell>
          <cell r="T4035">
            <v>171.82</v>
          </cell>
        </row>
        <row r="4036">
          <cell r="G4036">
            <v>42491</v>
          </cell>
          <cell r="L4036" t="str">
            <v>01-06-002-32W1</v>
          </cell>
          <cell r="O4036">
            <v>834.1</v>
          </cell>
          <cell r="Q4036">
            <v>0.81</v>
          </cell>
          <cell r="T4036">
            <v>119.105</v>
          </cell>
        </row>
        <row r="4037">
          <cell r="G4037">
            <v>42491</v>
          </cell>
          <cell r="L4037" t="str">
            <v>09-24-001-01W2</v>
          </cell>
          <cell r="O4037">
            <v>828.5</v>
          </cell>
          <cell r="Q4037">
            <v>0.56999999999999995</v>
          </cell>
          <cell r="T4037">
            <v>117.468</v>
          </cell>
        </row>
        <row r="4038">
          <cell r="G4038">
            <v>42491</v>
          </cell>
          <cell r="L4038" t="str">
            <v>16-16-006-02W2</v>
          </cell>
          <cell r="O4038">
            <v>849.8</v>
          </cell>
          <cell r="Q4038">
            <v>1.1399999999999999</v>
          </cell>
          <cell r="T4038">
            <v>112.765</v>
          </cell>
        </row>
        <row r="4039">
          <cell r="G4039">
            <v>42491</v>
          </cell>
          <cell r="L4039" t="str">
            <v>12-20-008-02W2</v>
          </cell>
          <cell r="O4039">
            <v>862.2</v>
          </cell>
          <cell r="Q4039">
            <v>1.77</v>
          </cell>
          <cell r="T4039">
            <v>101.98699999999999</v>
          </cell>
        </row>
        <row r="4040">
          <cell r="G4040">
            <v>42491</v>
          </cell>
          <cell r="L4040" t="str">
            <v>02-14-006-02W2</v>
          </cell>
          <cell r="O4040">
            <v>850.8</v>
          </cell>
          <cell r="Q4040">
            <v>1.1599999999999999</v>
          </cell>
          <cell r="T4040">
            <v>100.66</v>
          </cell>
        </row>
        <row r="4041">
          <cell r="G4041">
            <v>42491</v>
          </cell>
          <cell r="L4041" t="str">
            <v>16-15-008-03W2</v>
          </cell>
          <cell r="O4041">
            <v>858.2</v>
          </cell>
          <cell r="Q4041">
            <v>1.54</v>
          </cell>
          <cell r="T4041">
            <v>87.581999999999994</v>
          </cell>
        </row>
        <row r="4042">
          <cell r="G4042">
            <v>42491</v>
          </cell>
          <cell r="L4042" t="str">
            <v>11-25-001-02W2</v>
          </cell>
          <cell r="O4042">
            <v>830.1</v>
          </cell>
          <cell r="Q4042">
            <v>0.59</v>
          </cell>
          <cell r="T4042">
            <v>74.941000000000003</v>
          </cell>
        </row>
        <row r="4043">
          <cell r="G4043">
            <v>42491</v>
          </cell>
          <cell r="L4043" t="str">
            <v>09-01-002-34W1</v>
          </cell>
          <cell r="O4043">
            <v>830.4</v>
          </cell>
          <cell r="Q4043">
            <v>0.55000000000000004</v>
          </cell>
          <cell r="T4043">
            <v>69.203000000000003</v>
          </cell>
        </row>
        <row r="4044">
          <cell r="G4044">
            <v>42491</v>
          </cell>
          <cell r="L4044" t="str">
            <v>01-22-142-100W1</v>
          </cell>
          <cell r="O4044">
            <v>815.7</v>
          </cell>
          <cell r="Q4044">
            <v>0.31</v>
          </cell>
          <cell r="T4044">
            <v>63.387999999999998</v>
          </cell>
        </row>
        <row r="4045">
          <cell r="G4045">
            <v>42491</v>
          </cell>
          <cell r="L4045" t="str">
            <v>26-35-163-97W1</v>
          </cell>
          <cell r="O4045">
            <v>816.1</v>
          </cell>
          <cell r="Q4045">
            <v>0.19</v>
          </cell>
          <cell r="T4045">
            <v>53.944000000000003</v>
          </cell>
        </row>
        <row r="4046">
          <cell r="G4046">
            <v>42491</v>
          </cell>
          <cell r="L4046" t="str">
            <v>31-30-164-92W1</v>
          </cell>
          <cell r="O4046">
            <v>830.3</v>
          </cell>
          <cell r="Q4046">
            <v>0.57999999999999996</v>
          </cell>
          <cell r="T4046">
            <v>31.835999999999999</v>
          </cell>
        </row>
        <row r="4047">
          <cell r="G4047">
            <v>42491</v>
          </cell>
          <cell r="L4047" t="str">
            <v>01-02-161-93W1</v>
          </cell>
          <cell r="O4047">
            <v>834.7</v>
          </cell>
          <cell r="Q4047">
            <v>0.57999999999999996</v>
          </cell>
          <cell r="T4047">
            <v>30.46</v>
          </cell>
        </row>
        <row r="4048">
          <cell r="G4048">
            <v>42491</v>
          </cell>
          <cell r="L4048" t="str">
            <v>16-07-006-02W2</v>
          </cell>
          <cell r="O4048">
            <v>857.2</v>
          </cell>
          <cell r="Q4048">
            <v>1.22</v>
          </cell>
          <cell r="T4048">
            <v>29.379000000000001</v>
          </cell>
        </row>
        <row r="4049">
          <cell r="G4049">
            <v>42491</v>
          </cell>
          <cell r="L4049" t="str">
            <v>13-12-007-03W2</v>
          </cell>
          <cell r="O4049">
            <v>857.6</v>
          </cell>
          <cell r="Q4049">
            <v>1.38</v>
          </cell>
          <cell r="T4049">
            <v>29.324000000000002</v>
          </cell>
        </row>
        <row r="4050">
          <cell r="G4050">
            <v>42491</v>
          </cell>
          <cell r="L4050" t="str">
            <v>10-29-005-33W1</v>
          </cell>
          <cell r="O4050">
            <v>831.5</v>
          </cell>
          <cell r="Q4050">
            <v>0.87</v>
          </cell>
          <cell r="T4050">
            <v>29.206</v>
          </cell>
        </row>
        <row r="4051">
          <cell r="G4051">
            <v>42491</v>
          </cell>
          <cell r="L4051" t="str">
            <v>02-09-142-100W1</v>
          </cell>
          <cell r="O4051">
            <v>827.1</v>
          </cell>
          <cell r="Q4051">
            <v>0.45</v>
          </cell>
          <cell r="T4051">
            <v>29.085999999999999</v>
          </cell>
        </row>
        <row r="4052">
          <cell r="G4052">
            <v>42491</v>
          </cell>
          <cell r="L4052" t="str">
            <v>16-03-001-03W2</v>
          </cell>
          <cell r="O4052">
            <v>834.3</v>
          </cell>
          <cell r="Q4052">
            <v>0.62</v>
          </cell>
          <cell r="T4052">
            <v>28.398</v>
          </cell>
        </row>
        <row r="4053">
          <cell r="G4053">
            <v>42491</v>
          </cell>
          <cell r="L4053" t="str">
            <v>14-24-001-02W2</v>
          </cell>
          <cell r="O4053">
            <v>837.1</v>
          </cell>
          <cell r="Q4053">
            <v>0.79</v>
          </cell>
          <cell r="T4053">
            <v>27.638999999999999</v>
          </cell>
        </row>
        <row r="4054">
          <cell r="G4054">
            <v>42491</v>
          </cell>
          <cell r="L4054" t="str">
            <v>10-11-003-02W2</v>
          </cell>
          <cell r="O4054">
            <v>833.7</v>
          </cell>
          <cell r="Q4054">
            <v>0.69</v>
          </cell>
          <cell r="T4054">
            <v>27.248999999999999</v>
          </cell>
        </row>
        <row r="4055">
          <cell r="G4055">
            <v>42491</v>
          </cell>
          <cell r="L4055" t="str">
            <v>02-31-145-98W1</v>
          </cell>
          <cell r="O4055">
            <v>813</v>
          </cell>
          <cell r="Q4055">
            <v>0.41</v>
          </cell>
          <cell r="T4055">
            <v>24.64</v>
          </cell>
        </row>
        <row r="4056">
          <cell r="G4056">
            <v>42491</v>
          </cell>
          <cell r="L4056" t="str">
            <v>03-10-145-98W1</v>
          </cell>
          <cell r="O4056">
            <v>817.2</v>
          </cell>
          <cell r="Q4056">
            <v>0.37</v>
          </cell>
          <cell r="T4056">
            <v>23.919</v>
          </cell>
        </row>
        <row r="4057">
          <cell r="G4057">
            <v>42491</v>
          </cell>
          <cell r="L4057" t="str">
            <v>02-06-144-97W1</v>
          </cell>
          <cell r="O4057">
            <v>818.3</v>
          </cell>
          <cell r="Q4057">
            <v>0.37</v>
          </cell>
          <cell r="T4057">
            <v>22.587</v>
          </cell>
        </row>
        <row r="4058">
          <cell r="G4058">
            <v>42491</v>
          </cell>
          <cell r="L4058" t="str">
            <v>07-26-005-02W2</v>
          </cell>
          <cell r="O4058">
            <v>854.6</v>
          </cell>
          <cell r="Q4058">
            <v>1.1599999999999999</v>
          </cell>
          <cell r="T4058">
            <v>15.076000000000001</v>
          </cell>
        </row>
        <row r="4059">
          <cell r="G4059">
            <v>42491</v>
          </cell>
          <cell r="L4059" t="str">
            <v>15-09-007-03W2</v>
          </cell>
          <cell r="O4059">
            <v>847.1</v>
          </cell>
          <cell r="Q4059">
            <v>1.29</v>
          </cell>
          <cell r="T4059">
            <v>1433.212</v>
          </cell>
        </row>
        <row r="4060">
          <cell r="G4060">
            <v>42491</v>
          </cell>
          <cell r="L4060" t="str">
            <v>07-31-005-33W1</v>
          </cell>
          <cell r="O4060">
            <v>826.6</v>
          </cell>
          <cell r="Q4060">
            <v>0.68</v>
          </cell>
          <cell r="T4060">
            <v>1255.047</v>
          </cell>
        </row>
        <row r="4061">
          <cell r="G4061">
            <v>42491</v>
          </cell>
          <cell r="L4061" t="str">
            <v>04-36-004-02W2</v>
          </cell>
          <cell r="O4061">
            <v>853.4</v>
          </cell>
          <cell r="Q4061">
            <v>1.64</v>
          </cell>
          <cell r="T4061">
            <v>282.661</v>
          </cell>
        </row>
        <row r="4062">
          <cell r="G4062">
            <v>42491</v>
          </cell>
          <cell r="L4062" t="str">
            <v>14-04-006-33W1</v>
          </cell>
          <cell r="O4062">
            <v>835.1</v>
          </cell>
          <cell r="Q4062">
            <v>0.85</v>
          </cell>
          <cell r="T4062">
            <v>69.114000000000004</v>
          </cell>
        </row>
        <row r="4063">
          <cell r="G4063">
            <v>42491</v>
          </cell>
          <cell r="L4063" t="str">
            <v>13-14-010-05W2</v>
          </cell>
          <cell r="O4063">
            <v>854.7</v>
          </cell>
          <cell r="Q4063">
            <v>1.54</v>
          </cell>
          <cell r="T4063">
            <v>68.861000000000004</v>
          </cell>
        </row>
        <row r="4064">
          <cell r="G4064">
            <v>42491</v>
          </cell>
          <cell r="L4064" t="str">
            <v>01-07-006-10W2</v>
          </cell>
          <cell r="O4064">
            <v>0</v>
          </cell>
          <cell r="Q4064">
            <v>0</v>
          </cell>
          <cell r="T4064">
            <v>0</v>
          </cell>
        </row>
        <row r="4065">
          <cell r="G4065">
            <v>42491</v>
          </cell>
          <cell r="L4065" t="str">
            <v>MWStream</v>
          </cell>
          <cell r="T4065">
            <v>0</v>
          </cell>
        </row>
        <row r="4066">
          <cell r="G4066">
            <v>42491</v>
          </cell>
          <cell r="L4066" t="str">
            <v>ALStream</v>
          </cell>
          <cell r="O4066">
            <v>828</v>
          </cell>
          <cell r="Q4066">
            <v>0.95</v>
          </cell>
          <cell r="T4066">
            <v>-72155.341</v>
          </cell>
        </row>
        <row r="4067">
          <cell r="G4067">
            <v>42491</v>
          </cell>
          <cell r="L4067" t="str">
            <v>ALStream</v>
          </cell>
          <cell r="O4067">
            <v>876</v>
          </cell>
          <cell r="Q4067">
            <v>2.3199999999999998</v>
          </cell>
          <cell r="T4067">
            <v>-14919.731</v>
          </cell>
        </row>
        <row r="4068">
          <cell r="G4068">
            <v>42491</v>
          </cell>
          <cell r="L4068" t="str">
            <v>MWStream</v>
          </cell>
          <cell r="O4068">
            <v>826.9</v>
          </cell>
          <cell r="Q4068">
            <v>1.18</v>
          </cell>
          <cell r="T4068">
            <v>-10097.498</v>
          </cell>
        </row>
        <row r="4069">
          <cell r="G4069">
            <v>42522</v>
          </cell>
          <cell r="L4069" t="str">
            <v>07-25-009-08W2</v>
          </cell>
          <cell r="O4069">
            <v>886.1</v>
          </cell>
          <cell r="Q4069">
            <v>2.3199999999999998</v>
          </cell>
          <cell r="T4069">
            <v>1E-3</v>
          </cell>
        </row>
        <row r="4070">
          <cell r="G4070">
            <v>42522</v>
          </cell>
          <cell r="L4070" t="str">
            <v>01-19-004-12W2</v>
          </cell>
          <cell r="O4070">
            <v>895.3</v>
          </cell>
          <cell r="Q4070">
            <v>2.62</v>
          </cell>
          <cell r="T4070">
            <v>0.08</v>
          </cell>
        </row>
        <row r="4071">
          <cell r="G4071">
            <v>42522</v>
          </cell>
          <cell r="L4071" t="str">
            <v>03-05-005-11W2</v>
          </cell>
          <cell r="O4071">
            <v>865.8</v>
          </cell>
          <cell r="Q4071">
            <v>1.94</v>
          </cell>
          <cell r="T4071">
            <v>0.20499999999999999</v>
          </cell>
        </row>
        <row r="4072">
          <cell r="G4072">
            <v>42522</v>
          </cell>
          <cell r="L4072" t="str">
            <v>13-35-007-12W2</v>
          </cell>
          <cell r="O4072">
            <v>874.3</v>
          </cell>
          <cell r="Q4072">
            <v>2.21</v>
          </cell>
          <cell r="T4072">
            <v>16.54</v>
          </cell>
        </row>
        <row r="4073">
          <cell r="G4073">
            <v>42522</v>
          </cell>
          <cell r="L4073" t="str">
            <v>07-30-007-05W2</v>
          </cell>
          <cell r="O4073">
            <v>851.5</v>
          </cell>
          <cell r="Q4073">
            <v>1.42</v>
          </cell>
          <cell r="T4073">
            <v>51.996000000000002</v>
          </cell>
        </row>
        <row r="4074">
          <cell r="G4074">
            <v>42522</v>
          </cell>
          <cell r="L4074" t="str">
            <v>09-26-004-32W1</v>
          </cell>
          <cell r="O4074">
            <v>868</v>
          </cell>
          <cell r="Q4074">
            <v>1.29</v>
          </cell>
          <cell r="T4074">
            <v>71.215000000000003</v>
          </cell>
        </row>
        <row r="4075">
          <cell r="G4075">
            <v>42522</v>
          </cell>
          <cell r="L4075" t="str">
            <v>10-09-004-33W1</v>
          </cell>
          <cell r="O4075">
            <v>840</v>
          </cell>
          <cell r="Q4075">
            <v>0.67</v>
          </cell>
          <cell r="T4075">
            <v>71.253</v>
          </cell>
        </row>
        <row r="4076">
          <cell r="G4076">
            <v>42522</v>
          </cell>
          <cell r="L4076" t="str">
            <v>03-19-001-31W1</v>
          </cell>
          <cell r="O4076">
            <v>870</v>
          </cell>
          <cell r="Q4076">
            <v>1.85</v>
          </cell>
          <cell r="T4076">
            <v>77.731999999999999</v>
          </cell>
        </row>
        <row r="4077">
          <cell r="G4077">
            <v>42522</v>
          </cell>
          <cell r="L4077" t="str">
            <v>01-15-005-32W1</v>
          </cell>
          <cell r="O4077">
            <v>849.6</v>
          </cell>
          <cell r="Q4077">
            <v>1.27</v>
          </cell>
          <cell r="T4077">
            <v>78.725999999999999</v>
          </cell>
        </row>
        <row r="4078">
          <cell r="G4078">
            <v>42522</v>
          </cell>
          <cell r="L4078" t="str">
            <v>15-09-010-08W2</v>
          </cell>
          <cell r="O4078">
            <v>885.2</v>
          </cell>
          <cell r="Q4078">
            <v>2.5</v>
          </cell>
          <cell r="T4078">
            <v>87.709000000000003</v>
          </cell>
        </row>
        <row r="4079">
          <cell r="G4079">
            <v>42522</v>
          </cell>
          <cell r="L4079" t="str">
            <v>08-18-011-03W2</v>
          </cell>
          <cell r="O4079">
            <v>857.3</v>
          </cell>
          <cell r="Q4079">
            <v>1.72</v>
          </cell>
          <cell r="T4079">
            <v>86.27</v>
          </cell>
        </row>
        <row r="4080">
          <cell r="G4080">
            <v>42522</v>
          </cell>
          <cell r="L4080" t="str">
            <v>07-24-001-32W1</v>
          </cell>
          <cell r="O4080">
            <v>856</v>
          </cell>
          <cell r="Q4080">
            <v>1.57</v>
          </cell>
          <cell r="T4080">
            <v>102.358</v>
          </cell>
        </row>
        <row r="4081">
          <cell r="G4081">
            <v>42522</v>
          </cell>
          <cell r="L4081" t="str">
            <v>09-30-007-08W2</v>
          </cell>
          <cell r="O4081">
            <v>863.2</v>
          </cell>
          <cell r="Q4081">
            <v>0.9</v>
          </cell>
          <cell r="T4081">
            <v>108.964</v>
          </cell>
        </row>
        <row r="4082">
          <cell r="G4082">
            <v>42522</v>
          </cell>
          <cell r="L4082" t="str">
            <v>13-34-007-14W2</v>
          </cell>
          <cell r="O4082">
            <v>864.6</v>
          </cell>
          <cell r="Q4082">
            <v>2.08</v>
          </cell>
          <cell r="T4082">
            <v>115.27500000000001</v>
          </cell>
        </row>
        <row r="4083">
          <cell r="G4083">
            <v>42522</v>
          </cell>
          <cell r="L4083" t="str">
            <v>14-04-007-13W2</v>
          </cell>
          <cell r="O4083">
            <v>859.4</v>
          </cell>
          <cell r="Q4083">
            <v>1.79</v>
          </cell>
          <cell r="T4083">
            <v>118.3</v>
          </cell>
        </row>
        <row r="4084">
          <cell r="G4084">
            <v>42522</v>
          </cell>
          <cell r="L4084" t="str">
            <v>09-30-002-30W1</v>
          </cell>
          <cell r="O4084">
            <v>864.7</v>
          </cell>
          <cell r="Q4084">
            <v>1.72</v>
          </cell>
          <cell r="T4084">
            <v>111.703</v>
          </cell>
        </row>
        <row r="4085">
          <cell r="G4085">
            <v>42522</v>
          </cell>
          <cell r="L4085" t="str">
            <v>10-21-006-32W1</v>
          </cell>
          <cell r="O4085">
            <v>834.3</v>
          </cell>
          <cell r="Q4085">
            <v>0.83</v>
          </cell>
          <cell r="T4085">
            <v>111.864</v>
          </cell>
        </row>
        <row r="4086">
          <cell r="G4086">
            <v>42522</v>
          </cell>
          <cell r="L4086" t="str">
            <v>03-13-006-33W1</v>
          </cell>
          <cell r="O4086">
            <v>833.1</v>
          </cell>
          <cell r="Q4086">
            <v>0.78</v>
          </cell>
          <cell r="T4086">
            <v>119.3</v>
          </cell>
        </row>
        <row r="4087">
          <cell r="G4087">
            <v>42522</v>
          </cell>
          <cell r="L4087" t="str">
            <v>09-31-007-12W2</v>
          </cell>
          <cell r="O4087">
            <v>880.8</v>
          </cell>
          <cell r="Q4087">
            <v>2.15</v>
          </cell>
          <cell r="T4087">
            <v>129.518</v>
          </cell>
        </row>
        <row r="4088">
          <cell r="G4088">
            <v>42522</v>
          </cell>
          <cell r="L4088" t="str">
            <v>16-08-007-12W2</v>
          </cell>
          <cell r="O4088">
            <v>856.2</v>
          </cell>
          <cell r="Q4088">
            <v>2.0099999999999998</v>
          </cell>
          <cell r="T4088">
            <v>136.27500000000001</v>
          </cell>
        </row>
        <row r="4089">
          <cell r="G4089">
            <v>42522</v>
          </cell>
          <cell r="L4089" t="str">
            <v>16-24-004-01W2</v>
          </cell>
          <cell r="O4089">
            <v>827.9</v>
          </cell>
          <cell r="Q4089">
            <v>0.61</v>
          </cell>
          <cell r="T4089">
            <v>133.82300000000001</v>
          </cell>
        </row>
        <row r="4090">
          <cell r="G4090">
            <v>42522</v>
          </cell>
          <cell r="L4090" t="str">
            <v>16-16-010-02W2</v>
          </cell>
          <cell r="O4090">
            <v>854.5</v>
          </cell>
          <cell r="Q4090">
            <v>1.72</v>
          </cell>
          <cell r="T4090">
            <v>138.19999999999999</v>
          </cell>
        </row>
        <row r="4091">
          <cell r="G4091">
            <v>42522</v>
          </cell>
          <cell r="L4091" t="str">
            <v>12-12-005-34W1</v>
          </cell>
          <cell r="O4091">
            <v>821.6</v>
          </cell>
          <cell r="Q4091">
            <v>0.59</v>
          </cell>
          <cell r="T4091">
            <v>141.29</v>
          </cell>
        </row>
        <row r="4092">
          <cell r="G4092">
            <v>42522</v>
          </cell>
          <cell r="L4092" t="str">
            <v>11-23-002-34W1</v>
          </cell>
          <cell r="O4092">
            <v>837</v>
          </cell>
          <cell r="Q4092">
            <v>0.76</v>
          </cell>
          <cell r="T4092">
            <v>145.12299999999999</v>
          </cell>
        </row>
        <row r="4093">
          <cell r="G4093">
            <v>42522</v>
          </cell>
          <cell r="L4093" t="str">
            <v>15-09-010-02W2</v>
          </cell>
          <cell r="O4093">
            <v>861</v>
          </cell>
          <cell r="Q4093">
            <v>1.73</v>
          </cell>
          <cell r="T4093">
            <v>145.381</v>
          </cell>
        </row>
        <row r="4094">
          <cell r="G4094">
            <v>42522</v>
          </cell>
          <cell r="L4094" t="str">
            <v>13-17-001-31W1</v>
          </cell>
          <cell r="O4094">
            <v>853.2</v>
          </cell>
          <cell r="Q4094">
            <v>1.35</v>
          </cell>
          <cell r="T4094">
            <v>146.25200000000001</v>
          </cell>
        </row>
        <row r="4095">
          <cell r="G4095">
            <v>42522</v>
          </cell>
          <cell r="L4095" t="str">
            <v>04-15-008-33W1</v>
          </cell>
          <cell r="O4095">
            <v>848.5</v>
          </cell>
          <cell r="Q4095">
            <v>1.1599999999999999</v>
          </cell>
          <cell r="T4095">
            <v>146.66200000000001</v>
          </cell>
        </row>
        <row r="4096">
          <cell r="G4096">
            <v>42522</v>
          </cell>
          <cell r="L4096" t="str">
            <v>08-01-004-32W1</v>
          </cell>
          <cell r="O4096">
            <v>859.4</v>
          </cell>
          <cell r="Q4096">
            <v>1.62</v>
          </cell>
          <cell r="T4096">
            <v>152.274</v>
          </cell>
        </row>
        <row r="4097">
          <cell r="G4097">
            <v>42522</v>
          </cell>
          <cell r="L4097" t="str">
            <v>02-27-004-33W1</v>
          </cell>
          <cell r="O4097">
            <v>829.2</v>
          </cell>
          <cell r="Q4097">
            <v>0.67</v>
          </cell>
          <cell r="T4097">
            <v>164.43100000000001</v>
          </cell>
        </row>
        <row r="4098">
          <cell r="G4098">
            <v>42522</v>
          </cell>
          <cell r="L4098" t="str">
            <v>09-08-004-33W1</v>
          </cell>
          <cell r="O4098">
            <v>836.8</v>
          </cell>
          <cell r="Q4098">
            <v>0.71</v>
          </cell>
          <cell r="T4098">
            <v>173.08699999999999</v>
          </cell>
        </row>
        <row r="4099">
          <cell r="G4099">
            <v>42522</v>
          </cell>
          <cell r="L4099" t="str">
            <v>11-20-007-05W2</v>
          </cell>
          <cell r="O4099">
            <v>860.8</v>
          </cell>
          <cell r="Q4099">
            <v>1.57</v>
          </cell>
          <cell r="T4099">
            <v>178.06100000000001</v>
          </cell>
        </row>
        <row r="4100">
          <cell r="G4100">
            <v>42522</v>
          </cell>
          <cell r="L4100" t="str">
            <v>15-21-008-03W2</v>
          </cell>
          <cell r="O4100">
            <v>853.4</v>
          </cell>
          <cell r="Q4100">
            <v>1.47</v>
          </cell>
          <cell r="T4100">
            <v>178.66800000000001</v>
          </cell>
        </row>
        <row r="4101">
          <cell r="G4101">
            <v>42522</v>
          </cell>
          <cell r="L4101" t="str">
            <v>08-31-005-03W2</v>
          </cell>
          <cell r="O4101">
            <v>843.8</v>
          </cell>
          <cell r="Q4101">
            <v>1.07</v>
          </cell>
          <cell r="T4101">
            <v>182.05500000000001</v>
          </cell>
        </row>
        <row r="4102">
          <cell r="G4102">
            <v>42522</v>
          </cell>
          <cell r="L4102" t="str">
            <v>16-27-004-33W1</v>
          </cell>
          <cell r="O4102">
            <v>845</v>
          </cell>
          <cell r="Q4102">
            <v>1.28</v>
          </cell>
          <cell r="T4102">
            <v>187.393</v>
          </cell>
        </row>
        <row r="4103">
          <cell r="G4103">
            <v>42522</v>
          </cell>
          <cell r="L4103" t="str">
            <v>03-05-006-05W2</v>
          </cell>
          <cell r="O4103">
            <v>848.8</v>
          </cell>
          <cell r="Q4103">
            <v>1.1599999999999999</v>
          </cell>
          <cell r="T4103">
            <v>209.62700000000001</v>
          </cell>
        </row>
        <row r="4104">
          <cell r="G4104">
            <v>42522</v>
          </cell>
          <cell r="L4104" t="str">
            <v>09-23-002-01W2</v>
          </cell>
          <cell r="O4104">
            <v>842.7</v>
          </cell>
          <cell r="Q4104">
            <v>0.93</v>
          </cell>
          <cell r="T4104">
            <v>198.995</v>
          </cell>
        </row>
        <row r="4105">
          <cell r="G4105">
            <v>42522</v>
          </cell>
          <cell r="L4105" t="str">
            <v>13-25-001-01W2</v>
          </cell>
          <cell r="O4105">
            <v>838.4</v>
          </cell>
          <cell r="Q4105">
            <v>0.81</v>
          </cell>
          <cell r="T4105">
            <v>202.65199999999999</v>
          </cell>
        </row>
        <row r="4106">
          <cell r="G4106">
            <v>42522</v>
          </cell>
          <cell r="L4106" t="str">
            <v>02-30-001-31W1</v>
          </cell>
          <cell r="O4106">
            <v>865</v>
          </cell>
          <cell r="Q4106">
            <v>1.59</v>
          </cell>
          <cell r="T4106">
            <v>217.05799999999999</v>
          </cell>
        </row>
        <row r="4107">
          <cell r="G4107">
            <v>42522</v>
          </cell>
          <cell r="L4107" t="str">
            <v>02-17-005-31W1</v>
          </cell>
          <cell r="O4107">
            <v>845.2</v>
          </cell>
          <cell r="Q4107">
            <v>1.29</v>
          </cell>
          <cell r="T4107">
            <v>225.19499999999999</v>
          </cell>
        </row>
        <row r="4108">
          <cell r="G4108">
            <v>42522</v>
          </cell>
          <cell r="L4108" t="str">
            <v>07-25-003-13W2</v>
          </cell>
          <cell r="O4108">
            <v>889.9</v>
          </cell>
          <cell r="Q4108">
            <v>2.4300000000000002</v>
          </cell>
          <cell r="T4108">
            <v>261.95600000000002</v>
          </cell>
        </row>
        <row r="4109">
          <cell r="G4109">
            <v>42522</v>
          </cell>
          <cell r="L4109" t="str">
            <v>05-01-001-32W1</v>
          </cell>
          <cell r="O4109">
            <v>867.4</v>
          </cell>
          <cell r="Q4109">
            <v>1.57</v>
          </cell>
          <cell r="T4109">
            <v>237.886</v>
          </cell>
        </row>
        <row r="4110">
          <cell r="G4110">
            <v>42522</v>
          </cell>
          <cell r="L4110" t="str">
            <v>12-22-007-11W2</v>
          </cell>
          <cell r="O4110">
            <v>814.1</v>
          </cell>
          <cell r="Q4110">
            <v>1.26</v>
          </cell>
          <cell r="T4110">
            <v>4896.7079999999996</v>
          </cell>
        </row>
        <row r="4111">
          <cell r="G4111">
            <v>42522</v>
          </cell>
          <cell r="L4111" t="str">
            <v>14-27-001-13W2</v>
          </cell>
          <cell r="O4111">
            <v>808.7</v>
          </cell>
          <cell r="Q4111">
            <v>0.12</v>
          </cell>
          <cell r="T4111">
            <v>3716.2179999999998</v>
          </cell>
        </row>
        <row r="4112">
          <cell r="G4112">
            <v>42522</v>
          </cell>
          <cell r="L4112" t="str">
            <v>14-33-006-14W2</v>
          </cell>
          <cell r="O4112">
            <v>850.3</v>
          </cell>
          <cell r="Q4112">
            <v>1.66</v>
          </cell>
          <cell r="T4112">
            <v>2302.348</v>
          </cell>
        </row>
        <row r="4113">
          <cell r="G4113">
            <v>42522</v>
          </cell>
          <cell r="L4113" t="str">
            <v>04-21-006-14W2</v>
          </cell>
          <cell r="O4113">
            <v>864.1</v>
          </cell>
          <cell r="Q4113">
            <v>2.09</v>
          </cell>
          <cell r="T4113">
            <v>1434.3620000000001</v>
          </cell>
        </row>
        <row r="4114">
          <cell r="G4114">
            <v>42522</v>
          </cell>
          <cell r="L4114" t="str">
            <v>07-02-007-11W2</v>
          </cell>
          <cell r="O4114">
            <v>856.2</v>
          </cell>
          <cell r="Q4114">
            <v>1.28</v>
          </cell>
          <cell r="T4114">
            <v>1320.778</v>
          </cell>
        </row>
        <row r="4115">
          <cell r="G4115">
            <v>42522</v>
          </cell>
          <cell r="L4115" t="str">
            <v>01-22-006-14W2</v>
          </cell>
          <cell r="O4115">
            <v>865.3</v>
          </cell>
          <cell r="Q4115">
            <v>2.14</v>
          </cell>
          <cell r="T4115">
            <v>908.21500000000003</v>
          </cell>
        </row>
        <row r="4116">
          <cell r="G4116">
            <v>42522</v>
          </cell>
          <cell r="L4116" t="str">
            <v>03-06-005-12W2</v>
          </cell>
          <cell r="O4116">
            <v>885.9</v>
          </cell>
          <cell r="Q4116">
            <v>2.4</v>
          </cell>
          <cell r="T4116">
            <v>452.84699999999998</v>
          </cell>
        </row>
        <row r="4117">
          <cell r="G4117">
            <v>42522</v>
          </cell>
          <cell r="L4117" t="str">
            <v>01-03-008-13W2</v>
          </cell>
          <cell r="O4117">
            <v>850.4</v>
          </cell>
          <cell r="Q4117">
            <v>2.0499999999999998</v>
          </cell>
          <cell r="T4117">
            <v>440.18700000000001</v>
          </cell>
        </row>
        <row r="4118">
          <cell r="G4118">
            <v>42522</v>
          </cell>
          <cell r="L4118" t="str">
            <v>02-18-007-13W2</v>
          </cell>
          <cell r="O4118">
            <v>857</v>
          </cell>
          <cell r="Q4118">
            <v>1.9</v>
          </cell>
          <cell r="T4118">
            <v>413.74</v>
          </cell>
        </row>
        <row r="4119">
          <cell r="G4119">
            <v>42522</v>
          </cell>
          <cell r="L4119" t="str">
            <v>04-11-007-13W2</v>
          </cell>
          <cell r="O4119">
            <v>856.9</v>
          </cell>
          <cell r="Q4119">
            <v>1.91</v>
          </cell>
          <cell r="T4119">
            <v>387.29700000000003</v>
          </cell>
        </row>
        <row r="4120">
          <cell r="G4120">
            <v>42522</v>
          </cell>
          <cell r="L4120" t="str">
            <v>15-30-007-12W2</v>
          </cell>
          <cell r="O4120">
            <v>872</v>
          </cell>
          <cell r="Q4120">
            <v>2.38</v>
          </cell>
          <cell r="T4120">
            <v>350.09300000000002</v>
          </cell>
        </row>
        <row r="4121">
          <cell r="G4121">
            <v>42522</v>
          </cell>
          <cell r="L4121" t="str">
            <v>03-21-001-16W2</v>
          </cell>
          <cell r="O4121">
            <v>866.3</v>
          </cell>
          <cell r="Q4121">
            <v>0.87</v>
          </cell>
          <cell r="T4121">
            <v>305.37400000000002</v>
          </cell>
        </row>
        <row r="4122">
          <cell r="G4122">
            <v>42522</v>
          </cell>
          <cell r="L4122" t="str">
            <v>10-22-006-14W2</v>
          </cell>
          <cell r="O4122">
            <v>847.5</v>
          </cell>
          <cell r="Q4122">
            <v>1.69</v>
          </cell>
          <cell r="T4122">
            <v>290.56700000000001</v>
          </cell>
        </row>
        <row r="4123">
          <cell r="G4123">
            <v>42522</v>
          </cell>
          <cell r="L4123" t="str">
            <v>02-08-004-33W1</v>
          </cell>
          <cell r="O4123">
            <v>832.5</v>
          </cell>
          <cell r="Q4123">
            <v>0.65</v>
          </cell>
          <cell r="T4123">
            <v>243.19200000000001</v>
          </cell>
        </row>
        <row r="4124">
          <cell r="G4124">
            <v>42522</v>
          </cell>
          <cell r="L4124" t="str">
            <v>07-36-001-34W1</v>
          </cell>
          <cell r="O4124">
            <v>854</v>
          </cell>
          <cell r="Q4124">
            <v>1.1499999999999999</v>
          </cell>
          <cell r="T4124">
            <v>246.06</v>
          </cell>
        </row>
        <row r="4125">
          <cell r="G4125">
            <v>42522</v>
          </cell>
          <cell r="L4125" t="str">
            <v>01-21-001-14W2</v>
          </cell>
          <cell r="O4125">
            <v>803.5</v>
          </cell>
          <cell r="Q4125">
            <v>0.14000000000000001</v>
          </cell>
          <cell r="T4125">
            <v>33284.18</v>
          </cell>
        </row>
        <row r="4126">
          <cell r="G4126">
            <v>42522</v>
          </cell>
          <cell r="L4126" t="str">
            <v>07-12-006-11W2</v>
          </cell>
          <cell r="O4126">
            <v>877.7</v>
          </cell>
          <cell r="Q4126">
            <v>2.0099999999999998</v>
          </cell>
          <cell r="T4126">
            <v>22410.293000000001</v>
          </cell>
        </row>
        <row r="4127">
          <cell r="G4127">
            <v>42522</v>
          </cell>
          <cell r="L4127" t="str">
            <v>09-13-007-11W2</v>
          </cell>
          <cell r="O4127">
            <v>817.4</v>
          </cell>
          <cell r="Q4127">
            <v>0.37</v>
          </cell>
          <cell r="T4127">
            <v>17962.752</v>
          </cell>
        </row>
        <row r="4128">
          <cell r="G4128">
            <v>42522</v>
          </cell>
          <cell r="L4128" t="str">
            <v>13-30-007-10W2</v>
          </cell>
          <cell r="O4128">
            <v>817.8</v>
          </cell>
          <cell r="Q4128">
            <v>0.6</v>
          </cell>
          <cell r="T4128">
            <v>11872.623</v>
          </cell>
        </row>
        <row r="4129">
          <cell r="G4129">
            <v>42522</v>
          </cell>
          <cell r="L4129" t="str">
            <v>08-31-004-18W2</v>
          </cell>
          <cell r="O4129">
            <v>856.4</v>
          </cell>
          <cell r="Q4129">
            <v>1.87</v>
          </cell>
          <cell r="T4129">
            <v>7984.1670000000004</v>
          </cell>
        </row>
        <row r="4130">
          <cell r="G4130">
            <v>42522</v>
          </cell>
          <cell r="L4130" t="str">
            <v>01-28-002-14W2</v>
          </cell>
          <cell r="O4130">
            <v>835.4</v>
          </cell>
          <cell r="Q4130">
            <v>1.35</v>
          </cell>
          <cell r="T4130">
            <v>5684.973</v>
          </cell>
        </row>
        <row r="4131">
          <cell r="G4131">
            <v>42522</v>
          </cell>
          <cell r="L4131" t="str">
            <v>04-05-002-15W2</v>
          </cell>
          <cell r="O4131">
            <v>877.8</v>
          </cell>
          <cell r="Q4131">
            <v>2.04</v>
          </cell>
          <cell r="T4131">
            <v>4034.538</v>
          </cell>
        </row>
        <row r="4132">
          <cell r="G4132">
            <v>42522</v>
          </cell>
          <cell r="L4132" t="str">
            <v>05-31-003-16W2</v>
          </cell>
          <cell r="O4132">
            <v>891.7</v>
          </cell>
          <cell r="Q4132">
            <v>2.42</v>
          </cell>
          <cell r="T4132">
            <v>3542.9830000000002</v>
          </cell>
        </row>
        <row r="4133">
          <cell r="G4133">
            <v>42522</v>
          </cell>
          <cell r="L4133" t="str">
            <v>11-02-005-12W2</v>
          </cell>
          <cell r="O4133">
            <v>834.8</v>
          </cell>
          <cell r="Q4133">
            <v>1.63</v>
          </cell>
          <cell r="T4133">
            <v>3243.116</v>
          </cell>
        </row>
        <row r="4134">
          <cell r="G4134">
            <v>42522</v>
          </cell>
          <cell r="L4134" t="str">
            <v>05-18-004-17W2</v>
          </cell>
          <cell r="O4134">
            <v>862.5</v>
          </cell>
          <cell r="Q4134">
            <v>2.14</v>
          </cell>
          <cell r="T4134">
            <v>2172.6990000000001</v>
          </cell>
        </row>
        <row r="4135">
          <cell r="G4135">
            <v>42522</v>
          </cell>
          <cell r="L4135" t="str">
            <v>06-03-001-16W2</v>
          </cell>
          <cell r="O4135">
            <v>868.3</v>
          </cell>
          <cell r="Q4135">
            <v>1.1299999999999999</v>
          </cell>
          <cell r="T4135">
            <v>1966.36</v>
          </cell>
        </row>
        <row r="4136">
          <cell r="G4136">
            <v>42522</v>
          </cell>
          <cell r="L4136" t="str">
            <v>11-04-005-12W2</v>
          </cell>
          <cell r="O4136">
            <v>875.1</v>
          </cell>
          <cell r="Q4136">
            <v>2.0299999999999998</v>
          </cell>
          <cell r="T4136">
            <v>1400.643</v>
          </cell>
        </row>
        <row r="4137">
          <cell r="G4137">
            <v>42522</v>
          </cell>
          <cell r="L4137" t="str">
            <v>16-23-006-11W2</v>
          </cell>
          <cell r="O4137">
            <v>879.4</v>
          </cell>
          <cell r="Q4137">
            <v>2.2799999999999998</v>
          </cell>
          <cell r="T4137">
            <v>1396.5070000000001</v>
          </cell>
        </row>
        <row r="4138">
          <cell r="G4138">
            <v>42522</v>
          </cell>
          <cell r="L4138" t="str">
            <v>15-32-004-12W2</v>
          </cell>
          <cell r="O4138">
            <v>881.8</v>
          </cell>
          <cell r="Q4138">
            <v>2.14</v>
          </cell>
          <cell r="T4138">
            <v>1370.6110000000001</v>
          </cell>
        </row>
        <row r="4139">
          <cell r="G4139">
            <v>42522</v>
          </cell>
          <cell r="L4139" t="str">
            <v>15-25-007-11W2</v>
          </cell>
          <cell r="O4139">
            <v>868.4</v>
          </cell>
          <cell r="Q4139">
            <v>1.94</v>
          </cell>
          <cell r="T4139">
            <v>1338.2180000000001</v>
          </cell>
        </row>
        <row r="4140">
          <cell r="G4140">
            <v>42522</v>
          </cell>
          <cell r="L4140" t="str">
            <v>13-02-007-14W2</v>
          </cell>
          <cell r="O4140">
            <v>851.8</v>
          </cell>
          <cell r="Q4140">
            <v>1.79</v>
          </cell>
          <cell r="T4140">
            <v>1180.3630000000001</v>
          </cell>
        </row>
        <row r="4141">
          <cell r="G4141">
            <v>42522</v>
          </cell>
          <cell r="L4141" t="str">
            <v>15-33-006-14W2</v>
          </cell>
          <cell r="O4141">
            <v>847.5</v>
          </cell>
          <cell r="Q4141">
            <v>1.66</v>
          </cell>
          <cell r="T4141">
            <v>1155.2929999999999</v>
          </cell>
        </row>
        <row r="4142">
          <cell r="G4142">
            <v>42522</v>
          </cell>
          <cell r="L4142" t="str">
            <v>11-26-002-19W2</v>
          </cell>
          <cell r="O4142">
            <v>864.1</v>
          </cell>
          <cell r="Q4142">
            <v>1.84</v>
          </cell>
          <cell r="T4142">
            <v>746.10400000000004</v>
          </cell>
        </row>
        <row r="4143">
          <cell r="G4143">
            <v>42522</v>
          </cell>
          <cell r="L4143" t="str">
            <v>12-25-004-19W2</v>
          </cell>
          <cell r="O4143">
            <v>865.5</v>
          </cell>
          <cell r="Q4143">
            <v>2.35</v>
          </cell>
          <cell r="T4143">
            <v>711.72500000000002</v>
          </cell>
        </row>
        <row r="4144">
          <cell r="G4144">
            <v>42522</v>
          </cell>
          <cell r="L4144" t="str">
            <v>02-29-001-17W2</v>
          </cell>
          <cell r="O4144">
            <v>858.7</v>
          </cell>
          <cell r="Q4144">
            <v>1.74</v>
          </cell>
          <cell r="T4144">
            <v>672.69200000000001</v>
          </cell>
        </row>
        <row r="4145">
          <cell r="G4145">
            <v>42522</v>
          </cell>
          <cell r="L4145" t="str">
            <v>05-35-006-11W2</v>
          </cell>
          <cell r="O4145">
            <v>809.1</v>
          </cell>
          <cell r="Q4145">
            <v>0.1</v>
          </cell>
          <cell r="T4145">
            <v>544.52700000000004</v>
          </cell>
        </row>
        <row r="4146">
          <cell r="G4146">
            <v>42522</v>
          </cell>
          <cell r="L4146" t="str">
            <v>03-12-002-19W2</v>
          </cell>
          <cell r="O4146">
            <v>853.5</v>
          </cell>
          <cell r="Q4146">
            <v>2.23</v>
          </cell>
          <cell r="T4146">
            <v>402.839</v>
          </cell>
        </row>
        <row r="4147">
          <cell r="G4147">
            <v>42522</v>
          </cell>
          <cell r="L4147" t="str">
            <v>09-28-001-15W2</v>
          </cell>
          <cell r="O4147">
            <v>863.5</v>
          </cell>
          <cell r="Q4147">
            <v>1.05</v>
          </cell>
          <cell r="T4147">
            <v>380.18799999999999</v>
          </cell>
        </row>
        <row r="4148">
          <cell r="G4148">
            <v>42522</v>
          </cell>
          <cell r="L4148" t="str">
            <v>09-18-007-04W2</v>
          </cell>
          <cell r="O4148">
            <v>857.6</v>
          </cell>
          <cell r="Q4148">
            <v>1.41</v>
          </cell>
          <cell r="T4148">
            <v>253.47200000000001</v>
          </cell>
        </row>
        <row r="4149">
          <cell r="G4149">
            <v>42522</v>
          </cell>
          <cell r="L4149" t="str">
            <v>01-24-007-05W2</v>
          </cell>
          <cell r="O4149">
            <v>847.7</v>
          </cell>
          <cell r="Q4149">
            <v>1.31</v>
          </cell>
          <cell r="T4149">
            <v>257.40300000000002</v>
          </cell>
        </row>
        <row r="4150">
          <cell r="G4150">
            <v>42522</v>
          </cell>
          <cell r="L4150" t="str">
            <v>01-07-006-10W2</v>
          </cell>
          <cell r="O4150">
            <v>824.9</v>
          </cell>
          <cell r="Q4150">
            <v>1.84</v>
          </cell>
          <cell r="T4150">
            <v>63804.260999999999</v>
          </cell>
        </row>
        <row r="4151">
          <cell r="G4151">
            <v>42522</v>
          </cell>
          <cell r="L4151" t="str">
            <v>08-31-009-01W2</v>
          </cell>
          <cell r="O4151">
            <v>857.8</v>
          </cell>
          <cell r="Q4151">
            <v>1.7</v>
          </cell>
          <cell r="T4151">
            <v>272.53100000000001</v>
          </cell>
        </row>
        <row r="4152">
          <cell r="G4152">
            <v>42522</v>
          </cell>
          <cell r="L4152" t="str">
            <v>14-35-006-05W2</v>
          </cell>
          <cell r="O4152">
            <v>856.5</v>
          </cell>
          <cell r="Q4152">
            <v>1.61</v>
          </cell>
          <cell r="T4152">
            <v>281.87200000000001</v>
          </cell>
        </row>
        <row r="4153">
          <cell r="G4153">
            <v>42522</v>
          </cell>
          <cell r="L4153" t="str">
            <v>03-33-008-06W2</v>
          </cell>
          <cell r="O4153">
            <v>812.8</v>
          </cell>
          <cell r="Q4153">
            <v>0.26</v>
          </cell>
          <cell r="T4153">
            <v>13450.503000000001</v>
          </cell>
        </row>
        <row r="4154">
          <cell r="G4154">
            <v>42522</v>
          </cell>
          <cell r="L4154" t="str">
            <v>12-06-009-07W2</v>
          </cell>
          <cell r="O4154">
            <v>813</v>
          </cell>
          <cell r="Q4154">
            <v>0.19</v>
          </cell>
          <cell r="T4154">
            <v>9721.509</v>
          </cell>
        </row>
        <row r="4155">
          <cell r="G4155">
            <v>42522</v>
          </cell>
          <cell r="L4155" t="str">
            <v>02-26-009-09W2</v>
          </cell>
          <cell r="O4155">
            <v>814.4</v>
          </cell>
          <cell r="Q4155">
            <v>0.17</v>
          </cell>
          <cell r="T4155">
            <v>8305.3240000000005</v>
          </cell>
        </row>
        <row r="4156">
          <cell r="G4156">
            <v>42522</v>
          </cell>
          <cell r="L4156" t="str">
            <v>04-18-009-06W2</v>
          </cell>
          <cell r="O4156">
            <v>833.2</v>
          </cell>
          <cell r="Q4156">
            <v>0.85</v>
          </cell>
          <cell r="T4156">
            <v>1329.6079999999999</v>
          </cell>
        </row>
        <row r="4157">
          <cell r="G4157">
            <v>42522</v>
          </cell>
          <cell r="L4157" t="str">
            <v>09-10-009-06W2</v>
          </cell>
          <cell r="O4157">
            <v>854.8</v>
          </cell>
          <cell r="Q4157">
            <v>1.66</v>
          </cell>
          <cell r="T4157">
            <v>1255.248</v>
          </cell>
        </row>
        <row r="4158">
          <cell r="G4158">
            <v>42522</v>
          </cell>
          <cell r="L4158" t="str">
            <v>13-14-009-09W2</v>
          </cell>
          <cell r="O4158">
            <v>865.8</v>
          </cell>
          <cell r="Q4158">
            <v>2.46</v>
          </cell>
          <cell r="T4158">
            <v>678.56500000000005</v>
          </cell>
        </row>
        <row r="4159">
          <cell r="G4159">
            <v>42522</v>
          </cell>
          <cell r="L4159" t="str">
            <v>05-31-009-07W2</v>
          </cell>
          <cell r="O4159">
            <v>883.8</v>
          </cell>
          <cell r="Q4159">
            <v>2.35</v>
          </cell>
          <cell r="T4159">
            <v>564.36</v>
          </cell>
        </row>
        <row r="4160">
          <cell r="G4160">
            <v>42522</v>
          </cell>
          <cell r="L4160" t="str">
            <v>09-26-007-09W2</v>
          </cell>
          <cell r="O4160">
            <v>818.5</v>
          </cell>
          <cell r="Q4160">
            <v>0.36</v>
          </cell>
          <cell r="T4160">
            <v>449.92899999999997</v>
          </cell>
        </row>
        <row r="4161">
          <cell r="G4161">
            <v>42522</v>
          </cell>
          <cell r="L4161" t="str">
            <v>04-08-008-08W2</v>
          </cell>
          <cell r="O4161">
            <v>803.4</v>
          </cell>
          <cell r="Q4161">
            <v>0.21</v>
          </cell>
          <cell r="T4161">
            <v>50694.305999999997</v>
          </cell>
        </row>
        <row r="4162">
          <cell r="G4162">
            <v>42522</v>
          </cell>
          <cell r="L4162" t="str">
            <v>09-14-009-08W2</v>
          </cell>
          <cell r="O4162">
            <v>802.9</v>
          </cell>
          <cell r="Q4162">
            <v>0.14000000000000001</v>
          </cell>
          <cell r="T4162">
            <v>41537.673000000003</v>
          </cell>
        </row>
        <row r="4163">
          <cell r="G4163">
            <v>42522</v>
          </cell>
          <cell r="L4163" t="str">
            <v>13-29-008-07W2</v>
          </cell>
          <cell r="O4163">
            <v>802.3</v>
          </cell>
          <cell r="Q4163">
            <v>0.15</v>
          </cell>
          <cell r="T4163">
            <v>20540.474999999999</v>
          </cell>
        </row>
        <row r="4164">
          <cell r="G4164">
            <v>42522</v>
          </cell>
          <cell r="L4164" t="str">
            <v>11-15-007-09W2</v>
          </cell>
          <cell r="O4164">
            <v>815.3</v>
          </cell>
          <cell r="Q4164">
            <v>0.21</v>
          </cell>
          <cell r="T4164">
            <v>5921.0450000000001</v>
          </cell>
        </row>
        <row r="4165">
          <cell r="G4165">
            <v>42522</v>
          </cell>
          <cell r="L4165" t="str">
            <v>13-18-010-06W2</v>
          </cell>
          <cell r="O4165">
            <v>834.9</v>
          </cell>
          <cell r="Q4165">
            <v>0.69</v>
          </cell>
          <cell r="T4165">
            <v>3961.3760000000002</v>
          </cell>
        </row>
        <row r="4166">
          <cell r="G4166">
            <v>42522</v>
          </cell>
          <cell r="L4166" t="str">
            <v>09-20-008-08W2</v>
          </cell>
          <cell r="O4166">
            <v>821</v>
          </cell>
          <cell r="Q4166">
            <v>0.59</v>
          </cell>
          <cell r="T4166">
            <v>2766.7460000000001</v>
          </cell>
        </row>
        <row r="4167">
          <cell r="G4167">
            <v>42522</v>
          </cell>
          <cell r="L4167" t="str">
            <v>05-13-009-06W2</v>
          </cell>
          <cell r="O4167">
            <v>848.1</v>
          </cell>
          <cell r="Q4167">
            <v>1.5</v>
          </cell>
          <cell r="T4167">
            <v>1877.5730000000001</v>
          </cell>
        </row>
        <row r="4168">
          <cell r="G4168">
            <v>42522</v>
          </cell>
          <cell r="L4168" t="str">
            <v>13-07-010-09W2</v>
          </cell>
          <cell r="O4168">
            <v>812.4</v>
          </cell>
          <cell r="Q4168">
            <v>0.31</v>
          </cell>
          <cell r="T4168">
            <v>1713.4459999999999</v>
          </cell>
        </row>
        <row r="4169">
          <cell r="G4169">
            <v>42522</v>
          </cell>
          <cell r="L4169" t="str">
            <v>15-23-006-08W2</v>
          </cell>
          <cell r="O4169">
            <v>870.5</v>
          </cell>
          <cell r="Q4169">
            <v>1.79</v>
          </cell>
          <cell r="T4169">
            <v>1670.72</v>
          </cell>
        </row>
        <row r="4170">
          <cell r="G4170">
            <v>42522</v>
          </cell>
          <cell r="L4170" t="str">
            <v>03-17-011-06W2</v>
          </cell>
          <cell r="O4170">
            <v>883.6</v>
          </cell>
          <cell r="Q4170">
            <v>2.59</v>
          </cell>
          <cell r="T4170">
            <v>1639.277</v>
          </cell>
        </row>
        <row r="4171">
          <cell r="G4171">
            <v>42522</v>
          </cell>
          <cell r="L4171" t="str">
            <v>03-06-011-07W2</v>
          </cell>
          <cell r="O4171">
            <v>887.4</v>
          </cell>
          <cell r="Q4171">
            <v>1.55</v>
          </cell>
          <cell r="T4171">
            <v>1603.355</v>
          </cell>
        </row>
        <row r="4172">
          <cell r="G4172">
            <v>42522</v>
          </cell>
          <cell r="L4172" t="str">
            <v>05-13-008-06W2</v>
          </cell>
          <cell r="O4172">
            <v>822.9</v>
          </cell>
          <cell r="Q4172">
            <v>0.49</v>
          </cell>
          <cell r="T4172">
            <v>1381.588</v>
          </cell>
        </row>
        <row r="4173">
          <cell r="G4173">
            <v>42522</v>
          </cell>
          <cell r="L4173" t="str">
            <v>07-04-010-08W2</v>
          </cell>
          <cell r="O4173">
            <v>878.6</v>
          </cell>
          <cell r="Q4173">
            <v>2.44</v>
          </cell>
          <cell r="T4173">
            <v>1274.394</v>
          </cell>
        </row>
        <row r="4174">
          <cell r="G4174">
            <v>42522</v>
          </cell>
          <cell r="L4174" t="str">
            <v>03-15-012-06W2</v>
          </cell>
          <cell r="O4174">
            <v>887.2</v>
          </cell>
          <cell r="Q4174">
            <v>2.6</v>
          </cell>
          <cell r="T4174">
            <v>1120.8109999999999</v>
          </cell>
        </row>
        <row r="4175">
          <cell r="G4175">
            <v>42522</v>
          </cell>
          <cell r="L4175" t="str">
            <v>01-26-006-09W2</v>
          </cell>
          <cell r="O4175">
            <v>882.3</v>
          </cell>
          <cell r="Q4175">
            <v>2.2999999999999998</v>
          </cell>
          <cell r="T4175">
            <v>971.94399999999996</v>
          </cell>
        </row>
        <row r="4176">
          <cell r="G4176">
            <v>42522</v>
          </cell>
          <cell r="L4176" t="str">
            <v>07-28-007-08W2</v>
          </cell>
          <cell r="O4176">
            <v>848</v>
          </cell>
          <cell r="Q4176">
            <v>1.39</v>
          </cell>
          <cell r="T4176">
            <v>826.28200000000004</v>
          </cell>
        </row>
        <row r="4177">
          <cell r="G4177">
            <v>42522</v>
          </cell>
          <cell r="L4177" t="str">
            <v>09-06-010-07W2</v>
          </cell>
          <cell r="O4177">
            <v>885.8</v>
          </cell>
          <cell r="Q4177">
            <v>2.4500000000000002</v>
          </cell>
          <cell r="T4177">
            <v>766.125</v>
          </cell>
        </row>
        <row r="4178">
          <cell r="G4178">
            <v>42522</v>
          </cell>
          <cell r="L4178" t="str">
            <v>09-11-010-08W2</v>
          </cell>
          <cell r="O4178">
            <v>879.3</v>
          </cell>
          <cell r="Q4178">
            <v>2.4700000000000002</v>
          </cell>
          <cell r="T4178">
            <v>673.19500000000005</v>
          </cell>
        </row>
        <row r="4179">
          <cell r="G4179">
            <v>42522</v>
          </cell>
          <cell r="L4179" t="str">
            <v>16-35-009-09W2</v>
          </cell>
          <cell r="O4179">
            <v>880.7</v>
          </cell>
          <cell r="Q4179">
            <v>2.46</v>
          </cell>
          <cell r="T4179">
            <v>651.375</v>
          </cell>
        </row>
        <row r="4180">
          <cell r="G4180">
            <v>42522</v>
          </cell>
          <cell r="L4180" t="str">
            <v>01-04-007-09W2</v>
          </cell>
          <cell r="O4180">
            <v>813.8</v>
          </cell>
          <cell r="Q4180">
            <v>0.17</v>
          </cell>
          <cell r="T4180">
            <v>628.54499999999996</v>
          </cell>
        </row>
        <row r="4181">
          <cell r="G4181">
            <v>42522</v>
          </cell>
          <cell r="L4181" t="str">
            <v>01-22-010-07W2</v>
          </cell>
          <cell r="O4181">
            <v>883.9</v>
          </cell>
          <cell r="Q4181">
            <v>2.5099999999999998</v>
          </cell>
          <cell r="T4181">
            <v>567.399</v>
          </cell>
        </row>
        <row r="4182">
          <cell r="G4182">
            <v>42522</v>
          </cell>
          <cell r="L4182" t="str">
            <v>03-23-001-32W1</v>
          </cell>
          <cell r="O4182">
            <v>852.5</v>
          </cell>
          <cell r="Q4182">
            <v>1.51</v>
          </cell>
          <cell r="T4182">
            <v>312.60399999999998</v>
          </cell>
        </row>
        <row r="4183">
          <cell r="G4183">
            <v>42522</v>
          </cell>
          <cell r="L4183" t="str">
            <v>14-18-001-04W2</v>
          </cell>
          <cell r="O4183">
            <v>824.9</v>
          </cell>
          <cell r="Q4183">
            <v>0.53</v>
          </cell>
          <cell r="T4183">
            <v>348.09100000000001</v>
          </cell>
        </row>
        <row r="4184">
          <cell r="G4184">
            <v>42522</v>
          </cell>
          <cell r="L4184" t="str">
            <v>07-12-005-34W1</v>
          </cell>
          <cell r="O4184">
            <v>827.3</v>
          </cell>
          <cell r="Q4184">
            <v>0.64</v>
          </cell>
          <cell r="T4184">
            <v>327.46600000000001</v>
          </cell>
        </row>
        <row r="4185">
          <cell r="G4185">
            <v>42522</v>
          </cell>
          <cell r="L4185" t="str">
            <v>07-23-006-02W2</v>
          </cell>
          <cell r="O4185">
            <v>849.2</v>
          </cell>
          <cell r="Q4185">
            <v>1.1299999999999999</v>
          </cell>
          <cell r="T4185">
            <v>326.79300000000001</v>
          </cell>
        </row>
        <row r="4186">
          <cell r="G4186">
            <v>42522</v>
          </cell>
          <cell r="L4186" t="str">
            <v>08-12-006-01W2</v>
          </cell>
          <cell r="O4186">
            <v>844.9</v>
          </cell>
          <cell r="Q4186">
            <v>1.29</v>
          </cell>
          <cell r="T4186">
            <v>328.09699999999998</v>
          </cell>
        </row>
        <row r="4187">
          <cell r="G4187">
            <v>42522</v>
          </cell>
          <cell r="L4187" t="str">
            <v>02-10-003-01W2</v>
          </cell>
          <cell r="O4187">
            <v>829.2</v>
          </cell>
          <cell r="Q4187">
            <v>0.5</v>
          </cell>
          <cell r="T4187">
            <v>331.87400000000002</v>
          </cell>
        </row>
        <row r="4188">
          <cell r="G4188">
            <v>42522</v>
          </cell>
          <cell r="L4188" t="str">
            <v>05-31-002-01W2</v>
          </cell>
          <cell r="O4188">
            <v>819.5</v>
          </cell>
          <cell r="Q4188">
            <v>0.48</v>
          </cell>
          <cell r="T4188">
            <v>8004.1049999999996</v>
          </cell>
        </row>
        <row r="4189">
          <cell r="G4189">
            <v>42522</v>
          </cell>
          <cell r="L4189" t="str">
            <v>13-03-006-34W1</v>
          </cell>
          <cell r="O4189">
            <v>845</v>
          </cell>
          <cell r="Q4189">
            <v>1.19</v>
          </cell>
          <cell r="T4189">
            <v>5222.973</v>
          </cell>
        </row>
        <row r="4190">
          <cell r="G4190">
            <v>42522</v>
          </cell>
          <cell r="L4190" t="str">
            <v>16-12-004-31W1</v>
          </cell>
          <cell r="O4190">
            <v>848.4</v>
          </cell>
          <cell r="Q4190">
            <v>1.7</v>
          </cell>
          <cell r="T4190">
            <v>4546.4859999999999</v>
          </cell>
        </row>
        <row r="4191">
          <cell r="G4191">
            <v>42522</v>
          </cell>
          <cell r="L4191" t="str">
            <v>11-30-005-03W2</v>
          </cell>
          <cell r="O4191">
            <v>858.2</v>
          </cell>
          <cell r="Q4191">
            <v>1.36</v>
          </cell>
          <cell r="T4191">
            <v>4276.0749999999998</v>
          </cell>
        </row>
        <row r="4192">
          <cell r="G4192">
            <v>42522</v>
          </cell>
          <cell r="L4192" t="str">
            <v>03-03-002-32W1</v>
          </cell>
          <cell r="O4192">
            <v>825</v>
          </cell>
          <cell r="Q4192">
            <v>0.88</v>
          </cell>
          <cell r="T4192">
            <v>3596.9450000000002</v>
          </cell>
        </row>
        <row r="4193">
          <cell r="G4193">
            <v>42522</v>
          </cell>
          <cell r="L4193" t="str">
            <v>04-27-003-33W1</v>
          </cell>
          <cell r="O4193">
            <v>844.1</v>
          </cell>
          <cell r="Q4193">
            <v>1.21</v>
          </cell>
          <cell r="T4193">
            <v>2882.6030000000001</v>
          </cell>
        </row>
        <row r="4194">
          <cell r="G4194">
            <v>42522</v>
          </cell>
          <cell r="L4194" t="str">
            <v>07-28-002-30W1</v>
          </cell>
          <cell r="O4194">
            <v>881.2</v>
          </cell>
          <cell r="Q4194">
            <v>2.41</v>
          </cell>
          <cell r="T4194">
            <v>2507.3000000000002</v>
          </cell>
        </row>
        <row r="4195">
          <cell r="G4195">
            <v>42522</v>
          </cell>
          <cell r="L4195" t="str">
            <v>04-22-009-33W1</v>
          </cell>
          <cell r="O4195">
            <v>855.4</v>
          </cell>
          <cell r="Q4195">
            <v>1.42</v>
          </cell>
          <cell r="T4195">
            <v>2241.4720000000002</v>
          </cell>
        </row>
        <row r="4196">
          <cell r="G4196">
            <v>42522</v>
          </cell>
          <cell r="L4196" t="str">
            <v>16-24-001-34W1</v>
          </cell>
          <cell r="O4196">
            <v>858.7</v>
          </cell>
          <cell r="Q4196">
            <v>1.67</v>
          </cell>
          <cell r="T4196">
            <v>1998.232</v>
          </cell>
        </row>
        <row r="4197">
          <cell r="G4197">
            <v>42522</v>
          </cell>
          <cell r="L4197" t="str">
            <v>06-27-006-01W2</v>
          </cell>
          <cell r="O4197">
            <v>848.9</v>
          </cell>
          <cell r="Q4197">
            <v>1.54</v>
          </cell>
          <cell r="T4197">
            <v>1875.8720000000001</v>
          </cell>
        </row>
        <row r="4198">
          <cell r="G4198">
            <v>42522</v>
          </cell>
          <cell r="L4198" t="str">
            <v>05-03-009-33W1</v>
          </cell>
          <cell r="O4198">
            <v>850.3</v>
          </cell>
          <cell r="Q4198">
            <v>1.29</v>
          </cell>
          <cell r="T4198">
            <v>1865.249</v>
          </cell>
        </row>
        <row r="4199">
          <cell r="G4199">
            <v>42522</v>
          </cell>
          <cell r="L4199" t="str">
            <v>09-28-006-34W1</v>
          </cell>
          <cell r="O4199">
            <v>845.1</v>
          </cell>
          <cell r="Q4199">
            <v>1.27</v>
          </cell>
          <cell r="T4199">
            <v>1792.2909999999999</v>
          </cell>
        </row>
        <row r="4200">
          <cell r="G4200">
            <v>42522</v>
          </cell>
          <cell r="L4200" t="str">
            <v>04-14-005-33W1</v>
          </cell>
          <cell r="O4200">
            <v>858</v>
          </cell>
          <cell r="Q4200">
            <v>0.79</v>
          </cell>
          <cell r="T4200">
            <v>1498.739</v>
          </cell>
        </row>
        <row r="4201">
          <cell r="G4201">
            <v>42522</v>
          </cell>
          <cell r="L4201" t="str">
            <v>14-30-009-33W1</v>
          </cell>
          <cell r="O4201">
            <v>856.2</v>
          </cell>
          <cell r="Q4201">
            <v>1.72</v>
          </cell>
          <cell r="T4201">
            <v>1497.2260000000001</v>
          </cell>
        </row>
        <row r="4202">
          <cell r="G4202">
            <v>42522</v>
          </cell>
          <cell r="L4202" t="str">
            <v>04-17-004-31W1</v>
          </cell>
          <cell r="O4202">
            <v>862.4</v>
          </cell>
          <cell r="Q4202">
            <v>1.74</v>
          </cell>
          <cell r="T4202">
            <v>1441.7270000000001</v>
          </cell>
        </row>
        <row r="4203">
          <cell r="G4203">
            <v>42522</v>
          </cell>
          <cell r="L4203" t="str">
            <v>10-11-006-34W1</v>
          </cell>
          <cell r="O4203">
            <v>852</v>
          </cell>
          <cell r="Q4203">
            <v>1.6</v>
          </cell>
          <cell r="T4203">
            <v>1240.356</v>
          </cell>
        </row>
        <row r="4204">
          <cell r="G4204">
            <v>42522</v>
          </cell>
          <cell r="L4204" t="str">
            <v>14-33-003-01W2</v>
          </cell>
          <cell r="O4204">
            <v>831.9</v>
          </cell>
          <cell r="Q4204">
            <v>0.84</v>
          </cell>
          <cell r="T4204">
            <v>1225.191</v>
          </cell>
        </row>
        <row r="4205">
          <cell r="G4205">
            <v>42522</v>
          </cell>
          <cell r="L4205" t="str">
            <v>09-27-006-05W2</v>
          </cell>
          <cell r="O4205">
            <v>874.6</v>
          </cell>
          <cell r="Q4205">
            <v>2.14</v>
          </cell>
          <cell r="T4205">
            <v>1177.979</v>
          </cell>
        </row>
        <row r="4206">
          <cell r="G4206">
            <v>42522</v>
          </cell>
          <cell r="L4206" t="str">
            <v>09-27-008-03W2</v>
          </cell>
          <cell r="O4206">
            <v>850.8</v>
          </cell>
          <cell r="Q4206">
            <v>1.55</v>
          </cell>
          <cell r="T4206">
            <v>1173.4559999999999</v>
          </cell>
        </row>
        <row r="4207">
          <cell r="G4207">
            <v>42522</v>
          </cell>
          <cell r="L4207" t="str">
            <v>08-05-006-33W1</v>
          </cell>
          <cell r="O4207">
            <v>831.2</v>
          </cell>
          <cell r="Q4207">
            <v>0.84</v>
          </cell>
          <cell r="T4207">
            <v>1167.499</v>
          </cell>
        </row>
        <row r="4208">
          <cell r="G4208">
            <v>42522</v>
          </cell>
          <cell r="L4208" t="str">
            <v>10-13-006-03W2</v>
          </cell>
          <cell r="O4208">
            <v>851.8</v>
          </cell>
          <cell r="Q4208">
            <v>1.79</v>
          </cell>
          <cell r="T4208">
            <v>1016.263</v>
          </cell>
        </row>
        <row r="4209">
          <cell r="G4209">
            <v>42522</v>
          </cell>
          <cell r="L4209" t="str">
            <v>14-28-002-34W1</v>
          </cell>
          <cell r="O4209">
            <v>832.7</v>
          </cell>
          <cell r="Q4209">
            <v>0.78</v>
          </cell>
          <cell r="T4209">
            <v>994.09100000000001</v>
          </cell>
        </row>
        <row r="4210">
          <cell r="G4210">
            <v>42522</v>
          </cell>
          <cell r="L4210" t="str">
            <v>11-25-001-32W1</v>
          </cell>
          <cell r="O4210">
            <v>855.6</v>
          </cell>
          <cell r="Q4210">
            <v>1.52</v>
          </cell>
          <cell r="T4210">
            <v>862.16499999999996</v>
          </cell>
        </row>
        <row r="4211">
          <cell r="G4211">
            <v>42522</v>
          </cell>
          <cell r="L4211" t="str">
            <v>16-21-003-32W1</v>
          </cell>
          <cell r="O4211">
            <v>858.7</v>
          </cell>
          <cell r="Q4211">
            <v>1.61</v>
          </cell>
          <cell r="T4211">
            <v>768.91899999999998</v>
          </cell>
        </row>
        <row r="4212">
          <cell r="G4212">
            <v>42522</v>
          </cell>
          <cell r="L4212" t="str">
            <v>06-24-001-34W1</v>
          </cell>
          <cell r="O4212">
            <v>846.1</v>
          </cell>
          <cell r="Q4212">
            <v>1.17</v>
          </cell>
          <cell r="T4212">
            <v>755.26</v>
          </cell>
        </row>
        <row r="4213">
          <cell r="G4213">
            <v>42522</v>
          </cell>
          <cell r="L4213" t="str">
            <v>07-31-001-31W1</v>
          </cell>
          <cell r="O4213">
            <v>864.7</v>
          </cell>
          <cell r="Q4213">
            <v>1.73</v>
          </cell>
          <cell r="T4213">
            <v>754.00699999999995</v>
          </cell>
        </row>
        <row r="4214">
          <cell r="G4214">
            <v>42522</v>
          </cell>
          <cell r="L4214" t="str">
            <v>08-35-011-04W2</v>
          </cell>
          <cell r="O4214">
            <v>861</v>
          </cell>
          <cell r="Q4214">
            <v>1.84</v>
          </cell>
          <cell r="T4214">
            <v>735.56700000000001</v>
          </cell>
        </row>
        <row r="4215">
          <cell r="G4215">
            <v>42522</v>
          </cell>
          <cell r="L4215" t="str">
            <v>07-12-008-04W2</v>
          </cell>
          <cell r="O4215">
            <v>855.2</v>
          </cell>
          <cell r="Q4215">
            <v>1.41</v>
          </cell>
          <cell r="T4215">
            <v>728.04</v>
          </cell>
        </row>
        <row r="4216">
          <cell r="G4216">
            <v>42522</v>
          </cell>
          <cell r="L4216" t="str">
            <v>09-02-007-05W2</v>
          </cell>
          <cell r="O4216">
            <v>861.7</v>
          </cell>
          <cell r="Q4216">
            <v>1.74</v>
          </cell>
          <cell r="T4216">
            <v>720.28499999999997</v>
          </cell>
        </row>
        <row r="4217">
          <cell r="G4217">
            <v>42522</v>
          </cell>
          <cell r="L4217" t="str">
            <v>05-12-002-32W1</v>
          </cell>
          <cell r="O4217">
            <v>857.5</v>
          </cell>
          <cell r="Q4217">
            <v>1.63</v>
          </cell>
          <cell r="T4217">
            <v>712.08900000000006</v>
          </cell>
        </row>
        <row r="4218">
          <cell r="G4218">
            <v>42522</v>
          </cell>
          <cell r="L4218" t="str">
            <v>09-19-009-33W1</v>
          </cell>
          <cell r="O4218">
            <v>856.2</v>
          </cell>
          <cell r="Q4218">
            <v>1.54</v>
          </cell>
          <cell r="T4218">
            <v>677.42</v>
          </cell>
        </row>
        <row r="4219">
          <cell r="G4219">
            <v>42522</v>
          </cell>
          <cell r="L4219" t="str">
            <v>02-13-006-01W2</v>
          </cell>
          <cell r="O4219">
            <v>842.5</v>
          </cell>
          <cell r="Q4219">
            <v>1.19</v>
          </cell>
          <cell r="T4219">
            <v>638.78499999999997</v>
          </cell>
        </row>
        <row r="4220">
          <cell r="G4220">
            <v>42522</v>
          </cell>
          <cell r="L4220" t="str">
            <v>08-32-006-01W2</v>
          </cell>
          <cell r="O4220">
            <v>846.2</v>
          </cell>
          <cell r="Q4220">
            <v>1.21</v>
          </cell>
          <cell r="T4220">
            <v>560.94600000000003</v>
          </cell>
        </row>
        <row r="4221">
          <cell r="G4221">
            <v>42522</v>
          </cell>
          <cell r="L4221" t="str">
            <v>08-26-006-02W2</v>
          </cell>
          <cell r="O4221">
            <v>838.8</v>
          </cell>
          <cell r="Q4221">
            <v>1.19</v>
          </cell>
          <cell r="T4221">
            <v>504.08499999999998</v>
          </cell>
        </row>
        <row r="4222">
          <cell r="G4222">
            <v>42522</v>
          </cell>
          <cell r="L4222" t="str">
            <v>12-35-008-03W2</v>
          </cell>
          <cell r="O4222">
            <v>854.2</v>
          </cell>
          <cell r="Q4222">
            <v>1.59</v>
          </cell>
          <cell r="T4222">
            <v>452.54899999999998</v>
          </cell>
        </row>
        <row r="4223">
          <cell r="G4223">
            <v>42522</v>
          </cell>
          <cell r="L4223" t="str">
            <v>16-09-004-31W1</v>
          </cell>
          <cell r="O4223">
            <v>868.6</v>
          </cell>
          <cell r="Q4223">
            <v>1.81</v>
          </cell>
          <cell r="T4223">
            <v>447.65899999999999</v>
          </cell>
        </row>
        <row r="4224">
          <cell r="G4224">
            <v>42522</v>
          </cell>
          <cell r="L4224" t="str">
            <v>10-26-010-03W2</v>
          </cell>
          <cell r="O4224">
            <v>855.3</v>
          </cell>
          <cell r="Q4224">
            <v>1.56</v>
          </cell>
          <cell r="T4224">
            <v>417.214</v>
          </cell>
        </row>
        <row r="4225">
          <cell r="G4225">
            <v>42522</v>
          </cell>
          <cell r="L4225" t="str">
            <v>12-01-003-30W1</v>
          </cell>
          <cell r="O4225">
            <v>868.3</v>
          </cell>
          <cell r="Q4225">
            <v>1.68</v>
          </cell>
          <cell r="T4225">
            <v>407.34300000000002</v>
          </cell>
        </row>
        <row r="4226">
          <cell r="G4226">
            <v>42522</v>
          </cell>
          <cell r="L4226" t="str">
            <v>10-33-003-31W1</v>
          </cell>
          <cell r="O4226">
            <v>885.9</v>
          </cell>
          <cell r="Q4226">
            <v>0.88</v>
          </cell>
          <cell r="T4226">
            <v>352.88099999999997</v>
          </cell>
        </row>
        <row r="4227">
          <cell r="G4227">
            <v>42522</v>
          </cell>
          <cell r="L4227" t="str">
            <v>14-09-002-29W1</v>
          </cell>
          <cell r="O4227">
            <v>833.5</v>
          </cell>
          <cell r="Q4227">
            <v>0.81</v>
          </cell>
          <cell r="T4227">
            <v>9359.3680000000004</v>
          </cell>
        </row>
        <row r="4228">
          <cell r="G4228">
            <v>42522</v>
          </cell>
          <cell r="L4228" t="str">
            <v>16-18-011-04W2</v>
          </cell>
          <cell r="O4228">
            <v>821.8</v>
          </cell>
          <cell r="Q4228">
            <v>1.38</v>
          </cell>
          <cell r="T4228">
            <v>5237.2070000000003</v>
          </cell>
        </row>
        <row r="4229">
          <cell r="G4229">
            <v>42522</v>
          </cell>
          <cell r="L4229" t="str">
            <v>08-36-003-34W1</v>
          </cell>
          <cell r="O4229">
            <v>842.9</v>
          </cell>
          <cell r="Q4229">
            <v>0.88</v>
          </cell>
          <cell r="T4229">
            <v>4965.7389999999996</v>
          </cell>
        </row>
        <row r="4230">
          <cell r="G4230">
            <v>42522</v>
          </cell>
          <cell r="L4230" t="str">
            <v>13-13-007-02W2</v>
          </cell>
          <cell r="O4230">
            <v>846</v>
          </cell>
          <cell r="Q4230">
            <v>1.25</v>
          </cell>
          <cell r="T4230">
            <v>4752.3130000000001</v>
          </cell>
        </row>
        <row r="4231">
          <cell r="G4231">
            <v>42522</v>
          </cell>
          <cell r="L4231" t="str">
            <v>11-27-005-33W1</v>
          </cell>
          <cell r="O4231">
            <v>826.1</v>
          </cell>
          <cell r="Q4231">
            <v>0.72</v>
          </cell>
          <cell r="T4231">
            <v>4304.9179999999997</v>
          </cell>
        </row>
        <row r="4232">
          <cell r="G4232">
            <v>42522</v>
          </cell>
          <cell r="L4232" t="str">
            <v>05-29-005-32W1</v>
          </cell>
          <cell r="O4232">
            <v>835.3</v>
          </cell>
          <cell r="Q4232">
            <v>0.93</v>
          </cell>
          <cell r="T4232">
            <v>2971.9540000000002</v>
          </cell>
        </row>
        <row r="4233">
          <cell r="G4233">
            <v>42522</v>
          </cell>
          <cell r="L4233" t="str">
            <v>05-14-003-01W2</v>
          </cell>
          <cell r="O4233">
            <v>822.9</v>
          </cell>
          <cell r="Q4233">
            <v>0.72</v>
          </cell>
          <cell r="T4233">
            <v>2760.2620000000002</v>
          </cell>
        </row>
        <row r="4234">
          <cell r="G4234">
            <v>42522</v>
          </cell>
          <cell r="L4234" t="str">
            <v>16-10-006-30W1</v>
          </cell>
          <cell r="O4234">
            <v>852.1</v>
          </cell>
          <cell r="Q4234">
            <v>1.41</v>
          </cell>
          <cell r="T4234">
            <v>2628.4209999999998</v>
          </cell>
        </row>
        <row r="4235">
          <cell r="G4235">
            <v>42522</v>
          </cell>
          <cell r="L4235" t="str">
            <v>04-10-004-31W1</v>
          </cell>
          <cell r="O4235">
            <v>868.7</v>
          </cell>
          <cell r="Q4235">
            <v>1.79</v>
          </cell>
          <cell r="T4235">
            <v>2229.6170000000002</v>
          </cell>
        </row>
        <row r="4236">
          <cell r="G4236">
            <v>42522</v>
          </cell>
          <cell r="L4236" t="str">
            <v>06-01-007-01W2</v>
          </cell>
          <cell r="O4236">
            <v>846.7</v>
          </cell>
          <cell r="Q4236">
            <v>1.1299999999999999</v>
          </cell>
          <cell r="T4236">
            <v>2087.59</v>
          </cell>
        </row>
        <row r="4237">
          <cell r="G4237">
            <v>42522</v>
          </cell>
          <cell r="L4237" t="str">
            <v>01-09-001-31W1</v>
          </cell>
          <cell r="O4237">
            <v>874.6</v>
          </cell>
          <cell r="Q4237">
            <v>2.06</v>
          </cell>
          <cell r="T4237">
            <v>1988.81</v>
          </cell>
        </row>
        <row r="4238">
          <cell r="G4238">
            <v>42522</v>
          </cell>
          <cell r="L4238" t="str">
            <v>04-05-007-33W1</v>
          </cell>
          <cell r="O4238">
            <v>842.7</v>
          </cell>
          <cell r="Q4238">
            <v>1.22</v>
          </cell>
          <cell r="T4238">
            <v>1857.5930000000001</v>
          </cell>
        </row>
        <row r="4239">
          <cell r="G4239">
            <v>42522</v>
          </cell>
          <cell r="L4239" t="str">
            <v>05-13-003-02W2</v>
          </cell>
          <cell r="O4239">
            <v>834.9</v>
          </cell>
          <cell r="Q4239">
            <v>0.56000000000000005</v>
          </cell>
          <cell r="T4239">
            <v>1814.2929999999999</v>
          </cell>
        </row>
        <row r="4240">
          <cell r="G4240">
            <v>42522</v>
          </cell>
          <cell r="L4240" t="str">
            <v>02-14-005-32W1</v>
          </cell>
          <cell r="O4240">
            <v>835.2</v>
          </cell>
          <cell r="Q4240">
            <v>0.97</v>
          </cell>
          <cell r="T4240">
            <v>1725.556</v>
          </cell>
        </row>
        <row r="4241">
          <cell r="G4241">
            <v>42522</v>
          </cell>
          <cell r="L4241" t="str">
            <v>09-33-006-05W2</v>
          </cell>
          <cell r="O4241">
            <v>862.2</v>
          </cell>
          <cell r="Q4241">
            <v>1.74</v>
          </cell>
          <cell r="T4241">
            <v>1246.961</v>
          </cell>
        </row>
        <row r="4242">
          <cell r="G4242">
            <v>42522</v>
          </cell>
          <cell r="L4242" t="str">
            <v>08-33-005-03W2</v>
          </cell>
          <cell r="O4242">
            <v>841.1</v>
          </cell>
          <cell r="Q4242">
            <v>1.1200000000000001</v>
          </cell>
          <cell r="T4242">
            <v>1203.0889999999999</v>
          </cell>
        </row>
        <row r="4243">
          <cell r="G4243">
            <v>42522</v>
          </cell>
          <cell r="L4243" t="str">
            <v>16-13-004-32W1</v>
          </cell>
          <cell r="O4243">
            <v>854.1</v>
          </cell>
          <cell r="Q4243">
            <v>1.33</v>
          </cell>
          <cell r="T4243">
            <v>1200.5920000000001</v>
          </cell>
        </row>
        <row r="4244">
          <cell r="G4244">
            <v>42522</v>
          </cell>
          <cell r="L4244" t="str">
            <v>02-02-006-03W2</v>
          </cell>
          <cell r="O4244">
            <v>850.8</v>
          </cell>
          <cell r="Q4244">
            <v>1.2</v>
          </cell>
          <cell r="T4244">
            <v>1066.8620000000001</v>
          </cell>
        </row>
        <row r="4245">
          <cell r="G4245">
            <v>42522</v>
          </cell>
          <cell r="L4245" t="str">
            <v>11-28-006-05W2</v>
          </cell>
          <cell r="O4245">
            <v>856.5</v>
          </cell>
          <cell r="Q4245">
            <v>1.51</v>
          </cell>
          <cell r="T4245">
            <v>1039.962</v>
          </cell>
        </row>
        <row r="4246">
          <cell r="G4246">
            <v>42522</v>
          </cell>
          <cell r="L4246" t="str">
            <v>02-15-006-01W2</v>
          </cell>
          <cell r="O4246">
            <v>849.2</v>
          </cell>
          <cell r="Q4246">
            <v>1.1200000000000001</v>
          </cell>
          <cell r="T4246">
            <v>1037.914</v>
          </cell>
        </row>
        <row r="4247">
          <cell r="G4247">
            <v>42522</v>
          </cell>
          <cell r="L4247" t="str">
            <v>02-20-006-32W1</v>
          </cell>
          <cell r="O4247">
            <v>830.6</v>
          </cell>
          <cell r="Q4247">
            <v>0.8</v>
          </cell>
          <cell r="T4247">
            <v>1016.888</v>
          </cell>
        </row>
        <row r="4248">
          <cell r="G4248">
            <v>42522</v>
          </cell>
          <cell r="L4248" t="str">
            <v>12-23-005-31W1</v>
          </cell>
          <cell r="O4248">
            <v>846.1</v>
          </cell>
          <cell r="Q4248">
            <v>1.08</v>
          </cell>
          <cell r="T4248">
            <v>991.85599999999999</v>
          </cell>
        </row>
        <row r="4249">
          <cell r="G4249">
            <v>42522</v>
          </cell>
          <cell r="L4249" t="str">
            <v>14-33-003-01W2</v>
          </cell>
          <cell r="O4249">
            <v>837.6</v>
          </cell>
          <cell r="Q4249">
            <v>0.87</v>
          </cell>
          <cell r="T4249">
            <v>991.26400000000001</v>
          </cell>
        </row>
        <row r="4250">
          <cell r="G4250">
            <v>42522</v>
          </cell>
          <cell r="L4250" t="str">
            <v>04-33-006-01W2</v>
          </cell>
          <cell r="O4250">
            <v>849.1</v>
          </cell>
          <cell r="Q4250">
            <v>1.1299999999999999</v>
          </cell>
          <cell r="T4250">
            <v>981.20600000000002</v>
          </cell>
        </row>
        <row r="4251">
          <cell r="G4251">
            <v>42522</v>
          </cell>
          <cell r="L4251" t="str">
            <v>13-34-006-05W2</v>
          </cell>
          <cell r="O4251">
            <v>862.4</v>
          </cell>
          <cell r="Q4251">
            <v>1.93</v>
          </cell>
          <cell r="T4251">
            <v>967.53499999999997</v>
          </cell>
        </row>
        <row r="4252">
          <cell r="G4252">
            <v>42522</v>
          </cell>
          <cell r="L4252" t="str">
            <v>06-02-008-02W2</v>
          </cell>
          <cell r="O4252">
            <v>857</v>
          </cell>
          <cell r="Q4252">
            <v>1.51</v>
          </cell>
          <cell r="T4252">
            <v>960.51700000000005</v>
          </cell>
        </row>
        <row r="4253">
          <cell r="G4253">
            <v>42522</v>
          </cell>
          <cell r="L4253" t="str">
            <v>13-11-004-02W2</v>
          </cell>
          <cell r="O4253">
            <v>848.3</v>
          </cell>
          <cell r="Q4253">
            <v>1.2</v>
          </cell>
          <cell r="T4253">
            <v>868.02</v>
          </cell>
        </row>
        <row r="4254">
          <cell r="G4254">
            <v>42522</v>
          </cell>
          <cell r="L4254" t="str">
            <v>15-14-009-03W2</v>
          </cell>
          <cell r="O4254">
            <v>847.5</v>
          </cell>
          <cell r="Q4254">
            <v>1.52</v>
          </cell>
          <cell r="T4254">
            <v>860.31700000000001</v>
          </cell>
        </row>
        <row r="4255">
          <cell r="G4255">
            <v>42522</v>
          </cell>
          <cell r="L4255" t="str">
            <v>14-26-002-30W1</v>
          </cell>
          <cell r="O4255">
            <v>870.3</v>
          </cell>
          <cell r="Q4255">
            <v>2.02</v>
          </cell>
          <cell r="T4255">
            <v>787.71</v>
          </cell>
        </row>
        <row r="4256">
          <cell r="G4256">
            <v>42522</v>
          </cell>
          <cell r="L4256" t="str">
            <v>02-14-010-01W2</v>
          </cell>
          <cell r="O4256">
            <v>856.7</v>
          </cell>
          <cell r="Q4256">
            <v>1.7</v>
          </cell>
          <cell r="T4256">
            <v>745.26099999999997</v>
          </cell>
        </row>
        <row r="4257">
          <cell r="G4257">
            <v>42522</v>
          </cell>
          <cell r="L4257" t="str">
            <v>10-33-004-32W1</v>
          </cell>
          <cell r="O4257">
            <v>836.5</v>
          </cell>
          <cell r="Q4257">
            <v>0.99</v>
          </cell>
          <cell r="T4257">
            <v>694.21600000000001</v>
          </cell>
        </row>
        <row r="4258">
          <cell r="G4258">
            <v>42522</v>
          </cell>
          <cell r="L4258" t="str">
            <v>10-11-004-34W1</v>
          </cell>
          <cell r="O4258">
            <v>831.8</v>
          </cell>
          <cell r="Q4258">
            <v>0.73</v>
          </cell>
          <cell r="T4258">
            <v>658.50699999999995</v>
          </cell>
        </row>
        <row r="4259">
          <cell r="G4259">
            <v>42522</v>
          </cell>
          <cell r="L4259" t="str">
            <v>08-13-006-33W1</v>
          </cell>
          <cell r="O4259">
            <v>841</v>
          </cell>
          <cell r="Q4259">
            <v>0.89</v>
          </cell>
          <cell r="T4259">
            <v>571.25900000000001</v>
          </cell>
        </row>
        <row r="4260">
          <cell r="G4260">
            <v>42522</v>
          </cell>
          <cell r="L4260" t="str">
            <v>14-20-005-33W1</v>
          </cell>
          <cell r="O4260">
            <v>828.4</v>
          </cell>
          <cell r="Q4260">
            <v>0.67</v>
          </cell>
          <cell r="T4260">
            <v>555.38400000000001</v>
          </cell>
        </row>
        <row r="4261">
          <cell r="G4261">
            <v>42522</v>
          </cell>
          <cell r="L4261" t="str">
            <v>04-04-007-01W2</v>
          </cell>
          <cell r="O4261">
            <v>854.8</v>
          </cell>
          <cell r="Q4261">
            <v>1.1399999999999999</v>
          </cell>
          <cell r="T4261">
            <v>544.53700000000003</v>
          </cell>
        </row>
        <row r="4262">
          <cell r="G4262">
            <v>42522</v>
          </cell>
          <cell r="L4262" t="str">
            <v>02-16-010-02W2</v>
          </cell>
          <cell r="O4262">
            <v>860.2</v>
          </cell>
          <cell r="Q4262">
            <v>1.69</v>
          </cell>
          <cell r="T4262">
            <v>444.26799999999997</v>
          </cell>
        </row>
        <row r="4263">
          <cell r="G4263">
            <v>42522</v>
          </cell>
          <cell r="L4263" t="str">
            <v>02-12-010-02W2</v>
          </cell>
          <cell r="O4263">
            <v>857.3</v>
          </cell>
          <cell r="Q4263">
            <v>1.64</v>
          </cell>
          <cell r="T4263">
            <v>419.37599999999998</v>
          </cell>
        </row>
        <row r="4264">
          <cell r="G4264">
            <v>42522</v>
          </cell>
          <cell r="L4264" t="str">
            <v>15-26-007-04W2</v>
          </cell>
          <cell r="O4264">
            <v>856.7</v>
          </cell>
          <cell r="Q4264">
            <v>1.4</v>
          </cell>
          <cell r="T4264">
            <v>387.68</v>
          </cell>
        </row>
        <row r="4265">
          <cell r="G4265">
            <v>42522</v>
          </cell>
          <cell r="L4265" t="str">
            <v>06-04-006-33W1</v>
          </cell>
          <cell r="O4265">
            <v>834.1</v>
          </cell>
          <cell r="Q4265">
            <v>0.82</v>
          </cell>
          <cell r="T4265">
            <v>377.61200000000002</v>
          </cell>
        </row>
        <row r="4266">
          <cell r="G4266">
            <v>42522</v>
          </cell>
          <cell r="L4266" t="str">
            <v>06-03-004-31W1</v>
          </cell>
          <cell r="O4266">
            <v>870.2</v>
          </cell>
          <cell r="Q4266">
            <v>1.87</v>
          </cell>
          <cell r="T4266">
            <v>366.44600000000003</v>
          </cell>
        </row>
        <row r="4267">
          <cell r="G4267">
            <v>42522</v>
          </cell>
          <cell r="L4267" t="str">
            <v>01-01-006-06W2</v>
          </cell>
          <cell r="O4267">
            <v>850.3</v>
          </cell>
          <cell r="Q4267">
            <v>1.17</v>
          </cell>
          <cell r="T4267">
            <v>385.11099999999999</v>
          </cell>
        </row>
        <row r="4268">
          <cell r="G4268">
            <v>42522</v>
          </cell>
          <cell r="L4268" t="str">
            <v>07-18-005-04W2</v>
          </cell>
          <cell r="O4268">
            <v>859</v>
          </cell>
          <cell r="Q4268">
            <v>1.38</v>
          </cell>
          <cell r="T4268">
            <v>412.61200000000002</v>
          </cell>
        </row>
        <row r="4269">
          <cell r="G4269">
            <v>42522</v>
          </cell>
          <cell r="L4269" t="str">
            <v>01-11-005-04W2</v>
          </cell>
          <cell r="O4269">
            <v>863.4</v>
          </cell>
          <cell r="Q4269">
            <v>1.99</v>
          </cell>
          <cell r="T4269">
            <v>414.541</v>
          </cell>
        </row>
        <row r="4270">
          <cell r="G4270">
            <v>42522</v>
          </cell>
          <cell r="L4270" t="str">
            <v>STEELMAN MIDALE</v>
          </cell>
          <cell r="O4270">
            <v>882.5</v>
          </cell>
          <cell r="Q4270">
            <v>1.91</v>
          </cell>
          <cell r="T4270">
            <v>8499.5470000000005</v>
          </cell>
        </row>
        <row r="4271">
          <cell r="G4271">
            <v>42522</v>
          </cell>
          <cell r="L4271" t="str">
            <v>03-15-004-06W2</v>
          </cell>
          <cell r="O4271">
            <v>853.9</v>
          </cell>
          <cell r="Q4271">
            <v>1.22</v>
          </cell>
          <cell r="T4271">
            <v>4686.2719999999999</v>
          </cell>
        </row>
        <row r="4272">
          <cell r="G4272">
            <v>42522</v>
          </cell>
          <cell r="L4272" t="str">
            <v>09-08-004-03W2</v>
          </cell>
          <cell r="O4272">
            <v>845</v>
          </cell>
          <cell r="Q4272">
            <v>1.08</v>
          </cell>
          <cell r="T4272">
            <v>3519.404</v>
          </cell>
        </row>
        <row r="4273">
          <cell r="G4273">
            <v>42522</v>
          </cell>
          <cell r="L4273" t="str">
            <v>09-33-005-05W2</v>
          </cell>
          <cell r="O4273">
            <v>848.6</v>
          </cell>
          <cell r="Q4273">
            <v>1.02</v>
          </cell>
          <cell r="T4273">
            <v>3280.712</v>
          </cell>
        </row>
        <row r="4274">
          <cell r="G4274">
            <v>42522</v>
          </cell>
          <cell r="L4274" t="str">
            <v>14-30-001-04W2</v>
          </cell>
          <cell r="O4274">
            <v>831.1</v>
          </cell>
          <cell r="Q4274">
            <v>0.56000000000000005</v>
          </cell>
          <cell r="T4274">
            <v>2846.5410000000002</v>
          </cell>
        </row>
        <row r="4275">
          <cell r="G4275">
            <v>42522</v>
          </cell>
          <cell r="L4275" t="str">
            <v>07-35-004-04W2</v>
          </cell>
          <cell r="O4275">
            <v>852.8</v>
          </cell>
          <cell r="Q4275">
            <v>1.41</v>
          </cell>
          <cell r="T4275">
            <v>2712.7139999999999</v>
          </cell>
        </row>
        <row r="4276">
          <cell r="G4276">
            <v>42522</v>
          </cell>
          <cell r="L4276" t="str">
            <v>05-07-005-03W2</v>
          </cell>
          <cell r="O4276">
            <v>850.4</v>
          </cell>
          <cell r="Q4276">
            <v>1.24</v>
          </cell>
          <cell r="T4276">
            <v>2284.9940000000001</v>
          </cell>
        </row>
        <row r="4277">
          <cell r="G4277">
            <v>42522</v>
          </cell>
          <cell r="L4277" t="str">
            <v>16-33-005-06W2</v>
          </cell>
          <cell r="O4277">
            <v>856.5</v>
          </cell>
          <cell r="Q4277">
            <v>2.25</v>
          </cell>
          <cell r="T4277">
            <v>2140.4989999999998</v>
          </cell>
        </row>
        <row r="4278">
          <cell r="G4278">
            <v>42522</v>
          </cell>
          <cell r="L4278" t="str">
            <v>11-02-005-04W2</v>
          </cell>
          <cell r="O4278">
            <v>857.3</v>
          </cell>
          <cell r="Q4278">
            <v>1.4</v>
          </cell>
          <cell r="T4278">
            <v>1504.6769999999999</v>
          </cell>
        </row>
        <row r="4279">
          <cell r="G4279">
            <v>42522</v>
          </cell>
          <cell r="L4279" t="str">
            <v>06-27-004-06W2</v>
          </cell>
          <cell r="O4279">
            <v>833.2</v>
          </cell>
          <cell r="Q4279">
            <v>0.68</v>
          </cell>
          <cell r="T4279">
            <v>1434.039</v>
          </cell>
        </row>
        <row r="4280">
          <cell r="G4280">
            <v>42522</v>
          </cell>
          <cell r="L4280" t="str">
            <v>11-28-005-06W2</v>
          </cell>
          <cell r="O4280">
            <v>878.4</v>
          </cell>
          <cell r="Q4280">
            <v>2.27</v>
          </cell>
          <cell r="T4280">
            <v>1095.5609999999999</v>
          </cell>
        </row>
        <row r="4281">
          <cell r="G4281">
            <v>42522</v>
          </cell>
          <cell r="L4281" t="str">
            <v>14-13-001-05W2</v>
          </cell>
          <cell r="O4281">
            <v>821.9</v>
          </cell>
          <cell r="Q4281">
            <v>0.51</v>
          </cell>
          <cell r="T4281">
            <v>23722.9</v>
          </cell>
        </row>
        <row r="4282">
          <cell r="G4282">
            <v>42522</v>
          </cell>
          <cell r="L4282" t="str">
            <v>05-20-004-04W2</v>
          </cell>
          <cell r="O4282">
            <v>830.4</v>
          </cell>
          <cell r="Q4282">
            <v>1.59</v>
          </cell>
          <cell r="T4282">
            <v>4678.2340000000004</v>
          </cell>
        </row>
        <row r="4283">
          <cell r="G4283">
            <v>42522</v>
          </cell>
          <cell r="L4283" t="str">
            <v>05-10-006-05W2</v>
          </cell>
          <cell r="O4283">
            <v>857.3</v>
          </cell>
          <cell r="Q4283">
            <v>1.55</v>
          </cell>
          <cell r="T4283">
            <v>4068.538</v>
          </cell>
        </row>
        <row r="4284">
          <cell r="G4284">
            <v>42522</v>
          </cell>
          <cell r="L4284" t="str">
            <v>11-16-005-04W2</v>
          </cell>
          <cell r="O4284">
            <v>853.5</v>
          </cell>
          <cell r="Q4284">
            <v>1.1100000000000001</v>
          </cell>
          <cell r="T4284">
            <v>1856.171</v>
          </cell>
        </row>
        <row r="4285">
          <cell r="G4285">
            <v>42522</v>
          </cell>
          <cell r="L4285" t="str">
            <v>05-34-005-06W2</v>
          </cell>
          <cell r="O4285">
            <v>868.2</v>
          </cell>
          <cell r="Q4285">
            <v>2.2799999999999998</v>
          </cell>
          <cell r="T4285">
            <v>1757.5530000000001</v>
          </cell>
        </row>
        <row r="4286">
          <cell r="G4286">
            <v>42522</v>
          </cell>
          <cell r="L4286" t="str">
            <v>02-13-006-06W2</v>
          </cell>
          <cell r="O4286">
            <v>845.8</v>
          </cell>
          <cell r="Q4286">
            <v>1.48</v>
          </cell>
          <cell r="T4286">
            <v>1703.9690000000001</v>
          </cell>
        </row>
        <row r="4287">
          <cell r="G4287">
            <v>42522</v>
          </cell>
          <cell r="L4287" t="str">
            <v>07-08-004-05W2</v>
          </cell>
          <cell r="O4287">
            <v>838.8</v>
          </cell>
          <cell r="Q4287">
            <v>1.07</v>
          </cell>
          <cell r="T4287">
            <v>1486.627</v>
          </cell>
        </row>
        <row r="4288">
          <cell r="G4288">
            <v>42522</v>
          </cell>
          <cell r="L4288" t="str">
            <v>05-24-005-04W2</v>
          </cell>
          <cell r="O4288">
            <v>859.8</v>
          </cell>
          <cell r="Q4288">
            <v>1.51</v>
          </cell>
          <cell r="T4288">
            <v>1457.124</v>
          </cell>
        </row>
        <row r="4289">
          <cell r="G4289">
            <v>42522</v>
          </cell>
          <cell r="L4289" t="str">
            <v>03-29-003-04W2</v>
          </cell>
          <cell r="O4289">
            <v>840.4</v>
          </cell>
          <cell r="Q4289">
            <v>0.84</v>
          </cell>
          <cell r="T4289">
            <v>1102.6690000000001</v>
          </cell>
        </row>
        <row r="4290">
          <cell r="G4290">
            <v>42522</v>
          </cell>
          <cell r="L4290" t="str">
            <v>09-27-004-05W2</v>
          </cell>
          <cell r="O4290">
            <v>849.4</v>
          </cell>
          <cell r="Q4290">
            <v>1.4</v>
          </cell>
          <cell r="T4290">
            <v>1079.1120000000001</v>
          </cell>
        </row>
        <row r="4291">
          <cell r="G4291">
            <v>42522</v>
          </cell>
          <cell r="L4291" t="str">
            <v>09-10-005-04W2</v>
          </cell>
          <cell r="O4291">
            <v>856</v>
          </cell>
          <cell r="Q4291">
            <v>1.22</v>
          </cell>
          <cell r="T4291">
            <v>947.24099999999999</v>
          </cell>
        </row>
        <row r="4292">
          <cell r="G4292">
            <v>42522</v>
          </cell>
          <cell r="L4292" t="str">
            <v>13-30-005-05W2</v>
          </cell>
          <cell r="O4292">
            <v>848.3</v>
          </cell>
          <cell r="Q4292">
            <v>1.1000000000000001</v>
          </cell>
          <cell r="T4292">
            <v>764.5</v>
          </cell>
        </row>
        <row r="4293">
          <cell r="G4293">
            <v>42522</v>
          </cell>
          <cell r="L4293" t="str">
            <v>07-27-007-06W2</v>
          </cell>
          <cell r="O4293">
            <v>814</v>
          </cell>
          <cell r="Q4293">
            <v>0.21</v>
          </cell>
          <cell r="T4293">
            <v>570.30499999999995</v>
          </cell>
        </row>
        <row r="4294">
          <cell r="G4294">
            <v>42522</v>
          </cell>
          <cell r="L4294" t="str">
            <v>11-31-005-11W2</v>
          </cell>
          <cell r="O4294">
            <v>880.9</v>
          </cell>
          <cell r="Q4294">
            <v>2.56</v>
          </cell>
          <cell r="T4294">
            <v>2697.328</v>
          </cell>
        </row>
        <row r="4295">
          <cell r="G4295">
            <v>42522</v>
          </cell>
          <cell r="L4295" t="str">
            <v>14-27-005-12W2</v>
          </cell>
          <cell r="O4295">
            <v>876.3</v>
          </cell>
          <cell r="Q4295">
            <v>1.98</v>
          </cell>
          <cell r="T4295">
            <v>1099.6679999999999</v>
          </cell>
        </row>
        <row r="4296">
          <cell r="G4296">
            <v>42522</v>
          </cell>
          <cell r="L4296" t="str">
            <v>16-05-005-08W2</v>
          </cell>
          <cell r="O4296">
            <v>887.1</v>
          </cell>
          <cell r="Q4296">
            <v>2.34</v>
          </cell>
          <cell r="T4296">
            <v>855.38199999999995</v>
          </cell>
        </row>
        <row r="4297">
          <cell r="G4297">
            <v>42522</v>
          </cell>
          <cell r="L4297" t="str">
            <v>01-18-004-08W2</v>
          </cell>
          <cell r="O4297">
            <v>889.5</v>
          </cell>
          <cell r="Q4297">
            <v>2.36</v>
          </cell>
          <cell r="T4297">
            <v>756.43499999999995</v>
          </cell>
        </row>
        <row r="4298">
          <cell r="G4298">
            <v>42522</v>
          </cell>
          <cell r="L4298" t="str">
            <v>15-36-001-12W2</v>
          </cell>
          <cell r="O4298">
            <v>816.4</v>
          </cell>
          <cell r="Q4298">
            <v>0.14000000000000001</v>
          </cell>
          <cell r="T4298">
            <v>653.76700000000005</v>
          </cell>
        </row>
        <row r="4299">
          <cell r="G4299">
            <v>42522</v>
          </cell>
          <cell r="L4299" t="str">
            <v>09-02-006-07W2</v>
          </cell>
          <cell r="O4299">
            <v>884.5</v>
          </cell>
          <cell r="Q4299">
            <v>1.97</v>
          </cell>
          <cell r="T4299">
            <v>615.76300000000003</v>
          </cell>
        </row>
        <row r="4300">
          <cell r="G4300">
            <v>42522</v>
          </cell>
          <cell r="L4300" t="str">
            <v>14-22-004-08W2</v>
          </cell>
          <cell r="O4300">
            <v>875.6</v>
          </cell>
          <cell r="Q4300">
            <v>2.0299999999999998</v>
          </cell>
          <cell r="T4300">
            <v>588.024</v>
          </cell>
        </row>
        <row r="4301">
          <cell r="G4301">
            <v>42522</v>
          </cell>
          <cell r="L4301" t="str">
            <v>15-11-005-09W2</v>
          </cell>
          <cell r="O4301">
            <v>885.9</v>
          </cell>
          <cell r="Q4301">
            <v>2.21</v>
          </cell>
          <cell r="T4301">
            <v>508.86099999999999</v>
          </cell>
        </row>
        <row r="4302">
          <cell r="G4302">
            <v>42522</v>
          </cell>
          <cell r="L4302" t="str">
            <v>13-33-006-09W2</v>
          </cell>
          <cell r="O4302">
            <v>887.3</v>
          </cell>
          <cell r="Q4302">
            <v>2.42</v>
          </cell>
          <cell r="T4302">
            <v>454.6</v>
          </cell>
        </row>
        <row r="4303">
          <cell r="G4303">
            <v>42522</v>
          </cell>
          <cell r="L4303" t="str">
            <v>12-20-005-12W2</v>
          </cell>
          <cell r="O4303">
            <v>884.1</v>
          </cell>
          <cell r="Q4303">
            <v>2.38</v>
          </cell>
          <cell r="T4303">
            <v>439.27699999999999</v>
          </cell>
        </row>
        <row r="4304">
          <cell r="G4304">
            <v>42522</v>
          </cell>
          <cell r="L4304" t="str">
            <v>04-27-004-08W2</v>
          </cell>
          <cell r="O4304">
            <v>883.6</v>
          </cell>
          <cell r="Q4304">
            <v>2.14</v>
          </cell>
          <cell r="T4304">
            <v>417.197</v>
          </cell>
        </row>
        <row r="4305">
          <cell r="G4305">
            <v>42522</v>
          </cell>
          <cell r="L4305" t="str">
            <v>16-09-007-11W2</v>
          </cell>
          <cell r="O4305">
            <v>860.7</v>
          </cell>
          <cell r="Q4305">
            <v>0.49</v>
          </cell>
          <cell r="T4305">
            <v>380.61200000000002</v>
          </cell>
        </row>
        <row r="4306">
          <cell r="G4306">
            <v>42522</v>
          </cell>
          <cell r="L4306" t="str">
            <v>03-18-007-09W2</v>
          </cell>
          <cell r="O4306">
            <v>823.5</v>
          </cell>
          <cell r="Q4306">
            <v>0.59</v>
          </cell>
          <cell r="T4306">
            <v>373.28300000000002</v>
          </cell>
        </row>
        <row r="4307">
          <cell r="G4307">
            <v>42522</v>
          </cell>
          <cell r="L4307" t="str">
            <v>06-18-006-12W2</v>
          </cell>
          <cell r="O4307">
            <v>888.2</v>
          </cell>
          <cell r="Q4307">
            <v>2.58</v>
          </cell>
          <cell r="T4307">
            <v>369.84100000000001</v>
          </cell>
        </row>
        <row r="4308">
          <cell r="G4308">
            <v>42522</v>
          </cell>
          <cell r="L4308" t="str">
            <v>13-06-007-11W2</v>
          </cell>
          <cell r="O4308">
            <v>860.3</v>
          </cell>
          <cell r="Q4308">
            <v>2.08</v>
          </cell>
          <cell r="T4308">
            <v>368.81700000000001</v>
          </cell>
        </row>
        <row r="4309">
          <cell r="G4309">
            <v>42522</v>
          </cell>
          <cell r="L4309" t="str">
            <v>15-29-007-13W2</v>
          </cell>
          <cell r="O4309">
            <v>846.9</v>
          </cell>
          <cell r="Q4309">
            <v>1.85</v>
          </cell>
          <cell r="T4309">
            <v>351.31599999999997</v>
          </cell>
        </row>
        <row r="4310">
          <cell r="G4310">
            <v>42522</v>
          </cell>
          <cell r="L4310" t="str">
            <v>11-14-007-08W2</v>
          </cell>
          <cell r="O4310">
            <v>847</v>
          </cell>
          <cell r="Q4310">
            <v>1.33</v>
          </cell>
          <cell r="T4310">
            <v>331.62700000000001</v>
          </cell>
        </row>
        <row r="4311">
          <cell r="G4311">
            <v>42522</v>
          </cell>
          <cell r="L4311" t="str">
            <v>04-35-004-09W2</v>
          </cell>
          <cell r="O4311">
            <v>892.8</v>
          </cell>
          <cell r="Q4311">
            <v>1.92</v>
          </cell>
          <cell r="T4311">
            <v>322.11399999999998</v>
          </cell>
        </row>
        <row r="4312">
          <cell r="G4312">
            <v>42522</v>
          </cell>
          <cell r="L4312" t="str">
            <v>01-10-008-15W2</v>
          </cell>
          <cell r="O4312">
            <v>866.2</v>
          </cell>
          <cell r="Q4312">
            <v>2.21</v>
          </cell>
          <cell r="T4312">
            <v>301.11099999999999</v>
          </cell>
        </row>
        <row r="4313">
          <cell r="G4313">
            <v>42522</v>
          </cell>
          <cell r="L4313" t="str">
            <v>01-36-006-12W2</v>
          </cell>
          <cell r="O4313">
            <v>891.5</v>
          </cell>
          <cell r="Q4313">
            <v>2.63</v>
          </cell>
          <cell r="T4313">
            <v>295.93599999999998</v>
          </cell>
        </row>
        <row r="4314">
          <cell r="G4314">
            <v>42522</v>
          </cell>
          <cell r="L4314" t="str">
            <v>04-13-004-10W2</v>
          </cell>
          <cell r="O4314">
            <v>883.3</v>
          </cell>
          <cell r="Q4314">
            <v>2.04</v>
          </cell>
          <cell r="T4314">
            <v>293.91000000000003</v>
          </cell>
        </row>
        <row r="4315">
          <cell r="G4315">
            <v>42522</v>
          </cell>
          <cell r="L4315" t="str">
            <v>04-23-012-06W2</v>
          </cell>
          <cell r="O4315">
            <v>893.1</v>
          </cell>
          <cell r="Q4315">
            <v>2.52</v>
          </cell>
          <cell r="T4315">
            <v>276.98700000000002</v>
          </cell>
        </row>
        <row r="4316">
          <cell r="G4316">
            <v>42522</v>
          </cell>
          <cell r="L4316" t="str">
            <v>14-20-004-10W2</v>
          </cell>
          <cell r="O4316">
            <v>889.5</v>
          </cell>
          <cell r="Q4316">
            <v>2.14</v>
          </cell>
          <cell r="T4316">
            <v>264.173</v>
          </cell>
        </row>
        <row r="4317">
          <cell r="G4317">
            <v>42522</v>
          </cell>
          <cell r="L4317" t="str">
            <v>03-08-001-11W2</v>
          </cell>
          <cell r="O4317">
            <v>812.4</v>
          </cell>
          <cell r="Q4317">
            <v>0.32</v>
          </cell>
          <cell r="T4317">
            <v>253.65700000000001</v>
          </cell>
        </row>
        <row r="4318">
          <cell r="G4318">
            <v>42522</v>
          </cell>
          <cell r="L4318" t="str">
            <v>02-13-004-12W2</v>
          </cell>
          <cell r="O4318">
            <v>879.9</v>
          </cell>
          <cell r="Q4318">
            <v>1.99</v>
          </cell>
          <cell r="T4318">
            <v>222.24799999999999</v>
          </cell>
        </row>
        <row r="4319">
          <cell r="G4319">
            <v>42522</v>
          </cell>
          <cell r="L4319" t="str">
            <v>04-16-004-21W2</v>
          </cell>
          <cell r="O4319">
            <v>820.4</v>
          </cell>
          <cell r="Q4319">
            <v>0.21</v>
          </cell>
          <cell r="T4319">
            <v>206.82</v>
          </cell>
        </row>
        <row r="4320">
          <cell r="G4320">
            <v>42522</v>
          </cell>
          <cell r="L4320" t="str">
            <v>12-27-006-13W2</v>
          </cell>
          <cell r="O4320">
            <v>853</v>
          </cell>
          <cell r="Q4320">
            <v>0.18</v>
          </cell>
          <cell r="T4320">
            <v>199.32599999999999</v>
          </cell>
        </row>
        <row r="4321">
          <cell r="G4321">
            <v>42522</v>
          </cell>
          <cell r="L4321" t="str">
            <v>09-22-006-12W2</v>
          </cell>
          <cell r="O4321">
            <v>876.8</v>
          </cell>
          <cell r="Q4321">
            <v>2.34</v>
          </cell>
          <cell r="T4321">
            <v>169.09299999999999</v>
          </cell>
        </row>
        <row r="4322">
          <cell r="G4322">
            <v>42522</v>
          </cell>
          <cell r="L4322" t="str">
            <v>16-06-005-12W2</v>
          </cell>
          <cell r="O4322">
            <v>880</v>
          </cell>
          <cell r="Q4322">
            <v>2</v>
          </cell>
          <cell r="T4322">
            <v>167.06700000000001</v>
          </cell>
        </row>
        <row r="4323">
          <cell r="G4323">
            <v>42522</v>
          </cell>
          <cell r="L4323" t="str">
            <v>04-18-007-09W2</v>
          </cell>
          <cell r="O4323">
            <v>817.8</v>
          </cell>
          <cell r="Q4323">
            <v>0.19</v>
          </cell>
          <cell r="T4323">
            <v>166.654</v>
          </cell>
        </row>
        <row r="4324">
          <cell r="G4324">
            <v>42522</v>
          </cell>
          <cell r="L4324" t="str">
            <v>03-27-011-08W2</v>
          </cell>
          <cell r="O4324">
            <v>898.3</v>
          </cell>
          <cell r="Q4324">
            <v>2.62</v>
          </cell>
          <cell r="T4324">
            <v>143.59700000000001</v>
          </cell>
        </row>
        <row r="4325">
          <cell r="G4325">
            <v>42522</v>
          </cell>
          <cell r="L4325" t="str">
            <v>12-31-001-17W2</v>
          </cell>
          <cell r="O4325">
            <v>851</v>
          </cell>
          <cell r="Q4325">
            <v>0.14000000000000001</v>
          </cell>
          <cell r="T4325">
            <v>140.62</v>
          </cell>
        </row>
        <row r="4326">
          <cell r="G4326">
            <v>42522</v>
          </cell>
          <cell r="L4326" t="str">
            <v>09-11-007-14W2</v>
          </cell>
          <cell r="O4326">
            <v>849.1</v>
          </cell>
          <cell r="Q4326">
            <v>1.55</v>
          </cell>
          <cell r="T4326">
            <v>136.30699999999999</v>
          </cell>
        </row>
        <row r="4327">
          <cell r="G4327">
            <v>42522</v>
          </cell>
          <cell r="L4327" t="str">
            <v>16-29-006-12W2</v>
          </cell>
          <cell r="O4327">
            <v>864.8</v>
          </cell>
          <cell r="Q4327">
            <v>1.56</v>
          </cell>
          <cell r="T4327">
            <v>129.72800000000001</v>
          </cell>
        </row>
        <row r="4328">
          <cell r="G4328">
            <v>42522</v>
          </cell>
          <cell r="L4328" t="str">
            <v>07-02-007-12W2</v>
          </cell>
          <cell r="O4328">
            <v>860</v>
          </cell>
          <cell r="Q4328">
            <v>1.83</v>
          </cell>
          <cell r="T4328">
            <v>128.99600000000001</v>
          </cell>
        </row>
        <row r="4329">
          <cell r="G4329">
            <v>42522</v>
          </cell>
          <cell r="L4329" t="str">
            <v>05-31-006-13W2</v>
          </cell>
          <cell r="O4329">
            <v>806.8</v>
          </cell>
          <cell r="Q4329">
            <v>0.19</v>
          </cell>
          <cell r="T4329">
            <v>127.334</v>
          </cell>
        </row>
        <row r="4330">
          <cell r="G4330">
            <v>42522</v>
          </cell>
          <cell r="L4330" t="str">
            <v>01-06-004-11W2</v>
          </cell>
          <cell r="O4330">
            <v>883.1</v>
          </cell>
          <cell r="Q4330">
            <v>1.95</v>
          </cell>
          <cell r="T4330">
            <v>124.96</v>
          </cell>
        </row>
        <row r="4331">
          <cell r="G4331">
            <v>42522</v>
          </cell>
          <cell r="L4331" t="str">
            <v>07-24-006-10W2</v>
          </cell>
          <cell r="O4331">
            <v>882.9</v>
          </cell>
          <cell r="Q4331">
            <v>2.44</v>
          </cell>
          <cell r="T4331">
            <v>106.08499999999999</v>
          </cell>
        </row>
        <row r="4332">
          <cell r="G4332">
            <v>42522</v>
          </cell>
          <cell r="L4332" t="str">
            <v>07-10-001-20W2</v>
          </cell>
          <cell r="O4332">
            <v>875.7</v>
          </cell>
          <cell r="Q4332">
            <v>1.72</v>
          </cell>
          <cell r="T4332">
            <v>94.254999999999995</v>
          </cell>
        </row>
        <row r="4333">
          <cell r="G4333">
            <v>42522</v>
          </cell>
          <cell r="L4333" t="str">
            <v>15-11-008-12W2</v>
          </cell>
          <cell r="O4333">
            <v>903.7</v>
          </cell>
          <cell r="Q4333">
            <v>2.62</v>
          </cell>
          <cell r="T4333">
            <v>74.694999999999993</v>
          </cell>
        </row>
        <row r="4334">
          <cell r="G4334">
            <v>42522</v>
          </cell>
          <cell r="L4334" t="str">
            <v>12-28-006-07W2</v>
          </cell>
          <cell r="O4334">
            <v>906.5</v>
          </cell>
          <cell r="Q4334">
            <v>2.52</v>
          </cell>
          <cell r="T4334">
            <v>73.921999999999997</v>
          </cell>
        </row>
        <row r="4335">
          <cell r="G4335">
            <v>42522</v>
          </cell>
          <cell r="L4335" t="str">
            <v>09-06-010-15W2</v>
          </cell>
          <cell r="O4335">
            <v>867.4</v>
          </cell>
          <cell r="Q4335">
            <v>0.13</v>
          </cell>
          <cell r="T4335">
            <v>69.27</v>
          </cell>
        </row>
        <row r="4336">
          <cell r="G4336">
            <v>42522</v>
          </cell>
          <cell r="L4336" t="str">
            <v>01-23-005-12W2</v>
          </cell>
          <cell r="O4336">
            <v>882</v>
          </cell>
          <cell r="Q4336">
            <v>2.06</v>
          </cell>
          <cell r="T4336">
            <v>67.129000000000005</v>
          </cell>
        </row>
        <row r="4337">
          <cell r="G4337">
            <v>42522</v>
          </cell>
          <cell r="L4337" t="str">
            <v>09-32-006-15W2</v>
          </cell>
          <cell r="O4337">
            <v>887.6</v>
          </cell>
          <cell r="Q4337">
            <v>2.8</v>
          </cell>
          <cell r="T4337">
            <v>65.066000000000003</v>
          </cell>
        </row>
        <row r="4338">
          <cell r="G4338">
            <v>42522</v>
          </cell>
          <cell r="L4338" t="str">
            <v>01-04-153-01W1</v>
          </cell>
          <cell r="O4338">
            <v>813.5</v>
          </cell>
          <cell r="Q4338">
            <v>0.15</v>
          </cell>
          <cell r="T4338">
            <v>60.786999999999999</v>
          </cell>
        </row>
        <row r="4339">
          <cell r="G4339">
            <v>42522</v>
          </cell>
          <cell r="L4339" t="str">
            <v>06-13-007-10W2</v>
          </cell>
          <cell r="O4339">
            <v>821.5</v>
          </cell>
          <cell r="Q4339">
            <v>0.17</v>
          </cell>
          <cell r="T4339">
            <v>58.58</v>
          </cell>
        </row>
        <row r="4340">
          <cell r="G4340">
            <v>42522</v>
          </cell>
          <cell r="L4340" t="str">
            <v>15-13-002-12W2</v>
          </cell>
          <cell r="O4340">
            <v>825</v>
          </cell>
          <cell r="Q4340">
            <v>0.15</v>
          </cell>
          <cell r="T4340">
            <v>57.956000000000003</v>
          </cell>
        </row>
        <row r="4341">
          <cell r="G4341">
            <v>42522</v>
          </cell>
          <cell r="L4341" t="str">
            <v>02-22-009-09W2</v>
          </cell>
          <cell r="O4341">
            <v>881.7</v>
          </cell>
          <cell r="Q4341">
            <v>2.42</v>
          </cell>
          <cell r="T4341">
            <v>37.661000000000001</v>
          </cell>
        </row>
        <row r="4342">
          <cell r="G4342">
            <v>42522</v>
          </cell>
          <cell r="L4342" t="str">
            <v>01-01-003-16W2</v>
          </cell>
          <cell r="O4342">
            <v>843</v>
          </cell>
          <cell r="Q4342">
            <v>1.19</v>
          </cell>
          <cell r="T4342">
            <v>36.064</v>
          </cell>
        </row>
        <row r="4343">
          <cell r="G4343">
            <v>42522</v>
          </cell>
          <cell r="L4343" t="str">
            <v>03-07-007-11W2</v>
          </cell>
          <cell r="O4343">
            <v>813.9</v>
          </cell>
          <cell r="Q4343">
            <v>0.16</v>
          </cell>
          <cell r="T4343">
            <v>34.277000000000001</v>
          </cell>
        </row>
        <row r="4344">
          <cell r="G4344">
            <v>42522</v>
          </cell>
          <cell r="L4344" t="str">
            <v>05-19-007-12W2</v>
          </cell>
          <cell r="O4344">
            <v>868.8</v>
          </cell>
          <cell r="Q4344">
            <v>1.82</v>
          </cell>
          <cell r="T4344">
            <v>33.773000000000003</v>
          </cell>
        </row>
        <row r="4345">
          <cell r="G4345">
            <v>42522</v>
          </cell>
          <cell r="L4345" t="str">
            <v>13-06-007-09W2</v>
          </cell>
          <cell r="O4345">
            <v>815.9</v>
          </cell>
          <cell r="Q4345">
            <v>0.25</v>
          </cell>
          <cell r="T4345">
            <v>32.965000000000003</v>
          </cell>
        </row>
        <row r="4346">
          <cell r="G4346">
            <v>42522</v>
          </cell>
          <cell r="L4346" t="str">
            <v>08-34-006-12W2</v>
          </cell>
          <cell r="O4346">
            <v>876</v>
          </cell>
          <cell r="Q4346">
            <v>1.89</v>
          </cell>
          <cell r="T4346">
            <v>31.847999999999999</v>
          </cell>
        </row>
        <row r="4347">
          <cell r="G4347">
            <v>42522</v>
          </cell>
          <cell r="L4347" t="str">
            <v>01-27-004-07W2</v>
          </cell>
          <cell r="O4347">
            <v>887.7</v>
          </cell>
          <cell r="Q4347">
            <v>2.0299999999999998</v>
          </cell>
          <cell r="T4347">
            <v>31.699000000000002</v>
          </cell>
        </row>
        <row r="4348">
          <cell r="G4348">
            <v>42522</v>
          </cell>
          <cell r="L4348" t="str">
            <v>09-12-007-09W2</v>
          </cell>
          <cell r="O4348">
            <v>813.4</v>
          </cell>
          <cell r="Q4348">
            <v>0.15</v>
          </cell>
          <cell r="T4348">
            <v>30.506</v>
          </cell>
        </row>
        <row r="4349">
          <cell r="G4349">
            <v>42522</v>
          </cell>
          <cell r="L4349" t="str">
            <v>01-22-005-07W2</v>
          </cell>
          <cell r="O4349">
            <v>883.7</v>
          </cell>
          <cell r="Q4349">
            <v>2.5499999999999998</v>
          </cell>
          <cell r="T4349">
            <v>30.457000000000001</v>
          </cell>
        </row>
        <row r="4350">
          <cell r="G4350">
            <v>42522</v>
          </cell>
          <cell r="L4350" t="str">
            <v>01-23-155-91W1</v>
          </cell>
          <cell r="O4350">
            <v>881.2</v>
          </cell>
          <cell r="Q4350">
            <v>1.82</v>
          </cell>
          <cell r="T4350">
            <v>29.719000000000001</v>
          </cell>
        </row>
        <row r="4351">
          <cell r="G4351">
            <v>42522</v>
          </cell>
          <cell r="L4351" t="str">
            <v>02-31-162-81W1</v>
          </cell>
          <cell r="O4351">
            <v>815.9</v>
          </cell>
          <cell r="Q4351">
            <v>2.19</v>
          </cell>
          <cell r="T4351">
            <v>29.706</v>
          </cell>
        </row>
        <row r="4352">
          <cell r="G4352">
            <v>42522</v>
          </cell>
          <cell r="L4352" t="str">
            <v>01-35-162-03W1</v>
          </cell>
          <cell r="O4352">
            <v>875.9</v>
          </cell>
          <cell r="Q4352">
            <v>1.41</v>
          </cell>
          <cell r="T4352">
            <v>27.27</v>
          </cell>
        </row>
        <row r="4353">
          <cell r="G4353">
            <v>42522</v>
          </cell>
          <cell r="L4353" t="str">
            <v>05-23-004-07W2</v>
          </cell>
          <cell r="O4353">
            <v>890.2</v>
          </cell>
          <cell r="Q4353">
            <v>2.5299999999999998</v>
          </cell>
          <cell r="T4353">
            <v>7.4989999999999997</v>
          </cell>
        </row>
        <row r="4354">
          <cell r="G4354">
            <v>42522</v>
          </cell>
          <cell r="L4354" t="str">
            <v>11-25-005-12W2</v>
          </cell>
          <cell r="O4354">
            <v>875.9</v>
          </cell>
          <cell r="Q4354">
            <v>2.02</v>
          </cell>
          <cell r="T4354">
            <v>2131.634</v>
          </cell>
        </row>
        <row r="4355">
          <cell r="G4355">
            <v>42522</v>
          </cell>
          <cell r="L4355" t="str">
            <v>16-18-003-15W2</v>
          </cell>
          <cell r="O4355">
            <v>885.8</v>
          </cell>
          <cell r="Q4355">
            <v>2.4500000000000002</v>
          </cell>
          <cell r="T4355">
            <v>791.55700000000002</v>
          </cell>
        </row>
        <row r="4356">
          <cell r="G4356">
            <v>42522</v>
          </cell>
          <cell r="L4356" t="str">
            <v>12-30-005-07W2</v>
          </cell>
          <cell r="O4356">
            <v>891.4</v>
          </cell>
          <cell r="Q4356">
            <v>2.5299999999999998</v>
          </cell>
          <cell r="T4356">
            <v>706.952</v>
          </cell>
        </row>
        <row r="4357">
          <cell r="G4357">
            <v>42522</v>
          </cell>
          <cell r="L4357" t="str">
            <v>14-21-001-12W2</v>
          </cell>
          <cell r="O4357">
            <v>809.8</v>
          </cell>
          <cell r="Q4357">
            <v>0.22</v>
          </cell>
          <cell r="T4357">
            <v>478.90800000000002</v>
          </cell>
        </row>
        <row r="4358">
          <cell r="G4358">
            <v>42522</v>
          </cell>
          <cell r="L4358" t="str">
            <v>11-31-006-08W2</v>
          </cell>
          <cell r="O4358">
            <v>888.8</v>
          </cell>
          <cell r="Q4358">
            <v>2.5</v>
          </cell>
          <cell r="T4358">
            <v>438.31299999999999</v>
          </cell>
        </row>
        <row r="4359">
          <cell r="G4359">
            <v>42522</v>
          </cell>
          <cell r="L4359" t="str">
            <v>05-23-005-13W2</v>
          </cell>
          <cell r="O4359">
            <v>904.1</v>
          </cell>
          <cell r="Q4359">
            <v>2.75</v>
          </cell>
          <cell r="T4359">
            <v>334.85</v>
          </cell>
        </row>
        <row r="4360">
          <cell r="G4360">
            <v>42522</v>
          </cell>
          <cell r="L4360" t="str">
            <v>06-20-006-09W2</v>
          </cell>
          <cell r="O4360">
            <v>879.7</v>
          </cell>
          <cell r="Q4360">
            <v>2.19</v>
          </cell>
          <cell r="T4360">
            <v>308.38099999999997</v>
          </cell>
        </row>
        <row r="4361">
          <cell r="G4361">
            <v>42522</v>
          </cell>
          <cell r="L4361" t="str">
            <v>13-24-001-16W2</v>
          </cell>
          <cell r="O4361">
            <v>805.4</v>
          </cell>
          <cell r="Q4361">
            <v>0.39</v>
          </cell>
          <cell r="T4361">
            <v>279.96699999999998</v>
          </cell>
        </row>
        <row r="4362">
          <cell r="G4362">
            <v>42522</v>
          </cell>
          <cell r="L4362" t="str">
            <v>13-29-001-15W2</v>
          </cell>
          <cell r="O4362">
            <v>807.6</v>
          </cell>
          <cell r="Q4362">
            <v>0.45</v>
          </cell>
          <cell r="T4362">
            <v>223.85</v>
          </cell>
        </row>
        <row r="4363">
          <cell r="G4363">
            <v>42522</v>
          </cell>
          <cell r="L4363" t="str">
            <v>16-22-001-12W2</v>
          </cell>
          <cell r="O4363">
            <v>817.3</v>
          </cell>
          <cell r="Q4363">
            <v>0.17</v>
          </cell>
          <cell r="T4363">
            <v>194.22499999999999</v>
          </cell>
        </row>
        <row r="4364">
          <cell r="G4364">
            <v>42522</v>
          </cell>
          <cell r="L4364" t="str">
            <v>13-22-001-12W2</v>
          </cell>
          <cell r="O4364">
            <v>812.7</v>
          </cell>
          <cell r="Q4364">
            <v>0.23</v>
          </cell>
          <cell r="T4364">
            <v>143.727</v>
          </cell>
        </row>
        <row r="4365">
          <cell r="G4365">
            <v>42522</v>
          </cell>
          <cell r="L4365" t="str">
            <v>14-27-001-12W2</v>
          </cell>
          <cell r="O4365">
            <v>821.8</v>
          </cell>
          <cell r="Q4365">
            <v>0.25</v>
          </cell>
          <cell r="T4365">
            <v>119.26300000000001</v>
          </cell>
        </row>
        <row r="4366">
          <cell r="G4366">
            <v>42522</v>
          </cell>
          <cell r="L4366" t="str">
            <v>15-06-006-21W2</v>
          </cell>
          <cell r="O4366">
            <v>823.7</v>
          </cell>
          <cell r="Q4366">
            <v>0.19</v>
          </cell>
          <cell r="T4366">
            <v>88.853999999999999</v>
          </cell>
        </row>
        <row r="4367">
          <cell r="G4367">
            <v>42522</v>
          </cell>
          <cell r="L4367" t="str">
            <v>16-25-001-15W2</v>
          </cell>
          <cell r="O4367">
            <v>818.5</v>
          </cell>
          <cell r="Q4367">
            <v>0.32</v>
          </cell>
          <cell r="T4367">
            <v>88.644999999999996</v>
          </cell>
        </row>
        <row r="4368">
          <cell r="G4368">
            <v>42522</v>
          </cell>
          <cell r="L4368" t="str">
            <v>16-34-001-15W2</v>
          </cell>
          <cell r="O4368">
            <v>801.2</v>
          </cell>
          <cell r="Q4368">
            <v>0.22</v>
          </cell>
          <cell r="T4368">
            <v>61.106000000000002</v>
          </cell>
        </row>
        <row r="4369">
          <cell r="G4369">
            <v>42522</v>
          </cell>
          <cell r="L4369" t="str">
            <v>15-29-005-15W2</v>
          </cell>
          <cell r="O4369">
            <v>890.8</v>
          </cell>
          <cell r="Q4369">
            <v>2.64</v>
          </cell>
          <cell r="T4369">
            <v>4889.7740000000003</v>
          </cell>
        </row>
        <row r="4370">
          <cell r="G4370">
            <v>42522</v>
          </cell>
          <cell r="L4370" t="str">
            <v>04-24-005-15W2</v>
          </cell>
          <cell r="O4370">
            <v>888.9</v>
          </cell>
          <cell r="Q4370">
            <v>2.75</v>
          </cell>
          <cell r="T4370">
            <v>1417.027</v>
          </cell>
        </row>
        <row r="4371">
          <cell r="G4371">
            <v>42522</v>
          </cell>
          <cell r="L4371" t="str">
            <v>09-34-005-15W2</v>
          </cell>
          <cell r="O4371">
            <v>879</v>
          </cell>
          <cell r="Q4371">
            <v>2.64</v>
          </cell>
          <cell r="T4371">
            <v>1072.521</v>
          </cell>
        </row>
        <row r="4372">
          <cell r="G4372">
            <v>42522</v>
          </cell>
          <cell r="L4372" t="str">
            <v>06-17-006-14W2</v>
          </cell>
          <cell r="O4372">
            <v>873.5</v>
          </cell>
          <cell r="Q4372">
            <v>1.72</v>
          </cell>
          <cell r="T4372">
            <v>3513.9380000000001</v>
          </cell>
        </row>
        <row r="4373">
          <cell r="G4373">
            <v>42522</v>
          </cell>
          <cell r="L4373" t="str">
            <v>10-11-005-14W2</v>
          </cell>
          <cell r="O4373">
            <v>900.3</v>
          </cell>
          <cell r="Q4373">
            <v>2.86</v>
          </cell>
          <cell r="T4373">
            <v>378.49299999999999</v>
          </cell>
        </row>
        <row r="4374">
          <cell r="G4374">
            <v>42522</v>
          </cell>
          <cell r="L4374" t="str">
            <v>03-15-005-13W2</v>
          </cell>
          <cell r="O4374">
            <v>899</v>
          </cell>
          <cell r="Q4374">
            <v>2.85</v>
          </cell>
          <cell r="T4374">
            <v>315.84800000000001</v>
          </cell>
        </row>
        <row r="4375">
          <cell r="G4375">
            <v>42522</v>
          </cell>
          <cell r="L4375" t="str">
            <v>12-13-006-13W2</v>
          </cell>
          <cell r="O4375">
            <v>873</v>
          </cell>
          <cell r="Q4375">
            <v>2.5299999999999998</v>
          </cell>
          <cell r="T4375">
            <v>280.24799999999999</v>
          </cell>
        </row>
        <row r="4376">
          <cell r="G4376">
            <v>42522</v>
          </cell>
          <cell r="L4376" t="str">
            <v>15-19-005-13W2</v>
          </cell>
          <cell r="O4376">
            <v>896.9</v>
          </cell>
          <cell r="Q4376">
            <v>2.72</v>
          </cell>
          <cell r="T4376">
            <v>239.68899999999999</v>
          </cell>
        </row>
        <row r="4377">
          <cell r="G4377">
            <v>42522</v>
          </cell>
          <cell r="L4377" t="str">
            <v>08-23-005-14W2</v>
          </cell>
          <cell r="O4377">
            <v>877.7</v>
          </cell>
          <cell r="Q4377">
            <v>2.39</v>
          </cell>
          <cell r="T4377">
            <v>149.834</v>
          </cell>
        </row>
        <row r="4378">
          <cell r="G4378">
            <v>42522</v>
          </cell>
          <cell r="L4378" t="str">
            <v>11-12-006-15W2</v>
          </cell>
          <cell r="O4378">
            <v>872</v>
          </cell>
          <cell r="Q4378">
            <v>2.2999999999999998</v>
          </cell>
          <cell r="T4378">
            <v>7479.2</v>
          </cell>
        </row>
        <row r="4379">
          <cell r="G4379">
            <v>42522</v>
          </cell>
          <cell r="L4379" t="str">
            <v>07-24-006-15W2</v>
          </cell>
          <cell r="O4379">
            <v>865.1</v>
          </cell>
          <cell r="Q4379">
            <v>2.27</v>
          </cell>
          <cell r="T4379">
            <v>1557.0219999999999</v>
          </cell>
        </row>
        <row r="4380">
          <cell r="G4380">
            <v>42522</v>
          </cell>
          <cell r="L4380" t="str">
            <v>07-07-006-15W2</v>
          </cell>
          <cell r="O4380">
            <v>868.1</v>
          </cell>
          <cell r="Q4380">
            <v>2.59</v>
          </cell>
          <cell r="T4380">
            <v>6772.5280000000002</v>
          </cell>
        </row>
        <row r="4381">
          <cell r="G4381">
            <v>42522</v>
          </cell>
          <cell r="L4381" t="str">
            <v>12-30-006-15W2</v>
          </cell>
          <cell r="O4381">
            <v>891.8</v>
          </cell>
          <cell r="Q4381">
            <v>2.8</v>
          </cell>
          <cell r="T4381">
            <v>4179.8819999999996</v>
          </cell>
        </row>
        <row r="4382">
          <cell r="G4382">
            <v>42522</v>
          </cell>
          <cell r="L4382" t="str">
            <v>12-11-001-10W2</v>
          </cell>
          <cell r="O4382">
            <v>818.6</v>
          </cell>
          <cell r="Q4382">
            <v>0.17</v>
          </cell>
          <cell r="T4382">
            <v>2905.86</v>
          </cell>
        </row>
        <row r="4383">
          <cell r="G4383">
            <v>42522</v>
          </cell>
          <cell r="L4383" t="str">
            <v>31-30-164-92W1</v>
          </cell>
          <cell r="O4383">
            <v>831.1</v>
          </cell>
          <cell r="Q4383">
            <v>0.52</v>
          </cell>
          <cell r="T4383">
            <v>2775.7359999999999</v>
          </cell>
        </row>
        <row r="4384">
          <cell r="G4384">
            <v>42522</v>
          </cell>
          <cell r="L4384" t="str">
            <v>12-32-006-04W2</v>
          </cell>
          <cell r="O4384">
            <v>858.2</v>
          </cell>
          <cell r="Q4384">
            <v>1.82</v>
          </cell>
          <cell r="T4384">
            <v>1877.5060000000001</v>
          </cell>
        </row>
        <row r="4385">
          <cell r="G4385">
            <v>42522</v>
          </cell>
          <cell r="L4385" t="str">
            <v>11-12-007-04W2</v>
          </cell>
          <cell r="O4385">
            <v>854.3</v>
          </cell>
          <cell r="Q4385">
            <v>1.45</v>
          </cell>
          <cell r="T4385">
            <v>1592.3689999999999</v>
          </cell>
        </row>
        <row r="4386">
          <cell r="G4386">
            <v>42522</v>
          </cell>
          <cell r="L4386" t="str">
            <v>16-19-002-04W2</v>
          </cell>
          <cell r="O4386">
            <v>829.7</v>
          </cell>
          <cell r="Q4386">
            <v>0.53</v>
          </cell>
          <cell r="T4386">
            <v>1288.2190000000001</v>
          </cell>
        </row>
        <row r="4387">
          <cell r="G4387">
            <v>42522</v>
          </cell>
          <cell r="L4387" t="str">
            <v>02-31-145-98W1</v>
          </cell>
          <cell r="O4387">
            <v>813.8</v>
          </cell>
          <cell r="Q4387">
            <v>0.41</v>
          </cell>
          <cell r="T4387">
            <v>1077.8109999999999</v>
          </cell>
        </row>
        <row r="4388">
          <cell r="G4388">
            <v>42522</v>
          </cell>
          <cell r="L4388" t="str">
            <v>02-05-163-92W1</v>
          </cell>
          <cell r="O4388">
            <v>833.1</v>
          </cell>
          <cell r="Q4388">
            <v>0.54</v>
          </cell>
          <cell r="T4388">
            <v>1009.337</v>
          </cell>
        </row>
        <row r="4389">
          <cell r="G4389">
            <v>42522</v>
          </cell>
          <cell r="L4389" t="str">
            <v>03-10-145-98W1</v>
          </cell>
          <cell r="O4389">
            <v>816.1</v>
          </cell>
          <cell r="Q4389">
            <v>0.41</v>
          </cell>
          <cell r="T4389">
            <v>849.79399999999998</v>
          </cell>
        </row>
        <row r="4390">
          <cell r="G4390">
            <v>42522</v>
          </cell>
          <cell r="L4390" t="str">
            <v>01-19-145-98W1</v>
          </cell>
          <cell r="O4390">
            <v>814.9</v>
          </cell>
          <cell r="Q4390">
            <v>0.38</v>
          </cell>
          <cell r="T4390">
            <v>641.34900000000005</v>
          </cell>
        </row>
        <row r="4391">
          <cell r="G4391">
            <v>42522</v>
          </cell>
          <cell r="L4391" t="str">
            <v>01-13-152-95W1</v>
          </cell>
          <cell r="O4391">
            <v>841.1</v>
          </cell>
          <cell r="Q4391">
            <v>0.06</v>
          </cell>
          <cell r="T4391">
            <v>504.42700000000002</v>
          </cell>
        </row>
        <row r="4392">
          <cell r="G4392">
            <v>42522</v>
          </cell>
          <cell r="L4392" t="str">
            <v>02-34-143-100W1</v>
          </cell>
          <cell r="O4392">
            <v>837.8</v>
          </cell>
          <cell r="Q4392">
            <v>0.38</v>
          </cell>
          <cell r="T4392">
            <v>431.45400000000001</v>
          </cell>
        </row>
        <row r="4393">
          <cell r="G4393">
            <v>42522</v>
          </cell>
          <cell r="L4393" t="str">
            <v>09-20-006-04W2</v>
          </cell>
          <cell r="O4393">
            <v>852.6</v>
          </cell>
          <cell r="Q4393">
            <v>1.36</v>
          </cell>
          <cell r="T4393">
            <v>413.63400000000001</v>
          </cell>
        </row>
        <row r="4394">
          <cell r="G4394">
            <v>42522</v>
          </cell>
          <cell r="L4394" t="str">
            <v>01-25-150-98W1</v>
          </cell>
          <cell r="O4394">
            <v>805.1</v>
          </cell>
          <cell r="Q4394">
            <v>0.12</v>
          </cell>
          <cell r="T4394">
            <v>344.42099999999999</v>
          </cell>
        </row>
        <row r="4395">
          <cell r="G4395">
            <v>42522</v>
          </cell>
          <cell r="L4395" t="str">
            <v>01-03-163-92W1</v>
          </cell>
          <cell r="O4395">
            <v>811</v>
          </cell>
          <cell r="Q4395">
            <v>0.46</v>
          </cell>
          <cell r="T4395">
            <v>322.77600000000001</v>
          </cell>
        </row>
        <row r="4396">
          <cell r="G4396">
            <v>42522</v>
          </cell>
          <cell r="L4396" t="str">
            <v>01-02-021-58W1</v>
          </cell>
          <cell r="O4396">
            <v>830.1</v>
          </cell>
          <cell r="Q4396">
            <v>0.7</v>
          </cell>
          <cell r="T4396">
            <v>288.09399999999999</v>
          </cell>
        </row>
        <row r="4397">
          <cell r="G4397">
            <v>42522</v>
          </cell>
          <cell r="L4397" t="str">
            <v>13-19-001-03W2</v>
          </cell>
          <cell r="O4397">
            <v>835.6</v>
          </cell>
          <cell r="Q4397">
            <v>0.62</v>
          </cell>
          <cell r="T4397">
            <v>274.11700000000002</v>
          </cell>
        </row>
        <row r="4398">
          <cell r="G4398">
            <v>42522</v>
          </cell>
          <cell r="L4398" t="str">
            <v>03-15-004-06W2</v>
          </cell>
          <cell r="O4398">
            <v>853.5</v>
          </cell>
          <cell r="Q4398">
            <v>1.22</v>
          </cell>
          <cell r="T4398">
            <v>268.29599999999999</v>
          </cell>
        </row>
        <row r="4399">
          <cell r="G4399">
            <v>42522</v>
          </cell>
          <cell r="L4399" t="str">
            <v>01-22-142-100W1</v>
          </cell>
          <cell r="O4399">
            <v>820.8</v>
          </cell>
          <cell r="Q4399">
            <v>0.31</v>
          </cell>
          <cell r="T4399">
            <v>251.63399999999999</v>
          </cell>
        </row>
        <row r="4400">
          <cell r="G4400">
            <v>42522</v>
          </cell>
          <cell r="L4400" t="str">
            <v>35-26-164-97W1</v>
          </cell>
          <cell r="O4400">
            <v>836.6</v>
          </cell>
          <cell r="Q4400">
            <v>0.14000000000000001</v>
          </cell>
          <cell r="T4400">
            <v>221.68</v>
          </cell>
        </row>
        <row r="4401">
          <cell r="G4401">
            <v>42522</v>
          </cell>
          <cell r="L4401" t="str">
            <v>02-30-147-97W1</v>
          </cell>
          <cell r="O4401">
            <v>809.4</v>
          </cell>
          <cell r="Q4401">
            <v>0.46</v>
          </cell>
          <cell r="T4401">
            <v>215.99600000000001</v>
          </cell>
        </row>
        <row r="4402">
          <cell r="G4402">
            <v>42522</v>
          </cell>
          <cell r="L4402" t="str">
            <v>01-31-164-98W1</v>
          </cell>
          <cell r="O4402">
            <v>819.5</v>
          </cell>
          <cell r="Q4402">
            <v>0.15</v>
          </cell>
          <cell r="T4402">
            <v>195.988</v>
          </cell>
        </row>
        <row r="4403">
          <cell r="G4403">
            <v>42522</v>
          </cell>
          <cell r="L4403" t="str">
            <v>01-05-163-92W1</v>
          </cell>
          <cell r="O4403">
            <v>842.1</v>
          </cell>
          <cell r="Q4403">
            <v>0.53</v>
          </cell>
          <cell r="T4403">
            <v>191.50399999999999</v>
          </cell>
        </row>
        <row r="4404">
          <cell r="G4404">
            <v>42522</v>
          </cell>
          <cell r="L4404" t="str">
            <v>07-04-005-04W2</v>
          </cell>
          <cell r="O4404">
            <v>841.8</v>
          </cell>
          <cell r="Q4404">
            <v>0.89</v>
          </cell>
          <cell r="T4404">
            <v>160.11099999999999</v>
          </cell>
        </row>
        <row r="4405">
          <cell r="G4405">
            <v>42522</v>
          </cell>
          <cell r="L4405" t="str">
            <v>07-22-003-03W2</v>
          </cell>
          <cell r="O4405">
            <v>827.2</v>
          </cell>
          <cell r="Q4405">
            <v>0.59</v>
          </cell>
          <cell r="T4405">
            <v>148.00200000000001</v>
          </cell>
        </row>
        <row r="4406">
          <cell r="G4406">
            <v>42522</v>
          </cell>
          <cell r="L4406" t="str">
            <v>14-23-163-96W1</v>
          </cell>
          <cell r="O4406">
            <v>823.1</v>
          </cell>
          <cell r="Q4406">
            <v>0.15</v>
          </cell>
          <cell r="T4406">
            <v>143.69300000000001</v>
          </cell>
        </row>
        <row r="4407">
          <cell r="G4407">
            <v>42522</v>
          </cell>
          <cell r="L4407" t="str">
            <v>11-25-005-06W2</v>
          </cell>
          <cell r="O4407">
            <v>851.2</v>
          </cell>
          <cell r="Q4407">
            <v>1.0900000000000001</v>
          </cell>
          <cell r="T4407">
            <v>140.97900000000001</v>
          </cell>
        </row>
        <row r="4408">
          <cell r="G4408">
            <v>42522</v>
          </cell>
          <cell r="L4408" t="str">
            <v>24-06-158-95W1</v>
          </cell>
          <cell r="O4408">
            <v>810.1</v>
          </cell>
          <cell r="Q4408">
            <v>0.14000000000000001</v>
          </cell>
          <cell r="T4408">
            <v>136.88300000000001</v>
          </cell>
        </row>
        <row r="4409">
          <cell r="G4409">
            <v>42522</v>
          </cell>
          <cell r="L4409" t="str">
            <v>04-25-144-98W1</v>
          </cell>
          <cell r="O4409">
            <v>818.9</v>
          </cell>
          <cell r="Q4409">
            <v>0.5</v>
          </cell>
          <cell r="T4409">
            <v>131.91900000000001</v>
          </cell>
        </row>
        <row r="4410">
          <cell r="G4410">
            <v>42522</v>
          </cell>
          <cell r="L4410" t="str">
            <v>12-03-146-100W1</v>
          </cell>
          <cell r="O4410">
            <v>834.7</v>
          </cell>
          <cell r="Q4410">
            <v>0.47</v>
          </cell>
          <cell r="T4410">
            <v>130.12200000000001</v>
          </cell>
        </row>
        <row r="4411">
          <cell r="G4411">
            <v>42522</v>
          </cell>
          <cell r="L4411" t="str">
            <v>01-28-142-100W1</v>
          </cell>
          <cell r="O4411">
            <v>824.5</v>
          </cell>
          <cell r="Q4411">
            <v>0.4</v>
          </cell>
          <cell r="T4411">
            <v>128.87799999999999</v>
          </cell>
        </row>
        <row r="4412">
          <cell r="G4412">
            <v>42522</v>
          </cell>
          <cell r="L4412" t="str">
            <v>01-30-147-97W1</v>
          </cell>
          <cell r="O4412">
            <v>817.6</v>
          </cell>
          <cell r="Q4412">
            <v>0.55000000000000004</v>
          </cell>
          <cell r="T4412">
            <v>128.227</v>
          </cell>
        </row>
        <row r="4413">
          <cell r="G4413">
            <v>42522</v>
          </cell>
          <cell r="L4413" t="str">
            <v>01-03-163-99W1</v>
          </cell>
          <cell r="O4413">
            <v>832.2</v>
          </cell>
          <cell r="Q4413">
            <v>0.16</v>
          </cell>
          <cell r="T4413">
            <v>124.652</v>
          </cell>
        </row>
        <row r="4414">
          <cell r="G4414">
            <v>42522</v>
          </cell>
          <cell r="L4414" t="str">
            <v>01-17-143-101W1</v>
          </cell>
          <cell r="O4414">
            <v>831.9</v>
          </cell>
          <cell r="Q4414">
            <v>0.51</v>
          </cell>
          <cell r="T4414">
            <v>123.837</v>
          </cell>
        </row>
        <row r="4415">
          <cell r="G4415">
            <v>42522</v>
          </cell>
          <cell r="L4415" t="str">
            <v>01-21-153-95W1</v>
          </cell>
          <cell r="O4415">
            <v>826.2</v>
          </cell>
          <cell r="Q4415">
            <v>0.36</v>
          </cell>
          <cell r="T4415">
            <v>122.861</v>
          </cell>
        </row>
        <row r="4416">
          <cell r="G4416">
            <v>42522</v>
          </cell>
          <cell r="L4416" t="str">
            <v>06-06-162-96W1</v>
          </cell>
          <cell r="O4416">
            <v>834.7</v>
          </cell>
          <cell r="Q4416">
            <v>0.15</v>
          </cell>
          <cell r="T4416">
            <v>121.371</v>
          </cell>
        </row>
        <row r="4417">
          <cell r="G4417">
            <v>42522</v>
          </cell>
          <cell r="L4417" t="str">
            <v>01-33-141-100W1</v>
          </cell>
          <cell r="O4417">
            <v>819.6</v>
          </cell>
          <cell r="Q4417">
            <v>0.39</v>
          </cell>
          <cell r="T4417">
            <v>116.69</v>
          </cell>
        </row>
        <row r="4418">
          <cell r="G4418">
            <v>42522</v>
          </cell>
          <cell r="L4418" t="str">
            <v>34-31-143-102W1</v>
          </cell>
          <cell r="O4418">
            <v>852</v>
          </cell>
          <cell r="Q4418">
            <v>0.08</v>
          </cell>
          <cell r="T4418">
            <v>110.58799999999999</v>
          </cell>
        </row>
        <row r="4419">
          <cell r="G4419">
            <v>42522</v>
          </cell>
          <cell r="L4419" t="str">
            <v>09-19-004-04W2</v>
          </cell>
          <cell r="O4419">
            <v>850.1</v>
          </cell>
          <cell r="Q4419">
            <v>1.19</v>
          </cell>
          <cell r="T4419">
            <v>110.17400000000001</v>
          </cell>
        </row>
        <row r="4420">
          <cell r="G4420">
            <v>42522</v>
          </cell>
          <cell r="L4420" t="str">
            <v>08-22-002-09W2</v>
          </cell>
          <cell r="O4420">
            <v>841.2</v>
          </cell>
          <cell r="Q4420">
            <v>0.23</v>
          </cell>
          <cell r="T4420">
            <v>104.265</v>
          </cell>
        </row>
        <row r="4421">
          <cell r="G4421">
            <v>42522</v>
          </cell>
          <cell r="L4421" t="str">
            <v>03-25-147-98W1</v>
          </cell>
          <cell r="O4421">
            <v>811.2</v>
          </cell>
          <cell r="Q4421">
            <v>0.45</v>
          </cell>
          <cell r="T4421">
            <v>100.602</v>
          </cell>
        </row>
        <row r="4422">
          <cell r="G4422">
            <v>42522</v>
          </cell>
          <cell r="L4422" t="str">
            <v>01-09-143-101W1</v>
          </cell>
          <cell r="O4422">
            <v>834.1</v>
          </cell>
          <cell r="Q4422">
            <v>0.53</v>
          </cell>
          <cell r="T4422">
            <v>95.35</v>
          </cell>
        </row>
        <row r="4423">
          <cell r="G4423">
            <v>42522</v>
          </cell>
          <cell r="L4423" t="str">
            <v>02-09-142-100W1</v>
          </cell>
          <cell r="O4423">
            <v>824.9</v>
          </cell>
          <cell r="Q4423">
            <v>0.45</v>
          </cell>
          <cell r="T4423">
            <v>94.367999999999995</v>
          </cell>
        </row>
        <row r="4424">
          <cell r="G4424">
            <v>42522</v>
          </cell>
          <cell r="L4424" t="str">
            <v>01-25-156-93W1</v>
          </cell>
          <cell r="O4424">
            <v>809.5</v>
          </cell>
          <cell r="Q4424">
            <v>0.12</v>
          </cell>
          <cell r="T4424">
            <v>93.566999999999993</v>
          </cell>
        </row>
        <row r="4425">
          <cell r="G4425">
            <v>42522</v>
          </cell>
          <cell r="L4425" t="str">
            <v>05-25-147-98W1</v>
          </cell>
          <cell r="O4425">
            <v>815.5</v>
          </cell>
          <cell r="Q4425">
            <v>0.56000000000000005</v>
          </cell>
          <cell r="T4425">
            <v>92.436000000000007</v>
          </cell>
        </row>
        <row r="4426">
          <cell r="G4426">
            <v>42522</v>
          </cell>
          <cell r="L4426" t="str">
            <v>01-28-141-100W1</v>
          </cell>
          <cell r="O4426">
            <v>826.7</v>
          </cell>
          <cell r="Q4426">
            <v>0.37</v>
          </cell>
          <cell r="T4426">
            <v>91.977999999999994</v>
          </cell>
        </row>
        <row r="4427">
          <cell r="G4427">
            <v>42522</v>
          </cell>
          <cell r="L4427" t="str">
            <v>03-10-151-96W1</v>
          </cell>
          <cell r="O4427">
            <v>809.7</v>
          </cell>
          <cell r="Q4427">
            <v>0.24</v>
          </cell>
          <cell r="T4427">
            <v>91.867000000000004</v>
          </cell>
        </row>
        <row r="4428">
          <cell r="G4428">
            <v>42522</v>
          </cell>
          <cell r="L4428" t="str">
            <v>01-13-022-57W1</v>
          </cell>
          <cell r="O4428">
            <v>811.2</v>
          </cell>
          <cell r="Q4428">
            <v>0.11</v>
          </cell>
          <cell r="T4428">
            <v>90.936000000000007</v>
          </cell>
        </row>
        <row r="4429">
          <cell r="G4429">
            <v>42522</v>
          </cell>
          <cell r="L4429" t="str">
            <v>01-03-155-91W1</v>
          </cell>
          <cell r="O4429">
            <v>863.3</v>
          </cell>
          <cell r="Q4429">
            <v>1.27</v>
          </cell>
          <cell r="T4429">
            <v>86.528000000000006</v>
          </cell>
        </row>
        <row r="4430">
          <cell r="G4430">
            <v>42522</v>
          </cell>
          <cell r="L4430" t="str">
            <v>08-31-007-07W2</v>
          </cell>
          <cell r="O4430">
            <v>867.3</v>
          </cell>
          <cell r="Q4430">
            <v>1.94</v>
          </cell>
          <cell r="T4430">
            <v>86.057000000000002</v>
          </cell>
        </row>
        <row r="4431">
          <cell r="G4431">
            <v>42522</v>
          </cell>
          <cell r="L4431" t="str">
            <v>02-30-004-05W2</v>
          </cell>
          <cell r="O4431">
            <v>841.6</v>
          </cell>
          <cell r="Q4431">
            <v>0.78</v>
          </cell>
          <cell r="T4431">
            <v>82.909000000000006</v>
          </cell>
        </row>
        <row r="4432">
          <cell r="G4432">
            <v>42522</v>
          </cell>
          <cell r="L4432" t="str">
            <v>26-35-163-97W1</v>
          </cell>
          <cell r="O4432">
            <v>830.4</v>
          </cell>
          <cell r="Q4432">
            <v>0.14000000000000001</v>
          </cell>
          <cell r="T4432">
            <v>80.658000000000001</v>
          </cell>
        </row>
        <row r="4433">
          <cell r="G4433">
            <v>42522</v>
          </cell>
          <cell r="L4433" t="str">
            <v>01-02-151-102W1</v>
          </cell>
          <cell r="O4433">
            <v>830.4</v>
          </cell>
          <cell r="Q4433">
            <v>0.33</v>
          </cell>
          <cell r="T4433">
            <v>79.69</v>
          </cell>
        </row>
        <row r="4434">
          <cell r="G4434">
            <v>42522</v>
          </cell>
          <cell r="L4434" t="str">
            <v>10-01-157-95W1</v>
          </cell>
          <cell r="O4434">
            <v>828.2</v>
          </cell>
          <cell r="Q4434">
            <v>0.54</v>
          </cell>
          <cell r="T4434">
            <v>74.706000000000003</v>
          </cell>
        </row>
        <row r="4435">
          <cell r="G4435">
            <v>42522</v>
          </cell>
          <cell r="L4435" t="str">
            <v>01-34-159-95W1</v>
          </cell>
          <cell r="O4435">
            <v>833.9</v>
          </cell>
          <cell r="Q4435">
            <v>0.56999999999999995</v>
          </cell>
          <cell r="T4435">
            <v>70.462000000000003</v>
          </cell>
        </row>
        <row r="4436">
          <cell r="G4436">
            <v>42522</v>
          </cell>
          <cell r="L4436" t="str">
            <v>16-24-008-07W2</v>
          </cell>
          <cell r="O4436">
            <v>824.9</v>
          </cell>
          <cell r="Q4436">
            <v>0.61</v>
          </cell>
          <cell r="T4436">
            <v>69.177999999999997</v>
          </cell>
        </row>
        <row r="4437">
          <cell r="G4437">
            <v>42522</v>
          </cell>
          <cell r="L4437" t="str">
            <v>09-30-006-05W2</v>
          </cell>
          <cell r="O4437">
            <v>807.4</v>
          </cell>
          <cell r="Q4437">
            <v>0.23</v>
          </cell>
          <cell r="T4437">
            <v>68.33</v>
          </cell>
        </row>
        <row r="4438">
          <cell r="G4438">
            <v>42522</v>
          </cell>
          <cell r="L4438" t="str">
            <v>02-11-163-97W1</v>
          </cell>
          <cell r="O4438">
            <v>828.5</v>
          </cell>
          <cell r="Q4438">
            <v>0.13</v>
          </cell>
          <cell r="T4438">
            <v>66.866</v>
          </cell>
        </row>
        <row r="4439">
          <cell r="G4439">
            <v>42522</v>
          </cell>
          <cell r="L4439" t="str">
            <v>03-25-144-98W1</v>
          </cell>
          <cell r="O4439">
            <v>833.1</v>
          </cell>
          <cell r="Q4439">
            <v>0.5</v>
          </cell>
          <cell r="T4439">
            <v>65.864000000000004</v>
          </cell>
        </row>
        <row r="4440">
          <cell r="G4440">
            <v>42522</v>
          </cell>
          <cell r="L4440" t="str">
            <v>07-33-161-91W1</v>
          </cell>
          <cell r="O4440">
            <v>856.1</v>
          </cell>
          <cell r="Q4440">
            <v>0.54</v>
          </cell>
          <cell r="T4440">
            <v>64.738</v>
          </cell>
        </row>
        <row r="4441">
          <cell r="G4441">
            <v>42522</v>
          </cell>
          <cell r="L4441" t="str">
            <v>25-11-159-102W1</v>
          </cell>
          <cell r="O4441">
            <v>829.3</v>
          </cell>
          <cell r="Q4441">
            <v>0.43</v>
          </cell>
          <cell r="T4441">
            <v>64.629000000000005</v>
          </cell>
        </row>
        <row r="4442">
          <cell r="G4442">
            <v>42522</v>
          </cell>
          <cell r="L4442" t="str">
            <v>01-08-153-95W1</v>
          </cell>
          <cell r="O4442">
            <v>812.8</v>
          </cell>
          <cell r="Q4442">
            <v>0.28999999999999998</v>
          </cell>
          <cell r="T4442">
            <v>63.712000000000003</v>
          </cell>
        </row>
        <row r="4443">
          <cell r="G4443">
            <v>42522</v>
          </cell>
          <cell r="L4443" t="str">
            <v>01-18-145-97W1</v>
          </cell>
          <cell r="O4443">
            <v>819.2</v>
          </cell>
          <cell r="Q4443">
            <v>0.45</v>
          </cell>
          <cell r="T4443">
            <v>62.337000000000003</v>
          </cell>
        </row>
        <row r="4444">
          <cell r="G4444">
            <v>42522</v>
          </cell>
          <cell r="L4444" t="str">
            <v>13-26-007-05W2</v>
          </cell>
          <cell r="O4444">
            <v>863.9</v>
          </cell>
          <cell r="Q4444">
            <v>1.18</v>
          </cell>
          <cell r="T4444">
            <v>61.993000000000002</v>
          </cell>
        </row>
        <row r="4445">
          <cell r="G4445">
            <v>42522</v>
          </cell>
          <cell r="L4445" t="str">
            <v>01-20-147-97W1</v>
          </cell>
          <cell r="O4445">
            <v>826.4</v>
          </cell>
          <cell r="Q4445">
            <v>0.7</v>
          </cell>
          <cell r="T4445">
            <v>61.808999999999997</v>
          </cell>
        </row>
        <row r="4446">
          <cell r="G4446">
            <v>42522</v>
          </cell>
          <cell r="L4446" t="str">
            <v>15-04-143-101W1</v>
          </cell>
          <cell r="O4446">
            <v>835.1</v>
          </cell>
          <cell r="Q4446">
            <v>0.52</v>
          </cell>
          <cell r="T4446">
            <v>61.679000000000002</v>
          </cell>
        </row>
        <row r="4447">
          <cell r="G4447">
            <v>42522</v>
          </cell>
          <cell r="L4447" t="str">
            <v>04-19-147-97W1</v>
          </cell>
          <cell r="O4447">
            <v>820.6</v>
          </cell>
          <cell r="Q4447">
            <v>0.61</v>
          </cell>
          <cell r="T4447">
            <v>61.198</v>
          </cell>
        </row>
        <row r="4448">
          <cell r="G4448">
            <v>42522</v>
          </cell>
          <cell r="L4448" t="str">
            <v>05-01-144-97W1</v>
          </cell>
          <cell r="O4448">
            <v>823.3</v>
          </cell>
          <cell r="Q4448">
            <v>0.51</v>
          </cell>
          <cell r="T4448">
            <v>60.366</v>
          </cell>
        </row>
        <row r="4449">
          <cell r="G4449">
            <v>42522</v>
          </cell>
          <cell r="L4449" t="str">
            <v>10-30-147-97W1</v>
          </cell>
          <cell r="O4449">
            <v>829.9</v>
          </cell>
          <cell r="Q4449">
            <v>0.46</v>
          </cell>
          <cell r="T4449">
            <v>60.203000000000003</v>
          </cell>
        </row>
        <row r="4450">
          <cell r="G4450">
            <v>42522</v>
          </cell>
          <cell r="L4450" t="str">
            <v>01-07-153-95W1</v>
          </cell>
          <cell r="O4450">
            <v>816.8</v>
          </cell>
          <cell r="Q4450">
            <v>0.24</v>
          </cell>
          <cell r="T4450">
            <v>59.411999999999999</v>
          </cell>
        </row>
        <row r="4451">
          <cell r="G4451">
            <v>42522</v>
          </cell>
          <cell r="L4451" t="str">
            <v>04-24-147-98W1</v>
          </cell>
          <cell r="O4451">
            <v>814.1</v>
          </cell>
          <cell r="Q4451">
            <v>0.56000000000000005</v>
          </cell>
          <cell r="T4451">
            <v>59.366</v>
          </cell>
        </row>
        <row r="4452">
          <cell r="G4452">
            <v>42522</v>
          </cell>
          <cell r="L4452" t="str">
            <v>24-01-160-96W1</v>
          </cell>
          <cell r="O4452">
            <v>828.7</v>
          </cell>
          <cell r="Q4452">
            <v>0.49</v>
          </cell>
          <cell r="T4452">
            <v>59.137999999999998</v>
          </cell>
        </row>
        <row r="4453">
          <cell r="G4453">
            <v>42522</v>
          </cell>
          <cell r="L4453" t="str">
            <v>01-08-162-95W1</v>
          </cell>
          <cell r="O4453">
            <v>853</v>
          </cell>
          <cell r="Q4453">
            <v>0.8</v>
          </cell>
          <cell r="T4453">
            <v>57.034999999999997</v>
          </cell>
        </row>
        <row r="4454">
          <cell r="G4454">
            <v>42522</v>
          </cell>
          <cell r="L4454" t="str">
            <v>33-14-160-95W1</v>
          </cell>
          <cell r="O4454">
            <v>800.1</v>
          </cell>
          <cell r="Q4454">
            <v>0.17</v>
          </cell>
          <cell r="T4454">
            <v>56.871000000000002</v>
          </cell>
        </row>
        <row r="4455">
          <cell r="G4455">
            <v>42522</v>
          </cell>
          <cell r="L4455" t="str">
            <v>11-21-163-89W1</v>
          </cell>
          <cell r="O4455">
            <v>839</v>
          </cell>
          <cell r="Q4455">
            <v>0.5</v>
          </cell>
          <cell r="T4455">
            <v>56.118000000000002</v>
          </cell>
        </row>
        <row r="4456">
          <cell r="G4456">
            <v>42522</v>
          </cell>
          <cell r="L4456" t="str">
            <v>01-55-159-94W1</v>
          </cell>
          <cell r="O4456">
            <v>820.9</v>
          </cell>
          <cell r="Q4456">
            <v>0.38</v>
          </cell>
          <cell r="T4456">
            <v>55.881</v>
          </cell>
        </row>
        <row r="4457">
          <cell r="G4457">
            <v>42522</v>
          </cell>
          <cell r="L4457" t="str">
            <v>03-03-157-95W1</v>
          </cell>
          <cell r="O4457">
            <v>820.2</v>
          </cell>
          <cell r="Q4457">
            <v>0.33</v>
          </cell>
          <cell r="T4457">
            <v>52.411999999999999</v>
          </cell>
        </row>
        <row r="4458">
          <cell r="G4458">
            <v>42522</v>
          </cell>
          <cell r="L4458" t="str">
            <v>03-16-163-91W1</v>
          </cell>
          <cell r="O4458">
            <v>836.6</v>
          </cell>
          <cell r="Q4458">
            <v>0.46</v>
          </cell>
          <cell r="T4458">
            <v>51.32</v>
          </cell>
        </row>
        <row r="4459">
          <cell r="G4459">
            <v>42522</v>
          </cell>
          <cell r="L4459" t="str">
            <v>34-02-157-95W1</v>
          </cell>
          <cell r="O4459">
            <v>844.1</v>
          </cell>
          <cell r="Q4459">
            <v>0.39</v>
          </cell>
          <cell r="T4459">
            <v>50.542000000000002</v>
          </cell>
        </row>
        <row r="4460">
          <cell r="G4460">
            <v>42522</v>
          </cell>
          <cell r="L4460" t="str">
            <v>01-03-158-95W1</v>
          </cell>
          <cell r="O4460">
            <v>844.6</v>
          </cell>
          <cell r="Q4460">
            <v>0.75</v>
          </cell>
          <cell r="T4460">
            <v>50.16</v>
          </cell>
        </row>
        <row r="4461">
          <cell r="G4461">
            <v>42522</v>
          </cell>
          <cell r="L4461" t="str">
            <v>34-01-157-95W1</v>
          </cell>
          <cell r="O4461">
            <v>830.5</v>
          </cell>
          <cell r="Q4461">
            <v>0.46</v>
          </cell>
          <cell r="T4461">
            <v>45.781999999999996</v>
          </cell>
        </row>
        <row r="4462">
          <cell r="G4462">
            <v>42522</v>
          </cell>
          <cell r="L4462" t="str">
            <v>01-26-144-98W1</v>
          </cell>
          <cell r="O4462">
            <v>835.7</v>
          </cell>
          <cell r="Q4462">
            <v>0.47</v>
          </cell>
          <cell r="T4462">
            <v>42.661000000000001</v>
          </cell>
        </row>
        <row r="4463">
          <cell r="G4463">
            <v>42522</v>
          </cell>
          <cell r="L4463" t="str">
            <v>01-24-144-98W1</v>
          </cell>
          <cell r="O4463">
            <v>824.3</v>
          </cell>
          <cell r="Q4463">
            <v>0.47</v>
          </cell>
          <cell r="T4463">
            <v>41.814999999999998</v>
          </cell>
        </row>
        <row r="4464">
          <cell r="G4464">
            <v>42522</v>
          </cell>
          <cell r="L4464" t="str">
            <v>01-03-162-92W1</v>
          </cell>
          <cell r="O4464">
            <v>840.3</v>
          </cell>
          <cell r="Q4464">
            <v>0.53</v>
          </cell>
          <cell r="T4464">
            <v>34.799999999999997</v>
          </cell>
        </row>
        <row r="4465">
          <cell r="G4465">
            <v>42522</v>
          </cell>
          <cell r="L4465" t="str">
            <v>01-26-152-96W1</v>
          </cell>
          <cell r="O4465">
            <v>826.9</v>
          </cell>
          <cell r="Q4465">
            <v>0.65</v>
          </cell>
          <cell r="T4465">
            <v>33.600999999999999</v>
          </cell>
        </row>
        <row r="4466">
          <cell r="G4466">
            <v>42522</v>
          </cell>
          <cell r="L4466" t="str">
            <v>01-03-152-96W1</v>
          </cell>
          <cell r="O4466">
            <v>826.3</v>
          </cell>
          <cell r="Q4466">
            <v>0.33</v>
          </cell>
          <cell r="T4466">
            <v>33.564999999999998</v>
          </cell>
        </row>
        <row r="4467">
          <cell r="G4467">
            <v>42522</v>
          </cell>
          <cell r="L4467" t="str">
            <v>01-02-163-92W1</v>
          </cell>
          <cell r="O4467">
            <v>846.4</v>
          </cell>
          <cell r="Q4467">
            <v>0.53</v>
          </cell>
          <cell r="T4467">
            <v>33.518000000000001</v>
          </cell>
        </row>
        <row r="4468">
          <cell r="G4468">
            <v>42522</v>
          </cell>
          <cell r="L4468" t="str">
            <v>01-03-153-95W1</v>
          </cell>
          <cell r="O4468">
            <v>830.2</v>
          </cell>
          <cell r="Q4468">
            <v>0.51</v>
          </cell>
          <cell r="T4468">
            <v>33.106000000000002</v>
          </cell>
        </row>
        <row r="4469">
          <cell r="G4469">
            <v>42522</v>
          </cell>
          <cell r="L4469" t="str">
            <v>24-01-142-100W1</v>
          </cell>
          <cell r="O4469">
            <v>826.3</v>
          </cell>
          <cell r="Q4469">
            <v>0.08</v>
          </cell>
          <cell r="T4469">
            <v>32.779000000000003</v>
          </cell>
        </row>
        <row r="4470">
          <cell r="G4470">
            <v>42522</v>
          </cell>
          <cell r="L4470" t="str">
            <v>20-01-161-90W1</v>
          </cell>
          <cell r="O4470">
            <v>862.5</v>
          </cell>
          <cell r="Q4470">
            <v>1.4</v>
          </cell>
          <cell r="T4470">
            <v>32.65</v>
          </cell>
        </row>
        <row r="4471">
          <cell r="G4471">
            <v>42522</v>
          </cell>
          <cell r="L4471" t="str">
            <v>05-16-163-91W1</v>
          </cell>
          <cell r="O4471">
            <v>836.7</v>
          </cell>
          <cell r="Q4471">
            <v>0.5</v>
          </cell>
          <cell r="T4471">
            <v>32.597000000000001</v>
          </cell>
        </row>
        <row r="4472">
          <cell r="G4472">
            <v>42522</v>
          </cell>
          <cell r="L4472" t="str">
            <v>02-06-144-97W1</v>
          </cell>
          <cell r="O4472">
            <v>835.9</v>
          </cell>
          <cell r="Q4472">
            <v>0.37</v>
          </cell>
          <cell r="T4472">
            <v>31.853000000000002</v>
          </cell>
        </row>
        <row r="4473">
          <cell r="G4473">
            <v>42522</v>
          </cell>
          <cell r="L4473" t="str">
            <v>12-10-163-92W1</v>
          </cell>
          <cell r="O4473">
            <v>827.4</v>
          </cell>
          <cell r="Q4473">
            <v>0.57999999999999996</v>
          </cell>
          <cell r="T4473">
            <v>31.138999999999999</v>
          </cell>
        </row>
        <row r="4474">
          <cell r="G4474">
            <v>42522</v>
          </cell>
          <cell r="L4474" t="str">
            <v>01-29-162-92W1</v>
          </cell>
          <cell r="O4474">
            <v>841.7</v>
          </cell>
          <cell r="Q4474">
            <v>0.55000000000000004</v>
          </cell>
          <cell r="T4474">
            <v>30.478999999999999</v>
          </cell>
        </row>
        <row r="4475">
          <cell r="G4475">
            <v>42522</v>
          </cell>
          <cell r="L4475" t="str">
            <v>01-18-163-92W1</v>
          </cell>
          <cell r="O4475">
            <v>836.2</v>
          </cell>
          <cell r="Q4475">
            <v>0.71</v>
          </cell>
          <cell r="T4475">
            <v>30.463000000000001</v>
          </cell>
        </row>
        <row r="4476">
          <cell r="G4476">
            <v>42522</v>
          </cell>
          <cell r="L4476" t="str">
            <v>01-33-164-91W1</v>
          </cell>
          <cell r="O4476">
            <v>828.8</v>
          </cell>
          <cell r="Q4476">
            <v>0.52</v>
          </cell>
          <cell r="T4476">
            <v>30.33</v>
          </cell>
        </row>
        <row r="4477">
          <cell r="G4477">
            <v>42522</v>
          </cell>
          <cell r="L4477" t="str">
            <v>01-12-144-98W1</v>
          </cell>
          <cell r="O4477">
            <v>817.7</v>
          </cell>
          <cell r="Q4477">
            <v>0.46</v>
          </cell>
          <cell r="T4477">
            <v>30.158000000000001</v>
          </cell>
        </row>
        <row r="4478">
          <cell r="G4478">
            <v>42522</v>
          </cell>
          <cell r="L4478" t="str">
            <v>01-32-164-01W1</v>
          </cell>
          <cell r="O4478">
            <v>843.8</v>
          </cell>
          <cell r="Q4478">
            <v>0.47</v>
          </cell>
          <cell r="T4478">
            <v>30.138999999999999</v>
          </cell>
        </row>
        <row r="4479">
          <cell r="G4479">
            <v>42522</v>
          </cell>
          <cell r="L4479" t="str">
            <v>01-10-152-96W1</v>
          </cell>
          <cell r="O4479">
            <v>830.8</v>
          </cell>
          <cell r="Q4479">
            <v>0.33</v>
          </cell>
          <cell r="T4479">
            <v>30.006</v>
          </cell>
        </row>
        <row r="4480">
          <cell r="G4480">
            <v>42522</v>
          </cell>
          <cell r="L4480" t="str">
            <v>01-20-163-91W1</v>
          </cell>
          <cell r="O4480">
            <v>839.6</v>
          </cell>
          <cell r="Q4480">
            <v>0.5</v>
          </cell>
          <cell r="T4480">
            <v>29.977</v>
          </cell>
        </row>
        <row r="4481">
          <cell r="G4481">
            <v>42522</v>
          </cell>
          <cell r="L4481" t="str">
            <v>01-14-163-91W1</v>
          </cell>
          <cell r="O4481">
            <v>843.1</v>
          </cell>
          <cell r="Q4481">
            <v>0.53</v>
          </cell>
          <cell r="T4481">
            <v>29.867999999999999</v>
          </cell>
        </row>
        <row r="4482">
          <cell r="G4482">
            <v>42522</v>
          </cell>
          <cell r="L4482" t="str">
            <v>01-11-161-92W1</v>
          </cell>
          <cell r="O4482">
            <v>853.5</v>
          </cell>
          <cell r="Q4482">
            <v>0.77</v>
          </cell>
          <cell r="T4482">
            <v>29.803999999999998</v>
          </cell>
        </row>
        <row r="4483">
          <cell r="G4483">
            <v>42522</v>
          </cell>
          <cell r="L4483" t="str">
            <v>01-28-152-101W1</v>
          </cell>
          <cell r="O4483">
            <v>830.5</v>
          </cell>
          <cell r="Q4483">
            <v>0.43</v>
          </cell>
          <cell r="T4483">
            <v>29.771000000000001</v>
          </cell>
        </row>
        <row r="4484">
          <cell r="G4484">
            <v>42522</v>
          </cell>
          <cell r="L4484" t="str">
            <v>16-04-151-96W1</v>
          </cell>
          <cell r="O4484">
            <v>810.7</v>
          </cell>
          <cell r="Q4484">
            <v>0.28000000000000003</v>
          </cell>
          <cell r="T4484">
            <v>29.701000000000001</v>
          </cell>
        </row>
        <row r="4485">
          <cell r="G4485">
            <v>42522</v>
          </cell>
          <cell r="L4485" t="str">
            <v>44-35-022-58W1</v>
          </cell>
          <cell r="O4485">
            <v>863.7</v>
          </cell>
          <cell r="Q4485">
            <v>0.94</v>
          </cell>
          <cell r="T4485">
            <v>29.49</v>
          </cell>
        </row>
        <row r="4486">
          <cell r="G4486">
            <v>42522</v>
          </cell>
          <cell r="L4486" t="str">
            <v>02-34-159-95W1</v>
          </cell>
          <cell r="O4486">
            <v>852.3</v>
          </cell>
          <cell r="Q4486">
            <v>0.61</v>
          </cell>
          <cell r="T4486">
            <v>29.024000000000001</v>
          </cell>
        </row>
        <row r="4487">
          <cell r="G4487">
            <v>42522</v>
          </cell>
          <cell r="L4487" t="str">
            <v>04-03-157-95W1</v>
          </cell>
          <cell r="O4487">
            <v>834.9</v>
          </cell>
          <cell r="Q4487">
            <v>0.62</v>
          </cell>
          <cell r="T4487">
            <v>28.844999999999999</v>
          </cell>
        </row>
        <row r="4488">
          <cell r="G4488">
            <v>42522</v>
          </cell>
          <cell r="L4488" t="str">
            <v>11-15-163-89W1</v>
          </cell>
          <cell r="O4488">
            <v>848</v>
          </cell>
          <cell r="Q4488">
            <v>0.6</v>
          </cell>
          <cell r="T4488">
            <v>28.75</v>
          </cell>
        </row>
        <row r="4489">
          <cell r="G4489">
            <v>42522</v>
          </cell>
          <cell r="L4489" t="str">
            <v>01-05-162-90W1</v>
          </cell>
          <cell r="O4489">
            <v>852</v>
          </cell>
          <cell r="Q4489">
            <v>0.57999999999999996</v>
          </cell>
          <cell r="T4489">
            <v>28.347999999999999</v>
          </cell>
        </row>
        <row r="4490">
          <cell r="G4490">
            <v>42522</v>
          </cell>
          <cell r="L4490" t="str">
            <v>01-19-162-92W1</v>
          </cell>
          <cell r="O4490">
            <v>844.5</v>
          </cell>
          <cell r="Q4490">
            <v>0.53</v>
          </cell>
          <cell r="T4490">
            <v>28.277000000000001</v>
          </cell>
        </row>
        <row r="4491">
          <cell r="G4491">
            <v>42522</v>
          </cell>
          <cell r="L4491" t="str">
            <v>43-03-160-95W1</v>
          </cell>
          <cell r="O4491">
            <v>802.7</v>
          </cell>
          <cell r="Q4491">
            <v>0.2</v>
          </cell>
          <cell r="T4491">
            <v>27.901</v>
          </cell>
        </row>
        <row r="4492">
          <cell r="G4492">
            <v>42522</v>
          </cell>
          <cell r="L4492" t="str">
            <v>04-06-007-06W2</v>
          </cell>
          <cell r="O4492">
            <v>837.1</v>
          </cell>
          <cell r="Q4492">
            <v>0.16</v>
          </cell>
          <cell r="T4492">
            <v>27.184999999999999</v>
          </cell>
        </row>
        <row r="4493">
          <cell r="G4493">
            <v>42522</v>
          </cell>
          <cell r="L4493" t="str">
            <v>03-01-158-95W1</v>
          </cell>
          <cell r="O4493">
            <v>827.6</v>
          </cell>
          <cell r="Q4493">
            <v>0.61</v>
          </cell>
          <cell r="T4493">
            <v>27.059000000000001</v>
          </cell>
        </row>
        <row r="4494">
          <cell r="G4494">
            <v>42522</v>
          </cell>
          <cell r="L4494" t="str">
            <v>03-05-157-95W1</v>
          </cell>
          <cell r="O4494">
            <v>838</v>
          </cell>
          <cell r="Q4494">
            <v>0.69</v>
          </cell>
          <cell r="T4494">
            <v>26.271000000000001</v>
          </cell>
        </row>
        <row r="4495">
          <cell r="G4495">
            <v>42522</v>
          </cell>
          <cell r="L4495" t="str">
            <v>03-02-157-95W1</v>
          </cell>
          <cell r="O4495">
            <v>831.1</v>
          </cell>
          <cell r="Q4495">
            <v>0.69</v>
          </cell>
          <cell r="T4495">
            <v>23.879000000000001</v>
          </cell>
        </row>
        <row r="4496">
          <cell r="G4496">
            <v>42522</v>
          </cell>
          <cell r="L4496" t="str">
            <v>01-36-003-03W2</v>
          </cell>
          <cell r="O4496">
            <v>835.4</v>
          </cell>
          <cell r="Q4496">
            <v>0.81</v>
          </cell>
          <cell r="T4496">
            <v>556.90499999999997</v>
          </cell>
        </row>
        <row r="4497">
          <cell r="G4497">
            <v>42522</v>
          </cell>
          <cell r="L4497" t="str">
            <v>07-23-010-06W2</v>
          </cell>
          <cell r="O4497">
            <v>844.6</v>
          </cell>
          <cell r="Q4497">
            <v>1.45</v>
          </cell>
          <cell r="T4497">
            <v>377.22800000000001</v>
          </cell>
        </row>
        <row r="4498">
          <cell r="G4498">
            <v>42522</v>
          </cell>
          <cell r="L4498" t="str">
            <v>12-22-010-05W2</v>
          </cell>
          <cell r="O4498">
            <v>869.1</v>
          </cell>
          <cell r="Q4498">
            <v>1.84</v>
          </cell>
          <cell r="T4498">
            <v>69.834000000000003</v>
          </cell>
        </row>
        <row r="4499">
          <cell r="G4499">
            <v>42522</v>
          </cell>
          <cell r="L4499" t="str">
            <v>11-36-005-04W2</v>
          </cell>
          <cell r="O4499">
            <v>856.6</v>
          </cell>
          <cell r="Q4499">
            <v>1.1299999999999999</v>
          </cell>
          <cell r="T4499">
            <v>62.283999999999999</v>
          </cell>
        </row>
        <row r="4500">
          <cell r="G4500">
            <v>42522</v>
          </cell>
          <cell r="L4500" t="str">
            <v>09-26-007-05W2</v>
          </cell>
          <cell r="O4500">
            <v>866.6</v>
          </cell>
          <cell r="Q4500">
            <v>1.67</v>
          </cell>
          <cell r="T4500">
            <v>28.292000000000002</v>
          </cell>
        </row>
        <row r="4501">
          <cell r="G4501">
            <v>42522</v>
          </cell>
          <cell r="L4501" t="str">
            <v>05-16-006-13W2</v>
          </cell>
          <cell r="O4501">
            <v>873.4</v>
          </cell>
          <cell r="Q4501">
            <v>2.41</v>
          </cell>
          <cell r="T4501">
            <v>109776.467</v>
          </cell>
        </row>
        <row r="4502">
          <cell r="G4502">
            <v>42522</v>
          </cell>
          <cell r="L4502" t="str">
            <v>08-28-005-33W1</v>
          </cell>
          <cell r="O4502">
            <v>823.8</v>
          </cell>
          <cell r="Q4502">
            <v>1.1499999999999999</v>
          </cell>
          <cell r="T4502">
            <v>104067.856</v>
          </cell>
        </row>
        <row r="4503">
          <cell r="G4503">
            <v>42522</v>
          </cell>
          <cell r="L4503" t="str">
            <v>08-21-004-01W2</v>
          </cell>
          <cell r="O4503">
            <v>832.3</v>
          </cell>
          <cell r="Q4503">
            <v>0.92</v>
          </cell>
          <cell r="T4503">
            <v>2644.7170000000001</v>
          </cell>
        </row>
        <row r="4504">
          <cell r="G4504">
            <v>42522</v>
          </cell>
          <cell r="L4504" t="str">
            <v>14-05-002-31W1</v>
          </cell>
          <cell r="O4504">
            <v>859.4</v>
          </cell>
          <cell r="Q4504">
            <v>1.62</v>
          </cell>
          <cell r="T4504">
            <v>2619.6619999999998</v>
          </cell>
        </row>
        <row r="4505">
          <cell r="G4505">
            <v>42522</v>
          </cell>
          <cell r="L4505" t="str">
            <v>15-26-001-31W1</v>
          </cell>
          <cell r="O4505">
            <v>873.8</v>
          </cell>
          <cell r="Q4505">
            <v>2.09</v>
          </cell>
          <cell r="T4505">
            <v>2213.1869999999999</v>
          </cell>
        </row>
        <row r="4506">
          <cell r="G4506">
            <v>42522</v>
          </cell>
          <cell r="L4506" t="str">
            <v>14-03-001-03W2</v>
          </cell>
          <cell r="O4506">
            <v>815.2</v>
          </cell>
          <cell r="Q4506">
            <v>0.12</v>
          </cell>
          <cell r="T4506">
            <v>2125.846</v>
          </cell>
        </row>
        <row r="4507">
          <cell r="G4507">
            <v>42522</v>
          </cell>
          <cell r="L4507" t="str">
            <v>14-13-002-02W2</v>
          </cell>
          <cell r="O4507">
            <v>827.4</v>
          </cell>
          <cell r="Q4507">
            <v>0.55000000000000004</v>
          </cell>
          <cell r="T4507">
            <v>1520.087</v>
          </cell>
        </row>
        <row r="4508">
          <cell r="G4508">
            <v>42522</v>
          </cell>
          <cell r="L4508" t="str">
            <v>01-35-006-30W1</v>
          </cell>
          <cell r="O4508">
            <v>822.7</v>
          </cell>
          <cell r="Q4508">
            <v>0.3</v>
          </cell>
          <cell r="T4508">
            <v>1197.2560000000001</v>
          </cell>
        </row>
        <row r="4509">
          <cell r="G4509">
            <v>42522</v>
          </cell>
          <cell r="L4509" t="str">
            <v>16-03-008-33W1</v>
          </cell>
          <cell r="O4509">
            <v>844.9</v>
          </cell>
          <cell r="Q4509">
            <v>1.22</v>
          </cell>
          <cell r="T4509">
            <v>1185.5060000000001</v>
          </cell>
        </row>
        <row r="4510">
          <cell r="G4510">
            <v>42522</v>
          </cell>
          <cell r="L4510" t="str">
            <v>01-35-007-01W2</v>
          </cell>
          <cell r="O4510">
            <v>845.8</v>
          </cell>
          <cell r="Q4510">
            <v>1.1399999999999999</v>
          </cell>
          <cell r="T4510">
            <v>1149.8979999999999</v>
          </cell>
        </row>
        <row r="4511">
          <cell r="G4511">
            <v>42522</v>
          </cell>
          <cell r="L4511" t="str">
            <v>05-18-004-02W2</v>
          </cell>
          <cell r="O4511">
            <v>847.4</v>
          </cell>
          <cell r="Q4511">
            <v>1.3</v>
          </cell>
          <cell r="T4511">
            <v>738.89400000000001</v>
          </cell>
        </row>
        <row r="4512">
          <cell r="G4512">
            <v>42522</v>
          </cell>
          <cell r="L4512" t="str">
            <v>05-20-001-02W2</v>
          </cell>
          <cell r="O4512">
            <v>827.5</v>
          </cell>
          <cell r="Q4512">
            <v>0.53</v>
          </cell>
          <cell r="T4512">
            <v>733.01800000000003</v>
          </cell>
        </row>
        <row r="4513">
          <cell r="G4513">
            <v>42522</v>
          </cell>
          <cell r="L4513" t="str">
            <v>13-17-005-33W1</v>
          </cell>
          <cell r="O4513">
            <v>829.6</v>
          </cell>
          <cell r="Q4513">
            <v>0.64</v>
          </cell>
          <cell r="T4513">
            <v>626.04</v>
          </cell>
        </row>
        <row r="4514">
          <cell r="G4514">
            <v>42522</v>
          </cell>
          <cell r="L4514" t="str">
            <v>16-04-006-32W1</v>
          </cell>
          <cell r="O4514">
            <v>842.4</v>
          </cell>
          <cell r="Q4514">
            <v>1.07</v>
          </cell>
          <cell r="T4514">
            <v>597.51700000000005</v>
          </cell>
        </row>
        <row r="4515">
          <cell r="G4515">
            <v>42522</v>
          </cell>
          <cell r="L4515" t="str">
            <v>08-16-007-29W1</v>
          </cell>
          <cell r="O4515">
            <v>823.5</v>
          </cell>
          <cell r="Q4515">
            <v>0.23</v>
          </cell>
          <cell r="T4515">
            <v>478.71899999999999</v>
          </cell>
        </row>
        <row r="4516">
          <cell r="G4516">
            <v>42522</v>
          </cell>
          <cell r="L4516" t="str">
            <v>16-31-001-32W1</v>
          </cell>
          <cell r="O4516">
            <v>845.9</v>
          </cell>
          <cell r="Q4516">
            <v>1.1000000000000001</v>
          </cell>
          <cell r="T4516">
            <v>448.22800000000001</v>
          </cell>
        </row>
        <row r="4517">
          <cell r="G4517">
            <v>42522</v>
          </cell>
          <cell r="L4517" t="str">
            <v>08-23-007-30W1</v>
          </cell>
          <cell r="O4517">
            <v>821.3</v>
          </cell>
          <cell r="Q4517">
            <v>0.22</v>
          </cell>
          <cell r="T4517">
            <v>446.57900000000001</v>
          </cell>
        </row>
        <row r="4518">
          <cell r="G4518">
            <v>42522</v>
          </cell>
          <cell r="L4518" t="str">
            <v>08-02-008-03W2</v>
          </cell>
          <cell r="O4518">
            <v>855</v>
          </cell>
          <cell r="Q4518">
            <v>1.46</v>
          </cell>
          <cell r="T4518">
            <v>437.423</v>
          </cell>
        </row>
        <row r="4519">
          <cell r="G4519">
            <v>42522</v>
          </cell>
          <cell r="L4519" t="str">
            <v>14-19-006-33W1</v>
          </cell>
          <cell r="O4519">
            <v>838.7</v>
          </cell>
          <cell r="Q4519">
            <v>1.18</v>
          </cell>
          <cell r="T4519">
            <v>436.76100000000002</v>
          </cell>
        </row>
        <row r="4520">
          <cell r="G4520">
            <v>42522</v>
          </cell>
          <cell r="L4520" t="str">
            <v>01-01-010-04W2</v>
          </cell>
          <cell r="O4520">
            <v>843.4</v>
          </cell>
          <cell r="Q4520">
            <v>1.23</v>
          </cell>
          <cell r="T4520">
            <v>325.92099999999999</v>
          </cell>
        </row>
        <row r="4521">
          <cell r="G4521">
            <v>42522</v>
          </cell>
          <cell r="L4521" t="str">
            <v>01-03-003-33W1</v>
          </cell>
          <cell r="O4521">
            <v>854.5</v>
          </cell>
          <cell r="Q4521">
            <v>1.41</v>
          </cell>
          <cell r="T4521">
            <v>320.72899999999998</v>
          </cell>
        </row>
        <row r="4522">
          <cell r="G4522">
            <v>42522</v>
          </cell>
          <cell r="L4522" t="str">
            <v>14-23-005-02W2</v>
          </cell>
          <cell r="O4522">
            <v>850.9</v>
          </cell>
          <cell r="Q4522">
            <v>1.35</v>
          </cell>
          <cell r="T4522">
            <v>279.20400000000001</v>
          </cell>
        </row>
        <row r="4523">
          <cell r="G4523">
            <v>42522</v>
          </cell>
          <cell r="L4523" t="str">
            <v>04-11-004-32W1</v>
          </cell>
          <cell r="O4523">
            <v>854.7</v>
          </cell>
          <cell r="Q4523">
            <v>1.57</v>
          </cell>
          <cell r="T4523">
            <v>210.45</v>
          </cell>
        </row>
        <row r="4524">
          <cell r="G4524">
            <v>42522</v>
          </cell>
          <cell r="L4524" t="str">
            <v>04-05-006-02W2</v>
          </cell>
          <cell r="O4524">
            <v>848.8</v>
          </cell>
          <cell r="Q4524">
            <v>1.17</v>
          </cell>
          <cell r="T4524">
            <v>179.666</v>
          </cell>
        </row>
        <row r="4525">
          <cell r="G4525">
            <v>42522</v>
          </cell>
          <cell r="L4525" t="str">
            <v>10-17-007-33W1</v>
          </cell>
          <cell r="O4525">
            <v>846.3</v>
          </cell>
          <cell r="Q4525">
            <v>1.17</v>
          </cell>
          <cell r="T4525">
            <v>157.9</v>
          </cell>
        </row>
        <row r="4526">
          <cell r="G4526">
            <v>42522</v>
          </cell>
          <cell r="L4526" t="str">
            <v>13-13-002-33W1</v>
          </cell>
          <cell r="O4526">
            <v>837.4</v>
          </cell>
          <cell r="Q4526">
            <v>0.72</v>
          </cell>
          <cell r="T4526">
            <v>148.14099999999999</v>
          </cell>
        </row>
        <row r="4527">
          <cell r="G4527">
            <v>42522</v>
          </cell>
          <cell r="L4527" t="str">
            <v>16-16-006-02W2</v>
          </cell>
          <cell r="O4527">
            <v>851.1</v>
          </cell>
          <cell r="Q4527">
            <v>1.1399999999999999</v>
          </cell>
          <cell r="T4527">
            <v>137.73400000000001</v>
          </cell>
        </row>
        <row r="4528">
          <cell r="G4528">
            <v>42522</v>
          </cell>
          <cell r="L4528" t="str">
            <v>01-06-002-32W1</v>
          </cell>
          <cell r="O4528">
            <v>837.8</v>
          </cell>
          <cell r="Q4528">
            <v>0.81</v>
          </cell>
          <cell r="T4528">
            <v>134.90100000000001</v>
          </cell>
        </row>
        <row r="4529">
          <cell r="G4529">
            <v>42522</v>
          </cell>
          <cell r="L4529" t="str">
            <v>03-05-006-02W2</v>
          </cell>
          <cell r="O4529">
            <v>845.3</v>
          </cell>
          <cell r="Q4529">
            <v>1.03</v>
          </cell>
          <cell r="T4529">
            <v>116.874</v>
          </cell>
        </row>
        <row r="4530">
          <cell r="G4530">
            <v>42522</v>
          </cell>
          <cell r="L4530" t="str">
            <v>12-20-008-02W2</v>
          </cell>
          <cell r="O4530">
            <v>851.9</v>
          </cell>
          <cell r="Q4530">
            <v>1.77</v>
          </cell>
          <cell r="T4530">
            <v>96.781999999999996</v>
          </cell>
        </row>
        <row r="4531">
          <cell r="G4531">
            <v>42522</v>
          </cell>
          <cell r="L4531" t="str">
            <v>09-24-001-01W2</v>
          </cell>
          <cell r="O4531">
            <v>830.9</v>
          </cell>
          <cell r="Q4531">
            <v>0.67</v>
          </cell>
          <cell r="T4531">
            <v>95.203000000000003</v>
          </cell>
        </row>
        <row r="4532">
          <cell r="G4532">
            <v>42522</v>
          </cell>
          <cell r="L4532" t="str">
            <v>02-14-006-02W2</v>
          </cell>
          <cell r="O4532">
            <v>849.4</v>
          </cell>
          <cell r="Q4532">
            <v>1.1599999999999999</v>
          </cell>
          <cell r="T4532">
            <v>68.759</v>
          </cell>
        </row>
        <row r="4533">
          <cell r="G4533">
            <v>42522</v>
          </cell>
          <cell r="L4533" t="str">
            <v>13-12-007-03W2</v>
          </cell>
          <cell r="O4533">
            <v>855.5</v>
          </cell>
          <cell r="Q4533">
            <v>1.38</v>
          </cell>
          <cell r="T4533">
            <v>66.960999999999999</v>
          </cell>
        </row>
        <row r="4534">
          <cell r="G4534">
            <v>42522</v>
          </cell>
          <cell r="L4534" t="str">
            <v>16-15-008-03W2</v>
          </cell>
          <cell r="O4534">
            <v>858.1</v>
          </cell>
          <cell r="Q4534">
            <v>1.54</v>
          </cell>
          <cell r="T4534">
            <v>59.566000000000003</v>
          </cell>
        </row>
        <row r="4535">
          <cell r="G4535">
            <v>42522</v>
          </cell>
          <cell r="L4535" t="str">
            <v>10-29-005-33W1</v>
          </cell>
          <cell r="O4535">
            <v>832.8</v>
          </cell>
          <cell r="Q4535">
            <v>0.87</v>
          </cell>
          <cell r="T4535">
            <v>57.2</v>
          </cell>
        </row>
        <row r="4536">
          <cell r="G4536">
            <v>42522</v>
          </cell>
          <cell r="L4536" t="str">
            <v>09-01-002-34W1</v>
          </cell>
          <cell r="O4536">
            <v>836.2</v>
          </cell>
          <cell r="Q4536">
            <v>0.55000000000000004</v>
          </cell>
          <cell r="T4536">
            <v>52.984999999999999</v>
          </cell>
        </row>
        <row r="4537">
          <cell r="G4537">
            <v>42522</v>
          </cell>
          <cell r="L4537" t="str">
            <v>14-24-001-02W2</v>
          </cell>
          <cell r="O4537">
            <v>839.8</v>
          </cell>
          <cell r="Q4537">
            <v>0.79</v>
          </cell>
          <cell r="T4537">
            <v>47.401000000000003</v>
          </cell>
        </row>
        <row r="4538">
          <cell r="G4538">
            <v>42522</v>
          </cell>
          <cell r="L4538" t="str">
            <v>16-03-001-03W2</v>
          </cell>
          <cell r="O4538">
            <v>844.9</v>
          </cell>
          <cell r="Q4538">
            <v>0.62</v>
          </cell>
          <cell r="T4538">
            <v>35.506999999999998</v>
          </cell>
        </row>
        <row r="4539">
          <cell r="G4539">
            <v>42522</v>
          </cell>
          <cell r="L4539" t="str">
            <v>16-07-006-02W2</v>
          </cell>
          <cell r="O4539">
            <v>854.9</v>
          </cell>
          <cell r="Q4539">
            <v>1.22</v>
          </cell>
          <cell r="T4539">
            <v>27.59</v>
          </cell>
        </row>
        <row r="4540">
          <cell r="G4540">
            <v>42522</v>
          </cell>
          <cell r="L4540" t="str">
            <v>16-21-003-33W1</v>
          </cell>
          <cell r="O4540">
            <v>857.3</v>
          </cell>
          <cell r="Q4540">
            <v>1.84</v>
          </cell>
          <cell r="T4540">
            <v>27.026</v>
          </cell>
        </row>
        <row r="4541">
          <cell r="G4541">
            <v>42522</v>
          </cell>
          <cell r="L4541" t="str">
            <v>07-26-005-02W2</v>
          </cell>
          <cell r="O4541">
            <v>845.5</v>
          </cell>
          <cell r="Q4541">
            <v>1.1599999999999999</v>
          </cell>
          <cell r="T4541">
            <v>17.359000000000002</v>
          </cell>
        </row>
        <row r="4542">
          <cell r="G4542">
            <v>42522</v>
          </cell>
          <cell r="L4542" t="str">
            <v>15-09-007-03W2</v>
          </cell>
          <cell r="O4542">
            <v>847.1</v>
          </cell>
          <cell r="Q4542">
            <v>1.39</v>
          </cell>
          <cell r="T4542">
            <v>1300.979</v>
          </cell>
        </row>
        <row r="4543">
          <cell r="G4543">
            <v>42522</v>
          </cell>
          <cell r="L4543" t="str">
            <v>07-31-005-33W1</v>
          </cell>
          <cell r="O4543">
            <v>828.4</v>
          </cell>
          <cell r="Q4543">
            <v>0.68</v>
          </cell>
          <cell r="T4543">
            <v>1120.2190000000001</v>
          </cell>
        </row>
        <row r="4544">
          <cell r="G4544">
            <v>42522</v>
          </cell>
          <cell r="L4544" t="str">
            <v>04-36-004-02W2</v>
          </cell>
          <cell r="O4544">
            <v>851.2</v>
          </cell>
          <cell r="Q4544">
            <v>1.58</v>
          </cell>
          <cell r="T4544">
            <v>292.61599999999999</v>
          </cell>
        </row>
        <row r="4545">
          <cell r="G4545">
            <v>42522</v>
          </cell>
          <cell r="L4545" t="str">
            <v>05-13-003-02W2</v>
          </cell>
          <cell r="O4545">
            <v>830.2</v>
          </cell>
          <cell r="Q4545">
            <v>0.56000000000000005</v>
          </cell>
          <cell r="T4545">
            <v>127.71899999999999</v>
          </cell>
        </row>
        <row r="4546">
          <cell r="G4546">
            <v>42522</v>
          </cell>
          <cell r="L4546" t="str">
            <v>13-14-010-05W2</v>
          </cell>
          <cell r="O4546">
            <v>850.1</v>
          </cell>
          <cell r="Q4546">
            <v>1.54</v>
          </cell>
          <cell r="T4546">
            <v>102.71299999999999</v>
          </cell>
        </row>
        <row r="4547">
          <cell r="G4547">
            <v>42522</v>
          </cell>
          <cell r="L4547" t="str">
            <v>14-04-006-33W1</v>
          </cell>
          <cell r="O4547">
            <v>836.4</v>
          </cell>
          <cell r="Q4547">
            <v>0.85</v>
          </cell>
          <cell r="T4547">
            <v>29.936</v>
          </cell>
        </row>
        <row r="4548">
          <cell r="G4548">
            <v>42522</v>
          </cell>
          <cell r="L4548" t="str">
            <v>01-35-162-03W1</v>
          </cell>
          <cell r="O4548">
            <v>875.9</v>
          </cell>
          <cell r="Q4548">
            <v>1.41</v>
          </cell>
          <cell r="T4548">
            <v>0</v>
          </cell>
        </row>
        <row r="4549">
          <cell r="G4549">
            <v>42522</v>
          </cell>
          <cell r="L4549" t="str">
            <v>MWStream</v>
          </cell>
          <cell r="T4549">
            <v>0</v>
          </cell>
        </row>
        <row r="4550">
          <cell r="G4550">
            <v>42522</v>
          </cell>
          <cell r="L4550" t="str">
            <v>ALStream</v>
          </cell>
          <cell r="O4550">
            <v>828.8</v>
          </cell>
          <cell r="Q4550">
            <v>0.97</v>
          </cell>
          <cell r="T4550">
            <v>-71048.019</v>
          </cell>
        </row>
        <row r="4551">
          <cell r="G4551">
            <v>42522</v>
          </cell>
          <cell r="L4551" t="str">
            <v>ALStream</v>
          </cell>
          <cell r="O4551">
            <v>876</v>
          </cell>
          <cell r="Q4551">
            <v>2.33</v>
          </cell>
          <cell r="T4551">
            <v>-14117.56</v>
          </cell>
        </row>
        <row r="4552">
          <cell r="G4552">
            <v>42522</v>
          </cell>
          <cell r="L4552" t="str">
            <v>MWStream</v>
          </cell>
          <cell r="O4552">
            <v>828.7</v>
          </cell>
          <cell r="Q4552">
            <v>1.25</v>
          </cell>
          <cell r="T4552">
            <v>-9759.5789999999997</v>
          </cell>
        </row>
        <row r="4553">
          <cell r="G4553">
            <v>42552</v>
          </cell>
          <cell r="L4553" t="str">
            <v>03-05-005-11W2</v>
          </cell>
          <cell r="O4553">
            <v>865.8</v>
          </cell>
          <cell r="Q4553">
            <v>1.94</v>
          </cell>
          <cell r="T4553">
            <v>5.1289999999999996</v>
          </cell>
        </row>
        <row r="4554">
          <cell r="G4554">
            <v>42552</v>
          </cell>
          <cell r="L4554" t="str">
            <v>01-19-004-12W2</v>
          </cell>
          <cell r="O4554">
            <v>895.8</v>
          </cell>
          <cell r="Q4554">
            <v>2.62</v>
          </cell>
          <cell r="T4554">
            <v>39.375</v>
          </cell>
        </row>
        <row r="4555">
          <cell r="G4555">
            <v>42552</v>
          </cell>
          <cell r="L4555" t="str">
            <v>16-24-004-01W2</v>
          </cell>
          <cell r="O4555">
            <v>828.3</v>
          </cell>
          <cell r="Q4555">
            <v>0.61</v>
          </cell>
          <cell r="T4555">
            <v>51.72</v>
          </cell>
        </row>
        <row r="4556">
          <cell r="G4556">
            <v>42552</v>
          </cell>
          <cell r="L4556" t="str">
            <v>01-15-005-32W1</v>
          </cell>
          <cell r="O4556">
            <v>848</v>
          </cell>
          <cell r="Q4556">
            <v>1.27</v>
          </cell>
          <cell r="T4556">
            <v>58.01</v>
          </cell>
        </row>
        <row r="4557">
          <cell r="G4557">
            <v>42552</v>
          </cell>
          <cell r="L4557" t="str">
            <v>09-26-004-32W1</v>
          </cell>
          <cell r="O4557">
            <v>869.7</v>
          </cell>
          <cell r="Q4557">
            <v>1.29</v>
          </cell>
          <cell r="T4557">
            <v>62.872</v>
          </cell>
        </row>
        <row r="4558">
          <cell r="G4558">
            <v>42552</v>
          </cell>
          <cell r="L4558" t="str">
            <v>10-21-006-32W1</v>
          </cell>
          <cell r="O4558">
            <v>834</v>
          </cell>
          <cell r="Q4558">
            <v>0.83</v>
          </cell>
          <cell r="T4558">
            <v>81.003</v>
          </cell>
        </row>
        <row r="4559">
          <cell r="G4559">
            <v>42552</v>
          </cell>
          <cell r="L4559" t="str">
            <v>03-19-001-31W1</v>
          </cell>
          <cell r="O4559">
            <v>870.4</v>
          </cell>
          <cell r="Q4559">
            <v>1.85</v>
          </cell>
          <cell r="T4559">
            <v>83.915999999999997</v>
          </cell>
        </row>
        <row r="4560">
          <cell r="G4560">
            <v>42552</v>
          </cell>
          <cell r="L4560" t="str">
            <v>10-09-004-33W1</v>
          </cell>
          <cell r="O4560">
            <v>840</v>
          </cell>
          <cell r="Q4560">
            <v>0.67</v>
          </cell>
          <cell r="T4560">
            <v>94.528999999999996</v>
          </cell>
        </row>
        <row r="4561">
          <cell r="G4561">
            <v>42552</v>
          </cell>
          <cell r="L4561" t="str">
            <v>07-24-001-32W1</v>
          </cell>
          <cell r="O4561">
            <v>851.8</v>
          </cell>
          <cell r="Q4561">
            <v>1.57</v>
          </cell>
          <cell r="T4561">
            <v>98.978999999999999</v>
          </cell>
        </row>
        <row r="4562">
          <cell r="G4562">
            <v>42552</v>
          </cell>
          <cell r="L4562" t="str">
            <v>08-18-011-03W2</v>
          </cell>
          <cell r="O4562">
            <v>859.7</v>
          </cell>
          <cell r="Q4562">
            <v>1.72</v>
          </cell>
          <cell r="T4562">
            <v>99.867000000000004</v>
          </cell>
        </row>
        <row r="4563">
          <cell r="G4563">
            <v>42552</v>
          </cell>
          <cell r="L4563" t="str">
            <v>09-30-002-30W1</v>
          </cell>
          <cell r="O4563">
            <v>865.5</v>
          </cell>
          <cell r="Q4563">
            <v>1.72</v>
          </cell>
          <cell r="T4563">
            <v>103.256</v>
          </cell>
        </row>
        <row r="4564">
          <cell r="G4564">
            <v>42552</v>
          </cell>
          <cell r="L4564" t="str">
            <v>07-30-007-05W2</v>
          </cell>
          <cell r="O4564">
            <v>854.7</v>
          </cell>
          <cell r="Q4564">
            <v>1.42</v>
          </cell>
          <cell r="T4564">
            <v>116.339</v>
          </cell>
        </row>
        <row r="4565">
          <cell r="G4565">
            <v>42552</v>
          </cell>
          <cell r="L4565" t="str">
            <v>13-34-007-14W2</v>
          </cell>
          <cell r="O4565">
            <v>867.1</v>
          </cell>
          <cell r="Q4565">
            <v>2.09</v>
          </cell>
          <cell r="T4565">
            <v>123.54900000000001</v>
          </cell>
        </row>
        <row r="4566">
          <cell r="G4566">
            <v>42552</v>
          </cell>
          <cell r="L4566" t="str">
            <v>16-16-010-02W2</v>
          </cell>
          <cell r="O4566">
            <v>855.1</v>
          </cell>
          <cell r="Q4566">
            <v>1.72</v>
          </cell>
          <cell r="T4566">
            <v>121.455</v>
          </cell>
        </row>
        <row r="4567">
          <cell r="G4567">
            <v>42552</v>
          </cell>
          <cell r="L4567" t="str">
            <v>16-08-007-12W2</v>
          </cell>
          <cell r="O4567">
            <v>856</v>
          </cell>
          <cell r="Q4567">
            <v>2.1</v>
          </cell>
          <cell r="T4567">
            <v>138.178</v>
          </cell>
        </row>
        <row r="4568">
          <cell r="G4568">
            <v>42552</v>
          </cell>
          <cell r="L4568" t="str">
            <v>15-09-010-08W2</v>
          </cell>
          <cell r="O4568">
            <v>885.6</v>
          </cell>
          <cell r="Q4568">
            <v>2.5</v>
          </cell>
          <cell r="T4568">
            <v>137.078</v>
          </cell>
        </row>
        <row r="4569">
          <cell r="G4569">
            <v>42552</v>
          </cell>
          <cell r="L4569" t="str">
            <v>14-04-007-13W2</v>
          </cell>
          <cell r="O4569">
            <v>860.1</v>
          </cell>
          <cell r="Q4569">
            <v>1.76</v>
          </cell>
          <cell r="T4569">
            <v>140.40799999999999</v>
          </cell>
        </row>
        <row r="4570">
          <cell r="G4570">
            <v>42552</v>
          </cell>
          <cell r="L4570" t="str">
            <v>11-23-002-34W1</v>
          </cell>
          <cell r="O4570">
            <v>847.2</v>
          </cell>
          <cell r="Q4570">
            <v>0.76</v>
          </cell>
          <cell r="T4570">
            <v>130.80000000000001</v>
          </cell>
        </row>
        <row r="4571">
          <cell r="G4571">
            <v>42552</v>
          </cell>
          <cell r="L4571" t="str">
            <v>04-15-008-33W1</v>
          </cell>
          <cell r="O4571">
            <v>846.5</v>
          </cell>
          <cell r="Q4571">
            <v>1.1599999999999999</v>
          </cell>
          <cell r="T4571">
            <v>136.86799999999999</v>
          </cell>
        </row>
        <row r="4572">
          <cell r="G4572">
            <v>42552</v>
          </cell>
          <cell r="L4572" t="str">
            <v>09-23-002-01W2</v>
          </cell>
          <cell r="O4572">
            <v>842</v>
          </cell>
          <cell r="Q4572">
            <v>0.93</v>
          </cell>
          <cell r="T4572">
            <v>139.154</v>
          </cell>
        </row>
        <row r="4573">
          <cell r="G4573">
            <v>42552</v>
          </cell>
          <cell r="L4573" t="str">
            <v>09-30-007-08W2</v>
          </cell>
          <cell r="O4573">
            <v>851.4</v>
          </cell>
          <cell r="Q4573">
            <v>0.9</v>
          </cell>
          <cell r="T4573">
            <v>152.57</v>
          </cell>
        </row>
        <row r="4574">
          <cell r="G4574">
            <v>42552</v>
          </cell>
          <cell r="L4574" t="str">
            <v>03-13-006-33W1</v>
          </cell>
          <cell r="O4574">
            <v>836.5</v>
          </cell>
          <cell r="Q4574">
            <v>0.78</v>
          </cell>
          <cell r="T4574">
            <v>144.50700000000001</v>
          </cell>
        </row>
        <row r="4575">
          <cell r="G4575">
            <v>42552</v>
          </cell>
          <cell r="L4575" t="str">
            <v>08-01-004-32W1</v>
          </cell>
          <cell r="O4575">
            <v>859.3</v>
          </cell>
          <cell r="Q4575">
            <v>1.62</v>
          </cell>
          <cell r="T4575">
            <v>148.5</v>
          </cell>
        </row>
        <row r="4576">
          <cell r="G4576">
            <v>42552</v>
          </cell>
          <cell r="L4576" t="str">
            <v>09-31-007-12W2</v>
          </cell>
          <cell r="O4576">
            <v>869.2</v>
          </cell>
          <cell r="Q4576">
            <v>2.15</v>
          </cell>
          <cell r="T4576">
            <v>164.76400000000001</v>
          </cell>
        </row>
        <row r="4577">
          <cell r="G4577">
            <v>42552</v>
          </cell>
          <cell r="L4577" t="str">
            <v>15-09-010-02W2</v>
          </cell>
          <cell r="O4577">
            <v>859.2</v>
          </cell>
          <cell r="Q4577">
            <v>1.73</v>
          </cell>
          <cell r="T4577">
            <v>150.679</v>
          </cell>
        </row>
        <row r="4578">
          <cell r="G4578">
            <v>42552</v>
          </cell>
          <cell r="L4578" t="str">
            <v>16-27-004-33W1</v>
          </cell>
          <cell r="O4578">
            <v>843.5</v>
          </cell>
          <cell r="Q4578">
            <v>1.28</v>
          </cell>
          <cell r="T4578">
            <v>169.785</v>
          </cell>
        </row>
        <row r="4579">
          <cell r="G4579">
            <v>42552</v>
          </cell>
          <cell r="L4579" t="str">
            <v>09-08-004-33W1</v>
          </cell>
          <cell r="O4579">
            <v>836.4</v>
          </cell>
          <cell r="Q4579">
            <v>0.71</v>
          </cell>
          <cell r="T4579">
            <v>178.489</v>
          </cell>
        </row>
        <row r="4580">
          <cell r="G4580">
            <v>42552</v>
          </cell>
          <cell r="L4580" t="str">
            <v>15-21-008-03W2</v>
          </cell>
          <cell r="O4580">
            <v>853.9</v>
          </cell>
          <cell r="Q4580">
            <v>1.46</v>
          </cell>
          <cell r="T4580">
            <v>178.136</v>
          </cell>
        </row>
        <row r="4581">
          <cell r="G4581">
            <v>42552</v>
          </cell>
          <cell r="L4581" t="str">
            <v>12-12-005-34W1</v>
          </cell>
          <cell r="O4581">
            <v>823.7</v>
          </cell>
          <cell r="Q4581">
            <v>0.59</v>
          </cell>
          <cell r="T4581">
            <v>186.03800000000001</v>
          </cell>
        </row>
        <row r="4582">
          <cell r="G4582">
            <v>42552</v>
          </cell>
          <cell r="L4582" t="str">
            <v>03-05-006-05W2</v>
          </cell>
          <cell r="O4582">
            <v>844.7</v>
          </cell>
          <cell r="Q4582">
            <v>1.1599999999999999</v>
          </cell>
          <cell r="T4582">
            <v>198.16900000000001</v>
          </cell>
        </row>
        <row r="4583">
          <cell r="G4583">
            <v>42552</v>
          </cell>
          <cell r="L4583" t="str">
            <v>13-17-001-31W1</v>
          </cell>
          <cell r="O4583">
            <v>853.5</v>
          </cell>
          <cell r="Q4583">
            <v>1.35</v>
          </cell>
          <cell r="T4583">
            <v>193.65299999999999</v>
          </cell>
        </row>
        <row r="4584">
          <cell r="G4584">
            <v>42552</v>
          </cell>
          <cell r="L4584" t="str">
            <v>11-20-007-05W2</v>
          </cell>
          <cell r="O4584">
            <v>860.8</v>
          </cell>
          <cell r="Q4584">
            <v>1.54</v>
          </cell>
          <cell r="T4584">
            <v>199.93</v>
          </cell>
        </row>
        <row r="4585">
          <cell r="G4585">
            <v>42552</v>
          </cell>
          <cell r="L4585" t="str">
            <v>02-30-001-31W1</v>
          </cell>
          <cell r="O4585">
            <v>867.4</v>
          </cell>
          <cell r="Q4585">
            <v>1.59</v>
          </cell>
          <cell r="T4585">
            <v>222.6</v>
          </cell>
        </row>
        <row r="4586">
          <cell r="G4586">
            <v>42552</v>
          </cell>
          <cell r="L4586" t="str">
            <v>02-27-004-33W1</v>
          </cell>
          <cell r="O4586">
            <v>830</v>
          </cell>
          <cell r="Q4586">
            <v>0.67</v>
          </cell>
          <cell r="T4586">
            <v>234.821</v>
          </cell>
        </row>
        <row r="4587">
          <cell r="G4587">
            <v>42552</v>
          </cell>
          <cell r="L4587" t="str">
            <v>13-25-001-01W2</v>
          </cell>
          <cell r="O4587">
            <v>838.3</v>
          </cell>
          <cell r="Q4587">
            <v>0.81</v>
          </cell>
          <cell r="T4587">
            <v>233.28700000000001</v>
          </cell>
        </row>
        <row r="4588">
          <cell r="G4588">
            <v>42552</v>
          </cell>
          <cell r="L4588" t="str">
            <v>07-25-003-13W2</v>
          </cell>
          <cell r="O4588">
            <v>890.8</v>
          </cell>
          <cell r="Q4588">
            <v>2.4300000000000002</v>
          </cell>
          <cell r="T4588">
            <v>276.81</v>
          </cell>
        </row>
        <row r="4589">
          <cell r="G4589">
            <v>42552</v>
          </cell>
          <cell r="L4589" t="str">
            <v>07-36-001-34W1</v>
          </cell>
          <cell r="O4589">
            <v>850.4</v>
          </cell>
          <cell r="Q4589">
            <v>1.1499999999999999</v>
          </cell>
          <cell r="T4589">
            <v>240.47399999999999</v>
          </cell>
        </row>
        <row r="4590">
          <cell r="G4590">
            <v>42552</v>
          </cell>
          <cell r="L4590" t="str">
            <v>12-22-007-11W2</v>
          </cell>
          <cell r="O4590">
            <v>832</v>
          </cell>
          <cell r="Q4590">
            <v>1.26</v>
          </cell>
          <cell r="T4590">
            <v>5457.835</v>
          </cell>
        </row>
        <row r="4591">
          <cell r="G4591">
            <v>42552</v>
          </cell>
          <cell r="L4591" t="str">
            <v>14-33-006-14W2</v>
          </cell>
          <cell r="O4591">
            <v>850.8</v>
          </cell>
          <cell r="Q4591">
            <v>1.68</v>
          </cell>
          <cell r="T4591">
            <v>2362.87</v>
          </cell>
        </row>
        <row r="4592">
          <cell r="G4592">
            <v>42552</v>
          </cell>
          <cell r="L4592" t="str">
            <v>04-21-006-14W2</v>
          </cell>
          <cell r="O4592">
            <v>864.2</v>
          </cell>
          <cell r="Q4592">
            <v>2.06</v>
          </cell>
          <cell r="T4592">
            <v>1572.1110000000001</v>
          </cell>
        </row>
        <row r="4593">
          <cell r="G4593">
            <v>42552</v>
          </cell>
          <cell r="L4593" t="str">
            <v>07-02-007-11W2</v>
          </cell>
          <cell r="O4593">
            <v>857.3</v>
          </cell>
          <cell r="Q4593">
            <v>1.28</v>
          </cell>
          <cell r="T4593">
            <v>1443.0909999999999</v>
          </cell>
        </row>
        <row r="4594">
          <cell r="G4594">
            <v>42552</v>
          </cell>
          <cell r="L4594" t="str">
            <v>01-22-006-14W2</v>
          </cell>
          <cell r="O4594">
            <v>864.7</v>
          </cell>
          <cell r="Q4594">
            <v>2.14</v>
          </cell>
          <cell r="T4594">
            <v>843.55700000000002</v>
          </cell>
        </row>
        <row r="4595">
          <cell r="G4595">
            <v>42552</v>
          </cell>
          <cell r="L4595" t="str">
            <v>03-06-005-12W2</v>
          </cell>
          <cell r="O4595">
            <v>889.2</v>
          </cell>
          <cell r="Q4595">
            <v>2.4</v>
          </cell>
          <cell r="T4595">
            <v>505.34899999999999</v>
          </cell>
        </row>
        <row r="4596">
          <cell r="G4596">
            <v>42552</v>
          </cell>
          <cell r="L4596" t="str">
            <v>01-03-008-13W2</v>
          </cell>
          <cell r="O4596">
            <v>849.3</v>
          </cell>
          <cell r="Q4596">
            <v>2.0499999999999998</v>
          </cell>
          <cell r="T4596">
            <v>450.923</v>
          </cell>
        </row>
        <row r="4597">
          <cell r="G4597">
            <v>42552</v>
          </cell>
          <cell r="L4597" t="str">
            <v>02-18-007-13W2</v>
          </cell>
          <cell r="O4597">
            <v>856</v>
          </cell>
          <cell r="Q4597">
            <v>1.74</v>
          </cell>
          <cell r="T4597">
            <v>404.851</v>
          </cell>
        </row>
        <row r="4598">
          <cell r="G4598">
            <v>42552</v>
          </cell>
          <cell r="L4598" t="str">
            <v>15-30-007-12W2</v>
          </cell>
          <cell r="O4598">
            <v>867.3</v>
          </cell>
          <cell r="Q4598">
            <v>2.38</v>
          </cell>
          <cell r="T4598">
            <v>397.83100000000002</v>
          </cell>
        </row>
        <row r="4599">
          <cell r="G4599">
            <v>42552</v>
          </cell>
          <cell r="L4599" t="str">
            <v>04-11-007-13W2</v>
          </cell>
          <cell r="O4599">
            <v>855.4</v>
          </cell>
          <cell r="Q4599">
            <v>1.91</v>
          </cell>
          <cell r="T4599">
            <v>344.99700000000001</v>
          </cell>
        </row>
        <row r="4600">
          <cell r="G4600">
            <v>42552</v>
          </cell>
          <cell r="L4600" t="str">
            <v>03-21-001-16W2</v>
          </cell>
          <cell r="O4600">
            <v>870.7</v>
          </cell>
          <cell r="Q4600">
            <v>0.87</v>
          </cell>
          <cell r="T4600">
            <v>321.21699999999998</v>
          </cell>
        </row>
        <row r="4601">
          <cell r="G4601">
            <v>42552</v>
          </cell>
          <cell r="L4601" t="str">
            <v>10-22-006-14W2</v>
          </cell>
          <cell r="O4601">
            <v>844.4</v>
          </cell>
          <cell r="Q4601">
            <v>1.64</v>
          </cell>
          <cell r="T4601">
            <v>292.01400000000001</v>
          </cell>
        </row>
        <row r="4602">
          <cell r="G4602">
            <v>42552</v>
          </cell>
          <cell r="L4602" t="str">
            <v>02-17-005-31W1</v>
          </cell>
          <cell r="O4602">
            <v>845</v>
          </cell>
          <cell r="Q4602">
            <v>1.29</v>
          </cell>
          <cell r="T4602">
            <v>242.268</v>
          </cell>
        </row>
        <row r="4603">
          <cell r="G4603">
            <v>42552</v>
          </cell>
          <cell r="L4603" t="str">
            <v>01-24-007-05W2</v>
          </cell>
          <cell r="O4603">
            <v>845.6</v>
          </cell>
          <cell r="Q4603">
            <v>1.29</v>
          </cell>
          <cell r="T4603">
            <v>242.79499999999999</v>
          </cell>
        </row>
        <row r="4604">
          <cell r="G4604">
            <v>42552</v>
          </cell>
          <cell r="L4604" t="str">
            <v>01-21-001-14W2</v>
          </cell>
          <cell r="O4604">
            <v>810.5</v>
          </cell>
          <cell r="Q4604">
            <v>0.14000000000000001</v>
          </cell>
          <cell r="T4604">
            <v>33160.838000000003</v>
          </cell>
        </row>
        <row r="4605">
          <cell r="G4605">
            <v>42552</v>
          </cell>
          <cell r="L4605" t="str">
            <v>07-12-006-11W2</v>
          </cell>
          <cell r="O4605">
            <v>877.2</v>
          </cell>
          <cell r="Q4605">
            <v>2.0099999999999998</v>
          </cell>
          <cell r="T4605">
            <v>23074.427</v>
          </cell>
        </row>
        <row r="4606">
          <cell r="G4606">
            <v>42552</v>
          </cell>
          <cell r="L4606" t="str">
            <v>09-13-007-11W2</v>
          </cell>
          <cell r="O4606">
            <v>817.4</v>
          </cell>
          <cell r="Q4606">
            <v>0.37</v>
          </cell>
          <cell r="T4606">
            <v>18872.082999999999</v>
          </cell>
        </row>
        <row r="4607">
          <cell r="G4607">
            <v>42552</v>
          </cell>
          <cell r="L4607" t="str">
            <v>13-30-007-10W2</v>
          </cell>
          <cell r="O4607">
            <v>815.9</v>
          </cell>
          <cell r="Q4607">
            <v>0.6</v>
          </cell>
          <cell r="T4607">
            <v>12168.449000000001</v>
          </cell>
        </row>
        <row r="4608">
          <cell r="G4608">
            <v>42552</v>
          </cell>
          <cell r="L4608" t="str">
            <v>08-31-004-18W2</v>
          </cell>
          <cell r="O4608">
            <v>855.6</v>
          </cell>
          <cell r="Q4608">
            <v>1.87</v>
          </cell>
          <cell r="T4608">
            <v>8229.4349999999995</v>
          </cell>
        </row>
        <row r="4609">
          <cell r="G4609">
            <v>42552</v>
          </cell>
          <cell r="L4609" t="str">
            <v>01-28-002-14W2</v>
          </cell>
          <cell r="O4609">
            <v>825.2</v>
          </cell>
          <cell r="Q4609">
            <v>1.23</v>
          </cell>
          <cell r="T4609">
            <v>6996.402</v>
          </cell>
        </row>
        <row r="4610">
          <cell r="G4610">
            <v>42552</v>
          </cell>
          <cell r="L4610" t="str">
            <v>14-27-001-13W2</v>
          </cell>
          <cell r="O4610">
            <v>819.2</v>
          </cell>
          <cell r="Q4610">
            <v>0.12</v>
          </cell>
          <cell r="T4610">
            <v>4159.7610000000004</v>
          </cell>
        </row>
        <row r="4611">
          <cell r="G4611">
            <v>42552</v>
          </cell>
          <cell r="L4611" t="str">
            <v>04-05-002-15W2</v>
          </cell>
          <cell r="O4611">
            <v>878.8</v>
          </cell>
          <cell r="Q4611">
            <v>2.04</v>
          </cell>
          <cell r="T4611">
            <v>4136.357</v>
          </cell>
        </row>
        <row r="4612">
          <cell r="G4612">
            <v>42552</v>
          </cell>
          <cell r="L4612" t="str">
            <v>05-31-003-16W2</v>
          </cell>
          <cell r="O4612">
            <v>892.3</v>
          </cell>
          <cell r="Q4612">
            <v>2.42</v>
          </cell>
          <cell r="T4612">
            <v>3421.9560000000001</v>
          </cell>
        </row>
        <row r="4613">
          <cell r="G4613">
            <v>42552</v>
          </cell>
          <cell r="L4613" t="str">
            <v>11-02-005-12W2</v>
          </cell>
          <cell r="O4613">
            <v>835.5</v>
          </cell>
          <cell r="Q4613">
            <v>1.63</v>
          </cell>
          <cell r="T4613">
            <v>3319.0610000000001</v>
          </cell>
        </row>
        <row r="4614">
          <cell r="G4614">
            <v>42552</v>
          </cell>
          <cell r="L4614" t="str">
            <v>05-18-004-17W2</v>
          </cell>
          <cell r="O4614">
            <v>865</v>
          </cell>
          <cell r="Q4614">
            <v>2.14</v>
          </cell>
          <cell r="T4614">
            <v>2123.8359999999998</v>
          </cell>
        </row>
        <row r="4615">
          <cell r="G4615">
            <v>42552</v>
          </cell>
          <cell r="L4615" t="str">
            <v>11-04-005-12W2</v>
          </cell>
          <cell r="O4615">
            <v>876.5</v>
          </cell>
          <cell r="Q4615">
            <v>2.0299999999999998</v>
          </cell>
          <cell r="T4615">
            <v>1529.8869999999999</v>
          </cell>
        </row>
        <row r="4616">
          <cell r="G4616">
            <v>42552</v>
          </cell>
          <cell r="L4616" t="str">
            <v>15-25-007-11W2</v>
          </cell>
          <cell r="O4616">
            <v>870</v>
          </cell>
          <cell r="Q4616">
            <v>1.94</v>
          </cell>
          <cell r="T4616">
            <v>1459.5119999999999</v>
          </cell>
        </row>
        <row r="4617">
          <cell r="G4617">
            <v>42552</v>
          </cell>
          <cell r="L4617" t="str">
            <v>06-03-001-16W2</v>
          </cell>
          <cell r="O4617">
            <v>866.9</v>
          </cell>
          <cell r="Q4617">
            <v>1.1299999999999999</v>
          </cell>
          <cell r="T4617">
            <v>1446.703</v>
          </cell>
        </row>
        <row r="4618">
          <cell r="G4618">
            <v>42552</v>
          </cell>
          <cell r="L4618" t="str">
            <v>13-02-007-14W2</v>
          </cell>
          <cell r="O4618">
            <v>849</v>
          </cell>
          <cell r="Q4618">
            <v>1.81</v>
          </cell>
          <cell r="T4618">
            <v>1396.835</v>
          </cell>
        </row>
        <row r="4619">
          <cell r="G4619">
            <v>42552</v>
          </cell>
          <cell r="L4619" t="str">
            <v>15-32-004-12W2</v>
          </cell>
          <cell r="O4619">
            <v>881.9</v>
          </cell>
          <cell r="Q4619">
            <v>2.14</v>
          </cell>
          <cell r="T4619">
            <v>1383.3910000000001</v>
          </cell>
        </row>
        <row r="4620">
          <cell r="G4620">
            <v>42552</v>
          </cell>
          <cell r="L4620" t="str">
            <v>16-23-006-11W2</v>
          </cell>
          <cell r="O4620">
            <v>883.4</v>
          </cell>
          <cell r="Q4620">
            <v>2.2799999999999998</v>
          </cell>
          <cell r="T4620">
            <v>1362.3330000000001</v>
          </cell>
        </row>
        <row r="4621">
          <cell r="G4621">
            <v>42552</v>
          </cell>
          <cell r="L4621" t="str">
            <v>15-33-006-14W2</v>
          </cell>
          <cell r="O4621">
            <v>848.4</v>
          </cell>
          <cell r="Q4621">
            <v>1.65</v>
          </cell>
          <cell r="T4621">
            <v>1242.0920000000001</v>
          </cell>
        </row>
        <row r="4622">
          <cell r="G4622">
            <v>42552</v>
          </cell>
          <cell r="L4622" t="str">
            <v>12-25-004-19W2</v>
          </cell>
          <cell r="O4622">
            <v>869.3</v>
          </cell>
          <cell r="Q4622">
            <v>2.35</v>
          </cell>
          <cell r="T4622">
            <v>804.577</v>
          </cell>
        </row>
        <row r="4623">
          <cell r="G4623">
            <v>42552</v>
          </cell>
          <cell r="L4623" t="str">
            <v>02-29-001-17W2</v>
          </cell>
          <cell r="O4623">
            <v>858.9</v>
          </cell>
          <cell r="Q4623">
            <v>1.74</v>
          </cell>
          <cell r="T4623">
            <v>800.05600000000004</v>
          </cell>
        </row>
        <row r="4624">
          <cell r="G4624">
            <v>42552</v>
          </cell>
          <cell r="L4624" t="str">
            <v>11-26-002-19W2</v>
          </cell>
          <cell r="O4624">
            <v>866.5</v>
          </cell>
          <cell r="Q4624">
            <v>1.84</v>
          </cell>
          <cell r="T4624">
            <v>696.30100000000004</v>
          </cell>
        </row>
        <row r="4625">
          <cell r="G4625">
            <v>42552</v>
          </cell>
          <cell r="L4625" t="str">
            <v>05-35-006-11W2</v>
          </cell>
          <cell r="O4625">
            <v>810.9</v>
          </cell>
          <cell r="Q4625">
            <v>0.1</v>
          </cell>
          <cell r="T4625">
            <v>462.98</v>
          </cell>
        </row>
        <row r="4626">
          <cell r="G4626">
            <v>42552</v>
          </cell>
          <cell r="L4626" t="str">
            <v>03-12-002-19W2</v>
          </cell>
          <cell r="O4626">
            <v>865.7</v>
          </cell>
          <cell r="Q4626">
            <v>2.23</v>
          </cell>
          <cell r="T4626">
            <v>402.54</v>
          </cell>
        </row>
        <row r="4627">
          <cell r="G4627">
            <v>42552</v>
          </cell>
          <cell r="L4627" t="str">
            <v>09-28-001-15W2</v>
          </cell>
          <cell r="O4627">
            <v>860.5</v>
          </cell>
          <cell r="Q4627">
            <v>1.05</v>
          </cell>
          <cell r="T4627">
            <v>366.50400000000002</v>
          </cell>
        </row>
        <row r="4628">
          <cell r="G4628">
            <v>42552</v>
          </cell>
          <cell r="L4628" t="str">
            <v>08-31-009-01W2</v>
          </cell>
          <cell r="O4628">
            <v>858.8</v>
          </cell>
          <cell r="Q4628">
            <v>1.7</v>
          </cell>
          <cell r="T4628">
            <v>254.48699999999999</v>
          </cell>
        </row>
        <row r="4629">
          <cell r="G4629">
            <v>42552</v>
          </cell>
          <cell r="L4629" t="str">
            <v>01-07-006-10W2</v>
          </cell>
          <cell r="O4629">
            <v>826.7</v>
          </cell>
          <cell r="Q4629">
            <v>1.87</v>
          </cell>
          <cell r="T4629">
            <v>64640.673000000003</v>
          </cell>
        </row>
        <row r="4630">
          <cell r="G4630">
            <v>42552</v>
          </cell>
          <cell r="L4630" t="str">
            <v>05-01-001-32W1</v>
          </cell>
          <cell r="O4630">
            <v>871</v>
          </cell>
          <cell r="Q4630">
            <v>1.57</v>
          </cell>
          <cell r="T4630">
            <v>273.98700000000002</v>
          </cell>
        </row>
        <row r="4631">
          <cell r="G4631">
            <v>42552</v>
          </cell>
          <cell r="L4631" t="str">
            <v>08-12-006-01W2</v>
          </cell>
          <cell r="O4631">
            <v>847.7</v>
          </cell>
          <cell r="Q4631">
            <v>1.29</v>
          </cell>
          <cell r="T4631">
            <v>274.64600000000002</v>
          </cell>
        </row>
        <row r="4632">
          <cell r="G4632">
            <v>42552</v>
          </cell>
          <cell r="L4632" t="str">
            <v>08-31-005-03W2</v>
          </cell>
          <cell r="O4632">
            <v>843.8</v>
          </cell>
          <cell r="Q4632">
            <v>1.05</v>
          </cell>
          <cell r="T4632">
            <v>279.37700000000001</v>
          </cell>
        </row>
        <row r="4633">
          <cell r="G4633">
            <v>42552</v>
          </cell>
          <cell r="L4633" t="str">
            <v>16-09-004-31W1</v>
          </cell>
          <cell r="O4633">
            <v>868</v>
          </cell>
          <cell r="Q4633">
            <v>1.81</v>
          </cell>
          <cell r="T4633">
            <v>288.93</v>
          </cell>
        </row>
        <row r="4634">
          <cell r="G4634">
            <v>42552</v>
          </cell>
          <cell r="L4634" t="str">
            <v>03-33-008-06W2</v>
          </cell>
          <cell r="O4634">
            <v>810.7</v>
          </cell>
          <cell r="Q4634">
            <v>0.26</v>
          </cell>
          <cell r="T4634">
            <v>13096.66</v>
          </cell>
        </row>
        <row r="4635">
          <cell r="G4635">
            <v>42552</v>
          </cell>
          <cell r="L4635" t="str">
            <v>12-06-009-07W2</v>
          </cell>
          <cell r="O4635">
            <v>811.9</v>
          </cell>
          <cell r="Q4635">
            <v>0.19</v>
          </cell>
          <cell r="T4635">
            <v>9659.9439999999995</v>
          </cell>
        </row>
        <row r="4636">
          <cell r="G4636">
            <v>42552</v>
          </cell>
          <cell r="L4636" t="str">
            <v>02-26-009-09W2</v>
          </cell>
          <cell r="O4636">
            <v>813.5</v>
          </cell>
          <cell r="Q4636">
            <v>0.17</v>
          </cell>
          <cell r="T4636">
            <v>7924.41</v>
          </cell>
        </row>
        <row r="4637">
          <cell r="G4637">
            <v>42552</v>
          </cell>
          <cell r="L4637" t="str">
            <v>03-17-011-06W2</v>
          </cell>
          <cell r="O4637">
            <v>884.6</v>
          </cell>
          <cell r="Q4637">
            <v>2.59</v>
          </cell>
          <cell r="T4637">
            <v>1623.7190000000001</v>
          </cell>
        </row>
        <row r="4638">
          <cell r="G4638">
            <v>42552</v>
          </cell>
          <cell r="L4638" t="str">
            <v>09-10-009-06W2</v>
          </cell>
          <cell r="O4638">
            <v>855</v>
          </cell>
          <cell r="Q4638">
            <v>1.66</v>
          </cell>
          <cell r="T4638">
            <v>1249.604</v>
          </cell>
        </row>
        <row r="4639">
          <cell r="G4639">
            <v>42552</v>
          </cell>
          <cell r="L4639" t="str">
            <v>04-18-009-06W2</v>
          </cell>
          <cell r="O4639">
            <v>834.4</v>
          </cell>
          <cell r="Q4639">
            <v>0.85</v>
          </cell>
          <cell r="T4639">
            <v>1214.5640000000001</v>
          </cell>
        </row>
        <row r="4640">
          <cell r="G4640">
            <v>42552</v>
          </cell>
          <cell r="L4640" t="str">
            <v>03-15-012-06W2</v>
          </cell>
          <cell r="O4640">
            <v>886.8</v>
          </cell>
          <cell r="Q4640">
            <v>2.6</v>
          </cell>
          <cell r="T4640">
            <v>1121.046</v>
          </cell>
        </row>
        <row r="4641">
          <cell r="G4641">
            <v>42552</v>
          </cell>
          <cell r="L4641" t="str">
            <v>13-14-009-09W2</v>
          </cell>
          <cell r="O4641">
            <v>879.8</v>
          </cell>
          <cell r="Q4641">
            <v>2.46</v>
          </cell>
          <cell r="T4641">
            <v>922.553</v>
          </cell>
        </row>
        <row r="4642">
          <cell r="G4642">
            <v>42552</v>
          </cell>
          <cell r="L4642" t="str">
            <v>05-31-009-07W2</v>
          </cell>
          <cell r="O4642">
            <v>873.5</v>
          </cell>
          <cell r="Q4642">
            <v>2.35</v>
          </cell>
          <cell r="T4642">
            <v>619.79300000000001</v>
          </cell>
        </row>
        <row r="4643">
          <cell r="G4643">
            <v>42552</v>
          </cell>
          <cell r="L4643" t="str">
            <v>09-26-007-09W2</v>
          </cell>
          <cell r="O4643">
            <v>820.4</v>
          </cell>
          <cell r="Q4643">
            <v>0.36</v>
          </cell>
          <cell r="T4643">
            <v>530.44899999999996</v>
          </cell>
        </row>
        <row r="4644">
          <cell r="G4644">
            <v>42552</v>
          </cell>
          <cell r="L4644" t="str">
            <v>04-08-008-08W2</v>
          </cell>
          <cell r="O4644">
            <v>806.1</v>
          </cell>
          <cell r="Q4644">
            <v>0.21</v>
          </cell>
          <cell r="T4644">
            <v>49148.319000000003</v>
          </cell>
        </row>
        <row r="4645">
          <cell r="G4645">
            <v>42552</v>
          </cell>
          <cell r="L4645" t="str">
            <v>09-14-009-08W2</v>
          </cell>
          <cell r="O4645">
            <v>802.1</v>
          </cell>
          <cell r="Q4645">
            <v>0.14000000000000001</v>
          </cell>
          <cell r="T4645">
            <v>40032.095000000001</v>
          </cell>
        </row>
        <row r="4646">
          <cell r="G4646">
            <v>42552</v>
          </cell>
          <cell r="L4646" t="str">
            <v>13-29-008-07W2</v>
          </cell>
          <cell r="O4646">
            <v>803.5</v>
          </cell>
          <cell r="Q4646">
            <v>0.15</v>
          </cell>
          <cell r="T4646">
            <v>21522.742999999999</v>
          </cell>
        </row>
        <row r="4647">
          <cell r="G4647">
            <v>42552</v>
          </cell>
          <cell r="L4647" t="str">
            <v>11-15-007-09W2</v>
          </cell>
          <cell r="O4647">
            <v>819.2</v>
          </cell>
          <cell r="Q4647">
            <v>0.21</v>
          </cell>
          <cell r="T4647">
            <v>6250.4049999999997</v>
          </cell>
        </row>
        <row r="4648">
          <cell r="G4648">
            <v>42552</v>
          </cell>
          <cell r="L4648" t="str">
            <v>13-18-010-06W2</v>
          </cell>
          <cell r="O4648">
            <v>839.6</v>
          </cell>
          <cell r="Q4648">
            <v>0.69</v>
          </cell>
          <cell r="T4648">
            <v>3806.99</v>
          </cell>
        </row>
        <row r="4649">
          <cell r="G4649">
            <v>42552</v>
          </cell>
          <cell r="L4649" t="str">
            <v>09-20-008-08W2</v>
          </cell>
          <cell r="O4649">
            <v>823.6</v>
          </cell>
          <cell r="Q4649">
            <v>0.59</v>
          </cell>
          <cell r="T4649">
            <v>2675.7190000000001</v>
          </cell>
        </row>
        <row r="4650">
          <cell r="G4650">
            <v>42552</v>
          </cell>
          <cell r="L4650" t="str">
            <v>05-13-009-06W2</v>
          </cell>
          <cell r="O4650">
            <v>848.6</v>
          </cell>
          <cell r="Q4650">
            <v>1.5</v>
          </cell>
          <cell r="T4650">
            <v>1951.6089999999999</v>
          </cell>
        </row>
        <row r="4651">
          <cell r="G4651">
            <v>42552</v>
          </cell>
          <cell r="L4651" t="str">
            <v>03-06-011-07W2</v>
          </cell>
          <cell r="O4651">
            <v>886.2</v>
          </cell>
          <cell r="Q4651">
            <v>1.55</v>
          </cell>
          <cell r="T4651">
            <v>1670.046</v>
          </cell>
        </row>
        <row r="4652">
          <cell r="G4652">
            <v>42552</v>
          </cell>
          <cell r="L4652" t="str">
            <v>15-23-006-08W2</v>
          </cell>
          <cell r="O4652">
            <v>866.8</v>
          </cell>
          <cell r="Q4652">
            <v>1.79</v>
          </cell>
          <cell r="T4652">
            <v>1561.9359999999999</v>
          </cell>
        </row>
        <row r="4653">
          <cell r="G4653">
            <v>42552</v>
          </cell>
          <cell r="L4653" t="str">
            <v>01-26-006-09W2</v>
          </cell>
          <cell r="O4653">
            <v>884.2</v>
          </cell>
          <cell r="Q4653">
            <v>2.2999999999999998</v>
          </cell>
          <cell r="T4653">
            <v>1417.45</v>
          </cell>
        </row>
        <row r="4654">
          <cell r="G4654">
            <v>42552</v>
          </cell>
          <cell r="L4654" t="str">
            <v>07-04-010-08W2</v>
          </cell>
          <cell r="O4654">
            <v>881.9</v>
          </cell>
          <cell r="Q4654">
            <v>2.44</v>
          </cell>
          <cell r="T4654">
            <v>1358.5650000000001</v>
          </cell>
        </row>
        <row r="4655">
          <cell r="G4655">
            <v>42552</v>
          </cell>
          <cell r="L4655" t="str">
            <v>05-13-008-06W2</v>
          </cell>
          <cell r="O4655">
            <v>821.7</v>
          </cell>
          <cell r="Q4655">
            <v>0.49</v>
          </cell>
          <cell r="T4655">
            <v>1348.1869999999999</v>
          </cell>
        </row>
        <row r="4656">
          <cell r="G4656">
            <v>42552</v>
          </cell>
          <cell r="L4656" t="str">
            <v>13-07-010-09W2</v>
          </cell>
          <cell r="O4656">
            <v>816.8</v>
          </cell>
          <cell r="Q4656">
            <v>0.31</v>
          </cell>
          <cell r="T4656">
            <v>876.01800000000003</v>
          </cell>
        </row>
        <row r="4657">
          <cell r="G4657">
            <v>42552</v>
          </cell>
          <cell r="L4657" t="str">
            <v>09-06-010-07W2</v>
          </cell>
          <cell r="O4657">
            <v>883.9</v>
          </cell>
          <cell r="Q4657">
            <v>2.4500000000000002</v>
          </cell>
          <cell r="T4657">
            <v>826.23800000000006</v>
          </cell>
        </row>
        <row r="4658">
          <cell r="G4658">
            <v>42552</v>
          </cell>
          <cell r="L4658" t="str">
            <v>07-28-007-08W2</v>
          </cell>
          <cell r="O4658">
            <v>843.2</v>
          </cell>
          <cell r="Q4658">
            <v>1.39</v>
          </cell>
          <cell r="T4658">
            <v>733.93100000000004</v>
          </cell>
        </row>
        <row r="4659">
          <cell r="G4659">
            <v>42552</v>
          </cell>
          <cell r="L4659" t="str">
            <v>01-22-010-07W2</v>
          </cell>
          <cell r="O4659">
            <v>884.9</v>
          </cell>
          <cell r="Q4659">
            <v>2.5099999999999998</v>
          </cell>
          <cell r="T4659">
            <v>620.13900000000001</v>
          </cell>
        </row>
        <row r="4660">
          <cell r="G4660">
            <v>42552</v>
          </cell>
          <cell r="L4660" t="str">
            <v>01-04-007-09W2</v>
          </cell>
          <cell r="O4660">
            <v>806.9</v>
          </cell>
          <cell r="Q4660">
            <v>0.17</v>
          </cell>
          <cell r="T4660">
            <v>612.14400000000001</v>
          </cell>
        </row>
        <row r="4661">
          <cell r="G4661">
            <v>42552</v>
          </cell>
          <cell r="L4661" t="str">
            <v>16-35-009-09W2</v>
          </cell>
          <cell r="O4661">
            <v>884.8</v>
          </cell>
          <cell r="Q4661">
            <v>2.46</v>
          </cell>
          <cell r="T4661">
            <v>579.81100000000004</v>
          </cell>
        </row>
        <row r="4662">
          <cell r="G4662">
            <v>42552</v>
          </cell>
          <cell r="L4662" t="str">
            <v>09-11-010-08W2</v>
          </cell>
          <cell r="O4662">
            <v>880.8</v>
          </cell>
          <cell r="Q4662">
            <v>2.4700000000000002</v>
          </cell>
          <cell r="T4662">
            <v>364.33</v>
          </cell>
        </row>
        <row r="4663">
          <cell r="G4663">
            <v>42552</v>
          </cell>
          <cell r="L4663" t="str">
            <v>10-26-010-03W2</v>
          </cell>
          <cell r="O4663">
            <v>855.1</v>
          </cell>
          <cell r="Q4663">
            <v>1.56</v>
          </cell>
          <cell r="T4663">
            <v>316.74299999999999</v>
          </cell>
        </row>
        <row r="4664">
          <cell r="G4664">
            <v>42552</v>
          </cell>
          <cell r="L4664" t="str">
            <v>07-23-006-02W2</v>
          </cell>
          <cell r="O4664">
            <v>849.6</v>
          </cell>
          <cell r="Q4664">
            <v>1.1299999999999999</v>
          </cell>
          <cell r="T4664">
            <v>314.40600000000001</v>
          </cell>
        </row>
        <row r="4665">
          <cell r="G4665">
            <v>42552</v>
          </cell>
          <cell r="L4665" t="str">
            <v>14-18-001-04W2</v>
          </cell>
          <cell r="O4665">
            <v>826.4</v>
          </cell>
          <cell r="Q4665">
            <v>0.53</v>
          </cell>
          <cell r="T4665">
            <v>355.56700000000001</v>
          </cell>
        </row>
        <row r="4666">
          <cell r="G4666">
            <v>42552</v>
          </cell>
          <cell r="L4666" t="str">
            <v>09-18-007-04W2</v>
          </cell>
          <cell r="O4666">
            <v>860.8</v>
          </cell>
          <cell r="Q4666">
            <v>1.41</v>
          </cell>
          <cell r="T4666">
            <v>329.827</v>
          </cell>
        </row>
        <row r="4667">
          <cell r="G4667">
            <v>42552</v>
          </cell>
          <cell r="L4667" t="str">
            <v>05-31-002-01W2</v>
          </cell>
          <cell r="O4667">
            <v>821.5</v>
          </cell>
          <cell r="Q4667">
            <v>0.48</v>
          </cell>
          <cell r="T4667">
            <v>7952.8109999999997</v>
          </cell>
        </row>
        <row r="4668">
          <cell r="G4668">
            <v>42552</v>
          </cell>
          <cell r="L4668" t="str">
            <v>13-03-006-34W1</v>
          </cell>
          <cell r="O4668">
            <v>846.4</v>
          </cell>
          <cell r="Q4668">
            <v>1.19</v>
          </cell>
          <cell r="T4668">
            <v>5213.9790000000003</v>
          </cell>
        </row>
        <row r="4669">
          <cell r="G4669">
            <v>42552</v>
          </cell>
          <cell r="L4669" t="str">
            <v>16-18-011-04W2</v>
          </cell>
          <cell r="O4669">
            <v>829.5</v>
          </cell>
          <cell r="Q4669">
            <v>1.47</v>
          </cell>
          <cell r="T4669">
            <v>4722.0820000000003</v>
          </cell>
        </row>
        <row r="4670">
          <cell r="G4670">
            <v>42552</v>
          </cell>
          <cell r="L4670" t="str">
            <v>11-30-005-03W2</v>
          </cell>
          <cell r="O4670">
            <v>856.2</v>
          </cell>
          <cell r="Q4670">
            <v>1.36</v>
          </cell>
          <cell r="T4670">
            <v>4693.3869999999997</v>
          </cell>
        </row>
        <row r="4671">
          <cell r="G4671">
            <v>42552</v>
          </cell>
          <cell r="L4671" t="str">
            <v>16-12-004-31W1</v>
          </cell>
          <cell r="O4671">
            <v>854.7</v>
          </cell>
          <cell r="Q4671">
            <v>1.7</v>
          </cell>
          <cell r="T4671">
            <v>4499.3990000000003</v>
          </cell>
        </row>
        <row r="4672">
          <cell r="G4672">
            <v>42552</v>
          </cell>
          <cell r="L4672" t="str">
            <v>04-27-003-33W1</v>
          </cell>
          <cell r="O4672">
            <v>844.1</v>
          </cell>
          <cell r="Q4672">
            <v>1.21</v>
          </cell>
          <cell r="T4672">
            <v>3724.962</v>
          </cell>
        </row>
        <row r="4673">
          <cell r="G4673">
            <v>42552</v>
          </cell>
          <cell r="L4673" t="str">
            <v>03-03-002-32W1</v>
          </cell>
          <cell r="O4673">
            <v>825</v>
          </cell>
          <cell r="Q4673">
            <v>0.87</v>
          </cell>
          <cell r="T4673">
            <v>2799.3</v>
          </cell>
        </row>
        <row r="4674">
          <cell r="G4674">
            <v>42552</v>
          </cell>
          <cell r="L4674" t="str">
            <v>07-28-002-30W1</v>
          </cell>
          <cell r="O4674">
            <v>881.7</v>
          </cell>
          <cell r="Q4674">
            <v>2.41</v>
          </cell>
          <cell r="T4674">
            <v>2625.2530000000002</v>
          </cell>
        </row>
        <row r="4675">
          <cell r="G4675">
            <v>42552</v>
          </cell>
          <cell r="L4675" t="str">
            <v>04-22-009-33W1</v>
          </cell>
          <cell r="O4675">
            <v>854.7</v>
          </cell>
          <cell r="Q4675">
            <v>1.42</v>
          </cell>
          <cell r="T4675">
            <v>2439.3339999999998</v>
          </cell>
        </row>
        <row r="4676">
          <cell r="G4676">
            <v>42552</v>
          </cell>
          <cell r="L4676" t="str">
            <v>05-03-009-33W1</v>
          </cell>
          <cell r="O4676">
            <v>849.8</v>
          </cell>
          <cell r="Q4676">
            <v>1.29</v>
          </cell>
          <cell r="T4676">
            <v>2208.3029999999999</v>
          </cell>
        </row>
        <row r="4677">
          <cell r="G4677">
            <v>42552</v>
          </cell>
          <cell r="L4677" t="str">
            <v>09-28-006-34W1</v>
          </cell>
          <cell r="O4677">
            <v>846.3</v>
          </cell>
          <cell r="Q4677">
            <v>1.27</v>
          </cell>
          <cell r="T4677">
            <v>2061.1930000000002</v>
          </cell>
        </row>
        <row r="4678">
          <cell r="G4678">
            <v>42552</v>
          </cell>
          <cell r="L4678" t="str">
            <v>06-27-006-01W2</v>
          </cell>
          <cell r="O4678">
            <v>858.3</v>
          </cell>
          <cell r="Q4678">
            <v>1.54</v>
          </cell>
          <cell r="T4678">
            <v>1818.2</v>
          </cell>
        </row>
        <row r="4679">
          <cell r="G4679">
            <v>42552</v>
          </cell>
          <cell r="L4679" t="str">
            <v>14-30-009-33W1</v>
          </cell>
          <cell r="O4679">
            <v>856.2</v>
          </cell>
          <cell r="Q4679">
            <v>1.72</v>
          </cell>
          <cell r="T4679">
            <v>1435.921</v>
          </cell>
        </row>
        <row r="4680">
          <cell r="G4680">
            <v>42552</v>
          </cell>
          <cell r="L4680" t="str">
            <v>04-17-004-31W1</v>
          </cell>
          <cell r="O4680">
            <v>862.9</v>
          </cell>
          <cell r="Q4680">
            <v>1.74</v>
          </cell>
          <cell r="T4680">
            <v>1420.3409999999999</v>
          </cell>
        </row>
        <row r="4681">
          <cell r="G4681">
            <v>42552</v>
          </cell>
          <cell r="L4681" t="str">
            <v>08-05-006-33W1</v>
          </cell>
          <cell r="O4681">
            <v>832.3</v>
          </cell>
          <cell r="Q4681">
            <v>0.84</v>
          </cell>
          <cell r="T4681">
            <v>1241.0150000000001</v>
          </cell>
        </row>
        <row r="4682">
          <cell r="G4682">
            <v>42552</v>
          </cell>
          <cell r="L4682" t="str">
            <v>09-27-006-05W2</v>
          </cell>
          <cell r="O4682">
            <v>868.1</v>
          </cell>
          <cell r="Q4682">
            <v>2.14</v>
          </cell>
          <cell r="T4682">
            <v>1239.0889999999999</v>
          </cell>
        </row>
        <row r="4683">
          <cell r="G4683">
            <v>42552</v>
          </cell>
          <cell r="L4683" t="str">
            <v>14-33-003-01W2</v>
          </cell>
          <cell r="O4683">
            <v>833.9</v>
          </cell>
          <cell r="Q4683">
            <v>0.84</v>
          </cell>
          <cell r="T4683">
            <v>1234.7239999999999</v>
          </cell>
        </row>
        <row r="4684">
          <cell r="G4684">
            <v>42552</v>
          </cell>
          <cell r="L4684" t="str">
            <v>09-27-008-03W2</v>
          </cell>
          <cell r="O4684">
            <v>853.2</v>
          </cell>
          <cell r="Q4684">
            <v>1.56</v>
          </cell>
          <cell r="T4684">
            <v>1172.626</v>
          </cell>
        </row>
        <row r="4685">
          <cell r="G4685">
            <v>42552</v>
          </cell>
          <cell r="L4685" t="str">
            <v>10-13-006-03W2</v>
          </cell>
          <cell r="O4685">
            <v>853.8</v>
          </cell>
          <cell r="Q4685">
            <v>1.79</v>
          </cell>
          <cell r="T4685">
            <v>1062.191</v>
          </cell>
        </row>
        <row r="4686">
          <cell r="G4686">
            <v>42552</v>
          </cell>
          <cell r="L4686" t="str">
            <v>10-11-006-34W1</v>
          </cell>
          <cell r="O4686">
            <v>853.8</v>
          </cell>
          <cell r="Q4686">
            <v>1.6</v>
          </cell>
          <cell r="T4686">
            <v>1012.066</v>
          </cell>
        </row>
        <row r="4687">
          <cell r="G4687">
            <v>42552</v>
          </cell>
          <cell r="L4687" t="str">
            <v>15-14-009-03W2</v>
          </cell>
          <cell r="O4687">
            <v>844.7</v>
          </cell>
          <cell r="Q4687">
            <v>1.56</v>
          </cell>
          <cell r="T4687">
            <v>902.38800000000003</v>
          </cell>
        </row>
        <row r="4688">
          <cell r="G4688">
            <v>42552</v>
          </cell>
          <cell r="L4688" t="str">
            <v>07-31-001-31W1</v>
          </cell>
          <cell r="O4688">
            <v>864.5</v>
          </cell>
          <cell r="Q4688">
            <v>1.73</v>
          </cell>
          <cell r="T4688">
            <v>861.47</v>
          </cell>
        </row>
        <row r="4689">
          <cell r="G4689">
            <v>42552</v>
          </cell>
          <cell r="L4689" t="str">
            <v>06-24-001-34W1</v>
          </cell>
          <cell r="O4689">
            <v>851.2</v>
          </cell>
          <cell r="Q4689">
            <v>1.17</v>
          </cell>
          <cell r="T4689">
            <v>858.93499999999995</v>
          </cell>
        </row>
        <row r="4690">
          <cell r="G4690">
            <v>42552</v>
          </cell>
          <cell r="L4690" t="str">
            <v>11-25-001-32W1</v>
          </cell>
          <cell r="O4690">
            <v>859.5</v>
          </cell>
          <cell r="Q4690">
            <v>1.52</v>
          </cell>
          <cell r="T4690">
            <v>857.36900000000003</v>
          </cell>
        </row>
        <row r="4691">
          <cell r="G4691">
            <v>42552</v>
          </cell>
          <cell r="L4691" t="str">
            <v>16-21-003-32W1</v>
          </cell>
          <cell r="O4691">
            <v>859</v>
          </cell>
          <cell r="Q4691">
            <v>1.61</v>
          </cell>
          <cell r="T4691">
            <v>817.34500000000003</v>
          </cell>
        </row>
        <row r="4692">
          <cell r="G4692">
            <v>42552</v>
          </cell>
          <cell r="L4692" t="str">
            <v>05-12-002-32W1</v>
          </cell>
          <cell r="O4692">
            <v>863.6</v>
          </cell>
          <cell r="Q4692">
            <v>1.63</v>
          </cell>
          <cell r="T4692">
            <v>732.75300000000004</v>
          </cell>
        </row>
        <row r="4693">
          <cell r="G4693">
            <v>42552</v>
          </cell>
          <cell r="L4693" t="str">
            <v>07-12-008-04W2</v>
          </cell>
          <cell r="O4693">
            <v>855.9</v>
          </cell>
          <cell r="Q4693">
            <v>1.41</v>
          </cell>
          <cell r="T4693">
            <v>694.21</v>
          </cell>
        </row>
        <row r="4694">
          <cell r="G4694">
            <v>42552</v>
          </cell>
          <cell r="L4694" t="str">
            <v>08-35-011-04W2</v>
          </cell>
          <cell r="O4694">
            <v>860.7</v>
          </cell>
          <cell r="Q4694">
            <v>1.84</v>
          </cell>
          <cell r="T4694">
            <v>690.39300000000003</v>
          </cell>
        </row>
        <row r="4695">
          <cell r="G4695">
            <v>42552</v>
          </cell>
          <cell r="L4695" t="str">
            <v>09-02-007-05W2</v>
          </cell>
          <cell r="O4695">
            <v>861.4</v>
          </cell>
          <cell r="Q4695">
            <v>1.74</v>
          </cell>
          <cell r="T4695">
            <v>654.45799999999997</v>
          </cell>
        </row>
        <row r="4696">
          <cell r="G4696">
            <v>42552</v>
          </cell>
          <cell r="L4696" t="str">
            <v>04-14-005-33W1</v>
          </cell>
          <cell r="O4696">
            <v>857.5</v>
          </cell>
          <cell r="Q4696">
            <v>0.79</v>
          </cell>
          <cell r="T4696">
            <v>631.89400000000001</v>
          </cell>
        </row>
        <row r="4697">
          <cell r="G4697">
            <v>42552</v>
          </cell>
          <cell r="L4697" t="str">
            <v>09-19-009-33W1</v>
          </cell>
          <cell r="O4697">
            <v>855.3</v>
          </cell>
          <cell r="Q4697">
            <v>1.54</v>
          </cell>
          <cell r="T4697">
            <v>624.55499999999995</v>
          </cell>
        </row>
        <row r="4698">
          <cell r="G4698">
            <v>42552</v>
          </cell>
          <cell r="L4698" t="str">
            <v>16-24-001-34W1</v>
          </cell>
          <cell r="O4698">
            <v>866.4</v>
          </cell>
          <cell r="Q4698">
            <v>1.67</v>
          </cell>
          <cell r="T4698">
            <v>589.69299999999998</v>
          </cell>
        </row>
        <row r="4699">
          <cell r="G4699">
            <v>42552</v>
          </cell>
          <cell r="L4699" t="str">
            <v>02-13-006-01W2</v>
          </cell>
          <cell r="O4699">
            <v>843.1</v>
          </cell>
          <cell r="Q4699">
            <v>1.19</v>
          </cell>
          <cell r="T4699">
            <v>578.23199999999997</v>
          </cell>
        </row>
        <row r="4700">
          <cell r="G4700">
            <v>42552</v>
          </cell>
          <cell r="L4700" t="str">
            <v>14-35-006-05W2</v>
          </cell>
          <cell r="O4700">
            <v>862.2</v>
          </cell>
          <cell r="Q4700">
            <v>1.61</v>
          </cell>
          <cell r="T4700">
            <v>539.20399999999995</v>
          </cell>
        </row>
        <row r="4701">
          <cell r="G4701">
            <v>42552</v>
          </cell>
          <cell r="L4701" t="str">
            <v>08-32-006-01W2</v>
          </cell>
          <cell r="O4701">
            <v>843.5</v>
          </cell>
          <cell r="Q4701">
            <v>1.21</v>
          </cell>
          <cell r="T4701">
            <v>522.10500000000002</v>
          </cell>
        </row>
        <row r="4702">
          <cell r="G4702">
            <v>42552</v>
          </cell>
          <cell r="L4702" t="str">
            <v>08-26-006-02W2</v>
          </cell>
          <cell r="O4702">
            <v>848.7</v>
          </cell>
          <cell r="Q4702">
            <v>1.19</v>
          </cell>
          <cell r="T4702">
            <v>483.18599999999998</v>
          </cell>
        </row>
        <row r="4703">
          <cell r="G4703">
            <v>42552</v>
          </cell>
          <cell r="L4703" t="str">
            <v>12-35-008-03W2</v>
          </cell>
          <cell r="O4703">
            <v>856.7</v>
          </cell>
          <cell r="Q4703">
            <v>1.55</v>
          </cell>
          <cell r="T4703">
            <v>430.61399999999998</v>
          </cell>
        </row>
        <row r="4704">
          <cell r="G4704">
            <v>42552</v>
          </cell>
          <cell r="L4704" t="str">
            <v>10-33-003-31W1</v>
          </cell>
          <cell r="O4704">
            <v>883.6</v>
          </cell>
          <cell r="Q4704">
            <v>0.88</v>
          </cell>
          <cell r="T4704">
            <v>420.16</v>
          </cell>
        </row>
        <row r="4705">
          <cell r="G4705">
            <v>42552</v>
          </cell>
          <cell r="L4705" t="str">
            <v>12-01-003-30W1</v>
          </cell>
          <cell r="O4705">
            <v>869.1</v>
          </cell>
          <cell r="Q4705">
            <v>1.68</v>
          </cell>
          <cell r="T4705">
            <v>364.46100000000001</v>
          </cell>
        </row>
        <row r="4706">
          <cell r="G4706">
            <v>42552</v>
          </cell>
          <cell r="L4706" t="str">
            <v>03-23-001-32W1</v>
          </cell>
          <cell r="O4706">
            <v>854.8</v>
          </cell>
          <cell r="Q4706">
            <v>1.51</v>
          </cell>
          <cell r="T4706">
            <v>362.25099999999998</v>
          </cell>
        </row>
        <row r="4707">
          <cell r="G4707">
            <v>42552</v>
          </cell>
          <cell r="L4707" t="str">
            <v>07-12-005-34W1</v>
          </cell>
          <cell r="O4707">
            <v>828.5</v>
          </cell>
          <cell r="Q4707">
            <v>0.64</v>
          </cell>
          <cell r="T4707">
            <v>342.21899999999999</v>
          </cell>
        </row>
        <row r="4708">
          <cell r="G4708">
            <v>42552</v>
          </cell>
          <cell r="L4708" t="str">
            <v>01-01-006-06W2</v>
          </cell>
          <cell r="O4708">
            <v>850.5</v>
          </cell>
          <cell r="Q4708">
            <v>1.17</v>
          </cell>
          <cell r="T4708">
            <v>375.04300000000001</v>
          </cell>
        </row>
        <row r="4709">
          <cell r="G4709">
            <v>42552</v>
          </cell>
          <cell r="L4709" t="str">
            <v>14-09-002-29W1</v>
          </cell>
          <cell r="O4709">
            <v>838.7</v>
          </cell>
          <cell r="Q4709">
            <v>0.81</v>
          </cell>
          <cell r="T4709">
            <v>9229.4560000000001</v>
          </cell>
        </row>
        <row r="4710">
          <cell r="G4710">
            <v>42552</v>
          </cell>
          <cell r="L4710" t="str">
            <v>13-13-007-02W2</v>
          </cell>
          <cell r="O4710">
            <v>852.6</v>
          </cell>
          <cell r="Q4710">
            <v>1.25</v>
          </cell>
          <cell r="T4710">
            <v>4643.8019999999997</v>
          </cell>
        </row>
        <row r="4711">
          <cell r="G4711">
            <v>42552</v>
          </cell>
          <cell r="L4711" t="str">
            <v>08-36-003-34W1</v>
          </cell>
          <cell r="O4711">
            <v>838.7</v>
          </cell>
          <cell r="Q4711">
            <v>0.88</v>
          </cell>
          <cell r="T4711">
            <v>4583.7120000000004</v>
          </cell>
        </row>
        <row r="4712">
          <cell r="G4712">
            <v>42552</v>
          </cell>
          <cell r="L4712" t="str">
            <v>11-27-005-33W1</v>
          </cell>
          <cell r="O4712">
            <v>826.3</v>
          </cell>
          <cell r="Q4712">
            <v>0.72</v>
          </cell>
          <cell r="T4712">
            <v>4324.4179999999997</v>
          </cell>
        </row>
        <row r="4713">
          <cell r="G4713">
            <v>42552</v>
          </cell>
          <cell r="L4713" t="str">
            <v>05-29-005-32W1</v>
          </cell>
          <cell r="O4713">
            <v>836.7</v>
          </cell>
          <cell r="Q4713">
            <v>0.93</v>
          </cell>
          <cell r="T4713">
            <v>3012.3180000000002</v>
          </cell>
        </row>
        <row r="4714">
          <cell r="G4714">
            <v>42552</v>
          </cell>
          <cell r="L4714" t="str">
            <v>05-14-003-01W2</v>
          </cell>
          <cell r="O4714">
            <v>823.9</v>
          </cell>
          <cell r="Q4714">
            <v>0.72</v>
          </cell>
          <cell r="T4714">
            <v>2793.5219999999999</v>
          </cell>
        </row>
        <row r="4715">
          <cell r="G4715">
            <v>42552</v>
          </cell>
          <cell r="L4715" t="str">
            <v>16-10-006-30W1</v>
          </cell>
          <cell r="O4715">
            <v>852.5</v>
          </cell>
          <cell r="Q4715">
            <v>1.41</v>
          </cell>
          <cell r="T4715">
            <v>2497.4920000000002</v>
          </cell>
        </row>
        <row r="4716">
          <cell r="G4716">
            <v>42552</v>
          </cell>
          <cell r="L4716" t="str">
            <v>04-10-004-31W1</v>
          </cell>
          <cell r="O4716">
            <v>867.7</v>
          </cell>
          <cell r="Q4716">
            <v>1.79</v>
          </cell>
          <cell r="T4716">
            <v>2358.3420000000001</v>
          </cell>
        </row>
        <row r="4717">
          <cell r="G4717">
            <v>42552</v>
          </cell>
          <cell r="L4717" t="str">
            <v>05-13-003-02W2</v>
          </cell>
          <cell r="O4717">
            <v>831.7</v>
          </cell>
          <cell r="Q4717">
            <v>0.56000000000000005</v>
          </cell>
          <cell r="T4717">
            <v>2034.65</v>
          </cell>
        </row>
        <row r="4718">
          <cell r="G4718">
            <v>42552</v>
          </cell>
          <cell r="L4718" t="str">
            <v>06-01-007-01W2</v>
          </cell>
          <cell r="O4718">
            <v>848</v>
          </cell>
          <cell r="Q4718">
            <v>1.1299999999999999</v>
          </cell>
          <cell r="T4718">
            <v>1994.23</v>
          </cell>
        </row>
        <row r="4719">
          <cell r="G4719">
            <v>42552</v>
          </cell>
          <cell r="L4719" t="str">
            <v>01-09-001-31W1</v>
          </cell>
          <cell r="O4719">
            <v>875.8</v>
          </cell>
          <cell r="Q4719">
            <v>2.06</v>
          </cell>
          <cell r="T4719">
            <v>1991.1120000000001</v>
          </cell>
        </row>
        <row r="4720">
          <cell r="G4720">
            <v>42552</v>
          </cell>
          <cell r="L4720" t="str">
            <v>04-05-007-33W1</v>
          </cell>
          <cell r="O4720">
            <v>843.3</v>
          </cell>
          <cell r="Q4720">
            <v>1.22</v>
          </cell>
          <cell r="T4720">
            <v>1890.7</v>
          </cell>
        </row>
        <row r="4721">
          <cell r="G4721">
            <v>42552</v>
          </cell>
          <cell r="L4721" t="str">
            <v>02-14-005-32W1</v>
          </cell>
          <cell r="O4721">
            <v>835.8</v>
          </cell>
          <cell r="Q4721">
            <v>0.97</v>
          </cell>
          <cell r="T4721">
            <v>1799.62</v>
          </cell>
        </row>
        <row r="4722">
          <cell r="G4722">
            <v>42552</v>
          </cell>
          <cell r="L4722" t="str">
            <v>16-13-004-32W1</v>
          </cell>
          <cell r="O4722">
            <v>853</v>
          </cell>
          <cell r="Q4722">
            <v>1.33</v>
          </cell>
          <cell r="T4722">
            <v>1235.8920000000001</v>
          </cell>
        </row>
        <row r="4723">
          <cell r="G4723">
            <v>42552</v>
          </cell>
          <cell r="L4723" t="str">
            <v>08-33-005-03W2</v>
          </cell>
          <cell r="O4723">
            <v>843.6</v>
          </cell>
          <cell r="Q4723">
            <v>1.1200000000000001</v>
          </cell>
          <cell r="T4723">
            <v>1213.3589999999999</v>
          </cell>
        </row>
        <row r="4724">
          <cell r="G4724">
            <v>42552</v>
          </cell>
          <cell r="L4724" t="str">
            <v>09-33-006-05W2</v>
          </cell>
          <cell r="O4724">
            <v>859.9</v>
          </cell>
          <cell r="Q4724">
            <v>1.74</v>
          </cell>
          <cell r="T4724">
            <v>1192.377</v>
          </cell>
        </row>
        <row r="4725">
          <cell r="G4725">
            <v>42552</v>
          </cell>
          <cell r="L4725" t="str">
            <v>14-28-002-34W1</v>
          </cell>
          <cell r="O4725">
            <v>833.2</v>
          </cell>
          <cell r="Q4725">
            <v>0.78</v>
          </cell>
          <cell r="T4725">
            <v>1171.9380000000001</v>
          </cell>
        </row>
        <row r="4726">
          <cell r="G4726">
            <v>42552</v>
          </cell>
          <cell r="L4726" t="str">
            <v>11-28-006-05W2</v>
          </cell>
          <cell r="O4726">
            <v>856</v>
          </cell>
          <cell r="Q4726">
            <v>1.51</v>
          </cell>
          <cell r="T4726">
            <v>1120.8610000000001</v>
          </cell>
        </row>
        <row r="4727">
          <cell r="G4727">
            <v>42552</v>
          </cell>
          <cell r="L4727" t="str">
            <v>12-23-005-31W1</v>
          </cell>
          <cell r="O4727">
            <v>845.2</v>
          </cell>
          <cell r="Q4727">
            <v>1.08</v>
          </cell>
          <cell r="T4727">
            <v>1115.8989999999999</v>
          </cell>
        </row>
        <row r="4728">
          <cell r="G4728">
            <v>42552</v>
          </cell>
          <cell r="L4728" t="str">
            <v>02-02-006-03W2</v>
          </cell>
          <cell r="O4728">
            <v>850.2</v>
          </cell>
          <cell r="Q4728">
            <v>1.2</v>
          </cell>
          <cell r="T4728">
            <v>1102.287</v>
          </cell>
        </row>
        <row r="4729">
          <cell r="G4729">
            <v>42552</v>
          </cell>
          <cell r="L4729" t="str">
            <v>02-20-006-32W1</v>
          </cell>
          <cell r="O4729">
            <v>836.5</v>
          </cell>
          <cell r="Q4729">
            <v>0.8</v>
          </cell>
          <cell r="T4729">
            <v>1020.2329999999999</v>
          </cell>
        </row>
        <row r="4730">
          <cell r="G4730">
            <v>42552</v>
          </cell>
          <cell r="L4730" t="str">
            <v>02-15-006-01W2</v>
          </cell>
          <cell r="O4730">
            <v>849.7</v>
          </cell>
          <cell r="Q4730">
            <v>1.1200000000000001</v>
          </cell>
          <cell r="T4730">
            <v>1019.985</v>
          </cell>
        </row>
        <row r="4731">
          <cell r="G4731">
            <v>42552</v>
          </cell>
          <cell r="L4731" t="str">
            <v>14-33-003-01W2</v>
          </cell>
          <cell r="O4731">
            <v>837.3</v>
          </cell>
          <cell r="Q4731">
            <v>0.87</v>
          </cell>
          <cell r="T4731">
            <v>1006.566</v>
          </cell>
        </row>
        <row r="4732">
          <cell r="G4732">
            <v>42552</v>
          </cell>
          <cell r="L4732" t="str">
            <v>06-02-008-02W2</v>
          </cell>
          <cell r="O4732">
            <v>858.1</v>
          </cell>
          <cell r="Q4732">
            <v>1.51</v>
          </cell>
          <cell r="T4732">
            <v>998.09100000000001</v>
          </cell>
        </row>
        <row r="4733">
          <cell r="G4733">
            <v>42552</v>
          </cell>
          <cell r="L4733" t="str">
            <v>04-33-006-01W2</v>
          </cell>
          <cell r="O4733">
            <v>851.4</v>
          </cell>
          <cell r="Q4733">
            <v>1.1299999999999999</v>
          </cell>
          <cell r="T4733">
            <v>997.54399999999998</v>
          </cell>
        </row>
        <row r="4734">
          <cell r="G4734">
            <v>42552</v>
          </cell>
          <cell r="L4734" t="str">
            <v>13-11-004-02W2</v>
          </cell>
          <cell r="O4734">
            <v>845.6</v>
          </cell>
          <cell r="Q4734">
            <v>1.2</v>
          </cell>
          <cell r="T4734">
            <v>913.13699999999994</v>
          </cell>
        </row>
        <row r="4735">
          <cell r="G4735">
            <v>42552</v>
          </cell>
          <cell r="L4735" t="str">
            <v>13-34-006-05W2</v>
          </cell>
          <cell r="O4735">
            <v>864.5</v>
          </cell>
          <cell r="Q4735">
            <v>1.93</v>
          </cell>
          <cell r="T4735">
            <v>911.10500000000002</v>
          </cell>
        </row>
        <row r="4736">
          <cell r="G4736">
            <v>42552</v>
          </cell>
          <cell r="L4736" t="str">
            <v>02-14-010-01W2</v>
          </cell>
          <cell r="O4736">
            <v>856.6</v>
          </cell>
          <cell r="Q4736">
            <v>1.7</v>
          </cell>
          <cell r="T4736">
            <v>730.06500000000005</v>
          </cell>
        </row>
        <row r="4737">
          <cell r="G4737">
            <v>42552</v>
          </cell>
          <cell r="L4737" t="str">
            <v>10-33-004-32W1</v>
          </cell>
          <cell r="O4737">
            <v>837</v>
          </cell>
          <cell r="Q4737">
            <v>0.99</v>
          </cell>
          <cell r="T4737">
            <v>725.952</v>
          </cell>
        </row>
        <row r="4738">
          <cell r="G4738">
            <v>42552</v>
          </cell>
          <cell r="L4738" t="str">
            <v>14-26-002-30W1</v>
          </cell>
          <cell r="O4738">
            <v>864.4</v>
          </cell>
          <cell r="Q4738">
            <v>2.02</v>
          </cell>
          <cell r="T4738">
            <v>679.375</v>
          </cell>
        </row>
        <row r="4739">
          <cell r="G4739">
            <v>42552</v>
          </cell>
          <cell r="L4739" t="str">
            <v>10-11-004-34W1</v>
          </cell>
          <cell r="O4739">
            <v>831.7</v>
          </cell>
          <cell r="Q4739">
            <v>0.73</v>
          </cell>
          <cell r="T4739">
            <v>623.77800000000002</v>
          </cell>
        </row>
        <row r="4740">
          <cell r="G4740">
            <v>42552</v>
          </cell>
          <cell r="L4740" t="str">
            <v>08-13-006-33W1</v>
          </cell>
          <cell r="O4740">
            <v>843.3</v>
          </cell>
          <cell r="Q4740">
            <v>0.89</v>
          </cell>
          <cell r="T4740">
            <v>608.44200000000001</v>
          </cell>
        </row>
        <row r="4741">
          <cell r="G4741">
            <v>42552</v>
          </cell>
          <cell r="L4741" t="str">
            <v>04-04-007-01W2</v>
          </cell>
          <cell r="O4741">
            <v>852.4</v>
          </cell>
          <cell r="Q4741">
            <v>1.1399999999999999</v>
          </cell>
          <cell r="T4741">
            <v>592.60699999999997</v>
          </cell>
        </row>
        <row r="4742">
          <cell r="G4742">
            <v>42552</v>
          </cell>
          <cell r="L4742" t="str">
            <v>14-20-005-33W1</v>
          </cell>
          <cell r="O4742">
            <v>829.9</v>
          </cell>
          <cell r="Q4742">
            <v>0.67</v>
          </cell>
          <cell r="T4742">
            <v>563.05799999999999</v>
          </cell>
        </row>
        <row r="4743">
          <cell r="G4743">
            <v>42552</v>
          </cell>
          <cell r="L4743" t="str">
            <v>06-04-006-33W1</v>
          </cell>
          <cell r="O4743">
            <v>835.9</v>
          </cell>
          <cell r="Q4743">
            <v>0.82</v>
          </cell>
          <cell r="T4743">
            <v>503.42500000000001</v>
          </cell>
        </row>
        <row r="4744">
          <cell r="G4744">
            <v>42552</v>
          </cell>
          <cell r="L4744" t="str">
            <v>02-12-010-02W2</v>
          </cell>
          <cell r="O4744">
            <v>857.3</v>
          </cell>
          <cell r="Q4744">
            <v>1.64</v>
          </cell>
          <cell r="T4744">
            <v>478.56400000000002</v>
          </cell>
        </row>
        <row r="4745">
          <cell r="G4745">
            <v>42552</v>
          </cell>
          <cell r="L4745" t="str">
            <v>15-26-007-04W2</v>
          </cell>
          <cell r="O4745">
            <v>856.7</v>
          </cell>
          <cell r="Q4745">
            <v>1.4</v>
          </cell>
          <cell r="T4745">
            <v>432.21600000000001</v>
          </cell>
        </row>
        <row r="4746">
          <cell r="G4746">
            <v>42552</v>
          </cell>
          <cell r="L4746" t="str">
            <v>02-10-003-01W2</v>
          </cell>
          <cell r="O4746">
            <v>829.5</v>
          </cell>
          <cell r="Q4746">
            <v>0.5</v>
          </cell>
          <cell r="T4746">
            <v>406.37799999999999</v>
          </cell>
        </row>
        <row r="4747">
          <cell r="G4747">
            <v>42552</v>
          </cell>
          <cell r="L4747" t="str">
            <v>02-16-010-02W2</v>
          </cell>
          <cell r="O4747">
            <v>860.2</v>
          </cell>
          <cell r="Q4747">
            <v>1.69</v>
          </cell>
          <cell r="T4747">
            <v>393.33699999999999</v>
          </cell>
        </row>
        <row r="4748">
          <cell r="G4748">
            <v>42552</v>
          </cell>
          <cell r="L4748" t="str">
            <v>02-08-004-33W1</v>
          </cell>
          <cell r="O4748">
            <v>832</v>
          </cell>
          <cell r="Q4748">
            <v>0.65</v>
          </cell>
          <cell r="T4748">
            <v>377.50599999999997</v>
          </cell>
        </row>
        <row r="4749">
          <cell r="G4749">
            <v>42552</v>
          </cell>
          <cell r="L4749" t="str">
            <v>06-03-004-31W1</v>
          </cell>
          <cell r="O4749">
            <v>865.2</v>
          </cell>
          <cell r="Q4749">
            <v>1.87</v>
          </cell>
          <cell r="T4749">
            <v>374.928</v>
          </cell>
        </row>
        <row r="4750">
          <cell r="G4750">
            <v>42552</v>
          </cell>
          <cell r="L4750" t="str">
            <v>01-11-005-04W2</v>
          </cell>
          <cell r="O4750">
            <v>856.5</v>
          </cell>
          <cell r="Q4750">
            <v>1.99</v>
          </cell>
          <cell r="T4750">
            <v>408.48599999999999</v>
          </cell>
        </row>
        <row r="4751">
          <cell r="G4751">
            <v>42552</v>
          </cell>
          <cell r="L4751" t="str">
            <v>STEELMAN MIDALE</v>
          </cell>
          <cell r="O4751">
            <v>882.3</v>
          </cell>
          <cell r="Q4751">
            <v>1.9</v>
          </cell>
          <cell r="T4751">
            <v>8702.44</v>
          </cell>
        </row>
        <row r="4752">
          <cell r="G4752">
            <v>42552</v>
          </cell>
          <cell r="L4752" t="str">
            <v>09-08-004-03W2</v>
          </cell>
          <cell r="O4752">
            <v>847.6</v>
          </cell>
          <cell r="Q4752">
            <v>1.08</v>
          </cell>
          <cell r="T4752">
            <v>5394.9089999999997</v>
          </cell>
        </row>
        <row r="4753">
          <cell r="G4753">
            <v>42552</v>
          </cell>
          <cell r="L4753" t="str">
            <v>03-15-004-06W2</v>
          </cell>
          <cell r="O4753">
            <v>853.9</v>
          </cell>
          <cell r="Q4753">
            <v>1.22</v>
          </cell>
          <cell r="T4753">
            <v>5007.9949999999999</v>
          </cell>
        </row>
        <row r="4754">
          <cell r="G4754">
            <v>42552</v>
          </cell>
          <cell r="L4754" t="str">
            <v>09-33-005-05W2</v>
          </cell>
          <cell r="O4754">
            <v>851.5</v>
          </cell>
          <cell r="Q4754">
            <v>1.02</v>
          </cell>
          <cell r="T4754">
            <v>3470.5369999999998</v>
          </cell>
        </row>
        <row r="4755">
          <cell r="G4755">
            <v>42552</v>
          </cell>
          <cell r="L4755" t="str">
            <v>07-35-004-04W2</v>
          </cell>
          <cell r="O4755">
            <v>853.8</v>
          </cell>
          <cell r="Q4755">
            <v>1.41</v>
          </cell>
          <cell r="T4755">
            <v>2728.252</v>
          </cell>
        </row>
        <row r="4756">
          <cell r="G4756">
            <v>42552</v>
          </cell>
          <cell r="L4756" t="str">
            <v>14-30-001-04W2</v>
          </cell>
          <cell r="O4756">
            <v>836.8</v>
          </cell>
          <cell r="Q4756">
            <v>0.56000000000000005</v>
          </cell>
          <cell r="T4756">
            <v>2570.52</v>
          </cell>
        </row>
        <row r="4757">
          <cell r="G4757">
            <v>42552</v>
          </cell>
          <cell r="L4757" t="str">
            <v>05-07-005-03W2</v>
          </cell>
          <cell r="O4757">
            <v>849.8</v>
          </cell>
          <cell r="Q4757">
            <v>1.24</v>
          </cell>
          <cell r="T4757">
            <v>2095.752</v>
          </cell>
        </row>
        <row r="4758">
          <cell r="G4758">
            <v>42552</v>
          </cell>
          <cell r="L4758" t="str">
            <v>16-33-005-06W2</v>
          </cell>
          <cell r="O4758">
            <v>869.1</v>
          </cell>
          <cell r="Q4758">
            <v>2.25</v>
          </cell>
          <cell r="T4758">
            <v>2067.3879999999999</v>
          </cell>
        </row>
        <row r="4759">
          <cell r="G4759">
            <v>42552</v>
          </cell>
          <cell r="L4759" t="str">
            <v>06-27-004-06W2</v>
          </cell>
          <cell r="O4759">
            <v>831</v>
          </cell>
          <cell r="Q4759">
            <v>0.68</v>
          </cell>
          <cell r="T4759">
            <v>1570.212</v>
          </cell>
        </row>
        <row r="4760">
          <cell r="G4760">
            <v>42552</v>
          </cell>
          <cell r="L4760" t="str">
            <v>11-02-005-04W2</v>
          </cell>
          <cell r="O4760">
            <v>851.3</v>
          </cell>
          <cell r="Q4760">
            <v>1.4</v>
          </cell>
          <cell r="T4760">
            <v>1522.384</v>
          </cell>
        </row>
        <row r="4761">
          <cell r="G4761">
            <v>42552</v>
          </cell>
          <cell r="L4761" t="str">
            <v>07-18-005-04W2</v>
          </cell>
          <cell r="O4761">
            <v>858.2</v>
          </cell>
          <cell r="Q4761">
            <v>1.38</v>
          </cell>
          <cell r="T4761">
            <v>485.16899999999998</v>
          </cell>
        </row>
        <row r="4762">
          <cell r="G4762">
            <v>42552</v>
          </cell>
          <cell r="L4762" t="str">
            <v>14-13-001-05W2</v>
          </cell>
          <cell r="O4762">
            <v>819.1</v>
          </cell>
          <cell r="Q4762">
            <v>0.51</v>
          </cell>
          <cell r="T4762">
            <v>24329.565999999999</v>
          </cell>
        </row>
        <row r="4763">
          <cell r="G4763">
            <v>42552</v>
          </cell>
          <cell r="L4763" t="str">
            <v>05-20-004-04W2</v>
          </cell>
          <cell r="O4763">
            <v>823.5</v>
          </cell>
          <cell r="Q4763">
            <v>1.59</v>
          </cell>
          <cell r="T4763">
            <v>4885.2190000000001</v>
          </cell>
        </row>
        <row r="4764">
          <cell r="G4764">
            <v>42552</v>
          </cell>
          <cell r="L4764" t="str">
            <v>05-10-006-05W2</v>
          </cell>
          <cell r="O4764">
            <v>857</v>
          </cell>
          <cell r="Q4764">
            <v>1.55</v>
          </cell>
          <cell r="T4764">
            <v>4145.22</v>
          </cell>
        </row>
        <row r="4765">
          <cell r="G4765">
            <v>42552</v>
          </cell>
          <cell r="L4765" t="str">
            <v>05-24-005-04W2</v>
          </cell>
          <cell r="O4765">
            <v>857.4</v>
          </cell>
          <cell r="Q4765">
            <v>1.51</v>
          </cell>
          <cell r="T4765">
            <v>2045.242</v>
          </cell>
        </row>
        <row r="4766">
          <cell r="G4766">
            <v>42552</v>
          </cell>
          <cell r="L4766" t="str">
            <v>05-34-005-06W2</v>
          </cell>
          <cell r="O4766">
            <v>870.8</v>
          </cell>
          <cell r="Q4766">
            <v>2.0299999999999998</v>
          </cell>
          <cell r="T4766">
            <v>1735.1210000000001</v>
          </cell>
        </row>
        <row r="4767">
          <cell r="G4767">
            <v>42552</v>
          </cell>
          <cell r="L4767" t="str">
            <v>02-13-006-06W2</v>
          </cell>
          <cell r="O4767">
            <v>847.6</v>
          </cell>
          <cell r="Q4767">
            <v>1.48</v>
          </cell>
          <cell r="T4767">
            <v>1728.9770000000001</v>
          </cell>
        </row>
        <row r="4768">
          <cell r="G4768">
            <v>42552</v>
          </cell>
          <cell r="L4768" t="str">
            <v>11-16-005-04W2</v>
          </cell>
          <cell r="O4768">
            <v>863.4</v>
          </cell>
          <cell r="Q4768">
            <v>1.1100000000000001</v>
          </cell>
          <cell r="T4768">
            <v>1705.74</v>
          </cell>
        </row>
        <row r="4769">
          <cell r="G4769">
            <v>42552</v>
          </cell>
          <cell r="L4769" t="str">
            <v>07-08-004-05W2</v>
          </cell>
          <cell r="O4769">
            <v>839.6</v>
          </cell>
          <cell r="Q4769">
            <v>0.95</v>
          </cell>
          <cell r="T4769">
            <v>1338.34</v>
          </cell>
        </row>
        <row r="4770">
          <cell r="G4770">
            <v>42552</v>
          </cell>
          <cell r="L4770" t="str">
            <v>03-29-003-04W2</v>
          </cell>
          <cell r="O4770">
            <v>841.6</v>
          </cell>
          <cell r="Q4770">
            <v>0.84</v>
          </cell>
          <cell r="T4770">
            <v>1182.1969999999999</v>
          </cell>
        </row>
        <row r="4771">
          <cell r="G4771">
            <v>42552</v>
          </cell>
          <cell r="L4771" t="str">
            <v>11-28-005-06W2</v>
          </cell>
          <cell r="O4771">
            <v>880.6</v>
          </cell>
          <cell r="Q4771">
            <v>2.27</v>
          </cell>
          <cell r="T4771">
            <v>1143.4459999999999</v>
          </cell>
        </row>
        <row r="4772">
          <cell r="G4772">
            <v>42552</v>
          </cell>
          <cell r="L4772" t="str">
            <v>09-27-004-05W2</v>
          </cell>
          <cell r="O4772">
            <v>848.9</v>
          </cell>
          <cell r="Q4772">
            <v>1.4</v>
          </cell>
          <cell r="T4772">
            <v>1061.867</v>
          </cell>
        </row>
        <row r="4773">
          <cell r="G4773">
            <v>42552</v>
          </cell>
          <cell r="L4773" t="str">
            <v>09-10-005-04W2</v>
          </cell>
          <cell r="O4773">
            <v>854.9</v>
          </cell>
          <cell r="Q4773">
            <v>1.22</v>
          </cell>
          <cell r="T4773">
            <v>967.4</v>
          </cell>
        </row>
        <row r="4774">
          <cell r="G4774">
            <v>42552</v>
          </cell>
          <cell r="L4774" t="str">
            <v>13-30-005-05W2</v>
          </cell>
          <cell r="O4774">
            <v>850</v>
          </cell>
          <cell r="Q4774">
            <v>1.1000000000000001</v>
          </cell>
          <cell r="T4774">
            <v>733.947</v>
          </cell>
        </row>
        <row r="4775">
          <cell r="G4775">
            <v>42552</v>
          </cell>
          <cell r="L4775" t="str">
            <v>07-27-007-06W2</v>
          </cell>
          <cell r="O4775">
            <v>815.5</v>
          </cell>
          <cell r="Q4775">
            <v>0.21</v>
          </cell>
          <cell r="T4775">
            <v>630.60299999999995</v>
          </cell>
        </row>
        <row r="4776">
          <cell r="G4776">
            <v>42552</v>
          </cell>
          <cell r="L4776" t="str">
            <v>11-31-005-11W2</v>
          </cell>
          <cell r="O4776">
            <v>873.1</v>
          </cell>
          <cell r="Q4776">
            <v>2.56</v>
          </cell>
          <cell r="T4776">
            <v>2084.2550000000001</v>
          </cell>
        </row>
        <row r="4777">
          <cell r="G4777">
            <v>42552</v>
          </cell>
          <cell r="L4777" t="str">
            <v>09-02-006-07W2</v>
          </cell>
          <cell r="O4777">
            <v>887.7</v>
          </cell>
          <cell r="Q4777">
            <v>1.97</v>
          </cell>
          <cell r="T4777">
            <v>1433.886</v>
          </cell>
        </row>
        <row r="4778">
          <cell r="G4778">
            <v>42552</v>
          </cell>
          <cell r="L4778" t="str">
            <v>14-27-005-12W2</v>
          </cell>
          <cell r="O4778">
            <v>876.4</v>
          </cell>
          <cell r="Q4778">
            <v>1.98</v>
          </cell>
          <cell r="T4778">
            <v>1068.2429999999999</v>
          </cell>
        </row>
        <row r="4779">
          <cell r="G4779">
            <v>42552</v>
          </cell>
          <cell r="L4779" t="str">
            <v>16-05-005-08W2</v>
          </cell>
          <cell r="O4779">
            <v>888.1</v>
          </cell>
          <cell r="Q4779">
            <v>2.34</v>
          </cell>
          <cell r="T4779">
            <v>1056.6880000000001</v>
          </cell>
        </row>
        <row r="4780">
          <cell r="G4780">
            <v>42552</v>
          </cell>
          <cell r="L4780" t="str">
            <v>01-18-004-08W2</v>
          </cell>
          <cell r="O4780">
            <v>890.1</v>
          </cell>
          <cell r="Q4780">
            <v>2.36</v>
          </cell>
          <cell r="T4780">
            <v>857.66899999999998</v>
          </cell>
        </row>
        <row r="4781">
          <cell r="G4781">
            <v>42552</v>
          </cell>
          <cell r="L4781" t="str">
            <v>15-36-001-12W2</v>
          </cell>
          <cell r="O4781">
            <v>817.7</v>
          </cell>
          <cell r="Q4781">
            <v>0.14000000000000001</v>
          </cell>
          <cell r="T4781">
            <v>802.53099999999995</v>
          </cell>
        </row>
        <row r="4782">
          <cell r="G4782">
            <v>42552</v>
          </cell>
          <cell r="L4782" t="str">
            <v>11-14-007-08W2</v>
          </cell>
          <cell r="O4782">
            <v>848.7</v>
          </cell>
          <cell r="Q4782">
            <v>1.38</v>
          </cell>
          <cell r="T4782">
            <v>593.101</v>
          </cell>
        </row>
        <row r="4783">
          <cell r="G4783">
            <v>42552</v>
          </cell>
          <cell r="L4783" t="str">
            <v>14-22-004-08W2</v>
          </cell>
          <cell r="O4783">
            <v>875.5</v>
          </cell>
          <cell r="Q4783">
            <v>2.0299999999999998</v>
          </cell>
          <cell r="T4783">
            <v>583.55700000000002</v>
          </cell>
        </row>
        <row r="4784">
          <cell r="G4784">
            <v>42552</v>
          </cell>
          <cell r="L4784" t="str">
            <v>15-11-005-09W2</v>
          </cell>
          <cell r="O4784">
            <v>886.8</v>
          </cell>
          <cell r="Q4784">
            <v>2.21</v>
          </cell>
          <cell r="T4784">
            <v>479.94600000000003</v>
          </cell>
        </row>
        <row r="4785">
          <cell r="G4785">
            <v>42552</v>
          </cell>
          <cell r="L4785" t="str">
            <v>16-29-006-12W2</v>
          </cell>
          <cell r="O4785">
            <v>872.5</v>
          </cell>
          <cell r="Q4785">
            <v>1.56</v>
          </cell>
          <cell r="T4785">
            <v>437.04399999999998</v>
          </cell>
        </row>
        <row r="4786">
          <cell r="G4786">
            <v>42552</v>
          </cell>
          <cell r="L4786" t="str">
            <v>03-18-007-09W2</v>
          </cell>
          <cell r="O4786">
            <v>826.3</v>
          </cell>
          <cell r="Q4786">
            <v>0.59</v>
          </cell>
          <cell r="T4786">
            <v>430.39400000000001</v>
          </cell>
        </row>
        <row r="4787">
          <cell r="G4787">
            <v>42552</v>
          </cell>
          <cell r="L4787" t="str">
            <v>16-09-007-11W2</v>
          </cell>
          <cell r="O4787">
            <v>842.1</v>
          </cell>
          <cell r="Q4787">
            <v>0.49</v>
          </cell>
          <cell r="T4787">
            <v>423.14</v>
          </cell>
        </row>
        <row r="4788">
          <cell r="G4788">
            <v>42552</v>
          </cell>
          <cell r="L4788" t="str">
            <v>12-20-005-12W2</v>
          </cell>
          <cell r="O4788">
            <v>884.1</v>
          </cell>
          <cell r="Q4788">
            <v>2.38</v>
          </cell>
          <cell r="T4788">
            <v>398.56</v>
          </cell>
        </row>
        <row r="4789">
          <cell r="G4789">
            <v>42552</v>
          </cell>
          <cell r="L4789" t="str">
            <v>04-27-004-08W2</v>
          </cell>
          <cell r="O4789">
            <v>882.7</v>
          </cell>
          <cell r="Q4789">
            <v>2.14</v>
          </cell>
          <cell r="T4789">
            <v>397.15</v>
          </cell>
        </row>
        <row r="4790">
          <cell r="G4790">
            <v>42552</v>
          </cell>
          <cell r="L4790" t="str">
            <v>06-18-006-12W2</v>
          </cell>
          <cell r="O4790">
            <v>887.5</v>
          </cell>
          <cell r="Q4790">
            <v>2.58</v>
          </cell>
          <cell r="T4790">
            <v>370.238</v>
          </cell>
        </row>
        <row r="4791">
          <cell r="G4791">
            <v>42552</v>
          </cell>
          <cell r="L4791" t="str">
            <v>13-06-007-11W2</v>
          </cell>
          <cell r="O4791">
            <v>861.3</v>
          </cell>
          <cell r="Q4791">
            <v>2.08</v>
          </cell>
          <cell r="T4791">
            <v>365.42099999999999</v>
          </cell>
        </row>
        <row r="4792">
          <cell r="G4792">
            <v>42552</v>
          </cell>
          <cell r="L4792" t="str">
            <v>15-29-007-13W2</v>
          </cell>
          <cell r="O4792">
            <v>851.3</v>
          </cell>
          <cell r="Q4792">
            <v>1.85</v>
          </cell>
          <cell r="T4792">
            <v>345.31700000000001</v>
          </cell>
        </row>
        <row r="4793">
          <cell r="G4793">
            <v>42552</v>
          </cell>
          <cell r="L4793" t="str">
            <v>13-33-006-09W2</v>
          </cell>
          <cell r="O4793">
            <v>884.1</v>
          </cell>
          <cell r="Q4793">
            <v>2.42</v>
          </cell>
          <cell r="T4793">
            <v>331.815</v>
          </cell>
        </row>
        <row r="4794">
          <cell r="G4794">
            <v>42552</v>
          </cell>
          <cell r="L4794" t="str">
            <v>04-23-012-06W2</v>
          </cell>
          <cell r="O4794">
            <v>893.9</v>
          </cell>
          <cell r="Q4794">
            <v>2.52</v>
          </cell>
          <cell r="T4794">
            <v>313.89499999999998</v>
          </cell>
        </row>
        <row r="4795">
          <cell r="G4795">
            <v>42552</v>
          </cell>
          <cell r="L4795" t="str">
            <v>04-13-004-10W2</v>
          </cell>
          <cell r="O4795">
            <v>882.8</v>
          </cell>
          <cell r="Q4795">
            <v>2.04</v>
          </cell>
          <cell r="T4795">
            <v>290.029</v>
          </cell>
        </row>
        <row r="4796">
          <cell r="G4796">
            <v>42552</v>
          </cell>
          <cell r="L4796" t="str">
            <v>15-13-002-12W2</v>
          </cell>
          <cell r="O4796">
            <v>826.4</v>
          </cell>
          <cell r="Q4796">
            <v>0.15</v>
          </cell>
          <cell r="T4796">
            <v>283.47399999999999</v>
          </cell>
        </row>
        <row r="4797">
          <cell r="G4797">
            <v>42552</v>
          </cell>
          <cell r="L4797" t="str">
            <v>01-10-008-15W2</v>
          </cell>
          <cell r="O4797">
            <v>867.4</v>
          </cell>
          <cell r="Q4797">
            <v>2.21</v>
          </cell>
          <cell r="T4797">
            <v>273.30599999999998</v>
          </cell>
        </row>
        <row r="4798">
          <cell r="G4798">
            <v>42552</v>
          </cell>
          <cell r="L4798" t="str">
            <v>03-08-001-11W2</v>
          </cell>
          <cell r="O4798">
            <v>813.2</v>
          </cell>
          <cell r="Q4798">
            <v>0.32</v>
          </cell>
          <cell r="T4798">
            <v>254.04300000000001</v>
          </cell>
        </row>
        <row r="4799">
          <cell r="G4799">
            <v>42552</v>
          </cell>
          <cell r="L4799" t="str">
            <v>14-20-004-10W2</v>
          </cell>
          <cell r="O4799">
            <v>889</v>
          </cell>
          <cell r="Q4799">
            <v>2.14</v>
          </cell>
          <cell r="T4799">
            <v>253.727</v>
          </cell>
        </row>
        <row r="4800">
          <cell r="G4800">
            <v>42552</v>
          </cell>
          <cell r="L4800" t="str">
            <v>09-06-010-15W2</v>
          </cell>
          <cell r="O4800">
            <v>868.3</v>
          </cell>
          <cell r="Q4800">
            <v>0.13</v>
          </cell>
          <cell r="T4800">
            <v>233.94</v>
          </cell>
        </row>
        <row r="4801">
          <cell r="G4801">
            <v>42552</v>
          </cell>
          <cell r="L4801" t="str">
            <v>16-09-007-11W2</v>
          </cell>
          <cell r="O4801">
            <v>880.5</v>
          </cell>
          <cell r="Q4801">
            <v>1.85</v>
          </cell>
          <cell r="T4801">
            <v>211.94200000000001</v>
          </cell>
        </row>
        <row r="4802">
          <cell r="G4802">
            <v>42552</v>
          </cell>
          <cell r="L4802" t="str">
            <v>12-27-006-13W2</v>
          </cell>
          <cell r="O4802">
            <v>861.6</v>
          </cell>
          <cell r="Q4802">
            <v>0.18</v>
          </cell>
          <cell r="T4802">
            <v>204.875</v>
          </cell>
        </row>
        <row r="4803">
          <cell r="G4803">
            <v>42552</v>
          </cell>
          <cell r="L4803" t="str">
            <v>01-36-006-12W2</v>
          </cell>
          <cell r="O4803">
            <v>889.8</v>
          </cell>
          <cell r="Q4803">
            <v>2.63</v>
          </cell>
          <cell r="T4803">
            <v>200.53</v>
          </cell>
        </row>
        <row r="4804">
          <cell r="G4804">
            <v>42552</v>
          </cell>
          <cell r="L4804" t="str">
            <v>02-13-004-12W2</v>
          </cell>
          <cell r="O4804">
            <v>880.7</v>
          </cell>
          <cell r="Q4804">
            <v>1.99</v>
          </cell>
          <cell r="T4804">
            <v>187.78200000000001</v>
          </cell>
        </row>
        <row r="4805">
          <cell r="G4805">
            <v>42552</v>
          </cell>
          <cell r="L4805" t="str">
            <v>04-16-004-21W2</v>
          </cell>
          <cell r="O4805">
            <v>817.6</v>
          </cell>
          <cell r="Q4805">
            <v>0.21</v>
          </cell>
          <cell r="T4805">
            <v>177.50299999999999</v>
          </cell>
        </row>
        <row r="4806">
          <cell r="G4806">
            <v>42552</v>
          </cell>
          <cell r="L4806" t="str">
            <v>09-11-007-14W2</v>
          </cell>
          <cell r="O4806">
            <v>847.7</v>
          </cell>
          <cell r="Q4806">
            <v>1.55</v>
          </cell>
          <cell r="T4806">
            <v>170.88499999999999</v>
          </cell>
        </row>
        <row r="4807">
          <cell r="G4807">
            <v>42552</v>
          </cell>
          <cell r="L4807" t="str">
            <v>09-22-006-12W2</v>
          </cell>
          <cell r="O4807">
            <v>875.4</v>
          </cell>
          <cell r="Q4807">
            <v>2.34</v>
          </cell>
          <cell r="T4807">
            <v>168.02099999999999</v>
          </cell>
        </row>
        <row r="4808">
          <cell r="G4808">
            <v>42552</v>
          </cell>
          <cell r="L4808" t="str">
            <v>05-31-006-13W2</v>
          </cell>
          <cell r="O4808">
            <v>806.8</v>
          </cell>
          <cell r="Q4808">
            <v>0.19</v>
          </cell>
          <cell r="T4808">
            <v>158.48699999999999</v>
          </cell>
        </row>
        <row r="4809">
          <cell r="G4809">
            <v>42552</v>
          </cell>
          <cell r="L4809" t="str">
            <v>12-31-001-17W2</v>
          </cell>
          <cell r="O4809">
            <v>855.4</v>
          </cell>
          <cell r="Q4809">
            <v>0.14000000000000001</v>
          </cell>
          <cell r="T4809">
            <v>147.96899999999999</v>
          </cell>
        </row>
        <row r="4810">
          <cell r="G4810">
            <v>42552</v>
          </cell>
          <cell r="L4810" t="str">
            <v>16-06-005-12W2</v>
          </cell>
          <cell r="O4810">
            <v>878.3</v>
          </cell>
          <cell r="Q4810">
            <v>2</v>
          </cell>
          <cell r="T4810">
            <v>137.173</v>
          </cell>
        </row>
        <row r="4811">
          <cell r="G4811">
            <v>42552</v>
          </cell>
          <cell r="L4811" t="str">
            <v>07-10-001-20W2</v>
          </cell>
          <cell r="O4811">
            <v>872.6</v>
          </cell>
          <cell r="Q4811">
            <v>1.72</v>
          </cell>
          <cell r="T4811">
            <v>127.498</v>
          </cell>
        </row>
        <row r="4812">
          <cell r="G4812">
            <v>42552</v>
          </cell>
          <cell r="L4812" t="str">
            <v>03-27-011-08W2</v>
          </cell>
          <cell r="O4812">
            <v>898.8</v>
          </cell>
          <cell r="Q4812">
            <v>2.62</v>
          </cell>
          <cell r="T4812">
            <v>121.17700000000001</v>
          </cell>
        </row>
        <row r="4813">
          <cell r="G4813">
            <v>42552</v>
          </cell>
          <cell r="L4813" t="str">
            <v>01-01-003-16W2</v>
          </cell>
          <cell r="O4813">
            <v>855.7</v>
          </cell>
          <cell r="Q4813">
            <v>1.19</v>
          </cell>
          <cell r="T4813">
            <v>120.718</v>
          </cell>
        </row>
        <row r="4814">
          <cell r="G4814">
            <v>42552</v>
          </cell>
          <cell r="L4814" t="str">
            <v>01-06-004-11W2</v>
          </cell>
          <cell r="O4814">
            <v>880.7</v>
          </cell>
          <cell r="Q4814">
            <v>1.95</v>
          </cell>
          <cell r="T4814">
            <v>107.057</v>
          </cell>
        </row>
        <row r="4815">
          <cell r="G4815">
            <v>42552</v>
          </cell>
          <cell r="L4815" t="str">
            <v>07-02-007-12W2</v>
          </cell>
          <cell r="O4815">
            <v>857.6</v>
          </cell>
          <cell r="Q4815">
            <v>1.83</v>
          </cell>
          <cell r="T4815">
            <v>101.008</v>
          </cell>
        </row>
        <row r="4816">
          <cell r="G4816">
            <v>42552</v>
          </cell>
          <cell r="L4816" t="str">
            <v>04-35-004-09W2</v>
          </cell>
          <cell r="O4816">
            <v>890.5</v>
          </cell>
          <cell r="Q4816">
            <v>1.92</v>
          </cell>
          <cell r="T4816">
            <v>100.372</v>
          </cell>
        </row>
        <row r="4817">
          <cell r="G4817">
            <v>42552</v>
          </cell>
          <cell r="L4817" t="str">
            <v>01-23-005-12W2</v>
          </cell>
          <cell r="O4817">
            <v>881.2</v>
          </cell>
          <cell r="Q4817">
            <v>2.06</v>
          </cell>
          <cell r="T4817">
            <v>99.031000000000006</v>
          </cell>
        </row>
        <row r="4818">
          <cell r="G4818">
            <v>42552</v>
          </cell>
          <cell r="L4818" t="str">
            <v>09-12-007-09W2</v>
          </cell>
          <cell r="O4818">
            <v>817.2</v>
          </cell>
          <cell r="Q4818">
            <v>0.15</v>
          </cell>
          <cell r="T4818">
            <v>97.42</v>
          </cell>
        </row>
        <row r="4819">
          <cell r="G4819">
            <v>42552</v>
          </cell>
          <cell r="L4819" t="str">
            <v>09-32-006-15W2</v>
          </cell>
          <cell r="O4819">
            <v>889.4</v>
          </cell>
          <cell r="Q4819">
            <v>2.8</v>
          </cell>
          <cell r="T4819">
            <v>83.167000000000002</v>
          </cell>
        </row>
        <row r="4820">
          <cell r="G4820">
            <v>42552</v>
          </cell>
          <cell r="L4820" t="str">
            <v>07-24-006-10W2</v>
          </cell>
          <cell r="O4820">
            <v>884</v>
          </cell>
          <cell r="Q4820">
            <v>2.44</v>
          </cell>
          <cell r="T4820">
            <v>74.063999999999993</v>
          </cell>
        </row>
        <row r="4821">
          <cell r="G4821">
            <v>42552</v>
          </cell>
          <cell r="L4821" t="str">
            <v>12-28-006-07W2</v>
          </cell>
          <cell r="O4821">
            <v>905.9</v>
          </cell>
          <cell r="Q4821">
            <v>2.52</v>
          </cell>
          <cell r="T4821">
            <v>71.058999999999997</v>
          </cell>
        </row>
        <row r="4822">
          <cell r="G4822">
            <v>42552</v>
          </cell>
          <cell r="L4822" t="str">
            <v>04-18-007-09W2</v>
          </cell>
          <cell r="O4822">
            <v>819.1</v>
          </cell>
          <cell r="Q4822">
            <v>0.19</v>
          </cell>
          <cell r="T4822">
            <v>70.197999999999993</v>
          </cell>
        </row>
        <row r="4823">
          <cell r="G4823">
            <v>42552</v>
          </cell>
          <cell r="L4823" t="str">
            <v>08-34-006-12W2</v>
          </cell>
          <cell r="O4823">
            <v>874.5</v>
          </cell>
          <cell r="Q4823">
            <v>1.89</v>
          </cell>
          <cell r="T4823">
            <v>64.569000000000003</v>
          </cell>
        </row>
        <row r="4824">
          <cell r="G4824">
            <v>42552</v>
          </cell>
          <cell r="L4824" t="str">
            <v>01-33-164-97W1</v>
          </cell>
          <cell r="O4824">
            <v>879.2</v>
          </cell>
          <cell r="Q4824">
            <v>1.76</v>
          </cell>
          <cell r="T4824">
            <v>59.286000000000001</v>
          </cell>
        </row>
        <row r="4825">
          <cell r="G4825">
            <v>42552</v>
          </cell>
          <cell r="L4825" t="str">
            <v>01-13-007-10W2</v>
          </cell>
          <cell r="O4825">
            <v>816.9</v>
          </cell>
          <cell r="Q4825">
            <v>0.37</v>
          </cell>
          <cell r="T4825">
            <v>57.326999999999998</v>
          </cell>
        </row>
        <row r="4826">
          <cell r="G4826">
            <v>42552</v>
          </cell>
          <cell r="L4826" t="str">
            <v>01-27-164-97W1</v>
          </cell>
          <cell r="O4826">
            <v>882.2</v>
          </cell>
          <cell r="Q4826">
            <v>0.75</v>
          </cell>
          <cell r="T4826">
            <v>54.578000000000003</v>
          </cell>
        </row>
        <row r="4827">
          <cell r="G4827">
            <v>42552</v>
          </cell>
          <cell r="L4827" t="str">
            <v>02-22-009-09W2</v>
          </cell>
          <cell r="O4827">
            <v>885.6</v>
          </cell>
          <cell r="Q4827">
            <v>2.42</v>
          </cell>
          <cell r="T4827">
            <v>38.052999999999997</v>
          </cell>
        </row>
        <row r="4828">
          <cell r="G4828">
            <v>42552</v>
          </cell>
          <cell r="L4828" t="str">
            <v>01-27-004-07W2</v>
          </cell>
          <cell r="O4828">
            <v>885.1</v>
          </cell>
          <cell r="Q4828">
            <v>2.0299999999999998</v>
          </cell>
          <cell r="T4828">
            <v>36.030999999999999</v>
          </cell>
        </row>
        <row r="4829">
          <cell r="G4829">
            <v>42552</v>
          </cell>
          <cell r="L4829" t="str">
            <v>03-15-005-13W2</v>
          </cell>
          <cell r="O4829">
            <v>900.5</v>
          </cell>
          <cell r="Q4829">
            <v>2.85</v>
          </cell>
          <cell r="T4829">
            <v>34.146000000000001</v>
          </cell>
        </row>
        <row r="4830">
          <cell r="G4830">
            <v>42552</v>
          </cell>
          <cell r="L4830" t="str">
            <v>14-34-006-11W2</v>
          </cell>
          <cell r="O4830">
            <v>873.4</v>
          </cell>
          <cell r="Q4830">
            <v>0.19</v>
          </cell>
          <cell r="T4830">
            <v>33.68</v>
          </cell>
        </row>
        <row r="4831">
          <cell r="G4831">
            <v>42552</v>
          </cell>
          <cell r="L4831" t="str">
            <v>06-13-007-10W2</v>
          </cell>
          <cell r="O4831">
            <v>826.6</v>
          </cell>
          <cell r="Q4831">
            <v>0.17</v>
          </cell>
          <cell r="T4831">
            <v>33.622999999999998</v>
          </cell>
        </row>
        <row r="4832">
          <cell r="G4832">
            <v>42552</v>
          </cell>
          <cell r="L4832" t="str">
            <v>08-03-006-07W2</v>
          </cell>
          <cell r="O4832">
            <v>878.2</v>
          </cell>
          <cell r="Q4832">
            <v>1.92</v>
          </cell>
          <cell r="T4832">
            <v>31.762</v>
          </cell>
        </row>
        <row r="4833">
          <cell r="G4833">
            <v>42552</v>
          </cell>
          <cell r="L4833" t="str">
            <v>03-07-007-11W2</v>
          </cell>
          <cell r="O4833">
            <v>810.9</v>
          </cell>
          <cell r="Q4833">
            <v>0.16</v>
          </cell>
          <cell r="T4833">
            <v>31.131</v>
          </cell>
        </row>
        <row r="4834">
          <cell r="G4834">
            <v>42552</v>
          </cell>
          <cell r="L4834" t="str">
            <v>15-11-008-12W2</v>
          </cell>
          <cell r="O4834">
            <v>900.8</v>
          </cell>
          <cell r="Q4834">
            <v>2.62</v>
          </cell>
          <cell r="T4834">
            <v>30.977</v>
          </cell>
        </row>
        <row r="4835">
          <cell r="G4835">
            <v>42552</v>
          </cell>
          <cell r="L4835" t="str">
            <v>04-25-164-97W1</v>
          </cell>
          <cell r="O4835">
            <v>886.7</v>
          </cell>
          <cell r="Q4835">
            <v>1.54</v>
          </cell>
          <cell r="T4835">
            <v>30.512</v>
          </cell>
        </row>
        <row r="4836">
          <cell r="G4836">
            <v>42552</v>
          </cell>
          <cell r="L4836" t="str">
            <v>01-34-164-97W1</v>
          </cell>
          <cell r="O4836">
            <v>878.7</v>
          </cell>
          <cell r="Q4836">
            <v>2.54</v>
          </cell>
          <cell r="T4836">
            <v>29.94</v>
          </cell>
        </row>
        <row r="4837">
          <cell r="G4837">
            <v>42552</v>
          </cell>
          <cell r="L4837" t="str">
            <v>05-26-164-97W1</v>
          </cell>
          <cell r="O4837">
            <v>872</v>
          </cell>
          <cell r="Q4837">
            <v>1.59</v>
          </cell>
          <cell r="T4837">
            <v>29.657</v>
          </cell>
        </row>
        <row r="4838">
          <cell r="G4838">
            <v>42552</v>
          </cell>
          <cell r="L4838" t="str">
            <v>01-04-153-01W1</v>
          </cell>
          <cell r="O4838">
            <v>807.4</v>
          </cell>
          <cell r="Q4838">
            <v>0.15</v>
          </cell>
          <cell r="T4838">
            <v>29.256</v>
          </cell>
        </row>
        <row r="4839">
          <cell r="G4839">
            <v>42552</v>
          </cell>
          <cell r="L4839" t="str">
            <v>04-27-032-56W1</v>
          </cell>
          <cell r="O4839">
            <v>802.5</v>
          </cell>
          <cell r="Q4839">
            <v>0.25</v>
          </cell>
          <cell r="T4839">
            <v>28.943000000000001</v>
          </cell>
        </row>
        <row r="4840">
          <cell r="G4840">
            <v>42552</v>
          </cell>
          <cell r="L4840" t="str">
            <v>01-23-155-91W1</v>
          </cell>
          <cell r="O4840">
            <v>878.2</v>
          </cell>
          <cell r="Q4840">
            <v>1.82</v>
          </cell>
          <cell r="T4840">
            <v>24.763000000000002</v>
          </cell>
        </row>
        <row r="4841">
          <cell r="G4841">
            <v>42552</v>
          </cell>
          <cell r="L4841" t="str">
            <v>31-15-159-87W1</v>
          </cell>
          <cell r="O4841">
            <v>887.2</v>
          </cell>
          <cell r="Q4841">
            <v>2.16</v>
          </cell>
          <cell r="T4841">
            <v>23.103000000000002</v>
          </cell>
        </row>
        <row r="4842">
          <cell r="G4842">
            <v>42552</v>
          </cell>
          <cell r="L4842" t="str">
            <v>11-25-005-12W2</v>
          </cell>
          <cell r="O4842">
            <v>875.9</v>
          </cell>
          <cell r="Q4842">
            <v>2.02</v>
          </cell>
          <cell r="T4842">
            <v>2334.5349999999999</v>
          </cell>
        </row>
        <row r="4843">
          <cell r="G4843">
            <v>42552</v>
          </cell>
          <cell r="L4843" t="str">
            <v>16-18-003-15W2</v>
          </cell>
          <cell r="O4843">
            <v>885</v>
          </cell>
          <cell r="Q4843">
            <v>2.4500000000000002</v>
          </cell>
          <cell r="T4843">
            <v>1228.7339999999999</v>
          </cell>
        </row>
        <row r="4844">
          <cell r="G4844">
            <v>42552</v>
          </cell>
          <cell r="L4844" t="str">
            <v>14-21-001-12W2</v>
          </cell>
          <cell r="O4844">
            <v>809.3</v>
          </cell>
          <cell r="Q4844">
            <v>0.22</v>
          </cell>
          <cell r="T4844">
            <v>540.70000000000005</v>
          </cell>
        </row>
        <row r="4845">
          <cell r="G4845">
            <v>42552</v>
          </cell>
          <cell r="L4845" t="str">
            <v>11-31-006-08W2</v>
          </cell>
          <cell r="O4845">
            <v>889.8</v>
          </cell>
          <cell r="Q4845">
            <v>2.5</v>
          </cell>
          <cell r="T4845">
            <v>409.46600000000001</v>
          </cell>
        </row>
        <row r="4846">
          <cell r="G4846">
            <v>42552</v>
          </cell>
          <cell r="L4846" t="str">
            <v>06-20-006-09W2</v>
          </cell>
          <cell r="O4846">
            <v>881.9</v>
          </cell>
          <cell r="Q4846">
            <v>2.19</v>
          </cell>
          <cell r="T4846">
            <v>298.99599999999998</v>
          </cell>
        </row>
        <row r="4847">
          <cell r="G4847">
            <v>42552</v>
          </cell>
          <cell r="L4847" t="str">
            <v>05-23-005-13W2</v>
          </cell>
          <cell r="O4847">
            <v>904.6</v>
          </cell>
          <cell r="Q4847">
            <v>2.75</v>
          </cell>
          <cell r="T4847">
            <v>259.96199999999999</v>
          </cell>
        </row>
        <row r="4848">
          <cell r="G4848">
            <v>42552</v>
          </cell>
          <cell r="L4848" t="str">
            <v>13-24-001-16W2</v>
          </cell>
          <cell r="O4848">
            <v>807.8</v>
          </cell>
          <cell r="Q4848">
            <v>0.39</v>
          </cell>
          <cell r="T4848">
            <v>253.876</v>
          </cell>
        </row>
        <row r="4849">
          <cell r="G4849">
            <v>42552</v>
          </cell>
          <cell r="L4849" t="str">
            <v>16-22-001-12W2</v>
          </cell>
          <cell r="O4849">
            <v>813.7</v>
          </cell>
          <cell r="Q4849">
            <v>0.17</v>
          </cell>
          <cell r="T4849">
            <v>247.15</v>
          </cell>
        </row>
        <row r="4850">
          <cell r="G4850">
            <v>42552</v>
          </cell>
          <cell r="L4850" t="str">
            <v>14-27-001-12W2</v>
          </cell>
          <cell r="O4850">
            <v>818.2</v>
          </cell>
          <cell r="Q4850">
            <v>0.25</v>
          </cell>
          <cell r="T4850">
            <v>207.072</v>
          </cell>
        </row>
        <row r="4851">
          <cell r="G4851">
            <v>42552</v>
          </cell>
          <cell r="L4851" t="str">
            <v>13-34-001-13W2</v>
          </cell>
          <cell r="O4851">
            <v>817.5</v>
          </cell>
          <cell r="Q4851">
            <v>0.2</v>
          </cell>
          <cell r="T4851">
            <v>143.34100000000001</v>
          </cell>
        </row>
        <row r="4852">
          <cell r="G4852">
            <v>42552</v>
          </cell>
          <cell r="L4852" t="str">
            <v>13-22-001-12W2</v>
          </cell>
          <cell r="O4852">
            <v>807.3</v>
          </cell>
          <cell r="Q4852">
            <v>0.23</v>
          </cell>
          <cell r="T4852">
            <v>127.82899999999999</v>
          </cell>
        </row>
        <row r="4853">
          <cell r="G4853">
            <v>42552</v>
          </cell>
          <cell r="L4853" t="str">
            <v>13-29-001-15W2</v>
          </cell>
          <cell r="O4853">
            <v>806.3</v>
          </cell>
          <cell r="Q4853">
            <v>0.45</v>
          </cell>
          <cell r="T4853">
            <v>124.495</v>
          </cell>
        </row>
        <row r="4854">
          <cell r="G4854">
            <v>42552</v>
          </cell>
          <cell r="L4854" t="str">
            <v>15-23-006-08W2</v>
          </cell>
          <cell r="O4854">
            <v>867.8</v>
          </cell>
          <cell r="Q4854">
            <v>1.79</v>
          </cell>
          <cell r="T4854">
            <v>92.161000000000001</v>
          </cell>
        </row>
        <row r="4855">
          <cell r="G4855">
            <v>42552</v>
          </cell>
          <cell r="L4855" t="str">
            <v>07-28-007-08W2</v>
          </cell>
          <cell r="O4855">
            <v>847.8</v>
          </cell>
          <cell r="Q4855">
            <v>1.39</v>
          </cell>
          <cell r="T4855">
            <v>88.596000000000004</v>
          </cell>
        </row>
        <row r="4856">
          <cell r="G4856">
            <v>42552</v>
          </cell>
          <cell r="L4856" t="str">
            <v>16-34-001-15W2</v>
          </cell>
          <cell r="O4856">
            <v>804.6</v>
          </cell>
          <cell r="Q4856">
            <v>0.22</v>
          </cell>
          <cell r="T4856">
            <v>55.963000000000001</v>
          </cell>
        </row>
        <row r="4857">
          <cell r="G4857">
            <v>42552</v>
          </cell>
          <cell r="L4857" t="str">
            <v>15-06-006-21W2</v>
          </cell>
          <cell r="O4857">
            <v>825</v>
          </cell>
          <cell r="Q4857">
            <v>0.19</v>
          </cell>
          <cell r="T4857">
            <v>33.999000000000002</v>
          </cell>
        </row>
        <row r="4858">
          <cell r="G4858">
            <v>42552</v>
          </cell>
          <cell r="L4858" t="str">
            <v>16-25-001-15W2</v>
          </cell>
          <cell r="O4858">
            <v>819.4</v>
          </cell>
          <cell r="Q4858">
            <v>0.32</v>
          </cell>
          <cell r="T4858">
            <v>30.972000000000001</v>
          </cell>
        </row>
        <row r="4859">
          <cell r="G4859">
            <v>42552</v>
          </cell>
          <cell r="L4859" t="str">
            <v>15-29-005-15W2</v>
          </cell>
          <cell r="O4859">
            <v>890.9</v>
          </cell>
          <cell r="Q4859">
            <v>2.64</v>
          </cell>
          <cell r="T4859">
            <v>5290.8609999999999</v>
          </cell>
        </row>
        <row r="4860">
          <cell r="G4860">
            <v>42552</v>
          </cell>
          <cell r="L4860" t="str">
            <v>04-24-005-15W2</v>
          </cell>
          <cell r="O4860">
            <v>889.4</v>
          </cell>
          <cell r="Q4860">
            <v>2.75</v>
          </cell>
          <cell r="T4860">
            <v>1345.6990000000001</v>
          </cell>
        </row>
        <row r="4861">
          <cell r="G4861">
            <v>42552</v>
          </cell>
          <cell r="L4861" t="str">
            <v>09-34-005-15W2</v>
          </cell>
          <cell r="O4861">
            <v>885.4</v>
          </cell>
          <cell r="Q4861">
            <v>2.64</v>
          </cell>
          <cell r="T4861">
            <v>918.59900000000005</v>
          </cell>
        </row>
        <row r="4862">
          <cell r="G4862">
            <v>42552</v>
          </cell>
          <cell r="L4862" t="str">
            <v>06-17-006-14W2</v>
          </cell>
          <cell r="O4862">
            <v>870.9</v>
          </cell>
          <cell r="Q4862">
            <v>1.72</v>
          </cell>
          <cell r="T4862">
            <v>3866.6010000000001</v>
          </cell>
        </row>
        <row r="4863">
          <cell r="G4863">
            <v>42552</v>
          </cell>
          <cell r="L4863" t="str">
            <v>10-11-005-14W2</v>
          </cell>
          <cell r="O4863">
            <v>895</v>
          </cell>
          <cell r="Q4863">
            <v>2.86</v>
          </cell>
          <cell r="T4863">
            <v>425.34399999999999</v>
          </cell>
        </row>
        <row r="4864">
          <cell r="G4864">
            <v>42552</v>
          </cell>
          <cell r="L4864" t="str">
            <v>03-15-005-13W2</v>
          </cell>
          <cell r="O4864">
            <v>896</v>
          </cell>
          <cell r="Q4864">
            <v>2.85</v>
          </cell>
          <cell r="T4864">
            <v>328.61200000000002</v>
          </cell>
        </row>
        <row r="4865">
          <cell r="G4865">
            <v>42552</v>
          </cell>
          <cell r="L4865" t="str">
            <v>12-13-006-13W2</v>
          </cell>
          <cell r="O4865">
            <v>875</v>
          </cell>
          <cell r="Q4865">
            <v>2.5299999999999998</v>
          </cell>
          <cell r="T4865">
            <v>317.702</v>
          </cell>
        </row>
        <row r="4866">
          <cell r="G4866">
            <v>42552</v>
          </cell>
          <cell r="L4866" t="str">
            <v>15-19-005-13W2</v>
          </cell>
          <cell r="O4866">
            <v>896</v>
          </cell>
          <cell r="Q4866">
            <v>2.72</v>
          </cell>
          <cell r="T4866">
            <v>266.97199999999998</v>
          </cell>
        </row>
        <row r="4867">
          <cell r="G4867">
            <v>42552</v>
          </cell>
          <cell r="L4867" t="str">
            <v>08-23-005-14W2</v>
          </cell>
          <cell r="O4867">
            <v>870.4</v>
          </cell>
          <cell r="Q4867">
            <v>2.39</v>
          </cell>
          <cell r="T4867">
            <v>109.119</v>
          </cell>
        </row>
        <row r="4868">
          <cell r="G4868">
            <v>42552</v>
          </cell>
          <cell r="L4868" t="str">
            <v>11-12-006-15W2</v>
          </cell>
          <cell r="O4868">
            <v>872</v>
          </cell>
          <cell r="Q4868">
            <v>2.2999999999999998</v>
          </cell>
          <cell r="T4868">
            <v>7563.8</v>
          </cell>
        </row>
        <row r="4869">
          <cell r="G4869">
            <v>42552</v>
          </cell>
          <cell r="L4869" t="str">
            <v>07-24-006-15W2</v>
          </cell>
          <cell r="O4869">
            <v>859.3</v>
          </cell>
          <cell r="Q4869">
            <v>2.27</v>
          </cell>
          <cell r="T4869">
            <v>1031.7449999999999</v>
          </cell>
        </row>
        <row r="4870">
          <cell r="G4870">
            <v>42552</v>
          </cell>
          <cell r="L4870" t="str">
            <v>07-07-006-15W2</v>
          </cell>
          <cell r="O4870">
            <v>869.2</v>
          </cell>
          <cell r="Q4870">
            <v>2.59</v>
          </cell>
          <cell r="T4870">
            <v>5700.3140000000003</v>
          </cell>
        </row>
        <row r="4871">
          <cell r="G4871">
            <v>42552</v>
          </cell>
          <cell r="L4871" t="str">
            <v>12-30-006-15W2</v>
          </cell>
          <cell r="O4871">
            <v>895.7</v>
          </cell>
          <cell r="Q4871">
            <v>2.8</v>
          </cell>
          <cell r="T4871">
            <v>4480.1710000000003</v>
          </cell>
        </row>
        <row r="4872">
          <cell r="G4872">
            <v>42552</v>
          </cell>
          <cell r="L4872" t="str">
            <v>12-11-001-10W2</v>
          </cell>
          <cell r="O4872">
            <v>818.6</v>
          </cell>
          <cell r="Q4872">
            <v>0.17</v>
          </cell>
          <cell r="T4872">
            <v>3500.665</v>
          </cell>
        </row>
        <row r="4873">
          <cell r="G4873">
            <v>42552</v>
          </cell>
          <cell r="L4873" t="str">
            <v>31-30-164-92W1</v>
          </cell>
          <cell r="O4873">
            <v>831.1</v>
          </cell>
          <cell r="Q4873">
            <v>0.52</v>
          </cell>
          <cell r="T4873">
            <v>2201.85</v>
          </cell>
        </row>
        <row r="4874">
          <cell r="G4874">
            <v>42552</v>
          </cell>
          <cell r="L4874" t="str">
            <v>12-32-006-04W2</v>
          </cell>
          <cell r="O4874">
            <v>858.2</v>
          </cell>
          <cell r="Q4874">
            <v>1.82</v>
          </cell>
          <cell r="T4874">
            <v>1846.0550000000001</v>
          </cell>
        </row>
        <row r="4875">
          <cell r="G4875">
            <v>42552</v>
          </cell>
          <cell r="L4875" t="str">
            <v>11-12-007-04W2</v>
          </cell>
          <cell r="O4875">
            <v>854.3</v>
          </cell>
          <cell r="Q4875">
            <v>1.45</v>
          </cell>
          <cell r="T4875">
            <v>1476.07</v>
          </cell>
        </row>
        <row r="4876">
          <cell r="G4876">
            <v>42552</v>
          </cell>
          <cell r="L4876" t="str">
            <v>02-31-145-98W1</v>
          </cell>
          <cell r="O4876">
            <v>813.8</v>
          </cell>
          <cell r="Q4876">
            <v>0.41</v>
          </cell>
          <cell r="T4876">
            <v>1223.414</v>
          </cell>
        </row>
        <row r="4877">
          <cell r="G4877">
            <v>42552</v>
          </cell>
          <cell r="L4877" t="str">
            <v>16-19-002-04W2</v>
          </cell>
          <cell r="O4877">
            <v>829.7</v>
          </cell>
          <cell r="Q4877">
            <v>0.53</v>
          </cell>
          <cell r="T4877">
            <v>1169.9659999999999</v>
          </cell>
        </row>
        <row r="4878">
          <cell r="G4878">
            <v>42552</v>
          </cell>
          <cell r="L4878" t="str">
            <v>02-05-163-92W1</v>
          </cell>
          <cell r="O4878">
            <v>833.1</v>
          </cell>
          <cell r="Q4878">
            <v>0.54</v>
          </cell>
          <cell r="T4878">
            <v>782.64400000000001</v>
          </cell>
        </row>
        <row r="4879">
          <cell r="G4879">
            <v>42552</v>
          </cell>
          <cell r="L4879" t="str">
            <v>03-10-145-98W1</v>
          </cell>
          <cell r="O4879">
            <v>816.1</v>
          </cell>
          <cell r="Q4879">
            <v>0.41</v>
          </cell>
          <cell r="T4879">
            <v>747.952</v>
          </cell>
        </row>
        <row r="4880">
          <cell r="G4880">
            <v>42552</v>
          </cell>
          <cell r="L4880" t="str">
            <v>01-19-145-98W1</v>
          </cell>
          <cell r="O4880">
            <v>814.9</v>
          </cell>
          <cell r="Q4880">
            <v>0.38</v>
          </cell>
          <cell r="T4880">
            <v>561.07799999999997</v>
          </cell>
        </row>
        <row r="4881">
          <cell r="G4881">
            <v>42552</v>
          </cell>
          <cell r="L4881" t="str">
            <v>02-34-143-100W1</v>
          </cell>
          <cell r="O4881">
            <v>837.8</v>
          </cell>
          <cell r="Q4881">
            <v>0.38</v>
          </cell>
          <cell r="T4881">
            <v>525.875</v>
          </cell>
        </row>
        <row r="4882">
          <cell r="G4882">
            <v>42552</v>
          </cell>
          <cell r="L4882" t="str">
            <v>04-06-005-05W2</v>
          </cell>
          <cell r="O4882">
            <v>847.2</v>
          </cell>
          <cell r="Q4882">
            <v>0.79</v>
          </cell>
          <cell r="T4882">
            <v>522.85299999999995</v>
          </cell>
        </row>
        <row r="4883">
          <cell r="G4883">
            <v>42552</v>
          </cell>
          <cell r="L4883" t="str">
            <v>01-13-152-95W1</v>
          </cell>
          <cell r="O4883">
            <v>841.1</v>
          </cell>
          <cell r="Q4883">
            <v>0.06</v>
          </cell>
          <cell r="T4883">
            <v>381.12900000000002</v>
          </cell>
        </row>
        <row r="4884">
          <cell r="G4884">
            <v>42552</v>
          </cell>
          <cell r="L4884" t="str">
            <v>09-20-006-04W2</v>
          </cell>
          <cell r="O4884">
            <v>852.6</v>
          </cell>
          <cell r="Q4884">
            <v>1.36</v>
          </cell>
          <cell r="T4884">
            <v>375.28399999999999</v>
          </cell>
        </row>
        <row r="4885">
          <cell r="G4885">
            <v>42552</v>
          </cell>
          <cell r="L4885" t="str">
            <v>01-25-150-98W1</v>
          </cell>
          <cell r="O4885">
            <v>805.1</v>
          </cell>
          <cell r="Q4885">
            <v>0.12</v>
          </cell>
          <cell r="T4885">
            <v>354.99900000000002</v>
          </cell>
        </row>
        <row r="4886">
          <cell r="G4886">
            <v>42552</v>
          </cell>
          <cell r="L4886" t="str">
            <v>01-03-163-92W1</v>
          </cell>
          <cell r="O4886">
            <v>811</v>
          </cell>
          <cell r="Q4886">
            <v>0.46</v>
          </cell>
          <cell r="T4886">
            <v>290.60199999999998</v>
          </cell>
        </row>
        <row r="4887">
          <cell r="G4887">
            <v>42552</v>
          </cell>
          <cell r="L4887" t="str">
            <v>13-19-001-03W2</v>
          </cell>
          <cell r="O4887">
            <v>835.6</v>
          </cell>
          <cell r="Q4887">
            <v>0.62</v>
          </cell>
          <cell r="T4887">
            <v>260.88799999999998</v>
          </cell>
        </row>
        <row r="4888">
          <cell r="G4888">
            <v>42552</v>
          </cell>
          <cell r="L4888" t="str">
            <v>05-25-147-98W1</v>
          </cell>
          <cell r="O4888">
            <v>815.5</v>
          </cell>
          <cell r="Q4888">
            <v>0.56000000000000005</v>
          </cell>
          <cell r="T4888">
            <v>257.07299999999998</v>
          </cell>
        </row>
        <row r="4889">
          <cell r="G4889">
            <v>42552</v>
          </cell>
          <cell r="L4889" t="str">
            <v>09-19-004-04W2</v>
          </cell>
          <cell r="O4889">
            <v>850.1</v>
          </cell>
          <cell r="Q4889">
            <v>1.19</v>
          </cell>
          <cell r="T4889">
            <v>256.34800000000001</v>
          </cell>
        </row>
        <row r="4890">
          <cell r="G4890">
            <v>42552</v>
          </cell>
          <cell r="L4890" t="str">
            <v>01-05-163-92W1</v>
          </cell>
          <cell r="O4890">
            <v>842.1</v>
          </cell>
          <cell r="Q4890">
            <v>0.53</v>
          </cell>
          <cell r="T4890">
            <v>252.398</v>
          </cell>
        </row>
        <row r="4891">
          <cell r="G4891">
            <v>42552</v>
          </cell>
          <cell r="L4891" t="str">
            <v>01-02-021-58W1</v>
          </cell>
          <cell r="O4891">
            <v>830.2</v>
          </cell>
          <cell r="Q4891">
            <v>0.7</v>
          </cell>
          <cell r="T4891">
            <v>250.566</v>
          </cell>
        </row>
        <row r="4892">
          <cell r="G4892">
            <v>42552</v>
          </cell>
          <cell r="L4892" t="str">
            <v>01-28-142-100W1</v>
          </cell>
          <cell r="O4892">
            <v>824.5</v>
          </cell>
          <cell r="Q4892">
            <v>0.4</v>
          </cell>
          <cell r="T4892">
            <v>248.52500000000001</v>
          </cell>
        </row>
        <row r="4893">
          <cell r="G4893">
            <v>42552</v>
          </cell>
          <cell r="L4893" t="str">
            <v>02-30-147-97W1</v>
          </cell>
          <cell r="O4893">
            <v>809.4</v>
          </cell>
          <cell r="Q4893">
            <v>0.46</v>
          </cell>
          <cell r="T4893">
            <v>219.488</v>
          </cell>
        </row>
        <row r="4894">
          <cell r="G4894">
            <v>42552</v>
          </cell>
          <cell r="L4894" t="str">
            <v>01-22-142-100W1</v>
          </cell>
          <cell r="O4894">
            <v>820.8</v>
          </cell>
          <cell r="Q4894">
            <v>0.31</v>
          </cell>
          <cell r="T4894">
            <v>184.97200000000001</v>
          </cell>
        </row>
        <row r="4895">
          <cell r="G4895">
            <v>42552</v>
          </cell>
          <cell r="L4895" t="str">
            <v>24-06-158-95W1</v>
          </cell>
          <cell r="O4895">
            <v>810.1</v>
          </cell>
          <cell r="Q4895">
            <v>0.14000000000000001</v>
          </cell>
          <cell r="T4895">
            <v>172.512</v>
          </cell>
        </row>
        <row r="4896">
          <cell r="G4896">
            <v>42552</v>
          </cell>
          <cell r="L4896" t="str">
            <v>01-25-156-93W1</v>
          </cell>
          <cell r="O4896">
            <v>809.5</v>
          </cell>
          <cell r="Q4896">
            <v>0.12</v>
          </cell>
          <cell r="T4896">
            <v>160.58699999999999</v>
          </cell>
        </row>
        <row r="4897">
          <cell r="G4897">
            <v>42552</v>
          </cell>
          <cell r="L4897" t="str">
            <v>01-21-153-95W1</v>
          </cell>
          <cell r="O4897">
            <v>820.6</v>
          </cell>
          <cell r="Q4897">
            <v>0.36</v>
          </cell>
          <cell r="T4897">
            <v>158.209</v>
          </cell>
        </row>
        <row r="4898">
          <cell r="G4898">
            <v>42552</v>
          </cell>
          <cell r="L4898" t="str">
            <v>01-31-164-98W1</v>
          </cell>
          <cell r="O4898">
            <v>819.5</v>
          </cell>
          <cell r="Q4898">
            <v>0.15</v>
          </cell>
          <cell r="T4898">
            <v>157.74600000000001</v>
          </cell>
        </row>
        <row r="4899">
          <cell r="G4899">
            <v>42552</v>
          </cell>
          <cell r="L4899" t="str">
            <v>33-14-160-95W1</v>
          </cell>
          <cell r="O4899">
            <v>800.1</v>
          </cell>
          <cell r="Q4899">
            <v>0.17</v>
          </cell>
          <cell r="T4899">
            <v>155.97800000000001</v>
          </cell>
        </row>
        <row r="4900">
          <cell r="G4900">
            <v>42552</v>
          </cell>
          <cell r="L4900" t="str">
            <v>01-17-143-101W1</v>
          </cell>
          <cell r="O4900">
            <v>831.9</v>
          </cell>
          <cell r="Q4900">
            <v>0.51</v>
          </cell>
          <cell r="T4900">
            <v>152.68899999999999</v>
          </cell>
        </row>
        <row r="4901">
          <cell r="G4901">
            <v>42552</v>
          </cell>
          <cell r="L4901" t="str">
            <v>35-26-164-97W1</v>
          </cell>
          <cell r="O4901">
            <v>836.6</v>
          </cell>
          <cell r="Q4901">
            <v>0.14000000000000001</v>
          </cell>
          <cell r="T4901">
            <v>145.58600000000001</v>
          </cell>
        </row>
        <row r="4902">
          <cell r="G4902">
            <v>42552</v>
          </cell>
          <cell r="L4902" t="str">
            <v>07-22-003-03W2</v>
          </cell>
          <cell r="O4902">
            <v>827.2</v>
          </cell>
          <cell r="Q4902">
            <v>0.59</v>
          </cell>
          <cell r="T4902">
            <v>144.58199999999999</v>
          </cell>
        </row>
        <row r="4903">
          <cell r="G4903">
            <v>42552</v>
          </cell>
          <cell r="L4903" t="str">
            <v>14-18-163-95W1</v>
          </cell>
          <cell r="O4903">
            <v>851</v>
          </cell>
          <cell r="Q4903">
            <v>1.1399999999999999</v>
          </cell>
          <cell r="T4903">
            <v>143.322</v>
          </cell>
        </row>
        <row r="4904">
          <cell r="G4904">
            <v>42552</v>
          </cell>
          <cell r="L4904" t="str">
            <v>07-04-005-04W2</v>
          </cell>
          <cell r="O4904">
            <v>841.8</v>
          </cell>
          <cell r="Q4904">
            <v>0.89</v>
          </cell>
          <cell r="T4904">
            <v>133.68899999999999</v>
          </cell>
        </row>
        <row r="4905">
          <cell r="G4905">
            <v>42552</v>
          </cell>
          <cell r="L4905" t="str">
            <v>11-25-005-06W2</v>
          </cell>
          <cell r="O4905">
            <v>851.2</v>
          </cell>
          <cell r="Q4905">
            <v>1.0900000000000001</v>
          </cell>
          <cell r="T4905">
            <v>130.821</v>
          </cell>
        </row>
        <row r="4906">
          <cell r="G4906">
            <v>42552</v>
          </cell>
          <cell r="L4906" t="str">
            <v>04-25-144-98W1</v>
          </cell>
          <cell r="O4906">
            <v>818.9</v>
          </cell>
          <cell r="Q4906">
            <v>0.5</v>
          </cell>
          <cell r="T4906">
            <v>129.387</v>
          </cell>
        </row>
        <row r="4907">
          <cell r="G4907">
            <v>42552</v>
          </cell>
          <cell r="L4907" t="str">
            <v>01-28-141-100W1</v>
          </cell>
          <cell r="O4907">
            <v>826.7</v>
          </cell>
          <cell r="Q4907">
            <v>0.37</v>
          </cell>
          <cell r="T4907">
            <v>128.28</v>
          </cell>
        </row>
        <row r="4908">
          <cell r="G4908">
            <v>42552</v>
          </cell>
          <cell r="L4908" t="str">
            <v>01-03-163-99W1</v>
          </cell>
          <cell r="O4908">
            <v>832.2</v>
          </cell>
          <cell r="Q4908">
            <v>0.16</v>
          </cell>
          <cell r="T4908">
            <v>126.11</v>
          </cell>
        </row>
        <row r="4909">
          <cell r="G4909">
            <v>42552</v>
          </cell>
          <cell r="L4909" t="str">
            <v>01-28-152-101W1</v>
          </cell>
          <cell r="O4909">
            <v>830.5</v>
          </cell>
          <cell r="Q4909">
            <v>0.45</v>
          </cell>
          <cell r="T4909">
            <v>124.855</v>
          </cell>
        </row>
        <row r="4910">
          <cell r="G4910">
            <v>42552</v>
          </cell>
          <cell r="L4910" t="str">
            <v>10-01-157-95W1</v>
          </cell>
          <cell r="O4910">
            <v>828.2</v>
          </cell>
          <cell r="Q4910">
            <v>0.54</v>
          </cell>
          <cell r="T4910">
            <v>122.011</v>
          </cell>
        </row>
        <row r="4911">
          <cell r="G4911">
            <v>42552</v>
          </cell>
          <cell r="L4911" t="str">
            <v>14-23-163-96W1</v>
          </cell>
          <cell r="O4911">
            <v>823.1</v>
          </cell>
          <cell r="Q4911">
            <v>0.15</v>
          </cell>
          <cell r="T4911">
            <v>114.53400000000001</v>
          </cell>
        </row>
        <row r="4912">
          <cell r="G4912">
            <v>42552</v>
          </cell>
          <cell r="L4912" t="str">
            <v>06-06-162-96W1</v>
          </cell>
          <cell r="O4912">
            <v>834.7</v>
          </cell>
          <cell r="Q4912">
            <v>0.15</v>
          </cell>
          <cell r="T4912">
            <v>99.924999999999997</v>
          </cell>
        </row>
        <row r="4913">
          <cell r="G4913">
            <v>42552</v>
          </cell>
          <cell r="L4913" t="str">
            <v>12-03-146-100W1</v>
          </cell>
          <cell r="O4913">
            <v>834.7</v>
          </cell>
          <cell r="Q4913">
            <v>0.47</v>
          </cell>
          <cell r="T4913">
            <v>99.191999999999993</v>
          </cell>
        </row>
        <row r="4914">
          <cell r="G4914">
            <v>42552</v>
          </cell>
          <cell r="L4914" t="str">
            <v>01-33-141-100W1</v>
          </cell>
          <cell r="O4914">
            <v>819.6</v>
          </cell>
          <cell r="Q4914">
            <v>0.39</v>
          </cell>
          <cell r="T4914">
            <v>98.781000000000006</v>
          </cell>
        </row>
        <row r="4915">
          <cell r="G4915">
            <v>42552</v>
          </cell>
          <cell r="L4915" t="str">
            <v>03-25-147-98W1</v>
          </cell>
          <cell r="O4915">
            <v>811.2</v>
          </cell>
          <cell r="Q4915">
            <v>0.45</v>
          </cell>
          <cell r="T4915">
            <v>94.126999999999995</v>
          </cell>
        </row>
        <row r="4916">
          <cell r="G4916">
            <v>42552</v>
          </cell>
          <cell r="L4916" t="str">
            <v>01-26-152-96W1</v>
          </cell>
          <cell r="O4916">
            <v>818.2</v>
          </cell>
          <cell r="Q4916">
            <v>0.65</v>
          </cell>
          <cell r="T4916">
            <v>92.823999999999998</v>
          </cell>
        </row>
        <row r="4917">
          <cell r="G4917">
            <v>42552</v>
          </cell>
          <cell r="L4917" t="str">
            <v>01-30-147-97W1</v>
          </cell>
          <cell r="O4917">
            <v>817.6</v>
          </cell>
          <cell r="Q4917">
            <v>0.55000000000000004</v>
          </cell>
          <cell r="T4917">
            <v>92.087000000000003</v>
          </cell>
        </row>
        <row r="4918">
          <cell r="G4918">
            <v>42552</v>
          </cell>
          <cell r="L4918" t="str">
            <v>34-31-143-102W1</v>
          </cell>
          <cell r="O4918">
            <v>849.5</v>
          </cell>
          <cell r="Q4918">
            <v>0.08</v>
          </cell>
          <cell r="T4918">
            <v>90.688999999999993</v>
          </cell>
        </row>
        <row r="4919">
          <cell r="G4919">
            <v>42552</v>
          </cell>
          <cell r="L4919" t="str">
            <v>01-02-151-102W1</v>
          </cell>
          <cell r="O4919">
            <v>830.4</v>
          </cell>
          <cell r="Q4919">
            <v>0.33</v>
          </cell>
          <cell r="T4919">
            <v>89.870999999999995</v>
          </cell>
        </row>
        <row r="4920">
          <cell r="G4920">
            <v>42552</v>
          </cell>
          <cell r="L4920" t="str">
            <v>02-09-142-100W1</v>
          </cell>
          <cell r="O4920">
            <v>828.6</v>
          </cell>
          <cell r="Q4920">
            <v>0.45</v>
          </cell>
          <cell r="T4920">
            <v>89.376999999999995</v>
          </cell>
        </row>
        <row r="4921">
          <cell r="G4921">
            <v>42552</v>
          </cell>
          <cell r="L4921" t="str">
            <v>04-19-147-97W1</v>
          </cell>
          <cell r="O4921">
            <v>820.6</v>
          </cell>
          <cell r="Q4921">
            <v>0.61</v>
          </cell>
          <cell r="T4921">
            <v>88.626000000000005</v>
          </cell>
        </row>
        <row r="4922">
          <cell r="G4922">
            <v>42552</v>
          </cell>
          <cell r="L4922" t="str">
            <v>01-03-155-91W1</v>
          </cell>
          <cell r="O4922">
            <v>862.6</v>
          </cell>
          <cell r="Q4922">
            <v>1.27</v>
          </cell>
          <cell r="T4922">
            <v>87.731999999999999</v>
          </cell>
        </row>
        <row r="4923">
          <cell r="G4923">
            <v>42552</v>
          </cell>
          <cell r="L4923" t="str">
            <v>01-08-162-95W1</v>
          </cell>
          <cell r="O4923">
            <v>851.7</v>
          </cell>
          <cell r="Q4923">
            <v>0.8</v>
          </cell>
          <cell r="T4923">
            <v>79.366</v>
          </cell>
        </row>
        <row r="4924">
          <cell r="G4924">
            <v>42552</v>
          </cell>
          <cell r="L4924" t="str">
            <v>08-22-002-09W2</v>
          </cell>
          <cell r="O4924">
            <v>841.2</v>
          </cell>
          <cell r="Q4924">
            <v>0.23</v>
          </cell>
          <cell r="T4924">
            <v>75.983000000000004</v>
          </cell>
        </row>
        <row r="4925">
          <cell r="G4925">
            <v>42552</v>
          </cell>
          <cell r="L4925" t="str">
            <v>08-31-007-07W2</v>
          </cell>
          <cell r="O4925">
            <v>867.3</v>
          </cell>
          <cell r="Q4925">
            <v>1.94</v>
          </cell>
          <cell r="T4925">
            <v>75.664000000000001</v>
          </cell>
        </row>
        <row r="4926">
          <cell r="G4926">
            <v>42552</v>
          </cell>
          <cell r="L4926" t="str">
            <v>09-30-006-05W2</v>
          </cell>
          <cell r="O4926">
            <v>807.4</v>
          </cell>
          <cell r="Q4926">
            <v>0.23</v>
          </cell>
          <cell r="T4926">
            <v>72.819000000000003</v>
          </cell>
        </row>
        <row r="4927">
          <cell r="G4927">
            <v>42552</v>
          </cell>
          <cell r="L4927" t="str">
            <v>34-01-157-95W1</v>
          </cell>
          <cell r="O4927">
            <v>830.5</v>
          </cell>
          <cell r="Q4927">
            <v>0.46</v>
          </cell>
          <cell r="T4927">
            <v>69.200999999999993</v>
          </cell>
        </row>
        <row r="4928">
          <cell r="G4928">
            <v>42552</v>
          </cell>
          <cell r="L4928" t="str">
            <v>01-08-153-95W1</v>
          </cell>
          <cell r="O4928">
            <v>812.8</v>
          </cell>
          <cell r="Q4928">
            <v>0.28999999999999998</v>
          </cell>
          <cell r="T4928">
            <v>66.703000000000003</v>
          </cell>
        </row>
        <row r="4929">
          <cell r="G4929">
            <v>42552</v>
          </cell>
          <cell r="L4929" t="str">
            <v>15-04-143-101W1</v>
          </cell>
          <cell r="O4929">
            <v>835.1</v>
          </cell>
          <cell r="Q4929">
            <v>0.52</v>
          </cell>
          <cell r="T4929">
            <v>65.231999999999999</v>
          </cell>
        </row>
        <row r="4930">
          <cell r="G4930">
            <v>42552</v>
          </cell>
          <cell r="L4930" t="str">
            <v>01-09-143-101W1</v>
          </cell>
          <cell r="O4930">
            <v>834.1</v>
          </cell>
          <cell r="Q4930">
            <v>0.53</v>
          </cell>
          <cell r="T4930">
            <v>64.534999999999997</v>
          </cell>
        </row>
        <row r="4931">
          <cell r="G4931">
            <v>42552</v>
          </cell>
          <cell r="L4931" t="str">
            <v>01-06-159-94W1</v>
          </cell>
          <cell r="O4931">
            <v>836.7</v>
          </cell>
          <cell r="Q4931">
            <v>0.47</v>
          </cell>
          <cell r="T4931">
            <v>64.488</v>
          </cell>
        </row>
        <row r="4932">
          <cell r="G4932">
            <v>42552</v>
          </cell>
          <cell r="L4932" t="str">
            <v>07-29-009-04W2</v>
          </cell>
          <cell r="O4932">
            <v>839.9</v>
          </cell>
          <cell r="Q4932">
            <v>1.1399999999999999</v>
          </cell>
          <cell r="T4932">
            <v>64.326999999999998</v>
          </cell>
        </row>
        <row r="4933">
          <cell r="G4933">
            <v>42552</v>
          </cell>
          <cell r="L4933" t="str">
            <v>03-01-158-95W1</v>
          </cell>
          <cell r="O4933">
            <v>827.6</v>
          </cell>
          <cell r="Q4933">
            <v>0.61</v>
          </cell>
          <cell r="T4933">
            <v>63.274999999999999</v>
          </cell>
        </row>
        <row r="4934">
          <cell r="G4934">
            <v>42552</v>
          </cell>
          <cell r="L4934" t="str">
            <v>01-10-152-96W1</v>
          </cell>
          <cell r="O4934">
            <v>822.8</v>
          </cell>
          <cell r="Q4934">
            <v>0.33</v>
          </cell>
          <cell r="T4934">
            <v>62.91</v>
          </cell>
        </row>
        <row r="4935">
          <cell r="G4935">
            <v>42552</v>
          </cell>
          <cell r="L4935" t="str">
            <v>01-18-145-97W1</v>
          </cell>
          <cell r="O4935">
            <v>819.2</v>
          </cell>
          <cell r="Q4935">
            <v>0.45</v>
          </cell>
          <cell r="T4935">
            <v>62.713999999999999</v>
          </cell>
        </row>
        <row r="4936">
          <cell r="G4936">
            <v>42552</v>
          </cell>
          <cell r="L4936" t="str">
            <v>01-20-147-97W1</v>
          </cell>
          <cell r="O4936">
            <v>826.4</v>
          </cell>
          <cell r="Q4936">
            <v>0.7</v>
          </cell>
          <cell r="T4936">
            <v>62.646000000000001</v>
          </cell>
        </row>
        <row r="4937">
          <cell r="G4937">
            <v>42552</v>
          </cell>
          <cell r="L4937" t="str">
            <v>25-11-159-102W1</v>
          </cell>
          <cell r="O4937">
            <v>829.3</v>
          </cell>
          <cell r="Q4937">
            <v>0.43</v>
          </cell>
          <cell r="T4937">
            <v>62.158999999999999</v>
          </cell>
        </row>
        <row r="4938">
          <cell r="G4938">
            <v>42552</v>
          </cell>
          <cell r="L4938" t="str">
            <v>02-34-159-95W1</v>
          </cell>
          <cell r="O4938">
            <v>852.3</v>
          </cell>
          <cell r="Q4938">
            <v>0.61</v>
          </cell>
          <cell r="T4938">
            <v>61.012</v>
          </cell>
        </row>
        <row r="4939">
          <cell r="G4939">
            <v>42552</v>
          </cell>
          <cell r="L4939" t="str">
            <v>02-30-004-05W2</v>
          </cell>
          <cell r="O4939">
            <v>841.6</v>
          </cell>
          <cell r="Q4939">
            <v>0.78</v>
          </cell>
          <cell r="T4939">
            <v>60.048000000000002</v>
          </cell>
        </row>
        <row r="4940">
          <cell r="G4940">
            <v>42552</v>
          </cell>
          <cell r="L4940" t="str">
            <v>01-05-144-97W1</v>
          </cell>
          <cell r="O4940">
            <v>848.6</v>
          </cell>
          <cell r="Q4940">
            <v>0.37</v>
          </cell>
          <cell r="T4940">
            <v>60.023000000000003</v>
          </cell>
        </row>
        <row r="4941">
          <cell r="G4941">
            <v>42552</v>
          </cell>
          <cell r="L4941" t="str">
            <v>16-04-151-96W1</v>
          </cell>
          <cell r="O4941">
            <v>810.7</v>
          </cell>
          <cell r="Q4941">
            <v>0.28000000000000003</v>
          </cell>
          <cell r="T4941">
            <v>59.767000000000003</v>
          </cell>
        </row>
        <row r="4942">
          <cell r="G4942">
            <v>42552</v>
          </cell>
          <cell r="L4942" t="str">
            <v>01-33-162-90W1</v>
          </cell>
          <cell r="O4942">
            <v>861.8</v>
          </cell>
          <cell r="Q4942">
            <v>0.42</v>
          </cell>
          <cell r="T4942">
            <v>59.542999999999999</v>
          </cell>
        </row>
        <row r="4943">
          <cell r="G4943">
            <v>42552</v>
          </cell>
          <cell r="L4943" t="str">
            <v>10-30-147-97W1</v>
          </cell>
          <cell r="O4943">
            <v>814.1</v>
          </cell>
          <cell r="Q4943">
            <v>0.46</v>
          </cell>
          <cell r="T4943">
            <v>59.378999999999998</v>
          </cell>
        </row>
        <row r="4944">
          <cell r="G4944">
            <v>42552</v>
          </cell>
          <cell r="L4944" t="str">
            <v>20-01-161-90W1</v>
          </cell>
          <cell r="O4944">
            <v>862.5</v>
          </cell>
          <cell r="Q4944">
            <v>1.4</v>
          </cell>
          <cell r="T4944">
            <v>59.3</v>
          </cell>
        </row>
        <row r="4945">
          <cell r="G4945">
            <v>42552</v>
          </cell>
          <cell r="L4945" t="str">
            <v>24-01-160-96W1</v>
          </cell>
          <cell r="O4945">
            <v>828.7</v>
          </cell>
          <cell r="Q4945">
            <v>0.49</v>
          </cell>
          <cell r="T4945">
            <v>59.204000000000001</v>
          </cell>
        </row>
        <row r="4946">
          <cell r="G4946">
            <v>42552</v>
          </cell>
          <cell r="L4946" t="str">
            <v>18-16-154-95W1</v>
          </cell>
          <cell r="O4946">
            <v>821.1</v>
          </cell>
          <cell r="Q4946">
            <v>0.89</v>
          </cell>
          <cell r="T4946">
            <v>57.572000000000003</v>
          </cell>
        </row>
        <row r="4947">
          <cell r="G4947">
            <v>42552</v>
          </cell>
          <cell r="L4947" t="str">
            <v>01-03-158-95W1</v>
          </cell>
          <cell r="O4947">
            <v>844.6</v>
          </cell>
          <cell r="Q4947">
            <v>0.75</v>
          </cell>
          <cell r="T4947">
            <v>57.448999999999998</v>
          </cell>
        </row>
        <row r="4948">
          <cell r="G4948">
            <v>42552</v>
          </cell>
          <cell r="L4948" t="str">
            <v>26-35-163-97W1</v>
          </cell>
          <cell r="O4948">
            <v>830.4</v>
          </cell>
          <cell r="Q4948">
            <v>0.14000000000000001</v>
          </cell>
          <cell r="T4948">
            <v>55.756</v>
          </cell>
        </row>
        <row r="4949">
          <cell r="G4949">
            <v>42552</v>
          </cell>
          <cell r="L4949" t="str">
            <v>04-24-147-98W1</v>
          </cell>
          <cell r="O4949">
            <v>814.1</v>
          </cell>
          <cell r="Q4949">
            <v>0.56000000000000005</v>
          </cell>
          <cell r="T4949">
            <v>55.753</v>
          </cell>
        </row>
        <row r="4950">
          <cell r="G4950">
            <v>42552</v>
          </cell>
          <cell r="L4950" t="str">
            <v>01-12-144-98W1</v>
          </cell>
          <cell r="O4950">
            <v>817.7</v>
          </cell>
          <cell r="Q4950">
            <v>0.46</v>
          </cell>
          <cell r="T4950">
            <v>54.597999999999999</v>
          </cell>
        </row>
        <row r="4951">
          <cell r="G4951">
            <v>42552</v>
          </cell>
          <cell r="L4951" t="str">
            <v>03-25-144-98W1</v>
          </cell>
          <cell r="O4951">
            <v>833.1</v>
          </cell>
          <cell r="Q4951">
            <v>0.5</v>
          </cell>
          <cell r="T4951">
            <v>42.777000000000001</v>
          </cell>
        </row>
        <row r="4952">
          <cell r="G4952">
            <v>42552</v>
          </cell>
          <cell r="L4952" t="str">
            <v>01-26-144-98W1</v>
          </cell>
          <cell r="O4952">
            <v>835.7</v>
          </cell>
          <cell r="Q4952">
            <v>0.47</v>
          </cell>
          <cell r="T4952">
            <v>41.347000000000001</v>
          </cell>
        </row>
        <row r="4953">
          <cell r="G4953">
            <v>42552</v>
          </cell>
          <cell r="L4953" t="str">
            <v>13-26-007-05W2</v>
          </cell>
          <cell r="O4953">
            <v>862.3</v>
          </cell>
          <cell r="Q4953">
            <v>1.18</v>
          </cell>
          <cell r="T4953">
            <v>37.003</v>
          </cell>
        </row>
        <row r="4954">
          <cell r="G4954">
            <v>42552</v>
          </cell>
          <cell r="L4954" t="str">
            <v>01-19-147-97W1</v>
          </cell>
          <cell r="O4954">
            <v>817.1</v>
          </cell>
          <cell r="Q4954">
            <v>0.67</v>
          </cell>
          <cell r="T4954">
            <v>35.569000000000003</v>
          </cell>
        </row>
        <row r="4955">
          <cell r="G4955">
            <v>42552</v>
          </cell>
          <cell r="L4955" t="str">
            <v>01-32-164-01W1</v>
          </cell>
          <cell r="O4955">
            <v>829.9</v>
          </cell>
          <cell r="Q4955">
            <v>0.47</v>
          </cell>
          <cell r="T4955">
            <v>34.030999999999999</v>
          </cell>
        </row>
        <row r="4956">
          <cell r="G4956">
            <v>42552</v>
          </cell>
          <cell r="L4956" t="str">
            <v>01-07-153-95W1</v>
          </cell>
          <cell r="O4956">
            <v>816.8</v>
          </cell>
          <cell r="Q4956">
            <v>0.24</v>
          </cell>
          <cell r="T4956">
            <v>33.703000000000003</v>
          </cell>
        </row>
        <row r="4957">
          <cell r="G4957">
            <v>42552</v>
          </cell>
          <cell r="L4957" t="str">
            <v>02-06-144-97W1</v>
          </cell>
          <cell r="O4957">
            <v>835.9</v>
          </cell>
          <cell r="Q4957">
            <v>0.42</v>
          </cell>
          <cell r="T4957">
            <v>32.865000000000002</v>
          </cell>
        </row>
        <row r="4958">
          <cell r="G4958">
            <v>42552</v>
          </cell>
          <cell r="L4958" t="str">
            <v>01-11-161-92W1</v>
          </cell>
          <cell r="O4958">
            <v>853.5</v>
          </cell>
          <cell r="Q4958">
            <v>0.77</v>
          </cell>
          <cell r="T4958">
            <v>32.491999999999997</v>
          </cell>
        </row>
        <row r="4959">
          <cell r="G4959">
            <v>42552</v>
          </cell>
          <cell r="L4959" t="str">
            <v>01-02-158-95W1</v>
          </cell>
          <cell r="O4959">
            <v>831.4</v>
          </cell>
          <cell r="Q4959">
            <v>0.53</v>
          </cell>
          <cell r="T4959">
            <v>31.878</v>
          </cell>
        </row>
        <row r="4960">
          <cell r="G4960">
            <v>42552</v>
          </cell>
          <cell r="L4960" t="str">
            <v>44-35-022-58W1</v>
          </cell>
          <cell r="O4960">
            <v>866.8</v>
          </cell>
          <cell r="Q4960">
            <v>0.94</v>
          </cell>
          <cell r="T4960">
            <v>31.494</v>
          </cell>
        </row>
        <row r="4961">
          <cell r="G4961">
            <v>42552</v>
          </cell>
          <cell r="L4961" t="str">
            <v>03-05-157-95W1</v>
          </cell>
          <cell r="O4961">
            <v>838</v>
          </cell>
          <cell r="Q4961">
            <v>0.69</v>
          </cell>
          <cell r="T4961">
            <v>31.481999999999999</v>
          </cell>
        </row>
        <row r="4962">
          <cell r="G4962">
            <v>42552</v>
          </cell>
          <cell r="L4962" t="str">
            <v>02-02-158-95W1</v>
          </cell>
          <cell r="O4962">
            <v>847.4</v>
          </cell>
          <cell r="Q4962">
            <v>0.93</v>
          </cell>
          <cell r="T4962">
            <v>31.463000000000001</v>
          </cell>
        </row>
        <row r="4963">
          <cell r="G4963">
            <v>42552</v>
          </cell>
          <cell r="L4963" t="str">
            <v>01-05-150-96W1</v>
          </cell>
          <cell r="O4963">
            <v>813.6</v>
          </cell>
          <cell r="Q4963">
            <v>0.24</v>
          </cell>
          <cell r="T4963">
            <v>30.481000000000002</v>
          </cell>
        </row>
        <row r="4964">
          <cell r="G4964">
            <v>42552</v>
          </cell>
          <cell r="L4964" t="str">
            <v>04-03-157-95W1</v>
          </cell>
          <cell r="O4964">
            <v>834.9</v>
          </cell>
          <cell r="Q4964">
            <v>0.62</v>
          </cell>
          <cell r="T4964">
            <v>30.41</v>
          </cell>
        </row>
        <row r="4965">
          <cell r="G4965">
            <v>42552</v>
          </cell>
          <cell r="L4965" t="str">
            <v>01-15-022-57W1</v>
          </cell>
          <cell r="O4965">
            <v>810.5</v>
          </cell>
          <cell r="Q4965">
            <v>0.37</v>
          </cell>
          <cell r="T4965">
            <v>30.338999999999999</v>
          </cell>
        </row>
        <row r="4966">
          <cell r="G4966">
            <v>42552</v>
          </cell>
          <cell r="L4966" t="str">
            <v>01-33-164-91W1</v>
          </cell>
          <cell r="O4966">
            <v>828.8</v>
          </cell>
          <cell r="Q4966">
            <v>0.52</v>
          </cell>
          <cell r="T4966">
            <v>30.196999999999999</v>
          </cell>
        </row>
        <row r="4967">
          <cell r="G4967">
            <v>42552</v>
          </cell>
          <cell r="L4967" t="str">
            <v>13-11-160-95W1</v>
          </cell>
          <cell r="O4967">
            <v>801.3</v>
          </cell>
          <cell r="Q4967">
            <v>0.18</v>
          </cell>
          <cell r="T4967">
            <v>30.062999999999999</v>
          </cell>
        </row>
        <row r="4968">
          <cell r="G4968">
            <v>42552</v>
          </cell>
          <cell r="L4968" t="str">
            <v>13-18-163-90W1</v>
          </cell>
          <cell r="O4968">
            <v>844.7</v>
          </cell>
          <cell r="Q4968">
            <v>0.42</v>
          </cell>
          <cell r="T4968">
            <v>29.984000000000002</v>
          </cell>
        </row>
        <row r="4969">
          <cell r="G4969">
            <v>42552</v>
          </cell>
          <cell r="L4969" t="str">
            <v>01-03-153-95W1</v>
          </cell>
          <cell r="O4969">
            <v>830.2</v>
          </cell>
          <cell r="Q4969">
            <v>0.51</v>
          </cell>
          <cell r="T4969">
            <v>29.905000000000001</v>
          </cell>
        </row>
        <row r="4970">
          <cell r="G4970">
            <v>42552</v>
          </cell>
          <cell r="L4970" t="str">
            <v>01-34-164-92W1</v>
          </cell>
          <cell r="O4970">
            <v>831.1</v>
          </cell>
          <cell r="Q4970">
            <v>0.6</v>
          </cell>
          <cell r="T4970">
            <v>29.844999999999999</v>
          </cell>
        </row>
        <row r="4971">
          <cell r="G4971">
            <v>42552</v>
          </cell>
          <cell r="L4971" t="str">
            <v>03-10-151-96W1</v>
          </cell>
          <cell r="O4971">
            <v>824.7</v>
          </cell>
          <cell r="Q4971">
            <v>0.24</v>
          </cell>
          <cell r="T4971">
            <v>29.719000000000001</v>
          </cell>
        </row>
        <row r="4972">
          <cell r="G4972">
            <v>42552</v>
          </cell>
          <cell r="L4972" t="str">
            <v>01-18-163-92W1</v>
          </cell>
          <cell r="O4972">
            <v>836.2</v>
          </cell>
          <cell r="Q4972">
            <v>0.71</v>
          </cell>
          <cell r="T4972">
            <v>29.628</v>
          </cell>
        </row>
        <row r="4973">
          <cell r="G4973">
            <v>42552</v>
          </cell>
          <cell r="L4973" t="str">
            <v>16-24-008-07W2</v>
          </cell>
          <cell r="O4973">
            <v>824.9</v>
          </cell>
          <cell r="Q4973">
            <v>0.61</v>
          </cell>
          <cell r="T4973">
            <v>29.617999999999999</v>
          </cell>
        </row>
        <row r="4974">
          <cell r="G4974">
            <v>42552</v>
          </cell>
          <cell r="L4974" t="str">
            <v>01-29-162-92W1</v>
          </cell>
          <cell r="O4974">
            <v>841.7</v>
          </cell>
          <cell r="Q4974">
            <v>0.55000000000000004</v>
          </cell>
          <cell r="T4974">
            <v>28.917999999999999</v>
          </cell>
        </row>
        <row r="4975">
          <cell r="G4975">
            <v>42552</v>
          </cell>
          <cell r="L4975" t="str">
            <v>04-04-157-95W1</v>
          </cell>
          <cell r="O4975">
            <v>838.4</v>
          </cell>
          <cell r="Q4975">
            <v>0.62</v>
          </cell>
          <cell r="T4975">
            <v>28.884</v>
          </cell>
        </row>
        <row r="4976">
          <cell r="G4976">
            <v>42552</v>
          </cell>
          <cell r="L4976" t="str">
            <v>01-34-159-95W1</v>
          </cell>
          <cell r="O4976">
            <v>833.9</v>
          </cell>
          <cell r="Q4976">
            <v>0.56999999999999995</v>
          </cell>
          <cell r="T4976">
            <v>28.876000000000001</v>
          </cell>
        </row>
        <row r="4977">
          <cell r="G4977">
            <v>42552</v>
          </cell>
          <cell r="L4977" t="str">
            <v>01-12-159-96W1</v>
          </cell>
          <cell r="O4977">
            <v>836</v>
          </cell>
          <cell r="Q4977">
            <v>0.5</v>
          </cell>
          <cell r="T4977">
            <v>28.786999999999999</v>
          </cell>
        </row>
        <row r="4978">
          <cell r="G4978">
            <v>42552</v>
          </cell>
          <cell r="L4978" t="str">
            <v>01-14-001-11W2</v>
          </cell>
          <cell r="O4978">
            <v>843.9</v>
          </cell>
          <cell r="Q4978">
            <v>0.26</v>
          </cell>
          <cell r="T4978">
            <v>28.681000000000001</v>
          </cell>
        </row>
        <row r="4979">
          <cell r="G4979">
            <v>42552</v>
          </cell>
          <cell r="L4979" t="str">
            <v>03-03-157-95W1</v>
          </cell>
          <cell r="O4979">
            <v>820.2</v>
          </cell>
          <cell r="Q4979">
            <v>0.33</v>
          </cell>
          <cell r="T4979">
            <v>27.943000000000001</v>
          </cell>
        </row>
        <row r="4980">
          <cell r="G4980">
            <v>42552</v>
          </cell>
          <cell r="L4980" t="str">
            <v>01-55-159-94W1</v>
          </cell>
          <cell r="O4980">
            <v>820.9</v>
          </cell>
          <cell r="Q4980">
            <v>0.38</v>
          </cell>
          <cell r="T4980">
            <v>27.457999999999998</v>
          </cell>
        </row>
        <row r="4981">
          <cell r="G4981">
            <v>42552</v>
          </cell>
          <cell r="L4981" t="str">
            <v>11-21-163-89W1</v>
          </cell>
          <cell r="O4981">
            <v>839</v>
          </cell>
          <cell r="Q4981">
            <v>0.5</v>
          </cell>
          <cell r="T4981">
            <v>27.448</v>
          </cell>
        </row>
        <row r="4982">
          <cell r="G4982">
            <v>42552</v>
          </cell>
          <cell r="L4982" t="str">
            <v>11-15-163-89W1</v>
          </cell>
          <cell r="O4982">
            <v>848</v>
          </cell>
          <cell r="Q4982">
            <v>0.6</v>
          </cell>
          <cell r="T4982">
            <v>27.064</v>
          </cell>
        </row>
        <row r="4983">
          <cell r="G4983">
            <v>42552</v>
          </cell>
          <cell r="L4983" t="str">
            <v>01-02-163-92W1</v>
          </cell>
          <cell r="O4983">
            <v>846.4</v>
          </cell>
          <cell r="Q4983">
            <v>0.53</v>
          </cell>
          <cell r="T4983">
            <v>24.033000000000001</v>
          </cell>
        </row>
        <row r="4984">
          <cell r="G4984">
            <v>42552</v>
          </cell>
          <cell r="L4984" t="str">
            <v>01-01-163-92W1</v>
          </cell>
          <cell r="O4984">
            <v>838.5</v>
          </cell>
          <cell r="Q4984">
            <v>0.53</v>
          </cell>
          <cell r="T4984">
            <v>23.992000000000001</v>
          </cell>
        </row>
        <row r="4985">
          <cell r="G4985">
            <v>42552</v>
          </cell>
          <cell r="L4985" t="str">
            <v>34-02-157-95W1</v>
          </cell>
          <cell r="O4985">
            <v>844.1</v>
          </cell>
          <cell r="Q4985">
            <v>0.39</v>
          </cell>
          <cell r="T4985">
            <v>22.885999999999999</v>
          </cell>
        </row>
        <row r="4986">
          <cell r="G4986">
            <v>42552</v>
          </cell>
          <cell r="L4986" t="str">
            <v>02-11-163-97W1</v>
          </cell>
          <cell r="O4986">
            <v>828.5</v>
          </cell>
          <cell r="Q4986">
            <v>0.13</v>
          </cell>
          <cell r="T4986">
            <v>22.35</v>
          </cell>
        </row>
        <row r="4987">
          <cell r="G4987">
            <v>42552</v>
          </cell>
          <cell r="L4987" t="str">
            <v>01-24-144-98W1</v>
          </cell>
          <cell r="O4987">
            <v>824.3</v>
          </cell>
          <cell r="Q4987">
            <v>0.47</v>
          </cell>
          <cell r="T4987">
            <v>21.568000000000001</v>
          </cell>
        </row>
        <row r="4988">
          <cell r="G4988">
            <v>42552</v>
          </cell>
          <cell r="L4988" t="str">
            <v>01-36-003-03W2</v>
          </cell>
          <cell r="O4988">
            <v>835.4</v>
          </cell>
          <cell r="Q4988">
            <v>0.81</v>
          </cell>
          <cell r="T4988">
            <v>630.58299999999997</v>
          </cell>
        </row>
        <row r="4989">
          <cell r="G4989">
            <v>42552</v>
          </cell>
          <cell r="L4989" t="str">
            <v>07-23-010-06W2</v>
          </cell>
          <cell r="O4989">
            <v>844.6</v>
          </cell>
          <cell r="Q4989">
            <v>1.45</v>
          </cell>
          <cell r="T4989">
            <v>413.041</v>
          </cell>
        </row>
        <row r="4990">
          <cell r="G4990">
            <v>42552</v>
          </cell>
          <cell r="L4990" t="str">
            <v>13-14-010-05W2</v>
          </cell>
          <cell r="O4990">
            <v>852.6</v>
          </cell>
          <cell r="Q4990">
            <v>1.54</v>
          </cell>
          <cell r="T4990">
            <v>137.202</v>
          </cell>
        </row>
        <row r="4991">
          <cell r="G4991">
            <v>42552</v>
          </cell>
          <cell r="L4991" t="str">
            <v>12-22-010-05W2</v>
          </cell>
          <cell r="O4991">
            <v>869.1</v>
          </cell>
          <cell r="Q4991">
            <v>1.84</v>
          </cell>
          <cell r="T4991">
            <v>68.926000000000002</v>
          </cell>
        </row>
        <row r="4992">
          <cell r="G4992">
            <v>42552</v>
          </cell>
          <cell r="L4992" t="str">
            <v>09-26-007-05W2</v>
          </cell>
          <cell r="O4992">
            <v>866.6</v>
          </cell>
          <cell r="Q4992">
            <v>1.67</v>
          </cell>
          <cell r="T4992">
            <v>26.670999999999999</v>
          </cell>
        </row>
        <row r="4993">
          <cell r="G4993">
            <v>42552</v>
          </cell>
          <cell r="L4993" t="str">
            <v>05-16-006-13W2</v>
          </cell>
          <cell r="O4993">
            <v>872</v>
          </cell>
          <cell r="Q4993">
            <v>2.41</v>
          </cell>
          <cell r="T4993">
            <v>114134.67200000001</v>
          </cell>
        </row>
        <row r="4994">
          <cell r="G4994">
            <v>42552</v>
          </cell>
          <cell r="L4994" t="str">
            <v>08-28-005-33W1</v>
          </cell>
          <cell r="O4994">
            <v>817.9</v>
          </cell>
          <cell r="Q4994">
            <v>0.96</v>
          </cell>
          <cell r="T4994">
            <v>102591.85</v>
          </cell>
        </row>
        <row r="4995">
          <cell r="G4995">
            <v>42552</v>
          </cell>
          <cell r="L4995" t="str">
            <v>15-26-001-31W1</v>
          </cell>
          <cell r="O4995">
            <v>874.2</v>
          </cell>
          <cell r="Q4995">
            <v>2.09</v>
          </cell>
          <cell r="T4995">
            <v>4452.5110000000004</v>
          </cell>
        </row>
        <row r="4996">
          <cell r="G4996">
            <v>42552</v>
          </cell>
          <cell r="L4996" t="str">
            <v>08-21-004-01W2</v>
          </cell>
          <cell r="O4996">
            <v>831.6</v>
          </cell>
          <cell r="Q4996">
            <v>0.92</v>
          </cell>
          <cell r="T4996">
            <v>2792.4740000000002</v>
          </cell>
        </row>
        <row r="4997">
          <cell r="G4997">
            <v>42552</v>
          </cell>
          <cell r="L4997" t="str">
            <v>14-05-002-31W1</v>
          </cell>
          <cell r="O4997">
            <v>859.4</v>
          </cell>
          <cell r="Q4997">
            <v>1.62</v>
          </cell>
          <cell r="T4997">
            <v>2366.3110000000001</v>
          </cell>
        </row>
        <row r="4998">
          <cell r="G4998">
            <v>42552</v>
          </cell>
          <cell r="L4998" t="str">
            <v>14-03-001-03W2</v>
          </cell>
          <cell r="O4998">
            <v>815.2</v>
          </cell>
          <cell r="Q4998">
            <v>0.12</v>
          </cell>
          <cell r="T4998">
            <v>1791.7239999999999</v>
          </cell>
        </row>
        <row r="4999">
          <cell r="G4999">
            <v>42552</v>
          </cell>
          <cell r="L4999" t="str">
            <v>14-13-002-02W2</v>
          </cell>
          <cell r="O4999">
            <v>828.3</v>
          </cell>
          <cell r="Q4999">
            <v>0.55000000000000004</v>
          </cell>
          <cell r="T4999">
            <v>1556.4680000000001</v>
          </cell>
        </row>
        <row r="5000">
          <cell r="G5000">
            <v>42552</v>
          </cell>
          <cell r="L5000" t="str">
            <v>01-35-007-01W2</v>
          </cell>
          <cell r="O5000">
            <v>846.8</v>
          </cell>
          <cell r="Q5000">
            <v>1.1399999999999999</v>
          </cell>
          <cell r="T5000">
            <v>1204.884</v>
          </cell>
        </row>
        <row r="5001">
          <cell r="G5001">
            <v>42552</v>
          </cell>
          <cell r="L5001" t="str">
            <v>16-03-008-33W1</v>
          </cell>
          <cell r="O5001">
            <v>845.5</v>
          </cell>
          <cell r="Q5001">
            <v>1.22</v>
          </cell>
          <cell r="T5001">
            <v>1133.586</v>
          </cell>
        </row>
        <row r="5002">
          <cell r="G5002">
            <v>42552</v>
          </cell>
          <cell r="L5002" t="str">
            <v>01-35-006-30W1</v>
          </cell>
          <cell r="O5002">
            <v>822.5</v>
          </cell>
          <cell r="Q5002">
            <v>0.3</v>
          </cell>
          <cell r="T5002">
            <v>858.00699999999995</v>
          </cell>
        </row>
        <row r="5003">
          <cell r="G5003">
            <v>42552</v>
          </cell>
          <cell r="L5003" t="str">
            <v>05-20-001-02W2</v>
          </cell>
          <cell r="O5003">
            <v>827.7</v>
          </cell>
          <cell r="Q5003">
            <v>0.53</v>
          </cell>
          <cell r="T5003">
            <v>726.68299999999999</v>
          </cell>
        </row>
        <row r="5004">
          <cell r="G5004">
            <v>42552</v>
          </cell>
          <cell r="L5004" t="str">
            <v>05-18-004-02W2</v>
          </cell>
          <cell r="O5004">
            <v>849.8</v>
          </cell>
          <cell r="Q5004">
            <v>1.3</v>
          </cell>
          <cell r="T5004">
            <v>670.95299999999997</v>
          </cell>
        </row>
        <row r="5005">
          <cell r="G5005">
            <v>42552</v>
          </cell>
          <cell r="L5005" t="str">
            <v>08-16-007-29W1</v>
          </cell>
          <cell r="O5005">
            <v>824.7</v>
          </cell>
          <cell r="Q5005">
            <v>0.23</v>
          </cell>
          <cell r="T5005">
            <v>596.82899999999995</v>
          </cell>
        </row>
        <row r="5006">
          <cell r="G5006">
            <v>42552</v>
          </cell>
          <cell r="L5006" t="str">
            <v>13-17-005-33W1</v>
          </cell>
          <cell r="O5006">
            <v>829.3</v>
          </cell>
          <cell r="Q5006">
            <v>0.64</v>
          </cell>
          <cell r="T5006">
            <v>576.85900000000004</v>
          </cell>
        </row>
        <row r="5007">
          <cell r="G5007">
            <v>42552</v>
          </cell>
          <cell r="L5007" t="str">
            <v>16-04-006-32W1</v>
          </cell>
          <cell r="O5007">
            <v>841.3</v>
          </cell>
          <cell r="Q5007">
            <v>1.07</v>
          </cell>
          <cell r="T5007">
            <v>569.36699999999996</v>
          </cell>
        </row>
        <row r="5008">
          <cell r="G5008">
            <v>42552</v>
          </cell>
          <cell r="L5008" t="str">
            <v>16-31-001-32W1</v>
          </cell>
          <cell r="O5008">
            <v>844.9</v>
          </cell>
          <cell r="Q5008">
            <v>1.1000000000000001</v>
          </cell>
          <cell r="T5008">
            <v>543.54100000000005</v>
          </cell>
        </row>
        <row r="5009">
          <cell r="G5009">
            <v>42552</v>
          </cell>
          <cell r="L5009" t="str">
            <v>01-01-010-04W2</v>
          </cell>
          <cell r="O5009">
            <v>841.8</v>
          </cell>
          <cell r="Q5009">
            <v>1.23</v>
          </cell>
          <cell r="T5009">
            <v>453.56900000000002</v>
          </cell>
        </row>
        <row r="5010">
          <cell r="G5010">
            <v>42552</v>
          </cell>
          <cell r="L5010" t="str">
            <v>01-03-003-33W1</v>
          </cell>
          <cell r="O5010">
            <v>851.6</v>
          </cell>
          <cell r="Q5010">
            <v>1.41</v>
          </cell>
          <cell r="T5010">
            <v>369.43400000000003</v>
          </cell>
        </row>
        <row r="5011">
          <cell r="G5011">
            <v>42552</v>
          </cell>
          <cell r="L5011" t="str">
            <v>08-02-008-03W2</v>
          </cell>
          <cell r="O5011">
            <v>855.1</v>
          </cell>
          <cell r="Q5011">
            <v>1.46</v>
          </cell>
          <cell r="T5011">
            <v>367.947</v>
          </cell>
        </row>
        <row r="5012">
          <cell r="G5012">
            <v>42552</v>
          </cell>
          <cell r="L5012" t="str">
            <v>08-23-007-30W1</v>
          </cell>
          <cell r="O5012">
            <v>820</v>
          </cell>
          <cell r="Q5012">
            <v>0.22</v>
          </cell>
          <cell r="T5012">
            <v>350.358</v>
          </cell>
        </row>
        <row r="5013">
          <cell r="G5013">
            <v>42552</v>
          </cell>
          <cell r="L5013" t="str">
            <v>14-19-006-33W1</v>
          </cell>
          <cell r="O5013">
            <v>838.3</v>
          </cell>
          <cell r="Q5013">
            <v>1.18</v>
          </cell>
          <cell r="T5013">
            <v>337.428</v>
          </cell>
        </row>
        <row r="5014">
          <cell r="G5014">
            <v>42552</v>
          </cell>
          <cell r="L5014" t="str">
            <v>14-23-005-02W2</v>
          </cell>
          <cell r="O5014">
            <v>851</v>
          </cell>
          <cell r="Q5014">
            <v>1.35</v>
          </cell>
          <cell r="T5014">
            <v>200.38499999999999</v>
          </cell>
        </row>
        <row r="5015">
          <cell r="G5015">
            <v>42552</v>
          </cell>
          <cell r="L5015" t="str">
            <v>04-05-006-02W2</v>
          </cell>
          <cell r="O5015">
            <v>846.3</v>
          </cell>
          <cell r="Q5015">
            <v>1.17</v>
          </cell>
          <cell r="T5015">
            <v>199.45400000000001</v>
          </cell>
        </row>
        <row r="5016">
          <cell r="G5016">
            <v>42552</v>
          </cell>
          <cell r="L5016" t="str">
            <v>04-11-004-32W1</v>
          </cell>
          <cell r="O5016">
            <v>854.4</v>
          </cell>
          <cell r="Q5016">
            <v>1.57</v>
          </cell>
          <cell r="T5016">
            <v>184.976</v>
          </cell>
        </row>
        <row r="5017">
          <cell r="G5017">
            <v>42552</v>
          </cell>
          <cell r="L5017" t="str">
            <v>16-16-006-02W2</v>
          </cell>
          <cell r="O5017">
            <v>846.6</v>
          </cell>
          <cell r="Q5017">
            <v>1.1399999999999999</v>
          </cell>
          <cell r="T5017">
            <v>132.15299999999999</v>
          </cell>
        </row>
        <row r="5018">
          <cell r="G5018">
            <v>42552</v>
          </cell>
          <cell r="L5018" t="str">
            <v>16-12-004-31W1</v>
          </cell>
          <cell r="O5018">
            <v>859.3</v>
          </cell>
          <cell r="Q5018">
            <v>1.7</v>
          </cell>
          <cell r="T5018">
            <v>129.971</v>
          </cell>
        </row>
        <row r="5019">
          <cell r="G5019">
            <v>42552</v>
          </cell>
          <cell r="L5019" t="str">
            <v>10-17-007-33W1</v>
          </cell>
          <cell r="O5019">
            <v>842.8</v>
          </cell>
          <cell r="Q5019">
            <v>1.17</v>
          </cell>
          <cell r="T5019">
            <v>125.09399999999999</v>
          </cell>
        </row>
        <row r="5020">
          <cell r="G5020">
            <v>42552</v>
          </cell>
          <cell r="L5020" t="str">
            <v>03-05-006-02W2</v>
          </cell>
          <cell r="O5020">
            <v>844.7</v>
          </cell>
          <cell r="Q5020">
            <v>1.03</v>
          </cell>
          <cell r="T5020">
            <v>116.97199999999999</v>
          </cell>
        </row>
        <row r="5021">
          <cell r="G5021">
            <v>42552</v>
          </cell>
          <cell r="L5021" t="str">
            <v>02-25-002-03W2</v>
          </cell>
          <cell r="O5021">
            <v>821.6</v>
          </cell>
          <cell r="Q5021">
            <v>0.5</v>
          </cell>
          <cell r="T5021">
            <v>113.867</v>
          </cell>
        </row>
        <row r="5022">
          <cell r="G5022">
            <v>42552</v>
          </cell>
          <cell r="L5022" t="str">
            <v>13-13-002-33W1</v>
          </cell>
          <cell r="O5022">
            <v>835.1</v>
          </cell>
          <cell r="Q5022">
            <v>0.72</v>
          </cell>
          <cell r="T5022">
            <v>110.902</v>
          </cell>
        </row>
        <row r="5023">
          <cell r="G5023">
            <v>42552</v>
          </cell>
          <cell r="L5023" t="str">
            <v>01-06-002-32W1</v>
          </cell>
          <cell r="O5023">
            <v>835.6</v>
          </cell>
          <cell r="Q5023">
            <v>0.81</v>
          </cell>
          <cell r="T5023">
            <v>105.316</v>
          </cell>
        </row>
        <row r="5024">
          <cell r="G5024">
            <v>42552</v>
          </cell>
          <cell r="L5024" t="str">
            <v>09-24-001-01W2</v>
          </cell>
          <cell r="O5024">
            <v>829.4</v>
          </cell>
          <cell r="Q5024">
            <v>0.67</v>
          </cell>
          <cell r="T5024">
            <v>82.376000000000005</v>
          </cell>
        </row>
        <row r="5025">
          <cell r="G5025">
            <v>42552</v>
          </cell>
          <cell r="L5025" t="str">
            <v>14-24-001-02W2</v>
          </cell>
          <cell r="O5025">
            <v>843.2</v>
          </cell>
          <cell r="Q5025">
            <v>0.79</v>
          </cell>
          <cell r="T5025">
            <v>78.42</v>
          </cell>
        </row>
        <row r="5026">
          <cell r="G5026">
            <v>42552</v>
          </cell>
          <cell r="L5026" t="str">
            <v>02-14-006-02W2</v>
          </cell>
          <cell r="O5026">
            <v>849</v>
          </cell>
          <cell r="Q5026">
            <v>1.1599999999999999</v>
          </cell>
          <cell r="T5026">
            <v>68.531000000000006</v>
          </cell>
        </row>
        <row r="5027">
          <cell r="G5027">
            <v>42552</v>
          </cell>
          <cell r="L5027" t="str">
            <v>10-29-005-33W1</v>
          </cell>
          <cell r="O5027">
            <v>832</v>
          </cell>
          <cell r="Q5027">
            <v>0.87</v>
          </cell>
          <cell r="T5027">
            <v>66.147999999999996</v>
          </cell>
        </row>
        <row r="5028">
          <cell r="G5028">
            <v>42552</v>
          </cell>
          <cell r="L5028" t="str">
            <v>13-12-007-03W2</v>
          </cell>
          <cell r="O5028">
            <v>854.9</v>
          </cell>
          <cell r="Q5028">
            <v>1.38</v>
          </cell>
          <cell r="T5028">
            <v>63.534999999999997</v>
          </cell>
        </row>
        <row r="5029">
          <cell r="G5029">
            <v>42552</v>
          </cell>
          <cell r="L5029" t="str">
            <v>16-15-008-03W2</v>
          </cell>
          <cell r="O5029">
            <v>859.1</v>
          </cell>
          <cell r="Q5029">
            <v>1.54</v>
          </cell>
          <cell r="T5029">
            <v>58.914999999999999</v>
          </cell>
        </row>
        <row r="5030">
          <cell r="G5030">
            <v>42552</v>
          </cell>
          <cell r="L5030" t="str">
            <v>09-01-002-34W1</v>
          </cell>
          <cell r="O5030">
            <v>832.7</v>
          </cell>
          <cell r="Q5030">
            <v>0.55000000000000004</v>
          </cell>
          <cell r="T5030">
            <v>58.164999999999999</v>
          </cell>
        </row>
        <row r="5031">
          <cell r="G5031">
            <v>42552</v>
          </cell>
          <cell r="L5031" t="str">
            <v>12-20-008-02W2</v>
          </cell>
          <cell r="O5031">
            <v>855.2</v>
          </cell>
          <cell r="Q5031">
            <v>1.77</v>
          </cell>
          <cell r="T5031">
            <v>32.116999999999997</v>
          </cell>
        </row>
        <row r="5032">
          <cell r="G5032">
            <v>42552</v>
          </cell>
          <cell r="L5032" t="str">
            <v>16-07-006-02W2</v>
          </cell>
          <cell r="O5032">
            <v>856.1</v>
          </cell>
          <cell r="Q5032">
            <v>1.22</v>
          </cell>
          <cell r="T5032">
            <v>26.756</v>
          </cell>
        </row>
        <row r="5033">
          <cell r="G5033">
            <v>42552</v>
          </cell>
          <cell r="L5033" t="str">
            <v>15-09-007-03W2</v>
          </cell>
          <cell r="O5033">
            <v>846.3</v>
          </cell>
          <cell r="Q5033">
            <v>1.39</v>
          </cell>
          <cell r="T5033">
            <v>1353.9290000000001</v>
          </cell>
        </row>
        <row r="5034">
          <cell r="G5034">
            <v>42552</v>
          </cell>
          <cell r="L5034" t="str">
            <v>07-31-005-33W1</v>
          </cell>
          <cell r="O5034">
            <v>831.1</v>
          </cell>
          <cell r="Q5034">
            <v>0.68</v>
          </cell>
          <cell r="T5034">
            <v>1162.105</v>
          </cell>
        </row>
        <row r="5035">
          <cell r="G5035">
            <v>42552</v>
          </cell>
          <cell r="L5035" t="str">
            <v>04-36-004-02W2</v>
          </cell>
          <cell r="O5035">
            <v>850.2</v>
          </cell>
          <cell r="Q5035">
            <v>1.58</v>
          </cell>
          <cell r="T5035">
            <v>241.565</v>
          </cell>
        </row>
        <row r="5036">
          <cell r="G5036">
            <v>42552</v>
          </cell>
          <cell r="L5036" t="str">
            <v>13-14-010-05W2</v>
          </cell>
          <cell r="O5036">
            <v>852.6</v>
          </cell>
          <cell r="Q5036">
            <v>1.54</v>
          </cell>
          <cell r="T5036">
            <v>35.768000000000001</v>
          </cell>
        </row>
        <row r="5037">
          <cell r="G5037">
            <v>42552</v>
          </cell>
          <cell r="L5037" t="str">
            <v>14-04-006-33W1</v>
          </cell>
          <cell r="O5037">
            <v>837.1</v>
          </cell>
          <cell r="Q5037">
            <v>0.85</v>
          </cell>
          <cell r="T5037">
            <v>34.332999999999998</v>
          </cell>
        </row>
        <row r="5038">
          <cell r="G5038">
            <v>42552</v>
          </cell>
          <cell r="L5038" t="str">
            <v>ALStream</v>
          </cell>
          <cell r="T5038">
            <v>0</v>
          </cell>
        </row>
        <row r="5039">
          <cell r="G5039">
            <v>42552</v>
          </cell>
          <cell r="L5039" t="str">
            <v>MWStream</v>
          </cell>
          <cell r="T5039">
            <v>0</v>
          </cell>
        </row>
        <row r="5040">
          <cell r="G5040">
            <v>42552</v>
          </cell>
          <cell r="L5040" t="str">
            <v>ALStream</v>
          </cell>
          <cell r="O5040">
            <v>829.1</v>
          </cell>
          <cell r="Q5040">
            <v>0.96</v>
          </cell>
          <cell r="T5040">
            <v>-85692.368000000002</v>
          </cell>
        </row>
        <row r="5041">
          <cell r="G5041">
            <v>42552</v>
          </cell>
          <cell r="L5041" t="str">
            <v>MWStream</v>
          </cell>
          <cell r="O5041">
            <v>830.9</v>
          </cell>
          <cell r="Q5041">
            <v>1.26</v>
          </cell>
          <cell r="T5041">
            <v>-9933.3220000000001</v>
          </cell>
        </row>
        <row r="5042">
          <cell r="G5042">
            <v>42583</v>
          </cell>
          <cell r="L5042" t="str">
            <v>01-19-004-12W2</v>
          </cell>
          <cell r="O5042">
            <v>895.8</v>
          </cell>
          <cell r="Q5042">
            <v>2.62</v>
          </cell>
          <cell r="T5042">
            <v>14.893000000000001</v>
          </cell>
        </row>
        <row r="5043">
          <cell r="G5043">
            <v>42583</v>
          </cell>
          <cell r="L5043" t="str">
            <v>08-18-011-03W2</v>
          </cell>
          <cell r="O5043">
            <v>859.5</v>
          </cell>
          <cell r="Q5043">
            <v>1.72</v>
          </cell>
          <cell r="T5043">
            <v>43.624000000000002</v>
          </cell>
        </row>
        <row r="5044">
          <cell r="G5044">
            <v>42583</v>
          </cell>
          <cell r="L5044" t="str">
            <v>10-21-006-32W1</v>
          </cell>
          <cell r="O5044">
            <v>837.8</v>
          </cell>
          <cell r="Q5044">
            <v>0.83</v>
          </cell>
          <cell r="T5044">
            <v>53.658000000000001</v>
          </cell>
        </row>
        <row r="5045">
          <cell r="G5045">
            <v>42583</v>
          </cell>
          <cell r="L5045" t="str">
            <v>09-26-004-32W1</v>
          </cell>
          <cell r="O5045">
            <v>869</v>
          </cell>
          <cell r="Q5045">
            <v>1.29</v>
          </cell>
          <cell r="T5045">
            <v>56.537999999999997</v>
          </cell>
        </row>
        <row r="5046">
          <cell r="G5046">
            <v>42583</v>
          </cell>
          <cell r="L5046" t="str">
            <v>01-15-005-32W1</v>
          </cell>
          <cell r="O5046">
            <v>847.5</v>
          </cell>
          <cell r="Q5046">
            <v>1.27</v>
          </cell>
          <cell r="T5046">
            <v>63.021999999999998</v>
          </cell>
        </row>
        <row r="5047">
          <cell r="G5047">
            <v>42583</v>
          </cell>
          <cell r="L5047" t="str">
            <v>03-05-005-11W2</v>
          </cell>
          <cell r="O5047">
            <v>866.2</v>
          </cell>
          <cell r="Q5047">
            <v>1.55</v>
          </cell>
          <cell r="T5047">
            <v>69.724000000000004</v>
          </cell>
        </row>
        <row r="5048">
          <cell r="G5048">
            <v>42583</v>
          </cell>
          <cell r="L5048" t="str">
            <v>11-20-007-05W2</v>
          </cell>
          <cell r="O5048">
            <v>863.2</v>
          </cell>
          <cell r="Q5048">
            <v>1.54</v>
          </cell>
          <cell r="T5048">
            <v>72.488</v>
          </cell>
        </row>
        <row r="5049">
          <cell r="G5049">
            <v>42583</v>
          </cell>
          <cell r="L5049" t="str">
            <v>10-09-004-33W1</v>
          </cell>
          <cell r="O5049">
            <v>839.8</v>
          </cell>
          <cell r="Q5049">
            <v>0.67</v>
          </cell>
          <cell r="T5049">
            <v>73.581999999999994</v>
          </cell>
        </row>
        <row r="5050">
          <cell r="G5050">
            <v>42583</v>
          </cell>
          <cell r="L5050" t="str">
            <v>15-09-010-08W2</v>
          </cell>
          <cell r="O5050">
            <v>884.2</v>
          </cell>
          <cell r="Q5050">
            <v>2.5299999999999998</v>
          </cell>
          <cell r="T5050">
            <v>80.034000000000006</v>
          </cell>
        </row>
        <row r="5051">
          <cell r="G5051">
            <v>42583</v>
          </cell>
          <cell r="L5051" t="str">
            <v>09-30-002-30W1</v>
          </cell>
          <cell r="O5051">
            <v>867.5</v>
          </cell>
          <cell r="Q5051">
            <v>1.72</v>
          </cell>
          <cell r="T5051">
            <v>77.254000000000005</v>
          </cell>
        </row>
        <row r="5052">
          <cell r="G5052">
            <v>42583</v>
          </cell>
          <cell r="L5052" t="str">
            <v>03-19-001-31W1</v>
          </cell>
          <cell r="O5052">
            <v>869.7</v>
          </cell>
          <cell r="Q5052">
            <v>1.85</v>
          </cell>
          <cell r="T5052">
            <v>79.789000000000001</v>
          </cell>
        </row>
        <row r="5053">
          <cell r="G5053">
            <v>42583</v>
          </cell>
          <cell r="L5053" t="str">
            <v>08-01-004-32W1</v>
          </cell>
          <cell r="O5053">
            <v>853.9</v>
          </cell>
          <cell r="Q5053">
            <v>1.62</v>
          </cell>
          <cell r="T5053">
            <v>82.741</v>
          </cell>
        </row>
        <row r="5054">
          <cell r="G5054">
            <v>42583</v>
          </cell>
          <cell r="L5054" t="str">
            <v>07-24-001-32W1</v>
          </cell>
          <cell r="O5054">
            <v>850.3</v>
          </cell>
          <cell r="Q5054">
            <v>1.57</v>
          </cell>
          <cell r="T5054">
            <v>90.290999999999997</v>
          </cell>
        </row>
        <row r="5055">
          <cell r="G5055">
            <v>42583</v>
          </cell>
          <cell r="L5055" t="str">
            <v>16-24-004-01W2</v>
          </cell>
          <cell r="O5055">
            <v>830.5</v>
          </cell>
          <cell r="Q5055">
            <v>0.61</v>
          </cell>
          <cell r="T5055">
            <v>109.15300000000001</v>
          </cell>
        </row>
        <row r="5056">
          <cell r="G5056">
            <v>42583</v>
          </cell>
          <cell r="L5056" t="str">
            <v>09-08-004-33W1</v>
          </cell>
          <cell r="O5056">
            <v>842.8</v>
          </cell>
          <cell r="Q5056">
            <v>0.71</v>
          </cell>
          <cell r="T5056">
            <v>111.22</v>
          </cell>
        </row>
        <row r="5057">
          <cell r="G5057">
            <v>42583</v>
          </cell>
          <cell r="L5057" t="str">
            <v>13-34-007-14W2</v>
          </cell>
          <cell r="O5057">
            <v>867.5</v>
          </cell>
          <cell r="Q5057">
            <v>2.09</v>
          </cell>
          <cell r="T5057">
            <v>120.923</v>
          </cell>
        </row>
        <row r="5058">
          <cell r="G5058">
            <v>42583</v>
          </cell>
          <cell r="L5058" t="str">
            <v>16-08-007-12W2</v>
          </cell>
          <cell r="O5058">
            <v>857.4</v>
          </cell>
          <cell r="Q5058">
            <v>2.1</v>
          </cell>
          <cell r="T5058">
            <v>139.703</v>
          </cell>
        </row>
        <row r="5059">
          <cell r="G5059">
            <v>42583</v>
          </cell>
          <cell r="L5059" t="str">
            <v>04-15-008-33W1</v>
          </cell>
          <cell r="O5059">
            <v>847.5</v>
          </cell>
          <cell r="Q5059">
            <v>1.1599999999999999</v>
          </cell>
          <cell r="T5059">
            <v>132.45599999999999</v>
          </cell>
        </row>
        <row r="5060">
          <cell r="G5060">
            <v>42583</v>
          </cell>
          <cell r="L5060" t="str">
            <v>14-04-007-13W2</v>
          </cell>
          <cell r="O5060">
            <v>860</v>
          </cell>
          <cell r="Q5060">
            <v>1.76</v>
          </cell>
          <cell r="T5060">
            <v>146.27600000000001</v>
          </cell>
        </row>
        <row r="5061">
          <cell r="G5061">
            <v>42583</v>
          </cell>
          <cell r="L5061" t="str">
            <v>16-16-010-02W2</v>
          </cell>
          <cell r="O5061">
            <v>854.5</v>
          </cell>
          <cell r="Q5061">
            <v>1.72</v>
          </cell>
          <cell r="T5061">
            <v>137.85599999999999</v>
          </cell>
        </row>
        <row r="5062">
          <cell r="G5062">
            <v>42583</v>
          </cell>
          <cell r="L5062" t="str">
            <v>01-29-004-07W2</v>
          </cell>
          <cell r="O5062">
            <v>888.8</v>
          </cell>
          <cell r="Q5062">
            <v>2.0099999999999998</v>
          </cell>
          <cell r="T5062">
            <v>146.46</v>
          </cell>
        </row>
        <row r="5063">
          <cell r="G5063">
            <v>42583</v>
          </cell>
          <cell r="L5063" t="str">
            <v>09-31-007-12W2</v>
          </cell>
          <cell r="O5063">
            <v>870.4</v>
          </cell>
          <cell r="Q5063">
            <v>2.15</v>
          </cell>
          <cell r="T5063">
            <v>159.66399999999999</v>
          </cell>
        </row>
        <row r="5064">
          <cell r="G5064">
            <v>42583</v>
          </cell>
          <cell r="L5064" t="str">
            <v>09-23-002-01W2</v>
          </cell>
          <cell r="O5064">
            <v>841.2</v>
          </cell>
          <cell r="Q5064">
            <v>0.93</v>
          </cell>
          <cell r="T5064">
            <v>150.54499999999999</v>
          </cell>
        </row>
        <row r="5065">
          <cell r="G5065">
            <v>42583</v>
          </cell>
          <cell r="L5065" t="str">
            <v>15-09-010-02W2</v>
          </cell>
          <cell r="O5065">
            <v>859.8</v>
          </cell>
          <cell r="Q5065">
            <v>1.73</v>
          </cell>
          <cell r="T5065">
            <v>152.80699999999999</v>
          </cell>
        </row>
        <row r="5066">
          <cell r="G5066">
            <v>42583</v>
          </cell>
          <cell r="L5066" t="str">
            <v>03-13-006-33W1</v>
          </cell>
          <cell r="O5066">
            <v>835.1</v>
          </cell>
          <cell r="Q5066">
            <v>0.78</v>
          </cell>
          <cell r="T5066">
            <v>156.19200000000001</v>
          </cell>
        </row>
        <row r="5067">
          <cell r="G5067">
            <v>42583</v>
          </cell>
          <cell r="L5067" t="str">
            <v>11-23-002-34W1</v>
          </cell>
          <cell r="O5067">
            <v>840.5</v>
          </cell>
          <cell r="Q5067">
            <v>0.76</v>
          </cell>
          <cell r="T5067">
            <v>158.911</v>
          </cell>
        </row>
        <row r="5068">
          <cell r="G5068">
            <v>42583</v>
          </cell>
          <cell r="L5068" t="str">
            <v>02-27-004-33W1</v>
          </cell>
          <cell r="O5068">
            <v>828</v>
          </cell>
          <cell r="Q5068">
            <v>0.67</v>
          </cell>
          <cell r="T5068">
            <v>163.29599999999999</v>
          </cell>
        </row>
        <row r="5069">
          <cell r="G5069">
            <v>42583</v>
          </cell>
          <cell r="L5069" t="str">
            <v>09-30-007-08W2</v>
          </cell>
          <cell r="O5069">
            <v>848.7</v>
          </cell>
          <cell r="Q5069">
            <v>0.9</v>
          </cell>
          <cell r="T5069">
            <v>180.52799999999999</v>
          </cell>
        </row>
        <row r="5070">
          <cell r="G5070">
            <v>42583</v>
          </cell>
          <cell r="L5070" t="str">
            <v>13-17-001-31W1</v>
          </cell>
          <cell r="O5070">
            <v>854.6</v>
          </cell>
          <cell r="Q5070">
            <v>1.35</v>
          </cell>
          <cell r="T5070">
            <v>165.97399999999999</v>
          </cell>
        </row>
        <row r="5071">
          <cell r="G5071">
            <v>42583</v>
          </cell>
          <cell r="L5071" t="str">
            <v>03-05-006-05W2</v>
          </cell>
          <cell r="O5071">
            <v>848.6</v>
          </cell>
          <cell r="Q5071">
            <v>1.1599999999999999</v>
          </cell>
          <cell r="T5071">
            <v>177.37200000000001</v>
          </cell>
        </row>
        <row r="5072">
          <cell r="G5072">
            <v>42583</v>
          </cell>
          <cell r="L5072" t="str">
            <v>02-30-001-31W1</v>
          </cell>
          <cell r="O5072">
            <v>865.4</v>
          </cell>
          <cell r="Q5072">
            <v>1.59</v>
          </cell>
          <cell r="T5072">
            <v>180.60499999999999</v>
          </cell>
        </row>
        <row r="5073">
          <cell r="G5073">
            <v>42583</v>
          </cell>
          <cell r="L5073" t="str">
            <v>12-12-005-34W1</v>
          </cell>
          <cell r="O5073">
            <v>824.4</v>
          </cell>
          <cell r="Q5073">
            <v>0.59</v>
          </cell>
          <cell r="T5073">
            <v>183.86699999999999</v>
          </cell>
        </row>
        <row r="5074">
          <cell r="G5074">
            <v>42583</v>
          </cell>
          <cell r="L5074" t="str">
            <v>02-17-005-31W1</v>
          </cell>
          <cell r="O5074">
            <v>843</v>
          </cell>
          <cell r="Q5074">
            <v>1.29</v>
          </cell>
          <cell r="T5074">
            <v>189.93899999999999</v>
          </cell>
        </row>
        <row r="5075">
          <cell r="G5075">
            <v>42583</v>
          </cell>
          <cell r="L5075" t="str">
            <v>16-27-004-33W1</v>
          </cell>
          <cell r="O5075">
            <v>848.4</v>
          </cell>
          <cell r="Q5075">
            <v>1.28</v>
          </cell>
          <cell r="T5075">
            <v>209.20699999999999</v>
          </cell>
        </row>
        <row r="5076">
          <cell r="G5076">
            <v>42583</v>
          </cell>
          <cell r="L5076" t="str">
            <v>13-25-001-01W2</v>
          </cell>
          <cell r="O5076">
            <v>842.8</v>
          </cell>
          <cell r="Q5076">
            <v>0.81</v>
          </cell>
          <cell r="T5076">
            <v>217.01599999999999</v>
          </cell>
        </row>
        <row r="5077">
          <cell r="G5077">
            <v>42583</v>
          </cell>
          <cell r="L5077" t="str">
            <v>01-24-007-05W2</v>
          </cell>
          <cell r="O5077">
            <v>850.2</v>
          </cell>
          <cell r="Q5077">
            <v>1.29</v>
          </cell>
          <cell r="T5077">
            <v>227.96100000000001</v>
          </cell>
        </row>
        <row r="5078">
          <cell r="G5078">
            <v>42583</v>
          </cell>
          <cell r="L5078" t="str">
            <v>02-18-007-13W2</v>
          </cell>
          <cell r="O5078">
            <v>855.8</v>
          </cell>
          <cell r="Q5078">
            <v>1.74</v>
          </cell>
          <cell r="T5078">
            <v>268.19499999999999</v>
          </cell>
        </row>
        <row r="5079">
          <cell r="G5079">
            <v>42583</v>
          </cell>
          <cell r="L5079" t="str">
            <v>07-36-001-34W1</v>
          </cell>
          <cell r="O5079">
            <v>852.2</v>
          </cell>
          <cell r="Q5079">
            <v>1.1499999999999999</v>
          </cell>
          <cell r="T5079">
            <v>235.976</v>
          </cell>
        </row>
        <row r="5080">
          <cell r="G5080">
            <v>42583</v>
          </cell>
          <cell r="L5080" t="str">
            <v>07-25-003-13W2</v>
          </cell>
          <cell r="O5080">
            <v>891.3</v>
          </cell>
          <cell r="Q5080">
            <v>2.4300000000000002</v>
          </cell>
          <cell r="T5080">
            <v>276.23700000000002</v>
          </cell>
        </row>
        <row r="5081">
          <cell r="G5081">
            <v>42583</v>
          </cell>
          <cell r="L5081" t="str">
            <v>08-31-005-03W2</v>
          </cell>
          <cell r="O5081">
            <v>845.4</v>
          </cell>
          <cell r="Q5081">
            <v>1.05</v>
          </cell>
          <cell r="T5081">
            <v>240.137</v>
          </cell>
        </row>
        <row r="5082">
          <cell r="G5082">
            <v>42583</v>
          </cell>
          <cell r="L5082" t="str">
            <v>12-22-007-11W2</v>
          </cell>
          <cell r="O5082">
            <v>840.7</v>
          </cell>
          <cell r="Q5082">
            <v>1.52</v>
          </cell>
          <cell r="T5082">
            <v>5419.0659999999998</v>
          </cell>
        </row>
        <row r="5083">
          <cell r="G5083">
            <v>42583</v>
          </cell>
          <cell r="L5083" t="str">
            <v>14-33-006-14W2</v>
          </cell>
          <cell r="O5083">
            <v>855.2</v>
          </cell>
          <cell r="Q5083">
            <v>1.68</v>
          </cell>
          <cell r="T5083">
            <v>2417.4270000000001</v>
          </cell>
        </row>
        <row r="5084">
          <cell r="G5084">
            <v>42583</v>
          </cell>
          <cell r="L5084" t="str">
            <v>04-21-006-14W2</v>
          </cell>
          <cell r="O5084">
            <v>864.4</v>
          </cell>
          <cell r="Q5084">
            <v>2.06</v>
          </cell>
          <cell r="T5084">
            <v>1592.412</v>
          </cell>
        </row>
        <row r="5085">
          <cell r="G5085">
            <v>42583</v>
          </cell>
          <cell r="L5085" t="str">
            <v>07-02-007-11W2</v>
          </cell>
          <cell r="O5085">
            <v>858.2</v>
          </cell>
          <cell r="Q5085">
            <v>1.28</v>
          </cell>
          <cell r="T5085">
            <v>1463.681</v>
          </cell>
        </row>
        <row r="5086">
          <cell r="G5086">
            <v>42583</v>
          </cell>
          <cell r="L5086" t="str">
            <v>01-22-006-14W2</v>
          </cell>
          <cell r="O5086">
            <v>863.8</v>
          </cell>
          <cell r="Q5086">
            <v>2.14</v>
          </cell>
          <cell r="T5086">
            <v>961.91200000000003</v>
          </cell>
        </row>
        <row r="5087">
          <cell r="G5087">
            <v>42583</v>
          </cell>
          <cell r="L5087" t="str">
            <v>03-21-001-16W2</v>
          </cell>
          <cell r="O5087">
            <v>870.3</v>
          </cell>
          <cell r="Q5087">
            <v>0.87</v>
          </cell>
          <cell r="T5087">
            <v>507.899</v>
          </cell>
        </row>
        <row r="5088">
          <cell r="G5088">
            <v>42583</v>
          </cell>
          <cell r="L5088" t="str">
            <v>01-03-008-13W2</v>
          </cell>
          <cell r="O5088">
            <v>855.4</v>
          </cell>
          <cell r="Q5088">
            <v>2.0499999999999998</v>
          </cell>
          <cell r="T5088">
            <v>457.57400000000001</v>
          </cell>
        </row>
        <row r="5089">
          <cell r="G5089">
            <v>42583</v>
          </cell>
          <cell r="L5089" t="str">
            <v>03-06-005-12W2</v>
          </cell>
          <cell r="O5089">
            <v>885.7</v>
          </cell>
          <cell r="Q5089">
            <v>2.4</v>
          </cell>
          <cell r="T5089">
            <v>451.05599999999998</v>
          </cell>
        </row>
        <row r="5090">
          <cell r="G5090">
            <v>42583</v>
          </cell>
          <cell r="L5090" t="str">
            <v>15-30-007-12W2</v>
          </cell>
          <cell r="O5090">
            <v>867.3</v>
          </cell>
          <cell r="Q5090">
            <v>2.38</v>
          </cell>
          <cell r="T5090">
            <v>349.03399999999999</v>
          </cell>
        </row>
        <row r="5091">
          <cell r="G5091">
            <v>42583</v>
          </cell>
          <cell r="L5091" t="str">
            <v>04-11-007-13W2</v>
          </cell>
          <cell r="O5091">
            <v>855.2</v>
          </cell>
          <cell r="Q5091">
            <v>1.91</v>
          </cell>
          <cell r="T5091">
            <v>331.59699999999998</v>
          </cell>
        </row>
        <row r="5092">
          <cell r="G5092">
            <v>42583</v>
          </cell>
          <cell r="L5092" t="str">
            <v>10-22-006-14W2</v>
          </cell>
          <cell r="O5092">
            <v>847.1</v>
          </cell>
          <cell r="Q5092">
            <v>1.64</v>
          </cell>
          <cell r="T5092">
            <v>315.017</v>
          </cell>
        </row>
        <row r="5093">
          <cell r="G5093">
            <v>42583</v>
          </cell>
          <cell r="L5093" t="str">
            <v>01-21-001-14W2</v>
          </cell>
          <cell r="O5093">
            <v>806.8</v>
          </cell>
          <cell r="Q5093">
            <v>0.14000000000000001</v>
          </cell>
          <cell r="T5093">
            <v>26528.935000000001</v>
          </cell>
        </row>
        <row r="5094">
          <cell r="G5094">
            <v>42583</v>
          </cell>
          <cell r="L5094" t="str">
            <v>07-12-006-11W2</v>
          </cell>
          <cell r="O5094">
            <v>877.2</v>
          </cell>
          <cell r="Q5094">
            <v>2.0099999999999998</v>
          </cell>
          <cell r="T5094">
            <v>22300.46</v>
          </cell>
        </row>
        <row r="5095">
          <cell r="G5095">
            <v>42583</v>
          </cell>
          <cell r="L5095" t="str">
            <v>09-13-007-11W2</v>
          </cell>
          <cell r="O5095">
            <v>823.7</v>
          </cell>
          <cell r="Q5095">
            <v>0.37</v>
          </cell>
          <cell r="T5095">
            <v>17249.063999999998</v>
          </cell>
        </row>
        <row r="5096">
          <cell r="G5096">
            <v>42583</v>
          </cell>
          <cell r="L5096" t="str">
            <v>13-30-007-10W2</v>
          </cell>
          <cell r="O5096">
            <v>823.9</v>
          </cell>
          <cell r="Q5096">
            <v>0.6</v>
          </cell>
          <cell r="T5096">
            <v>12685.755999999999</v>
          </cell>
        </row>
        <row r="5097">
          <cell r="G5097">
            <v>42583</v>
          </cell>
          <cell r="L5097" t="str">
            <v>14-27-001-13W2</v>
          </cell>
          <cell r="O5097">
            <v>832.1</v>
          </cell>
          <cell r="Q5097">
            <v>0.12</v>
          </cell>
          <cell r="T5097">
            <v>9265.027</v>
          </cell>
        </row>
        <row r="5098">
          <cell r="G5098">
            <v>42583</v>
          </cell>
          <cell r="L5098" t="str">
            <v>08-31-004-18W2</v>
          </cell>
          <cell r="O5098">
            <v>856.8</v>
          </cell>
          <cell r="Q5098">
            <v>1.87</v>
          </cell>
          <cell r="T5098">
            <v>8583.7960000000003</v>
          </cell>
        </row>
        <row r="5099">
          <cell r="G5099">
            <v>42583</v>
          </cell>
          <cell r="L5099" t="str">
            <v>01-28-002-14W2</v>
          </cell>
          <cell r="O5099">
            <v>849.3</v>
          </cell>
          <cell r="Q5099">
            <v>1.48</v>
          </cell>
          <cell r="T5099">
            <v>5621.1970000000001</v>
          </cell>
        </row>
        <row r="5100">
          <cell r="G5100">
            <v>42583</v>
          </cell>
          <cell r="L5100" t="str">
            <v>04-05-002-15W2</v>
          </cell>
          <cell r="O5100">
            <v>879.1</v>
          </cell>
          <cell r="Q5100">
            <v>2.04</v>
          </cell>
          <cell r="T5100">
            <v>3953.7469999999998</v>
          </cell>
        </row>
        <row r="5101">
          <cell r="G5101">
            <v>42583</v>
          </cell>
          <cell r="L5101" t="str">
            <v>11-02-005-12W2</v>
          </cell>
          <cell r="O5101">
            <v>833.6</v>
          </cell>
          <cell r="Q5101">
            <v>1.63</v>
          </cell>
          <cell r="T5101">
            <v>3596.04</v>
          </cell>
        </row>
        <row r="5102">
          <cell r="G5102">
            <v>42583</v>
          </cell>
          <cell r="L5102" t="str">
            <v>05-31-003-16W2</v>
          </cell>
          <cell r="O5102">
            <v>893.6</v>
          </cell>
          <cell r="Q5102">
            <v>2.42</v>
          </cell>
          <cell r="T5102">
            <v>2892.57</v>
          </cell>
        </row>
        <row r="5103">
          <cell r="G5103">
            <v>42583</v>
          </cell>
          <cell r="L5103" t="str">
            <v>05-18-004-17W2</v>
          </cell>
          <cell r="O5103">
            <v>864.4</v>
          </cell>
          <cell r="Q5103">
            <v>2.14</v>
          </cell>
          <cell r="T5103">
            <v>2152.2220000000002</v>
          </cell>
        </row>
        <row r="5104">
          <cell r="G5104">
            <v>42583</v>
          </cell>
          <cell r="L5104" t="str">
            <v>06-03-001-16W2</v>
          </cell>
          <cell r="O5104">
            <v>864</v>
          </cell>
          <cell r="Q5104">
            <v>1.1299999999999999</v>
          </cell>
          <cell r="T5104">
            <v>1839.7</v>
          </cell>
        </row>
        <row r="5105">
          <cell r="G5105">
            <v>42583</v>
          </cell>
          <cell r="L5105" t="str">
            <v>11-04-005-12W2</v>
          </cell>
          <cell r="O5105">
            <v>877.4</v>
          </cell>
          <cell r="Q5105">
            <v>2.0299999999999998</v>
          </cell>
          <cell r="T5105">
            <v>1552.568</v>
          </cell>
        </row>
        <row r="5106">
          <cell r="G5106">
            <v>42583</v>
          </cell>
          <cell r="L5106" t="str">
            <v>16-23-006-11W2</v>
          </cell>
          <cell r="O5106">
            <v>882.2</v>
          </cell>
          <cell r="Q5106">
            <v>2.2799999999999998</v>
          </cell>
          <cell r="T5106">
            <v>1477.8409999999999</v>
          </cell>
        </row>
        <row r="5107">
          <cell r="G5107">
            <v>42583</v>
          </cell>
          <cell r="L5107" t="str">
            <v>15-25-007-11W2</v>
          </cell>
          <cell r="O5107">
            <v>868</v>
          </cell>
          <cell r="Q5107">
            <v>1.94</v>
          </cell>
          <cell r="T5107">
            <v>1439.7919999999999</v>
          </cell>
        </row>
        <row r="5108">
          <cell r="G5108">
            <v>42583</v>
          </cell>
          <cell r="L5108" t="str">
            <v>13-02-007-14W2</v>
          </cell>
          <cell r="O5108">
            <v>851</v>
          </cell>
          <cell r="Q5108">
            <v>1.81</v>
          </cell>
          <cell r="T5108">
            <v>1436.482</v>
          </cell>
        </row>
        <row r="5109">
          <cell r="G5109">
            <v>42583</v>
          </cell>
          <cell r="L5109" t="str">
            <v>15-32-004-12W2</v>
          </cell>
          <cell r="O5109">
            <v>881.4</v>
          </cell>
          <cell r="Q5109">
            <v>2.14</v>
          </cell>
          <cell r="T5109">
            <v>1394.646</v>
          </cell>
        </row>
        <row r="5110">
          <cell r="G5110">
            <v>42583</v>
          </cell>
          <cell r="L5110" t="str">
            <v>15-33-006-14W2</v>
          </cell>
          <cell r="O5110">
            <v>848.8</v>
          </cell>
          <cell r="Q5110">
            <v>1.65</v>
          </cell>
          <cell r="T5110">
            <v>1216.367</v>
          </cell>
        </row>
        <row r="5111">
          <cell r="G5111">
            <v>42583</v>
          </cell>
          <cell r="L5111" t="str">
            <v>12-25-004-19W2</v>
          </cell>
          <cell r="O5111">
            <v>867.2</v>
          </cell>
          <cell r="Q5111">
            <v>2.35</v>
          </cell>
          <cell r="T5111">
            <v>782.60400000000004</v>
          </cell>
        </row>
        <row r="5112">
          <cell r="G5112">
            <v>42583</v>
          </cell>
          <cell r="L5112" t="str">
            <v>02-29-001-17W2</v>
          </cell>
          <cell r="O5112">
            <v>862.5</v>
          </cell>
          <cell r="Q5112">
            <v>1.74</v>
          </cell>
          <cell r="T5112">
            <v>741.73900000000003</v>
          </cell>
        </row>
        <row r="5113">
          <cell r="G5113">
            <v>42583</v>
          </cell>
          <cell r="L5113" t="str">
            <v>11-26-002-19W2</v>
          </cell>
          <cell r="O5113">
            <v>867.7</v>
          </cell>
          <cell r="Q5113">
            <v>1.84</v>
          </cell>
          <cell r="T5113">
            <v>623.16499999999996</v>
          </cell>
        </row>
        <row r="5114">
          <cell r="G5114">
            <v>42583</v>
          </cell>
          <cell r="L5114" t="str">
            <v>05-35-006-11W2</v>
          </cell>
          <cell r="O5114">
            <v>810.1</v>
          </cell>
          <cell r="Q5114">
            <v>0.1</v>
          </cell>
          <cell r="T5114">
            <v>493.2</v>
          </cell>
        </row>
        <row r="5115">
          <cell r="G5115">
            <v>42583</v>
          </cell>
          <cell r="L5115" t="str">
            <v>03-12-002-19W2</v>
          </cell>
          <cell r="O5115">
            <v>867.4</v>
          </cell>
          <cell r="Q5115">
            <v>2.23</v>
          </cell>
          <cell r="T5115">
            <v>358.45</v>
          </cell>
        </row>
        <row r="5116">
          <cell r="G5116">
            <v>42583</v>
          </cell>
          <cell r="L5116" t="str">
            <v>09-28-001-15W2</v>
          </cell>
          <cell r="O5116">
            <v>864.5</v>
          </cell>
          <cell r="Q5116">
            <v>1.05</v>
          </cell>
          <cell r="T5116">
            <v>349.66</v>
          </cell>
        </row>
        <row r="5117">
          <cell r="G5117">
            <v>42583</v>
          </cell>
          <cell r="L5117" t="str">
            <v>15-21-008-03W2</v>
          </cell>
          <cell r="O5117">
            <v>851.9</v>
          </cell>
          <cell r="Q5117">
            <v>1.46</v>
          </cell>
          <cell r="T5117">
            <v>251.19200000000001</v>
          </cell>
        </row>
        <row r="5118">
          <cell r="G5118">
            <v>42583</v>
          </cell>
          <cell r="L5118" t="str">
            <v>08-31-009-01W2</v>
          </cell>
          <cell r="O5118">
            <v>857.3</v>
          </cell>
          <cell r="Q5118">
            <v>1.7</v>
          </cell>
          <cell r="T5118">
            <v>263.90899999999999</v>
          </cell>
        </row>
        <row r="5119">
          <cell r="G5119">
            <v>42583</v>
          </cell>
          <cell r="L5119" t="str">
            <v>01-07-006-10W2</v>
          </cell>
          <cell r="O5119">
            <v>826.2</v>
          </cell>
          <cell r="Q5119">
            <v>1.75</v>
          </cell>
          <cell r="T5119">
            <v>62161.747000000003</v>
          </cell>
        </row>
        <row r="5120">
          <cell r="G5120">
            <v>42583</v>
          </cell>
          <cell r="L5120" t="str">
            <v>05-01-001-32W1</v>
          </cell>
          <cell r="O5120">
            <v>873</v>
          </cell>
          <cell r="Q5120">
            <v>1.57</v>
          </cell>
          <cell r="T5120">
            <v>283.94299999999998</v>
          </cell>
        </row>
        <row r="5121">
          <cell r="G5121">
            <v>42583</v>
          </cell>
          <cell r="L5121" t="str">
            <v>03-33-008-06W2</v>
          </cell>
          <cell r="O5121">
            <v>812.4</v>
          </cell>
          <cell r="Q5121">
            <v>0.19</v>
          </cell>
          <cell r="T5121">
            <v>13381.718000000001</v>
          </cell>
        </row>
        <row r="5122">
          <cell r="G5122">
            <v>42583</v>
          </cell>
          <cell r="L5122" t="str">
            <v>12-06-009-07W2</v>
          </cell>
          <cell r="O5122">
            <v>812.8</v>
          </cell>
          <cell r="Q5122">
            <v>0.17</v>
          </cell>
          <cell r="T5122">
            <v>9531.8590000000004</v>
          </cell>
        </row>
        <row r="5123">
          <cell r="G5123">
            <v>42583</v>
          </cell>
          <cell r="L5123" t="str">
            <v>02-26-009-09W2</v>
          </cell>
          <cell r="O5123">
            <v>814.9</v>
          </cell>
          <cell r="Q5123">
            <v>0.16</v>
          </cell>
          <cell r="T5123">
            <v>7819.1639999999998</v>
          </cell>
        </row>
        <row r="5124">
          <cell r="G5124">
            <v>42583</v>
          </cell>
          <cell r="L5124" t="str">
            <v>03-17-011-06W2</v>
          </cell>
          <cell r="O5124">
            <v>884.1</v>
          </cell>
          <cell r="Q5124">
            <v>2.57</v>
          </cell>
          <cell r="T5124">
            <v>1503.4469999999999</v>
          </cell>
        </row>
        <row r="5125">
          <cell r="G5125">
            <v>42583</v>
          </cell>
          <cell r="L5125" t="str">
            <v>04-18-009-06W2</v>
          </cell>
          <cell r="O5125">
            <v>837.6</v>
          </cell>
          <cell r="Q5125">
            <v>0.88</v>
          </cell>
          <cell r="T5125">
            <v>1439.453</v>
          </cell>
        </row>
        <row r="5126">
          <cell r="G5126">
            <v>42583</v>
          </cell>
          <cell r="L5126" t="str">
            <v>13-14-009-09W2</v>
          </cell>
          <cell r="O5126">
            <v>855.9</v>
          </cell>
          <cell r="Q5126">
            <v>1.89</v>
          </cell>
          <cell r="T5126">
            <v>1315.52</v>
          </cell>
        </row>
        <row r="5127">
          <cell r="G5127">
            <v>42583</v>
          </cell>
          <cell r="L5127" t="str">
            <v>09-10-009-06W2</v>
          </cell>
          <cell r="O5127">
            <v>855.5</v>
          </cell>
          <cell r="Q5127">
            <v>1.65</v>
          </cell>
          <cell r="T5127">
            <v>1283.9670000000001</v>
          </cell>
        </row>
        <row r="5128">
          <cell r="G5128">
            <v>42583</v>
          </cell>
          <cell r="L5128" t="str">
            <v>03-15-012-06W2</v>
          </cell>
          <cell r="O5128">
            <v>885.5</v>
          </cell>
          <cell r="Q5128">
            <v>2.57</v>
          </cell>
          <cell r="T5128">
            <v>1163.7570000000001</v>
          </cell>
        </row>
        <row r="5129">
          <cell r="G5129">
            <v>42583</v>
          </cell>
          <cell r="L5129" t="str">
            <v>05-31-009-07W2</v>
          </cell>
          <cell r="O5129">
            <v>878</v>
          </cell>
          <cell r="Q5129">
            <v>2.31</v>
          </cell>
          <cell r="T5129">
            <v>612.84900000000005</v>
          </cell>
        </row>
        <row r="5130">
          <cell r="G5130">
            <v>42583</v>
          </cell>
          <cell r="L5130" t="str">
            <v>09-26-007-09W2</v>
          </cell>
          <cell r="O5130">
            <v>821.4</v>
          </cell>
          <cell r="Q5130">
            <v>0.48</v>
          </cell>
          <cell r="T5130">
            <v>558.14300000000003</v>
          </cell>
        </row>
        <row r="5131">
          <cell r="G5131">
            <v>42583</v>
          </cell>
          <cell r="L5131" t="str">
            <v>09-18-007-04W2</v>
          </cell>
          <cell r="O5131">
            <v>858.4</v>
          </cell>
          <cell r="Q5131">
            <v>1.41</v>
          </cell>
          <cell r="T5131">
            <v>290.97399999999999</v>
          </cell>
        </row>
        <row r="5132">
          <cell r="G5132">
            <v>42583</v>
          </cell>
          <cell r="L5132" t="str">
            <v>04-08-008-08W2</v>
          </cell>
          <cell r="O5132">
            <v>807.5</v>
          </cell>
          <cell r="Q5132">
            <v>0.21</v>
          </cell>
          <cell r="T5132">
            <v>49446.014999999999</v>
          </cell>
        </row>
        <row r="5133">
          <cell r="G5133">
            <v>42583</v>
          </cell>
          <cell r="L5133" t="str">
            <v>09-14-009-08W2</v>
          </cell>
          <cell r="O5133">
            <v>804.1</v>
          </cell>
          <cell r="Q5133">
            <v>0.15</v>
          </cell>
          <cell r="T5133">
            <v>40201.538</v>
          </cell>
        </row>
        <row r="5134">
          <cell r="G5134">
            <v>42583</v>
          </cell>
          <cell r="L5134" t="str">
            <v>13-29-008-07W2</v>
          </cell>
          <cell r="O5134">
            <v>802.5</v>
          </cell>
          <cell r="Q5134">
            <v>0.13</v>
          </cell>
          <cell r="T5134">
            <v>21867.932000000001</v>
          </cell>
        </row>
        <row r="5135">
          <cell r="G5135">
            <v>42583</v>
          </cell>
          <cell r="L5135" t="str">
            <v>11-15-007-09W2</v>
          </cell>
          <cell r="O5135">
            <v>820.8</v>
          </cell>
          <cell r="Q5135">
            <v>0.21</v>
          </cell>
          <cell r="T5135">
            <v>6690.3270000000002</v>
          </cell>
        </row>
        <row r="5136">
          <cell r="G5136">
            <v>42583</v>
          </cell>
          <cell r="L5136" t="str">
            <v>13-18-010-06W2</v>
          </cell>
          <cell r="O5136">
            <v>837.3</v>
          </cell>
          <cell r="Q5136">
            <v>0.9</v>
          </cell>
          <cell r="T5136">
            <v>3899.038</v>
          </cell>
        </row>
        <row r="5137">
          <cell r="G5137">
            <v>42583</v>
          </cell>
          <cell r="L5137" t="str">
            <v>09-20-008-08W2</v>
          </cell>
          <cell r="O5137">
            <v>818.8</v>
          </cell>
          <cell r="Q5137">
            <v>0.33</v>
          </cell>
          <cell r="T5137">
            <v>3054.7559999999999</v>
          </cell>
        </row>
        <row r="5138">
          <cell r="G5138">
            <v>42583</v>
          </cell>
          <cell r="L5138" t="str">
            <v>05-13-009-06W2</v>
          </cell>
          <cell r="O5138">
            <v>848.8</v>
          </cell>
          <cell r="Q5138">
            <v>1.51</v>
          </cell>
          <cell r="T5138">
            <v>1918.4179999999999</v>
          </cell>
        </row>
        <row r="5139">
          <cell r="G5139">
            <v>42583</v>
          </cell>
          <cell r="L5139" t="str">
            <v>13-07-010-09W2</v>
          </cell>
          <cell r="O5139">
            <v>817</v>
          </cell>
          <cell r="Q5139">
            <v>0.16</v>
          </cell>
          <cell r="T5139">
            <v>1633.7249999999999</v>
          </cell>
        </row>
        <row r="5140">
          <cell r="G5140">
            <v>42583</v>
          </cell>
          <cell r="L5140" t="str">
            <v>15-23-006-08W2</v>
          </cell>
          <cell r="O5140">
            <v>866.2</v>
          </cell>
          <cell r="Q5140">
            <v>1.86</v>
          </cell>
          <cell r="T5140">
            <v>1587.462</v>
          </cell>
        </row>
        <row r="5141">
          <cell r="G5141">
            <v>42583</v>
          </cell>
          <cell r="L5141" t="str">
            <v>01-26-006-09W2</v>
          </cell>
          <cell r="O5141">
            <v>883.2</v>
          </cell>
          <cell r="Q5141">
            <v>2.2999999999999998</v>
          </cell>
          <cell r="T5141">
            <v>1472.58</v>
          </cell>
        </row>
        <row r="5142">
          <cell r="G5142">
            <v>42583</v>
          </cell>
          <cell r="L5142" t="str">
            <v>07-04-010-08W2</v>
          </cell>
          <cell r="O5142">
            <v>880.8</v>
          </cell>
          <cell r="Q5142">
            <v>2.4300000000000002</v>
          </cell>
          <cell r="T5142">
            <v>1451.057</v>
          </cell>
        </row>
        <row r="5143">
          <cell r="G5143">
            <v>42583</v>
          </cell>
          <cell r="L5143" t="str">
            <v>05-13-008-06W2</v>
          </cell>
          <cell r="O5143">
            <v>822</v>
          </cell>
          <cell r="Q5143">
            <v>0.51</v>
          </cell>
          <cell r="T5143">
            <v>1371.471</v>
          </cell>
        </row>
        <row r="5144">
          <cell r="G5144">
            <v>42583</v>
          </cell>
          <cell r="L5144" t="str">
            <v>03-06-011-07W2</v>
          </cell>
          <cell r="O5144">
            <v>881.5</v>
          </cell>
          <cell r="Q5144">
            <v>1.81</v>
          </cell>
          <cell r="T5144">
            <v>1289.5129999999999</v>
          </cell>
        </row>
        <row r="5145">
          <cell r="G5145">
            <v>42583</v>
          </cell>
          <cell r="L5145" t="str">
            <v>09-06-010-07W2</v>
          </cell>
          <cell r="O5145">
            <v>883</v>
          </cell>
          <cell r="Q5145">
            <v>2.36</v>
          </cell>
          <cell r="T5145">
            <v>909.47199999999998</v>
          </cell>
        </row>
        <row r="5146">
          <cell r="G5146">
            <v>42583</v>
          </cell>
          <cell r="L5146" t="str">
            <v>07-28-007-08W2</v>
          </cell>
          <cell r="O5146">
            <v>852.6</v>
          </cell>
          <cell r="Q5146">
            <v>1.25</v>
          </cell>
          <cell r="T5146">
            <v>663.96100000000001</v>
          </cell>
        </row>
        <row r="5147">
          <cell r="G5147">
            <v>42583</v>
          </cell>
          <cell r="L5147" t="str">
            <v>01-22-010-07W2</v>
          </cell>
          <cell r="O5147">
            <v>885.4</v>
          </cell>
          <cell r="Q5147">
            <v>2.5099999999999998</v>
          </cell>
          <cell r="T5147">
            <v>650.40899999999999</v>
          </cell>
        </row>
        <row r="5148">
          <cell r="G5148">
            <v>42583</v>
          </cell>
          <cell r="L5148" t="str">
            <v>01-04-007-09W2</v>
          </cell>
          <cell r="O5148">
            <v>808.9</v>
          </cell>
          <cell r="Q5148">
            <v>0.17</v>
          </cell>
          <cell r="T5148">
            <v>636.51400000000001</v>
          </cell>
        </row>
        <row r="5149">
          <cell r="G5149">
            <v>42583</v>
          </cell>
          <cell r="L5149" t="str">
            <v>16-35-009-09W2</v>
          </cell>
          <cell r="O5149">
            <v>880.7</v>
          </cell>
          <cell r="Q5149">
            <v>2.4300000000000002</v>
          </cell>
          <cell r="T5149">
            <v>612.89400000000001</v>
          </cell>
        </row>
        <row r="5150">
          <cell r="G5150">
            <v>42583</v>
          </cell>
          <cell r="L5150" t="str">
            <v>09-11-010-08W2</v>
          </cell>
          <cell r="O5150">
            <v>882.4</v>
          </cell>
          <cell r="Q5150">
            <v>2.4700000000000002</v>
          </cell>
          <cell r="T5150">
            <v>515.02499999999998</v>
          </cell>
        </row>
        <row r="5151">
          <cell r="G5151">
            <v>42583</v>
          </cell>
          <cell r="L5151" t="str">
            <v>07-25-009-08W2</v>
          </cell>
          <cell r="O5151">
            <v>885.7</v>
          </cell>
          <cell r="Q5151">
            <v>2.3199999999999998</v>
          </cell>
          <cell r="T5151">
            <v>355.084</v>
          </cell>
        </row>
        <row r="5152">
          <cell r="G5152">
            <v>42583</v>
          </cell>
          <cell r="L5152" t="str">
            <v>14-18-001-04W2</v>
          </cell>
          <cell r="O5152">
            <v>824.4</v>
          </cell>
          <cell r="Q5152">
            <v>0.53</v>
          </cell>
          <cell r="T5152">
            <v>340.10300000000001</v>
          </cell>
        </row>
        <row r="5153">
          <cell r="G5153">
            <v>42583</v>
          </cell>
          <cell r="L5153" t="str">
            <v>08-14-004-07W2</v>
          </cell>
          <cell r="O5153">
            <v>863</v>
          </cell>
          <cell r="Q5153">
            <v>1.24</v>
          </cell>
          <cell r="T5153">
            <v>340.62599999999998</v>
          </cell>
        </row>
        <row r="5154">
          <cell r="G5154">
            <v>42583</v>
          </cell>
          <cell r="L5154" t="str">
            <v>16-09-004-31W1</v>
          </cell>
          <cell r="O5154">
            <v>869.1</v>
          </cell>
          <cell r="Q5154">
            <v>1.81</v>
          </cell>
          <cell r="T5154">
            <v>320.54399999999998</v>
          </cell>
        </row>
        <row r="5155">
          <cell r="G5155">
            <v>42583</v>
          </cell>
          <cell r="L5155" t="str">
            <v>10-33-003-31W1</v>
          </cell>
          <cell r="O5155">
            <v>877.4</v>
          </cell>
          <cell r="Q5155">
            <v>0.88</v>
          </cell>
          <cell r="T5155">
            <v>326.57400000000001</v>
          </cell>
        </row>
        <row r="5156">
          <cell r="G5156">
            <v>42583</v>
          </cell>
          <cell r="L5156" t="str">
            <v>08-26-006-02W2</v>
          </cell>
          <cell r="O5156">
            <v>849.3</v>
          </cell>
          <cell r="Q5156">
            <v>1.1299999999999999</v>
          </cell>
          <cell r="T5156">
            <v>327.637</v>
          </cell>
        </row>
        <row r="5157">
          <cell r="G5157">
            <v>42583</v>
          </cell>
          <cell r="L5157" t="str">
            <v>07-23-006-02W2</v>
          </cell>
          <cell r="O5157">
            <v>850.4</v>
          </cell>
          <cell r="Q5157">
            <v>1.1100000000000001</v>
          </cell>
          <cell r="T5157">
            <v>325.10500000000002</v>
          </cell>
        </row>
        <row r="5158">
          <cell r="G5158">
            <v>42583</v>
          </cell>
          <cell r="L5158" t="str">
            <v>10-26-010-03W2</v>
          </cell>
          <cell r="O5158">
            <v>855.9</v>
          </cell>
          <cell r="Q5158">
            <v>1.56</v>
          </cell>
          <cell r="T5158">
            <v>332.685</v>
          </cell>
        </row>
        <row r="5159">
          <cell r="G5159">
            <v>42583</v>
          </cell>
          <cell r="L5159" t="str">
            <v>05-31-002-01W2</v>
          </cell>
          <cell r="O5159">
            <v>821.9</v>
          </cell>
          <cell r="Q5159">
            <v>0.48</v>
          </cell>
          <cell r="T5159">
            <v>7496.1450000000004</v>
          </cell>
        </row>
        <row r="5160">
          <cell r="G5160">
            <v>42583</v>
          </cell>
          <cell r="L5160" t="str">
            <v>13-03-006-34W1</v>
          </cell>
          <cell r="O5160">
            <v>845.4</v>
          </cell>
          <cell r="Q5160">
            <v>1.19</v>
          </cell>
          <cell r="T5160">
            <v>5393.3</v>
          </cell>
        </row>
        <row r="5161">
          <cell r="G5161">
            <v>42583</v>
          </cell>
          <cell r="L5161" t="str">
            <v>11-30-005-03W2</v>
          </cell>
          <cell r="O5161">
            <v>851.9</v>
          </cell>
          <cell r="Q5161">
            <v>1.35</v>
          </cell>
          <cell r="T5161">
            <v>5343.5240000000003</v>
          </cell>
        </row>
        <row r="5162">
          <cell r="G5162">
            <v>42583</v>
          </cell>
          <cell r="L5162" t="str">
            <v>16-18-011-04W2</v>
          </cell>
          <cell r="O5162">
            <v>823.4</v>
          </cell>
          <cell r="Q5162">
            <v>1.4</v>
          </cell>
          <cell r="T5162">
            <v>5032.2340000000004</v>
          </cell>
        </row>
        <row r="5163">
          <cell r="G5163">
            <v>42583</v>
          </cell>
          <cell r="L5163" t="str">
            <v>16-12-004-31W1</v>
          </cell>
          <cell r="O5163">
            <v>851.6</v>
          </cell>
          <cell r="Q5163">
            <v>1.7</v>
          </cell>
          <cell r="T5163">
            <v>4688.8940000000002</v>
          </cell>
        </row>
        <row r="5164">
          <cell r="G5164">
            <v>42583</v>
          </cell>
          <cell r="L5164" t="str">
            <v>04-27-003-33W1</v>
          </cell>
          <cell r="O5164">
            <v>843.7</v>
          </cell>
          <cell r="Q5164">
            <v>1.21</v>
          </cell>
          <cell r="T5164">
            <v>3925.8910000000001</v>
          </cell>
        </row>
        <row r="5165">
          <cell r="G5165">
            <v>42583</v>
          </cell>
          <cell r="L5165" t="str">
            <v>03-03-002-32W1</v>
          </cell>
          <cell r="O5165">
            <v>825</v>
          </cell>
          <cell r="Q5165">
            <v>0.84</v>
          </cell>
          <cell r="T5165">
            <v>3685.0509999999999</v>
          </cell>
        </row>
        <row r="5166">
          <cell r="G5166">
            <v>42583</v>
          </cell>
          <cell r="L5166" t="str">
            <v>04-22-009-33W1</v>
          </cell>
          <cell r="O5166">
            <v>854.3</v>
          </cell>
          <cell r="Q5166">
            <v>1.42</v>
          </cell>
          <cell r="T5166">
            <v>3460.9659999999999</v>
          </cell>
        </row>
        <row r="5167">
          <cell r="G5167">
            <v>42583</v>
          </cell>
          <cell r="L5167" t="str">
            <v>07-28-002-30W1</v>
          </cell>
          <cell r="O5167">
            <v>881.5</v>
          </cell>
          <cell r="Q5167">
            <v>2.41</v>
          </cell>
          <cell r="T5167">
            <v>2651.107</v>
          </cell>
        </row>
        <row r="5168">
          <cell r="G5168">
            <v>42583</v>
          </cell>
          <cell r="L5168" t="str">
            <v>05-03-009-33W1</v>
          </cell>
          <cell r="O5168">
            <v>850.1</v>
          </cell>
          <cell r="Q5168">
            <v>1.29</v>
          </cell>
          <cell r="T5168">
            <v>2283.8029999999999</v>
          </cell>
        </row>
        <row r="5169">
          <cell r="G5169">
            <v>42583</v>
          </cell>
          <cell r="L5169" t="str">
            <v>06-27-006-01W2</v>
          </cell>
          <cell r="O5169">
            <v>852.4</v>
          </cell>
          <cell r="Q5169">
            <v>1.54</v>
          </cell>
          <cell r="T5169">
            <v>1971.2919999999999</v>
          </cell>
        </row>
        <row r="5170">
          <cell r="G5170">
            <v>42583</v>
          </cell>
          <cell r="L5170" t="str">
            <v>09-28-006-34W1</v>
          </cell>
          <cell r="O5170">
            <v>845.2</v>
          </cell>
          <cell r="Q5170">
            <v>1.27</v>
          </cell>
          <cell r="T5170">
            <v>1914.2449999999999</v>
          </cell>
        </row>
        <row r="5171">
          <cell r="G5171">
            <v>42583</v>
          </cell>
          <cell r="L5171" t="str">
            <v>14-30-009-33W1</v>
          </cell>
          <cell r="O5171">
            <v>858.1</v>
          </cell>
          <cell r="Q5171">
            <v>1.72</v>
          </cell>
          <cell r="T5171">
            <v>1538.838</v>
          </cell>
        </row>
        <row r="5172">
          <cell r="G5172">
            <v>42583</v>
          </cell>
          <cell r="L5172" t="str">
            <v>04-17-004-31W1</v>
          </cell>
          <cell r="O5172">
            <v>864.2</v>
          </cell>
          <cell r="Q5172">
            <v>1.74</v>
          </cell>
          <cell r="T5172">
            <v>1448.913</v>
          </cell>
        </row>
        <row r="5173">
          <cell r="G5173">
            <v>42583</v>
          </cell>
          <cell r="L5173" t="str">
            <v>14-33-003-01W2</v>
          </cell>
          <cell r="O5173">
            <v>835.6</v>
          </cell>
          <cell r="Q5173">
            <v>0.84</v>
          </cell>
          <cell r="T5173">
            <v>1299.0150000000001</v>
          </cell>
        </row>
        <row r="5174">
          <cell r="G5174">
            <v>42583</v>
          </cell>
          <cell r="L5174" t="str">
            <v>08-05-006-33W1</v>
          </cell>
          <cell r="O5174">
            <v>834.4</v>
          </cell>
          <cell r="Q5174">
            <v>0.84</v>
          </cell>
          <cell r="T5174">
            <v>1247.171</v>
          </cell>
        </row>
        <row r="5175">
          <cell r="G5175">
            <v>42583</v>
          </cell>
          <cell r="L5175" t="str">
            <v>09-27-006-05W2</v>
          </cell>
          <cell r="O5175">
            <v>870.2</v>
          </cell>
          <cell r="Q5175">
            <v>2.14</v>
          </cell>
          <cell r="T5175">
            <v>1195.0640000000001</v>
          </cell>
        </row>
        <row r="5176">
          <cell r="G5176">
            <v>42583</v>
          </cell>
          <cell r="L5176" t="str">
            <v>09-27-008-03W2</v>
          </cell>
          <cell r="O5176">
            <v>850.6</v>
          </cell>
          <cell r="Q5176">
            <v>1.56</v>
          </cell>
          <cell r="T5176">
            <v>1104.367</v>
          </cell>
        </row>
        <row r="5177">
          <cell r="G5177">
            <v>42583</v>
          </cell>
          <cell r="L5177" t="str">
            <v>10-13-006-03W2</v>
          </cell>
          <cell r="O5177">
            <v>860.6</v>
          </cell>
          <cell r="Q5177">
            <v>1.66</v>
          </cell>
          <cell r="T5177">
            <v>1082.1320000000001</v>
          </cell>
        </row>
        <row r="5178">
          <cell r="G5178">
            <v>42583</v>
          </cell>
          <cell r="L5178" t="str">
            <v>15-14-009-03W2</v>
          </cell>
          <cell r="O5178">
            <v>852.2</v>
          </cell>
          <cell r="Q5178">
            <v>1.56</v>
          </cell>
          <cell r="T5178">
            <v>961.74699999999996</v>
          </cell>
        </row>
        <row r="5179">
          <cell r="G5179">
            <v>42583</v>
          </cell>
          <cell r="L5179" t="str">
            <v>10-11-006-34W1</v>
          </cell>
          <cell r="O5179">
            <v>852.6</v>
          </cell>
          <cell r="Q5179">
            <v>1.6</v>
          </cell>
          <cell r="T5179">
            <v>914.93399999999997</v>
          </cell>
        </row>
        <row r="5180">
          <cell r="G5180">
            <v>42583</v>
          </cell>
          <cell r="L5180" t="str">
            <v>11-25-001-32W1</v>
          </cell>
          <cell r="O5180">
            <v>855.7</v>
          </cell>
          <cell r="Q5180">
            <v>1.52</v>
          </cell>
          <cell r="T5180">
            <v>845.26</v>
          </cell>
        </row>
        <row r="5181">
          <cell r="G5181">
            <v>42583</v>
          </cell>
          <cell r="L5181" t="str">
            <v>07-31-001-31W1</v>
          </cell>
          <cell r="O5181">
            <v>860</v>
          </cell>
          <cell r="Q5181">
            <v>1.73</v>
          </cell>
          <cell r="T5181">
            <v>802.67100000000005</v>
          </cell>
        </row>
        <row r="5182">
          <cell r="G5182">
            <v>42583</v>
          </cell>
          <cell r="L5182" t="str">
            <v>16-21-003-32W1</v>
          </cell>
          <cell r="O5182">
            <v>861.5</v>
          </cell>
          <cell r="Q5182">
            <v>1.61</v>
          </cell>
          <cell r="T5182">
            <v>758.01499999999999</v>
          </cell>
        </row>
        <row r="5183">
          <cell r="G5183">
            <v>42583</v>
          </cell>
          <cell r="L5183" t="str">
            <v>06-24-001-34W1</v>
          </cell>
          <cell r="O5183">
            <v>851.8</v>
          </cell>
          <cell r="Q5183">
            <v>1.17</v>
          </cell>
          <cell r="T5183">
            <v>749.10799999999995</v>
          </cell>
        </row>
        <row r="5184">
          <cell r="G5184">
            <v>42583</v>
          </cell>
          <cell r="L5184" t="str">
            <v>07-12-008-04W2</v>
          </cell>
          <cell r="O5184">
            <v>854.1</v>
          </cell>
          <cell r="Q5184">
            <v>1.41</v>
          </cell>
          <cell r="T5184">
            <v>749.06200000000001</v>
          </cell>
        </row>
        <row r="5185">
          <cell r="G5185">
            <v>42583</v>
          </cell>
          <cell r="L5185" t="str">
            <v>08-35-011-04W2</v>
          </cell>
          <cell r="O5185">
            <v>859.1</v>
          </cell>
          <cell r="Q5185">
            <v>1.84</v>
          </cell>
          <cell r="T5185">
            <v>713.81100000000004</v>
          </cell>
        </row>
        <row r="5186">
          <cell r="G5186">
            <v>42583</v>
          </cell>
          <cell r="L5186" t="str">
            <v>05-12-002-32W1</v>
          </cell>
          <cell r="O5186">
            <v>862.6</v>
          </cell>
          <cell r="Q5186">
            <v>1.63</v>
          </cell>
          <cell r="T5186">
            <v>712</v>
          </cell>
        </row>
        <row r="5187">
          <cell r="G5187">
            <v>42583</v>
          </cell>
          <cell r="L5187" t="str">
            <v>09-19-009-33W1</v>
          </cell>
          <cell r="O5187">
            <v>855.3</v>
          </cell>
          <cell r="Q5187">
            <v>1.54</v>
          </cell>
          <cell r="T5187">
            <v>668.83399999999995</v>
          </cell>
        </row>
        <row r="5188">
          <cell r="G5188">
            <v>42583</v>
          </cell>
          <cell r="L5188" t="str">
            <v>09-02-007-05W2</v>
          </cell>
          <cell r="O5188">
            <v>861.8</v>
          </cell>
          <cell r="Q5188">
            <v>1.74</v>
          </cell>
          <cell r="T5188">
            <v>610.16700000000003</v>
          </cell>
        </row>
        <row r="5189">
          <cell r="G5189">
            <v>42583</v>
          </cell>
          <cell r="L5189" t="str">
            <v>08-32-006-01W2</v>
          </cell>
          <cell r="O5189">
            <v>847.2</v>
          </cell>
          <cell r="Q5189">
            <v>1.21</v>
          </cell>
          <cell r="T5189">
            <v>578.26199999999994</v>
          </cell>
        </row>
        <row r="5190">
          <cell r="G5190">
            <v>42583</v>
          </cell>
          <cell r="L5190" t="str">
            <v>16-24-001-34W1</v>
          </cell>
          <cell r="O5190">
            <v>860.9</v>
          </cell>
          <cell r="Q5190">
            <v>1.67</v>
          </cell>
          <cell r="T5190">
            <v>537.96600000000001</v>
          </cell>
        </row>
        <row r="5191">
          <cell r="G5191">
            <v>42583</v>
          </cell>
          <cell r="L5191" t="str">
            <v>02-13-006-01W2</v>
          </cell>
          <cell r="O5191">
            <v>843.3</v>
          </cell>
          <cell r="Q5191">
            <v>1.19</v>
          </cell>
          <cell r="T5191">
            <v>511.37299999999999</v>
          </cell>
        </row>
        <row r="5192">
          <cell r="G5192">
            <v>42583</v>
          </cell>
          <cell r="L5192" t="str">
            <v>04-14-005-33W1</v>
          </cell>
          <cell r="O5192">
            <v>836.8</v>
          </cell>
          <cell r="Q5192">
            <v>0.79</v>
          </cell>
          <cell r="T5192">
            <v>498.52199999999999</v>
          </cell>
        </row>
        <row r="5193">
          <cell r="G5193">
            <v>42583</v>
          </cell>
          <cell r="L5193" t="str">
            <v>14-35-006-05W2</v>
          </cell>
          <cell r="O5193">
            <v>857.8</v>
          </cell>
          <cell r="Q5193">
            <v>1.61</v>
          </cell>
          <cell r="T5193">
            <v>444.90800000000002</v>
          </cell>
        </row>
        <row r="5194">
          <cell r="G5194">
            <v>42583</v>
          </cell>
          <cell r="L5194" t="str">
            <v>12-35-008-03W2</v>
          </cell>
          <cell r="O5194">
            <v>848.3</v>
          </cell>
          <cell r="Q5194">
            <v>1.55</v>
          </cell>
          <cell r="T5194">
            <v>427.02699999999999</v>
          </cell>
        </row>
        <row r="5195">
          <cell r="G5195">
            <v>42583</v>
          </cell>
          <cell r="L5195" t="str">
            <v>12-01-003-30W1</v>
          </cell>
          <cell r="O5195">
            <v>868.5</v>
          </cell>
          <cell r="Q5195">
            <v>1.68</v>
          </cell>
          <cell r="T5195">
            <v>372.36500000000001</v>
          </cell>
        </row>
        <row r="5196">
          <cell r="G5196">
            <v>42583</v>
          </cell>
          <cell r="L5196" t="str">
            <v>03-23-001-32W1</v>
          </cell>
          <cell r="O5196">
            <v>857.9</v>
          </cell>
          <cell r="Q5196">
            <v>1.51</v>
          </cell>
          <cell r="T5196">
            <v>346.22500000000002</v>
          </cell>
        </row>
        <row r="5197">
          <cell r="G5197">
            <v>42583</v>
          </cell>
          <cell r="L5197" t="str">
            <v>07-12-005-34W1</v>
          </cell>
          <cell r="O5197">
            <v>829.1</v>
          </cell>
          <cell r="Q5197">
            <v>0.64</v>
          </cell>
          <cell r="T5197">
            <v>344.05500000000001</v>
          </cell>
        </row>
        <row r="5198">
          <cell r="G5198">
            <v>42583</v>
          </cell>
          <cell r="L5198" t="str">
            <v>14-09-002-29W1</v>
          </cell>
          <cell r="O5198">
            <v>839.7</v>
          </cell>
          <cell r="Q5198">
            <v>0.81</v>
          </cell>
          <cell r="T5198">
            <v>8615.4629999999997</v>
          </cell>
        </row>
        <row r="5199">
          <cell r="G5199">
            <v>42583</v>
          </cell>
          <cell r="L5199" t="str">
            <v>13-13-007-02W2</v>
          </cell>
          <cell r="O5199">
            <v>852.1</v>
          </cell>
          <cell r="Q5199">
            <v>1.25</v>
          </cell>
          <cell r="T5199">
            <v>5150.6959999999999</v>
          </cell>
        </row>
        <row r="5200">
          <cell r="G5200">
            <v>42583</v>
          </cell>
          <cell r="L5200" t="str">
            <v>11-27-005-33W1</v>
          </cell>
          <cell r="O5200">
            <v>826.5</v>
          </cell>
          <cell r="Q5200">
            <v>0.72</v>
          </cell>
          <cell r="T5200">
            <v>4683.1769999999997</v>
          </cell>
        </row>
        <row r="5201">
          <cell r="G5201">
            <v>42583</v>
          </cell>
          <cell r="L5201" t="str">
            <v>08-36-003-34W1</v>
          </cell>
          <cell r="O5201">
            <v>849.2</v>
          </cell>
          <cell r="Q5201">
            <v>0.88</v>
          </cell>
          <cell r="T5201">
            <v>4242.8040000000001</v>
          </cell>
        </row>
        <row r="5202">
          <cell r="G5202">
            <v>42583</v>
          </cell>
          <cell r="L5202" t="str">
            <v>04-10-004-31W1</v>
          </cell>
          <cell r="O5202">
            <v>868.1</v>
          </cell>
          <cell r="Q5202">
            <v>1.79</v>
          </cell>
          <cell r="T5202">
            <v>3076.3380000000002</v>
          </cell>
        </row>
        <row r="5203">
          <cell r="G5203">
            <v>42583</v>
          </cell>
          <cell r="L5203" t="str">
            <v>05-29-005-32W1</v>
          </cell>
          <cell r="O5203">
            <v>836.1</v>
          </cell>
          <cell r="Q5203">
            <v>0.93</v>
          </cell>
          <cell r="T5203">
            <v>2916.8020000000001</v>
          </cell>
        </row>
        <row r="5204">
          <cell r="G5204">
            <v>42583</v>
          </cell>
          <cell r="L5204" t="str">
            <v>05-14-003-01W2</v>
          </cell>
          <cell r="O5204">
            <v>821.6</v>
          </cell>
          <cell r="Q5204">
            <v>0.72</v>
          </cell>
          <cell r="T5204">
            <v>2800.154</v>
          </cell>
        </row>
        <row r="5205">
          <cell r="G5205">
            <v>42583</v>
          </cell>
          <cell r="L5205" t="str">
            <v>16-10-006-30W1</v>
          </cell>
          <cell r="O5205">
            <v>857.5</v>
          </cell>
          <cell r="Q5205">
            <v>1.41</v>
          </cell>
          <cell r="T5205">
            <v>2284.29</v>
          </cell>
        </row>
        <row r="5206">
          <cell r="G5206">
            <v>42583</v>
          </cell>
          <cell r="L5206" t="str">
            <v>05-13-003-02W2</v>
          </cell>
          <cell r="O5206">
            <v>831.4</v>
          </cell>
          <cell r="Q5206">
            <v>0.56000000000000005</v>
          </cell>
          <cell r="T5206">
            <v>2056.473</v>
          </cell>
        </row>
        <row r="5207">
          <cell r="G5207">
            <v>42583</v>
          </cell>
          <cell r="L5207" t="str">
            <v>04-05-007-33W1</v>
          </cell>
          <cell r="O5207">
            <v>842.7</v>
          </cell>
          <cell r="Q5207">
            <v>1.22</v>
          </cell>
          <cell r="T5207">
            <v>2043.57</v>
          </cell>
        </row>
        <row r="5208">
          <cell r="G5208">
            <v>42583</v>
          </cell>
          <cell r="L5208" t="str">
            <v>01-09-001-31W1</v>
          </cell>
          <cell r="O5208">
            <v>876.7</v>
          </cell>
          <cell r="Q5208">
            <v>2.06</v>
          </cell>
          <cell r="T5208">
            <v>2036.624</v>
          </cell>
        </row>
        <row r="5209">
          <cell r="G5209">
            <v>42583</v>
          </cell>
          <cell r="L5209" t="str">
            <v>06-01-007-01W2</v>
          </cell>
          <cell r="O5209">
            <v>845.3</v>
          </cell>
          <cell r="Q5209">
            <v>1.1299999999999999</v>
          </cell>
          <cell r="T5209">
            <v>1989.114</v>
          </cell>
        </row>
        <row r="5210">
          <cell r="G5210">
            <v>42583</v>
          </cell>
          <cell r="L5210" t="str">
            <v>02-14-005-32W1</v>
          </cell>
          <cell r="O5210">
            <v>835.5</v>
          </cell>
          <cell r="Q5210">
            <v>0.97</v>
          </cell>
          <cell r="T5210">
            <v>1801.7429999999999</v>
          </cell>
        </row>
        <row r="5211">
          <cell r="G5211">
            <v>42583</v>
          </cell>
          <cell r="L5211" t="str">
            <v>14-28-002-34W1</v>
          </cell>
          <cell r="O5211">
            <v>829.9</v>
          </cell>
          <cell r="Q5211">
            <v>0.78</v>
          </cell>
          <cell r="T5211">
            <v>1473.8810000000001</v>
          </cell>
        </row>
        <row r="5212">
          <cell r="G5212">
            <v>42583</v>
          </cell>
          <cell r="L5212" t="str">
            <v>04-33-006-01W2</v>
          </cell>
          <cell r="O5212">
            <v>856.2</v>
          </cell>
          <cell r="Q5212">
            <v>1.1299999999999999</v>
          </cell>
          <cell r="T5212">
            <v>1344.5730000000001</v>
          </cell>
        </row>
        <row r="5213">
          <cell r="G5213">
            <v>42583</v>
          </cell>
          <cell r="L5213" t="str">
            <v>08-33-005-03W2</v>
          </cell>
          <cell r="O5213">
            <v>845</v>
          </cell>
          <cell r="Q5213">
            <v>1.07</v>
          </cell>
          <cell r="T5213">
            <v>1237.72</v>
          </cell>
        </row>
        <row r="5214">
          <cell r="G5214">
            <v>42583</v>
          </cell>
          <cell r="L5214" t="str">
            <v>16-13-004-32W1</v>
          </cell>
          <cell r="O5214">
            <v>856.2</v>
          </cell>
          <cell r="Q5214">
            <v>1.33</v>
          </cell>
          <cell r="T5214">
            <v>1181.78</v>
          </cell>
        </row>
        <row r="5215">
          <cell r="G5215">
            <v>42583</v>
          </cell>
          <cell r="L5215" t="str">
            <v>02-20-006-32W1</v>
          </cell>
          <cell r="O5215">
            <v>834.8</v>
          </cell>
          <cell r="Q5215">
            <v>0.8</v>
          </cell>
          <cell r="T5215">
            <v>1143.634</v>
          </cell>
        </row>
        <row r="5216">
          <cell r="G5216">
            <v>42583</v>
          </cell>
          <cell r="L5216" t="str">
            <v>02-02-006-03W2</v>
          </cell>
          <cell r="O5216">
            <v>848.3</v>
          </cell>
          <cell r="Q5216">
            <v>1.31</v>
          </cell>
          <cell r="T5216">
            <v>1137.492</v>
          </cell>
        </row>
        <row r="5217">
          <cell r="G5217">
            <v>42583</v>
          </cell>
          <cell r="L5217" t="str">
            <v>12-23-005-31W1</v>
          </cell>
          <cell r="O5217">
            <v>846.3</v>
          </cell>
          <cell r="Q5217">
            <v>1.08</v>
          </cell>
          <cell r="T5217">
            <v>1104.4269999999999</v>
          </cell>
        </row>
        <row r="5218">
          <cell r="G5218">
            <v>42583</v>
          </cell>
          <cell r="L5218" t="str">
            <v>11-28-006-05W2</v>
          </cell>
          <cell r="O5218">
            <v>854.8</v>
          </cell>
          <cell r="Q5218">
            <v>1.51</v>
          </cell>
          <cell r="T5218">
            <v>1065.1310000000001</v>
          </cell>
        </row>
        <row r="5219">
          <cell r="G5219">
            <v>42583</v>
          </cell>
          <cell r="L5219" t="str">
            <v>09-33-006-05W2</v>
          </cell>
          <cell r="O5219">
            <v>860.6</v>
          </cell>
          <cell r="Q5219">
            <v>1.74</v>
          </cell>
          <cell r="T5219">
            <v>1061.2670000000001</v>
          </cell>
        </row>
        <row r="5220">
          <cell r="G5220">
            <v>42583</v>
          </cell>
          <cell r="L5220" t="str">
            <v>02-15-006-01W2</v>
          </cell>
          <cell r="O5220">
            <v>848.7</v>
          </cell>
          <cell r="Q5220">
            <v>1.1200000000000001</v>
          </cell>
          <cell r="T5220">
            <v>1046.395</v>
          </cell>
        </row>
        <row r="5221">
          <cell r="G5221">
            <v>42583</v>
          </cell>
          <cell r="L5221" t="str">
            <v>13-34-006-05W2</v>
          </cell>
          <cell r="O5221">
            <v>866.6</v>
          </cell>
          <cell r="Q5221">
            <v>1.93</v>
          </cell>
          <cell r="T5221">
            <v>1016.996</v>
          </cell>
        </row>
        <row r="5222">
          <cell r="G5222">
            <v>42583</v>
          </cell>
          <cell r="L5222" t="str">
            <v>06-02-008-02W2</v>
          </cell>
          <cell r="O5222">
            <v>855.7</v>
          </cell>
          <cell r="Q5222">
            <v>1.51</v>
          </cell>
          <cell r="T5222">
            <v>960.09900000000005</v>
          </cell>
        </row>
        <row r="5223">
          <cell r="G5223">
            <v>42583</v>
          </cell>
          <cell r="L5223" t="str">
            <v>14-26-002-30W1</v>
          </cell>
          <cell r="O5223">
            <v>859.6</v>
          </cell>
          <cell r="Q5223">
            <v>2.02</v>
          </cell>
          <cell r="T5223">
            <v>932.12300000000005</v>
          </cell>
        </row>
        <row r="5224">
          <cell r="G5224">
            <v>42583</v>
          </cell>
          <cell r="L5224" t="str">
            <v>14-33-003-01W2</v>
          </cell>
          <cell r="O5224">
            <v>836.9</v>
          </cell>
          <cell r="Q5224">
            <v>0.87</v>
          </cell>
          <cell r="T5224">
            <v>916.96400000000006</v>
          </cell>
        </row>
        <row r="5225">
          <cell r="G5225">
            <v>42583</v>
          </cell>
          <cell r="L5225" t="str">
            <v>13-11-004-02W2</v>
          </cell>
          <cell r="O5225">
            <v>844.3</v>
          </cell>
          <cell r="Q5225">
            <v>1.2</v>
          </cell>
          <cell r="T5225">
            <v>893.39400000000001</v>
          </cell>
        </row>
        <row r="5226">
          <cell r="G5226">
            <v>42583</v>
          </cell>
          <cell r="L5226" t="str">
            <v>02-14-010-01W2</v>
          </cell>
          <cell r="O5226">
            <v>855.2</v>
          </cell>
          <cell r="Q5226">
            <v>1.7</v>
          </cell>
          <cell r="T5226">
            <v>776.43</v>
          </cell>
        </row>
        <row r="5227">
          <cell r="G5227">
            <v>42583</v>
          </cell>
          <cell r="L5227" t="str">
            <v>10-33-004-32W1</v>
          </cell>
          <cell r="O5227">
            <v>838.2</v>
          </cell>
          <cell r="Q5227">
            <v>0.99</v>
          </cell>
          <cell r="T5227">
            <v>772.822</v>
          </cell>
        </row>
        <row r="5228">
          <cell r="G5228">
            <v>42583</v>
          </cell>
          <cell r="L5228" t="str">
            <v>08-13-006-33W1</v>
          </cell>
          <cell r="O5228">
            <v>842.2</v>
          </cell>
          <cell r="Q5228">
            <v>0.89</v>
          </cell>
          <cell r="T5228">
            <v>547.02099999999996</v>
          </cell>
        </row>
        <row r="5229">
          <cell r="G5229">
            <v>42583</v>
          </cell>
          <cell r="L5229" t="str">
            <v>10-11-004-34W1</v>
          </cell>
          <cell r="O5229">
            <v>834.3</v>
          </cell>
          <cell r="Q5229">
            <v>0.73</v>
          </cell>
          <cell r="T5229">
            <v>543.36300000000006</v>
          </cell>
        </row>
        <row r="5230">
          <cell r="G5230">
            <v>42583</v>
          </cell>
          <cell r="L5230" t="str">
            <v>02-12-010-02W2</v>
          </cell>
          <cell r="O5230">
            <v>857</v>
          </cell>
          <cell r="Q5230">
            <v>1.64</v>
          </cell>
          <cell r="T5230">
            <v>542.38099999999997</v>
          </cell>
        </row>
        <row r="5231">
          <cell r="G5231">
            <v>42583</v>
          </cell>
          <cell r="L5231" t="str">
            <v>14-20-005-33W1</v>
          </cell>
          <cell r="O5231">
            <v>830.8</v>
          </cell>
          <cell r="Q5231">
            <v>0.67</v>
          </cell>
          <cell r="T5231">
            <v>521.61400000000003</v>
          </cell>
        </row>
        <row r="5232">
          <cell r="G5232">
            <v>42583</v>
          </cell>
          <cell r="L5232" t="str">
            <v>04-04-007-01W2</v>
          </cell>
          <cell r="O5232">
            <v>849.3</v>
          </cell>
          <cell r="Q5232">
            <v>1.1399999999999999</v>
          </cell>
          <cell r="T5232">
            <v>500.74799999999999</v>
          </cell>
        </row>
        <row r="5233">
          <cell r="G5233">
            <v>42583</v>
          </cell>
          <cell r="L5233" t="str">
            <v>06-04-006-33W1</v>
          </cell>
          <cell r="O5233">
            <v>837.8</v>
          </cell>
          <cell r="Q5233">
            <v>0.82</v>
          </cell>
          <cell r="T5233">
            <v>479.03300000000002</v>
          </cell>
        </row>
        <row r="5234">
          <cell r="G5234">
            <v>42583</v>
          </cell>
          <cell r="L5234" t="str">
            <v>08-12-006-01W2</v>
          </cell>
          <cell r="O5234">
            <v>847.8</v>
          </cell>
          <cell r="Q5234">
            <v>1.29</v>
          </cell>
          <cell r="T5234">
            <v>446.93099999999998</v>
          </cell>
        </row>
        <row r="5235">
          <cell r="G5235">
            <v>42583</v>
          </cell>
          <cell r="L5235" t="str">
            <v>15-26-007-04W2</v>
          </cell>
          <cell r="O5235">
            <v>851.9</v>
          </cell>
          <cell r="Q5235">
            <v>1.4</v>
          </cell>
          <cell r="T5235">
            <v>428.63299999999998</v>
          </cell>
        </row>
        <row r="5236">
          <cell r="G5236">
            <v>42583</v>
          </cell>
          <cell r="L5236" t="str">
            <v>02-08-004-33W1</v>
          </cell>
          <cell r="O5236">
            <v>840.1</v>
          </cell>
          <cell r="Q5236">
            <v>0.65</v>
          </cell>
          <cell r="T5236">
            <v>364.78100000000001</v>
          </cell>
        </row>
        <row r="5237">
          <cell r="G5237">
            <v>42583</v>
          </cell>
          <cell r="L5237" t="str">
            <v>06-03-004-31W1</v>
          </cell>
          <cell r="O5237">
            <v>870.5</v>
          </cell>
          <cell r="Q5237">
            <v>1.87</v>
          </cell>
          <cell r="T5237">
            <v>361.80599999999998</v>
          </cell>
        </row>
        <row r="5238">
          <cell r="G5238">
            <v>42583</v>
          </cell>
          <cell r="L5238" t="str">
            <v>02-16-010-02W2</v>
          </cell>
          <cell r="O5238">
            <v>861.1</v>
          </cell>
          <cell r="Q5238">
            <v>1.69</v>
          </cell>
          <cell r="T5238">
            <v>358.97500000000002</v>
          </cell>
        </row>
        <row r="5239">
          <cell r="G5239">
            <v>42583</v>
          </cell>
          <cell r="L5239" t="str">
            <v>02-10-003-01W2</v>
          </cell>
          <cell r="O5239">
            <v>830.1</v>
          </cell>
          <cell r="Q5239">
            <v>0.5</v>
          </cell>
          <cell r="T5239">
            <v>354.73599999999999</v>
          </cell>
        </row>
        <row r="5240">
          <cell r="G5240">
            <v>42583</v>
          </cell>
          <cell r="L5240" t="str">
            <v>07-18-005-04W2</v>
          </cell>
          <cell r="O5240">
            <v>856.6</v>
          </cell>
          <cell r="Q5240">
            <v>1.38</v>
          </cell>
          <cell r="T5240">
            <v>393.14400000000001</v>
          </cell>
        </row>
        <row r="5241">
          <cell r="G5241">
            <v>42583</v>
          </cell>
          <cell r="L5241" t="str">
            <v>01-01-006-06W2</v>
          </cell>
          <cell r="O5241">
            <v>851.6</v>
          </cell>
          <cell r="Q5241">
            <v>1.17</v>
          </cell>
          <cell r="T5241">
            <v>402.28899999999999</v>
          </cell>
        </row>
        <row r="5242">
          <cell r="G5242">
            <v>42583</v>
          </cell>
          <cell r="L5242" t="str">
            <v>09-08-004-03W2</v>
          </cell>
          <cell r="O5242">
            <v>849.9</v>
          </cell>
          <cell r="Q5242">
            <v>1.08</v>
          </cell>
          <cell r="T5242">
            <v>6071.46</v>
          </cell>
        </row>
        <row r="5243">
          <cell r="G5243">
            <v>42583</v>
          </cell>
          <cell r="L5243" t="str">
            <v>03-15-004-06W2</v>
          </cell>
          <cell r="O5243">
            <v>853.9</v>
          </cell>
          <cell r="Q5243">
            <v>1.22</v>
          </cell>
          <cell r="T5243">
            <v>5130.4440000000004</v>
          </cell>
        </row>
        <row r="5244">
          <cell r="G5244">
            <v>42583</v>
          </cell>
          <cell r="L5244" t="str">
            <v>05-07-005-03W2</v>
          </cell>
          <cell r="O5244">
            <v>852.3</v>
          </cell>
          <cell r="Q5244">
            <v>1.24</v>
          </cell>
          <cell r="T5244">
            <v>3995.9720000000002</v>
          </cell>
        </row>
        <row r="5245">
          <cell r="G5245">
            <v>42583</v>
          </cell>
          <cell r="L5245" t="str">
            <v>07-35-004-04W2</v>
          </cell>
          <cell r="O5245">
            <v>862.4</v>
          </cell>
          <cell r="Q5245">
            <v>1.41</v>
          </cell>
          <cell r="T5245">
            <v>2750.2420000000002</v>
          </cell>
        </row>
        <row r="5246">
          <cell r="G5246">
            <v>42583</v>
          </cell>
          <cell r="L5246" t="str">
            <v>14-30-001-04W2</v>
          </cell>
          <cell r="O5246">
            <v>835.1</v>
          </cell>
          <cell r="Q5246">
            <v>0.56000000000000005</v>
          </cell>
          <cell r="T5246">
            <v>2481.627</v>
          </cell>
        </row>
        <row r="5247">
          <cell r="G5247">
            <v>42583</v>
          </cell>
          <cell r="L5247" t="str">
            <v>16-30-004-08W2</v>
          </cell>
          <cell r="O5247">
            <v>887.7</v>
          </cell>
          <cell r="Q5247">
            <v>2.0699999999999998</v>
          </cell>
          <cell r="T5247">
            <v>2435.58</v>
          </cell>
        </row>
        <row r="5248">
          <cell r="G5248">
            <v>42583</v>
          </cell>
          <cell r="L5248" t="str">
            <v>16-33-005-06W2</v>
          </cell>
          <cell r="O5248">
            <v>870</v>
          </cell>
          <cell r="Q5248">
            <v>2.25</v>
          </cell>
          <cell r="T5248">
            <v>1990.3240000000001</v>
          </cell>
        </row>
        <row r="5249">
          <cell r="G5249">
            <v>42583</v>
          </cell>
          <cell r="L5249" t="str">
            <v>09-33-005-05W2</v>
          </cell>
          <cell r="O5249">
            <v>852.3</v>
          </cell>
          <cell r="Q5249">
            <v>1.02</v>
          </cell>
          <cell r="T5249">
            <v>1952.4449999999999</v>
          </cell>
        </row>
        <row r="5250">
          <cell r="G5250">
            <v>42583</v>
          </cell>
          <cell r="L5250" t="str">
            <v>11-02-005-04W2</v>
          </cell>
          <cell r="O5250">
            <v>854.7</v>
          </cell>
          <cell r="Q5250">
            <v>1.4</v>
          </cell>
          <cell r="T5250">
            <v>1499.6369999999999</v>
          </cell>
        </row>
        <row r="5251">
          <cell r="G5251">
            <v>42583</v>
          </cell>
          <cell r="L5251" t="str">
            <v>06-27-004-06W2</v>
          </cell>
          <cell r="O5251">
            <v>831.8</v>
          </cell>
          <cell r="Q5251">
            <v>0.68</v>
          </cell>
          <cell r="T5251">
            <v>1465.8240000000001</v>
          </cell>
        </row>
        <row r="5252">
          <cell r="G5252">
            <v>42583</v>
          </cell>
          <cell r="L5252" t="str">
            <v>06-24-004-09W2</v>
          </cell>
          <cell r="O5252">
            <v>876.2</v>
          </cell>
          <cell r="Q5252">
            <v>1.81</v>
          </cell>
          <cell r="T5252">
            <v>1427.731</v>
          </cell>
        </row>
        <row r="5253">
          <cell r="G5253">
            <v>42583</v>
          </cell>
          <cell r="L5253" t="str">
            <v>10-22-004-07W2</v>
          </cell>
          <cell r="O5253">
            <v>884.8</v>
          </cell>
          <cell r="Q5253">
            <v>2</v>
          </cell>
          <cell r="T5253">
            <v>965.22900000000004</v>
          </cell>
        </row>
        <row r="5254">
          <cell r="G5254">
            <v>42583</v>
          </cell>
          <cell r="L5254" t="str">
            <v>01-11-005-04W2</v>
          </cell>
          <cell r="O5254">
            <v>864.1</v>
          </cell>
          <cell r="Q5254">
            <v>1.99</v>
          </cell>
          <cell r="T5254">
            <v>484.29399999999998</v>
          </cell>
        </row>
        <row r="5255">
          <cell r="G5255">
            <v>42583</v>
          </cell>
          <cell r="L5255" t="str">
            <v>14-13-001-05W2</v>
          </cell>
          <cell r="O5255">
            <v>822.5</v>
          </cell>
          <cell r="Q5255">
            <v>0.51</v>
          </cell>
          <cell r="T5255">
            <v>23166.22</v>
          </cell>
        </row>
        <row r="5256">
          <cell r="G5256">
            <v>42583</v>
          </cell>
          <cell r="L5256" t="str">
            <v>05-20-004-04W2</v>
          </cell>
          <cell r="O5256">
            <v>837.7</v>
          </cell>
          <cell r="Q5256">
            <v>1.59</v>
          </cell>
          <cell r="T5256">
            <v>4670.3879999999999</v>
          </cell>
        </row>
        <row r="5257">
          <cell r="G5257">
            <v>42583</v>
          </cell>
          <cell r="L5257" t="str">
            <v>05-10-006-05W2</v>
          </cell>
          <cell r="O5257">
            <v>855.9</v>
          </cell>
          <cell r="Q5257">
            <v>1.55</v>
          </cell>
          <cell r="T5257">
            <v>3753.79</v>
          </cell>
        </row>
        <row r="5258">
          <cell r="G5258">
            <v>42583</v>
          </cell>
          <cell r="L5258" t="str">
            <v>05-24-005-04W2</v>
          </cell>
          <cell r="O5258">
            <v>859.4</v>
          </cell>
          <cell r="Q5258">
            <v>1.51</v>
          </cell>
          <cell r="T5258">
            <v>1987.9780000000001</v>
          </cell>
        </row>
        <row r="5259">
          <cell r="G5259">
            <v>42583</v>
          </cell>
          <cell r="L5259" t="str">
            <v>07-08-004-05W2</v>
          </cell>
          <cell r="O5259">
            <v>838.9</v>
          </cell>
          <cell r="Q5259">
            <v>0.95</v>
          </cell>
          <cell r="T5259">
            <v>1850.37</v>
          </cell>
        </row>
        <row r="5260">
          <cell r="G5260">
            <v>42583</v>
          </cell>
          <cell r="L5260" t="str">
            <v>11-16-005-04W2</v>
          </cell>
          <cell r="O5260">
            <v>858.3</v>
          </cell>
          <cell r="Q5260">
            <v>1.1100000000000001</v>
          </cell>
          <cell r="T5260">
            <v>1714.99</v>
          </cell>
        </row>
        <row r="5261">
          <cell r="G5261">
            <v>42583</v>
          </cell>
          <cell r="L5261" t="str">
            <v>05-34-005-06W2</v>
          </cell>
          <cell r="O5261">
            <v>870.6</v>
          </cell>
          <cell r="Q5261">
            <v>2.0299999999999998</v>
          </cell>
          <cell r="T5261">
            <v>1702.17</v>
          </cell>
        </row>
        <row r="5262">
          <cell r="G5262">
            <v>42583</v>
          </cell>
          <cell r="L5262" t="str">
            <v>02-13-006-06W2</v>
          </cell>
          <cell r="O5262">
            <v>849.1</v>
          </cell>
          <cell r="Q5262">
            <v>1.48</v>
          </cell>
          <cell r="T5262">
            <v>1673.7950000000001</v>
          </cell>
        </row>
        <row r="5263">
          <cell r="G5263">
            <v>42583</v>
          </cell>
          <cell r="L5263" t="str">
            <v>03-29-003-04W2</v>
          </cell>
          <cell r="O5263">
            <v>838.5</v>
          </cell>
          <cell r="Q5263">
            <v>0.84</v>
          </cell>
          <cell r="T5263">
            <v>1121.944</v>
          </cell>
        </row>
        <row r="5264">
          <cell r="G5264">
            <v>42583</v>
          </cell>
          <cell r="L5264" t="str">
            <v>11-28-005-06W2</v>
          </cell>
          <cell r="O5264">
            <v>880.7</v>
          </cell>
          <cell r="Q5264">
            <v>2.27</v>
          </cell>
          <cell r="T5264">
            <v>1111.7439999999999</v>
          </cell>
        </row>
        <row r="5265">
          <cell r="G5265">
            <v>42583</v>
          </cell>
          <cell r="L5265" t="str">
            <v>01-17-005-08W2</v>
          </cell>
          <cell r="O5265">
            <v>880.8</v>
          </cell>
          <cell r="Q5265">
            <v>2.29</v>
          </cell>
          <cell r="T5265">
            <v>1038.2719999999999</v>
          </cell>
        </row>
        <row r="5266">
          <cell r="G5266">
            <v>42583</v>
          </cell>
          <cell r="L5266" t="str">
            <v>09-27-004-05W2</v>
          </cell>
          <cell r="O5266">
            <v>845.9</v>
          </cell>
          <cell r="Q5266">
            <v>1.4</v>
          </cell>
          <cell r="T5266">
            <v>1032.444</v>
          </cell>
        </row>
        <row r="5267">
          <cell r="G5267">
            <v>42583</v>
          </cell>
          <cell r="L5267" t="str">
            <v>09-10-005-04W2</v>
          </cell>
          <cell r="O5267">
            <v>857.1</v>
          </cell>
          <cell r="Q5267">
            <v>1.22</v>
          </cell>
          <cell r="T5267">
            <v>874.19799999999998</v>
          </cell>
        </row>
        <row r="5268">
          <cell r="G5268">
            <v>42583</v>
          </cell>
          <cell r="L5268" t="str">
            <v>08-22-004-09W2</v>
          </cell>
          <cell r="O5268">
            <v>886.9</v>
          </cell>
          <cell r="Q5268">
            <v>2.1</v>
          </cell>
          <cell r="T5268">
            <v>820.13199999999995</v>
          </cell>
        </row>
        <row r="5269">
          <cell r="G5269">
            <v>42583</v>
          </cell>
          <cell r="L5269" t="str">
            <v>08-14-004-07W2</v>
          </cell>
          <cell r="O5269">
            <v>871.2</v>
          </cell>
          <cell r="Q5269">
            <v>0.87</v>
          </cell>
          <cell r="T5269">
            <v>710.36300000000006</v>
          </cell>
        </row>
        <row r="5270">
          <cell r="G5270">
            <v>42583</v>
          </cell>
          <cell r="L5270" t="str">
            <v>13-30-005-05W2</v>
          </cell>
          <cell r="O5270">
            <v>849.9</v>
          </cell>
          <cell r="Q5270">
            <v>1.1000000000000001</v>
          </cell>
          <cell r="T5270">
            <v>697.61699999999996</v>
          </cell>
        </row>
        <row r="5271">
          <cell r="G5271">
            <v>42583</v>
          </cell>
          <cell r="L5271" t="str">
            <v>07-27-007-06W2</v>
          </cell>
          <cell r="O5271">
            <v>815.7</v>
          </cell>
          <cell r="Q5271">
            <v>0.21</v>
          </cell>
          <cell r="T5271">
            <v>565.93200000000002</v>
          </cell>
        </row>
        <row r="5272">
          <cell r="G5272">
            <v>42583</v>
          </cell>
          <cell r="L5272" t="str">
            <v>13-15-005-08W2</v>
          </cell>
          <cell r="O5272">
            <v>882.7</v>
          </cell>
          <cell r="Q5272">
            <v>1.83</v>
          </cell>
          <cell r="T5272">
            <v>445.28</v>
          </cell>
        </row>
        <row r="5273">
          <cell r="G5273">
            <v>42583</v>
          </cell>
          <cell r="L5273" t="str">
            <v>11-31-005-11W2</v>
          </cell>
          <cell r="O5273">
            <v>875</v>
          </cell>
          <cell r="Q5273">
            <v>1.73</v>
          </cell>
          <cell r="T5273">
            <v>1556.9179999999999</v>
          </cell>
        </row>
        <row r="5274">
          <cell r="G5274">
            <v>42583</v>
          </cell>
          <cell r="L5274" t="str">
            <v>09-02-006-07W2</v>
          </cell>
          <cell r="O5274">
            <v>888</v>
          </cell>
          <cell r="Q5274">
            <v>1.97</v>
          </cell>
          <cell r="T5274">
            <v>1442.396</v>
          </cell>
        </row>
        <row r="5275">
          <cell r="G5275">
            <v>42583</v>
          </cell>
          <cell r="L5275" t="str">
            <v>14-27-005-12W2</v>
          </cell>
          <cell r="O5275">
            <v>877.6</v>
          </cell>
          <cell r="Q5275">
            <v>1.98</v>
          </cell>
          <cell r="T5275">
            <v>996.37800000000004</v>
          </cell>
        </row>
        <row r="5276">
          <cell r="G5276">
            <v>42583</v>
          </cell>
          <cell r="L5276" t="str">
            <v>16-27-001-16W2</v>
          </cell>
          <cell r="O5276">
            <v>810.6</v>
          </cell>
          <cell r="Q5276">
            <v>0.35</v>
          </cell>
          <cell r="T5276">
            <v>899.80799999999999</v>
          </cell>
        </row>
        <row r="5277">
          <cell r="G5277">
            <v>42583</v>
          </cell>
          <cell r="L5277" t="str">
            <v>01-18-004-08W2</v>
          </cell>
          <cell r="O5277">
            <v>891.1</v>
          </cell>
          <cell r="Q5277">
            <v>2.36</v>
          </cell>
          <cell r="T5277">
            <v>811.23599999999999</v>
          </cell>
        </row>
        <row r="5278">
          <cell r="G5278">
            <v>42583</v>
          </cell>
          <cell r="L5278" t="str">
            <v>13-09-002-11W2</v>
          </cell>
          <cell r="O5278">
            <v>824.3</v>
          </cell>
          <cell r="Q5278">
            <v>0.09</v>
          </cell>
          <cell r="T5278">
            <v>751.37599999999998</v>
          </cell>
        </row>
        <row r="5279">
          <cell r="G5279">
            <v>42583</v>
          </cell>
          <cell r="L5279" t="str">
            <v>16-05-005-08W2</v>
          </cell>
          <cell r="O5279">
            <v>888.3</v>
          </cell>
          <cell r="Q5279">
            <v>2.0699999999999998</v>
          </cell>
          <cell r="T5279">
            <v>737.86099999999999</v>
          </cell>
        </row>
        <row r="5280">
          <cell r="G5280">
            <v>42583</v>
          </cell>
          <cell r="L5280" t="str">
            <v>15-36-001-12W2</v>
          </cell>
          <cell r="O5280">
            <v>818.6</v>
          </cell>
          <cell r="Q5280">
            <v>0.14000000000000001</v>
          </cell>
          <cell r="T5280">
            <v>617.94299999999998</v>
          </cell>
        </row>
        <row r="5281">
          <cell r="G5281">
            <v>42583</v>
          </cell>
          <cell r="L5281" t="str">
            <v>11-14-007-08W2</v>
          </cell>
          <cell r="O5281">
            <v>847.9</v>
          </cell>
          <cell r="Q5281">
            <v>1.38</v>
          </cell>
          <cell r="T5281">
            <v>614.29600000000005</v>
          </cell>
        </row>
        <row r="5282">
          <cell r="G5282">
            <v>42583</v>
          </cell>
          <cell r="L5282" t="str">
            <v>14-22-004-08W2</v>
          </cell>
          <cell r="O5282">
            <v>876.5</v>
          </cell>
          <cell r="Q5282">
            <v>2.0299999999999998</v>
          </cell>
          <cell r="T5282">
            <v>578.10799999999995</v>
          </cell>
        </row>
        <row r="5283">
          <cell r="G5283">
            <v>42583</v>
          </cell>
          <cell r="L5283" t="str">
            <v>16-09-007-11W2</v>
          </cell>
          <cell r="O5283">
            <v>829.4</v>
          </cell>
          <cell r="Q5283">
            <v>1.98</v>
          </cell>
          <cell r="T5283">
            <v>536.32399999999996</v>
          </cell>
        </row>
        <row r="5284">
          <cell r="G5284">
            <v>42583</v>
          </cell>
          <cell r="L5284" t="str">
            <v>13-06-007-11W2</v>
          </cell>
          <cell r="O5284">
            <v>861.4</v>
          </cell>
          <cell r="Q5284">
            <v>2.08</v>
          </cell>
          <cell r="T5284">
            <v>534.67100000000005</v>
          </cell>
        </row>
        <row r="5285">
          <cell r="G5285">
            <v>42583</v>
          </cell>
          <cell r="L5285" t="str">
            <v>15-11-005-09W2</v>
          </cell>
          <cell r="O5285">
            <v>885.7</v>
          </cell>
          <cell r="Q5285">
            <v>2.21</v>
          </cell>
          <cell r="T5285">
            <v>471.71600000000001</v>
          </cell>
        </row>
        <row r="5286">
          <cell r="G5286">
            <v>42583</v>
          </cell>
          <cell r="L5286" t="str">
            <v>12-20-005-12W2</v>
          </cell>
          <cell r="O5286">
            <v>884.2</v>
          </cell>
          <cell r="Q5286">
            <v>2.38</v>
          </cell>
          <cell r="T5286">
            <v>438.154</v>
          </cell>
        </row>
        <row r="5287">
          <cell r="G5287">
            <v>42583</v>
          </cell>
          <cell r="L5287" t="str">
            <v>13-33-006-09W2</v>
          </cell>
          <cell r="O5287">
            <v>885.2</v>
          </cell>
          <cell r="Q5287">
            <v>2.42</v>
          </cell>
          <cell r="T5287">
            <v>396.75</v>
          </cell>
        </row>
        <row r="5288">
          <cell r="G5288">
            <v>42583</v>
          </cell>
          <cell r="L5288" t="str">
            <v>04-27-004-08W2</v>
          </cell>
          <cell r="O5288">
            <v>883.6</v>
          </cell>
          <cell r="Q5288">
            <v>2.14</v>
          </cell>
          <cell r="T5288">
            <v>393.661</v>
          </cell>
        </row>
        <row r="5289">
          <cell r="G5289">
            <v>42583</v>
          </cell>
          <cell r="L5289" t="str">
            <v>06-18-006-12W2</v>
          </cell>
          <cell r="O5289">
            <v>886.6</v>
          </cell>
          <cell r="Q5289">
            <v>2.58</v>
          </cell>
          <cell r="T5289">
            <v>370.91199999999998</v>
          </cell>
        </row>
        <row r="5290">
          <cell r="G5290">
            <v>42583</v>
          </cell>
          <cell r="L5290" t="str">
            <v>15-29-007-13W2</v>
          </cell>
          <cell r="O5290">
            <v>851.1</v>
          </cell>
          <cell r="Q5290">
            <v>1.85</v>
          </cell>
          <cell r="T5290">
            <v>358.20699999999999</v>
          </cell>
        </row>
        <row r="5291">
          <cell r="G5291">
            <v>42583</v>
          </cell>
          <cell r="L5291" t="str">
            <v>03-18-007-09W2</v>
          </cell>
          <cell r="O5291">
            <v>826.2</v>
          </cell>
          <cell r="Q5291">
            <v>0.59</v>
          </cell>
          <cell r="T5291">
            <v>330.3</v>
          </cell>
        </row>
        <row r="5292">
          <cell r="G5292">
            <v>42583</v>
          </cell>
          <cell r="L5292" t="str">
            <v>16-29-006-12W2</v>
          </cell>
          <cell r="O5292">
            <v>870.2</v>
          </cell>
          <cell r="Q5292">
            <v>1.56</v>
          </cell>
          <cell r="T5292">
            <v>327.76400000000001</v>
          </cell>
        </row>
        <row r="5293">
          <cell r="G5293">
            <v>42583</v>
          </cell>
          <cell r="L5293" t="str">
            <v>15-33-013-13W2</v>
          </cell>
          <cell r="O5293">
            <v>866.2</v>
          </cell>
          <cell r="Q5293">
            <v>0.48</v>
          </cell>
          <cell r="T5293">
            <v>312.18</v>
          </cell>
        </row>
        <row r="5294">
          <cell r="G5294">
            <v>42583</v>
          </cell>
          <cell r="L5294" t="str">
            <v>01-10-008-15W2</v>
          </cell>
          <cell r="O5294">
            <v>868.1</v>
          </cell>
          <cell r="Q5294">
            <v>2.21</v>
          </cell>
          <cell r="T5294">
            <v>304.39699999999999</v>
          </cell>
        </row>
        <row r="5295">
          <cell r="G5295">
            <v>42583</v>
          </cell>
          <cell r="L5295" t="str">
            <v>04-13-004-10W2</v>
          </cell>
          <cell r="O5295">
            <v>883.2</v>
          </cell>
          <cell r="Q5295">
            <v>2.04</v>
          </cell>
          <cell r="T5295">
            <v>284.96899999999999</v>
          </cell>
        </row>
        <row r="5296">
          <cell r="G5296">
            <v>42583</v>
          </cell>
          <cell r="L5296" t="str">
            <v>03-08-001-11W2</v>
          </cell>
          <cell r="O5296">
            <v>810.1</v>
          </cell>
          <cell r="Q5296">
            <v>0.32</v>
          </cell>
          <cell r="T5296">
            <v>278.14400000000001</v>
          </cell>
        </row>
        <row r="5297">
          <cell r="G5297">
            <v>42583</v>
          </cell>
          <cell r="L5297" t="str">
            <v>14-20-004-10W2</v>
          </cell>
          <cell r="O5297">
            <v>889.6</v>
          </cell>
          <cell r="Q5297">
            <v>2.14</v>
          </cell>
          <cell r="T5297">
            <v>262.85399999999998</v>
          </cell>
        </row>
        <row r="5298">
          <cell r="G5298">
            <v>42583</v>
          </cell>
          <cell r="L5298" t="str">
            <v>04-23-012-06W2</v>
          </cell>
          <cell r="O5298">
            <v>895.1</v>
          </cell>
          <cell r="Q5298">
            <v>2.52</v>
          </cell>
          <cell r="T5298">
            <v>259.39499999999998</v>
          </cell>
        </row>
        <row r="5299">
          <cell r="G5299">
            <v>42583</v>
          </cell>
          <cell r="L5299" t="str">
            <v>02-13-004-12W2</v>
          </cell>
          <cell r="O5299">
            <v>882.1</v>
          </cell>
          <cell r="Q5299">
            <v>1.99</v>
          </cell>
          <cell r="T5299">
            <v>241.86600000000001</v>
          </cell>
        </row>
        <row r="5300">
          <cell r="G5300">
            <v>42583</v>
          </cell>
          <cell r="L5300" t="str">
            <v>04-16-004-21W2</v>
          </cell>
          <cell r="O5300">
            <v>818.9</v>
          </cell>
          <cell r="Q5300">
            <v>0.21</v>
          </cell>
          <cell r="T5300">
            <v>240.12</v>
          </cell>
        </row>
        <row r="5301">
          <cell r="G5301">
            <v>42583</v>
          </cell>
          <cell r="L5301" t="str">
            <v>09-06-010-15W2</v>
          </cell>
          <cell r="O5301">
            <v>866.5</v>
          </cell>
          <cell r="Q5301">
            <v>0.13</v>
          </cell>
          <cell r="T5301">
            <v>202.96</v>
          </cell>
        </row>
        <row r="5302">
          <cell r="G5302">
            <v>42583</v>
          </cell>
          <cell r="L5302" t="str">
            <v>01-36-006-12W2</v>
          </cell>
          <cell r="O5302">
            <v>891.8</v>
          </cell>
          <cell r="Q5302">
            <v>2.63</v>
          </cell>
          <cell r="T5302">
            <v>196.41900000000001</v>
          </cell>
        </row>
        <row r="5303">
          <cell r="G5303">
            <v>42583</v>
          </cell>
          <cell r="L5303" t="str">
            <v>09-11-007-14W2</v>
          </cell>
          <cell r="O5303">
            <v>847.7</v>
          </cell>
          <cell r="Q5303">
            <v>1.55</v>
          </cell>
          <cell r="T5303">
            <v>168.45099999999999</v>
          </cell>
        </row>
        <row r="5304">
          <cell r="G5304">
            <v>42583</v>
          </cell>
          <cell r="L5304" t="str">
            <v>04-18-007-09W2</v>
          </cell>
          <cell r="O5304">
            <v>816.6</v>
          </cell>
          <cell r="Q5304">
            <v>0.19</v>
          </cell>
          <cell r="T5304">
            <v>167.453</v>
          </cell>
        </row>
        <row r="5305">
          <cell r="G5305">
            <v>42583</v>
          </cell>
          <cell r="L5305" t="str">
            <v>16-19-001-15W2</v>
          </cell>
          <cell r="O5305">
            <v>803.5</v>
          </cell>
          <cell r="Q5305">
            <v>0.37</v>
          </cell>
          <cell r="T5305">
            <v>164.21799999999999</v>
          </cell>
        </row>
        <row r="5306">
          <cell r="G5306">
            <v>42583</v>
          </cell>
          <cell r="L5306" t="str">
            <v>16-06-005-12W2</v>
          </cell>
          <cell r="O5306">
            <v>879.5</v>
          </cell>
          <cell r="Q5306">
            <v>2</v>
          </cell>
          <cell r="T5306">
            <v>163.863</v>
          </cell>
        </row>
        <row r="5307">
          <cell r="G5307">
            <v>42583</v>
          </cell>
          <cell r="L5307" t="str">
            <v>12-31-001-17W2</v>
          </cell>
          <cell r="O5307">
            <v>855.8</v>
          </cell>
          <cell r="Q5307">
            <v>0.14000000000000001</v>
          </cell>
          <cell r="T5307">
            <v>158.12100000000001</v>
          </cell>
        </row>
        <row r="5308">
          <cell r="G5308">
            <v>42583</v>
          </cell>
          <cell r="L5308" t="str">
            <v>12-27-006-13W2</v>
          </cell>
          <cell r="O5308">
            <v>861.5</v>
          </cell>
          <cell r="Q5308">
            <v>0.18</v>
          </cell>
          <cell r="T5308">
            <v>135.96899999999999</v>
          </cell>
        </row>
        <row r="5309">
          <cell r="G5309">
            <v>42583</v>
          </cell>
          <cell r="L5309" t="str">
            <v>09-22-006-12W2</v>
          </cell>
          <cell r="O5309">
            <v>877.3</v>
          </cell>
          <cell r="Q5309">
            <v>2.34</v>
          </cell>
          <cell r="T5309">
            <v>134.87200000000001</v>
          </cell>
        </row>
        <row r="5310">
          <cell r="G5310">
            <v>42583</v>
          </cell>
          <cell r="L5310" t="str">
            <v>07-02-007-12W2</v>
          </cell>
          <cell r="O5310">
            <v>857.5</v>
          </cell>
          <cell r="Q5310">
            <v>1.83</v>
          </cell>
          <cell r="T5310">
            <v>134.34800000000001</v>
          </cell>
        </row>
        <row r="5311">
          <cell r="G5311">
            <v>42583</v>
          </cell>
          <cell r="L5311" t="str">
            <v>04-35-004-09W2</v>
          </cell>
          <cell r="O5311">
            <v>892</v>
          </cell>
          <cell r="Q5311">
            <v>1.92</v>
          </cell>
          <cell r="T5311">
            <v>132.65299999999999</v>
          </cell>
        </row>
        <row r="5312">
          <cell r="G5312">
            <v>42583</v>
          </cell>
          <cell r="L5312" t="str">
            <v>03-27-011-08W2</v>
          </cell>
          <cell r="O5312">
            <v>898.3</v>
          </cell>
          <cell r="Q5312">
            <v>2.62</v>
          </cell>
          <cell r="T5312">
            <v>132.49799999999999</v>
          </cell>
        </row>
        <row r="5313">
          <cell r="G5313">
            <v>42583</v>
          </cell>
          <cell r="L5313" t="str">
            <v>05-31-006-13W2</v>
          </cell>
          <cell r="O5313">
            <v>808.9</v>
          </cell>
          <cell r="Q5313">
            <v>0.19</v>
          </cell>
          <cell r="T5313">
            <v>128.197</v>
          </cell>
        </row>
        <row r="5314">
          <cell r="G5314">
            <v>42583</v>
          </cell>
          <cell r="L5314" t="str">
            <v>16-34-001-11W2</v>
          </cell>
          <cell r="O5314">
            <v>832.1</v>
          </cell>
          <cell r="Q5314">
            <v>0.19</v>
          </cell>
          <cell r="T5314">
            <v>122.877</v>
          </cell>
        </row>
        <row r="5315">
          <cell r="G5315">
            <v>42583</v>
          </cell>
          <cell r="L5315" t="str">
            <v>05-26-164-97W1</v>
          </cell>
          <cell r="O5315">
            <v>870.7</v>
          </cell>
          <cell r="Q5315">
            <v>1.59</v>
          </cell>
          <cell r="T5315">
            <v>110.783</v>
          </cell>
        </row>
        <row r="5316">
          <cell r="G5316">
            <v>42583</v>
          </cell>
          <cell r="L5316" t="str">
            <v>01-27-164-97W1</v>
          </cell>
          <cell r="O5316">
            <v>880.4</v>
          </cell>
          <cell r="Q5316">
            <v>0.75</v>
          </cell>
          <cell r="T5316">
            <v>108.70099999999999</v>
          </cell>
        </row>
        <row r="5317">
          <cell r="G5317">
            <v>42583</v>
          </cell>
          <cell r="L5317" t="str">
            <v>01-06-004-11W2</v>
          </cell>
          <cell r="O5317">
            <v>884</v>
          </cell>
          <cell r="Q5317">
            <v>1.95</v>
          </cell>
          <cell r="T5317">
            <v>106.76600000000001</v>
          </cell>
        </row>
        <row r="5318">
          <cell r="G5318">
            <v>42583</v>
          </cell>
          <cell r="L5318" t="str">
            <v>01-23-005-12W2</v>
          </cell>
          <cell r="O5318">
            <v>882.3</v>
          </cell>
          <cell r="Q5318">
            <v>2.06</v>
          </cell>
          <cell r="T5318">
            <v>101.30500000000001</v>
          </cell>
        </row>
        <row r="5319">
          <cell r="G5319">
            <v>42583</v>
          </cell>
          <cell r="L5319" t="str">
            <v>07-10-001-20W2</v>
          </cell>
          <cell r="O5319">
            <v>873.9</v>
          </cell>
          <cell r="Q5319">
            <v>1.72</v>
          </cell>
          <cell r="T5319">
            <v>96.644999999999996</v>
          </cell>
        </row>
        <row r="5320">
          <cell r="G5320">
            <v>42583</v>
          </cell>
          <cell r="L5320" t="str">
            <v>15-13-002-12W2</v>
          </cell>
          <cell r="O5320">
            <v>828.1</v>
          </cell>
          <cell r="Q5320">
            <v>0.15</v>
          </cell>
          <cell r="T5320">
            <v>91.566000000000003</v>
          </cell>
        </row>
        <row r="5321">
          <cell r="G5321">
            <v>42583</v>
          </cell>
          <cell r="L5321" t="str">
            <v>04-27-032-56W1</v>
          </cell>
          <cell r="O5321">
            <v>803.1</v>
          </cell>
          <cell r="Q5321">
            <v>0.25</v>
          </cell>
          <cell r="T5321">
            <v>90.506</v>
          </cell>
        </row>
        <row r="5322">
          <cell r="G5322">
            <v>42583</v>
          </cell>
          <cell r="L5322" t="str">
            <v>09-32-006-15W2</v>
          </cell>
          <cell r="O5322">
            <v>887.8</v>
          </cell>
          <cell r="Q5322">
            <v>2.8</v>
          </cell>
          <cell r="T5322">
            <v>80.864000000000004</v>
          </cell>
        </row>
        <row r="5323">
          <cell r="G5323">
            <v>42583</v>
          </cell>
          <cell r="L5323" t="str">
            <v>01-13-007-10W2</v>
          </cell>
          <cell r="O5323">
            <v>818.9</v>
          </cell>
          <cell r="Q5323">
            <v>0.37</v>
          </cell>
          <cell r="T5323">
            <v>69.421000000000006</v>
          </cell>
        </row>
        <row r="5324">
          <cell r="G5324">
            <v>42583</v>
          </cell>
          <cell r="L5324" t="str">
            <v>07-24-006-10W2</v>
          </cell>
          <cell r="O5324">
            <v>883.1</v>
          </cell>
          <cell r="Q5324">
            <v>2.44</v>
          </cell>
          <cell r="T5324">
            <v>67.61</v>
          </cell>
        </row>
        <row r="5325">
          <cell r="G5325">
            <v>42583</v>
          </cell>
          <cell r="L5325" t="str">
            <v>09-12-007-09W2</v>
          </cell>
          <cell r="O5325">
            <v>818.9</v>
          </cell>
          <cell r="Q5325">
            <v>0.15</v>
          </cell>
          <cell r="T5325">
            <v>65.316000000000003</v>
          </cell>
        </row>
        <row r="5326">
          <cell r="G5326">
            <v>42583</v>
          </cell>
          <cell r="L5326" t="str">
            <v>12-28-006-07W2</v>
          </cell>
          <cell r="O5326">
            <v>905.1</v>
          </cell>
          <cell r="Q5326">
            <v>2.52</v>
          </cell>
          <cell r="T5326">
            <v>63.21</v>
          </cell>
        </row>
        <row r="5327">
          <cell r="G5327">
            <v>42583</v>
          </cell>
          <cell r="L5327" t="str">
            <v>01-01-003-16W2</v>
          </cell>
          <cell r="O5327">
            <v>855.5</v>
          </cell>
          <cell r="Q5327">
            <v>1.19</v>
          </cell>
          <cell r="T5327">
            <v>62.002000000000002</v>
          </cell>
        </row>
        <row r="5328">
          <cell r="G5328">
            <v>42583</v>
          </cell>
          <cell r="L5328" t="str">
            <v>08-34-006-12W2</v>
          </cell>
          <cell r="O5328">
            <v>879.6</v>
          </cell>
          <cell r="Q5328">
            <v>1.89</v>
          </cell>
          <cell r="T5328">
            <v>58.697000000000003</v>
          </cell>
        </row>
        <row r="5329">
          <cell r="G5329">
            <v>42583</v>
          </cell>
          <cell r="L5329" t="str">
            <v>01-23-155-91W1</v>
          </cell>
          <cell r="O5329">
            <v>877.2</v>
          </cell>
          <cell r="Q5329">
            <v>1.82</v>
          </cell>
          <cell r="T5329">
            <v>58.146000000000001</v>
          </cell>
        </row>
        <row r="5330">
          <cell r="G5330">
            <v>42583</v>
          </cell>
          <cell r="L5330" t="str">
            <v>01-33-164-97W1</v>
          </cell>
          <cell r="O5330">
            <v>884</v>
          </cell>
          <cell r="Q5330">
            <v>1.76</v>
          </cell>
          <cell r="T5330">
            <v>49.994</v>
          </cell>
        </row>
        <row r="5331">
          <cell r="G5331">
            <v>42583</v>
          </cell>
          <cell r="L5331" t="str">
            <v>13-06-007-09W2</v>
          </cell>
          <cell r="O5331">
            <v>816.3</v>
          </cell>
          <cell r="Q5331">
            <v>0.25</v>
          </cell>
          <cell r="T5331">
            <v>49.960999999999999</v>
          </cell>
        </row>
        <row r="5332">
          <cell r="G5332">
            <v>42583</v>
          </cell>
          <cell r="L5332" t="str">
            <v>01-34-164-97W1</v>
          </cell>
          <cell r="O5332">
            <v>875.5</v>
          </cell>
          <cell r="Q5332">
            <v>2.54</v>
          </cell>
          <cell r="T5332">
            <v>49.088999999999999</v>
          </cell>
        </row>
        <row r="5333">
          <cell r="G5333">
            <v>42583</v>
          </cell>
          <cell r="L5333" t="str">
            <v>02-22-009-09W2</v>
          </cell>
          <cell r="O5333">
            <v>877.1</v>
          </cell>
          <cell r="Q5333">
            <v>2.42</v>
          </cell>
          <cell r="T5333">
            <v>36.469000000000001</v>
          </cell>
        </row>
        <row r="5334">
          <cell r="G5334">
            <v>42583</v>
          </cell>
          <cell r="L5334" t="str">
            <v>08-03-006-07W2</v>
          </cell>
          <cell r="O5334">
            <v>875.7</v>
          </cell>
          <cell r="Q5334">
            <v>1.92</v>
          </cell>
          <cell r="T5334">
            <v>32.642000000000003</v>
          </cell>
        </row>
        <row r="5335">
          <cell r="G5335">
            <v>42583</v>
          </cell>
          <cell r="L5335" t="str">
            <v>14-27-007-08W2</v>
          </cell>
          <cell r="O5335">
            <v>881.6</v>
          </cell>
          <cell r="Q5335">
            <v>2.33</v>
          </cell>
          <cell r="T5335">
            <v>32.584000000000003</v>
          </cell>
        </row>
        <row r="5336">
          <cell r="G5336">
            <v>42583</v>
          </cell>
          <cell r="L5336" t="str">
            <v>15-11-008-12W2</v>
          </cell>
          <cell r="O5336">
            <v>904.8</v>
          </cell>
          <cell r="Q5336">
            <v>2.62</v>
          </cell>
          <cell r="T5336">
            <v>32.389000000000003</v>
          </cell>
        </row>
        <row r="5337">
          <cell r="G5337">
            <v>42583</v>
          </cell>
          <cell r="L5337" t="str">
            <v>14-34-006-11W2</v>
          </cell>
          <cell r="O5337">
            <v>820.7</v>
          </cell>
          <cell r="Q5337">
            <v>0.19</v>
          </cell>
          <cell r="T5337">
            <v>32.165999999999997</v>
          </cell>
        </row>
        <row r="5338">
          <cell r="G5338">
            <v>42583</v>
          </cell>
          <cell r="L5338" t="str">
            <v>01-27-004-07W2</v>
          </cell>
          <cell r="O5338">
            <v>888.9</v>
          </cell>
          <cell r="Q5338">
            <v>2.0299999999999998</v>
          </cell>
          <cell r="T5338">
            <v>32.146000000000001</v>
          </cell>
        </row>
        <row r="5339">
          <cell r="G5339">
            <v>42583</v>
          </cell>
          <cell r="L5339" t="str">
            <v>01-55-159-94W1</v>
          </cell>
          <cell r="O5339">
            <v>820.2</v>
          </cell>
          <cell r="Q5339">
            <v>0.38</v>
          </cell>
          <cell r="T5339">
            <v>30.03</v>
          </cell>
        </row>
        <row r="5340">
          <cell r="G5340">
            <v>42583</v>
          </cell>
          <cell r="L5340" t="str">
            <v>09-02-159-90W1</v>
          </cell>
          <cell r="O5340">
            <v>895.2</v>
          </cell>
          <cell r="Q5340">
            <v>2.67</v>
          </cell>
          <cell r="T5340">
            <v>26.613</v>
          </cell>
        </row>
        <row r="5341">
          <cell r="G5341">
            <v>42583</v>
          </cell>
          <cell r="L5341" t="str">
            <v>03-07-007-11W2</v>
          </cell>
          <cell r="O5341">
            <v>817.1</v>
          </cell>
          <cell r="Q5341">
            <v>0.16</v>
          </cell>
          <cell r="T5341">
            <v>24.06</v>
          </cell>
        </row>
        <row r="5342">
          <cell r="G5342">
            <v>42583</v>
          </cell>
          <cell r="L5342" t="str">
            <v>06-13-007-10W2</v>
          </cell>
          <cell r="O5342">
            <v>829.8</v>
          </cell>
          <cell r="Q5342">
            <v>0.17</v>
          </cell>
          <cell r="T5342">
            <v>20.893000000000001</v>
          </cell>
        </row>
        <row r="5343">
          <cell r="G5343">
            <v>42583</v>
          </cell>
          <cell r="L5343" t="str">
            <v>11-25-005-12W2</v>
          </cell>
          <cell r="O5343">
            <v>875.9</v>
          </cell>
          <cell r="Q5343">
            <v>2.02</v>
          </cell>
          <cell r="T5343">
            <v>2334.085</v>
          </cell>
        </row>
        <row r="5344">
          <cell r="G5344">
            <v>42583</v>
          </cell>
          <cell r="L5344" t="str">
            <v>16-18-003-15W2</v>
          </cell>
          <cell r="O5344">
            <v>886.3</v>
          </cell>
          <cell r="Q5344">
            <v>2.4500000000000002</v>
          </cell>
          <cell r="T5344">
            <v>1112.998</v>
          </cell>
        </row>
        <row r="5345">
          <cell r="G5345">
            <v>42583</v>
          </cell>
          <cell r="L5345" t="str">
            <v>14-21-001-12W2</v>
          </cell>
          <cell r="O5345">
            <v>809.1</v>
          </cell>
          <cell r="Q5345">
            <v>0.22</v>
          </cell>
          <cell r="T5345">
            <v>564.02499999999998</v>
          </cell>
        </row>
        <row r="5346">
          <cell r="G5346">
            <v>42583</v>
          </cell>
          <cell r="L5346" t="str">
            <v>11-31-006-08W2</v>
          </cell>
          <cell r="O5346">
            <v>889.6</v>
          </cell>
          <cell r="Q5346">
            <v>2.5</v>
          </cell>
          <cell r="T5346">
            <v>391.322</v>
          </cell>
        </row>
        <row r="5347">
          <cell r="G5347">
            <v>42583</v>
          </cell>
          <cell r="L5347" t="str">
            <v>05-23-005-13W2</v>
          </cell>
          <cell r="O5347">
            <v>904.5</v>
          </cell>
          <cell r="Q5347">
            <v>2.75</v>
          </cell>
          <cell r="T5347">
            <v>362.43799999999999</v>
          </cell>
        </row>
        <row r="5348">
          <cell r="G5348">
            <v>42583</v>
          </cell>
          <cell r="L5348" t="str">
            <v>06-20-006-09W2</v>
          </cell>
          <cell r="O5348">
            <v>881.6</v>
          </cell>
          <cell r="Q5348">
            <v>2.19</v>
          </cell>
          <cell r="T5348">
            <v>290.71899999999999</v>
          </cell>
        </row>
        <row r="5349">
          <cell r="G5349">
            <v>42583</v>
          </cell>
          <cell r="L5349" t="str">
            <v>13-24-001-16W2</v>
          </cell>
          <cell r="O5349">
            <v>805.7</v>
          </cell>
          <cell r="Q5349">
            <v>0.39</v>
          </cell>
          <cell r="T5349">
            <v>252.54900000000001</v>
          </cell>
        </row>
        <row r="5350">
          <cell r="G5350">
            <v>42583</v>
          </cell>
          <cell r="L5350" t="str">
            <v>16-22-001-12W2</v>
          </cell>
          <cell r="O5350">
            <v>815.3</v>
          </cell>
          <cell r="Q5350">
            <v>0.17</v>
          </cell>
          <cell r="T5350">
            <v>211.86099999999999</v>
          </cell>
        </row>
        <row r="5351">
          <cell r="G5351">
            <v>42583</v>
          </cell>
          <cell r="L5351" t="str">
            <v>14-27-001-12W2</v>
          </cell>
          <cell r="O5351">
            <v>823.3</v>
          </cell>
          <cell r="Q5351">
            <v>0.25</v>
          </cell>
          <cell r="T5351">
            <v>178.27699999999999</v>
          </cell>
        </row>
        <row r="5352">
          <cell r="G5352">
            <v>42583</v>
          </cell>
          <cell r="L5352" t="str">
            <v>13-22-001-12W2</v>
          </cell>
          <cell r="O5352">
            <v>808.7</v>
          </cell>
          <cell r="Q5352">
            <v>0.23</v>
          </cell>
          <cell r="T5352">
            <v>149.12899999999999</v>
          </cell>
        </row>
        <row r="5353">
          <cell r="G5353">
            <v>42583</v>
          </cell>
          <cell r="L5353" t="str">
            <v>13-29-001-15W2</v>
          </cell>
          <cell r="O5353">
            <v>806.4</v>
          </cell>
          <cell r="Q5353">
            <v>0.45</v>
          </cell>
          <cell r="T5353">
            <v>117.786</v>
          </cell>
        </row>
        <row r="5354">
          <cell r="G5354">
            <v>42583</v>
          </cell>
          <cell r="L5354" t="str">
            <v>16-25-001-15W2</v>
          </cell>
          <cell r="O5354">
            <v>818.6</v>
          </cell>
          <cell r="Q5354">
            <v>0.32</v>
          </cell>
          <cell r="T5354">
            <v>67.602000000000004</v>
          </cell>
        </row>
        <row r="5355">
          <cell r="G5355">
            <v>42583</v>
          </cell>
          <cell r="L5355" t="str">
            <v>16-34-001-15W2</v>
          </cell>
          <cell r="O5355">
            <v>806.4</v>
          </cell>
          <cell r="Q5355">
            <v>0.22</v>
          </cell>
          <cell r="T5355">
            <v>63.518000000000001</v>
          </cell>
        </row>
        <row r="5356">
          <cell r="G5356">
            <v>42583</v>
          </cell>
          <cell r="L5356" t="str">
            <v>13-34-001-13W2</v>
          </cell>
          <cell r="O5356">
            <v>819.8</v>
          </cell>
          <cell r="Q5356">
            <v>0.2</v>
          </cell>
          <cell r="T5356">
            <v>60.415999999999997</v>
          </cell>
        </row>
        <row r="5357">
          <cell r="G5357">
            <v>42583</v>
          </cell>
          <cell r="L5357" t="str">
            <v>07-28-007-08W2</v>
          </cell>
          <cell r="O5357">
            <v>856.1</v>
          </cell>
          <cell r="Q5357">
            <v>1.25</v>
          </cell>
          <cell r="T5357">
            <v>35.338999999999999</v>
          </cell>
        </row>
        <row r="5358">
          <cell r="G5358">
            <v>42583</v>
          </cell>
          <cell r="L5358" t="str">
            <v>15-06-006-21W2</v>
          </cell>
          <cell r="O5358">
            <v>826.1</v>
          </cell>
          <cell r="Q5358">
            <v>0.19</v>
          </cell>
          <cell r="T5358">
            <v>33.441000000000003</v>
          </cell>
        </row>
        <row r="5359">
          <cell r="G5359">
            <v>42583</v>
          </cell>
          <cell r="L5359" t="str">
            <v>15-29-005-15W2</v>
          </cell>
          <cell r="O5359">
            <v>891.4</v>
          </cell>
          <cell r="Q5359">
            <v>2.86</v>
          </cell>
          <cell r="T5359">
            <v>4888.3490000000002</v>
          </cell>
        </row>
        <row r="5360">
          <cell r="G5360">
            <v>42583</v>
          </cell>
          <cell r="L5360" t="str">
            <v>04-24-005-15W2</v>
          </cell>
          <cell r="O5360">
            <v>888.9</v>
          </cell>
          <cell r="Q5360">
            <v>2.71</v>
          </cell>
          <cell r="T5360">
            <v>1405.288</v>
          </cell>
        </row>
        <row r="5361">
          <cell r="G5361">
            <v>42583</v>
          </cell>
          <cell r="L5361" t="str">
            <v>09-34-005-15W2</v>
          </cell>
          <cell r="O5361">
            <v>881.2</v>
          </cell>
          <cell r="Q5361">
            <v>2.57</v>
          </cell>
          <cell r="T5361">
            <v>1082.383</v>
          </cell>
        </row>
        <row r="5362">
          <cell r="G5362">
            <v>42583</v>
          </cell>
          <cell r="L5362" t="str">
            <v>06-17-006-14W2</v>
          </cell>
          <cell r="O5362">
            <v>870.3</v>
          </cell>
          <cell r="Q5362">
            <v>2.29</v>
          </cell>
          <cell r="T5362">
            <v>3979</v>
          </cell>
        </row>
        <row r="5363">
          <cell r="G5363">
            <v>42583</v>
          </cell>
          <cell r="L5363" t="str">
            <v>10-11-005-14W2</v>
          </cell>
          <cell r="O5363">
            <v>896.4</v>
          </cell>
          <cell r="Q5363">
            <v>2.86</v>
          </cell>
          <cell r="T5363">
            <v>406.34399999999999</v>
          </cell>
        </row>
        <row r="5364">
          <cell r="G5364">
            <v>42583</v>
          </cell>
          <cell r="L5364" t="str">
            <v>03-15-005-13W2</v>
          </cell>
          <cell r="O5364">
            <v>893.8</v>
          </cell>
          <cell r="Q5364">
            <v>2.85</v>
          </cell>
          <cell r="T5364">
            <v>321.77699999999999</v>
          </cell>
        </row>
        <row r="5365">
          <cell r="G5365">
            <v>42583</v>
          </cell>
          <cell r="L5365" t="str">
            <v>12-13-006-13W2</v>
          </cell>
          <cell r="O5365">
            <v>873.2</v>
          </cell>
          <cell r="Q5365">
            <v>2.5299999999999998</v>
          </cell>
          <cell r="T5365">
            <v>297.38499999999999</v>
          </cell>
        </row>
        <row r="5366">
          <cell r="G5366">
            <v>42583</v>
          </cell>
          <cell r="L5366" t="str">
            <v>15-19-005-13W2</v>
          </cell>
          <cell r="O5366">
            <v>895.9</v>
          </cell>
          <cell r="Q5366">
            <v>2.72</v>
          </cell>
          <cell r="T5366">
            <v>252.21100000000001</v>
          </cell>
        </row>
        <row r="5367">
          <cell r="G5367">
            <v>42583</v>
          </cell>
          <cell r="L5367" t="str">
            <v>08-23-005-14W2</v>
          </cell>
          <cell r="O5367">
            <v>890</v>
          </cell>
          <cell r="Q5367">
            <v>2.39</v>
          </cell>
          <cell r="T5367">
            <v>66.997</v>
          </cell>
        </row>
        <row r="5368">
          <cell r="G5368">
            <v>42583</v>
          </cell>
          <cell r="L5368" t="str">
            <v>11-12-006-15W2</v>
          </cell>
          <cell r="O5368">
            <v>872</v>
          </cell>
          <cell r="Q5368">
            <v>2.27</v>
          </cell>
          <cell r="T5368">
            <v>7714.7539999999999</v>
          </cell>
        </row>
        <row r="5369">
          <cell r="G5369">
            <v>42583</v>
          </cell>
          <cell r="L5369" t="str">
            <v>07-24-006-15W2</v>
          </cell>
          <cell r="O5369">
            <v>867.3</v>
          </cell>
          <cell r="Q5369">
            <v>1.18</v>
          </cell>
          <cell r="T5369">
            <v>1044.9480000000001</v>
          </cell>
        </row>
        <row r="5370">
          <cell r="G5370">
            <v>42583</v>
          </cell>
          <cell r="L5370" t="str">
            <v>11-25-005-12W2</v>
          </cell>
          <cell r="O5370">
            <v>873.4</v>
          </cell>
          <cell r="Q5370">
            <v>2.02</v>
          </cell>
          <cell r="T5370">
            <v>64.543000000000006</v>
          </cell>
        </row>
        <row r="5371">
          <cell r="G5371">
            <v>42583</v>
          </cell>
          <cell r="L5371" t="str">
            <v>07-07-006-15W2</v>
          </cell>
          <cell r="O5371">
            <v>869.9</v>
          </cell>
          <cell r="Q5371">
            <v>2.81</v>
          </cell>
          <cell r="T5371">
            <v>5480.2830000000004</v>
          </cell>
        </row>
        <row r="5372">
          <cell r="G5372">
            <v>42583</v>
          </cell>
          <cell r="L5372" t="str">
            <v>12-30-006-15W2</v>
          </cell>
          <cell r="O5372">
            <v>894.2</v>
          </cell>
          <cell r="Q5372">
            <v>2.99</v>
          </cell>
          <cell r="T5372">
            <v>4428.3149999999996</v>
          </cell>
        </row>
        <row r="5373">
          <cell r="G5373">
            <v>42583</v>
          </cell>
          <cell r="L5373" t="str">
            <v>12-11-001-10W2</v>
          </cell>
          <cell r="O5373">
            <v>818.6</v>
          </cell>
          <cell r="Q5373">
            <v>0.17</v>
          </cell>
          <cell r="T5373">
            <v>3129.9540000000002</v>
          </cell>
        </row>
        <row r="5374">
          <cell r="G5374">
            <v>42583</v>
          </cell>
          <cell r="L5374" t="str">
            <v>12-32-006-04W2</v>
          </cell>
          <cell r="O5374">
            <v>860.6</v>
          </cell>
          <cell r="Q5374">
            <v>1.82</v>
          </cell>
          <cell r="T5374">
            <v>2605.971</v>
          </cell>
        </row>
        <row r="5375">
          <cell r="G5375">
            <v>42583</v>
          </cell>
          <cell r="L5375" t="str">
            <v>31-30-164-92W1</v>
          </cell>
          <cell r="O5375">
            <v>831.1</v>
          </cell>
          <cell r="Q5375">
            <v>0.52</v>
          </cell>
          <cell r="T5375">
            <v>1747.884</v>
          </cell>
        </row>
        <row r="5376">
          <cell r="G5376">
            <v>42583</v>
          </cell>
          <cell r="L5376" t="str">
            <v>11-25-005-06W2</v>
          </cell>
          <cell r="O5376">
            <v>851.2</v>
          </cell>
          <cell r="Q5376">
            <v>1.0900000000000001</v>
          </cell>
          <cell r="T5376">
            <v>1569.895</v>
          </cell>
        </row>
        <row r="5377">
          <cell r="G5377">
            <v>42583</v>
          </cell>
          <cell r="L5377" t="str">
            <v>11-12-007-04W2</v>
          </cell>
          <cell r="O5377">
            <v>854.3</v>
          </cell>
          <cell r="Q5377">
            <v>1.45</v>
          </cell>
          <cell r="T5377">
            <v>1406.3009999999999</v>
          </cell>
        </row>
        <row r="5378">
          <cell r="G5378">
            <v>42583</v>
          </cell>
          <cell r="L5378" t="str">
            <v>02-31-145-98W1</v>
          </cell>
          <cell r="O5378">
            <v>819.3</v>
          </cell>
          <cell r="Q5378">
            <v>0.41</v>
          </cell>
          <cell r="T5378">
            <v>1178.6769999999999</v>
          </cell>
        </row>
        <row r="5379">
          <cell r="G5379">
            <v>42583</v>
          </cell>
          <cell r="L5379" t="str">
            <v>04-06-005-05W2</v>
          </cell>
          <cell r="O5379">
            <v>847.2</v>
          </cell>
          <cell r="Q5379">
            <v>0.79</v>
          </cell>
          <cell r="T5379">
            <v>1076.873</v>
          </cell>
        </row>
        <row r="5380">
          <cell r="G5380">
            <v>42583</v>
          </cell>
          <cell r="L5380" t="str">
            <v>16-19-002-04W2</v>
          </cell>
          <cell r="O5380">
            <v>839.4</v>
          </cell>
          <cell r="Q5380">
            <v>0.53</v>
          </cell>
          <cell r="T5380">
            <v>1021.308</v>
          </cell>
        </row>
        <row r="5381">
          <cell r="G5381">
            <v>42583</v>
          </cell>
          <cell r="L5381" t="str">
            <v>03-10-145-98W1</v>
          </cell>
          <cell r="O5381">
            <v>816.1</v>
          </cell>
          <cell r="Q5381">
            <v>0.41</v>
          </cell>
          <cell r="T5381">
            <v>797.44799999999998</v>
          </cell>
        </row>
        <row r="5382">
          <cell r="G5382">
            <v>42583</v>
          </cell>
          <cell r="L5382" t="str">
            <v>02-05-163-92W1</v>
          </cell>
          <cell r="O5382">
            <v>835.5</v>
          </cell>
          <cell r="Q5382">
            <v>0.54</v>
          </cell>
          <cell r="T5382">
            <v>534.38</v>
          </cell>
        </row>
        <row r="5383">
          <cell r="G5383">
            <v>42583</v>
          </cell>
          <cell r="L5383" t="str">
            <v>01-19-145-98W1</v>
          </cell>
          <cell r="O5383">
            <v>816.6</v>
          </cell>
          <cell r="Q5383">
            <v>0.38</v>
          </cell>
          <cell r="T5383">
            <v>502.77600000000001</v>
          </cell>
        </row>
        <row r="5384">
          <cell r="G5384">
            <v>42583</v>
          </cell>
          <cell r="L5384" t="str">
            <v>02-34-143-100W1</v>
          </cell>
          <cell r="O5384">
            <v>837.8</v>
          </cell>
          <cell r="Q5384">
            <v>0.38</v>
          </cell>
          <cell r="T5384">
            <v>490.94600000000003</v>
          </cell>
        </row>
        <row r="5385">
          <cell r="G5385">
            <v>42583</v>
          </cell>
          <cell r="L5385" t="str">
            <v>09-20-006-04W2</v>
          </cell>
          <cell r="O5385">
            <v>852.6</v>
          </cell>
          <cell r="Q5385">
            <v>1.36</v>
          </cell>
          <cell r="T5385">
            <v>490.53899999999999</v>
          </cell>
        </row>
        <row r="5386">
          <cell r="G5386">
            <v>42583</v>
          </cell>
          <cell r="L5386" t="str">
            <v>01-02-021-58W1</v>
          </cell>
          <cell r="O5386">
            <v>830.1</v>
          </cell>
          <cell r="Q5386">
            <v>0.7</v>
          </cell>
          <cell r="T5386">
            <v>372.66300000000001</v>
          </cell>
        </row>
        <row r="5387">
          <cell r="G5387">
            <v>42583</v>
          </cell>
          <cell r="L5387" t="str">
            <v>09-19-004-04W2</v>
          </cell>
          <cell r="O5387">
            <v>850.1</v>
          </cell>
          <cell r="Q5387">
            <v>1.19</v>
          </cell>
          <cell r="T5387">
            <v>293.37900000000002</v>
          </cell>
        </row>
        <row r="5388">
          <cell r="G5388">
            <v>42583</v>
          </cell>
          <cell r="L5388" t="str">
            <v>01-03-163-92W1</v>
          </cell>
          <cell r="O5388">
            <v>811</v>
          </cell>
          <cell r="Q5388">
            <v>0.46</v>
          </cell>
          <cell r="T5388">
            <v>272.56400000000002</v>
          </cell>
        </row>
        <row r="5389">
          <cell r="G5389">
            <v>42583</v>
          </cell>
          <cell r="L5389" t="str">
            <v>01-05-163-92W1</v>
          </cell>
          <cell r="O5389">
            <v>842.1</v>
          </cell>
          <cell r="Q5389">
            <v>0.53</v>
          </cell>
          <cell r="T5389">
            <v>264.89299999999997</v>
          </cell>
        </row>
        <row r="5390">
          <cell r="G5390">
            <v>42583</v>
          </cell>
          <cell r="L5390" t="str">
            <v>01-13-152-95W1</v>
          </cell>
          <cell r="O5390">
            <v>841.1</v>
          </cell>
          <cell r="Q5390">
            <v>0.06</v>
          </cell>
          <cell r="T5390">
            <v>225.94</v>
          </cell>
        </row>
        <row r="5391">
          <cell r="G5391">
            <v>42583</v>
          </cell>
          <cell r="L5391" t="str">
            <v>01-25-150-98W1</v>
          </cell>
          <cell r="O5391">
            <v>805.1</v>
          </cell>
          <cell r="Q5391">
            <v>0.05</v>
          </cell>
          <cell r="T5391">
            <v>217.167</v>
          </cell>
        </row>
        <row r="5392">
          <cell r="G5392">
            <v>42583</v>
          </cell>
          <cell r="L5392" t="str">
            <v>13-19-001-03W2</v>
          </cell>
          <cell r="O5392">
            <v>835.6</v>
          </cell>
          <cell r="Q5392">
            <v>0.62</v>
          </cell>
          <cell r="T5392">
            <v>215.86799999999999</v>
          </cell>
        </row>
        <row r="5393">
          <cell r="G5393">
            <v>42583</v>
          </cell>
          <cell r="L5393" t="str">
            <v>01-28-142-100W1</v>
          </cell>
          <cell r="O5393">
            <v>824.5</v>
          </cell>
          <cell r="Q5393">
            <v>0.4</v>
          </cell>
          <cell r="T5393">
            <v>215.84800000000001</v>
          </cell>
        </row>
        <row r="5394">
          <cell r="G5394">
            <v>42583</v>
          </cell>
          <cell r="L5394" t="str">
            <v>02-30-147-97W1</v>
          </cell>
          <cell r="O5394">
            <v>810.7</v>
          </cell>
          <cell r="Q5394">
            <v>0.46</v>
          </cell>
          <cell r="T5394">
            <v>194.113</v>
          </cell>
        </row>
        <row r="5395">
          <cell r="G5395">
            <v>42583</v>
          </cell>
          <cell r="L5395" t="str">
            <v>05-25-147-98W1</v>
          </cell>
          <cell r="O5395">
            <v>815.5</v>
          </cell>
          <cell r="Q5395">
            <v>0.56000000000000005</v>
          </cell>
          <cell r="T5395">
            <v>192.124</v>
          </cell>
        </row>
        <row r="5396">
          <cell r="G5396">
            <v>42583</v>
          </cell>
          <cell r="L5396" t="str">
            <v>01-22-142-100W1</v>
          </cell>
          <cell r="O5396">
            <v>820.8</v>
          </cell>
          <cell r="Q5396">
            <v>0.31</v>
          </cell>
          <cell r="T5396">
            <v>186.17099999999999</v>
          </cell>
        </row>
        <row r="5397">
          <cell r="G5397">
            <v>42583</v>
          </cell>
          <cell r="L5397" t="str">
            <v>07-04-005-04W2</v>
          </cell>
          <cell r="O5397">
            <v>841.8</v>
          </cell>
          <cell r="Q5397">
            <v>0.89</v>
          </cell>
          <cell r="T5397">
            <v>174.63800000000001</v>
          </cell>
        </row>
        <row r="5398">
          <cell r="G5398">
            <v>42583</v>
          </cell>
          <cell r="L5398" t="str">
            <v>14-23-163-96W1</v>
          </cell>
          <cell r="O5398">
            <v>823.1</v>
          </cell>
          <cell r="Q5398">
            <v>0.15</v>
          </cell>
          <cell r="T5398">
            <v>154.74799999999999</v>
          </cell>
        </row>
        <row r="5399">
          <cell r="G5399">
            <v>42583</v>
          </cell>
          <cell r="L5399" t="str">
            <v>03-10-151-96W1</v>
          </cell>
          <cell r="O5399">
            <v>823.2</v>
          </cell>
          <cell r="Q5399">
            <v>0.24</v>
          </cell>
          <cell r="T5399">
            <v>152.04599999999999</v>
          </cell>
        </row>
        <row r="5400">
          <cell r="G5400">
            <v>42583</v>
          </cell>
          <cell r="L5400" t="str">
            <v>14-18-163-95W1</v>
          </cell>
          <cell r="O5400">
            <v>851.5</v>
          </cell>
          <cell r="Q5400">
            <v>1.1399999999999999</v>
          </cell>
          <cell r="T5400">
            <v>148.601</v>
          </cell>
        </row>
        <row r="5401">
          <cell r="G5401">
            <v>42583</v>
          </cell>
          <cell r="L5401" t="str">
            <v>01-33-141-100W1</v>
          </cell>
          <cell r="O5401">
            <v>819.6</v>
          </cell>
          <cell r="Q5401">
            <v>0.39</v>
          </cell>
          <cell r="T5401">
            <v>148.41499999999999</v>
          </cell>
        </row>
        <row r="5402">
          <cell r="G5402">
            <v>42583</v>
          </cell>
          <cell r="L5402" t="str">
            <v>07-22-003-03W2</v>
          </cell>
          <cell r="O5402">
            <v>827.2</v>
          </cell>
          <cell r="Q5402">
            <v>0.59</v>
          </cell>
          <cell r="T5402">
            <v>146.12</v>
          </cell>
        </row>
        <row r="5403">
          <cell r="G5403">
            <v>42583</v>
          </cell>
          <cell r="L5403" t="str">
            <v>04-25-144-98W1</v>
          </cell>
          <cell r="O5403">
            <v>818.9</v>
          </cell>
          <cell r="Q5403">
            <v>0.5</v>
          </cell>
          <cell r="T5403">
            <v>131.81299999999999</v>
          </cell>
        </row>
        <row r="5404">
          <cell r="G5404">
            <v>42583</v>
          </cell>
          <cell r="L5404" t="str">
            <v>01-17-143-101W1</v>
          </cell>
          <cell r="O5404">
            <v>831.9</v>
          </cell>
          <cell r="Q5404">
            <v>0.51</v>
          </cell>
          <cell r="T5404">
            <v>128.65899999999999</v>
          </cell>
        </row>
        <row r="5405">
          <cell r="G5405">
            <v>42583</v>
          </cell>
          <cell r="L5405" t="str">
            <v>01-30-147-97W1</v>
          </cell>
          <cell r="O5405">
            <v>817.6</v>
          </cell>
          <cell r="Q5405">
            <v>0.55000000000000004</v>
          </cell>
          <cell r="T5405">
            <v>128.62100000000001</v>
          </cell>
        </row>
        <row r="5406">
          <cell r="G5406">
            <v>42583</v>
          </cell>
          <cell r="L5406" t="str">
            <v>01-25-156-93W1</v>
          </cell>
          <cell r="O5406">
            <v>809.5</v>
          </cell>
          <cell r="Q5406">
            <v>0.12</v>
          </cell>
          <cell r="T5406">
            <v>127.001</v>
          </cell>
        </row>
        <row r="5407">
          <cell r="G5407">
            <v>42583</v>
          </cell>
          <cell r="L5407" t="str">
            <v>01-09-143-101W1</v>
          </cell>
          <cell r="O5407">
            <v>834.1</v>
          </cell>
          <cell r="Q5407">
            <v>0.53</v>
          </cell>
          <cell r="T5407">
            <v>121.039</v>
          </cell>
        </row>
        <row r="5408">
          <cell r="G5408">
            <v>42583</v>
          </cell>
          <cell r="L5408" t="str">
            <v>01-28-141-100W1</v>
          </cell>
          <cell r="O5408">
            <v>826.7</v>
          </cell>
          <cell r="Q5408">
            <v>0.37</v>
          </cell>
          <cell r="T5408">
            <v>120.267</v>
          </cell>
        </row>
        <row r="5409">
          <cell r="G5409">
            <v>42583</v>
          </cell>
          <cell r="L5409" t="str">
            <v>44-35-022-58W1</v>
          </cell>
          <cell r="O5409">
            <v>866.8</v>
          </cell>
          <cell r="Q5409">
            <v>0.94</v>
          </cell>
          <cell r="T5409">
            <v>118.465</v>
          </cell>
        </row>
        <row r="5410">
          <cell r="G5410">
            <v>42583</v>
          </cell>
          <cell r="L5410" t="str">
            <v>35-26-164-97W1</v>
          </cell>
          <cell r="O5410">
            <v>836.6</v>
          </cell>
          <cell r="Q5410">
            <v>0.14000000000000001</v>
          </cell>
          <cell r="T5410">
            <v>117.309</v>
          </cell>
        </row>
        <row r="5411">
          <cell r="G5411">
            <v>42583</v>
          </cell>
          <cell r="L5411" t="str">
            <v>01-02-151-102W1</v>
          </cell>
          <cell r="O5411">
            <v>830.4</v>
          </cell>
          <cell r="Q5411">
            <v>0.33</v>
          </cell>
          <cell r="T5411">
            <v>117.191</v>
          </cell>
        </row>
        <row r="5412">
          <cell r="G5412">
            <v>42583</v>
          </cell>
          <cell r="L5412" t="str">
            <v>01-31-164-98W1</v>
          </cell>
          <cell r="O5412">
            <v>819.5</v>
          </cell>
          <cell r="Q5412">
            <v>0.15</v>
          </cell>
          <cell r="T5412">
            <v>100.041</v>
          </cell>
        </row>
        <row r="5413">
          <cell r="G5413">
            <v>42583</v>
          </cell>
          <cell r="L5413" t="str">
            <v>03-25-147-98W1</v>
          </cell>
          <cell r="O5413">
            <v>811.2</v>
          </cell>
          <cell r="Q5413">
            <v>0.45</v>
          </cell>
          <cell r="T5413">
            <v>99.903000000000006</v>
          </cell>
        </row>
        <row r="5414">
          <cell r="G5414">
            <v>42583</v>
          </cell>
          <cell r="L5414" t="str">
            <v>12-03-146-100W1</v>
          </cell>
          <cell r="O5414">
            <v>834.7</v>
          </cell>
          <cell r="Q5414">
            <v>0.47</v>
          </cell>
          <cell r="T5414">
            <v>99.328000000000003</v>
          </cell>
        </row>
        <row r="5415">
          <cell r="G5415">
            <v>42583</v>
          </cell>
          <cell r="L5415" t="str">
            <v>01-18-145-97W1</v>
          </cell>
          <cell r="O5415">
            <v>819.2</v>
          </cell>
          <cell r="Q5415">
            <v>0.45</v>
          </cell>
          <cell r="T5415">
            <v>96.923000000000002</v>
          </cell>
        </row>
        <row r="5416">
          <cell r="G5416">
            <v>42583</v>
          </cell>
          <cell r="L5416" t="str">
            <v>01-03-163-99W1</v>
          </cell>
          <cell r="O5416">
            <v>832.2</v>
          </cell>
          <cell r="Q5416">
            <v>0.16</v>
          </cell>
          <cell r="T5416">
            <v>96.704999999999998</v>
          </cell>
        </row>
        <row r="5417">
          <cell r="G5417">
            <v>42583</v>
          </cell>
          <cell r="L5417" t="str">
            <v>02-09-142-100W1</v>
          </cell>
          <cell r="O5417">
            <v>830.5</v>
          </cell>
          <cell r="Q5417">
            <v>0.45</v>
          </cell>
          <cell r="T5417">
            <v>93.643000000000001</v>
          </cell>
        </row>
        <row r="5418">
          <cell r="G5418">
            <v>42583</v>
          </cell>
          <cell r="L5418" t="str">
            <v>10-01-157-95W1</v>
          </cell>
          <cell r="O5418">
            <v>828.2</v>
          </cell>
          <cell r="Q5418">
            <v>0.54</v>
          </cell>
          <cell r="T5418">
            <v>93.296999999999997</v>
          </cell>
        </row>
        <row r="5419">
          <cell r="G5419">
            <v>42583</v>
          </cell>
          <cell r="L5419" t="str">
            <v>01-08-153-95W1</v>
          </cell>
          <cell r="O5419">
            <v>812.8</v>
          </cell>
          <cell r="Q5419">
            <v>0.28999999999999998</v>
          </cell>
          <cell r="T5419">
            <v>93.203999999999994</v>
          </cell>
        </row>
        <row r="5420">
          <cell r="G5420">
            <v>42583</v>
          </cell>
          <cell r="L5420" t="str">
            <v>01-21-153-95W1</v>
          </cell>
          <cell r="O5420">
            <v>820.6</v>
          </cell>
          <cell r="Q5420">
            <v>0.37</v>
          </cell>
          <cell r="T5420">
            <v>92.927000000000007</v>
          </cell>
        </row>
        <row r="5421">
          <cell r="G5421">
            <v>42583</v>
          </cell>
          <cell r="L5421" t="str">
            <v>01-03-153-95W1</v>
          </cell>
          <cell r="O5421">
            <v>830.2</v>
          </cell>
          <cell r="Q5421">
            <v>0.5</v>
          </cell>
          <cell r="T5421">
            <v>92.403999999999996</v>
          </cell>
        </row>
        <row r="5422">
          <cell r="G5422">
            <v>42583</v>
          </cell>
          <cell r="L5422" t="str">
            <v>04-19-147-97W1</v>
          </cell>
          <cell r="O5422">
            <v>820.6</v>
          </cell>
          <cell r="Q5422">
            <v>0.61</v>
          </cell>
          <cell r="T5422">
            <v>88.623000000000005</v>
          </cell>
        </row>
        <row r="5423">
          <cell r="G5423">
            <v>42583</v>
          </cell>
          <cell r="L5423" t="str">
            <v>01-03-155-91W1</v>
          </cell>
          <cell r="O5423">
            <v>862.2</v>
          </cell>
          <cell r="Q5423">
            <v>1.27</v>
          </cell>
          <cell r="T5423">
            <v>88.055000000000007</v>
          </cell>
        </row>
        <row r="5424">
          <cell r="G5424">
            <v>42583</v>
          </cell>
          <cell r="L5424" t="str">
            <v>20-01-161-90W1</v>
          </cell>
          <cell r="O5424">
            <v>862.5</v>
          </cell>
          <cell r="Q5424">
            <v>1.4</v>
          </cell>
          <cell r="T5424">
            <v>84.137</v>
          </cell>
        </row>
        <row r="5425">
          <cell r="G5425">
            <v>42583</v>
          </cell>
          <cell r="L5425" t="str">
            <v>08-22-002-09W2</v>
          </cell>
          <cell r="O5425">
            <v>841.2</v>
          </cell>
          <cell r="Q5425">
            <v>0.23</v>
          </cell>
          <cell r="T5425">
            <v>76.100999999999999</v>
          </cell>
        </row>
        <row r="5426">
          <cell r="G5426">
            <v>42583</v>
          </cell>
          <cell r="L5426" t="str">
            <v>08-31-007-07W2</v>
          </cell>
          <cell r="O5426">
            <v>867.3</v>
          </cell>
          <cell r="Q5426">
            <v>1.94</v>
          </cell>
          <cell r="T5426">
            <v>72.058000000000007</v>
          </cell>
        </row>
        <row r="5427">
          <cell r="G5427">
            <v>42583</v>
          </cell>
          <cell r="L5427" t="str">
            <v>25-11-159-102W1</v>
          </cell>
          <cell r="O5427">
            <v>829.3</v>
          </cell>
          <cell r="Q5427">
            <v>0.43</v>
          </cell>
          <cell r="T5427">
            <v>68.8</v>
          </cell>
        </row>
        <row r="5428">
          <cell r="G5428">
            <v>42583</v>
          </cell>
          <cell r="L5428" t="str">
            <v>09-30-006-05W2</v>
          </cell>
          <cell r="O5428">
            <v>807.4</v>
          </cell>
          <cell r="Q5428">
            <v>0.23</v>
          </cell>
          <cell r="T5428">
            <v>68.08</v>
          </cell>
        </row>
        <row r="5429">
          <cell r="G5429">
            <v>42583</v>
          </cell>
          <cell r="L5429" t="str">
            <v>06-06-162-96W1</v>
          </cell>
          <cell r="O5429">
            <v>834.7</v>
          </cell>
          <cell r="Q5429">
            <v>0.15</v>
          </cell>
          <cell r="T5429">
            <v>66.646000000000001</v>
          </cell>
        </row>
        <row r="5430">
          <cell r="G5430">
            <v>42583</v>
          </cell>
          <cell r="L5430" t="str">
            <v>01-10-152-96W1</v>
          </cell>
          <cell r="O5430">
            <v>822.8</v>
          </cell>
          <cell r="Q5430">
            <v>0.33</v>
          </cell>
          <cell r="T5430">
            <v>66.001000000000005</v>
          </cell>
        </row>
        <row r="5431">
          <cell r="G5431">
            <v>42583</v>
          </cell>
          <cell r="L5431" t="str">
            <v>02-19-163-91W1</v>
          </cell>
          <cell r="O5431">
            <v>846.1</v>
          </cell>
          <cell r="Q5431">
            <v>0.47</v>
          </cell>
          <cell r="T5431">
            <v>65.965000000000003</v>
          </cell>
        </row>
        <row r="5432">
          <cell r="G5432">
            <v>42583</v>
          </cell>
          <cell r="L5432" t="str">
            <v>01-26-152-96W1</v>
          </cell>
          <cell r="O5432">
            <v>818.2</v>
          </cell>
          <cell r="Q5432">
            <v>0.33</v>
          </cell>
          <cell r="T5432">
            <v>65.525000000000006</v>
          </cell>
        </row>
        <row r="5433">
          <cell r="G5433">
            <v>42583</v>
          </cell>
          <cell r="L5433" t="str">
            <v>01-33-162-90W1</v>
          </cell>
          <cell r="O5433">
            <v>861.8</v>
          </cell>
          <cell r="Q5433">
            <v>0.42</v>
          </cell>
          <cell r="T5433">
            <v>64.16</v>
          </cell>
        </row>
        <row r="5434">
          <cell r="G5434">
            <v>42583</v>
          </cell>
          <cell r="L5434" t="str">
            <v>03-16-163-91W1</v>
          </cell>
          <cell r="O5434">
            <v>836.6</v>
          </cell>
          <cell r="Q5434">
            <v>0.47</v>
          </cell>
          <cell r="T5434">
            <v>63.201999999999998</v>
          </cell>
        </row>
        <row r="5435">
          <cell r="G5435">
            <v>42583</v>
          </cell>
          <cell r="L5435" t="str">
            <v>13-26-007-05W2</v>
          </cell>
          <cell r="O5435">
            <v>862.3</v>
          </cell>
          <cell r="Q5435">
            <v>1.5</v>
          </cell>
          <cell r="T5435">
            <v>63.006999999999998</v>
          </cell>
        </row>
        <row r="5436">
          <cell r="G5436">
            <v>42583</v>
          </cell>
          <cell r="L5436" t="str">
            <v>15-04-143-101W1</v>
          </cell>
          <cell r="O5436">
            <v>835.1</v>
          </cell>
          <cell r="Q5436">
            <v>0.52</v>
          </cell>
          <cell r="T5436">
            <v>62.462000000000003</v>
          </cell>
        </row>
        <row r="5437">
          <cell r="G5437">
            <v>42583</v>
          </cell>
          <cell r="L5437" t="str">
            <v>03-25-144-98W1</v>
          </cell>
          <cell r="O5437">
            <v>833.1</v>
          </cell>
          <cell r="Q5437">
            <v>0.5</v>
          </cell>
          <cell r="T5437">
            <v>62.029000000000003</v>
          </cell>
        </row>
        <row r="5438">
          <cell r="G5438">
            <v>42583</v>
          </cell>
          <cell r="L5438" t="str">
            <v>01-19-147-97W1</v>
          </cell>
          <cell r="O5438">
            <v>817.1</v>
          </cell>
          <cell r="Q5438">
            <v>0.67</v>
          </cell>
          <cell r="T5438">
            <v>61.046999999999997</v>
          </cell>
        </row>
        <row r="5439">
          <cell r="G5439">
            <v>42583</v>
          </cell>
          <cell r="L5439" t="str">
            <v>04-24-147-98W1</v>
          </cell>
          <cell r="O5439">
            <v>814.1</v>
          </cell>
          <cell r="Q5439">
            <v>0.56000000000000005</v>
          </cell>
          <cell r="T5439">
            <v>60.521000000000001</v>
          </cell>
        </row>
        <row r="5440">
          <cell r="G5440">
            <v>42583</v>
          </cell>
          <cell r="L5440" t="str">
            <v>02-34-159-95W1</v>
          </cell>
          <cell r="O5440">
            <v>852.3</v>
          </cell>
          <cell r="Q5440">
            <v>0.61</v>
          </cell>
          <cell r="T5440">
            <v>60.338000000000001</v>
          </cell>
        </row>
        <row r="5441">
          <cell r="G5441">
            <v>42583</v>
          </cell>
          <cell r="L5441" t="str">
            <v>24-01-160-96W1</v>
          </cell>
          <cell r="O5441">
            <v>828.7</v>
          </cell>
          <cell r="Q5441">
            <v>0.49</v>
          </cell>
          <cell r="T5441">
            <v>59.768999999999998</v>
          </cell>
        </row>
        <row r="5442">
          <cell r="G5442">
            <v>42583</v>
          </cell>
          <cell r="L5442" t="str">
            <v>01-28-152-101W1</v>
          </cell>
          <cell r="O5442">
            <v>830.5</v>
          </cell>
          <cell r="Q5442">
            <v>0.45</v>
          </cell>
          <cell r="T5442">
            <v>59.680999999999997</v>
          </cell>
        </row>
        <row r="5443">
          <cell r="G5443">
            <v>42583</v>
          </cell>
          <cell r="L5443" t="str">
            <v>03-01-158-95W1</v>
          </cell>
          <cell r="O5443">
            <v>827.6</v>
          </cell>
          <cell r="Q5443">
            <v>0.61</v>
          </cell>
          <cell r="T5443">
            <v>59.067</v>
          </cell>
        </row>
        <row r="5444">
          <cell r="G5444">
            <v>42583</v>
          </cell>
          <cell r="L5444" t="str">
            <v>01-31-159-95W1</v>
          </cell>
          <cell r="O5444">
            <v>848.6</v>
          </cell>
          <cell r="Q5444">
            <v>0.69</v>
          </cell>
          <cell r="T5444">
            <v>58.62</v>
          </cell>
        </row>
        <row r="5445">
          <cell r="G5445">
            <v>42583</v>
          </cell>
          <cell r="L5445" t="str">
            <v>01-14-001-11W2</v>
          </cell>
          <cell r="O5445">
            <v>843.9</v>
          </cell>
          <cell r="Q5445">
            <v>0.26</v>
          </cell>
          <cell r="T5445">
            <v>55.029000000000003</v>
          </cell>
        </row>
        <row r="5446">
          <cell r="G5446">
            <v>42583</v>
          </cell>
          <cell r="L5446" t="str">
            <v>01-08-162-95W1</v>
          </cell>
          <cell r="O5446">
            <v>851.7</v>
          </cell>
          <cell r="Q5446">
            <v>0.8</v>
          </cell>
          <cell r="T5446">
            <v>54.927</v>
          </cell>
        </row>
        <row r="5447">
          <cell r="G5447">
            <v>42583</v>
          </cell>
          <cell r="L5447" t="str">
            <v>01-34-164-92W1</v>
          </cell>
          <cell r="O5447">
            <v>831.1</v>
          </cell>
          <cell r="Q5447">
            <v>0.6</v>
          </cell>
          <cell r="T5447">
            <v>54.569000000000003</v>
          </cell>
        </row>
        <row r="5448">
          <cell r="G5448">
            <v>42583</v>
          </cell>
          <cell r="L5448" t="str">
            <v>26-35-163-97W1</v>
          </cell>
          <cell r="O5448">
            <v>830.4</v>
          </cell>
          <cell r="Q5448">
            <v>0.14000000000000001</v>
          </cell>
          <cell r="T5448">
            <v>54.411999999999999</v>
          </cell>
        </row>
        <row r="5449">
          <cell r="G5449">
            <v>42583</v>
          </cell>
          <cell r="L5449" t="str">
            <v>01-26-144-98W1</v>
          </cell>
          <cell r="O5449">
            <v>834.9</v>
          </cell>
          <cell r="Q5449">
            <v>0.47</v>
          </cell>
          <cell r="T5449">
            <v>41.243000000000002</v>
          </cell>
        </row>
        <row r="5450">
          <cell r="G5450">
            <v>42583</v>
          </cell>
          <cell r="L5450" t="str">
            <v>13-09-002-11W2</v>
          </cell>
          <cell r="O5450">
            <v>817.1</v>
          </cell>
          <cell r="Q5450">
            <v>0.09</v>
          </cell>
          <cell r="T5450">
            <v>34.944000000000003</v>
          </cell>
        </row>
        <row r="5451">
          <cell r="G5451">
            <v>42583</v>
          </cell>
          <cell r="L5451" t="str">
            <v>02-34-145-97W1</v>
          </cell>
          <cell r="O5451">
            <v>830.1</v>
          </cell>
          <cell r="Q5451">
            <v>0.37</v>
          </cell>
          <cell r="T5451">
            <v>34.320999999999998</v>
          </cell>
        </row>
        <row r="5452">
          <cell r="G5452">
            <v>42583</v>
          </cell>
          <cell r="L5452" t="str">
            <v>01-15-022-57W1</v>
          </cell>
          <cell r="O5452">
            <v>810.5</v>
          </cell>
          <cell r="Q5452">
            <v>0.37</v>
          </cell>
          <cell r="T5452">
            <v>34.018000000000001</v>
          </cell>
        </row>
        <row r="5453">
          <cell r="G5453">
            <v>42583</v>
          </cell>
          <cell r="L5453" t="str">
            <v>01-33-164-91W1</v>
          </cell>
          <cell r="O5453">
            <v>833.8</v>
          </cell>
          <cell r="Q5453">
            <v>0.52</v>
          </cell>
          <cell r="T5453">
            <v>34.009</v>
          </cell>
        </row>
        <row r="5454">
          <cell r="G5454">
            <v>42583</v>
          </cell>
          <cell r="L5454" t="str">
            <v>01-20-163-91W1</v>
          </cell>
          <cell r="O5454">
            <v>839.6</v>
          </cell>
          <cell r="Q5454">
            <v>0.5</v>
          </cell>
          <cell r="T5454">
            <v>33.164999999999999</v>
          </cell>
        </row>
        <row r="5455">
          <cell r="G5455">
            <v>42583</v>
          </cell>
          <cell r="L5455" t="str">
            <v>01-06-144-98W1</v>
          </cell>
          <cell r="O5455">
            <v>838.9</v>
          </cell>
          <cell r="Q5455">
            <v>0.49</v>
          </cell>
          <cell r="T5455">
            <v>32.938000000000002</v>
          </cell>
        </row>
        <row r="5456">
          <cell r="G5456">
            <v>42583</v>
          </cell>
          <cell r="L5456" t="str">
            <v>16-24-008-07W2</v>
          </cell>
          <cell r="O5456">
            <v>824.9</v>
          </cell>
          <cell r="Q5456">
            <v>0.61</v>
          </cell>
          <cell r="T5456">
            <v>31.805</v>
          </cell>
        </row>
        <row r="5457">
          <cell r="G5457">
            <v>42583</v>
          </cell>
          <cell r="L5457" t="str">
            <v>03-03-157-95W1</v>
          </cell>
          <cell r="O5457">
            <v>820.2</v>
          </cell>
          <cell r="Q5457">
            <v>0.33</v>
          </cell>
          <cell r="T5457">
            <v>31.692</v>
          </cell>
        </row>
        <row r="5458">
          <cell r="G5458">
            <v>42583</v>
          </cell>
          <cell r="L5458" t="str">
            <v>01-34-159-95W1</v>
          </cell>
          <cell r="O5458">
            <v>833.9</v>
          </cell>
          <cell r="Q5458">
            <v>0.56999999999999995</v>
          </cell>
          <cell r="T5458">
            <v>31.440999999999999</v>
          </cell>
        </row>
        <row r="5459">
          <cell r="G5459">
            <v>42583</v>
          </cell>
          <cell r="L5459" t="str">
            <v>01-14-163-91W1</v>
          </cell>
          <cell r="O5459">
            <v>844.6</v>
          </cell>
          <cell r="Q5459">
            <v>0.55000000000000004</v>
          </cell>
          <cell r="T5459">
            <v>31.242000000000001</v>
          </cell>
        </row>
        <row r="5460">
          <cell r="G5460">
            <v>42583</v>
          </cell>
          <cell r="L5460" t="str">
            <v>01-02-161-93W1</v>
          </cell>
          <cell r="O5460">
            <v>839.7</v>
          </cell>
          <cell r="Q5460">
            <v>0.57999999999999996</v>
          </cell>
          <cell r="T5460">
            <v>31.106999999999999</v>
          </cell>
        </row>
        <row r="5461">
          <cell r="G5461">
            <v>42583</v>
          </cell>
          <cell r="L5461" t="str">
            <v>01-12-144-98W1</v>
          </cell>
          <cell r="O5461">
            <v>817.7</v>
          </cell>
          <cell r="Q5461">
            <v>0.46</v>
          </cell>
          <cell r="T5461">
            <v>30.792999999999999</v>
          </cell>
        </row>
        <row r="5462">
          <cell r="G5462">
            <v>42583</v>
          </cell>
          <cell r="L5462" t="str">
            <v>01-05-144-97W1</v>
          </cell>
          <cell r="O5462">
            <v>823.6</v>
          </cell>
          <cell r="Q5462">
            <v>0.37</v>
          </cell>
          <cell r="T5462">
            <v>30.547000000000001</v>
          </cell>
        </row>
        <row r="5463">
          <cell r="G5463">
            <v>42583</v>
          </cell>
          <cell r="L5463" t="str">
            <v>16-04-151-96W1</v>
          </cell>
          <cell r="O5463">
            <v>810.7</v>
          </cell>
          <cell r="Q5463">
            <v>0.28000000000000003</v>
          </cell>
          <cell r="T5463">
            <v>30.332999999999998</v>
          </cell>
        </row>
        <row r="5464">
          <cell r="G5464">
            <v>42583</v>
          </cell>
          <cell r="L5464" t="str">
            <v>01-13-022-57W1</v>
          </cell>
          <cell r="O5464">
            <v>800.5</v>
          </cell>
          <cell r="Q5464">
            <v>0.11</v>
          </cell>
          <cell r="T5464">
            <v>30.053999999999998</v>
          </cell>
        </row>
        <row r="5465">
          <cell r="G5465">
            <v>42583</v>
          </cell>
          <cell r="L5465" t="str">
            <v>01-03-158-95W1</v>
          </cell>
          <cell r="O5465">
            <v>839.9</v>
          </cell>
          <cell r="Q5465">
            <v>0.75</v>
          </cell>
          <cell r="T5465">
            <v>29.998000000000001</v>
          </cell>
        </row>
        <row r="5466">
          <cell r="G5466">
            <v>42583</v>
          </cell>
          <cell r="L5466" t="str">
            <v>10-30-147-97W1</v>
          </cell>
          <cell r="O5466">
            <v>814.1</v>
          </cell>
          <cell r="Q5466">
            <v>0.52</v>
          </cell>
          <cell r="T5466">
            <v>29.93</v>
          </cell>
        </row>
        <row r="5467">
          <cell r="G5467">
            <v>42583</v>
          </cell>
          <cell r="L5467" t="str">
            <v>01-07-153-95W1</v>
          </cell>
          <cell r="O5467">
            <v>816.8</v>
          </cell>
          <cell r="Q5467">
            <v>0.24</v>
          </cell>
          <cell r="T5467">
            <v>29.907</v>
          </cell>
        </row>
        <row r="5468">
          <cell r="G5468">
            <v>42583</v>
          </cell>
          <cell r="L5468" t="str">
            <v>05-01-144-97W1</v>
          </cell>
          <cell r="O5468">
            <v>823.3</v>
          </cell>
          <cell r="Q5468">
            <v>0.48</v>
          </cell>
          <cell r="T5468">
            <v>29.448</v>
          </cell>
        </row>
        <row r="5469">
          <cell r="G5469">
            <v>42583</v>
          </cell>
          <cell r="L5469" t="str">
            <v>05-16-163-91W1</v>
          </cell>
          <cell r="O5469">
            <v>836.7</v>
          </cell>
          <cell r="Q5469">
            <v>0.5</v>
          </cell>
          <cell r="T5469">
            <v>29.251000000000001</v>
          </cell>
        </row>
        <row r="5470">
          <cell r="G5470">
            <v>42583</v>
          </cell>
          <cell r="L5470" t="str">
            <v>11-21-163-89W1</v>
          </cell>
          <cell r="O5470">
            <v>839</v>
          </cell>
          <cell r="Q5470">
            <v>0.5</v>
          </cell>
          <cell r="T5470">
            <v>29.245000000000001</v>
          </cell>
        </row>
        <row r="5471">
          <cell r="G5471">
            <v>42583</v>
          </cell>
          <cell r="L5471" t="str">
            <v>24-06-158-95W1</v>
          </cell>
          <cell r="O5471">
            <v>810.1</v>
          </cell>
          <cell r="Q5471">
            <v>0.14000000000000001</v>
          </cell>
          <cell r="T5471">
            <v>29.068999999999999</v>
          </cell>
        </row>
        <row r="5472">
          <cell r="G5472">
            <v>42583</v>
          </cell>
          <cell r="L5472" t="str">
            <v>01-21-159-94W1</v>
          </cell>
          <cell r="O5472">
            <v>831.9</v>
          </cell>
          <cell r="Q5472">
            <v>0.4</v>
          </cell>
          <cell r="T5472">
            <v>28.837</v>
          </cell>
        </row>
        <row r="5473">
          <cell r="G5473">
            <v>42583</v>
          </cell>
          <cell r="L5473" t="str">
            <v>16-27-001-16W2</v>
          </cell>
          <cell r="O5473">
            <v>810.2</v>
          </cell>
          <cell r="Q5473">
            <v>0.35</v>
          </cell>
          <cell r="T5473">
            <v>28.673999999999999</v>
          </cell>
        </row>
        <row r="5474">
          <cell r="G5474">
            <v>42583</v>
          </cell>
          <cell r="L5474" t="str">
            <v>01-29-162-92W1</v>
          </cell>
          <cell r="O5474">
            <v>841.7</v>
          </cell>
          <cell r="Q5474">
            <v>0.55000000000000004</v>
          </cell>
          <cell r="T5474">
            <v>28.652999999999999</v>
          </cell>
        </row>
        <row r="5475">
          <cell r="G5475">
            <v>42583</v>
          </cell>
          <cell r="L5475" t="str">
            <v>14-03-001-03W2</v>
          </cell>
          <cell r="O5475">
            <v>801.4</v>
          </cell>
          <cell r="Q5475">
            <v>0.12</v>
          </cell>
          <cell r="T5475">
            <v>28.509</v>
          </cell>
        </row>
        <row r="5476">
          <cell r="G5476">
            <v>42583</v>
          </cell>
          <cell r="L5476" t="str">
            <v>02-02-158-95W1</v>
          </cell>
          <cell r="O5476">
            <v>847.4</v>
          </cell>
          <cell r="Q5476">
            <v>0.93</v>
          </cell>
          <cell r="T5476">
            <v>28.367999999999999</v>
          </cell>
        </row>
        <row r="5477">
          <cell r="G5477">
            <v>42583</v>
          </cell>
          <cell r="L5477" t="str">
            <v>01-23-161-92W1</v>
          </cell>
          <cell r="O5477">
            <v>860.3</v>
          </cell>
          <cell r="Q5477">
            <v>0.53</v>
          </cell>
          <cell r="T5477">
            <v>28.068000000000001</v>
          </cell>
        </row>
        <row r="5478">
          <cell r="G5478">
            <v>42583</v>
          </cell>
          <cell r="L5478" t="str">
            <v>01-02-158-95W1</v>
          </cell>
          <cell r="O5478">
            <v>831.4</v>
          </cell>
          <cell r="Q5478">
            <v>0.53</v>
          </cell>
          <cell r="T5478">
            <v>27</v>
          </cell>
        </row>
        <row r="5479">
          <cell r="G5479">
            <v>42583</v>
          </cell>
          <cell r="L5479" t="str">
            <v>12-10-163-92W1</v>
          </cell>
          <cell r="O5479">
            <v>827.4</v>
          </cell>
          <cell r="Q5479">
            <v>0.57999999999999996</v>
          </cell>
          <cell r="T5479">
            <v>26.649000000000001</v>
          </cell>
        </row>
        <row r="5480">
          <cell r="G5480">
            <v>42583</v>
          </cell>
          <cell r="L5480" t="str">
            <v>01-34-164-78W1</v>
          </cell>
          <cell r="O5480">
            <v>851.7</v>
          </cell>
          <cell r="Q5480">
            <v>0.72</v>
          </cell>
          <cell r="T5480">
            <v>26.286000000000001</v>
          </cell>
        </row>
        <row r="5481">
          <cell r="G5481">
            <v>42583</v>
          </cell>
          <cell r="L5481" t="str">
            <v>03-02-157-95W1</v>
          </cell>
          <cell r="O5481">
            <v>837.7</v>
          </cell>
          <cell r="Q5481">
            <v>0.69</v>
          </cell>
          <cell r="T5481">
            <v>26.21</v>
          </cell>
        </row>
        <row r="5482">
          <cell r="G5482">
            <v>42583</v>
          </cell>
          <cell r="L5482" t="str">
            <v>01-01-163-92W1</v>
          </cell>
          <cell r="O5482">
            <v>838.5</v>
          </cell>
          <cell r="Q5482">
            <v>0.53</v>
          </cell>
          <cell r="T5482">
            <v>23.323</v>
          </cell>
        </row>
        <row r="5483">
          <cell r="G5483">
            <v>42583</v>
          </cell>
          <cell r="L5483" t="str">
            <v>01-24-144-98W1</v>
          </cell>
          <cell r="O5483">
            <v>824.3</v>
          </cell>
          <cell r="Q5483">
            <v>0.47</v>
          </cell>
          <cell r="T5483">
            <v>23.006</v>
          </cell>
        </row>
        <row r="5484">
          <cell r="G5484">
            <v>42583</v>
          </cell>
          <cell r="L5484" t="str">
            <v>34-01-157-95W1</v>
          </cell>
          <cell r="O5484">
            <v>830.5</v>
          </cell>
          <cell r="Q5484">
            <v>0.46</v>
          </cell>
          <cell r="T5484">
            <v>22.094999999999999</v>
          </cell>
        </row>
        <row r="5485">
          <cell r="G5485">
            <v>42583</v>
          </cell>
          <cell r="L5485" t="str">
            <v>01-55-159-94W1</v>
          </cell>
          <cell r="O5485">
            <v>820.9</v>
          </cell>
          <cell r="Q5485">
            <v>0.38</v>
          </cell>
          <cell r="T5485">
            <v>21.247</v>
          </cell>
        </row>
        <row r="5486">
          <cell r="G5486">
            <v>42583</v>
          </cell>
          <cell r="L5486" t="str">
            <v>02-11-163-97W1</v>
          </cell>
          <cell r="O5486">
            <v>828.5</v>
          </cell>
          <cell r="Q5486">
            <v>0.13</v>
          </cell>
          <cell r="T5486">
            <v>20.495999999999999</v>
          </cell>
        </row>
        <row r="5487">
          <cell r="G5487">
            <v>42583</v>
          </cell>
          <cell r="L5487" t="str">
            <v>01-05-163-89W1</v>
          </cell>
          <cell r="O5487">
            <v>842.6</v>
          </cell>
          <cell r="Q5487">
            <v>0.42</v>
          </cell>
          <cell r="T5487">
            <v>18.670000000000002</v>
          </cell>
        </row>
        <row r="5488">
          <cell r="G5488">
            <v>42583</v>
          </cell>
          <cell r="L5488" t="str">
            <v>01-36-003-03W2</v>
          </cell>
          <cell r="O5488">
            <v>835.4</v>
          </cell>
          <cell r="Q5488">
            <v>0.81</v>
          </cell>
          <cell r="T5488">
            <v>599.71</v>
          </cell>
        </row>
        <row r="5489">
          <cell r="G5489">
            <v>42583</v>
          </cell>
          <cell r="L5489" t="str">
            <v>07-23-010-06W2</v>
          </cell>
          <cell r="O5489">
            <v>844.6</v>
          </cell>
          <cell r="Q5489">
            <v>1.45</v>
          </cell>
          <cell r="T5489">
            <v>440.98</v>
          </cell>
        </row>
        <row r="5490">
          <cell r="G5490">
            <v>42583</v>
          </cell>
          <cell r="L5490" t="str">
            <v>13-14-010-05W2</v>
          </cell>
          <cell r="O5490">
            <v>852.6</v>
          </cell>
          <cell r="Q5490">
            <v>1.54</v>
          </cell>
          <cell r="T5490">
            <v>137.79599999999999</v>
          </cell>
        </row>
        <row r="5491">
          <cell r="G5491">
            <v>42583</v>
          </cell>
          <cell r="L5491" t="str">
            <v>11-36-005-04W2</v>
          </cell>
          <cell r="O5491">
            <v>856.6</v>
          </cell>
          <cell r="Q5491">
            <v>1.1299999999999999</v>
          </cell>
          <cell r="T5491">
            <v>36.607999999999997</v>
          </cell>
        </row>
        <row r="5492">
          <cell r="G5492">
            <v>42583</v>
          </cell>
          <cell r="L5492" t="str">
            <v>12-22-010-05W2</v>
          </cell>
          <cell r="O5492">
            <v>869.1</v>
          </cell>
          <cell r="Q5492">
            <v>1.84</v>
          </cell>
          <cell r="T5492">
            <v>35.911999999999999</v>
          </cell>
        </row>
        <row r="5493">
          <cell r="G5493">
            <v>42583</v>
          </cell>
          <cell r="L5493" t="str">
            <v>09-26-007-05W2</v>
          </cell>
          <cell r="O5493">
            <v>866.6</v>
          </cell>
          <cell r="Q5493">
            <v>1.67</v>
          </cell>
          <cell r="T5493">
            <v>26.506</v>
          </cell>
        </row>
        <row r="5494">
          <cell r="G5494">
            <v>42583</v>
          </cell>
          <cell r="L5494" t="str">
            <v>05-16-006-13W2</v>
          </cell>
          <cell r="O5494">
            <v>869.6</v>
          </cell>
          <cell r="Q5494">
            <v>2.31</v>
          </cell>
          <cell r="T5494">
            <v>117553.995</v>
          </cell>
        </row>
        <row r="5495">
          <cell r="G5495">
            <v>42583</v>
          </cell>
          <cell r="L5495" t="str">
            <v>08-28-005-33W1</v>
          </cell>
          <cell r="O5495">
            <v>817.9</v>
          </cell>
          <cell r="Q5495">
            <v>0.95</v>
          </cell>
          <cell r="T5495">
            <v>106350.372</v>
          </cell>
        </row>
        <row r="5496">
          <cell r="G5496">
            <v>42583</v>
          </cell>
          <cell r="L5496" t="str">
            <v>15-26-001-31W1</v>
          </cell>
          <cell r="O5496">
            <v>875.1</v>
          </cell>
          <cell r="Q5496">
            <v>2.09</v>
          </cell>
          <cell r="T5496">
            <v>5390.674</v>
          </cell>
        </row>
        <row r="5497">
          <cell r="G5497">
            <v>42583</v>
          </cell>
          <cell r="L5497" t="str">
            <v>08-21-004-01W2</v>
          </cell>
          <cell r="O5497">
            <v>831.8</v>
          </cell>
          <cell r="Q5497">
            <v>0.92</v>
          </cell>
          <cell r="T5497">
            <v>2775.098</v>
          </cell>
        </row>
        <row r="5498">
          <cell r="G5498">
            <v>42583</v>
          </cell>
          <cell r="L5498" t="str">
            <v>14-05-002-31W1</v>
          </cell>
          <cell r="O5498">
            <v>859.9</v>
          </cell>
          <cell r="Q5498">
            <v>1.62</v>
          </cell>
          <cell r="T5498">
            <v>2156.6550000000002</v>
          </cell>
        </row>
        <row r="5499">
          <cell r="G5499">
            <v>42583</v>
          </cell>
          <cell r="L5499" t="str">
            <v>14-03-001-03W2</v>
          </cell>
          <cell r="O5499">
            <v>815.6</v>
          </cell>
          <cell r="Q5499">
            <v>0.12</v>
          </cell>
          <cell r="T5499">
            <v>1881.001</v>
          </cell>
        </row>
        <row r="5500">
          <cell r="G5500">
            <v>42583</v>
          </cell>
          <cell r="L5500" t="str">
            <v>14-13-002-02W2</v>
          </cell>
          <cell r="O5500">
            <v>829.7</v>
          </cell>
          <cell r="Q5500">
            <v>0.55000000000000004</v>
          </cell>
          <cell r="T5500">
            <v>1876.521</v>
          </cell>
        </row>
        <row r="5501">
          <cell r="G5501">
            <v>42583</v>
          </cell>
          <cell r="L5501" t="str">
            <v>01-35-007-01W2</v>
          </cell>
          <cell r="O5501">
            <v>846</v>
          </cell>
          <cell r="Q5501">
            <v>1.1399999999999999</v>
          </cell>
          <cell r="T5501">
            <v>1105.7639999999999</v>
          </cell>
        </row>
        <row r="5502">
          <cell r="G5502">
            <v>42583</v>
          </cell>
          <cell r="L5502" t="str">
            <v>16-03-008-33W1</v>
          </cell>
          <cell r="O5502">
            <v>844.7</v>
          </cell>
          <cell r="Q5502">
            <v>1.22</v>
          </cell>
          <cell r="T5502">
            <v>923.19</v>
          </cell>
        </row>
        <row r="5503">
          <cell r="G5503">
            <v>42583</v>
          </cell>
          <cell r="L5503" t="str">
            <v>05-20-001-02W2</v>
          </cell>
          <cell r="O5503">
            <v>830.3</v>
          </cell>
          <cell r="Q5503">
            <v>0.53</v>
          </cell>
          <cell r="T5503">
            <v>609.72699999999998</v>
          </cell>
        </row>
        <row r="5504">
          <cell r="G5504">
            <v>42583</v>
          </cell>
          <cell r="L5504" t="str">
            <v>16-04-006-32W1</v>
          </cell>
          <cell r="O5504">
            <v>842.2</v>
          </cell>
          <cell r="Q5504">
            <v>1.07</v>
          </cell>
          <cell r="T5504">
            <v>569.029</v>
          </cell>
        </row>
        <row r="5505">
          <cell r="G5505">
            <v>42583</v>
          </cell>
          <cell r="L5505" t="str">
            <v>01-03-003-33W1</v>
          </cell>
          <cell r="O5505">
            <v>851</v>
          </cell>
          <cell r="Q5505">
            <v>1.41</v>
          </cell>
          <cell r="T5505">
            <v>557.279</v>
          </cell>
        </row>
        <row r="5506">
          <cell r="G5506">
            <v>42583</v>
          </cell>
          <cell r="L5506" t="str">
            <v>16-31-001-32W1</v>
          </cell>
          <cell r="O5506">
            <v>845.4</v>
          </cell>
          <cell r="Q5506">
            <v>1.1000000000000001</v>
          </cell>
          <cell r="T5506">
            <v>556.16999999999996</v>
          </cell>
        </row>
        <row r="5507">
          <cell r="G5507">
            <v>42583</v>
          </cell>
          <cell r="L5507" t="str">
            <v>13-17-005-33W1</v>
          </cell>
          <cell r="O5507">
            <v>827.1</v>
          </cell>
          <cell r="Q5507">
            <v>0.64</v>
          </cell>
          <cell r="T5507">
            <v>513.44200000000001</v>
          </cell>
        </row>
        <row r="5508">
          <cell r="G5508">
            <v>42583</v>
          </cell>
          <cell r="L5508" t="str">
            <v>14-19-006-33W1</v>
          </cell>
          <cell r="O5508">
            <v>837.7</v>
          </cell>
          <cell r="Q5508">
            <v>1.18</v>
          </cell>
          <cell r="T5508">
            <v>439.83100000000002</v>
          </cell>
        </row>
        <row r="5509">
          <cell r="G5509">
            <v>42583</v>
          </cell>
          <cell r="L5509" t="str">
            <v>08-02-008-03W2</v>
          </cell>
          <cell r="O5509">
            <v>856.4</v>
          </cell>
          <cell r="Q5509">
            <v>1.46</v>
          </cell>
          <cell r="T5509">
            <v>431.85899999999998</v>
          </cell>
        </row>
        <row r="5510">
          <cell r="G5510">
            <v>42583</v>
          </cell>
          <cell r="L5510" t="str">
            <v>01-35-006-30W1</v>
          </cell>
          <cell r="O5510">
            <v>822.4</v>
          </cell>
          <cell r="Q5510">
            <v>0.3</v>
          </cell>
          <cell r="T5510">
            <v>412.35899999999998</v>
          </cell>
        </row>
        <row r="5511">
          <cell r="G5511">
            <v>42583</v>
          </cell>
          <cell r="L5511" t="str">
            <v>01-01-010-04W2</v>
          </cell>
          <cell r="O5511">
            <v>843.6</v>
          </cell>
          <cell r="Q5511">
            <v>1.23</v>
          </cell>
          <cell r="T5511">
            <v>322.14800000000002</v>
          </cell>
        </row>
        <row r="5512">
          <cell r="G5512">
            <v>42583</v>
          </cell>
          <cell r="L5512" t="str">
            <v>08-16-007-29W1</v>
          </cell>
          <cell r="O5512">
            <v>825.6</v>
          </cell>
          <cell r="Q5512">
            <v>0.23</v>
          </cell>
          <cell r="T5512">
            <v>297.97399999999999</v>
          </cell>
        </row>
        <row r="5513">
          <cell r="G5513">
            <v>42583</v>
          </cell>
          <cell r="L5513" t="str">
            <v>14-23-005-02W2</v>
          </cell>
          <cell r="O5513">
            <v>851.3</v>
          </cell>
          <cell r="Q5513">
            <v>1.35</v>
          </cell>
          <cell r="T5513">
            <v>288.08</v>
          </cell>
        </row>
        <row r="5514">
          <cell r="G5514">
            <v>42583</v>
          </cell>
          <cell r="L5514" t="str">
            <v>04-11-004-32W1</v>
          </cell>
          <cell r="O5514">
            <v>853.7</v>
          </cell>
          <cell r="Q5514">
            <v>1.57</v>
          </cell>
          <cell r="T5514">
            <v>188.87799999999999</v>
          </cell>
        </row>
        <row r="5515">
          <cell r="G5515">
            <v>42583</v>
          </cell>
          <cell r="L5515" t="str">
            <v>05-18-004-02W2</v>
          </cell>
          <cell r="O5515">
            <v>849.9</v>
          </cell>
          <cell r="Q5515">
            <v>1.3</v>
          </cell>
          <cell r="T5515">
            <v>188.06899999999999</v>
          </cell>
        </row>
        <row r="5516">
          <cell r="G5516">
            <v>42583</v>
          </cell>
          <cell r="L5516" t="str">
            <v>04-05-006-02W2</v>
          </cell>
          <cell r="O5516">
            <v>846.4</v>
          </cell>
          <cell r="Q5516">
            <v>1.17</v>
          </cell>
          <cell r="T5516">
            <v>178.35400000000001</v>
          </cell>
        </row>
        <row r="5517">
          <cell r="G5517">
            <v>42583</v>
          </cell>
          <cell r="L5517" t="str">
            <v>08-23-007-30W1</v>
          </cell>
          <cell r="O5517">
            <v>817.4</v>
          </cell>
          <cell r="Q5517">
            <v>0.22</v>
          </cell>
          <cell r="T5517">
            <v>148.40100000000001</v>
          </cell>
        </row>
        <row r="5518">
          <cell r="G5518">
            <v>42583</v>
          </cell>
          <cell r="L5518" t="str">
            <v>01-06-002-32W1</v>
          </cell>
          <cell r="O5518">
            <v>837.4</v>
          </cell>
          <cell r="Q5518">
            <v>0.81</v>
          </cell>
          <cell r="T5518">
            <v>131.19</v>
          </cell>
        </row>
        <row r="5519">
          <cell r="G5519">
            <v>42583</v>
          </cell>
          <cell r="L5519" t="str">
            <v>10-17-007-33W1</v>
          </cell>
          <cell r="O5519">
            <v>843.4</v>
          </cell>
          <cell r="Q5519">
            <v>1.17</v>
          </cell>
          <cell r="T5519">
            <v>130.61099999999999</v>
          </cell>
        </row>
        <row r="5520">
          <cell r="G5520">
            <v>42583</v>
          </cell>
          <cell r="L5520" t="str">
            <v>14-24-001-02W2</v>
          </cell>
          <cell r="O5520">
            <v>843.9</v>
          </cell>
          <cell r="Q5520">
            <v>0.79</v>
          </cell>
          <cell r="T5520">
            <v>117.08199999999999</v>
          </cell>
        </row>
        <row r="5521">
          <cell r="G5521">
            <v>42583</v>
          </cell>
          <cell r="L5521" t="str">
            <v>09-24-001-01W2</v>
          </cell>
          <cell r="O5521">
            <v>828.3</v>
          </cell>
          <cell r="Q5521">
            <v>0.67</v>
          </cell>
          <cell r="T5521">
            <v>115.881</v>
          </cell>
        </row>
        <row r="5522">
          <cell r="G5522">
            <v>42583</v>
          </cell>
          <cell r="L5522" t="str">
            <v>13-13-002-33W1</v>
          </cell>
          <cell r="O5522">
            <v>834.6</v>
          </cell>
          <cell r="Q5522">
            <v>0.72</v>
          </cell>
          <cell r="T5522">
            <v>110.465</v>
          </cell>
        </row>
        <row r="5523">
          <cell r="G5523">
            <v>42583</v>
          </cell>
          <cell r="L5523" t="str">
            <v>16-16-006-02W2</v>
          </cell>
          <cell r="O5523">
            <v>844.7</v>
          </cell>
          <cell r="Q5523">
            <v>1.1399999999999999</v>
          </cell>
          <cell r="T5523">
            <v>106.95399999999999</v>
          </cell>
        </row>
        <row r="5524">
          <cell r="G5524">
            <v>42583</v>
          </cell>
          <cell r="L5524" t="str">
            <v>12-20-008-02W2</v>
          </cell>
          <cell r="O5524">
            <v>863.5</v>
          </cell>
          <cell r="Q5524">
            <v>1.77</v>
          </cell>
          <cell r="T5524">
            <v>69.021000000000001</v>
          </cell>
        </row>
        <row r="5525">
          <cell r="G5525">
            <v>42583</v>
          </cell>
          <cell r="L5525" t="str">
            <v>03-05-006-02W2</v>
          </cell>
          <cell r="O5525">
            <v>841.9</v>
          </cell>
          <cell r="Q5525">
            <v>1.03</v>
          </cell>
          <cell r="T5525">
            <v>60.079000000000001</v>
          </cell>
        </row>
        <row r="5526">
          <cell r="G5526">
            <v>42583</v>
          </cell>
          <cell r="L5526" t="str">
            <v>16-15-008-03W2</v>
          </cell>
          <cell r="O5526">
            <v>858.8</v>
          </cell>
          <cell r="Q5526">
            <v>1.54</v>
          </cell>
          <cell r="T5526">
            <v>59.463000000000001</v>
          </cell>
        </row>
        <row r="5527">
          <cell r="G5527">
            <v>42583</v>
          </cell>
          <cell r="L5527" t="str">
            <v>15-14-014-30W1</v>
          </cell>
          <cell r="O5527">
            <v>894.8</v>
          </cell>
          <cell r="Q5527">
            <v>2.31</v>
          </cell>
          <cell r="T5527">
            <v>59.228999999999999</v>
          </cell>
        </row>
        <row r="5528">
          <cell r="G5528">
            <v>42583</v>
          </cell>
          <cell r="L5528" t="str">
            <v>16-07-006-02W2</v>
          </cell>
          <cell r="O5528">
            <v>855.8</v>
          </cell>
          <cell r="Q5528">
            <v>1.22</v>
          </cell>
          <cell r="T5528">
            <v>57.24</v>
          </cell>
        </row>
        <row r="5529">
          <cell r="G5529">
            <v>42583</v>
          </cell>
          <cell r="L5529" t="str">
            <v>10-29-005-33W1</v>
          </cell>
          <cell r="O5529">
            <v>835.3</v>
          </cell>
          <cell r="Q5529">
            <v>0.87</v>
          </cell>
          <cell r="T5529">
            <v>34.171999999999997</v>
          </cell>
        </row>
        <row r="5530">
          <cell r="G5530">
            <v>42583</v>
          </cell>
          <cell r="L5530" t="str">
            <v>02-14-006-02W2</v>
          </cell>
          <cell r="O5530">
            <v>850.4</v>
          </cell>
          <cell r="Q5530">
            <v>1.1599999999999999</v>
          </cell>
          <cell r="T5530">
            <v>33.988</v>
          </cell>
        </row>
        <row r="5531">
          <cell r="G5531">
            <v>42583</v>
          </cell>
          <cell r="L5531" t="str">
            <v>07-26-005-02W2</v>
          </cell>
          <cell r="O5531">
            <v>850.3</v>
          </cell>
          <cell r="Q5531">
            <v>1.1599999999999999</v>
          </cell>
          <cell r="T5531">
            <v>32.167999999999999</v>
          </cell>
        </row>
        <row r="5532">
          <cell r="G5532">
            <v>42583</v>
          </cell>
          <cell r="L5532" t="str">
            <v>09-01-002-34W1</v>
          </cell>
          <cell r="O5532">
            <v>832.8</v>
          </cell>
          <cell r="Q5532">
            <v>0.55000000000000004</v>
          </cell>
          <cell r="T5532">
            <v>29.571000000000002</v>
          </cell>
        </row>
        <row r="5533">
          <cell r="G5533">
            <v>42583</v>
          </cell>
          <cell r="L5533" t="str">
            <v>16-21-003-33W1</v>
          </cell>
          <cell r="O5533">
            <v>846.3</v>
          </cell>
          <cell r="Q5533">
            <v>1.84</v>
          </cell>
          <cell r="T5533">
            <v>26.222000000000001</v>
          </cell>
        </row>
        <row r="5534">
          <cell r="G5534">
            <v>42583</v>
          </cell>
          <cell r="L5534" t="str">
            <v>07-31-005-33W1</v>
          </cell>
          <cell r="O5534">
            <v>827.5</v>
          </cell>
          <cell r="Q5534">
            <v>0.68</v>
          </cell>
          <cell r="T5534">
            <v>1557.2809999999999</v>
          </cell>
        </row>
        <row r="5535">
          <cell r="G5535">
            <v>42583</v>
          </cell>
          <cell r="L5535" t="str">
            <v>15-09-007-03W2</v>
          </cell>
          <cell r="O5535">
            <v>847.6</v>
          </cell>
          <cell r="Q5535">
            <v>1.39</v>
          </cell>
          <cell r="T5535">
            <v>1310.607</v>
          </cell>
        </row>
        <row r="5536">
          <cell r="G5536">
            <v>42583</v>
          </cell>
          <cell r="L5536" t="str">
            <v>04-36-004-02W2</v>
          </cell>
          <cell r="O5536">
            <v>847.5</v>
          </cell>
          <cell r="Q5536">
            <v>1.58</v>
          </cell>
          <cell r="T5536">
            <v>246.399</v>
          </cell>
        </row>
        <row r="5537">
          <cell r="G5537">
            <v>42583</v>
          </cell>
          <cell r="L5537" t="str">
            <v>14-04-006-33W1</v>
          </cell>
          <cell r="O5537">
            <v>842</v>
          </cell>
          <cell r="Q5537">
            <v>0.85</v>
          </cell>
          <cell r="T5537">
            <v>45.055</v>
          </cell>
        </row>
        <row r="5538">
          <cell r="G5538">
            <v>42583</v>
          </cell>
          <cell r="L5538" t="str">
            <v>ALStream</v>
          </cell>
          <cell r="T5538">
            <v>0</v>
          </cell>
        </row>
        <row r="5539">
          <cell r="G5539">
            <v>42583</v>
          </cell>
          <cell r="L5539" t="str">
            <v>MWStream</v>
          </cell>
          <cell r="T5539">
            <v>0</v>
          </cell>
        </row>
        <row r="5540">
          <cell r="G5540">
            <v>42583</v>
          </cell>
          <cell r="L5540" t="str">
            <v>ALStream</v>
          </cell>
          <cell r="O5540">
            <v>830.3</v>
          </cell>
          <cell r="Q5540">
            <v>0.95</v>
          </cell>
          <cell r="T5540">
            <v>-88624.626000000004</v>
          </cell>
        </row>
        <row r="5541">
          <cell r="G5541">
            <v>42583</v>
          </cell>
          <cell r="L5541" t="str">
            <v>MWStream</v>
          </cell>
          <cell r="O5541">
            <v>833.3</v>
          </cell>
          <cell r="Q5541">
            <v>1.22</v>
          </cell>
          <cell r="T5541">
            <v>-9399.1299999999992</v>
          </cell>
        </row>
        <row r="5542">
          <cell r="G5542">
            <v>42614</v>
          </cell>
          <cell r="L5542" t="str">
            <v>01-19-004-12W2</v>
          </cell>
          <cell r="O5542">
            <v>899.6</v>
          </cell>
          <cell r="Q5542">
            <v>2.62</v>
          </cell>
          <cell r="T5542">
            <v>15.063000000000001</v>
          </cell>
        </row>
        <row r="5543">
          <cell r="G5543">
            <v>42614</v>
          </cell>
          <cell r="L5543" t="str">
            <v>01-15-005-32W1</v>
          </cell>
          <cell r="O5543">
            <v>847.3</v>
          </cell>
          <cell r="Q5543">
            <v>1.06</v>
          </cell>
          <cell r="T5543">
            <v>44.616999999999997</v>
          </cell>
        </row>
        <row r="5544">
          <cell r="G5544">
            <v>42614</v>
          </cell>
          <cell r="L5544" t="str">
            <v>09-26-004-32W1</v>
          </cell>
          <cell r="O5544">
            <v>867.6</v>
          </cell>
          <cell r="Q5544">
            <v>1.29</v>
          </cell>
          <cell r="T5544">
            <v>55.765000000000001</v>
          </cell>
        </row>
        <row r="5545">
          <cell r="G5545">
            <v>42614</v>
          </cell>
          <cell r="L5545" t="str">
            <v>10-09-004-33W1</v>
          </cell>
          <cell r="O5545">
            <v>837.5</v>
          </cell>
          <cell r="Q5545">
            <v>0.67</v>
          </cell>
          <cell r="T5545">
            <v>69.899000000000001</v>
          </cell>
        </row>
        <row r="5546">
          <cell r="G5546">
            <v>42614</v>
          </cell>
          <cell r="L5546" t="str">
            <v>10-21-006-32W1</v>
          </cell>
          <cell r="O5546">
            <v>831.8</v>
          </cell>
          <cell r="Q5546">
            <v>0.83</v>
          </cell>
          <cell r="T5546">
            <v>70.378</v>
          </cell>
        </row>
        <row r="5547">
          <cell r="G5547">
            <v>42614</v>
          </cell>
          <cell r="L5547" t="str">
            <v>08-18-011-03W2</v>
          </cell>
          <cell r="O5547">
            <v>823</v>
          </cell>
          <cell r="Q5547">
            <v>1.72</v>
          </cell>
          <cell r="T5547">
            <v>84.63</v>
          </cell>
        </row>
        <row r="5548">
          <cell r="G5548">
            <v>42614</v>
          </cell>
          <cell r="L5548" t="str">
            <v>03-19-001-31W1</v>
          </cell>
          <cell r="O5548">
            <v>870.1</v>
          </cell>
          <cell r="Q5548">
            <v>1.85</v>
          </cell>
          <cell r="T5548">
            <v>84.846999999999994</v>
          </cell>
        </row>
        <row r="5549">
          <cell r="G5549">
            <v>42614</v>
          </cell>
          <cell r="L5549" t="str">
            <v>15-09-010-08W2</v>
          </cell>
          <cell r="O5549">
            <v>885.1</v>
          </cell>
          <cell r="Q5549">
            <v>2.5299999999999998</v>
          </cell>
          <cell r="T5549">
            <v>90.772000000000006</v>
          </cell>
        </row>
        <row r="5550">
          <cell r="G5550">
            <v>42614</v>
          </cell>
          <cell r="L5550" t="str">
            <v>07-24-001-32W1</v>
          </cell>
          <cell r="O5550">
            <v>851.8</v>
          </cell>
          <cell r="Q5550">
            <v>1.57</v>
          </cell>
          <cell r="T5550">
            <v>99.527000000000001</v>
          </cell>
        </row>
        <row r="5551">
          <cell r="G5551">
            <v>42614</v>
          </cell>
          <cell r="L5551" t="str">
            <v>02-27-004-33W1</v>
          </cell>
          <cell r="O5551">
            <v>831.1</v>
          </cell>
          <cell r="Q5551">
            <v>0.67</v>
          </cell>
          <cell r="T5551">
            <v>102.205</v>
          </cell>
        </row>
        <row r="5552">
          <cell r="G5552">
            <v>42614</v>
          </cell>
          <cell r="L5552" t="str">
            <v>09-30-002-30W1</v>
          </cell>
          <cell r="O5552">
            <v>865.4</v>
          </cell>
          <cell r="Q5552">
            <v>1.72</v>
          </cell>
          <cell r="T5552">
            <v>111.486</v>
          </cell>
        </row>
        <row r="5553">
          <cell r="G5553">
            <v>42614</v>
          </cell>
          <cell r="L5553" t="str">
            <v>09-08-004-33W1</v>
          </cell>
          <cell r="O5553">
            <v>833.5</v>
          </cell>
          <cell r="Q5553">
            <v>0.71</v>
          </cell>
          <cell r="T5553">
            <v>112.086</v>
          </cell>
        </row>
        <row r="5554">
          <cell r="G5554">
            <v>42614</v>
          </cell>
          <cell r="L5554" t="str">
            <v>16-08-007-12W2</v>
          </cell>
          <cell r="O5554">
            <v>856.9</v>
          </cell>
          <cell r="Q5554">
            <v>2.1</v>
          </cell>
          <cell r="T5554">
            <v>124.5</v>
          </cell>
        </row>
        <row r="5555">
          <cell r="G5555">
            <v>42614</v>
          </cell>
          <cell r="L5555" t="str">
            <v>03-13-006-33W1</v>
          </cell>
          <cell r="O5555">
            <v>832.6</v>
          </cell>
          <cell r="Q5555">
            <v>0.78</v>
          </cell>
          <cell r="T5555">
            <v>126.30500000000001</v>
          </cell>
        </row>
        <row r="5556">
          <cell r="G5556">
            <v>42614</v>
          </cell>
          <cell r="L5556" t="str">
            <v>09-30-007-08W2</v>
          </cell>
          <cell r="O5556">
            <v>839.8</v>
          </cell>
          <cell r="Q5556">
            <v>1.2</v>
          </cell>
          <cell r="T5556">
            <v>140.62700000000001</v>
          </cell>
        </row>
        <row r="5557">
          <cell r="G5557">
            <v>42614</v>
          </cell>
          <cell r="L5557" t="str">
            <v>09-31-007-12W2</v>
          </cell>
          <cell r="O5557">
            <v>868.8</v>
          </cell>
          <cell r="Q5557">
            <v>2.15</v>
          </cell>
          <cell r="T5557">
            <v>142.934</v>
          </cell>
        </row>
        <row r="5558">
          <cell r="G5558">
            <v>42614</v>
          </cell>
          <cell r="L5558" t="str">
            <v>14-04-007-13W2</v>
          </cell>
          <cell r="O5558">
            <v>860.1</v>
          </cell>
          <cell r="Q5558">
            <v>1.76</v>
          </cell>
          <cell r="T5558">
            <v>144.33600000000001</v>
          </cell>
        </row>
        <row r="5559">
          <cell r="G5559">
            <v>42614</v>
          </cell>
          <cell r="L5559" t="str">
            <v>16-16-010-02W2</v>
          </cell>
          <cell r="O5559">
            <v>854.9</v>
          </cell>
          <cell r="Q5559">
            <v>1.72</v>
          </cell>
          <cell r="T5559">
            <v>136.387</v>
          </cell>
        </row>
        <row r="5560">
          <cell r="G5560">
            <v>42614</v>
          </cell>
          <cell r="L5560" t="str">
            <v>13-17-001-31W1</v>
          </cell>
          <cell r="O5560">
            <v>848.5</v>
          </cell>
          <cell r="Q5560">
            <v>1.35</v>
          </cell>
          <cell r="T5560">
            <v>138.79499999999999</v>
          </cell>
        </row>
        <row r="5561">
          <cell r="G5561">
            <v>42614</v>
          </cell>
          <cell r="L5561" t="str">
            <v>01-29-004-07W2</v>
          </cell>
          <cell r="O5561">
            <v>887.2</v>
          </cell>
          <cell r="Q5561">
            <v>2.0099999999999998</v>
          </cell>
          <cell r="T5561">
            <v>146.67599999999999</v>
          </cell>
        </row>
        <row r="5562">
          <cell r="G5562">
            <v>42614</v>
          </cell>
          <cell r="L5562" t="str">
            <v>02-30-001-31W1</v>
          </cell>
          <cell r="O5562">
            <v>865.3</v>
          </cell>
          <cell r="Q5562">
            <v>1.59</v>
          </cell>
          <cell r="T5562">
            <v>144.251</v>
          </cell>
        </row>
        <row r="5563">
          <cell r="G5563">
            <v>42614</v>
          </cell>
          <cell r="L5563" t="str">
            <v>11-23-002-34W1</v>
          </cell>
          <cell r="O5563">
            <v>838</v>
          </cell>
          <cell r="Q5563">
            <v>0.76</v>
          </cell>
          <cell r="T5563">
            <v>146.57</v>
          </cell>
        </row>
        <row r="5564">
          <cell r="G5564">
            <v>42614</v>
          </cell>
          <cell r="L5564" t="str">
            <v>08-01-004-32W1</v>
          </cell>
          <cell r="O5564">
            <v>860.2</v>
          </cell>
          <cell r="Q5564">
            <v>1.62</v>
          </cell>
          <cell r="T5564">
            <v>149.792</v>
          </cell>
        </row>
        <row r="5565">
          <cell r="G5565">
            <v>42614</v>
          </cell>
          <cell r="L5565" t="str">
            <v>15-09-010-02W2</v>
          </cell>
          <cell r="O5565">
            <v>859.2</v>
          </cell>
          <cell r="Q5565">
            <v>1.73</v>
          </cell>
          <cell r="T5565">
            <v>149.98400000000001</v>
          </cell>
        </row>
        <row r="5566">
          <cell r="G5566">
            <v>42614</v>
          </cell>
          <cell r="L5566" t="str">
            <v>03-05-006-05W2</v>
          </cell>
          <cell r="O5566">
            <v>846.8</v>
          </cell>
          <cell r="Q5566">
            <v>1.1599999999999999</v>
          </cell>
          <cell r="T5566">
            <v>156.714</v>
          </cell>
        </row>
        <row r="5567">
          <cell r="G5567">
            <v>42614</v>
          </cell>
          <cell r="L5567" t="str">
            <v>04-15-008-33W1</v>
          </cell>
          <cell r="O5567">
            <v>845.5</v>
          </cell>
          <cell r="Q5567">
            <v>1.1599999999999999</v>
          </cell>
          <cell r="T5567">
            <v>158.32</v>
          </cell>
        </row>
        <row r="5568">
          <cell r="G5568">
            <v>42614</v>
          </cell>
          <cell r="L5568" t="str">
            <v>13-34-007-14W2</v>
          </cell>
          <cell r="O5568">
            <v>867.2</v>
          </cell>
          <cell r="Q5568">
            <v>2.09</v>
          </cell>
          <cell r="T5568">
            <v>180.696</v>
          </cell>
        </row>
        <row r="5569">
          <cell r="G5569">
            <v>42614</v>
          </cell>
          <cell r="L5569" t="str">
            <v>12-12-005-34W1</v>
          </cell>
          <cell r="O5569">
            <v>827.4</v>
          </cell>
          <cell r="Q5569">
            <v>0.59</v>
          </cell>
          <cell r="T5569">
            <v>163.77500000000001</v>
          </cell>
        </row>
        <row r="5570">
          <cell r="G5570">
            <v>42614</v>
          </cell>
          <cell r="L5570" t="str">
            <v>09-23-002-01W2</v>
          </cell>
          <cell r="O5570">
            <v>846.9</v>
          </cell>
          <cell r="Q5570">
            <v>0.93</v>
          </cell>
          <cell r="T5570">
            <v>164.55799999999999</v>
          </cell>
        </row>
        <row r="5571">
          <cell r="G5571">
            <v>42614</v>
          </cell>
          <cell r="L5571" t="str">
            <v>16-24-004-01W2</v>
          </cell>
          <cell r="O5571">
            <v>828</v>
          </cell>
          <cell r="Q5571">
            <v>0.61</v>
          </cell>
          <cell r="T5571">
            <v>174.303</v>
          </cell>
        </row>
        <row r="5572">
          <cell r="G5572">
            <v>42614</v>
          </cell>
          <cell r="L5572" t="str">
            <v>16-27-004-33W1</v>
          </cell>
          <cell r="O5572">
            <v>847.9</v>
          </cell>
          <cell r="Q5572">
            <v>1.28</v>
          </cell>
          <cell r="T5572">
            <v>181.065</v>
          </cell>
        </row>
        <row r="5573">
          <cell r="G5573">
            <v>42614</v>
          </cell>
          <cell r="L5573" t="str">
            <v>01-11-005-04W2</v>
          </cell>
          <cell r="O5573">
            <v>886.6</v>
          </cell>
          <cell r="Q5573">
            <v>1.99</v>
          </cell>
          <cell r="T5573">
            <v>203.989</v>
          </cell>
        </row>
        <row r="5574">
          <cell r="G5574">
            <v>42614</v>
          </cell>
          <cell r="L5574" t="str">
            <v>15-21-008-03W2</v>
          </cell>
          <cell r="O5574">
            <v>852.4</v>
          </cell>
          <cell r="Q5574">
            <v>1.46</v>
          </cell>
          <cell r="T5574">
            <v>204.13300000000001</v>
          </cell>
        </row>
        <row r="5575">
          <cell r="G5575">
            <v>42614</v>
          </cell>
          <cell r="L5575" t="str">
            <v>08-31-009-01W2</v>
          </cell>
          <cell r="O5575">
            <v>858.4</v>
          </cell>
          <cell r="Q5575">
            <v>1.7</v>
          </cell>
          <cell r="T5575">
            <v>209.26599999999999</v>
          </cell>
        </row>
        <row r="5576">
          <cell r="G5576">
            <v>42614</v>
          </cell>
          <cell r="L5576" t="str">
            <v>13-25-001-01W2</v>
          </cell>
          <cell r="O5576">
            <v>842.3</v>
          </cell>
          <cell r="Q5576">
            <v>0.81</v>
          </cell>
          <cell r="T5576">
            <v>212.31200000000001</v>
          </cell>
        </row>
        <row r="5577">
          <cell r="G5577">
            <v>42614</v>
          </cell>
          <cell r="L5577" t="str">
            <v>02-17-005-31W1</v>
          </cell>
          <cell r="O5577">
            <v>849.1</v>
          </cell>
          <cell r="Q5577">
            <v>1.29</v>
          </cell>
          <cell r="T5577">
            <v>214.83099999999999</v>
          </cell>
        </row>
        <row r="5578">
          <cell r="G5578">
            <v>42614</v>
          </cell>
          <cell r="L5578" t="str">
            <v>07-25-003-13W2</v>
          </cell>
          <cell r="O5578">
            <v>890.3</v>
          </cell>
          <cell r="Q5578">
            <v>2.4300000000000002</v>
          </cell>
          <cell r="T5578">
            <v>256.66500000000002</v>
          </cell>
        </row>
        <row r="5579">
          <cell r="G5579">
            <v>42614</v>
          </cell>
          <cell r="L5579" t="str">
            <v>05-01-001-32W1</v>
          </cell>
          <cell r="O5579">
            <v>864.5</v>
          </cell>
          <cell r="Q5579">
            <v>1.57</v>
          </cell>
          <cell r="T5579">
            <v>228.124</v>
          </cell>
        </row>
        <row r="5580">
          <cell r="G5580">
            <v>42614</v>
          </cell>
          <cell r="L5580" t="str">
            <v>01-24-007-05W2</v>
          </cell>
          <cell r="O5580">
            <v>852.5</v>
          </cell>
          <cell r="Q5580">
            <v>1.29</v>
          </cell>
          <cell r="T5580">
            <v>226.988</v>
          </cell>
        </row>
        <row r="5581">
          <cell r="G5581">
            <v>42614</v>
          </cell>
          <cell r="L5581" t="str">
            <v>08-14-004-07W2</v>
          </cell>
          <cell r="O5581">
            <v>855.1</v>
          </cell>
          <cell r="Q5581">
            <v>1.24</v>
          </cell>
          <cell r="T5581">
            <v>244.42400000000001</v>
          </cell>
        </row>
        <row r="5582">
          <cell r="G5582">
            <v>42614</v>
          </cell>
          <cell r="L5582" t="str">
            <v>09-18-007-04W2</v>
          </cell>
          <cell r="O5582">
            <v>859.1</v>
          </cell>
          <cell r="Q5582">
            <v>1.41</v>
          </cell>
          <cell r="T5582">
            <v>243.11600000000001</v>
          </cell>
        </row>
        <row r="5583">
          <cell r="G5583">
            <v>42614</v>
          </cell>
          <cell r="L5583" t="str">
            <v>07-36-001-34W1</v>
          </cell>
          <cell r="O5583">
            <v>851.8</v>
          </cell>
          <cell r="Q5583">
            <v>1.1499999999999999</v>
          </cell>
          <cell r="T5583">
            <v>241.398</v>
          </cell>
        </row>
        <row r="5584">
          <cell r="G5584">
            <v>42614</v>
          </cell>
          <cell r="L5584" t="str">
            <v>12-22-007-11W2</v>
          </cell>
          <cell r="O5584">
            <v>838</v>
          </cell>
          <cell r="Q5584">
            <v>1.52</v>
          </cell>
          <cell r="T5584">
            <v>5406.9110000000001</v>
          </cell>
        </row>
        <row r="5585">
          <cell r="G5585">
            <v>42614</v>
          </cell>
          <cell r="L5585" t="str">
            <v>14-33-006-14W2</v>
          </cell>
          <cell r="O5585">
            <v>852.4</v>
          </cell>
          <cell r="Q5585">
            <v>1.68</v>
          </cell>
          <cell r="T5585">
            <v>2358.8690000000001</v>
          </cell>
        </row>
        <row r="5586">
          <cell r="G5586">
            <v>42614</v>
          </cell>
          <cell r="L5586" t="str">
            <v>04-21-006-14W2</v>
          </cell>
          <cell r="O5586">
            <v>864.7</v>
          </cell>
          <cell r="Q5586">
            <v>2.06</v>
          </cell>
          <cell r="T5586">
            <v>1492.8489999999999</v>
          </cell>
        </row>
        <row r="5587">
          <cell r="G5587">
            <v>42614</v>
          </cell>
          <cell r="L5587" t="str">
            <v>07-02-007-11W2</v>
          </cell>
          <cell r="O5587">
            <v>864.1</v>
          </cell>
          <cell r="Q5587">
            <v>1.28</v>
          </cell>
          <cell r="T5587">
            <v>1411.9649999999999</v>
          </cell>
        </row>
        <row r="5588">
          <cell r="G5588">
            <v>42614</v>
          </cell>
          <cell r="L5588" t="str">
            <v>01-22-006-14W2</v>
          </cell>
          <cell r="O5588">
            <v>863.6</v>
          </cell>
          <cell r="Q5588">
            <v>2.14</v>
          </cell>
          <cell r="T5588">
            <v>791.98500000000001</v>
          </cell>
        </row>
        <row r="5589">
          <cell r="G5589">
            <v>42614</v>
          </cell>
          <cell r="L5589" t="str">
            <v>03-06-005-12W2</v>
          </cell>
          <cell r="O5589">
            <v>888.6</v>
          </cell>
          <cell r="Q5589">
            <v>2.4</v>
          </cell>
          <cell r="T5589">
            <v>427.75400000000002</v>
          </cell>
        </row>
        <row r="5590">
          <cell r="G5590">
            <v>42614</v>
          </cell>
          <cell r="L5590" t="str">
            <v>01-03-008-13W2</v>
          </cell>
          <cell r="O5590">
            <v>854.8</v>
          </cell>
          <cell r="Q5590">
            <v>2.0499999999999998</v>
          </cell>
          <cell r="T5590">
            <v>425.04700000000003</v>
          </cell>
        </row>
        <row r="5591">
          <cell r="G5591">
            <v>42614</v>
          </cell>
          <cell r="L5591" t="str">
            <v>02-18-007-13W2</v>
          </cell>
          <cell r="O5591">
            <v>858.4</v>
          </cell>
          <cell r="Q5591">
            <v>1.74</v>
          </cell>
          <cell r="T5591">
            <v>380.28800000000001</v>
          </cell>
        </row>
        <row r="5592">
          <cell r="G5592">
            <v>42614</v>
          </cell>
          <cell r="L5592" t="str">
            <v>10-22-006-14W2</v>
          </cell>
          <cell r="O5592">
            <v>847.3</v>
          </cell>
          <cell r="Q5592">
            <v>1.64</v>
          </cell>
          <cell r="T5592">
            <v>342.62299999999999</v>
          </cell>
        </row>
        <row r="5593">
          <cell r="G5593">
            <v>42614</v>
          </cell>
          <cell r="L5593" t="str">
            <v>04-11-007-13W2</v>
          </cell>
          <cell r="O5593">
            <v>854.5</v>
          </cell>
          <cell r="Q5593">
            <v>1.91</v>
          </cell>
          <cell r="T5593">
            <v>326.35899999999998</v>
          </cell>
        </row>
        <row r="5594">
          <cell r="G5594">
            <v>42614</v>
          </cell>
          <cell r="L5594" t="str">
            <v>15-30-007-12W2</v>
          </cell>
          <cell r="O5594">
            <v>871.6</v>
          </cell>
          <cell r="Q5594">
            <v>2.38</v>
          </cell>
          <cell r="T5594">
            <v>298.11900000000003</v>
          </cell>
        </row>
        <row r="5595">
          <cell r="G5595">
            <v>42614</v>
          </cell>
          <cell r="L5595" t="str">
            <v>07-12-006-11W2</v>
          </cell>
          <cell r="O5595">
            <v>876.9</v>
          </cell>
          <cell r="Q5595">
            <v>2.0099999999999998</v>
          </cell>
          <cell r="T5595">
            <v>21417.732</v>
          </cell>
        </row>
        <row r="5596">
          <cell r="G5596">
            <v>42614</v>
          </cell>
          <cell r="L5596" t="str">
            <v>01-21-001-14W2</v>
          </cell>
          <cell r="O5596">
            <v>807.6</v>
          </cell>
          <cell r="Q5596">
            <v>0.14000000000000001</v>
          </cell>
          <cell r="T5596">
            <v>20104.832999999999</v>
          </cell>
        </row>
        <row r="5597">
          <cell r="G5597">
            <v>42614</v>
          </cell>
          <cell r="L5597" t="str">
            <v>14-27-001-13W2</v>
          </cell>
          <cell r="O5597">
            <v>822.3</v>
          </cell>
          <cell r="Q5597">
            <v>0.12</v>
          </cell>
          <cell r="T5597">
            <v>17305.114000000001</v>
          </cell>
        </row>
        <row r="5598">
          <cell r="G5598">
            <v>42614</v>
          </cell>
          <cell r="L5598" t="str">
            <v>09-13-007-11W2</v>
          </cell>
          <cell r="O5598">
            <v>822.3</v>
          </cell>
          <cell r="Q5598">
            <v>0.37</v>
          </cell>
          <cell r="T5598">
            <v>15323.397000000001</v>
          </cell>
        </row>
        <row r="5599">
          <cell r="G5599">
            <v>42614</v>
          </cell>
          <cell r="L5599" t="str">
            <v>13-30-007-10W2</v>
          </cell>
          <cell r="O5599">
            <v>815.7</v>
          </cell>
          <cell r="Q5599">
            <v>0.6</v>
          </cell>
          <cell r="T5599">
            <v>12555.344999999999</v>
          </cell>
        </row>
        <row r="5600">
          <cell r="G5600">
            <v>42614</v>
          </cell>
          <cell r="L5600" t="str">
            <v>08-31-004-18W2</v>
          </cell>
          <cell r="O5600">
            <v>856</v>
          </cell>
          <cell r="Q5600">
            <v>1.87</v>
          </cell>
          <cell r="T5600">
            <v>8464.348</v>
          </cell>
        </row>
        <row r="5601">
          <cell r="G5601">
            <v>42614</v>
          </cell>
          <cell r="L5601" t="str">
            <v>01-28-002-14W2</v>
          </cell>
          <cell r="O5601">
            <v>843.8</v>
          </cell>
          <cell r="Q5601">
            <v>1.42</v>
          </cell>
          <cell r="T5601">
            <v>5712.1480000000001</v>
          </cell>
        </row>
        <row r="5602">
          <cell r="G5602">
            <v>42614</v>
          </cell>
          <cell r="L5602" t="str">
            <v>04-05-002-15W2</v>
          </cell>
          <cell r="O5602">
            <v>879.9</v>
          </cell>
          <cell r="Q5602">
            <v>2.04</v>
          </cell>
          <cell r="T5602">
            <v>3611.2089999999998</v>
          </cell>
        </row>
        <row r="5603">
          <cell r="G5603">
            <v>42614</v>
          </cell>
          <cell r="L5603" t="str">
            <v>05-31-003-16W2</v>
          </cell>
          <cell r="O5603">
            <v>892.5</v>
          </cell>
          <cell r="Q5603">
            <v>2.42</v>
          </cell>
          <cell r="T5603">
            <v>3332.8539999999998</v>
          </cell>
        </row>
        <row r="5604">
          <cell r="G5604">
            <v>42614</v>
          </cell>
          <cell r="L5604" t="str">
            <v>11-02-005-12W2</v>
          </cell>
          <cell r="O5604">
            <v>834.3</v>
          </cell>
          <cell r="Q5604">
            <v>1.63</v>
          </cell>
          <cell r="T5604">
            <v>3245.91</v>
          </cell>
        </row>
        <row r="5605">
          <cell r="G5605">
            <v>42614</v>
          </cell>
          <cell r="L5605" t="str">
            <v>05-18-004-17W2</v>
          </cell>
          <cell r="O5605">
            <v>863.7</v>
          </cell>
          <cell r="Q5605">
            <v>2.14</v>
          </cell>
          <cell r="T5605">
            <v>2005.809</v>
          </cell>
        </row>
        <row r="5606">
          <cell r="G5606">
            <v>42614</v>
          </cell>
          <cell r="L5606" t="str">
            <v>16-23-006-11W2</v>
          </cell>
          <cell r="O5606">
            <v>881.3</v>
          </cell>
          <cell r="Q5606">
            <v>2.2799999999999998</v>
          </cell>
          <cell r="T5606">
            <v>1893.5239999999999</v>
          </cell>
        </row>
        <row r="5607">
          <cell r="G5607">
            <v>42614</v>
          </cell>
          <cell r="L5607" t="str">
            <v>11-04-005-12W2</v>
          </cell>
          <cell r="O5607">
            <v>876.5</v>
          </cell>
          <cell r="Q5607">
            <v>2.0299999999999998</v>
          </cell>
          <cell r="T5607">
            <v>1488.048</v>
          </cell>
        </row>
        <row r="5608">
          <cell r="G5608">
            <v>42614</v>
          </cell>
          <cell r="L5608" t="str">
            <v>15-25-007-11W2</v>
          </cell>
          <cell r="O5608">
            <v>870.8</v>
          </cell>
          <cell r="Q5608">
            <v>1.94</v>
          </cell>
          <cell r="T5608">
            <v>1391.692</v>
          </cell>
        </row>
        <row r="5609">
          <cell r="G5609">
            <v>42614</v>
          </cell>
          <cell r="L5609" t="str">
            <v>13-02-007-14W2</v>
          </cell>
          <cell r="O5609">
            <v>852.7</v>
          </cell>
          <cell r="Q5609">
            <v>1.81</v>
          </cell>
          <cell r="T5609">
            <v>1354.2560000000001</v>
          </cell>
        </row>
        <row r="5610">
          <cell r="G5610">
            <v>42614</v>
          </cell>
          <cell r="L5610" t="str">
            <v>15-32-004-12W2</v>
          </cell>
          <cell r="O5610">
            <v>882.1</v>
          </cell>
          <cell r="Q5610">
            <v>2.14</v>
          </cell>
          <cell r="T5610">
            <v>1271.7439999999999</v>
          </cell>
        </row>
        <row r="5611">
          <cell r="G5611">
            <v>42614</v>
          </cell>
          <cell r="L5611" t="str">
            <v>15-33-006-14W2</v>
          </cell>
          <cell r="O5611">
            <v>847.6</v>
          </cell>
          <cell r="Q5611">
            <v>1.65</v>
          </cell>
          <cell r="T5611">
            <v>1135.049</v>
          </cell>
        </row>
        <row r="5612">
          <cell r="G5612">
            <v>42614</v>
          </cell>
          <cell r="L5612" t="str">
            <v>11-26-002-19W2</v>
          </cell>
          <cell r="O5612">
            <v>867.5</v>
          </cell>
          <cell r="Q5612">
            <v>1.84</v>
          </cell>
          <cell r="T5612">
            <v>1076.0260000000001</v>
          </cell>
        </row>
        <row r="5613">
          <cell r="G5613">
            <v>42614</v>
          </cell>
          <cell r="L5613" t="str">
            <v>06-03-001-16W2</v>
          </cell>
          <cell r="O5613">
            <v>859.6</v>
          </cell>
          <cell r="Q5613">
            <v>1.1299999999999999</v>
          </cell>
          <cell r="T5613">
            <v>1056.6969999999999</v>
          </cell>
        </row>
        <row r="5614">
          <cell r="G5614">
            <v>42614</v>
          </cell>
          <cell r="L5614" t="str">
            <v>12-25-004-19W2</v>
          </cell>
          <cell r="O5614">
            <v>867.9</v>
          </cell>
          <cell r="Q5614">
            <v>2.35</v>
          </cell>
          <cell r="T5614">
            <v>753.84500000000003</v>
          </cell>
        </row>
        <row r="5615">
          <cell r="G5615">
            <v>42614</v>
          </cell>
          <cell r="L5615" t="str">
            <v>02-29-001-17W2</v>
          </cell>
          <cell r="O5615">
            <v>862.9</v>
          </cell>
          <cell r="Q5615">
            <v>1.74</v>
          </cell>
          <cell r="T5615">
            <v>751.13599999999997</v>
          </cell>
        </row>
        <row r="5616">
          <cell r="G5616">
            <v>42614</v>
          </cell>
          <cell r="L5616" t="str">
            <v>05-35-006-11W2</v>
          </cell>
          <cell r="O5616">
            <v>809.4</v>
          </cell>
          <cell r="Q5616">
            <v>0.1</v>
          </cell>
          <cell r="T5616">
            <v>440.32900000000001</v>
          </cell>
        </row>
        <row r="5617">
          <cell r="G5617">
            <v>42614</v>
          </cell>
          <cell r="L5617" t="str">
            <v>03-12-002-19W2</v>
          </cell>
          <cell r="O5617">
            <v>864.1</v>
          </cell>
          <cell r="Q5617">
            <v>2.23</v>
          </cell>
          <cell r="T5617">
            <v>345.923</v>
          </cell>
        </row>
        <row r="5618">
          <cell r="G5618">
            <v>42614</v>
          </cell>
          <cell r="L5618" t="str">
            <v>09-28-001-15W2</v>
          </cell>
          <cell r="O5618">
            <v>865.1</v>
          </cell>
          <cell r="Q5618">
            <v>1.05</v>
          </cell>
          <cell r="T5618">
            <v>343.89</v>
          </cell>
        </row>
        <row r="5619">
          <cell r="G5619">
            <v>42614</v>
          </cell>
          <cell r="L5619" t="str">
            <v>01-07-006-10W2</v>
          </cell>
          <cell r="O5619">
            <v>824.2</v>
          </cell>
          <cell r="Q5619">
            <v>1.57</v>
          </cell>
          <cell r="T5619">
            <v>19178.968000000001</v>
          </cell>
        </row>
        <row r="5620">
          <cell r="G5620">
            <v>42614</v>
          </cell>
          <cell r="L5620" t="str">
            <v>16-09-004-31W1</v>
          </cell>
          <cell r="O5620">
            <v>867.7</v>
          </cell>
          <cell r="Q5620">
            <v>1.81</v>
          </cell>
          <cell r="T5620">
            <v>280.12200000000001</v>
          </cell>
        </row>
        <row r="5621">
          <cell r="G5621">
            <v>42614</v>
          </cell>
          <cell r="L5621" t="str">
            <v>07-25-009-08W2</v>
          </cell>
          <cell r="O5621">
            <v>884.7</v>
          </cell>
          <cell r="Q5621">
            <v>2.33</v>
          </cell>
          <cell r="T5621">
            <v>320.77199999999999</v>
          </cell>
        </row>
        <row r="5622">
          <cell r="G5622">
            <v>42614</v>
          </cell>
          <cell r="L5622" t="str">
            <v>08-31-005-03W2</v>
          </cell>
          <cell r="O5622">
            <v>846.3</v>
          </cell>
          <cell r="Q5622">
            <v>1.05</v>
          </cell>
          <cell r="T5622">
            <v>280.63600000000002</v>
          </cell>
        </row>
        <row r="5623">
          <cell r="G5623">
            <v>42614</v>
          </cell>
          <cell r="L5623" t="str">
            <v>03-23-001-32W1</v>
          </cell>
          <cell r="O5623">
            <v>855.9</v>
          </cell>
          <cell r="Q5623">
            <v>1.51</v>
          </cell>
          <cell r="T5623">
            <v>289.85599999999999</v>
          </cell>
        </row>
        <row r="5624">
          <cell r="G5624">
            <v>42614</v>
          </cell>
          <cell r="L5624" t="str">
            <v>03-33-008-06W2</v>
          </cell>
          <cell r="O5624">
            <v>812.5</v>
          </cell>
          <cell r="Q5624">
            <v>0.19</v>
          </cell>
          <cell r="T5624">
            <v>12973.883</v>
          </cell>
        </row>
        <row r="5625">
          <cell r="G5625">
            <v>42614</v>
          </cell>
          <cell r="L5625" t="str">
            <v>12-06-009-07W2</v>
          </cell>
          <cell r="O5625">
            <v>812.6</v>
          </cell>
          <cell r="Q5625">
            <v>0.17</v>
          </cell>
          <cell r="T5625">
            <v>8646.866</v>
          </cell>
        </row>
        <row r="5626">
          <cell r="G5626">
            <v>42614</v>
          </cell>
          <cell r="L5626" t="str">
            <v>02-26-009-09W2</v>
          </cell>
          <cell r="O5626">
            <v>814.1</v>
          </cell>
          <cell r="Q5626">
            <v>0.16</v>
          </cell>
          <cell r="T5626">
            <v>7762.8559999999998</v>
          </cell>
        </row>
        <row r="5627">
          <cell r="G5627">
            <v>42614</v>
          </cell>
          <cell r="L5627" t="str">
            <v>03-17-011-06W2</v>
          </cell>
          <cell r="O5627">
            <v>885.1</v>
          </cell>
          <cell r="Q5627">
            <v>2.57</v>
          </cell>
          <cell r="T5627">
            <v>1587.2180000000001</v>
          </cell>
        </row>
        <row r="5628">
          <cell r="G5628">
            <v>42614</v>
          </cell>
          <cell r="L5628" t="str">
            <v>13-14-009-09W2</v>
          </cell>
          <cell r="O5628">
            <v>870.3</v>
          </cell>
          <cell r="Q5628">
            <v>1.89</v>
          </cell>
          <cell r="T5628">
            <v>1232.4369999999999</v>
          </cell>
        </row>
        <row r="5629">
          <cell r="G5629">
            <v>42614</v>
          </cell>
          <cell r="L5629" t="str">
            <v>09-10-009-06W2</v>
          </cell>
          <cell r="O5629">
            <v>856.9</v>
          </cell>
          <cell r="Q5629">
            <v>1.65</v>
          </cell>
          <cell r="T5629">
            <v>1232.2809999999999</v>
          </cell>
        </row>
        <row r="5630">
          <cell r="G5630">
            <v>42614</v>
          </cell>
          <cell r="L5630" t="str">
            <v>04-18-009-06W2</v>
          </cell>
          <cell r="O5630">
            <v>825.1</v>
          </cell>
          <cell r="Q5630">
            <v>0.88</v>
          </cell>
          <cell r="T5630">
            <v>1194.2940000000001</v>
          </cell>
        </row>
        <row r="5631">
          <cell r="G5631">
            <v>42614</v>
          </cell>
          <cell r="L5631" t="str">
            <v>03-15-012-06W2</v>
          </cell>
          <cell r="O5631">
            <v>888.4</v>
          </cell>
          <cell r="Q5631">
            <v>2.57</v>
          </cell>
          <cell r="T5631">
            <v>1061.316</v>
          </cell>
        </row>
        <row r="5632">
          <cell r="G5632">
            <v>42614</v>
          </cell>
          <cell r="L5632" t="str">
            <v>05-31-009-07W2</v>
          </cell>
          <cell r="O5632">
            <v>877</v>
          </cell>
          <cell r="Q5632">
            <v>2.31</v>
          </cell>
          <cell r="T5632">
            <v>635.95500000000004</v>
          </cell>
        </row>
        <row r="5633">
          <cell r="G5633">
            <v>42614</v>
          </cell>
          <cell r="L5633" t="str">
            <v>09-26-007-09W2</v>
          </cell>
          <cell r="O5633">
            <v>824.7</v>
          </cell>
          <cell r="Q5633">
            <v>0.48</v>
          </cell>
          <cell r="T5633">
            <v>635.43799999999999</v>
          </cell>
        </row>
        <row r="5634">
          <cell r="G5634">
            <v>42614</v>
          </cell>
          <cell r="L5634" t="str">
            <v>04-08-008-08W2</v>
          </cell>
          <cell r="O5634">
            <v>807.8</v>
          </cell>
          <cell r="Q5634">
            <v>0.2</v>
          </cell>
          <cell r="T5634">
            <v>50619.663999999997</v>
          </cell>
        </row>
        <row r="5635">
          <cell r="G5635">
            <v>42614</v>
          </cell>
          <cell r="L5635" t="str">
            <v>09-14-009-08W2</v>
          </cell>
          <cell r="O5635">
            <v>803.5</v>
          </cell>
          <cell r="Q5635">
            <v>0.15</v>
          </cell>
          <cell r="T5635">
            <v>37634.737999999998</v>
          </cell>
        </row>
        <row r="5636">
          <cell r="G5636">
            <v>42614</v>
          </cell>
          <cell r="L5636" t="str">
            <v>13-29-008-07W2</v>
          </cell>
          <cell r="O5636">
            <v>804.3</v>
          </cell>
          <cell r="Q5636">
            <v>0.13</v>
          </cell>
          <cell r="T5636">
            <v>21289.401999999998</v>
          </cell>
        </row>
        <row r="5637">
          <cell r="G5637">
            <v>42614</v>
          </cell>
          <cell r="L5637" t="str">
            <v>11-15-007-09W2</v>
          </cell>
          <cell r="O5637">
            <v>821.7</v>
          </cell>
          <cell r="Q5637">
            <v>0.55000000000000004</v>
          </cell>
          <cell r="T5637">
            <v>6651.4110000000001</v>
          </cell>
        </row>
        <row r="5638">
          <cell r="G5638">
            <v>42614</v>
          </cell>
          <cell r="L5638" t="str">
            <v>13-18-010-06W2</v>
          </cell>
          <cell r="O5638">
            <v>833.8</v>
          </cell>
          <cell r="Q5638">
            <v>0.9</v>
          </cell>
          <cell r="T5638">
            <v>4327.415</v>
          </cell>
        </row>
        <row r="5639">
          <cell r="G5639">
            <v>42614</v>
          </cell>
          <cell r="L5639" t="str">
            <v>09-20-008-08W2</v>
          </cell>
          <cell r="O5639">
            <v>817.4</v>
          </cell>
          <cell r="Q5639">
            <v>0.33</v>
          </cell>
          <cell r="T5639">
            <v>2925.0880000000002</v>
          </cell>
        </row>
        <row r="5640">
          <cell r="G5640">
            <v>42614</v>
          </cell>
          <cell r="L5640" t="str">
            <v>05-13-009-06W2</v>
          </cell>
          <cell r="O5640">
            <v>850.2</v>
          </cell>
          <cell r="Q5640">
            <v>1.51</v>
          </cell>
          <cell r="T5640">
            <v>1785.3979999999999</v>
          </cell>
        </row>
        <row r="5641">
          <cell r="G5641">
            <v>42614</v>
          </cell>
          <cell r="L5641" t="str">
            <v>15-23-006-08W2</v>
          </cell>
          <cell r="O5641">
            <v>865.6</v>
          </cell>
          <cell r="Q5641">
            <v>1.86</v>
          </cell>
          <cell r="T5641">
            <v>1550.586</v>
          </cell>
        </row>
        <row r="5642">
          <cell r="G5642">
            <v>42614</v>
          </cell>
          <cell r="L5642" t="str">
            <v>13-07-010-09W2</v>
          </cell>
          <cell r="O5642">
            <v>815.1</v>
          </cell>
          <cell r="Q5642">
            <v>0.16</v>
          </cell>
          <cell r="T5642">
            <v>1491.1769999999999</v>
          </cell>
        </row>
        <row r="5643">
          <cell r="G5643">
            <v>42614</v>
          </cell>
          <cell r="L5643" t="str">
            <v>05-13-008-06W2</v>
          </cell>
          <cell r="O5643">
            <v>820.4</v>
          </cell>
          <cell r="Q5643">
            <v>0.51</v>
          </cell>
          <cell r="T5643">
            <v>1360.7529999999999</v>
          </cell>
        </row>
        <row r="5644">
          <cell r="G5644">
            <v>42614</v>
          </cell>
          <cell r="L5644" t="str">
            <v>03-06-011-07W2</v>
          </cell>
          <cell r="O5644">
            <v>880.9</v>
          </cell>
          <cell r="Q5644">
            <v>1.81</v>
          </cell>
          <cell r="T5644">
            <v>1347.241</v>
          </cell>
        </row>
        <row r="5645">
          <cell r="G5645">
            <v>42614</v>
          </cell>
          <cell r="L5645" t="str">
            <v>01-26-006-09W2</v>
          </cell>
          <cell r="O5645">
            <v>883.5</v>
          </cell>
          <cell r="Q5645">
            <v>2.34</v>
          </cell>
          <cell r="T5645">
            <v>1286.9690000000001</v>
          </cell>
        </row>
        <row r="5646">
          <cell r="G5646">
            <v>42614</v>
          </cell>
          <cell r="L5646" t="str">
            <v>07-04-010-08W2</v>
          </cell>
          <cell r="O5646">
            <v>879.6</v>
          </cell>
          <cell r="Q5646">
            <v>2.4300000000000002</v>
          </cell>
          <cell r="T5646">
            <v>1282.6669999999999</v>
          </cell>
        </row>
        <row r="5647">
          <cell r="G5647">
            <v>42614</v>
          </cell>
          <cell r="L5647" t="str">
            <v>09-06-010-07W2</v>
          </cell>
          <cell r="O5647">
            <v>882.7</v>
          </cell>
          <cell r="Q5647">
            <v>2.36</v>
          </cell>
          <cell r="T5647">
            <v>831.49699999999996</v>
          </cell>
        </row>
        <row r="5648">
          <cell r="G5648">
            <v>42614</v>
          </cell>
          <cell r="L5648" t="str">
            <v>07-28-007-08W2</v>
          </cell>
          <cell r="O5648">
            <v>838.8</v>
          </cell>
          <cell r="Q5648">
            <v>1.25</v>
          </cell>
          <cell r="T5648">
            <v>772.43799999999999</v>
          </cell>
        </row>
        <row r="5649">
          <cell r="G5649">
            <v>42614</v>
          </cell>
          <cell r="L5649" t="str">
            <v>09-11-010-08W2</v>
          </cell>
          <cell r="O5649">
            <v>881.6</v>
          </cell>
          <cell r="Q5649">
            <v>2.4700000000000002</v>
          </cell>
          <cell r="T5649">
            <v>692.68600000000004</v>
          </cell>
        </row>
        <row r="5650">
          <cell r="G5650">
            <v>42614</v>
          </cell>
          <cell r="L5650" t="str">
            <v>01-22-010-07W2</v>
          </cell>
          <cell r="O5650">
            <v>888.3</v>
          </cell>
          <cell r="Q5650">
            <v>2.5099999999999998</v>
          </cell>
          <cell r="T5650">
            <v>614.072</v>
          </cell>
        </row>
        <row r="5651">
          <cell r="G5651">
            <v>42614</v>
          </cell>
          <cell r="L5651" t="str">
            <v>16-35-009-09W2</v>
          </cell>
          <cell r="O5651">
            <v>883.5</v>
          </cell>
          <cell r="Q5651">
            <v>2.4300000000000002</v>
          </cell>
          <cell r="T5651">
            <v>591.47</v>
          </cell>
        </row>
        <row r="5652">
          <cell r="G5652">
            <v>42614</v>
          </cell>
          <cell r="L5652" t="str">
            <v>01-04-007-09W2</v>
          </cell>
          <cell r="O5652">
            <v>810.2</v>
          </cell>
          <cell r="Q5652">
            <v>0.17</v>
          </cell>
          <cell r="T5652">
            <v>540.13800000000003</v>
          </cell>
        </row>
        <row r="5653">
          <cell r="G5653">
            <v>42614</v>
          </cell>
          <cell r="L5653" t="str">
            <v>13-15-005-08W2</v>
          </cell>
          <cell r="O5653">
            <v>886.4</v>
          </cell>
          <cell r="Q5653">
            <v>1.83</v>
          </cell>
          <cell r="T5653">
            <v>322.67200000000003</v>
          </cell>
        </row>
        <row r="5654">
          <cell r="G5654">
            <v>42614</v>
          </cell>
          <cell r="L5654" t="str">
            <v>07-23-006-02W2</v>
          </cell>
          <cell r="O5654">
            <v>848.3</v>
          </cell>
          <cell r="Q5654">
            <v>1.1100000000000001</v>
          </cell>
          <cell r="T5654">
            <v>300.995</v>
          </cell>
        </row>
        <row r="5655">
          <cell r="G5655">
            <v>42614</v>
          </cell>
          <cell r="L5655" t="str">
            <v>14-18-001-04W2</v>
          </cell>
          <cell r="O5655">
            <v>827.3</v>
          </cell>
          <cell r="Q5655">
            <v>0.53</v>
          </cell>
          <cell r="T5655">
            <v>337.24400000000003</v>
          </cell>
        </row>
        <row r="5656">
          <cell r="G5656">
            <v>42614</v>
          </cell>
          <cell r="L5656" t="str">
            <v>02-08-004-33W1</v>
          </cell>
          <cell r="O5656">
            <v>838.8</v>
          </cell>
          <cell r="Q5656">
            <v>0.65</v>
          </cell>
          <cell r="T5656">
            <v>309.66800000000001</v>
          </cell>
        </row>
        <row r="5657">
          <cell r="G5657">
            <v>42614</v>
          </cell>
          <cell r="L5657" t="str">
            <v>06-03-004-31W1</v>
          </cell>
          <cell r="O5657">
            <v>869.9</v>
          </cell>
          <cell r="Q5657">
            <v>1.87</v>
          </cell>
          <cell r="T5657">
            <v>310.488</v>
          </cell>
        </row>
        <row r="5658">
          <cell r="G5658">
            <v>42614</v>
          </cell>
          <cell r="L5658" t="str">
            <v>04-04-007-01W2</v>
          </cell>
          <cell r="O5658">
            <v>851.4</v>
          </cell>
          <cell r="Q5658">
            <v>1.1599999999999999</v>
          </cell>
          <cell r="T5658">
            <v>325.10300000000001</v>
          </cell>
        </row>
        <row r="5659">
          <cell r="G5659">
            <v>42614</v>
          </cell>
          <cell r="L5659" t="str">
            <v>05-31-002-01W2</v>
          </cell>
          <cell r="O5659">
            <v>824.2</v>
          </cell>
          <cell r="Q5659">
            <v>0.48</v>
          </cell>
          <cell r="T5659">
            <v>7614.1750000000002</v>
          </cell>
        </row>
        <row r="5660">
          <cell r="G5660">
            <v>42614</v>
          </cell>
          <cell r="L5660" t="str">
            <v>13-03-006-34W1</v>
          </cell>
          <cell r="O5660">
            <v>845.7</v>
          </cell>
          <cell r="Q5660">
            <v>1.19</v>
          </cell>
          <cell r="T5660">
            <v>6255.42</v>
          </cell>
        </row>
        <row r="5661">
          <cell r="G5661">
            <v>42614</v>
          </cell>
          <cell r="L5661" t="str">
            <v>11-30-005-03W2</v>
          </cell>
          <cell r="O5661">
            <v>854.1</v>
          </cell>
          <cell r="Q5661">
            <v>1.35</v>
          </cell>
          <cell r="T5661">
            <v>5311.6210000000001</v>
          </cell>
        </row>
        <row r="5662">
          <cell r="G5662">
            <v>42614</v>
          </cell>
          <cell r="L5662" t="str">
            <v>16-18-011-04W2</v>
          </cell>
          <cell r="O5662">
            <v>832.1</v>
          </cell>
          <cell r="Q5662">
            <v>1.48</v>
          </cell>
          <cell r="T5662">
            <v>5161.2309999999998</v>
          </cell>
        </row>
        <row r="5663">
          <cell r="G5663">
            <v>42614</v>
          </cell>
          <cell r="L5663" t="str">
            <v>16-12-004-31W1</v>
          </cell>
          <cell r="O5663">
            <v>851</v>
          </cell>
          <cell r="Q5663">
            <v>1.7</v>
          </cell>
          <cell r="T5663">
            <v>4403.9030000000002</v>
          </cell>
        </row>
        <row r="5664">
          <cell r="G5664">
            <v>42614</v>
          </cell>
          <cell r="L5664" t="str">
            <v>03-03-002-32W1</v>
          </cell>
          <cell r="O5664">
            <v>825</v>
          </cell>
          <cell r="Q5664">
            <v>0.84</v>
          </cell>
          <cell r="T5664">
            <v>3480.3649999999998</v>
          </cell>
        </row>
        <row r="5665">
          <cell r="G5665">
            <v>42614</v>
          </cell>
          <cell r="L5665" t="str">
            <v>04-27-003-33W1</v>
          </cell>
          <cell r="O5665">
            <v>840.2</v>
          </cell>
          <cell r="Q5665">
            <v>1.21</v>
          </cell>
          <cell r="T5665">
            <v>3354.5450000000001</v>
          </cell>
        </row>
        <row r="5666">
          <cell r="G5666">
            <v>42614</v>
          </cell>
          <cell r="L5666" t="str">
            <v>04-22-009-33W1</v>
          </cell>
          <cell r="O5666">
            <v>854.3</v>
          </cell>
          <cell r="Q5666">
            <v>1.42</v>
          </cell>
          <cell r="T5666">
            <v>2877.596</v>
          </cell>
        </row>
        <row r="5667">
          <cell r="G5667">
            <v>42614</v>
          </cell>
          <cell r="L5667" t="str">
            <v>07-28-002-30W1</v>
          </cell>
          <cell r="O5667">
            <v>880.2</v>
          </cell>
          <cell r="Q5667">
            <v>2.41</v>
          </cell>
          <cell r="T5667">
            <v>2543.6410000000001</v>
          </cell>
        </row>
        <row r="5668">
          <cell r="G5668">
            <v>42614</v>
          </cell>
          <cell r="L5668" t="str">
            <v>05-03-009-33W1</v>
          </cell>
          <cell r="O5668">
            <v>850.6</v>
          </cell>
          <cell r="Q5668">
            <v>1.29</v>
          </cell>
          <cell r="T5668">
            <v>1974.04</v>
          </cell>
        </row>
        <row r="5669">
          <cell r="G5669">
            <v>42614</v>
          </cell>
          <cell r="L5669" t="str">
            <v>06-27-006-01W2</v>
          </cell>
          <cell r="O5669">
            <v>845.6</v>
          </cell>
          <cell r="Q5669">
            <v>1.17</v>
          </cell>
          <cell r="T5669">
            <v>1820.1610000000001</v>
          </cell>
        </row>
        <row r="5670">
          <cell r="G5670">
            <v>42614</v>
          </cell>
          <cell r="L5670" t="str">
            <v>09-28-006-34W1</v>
          </cell>
          <cell r="O5670">
            <v>846.2</v>
          </cell>
          <cell r="Q5670">
            <v>1.27</v>
          </cell>
          <cell r="T5670">
            <v>1800.826</v>
          </cell>
        </row>
        <row r="5671">
          <cell r="G5671">
            <v>42614</v>
          </cell>
          <cell r="L5671" t="str">
            <v>14-30-009-33W1</v>
          </cell>
          <cell r="O5671">
            <v>858.5</v>
          </cell>
          <cell r="Q5671">
            <v>1.72</v>
          </cell>
          <cell r="T5671">
            <v>1611.902</v>
          </cell>
        </row>
        <row r="5672">
          <cell r="G5672">
            <v>42614</v>
          </cell>
          <cell r="L5672" t="str">
            <v>04-17-004-31W1</v>
          </cell>
          <cell r="O5672">
            <v>861.7</v>
          </cell>
          <cell r="Q5672">
            <v>1.74</v>
          </cell>
          <cell r="T5672">
            <v>1385.6780000000001</v>
          </cell>
        </row>
        <row r="5673">
          <cell r="G5673">
            <v>42614</v>
          </cell>
          <cell r="L5673" t="str">
            <v>14-33-003-01W2</v>
          </cell>
          <cell r="O5673">
            <v>836.6</v>
          </cell>
          <cell r="Q5673">
            <v>0.84</v>
          </cell>
          <cell r="T5673">
            <v>1262.145</v>
          </cell>
        </row>
        <row r="5674">
          <cell r="G5674">
            <v>42614</v>
          </cell>
          <cell r="L5674" t="str">
            <v>08-05-006-33W1</v>
          </cell>
          <cell r="O5674">
            <v>833.3</v>
          </cell>
          <cell r="Q5674">
            <v>0.84</v>
          </cell>
          <cell r="T5674">
            <v>1178.009</v>
          </cell>
        </row>
        <row r="5675">
          <cell r="G5675">
            <v>42614</v>
          </cell>
          <cell r="L5675" t="str">
            <v>09-27-006-05W2</v>
          </cell>
          <cell r="O5675">
            <v>868</v>
          </cell>
          <cell r="Q5675">
            <v>2.14</v>
          </cell>
          <cell r="T5675">
            <v>1155.9829999999999</v>
          </cell>
        </row>
        <row r="5676">
          <cell r="G5676">
            <v>42614</v>
          </cell>
          <cell r="L5676" t="str">
            <v>09-27-008-03W2</v>
          </cell>
          <cell r="O5676">
            <v>854</v>
          </cell>
          <cell r="Q5676">
            <v>1.56</v>
          </cell>
          <cell r="T5676">
            <v>1060.347</v>
          </cell>
        </row>
        <row r="5677">
          <cell r="G5677">
            <v>42614</v>
          </cell>
          <cell r="L5677" t="str">
            <v>10-13-006-03W2</v>
          </cell>
          <cell r="O5677">
            <v>858.9</v>
          </cell>
          <cell r="Q5677">
            <v>1.66</v>
          </cell>
          <cell r="T5677">
            <v>933.471</v>
          </cell>
        </row>
        <row r="5678">
          <cell r="G5678">
            <v>42614</v>
          </cell>
          <cell r="L5678" t="str">
            <v>15-14-009-03W2</v>
          </cell>
          <cell r="O5678">
            <v>851.8</v>
          </cell>
          <cell r="Q5678">
            <v>1.56</v>
          </cell>
          <cell r="T5678">
            <v>924.92100000000005</v>
          </cell>
        </row>
        <row r="5679">
          <cell r="G5679">
            <v>42614</v>
          </cell>
          <cell r="L5679" t="str">
            <v>10-11-006-34W1</v>
          </cell>
          <cell r="O5679">
            <v>855.3</v>
          </cell>
          <cell r="Q5679">
            <v>1.6</v>
          </cell>
          <cell r="T5679">
            <v>840.59400000000005</v>
          </cell>
        </row>
        <row r="5680">
          <cell r="G5680">
            <v>42614</v>
          </cell>
          <cell r="L5680" t="str">
            <v>16-21-003-32W1</v>
          </cell>
          <cell r="O5680">
            <v>866.2</v>
          </cell>
          <cell r="Q5680">
            <v>1.61</v>
          </cell>
          <cell r="T5680">
            <v>778.88400000000001</v>
          </cell>
        </row>
        <row r="5681">
          <cell r="G5681">
            <v>42614</v>
          </cell>
          <cell r="L5681" t="str">
            <v>07-31-001-31W1</v>
          </cell>
          <cell r="O5681">
            <v>865.9</v>
          </cell>
          <cell r="Q5681">
            <v>1.73</v>
          </cell>
          <cell r="T5681">
            <v>764.60599999999999</v>
          </cell>
        </row>
        <row r="5682">
          <cell r="G5682">
            <v>42614</v>
          </cell>
          <cell r="L5682" t="str">
            <v>11-25-001-32W1</v>
          </cell>
          <cell r="O5682">
            <v>858.1</v>
          </cell>
          <cell r="Q5682">
            <v>1.52</v>
          </cell>
          <cell r="T5682">
            <v>721.19200000000001</v>
          </cell>
        </row>
        <row r="5683">
          <cell r="G5683">
            <v>42614</v>
          </cell>
          <cell r="L5683" t="str">
            <v>05-12-002-32W1</v>
          </cell>
          <cell r="O5683">
            <v>862.8</v>
          </cell>
          <cell r="Q5683">
            <v>1.63</v>
          </cell>
          <cell r="T5683">
            <v>717.17100000000005</v>
          </cell>
        </row>
        <row r="5684">
          <cell r="G5684">
            <v>42614</v>
          </cell>
          <cell r="L5684" t="str">
            <v>09-19-009-33W1</v>
          </cell>
          <cell r="O5684">
            <v>856</v>
          </cell>
          <cell r="Q5684">
            <v>1.54</v>
          </cell>
          <cell r="T5684">
            <v>706.68700000000001</v>
          </cell>
        </row>
        <row r="5685">
          <cell r="G5685">
            <v>42614</v>
          </cell>
          <cell r="L5685" t="str">
            <v>07-12-008-04W2</v>
          </cell>
          <cell r="O5685">
            <v>855.9</v>
          </cell>
          <cell r="Q5685">
            <v>1.41</v>
          </cell>
          <cell r="T5685">
            <v>700.245</v>
          </cell>
        </row>
        <row r="5686">
          <cell r="G5686">
            <v>42614</v>
          </cell>
          <cell r="L5686" t="str">
            <v>08-35-011-04W2</v>
          </cell>
          <cell r="O5686">
            <v>860.2</v>
          </cell>
          <cell r="Q5686">
            <v>1.84</v>
          </cell>
          <cell r="T5686">
            <v>698.97699999999998</v>
          </cell>
        </row>
        <row r="5687">
          <cell r="G5687">
            <v>42614</v>
          </cell>
          <cell r="L5687" t="str">
            <v>06-24-001-34W1</v>
          </cell>
          <cell r="O5687">
            <v>846.5</v>
          </cell>
          <cell r="Q5687">
            <v>1.17</v>
          </cell>
          <cell r="T5687">
            <v>688.73900000000003</v>
          </cell>
        </row>
        <row r="5688">
          <cell r="G5688">
            <v>42614</v>
          </cell>
          <cell r="L5688" t="str">
            <v>09-02-007-05W2</v>
          </cell>
          <cell r="O5688">
            <v>860.8</v>
          </cell>
          <cell r="Q5688">
            <v>1.74</v>
          </cell>
          <cell r="T5688">
            <v>568.41899999999998</v>
          </cell>
        </row>
        <row r="5689">
          <cell r="G5689">
            <v>42614</v>
          </cell>
          <cell r="L5689" t="str">
            <v>08-32-006-01W2</v>
          </cell>
          <cell r="O5689">
            <v>845.7</v>
          </cell>
          <cell r="Q5689">
            <v>1.44</v>
          </cell>
          <cell r="T5689">
            <v>564.89400000000001</v>
          </cell>
        </row>
        <row r="5690">
          <cell r="G5690">
            <v>42614</v>
          </cell>
          <cell r="L5690" t="str">
            <v>04-14-005-33W1</v>
          </cell>
          <cell r="O5690">
            <v>839.4</v>
          </cell>
          <cell r="Q5690">
            <v>0.79</v>
          </cell>
          <cell r="T5690">
            <v>564.73800000000006</v>
          </cell>
        </row>
        <row r="5691">
          <cell r="G5691">
            <v>42614</v>
          </cell>
          <cell r="L5691" t="str">
            <v>16-24-001-34W1</v>
          </cell>
          <cell r="O5691">
            <v>860.9</v>
          </cell>
          <cell r="Q5691">
            <v>1.67</v>
          </cell>
          <cell r="T5691">
            <v>476.101</v>
          </cell>
        </row>
        <row r="5692">
          <cell r="G5692">
            <v>42614</v>
          </cell>
          <cell r="L5692" t="str">
            <v>08-26-006-02W2</v>
          </cell>
          <cell r="O5692">
            <v>849.8</v>
          </cell>
          <cell r="Q5692">
            <v>1.1299999999999999</v>
          </cell>
          <cell r="T5692">
            <v>434.12700000000001</v>
          </cell>
        </row>
        <row r="5693">
          <cell r="G5693">
            <v>42614</v>
          </cell>
          <cell r="L5693" t="str">
            <v>10-26-010-03W2</v>
          </cell>
          <cell r="O5693">
            <v>856</v>
          </cell>
          <cell r="Q5693">
            <v>1.56</v>
          </cell>
          <cell r="T5693">
            <v>431.55399999999997</v>
          </cell>
        </row>
        <row r="5694">
          <cell r="G5694">
            <v>42614</v>
          </cell>
          <cell r="L5694" t="str">
            <v>12-35-008-03W2</v>
          </cell>
          <cell r="O5694">
            <v>856.4</v>
          </cell>
          <cell r="Q5694">
            <v>1.55</v>
          </cell>
          <cell r="T5694">
            <v>422.697</v>
          </cell>
        </row>
        <row r="5695">
          <cell r="G5695">
            <v>42614</v>
          </cell>
          <cell r="L5695" t="str">
            <v>02-13-006-01W2</v>
          </cell>
          <cell r="O5695">
            <v>844</v>
          </cell>
          <cell r="Q5695">
            <v>1.19</v>
          </cell>
          <cell r="T5695">
            <v>417.87299999999999</v>
          </cell>
        </row>
        <row r="5696">
          <cell r="G5696">
            <v>42614</v>
          </cell>
          <cell r="L5696" t="str">
            <v>10-33-003-31W1</v>
          </cell>
          <cell r="O5696">
            <v>879.2</v>
          </cell>
          <cell r="Q5696">
            <v>0.88</v>
          </cell>
          <cell r="T5696">
            <v>389.96499999999997</v>
          </cell>
        </row>
        <row r="5697">
          <cell r="G5697">
            <v>42614</v>
          </cell>
          <cell r="L5697" t="str">
            <v>14-35-006-05W2</v>
          </cell>
          <cell r="O5697">
            <v>857.3</v>
          </cell>
          <cell r="Q5697">
            <v>1.61</v>
          </cell>
          <cell r="T5697">
            <v>381.55500000000001</v>
          </cell>
        </row>
        <row r="5698">
          <cell r="G5698">
            <v>42614</v>
          </cell>
          <cell r="L5698" t="str">
            <v>07-12-005-34W1</v>
          </cell>
          <cell r="O5698">
            <v>826.8</v>
          </cell>
          <cell r="Q5698">
            <v>0.64</v>
          </cell>
          <cell r="T5698">
            <v>367.745</v>
          </cell>
        </row>
        <row r="5699">
          <cell r="G5699">
            <v>42614</v>
          </cell>
          <cell r="L5699" t="str">
            <v>12-01-003-30W1</v>
          </cell>
          <cell r="O5699">
            <v>867.1</v>
          </cell>
          <cell r="Q5699">
            <v>1.68</v>
          </cell>
          <cell r="T5699">
            <v>358.20499999999998</v>
          </cell>
        </row>
        <row r="5700">
          <cell r="G5700">
            <v>42614</v>
          </cell>
          <cell r="L5700" t="str">
            <v>08-12-006-01W2</v>
          </cell>
          <cell r="O5700">
            <v>848.3</v>
          </cell>
          <cell r="Q5700">
            <v>1.29</v>
          </cell>
          <cell r="T5700">
            <v>337.85300000000001</v>
          </cell>
        </row>
        <row r="5701">
          <cell r="G5701">
            <v>42614</v>
          </cell>
          <cell r="L5701" t="str">
            <v>14-09-002-29W1</v>
          </cell>
          <cell r="O5701">
            <v>838.8</v>
          </cell>
          <cell r="Q5701">
            <v>0.81</v>
          </cell>
          <cell r="T5701">
            <v>9660.9069999999992</v>
          </cell>
        </row>
        <row r="5702">
          <cell r="G5702">
            <v>42614</v>
          </cell>
          <cell r="L5702" t="str">
            <v>13-13-007-02W2</v>
          </cell>
          <cell r="O5702">
            <v>846.6</v>
          </cell>
          <cell r="Q5702">
            <v>1.31</v>
          </cell>
          <cell r="T5702">
            <v>5041.3050000000003</v>
          </cell>
        </row>
        <row r="5703">
          <cell r="G5703">
            <v>42614</v>
          </cell>
          <cell r="L5703" t="str">
            <v>11-27-005-33W1</v>
          </cell>
          <cell r="O5703">
            <v>823.5</v>
          </cell>
          <cell r="Q5703">
            <v>0.72</v>
          </cell>
          <cell r="T5703">
            <v>4655.2920000000004</v>
          </cell>
        </row>
        <row r="5704">
          <cell r="G5704">
            <v>42614</v>
          </cell>
          <cell r="L5704" t="str">
            <v>08-36-003-34W1</v>
          </cell>
          <cell r="O5704">
            <v>845.4</v>
          </cell>
          <cell r="Q5704">
            <v>0.88</v>
          </cell>
          <cell r="T5704">
            <v>4634.67</v>
          </cell>
        </row>
        <row r="5705">
          <cell r="G5705">
            <v>42614</v>
          </cell>
          <cell r="L5705" t="str">
            <v>04-10-004-31W1</v>
          </cell>
          <cell r="O5705">
            <v>866.2</v>
          </cell>
          <cell r="Q5705">
            <v>1.79</v>
          </cell>
          <cell r="T5705">
            <v>2871.5140000000001</v>
          </cell>
        </row>
        <row r="5706">
          <cell r="G5706">
            <v>42614</v>
          </cell>
          <cell r="L5706" t="str">
            <v>05-29-005-32W1</v>
          </cell>
          <cell r="O5706">
            <v>837.5</v>
          </cell>
          <cell r="Q5706">
            <v>0.93</v>
          </cell>
          <cell r="T5706">
            <v>2814.1390000000001</v>
          </cell>
        </row>
        <row r="5707">
          <cell r="G5707">
            <v>42614</v>
          </cell>
          <cell r="L5707" t="str">
            <v>05-14-003-01W2</v>
          </cell>
          <cell r="O5707">
            <v>819.3</v>
          </cell>
          <cell r="Q5707">
            <v>0.72</v>
          </cell>
          <cell r="T5707">
            <v>2492.83</v>
          </cell>
        </row>
        <row r="5708">
          <cell r="G5708">
            <v>42614</v>
          </cell>
          <cell r="L5708" t="str">
            <v>04-05-007-33W1</v>
          </cell>
          <cell r="O5708">
            <v>843</v>
          </cell>
          <cell r="Q5708">
            <v>1.22</v>
          </cell>
          <cell r="T5708">
            <v>2449.1419999999998</v>
          </cell>
        </row>
        <row r="5709">
          <cell r="G5709">
            <v>42614</v>
          </cell>
          <cell r="L5709" t="str">
            <v>06-01-007-01W2</v>
          </cell>
          <cell r="O5709">
            <v>845.7</v>
          </cell>
          <cell r="Q5709">
            <v>1.1599999999999999</v>
          </cell>
          <cell r="T5709">
            <v>2230.27</v>
          </cell>
        </row>
        <row r="5710">
          <cell r="G5710">
            <v>42614</v>
          </cell>
          <cell r="L5710" t="str">
            <v>16-10-006-30W1</v>
          </cell>
          <cell r="O5710">
            <v>853.2</v>
          </cell>
          <cell r="Q5710">
            <v>1.41</v>
          </cell>
          <cell r="T5710">
            <v>2163.37</v>
          </cell>
        </row>
        <row r="5711">
          <cell r="G5711">
            <v>42614</v>
          </cell>
          <cell r="L5711" t="str">
            <v>02-20-006-32W1</v>
          </cell>
          <cell r="O5711">
            <v>831.8</v>
          </cell>
          <cell r="Q5711">
            <v>0.8</v>
          </cell>
          <cell r="T5711">
            <v>1978.1959999999999</v>
          </cell>
        </row>
        <row r="5712">
          <cell r="G5712">
            <v>42614</v>
          </cell>
          <cell r="L5712" t="str">
            <v>01-09-001-31W1</v>
          </cell>
          <cell r="O5712">
            <v>875.4</v>
          </cell>
          <cell r="Q5712">
            <v>2.06</v>
          </cell>
          <cell r="T5712">
            <v>1836.6849999999999</v>
          </cell>
        </row>
        <row r="5713">
          <cell r="G5713">
            <v>42614</v>
          </cell>
          <cell r="L5713" t="str">
            <v>02-14-005-32W1</v>
          </cell>
          <cell r="O5713">
            <v>836.1</v>
          </cell>
          <cell r="Q5713">
            <v>0.97</v>
          </cell>
          <cell r="T5713">
            <v>1704.826</v>
          </cell>
        </row>
        <row r="5714">
          <cell r="G5714">
            <v>42614</v>
          </cell>
          <cell r="L5714" t="str">
            <v>05-13-003-02W2</v>
          </cell>
          <cell r="O5714">
            <v>829.3</v>
          </cell>
          <cell r="Q5714">
            <v>0.56000000000000005</v>
          </cell>
          <cell r="T5714">
            <v>1608.9860000000001</v>
          </cell>
        </row>
        <row r="5715">
          <cell r="G5715">
            <v>42614</v>
          </cell>
          <cell r="L5715" t="str">
            <v>14-28-002-34W1</v>
          </cell>
          <cell r="O5715">
            <v>830.6</v>
          </cell>
          <cell r="Q5715">
            <v>0.78</v>
          </cell>
          <cell r="T5715">
            <v>1500.7629999999999</v>
          </cell>
        </row>
        <row r="5716">
          <cell r="G5716">
            <v>42614</v>
          </cell>
          <cell r="L5716" t="str">
            <v>08-33-005-03W2</v>
          </cell>
          <cell r="O5716">
            <v>844.2</v>
          </cell>
          <cell r="Q5716">
            <v>1.07</v>
          </cell>
          <cell r="T5716">
            <v>1320.748</v>
          </cell>
        </row>
        <row r="5717">
          <cell r="G5717">
            <v>42614</v>
          </cell>
          <cell r="L5717" t="str">
            <v>16-13-004-32W1</v>
          </cell>
          <cell r="O5717">
            <v>855.3</v>
          </cell>
          <cell r="Q5717">
            <v>1.33</v>
          </cell>
          <cell r="T5717">
            <v>1220.9359999999999</v>
          </cell>
        </row>
        <row r="5718">
          <cell r="G5718">
            <v>42614</v>
          </cell>
          <cell r="L5718" t="str">
            <v>12-23-005-31W1</v>
          </cell>
          <cell r="O5718">
            <v>843.9</v>
          </cell>
          <cell r="Q5718">
            <v>1.08</v>
          </cell>
          <cell r="T5718">
            <v>1208.058</v>
          </cell>
        </row>
        <row r="5719">
          <cell r="G5719">
            <v>42614</v>
          </cell>
          <cell r="L5719" t="str">
            <v>04-33-006-01W2</v>
          </cell>
          <cell r="O5719">
            <v>847.8</v>
          </cell>
          <cell r="Q5719">
            <v>1.39</v>
          </cell>
          <cell r="T5719">
            <v>1165.4469999999999</v>
          </cell>
        </row>
        <row r="5720">
          <cell r="G5720">
            <v>42614</v>
          </cell>
          <cell r="L5720" t="str">
            <v>09-33-006-05W2</v>
          </cell>
          <cell r="O5720">
            <v>861.3</v>
          </cell>
          <cell r="Q5720">
            <v>1.74</v>
          </cell>
          <cell r="T5720">
            <v>1046.136</v>
          </cell>
        </row>
        <row r="5721">
          <cell r="G5721">
            <v>42614</v>
          </cell>
          <cell r="L5721" t="str">
            <v>13-34-006-05W2</v>
          </cell>
          <cell r="O5721">
            <v>864.6</v>
          </cell>
          <cell r="Q5721">
            <v>1.93</v>
          </cell>
          <cell r="T5721">
            <v>1019.043</v>
          </cell>
        </row>
        <row r="5722">
          <cell r="G5722">
            <v>42614</v>
          </cell>
          <cell r="L5722" t="str">
            <v>02-02-006-03W2</v>
          </cell>
          <cell r="O5722">
            <v>848.6</v>
          </cell>
          <cell r="Q5722">
            <v>1.31</v>
          </cell>
          <cell r="T5722">
            <v>1003.075</v>
          </cell>
        </row>
        <row r="5723">
          <cell r="G5723">
            <v>42614</v>
          </cell>
          <cell r="L5723" t="str">
            <v>11-28-006-05W2</v>
          </cell>
          <cell r="O5723">
            <v>857.7</v>
          </cell>
          <cell r="Q5723">
            <v>1.51</v>
          </cell>
          <cell r="T5723">
            <v>991.32899999999995</v>
          </cell>
        </row>
        <row r="5724">
          <cell r="G5724">
            <v>42614</v>
          </cell>
          <cell r="L5724" t="str">
            <v>14-33-003-01W2</v>
          </cell>
          <cell r="O5724">
            <v>840</v>
          </cell>
          <cell r="Q5724">
            <v>0.87</v>
          </cell>
          <cell r="T5724">
            <v>986.54899999999998</v>
          </cell>
        </row>
        <row r="5725">
          <cell r="G5725">
            <v>42614</v>
          </cell>
          <cell r="L5725" t="str">
            <v>02-15-006-01W2</v>
          </cell>
          <cell r="O5725">
            <v>844.3</v>
          </cell>
          <cell r="Q5725">
            <v>1.25</v>
          </cell>
          <cell r="T5725">
            <v>967.12199999999996</v>
          </cell>
        </row>
        <row r="5726">
          <cell r="G5726">
            <v>42614</v>
          </cell>
          <cell r="L5726" t="str">
            <v>06-02-008-02W2</v>
          </cell>
          <cell r="O5726">
            <v>854.6</v>
          </cell>
          <cell r="Q5726">
            <v>1.6</v>
          </cell>
          <cell r="T5726">
            <v>917.90200000000004</v>
          </cell>
        </row>
        <row r="5727">
          <cell r="G5727">
            <v>42614</v>
          </cell>
          <cell r="L5727" t="str">
            <v>13-11-004-02W2</v>
          </cell>
          <cell r="O5727">
            <v>843.4</v>
          </cell>
          <cell r="Q5727">
            <v>1.2</v>
          </cell>
          <cell r="T5727">
            <v>820.87800000000004</v>
          </cell>
        </row>
        <row r="5728">
          <cell r="G5728">
            <v>42614</v>
          </cell>
          <cell r="L5728" t="str">
            <v>02-14-010-01W2</v>
          </cell>
          <cell r="O5728">
            <v>855.5</v>
          </cell>
          <cell r="Q5728">
            <v>1.7</v>
          </cell>
          <cell r="T5728">
            <v>729.25199999999995</v>
          </cell>
        </row>
        <row r="5729">
          <cell r="G5729">
            <v>42614</v>
          </cell>
          <cell r="L5729" t="str">
            <v>10-33-004-32W1</v>
          </cell>
          <cell r="O5729">
            <v>838.1</v>
          </cell>
          <cell r="Q5729">
            <v>0.99</v>
          </cell>
          <cell r="T5729">
            <v>693.529</v>
          </cell>
        </row>
        <row r="5730">
          <cell r="G5730">
            <v>42614</v>
          </cell>
          <cell r="L5730" t="str">
            <v>14-26-002-30W1</v>
          </cell>
          <cell r="O5730">
            <v>865.7</v>
          </cell>
          <cell r="Q5730">
            <v>2.02</v>
          </cell>
          <cell r="T5730">
            <v>652.904</v>
          </cell>
        </row>
        <row r="5731">
          <cell r="G5731">
            <v>42614</v>
          </cell>
          <cell r="L5731" t="str">
            <v>10-11-004-34W1</v>
          </cell>
          <cell r="O5731">
            <v>834</v>
          </cell>
          <cell r="Q5731">
            <v>0.73</v>
          </cell>
          <cell r="T5731">
            <v>605.44299999999998</v>
          </cell>
        </row>
        <row r="5732">
          <cell r="G5732">
            <v>42614</v>
          </cell>
          <cell r="L5732" t="str">
            <v>08-13-006-33W1</v>
          </cell>
          <cell r="O5732">
            <v>842.8</v>
          </cell>
          <cell r="Q5732">
            <v>0.89</v>
          </cell>
          <cell r="T5732">
            <v>580.05899999999997</v>
          </cell>
        </row>
        <row r="5733">
          <cell r="G5733">
            <v>42614</v>
          </cell>
          <cell r="L5733" t="str">
            <v>02-12-010-02W2</v>
          </cell>
          <cell r="O5733">
            <v>857.2</v>
          </cell>
          <cell r="Q5733">
            <v>1.64</v>
          </cell>
          <cell r="T5733">
            <v>519.78300000000002</v>
          </cell>
        </row>
        <row r="5734">
          <cell r="G5734">
            <v>42614</v>
          </cell>
          <cell r="L5734" t="str">
            <v>06-04-006-33W1</v>
          </cell>
          <cell r="O5734">
            <v>838.3</v>
          </cell>
          <cell r="Q5734">
            <v>0.82</v>
          </cell>
          <cell r="T5734">
            <v>483.16399999999999</v>
          </cell>
        </row>
        <row r="5735">
          <cell r="G5735">
            <v>42614</v>
          </cell>
          <cell r="L5735" t="str">
            <v>14-20-005-33W1</v>
          </cell>
          <cell r="O5735">
            <v>832.3</v>
          </cell>
          <cell r="Q5735">
            <v>0.67</v>
          </cell>
          <cell r="T5735">
            <v>446.79599999999999</v>
          </cell>
        </row>
        <row r="5736">
          <cell r="G5736">
            <v>42614</v>
          </cell>
          <cell r="L5736" t="str">
            <v>02-16-010-02W2</v>
          </cell>
          <cell r="O5736">
            <v>860.5</v>
          </cell>
          <cell r="Q5736">
            <v>1.69</v>
          </cell>
          <cell r="T5736">
            <v>396.24099999999999</v>
          </cell>
        </row>
        <row r="5737">
          <cell r="G5737">
            <v>42614</v>
          </cell>
          <cell r="L5737" t="str">
            <v>15-26-007-04W2</v>
          </cell>
          <cell r="O5737">
            <v>853.4</v>
          </cell>
          <cell r="Q5737">
            <v>1.4</v>
          </cell>
          <cell r="T5737">
            <v>362.30399999999997</v>
          </cell>
        </row>
        <row r="5738">
          <cell r="G5738">
            <v>42614</v>
          </cell>
          <cell r="L5738" t="str">
            <v>02-10-003-01W2</v>
          </cell>
          <cell r="O5738">
            <v>827.8</v>
          </cell>
          <cell r="Q5738">
            <v>0.5</v>
          </cell>
          <cell r="T5738">
            <v>352.96199999999999</v>
          </cell>
        </row>
        <row r="5739">
          <cell r="G5739">
            <v>42614</v>
          </cell>
          <cell r="L5739" t="str">
            <v>01-01-006-06W2</v>
          </cell>
          <cell r="O5739">
            <v>850.8</v>
          </cell>
          <cell r="Q5739">
            <v>1.19</v>
          </cell>
          <cell r="T5739">
            <v>379.94</v>
          </cell>
        </row>
        <row r="5740">
          <cell r="G5740">
            <v>42614</v>
          </cell>
          <cell r="L5740" t="str">
            <v>07-18-005-04W2</v>
          </cell>
          <cell r="O5740">
            <v>858.3</v>
          </cell>
          <cell r="Q5740">
            <v>1.38</v>
          </cell>
          <cell r="T5740">
            <v>411.851</v>
          </cell>
        </row>
        <row r="5741">
          <cell r="G5741">
            <v>42614</v>
          </cell>
          <cell r="L5741" t="str">
            <v>09-08-004-03W2</v>
          </cell>
          <cell r="O5741">
            <v>851.7</v>
          </cell>
          <cell r="Q5741">
            <v>1.42</v>
          </cell>
          <cell r="T5741">
            <v>8083.5739999999996</v>
          </cell>
        </row>
        <row r="5742">
          <cell r="G5742">
            <v>42614</v>
          </cell>
          <cell r="L5742" t="str">
            <v>03-15-004-06W2</v>
          </cell>
          <cell r="O5742">
            <v>854.6</v>
          </cell>
          <cell r="Q5742">
            <v>1.22</v>
          </cell>
          <cell r="T5742">
            <v>4993.4059999999999</v>
          </cell>
        </row>
        <row r="5743">
          <cell r="G5743">
            <v>42614</v>
          </cell>
          <cell r="L5743" t="str">
            <v>05-07-005-03W2</v>
          </cell>
          <cell r="O5743">
            <v>849.5</v>
          </cell>
          <cell r="Q5743">
            <v>1.24</v>
          </cell>
          <cell r="T5743">
            <v>3335.5949999999998</v>
          </cell>
        </row>
        <row r="5744">
          <cell r="G5744">
            <v>42614</v>
          </cell>
          <cell r="L5744" t="str">
            <v>07-35-004-04W2</v>
          </cell>
          <cell r="O5744">
            <v>854.8</v>
          </cell>
          <cell r="Q5744">
            <v>1.41</v>
          </cell>
          <cell r="T5744">
            <v>2610.9569999999999</v>
          </cell>
        </row>
        <row r="5745">
          <cell r="G5745">
            <v>42614</v>
          </cell>
          <cell r="L5745" t="str">
            <v>16-30-004-08W2</v>
          </cell>
          <cell r="O5745">
            <v>883.9</v>
          </cell>
          <cell r="Q5745">
            <v>2.0699999999999998</v>
          </cell>
          <cell r="T5745">
            <v>2362.4690000000001</v>
          </cell>
        </row>
        <row r="5746">
          <cell r="G5746">
            <v>42614</v>
          </cell>
          <cell r="L5746" t="str">
            <v>14-30-001-04W2</v>
          </cell>
          <cell r="O5746">
            <v>835.9</v>
          </cell>
          <cell r="Q5746">
            <v>0.56000000000000005</v>
          </cell>
          <cell r="T5746">
            <v>2019.8140000000001</v>
          </cell>
        </row>
        <row r="5747">
          <cell r="G5747">
            <v>42614</v>
          </cell>
          <cell r="L5747" t="str">
            <v>16-33-005-06W2</v>
          </cell>
          <cell r="O5747">
            <v>865.7</v>
          </cell>
          <cell r="Q5747">
            <v>2.25</v>
          </cell>
          <cell r="T5747">
            <v>2019.2950000000001</v>
          </cell>
        </row>
        <row r="5748">
          <cell r="G5748">
            <v>42614</v>
          </cell>
          <cell r="L5748" t="str">
            <v>09-33-005-05W2</v>
          </cell>
          <cell r="O5748">
            <v>848.6</v>
          </cell>
          <cell r="Q5748">
            <v>1.02</v>
          </cell>
          <cell r="T5748">
            <v>1477.489</v>
          </cell>
        </row>
        <row r="5749">
          <cell r="G5749">
            <v>42614</v>
          </cell>
          <cell r="L5749" t="str">
            <v>06-27-004-06W2</v>
          </cell>
          <cell r="O5749">
            <v>831.7</v>
          </cell>
          <cell r="Q5749">
            <v>0.68</v>
          </cell>
          <cell r="T5749">
            <v>1450.0889999999999</v>
          </cell>
        </row>
        <row r="5750">
          <cell r="G5750">
            <v>42614</v>
          </cell>
          <cell r="L5750" t="str">
            <v>11-02-005-04W2</v>
          </cell>
          <cell r="O5750">
            <v>852.4</v>
          </cell>
          <cell r="Q5750">
            <v>1.4</v>
          </cell>
          <cell r="T5750">
            <v>1384.4870000000001</v>
          </cell>
        </row>
        <row r="5751">
          <cell r="G5751">
            <v>42614</v>
          </cell>
          <cell r="L5751" t="str">
            <v>06-24-004-09W2</v>
          </cell>
          <cell r="O5751">
            <v>877.3</v>
          </cell>
          <cell r="Q5751">
            <v>1.81</v>
          </cell>
          <cell r="T5751">
            <v>1239.241</v>
          </cell>
        </row>
        <row r="5752">
          <cell r="G5752">
            <v>42614</v>
          </cell>
          <cell r="L5752" t="str">
            <v>10-22-004-07W2</v>
          </cell>
          <cell r="O5752">
            <v>885.5</v>
          </cell>
          <cell r="Q5752">
            <v>2</v>
          </cell>
          <cell r="T5752">
            <v>848.81100000000004</v>
          </cell>
        </row>
        <row r="5753">
          <cell r="G5753">
            <v>42614</v>
          </cell>
          <cell r="L5753" t="str">
            <v>14-13-001-05W2</v>
          </cell>
          <cell r="O5753">
            <v>821.7</v>
          </cell>
          <cell r="Q5753">
            <v>0.51</v>
          </cell>
          <cell r="T5753">
            <v>22496.763999999999</v>
          </cell>
        </row>
        <row r="5754">
          <cell r="G5754">
            <v>42614</v>
          </cell>
          <cell r="L5754" t="str">
            <v>05-20-004-04W2</v>
          </cell>
          <cell r="O5754">
            <v>826.6</v>
          </cell>
          <cell r="Q5754">
            <v>1.59</v>
          </cell>
          <cell r="T5754">
            <v>4785.7820000000002</v>
          </cell>
        </row>
        <row r="5755">
          <cell r="G5755">
            <v>42614</v>
          </cell>
          <cell r="L5755" t="str">
            <v>05-10-006-05W2</v>
          </cell>
          <cell r="O5755">
            <v>862.4</v>
          </cell>
          <cell r="Q5755">
            <v>1.55</v>
          </cell>
          <cell r="T5755">
            <v>3622.7089999999998</v>
          </cell>
        </row>
        <row r="5756">
          <cell r="G5756">
            <v>42614</v>
          </cell>
          <cell r="L5756" t="str">
            <v>05-24-005-04W2</v>
          </cell>
          <cell r="O5756">
            <v>858.9</v>
          </cell>
          <cell r="Q5756">
            <v>1.51</v>
          </cell>
          <cell r="T5756">
            <v>2004.13</v>
          </cell>
        </row>
        <row r="5757">
          <cell r="G5757">
            <v>42614</v>
          </cell>
          <cell r="L5757" t="str">
            <v>07-08-004-05W2</v>
          </cell>
          <cell r="O5757">
            <v>839.1</v>
          </cell>
          <cell r="Q5757">
            <v>0.95</v>
          </cell>
          <cell r="T5757">
            <v>1790.941</v>
          </cell>
        </row>
        <row r="5758">
          <cell r="G5758">
            <v>42614</v>
          </cell>
          <cell r="L5758" t="str">
            <v>02-13-006-06W2</v>
          </cell>
          <cell r="O5758">
            <v>847.6</v>
          </cell>
          <cell r="Q5758">
            <v>1.48</v>
          </cell>
          <cell r="T5758">
            <v>1612.972</v>
          </cell>
        </row>
        <row r="5759">
          <cell r="G5759">
            <v>42614</v>
          </cell>
          <cell r="L5759" t="str">
            <v>11-16-005-04W2</v>
          </cell>
          <cell r="O5759">
            <v>854.6</v>
          </cell>
          <cell r="Q5759">
            <v>1.1100000000000001</v>
          </cell>
          <cell r="T5759">
            <v>1533.6679999999999</v>
          </cell>
        </row>
        <row r="5760">
          <cell r="G5760">
            <v>42614</v>
          </cell>
          <cell r="L5760" t="str">
            <v>05-34-005-06W2</v>
          </cell>
          <cell r="O5760">
            <v>866</v>
          </cell>
          <cell r="Q5760">
            <v>2.0299999999999998</v>
          </cell>
          <cell r="T5760">
            <v>1533.318</v>
          </cell>
        </row>
        <row r="5761">
          <cell r="G5761">
            <v>42614</v>
          </cell>
          <cell r="L5761" t="str">
            <v>01-17-005-08W2</v>
          </cell>
          <cell r="O5761">
            <v>889.2</v>
          </cell>
          <cell r="Q5761">
            <v>2.29</v>
          </cell>
          <cell r="T5761">
            <v>1265.8679999999999</v>
          </cell>
        </row>
        <row r="5762">
          <cell r="G5762">
            <v>42614</v>
          </cell>
          <cell r="L5762" t="str">
            <v>09-27-004-05W2</v>
          </cell>
          <cell r="O5762">
            <v>852.5</v>
          </cell>
          <cell r="Q5762">
            <v>1.4</v>
          </cell>
          <cell r="T5762">
            <v>1127.586</v>
          </cell>
        </row>
        <row r="5763">
          <cell r="G5763">
            <v>42614</v>
          </cell>
          <cell r="L5763" t="str">
            <v>11-28-005-06W2</v>
          </cell>
          <cell r="O5763">
            <v>880.4</v>
          </cell>
          <cell r="Q5763">
            <v>2.27</v>
          </cell>
          <cell r="T5763">
            <v>1094.529</v>
          </cell>
        </row>
        <row r="5764">
          <cell r="G5764">
            <v>42614</v>
          </cell>
          <cell r="L5764" t="str">
            <v>03-29-003-04W2</v>
          </cell>
          <cell r="O5764">
            <v>838.5</v>
          </cell>
          <cell r="Q5764">
            <v>0.84</v>
          </cell>
          <cell r="T5764">
            <v>1086.502</v>
          </cell>
        </row>
        <row r="5765">
          <cell r="G5765">
            <v>42614</v>
          </cell>
          <cell r="L5765" t="str">
            <v>09-10-005-04W2</v>
          </cell>
          <cell r="O5765">
            <v>855.2</v>
          </cell>
          <cell r="Q5765">
            <v>1.22</v>
          </cell>
          <cell r="T5765">
            <v>849.029</v>
          </cell>
        </row>
        <row r="5766">
          <cell r="G5766">
            <v>42614</v>
          </cell>
          <cell r="L5766" t="str">
            <v>08-22-004-09W2</v>
          </cell>
          <cell r="O5766">
            <v>886.1</v>
          </cell>
          <cell r="Q5766">
            <v>2.1</v>
          </cell>
          <cell r="T5766">
            <v>823.79499999999996</v>
          </cell>
        </row>
        <row r="5767">
          <cell r="G5767">
            <v>42614</v>
          </cell>
          <cell r="L5767" t="str">
            <v>08-14-004-07W2</v>
          </cell>
          <cell r="O5767">
            <v>869.9</v>
          </cell>
          <cell r="Q5767">
            <v>1.58</v>
          </cell>
          <cell r="T5767">
            <v>807.94399999999996</v>
          </cell>
        </row>
        <row r="5768">
          <cell r="G5768">
            <v>42614</v>
          </cell>
          <cell r="L5768" t="str">
            <v>13-30-005-05W2</v>
          </cell>
          <cell r="O5768">
            <v>849.6</v>
          </cell>
          <cell r="Q5768">
            <v>1.1000000000000001</v>
          </cell>
          <cell r="T5768">
            <v>721.04700000000003</v>
          </cell>
        </row>
        <row r="5769">
          <cell r="G5769">
            <v>42614</v>
          </cell>
          <cell r="L5769" t="str">
            <v>07-27-007-06W2</v>
          </cell>
          <cell r="O5769">
            <v>814.7</v>
          </cell>
          <cell r="Q5769">
            <v>0.21</v>
          </cell>
          <cell r="T5769">
            <v>602.97799999999995</v>
          </cell>
        </row>
        <row r="5770">
          <cell r="G5770">
            <v>42614</v>
          </cell>
          <cell r="L5770" t="str">
            <v>11-31-005-11W2</v>
          </cell>
          <cell r="O5770">
            <v>875.2</v>
          </cell>
          <cell r="Q5770">
            <v>1.73</v>
          </cell>
          <cell r="T5770">
            <v>1608.377</v>
          </cell>
        </row>
        <row r="5771">
          <cell r="G5771">
            <v>42614</v>
          </cell>
          <cell r="L5771" t="str">
            <v>09-02-006-07W2</v>
          </cell>
          <cell r="O5771">
            <v>887.3</v>
          </cell>
          <cell r="Q5771">
            <v>1.97</v>
          </cell>
          <cell r="T5771">
            <v>1198.7349999999999</v>
          </cell>
        </row>
        <row r="5772">
          <cell r="G5772">
            <v>42614</v>
          </cell>
          <cell r="L5772" t="str">
            <v>16-27-001-16W2</v>
          </cell>
          <cell r="O5772">
            <v>814.7</v>
          </cell>
          <cell r="Q5772">
            <v>0.43</v>
          </cell>
          <cell r="T5772">
            <v>1099.047</v>
          </cell>
        </row>
        <row r="5773">
          <cell r="G5773">
            <v>42614</v>
          </cell>
          <cell r="L5773" t="str">
            <v>13-06-007-11W2</v>
          </cell>
          <cell r="O5773">
            <v>862.5</v>
          </cell>
          <cell r="Q5773">
            <v>2.08</v>
          </cell>
          <cell r="T5773">
            <v>971.04200000000003</v>
          </cell>
        </row>
        <row r="5774">
          <cell r="G5774">
            <v>42614</v>
          </cell>
          <cell r="L5774" t="str">
            <v>14-27-005-12W2</v>
          </cell>
          <cell r="O5774">
            <v>876.5</v>
          </cell>
          <cell r="Q5774">
            <v>1.98</v>
          </cell>
          <cell r="T5774">
            <v>953.351</v>
          </cell>
        </row>
        <row r="5775">
          <cell r="G5775">
            <v>42614</v>
          </cell>
          <cell r="L5775" t="str">
            <v>16-05-005-08W2</v>
          </cell>
          <cell r="O5775">
            <v>888.1</v>
          </cell>
          <cell r="Q5775">
            <v>2.0699999999999998</v>
          </cell>
          <cell r="T5775">
            <v>837.92100000000005</v>
          </cell>
        </row>
        <row r="5776">
          <cell r="G5776">
            <v>42614</v>
          </cell>
          <cell r="L5776" t="str">
            <v>01-18-004-08W2</v>
          </cell>
          <cell r="O5776">
            <v>890.5</v>
          </cell>
          <cell r="Q5776">
            <v>2.36</v>
          </cell>
          <cell r="T5776">
            <v>774.26400000000001</v>
          </cell>
        </row>
        <row r="5777">
          <cell r="G5777">
            <v>42614</v>
          </cell>
          <cell r="L5777" t="str">
            <v>13-09-002-11W2</v>
          </cell>
          <cell r="O5777">
            <v>827.3</v>
          </cell>
          <cell r="Q5777">
            <v>0.17</v>
          </cell>
          <cell r="T5777">
            <v>555.99599999999998</v>
          </cell>
        </row>
        <row r="5778">
          <cell r="G5778">
            <v>42614</v>
          </cell>
          <cell r="L5778" t="str">
            <v>14-22-004-08W2</v>
          </cell>
          <cell r="O5778">
            <v>876.7</v>
          </cell>
          <cell r="Q5778">
            <v>2.0299999999999998</v>
          </cell>
          <cell r="T5778">
            <v>529.79499999999996</v>
          </cell>
        </row>
        <row r="5779">
          <cell r="G5779">
            <v>42614</v>
          </cell>
          <cell r="L5779" t="str">
            <v>15-11-005-09W2</v>
          </cell>
          <cell r="O5779">
            <v>881.5</v>
          </cell>
          <cell r="Q5779">
            <v>2.21</v>
          </cell>
          <cell r="T5779">
            <v>504.82299999999998</v>
          </cell>
        </row>
        <row r="5780">
          <cell r="G5780">
            <v>42614</v>
          </cell>
          <cell r="L5780" t="str">
            <v>11-14-007-08W2</v>
          </cell>
          <cell r="O5780">
            <v>848.6</v>
          </cell>
          <cell r="Q5780">
            <v>1.38</v>
          </cell>
          <cell r="T5780">
            <v>456.88099999999997</v>
          </cell>
        </row>
        <row r="5781">
          <cell r="G5781">
            <v>42614</v>
          </cell>
          <cell r="L5781" t="str">
            <v>15-36-001-12W2</v>
          </cell>
          <cell r="O5781">
            <v>816.6</v>
          </cell>
          <cell r="Q5781">
            <v>0.14000000000000001</v>
          </cell>
          <cell r="T5781">
            <v>442.64100000000002</v>
          </cell>
        </row>
        <row r="5782">
          <cell r="G5782">
            <v>42614</v>
          </cell>
          <cell r="L5782" t="str">
            <v>12-20-005-12W2</v>
          </cell>
          <cell r="O5782">
            <v>884.3</v>
          </cell>
          <cell r="Q5782">
            <v>2.38</v>
          </cell>
          <cell r="T5782">
            <v>405.67399999999998</v>
          </cell>
        </row>
        <row r="5783">
          <cell r="G5783">
            <v>42614</v>
          </cell>
          <cell r="L5783" t="str">
            <v>15-33-013-13W2</v>
          </cell>
          <cell r="O5783">
            <v>865.2</v>
          </cell>
          <cell r="Q5783">
            <v>0.51</v>
          </cell>
          <cell r="T5783">
            <v>387.31799999999998</v>
          </cell>
        </row>
        <row r="5784">
          <cell r="G5784">
            <v>42614</v>
          </cell>
          <cell r="L5784" t="str">
            <v>16-09-007-11W2</v>
          </cell>
          <cell r="O5784">
            <v>823.4</v>
          </cell>
          <cell r="Q5784">
            <v>1.98</v>
          </cell>
          <cell r="T5784">
            <v>368.99099999999999</v>
          </cell>
        </row>
        <row r="5785">
          <cell r="G5785">
            <v>42614</v>
          </cell>
          <cell r="L5785" t="str">
            <v>04-35-004-09W2</v>
          </cell>
          <cell r="O5785">
            <v>890.7</v>
          </cell>
          <cell r="Q5785">
            <v>1.92</v>
          </cell>
          <cell r="T5785">
            <v>354.72300000000001</v>
          </cell>
        </row>
        <row r="5786">
          <cell r="G5786">
            <v>42614</v>
          </cell>
          <cell r="L5786" t="str">
            <v>13-33-006-09W2</v>
          </cell>
          <cell r="O5786">
            <v>884.3</v>
          </cell>
          <cell r="Q5786">
            <v>2.42</v>
          </cell>
          <cell r="T5786">
            <v>348.36200000000002</v>
          </cell>
        </row>
        <row r="5787">
          <cell r="G5787">
            <v>42614</v>
          </cell>
          <cell r="L5787" t="str">
            <v>03-08-001-11W2</v>
          </cell>
          <cell r="O5787">
            <v>816.4</v>
          </cell>
          <cell r="Q5787">
            <v>0.32</v>
          </cell>
          <cell r="T5787">
            <v>337.31599999999997</v>
          </cell>
        </row>
        <row r="5788">
          <cell r="G5788">
            <v>42614</v>
          </cell>
          <cell r="L5788" t="str">
            <v>15-29-007-13W2</v>
          </cell>
          <cell r="O5788">
            <v>852.3</v>
          </cell>
          <cell r="Q5788">
            <v>1.85</v>
          </cell>
          <cell r="T5788">
            <v>333.81700000000001</v>
          </cell>
        </row>
        <row r="5789">
          <cell r="G5789">
            <v>42614</v>
          </cell>
          <cell r="L5789" t="str">
            <v>04-27-004-08W2</v>
          </cell>
          <cell r="O5789">
            <v>883.2</v>
          </cell>
          <cell r="Q5789">
            <v>2.14</v>
          </cell>
          <cell r="T5789">
            <v>329.90899999999999</v>
          </cell>
        </row>
        <row r="5790">
          <cell r="G5790">
            <v>42614</v>
          </cell>
          <cell r="L5790" t="str">
            <v>03-18-007-09W2</v>
          </cell>
          <cell r="O5790">
            <v>823</v>
          </cell>
          <cell r="Q5790">
            <v>0.59</v>
          </cell>
          <cell r="T5790">
            <v>297.84699999999998</v>
          </cell>
        </row>
        <row r="5791">
          <cell r="G5791">
            <v>42614</v>
          </cell>
          <cell r="L5791" t="str">
            <v>04-23-012-06W2</v>
          </cell>
          <cell r="O5791">
            <v>895.7</v>
          </cell>
          <cell r="Q5791">
            <v>2.52</v>
          </cell>
          <cell r="T5791">
            <v>284.33999999999997</v>
          </cell>
        </row>
        <row r="5792">
          <cell r="G5792">
            <v>42614</v>
          </cell>
          <cell r="L5792" t="str">
            <v>01-10-008-15W2</v>
          </cell>
          <cell r="O5792">
            <v>865</v>
          </cell>
          <cell r="Q5792">
            <v>2.21</v>
          </cell>
          <cell r="T5792">
            <v>273.98399999999998</v>
          </cell>
        </row>
        <row r="5793">
          <cell r="G5793">
            <v>42614</v>
          </cell>
          <cell r="L5793" t="str">
            <v>04-13-004-10W2</v>
          </cell>
          <cell r="O5793">
            <v>882.6</v>
          </cell>
          <cell r="Q5793">
            <v>2.04</v>
          </cell>
          <cell r="T5793">
            <v>259.51900000000001</v>
          </cell>
        </row>
        <row r="5794">
          <cell r="G5794">
            <v>42614</v>
          </cell>
          <cell r="L5794" t="str">
            <v>02-13-004-12W2</v>
          </cell>
          <cell r="O5794">
            <v>879.8</v>
          </cell>
          <cell r="Q5794">
            <v>1.99</v>
          </cell>
          <cell r="T5794">
            <v>252.19399999999999</v>
          </cell>
        </row>
        <row r="5795">
          <cell r="G5795">
            <v>42614</v>
          </cell>
          <cell r="L5795" t="str">
            <v>14-20-004-10W2</v>
          </cell>
          <cell r="O5795">
            <v>889.9</v>
          </cell>
          <cell r="Q5795">
            <v>2.14</v>
          </cell>
          <cell r="T5795">
            <v>229.501</v>
          </cell>
        </row>
        <row r="5796">
          <cell r="G5796">
            <v>42614</v>
          </cell>
          <cell r="L5796" t="str">
            <v>16-19-001-15W2</v>
          </cell>
          <cell r="O5796">
            <v>807.3</v>
          </cell>
          <cell r="Q5796">
            <v>0.37</v>
          </cell>
          <cell r="T5796">
            <v>205.76</v>
          </cell>
        </row>
        <row r="5797">
          <cell r="G5797">
            <v>42614</v>
          </cell>
          <cell r="L5797" t="str">
            <v>01-36-006-12W2</v>
          </cell>
          <cell r="O5797">
            <v>892.2</v>
          </cell>
          <cell r="Q5797">
            <v>2.63</v>
          </cell>
          <cell r="T5797">
            <v>196.41800000000001</v>
          </cell>
        </row>
        <row r="5798">
          <cell r="G5798">
            <v>42614</v>
          </cell>
          <cell r="L5798" t="str">
            <v>04-16-004-21W2</v>
          </cell>
          <cell r="O5798">
            <v>815.5</v>
          </cell>
          <cell r="Q5798">
            <v>0.21</v>
          </cell>
          <cell r="T5798">
            <v>182.25700000000001</v>
          </cell>
        </row>
        <row r="5799">
          <cell r="G5799">
            <v>42614</v>
          </cell>
          <cell r="L5799" t="str">
            <v>09-06-010-15W2</v>
          </cell>
          <cell r="O5799">
            <v>867.3</v>
          </cell>
          <cell r="Q5799">
            <v>0.13</v>
          </cell>
          <cell r="T5799">
            <v>179.101</v>
          </cell>
        </row>
        <row r="5800">
          <cell r="G5800">
            <v>42614</v>
          </cell>
          <cell r="L5800" t="str">
            <v>12-27-006-13W2</v>
          </cell>
          <cell r="O5800">
            <v>850.4</v>
          </cell>
          <cell r="Q5800">
            <v>0.18</v>
          </cell>
          <cell r="T5800">
            <v>174.578</v>
          </cell>
        </row>
        <row r="5801">
          <cell r="G5801">
            <v>42614</v>
          </cell>
          <cell r="L5801" t="str">
            <v>16-06-005-12W2</v>
          </cell>
          <cell r="O5801">
            <v>879.6</v>
          </cell>
          <cell r="Q5801">
            <v>2</v>
          </cell>
          <cell r="T5801">
            <v>168.16499999999999</v>
          </cell>
        </row>
        <row r="5802">
          <cell r="G5802">
            <v>42614</v>
          </cell>
          <cell r="L5802" t="str">
            <v>09-11-007-14W2</v>
          </cell>
          <cell r="O5802">
            <v>843.6</v>
          </cell>
          <cell r="Q5802">
            <v>1.55</v>
          </cell>
          <cell r="T5802">
            <v>164.23699999999999</v>
          </cell>
        </row>
        <row r="5803">
          <cell r="G5803">
            <v>42614</v>
          </cell>
          <cell r="L5803" t="str">
            <v>04-18-007-09W2</v>
          </cell>
          <cell r="O5803">
            <v>819.3</v>
          </cell>
          <cell r="Q5803">
            <v>0.19</v>
          </cell>
          <cell r="T5803">
            <v>155.476</v>
          </cell>
        </row>
        <row r="5804">
          <cell r="G5804">
            <v>42614</v>
          </cell>
          <cell r="L5804" t="str">
            <v>06-18-006-12W2</v>
          </cell>
          <cell r="O5804">
            <v>879.5</v>
          </cell>
          <cell r="Q5804">
            <v>2.58</v>
          </cell>
          <cell r="T5804">
            <v>136.114</v>
          </cell>
        </row>
        <row r="5805">
          <cell r="G5805">
            <v>42614</v>
          </cell>
          <cell r="L5805" t="str">
            <v>07-02-007-12W2</v>
          </cell>
          <cell r="O5805">
            <v>857.3</v>
          </cell>
          <cell r="Q5805">
            <v>1.83</v>
          </cell>
          <cell r="T5805">
            <v>135.74299999999999</v>
          </cell>
        </row>
        <row r="5806">
          <cell r="G5806">
            <v>42614</v>
          </cell>
          <cell r="L5806" t="str">
            <v>16-29-006-12W2</v>
          </cell>
          <cell r="O5806">
            <v>861.6</v>
          </cell>
          <cell r="Q5806">
            <v>1.56</v>
          </cell>
          <cell r="T5806">
            <v>134.774</v>
          </cell>
        </row>
        <row r="5807">
          <cell r="G5807">
            <v>42614</v>
          </cell>
          <cell r="L5807" t="str">
            <v>05-31-006-13W2</v>
          </cell>
          <cell r="O5807">
            <v>805.5</v>
          </cell>
          <cell r="Q5807">
            <v>0.19</v>
          </cell>
          <cell r="T5807">
            <v>128.27199999999999</v>
          </cell>
        </row>
        <row r="5808">
          <cell r="G5808">
            <v>42614</v>
          </cell>
          <cell r="L5808" t="str">
            <v>03-27-011-08W2</v>
          </cell>
          <cell r="O5808">
            <v>899.7</v>
          </cell>
          <cell r="Q5808">
            <v>2.62</v>
          </cell>
          <cell r="T5808">
            <v>120.804</v>
          </cell>
        </row>
        <row r="5809">
          <cell r="G5809">
            <v>42614</v>
          </cell>
          <cell r="L5809" t="str">
            <v>12-31-001-17W2</v>
          </cell>
          <cell r="O5809">
            <v>854</v>
          </cell>
          <cell r="Q5809">
            <v>0.14000000000000001</v>
          </cell>
          <cell r="T5809">
            <v>111.693</v>
          </cell>
        </row>
        <row r="5810">
          <cell r="G5810">
            <v>42614</v>
          </cell>
          <cell r="L5810" t="str">
            <v>01-06-004-11W2</v>
          </cell>
          <cell r="O5810">
            <v>883.2</v>
          </cell>
          <cell r="Q5810">
            <v>1.95</v>
          </cell>
          <cell r="T5810">
            <v>102.008</v>
          </cell>
        </row>
        <row r="5811">
          <cell r="G5811">
            <v>42614</v>
          </cell>
          <cell r="L5811" t="str">
            <v>09-22-006-12W2</v>
          </cell>
          <cell r="O5811">
            <v>877.4</v>
          </cell>
          <cell r="Q5811">
            <v>2.34</v>
          </cell>
          <cell r="T5811">
            <v>101.943</v>
          </cell>
        </row>
        <row r="5812">
          <cell r="G5812">
            <v>42614</v>
          </cell>
          <cell r="L5812" t="str">
            <v>01-23-005-12W2</v>
          </cell>
          <cell r="O5812">
            <v>883.2</v>
          </cell>
          <cell r="Q5812">
            <v>2.0499999999999998</v>
          </cell>
          <cell r="T5812">
            <v>101.821</v>
          </cell>
        </row>
        <row r="5813">
          <cell r="G5813">
            <v>42614</v>
          </cell>
          <cell r="L5813" t="str">
            <v>07-24-006-10W2</v>
          </cell>
          <cell r="O5813">
            <v>884.7</v>
          </cell>
          <cell r="Q5813">
            <v>2.44</v>
          </cell>
          <cell r="T5813">
            <v>101.289</v>
          </cell>
        </row>
        <row r="5814">
          <cell r="G5814">
            <v>42614</v>
          </cell>
          <cell r="L5814" t="str">
            <v>15-13-002-12W2</v>
          </cell>
          <cell r="O5814">
            <v>832.1</v>
          </cell>
          <cell r="Q5814">
            <v>0.15</v>
          </cell>
          <cell r="T5814">
            <v>100.654</v>
          </cell>
        </row>
        <row r="5815">
          <cell r="G5815">
            <v>42614</v>
          </cell>
          <cell r="L5815" t="str">
            <v>12-28-006-07W2</v>
          </cell>
          <cell r="O5815">
            <v>905.6</v>
          </cell>
          <cell r="Q5815">
            <v>2.52</v>
          </cell>
          <cell r="T5815">
            <v>94.872</v>
          </cell>
        </row>
        <row r="5816">
          <cell r="G5816">
            <v>42614</v>
          </cell>
          <cell r="L5816" t="str">
            <v>07-10-001-20W2</v>
          </cell>
          <cell r="O5816">
            <v>875.5</v>
          </cell>
          <cell r="Q5816">
            <v>1.72</v>
          </cell>
          <cell r="T5816">
            <v>94.686000000000007</v>
          </cell>
        </row>
        <row r="5817">
          <cell r="G5817">
            <v>42614</v>
          </cell>
          <cell r="L5817" t="str">
            <v>01-34-164-97W1</v>
          </cell>
          <cell r="O5817">
            <v>879.3</v>
          </cell>
          <cell r="Q5817">
            <v>1.59</v>
          </cell>
          <cell r="T5817">
            <v>82.921000000000006</v>
          </cell>
        </row>
        <row r="5818">
          <cell r="G5818">
            <v>42614</v>
          </cell>
          <cell r="L5818" t="str">
            <v>09-32-006-15W2</v>
          </cell>
          <cell r="O5818">
            <v>890.2</v>
          </cell>
          <cell r="Q5818">
            <v>2.8</v>
          </cell>
          <cell r="T5818">
            <v>78.283000000000001</v>
          </cell>
        </row>
        <row r="5819">
          <cell r="G5819">
            <v>42614</v>
          </cell>
          <cell r="L5819" t="str">
            <v>08-34-006-12W2</v>
          </cell>
          <cell r="O5819">
            <v>878.7</v>
          </cell>
          <cell r="Q5819">
            <v>1.89</v>
          </cell>
          <cell r="T5819">
            <v>69.510000000000005</v>
          </cell>
        </row>
        <row r="5820">
          <cell r="G5820">
            <v>42614</v>
          </cell>
          <cell r="L5820" t="str">
            <v>13-06-007-09W2</v>
          </cell>
          <cell r="O5820">
            <v>813.8</v>
          </cell>
          <cell r="Q5820">
            <v>0.28999999999999998</v>
          </cell>
          <cell r="T5820">
            <v>63.398000000000003</v>
          </cell>
        </row>
        <row r="5821">
          <cell r="G5821">
            <v>42614</v>
          </cell>
          <cell r="L5821" t="str">
            <v>05-26-164-97W1</v>
          </cell>
          <cell r="O5821">
            <v>882.1</v>
          </cell>
          <cell r="Q5821">
            <v>1.59</v>
          </cell>
          <cell r="T5821">
            <v>60.109000000000002</v>
          </cell>
        </row>
        <row r="5822">
          <cell r="G5822">
            <v>42614</v>
          </cell>
          <cell r="L5822" t="str">
            <v>09-12-007-09W2</v>
          </cell>
          <cell r="O5822">
            <v>817.1</v>
          </cell>
          <cell r="Q5822">
            <v>0.15</v>
          </cell>
          <cell r="T5822">
            <v>58.527999999999999</v>
          </cell>
        </row>
        <row r="5823">
          <cell r="G5823">
            <v>42614</v>
          </cell>
          <cell r="L5823" t="str">
            <v>01-13-007-10W2</v>
          </cell>
          <cell r="O5823">
            <v>821</v>
          </cell>
          <cell r="Q5823">
            <v>0.37</v>
          </cell>
          <cell r="T5823">
            <v>53.383000000000003</v>
          </cell>
        </row>
        <row r="5824">
          <cell r="G5824">
            <v>42614</v>
          </cell>
          <cell r="L5824" t="str">
            <v>02-22-009-09W2</v>
          </cell>
          <cell r="O5824">
            <v>883.3</v>
          </cell>
          <cell r="Q5824">
            <v>2.46</v>
          </cell>
          <cell r="T5824">
            <v>37.729999999999997</v>
          </cell>
        </row>
        <row r="5825">
          <cell r="G5825">
            <v>42614</v>
          </cell>
          <cell r="L5825" t="str">
            <v>05-19-007-12W2</v>
          </cell>
          <cell r="O5825">
            <v>870.8</v>
          </cell>
          <cell r="Q5825">
            <v>1.82</v>
          </cell>
          <cell r="T5825">
            <v>33.656999999999996</v>
          </cell>
        </row>
        <row r="5826">
          <cell r="G5826">
            <v>42614</v>
          </cell>
          <cell r="L5826" t="str">
            <v>01-01-003-16W2</v>
          </cell>
          <cell r="O5826">
            <v>852.1</v>
          </cell>
          <cell r="Q5826">
            <v>1.19</v>
          </cell>
          <cell r="T5826">
            <v>31.460999999999999</v>
          </cell>
        </row>
        <row r="5827">
          <cell r="G5827">
            <v>42614</v>
          </cell>
          <cell r="L5827" t="str">
            <v>15-11-008-12W2</v>
          </cell>
          <cell r="O5827">
            <v>902.2</v>
          </cell>
          <cell r="Q5827">
            <v>2.62</v>
          </cell>
          <cell r="T5827">
            <v>31.244</v>
          </cell>
        </row>
        <row r="5828">
          <cell r="G5828">
            <v>42614</v>
          </cell>
          <cell r="L5828" t="str">
            <v>01-08-162-95W1</v>
          </cell>
          <cell r="O5828">
            <v>851.7</v>
          </cell>
          <cell r="Q5828">
            <v>0.8</v>
          </cell>
          <cell r="T5828">
            <v>31.001000000000001</v>
          </cell>
        </row>
        <row r="5829">
          <cell r="G5829">
            <v>42614</v>
          </cell>
          <cell r="L5829" t="str">
            <v>16-34-001-11W2</v>
          </cell>
          <cell r="O5829">
            <v>834.2</v>
          </cell>
          <cell r="Q5829">
            <v>0.19</v>
          </cell>
          <cell r="T5829">
            <v>30.45</v>
          </cell>
        </row>
        <row r="5830">
          <cell r="G5830">
            <v>42614</v>
          </cell>
          <cell r="L5830" t="str">
            <v>14-34-006-11W2</v>
          </cell>
          <cell r="O5830">
            <v>821.6</v>
          </cell>
          <cell r="Q5830">
            <v>0.31</v>
          </cell>
          <cell r="T5830">
            <v>30.047000000000001</v>
          </cell>
        </row>
        <row r="5831">
          <cell r="G5831">
            <v>42614</v>
          </cell>
          <cell r="L5831" t="str">
            <v>14-18-163-95W1</v>
          </cell>
          <cell r="O5831">
            <v>845.6</v>
          </cell>
          <cell r="Q5831">
            <v>1.1200000000000001</v>
          </cell>
          <cell r="T5831">
            <v>27.89</v>
          </cell>
        </row>
        <row r="5832">
          <cell r="G5832">
            <v>42614</v>
          </cell>
          <cell r="L5832" t="str">
            <v>01-27-004-07W2</v>
          </cell>
          <cell r="O5832">
            <v>889.3</v>
          </cell>
          <cell r="Q5832">
            <v>2.0299999999999998</v>
          </cell>
          <cell r="T5832">
            <v>27.535</v>
          </cell>
        </row>
        <row r="5833">
          <cell r="G5833">
            <v>42614</v>
          </cell>
          <cell r="L5833" t="str">
            <v>01-33-164-97W1</v>
          </cell>
          <cell r="O5833">
            <v>896.4</v>
          </cell>
          <cell r="Q5833">
            <v>1.76</v>
          </cell>
          <cell r="T5833">
            <v>25.933</v>
          </cell>
        </row>
        <row r="5834">
          <cell r="G5834">
            <v>42614</v>
          </cell>
          <cell r="L5834" t="str">
            <v>11-25-005-12W2</v>
          </cell>
          <cell r="O5834">
            <v>875</v>
          </cell>
          <cell r="Q5834">
            <v>2.02</v>
          </cell>
          <cell r="T5834">
            <v>2245.8980000000001</v>
          </cell>
        </row>
        <row r="5835">
          <cell r="G5835">
            <v>42614</v>
          </cell>
          <cell r="L5835" t="str">
            <v>16-18-003-15W2</v>
          </cell>
          <cell r="O5835">
            <v>886</v>
          </cell>
          <cell r="Q5835">
            <v>2.4500000000000002</v>
          </cell>
          <cell r="T5835">
            <v>1022.008</v>
          </cell>
        </row>
        <row r="5836">
          <cell r="G5836">
            <v>42614</v>
          </cell>
          <cell r="L5836" t="str">
            <v>14-21-001-12W2</v>
          </cell>
          <cell r="O5836">
            <v>809.4</v>
          </cell>
          <cell r="Q5836">
            <v>0.22</v>
          </cell>
          <cell r="T5836">
            <v>393.14699999999999</v>
          </cell>
        </row>
        <row r="5837">
          <cell r="G5837">
            <v>42614</v>
          </cell>
          <cell r="L5837" t="str">
            <v>11-31-006-08W2</v>
          </cell>
          <cell r="O5837">
            <v>889.8</v>
          </cell>
          <cell r="Q5837">
            <v>2.5</v>
          </cell>
          <cell r="T5837">
            <v>369.375</v>
          </cell>
        </row>
        <row r="5838">
          <cell r="G5838">
            <v>42614</v>
          </cell>
          <cell r="L5838" t="str">
            <v>05-31-003-16W2</v>
          </cell>
          <cell r="O5838">
            <v>888.4</v>
          </cell>
          <cell r="Q5838">
            <v>2.42</v>
          </cell>
          <cell r="T5838">
            <v>317.83</v>
          </cell>
        </row>
        <row r="5839">
          <cell r="G5839">
            <v>42614</v>
          </cell>
          <cell r="L5839" t="str">
            <v>05-23-005-13W2</v>
          </cell>
          <cell r="O5839">
            <v>905.5</v>
          </cell>
          <cell r="Q5839">
            <v>2.75</v>
          </cell>
          <cell r="T5839">
            <v>302.74700000000001</v>
          </cell>
        </row>
        <row r="5840">
          <cell r="G5840">
            <v>42614</v>
          </cell>
          <cell r="L5840" t="str">
            <v>13-24-001-16W2</v>
          </cell>
          <cell r="O5840">
            <v>805.4</v>
          </cell>
          <cell r="Q5840">
            <v>0.42</v>
          </cell>
          <cell r="T5840">
            <v>209.57400000000001</v>
          </cell>
        </row>
        <row r="5841">
          <cell r="G5841">
            <v>42614</v>
          </cell>
          <cell r="L5841" t="str">
            <v>06-20-006-09W2</v>
          </cell>
          <cell r="O5841">
            <v>881.5</v>
          </cell>
          <cell r="Q5841">
            <v>2.19</v>
          </cell>
          <cell r="T5841">
            <v>190.49799999999999</v>
          </cell>
        </row>
        <row r="5842">
          <cell r="G5842">
            <v>42614</v>
          </cell>
          <cell r="L5842" t="str">
            <v>13-29-001-15W2</v>
          </cell>
          <cell r="O5842">
            <v>806.2</v>
          </cell>
          <cell r="Q5842">
            <v>0.45</v>
          </cell>
          <cell r="T5842">
            <v>128.70099999999999</v>
          </cell>
        </row>
        <row r="5843">
          <cell r="G5843">
            <v>42614</v>
          </cell>
          <cell r="L5843" t="str">
            <v>16-22-001-12W2</v>
          </cell>
          <cell r="O5843">
            <v>814.3</v>
          </cell>
          <cell r="Q5843">
            <v>0.17</v>
          </cell>
          <cell r="T5843">
            <v>117.367</v>
          </cell>
        </row>
        <row r="5844">
          <cell r="G5844">
            <v>42614</v>
          </cell>
          <cell r="L5844" t="str">
            <v>14-27-001-12W2</v>
          </cell>
          <cell r="O5844">
            <v>818.5</v>
          </cell>
          <cell r="Q5844">
            <v>0.25</v>
          </cell>
          <cell r="T5844">
            <v>93.543000000000006</v>
          </cell>
        </row>
        <row r="5845">
          <cell r="G5845">
            <v>42614</v>
          </cell>
          <cell r="L5845" t="str">
            <v>13-22-001-12W2</v>
          </cell>
          <cell r="O5845">
            <v>806.3</v>
          </cell>
          <cell r="Q5845">
            <v>0.23</v>
          </cell>
          <cell r="T5845">
            <v>92.823999999999998</v>
          </cell>
        </row>
        <row r="5846">
          <cell r="G5846">
            <v>42614</v>
          </cell>
          <cell r="L5846" t="str">
            <v>12-30-005-07W2</v>
          </cell>
          <cell r="O5846">
            <v>891.9</v>
          </cell>
          <cell r="Q5846">
            <v>2.5299999999999998</v>
          </cell>
          <cell r="T5846">
            <v>69.81</v>
          </cell>
        </row>
        <row r="5847">
          <cell r="G5847">
            <v>42614</v>
          </cell>
          <cell r="L5847" t="str">
            <v>16-25-001-15W2</v>
          </cell>
          <cell r="O5847">
            <v>816.5</v>
          </cell>
          <cell r="Q5847">
            <v>0.32</v>
          </cell>
          <cell r="T5847">
            <v>59.933</v>
          </cell>
        </row>
        <row r="5848">
          <cell r="G5848">
            <v>42614</v>
          </cell>
          <cell r="L5848" t="str">
            <v>13-34-001-13W2</v>
          </cell>
          <cell r="O5848">
            <v>816.5</v>
          </cell>
          <cell r="Q5848">
            <v>0.2</v>
          </cell>
          <cell r="T5848">
            <v>59.573999999999998</v>
          </cell>
        </row>
        <row r="5849">
          <cell r="G5849">
            <v>42614</v>
          </cell>
          <cell r="L5849" t="str">
            <v>16-34-001-15W2</v>
          </cell>
          <cell r="O5849">
            <v>802.8</v>
          </cell>
          <cell r="Q5849">
            <v>0.22</v>
          </cell>
          <cell r="T5849">
            <v>58.368000000000002</v>
          </cell>
        </row>
        <row r="5850">
          <cell r="G5850">
            <v>42614</v>
          </cell>
          <cell r="L5850" t="str">
            <v>15-06-006-21W2</v>
          </cell>
          <cell r="O5850">
            <v>823.9</v>
          </cell>
          <cell r="Q5850">
            <v>0.19</v>
          </cell>
          <cell r="T5850">
            <v>34.738</v>
          </cell>
        </row>
        <row r="5851">
          <cell r="G5851">
            <v>42614</v>
          </cell>
          <cell r="L5851" t="str">
            <v>15-29-005-15W2</v>
          </cell>
          <cell r="O5851">
            <v>889.7</v>
          </cell>
          <cell r="Q5851">
            <v>2.86</v>
          </cell>
          <cell r="T5851">
            <v>4483.0389999999998</v>
          </cell>
        </row>
        <row r="5852">
          <cell r="G5852">
            <v>42614</v>
          </cell>
          <cell r="L5852" t="str">
            <v>09-34-005-15W2</v>
          </cell>
          <cell r="O5852">
            <v>882.1</v>
          </cell>
          <cell r="Q5852">
            <v>2.57</v>
          </cell>
          <cell r="T5852">
            <v>1452.18</v>
          </cell>
        </row>
        <row r="5853">
          <cell r="G5853">
            <v>42614</v>
          </cell>
          <cell r="L5853" t="str">
            <v>04-24-005-15W2</v>
          </cell>
          <cell r="O5853">
            <v>891.4</v>
          </cell>
          <cell r="Q5853">
            <v>2.71</v>
          </cell>
          <cell r="T5853">
            <v>1379.7619999999999</v>
          </cell>
        </row>
        <row r="5854">
          <cell r="G5854">
            <v>42614</v>
          </cell>
          <cell r="L5854" t="str">
            <v>06-17-006-14W2</v>
          </cell>
          <cell r="O5854">
            <v>869.8</v>
          </cell>
          <cell r="Q5854">
            <v>2.1800000000000002</v>
          </cell>
          <cell r="T5854">
            <v>3754.3629999999998</v>
          </cell>
        </row>
        <row r="5855">
          <cell r="G5855">
            <v>42614</v>
          </cell>
          <cell r="L5855" t="str">
            <v>10-11-005-14W2</v>
          </cell>
          <cell r="O5855">
            <v>900.9</v>
          </cell>
          <cell r="Q5855">
            <v>2.86</v>
          </cell>
          <cell r="T5855">
            <v>425.05200000000002</v>
          </cell>
        </row>
        <row r="5856">
          <cell r="G5856">
            <v>42614</v>
          </cell>
          <cell r="L5856" t="str">
            <v>03-15-005-13W2</v>
          </cell>
          <cell r="O5856">
            <v>897.8</v>
          </cell>
          <cell r="Q5856">
            <v>2.85</v>
          </cell>
          <cell r="T5856">
            <v>354.822</v>
          </cell>
        </row>
        <row r="5857">
          <cell r="G5857">
            <v>42614</v>
          </cell>
          <cell r="L5857" t="str">
            <v>12-13-006-13W2</v>
          </cell>
          <cell r="O5857">
            <v>877.7</v>
          </cell>
          <cell r="Q5857">
            <v>2.5299999999999998</v>
          </cell>
          <cell r="T5857">
            <v>273.38</v>
          </cell>
        </row>
        <row r="5858">
          <cell r="G5858">
            <v>42614</v>
          </cell>
          <cell r="L5858" t="str">
            <v>15-19-005-13W2</v>
          </cell>
          <cell r="O5858">
            <v>896.1</v>
          </cell>
          <cell r="Q5858">
            <v>2.72</v>
          </cell>
          <cell r="T5858">
            <v>248.846</v>
          </cell>
        </row>
        <row r="5859">
          <cell r="G5859">
            <v>42614</v>
          </cell>
          <cell r="L5859" t="str">
            <v>08-23-005-14W2</v>
          </cell>
          <cell r="O5859">
            <v>898.8</v>
          </cell>
          <cell r="Q5859">
            <v>2.39</v>
          </cell>
          <cell r="T5859">
            <v>34.951999999999998</v>
          </cell>
        </row>
        <row r="5860">
          <cell r="G5860">
            <v>42614</v>
          </cell>
          <cell r="L5860" t="str">
            <v>11-12-006-15W2</v>
          </cell>
          <cell r="O5860">
            <v>872</v>
          </cell>
          <cell r="Q5860">
            <v>2.27</v>
          </cell>
          <cell r="T5860">
            <v>7367.5910000000003</v>
          </cell>
        </row>
        <row r="5861">
          <cell r="G5861">
            <v>42614</v>
          </cell>
          <cell r="L5861" t="str">
            <v>07-24-006-15W2</v>
          </cell>
          <cell r="O5861">
            <v>870.3</v>
          </cell>
          <cell r="Q5861">
            <v>1.18</v>
          </cell>
          <cell r="T5861">
            <v>1146.5830000000001</v>
          </cell>
        </row>
        <row r="5862">
          <cell r="G5862">
            <v>42614</v>
          </cell>
          <cell r="L5862" t="str">
            <v>07-07-006-15W2</v>
          </cell>
          <cell r="O5862">
            <v>869.1</v>
          </cell>
          <cell r="Q5862">
            <v>2.81</v>
          </cell>
          <cell r="T5862">
            <v>5675.5129999999999</v>
          </cell>
        </row>
        <row r="5863">
          <cell r="G5863">
            <v>42614</v>
          </cell>
          <cell r="L5863" t="str">
            <v>12-30-006-15W2</v>
          </cell>
          <cell r="O5863">
            <v>888.7</v>
          </cell>
          <cell r="Q5863">
            <v>2.99</v>
          </cell>
          <cell r="T5863">
            <v>4510.3019999999997</v>
          </cell>
        </row>
        <row r="5864">
          <cell r="G5864">
            <v>42614</v>
          </cell>
          <cell r="L5864" t="str">
            <v>12-32-006-04W2</v>
          </cell>
          <cell r="O5864">
            <v>860.7</v>
          </cell>
          <cell r="Q5864">
            <v>1.82</v>
          </cell>
          <cell r="T5864">
            <v>2580.4119999999998</v>
          </cell>
        </row>
        <row r="5865">
          <cell r="G5865">
            <v>42614</v>
          </cell>
          <cell r="L5865" t="str">
            <v>12-11-001-10W2</v>
          </cell>
          <cell r="O5865">
            <v>818.6</v>
          </cell>
          <cell r="Q5865">
            <v>0.17</v>
          </cell>
          <cell r="T5865">
            <v>2537.3119999999999</v>
          </cell>
        </row>
        <row r="5866">
          <cell r="G5866">
            <v>42614</v>
          </cell>
          <cell r="L5866" t="str">
            <v>31-30-164-92W1</v>
          </cell>
          <cell r="O5866">
            <v>831.1</v>
          </cell>
          <cell r="Q5866">
            <v>0.52</v>
          </cell>
          <cell r="T5866">
            <v>1428.787</v>
          </cell>
        </row>
        <row r="5867">
          <cell r="G5867">
            <v>42614</v>
          </cell>
          <cell r="L5867" t="str">
            <v>11-12-007-04W2</v>
          </cell>
          <cell r="O5867">
            <v>855.2</v>
          </cell>
          <cell r="Q5867">
            <v>1.45</v>
          </cell>
          <cell r="T5867">
            <v>1315.615</v>
          </cell>
        </row>
        <row r="5868">
          <cell r="G5868">
            <v>42614</v>
          </cell>
          <cell r="L5868" t="str">
            <v>16-19-002-04W2</v>
          </cell>
          <cell r="O5868">
            <v>840.1</v>
          </cell>
          <cell r="Q5868">
            <v>0.53</v>
          </cell>
          <cell r="T5868">
            <v>1039.52</v>
          </cell>
        </row>
        <row r="5869">
          <cell r="G5869">
            <v>42614</v>
          </cell>
          <cell r="L5869" t="str">
            <v>04-06-005-05W2</v>
          </cell>
          <cell r="O5869">
            <v>842.3</v>
          </cell>
          <cell r="Q5869">
            <v>0.91</v>
          </cell>
          <cell r="T5869">
            <v>902.88</v>
          </cell>
        </row>
        <row r="5870">
          <cell r="G5870">
            <v>42614</v>
          </cell>
          <cell r="L5870" t="str">
            <v>02-31-145-98W1</v>
          </cell>
          <cell r="O5870">
            <v>819.6</v>
          </cell>
          <cell r="Q5870">
            <v>0.41</v>
          </cell>
          <cell r="T5870">
            <v>830.77300000000002</v>
          </cell>
        </row>
        <row r="5871">
          <cell r="G5871">
            <v>42614</v>
          </cell>
          <cell r="L5871" t="str">
            <v>03-10-145-98W1</v>
          </cell>
          <cell r="O5871">
            <v>819</v>
          </cell>
          <cell r="Q5871">
            <v>0.41</v>
          </cell>
          <cell r="T5871">
            <v>642.79600000000005</v>
          </cell>
        </row>
        <row r="5872">
          <cell r="G5872">
            <v>42614</v>
          </cell>
          <cell r="L5872" t="str">
            <v>09-20-006-04W2</v>
          </cell>
          <cell r="O5872">
            <v>852.6</v>
          </cell>
          <cell r="Q5872">
            <v>1.36</v>
          </cell>
          <cell r="T5872">
            <v>515.90200000000004</v>
          </cell>
        </row>
        <row r="5873">
          <cell r="G5873">
            <v>42614</v>
          </cell>
          <cell r="L5873" t="str">
            <v>02-34-143-100W1</v>
          </cell>
          <cell r="O5873">
            <v>836.6</v>
          </cell>
          <cell r="Q5873">
            <v>0.38</v>
          </cell>
          <cell r="T5873">
            <v>472.16399999999999</v>
          </cell>
        </row>
        <row r="5874">
          <cell r="G5874">
            <v>42614</v>
          </cell>
          <cell r="L5874" t="str">
            <v>01-19-145-98W1</v>
          </cell>
          <cell r="O5874">
            <v>816.7</v>
          </cell>
          <cell r="Q5874">
            <v>0.38</v>
          </cell>
          <cell r="T5874">
            <v>417.41500000000002</v>
          </cell>
        </row>
        <row r="5875">
          <cell r="G5875">
            <v>42614</v>
          </cell>
          <cell r="L5875" t="str">
            <v>02-05-163-92W1</v>
          </cell>
          <cell r="O5875">
            <v>835.8</v>
          </cell>
          <cell r="Q5875">
            <v>0.54</v>
          </cell>
          <cell r="T5875">
            <v>332.57900000000001</v>
          </cell>
        </row>
        <row r="5876">
          <cell r="G5876">
            <v>42614</v>
          </cell>
          <cell r="L5876" t="str">
            <v>01-02-021-58W1</v>
          </cell>
          <cell r="O5876">
            <v>830.1</v>
          </cell>
          <cell r="Q5876">
            <v>0.7</v>
          </cell>
          <cell r="T5876">
            <v>306.57400000000001</v>
          </cell>
        </row>
        <row r="5877">
          <cell r="G5877">
            <v>42614</v>
          </cell>
          <cell r="L5877" t="str">
            <v>01-03-163-92W1</v>
          </cell>
          <cell r="O5877">
            <v>811</v>
          </cell>
          <cell r="Q5877">
            <v>0.46</v>
          </cell>
          <cell r="T5877">
            <v>288.10599999999999</v>
          </cell>
        </row>
        <row r="5878">
          <cell r="G5878">
            <v>42614</v>
          </cell>
          <cell r="L5878" t="str">
            <v>13-19-001-03W2</v>
          </cell>
          <cell r="O5878">
            <v>835.6</v>
          </cell>
          <cell r="Q5878">
            <v>0.62</v>
          </cell>
          <cell r="T5878">
            <v>243.05500000000001</v>
          </cell>
        </row>
        <row r="5879">
          <cell r="G5879">
            <v>42614</v>
          </cell>
          <cell r="L5879" t="str">
            <v>01-13-152-95W1</v>
          </cell>
          <cell r="O5879">
            <v>828.8</v>
          </cell>
          <cell r="Q5879">
            <v>0.06</v>
          </cell>
          <cell r="T5879">
            <v>219.12100000000001</v>
          </cell>
        </row>
        <row r="5880">
          <cell r="G5880">
            <v>42614</v>
          </cell>
          <cell r="L5880" t="str">
            <v>05-25-147-98W1</v>
          </cell>
          <cell r="O5880">
            <v>815.5</v>
          </cell>
          <cell r="Q5880">
            <v>0.56000000000000005</v>
          </cell>
          <cell r="T5880">
            <v>215.57599999999999</v>
          </cell>
        </row>
        <row r="5881">
          <cell r="G5881">
            <v>42614</v>
          </cell>
          <cell r="L5881" t="str">
            <v>01-28-142-100W1</v>
          </cell>
          <cell r="O5881">
            <v>824.5</v>
          </cell>
          <cell r="Q5881">
            <v>0.4</v>
          </cell>
          <cell r="T5881">
            <v>199.73599999999999</v>
          </cell>
        </row>
        <row r="5882">
          <cell r="G5882">
            <v>42614</v>
          </cell>
          <cell r="L5882" t="str">
            <v>01-25-150-98W1</v>
          </cell>
          <cell r="O5882">
            <v>819.8</v>
          </cell>
          <cell r="Q5882">
            <v>0.05</v>
          </cell>
          <cell r="T5882">
            <v>195.738</v>
          </cell>
        </row>
        <row r="5883">
          <cell r="G5883">
            <v>42614</v>
          </cell>
          <cell r="L5883" t="str">
            <v>01-05-163-92W1</v>
          </cell>
          <cell r="O5883">
            <v>842.1</v>
          </cell>
          <cell r="Q5883">
            <v>0.53</v>
          </cell>
          <cell r="T5883">
            <v>194.30600000000001</v>
          </cell>
        </row>
        <row r="5884">
          <cell r="G5884">
            <v>42614</v>
          </cell>
          <cell r="L5884" t="str">
            <v>02-30-147-97W1</v>
          </cell>
          <cell r="O5884">
            <v>809.4</v>
          </cell>
          <cell r="Q5884">
            <v>0.46</v>
          </cell>
          <cell r="T5884">
            <v>188.11500000000001</v>
          </cell>
        </row>
        <row r="5885">
          <cell r="G5885">
            <v>42614</v>
          </cell>
          <cell r="L5885" t="str">
            <v>09-19-004-04W2</v>
          </cell>
          <cell r="O5885">
            <v>850.1</v>
          </cell>
          <cell r="Q5885">
            <v>1.19</v>
          </cell>
          <cell r="T5885">
            <v>184.45099999999999</v>
          </cell>
        </row>
        <row r="5886">
          <cell r="G5886">
            <v>42614</v>
          </cell>
          <cell r="L5886" t="str">
            <v>04-19-147-97W1</v>
          </cell>
          <cell r="O5886">
            <v>827.2</v>
          </cell>
          <cell r="Q5886">
            <v>0.52</v>
          </cell>
          <cell r="T5886">
            <v>169.01</v>
          </cell>
        </row>
        <row r="5887">
          <cell r="G5887">
            <v>42614</v>
          </cell>
          <cell r="L5887" t="str">
            <v>11-25-005-06W2</v>
          </cell>
          <cell r="O5887">
            <v>849.4</v>
          </cell>
          <cell r="Q5887">
            <v>1.0900000000000001</v>
          </cell>
          <cell r="T5887">
            <v>167.02099999999999</v>
          </cell>
        </row>
        <row r="5888">
          <cell r="G5888">
            <v>42614</v>
          </cell>
          <cell r="L5888" t="str">
            <v>24-06-158-95W1</v>
          </cell>
          <cell r="O5888">
            <v>810.1</v>
          </cell>
          <cell r="Q5888">
            <v>0.14000000000000001</v>
          </cell>
          <cell r="T5888">
            <v>161.708</v>
          </cell>
        </row>
        <row r="5889">
          <cell r="G5889">
            <v>42614</v>
          </cell>
          <cell r="L5889" t="str">
            <v>01-30-147-97W1</v>
          </cell>
          <cell r="O5889">
            <v>817.6</v>
          </cell>
          <cell r="Q5889">
            <v>0.55000000000000004</v>
          </cell>
          <cell r="T5889">
            <v>158.96</v>
          </cell>
        </row>
        <row r="5890">
          <cell r="G5890">
            <v>42614</v>
          </cell>
          <cell r="L5890" t="str">
            <v>14-23-163-96W1</v>
          </cell>
          <cell r="O5890">
            <v>823.1</v>
          </cell>
          <cell r="Q5890">
            <v>0.15</v>
          </cell>
          <cell r="T5890">
            <v>138.87200000000001</v>
          </cell>
        </row>
        <row r="5891">
          <cell r="G5891">
            <v>42614</v>
          </cell>
          <cell r="L5891" t="str">
            <v>07-04-005-04W2</v>
          </cell>
          <cell r="O5891">
            <v>841.8</v>
          </cell>
          <cell r="Q5891">
            <v>0.89</v>
          </cell>
          <cell r="T5891">
            <v>133.351</v>
          </cell>
        </row>
        <row r="5892">
          <cell r="G5892">
            <v>42614</v>
          </cell>
          <cell r="L5892" t="str">
            <v>01-03-163-99W1</v>
          </cell>
          <cell r="O5892">
            <v>832.2</v>
          </cell>
          <cell r="Q5892">
            <v>0.16</v>
          </cell>
          <cell r="T5892">
            <v>127.518</v>
          </cell>
        </row>
        <row r="5893">
          <cell r="G5893">
            <v>42614</v>
          </cell>
          <cell r="L5893" t="str">
            <v>01-33-141-100W1</v>
          </cell>
          <cell r="O5893">
            <v>819.6</v>
          </cell>
          <cell r="Q5893">
            <v>0.39</v>
          </cell>
          <cell r="T5893">
            <v>126.443</v>
          </cell>
        </row>
        <row r="5894">
          <cell r="G5894">
            <v>42614</v>
          </cell>
          <cell r="L5894" t="str">
            <v>01-22-142-100W1</v>
          </cell>
          <cell r="O5894">
            <v>820.8</v>
          </cell>
          <cell r="Q5894">
            <v>0.31</v>
          </cell>
          <cell r="T5894">
            <v>125.58799999999999</v>
          </cell>
        </row>
        <row r="5895">
          <cell r="G5895">
            <v>42614</v>
          </cell>
          <cell r="L5895" t="str">
            <v>01-18-145-97W1</v>
          </cell>
          <cell r="O5895">
            <v>819.2</v>
          </cell>
          <cell r="Q5895">
            <v>0.45</v>
          </cell>
          <cell r="T5895">
            <v>121.711</v>
          </cell>
        </row>
        <row r="5896">
          <cell r="G5896">
            <v>42614</v>
          </cell>
          <cell r="L5896" t="str">
            <v>01-17-143-101W1</v>
          </cell>
          <cell r="O5896">
            <v>831.9</v>
          </cell>
          <cell r="Q5896">
            <v>0.51</v>
          </cell>
          <cell r="T5896">
            <v>120.01600000000001</v>
          </cell>
        </row>
        <row r="5897">
          <cell r="G5897">
            <v>42614</v>
          </cell>
          <cell r="L5897" t="str">
            <v>35-26-164-97W1</v>
          </cell>
          <cell r="O5897">
            <v>836.6</v>
          </cell>
          <cell r="Q5897">
            <v>0.14000000000000001</v>
          </cell>
          <cell r="T5897">
            <v>118.857</v>
          </cell>
        </row>
        <row r="5898">
          <cell r="G5898">
            <v>42614</v>
          </cell>
          <cell r="L5898" t="str">
            <v>08-22-002-09W2</v>
          </cell>
          <cell r="O5898">
            <v>841.2</v>
          </cell>
          <cell r="Q5898">
            <v>0.23</v>
          </cell>
          <cell r="T5898">
            <v>113.38</v>
          </cell>
        </row>
        <row r="5899">
          <cell r="G5899">
            <v>42614</v>
          </cell>
          <cell r="L5899" t="str">
            <v>07-22-003-03W2</v>
          </cell>
          <cell r="O5899">
            <v>827.2</v>
          </cell>
          <cell r="Q5899">
            <v>0.59</v>
          </cell>
          <cell r="T5899">
            <v>109.804</v>
          </cell>
        </row>
        <row r="5900">
          <cell r="G5900">
            <v>42614</v>
          </cell>
          <cell r="L5900" t="str">
            <v>08-31-007-07W2</v>
          </cell>
          <cell r="O5900">
            <v>867.3</v>
          </cell>
          <cell r="Q5900">
            <v>1.94</v>
          </cell>
          <cell r="T5900">
            <v>104.51600000000001</v>
          </cell>
        </row>
        <row r="5901">
          <cell r="G5901">
            <v>42614</v>
          </cell>
          <cell r="L5901" t="str">
            <v>06-06-162-96W1</v>
          </cell>
          <cell r="O5901">
            <v>834.7</v>
          </cell>
          <cell r="Q5901">
            <v>0.15</v>
          </cell>
          <cell r="T5901">
            <v>103.855</v>
          </cell>
        </row>
        <row r="5902">
          <cell r="G5902">
            <v>42614</v>
          </cell>
          <cell r="L5902" t="str">
            <v>12-03-146-100W1</v>
          </cell>
          <cell r="O5902">
            <v>834.7</v>
          </cell>
          <cell r="Q5902">
            <v>0.47</v>
          </cell>
          <cell r="T5902">
            <v>103.788</v>
          </cell>
        </row>
        <row r="5903">
          <cell r="G5903">
            <v>42614</v>
          </cell>
          <cell r="L5903" t="str">
            <v>03-25-147-98W1</v>
          </cell>
          <cell r="O5903">
            <v>811.2</v>
          </cell>
          <cell r="Q5903">
            <v>0.45</v>
          </cell>
          <cell r="T5903">
            <v>99.801000000000002</v>
          </cell>
        </row>
        <row r="5904">
          <cell r="G5904">
            <v>42614</v>
          </cell>
          <cell r="L5904" t="str">
            <v>10-01-157-95W1</v>
          </cell>
          <cell r="O5904">
            <v>828.2</v>
          </cell>
          <cell r="Q5904">
            <v>0.54</v>
          </cell>
          <cell r="T5904">
            <v>96.626999999999995</v>
          </cell>
        </row>
        <row r="5905">
          <cell r="G5905">
            <v>42614</v>
          </cell>
          <cell r="L5905" t="str">
            <v>01-20-147-97W1</v>
          </cell>
          <cell r="O5905">
            <v>826.4</v>
          </cell>
          <cell r="Q5905">
            <v>0.7</v>
          </cell>
          <cell r="T5905">
            <v>96.623000000000005</v>
          </cell>
        </row>
        <row r="5906">
          <cell r="G5906">
            <v>42614</v>
          </cell>
          <cell r="L5906" t="str">
            <v>01-02-151-102W1</v>
          </cell>
          <cell r="O5906">
            <v>830.4</v>
          </cell>
          <cell r="Q5906">
            <v>0.33</v>
          </cell>
          <cell r="T5906">
            <v>96.156000000000006</v>
          </cell>
        </row>
        <row r="5907">
          <cell r="G5907">
            <v>42614</v>
          </cell>
          <cell r="L5907" t="str">
            <v>01-09-143-101W1</v>
          </cell>
          <cell r="O5907">
            <v>834.1</v>
          </cell>
          <cell r="Q5907">
            <v>0.53</v>
          </cell>
          <cell r="T5907">
            <v>93.486000000000004</v>
          </cell>
        </row>
        <row r="5908">
          <cell r="G5908">
            <v>42614</v>
          </cell>
          <cell r="L5908" t="str">
            <v>01-03-155-91W1</v>
          </cell>
          <cell r="O5908">
            <v>862.2</v>
          </cell>
          <cell r="Q5908">
            <v>1.29</v>
          </cell>
          <cell r="T5908">
            <v>93.42</v>
          </cell>
        </row>
        <row r="5909">
          <cell r="G5909">
            <v>42614</v>
          </cell>
          <cell r="L5909" t="str">
            <v>02-09-142-100W1</v>
          </cell>
          <cell r="O5909">
            <v>830.5</v>
          </cell>
          <cell r="Q5909">
            <v>0.38</v>
          </cell>
          <cell r="T5909">
            <v>93.311000000000007</v>
          </cell>
        </row>
        <row r="5910">
          <cell r="G5910">
            <v>42614</v>
          </cell>
          <cell r="L5910" t="str">
            <v>01-28-152-101W1</v>
          </cell>
          <cell r="O5910">
            <v>830.5</v>
          </cell>
          <cell r="Q5910">
            <v>0.45</v>
          </cell>
          <cell r="T5910">
            <v>92.600999999999999</v>
          </cell>
        </row>
        <row r="5911">
          <cell r="G5911">
            <v>42614</v>
          </cell>
          <cell r="L5911" t="str">
            <v>14-18-163-95W1</v>
          </cell>
          <cell r="O5911">
            <v>851.5</v>
          </cell>
          <cell r="Q5911">
            <v>1.1200000000000001</v>
          </cell>
          <cell r="T5911">
            <v>87.924999999999997</v>
          </cell>
        </row>
        <row r="5912">
          <cell r="G5912">
            <v>42614</v>
          </cell>
          <cell r="L5912" t="str">
            <v>04-25-144-98W1</v>
          </cell>
          <cell r="O5912">
            <v>818.9</v>
          </cell>
          <cell r="Q5912">
            <v>0.5</v>
          </cell>
          <cell r="T5912">
            <v>85.408000000000001</v>
          </cell>
        </row>
        <row r="5913">
          <cell r="G5913">
            <v>42614</v>
          </cell>
          <cell r="L5913" t="str">
            <v>33-14-160-95W1</v>
          </cell>
          <cell r="O5913">
            <v>801.3</v>
          </cell>
          <cell r="Q5913">
            <v>0.17</v>
          </cell>
          <cell r="T5913">
            <v>66.64</v>
          </cell>
        </row>
        <row r="5914">
          <cell r="G5914">
            <v>42614</v>
          </cell>
          <cell r="L5914" t="str">
            <v>01-05-163-89W1</v>
          </cell>
          <cell r="O5914">
            <v>842.6</v>
          </cell>
          <cell r="Q5914">
            <v>0.42</v>
          </cell>
          <cell r="T5914">
            <v>64.849999999999994</v>
          </cell>
        </row>
        <row r="5915">
          <cell r="G5915">
            <v>42614</v>
          </cell>
          <cell r="L5915" t="str">
            <v>25-11-159-102W1</v>
          </cell>
          <cell r="O5915">
            <v>831.7</v>
          </cell>
          <cell r="Q5915">
            <v>0.45</v>
          </cell>
          <cell r="T5915">
            <v>64.721999999999994</v>
          </cell>
        </row>
        <row r="5916">
          <cell r="G5916">
            <v>42614</v>
          </cell>
          <cell r="L5916" t="str">
            <v>11-21-163-89W1</v>
          </cell>
          <cell r="O5916">
            <v>839</v>
          </cell>
          <cell r="Q5916">
            <v>0.5</v>
          </cell>
          <cell r="T5916">
            <v>63.433</v>
          </cell>
        </row>
        <row r="5917">
          <cell r="G5917">
            <v>42614</v>
          </cell>
          <cell r="L5917" t="str">
            <v>03-10-151-96W1</v>
          </cell>
          <cell r="O5917">
            <v>824.7</v>
          </cell>
          <cell r="Q5917">
            <v>0.24</v>
          </cell>
          <cell r="T5917">
            <v>63.284999999999997</v>
          </cell>
        </row>
        <row r="5918">
          <cell r="G5918">
            <v>42614</v>
          </cell>
          <cell r="L5918" t="str">
            <v>01-08-153-95W1</v>
          </cell>
          <cell r="O5918">
            <v>816.9</v>
          </cell>
          <cell r="Q5918">
            <v>0.28999999999999998</v>
          </cell>
          <cell r="T5918">
            <v>62.831000000000003</v>
          </cell>
        </row>
        <row r="5919">
          <cell r="G5919">
            <v>42614</v>
          </cell>
          <cell r="L5919" t="str">
            <v>10-30-147-97W1</v>
          </cell>
          <cell r="O5919">
            <v>814.1</v>
          </cell>
          <cell r="Q5919">
            <v>0.52</v>
          </cell>
          <cell r="T5919">
            <v>62.591000000000001</v>
          </cell>
        </row>
        <row r="5920">
          <cell r="G5920">
            <v>42614</v>
          </cell>
          <cell r="L5920" t="str">
            <v>16-04-151-96W1</v>
          </cell>
          <cell r="O5920">
            <v>810.7</v>
          </cell>
          <cell r="Q5920">
            <v>0.28000000000000003</v>
          </cell>
          <cell r="T5920">
            <v>62.55</v>
          </cell>
        </row>
        <row r="5921">
          <cell r="G5921">
            <v>42614</v>
          </cell>
          <cell r="L5921" t="str">
            <v>01-31-164-98W1</v>
          </cell>
          <cell r="O5921">
            <v>819.5</v>
          </cell>
          <cell r="Q5921">
            <v>0.15</v>
          </cell>
          <cell r="T5921">
            <v>62.531999999999996</v>
          </cell>
        </row>
        <row r="5922">
          <cell r="G5922">
            <v>42614</v>
          </cell>
          <cell r="L5922" t="str">
            <v>01-07-153-95W1</v>
          </cell>
          <cell r="O5922">
            <v>823.9</v>
          </cell>
          <cell r="Q5922">
            <v>0.24</v>
          </cell>
          <cell r="T5922">
            <v>61.914000000000001</v>
          </cell>
        </row>
        <row r="5923">
          <cell r="G5923">
            <v>42614</v>
          </cell>
          <cell r="L5923" t="str">
            <v>04-24-147-98W1</v>
          </cell>
          <cell r="O5923">
            <v>814.1</v>
          </cell>
          <cell r="Q5923">
            <v>0.56000000000000005</v>
          </cell>
          <cell r="T5923">
            <v>61.548999999999999</v>
          </cell>
        </row>
        <row r="5924">
          <cell r="G5924">
            <v>42614</v>
          </cell>
          <cell r="L5924" t="str">
            <v>43-03-160-95W1</v>
          </cell>
          <cell r="O5924">
            <v>802.7</v>
          </cell>
          <cell r="Q5924">
            <v>0.2</v>
          </cell>
          <cell r="T5924">
            <v>60.011000000000003</v>
          </cell>
        </row>
        <row r="5925">
          <cell r="G5925">
            <v>42614</v>
          </cell>
          <cell r="L5925" t="str">
            <v>44-35-022-58W1</v>
          </cell>
          <cell r="O5925">
            <v>866.8</v>
          </cell>
          <cell r="Q5925">
            <v>1.02</v>
          </cell>
          <cell r="T5925">
            <v>59.843000000000004</v>
          </cell>
        </row>
        <row r="5926">
          <cell r="G5926">
            <v>42614</v>
          </cell>
          <cell r="L5926" t="str">
            <v>26-35-163-97W1</v>
          </cell>
          <cell r="O5926">
            <v>830.4</v>
          </cell>
          <cell r="Q5926">
            <v>0.14000000000000001</v>
          </cell>
          <cell r="T5926">
            <v>59.817</v>
          </cell>
        </row>
        <row r="5927">
          <cell r="G5927">
            <v>42614</v>
          </cell>
          <cell r="L5927" t="str">
            <v>01-19-147-97W1</v>
          </cell>
          <cell r="O5927">
            <v>817.1</v>
          </cell>
          <cell r="Q5927">
            <v>0.67</v>
          </cell>
          <cell r="T5927">
            <v>59.488999999999997</v>
          </cell>
        </row>
        <row r="5928">
          <cell r="G5928">
            <v>42614</v>
          </cell>
          <cell r="L5928" t="str">
            <v>34-02-157-95W1</v>
          </cell>
          <cell r="O5928">
            <v>844.1</v>
          </cell>
          <cell r="Q5928">
            <v>0.39</v>
          </cell>
          <cell r="T5928">
            <v>54.197000000000003</v>
          </cell>
        </row>
        <row r="5929">
          <cell r="G5929">
            <v>42614</v>
          </cell>
          <cell r="L5929" t="str">
            <v>03-25-144-98W1</v>
          </cell>
          <cell r="O5929">
            <v>833.1</v>
          </cell>
          <cell r="Q5929">
            <v>0.5</v>
          </cell>
          <cell r="T5929">
            <v>43.61</v>
          </cell>
        </row>
        <row r="5930">
          <cell r="G5930">
            <v>42614</v>
          </cell>
          <cell r="L5930" t="str">
            <v>09-30-006-05W2</v>
          </cell>
          <cell r="O5930">
            <v>807.4</v>
          </cell>
          <cell r="Q5930">
            <v>0.23</v>
          </cell>
          <cell r="T5930">
            <v>38.542999999999999</v>
          </cell>
        </row>
        <row r="5931">
          <cell r="G5931">
            <v>42614</v>
          </cell>
          <cell r="L5931" t="str">
            <v>07-29-009-04W2</v>
          </cell>
          <cell r="O5931">
            <v>839.9</v>
          </cell>
          <cell r="Q5931">
            <v>1.1399999999999999</v>
          </cell>
          <cell r="T5931">
            <v>37.5</v>
          </cell>
        </row>
        <row r="5932">
          <cell r="G5932">
            <v>42614</v>
          </cell>
          <cell r="L5932" t="str">
            <v>13-26-007-05W2</v>
          </cell>
          <cell r="O5932">
            <v>862.3</v>
          </cell>
          <cell r="Q5932">
            <v>1.5</v>
          </cell>
          <cell r="T5932">
            <v>36.799999999999997</v>
          </cell>
        </row>
        <row r="5933">
          <cell r="G5933">
            <v>42614</v>
          </cell>
          <cell r="L5933" t="str">
            <v>01-26-152-96W1</v>
          </cell>
          <cell r="O5933">
            <v>818.2</v>
          </cell>
          <cell r="Q5933">
            <v>0.33</v>
          </cell>
          <cell r="T5933">
            <v>34.606999999999999</v>
          </cell>
        </row>
        <row r="5934">
          <cell r="G5934">
            <v>42614</v>
          </cell>
          <cell r="L5934" t="str">
            <v>15-04-143-101W1</v>
          </cell>
          <cell r="O5934">
            <v>835.1</v>
          </cell>
          <cell r="Q5934">
            <v>0.52</v>
          </cell>
          <cell r="T5934">
            <v>34.103999999999999</v>
          </cell>
        </row>
        <row r="5935">
          <cell r="G5935">
            <v>42614</v>
          </cell>
          <cell r="L5935" t="str">
            <v>01-18-163-92W1</v>
          </cell>
          <cell r="O5935">
            <v>836.2</v>
          </cell>
          <cell r="Q5935">
            <v>0.59</v>
          </cell>
          <cell r="T5935">
            <v>33.756999999999998</v>
          </cell>
        </row>
        <row r="5936">
          <cell r="G5936">
            <v>42614</v>
          </cell>
          <cell r="L5936" t="str">
            <v>01-02-163-92W1</v>
          </cell>
          <cell r="O5936">
            <v>846.4</v>
          </cell>
          <cell r="Q5936">
            <v>0.53</v>
          </cell>
          <cell r="T5936">
            <v>33.701000000000001</v>
          </cell>
        </row>
        <row r="5937">
          <cell r="G5937">
            <v>42614</v>
          </cell>
          <cell r="L5937" t="str">
            <v>01-13-022-57W1</v>
          </cell>
          <cell r="O5937">
            <v>800.5</v>
          </cell>
          <cell r="Q5937">
            <v>0.11</v>
          </cell>
          <cell r="T5937">
            <v>33.584000000000003</v>
          </cell>
        </row>
        <row r="5938">
          <cell r="G5938">
            <v>42614</v>
          </cell>
          <cell r="L5938" t="str">
            <v>01-32-164-01W1</v>
          </cell>
          <cell r="O5938">
            <v>829.9</v>
          </cell>
          <cell r="Q5938">
            <v>0.53</v>
          </cell>
          <cell r="T5938">
            <v>33.442999999999998</v>
          </cell>
        </row>
        <row r="5939">
          <cell r="G5939">
            <v>42614</v>
          </cell>
          <cell r="L5939" t="str">
            <v>01-10-152-96W1</v>
          </cell>
          <cell r="O5939">
            <v>822.8</v>
          </cell>
          <cell r="Q5939">
            <v>0.35</v>
          </cell>
          <cell r="T5939">
            <v>33.293999999999997</v>
          </cell>
        </row>
        <row r="5940">
          <cell r="G5940">
            <v>42614</v>
          </cell>
          <cell r="L5940" t="str">
            <v>24-01-160-96W1</v>
          </cell>
          <cell r="O5940">
            <v>828.7</v>
          </cell>
          <cell r="Q5940">
            <v>0.49</v>
          </cell>
          <cell r="T5940">
            <v>33.158999999999999</v>
          </cell>
        </row>
        <row r="5941">
          <cell r="G5941">
            <v>42614</v>
          </cell>
          <cell r="L5941" t="str">
            <v>01-21-153-95W1</v>
          </cell>
          <cell r="O5941">
            <v>820.6</v>
          </cell>
          <cell r="Q5941">
            <v>0.37</v>
          </cell>
          <cell r="T5941">
            <v>32.878999999999998</v>
          </cell>
        </row>
        <row r="5942">
          <cell r="G5942">
            <v>42614</v>
          </cell>
          <cell r="L5942" t="str">
            <v>01-03-153-95W1</v>
          </cell>
          <cell r="O5942">
            <v>830.2</v>
          </cell>
          <cell r="Q5942">
            <v>0.5</v>
          </cell>
          <cell r="T5942">
            <v>32.771999999999998</v>
          </cell>
        </row>
        <row r="5943">
          <cell r="G5943">
            <v>42614</v>
          </cell>
          <cell r="L5943" t="str">
            <v>01-05-150-96W1</v>
          </cell>
          <cell r="O5943">
            <v>813.6</v>
          </cell>
          <cell r="Q5943">
            <v>0.24</v>
          </cell>
          <cell r="T5943">
            <v>32.713999999999999</v>
          </cell>
        </row>
        <row r="5944">
          <cell r="G5944">
            <v>42614</v>
          </cell>
          <cell r="L5944" t="str">
            <v>11-15-163-89W1</v>
          </cell>
          <cell r="O5944">
            <v>848</v>
          </cell>
          <cell r="Q5944">
            <v>0.6</v>
          </cell>
          <cell r="T5944">
            <v>32.555999999999997</v>
          </cell>
        </row>
        <row r="5945">
          <cell r="G5945">
            <v>42614</v>
          </cell>
          <cell r="L5945" t="str">
            <v>03-05-157-95W1</v>
          </cell>
          <cell r="O5945">
            <v>838</v>
          </cell>
          <cell r="Q5945">
            <v>0.69</v>
          </cell>
          <cell r="T5945">
            <v>32.152000000000001</v>
          </cell>
        </row>
        <row r="5946">
          <cell r="G5946">
            <v>42614</v>
          </cell>
          <cell r="L5946" t="str">
            <v>01-31-159-95W1</v>
          </cell>
          <cell r="O5946">
            <v>842</v>
          </cell>
          <cell r="Q5946">
            <v>0.68</v>
          </cell>
          <cell r="T5946">
            <v>32.116999999999997</v>
          </cell>
        </row>
        <row r="5947">
          <cell r="G5947">
            <v>42614</v>
          </cell>
          <cell r="L5947" t="str">
            <v>24-01-142-100W1</v>
          </cell>
          <cell r="O5947">
            <v>826.3</v>
          </cell>
          <cell r="Q5947">
            <v>0.08</v>
          </cell>
          <cell r="T5947">
            <v>31.864999999999998</v>
          </cell>
        </row>
        <row r="5948">
          <cell r="G5948">
            <v>42614</v>
          </cell>
          <cell r="L5948" t="str">
            <v>04-04-157-95W1</v>
          </cell>
          <cell r="O5948">
            <v>838.4</v>
          </cell>
          <cell r="Q5948">
            <v>0.62</v>
          </cell>
          <cell r="T5948">
            <v>31.774999999999999</v>
          </cell>
        </row>
        <row r="5949">
          <cell r="G5949">
            <v>42614</v>
          </cell>
          <cell r="L5949" t="str">
            <v>03-16-163-91W1</v>
          </cell>
          <cell r="O5949">
            <v>836.6</v>
          </cell>
          <cell r="Q5949">
            <v>0.47</v>
          </cell>
          <cell r="T5949">
            <v>31.212</v>
          </cell>
        </row>
        <row r="5950">
          <cell r="G5950">
            <v>42614</v>
          </cell>
          <cell r="L5950" t="str">
            <v>01-12-144-98W1</v>
          </cell>
          <cell r="O5950">
            <v>817.7</v>
          </cell>
          <cell r="Q5950">
            <v>0.46</v>
          </cell>
          <cell r="T5950">
            <v>30.744</v>
          </cell>
        </row>
        <row r="5951">
          <cell r="G5951">
            <v>42614</v>
          </cell>
          <cell r="L5951" t="str">
            <v>01-25-156-93W1</v>
          </cell>
          <cell r="O5951">
            <v>809.5</v>
          </cell>
          <cell r="Q5951">
            <v>0.12</v>
          </cell>
          <cell r="T5951">
            <v>30.693999999999999</v>
          </cell>
        </row>
        <row r="5952">
          <cell r="G5952">
            <v>42614</v>
          </cell>
          <cell r="L5952" t="str">
            <v>05-01-144-97W1</v>
          </cell>
          <cell r="O5952">
            <v>823.3</v>
          </cell>
          <cell r="Q5952">
            <v>0.48</v>
          </cell>
          <cell r="T5952">
            <v>30.253</v>
          </cell>
        </row>
        <row r="5953">
          <cell r="G5953">
            <v>42614</v>
          </cell>
          <cell r="L5953" t="str">
            <v>01-33-164-91W1</v>
          </cell>
          <cell r="O5953">
            <v>828.8</v>
          </cell>
          <cell r="Q5953">
            <v>0.52</v>
          </cell>
          <cell r="T5953">
            <v>30.114000000000001</v>
          </cell>
        </row>
        <row r="5954">
          <cell r="G5954">
            <v>42614</v>
          </cell>
          <cell r="L5954" t="str">
            <v>01-28-141-100W1</v>
          </cell>
          <cell r="O5954">
            <v>826.7</v>
          </cell>
          <cell r="Q5954">
            <v>0.37</v>
          </cell>
          <cell r="T5954">
            <v>29.981999999999999</v>
          </cell>
        </row>
        <row r="5955">
          <cell r="G5955">
            <v>42614</v>
          </cell>
          <cell r="L5955" t="str">
            <v>16-24-008-07W2</v>
          </cell>
          <cell r="O5955">
            <v>829.9</v>
          </cell>
          <cell r="Q5955">
            <v>0.61</v>
          </cell>
          <cell r="T5955">
            <v>29.712</v>
          </cell>
        </row>
        <row r="5956">
          <cell r="G5956">
            <v>42614</v>
          </cell>
          <cell r="L5956" t="str">
            <v>01-10-163-89W1</v>
          </cell>
          <cell r="O5956">
            <v>851.7</v>
          </cell>
          <cell r="Q5956">
            <v>0.53</v>
          </cell>
          <cell r="T5956">
            <v>29.460999999999999</v>
          </cell>
        </row>
        <row r="5957">
          <cell r="G5957">
            <v>42614</v>
          </cell>
          <cell r="L5957" t="str">
            <v>01-27-163-91W1</v>
          </cell>
          <cell r="O5957">
            <v>853.2</v>
          </cell>
          <cell r="Q5957">
            <v>0.53</v>
          </cell>
          <cell r="T5957">
            <v>29.082000000000001</v>
          </cell>
        </row>
        <row r="5958">
          <cell r="G5958">
            <v>42614</v>
          </cell>
          <cell r="L5958" t="str">
            <v>03-03-157-95W1</v>
          </cell>
          <cell r="O5958">
            <v>820.2</v>
          </cell>
          <cell r="Q5958">
            <v>0.33</v>
          </cell>
          <cell r="T5958">
            <v>28.672000000000001</v>
          </cell>
        </row>
        <row r="5959">
          <cell r="G5959">
            <v>42614</v>
          </cell>
          <cell r="L5959" t="str">
            <v>03-01-158-95W1</v>
          </cell>
          <cell r="O5959">
            <v>827.6</v>
          </cell>
          <cell r="Q5959">
            <v>0.61</v>
          </cell>
          <cell r="T5959">
            <v>28.666</v>
          </cell>
        </row>
        <row r="5960">
          <cell r="G5960">
            <v>42614</v>
          </cell>
          <cell r="L5960" t="str">
            <v>01-34-159-95W1</v>
          </cell>
          <cell r="O5960">
            <v>833.9</v>
          </cell>
          <cell r="Q5960">
            <v>0.56999999999999995</v>
          </cell>
          <cell r="T5960">
            <v>28.545000000000002</v>
          </cell>
        </row>
        <row r="5961">
          <cell r="G5961">
            <v>42614</v>
          </cell>
          <cell r="L5961" t="str">
            <v>04-03-157-95W1</v>
          </cell>
          <cell r="O5961">
            <v>834.9</v>
          </cell>
          <cell r="Q5961">
            <v>0.62</v>
          </cell>
          <cell r="T5961">
            <v>28.364000000000001</v>
          </cell>
        </row>
        <row r="5962">
          <cell r="G5962">
            <v>42614</v>
          </cell>
          <cell r="L5962" t="str">
            <v>01-03-158-95W1</v>
          </cell>
          <cell r="O5962">
            <v>839.9</v>
          </cell>
          <cell r="Q5962">
            <v>0.77</v>
          </cell>
          <cell r="T5962">
            <v>28.227</v>
          </cell>
        </row>
        <row r="5963">
          <cell r="G5963">
            <v>42614</v>
          </cell>
          <cell r="L5963" t="str">
            <v>01-11-161-92W1</v>
          </cell>
          <cell r="O5963">
            <v>853.5</v>
          </cell>
          <cell r="Q5963">
            <v>0.77</v>
          </cell>
          <cell r="T5963">
            <v>28.164999999999999</v>
          </cell>
        </row>
        <row r="5964">
          <cell r="G5964">
            <v>42614</v>
          </cell>
          <cell r="L5964" t="str">
            <v>07-33-161-91W1</v>
          </cell>
          <cell r="O5964">
            <v>846</v>
          </cell>
          <cell r="Q5964">
            <v>0.71</v>
          </cell>
          <cell r="T5964">
            <v>28.143000000000001</v>
          </cell>
        </row>
        <row r="5965">
          <cell r="G5965">
            <v>42614</v>
          </cell>
          <cell r="L5965" t="str">
            <v>01-14-001-11W2</v>
          </cell>
          <cell r="O5965">
            <v>843.9</v>
          </cell>
          <cell r="Q5965">
            <v>0.26</v>
          </cell>
          <cell r="T5965">
            <v>28.085999999999999</v>
          </cell>
        </row>
        <row r="5966">
          <cell r="G5966">
            <v>42614</v>
          </cell>
          <cell r="L5966" t="str">
            <v>01-08-162-95W1</v>
          </cell>
          <cell r="O5966">
            <v>851.7</v>
          </cell>
          <cell r="Q5966">
            <v>0.8</v>
          </cell>
          <cell r="T5966">
            <v>27.594999999999999</v>
          </cell>
        </row>
        <row r="5967">
          <cell r="G5967">
            <v>42614</v>
          </cell>
          <cell r="L5967" t="str">
            <v>20-01-161-90W1</v>
          </cell>
          <cell r="O5967">
            <v>862.5</v>
          </cell>
          <cell r="Q5967">
            <v>1.4</v>
          </cell>
          <cell r="T5967">
            <v>27.539000000000001</v>
          </cell>
        </row>
        <row r="5968">
          <cell r="G5968">
            <v>42614</v>
          </cell>
          <cell r="L5968" t="str">
            <v>01-11-163-91W1</v>
          </cell>
          <cell r="O5968">
            <v>857.2</v>
          </cell>
          <cell r="Q5968">
            <v>0.47</v>
          </cell>
          <cell r="T5968">
            <v>27.312000000000001</v>
          </cell>
        </row>
        <row r="5969">
          <cell r="G5969">
            <v>42614</v>
          </cell>
          <cell r="L5969" t="str">
            <v>01-18-162-91W1</v>
          </cell>
          <cell r="O5969">
            <v>858.1</v>
          </cell>
          <cell r="Q5969">
            <v>0.87</v>
          </cell>
          <cell r="T5969">
            <v>26.346</v>
          </cell>
        </row>
        <row r="5970">
          <cell r="G5970">
            <v>42614</v>
          </cell>
          <cell r="L5970" t="str">
            <v>01-34-164-92W1</v>
          </cell>
          <cell r="O5970">
            <v>829.7</v>
          </cell>
          <cell r="Q5970">
            <v>0.6</v>
          </cell>
          <cell r="T5970">
            <v>25.728999999999999</v>
          </cell>
        </row>
        <row r="5971">
          <cell r="G5971">
            <v>42614</v>
          </cell>
          <cell r="L5971" t="str">
            <v>01-21-159-94W1</v>
          </cell>
          <cell r="O5971">
            <v>831.9</v>
          </cell>
          <cell r="Q5971">
            <v>0.4</v>
          </cell>
          <cell r="T5971">
            <v>25.536000000000001</v>
          </cell>
        </row>
        <row r="5972">
          <cell r="G5972">
            <v>42614</v>
          </cell>
          <cell r="L5972" t="str">
            <v>01-31-164-91W1</v>
          </cell>
          <cell r="O5972">
            <v>851.2</v>
          </cell>
          <cell r="Q5972">
            <v>0.57999999999999996</v>
          </cell>
          <cell r="T5972">
            <v>24.852</v>
          </cell>
        </row>
        <row r="5973">
          <cell r="G5973">
            <v>42614</v>
          </cell>
          <cell r="L5973" t="str">
            <v>01-24-144-98W1</v>
          </cell>
          <cell r="O5973">
            <v>824.3</v>
          </cell>
          <cell r="Q5973">
            <v>0.47</v>
          </cell>
          <cell r="T5973">
            <v>21.422000000000001</v>
          </cell>
        </row>
        <row r="5974">
          <cell r="G5974">
            <v>42614</v>
          </cell>
          <cell r="L5974" t="str">
            <v>01-36-003-03W2</v>
          </cell>
          <cell r="O5974">
            <v>835.4</v>
          </cell>
          <cell r="Q5974">
            <v>0.81</v>
          </cell>
          <cell r="T5974">
            <v>526.62400000000002</v>
          </cell>
        </row>
        <row r="5975">
          <cell r="G5975">
            <v>42614</v>
          </cell>
          <cell r="L5975" t="str">
            <v>07-23-010-06W2</v>
          </cell>
          <cell r="O5975">
            <v>844.6</v>
          </cell>
          <cell r="Q5975">
            <v>1.45</v>
          </cell>
          <cell r="T5975">
            <v>473.13600000000002</v>
          </cell>
        </row>
        <row r="5976">
          <cell r="G5976">
            <v>42614</v>
          </cell>
          <cell r="L5976" t="str">
            <v>13-14-010-05W2</v>
          </cell>
          <cell r="O5976">
            <v>852.6</v>
          </cell>
          <cell r="Q5976">
            <v>1.61</v>
          </cell>
          <cell r="T5976">
            <v>140.821</v>
          </cell>
        </row>
        <row r="5977">
          <cell r="G5977">
            <v>42614</v>
          </cell>
          <cell r="L5977" t="str">
            <v>11-36-005-04W2</v>
          </cell>
          <cell r="O5977">
            <v>856.6</v>
          </cell>
          <cell r="Q5977">
            <v>1.1299999999999999</v>
          </cell>
          <cell r="T5977">
            <v>73.92</v>
          </cell>
        </row>
        <row r="5978">
          <cell r="G5978">
            <v>42614</v>
          </cell>
          <cell r="L5978" t="str">
            <v>12-22-010-05W2</v>
          </cell>
          <cell r="O5978">
            <v>869.1</v>
          </cell>
          <cell r="Q5978">
            <v>1.84</v>
          </cell>
          <cell r="T5978">
            <v>67.040999999999997</v>
          </cell>
        </row>
        <row r="5979">
          <cell r="G5979">
            <v>42614</v>
          </cell>
          <cell r="L5979" t="str">
            <v>05-16-006-13W2</v>
          </cell>
          <cell r="O5979">
            <v>870.1</v>
          </cell>
          <cell r="Q5979">
            <v>2.31</v>
          </cell>
          <cell r="T5979">
            <v>111219.577</v>
          </cell>
        </row>
        <row r="5980">
          <cell r="G5980">
            <v>42614</v>
          </cell>
          <cell r="L5980" t="str">
            <v>08-28-005-33W1</v>
          </cell>
          <cell r="O5980">
            <v>818.5</v>
          </cell>
          <cell r="Q5980">
            <v>0.94</v>
          </cell>
          <cell r="T5980">
            <v>104382.30499999999</v>
          </cell>
        </row>
        <row r="5981">
          <cell r="G5981">
            <v>42614</v>
          </cell>
          <cell r="L5981" t="str">
            <v>15-26-001-31W1</v>
          </cell>
          <cell r="O5981">
            <v>876</v>
          </cell>
          <cell r="Q5981">
            <v>2.09</v>
          </cell>
          <cell r="T5981">
            <v>6444.5910000000003</v>
          </cell>
        </row>
        <row r="5982">
          <cell r="G5982">
            <v>42614</v>
          </cell>
          <cell r="L5982" t="str">
            <v>14-05-002-31W1</v>
          </cell>
          <cell r="O5982">
            <v>861.2</v>
          </cell>
          <cell r="Q5982">
            <v>1.62</v>
          </cell>
          <cell r="T5982">
            <v>2999.038</v>
          </cell>
        </row>
        <row r="5983">
          <cell r="G5983">
            <v>42614</v>
          </cell>
          <cell r="L5983" t="str">
            <v>01-03-003-33W1</v>
          </cell>
          <cell r="O5983">
            <v>858.2</v>
          </cell>
          <cell r="Q5983">
            <v>1.41</v>
          </cell>
          <cell r="T5983">
            <v>2121.6329999999998</v>
          </cell>
        </row>
        <row r="5984">
          <cell r="G5984">
            <v>42614</v>
          </cell>
          <cell r="L5984" t="str">
            <v>14-03-001-03W2</v>
          </cell>
          <cell r="O5984">
            <v>815.3</v>
          </cell>
          <cell r="Q5984">
            <v>0.12</v>
          </cell>
          <cell r="T5984">
            <v>1908.0029999999999</v>
          </cell>
        </row>
        <row r="5985">
          <cell r="G5985">
            <v>42614</v>
          </cell>
          <cell r="L5985" t="str">
            <v>14-13-002-02W2</v>
          </cell>
          <cell r="O5985">
            <v>833.2</v>
          </cell>
          <cell r="Q5985">
            <v>0.55000000000000004</v>
          </cell>
          <cell r="T5985">
            <v>1858.7860000000001</v>
          </cell>
        </row>
        <row r="5986">
          <cell r="G5986">
            <v>42614</v>
          </cell>
          <cell r="L5986" t="str">
            <v>13-03-006-34W1</v>
          </cell>
          <cell r="O5986">
            <v>842.6</v>
          </cell>
          <cell r="Q5986">
            <v>1.19</v>
          </cell>
          <cell r="T5986">
            <v>1140.518</v>
          </cell>
        </row>
        <row r="5987">
          <cell r="G5987">
            <v>42614</v>
          </cell>
          <cell r="L5987" t="str">
            <v>16-03-008-33W1</v>
          </cell>
          <cell r="O5987">
            <v>846.8</v>
          </cell>
          <cell r="Q5987">
            <v>1.22</v>
          </cell>
          <cell r="T5987">
            <v>1016.436</v>
          </cell>
        </row>
        <row r="5988">
          <cell r="G5988">
            <v>42614</v>
          </cell>
          <cell r="L5988" t="str">
            <v>01-35-007-01W2</v>
          </cell>
          <cell r="O5988">
            <v>847.1</v>
          </cell>
          <cell r="Q5988">
            <v>1.1399999999999999</v>
          </cell>
          <cell r="T5988">
            <v>961.36300000000006</v>
          </cell>
        </row>
        <row r="5989">
          <cell r="G5989">
            <v>42614</v>
          </cell>
          <cell r="L5989" t="str">
            <v>05-20-001-02W2</v>
          </cell>
          <cell r="O5989">
            <v>829.5</v>
          </cell>
          <cell r="Q5989">
            <v>0.53</v>
          </cell>
          <cell r="T5989">
            <v>767.74400000000003</v>
          </cell>
        </row>
        <row r="5990">
          <cell r="G5990">
            <v>42614</v>
          </cell>
          <cell r="L5990" t="str">
            <v>16-04-006-32W1</v>
          </cell>
          <cell r="O5990">
            <v>843.4</v>
          </cell>
          <cell r="Q5990">
            <v>1.07</v>
          </cell>
          <cell r="T5990">
            <v>547.74300000000005</v>
          </cell>
        </row>
        <row r="5991">
          <cell r="G5991">
            <v>42614</v>
          </cell>
          <cell r="L5991" t="str">
            <v>16-31-001-32W1</v>
          </cell>
          <cell r="O5991">
            <v>848</v>
          </cell>
          <cell r="Q5991">
            <v>1.1000000000000001</v>
          </cell>
          <cell r="T5991">
            <v>530.39499999999998</v>
          </cell>
        </row>
        <row r="5992">
          <cell r="G5992">
            <v>42614</v>
          </cell>
          <cell r="L5992" t="str">
            <v>13-17-005-33W1</v>
          </cell>
          <cell r="O5992">
            <v>828.1</v>
          </cell>
          <cell r="Q5992">
            <v>0.64</v>
          </cell>
          <cell r="T5992">
            <v>412.55500000000001</v>
          </cell>
        </row>
        <row r="5993">
          <cell r="G5993">
            <v>42614</v>
          </cell>
          <cell r="L5993" t="str">
            <v>14-19-006-33W1</v>
          </cell>
          <cell r="O5993">
            <v>842</v>
          </cell>
          <cell r="Q5993">
            <v>1.18</v>
          </cell>
          <cell r="T5993">
            <v>380.80700000000002</v>
          </cell>
        </row>
        <row r="5994">
          <cell r="G5994">
            <v>42614</v>
          </cell>
          <cell r="L5994" t="str">
            <v>08-02-008-03W2</v>
          </cell>
          <cell r="O5994">
            <v>856.2</v>
          </cell>
          <cell r="Q5994">
            <v>1.46</v>
          </cell>
          <cell r="T5994">
            <v>358.68700000000001</v>
          </cell>
        </row>
        <row r="5995">
          <cell r="G5995">
            <v>42614</v>
          </cell>
          <cell r="L5995" t="str">
            <v>01-01-010-04W2</v>
          </cell>
          <cell r="O5995">
            <v>844</v>
          </cell>
          <cell r="Q5995">
            <v>1.23</v>
          </cell>
          <cell r="T5995">
            <v>302.82400000000001</v>
          </cell>
        </row>
        <row r="5996">
          <cell r="G5996">
            <v>42614</v>
          </cell>
          <cell r="L5996" t="str">
            <v>14-23-005-02W2</v>
          </cell>
          <cell r="O5996">
            <v>851.2</v>
          </cell>
          <cell r="Q5996">
            <v>1.35</v>
          </cell>
          <cell r="T5996">
            <v>259.49200000000002</v>
          </cell>
        </row>
        <row r="5997">
          <cell r="G5997">
            <v>42614</v>
          </cell>
          <cell r="L5997" t="str">
            <v>04-11-004-32W1</v>
          </cell>
          <cell r="O5997">
            <v>857</v>
          </cell>
          <cell r="Q5997">
            <v>1.57</v>
          </cell>
          <cell r="T5997">
            <v>191.84800000000001</v>
          </cell>
        </row>
        <row r="5998">
          <cell r="G5998">
            <v>42614</v>
          </cell>
          <cell r="L5998" t="str">
            <v>05-31-002-01W2</v>
          </cell>
          <cell r="O5998">
            <v>830</v>
          </cell>
          <cell r="Q5998">
            <v>0.48</v>
          </cell>
          <cell r="T5998">
            <v>164.83</v>
          </cell>
        </row>
        <row r="5999">
          <cell r="G5999">
            <v>42614</v>
          </cell>
          <cell r="L5999" t="str">
            <v>10-17-007-33W1</v>
          </cell>
          <cell r="O5999">
            <v>846.7</v>
          </cell>
          <cell r="Q5999">
            <v>1.17</v>
          </cell>
          <cell r="T5999">
            <v>162.774</v>
          </cell>
        </row>
        <row r="6000">
          <cell r="G6000">
            <v>42614</v>
          </cell>
          <cell r="L6000" t="str">
            <v>04-05-006-02W2</v>
          </cell>
          <cell r="O6000">
            <v>846.9</v>
          </cell>
          <cell r="Q6000">
            <v>1.17</v>
          </cell>
          <cell r="T6000">
            <v>146.63499999999999</v>
          </cell>
        </row>
        <row r="6001">
          <cell r="G6001">
            <v>42614</v>
          </cell>
          <cell r="L6001" t="str">
            <v>01-06-002-32W1</v>
          </cell>
          <cell r="O6001">
            <v>842.6</v>
          </cell>
          <cell r="Q6001">
            <v>0.81</v>
          </cell>
          <cell r="T6001">
            <v>135.32</v>
          </cell>
        </row>
        <row r="6002">
          <cell r="G6002">
            <v>42614</v>
          </cell>
          <cell r="L6002" t="str">
            <v>16-16-006-02W2</v>
          </cell>
          <cell r="O6002">
            <v>849.8</v>
          </cell>
          <cell r="Q6002">
            <v>1.1399999999999999</v>
          </cell>
          <cell r="T6002">
            <v>134.221</v>
          </cell>
        </row>
        <row r="6003">
          <cell r="G6003">
            <v>42614</v>
          </cell>
          <cell r="L6003" t="str">
            <v>15-14-014-30W1</v>
          </cell>
          <cell r="O6003">
            <v>892.2</v>
          </cell>
          <cell r="Q6003">
            <v>2.31</v>
          </cell>
          <cell r="T6003">
            <v>119.376</v>
          </cell>
        </row>
        <row r="6004">
          <cell r="G6004">
            <v>42614</v>
          </cell>
          <cell r="L6004" t="str">
            <v>13-13-002-33W1</v>
          </cell>
          <cell r="O6004">
            <v>833.2</v>
          </cell>
          <cell r="Q6004">
            <v>0.72</v>
          </cell>
          <cell r="T6004">
            <v>108.62</v>
          </cell>
        </row>
        <row r="6005">
          <cell r="G6005">
            <v>42614</v>
          </cell>
          <cell r="L6005" t="str">
            <v>14-24-001-02W2</v>
          </cell>
          <cell r="O6005">
            <v>850</v>
          </cell>
          <cell r="Q6005">
            <v>0.79</v>
          </cell>
          <cell r="T6005">
            <v>86.585999999999999</v>
          </cell>
        </row>
        <row r="6006">
          <cell r="G6006">
            <v>42614</v>
          </cell>
          <cell r="L6006" t="str">
            <v>09-24-001-01W2</v>
          </cell>
          <cell r="O6006">
            <v>829.7</v>
          </cell>
          <cell r="Q6006">
            <v>0.67</v>
          </cell>
          <cell r="T6006">
            <v>81.296000000000006</v>
          </cell>
        </row>
        <row r="6007">
          <cell r="G6007">
            <v>42614</v>
          </cell>
          <cell r="L6007" t="str">
            <v>08-21-004-01W2</v>
          </cell>
          <cell r="O6007">
            <v>830</v>
          </cell>
          <cell r="Q6007">
            <v>0.92</v>
          </cell>
          <cell r="T6007">
            <v>75.450999999999993</v>
          </cell>
        </row>
        <row r="6008">
          <cell r="G6008">
            <v>42614</v>
          </cell>
          <cell r="L6008" t="str">
            <v>16-21-003-33W1</v>
          </cell>
          <cell r="O6008">
            <v>858.1</v>
          </cell>
          <cell r="Q6008">
            <v>1.84</v>
          </cell>
          <cell r="T6008">
            <v>74.644999999999996</v>
          </cell>
        </row>
        <row r="6009">
          <cell r="G6009">
            <v>42614</v>
          </cell>
          <cell r="L6009" t="str">
            <v>02-14-006-02W2</v>
          </cell>
          <cell r="O6009">
            <v>859.3</v>
          </cell>
          <cell r="Q6009">
            <v>1.1599999999999999</v>
          </cell>
          <cell r="T6009">
            <v>65.715000000000003</v>
          </cell>
        </row>
        <row r="6010">
          <cell r="G6010">
            <v>42614</v>
          </cell>
          <cell r="L6010" t="str">
            <v>12-20-008-02W2</v>
          </cell>
          <cell r="O6010">
            <v>861.3</v>
          </cell>
          <cell r="Q6010">
            <v>1.77</v>
          </cell>
          <cell r="T6010">
            <v>62.652999999999999</v>
          </cell>
        </row>
        <row r="6011">
          <cell r="G6011">
            <v>42614</v>
          </cell>
          <cell r="L6011" t="str">
            <v>16-15-008-03W2</v>
          </cell>
          <cell r="O6011">
            <v>857.1</v>
          </cell>
          <cell r="Q6011">
            <v>1.54</v>
          </cell>
          <cell r="T6011">
            <v>56.32</v>
          </cell>
        </row>
        <row r="6012">
          <cell r="G6012">
            <v>42614</v>
          </cell>
          <cell r="L6012" t="str">
            <v>10-29-005-33W1</v>
          </cell>
          <cell r="O6012">
            <v>834.4</v>
          </cell>
          <cell r="Q6012">
            <v>0.87</v>
          </cell>
          <cell r="T6012">
            <v>32.058</v>
          </cell>
        </row>
        <row r="6013">
          <cell r="G6013">
            <v>42614</v>
          </cell>
          <cell r="L6013" t="str">
            <v>09-01-002-34W1</v>
          </cell>
          <cell r="O6013">
            <v>832.3</v>
          </cell>
          <cell r="Q6013">
            <v>0.55000000000000004</v>
          </cell>
          <cell r="T6013">
            <v>27.645</v>
          </cell>
        </row>
        <row r="6014">
          <cell r="G6014">
            <v>42614</v>
          </cell>
          <cell r="L6014" t="str">
            <v>01-10-002-03W2</v>
          </cell>
          <cell r="O6014">
            <v>840.7</v>
          </cell>
          <cell r="Q6014">
            <v>0.67</v>
          </cell>
          <cell r="T6014">
            <v>26.137</v>
          </cell>
        </row>
        <row r="6015">
          <cell r="G6015">
            <v>42614</v>
          </cell>
          <cell r="L6015" t="str">
            <v>16-03-001-03W2</v>
          </cell>
          <cell r="O6015">
            <v>825.9</v>
          </cell>
          <cell r="Q6015">
            <v>0.62</v>
          </cell>
          <cell r="T6015">
            <v>25.864999999999998</v>
          </cell>
        </row>
        <row r="6016">
          <cell r="G6016">
            <v>42614</v>
          </cell>
          <cell r="L6016" t="str">
            <v>07-26-005-02W2</v>
          </cell>
          <cell r="O6016">
            <v>853.3</v>
          </cell>
          <cell r="Q6016">
            <v>1.1599999999999999</v>
          </cell>
          <cell r="T6016">
            <v>16.974</v>
          </cell>
        </row>
        <row r="6017">
          <cell r="G6017">
            <v>42614</v>
          </cell>
          <cell r="L6017" t="str">
            <v>07-31-005-33W1</v>
          </cell>
          <cell r="O6017">
            <v>830.4</v>
          </cell>
          <cell r="Q6017">
            <v>0.68</v>
          </cell>
          <cell r="T6017">
            <v>1475.828</v>
          </cell>
        </row>
        <row r="6018">
          <cell r="G6018">
            <v>42614</v>
          </cell>
          <cell r="L6018" t="str">
            <v>15-09-007-03W2</v>
          </cell>
          <cell r="O6018">
            <v>849</v>
          </cell>
          <cell r="Q6018">
            <v>1.39</v>
          </cell>
          <cell r="T6018">
            <v>1283.981</v>
          </cell>
        </row>
        <row r="6019">
          <cell r="G6019">
            <v>42614</v>
          </cell>
          <cell r="L6019" t="str">
            <v>04-36-004-02W2</v>
          </cell>
          <cell r="O6019">
            <v>856.3</v>
          </cell>
          <cell r="Q6019">
            <v>1.58</v>
          </cell>
          <cell r="T6019">
            <v>313.42200000000003</v>
          </cell>
        </row>
        <row r="6020">
          <cell r="G6020">
            <v>42614</v>
          </cell>
          <cell r="L6020" t="str">
            <v>14-04-006-33W1</v>
          </cell>
          <cell r="O6020">
            <v>836.1</v>
          </cell>
          <cell r="Q6020">
            <v>0.85</v>
          </cell>
          <cell r="T6020">
            <v>59.326999999999998</v>
          </cell>
        </row>
        <row r="6021">
          <cell r="G6021">
            <v>42614</v>
          </cell>
          <cell r="L6021" t="str">
            <v>ALStream</v>
          </cell>
          <cell r="T6021">
            <v>0</v>
          </cell>
        </row>
        <row r="6022">
          <cell r="G6022">
            <v>42614</v>
          </cell>
          <cell r="L6022" t="str">
            <v>MWStream</v>
          </cell>
          <cell r="T6022">
            <v>0</v>
          </cell>
        </row>
        <row r="6023">
          <cell r="G6023">
            <v>42614</v>
          </cell>
          <cell r="L6023" t="str">
            <v>ALStream</v>
          </cell>
          <cell r="O6023">
            <v>830.3</v>
          </cell>
          <cell r="Q6023">
            <v>0.91</v>
          </cell>
          <cell r="T6023">
            <v>-85293.29</v>
          </cell>
        </row>
        <row r="6024">
          <cell r="G6024">
            <v>42614</v>
          </cell>
          <cell r="L6024" t="str">
            <v>MWStream</v>
          </cell>
          <cell r="O6024">
            <v>834.1</v>
          </cell>
          <cell r="Q6024">
            <v>1.06</v>
          </cell>
          <cell r="T6024">
            <v>-4030.857</v>
          </cell>
        </row>
        <row r="6025">
          <cell r="G6025">
            <v>42644</v>
          </cell>
          <cell r="L6025" t="str">
            <v>01-19-004-12W2</v>
          </cell>
          <cell r="O6025">
            <v>899.7</v>
          </cell>
          <cell r="Q6025">
            <v>2.62</v>
          </cell>
          <cell r="T6025">
            <v>14.715</v>
          </cell>
        </row>
        <row r="6026">
          <cell r="G6026">
            <v>42644</v>
          </cell>
          <cell r="L6026" t="str">
            <v>09-26-004-32W1</v>
          </cell>
          <cell r="O6026">
            <v>866</v>
          </cell>
          <cell r="Q6026">
            <v>1.29</v>
          </cell>
          <cell r="T6026">
            <v>30.385999999999999</v>
          </cell>
        </row>
        <row r="6027">
          <cell r="G6027">
            <v>42644</v>
          </cell>
          <cell r="L6027" t="str">
            <v>03-05-005-11W2</v>
          </cell>
          <cell r="O6027">
            <v>870.9</v>
          </cell>
          <cell r="Q6027">
            <v>1.55</v>
          </cell>
          <cell r="T6027">
            <v>40.652999999999999</v>
          </cell>
        </row>
        <row r="6028">
          <cell r="G6028">
            <v>42644</v>
          </cell>
          <cell r="L6028" t="str">
            <v>08-14-004-07W2</v>
          </cell>
          <cell r="O6028">
            <v>873.3</v>
          </cell>
          <cell r="Q6028">
            <v>1.24</v>
          </cell>
          <cell r="T6028">
            <v>49.686999999999998</v>
          </cell>
        </row>
        <row r="6029">
          <cell r="G6029">
            <v>42644</v>
          </cell>
          <cell r="L6029" t="str">
            <v>10-21-006-32W1</v>
          </cell>
          <cell r="O6029">
            <v>836.1</v>
          </cell>
          <cell r="Q6029">
            <v>0.83</v>
          </cell>
          <cell r="T6029">
            <v>69.037999999999997</v>
          </cell>
        </row>
        <row r="6030">
          <cell r="G6030">
            <v>42644</v>
          </cell>
          <cell r="L6030" t="str">
            <v>08-18-011-03W2</v>
          </cell>
          <cell r="O6030">
            <v>858.3</v>
          </cell>
          <cell r="Q6030">
            <v>1.72</v>
          </cell>
          <cell r="T6030">
            <v>69.587999999999994</v>
          </cell>
        </row>
        <row r="6031">
          <cell r="G6031">
            <v>42644</v>
          </cell>
          <cell r="L6031" t="str">
            <v>01-15-005-32W1</v>
          </cell>
          <cell r="O6031">
            <v>846.5</v>
          </cell>
          <cell r="Q6031">
            <v>1.06</v>
          </cell>
          <cell r="T6031">
            <v>76.918999999999997</v>
          </cell>
        </row>
        <row r="6032">
          <cell r="G6032">
            <v>42644</v>
          </cell>
          <cell r="L6032" t="str">
            <v>03-19-001-31W1</v>
          </cell>
          <cell r="O6032">
            <v>870</v>
          </cell>
          <cell r="Q6032">
            <v>1.85</v>
          </cell>
          <cell r="T6032">
            <v>81.968999999999994</v>
          </cell>
        </row>
        <row r="6033">
          <cell r="G6033">
            <v>42644</v>
          </cell>
          <cell r="L6033" t="str">
            <v>07-24-001-32W1</v>
          </cell>
          <cell r="O6033">
            <v>851.5</v>
          </cell>
          <cell r="Q6033">
            <v>1.57</v>
          </cell>
          <cell r="T6033">
            <v>85.385000000000005</v>
          </cell>
        </row>
        <row r="6034">
          <cell r="G6034">
            <v>42644</v>
          </cell>
          <cell r="L6034" t="str">
            <v>09-30-007-08W2</v>
          </cell>
          <cell r="O6034">
            <v>839.8</v>
          </cell>
          <cell r="Q6034">
            <v>1.2</v>
          </cell>
          <cell r="T6034">
            <v>95.183999999999997</v>
          </cell>
        </row>
        <row r="6035">
          <cell r="G6035">
            <v>42644</v>
          </cell>
          <cell r="L6035" t="str">
            <v>09-30-002-30W1</v>
          </cell>
          <cell r="O6035">
            <v>863.2</v>
          </cell>
          <cell r="Q6035">
            <v>1.72</v>
          </cell>
          <cell r="T6035">
            <v>91.769000000000005</v>
          </cell>
        </row>
        <row r="6036">
          <cell r="G6036">
            <v>42644</v>
          </cell>
          <cell r="L6036" t="str">
            <v>02-27-004-33W1</v>
          </cell>
          <cell r="O6036">
            <v>831.7</v>
          </cell>
          <cell r="Q6036">
            <v>0.71</v>
          </cell>
          <cell r="T6036">
            <v>94.513999999999996</v>
          </cell>
        </row>
        <row r="6037">
          <cell r="G6037">
            <v>42644</v>
          </cell>
          <cell r="L6037" t="str">
            <v>09-31-007-12W2</v>
          </cell>
          <cell r="O6037">
            <v>868.7</v>
          </cell>
          <cell r="Q6037">
            <v>2.15</v>
          </cell>
          <cell r="T6037">
            <v>105.523</v>
          </cell>
        </row>
        <row r="6038">
          <cell r="G6038">
            <v>42644</v>
          </cell>
          <cell r="L6038" t="str">
            <v>01-11-005-04W2</v>
          </cell>
          <cell r="O6038">
            <v>862.6</v>
          </cell>
          <cell r="Q6038">
            <v>1.99</v>
          </cell>
          <cell r="T6038">
            <v>108.869</v>
          </cell>
        </row>
        <row r="6039">
          <cell r="G6039">
            <v>42644</v>
          </cell>
          <cell r="L6039" t="str">
            <v>16-08-007-12W2</v>
          </cell>
          <cell r="O6039">
            <v>859.4</v>
          </cell>
          <cell r="Q6039">
            <v>2.1</v>
          </cell>
          <cell r="T6039">
            <v>122.102</v>
          </cell>
        </row>
        <row r="6040">
          <cell r="G6040">
            <v>42644</v>
          </cell>
          <cell r="L6040" t="str">
            <v>16-24-004-01W2</v>
          </cell>
          <cell r="O6040">
            <v>829.2</v>
          </cell>
          <cell r="Q6040">
            <v>0.61</v>
          </cell>
          <cell r="T6040">
            <v>114.167</v>
          </cell>
        </row>
        <row r="6041">
          <cell r="G6041">
            <v>42644</v>
          </cell>
          <cell r="L6041" t="str">
            <v>14-04-007-13W2</v>
          </cell>
          <cell r="O6041">
            <v>855.9</v>
          </cell>
          <cell r="Q6041">
            <v>1.76</v>
          </cell>
          <cell r="T6041">
            <v>126.80800000000001</v>
          </cell>
        </row>
        <row r="6042">
          <cell r="G6042">
            <v>42644</v>
          </cell>
          <cell r="L6042" t="str">
            <v>04-15-008-33W1</v>
          </cell>
          <cell r="O6042">
            <v>844.3</v>
          </cell>
          <cell r="Q6042">
            <v>1.1599999999999999</v>
          </cell>
          <cell r="T6042">
            <v>118.093</v>
          </cell>
        </row>
        <row r="6043">
          <cell r="G6043">
            <v>42644</v>
          </cell>
          <cell r="L6043" t="str">
            <v>15-09-010-08W2</v>
          </cell>
          <cell r="O6043">
            <v>885.1</v>
          </cell>
          <cell r="Q6043">
            <v>2.5299999999999998</v>
          </cell>
          <cell r="T6043">
            <v>131.12700000000001</v>
          </cell>
        </row>
        <row r="6044">
          <cell r="G6044">
            <v>42644</v>
          </cell>
          <cell r="L6044" t="str">
            <v>08-01-004-32W1</v>
          </cell>
          <cell r="O6044">
            <v>858</v>
          </cell>
          <cell r="Q6044">
            <v>1.62</v>
          </cell>
          <cell r="T6044">
            <v>126.241</v>
          </cell>
        </row>
        <row r="6045">
          <cell r="G6045">
            <v>42644</v>
          </cell>
          <cell r="L6045" t="str">
            <v>16-27-004-33W1</v>
          </cell>
          <cell r="O6045">
            <v>847</v>
          </cell>
          <cell r="Q6045">
            <v>1.28</v>
          </cell>
          <cell r="T6045">
            <v>129.12799999999999</v>
          </cell>
        </row>
        <row r="6046">
          <cell r="G6046">
            <v>42644</v>
          </cell>
          <cell r="L6046" t="str">
            <v>16-16-010-02W2</v>
          </cell>
          <cell r="O6046">
            <v>856.3</v>
          </cell>
          <cell r="Q6046">
            <v>1.72</v>
          </cell>
          <cell r="T6046">
            <v>138.49299999999999</v>
          </cell>
        </row>
        <row r="6047">
          <cell r="G6047">
            <v>42644</v>
          </cell>
          <cell r="L6047" t="str">
            <v>03-13-006-33W1</v>
          </cell>
          <cell r="O6047">
            <v>836.4</v>
          </cell>
          <cell r="Q6047">
            <v>0.78</v>
          </cell>
          <cell r="T6047">
            <v>137.52600000000001</v>
          </cell>
        </row>
        <row r="6048">
          <cell r="G6048">
            <v>42644</v>
          </cell>
          <cell r="L6048" t="str">
            <v>09-08-004-33W1</v>
          </cell>
          <cell r="O6048">
            <v>833.8</v>
          </cell>
          <cell r="Q6048">
            <v>0.71</v>
          </cell>
          <cell r="T6048">
            <v>144.48099999999999</v>
          </cell>
        </row>
        <row r="6049">
          <cell r="G6049">
            <v>42644</v>
          </cell>
          <cell r="L6049" t="str">
            <v>09-23-002-01W2</v>
          </cell>
          <cell r="O6049">
            <v>844.9</v>
          </cell>
          <cell r="Q6049">
            <v>0.93</v>
          </cell>
          <cell r="T6049">
            <v>143.96</v>
          </cell>
        </row>
        <row r="6050">
          <cell r="G6050">
            <v>42644</v>
          </cell>
          <cell r="L6050" t="str">
            <v>13-17-001-31W1</v>
          </cell>
          <cell r="O6050">
            <v>848.2</v>
          </cell>
          <cell r="Q6050">
            <v>1.35</v>
          </cell>
          <cell r="T6050">
            <v>147.21899999999999</v>
          </cell>
        </row>
        <row r="6051">
          <cell r="G6051">
            <v>42644</v>
          </cell>
          <cell r="L6051" t="str">
            <v>15-09-010-02W2</v>
          </cell>
          <cell r="O6051">
            <v>859.8</v>
          </cell>
          <cell r="Q6051">
            <v>1.73</v>
          </cell>
          <cell r="T6051">
            <v>151.26900000000001</v>
          </cell>
        </row>
        <row r="6052">
          <cell r="G6052">
            <v>42644</v>
          </cell>
          <cell r="L6052" t="str">
            <v>13-34-007-14W2</v>
          </cell>
          <cell r="O6052">
            <v>867.4</v>
          </cell>
          <cell r="Q6052">
            <v>2.09</v>
          </cell>
          <cell r="T6052">
            <v>171.846</v>
          </cell>
        </row>
        <row r="6053">
          <cell r="G6053">
            <v>42644</v>
          </cell>
          <cell r="L6053" t="str">
            <v>03-05-006-05W2</v>
          </cell>
          <cell r="O6053">
            <v>855.4</v>
          </cell>
          <cell r="Q6053">
            <v>1.1599999999999999</v>
          </cell>
          <cell r="T6053">
            <v>168.804</v>
          </cell>
        </row>
        <row r="6054">
          <cell r="G6054">
            <v>42644</v>
          </cell>
          <cell r="L6054" t="str">
            <v>05-01-001-32W1</v>
          </cell>
          <cell r="O6054">
            <v>869.7</v>
          </cell>
          <cell r="Q6054">
            <v>1.57</v>
          </cell>
          <cell r="T6054">
            <v>168.411</v>
          </cell>
        </row>
        <row r="6055">
          <cell r="G6055">
            <v>42644</v>
          </cell>
          <cell r="L6055" t="str">
            <v>10-09-004-33W1</v>
          </cell>
          <cell r="O6055">
            <v>838.1</v>
          </cell>
          <cell r="Q6055">
            <v>0.67</v>
          </cell>
          <cell r="T6055">
            <v>168.881</v>
          </cell>
        </row>
        <row r="6056">
          <cell r="G6056">
            <v>42644</v>
          </cell>
          <cell r="L6056" t="str">
            <v>12-12-005-34W1</v>
          </cell>
          <cell r="O6056">
            <v>825.8</v>
          </cell>
          <cell r="Q6056">
            <v>0.59</v>
          </cell>
          <cell r="T6056">
            <v>192.60400000000001</v>
          </cell>
        </row>
        <row r="6057">
          <cell r="G6057">
            <v>42644</v>
          </cell>
          <cell r="L6057" t="str">
            <v>02-30-001-31W1</v>
          </cell>
          <cell r="O6057">
            <v>866.3</v>
          </cell>
          <cell r="Q6057">
            <v>1.59</v>
          </cell>
          <cell r="T6057">
            <v>198.91900000000001</v>
          </cell>
        </row>
        <row r="6058">
          <cell r="G6058">
            <v>42644</v>
          </cell>
          <cell r="L6058" t="str">
            <v>09-18-007-04W2</v>
          </cell>
          <cell r="O6058">
            <v>862.9</v>
          </cell>
          <cell r="Q6058">
            <v>1.41</v>
          </cell>
          <cell r="T6058">
            <v>211.83500000000001</v>
          </cell>
        </row>
        <row r="6059">
          <cell r="G6059">
            <v>42644</v>
          </cell>
          <cell r="L6059" t="str">
            <v>02-17-005-31W1</v>
          </cell>
          <cell r="O6059">
            <v>847</v>
          </cell>
          <cell r="Q6059">
            <v>1.29</v>
          </cell>
          <cell r="T6059">
            <v>210.74100000000001</v>
          </cell>
        </row>
        <row r="6060">
          <cell r="G6060">
            <v>42644</v>
          </cell>
          <cell r="L6060" t="str">
            <v>01-24-007-05W2</v>
          </cell>
          <cell r="O6060">
            <v>846</v>
          </cell>
          <cell r="Q6060">
            <v>1.29</v>
          </cell>
          <cell r="T6060">
            <v>212.03299999999999</v>
          </cell>
        </row>
        <row r="6061">
          <cell r="G6061">
            <v>42644</v>
          </cell>
          <cell r="L6061" t="str">
            <v>15-30-007-12W2</v>
          </cell>
          <cell r="O6061">
            <v>868.2</v>
          </cell>
          <cell r="Q6061">
            <v>2.38</v>
          </cell>
          <cell r="T6061">
            <v>246.20699999999999</v>
          </cell>
        </row>
        <row r="6062">
          <cell r="G6062">
            <v>42644</v>
          </cell>
          <cell r="L6062" t="str">
            <v>07-36-001-34W1</v>
          </cell>
          <cell r="O6062">
            <v>852.4</v>
          </cell>
          <cell r="Q6062">
            <v>1.1499999999999999</v>
          </cell>
          <cell r="T6062">
            <v>213.91900000000001</v>
          </cell>
        </row>
        <row r="6063">
          <cell r="G6063">
            <v>42644</v>
          </cell>
          <cell r="L6063" t="str">
            <v>07-25-003-13W2</v>
          </cell>
          <cell r="O6063">
            <v>889.4</v>
          </cell>
          <cell r="Q6063">
            <v>2.4300000000000002</v>
          </cell>
          <cell r="T6063">
            <v>248.28</v>
          </cell>
        </row>
        <row r="6064">
          <cell r="G6064">
            <v>42644</v>
          </cell>
          <cell r="L6064" t="str">
            <v>13-25-001-01W2</v>
          </cell>
          <cell r="O6064">
            <v>839.9</v>
          </cell>
          <cell r="Q6064">
            <v>0.81</v>
          </cell>
          <cell r="T6064">
            <v>222.17500000000001</v>
          </cell>
        </row>
        <row r="6065">
          <cell r="G6065">
            <v>42644</v>
          </cell>
          <cell r="L6065" t="str">
            <v>04-11-007-13W2</v>
          </cell>
          <cell r="O6065">
            <v>853.4</v>
          </cell>
          <cell r="Q6065">
            <v>1.91</v>
          </cell>
          <cell r="T6065">
            <v>263.68700000000001</v>
          </cell>
        </row>
        <row r="6066">
          <cell r="G6066">
            <v>42644</v>
          </cell>
          <cell r="L6066" t="str">
            <v>11-23-002-34W1</v>
          </cell>
          <cell r="O6066">
            <v>837.4</v>
          </cell>
          <cell r="Q6066">
            <v>0.76</v>
          </cell>
          <cell r="T6066">
            <v>234.858</v>
          </cell>
        </row>
        <row r="6067">
          <cell r="G6067">
            <v>42644</v>
          </cell>
          <cell r="L6067" t="str">
            <v>02-18-007-13W2</v>
          </cell>
          <cell r="O6067">
            <v>868.7</v>
          </cell>
          <cell r="Q6067">
            <v>1.74</v>
          </cell>
          <cell r="T6067">
            <v>279.517</v>
          </cell>
        </row>
        <row r="6068">
          <cell r="G6068">
            <v>42644</v>
          </cell>
          <cell r="L6068" t="str">
            <v>15-21-008-03W2</v>
          </cell>
          <cell r="O6068">
            <v>852.3</v>
          </cell>
          <cell r="Q6068">
            <v>1.46</v>
          </cell>
          <cell r="T6068">
            <v>238.49700000000001</v>
          </cell>
        </row>
        <row r="6069">
          <cell r="G6069">
            <v>42644</v>
          </cell>
          <cell r="L6069" t="str">
            <v>01-29-004-07W2</v>
          </cell>
          <cell r="O6069">
            <v>892.5</v>
          </cell>
          <cell r="Q6069">
            <v>2.0099999999999998</v>
          </cell>
          <cell r="T6069">
            <v>261.53899999999999</v>
          </cell>
        </row>
        <row r="6070">
          <cell r="G6070">
            <v>42644</v>
          </cell>
          <cell r="L6070" t="str">
            <v>12-22-007-11W2</v>
          </cell>
          <cell r="O6070">
            <v>828.8</v>
          </cell>
          <cell r="Q6070">
            <v>1.52</v>
          </cell>
          <cell r="T6070">
            <v>5449.4639999999999</v>
          </cell>
        </row>
        <row r="6071">
          <cell r="G6071">
            <v>42644</v>
          </cell>
          <cell r="L6071" t="str">
            <v>14-33-006-14W2</v>
          </cell>
          <cell r="O6071">
            <v>851.5</v>
          </cell>
          <cell r="Q6071">
            <v>1.68</v>
          </cell>
          <cell r="T6071">
            <v>2241.83</v>
          </cell>
        </row>
        <row r="6072">
          <cell r="G6072">
            <v>42644</v>
          </cell>
          <cell r="L6072" t="str">
            <v>07-02-007-11W2</v>
          </cell>
          <cell r="O6072">
            <v>861.2</v>
          </cell>
          <cell r="Q6072">
            <v>1.28</v>
          </cell>
          <cell r="T6072">
            <v>1551.171</v>
          </cell>
        </row>
        <row r="6073">
          <cell r="G6073">
            <v>42644</v>
          </cell>
          <cell r="L6073" t="str">
            <v>04-21-006-14W2</v>
          </cell>
          <cell r="O6073">
            <v>865.5</v>
          </cell>
          <cell r="Q6073">
            <v>2.06</v>
          </cell>
          <cell r="T6073">
            <v>1508.7149999999999</v>
          </cell>
        </row>
        <row r="6074">
          <cell r="G6074">
            <v>42644</v>
          </cell>
          <cell r="L6074" t="str">
            <v>01-22-006-14W2</v>
          </cell>
          <cell r="O6074">
            <v>864.7</v>
          </cell>
          <cell r="Q6074">
            <v>2.14</v>
          </cell>
          <cell r="T6074">
            <v>966.83699999999999</v>
          </cell>
        </row>
        <row r="6075">
          <cell r="G6075">
            <v>42644</v>
          </cell>
          <cell r="L6075" t="str">
            <v>01-03-008-13W2</v>
          </cell>
          <cell r="O6075">
            <v>855.1</v>
          </cell>
          <cell r="Q6075">
            <v>2.0499999999999998</v>
          </cell>
          <cell r="T6075">
            <v>417.63</v>
          </cell>
        </row>
        <row r="6076">
          <cell r="G6076">
            <v>42644</v>
          </cell>
          <cell r="L6076" t="str">
            <v>03-06-005-12W2</v>
          </cell>
          <cell r="O6076">
            <v>882</v>
          </cell>
          <cell r="Q6076">
            <v>2.4</v>
          </cell>
          <cell r="T6076">
            <v>401.56</v>
          </cell>
        </row>
        <row r="6077">
          <cell r="G6077">
            <v>42644</v>
          </cell>
          <cell r="L6077" t="str">
            <v>10-22-006-14W2</v>
          </cell>
          <cell r="O6077">
            <v>850.4</v>
          </cell>
          <cell r="Q6077">
            <v>1.64</v>
          </cell>
          <cell r="T6077">
            <v>346.18700000000001</v>
          </cell>
        </row>
        <row r="6078">
          <cell r="G6078">
            <v>42644</v>
          </cell>
          <cell r="L6078" t="str">
            <v>07-12-006-11W2</v>
          </cell>
          <cell r="O6078">
            <v>869.8</v>
          </cell>
          <cell r="Q6078">
            <v>2.0099999999999998</v>
          </cell>
          <cell r="T6078">
            <v>21514.228999999999</v>
          </cell>
        </row>
        <row r="6079">
          <cell r="G6079">
            <v>42644</v>
          </cell>
          <cell r="L6079" t="str">
            <v>09-13-007-11W2</v>
          </cell>
          <cell r="O6079">
            <v>816.6</v>
          </cell>
          <cell r="Q6079">
            <v>0.37</v>
          </cell>
          <cell r="T6079">
            <v>19410.237000000001</v>
          </cell>
        </row>
        <row r="6080">
          <cell r="G6080">
            <v>42644</v>
          </cell>
          <cell r="L6080" t="str">
            <v>14-27-001-13W2</v>
          </cell>
          <cell r="O6080">
            <v>823.2</v>
          </cell>
          <cell r="Q6080">
            <v>0.12</v>
          </cell>
          <cell r="T6080">
            <v>18306.618999999999</v>
          </cell>
        </row>
        <row r="6081">
          <cell r="G6081">
            <v>42644</v>
          </cell>
          <cell r="L6081" t="str">
            <v>01-21-001-14W2</v>
          </cell>
          <cell r="O6081">
            <v>803.5</v>
          </cell>
          <cell r="Q6081">
            <v>0.14000000000000001</v>
          </cell>
          <cell r="T6081">
            <v>16558.739000000001</v>
          </cell>
        </row>
        <row r="6082">
          <cell r="G6082">
            <v>42644</v>
          </cell>
          <cell r="L6082" t="str">
            <v>13-30-007-10W2</v>
          </cell>
          <cell r="O6082">
            <v>813.8</v>
          </cell>
          <cell r="Q6082">
            <v>0.6</v>
          </cell>
          <cell r="T6082">
            <v>12295.069</v>
          </cell>
        </row>
        <row r="6083">
          <cell r="G6083">
            <v>42644</v>
          </cell>
          <cell r="L6083" t="str">
            <v>08-31-004-18W2</v>
          </cell>
          <cell r="O6083">
            <v>857.6</v>
          </cell>
          <cell r="Q6083">
            <v>1.87</v>
          </cell>
          <cell r="T6083">
            <v>8302.1929999999993</v>
          </cell>
        </row>
        <row r="6084">
          <cell r="G6084">
            <v>42644</v>
          </cell>
          <cell r="L6084" t="str">
            <v>01-28-002-14W2</v>
          </cell>
          <cell r="O6084">
            <v>849.9</v>
          </cell>
          <cell r="Q6084">
            <v>1.49</v>
          </cell>
          <cell r="T6084">
            <v>5497.5420000000004</v>
          </cell>
        </row>
        <row r="6085">
          <cell r="G6085">
            <v>42644</v>
          </cell>
          <cell r="L6085" t="str">
            <v>04-05-002-15W2</v>
          </cell>
          <cell r="O6085">
            <v>871.5</v>
          </cell>
          <cell r="Q6085">
            <v>2.04</v>
          </cell>
          <cell r="T6085">
            <v>3620.2669999999998</v>
          </cell>
        </row>
        <row r="6086">
          <cell r="G6086">
            <v>42644</v>
          </cell>
          <cell r="L6086" t="str">
            <v>05-31-003-16W2</v>
          </cell>
          <cell r="O6086">
            <v>893.1</v>
          </cell>
          <cell r="Q6086">
            <v>2.42</v>
          </cell>
          <cell r="T6086">
            <v>3375.6750000000002</v>
          </cell>
        </row>
        <row r="6087">
          <cell r="G6087">
            <v>42644</v>
          </cell>
          <cell r="L6087" t="str">
            <v>11-02-005-12W2</v>
          </cell>
          <cell r="O6087">
            <v>834.4</v>
          </cell>
          <cell r="Q6087">
            <v>1.63</v>
          </cell>
          <cell r="T6087">
            <v>3356.9569999999999</v>
          </cell>
        </row>
        <row r="6088">
          <cell r="G6088">
            <v>42644</v>
          </cell>
          <cell r="L6088" t="str">
            <v>05-18-004-17W2</v>
          </cell>
          <cell r="O6088">
            <v>862.2</v>
          </cell>
          <cell r="Q6088">
            <v>2.14</v>
          </cell>
          <cell r="T6088">
            <v>1960.5219999999999</v>
          </cell>
        </row>
        <row r="6089">
          <cell r="G6089">
            <v>42644</v>
          </cell>
          <cell r="L6089" t="str">
            <v>16-23-006-11W2</v>
          </cell>
          <cell r="O6089">
            <v>868.5</v>
          </cell>
          <cell r="Q6089">
            <v>2.2799999999999998</v>
          </cell>
          <cell r="T6089">
            <v>1766.7460000000001</v>
          </cell>
        </row>
        <row r="6090">
          <cell r="G6090">
            <v>42644</v>
          </cell>
          <cell r="L6090" t="str">
            <v>11-04-005-12W2</v>
          </cell>
          <cell r="O6090">
            <v>878.2</v>
          </cell>
          <cell r="Q6090">
            <v>2.0299999999999998</v>
          </cell>
          <cell r="T6090">
            <v>1592.7660000000001</v>
          </cell>
        </row>
        <row r="6091">
          <cell r="G6091">
            <v>42644</v>
          </cell>
          <cell r="L6091" t="str">
            <v>15-25-007-11W2</v>
          </cell>
          <cell r="O6091">
            <v>871.3</v>
          </cell>
          <cell r="Q6091">
            <v>1.94</v>
          </cell>
          <cell r="T6091">
            <v>1467.9090000000001</v>
          </cell>
        </row>
        <row r="6092">
          <cell r="G6092">
            <v>42644</v>
          </cell>
          <cell r="L6092" t="str">
            <v>13-02-007-14W2</v>
          </cell>
          <cell r="O6092">
            <v>855.9</v>
          </cell>
          <cell r="Q6092">
            <v>1.81</v>
          </cell>
          <cell r="T6092">
            <v>1461.8389999999999</v>
          </cell>
        </row>
        <row r="6093">
          <cell r="G6093">
            <v>42644</v>
          </cell>
          <cell r="L6093" t="str">
            <v>11-26-002-19W2</v>
          </cell>
          <cell r="O6093">
            <v>872.2</v>
          </cell>
          <cell r="Q6093">
            <v>1.84</v>
          </cell>
          <cell r="T6093">
            <v>1453.55</v>
          </cell>
        </row>
        <row r="6094">
          <cell r="G6094">
            <v>42644</v>
          </cell>
          <cell r="L6094" t="str">
            <v>15-32-004-12W2</v>
          </cell>
          <cell r="O6094">
            <v>878.7</v>
          </cell>
          <cell r="Q6094">
            <v>2.14</v>
          </cell>
          <cell r="T6094">
            <v>1391.009</v>
          </cell>
        </row>
        <row r="6095">
          <cell r="G6095">
            <v>42644</v>
          </cell>
          <cell r="L6095" t="str">
            <v>06-03-001-16W2</v>
          </cell>
          <cell r="O6095">
            <v>833.8</v>
          </cell>
          <cell r="Q6095">
            <v>1.1299999999999999</v>
          </cell>
          <cell r="T6095">
            <v>1345.0039999999999</v>
          </cell>
        </row>
        <row r="6096">
          <cell r="G6096">
            <v>42644</v>
          </cell>
          <cell r="L6096" t="str">
            <v>15-33-006-14W2</v>
          </cell>
          <cell r="O6096">
            <v>844.1</v>
          </cell>
          <cell r="Q6096">
            <v>1.65</v>
          </cell>
          <cell r="T6096">
            <v>1206.5250000000001</v>
          </cell>
        </row>
        <row r="6097">
          <cell r="G6097">
            <v>42644</v>
          </cell>
          <cell r="L6097" t="str">
            <v>12-25-004-19W2</v>
          </cell>
          <cell r="O6097">
            <v>866.6</v>
          </cell>
          <cell r="Q6097">
            <v>2.35</v>
          </cell>
          <cell r="T6097">
            <v>790.36</v>
          </cell>
        </row>
        <row r="6098">
          <cell r="G6098">
            <v>42644</v>
          </cell>
          <cell r="L6098" t="str">
            <v>02-29-001-17W2</v>
          </cell>
          <cell r="O6098">
            <v>861.2</v>
          </cell>
          <cell r="Q6098">
            <v>1.74</v>
          </cell>
          <cell r="T6098">
            <v>655.37800000000004</v>
          </cell>
        </row>
        <row r="6099">
          <cell r="G6099">
            <v>42644</v>
          </cell>
          <cell r="L6099" t="str">
            <v>05-35-006-11W2</v>
          </cell>
          <cell r="O6099">
            <v>807.9</v>
          </cell>
          <cell r="Q6099">
            <v>0.1</v>
          </cell>
          <cell r="T6099">
            <v>479.084</v>
          </cell>
        </row>
        <row r="6100">
          <cell r="G6100">
            <v>42644</v>
          </cell>
          <cell r="L6100" t="str">
            <v>09-28-001-15W2</v>
          </cell>
          <cell r="O6100">
            <v>862.6</v>
          </cell>
          <cell r="Q6100">
            <v>1.05</v>
          </cell>
          <cell r="T6100">
            <v>347.012</v>
          </cell>
        </row>
        <row r="6101">
          <cell r="G6101">
            <v>42644</v>
          </cell>
          <cell r="L6101" t="str">
            <v>03-12-002-19W2</v>
          </cell>
          <cell r="O6101">
            <v>872.9</v>
          </cell>
          <cell r="Q6101">
            <v>2.23</v>
          </cell>
          <cell r="T6101">
            <v>310.39400000000001</v>
          </cell>
        </row>
        <row r="6102">
          <cell r="G6102">
            <v>42644</v>
          </cell>
          <cell r="L6102" t="str">
            <v>02-08-004-33W1</v>
          </cell>
          <cell r="O6102">
            <v>834.9</v>
          </cell>
          <cell r="Q6102">
            <v>0.65</v>
          </cell>
          <cell r="T6102">
            <v>248.023</v>
          </cell>
        </row>
        <row r="6103">
          <cell r="G6103">
            <v>42644</v>
          </cell>
          <cell r="L6103" t="str">
            <v>14-18-001-04W2</v>
          </cell>
          <cell r="O6103">
            <v>826.9</v>
          </cell>
          <cell r="Q6103">
            <v>0.53</v>
          </cell>
          <cell r="T6103">
            <v>285.35399999999998</v>
          </cell>
        </row>
        <row r="6104">
          <cell r="G6104">
            <v>42644</v>
          </cell>
          <cell r="L6104" t="str">
            <v>16-09-004-31W1</v>
          </cell>
          <cell r="O6104">
            <v>868.7</v>
          </cell>
          <cell r="Q6104">
            <v>1.81</v>
          </cell>
          <cell r="T6104">
            <v>273.24400000000003</v>
          </cell>
        </row>
        <row r="6105">
          <cell r="G6105">
            <v>42644</v>
          </cell>
          <cell r="L6105" t="str">
            <v>01-07-006-10W2</v>
          </cell>
          <cell r="O6105">
            <v>824.7</v>
          </cell>
          <cell r="Q6105">
            <v>1.76</v>
          </cell>
          <cell r="T6105">
            <v>27657.157999999999</v>
          </cell>
        </row>
        <row r="6106">
          <cell r="G6106">
            <v>42644</v>
          </cell>
          <cell r="L6106" t="str">
            <v>08-31-009-01W2</v>
          </cell>
          <cell r="O6106">
            <v>860.2</v>
          </cell>
          <cell r="Q6106">
            <v>1.7</v>
          </cell>
          <cell r="T6106">
            <v>269.154</v>
          </cell>
        </row>
        <row r="6107">
          <cell r="G6107">
            <v>42644</v>
          </cell>
          <cell r="L6107" t="str">
            <v>08-31-005-03W2</v>
          </cell>
          <cell r="O6107">
            <v>851.8</v>
          </cell>
          <cell r="Q6107">
            <v>1.05</v>
          </cell>
          <cell r="T6107">
            <v>276.17</v>
          </cell>
        </row>
        <row r="6108">
          <cell r="G6108">
            <v>42644</v>
          </cell>
          <cell r="L6108" t="str">
            <v>10-33-003-31W1</v>
          </cell>
          <cell r="O6108">
            <v>879.1</v>
          </cell>
          <cell r="Q6108">
            <v>0.88</v>
          </cell>
          <cell r="T6108">
            <v>288.50400000000002</v>
          </cell>
        </row>
        <row r="6109">
          <cell r="G6109">
            <v>42644</v>
          </cell>
          <cell r="L6109" t="str">
            <v>03-33-008-06W2</v>
          </cell>
          <cell r="O6109">
            <v>810.8</v>
          </cell>
          <cell r="Q6109">
            <v>0.19</v>
          </cell>
          <cell r="T6109">
            <v>13035.477000000001</v>
          </cell>
        </row>
        <row r="6110">
          <cell r="G6110">
            <v>42644</v>
          </cell>
          <cell r="L6110" t="str">
            <v>12-06-009-07W2</v>
          </cell>
          <cell r="O6110">
            <v>814</v>
          </cell>
          <cell r="Q6110">
            <v>0.17</v>
          </cell>
          <cell r="T6110">
            <v>9076.2080000000005</v>
          </cell>
        </row>
        <row r="6111">
          <cell r="G6111">
            <v>42644</v>
          </cell>
          <cell r="L6111" t="str">
            <v>02-26-009-09W2</v>
          </cell>
          <cell r="O6111">
            <v>812.6</v>
          </cell>
          <cell r="Q6111">
            <v>0.16</v>
          </cell>
          <cell r="T6111">
            <v>7104.24</v>
          </cell>
        </row>
        <row r="6112">
          <cell r="G6112">
            <v>42644</v>
          </cell>
          <cell r="L6112" t="str">
            <v>03-17-011-06W2</v>
          </cell>
          <cell r="O6112">
            <v>884.7</v>
          </cell>
          <cell r="Q6112">
            <v>2.57</v>
          </cell>
          <cell r="T6112">
            <v>1644.9780000000001</v>
          </cell>
        </row>
        <row r="6113">
          <cell r="G6113">
            <v>42644</v>
          </cell>
          <cell r="L6113" t="str">
            <v>09-10-009-06W2</v>
          </cell>
          <cell r="O6113">
            <v>855.1</v>
          </cell>
          <cell r="Q6113">
            <v>1.65</v>
          </cell>
          <cell r="T6113">
            <v>1404.14</v>
          </cell>
        </row>
        <row r="6114">
          <cell r="G6114">
            <v>42644</v>
          </cell>
          <cell r="L6114" t="str">
            <v>13-14-009-09W2</v>
          </cell>
          <cell r="O6114">
            <v>866.8</v>
          </cell>
          <cell r="Q6114">
            <v>1.89</v>
          </cell>
          <cell r="T6114">
            <v>1157.0070000000001</v>
          </cell>
        </row>
        <row r="6115">
          <cell r="G6115">
            <v>42644</v>
          </cell>
          <cell r="L6115" t="str">
            <v>04-18-009-06W2</v>
          </cell>
          <cell r="O6115">
            <v>824.2</v>
          </cell>
          <cell r="Q6115">
            <v>0.88</v>
          </cell>
          <cell r="T6115">
            <v>1150.646</v>
          </cell>
        </row>
        <row r="6116">
          <cell r="G6116">
            <v>42644</v>
          </cell>
          <cell r="L6116" t="str">
            <v>03-15-012-06W2</v>
          </cell>
          <cell r="O6116">
            <v>887.3</v>
          </cell>
          <cell r="Q6116">
            <v>2.57</v>
          </cell>
          <cell r="T6116">
            <v>1127.202</v>
          </cell>
        </row>
        <row r="6117">
          <cell r="G6117">
            <v>42644</v>
          </cell>
          <cell r="L6117" t="str">
            <v>09-26-007-09W2</v>
          </cell>
          <cell r="O6117">
            <v>818.2</v>
          </cell>
          <cell r="Q6117">
            <v>0.48</v>
          </cell>
          <cell r="T6117">
            <v>564.25900000000001</v>
          </cell>
        </row>
        <row r="6118">
          <cell r="G6118">
            <v>42644</v>
          </cell>
          <cell r="L6118" t="str">
            <v>05-31-009-07W2</v>
          </cell>
          <cell r="O6118">
            <v>877.8</v>
          </cell>
          <cell r="Q6118">
            <v>2.31</v>
          </cell>
          <cell r="T6118">
            <v>541.79899999999998</v>
          </cell>
        </row>
        <row r="6119">
          <cell r="G6119">
            <v>42644</v>
          </cell>
          <cell r="L6119" t="str">
            <v>07-23-006-02W2</v>
          </cell>
          <cell r="O6119">
            <v>845.6</v>
          </cell>
          <cell r="Q6119">
            <v>1.1100000000000001</v>
          </cell>
          <cell r="T6119">
            <v>290.02800000000002</v>
          </cell>
        </row>
        <row r="6120">
          <cell r="G6120">
            <v>42644</v>
          </cell>
          <cell r="L6120" t="str">
            <v>04-08-008-08W2</v>
          </cell>
          <cell r="O6120">
            <v>807.4</v>
          </cell>
          <cell r="Q6120">
            <v>0.2</v>
          </cell>
          <cell r="T6120">
            <v>46867.624000000003</v>
          </cell>
        </row>
        <row r="6121">
          <cell r="G6121">
            <v>42644</v>
          </cell>
          <cell r="L6121" t="str">
            <v>09-14-009-08W2</v>
          </cell>
          <cell r="O6121">
            <v>805.2</v>
          </cell>
          <cell r="Q6121">
            <v>0.15</v>
          </cell>
          <cell r="T6121">
            <v>40279.834000000003</v>
          </cell>
        </row>
        <row r="6122">
          <cell r="G6122">
            <v>42644</v>
          </cell>
          <cell r="L6122" t="str">
            <v>13-29-008-07W2</v>
          </cell>
          <cell r="O6122">
            <v>802.3</v>
          </cell>
          <cell r="Q6122">
            <v>0.13</v>
          </cell>
          <cell r="T6122">
            <v>21747.737000000001</v>
          </cell>
        </row>
        <row r="6123">
          <cell r="G6123">
            <v>42644</v>
          </cell>
          <cell r="L6123" t="str">
            <v>11-15-007-09W2</v>
          </cell>
          <cell r="O6123">
            <v>823.9</v>
          </cell>
          <cell r="Q6123">
            <v>0.55000000000000004</v>
          </cell>
          <cell r="T6123">
            <v>6959.81</v>
          </cell>
        </row>
        <row r="6124">
          <cell r="G6124">
            <v>42644</v>
          </cell>
          <cell r="L6124" t="str">
            <v>13-18-010-06W2</v>
          </cell>
          <cell r="O6124">
            <v>832.3</v>
          </cell>
          <cell r="Q6124">
            <v>0.9</v>
          </cell>
          <cell r="T6124">
            <v>4137.9409999999998</v>
          </cell>
        </row>
        <row r="6125">
          <cell r="G6125">
            <v>42644</v>
          </cell>
          <cell r="L6125" t="str">
            <v>09-20-008-08W2</v>
          </cell>
          <cell r="O6125">
            <v>815.1</v>
          </cell>
          <cell r="Q6125">
            <v>0.33</v>
          </cell>
          <cell r="T6125">
            <v>3280.5830000000001</v>
          </cell>
        </row>
        <row r="6126">
          <cell r="G6126">
            <v>42644</v>
          </cell>
          <cell r="L6126" t="str">
            <v>05-13-009-06W2</v>
          </cell>
          <cell r="O6126">
            <v>848.5</v>
          </cell>
          <cell r="Q6126">
            <v>1.51</v>
          </cell>
          <cell r="T6126">
            <v>1876.03</v>
          </cell>
        </row>
        <row r="6127">
          <cell r="G6127">
            <v>42644</v>
          </cell>
          <cell r="L6127" t="str">
            <v>15-23-006-08W2</v>
          </cell>
          <cell r="O6127">
            <v>869</v>
          </cell>
          <cell r="Q6127">
            <v>1.86</v>
          </cell>
          <cell r="T6127">
            <v>1618.277</v>
          </cell>
        </row>
        <row r="6128">
          <cell r="G6128">
            <v>42644</v>
          </cell>
          <cell r="L6128" t="str">
            <v>05-13-008-06W2</v>
          </cell>
          <cell r="O6128">
            <v>820.5</v>
          </cell>
          <cell r="Q6128">
            <v>0.51</v>
          </cell>
          <cell r="T6128">
            <v>1392.6369999999999</v>
          </cell>
        </row>
        <row r="6129">
          <cell r="G6129">
            <v>42644</v>
          </cell>
          <cell r="L6129" t="str">
            <v>03-06-011-07W2</v>
          </cell>
          <cell r="O6129">
            <v>880</v>
          </cell>
          <cell r="Q6129">
            <v>1.81</v>
          </cell>
          <cell r="T6129">
            <v>1388.279</v>
          </cell>
        </row>
        <row r="6130">
          <cell r="G6130">
            <v>42644</v>
          </cell>
          <cell r="L6130" t="str">
            <v>01-26-006-09W2</v>
          </cell>
          <cell r="O6130">
            <v>885.1</v>
          </cell>
          <cell r="Q6130">
            <v>2.34</v>
          </cell>
          <cell r="T6130">
            <v>1373.8920000000001</v>
          </cell>
        </row>
        <row r="6131">
          <cell r="G6131">
            <v>42644</v>
          </cell>
          <cell r="L6131" t="str">
            <v>13-07-010-09W2</v>
          </cell>
          <cell r="O6131">
            <v>820</v>
          </cell>
          <cell r="Q6131">
            <v>0.16</v>
          </cell>
          <cell r="T6131">
            <v>1202.2719999999999</v>
          </cell>
        </row>
        <row r="6132">
          <cell r="G6132">
            <v>42644</v>
          </cell>
          <cell r="L6132" t="str">
            <v>07-04-010-08W2</v>
          </cell>
          <cell r="O6132">
            <v>880.3</v>
          </cell>
          <cell r="Q6132">
            <v>2.4300000000000002</v>
          </cell>
          <cell r="T6132">
            <v>1105.768</v>
          </cell>
        </row>
        <row r="6133">
          <cell r="G6133">
            <v>42644</v>
          </cell>
          <cell r="L6133" t="str">
            <v>09-06-010-07W2</v>
          </cell>
          <cell r="O6133">
            <v>882.8</v>
          </cell>
          <cell r="Q6133">
            <v>2.36</v>
          </cell>
          <cell r="T6133">
            <v>900.75900000000001</v>
          </cell>
        </row>
        <row r="6134">
          <cell r="G6134">
            <v>42644</v>
          </cell>
          <cell r="L6134" t="str">
            <v>07-28-007-08W2</v>
          </cell>
          <cell r="O6134">
            <v>847.2</v>
          </cell>
          <cell r="Q6134">
            <v>1.25</v>
          </cell>
          <cell r="T6134">
            <v>819.13</v>
          </cell>
        </row>
        <row r="6135">
          <cell r="G6135">
            <v>42644</v>
          </cell>
          <cell r="L6135" t="str">
            <v>09-11-010-08W2</v>
          </cell>
          <cell r="O6135">
            <v>882.5</v>
          </cell>
          <cell r="Q6135">
            <v>2.4700000000000002</v>
          </cell>
          <cell r="T6135">
            <v>765.279</v>
          </cell>
        </row>
        <row r="6136">
          <cell r="G6136">
            <v>42644</v>
          </cell>
          <cell r="L6136" t="str">
            <v>01-22-010-07W2</v>
          </cell>
          <cell r="O6136">
            <v>884.9</v>
          </cell>
          <cell r="Q6136">
            <v>2.5099999999999998</v>
          </cell>
          <cell r="T6136">
            <v>653.21600000000001</v>
          </cell>
        </row>
        <row r="6137">
          <cell r="G6137">
            <v>42644</v>
          </cell>
          <cell r="L6137" t="str">
            <v>16-35-009-09W2</v>
          </cell>
          <cell r="O6137">
            <v>881.2</v>
          </cell>
          <cell r="Q6137">
            <v>2.4300000000000002</v>
          </cell>
          <cell r="T6137">
            <v>621.48900000000003</v>
          </cell>
        </row>
        <row r="6138">
          <cell r="G6138">
            <v>42644</v>
          </cell>
          <cell r="L6138" t="str">
            <v>01-04-007-09W2</v>
          </cell>
          <cell r="O6138">
            <v>809.5</v>
          </cell>
          <cell r="Q6138">
            <v>0.2</v>
          </cell>
          <cell r="T6138">
            <v>577.62099999999998</v>
          </cell>
        </row>
        <row r="6139">
          <cell r="G6139">
            <v>42644</v>
          </cell>
          <cell r="L6139" t="str">
            <v>07-25-009-08W2</v>
          </cell>
          <cell r="O6139">
            <v>880.5</v>
          </cell>
          <cell r="Q6139">
            <v>2.33</v>
          </cell>
          <cell r="T6139">
            <v>340.87700000000001</v>
          </cell>
        </row>
        <row r="6140">
          <cell r="G6140">
            <v>42644</v>
          </cell>
          <cell r="L6140" t="str">
            <v>03-23-001-32W1</v>
          </cell>
          <cell r="O6140">
            <v>856.9</v>
          </cell>
          <cell r="Q6140">
            <v>1.51</v>
          </cell>
          <cell r="T6140">
            <v>305.15699999999998</v>
          </cell>
        </row>
        <row r="6141">
          <cell r="G6141">
            <v>42644</v>
          </cell>
          <cell r="L6141" t="str">
            <v>12-01-003-30W1</v>
          </cell>
          <cell r="O6141">
            <v>859.9</v>
          </cell>
          <cell r="Q6141">
            <v>1.68</v>
          </cell>
          <cell r="T6141">
            <v>317.065</v>
          </cell>
        </row>
        <row r="6142">
          <cell r="G6142">
            <v>42644</v>
          </cell>
          <cell r="L6142" t="str">
            <v>05-31-002-01W2</v>
          </cell>
          <cell r="O6142">
            <v>824.7</v>
          </cell>
          <cell r="Q6142">
            <v>0.48</v>
          </cell>
          <cell r="T6142">
            <v>7818.6319999999996</v>
          </cell>
        </row>
        <row r="6143">
          <cell r="G6143">
            <v>42644</v>
          </cell>
          <cell r="L6143" t="str">
            <v>13-03-006-34W1</v>
          </cell>
          <cell r="O6143">
            <v>844.6</v>
          </cell>
          <cell r="Q6143">
            <v>1.19</v>
          </cell>
          <cell r="T6143">
            <v>7801.4269999999997</v>
          </cell>
        </row>
        <row r="6144">
          <cell r="G6144">
            <v>42644</v>
          </cell>
          <cell r="L6144" t="str">
            <v>16-18-011-04W2</v>
          </cell>
          <cell r="O6144">
            <v>827.1</v>
          </cell>
          <cell r="Q6144">
            <v>1.44</v>
          </cell>
          <cell r="T6144">
            <v>5589.5969999999998</v>
          </cell>
        </row>
        <row r="6145">
          <cell r="G6145">
            <v>42644</v>
          </cell>
          <cell r="L6145" t="str">
            <v>11-30-005-03W2</v>
          </cell>
          <cell r="O6145">
            <v>856</v>
          </cell>
          <cell r="Q6145">
            <v>1.35</v>
          </cell>
          <cell r="T6145">
            <v>5126.4480000000003</v>
          </cell>
        </row>
        <row r="6146">
          <cell r="G6146">
            <v>42644</v>
          </cell>
          <cell r="L6146" t="str">
            <v>16-12-004-31W1</v>
          </cell>
          <cell r="O6146">
            <v>858.1</v>
          </cell>
          <cell r="Q6146">
            <v>1.7</v>
          </cell>
          <cell r="T6146">
            <v>4516.0129999999999</v>
          </cell>
        </row>
        <row r="6147">
          <cell r="G6147">
            <v>42644</v>
          </cell>
          <cell r="L6147" t="str">
            <v>04-27-003-33W1</v>
          </cell>
          <cell r="O6147">
            <v>840.9</v>
          </cell>
          <cell r="Q6147">
            <v>1.21</v>
          </cell>
          <cell r="T6147">
            <v>3776.4279999999999</v>
          </cell>
        </row>
        <row r="6148">
          <cell r="G6148">
            <v>42644</v>
          </cell>
          <cell r="L6148" t="str">
            <v>04-22-009-33W1</v>
          </cell>
          <cell r="O6148">
            <v>855.8</v>
          </cell>
          <cell r="Q6148">
            <v>1.42</v>
          </cell>
          <cell r="T6148">
            <v>2593.029</v>
          </cell>
        </row>
        <row r="6149">
          <cell r="G6149">
            <v>42644</v>
          </cell>
          <cell r="L6149" t="str">
            <v>03-03-002-32W1</v>
          </cell>
          <cell r="O6149">
            <v>825</v>
          </cell>
          <cell r="Q6149">
            <v>0.84</v>
          </cell>
          <cell r="T6149">
            <v>2525.8789999999999</v>
          </cell>
        </row>
        <row r="6150">
          <cell r="G6150">
            <v>42644</v>
          </cell>
          <cell r="L6150" t="str">
            <v>07-28-002-30W1</v>
          </cell>
          <cell r="O6150">
            <v>880.6</v>
          </cell>
          <cell r="Q6150">
            <v>2.4300000000000002</v>
          </cell>
          <cell r="T6150">
            <v>2266.212</v>
          </cell>
        </row>
        <row r="6151">
          <cell r="G6151">
            <v>42644</v>
          </cell>
          <cell r="L6151" t="str">
            <v>09-28-006-34W1</v>
          </cell>
          <cell r="O6151">
            <v>846.7</v>
          </cell>
          <cell r="Q6151">
            <v>1.27</v>
          </cell>
          <cell r="T6151">
            <v>2248.9430000000002</v>
          </cell>
        </row>
        <row r="6152">
          <cell r="G6152">
            <v>42644</v>
          </cell>
          <cell r="L6152" t="str">
            <v>05-03-009-33W1</v>
          </cell>
          <cell r="O6152">
            <v>850.1</v>
          </cell>
          <cell r="Q6152">
            <v>1.29</v>
          </cell>
          <cell r="T6152">
            <v>1958.33</v>
          </cell>
        </row>
        <row r="6153">
          <cell r="G6153">
            <v>42644</v>
          </cell>
          <cell r="L6153" t="str">
            <v>14-30-009-33W1</v>
          </cell>
          <cell r="O6153">
            <v>858</v>
          </cell>
          <cell r="Q6153">
            <v>1.72</v>
          </cell>
          <cell r="T6153">
            <v>1573.33</v>
          </cell>
        </row>
        <row r="6154">
          <cell r="G6154">
            <v>42644</v>
          </cell>
          <cell r="L6154" t="str">
            <v>14-33-003-01W2</v>
          </cell>
          <cell r="O6154">
            <v>836.6</v>
          </cell>
          <cell r="Q6154">
            <v>0.86</v>
          </cell>
          <cell r="T6154">
            <v>1460.751</v>
          </cell>
        </row>
        <row r="6155">
          <cell r="G6155">
            <v>42644</v>
          </cell>
          <cell r="L6155" t="str">
            <v>06-27-006-01W2</v>
          </cell>
          <cell r="O6155">
            <v>844.8</v>
          </cell>
          <cell r="Q6155">
            <v>1.17</v>
          </cell>
          <cell r="T6155">
            <v>1410.1469999999999</v>
          </cell>
        </row>
        <row r="6156">
          <cell r="G6156">
            <v>42644</v>
          </cell>
          <cell r="L6156" t="str">
            <v>04-17-004-31W1</v>
          </cell>
          <cell r="O6156">
            <v>862.3</v>
          </cell>
          <cell r="Q6156">
            <v>1.74</v>
          </cell>
          <cell r="T6156">
            <v>1331.019</v>
          </cell>
        </row>
        <row r="6157">
          <cell r="G6157">
            <v>42644</v>
          </cell>
          <cell r="L6157" t="str">
            <v>08-05-006-33W1</v>
          </cell>
          <cell r="O6157">
            <v>833.3</v>
          </cell>
          <cell r="Q6157">
            <v>0.84</v>
          </cell>
          <cell r="T6157">
            <v>1241.048</v>
          </cell>
        </row>
        <row r="6158">
          <cell r="G6158">
            <v>42644</v>
          </cell>
          <cell r="L6158" t="str">
            <v>09-27-008-03W2</v>
          </cell>
          <cell r="O6158">
            <v>852.2</v>
          </cell>
          <cell r="Q6158">
            <v>1.56</v>
          </cell>
          <cell r="T6158">
            <v>1218.1030000000001</v>
          </cell>
        </row>
        <row r="6159">
          <cell r="G6159">
            <v>42644</v>
          </cell>
          <cell r="L6159" t="str">
            <v>09-27-006-05W2</v>
          </cell>
          <cell r="O6159">
            <v>872.1</v>
          </cell>
          <cell r="Q6159">
            <v>2.14</v>
          </cell>
          <cell r="T6159">
            <v>1183.135</v>
          </cell>
        </row>
        <row r="6160">
          <cell r="G6160">
            <v>42644</v>
          </cell>
          <cell r="L6160" t="str">
            <v>15-14-009-03W2</v>
          </cell>
          <cell r="O6160">
            <v>852.6</v>
          </cell>
          <cell r="Q6160">
            <v>1.56</v>
          </cell>
          <cell r="T6160">
            <v>931.89800000000002</v>
          </cell>
        </row>
        <row r="6161">
          <cell r="G6161">
            <v>42644</v>
          </cell>
          <cell r="L6161" t="str">
            <v>10-13-006-03W2</v>
          </cell>
          <cell r="O6161">
            <v>859.1</v>
          </cell>
          <cell r="Q6161">
            <v>1.66</v>
          </cell>
          <cell r="T6161">
            <v>899.21100000000001</v>
          </cell>
        </row>
        <row r="6162">
          <cell r="G6162">
            <v>42644</v>
          </cell>
          <cell r="L6162" t="str">
            <v>16-21-003-32W1</v>
          </cell>
          <cell r="O6162">
            <v>863.7</v>
          </cell>
          <cell r="Q6162">
            <v>1.61</v>
          </cell>
          <cell r="T6162">
            <v>840.26</v>
          </cell>
        </row>
        <row r="6163">
          <cell r="G6163">
            <v>42644</v>
          </cell>
          <cell r="L6163" t="str">
            <v>10-11-006-34W1</v>
          </cell>
          <cell r="O6163">
            <v>854</v>
          </cell>
          <cell r="Q6163">
            <v>1.6</v>
          </cell>
          <cell r="T6163">
            <v>829.75</v>
          </cell>
        </row>
        <row r="6164">
          <cell r="G6164">
            <v>42644</v>
          </cell>
          <cell r="L6164" t="str">
            <v>11-25-001-32W1</v>
          </cell>
          <cell r="O6164">
            <v>858.5</v>
          </cell>
          <cell r="Q6164">
            <v>1.52</v>
          </cell>
          <cell r="T6164">
            <v>819.16899999999998</v>
          </cell>
        </row>
        <row r="6165">
          <cell r="G6165">
            <v>42644</v>
          </cell>
          <cell r="L6165" t="str">
            <v>07-31-001-31W1</v>
          </cell>
          <cell r="O6165">
            <v>866.8</v>
          </cell>
          <cell r="Q6165">
            <v>1.73</v>
          </cell>
          <cell r="T6165">
            <v>818.62599999999998</v>
          </cell>
        </row>
        <row r="6166">
          <cell r="G6166">
            <v>42644</v>
          </cell>
          <cell r="L6166" t="str">
            <v>09-19-009-33W1</v>
          </cell>
          <cell r="O6166">
            <v>855.5</v>
          </cell>
          <cell r="Q6166">
            <v>1.54</v>
          </cell>
          <cell r="T6166">
            <v>791.27200000000005</v>
          </cell>
        </row>
        <row r="6167">
          <cell r="G6167">
            <v>42644</v>
          </cell>
          <cell r="L6167" t="str">
            <v>07-12-005-34W1</v>
          </cell>
          <cell r="O6167">
            <v>826.7</v>
          </cell>
          <cell r="Q6167">
            <v>0.64</v>
          </cell>
          <cell r="T6167">
            <v>721.81299999999999</v>
          </cell>
        </row>
        <row r="6168">
          <cell r="G6168">
            <v>42644</v>
          </cell>
          <cell r="L6168" t="str">
            <v>07-12-008-04W2</v>
          </cell>
          <cell r="O6168">
            <v>855</v>
          </cell>
          <cell r="Q6168">
            <v>1.41</v>
          </cell>
          <cell r="T6168">
            <v>720.61199999999997</v>
          </cell>
        </row>
        <row r="6169">
          <cell r="G6169">
            <v>42644</v>
          </cell>
          <cell r="L6169" t="str">
            <v>05-12-002-32W1</v>
          </cell>
          <cell r="O6169">
            <v>862.3</v>
          </cell>
          <cell r="Q6169">
            <v>1.63</v>
          </cell>
          <cell r="T6169">
            <v>720.06200000000001</v>
          </cell>
        </row>
        <row r="6170">
          <cell r="G6170">
            <v>42644</v>
          </cell>
          <cell r="L6170" t="str">
            <v>08-35-011-04W2</v>
          </cell>
          <cell r="O6170">
            <v>860.1</v>
          </cell>
          <cell r="Q6170">
            <v>1.84</v>
          </cell>
          <cell r="T6170">
            <v>712.22500000000002</v>
          </cell>
        </row>
        <row r="6171">
          <cell r="G6171">
            <v>42644</v>
          </cell>
          <cell r="L6171" t="str">
            <v>06-24-001-34W1</v>
          </cell>
          <cell r="O6171">
            <v>845.4</v>
          </cell>
          <cell r="Q6171">
            <v>1.17</v>
          </cell>
          <cell r="T6171">
            <v>585.06299999999999</v>
          </cell>
        </row>
        <row r="6172">
          <cell r="G6172">
            <v>42644</v>
          </cell>
          <cell r="L6172" t="str">
            <v>09-02-007-05W2</v>
          </cell>
          <cell r="O6172">
            <v>859.8</v>
          </cell>
          <cell r="Q6172">
            <v>1.74</v>
          </cell>
          <cell r="T6172">
            <v>561.51199999999994</v>
          </cell>
        </row>
        <row r="6173">
          <cell r="G6173">
            <v>42644</v>
          </cell>
          <cell r="L6173" t="str">
            <v>08-32-006-01W2</v>
          </cell>
          <cell r="O6173">
            <v>845.8</v>
          </cell>
          <cell r="Q6173">
            <v>1.44</v>
          </cell>
          <cell r="T6173">
            <v>544.375</v>
          </cell>
        </row>
        <row r="6174">
          <cell r="G6174">
            <v>42644</v>
          </cell>
          <cell r="L6174" t="str">
            <v>04-14-005-33W1</v>
          </cell>
          <cell r="O6174">
            <v>833.7</v>
          </cell>
          <cell r="Q6174">
            <v>0.79</v>
          </cell>
          <cell r="T6174">
            <v>529.03399999999999</v>
          </cell>
        </row>
        <row r="6175">
          <cell r="G6175">
            <v>42644</v>
          </cell>
          <cell r="L6175" t="str">
            <v>02-13-006-01W2</v>
          </cell>
          <cell r="O6175">
            <v>841.9</v>
          </cell>
          <cell r="Q6175">
            <v>1.19</v>
          </cell>
          <cell r="T6175">
            <v>481.91500000000002</v>
          </cell>
        </row>
        <row r="6176">
          <cell r="G6176">
            <v>42644</v>
          </cell>
          <cell r="L6176" t="str">
            <v>08-26-006-02W2</v>
          </cell>
          <cell r="O6176">
            <v>847.7</v>
          </cell>
          <cell r="Q6176">
            <v>1.1299999999999999</v>
          </cell>
          <cell r="T6176">
            <v>444.63400000000001</v>
          </cell>
        </row>
        <row r="6177">
          <cell r="G6177">
            <v>42644</v>
          </cell>
          <cell r="L6177" t="str">
            <v>14-35-006-05W2</v>
          </cell>
          <cell r="O6177">
            <v>861.1</v>
          </cell>
          <cell r="Q6177">
            <v>1.61</v>
          </cell>
          <cell r="T6177">
            <v>430.18700000000001</v>
          </cell>
        </row>
        <row r="6178">
          <cell r="G6178">
            <v>42644</v>
          </cell>
          <cell r="L6178" t="str">
            <v>10-26-010-03W2</v>
          </cell>
          <cell r="O6178">
            <v>852.4</v>
          </cell>
          <cell r="Q6178">
            <v>1.56</v>
          </cell>
          <cell r="T6178">
            <v>427.00599999999997</v>
          </cell>
        </row>
        <row r="6179">
          <cell r="G6179">
            <v>42644</v>
          </cell>
          <cell r="L6179" t="str">
            <v>12-35-008-03W2</v>
          </cell>
          <cell r="O6179">
            <v>856.1</v>
          </cell>
          <cell r="Q6179">
            <v>1.55</v>
          </cell>
          <cell r="T6179">
            <v>419.71499999999997</v>
          </cell>
        </row>
        <row r="6180">
          <cell r="G6180">
            <v>42644</v>
          </cell>
          <cell r="L6180" t="str">
            <v>16-24-001-34W1</v>
          </cell>
          <cell r="O6180">
            <v>852.5</v>
          </cell>
          <cell r="Q6180">
            <v>1.67</v>
          </cell>
          <cell r="T6180">
            <v>366.40100000000001</v>
          </cell>
        </row>
        <row r="6181">
          <cell r="G6181">
            <v>42644</v>
          </cell>
          <cell r="L6181" t="str">
            <v>14-09-002-29W1</v>
          </cell>
          <cell r="O6181">
            <v>839.6</v>
          </cell>
          <cell r="Q6181">
            <v>0.81</v>
          </cell>
          <cell r="T6181">
            <v>9722.866</v>
          </cell>
        </row>
        <row r="6182">
          <cell r="G6182">
            <v>42644</v>
          </cell>
          <cell r="L6182" t="str">
            <v>13-13-007-02W2</v>
          </cell>
          <cell r="O6182">
            <v>840.7</v>
          </cell>
          <cell r="Q6182">
            <v>1.31</v>
          </cell>
          <cell r="T6182">
            <v>5649.0460000000003</v>
          </cell>
        </row>
        <row r="6183">
          <cell r="G6183">
            <v>42644</v>
          </cell>
          <cell r="L6183" t="str">
            <v>08-36-003-34W1</v>
          </cell>
          <cell r="O6183">
            <v>845.8</v>
          </cell>
          <cell r="Q6183">
            <v>0.88</v>
          </cell>
          <cell r="T6183">
            <v>4942.1279999999997</v>
          </cell>
        </row>
        <row r="6184">
          <cell r="G6184">
            <v>42644</v>
          </cell>
          <cell r="L6184" t="str">
            <v>11-27-005-33W1</v>
          </cell>
          <cell r="O6184">
            <v>824.2</v>
          </cell>
          <cell r="Q6184">
            <v>0.72</v>
          </cell>
          <cell r="T6184">
            <v>4825.8810000000003</v>
          </cell>
        </row>
        <row r="6185">
          <cell r="G6185">
            <v>42644</v>
          </cell>
          <cell r="L6185" t="str">
            <v>05-14-003-01W2</v>
          </cell>
          <cell r="O6185">
            <v>821.9</v>
          </cell>
          <cell r="Q6185">
            <v>0.72</v>
          </cell>
          <cell r="T6185">
            <v>3100.6170000000002</v>
          </cell>
        </row>
        <row r="6186">
          <cell r="G6186">
            <v>42644</v>
          </cell>
          <cell r="L6186" t="str">
            <v>04-10-004-31W1</v>
          </cell>
          <cell r="O6186">
            <v>864.1</v>
          </cell>
          <cell r="Q6186">
            <v>1.79</v>
          </cell>
          <cell r="T6186">
            <v>2995.857</v>
          </cell>
        </row>
        <row r="6187">
          <cell r="G6187">
            <v>42644</v>
          </cell>
          <cell r="L6187" t="str">
            <v>05-29-005-32W1</v>
          </cell>
          <cell r="O6187">
            <v>834.3</v>
          </cell>
          <cell r="Q6187">
            <v>0.93</v>
          </cell>
          <cell r="T6187">
            <v>2930.049</v>
          </cell>
        </row>
        <row r="6188">
          <cell r="G6188">
            <v>42644</v>
          </cell>
          <cell r="L6188" t="str">
            <v>04-05-007-33W1</v>
          </cell>
          <cell r="O6188">
            <v>840.9</v>
          </cell>
          <cell r="Q6188">
            <v>1.22</v>
          </cell>
          <cell r="T6188">
            <v>2511.3879999999999</v>
          </cell>
        </row>
        <row r="6189">
          <cell r="G6189">
            <v>42644</v>
          </cell>
          <cell r="L6189" t="str">
            <v>06-01-007-01W2</v>
          </cell>
          <cell r="O6189">
            <v>848.3</v>
          </cell>
          <cell r="Q6189">
            <v>1.1599999999999999</v>
          </cell>
          <cell r="T6189">
            <v>2364.6</v>
          </cell>
        </row>
        <row r="6190">
          <cell r="G6190">
            <v>42644</v>
          </cell>
          <cell r="L6190" t="str">
            <v>16-10-006-30W1</v>
          </cell>
          <cell r="O6190">
            <v>849.7</v>
          </cell>
          <cell r="Q6190">
            <v>1.41</v>
          </cell>
          <cell r="T6190">
            <v>2111.4549999999999</v>
          </cell>
        </row>
        <row r="6191">
          <cell r="G6191">
            <v>42644</v>
          </cell>
          <cell r="L6191" t="str">
            <v>05-13-003-02W2</v>
          </cell>
          <cell r="O6191">
            <v>830.3</v>
          </cell>
          <cell r="Q6191">
            <v>0.56000000000000005</v>
          </cell>
          <cell r="T6191">
            <v>2050.8409999999999</v>
          </cell>
        </row>
        <row r="6192">
          <cell r="G6192">
            <v>42644</v>
          </cell>
          <cell r="L6192" t="str">
            <v>01-09-001-31W1</v>
          </cell>
          <cell r="O6192">
            <v>873.6</v>
          </cell>
          <cell r="Q6192">
            <v>2.13</v>
          </cell>
          <cell r="T6192">
            <v>2004.2239999999999</v>
          </cell>
        </row>
        <row r="6193">
          <cell r="G6193">
            <v>42644</v>
          </cell>
          <cell r="L6193" t="str">
            <v>02-20-006-32W1</v>
          </cell>
          <cell r="O6193">
            <v>831.6</v>
          </cell>
          <cell r="Q6193">
            <v>0.8</v>
          </cell>
          <cell r="T6193">
            <v>1627.403</v>
          </cell>
        </row>
        <row r="6194">
          <cell r="G6194">
            <v>42644</v>
          </cell>
          <cell r="L6194" t="str">
            <v>02-14-005-32W1</v>
          </cell>
          <cell r="O6194">
            <v>834.2</v>
          </cell>
          <cell r="Q6194">
            <v>0.97</v>
          </cell>
          <cell r="T6194">
            <v>1626.5419999999999</v>
          </cell>
        </row>
        <row r="6195">
          <cell r="G6195">
            <v>42644</v>
          </cell>
          <cell r="L6195" t="str">
            <v>14-28-002-34W1</v>
          </cell>
          <cell r="O6195">
            <v>829.1</v>
          </cell>
          <cell r="Q6195">
            <v>0.78</v>
          </cell>
          <cell r="T6195">
            <v>1561.269</v>
          </cell>
        </row>
        <row r="6196">
          <cell r="G6196">
            <v>42644</v>
          </cell>
          <cell r="L6196" t="str">
            <v>16-13-004-32W1</v>
          </cell>
          <cell r="O6196">
            <v>853.5</v>
          </cell>
          <cell r="Q6196">
            <v>1.33</v>
          </cell>
          <cell r="T6196">
            <v>1228.0820000000001</v>
          </cell>
        </row>
        <row r="6197">
          <cell r="G6197">
            <v>42644</v>
          </cell>
          <cell r="L6197" t="str">
            <v>08-33-005-03W2</v>
          </cell>
          <cell r="O6197">
            <v>850.1</v>
          </cell>
          <cell r="Q6197">
            <v>1.07</v>
          </cell>
          <cell r="T6197">
            <v>1216.74</v>
          </cell>
        </row>
        <row r="6198">
          <cell r="G6198">
            <v>42644</v>
          </cell>
          <cell r="L6198" t="str">
            <v>12-23-005-31W1</v>
          </cell>
          <cell r="O6198">
            <v>843.9</v>
          </cell>
          <cell r="Q6198">
            <v>1.08</v>
          </cell>
          <cell r="T6198">
            <v>1190.837</v>
          </cell>
        </row>
        <row r="6199">
          <cell r="G6199">
            <v>42644</v>
          </cell>
          <cell r="L6199" t="str">
            <v>02-02-006-03W2</v>
          </cell>
          <cell r="O6199">
            <v>850.9</v>
          </cell>
          <cell r="Q6199">
            <v>1.31</v>
          </cell>
          <cell r="T6199">
            <v>1104.1110000000001</v>
          </cell>
        </row>
        <row r="6200">
          <cell r="G6200">
            <v>42644</v>
          </cell>
          <cell r="L6200" t="str">
            <v>11-28-006-05W2</v>
          </cell>
          <cell r="O6200">
            <v>855.2</v>
          </cell>
          <cell r="Q6200">
            <v>1.51</v>
          </cell>
          <cell r="T6200">
            <v>1059.154</v>
          </cell>
        </row>
        <row r="6201">
          <cell r="G6201">
            <v>42644</v>
          </cell>
          <cell r="L6201" t="str">
            <v>04-33-006-01W2</v>
          </cell>
          <cell r="O6201">
            <v>849</v>
          </cell>
          <cell r="Q6201">
            <v>1.39</v>
          </cell>
          <cell r="T6201">
            <v>1045.471</v>
          </cell>
        </row>
        <row r="6202">
          <cell r="G6202">
            <v>42644</v>
          </cell>
          <cell r="L6202" t="str">
            <v>09-33-006-05W2</v>
          </cell>
          <cell r="O6202">
            <v>861.8</v>
          </cell>
          <cell r="Q6202">
            <v>1.74</v>
          </cell>
          <cell r="T6202">
            <v>1044.4949999999999</v>
          </cell>
        </row>
        <row r="6203">
          <cell r="G6203">
            <v>42644</v>
          </cell>
          <cell r="L6203" t="str">
            <v>13-34-006-05W2</v>
          </cell>
          <cell r="O6203">
            <v>864.3</v>
          </cell>
          <cell r="Q6203">
            <v>1.93</v>
          </cell>
          <cell r="T6203">
            <v>1008.557</v>
          </cell>
        </row>
        <row r="6204">
          <cell r="G6204">
            <v>42644</v>
          </cell>
          <cell r="L6204" t="str">
            <v>02-15-006-01W2</v>
          </cell>
          <cell r="O6204">
            <v>844.8</v>
          </cell>
          <cell r="Q6204">
            <v>1.24</v>
          </cell>
          <cell r="T6204">
            <v>970.58</v>
          </cell>
        </row>
        <row r="6205">
          <cell r="G6205">
            <v>42644</v>
          </cell>
          <cell r="L6205" t="str">
            <v>14-33-003-01W2</v>
          </cell>
          <cell r="O6205">
            <v>839.9</v>
          </cell>
          <cell r="Q6205">
            <v>0.87</v>
          </cell>
          <cell r="T6205">
            <v>909.91800000000001</v>
          </cell>
        </row>
        <row r="6206">
          <cell r="G6206">
            <v>42644</v>
          </cell>
          <cell r="L6206" t="str">
            <v>06-02-008-02W2</v>
          </cell>
          <cell r="O6206">
            <v>853.5</v>
          </cell>
          <cell r="Q6206">
            <v>1.6</v>
          </cell>
          <cell r="T6206">
            <v>908.11099999999999</v>
          </cell>
        </row>
        <row r="6207">
          <cell r="G6207">
            <v>42644</v>
          </cell>
          <cell r="L6207" t="str">
            <v>13-11-004-02W2</v>
          </cell>
          <cell r="O6207">
            <v>843.8</v>
          </cell>
          <cell r="Q6207">
            <v>1.2</v>
          </cell>
          <cell r="T6207">
            <v>883.49599999999998</v>
          </cell>
        </row>
        <row r="6208">
          <cell r="G6208">
            <v>42644</v>
          </cell>
          <cell r="L6208" t="str">
            <v>04-04-007-01W2</v>
          </cell>
          <cell r="O6208">
            <v>847.8</v>
          </cell>
          <cell r="Q6208">
            <v>1.1599999999999999</v>
          </cell>
          <cell r="T6208">
            <v>758.97400000000005</v>
          </cell>
        </row>
        <row r="6209">
          <cell r="G6209">
            <v>42644</v>
          </cell>
          <cell r="L6209" t="str">
            <v>10-33-004-32W1</v>
          </cell>
          <cell r="O6209">
            <v>839.7</v>
          </cell>
          <cell r="Q6209">
            <v>0.99</v>
          </cell>
          <cell r="T6209">
            <v>742.15499999999997</v>
          </cell>
        </row>
        <row r="6210">
          <cell r="G6210">
            <v>42644</v>
          </cell>
          <cell r="L6210" t="str">
            <v>02-14-010-01W2</v>
          </cell>
          <cell r="O6210">
            <v>855.5</v>
          </cell>
          <cell r="Q6210">
            <v>1.7</v>
          </cell>
          <cell r="T6210">
            <v>742.11099999999999</v>
          </cell>
        </row>
        <row r="6211">
          <cell r="G6211">
            <v>42644</v>
          </cell>
          <cell r="L6211" t="str">
            <v>14-26-002-30W1</v>
          </cell>
          <cell r="O6211">
            <v>866.2</v>
          </cell>
          <cell r="Q6211">
            <v>2.02</v>
          </cell>
          <cell r="T6211">
            <v>717.52800000000002</v>
          </cell>
        </row>
        <row r="6212">
          <cell r="G6212">
            <v>42644</v>
          </cell>
          <cell r="L6212" t="str">
            <v>10-11-004-34W1</v>
          </cell>
          <cell r="O6212">
            <v>834.5</v>
          </cell>
          <cell r="Q6212">
            <v>0.73</v>
          </cell>
          <cell r="T6212">
            <v>575.58100000000002</v>
          </cell>
        </row>
        <row r="6213">
          <cell r="G6213">
            <v>42644</v>
          </cell>
          <cell r="L6213" t="str">
            <v>08-13-006-33W1</v>
          </cell>
          <cell r="O6213">
            <v>841.4</v>
          </cell>
          <cell r="Q6213">
            <v>0.89</v>
          </cell>
          <cell r="T6213">
            <v>554.76900000000001</v>
          </cell>
        </row>
        <row r="6214">
          <cell r="G6214">
            <v>42644</v>
          </cell>
          <cell r="L6214" t="str">
            <v>14-20-005-33W1</v>
          </cell>
          <cell r="O6214">
            <v>832</v>
          </cell>
          <cell r="Q6214">
            <v>0.67</v>
          </cell>
          <cell r="T6214">
            <v>516.80100000000004</v>
          </cell>
        </row>
        <row r="6215">
          <cell r="G6215">
            <v>42644</v>
          </cell>
          <cell r="L6215" t="str">
            <v>02-12-010-02W2</v>
          </cell>
          <cell r="O6215">
            <v>857.1</v>
          </cell>
          <cell r="Q6215">
            <v>1.64</v>
          </cell>
          <cell r="T6215">
            <v>497.02300000000002</v>
          </cell>
        </row>
        <row r="6216">
          <cell r="G6216">
            <v>42644</v>
          </cell>
          <cell r="L6216" t="str">
            <v>02-16-010-02W2</v>
          </cell>
          <cell r="O6216">
            <v>860.6</v>
          </cell>
          <cell r="Q6216">
            <v>1.69</v>
          </cell>
          <cell r="T6216">
            <v>442.50200000000001</v>
          </cell>
        </row>
        <row r="6217">
          <cell r="G6217">
            <v>42644</v>
          </cell>
          <cell r="L6217" t="str">
            <v>06-04-006-33W1</v>
          </cell>
          <cell r="O6217">
            <v>834.5</v>
          </cell>
          <cell r="Q6217">
            <v>0.82</v>
          </cell>
          <cell r="T6217">
            <v>414.666</v>
          </cell>
        </row>
        <row r="6218">
          <cell r="G6218">
            <v>42644</v>
          </cell>
          <cell r="L6218" t="str">
            <v>08-12-006-01W2</v>
          </cell>
          <cell r="O6218">
            <v>845.4</v>
          </cell>
          <cell r="Q6218">
            <v>1.29</v>
          </cell>
          <cell r="T6218">
            <v>376.12099999999998</v>
          </cell>
        </row>
        <row r="6219">
          <cell r="G6219">
            <v>42644</v>
          </cell>
          <cell r="L6219" t="str">
            <v>06-03-004-31W1</v>
          </cell>
          <cell r="O6219">
            <v>870.5</v>
          </cell>
          <cell r="Q6219">
            <v>1.87</v>
          </cell>
          <cell r="T6219">
            <v>374.96100000000001</v>
          </cell>
        </row>
        <row r="6220">
          <cell r="G6220">
            <v>42644</v>
          </cell>
          <cell r="L6220" t="str">
            <v>15-26-007-04W2</v>
          </cell>
          <cell r="O6220">
            <v>851.7</v>
          </cell>
          <cell r="Q6220">
            <v>1.4</v>
          </cell>
          <cell r="T6220">
            <v>371.863</v>
          </cell>
        </row>
        <row r="6221">
          <cell r="G6221">
            <v>42644</v>
          </cell>
          <cell r="L6221" t="str">
            <v>02-10-003-01W2</v>
          </cell>
          <cell r="O6221">
            <v>830.1</v>
          </cell>
          <cell r="Q6221">
            <v>0.5</v>
          </cell>
          <cell r="T6221">
            <v>354.303</v>
          </cell>
        </row>
        <row r="6222">
          <cell r="G6222">
            <v>42644</v>
          </cell>
          <cell r="L6222" t="str">
            <v>01-01-006-06W2</v>
          </cell>
          <cell r="O6222">
            <v>851.7</v>
          </cell>
          <cell r="Q6222">
            <v>1.19</v>
          </cell>
          <cell r="T6222">
            <v>382.76400000000001</v>
          </cell>
        </row>
        <row r="6223">
          <cell r="G6223">
            <v>42644</v>
          </cell>
          <cell r="L6223" t="str">
            <v>09-08-004-03W2</v>
          </cell>
          <cell r="O6223">
            <v>850.6</v>
          </cell>
          <cell r="Q6223">
            <v>1.42</v>
          </cell>
          <cell r="T6223">
            <v>10017.037</v>
          </cell>
        </row>
        <row r="6224">
          <cell r="G6224">
            <v>42644</v>
          </cell>
          <cell r="L6224" t="str">
            <v>03-15-004-06W2</v>
          </cell>
          <cell r="O6224">
            <v>846.6</v>
          </cell>
          <cell r="Q6224">
            <v>1.22</v>
          </cell>
          <cell r="T6224">
            <v>5508.7709999999997</v>
          </cell>
        </row>
        <row r="6225">
          <cell r="G6225">
            <v>42644</v>
          </cell>
          <cell r="L6225" t="str">
            <v>07-35-004-04W2</v>
          </cell>
          <cell r="O6225">
            <v>853.2</v>
          </cell>
          <cell r="Q6225">
            <v>1.41</v>
          </cell>
          <cell r="T6225">
            <v>3126.2249999999999</v>
          </cell>
        </row>
        <row r="6226">
          <cell r="G6226">
            <v>42644</v>
          </cell>
          <cell r="L6226" t="str">
            <v>05-07-005-03W2</v>
          </cell>
          <cell r="O6226">
            <v>849.1</v>
          </cell>
          <cell r="Q6226">
            <v>1.24</v>
          </cell>
          <cell r="T6226">
            <v>3014.9479999999999</v>
          </cell>
        </row>
        <row r="6227">
          <cell r="G6227">
            <v>42644</v>
          </cell>
          <cell r="L6227" t="str">
            <v>16-30-004-08W2</v>
          </cell>
          <cell r="O6227">
            <v>886.5</v>
          </cell>
          <cell r="Q6227">
            <v>2.0699999999999998</v>
          </cell>
          <cell r="T6227">
            <v>2462.1289999999999</v>
          </cell>
        </row>
        <row r="6228">
          <cell r="G6228">
            <v>42644</v>
          </cell>
          <cell r="L6228" t="str">
            <v>16-33-005-06W2</v>
          </cell>
          <cell r="O6228">
            <v>868.6</v>
          </cell>
          <cell r="Q6228">
            <v>2.25</v>
          </cell>
          <cell r="T6228">
            <v>2271.0770000000002</v>
          </cell>
        </row>
        <row r="6229">
          <cell r="G6229">
            <v>42644</v>
          </cell>
          <cell r="L6229" t="str">
            <v>14-30-001-04W2</v>
          </cell>
          <cell r="O6229">
            <v>832.3</v>
          </cell>
          <cell r="Q6229">
            <v>0.56000000000000005</v>
          </cell>
          <cell r="T6229">
            <v>2055.7739999999999</v>
          </cell>
        </row>
        <row r="6230">
          <cell r="G6230">
            <v>42644</v>
          </cell>
          <cell r="L6230" t="str">
            <v>06-27-004-06W2</v>
          </cell>
          <cell r="O6230">
            <v>831.3</v>
          </cell>
          <cell r="Q6230">
            <v>0.68</v>
          </cell>
          <cell r="T6230">
            <v>1501.578</v>
          </cell>
        </row>
        <row r="6231">
          <cell r="G6231">
            <v>42644</v>
          </cell>
          <cell r="L6231" t="str">
            <v>09-33-005-05W2</v>
          </cell>
          <cell r="O6231">
            <v>848.4</v>
          </cell>
          <cell r="Q6231">
            <v>1.02</v>
          </cell>
          <cell r="T6231">
            <v>1393.0160000000001</v>
          </cell>
        </row>
        <row r="6232">
          <cell r="G6232">
            <v>42644</v>
          </cell>
          <cell r="L6232" t="str">
            <v>06-24-004-09W2</v>
          </cell>
          <cell r="O6232">
            <v>876.4</v>
          </cell>
          <cell r="Q6232">
            <v>1.81</v>
          </cell>
          <cell r="T6232">
            <v>1389.9949999999999</v>
          </cell>
        </row>
        <row r="6233">
          <cell r="G6233">
            <v>42644</v>
          </cell>
          <cell r="L6233" t="str">
            <v>11-02-005-04W2</v>
          </cell>
          <cell r="O6233">
            <v>845.8</v>
          </cell>
          <cell r="Q6233">
            <v>1.4</v>
          </cell>
          <cell r="T6233">
            <v>1192.0719999999999</v>
          </cell>
        </row>
        <row r="6234">
          <cell r="G6234">
            <v>42644</v>
          </cell>
          <cell r="L6234" t="str">
            <v>10-22-004-07W2</v>
          </cell>
          <cell r="O6234">
            <v>884.9</v>
          </cell>
          <cell r="Q6234">
            <v>2</v>
          </cell>
          <cell r="T6234">
            <v>886.625</v>
          </cell>
        </row>
        <row r="6235">
          <cell r="G6235">
            <v>42644</v>
          </cell>
          <cell r="L6235" t="str">
            <v>07-18-005-04W2</v>
          </cell>
          <cell r="O6235">
            <v>857.6</v>
          </cell>
          <cell r="Q6235">
            <v>1.38</v>
          </cell>
          <cell r="T6235">
            <v>459.94499999999999</v>
          </cell>
        </row>
        <row r="6236">
          <cell r="G6236">
            <v>42644</v>
          </cell>
          <cell r="L6236" t="str">
            <v>14-13-001-05W2</v>
          </cell>
          <cell r="O6236">
            <v>814.6</v>
          </cell>
          <cell r="Q6236">
            <v>0.51</v>
          </cell>
          <cell r="T6236">
            <v>21994.163</v>
          </cell>
        </row>
        <row r="6237">
          <cell r="G6237">
            <v>42644</v>
          </cell>
          <cell r="L6237" t="str">
            <v>05-20-004-04W2</v>
          </cell>
          <cell r="O6237">
            <v>819.2</v>
          </cell>
          <cell r="Q6237">
            <v>1.59</v>
          </cell>
          <cell r="T6237">
            <v>4382.1639999999998</v>
          </cell>
        </row>
        <row r="6238">
          <cell r="G6238">
            <v>42644</v>
          </cell>
          <cell r="L6238" t="str">
            <v>05-10-006-05W2</v>
          </cell>
          <cell r="O6238">
            <v>859.3</v>
          </cell>
          <cell r="Q6238">
            <v>1.55</v>
          </cell>
          <cell r="T6238">
            <v>2615.3589999999999</v>
          </cell>
        </row>
        <row r="6239">
          <cell r="G6239">
            <v>42644</v>
          </cell>
          <cell r="L6239" t="str">
            <v>05-24-005-04W2</v>
          </cell>
          <cell r="O6239">
            <v>858.5</v>
          </cell>
          <cell r="Q6239">
            <v>1.51</v>
          </cell>
          <cell r="T6239">
            <v>1988.8109999999999</v>
          </cell>
        </row>
        <row r="6240">
          <cell r="G6240">
            <v>42644</v>
          </cell>
          <cell r="L6240" t="str">
            <v>07-08-004-05W2</v>
          </cell>
          <cell r="O6240">
            <v>839.4</v>
          </cell>
          <cell r="Q6240">
            <v>0.95</v>
          </cell>
          <cell r="T6240">
            <v>1892.529</v>
          </cell>
        </row>
        <row r="6241">
          <cell r="G6241">
            <v>42644</v>
          </cell>
          <cell r="L6241" t="str">
            <v>11-16-005-04W2</v>
          </cell>
          <cell r="O6241">
            <v>849.6</v>
          </cell>
          <cell r="Q6241">
            <v>1.1100000000000001</v>
          </cell>
          <cell r="T6241">
            <v>1821.087</v>
          </cell>
        </row>
        <row r="6242">
          <cell r="G6242">
            <v>42644</v>
          </cell>
          <cell r="L6242" t="str">
            <v>02-13-006-06W2</v>
          </cell>
          <cell r="O6242">
            <v>846.4</v>
          </cell>
          <cell r="Q6242">
            <v>1.48</v>
          </cell>
          <cell r="T6242">
            <v>1705.174</v>
          </cell>
        </row>
        <row r="6243">
          <cell r="G6243">
            <v>42644</v>
          </cell>
          <cell r="L6243" t="str">
            <v>05-34-005-06W2</v>
          </cell>
          <cell r="O6243">
            <v>868.4</v>
          </cell>
          <cell r="Q6243">
            <v>2.0299999999999998</v>
          </cell>
          <cell r="T6243">
            <v>1659.3879999999999</v>
          </cell>
        </row>
        <row r="6244">
          <cell r="G6244">
            <v>42644</v>
          </cell>
          <cell r="L6244" t="str">
            <v>11-28-005-06W2</v>
          </cell>
          <cell r="O6244">
            <v>877.9</v>
          </cell>
          <cell r="Q6244">
            <v>2.27</v>
          </cell>
          <cell r="T6244">
            <v>1216.4110000000001</v>
          </cell>
        </row>
        <row r="6245">
          <cell r="G6245">
            <v>42644</v>
          </cell>
          <cell r="L6245" t="str">
            <v>01-17-005-08W2</v>
          </cell>
          <cell r="O6245">
            <v>881.8</v>
          </cell>
          <cell r="Q6245">
            <v>2.29</v>
          </cell>
          <cell r="T6245">
            <v>1205.3579999999999</v>
          </cell>
        </row>
        <row r="6246">
          <cell r="G6246">
            <v>42644</v>
          </cell>
          <cell r="L6246" t="str">
            <v>03-29-003-04W2</v>
          </cell>
          <cell r="O6246">
            <v>838.8</v>
          </cell>
          <cell r="Q6246">
            <v>0.84</v>
          </cell>
          <cell r="T6246">
            <v>1160.96</v>
          </cell>
        </row>
        <row r="6247">
          <cell r="G6247">
            <v>42644</v>
          </cell>
          <cell r="L6247" t="str">
            <v>09-27-004-05W2</v>
          </cell>
          <cell r="O6247">
            <v>846.8</v>
          </cell>
          <cell r="Q6247">
            <v>1.4</v>
          </cell>
          <cell r="T6247">
            <v>1098.759</v>
          </cell>
        </row>
        <row r="6248">
          <cell r="G6248">
            <v>42644</v>
          </cell>
          <cell r="L6248" t="str">
            <v>08-14-004-07W2</v>
          </cell>
          <cell r="O6248">
            <v>864.2</v>
          </cell>
          <cell r="Q6248">
            <v>1.58</v>
          </cell>
          <cell r="T6248">
            <v>944.32299999999998</v>
          </cell>
        </row>
        <row r="6249">
          <cell r="G6249">
            <v>42644</v>
          </cell>
          <cell r="L6249" t="str">
            <v>08-22-004-09W2</v>
          </cell>
          <cell r="O6249">
            <v>878.8</v>
          </cell>
          <cell r="Q6249">
            <v>2.1</v>
          </cell>
          <cell r="T6249">
            <v>868.52499999999998</v>
          </cell>
        </row>
        <row r="6250">
          <cell r="G6250">
            <v>42644</v>
          </cell>
          <cell r="L6250" t="str">
            <v>09-10-005-04W2</v>
          </cell>
          <cell r="O6250">
            <v>855.2</v>
          </cell>
          <cell r="Q6250">
            <v>1.22</v>
          </cell>
          <cell r="T6250">
            <v>862.83100000000002</v>
          </cell>
        </row>
        <row r="6251">
          <cell r="G6251">
            <v>42644</v>
          </cell>
          <cell r="L6251" t="str">
            <v>13-30-005-05W2</v>
          </cell>
          <cell r="O6251">
            <v>848.9</v>
          </cell>
          <cell r="Q6251">
            <v>1.1000000000000001</v>
          </cell>
          <cell r="T6251">
            <v>714.36800000000005</v>
          </cell>
        </row>
        <row r="6252">
          <cell r="G6252">
            <v>42644</v>
          </cell>
          <cell r="L6252" t="str">
            <v>13-15-005-08W2</v>
          </cell>
          <cell r="O6252">
            <v>882.6</v>
          </cell>
          <cell r="Q6252">
            <v>1.83</v>
          </cell>
          <cell r="T6252">
            <v>639.23699999999997</v>
          </cell>
        </row>
        <row r="6253">
          <cell r="G6253">
            <v>42644</v>
          </cell>
          <cell r="L6253" t="str">
            <v>07-27-007-06W2</v>
          </cell>
          <cell r="O6253">
            <v>811.2</v>
          </cell>
          <cell r="Q6253">
            <v>0.21</v>
          </cell>
          <cell r="T6253">
            <v>525.05499999999995</v>
          </cell>
        </row>
        <row r="6254">
          <cell r="G6254">
            <v>42644</v>
          </cell>
          <cell r="L6254" t="str">
            <v>11-31-005-11W2</v>
          </cell>
          <cell r="O6254">
            <v>875.7</v>
          </cell>
          <cell r="Q6254">
            <v>1.73</v>
          </cell>
          <cell r="T6254">
            <v>1501.662</v>
          </cell>
        </row>
        <row r="6255">
          <cell r="G6255">
            <v>42644</v>
          </cell>
          <cell r="L6255" t="str">
            <v>09-02-006-07W2</v>
          </cell>
          <cell r="O6255">
            <v>889</v>
          </cell>
          <cell r="Q6255">
            <v>1.97</v>
          </cell>
          <cell r="T6255">
            <v>1371.769</v>
          </cell>
        </row>
        <row r="6256">
          <cell r="G6256">
            <v>42644</v>
          </cell>
          <cell r="L6256" t="str">
            <v>14-27-005-12W2</v>
          </cell>
          <cell r="O6256">
            <v>876.4</v>
          </cell>
          <cell r="Q6256">
            <v>1.98</v>
          </cell>
          <cell r="T6256">
            <v>1004.898</v>
          </cell>
        </row>
        <row r="6257">
          <cell r="G6257">
            <v>42644</v>
          </cell>
          <cell r="L6257" t="str">
            <v>13-06-007-11W2</v>
          </cell>
          <cell r="O6257">
            <v>859.6</v>
          </cell>
          <cell r="Q6257">
            <v>2.08</v>
          </cell>
          <cell r="T6257">
            <v>959.49300000000005</v>
          </cell>
        </row>
        <row r="6258">
          <cell r="G6258">
            <v>42644</v>
          </cell>
          <cell r="L6258" t="str">
            <v>16-27-001-16W2</v>
          </cell>
          <cell r="O6258">
            <v>813</v>
          </cell>
          <cell r="Q6258">
            <v>0.43</v>
          </cell>
          <cell r="T6258">
            <v>936.1</v>
          </cell>
        </row>
        <row r="6259">
          <cell r="G6259">
            <v>42644</v>
          </cell>
          <cell r="L6259" t="str">
            <v>16-05-005-08W2</v>
          </cell>
          <cell r="O6259">
            <v>887.2</v>
          </cell>
          <cell r="Q6259">
            <v>2.0699999999999998</v>
          </cell>
          <cell r="T6259">
            <v>810.83799999999997</v>
          </cell>
        </row>
        <row r="6260">
          <cell r="G6260">
            <v>42644</v>
          </cell>
          <cell r="L6260" t="str">
            <v>01-18-004-08W2</v>
          </cell>
          <cell r="O6260">
            <v>890.5</v>
          </cell>
          <cell r="Q6260">
            <v>2.36</v>
          </cell>
          <cell r="T6260">
            <v>725.18399999999997</v>
          </cell>
        </row>
        <row r="6261">
          <cell r="G6261">
            <v>42644</v>
          </cell>
          <cell r="L6261" t="str">
            <v>14-22-004-08W2</v>
          </cell>
          <cell r="O6261">
            <v>875.8</v>
          </cell>
          <cell r="Q6261">
            <v>2.0299999999999998</v>
          </cell>
          <cell r="T6261">
            <v>563.05700000000002</v>
          </cell>
        </row>
        <row r="6262">
          <cell r="G6262">
            <v>42644</v>
          </cell>
          <cell r="L6262" t="str">
            <v>13-09-002-11W2</v>
          </cell>
          <cell r="O6262">
            <v>822.5</v>
          </cell>
          <cell r="Q6262">
            <v>0.17</v>
          </cell>
          <cell r="T6262">
            <v>536.24199999999996</v>
          </cell>
        </row>
        <row r="6263">
          <cell r="G6263">
            <v>42644</v>
          </cell>
          <cell r="L6263" t="str">
            <v>15-33-013-13W2</v>
          </cell>
          <cell r="O6263">
            <v>866.5</v>
          </cell>
          <cell r="Q6263">
            <v>0.51</v>
          </cell>
          <cell r="T6263">
            <v>497.48700000000002</v>
          </cell>
        </row>
        <row r="6264">
          <cell r="G6264">
            <v>42644</v>
          </cell>
          <cell r="L6264" t="str">
            <v>06-18-006-12W2</v>
          </cell>
          <cell r="O6264">
            <v>888.8</v>
          </cell>
          <cell r="Q6264">
            <v>2.58</v>
          </cell>
          <cell r="T6264">
            <v>472.17</v>
          </cell>
        </row>
        <row r="6265">
          <cell r="G6265">
            <v>42644</v>
          </cell>
          <cell r="L6265" t="str">
            <v>16-29-006-12W2</v>
          </cell>
          <cell r="O6265">
            <v>871.1</v>
          </cell>
          <cell r="Q6265">
            <v>1.56</v>
          </cell>
          <cell r="T6265">
            <v>459.30399999999997</v>
          </cell>
        </row>
        <row r="6266">
          <cell r="G6266">
            <v>42644</v>
          </cell>
          <cell r="L6266" t="str">
            <v>03-18-007-09W2</v>
          </cell>
          <cell r="O6266">
            <v>820.4</v>
          </cell>
          <cell r="Q6266">
            <v>0.59</v>
          </cell>
          <cell r="T6266">
            <v>455.363</v>
          </cell>
        </row>
        <row r="6267">
          <cell r="G6267">
            <v>42644</v>
          </cell>
          <cell r="L6267" t="str">
            <v>15-11-005-09W2</v>
          </cell>
          <cell r="O6267">
            <v>884.1</v>
          </cell>
          <cell r="Q6267">
            <v>2.21</v>
          </cell>
          <cell r="T6267">
            <v>440.72800000000001</v>
          </cell>
        </row>
        <row r="6268">
          <cell r="G6268">
            <v>42644</v>
          </cell>
          <cell r="L6268" t="str">
            <v>15-36-001-12W2</v>
          </cell>
          <cell r="O6268">
            <v>825.3</v>
          </cell>
          <cell r="Q6268">
            <v>0.14000000000000001</v>
          </cell>
          <cell r="T6268">
            <v>405.96800000000002</v>
          </cell>
        </row>
        <row r="6269">
          <cell r="G6269">
            <v>42644</v>
          </cell>
          <cell r="L6269" t="str">
            <v>12-20-005-12W2</v>
          </cell>
          <cell r="O6269">
            <v>883.4</v>
          </cell>
          <cell r="Q6269">
            <v>2.38</v>
          </cell>
          <cell r="T6269">
            <v>403.09399999999999</v>
          </cell>
        </row>
        <row r="6270">
          <cell r="G6270">
            <v>42644</v>
          </cell>
          <cell r="L6270" t="str">
            <v>11-14-007-08W2</v>
          </cell>
          <cell r="O6270">
            <v>841</v>
          </cell>
          <cell r="Q6270">
            <v>1.38</v>
          </cell>
          <cell r="T6270">
            <v>393.048</v>
          </cell>
        </row>
        <row r="6271">
          <cell r="G6271">
            <v>42644</v>
          </cell>
          <cell r="L6271" t="str">
            <v>04-27-004-08W2</v>
          </cell>
          <cell r="O6271">
            <v>883.2</v>
          </cell>
          <cell r="Q6271">
            <v>2.14</v>
          </cell>
          <cell r="T6271">
            <v>383.57</v>
          </cell>
        </row>
        <row r="6272">
          <cell r="G6272">
            <v>42644</v>
          </cell>
          <cell r="L6272" t="str">
            <v>04-35-004-09W2</v>
          </cell>
          <cell r="O6272">
            <v>889.7</v>
          </cell>
          <cell r="Q6272">
            <v>1.92</v>
          </cell>
          <cell r="T6272">
            <v>379.12</v>
          </cell>
        </row>
        <row r="6273">
          <cell r="G6273">
            <v>42644</v>
          </cell>
          <cell r="L6273" t="str">
            <v>16-09-007-11W2</v>
          </cell>
          <cell r="O6273">
            <v>816</v>
          </cell>
          <cell r="Q6273">
            <v>1.98</v>
          </cell>
          <cell r="T6273">
            <v>364.755</v>
          </cell>
        </row>
        <row r="6274">
          <cell r="G6274">
            <v>42644</v>
          </cell>
          <cell r="L6274" t="str">
            <v>15-29-007-13W2</v>
          </cell>
          <cell r="O6274">
            <v>849</v>
          </cell>
          <cell r="Q6274">
            <v>1.85</v>
          </cell>
          <cell r="T6274">
            <v>332.661</v>
          </cell>
        </row>
        <row r="6275">
          <cell r="G6275">
            <v>42644</v>
          </cell>
          <cell r="L6275" t="str">
            <v>13-33-006-09W2</v>
          </cell>
          <cell r="O6275">
            <v>886.8</v>
          </cell>
          <cell r="Q6275">
            <v>2.42</v>
          </cell>
          <cell r="T6275">
            <v>284.54199999999997</v>
          </cell>
        </row>
        <row r="6276">
          <cell r="G6276">
            <v>42644</v>
          </cell>
          <cell r="L6276" t="str">
            <v>01-10-008-15W2</v>
          </cell>
          <cell r="O6276">
            <v>863.3</v>
          </cell>
          <cell r="Q6276">
            <v>2.21</v>
          </cell>
          <cell r="T6276">
            <v>278.39999999999998</v>
          </cell>
        </row>
        <row r="6277">
          <cell r="G6277">
            <v>42644</v>
          </cell>
          <cell r="L6277" t="str">
            <v>02-13-004-12W2</v>
          </cell>
          <cell r="O6277">
            <v>880.6</v>
          </cell>
          <cell r="Q6277">
            <v>1.99</v>
          </cell>
          <cell r="T6277">
            <v>275.40199999999999</v>
          </cell>
        </row>
        <row r="6278">
          <cell r="G6278">
            <v>42644</v>
          </cell>
          <cell r="L6278" t="str">
            <v>09-06-010-15W2</v>
          </cell>
          <cell r="O6278">
            <v>859.8</v>
          </cell>
          <cell r="Q6278">
            <v>0.13</v>
          </cell>
          <cell r="T6278">
            <v>264.791</v>
          </cell>
        </row>
        <row r="6279">
          <cell r="G6279">
            <v>42644</v>
          </cell>
          <cell r="L6279" t="str">
            <v>14-20-004-10W2</v>
          </cell>
          <cell r="O6279">
            <v>890.8</v>
          </cell>
          <cell r="Q6279">
            <v>2.14</v>
          </cell>
          <cell r="T6279">
            <v>244.239</v>
          </cell>
        </row>
        <row r="6280">
          <cell r="G6280">
            <v>42644</v>
          </cell>
          <cell r="L6280" t="str">
            <v>03-08-001-11W2</v>
          </cell>
          <cell r="O6280">
            <v>792.5</v>
          </cell>
          <cell r="Q6280">
            <v>0.32</v>
          </cell>
          <cell r="T6280">
            <v>238.238</v>
          </cell>
        </row>
        <row r="6281">
          <cell r="G6281">
            <v>42644</v>
          </cell>
          <cell r="L6281" t="str">
            <v>04-23-012-06W2</v>
          </cell>
          <cell r="O6281">
            <v>894</v>
          </cell>
          <cell r="Q6281">
            <v>2.52</v>
          </cell>
          <cell r="T6281">
            <v>228.48500000000001</v>
          </cell>
        </row>
        <row r="6282">
          <cell r="G6282">
            <v>42644</v>
          </cell>
          <cell r="L6282" t="str">
            <v>04-13-004-10W2</v>
          </cell>
          <cell r="O6282">
            <v>883.6</v>
          </cell>
          <cell r="Q6282">
            <v>2.04</v>
          </cell>
          <cell r="T6282">
            <v>222.60300000000001</v>
          </cell>
        </row>
        <row r="6283">
          <cell r="G6283">
            <v>42644</v>
          </cell>
          <cell r="L6283" t="str">
            <v>10-05-007-10W2</v>
          </cell>
          <cell r="O6283">
            <v>852.4</v>
          </cell>
          <cell r="Q6283">
            <v>1.78</v>
          </cell>
          <cell r="T6283">
            <v>208.292</v>
          </cell>
        </row>
        <row r="6284">
          <cell r="G6284">
            <v>42644</v>
          </cell>
          <cell r="L6284" t="str">
            <v>16-19-001-15W2</v>
          </cell>
          <cell r="O6284">
            <v>809.6</v>
          </cell>
          <cell r="Q6284">
            <v>0.39</v>
          </cell>
          <cell r="T6284">
            <v>208.09299999999999</v>
          </cell>
        </row>
        <row r="6285">
          <cell r="G6285">
            <v>42644</v>
          </cell>
          <cell r="L6285" t="str">
            <v>13-06-007-09W2</v>
          </cell>
          <cell r="O6285">
            <v>812.9</v>
          </cell>
          <cell r="Q6285">
            <v>0.28999999999999998</v>
          </cell>
          <cell r="T6285">
            <v>199.95</v>
          </cell>
        </row>
        <row r="6286">
          <cell r="G6286">
            <v>42644</v>
          </cell>
          <cell r="L6286" t="str">
            <v>12-27-006-13W2</v>
          </cell>
          <cell r="O6286">
            <v>854.2</v>
          </cell>
          <cell r="Q6286">
            <v>0.18</v>
          </cell>
          <cell r="T6286">
            <v>172.114</v>
          </cell>
        </row>
        <row r="6287">
          <cell r="G6287">
            <v>42644</v>
          </cell>
          <cell r="L6287" t="str">
            <v>09-11-007-14W2</v>
          </cell>
          <cell r="O6287">
            <v>844.4</v>
          </cell>
          <cell r="Q6287">
            <v>1.55</v>
          </cell>
          <cell r="T6287">
            <v>165.95</v>
          </cell>
        </row>
        <row r="6288">
          <cell r="G6288">
            <v>42644</v>
          </cell>
          <cell r="L6288" t="str">
            <v>16-06-005-12W2</v>
          </cell>
          <cell r="O6288">
            <v>877.8</v>
          </cell>
          <cell r="Q6288">
            <v>2</v>
          </cell>
          <cell r="T6288">
            <v>162.66999999999999</v>
          </cell>
        </row>
        <row r="6289">
          <cell r="G6289">
            <v>42644</v>
          </cell>
          <cell r="L6289" t="str">
            <v>12-31-001-17W2</v>
          </cell>
          <cell r="O6289">
            <v>851.7</v>
          </cell>
          <cell r="Q6289">
            <v>0.14000000000000001</v>
          </cell>
          <cell r="T6289">
            <v>145.423</v>
          </cell>
        </row>
        <row r="6290">
          <cell r="G6290">
            <v>42644</v>
          </cell>
          <cell r="L6290" t="str">
            <v>09-22-006-12W2</v>
          </cell>
          <cell r="O6290">
            <v>876.8</v>
          </cell>
          <cell r="Q6290">
            <v>2.34</v>
          </cell>
          <cell r="T6290">
            <v>135.23699999999999</v>
          </cell>
        </row>
        <row r="6291">
          <cell r="G6291">
            <v>42644</v>
          </cell>
          <cell r="L6291" t="str">
            <v>07-31-006-09W2</v>
          </cell>
          <cell r="O6291">
            <v>880.9</v>
          </cell>
          <cell r="Q6291">
            <v>2.56</v>
          </cell>
          <cell r="T6291">
            <v>134.83600000000001</v>
          </cell>
        </row>
        <row r="6292">
          <cell r="G6292">
            <v>42644</v>
          </cell>
          <cell r="L6292" t="str">
            <v>03-27-011-08W2</v>
          </cell>
          <cell r="O6292">
            <v>900.2</v>
          </cell>
          <cell r="Q6292">
            <v>2.62</v>
          </cell>
          <cell r="T6292">
            <v>128.334</v>
          </cell>
        </row>
        <row r="6293">
          <cell r="G6293">
            <v>42644</v>
          </cell>
          <cell r="L6293" t="str">
            <v>15-13-002-12W2</v>
          </cell>
          <cell r="O6293">
            <v>823.4</v>
          </cell>
          <cell r="Q6293">
            <v>0.15</v>
          </cell>
          <cell r="T6293">
            <v>127.739</v>
          </cell>
        </row>
        <row r="6294">
          <cell r="G6294">
            <v>42644</v>
          </cell>
          <cell r="L6294" t="str">
            <v>01-36-006-12W2</v>
          </cell>
          <cell r="O6294">
            <v>891.9</v>
          </cell>
          <cell r="Q6294">
            <v>2.63</v>
          </cell>
          <cell r="T6294">
            <v>123.762</v>
          </cell>
        </row>
        <row r="6295">
          <cell r="G6295">
            <v>42644</v>
          </cell>
          <cell r="L6295" t="str">
            <v>01-06-004-11W2</v>
          </cell>
          <cell r="O6295">
            <v>882.7</v>
          </cell>
          <cell r="Q6295">
            <v>1.95</v>
          </cell>
          <cell r="T6295">
            <v>106.01300000000001</v>
          </cell>
        </row>
        <row r="6296">
          <cell r="G6296">
            <v>42644</v>
          </cell>
          <cell r="L6296" t="str">
            <v>01-23-005-12W2</v>
          </cell>
          <cell r="O6296">
            <v>883.1</v>
          </cell>
          <cell r="Q6296">
            <v>2.0499999999999998</v>
          </cell>
          <cell r="T6296">
            <v>99.644000000000005</v>
          </cell>
        </row>
        <row r="6297">
          <cell r="G6297">
            <v>42644</v>
          </cell>
          <cell r="L6297" t="str">
            <v>07-02-007-12W2</v>
          </cell>
          <cell r="O6297">
            <v>854.5</v>
          </cell>
          <cell r="Q6297">
            <v>1.83</v>
          </cell>
          <cell r="T6297">
            <v>98.191000000000003</v>
          </cell>
        </row>
        <row r="6298">
          <cell r="G6298">
            <v>42644</v>
          </cell>
          <cell r="L6298" t="str">
            <v>05-31-006-13W2</v>
          </cell>
          <cell r="O6298">
            <v>825.8</v>
          </cell>
          <cell r="Q6298">
            <v>0.19</v>
          </cell>
          <cell r="T6298">
            <v>97.042000000000002</v>
          </cell>
        </row>
        <row r="6299">
          <cell r="G6299">
            <v>42644</v>
          </cell>
          <cell r="L6299" t="str">
            <v>07-10-001-20W2</v>
          </cell>
          <cell r="O6299">
            <v>876</v>
          </cell>
          <cell r="Q6299">
            <v>1.72</v>
          </cell>
          <cell r="T6299">
            <v>96.366</v>
          </cell>
        </row>
        <row r="6300">
          <cell r="G6300">
            <v>42644</v>
          </cell>
          <cell r="L6300" t="str">
            <v>01-13-007-10W2</v>
          </cell>
          <cell r="O6300">
            <v>813.3</v>
          </cell>
          <cell r="Q6300">
            <v>0.37</v>
          </cell>
          <cell r="T6300">
            <v>89.100999999999999</v>
          </cell>
        </row>
        <row r="6301">
          <cell r="G6301">
            <v>42644</v>
          </cell>
          <cell r="L6301" t="str">
            <v>04-18-007-09W2</v>
          </cell>
          <cell r="O6301">
            <v>813.2</v>
          </cell>
          <cell r="Q6301">
            <v>0.19</v>
          </cell>
          <cell r="T6301">
            <v>85.715999999999994</v>
          </cell>
        </row>
        <row r="6302">
          <cell r="G6302">
            <v>42644</v>
          </cell>
          <cell r="L6302" t="str">
            <v>01-33-164-97W1</v>
          </cell>
          <cell r="O6302">
            <v>912.2</v>
          </cell>
          <cell r="Q6302">
            <v>1.76</v>
          </cell>
          <cell r="T6302">
            <v>79.183999999999997</v>
          </cell>
        </row>
        <row r="6303">
          <cell r="G6303">
            <v>42644</v>
          </cell>
          <cell r="L6303" t="str">
            <v>09-32-006-15W2</v>
          </cell>
          <cell r="O6303">
            <v>891.7</v>
          </cell>
          <cell r="Q6303">
            <v>2.8</v>
          </cell>
          <cell r="T6303">
            <v>77.173000000000002</v>
          </cell>
        </row>
        <row r="6304">
          <cell r="G6304">
            <v>42644</v>
          </cell>
          <cell r="L6304" t="str">
            <v>12-28-006-07W2</v>
          </cell>
          <cell r="O6304">
            <v>909.1</v>
          </cell>
          <cell r="Q6304">
            <v>2.52</v>
          </cell>
          <cell r="T6304">
            <v>70.608000000000004</v>
          </cell>
        </row>
        <row r="6305">
          <cell r="G6305">
            <v>42644</v>
          </cell>
          <cell r="L6305" t="str">
            <v>08-34-006-12W2</v>
          </cell>
          <cell r="O6305">
            <v>879.9</v>
          </cell>
          <cell r="Q6305">
            <v>1.89</v>
          </cell>
          <cell r="T6305">
            <v>69.501000000000005</v>
          </cell>
        </row>
        <row r="6306">
          <cell r="G6306">
            <v>42644</v>
          </cell>
          <cell r="L6306" t="str">
            <v>09-12-007-09W2</v>
          </cell>
          <cell r="O6306">
            <v>813.1</v>
          </cell>
          <cell r="Q6306">
            <v>0.15</v>
          </cell>
          <cell r="T6306">
            <v>66.622</v>
          </cell>
        </row>
        <row r="6307">
          <cell r="G6307">
            <v>42644</v>
          </cell>
          <cell r="L6307" t="str">
            <v>07-24-006-10W2</v>
          </cell>
          <cell r="O6307">
            <v>883.2</v>
          </cell>
          <cell r="Q6307">
            <v>2.44</v>
          </cell>
          <cell r="T6307">
            <v>65.816000000000003</v>
          </cell>
        </row>
        <row r="6308">
          <cell r="G6308">
            <v>42644</v>
          </cell>
          <cell r="L6308" t="str">
            <v>05-26-164-97W1</v>
          </cell>
          <cell r="O6308">
            <v>857.5</v>
          </cell>
          <cell r="Q6308">
            <v>1.59</v>
          </cell>
          <cell r="T6308">
            <v>58.463999999999999</v>
          </cell>
        </row>
        <row r="6309">
          <cell r="G6309">
            <v>42644</v>
          </cell>
          <cell r="L6309" t="str">
            <v>04-25-164-97W1</v>
          </cell>
          <cell r="O6309">
            <v>889.3</v>
          </cell>
          <cell r="Q6309">
            <v>1.54</v>
          </cell>
          <cell r="T6309">
            <v>54.551000000000002</v>
          </cell>
        </row>
        <row r="6310">
          <cell r="G6310">
            <v>42644</v>
          </cell>
          <cell r="L6310" t="str">
            <v>14-34-006-11W2</v>
          </cell>
          <cell r="O6310">
            <v>855</v>
          </cell>
          <cell r="Q6310">
            <v>0.31</v>
          </cell>
          <cell r="T6310">
            <v>53.7</v>
          </cell>
        </row>
        <row r="6311">
          <cell r="G6311">
            <v>42644</v>
          </cell>
          <cell r="L6311" t="str">
            <v>14-25-003-09W2</v>
          </cell>
          <cell r="O6311">
            <v>865.6</v>
          </cell>
          <cell r="Q6311">
            <v>0.8</v>
          </cell>
          <cell r="T6311">
            <v>32.853999999999999</v>
          </cell>
        </row>
        <row r="6312">
          <cell r="G6312">
            <v>42644</v>
          </cell>
          <cell r="L6312" t="str">
            <v>08-03-006-07W2</v>
          </cell>
          <cell r="O6312">
            <v>883.7</v>
          </cell>
          <cell r="Q6312">
            <v>1.92</v>
          </cell>
          <cell r="T6312">
            <v>30.795999999999999</v>
          </cell>
        </row>
        <row r="6313">
          <cell r="G6313">
            <v>42644</v>
          </cell>
          <cell r="L6313" t="str">
            <v>01-34-164-97W1</v>
          </cell>
          <cell r="O6313">
            <v>874.7</v>
          </cell>
          <cell r="Q6313">
            <v>1.59</v>
          </cell>
          <cell r="T6313">
            <v>30.402999999999999</v>
          </cell>
        </row>
        <row r="6314">
          <cell r="G6314">
            <v>42644</v>
          </cell>
          <cell r="L6314" t="str">
            <v>01-27-164-97W1</v>
          </cell>
          <cell r="O6314">
            <v>882.8</v>
          </cell>
          <cell r="Q6314">
            <v>0.75</v>
          </cell>
          <cell r="T6314">
            <v>29.277999999999999</v>
          </cell>
        </row>
        <row r="6315">
          <cell r="G6315">
            <v>42644</v>
          </cell>
          <cell r="L6315" t="str">
            <v>01-07-160-92W1</v>
          </cell>
          <cell r="O6315">
            <v>844.5</v>
          </cell>
          <cell r="Q6315">
            <v>0.53</v>
          </cell>
          <cell r="T6315">
            <v>28.706</v>
          </cell>
        </row>
        <row r="6316">
          <cell r="G6316">
            <v>42644</v>
          </cell>
          <cell r="L6316" t="str">
            <v>01-27-004-07W2</v>
          </cell>
          <cell r="O6316">
            <v>886.2</v>
          </cell>
          <cell r="Q6316">
            <v>2.0299999999999998</v>
          </cell>
          <cell r="T6316">
            <v>27.335999999999999</v>
          </cell>
        </row>
        <row r="6317">
          <cell r="G6317">
            <v>42644</v>
          </cell>
          <cell r="L6317" t="str">
            <v>01-23-161-92W1</v>
          </cell>
          <cell r="O6317">
            <v>850.6</v>
          </cell>
          <cell r="Q6317">
            <v>0.53</v>
          </cell>
          <cell r="T6317">
            <v>23.553000000000001</v>
          </cell>
        </row>
        <row r="6318">
          <cell r="G6318">
            <v>42644</v>
          </cell>
          <cell r="L6318" t="str">
            <v>01-01-003-16W2</v>
          </cell>
          <cell r="O6318">
            <v>913.5</v>
          </cell>
          <cell r="Q6318">
            <v>1.19</v>
          </cell>
          <cell r="T6318">
            <v>12.689</v>
          </cell>
        </row>
        <row r="6319">
          <cell r="G6319">
            <v>42644</v>
          </cell>
          <cell r="L6319" t="str">
            <v>14-27-001-13W2</v>
          </cell>
          <cell r="O6319">
            <v>820.8</v>
          </cell>
          <cell r="Q6319">
            <v>0.12</v>
          </cell>
          <cell r="T6319">
            <v>2535</v>
          </cell>
        </row>
        <row r="6320">
          <cell r="G6320">
            <v>42644</v>
          </cell>
          <cell r="L6320" t="str">
            <v>11-25-005-12W2</v>
          </cell>
          <cell r="O6320">
            <v>874.9</v>
          </cell>
          <cell r="Q6320">
            <v>2.02</v>
          </cell>
          <cell r="T6320">
            <v>2247.2559999999999</v>
          </cell>
        </row>
        <row r="6321">
          <cell r="G6321">
            <v>42644</v>
          </cell>
          <cell r="L6321" t="str">
            <v>05-31-003-16W2</v>
          </cell>
          <cell r="O6321">
            <v>890.8</v>
          </cell>
          <cell r="Q6321">
            <v>2.42</v>
          </cell>
          <cell r="T6321">
            <v>1424.491</v>
          </cell>
        </row>
        <row r="6322">
          <cell r="G6322">
            <v>42644</v>
          </cell>
          <cell r="L6322" t="str">
            <v>01-21-001-14W2</v>
          </cell>
          <cell r="O6322">
            <v>803.3</v>
          </cell>
          <cell r="Q6322">
            <v>0.14000000000000001</v>
          </cell>
          <cell r="T6322">
            <v>1333.3720000000001</v>
          </cell>
        </row>
        <row r="6323">
          <cell r="G6323">
            <v>42644</v>
          </cell>
          <cell r="L6323" t="str">
            <v>16-18-003-15W2</v>
          </cell>
          <cell r="O6323">
            <v>886.5</v>
          </cell>
          <cell r="Q6323">
            <v>2.4500000000000002</v>
          </cell>
          <cell r="T6323">
            <v>1127.6769999999999</v>
          </cell>
        </row>
        <row r="6324">
          <cell r="G6324">
            <v>42644</v>
          </cell>
          <cell r="L6324" t="str">
            <v>11-31-006-08W2</v>
          </cell>
          <cell r="O6324">
            <v>889.4</v>
          </cell>
          <cell r="Q6324">
            <v>2.5</v>
          </cell>
          <cell r="T6324">
            <v>387.29899999999998</v>
          </cell>
        </row>
        <row r="6325">
          <cell r="G6325">
            <v>42644</v>
          </cell>
          <cell r="L6325" t="str">
            <v>14-21-001-12W2</v>
          </cell>
          <cell r="O6325">
            <v>811.9</v>
          </cell>
          <cell r="Q6325">
            <v>0.22</v>
          </cell>
          <cell r="T6325">
            <v>351.089</v>
          </cell>
        </row>
        <row r="6326">
          <cell r="G6326">
            <v>42644</v>
          </cell>
          <cell r="L6326" t="str">
            <v>16-22-001-12W2</v>
          </cell>
          <cell r="O6326">
            <v>809.7</v>
          </cell>
          <cell r="Q6326">
            <v>0.17</v>
          </cell>
          <cell r="T6326">
            <v>329.62200000000001</v>
          </cell>
        </row>
        <row r="6327">
          <cell r="G6327">
            <v>42644</v>
          </cell>
          <cell r="L6327" t="str">
            <v>05-23-005-13W2</v>
          </cell>
          <cell r="O6327">
            <v>906.9</v>
          </cell>
          <cell r="Q6327">
            <v>2.75</v>
          </cell>
          <cell r="T6327">
            <v>308.30200000000002</v>
          </cell>
        </row>
        <row r="6328">
          <cell r="G6328">
            <v>42644</v>
          </cell>
          <cell r="L6328" t="str">
            <v>06-20-006-09W2</v>
          </cell>
          <cell r="O6328">
            <v>880.8</v>
          </cell>
          <cell r="Q6328">
            <v>2.19</v>
          </cell>
          <cell r="T6328">
            <v>303.09500000000003</v>
          </cell>
        </row>
        <row r="6329">
          <cell r="G6329">
            <v>42644</v>
          </cell>
          <cell r="L6329" t="str">
            <v>04-05-002-15W2</v>
          </cell>
          <cell r="O6329">
            <v>856</v>
          </cell>
          <cell r="Q6329">
            <v>2.04</v>
          </cell>
          <cell r="T6329">
            <v>230.90299999999999</v>
          </cell>
        </row>
        <row r="6330">
          <cell r="G6330">
            <v>42644</v>
          </cell>
          <cell r="L6330" t="str">
            <v>13-24-001-16W2</v>
          </cell>
          <cell r="O6330">
            <v>805.5</v>
          </cell>
          <cell r="Q6330">
            <v>0.42</v>
          </cell>
          <cell r="T6330">
            <v>178.75200000000001</v>
          </cell>
        </row>
        <row r="6331">
          <cell r="G6331">
            <v>42644</v>
          </cell>
          <cell r="L6331" t="str">
            <v>13-22-001-12W2</v>
          </cell>
          <cell r="O6331">
            <v>808.1</v>
          </cell>
          <cell r="Q6331">
            <v>0.23</v>
          </cell>
          <cell r="T6331">
            <v>130.792</v>
          </cell>
        </row>
        <row r="6332">
          <cell r="G6332">
            <v>42644</v>
          </cell>
          <cell r="L6332" t="str">
            <v>13-34-001-13W2</v>
          </cell>
          <cell r="O6332">
            <v>814.5</v>
          </cell>
          <cell r="Q6332">
            <v>0.2</v>
          </cell>
          <cell r="T6332">
            <v>68.692999999999998</v>
          </cell>
        </row>
        <row r="6333">
          <cell r="G6333">
            <v>42644</v>
          </cell>
          <cell r="L6333" t="str">
            <v>14-27-001-12W2</v>
          </cell>
          <cell r="O6333">
            <v>813</v>
          </cell>
          <cell r="Q6333">
            <v>0.25</v>
          </cell>
          <cell r="T6333">
            <v>59.286000000000001</v>
          </cell>
        </row>
        <row r="6334">
          <cell r="G6334">
            <v>42644</v>
          </cell>
          <cell r="L6334" t="str">
            <v>13-29-001-15W2</v>
          </cell>
          <cell r="O6334">
            <v>808.8</v>
          </cell>
          <cell r="Q6334">
            <v>0.45</v>
          </cell>
          <cell r="T6334">
            <v>57.558999999999997</v>
          </cell>
        </row>
        <row r="6335">
          <cell r="G6335">
            <v>42644</v>
          </cell>
          <cell r="L6335" t="str">
            <v>16-25-001-15W2</v>
          </cell>
          <cell r="O6335">
            <v>818.5</v>
          </cell>
          <cell r="Q6335">
            <v>0.32</v>
          </cell>
          <cell r="T6335">
            <v>46.66</v>
          </cell>
        </row>
        <row r="6336">
          <cell r="G6336">
            <v>42644</v>
          </cell>
          <cell r="L6336" t="str">
            <v>16-34-001-15W2</v>
          </cell>
          <cell r="O6336">
            <v>804.3</v>
          </cell>
          <cell r="Q6336">
            <v>0.22</v>
          </cell>
          <cell r="T6336">
            <v>31.384</v>
          </cell>
        </row>
        <row r="6337">
          <cell r="G6337">
            <v>42644</v>
          </cell>
          <cell r="L6337" t="str">
            <v>15-29-005-15W2</v>
          </cell>
          <cell r="O6337">
            <v>891.8</v>
          </cell>
          <cell r="Q6337">
            <v>2.86</v>
          </cell>
          <cell r="T6337">
            <v>3733.7280000000001</v>
          </cell>
        </row>
        <row r="6338">
          <cell r="G6338">
            <v>42644</v>
          </cell>
          <cell r="L6338" t="str">
            <v>09-34-005-15W2</v>
          </cell>
          <cell r="O6338">
            <v>880.3</v>
          </cell>
          <cell r="Q6338">
            <v>2.57</v>
          </cell>
          <cell r="T6338">
            <v>1540.836</v>
          </cell>
        </row>
        <row r="6339">
          <cell r="G6339">
            <v>42644</v>
          </cell>
          <cell r="L6339" t="str">
            <v>04-24-005-15W2</v>
          </cell>
          <cell r="O6339">
            <v>891.7</v>
          </cell>
          <cell r="Q6339">
            <v>2.71</v>
          </cell>
          <cell r="T6339">
            <v>1137.9580000000001</v>
          </cell>
        </row>
        <row r="6340">
          <cell r="G6340">
            <v>42644</v>
          </cell>
          <cell r="L6340" t="str">
            <v>06-17-006-14W2</v>
          </cell>
          <cell r="O6340">
            <v>869.9</v>
          </cell>
          <cell r="Q6340">
            <v>2.1800000000000002</v>
          </cell>
          <cell r="T6340">
            <v>2957.0540000000001</v>
          </cell>
        </row>
        <row r="6341">
          <cell r="G6341">
            <v>42644</v>
          </cell>
          <cell r="L6341" t="str">
            <v>06-17-006-14W2</v>
          </cell>
          <cell r="O6341">
            <v>860.7</v>
          </cell>
          <cell r="Q6341">
            <v>2.1800000000000002</v>
          </cell>
          <cell r="T6341">
            <v>451.81299999999999</v>
          </cell>
        </row>
        <row r="6342">
          <cell r="G6342">
            <v>42644</v>
          </cell>
          <cell r="L6342" t="str">
            <v>10-11-005-14W2</v>
          </cell>
          <cell r="O6342">
            <v>900.2</v>
          </cell>
          <cell r="Q6342">
            <v>2.86</v>
          </cell>
          <cell r="T6342">
            <v>438.55700000000002</v>
          </cell>
        </row>
        <row r="6343">
          <cell r="G6343">
            <v>42644</v>
          </cell>
          <cell r="L6343" t="str">
            <v>03-15-005-13W2</v>
          </cell>
          <cell r="O6343">
            <v>899.7</v>
          </cell>
          <cell r="Q6343">
            <v>2.85</v>
          </cell>
          <cell r="T6343">
            <v>368.05599999999998</v>
          </cell>
        </row>
        <row r="6344">
          <cell r="G6344">
            <v>42644</v>
          </cell>
          <cell r="L6344" t="str">
            <v>12-13-006-13W2</v>
          </cell>
          <cell r="O6344">
            <v>878.3</v>
          </cell>
          <cell r="Q6344">
            <v>2.5299999999999998</v>
          </cell>
          <cell r="T6344">
            <v>230.31800000000001</v>
          </cell>
        </row>
        <row r="6345">
          <cell r="G6345">
            <v>42644</v>
          </cell>
          <cell r="L6345" t="str">
            <v>15-19-005-13W2</v>
          </cell>
          <cell r="O6345">
            <v>897.4</v>
          </cell>
          <cell r="Q6345">
            <v>2.72</v>
          </cell>
          <cell r="T6345">
            <v>221.768</v>
          </cell>
        </row>
        <row r="6346">
          <cell r="G6346">
            <v>42644</v>
          </cell>
          <cell r="L6346" t="str">
            <v>01-03-006-14W2</v>
          </cell>
          <cell r="O6346">
            <v>871.3</v>
          </cell>
          <cell r="Q6346">
            <v>2.37</v>
          </cell>
          <cell r="T6346">
            <v>63.642000000000003</v>
          </cell>
        </row>
        <row r="6347">
          <cell r="G6347">
            <v>42644</v>
          </cell>
          <cell r="L6347" t="str">
            <v>11-12-006-15W2</v>
          </cell>
          <cell r="O6347">
            <v>872</v>
          </cell>
          <cell r="Q6347">
            <v>2.27</v>
          </cell>
          <cell r="T6347">
            <v>7555.3490000000002</v>
          </cell>
        </row>
        <row r="6348">
          <cell r="G6348">
            <v>42644</v>
          </cell>
          <cell r="L6348" t="str">
            <v>07-24-006-15W2</v>
          </cell>
          <cell r="O6348">
            <v>869.1</v>
          </cell>
          <cell r="Q6348">
            <v>1.18</v>
          </cell>
          <cell r="T6348">
            <v>1444.2829999999999</v>
          </cell>
        </row>
        <row r="6349">
          <cell r="G6349">
            <v>42644</v>
          </cell>
          <cell r="L6349" t="str">
            <v>04-24-005-15W2</v>
          </cell>
          <cell r="O6349">
            <v>878.7</v>
          </cell>
          <cell r="Q6349">
            <v>2.71</v>
          </cell>
          <cell r="T6349">
            <v>77.379000000000005</v>
          </cell>
        </row>
        <row r="6350">
          <cell r="G6350">
            <v>42644</v>
          </cell>
          <cell r="L6350" t="str">
            <v>07-07-006-15W2</v>
          </cell>
          <cell r="O6350">
            <v>870.6</v>
          </cell>
          <cell r="Q6350">
            <v>2.81</v>
          </cell>
          <cell r="T6350">
            <v>5365.15</v>
          </cell>
        </row>
        <row r="6351">
          <cell r="G6351">
            <v>42644</v>
          </cell>
          <cell r="L6351" t="str">
            <v>12-30-006-15W2</v>
          </cell>
          <cell r="O6351">
            <v>884.1</v>
          </cell>
          <cell r="Q6351">
            <v>2.99</v>
          </cell>
          <cell r="T6351">
            <v>4445.826</v>
          </cell>
        </row>
        <row r="6352">
          <cell r="G6352">
            <v>42644</v>
          </cell>
          <cell r="L6352" t="str">
            <v>12-11-001-10W2</v>
          </cell>
          <cell r="O6352">
            <v>818.6</v>
          </cell>
          <cell r="Q6352">
            <v>0.17</v>
          </cell>
          <cell r="T6352">
            <v>2684.7150000000001</v>
          </cell>
        </row>
        <row r="6353">
          <cell r="G6353">
            <v>42644</v>
          </cell>
          <cell r="L6353" t="str">
            <v>12-32-006-04W2</v>
          </cell>
          <cell r="O6353">
            <v>860.7</v>
          </cell>
          <cell r="Q6353">
            <v>1.82</v>
          </cell>
          <cell r="T6353">
            <v>2406.8939999999998</v>
          </cell>
        </row>
        <row r="6354">
          <cell r="G6354">
            <v>42644</v>
          </cell>
          <cell r="L6354" t="str">
            <v>11-25-005-06W2</v>
          </cell>
          <cell r="O6354">
            <v>846.3</v>
          </cell>
          <cell r="Q6354">
            <v>1.1200000000000001</v>
          </cell>
          <cell r="T6354">
            <v>2100.3670000000002</v>
          </cell>
        </row>
        <row r="6355">
          <cell r="G6355">
            <v>42644</v>
          </cell>
          <cell r="L6355" t="str">
            <v>11-12-007-04W2</v>
          </cell>
          <cell r="O6355">
            <v>856.6</v>
          </cell>
          <cell r="Q6355">
            <v>1.45</v>
          </cell>
          <cell r="T6355">
            <v>1661.0509999999999</v>
          </cell>
        </row>
        <row r="6356">
          <cell r="G6356">
            <v>42644</v>
          </cell>
          <cell r="L6356" t="str">
            <v>31-30-164-92W1</v>
          </cell>
          <cell r="O6356">
            <v>831.1</v>
          </cell>
          <cell r="Q6356">
            <v>0.52</v>
          </cell>
          <cell r="T6356">
            <v>1649.002</v>
          </cell>
        </row>
        <row r="6357">
          <cell r="G6357">
            <v>42644</v>
          </cell>
          <cell r="L6357" t="str">
            <v>16-19-002-04W2</v>
          </cell>
          <cell r="O6357">
            <v>840.1</v>
          </cell>
          <cell r="Q6357">
            <v>0.53</v>
          </cell>
          <cell r="T6357">
            <v>1615.838</v>
          </cell>
        </row>
        <row r="6358">
          <cell r="G6358">
            <v>42644</v>
          </cell>
          <cell r="L6358" t="str">
            <v>04-06-005-05W2</v>
          </cell>
          <cell r="O6358">
            <v>841.1</v>
          </cell>
          <cell r="Q6358">
            <v>0.91</v>
          </cell>
          <cell r="T6358">
            <v>805.23</v>
          </cell>
        </row>
        <row r="6359">
          <cell r="G6359">
            <v>42644</v>
          </cell>
          <cell r="L6359" t="str">
            <v>07-04-005-04W2</v>
          </cell>
          <cell r="O6359">
            <v>841.8</v>
          </cell>
          <cell r="Q6359">
            <v>0.89</v>
          </cell>
          <cell r="T6359">
            <v>506.00799999999998</v>
          </cell>
        </row>
        <row r="6360">
          <cell r="G6360">
            <v>42644</v>
          </cell>
          <cell r="L6360" t="str">
            <v>02-34-143-100W1</v>
          </cell>
          <cell r="O6360">
            <v>828.3</v>
          </cell>
          <cell r="Q6360">
            <v>0.38</v>
          </cell>
          <cell r="T6360">
            <v>483.69900000000001</v>
          </cell>
        </row>
        <row r="6361">
          <cell r="G6361">
            <v>42644</v>
          </cell>
          <cell r="L6361" t="str">
            <v>09-20-006-04W2</v>
          </cell>
          <cell r="O6361">
            <v>852.6</v>
          </cell>
          <cell r="Q6361">
            <v>1.36</v>
          </cell>
          <cell r="T6361">
            <v>456.60399999999998</v>
          </cell>
        </row>
        <row r="6362">
          <cell r="G6362">
            <v>42644</v>
          </cell>
          <cell r="L6362" t="str">
            <v>02-05-163-92W1</v>
          </cell>
          <cell r="O6362">
            <v>835.8</v>
          </cell>
          <cell r="Q6362">
            <v>0.54</v>
          </cell>
          <cell r="T6362">
            <v>388.137</v>
          </cell>
        </row>
        <row r="6363">
          <cell r="G6363">
            <v>42644</v>
          </cell>
          <cell r="L6363" t="str">
            <v>01-02-021-58W1</v>
          </cell>
          <cell r="O6363">
            <v>830.1</v>
          </cell>
          <cell r="Q6363">
            <v>0.7</v>
          </cell>
          <cell r="T6363">
            <v>312.83600000000001</v>
          </cell>
        </row>
        <row r="6364">
          <cell r="G6364">
            <v>42644</v>
          </cell>
          <cell r="L6364" t="str">
            <v>01-03-163-92W1</v>
          </cell>
          <cell r="O6364">
            <v>811</v>
          </cell>
          <cell r="Q6364">
            <v>0.46</v>
          </cell>
          <cell r="T6364">
            <v>297.72699999999998</v>
          </cell>
        </row>
        <row r="6365">
          <cell r="G6365">
            <v>42644</v>
          </cell>
          <cell r="L6365" t="str">
            <v>03-10-145-98W1</v>
          </cell>
          <cell r="O6365">
            <v>830.3</v>
          </cell>
          <cell r="Q6365">
            <v>0.41</v>
          </cell>
          <cell r="T6365">
            <v>259.31</v>
          </cell>
        </row>
        <row r="6366">
          <cell r="G6366">
            <v>42644</v>
          </cell>
          <cell r="L6366" t="str">
            <v>05-25-147-98W1</v>
          </cell>
          <cell r="O6366">
            <v>818</v>
          </cell>
          <cell r="Q6366">
            <v>0.56000000000000005</v>
          </cell>
          <cell r="T6366">
            <v>252.47200000000001</v>
          </cell>
        </row>
        <row r="6367">
          <cell r="G6367">
            <v>42644</v>
          </cell>
          <cell r="L6367" t="str">
            <v>01-05-163-92W1</v>
          </cell>
          <cell r="O6367">
            <v>842.1</v>
          </cell>
          <cell r="Q6367">
            <v>0.53</v>
          </cell>
          <cell r="T6367">
            <v>227.56100000000001</v>
          </cell>
        </row>
        <row r="6368">
          <cell r="G6368">
            <v>42644</v>
          </cell>
          <cell r="L6368" t="str">
            <v>02-31-145-98W1</v>
          </cell>
          <cell r="O6368">
            <v>819.6</v>
          </cell>
          <cell r="Q6368">
            <v>0.41</v>
          </cell>
          <cell r="T6368">
            <v>224.74700000000001</v>
          </cell>
        </row>
        <row r="6369">
          <cell r="G6369">
            <v>42644</v>
          </cell>
          <cell r="L6369" t="str">
            <v>13-19-001-03W2</v>
          </cell>
          <cell r="O6369">
            <v>835.6</v>
          </cell>
          <cell r="Q6369">
            <v>0.62</v>
          </cell>
          <cell r="T6369">
            <v>224.13200000000001</v>
          </cell>
        </row>
        <row r="6370">
          <cell r="G6370">
            <v>42644</v>
          </cell>
          <cell r="L6370" t="str">
            <v>02-30-147-97W1</v>
          </cell>
          <cell r="O6370">
            <v>809.4</v>
          </cell>
          <cell r="Q6370">
            <v>0.46</v>
          </cell>
          <cell r="T6370">
            <v>219.8</v>
          </cell>
        </row>
        <row r="6371">
          <cell r="G6371">
            <v>42644</v>
          </cell>
          <cell r="L6371" t="str">
            <v>09-19-004-04W2</v>
          </cell>
          <cell r="O6371">
            <v>850.1</v>
          </cell>
          <cell r="Q6371">
            <v>1.19</v>
          </cell>
          <cell r="T6371">
            <v>215.602</v>
          </cell>
        </row>
        <row r="6372">
          <cell r="G6372">
            <v>42644</v>
          </cell>
          <cell r="L6372" t="str">
            <v>01-17-143-101W1</v>
          </cell>
          <cell r="O6372">
            <v>831.9</v>
          </cell>
          <cell r="Q6372">
            <v>0.51</v>
          </cell>
          <cell r="T6372">
            <v>194.59399999999999</v>
          </cell>
        </row>
        <row r="6373">
          <cell r="G6373">
            <v>42644</v>
          </cell>
          <cell r="L6373" t="str">
            <v>01-19-147-97W1</v>
          </cell>
          <cell r="O6373">
            <v>816.7</v>
          </cell>
          <cell r="Q6373">
            <v>0.67</v>
          </cell>
          <cell r="T6373">
            <v>187.952</v>
          </cell>
        </row>
        <row r="6374">
          <cell r="G6374">
            <v>42644</v>
          </cell>
          <cell r="L6374" t="str">
            <v>24-06-158-95W1</v>
          </cell>
          <cell r="O6374">
            <v>810.1</v>
          </cell>
          <cell r="Q6374">
            <v>0.14000000000000001</v>
          </cell>
          <cell r="T6374">
            <v>177.524</v>
          </cell>
        </row>
        <row r="6375">
          <cell r="G6375">
            <v>42644</v>
          </cell>
          <cell r="L6375" t="str">
            <v>01-25-150-98W1</v>
          </cell>
          <cell r="O6375">
            <v>819.8</v>
          </cell>
          <cell r="Q6375">
            <v>0.05</v>
          </cell>
          <cell r="T6375">
            <v>165.15700000000001</v>
          </cell>
        </row>
        <row r="6376">
          <cell r="G6376">
            <v>42644</v>
          </cell>
          <cell r="L6376" t="str">
            <v>14-23-163-96W1</v>
          </cell>
          <cell r="O6376">
            <v>823.1</v>
          </cell>
          <cell r="Q6376">
            <v>0.15</v>
          </cell>
          <cell r="T6376">
            <v>155.529</v>
          </cell>
        </row>
        <row r="6377">
          <cell r="G6377">
            <v>42644</v>
          </cell>
          <cell r="L6377" t="str">
            <v>43-03-160-95W1</v>
          </cell>
          <cell r="O6377">
            <v>802.7</v>
          </cell>
          <cell r="Q6377">
            <v>0.2</v>
          </cell>
          <cell r="T6377">
            <v>154.63300000000001</v>
          </cell>
        </row>
        <row r="6378">
          <cell r="G6378">
            <v>42644</v>
          </cell>
          <cell r="L6378" t="str">
            <v>35-26-164-97W1</v>
          </cell>
          <cell r="O6378">
            <v>834.4</v>
          </cell>
          <cell r="Q6378">
            <v>0.14000000000000001</v>
          </cell>
          <cell r="T6378">
            <v>150.53100000000001</v>
          </cell>
        </row>
        <row r="6379">
          <cell r="G6379">
            <v>42644</v>
          </cell>
          <cell r="L6379" t="str">
            <v>12-03-146-100W1</v>
          </cell>
          <cell r="O6379">
            <v>834.7</v>
          </cell>
          <cell r="Q6379">
            <v>0.47</v>
          </cell>
          <cell r="T6379">
            <v>131.816</v>
          </cell>
        </row>
        <row r="6380">
          <cell r="G6380">
            <v>42644</v>
          </cell>
          <cell r="L6380" t="str">
            <v>04-19-147-97W1</v>
          </cell>
          <cell r="O6380">
            <v>828.9</v>
          </cell>
          <cell r="Q6380">
            <v>0.52</v>
          </cell>
          <cell r="T6380">
            <v>130.05699999999999</v>
          </cell>
        </row>
        <row r="6381">
          <cell r="G6381">
            <v>42644</v>
          </cell>
          <cell r="L6381" t="str">
            <v>01-33-141-100W1</v>
          </cell>
          <cell r="O6381">
            <v>819.6</v>
          </cell>
          <cell r="Q6381">
            <v>0.39</v>
          </cell>
          <cell r="T6381">
            <v>126.616</v>
          </cell>
        </row>
        <row r="6382">
          <cell r="G6382">
            <v>42644</v>
          </cell>
          <cell r="L6382" t="str">
            <v>01-18-145-97W1</v>
          </cell>
          <cell r="O6382">
            <v>819.2</v>
          </cell>
          <cell r="Q6382">
            <v>0.45</v>
          </cell>
          <cell r="T6382">
            <v>124.836</v>
          </cell>
        </row>
        <row r="6383">
          <cell r="G6383">
            <v>42644</v>
          </cell>
          <cell r="L6383" t="str">
            <v>01-13-022-57W1</v>
          </cell>
          <cell r="O6383">
            <v>800.5</v>
          </cell>
          <cell r="Q6383">
            <v>0.11</v>
          </cell>
          <cell r="T6383">
            <v>124.19799999999999</v>
          </cell>
        </row>
        <row r="6384">
          <cell r="G6384">
            <v>42644</v>
          </cell>
          <cell r="L6384" t="str">
            <v>01-02-151-102W1</v>
          </cell>
          <cell r="O6384">
            <v>830.4</v>
          </cell>
          <cell r="Q6384">
            <v>0.33</v>
          </cell>
          <cell r="T6384">
            <v>124.054</v>
          </cell>
        </row>
        <row r="6385">
          <cell r="G6385">
            <v>42644</v>
          </cell>
          <cell r="L6385" t="str">
            <v>01-03-163-99W1</v>
          </cell>
          <cell r="O6385">
            <v>832.2</v>
          </cell>
          <cell r="Q6385">
            <v>0.16</v>
          </cell>
          <cell r="T6385">
            <v>123.80800000000001</v>
          </cell>
        </row>
        <row r="6386">
          <cell r="G6386">
            <v>42644</v>
          </cell>
          <cell r="L6386" t="str">
            <v>33-14-160-95W1</v>
          </cell>
          <cell r="O6386">
            <v>805.1</v>
          </cell>
          <cell r="Q6386">
            <v>0.17</v>
          </cell>
          <cell r="T6386">
            <v>117.914</v>
          </cell>
        </row>
        <row r="6387">
          <cell r="G6387">
            <v>42644</v>
          </cell>
          <cell r="L6387" t="str">
            <v>14-18-163-95W1</v>
          </cell>
          <cell r="O6387">
            <v>851.5</v>
          </cell>
          <cell r="Q6387">
            <v>1.1200000000000001</v>
          </cell>
          <cell r="T6387">
            <v>112.39400000000001</v>
          </cell>
        </row>
        <row r="6388">
          <cell r="G6388">
            <v>42644</v>
          </cell>
          <cell r="L6388" t="str">
            <v>07-22-003-03W2</v>
          </cell>
          <cell r="O6388">
            <v>827.2</v>
          </cell>
          <cell r="Q6388">
            <v>0.59</v>
          </cell>
          <cell r="T6388">
            <v>112.023</v>
          </cell>
        </row>
        <row r="6389">
          <cell r="G6389">
            <v>42644</v>
          </cell>
          <cell r="L6389" t="str">
            <v>13-11-160-95W1</v>
          </cell>
          <cell r="O6389">
            <v>801.3</v>
          </cell>
          <cell r="Q6389">
            <v>0.18</v>
          </cell>
          <cell r="T6389">
            <v>100.861</v>
          </cell>
        </row>
        <row r="6390">
          <cell r="G6390">
            <v>42644</v>
          </cell>
          <cell r="L6390" t="str">
            <v>01-25-156-93W1</v>
          </cell>
          <cell r="O6390">
            <v>809.5</v>
          </cell>
          <cell r="Q6390">
            <v>0.12</v>
          </cell>
          <cell r="T6390">
            <v>99.668000000000006</v>
          </cell>
        </row>
        <row r="6391">
          <cell r="G6391">
            <v>42644</v>
          </cell>
          <cell r="L6391" t="str">
            <v>01-28-141-100W1</v>
          </cell>
          <cell r="O6391">
            <v>826.7</v>
          </cell>
          <cell r="Q6391">
            <v>0.37</v>
          </cell>
          <cell r="T6391">
            <v>96.213999999999999</v>
          </cell>
        </row>
        <row r="6392">
          <cell r="G6392">
            <v>42644</v>
          </cell>
          <cell r="L6392" t="str">
            <v>02-09-142-100W1</v>
          </cell>
          <cell r="O6392">
            <v>830.5</v>
          </cell>
          <cell r="Q6392">
            <v>0.38</v>
          </cell>
          <cell r="T6392">
            <v>95.781999999999996</v>
          </cell>
        </row>
        <row r="6393">
          <cell r="G6393">
            <v>42644</v>
          </cell>
          <cell r="L6393" t="str">
            <v>01-09-143-101W1</v>
          </cell>
          <cell r="O6393">
            <v>834.1</v>
          </cell>
          <cell r="Q6393">
            <v>0.53</v>
          </cell>
          <cell r="T6393">
            <v>94.856999999999999</v>
          </cell>
        </row>
        <row r="6394">
          <cell r="G6394">
            <v>42644</v>
          </cell>
          <cell r="L6394" t="str">
            <v>03-10-151-96W1</v>
          </cell>
          <cell r="O6394">
            <v>824.7</v>
          </cell>
          <cell r="Q6394">
            <v>0.24</v>
          </cell>
          <cell r="T6394">
            <v>94.626000000000005</v>
          </cell>
        </row>
        <row r="6395">
          <cell r="G6395">
            <v>42644</v>
          </cell>
          <cell r="L6395" t="str">
            <v>03-25-147-98W1</v>
          </cell>
          <cell r="O6395">
            <v>811.2</v>
          </cell>
          <cell r="Q6395">
            <v>0.45</v>
          </cell>
          <cell r="T6395">
            <v>94.129000000000005</v>
          </cell>
        </row>
        <row r="6396">
          <cell r="G6396">
            <v>42644</v>
          </cell>
          <cell r="L6396" t="str">
            <v>01-22-142-100W1</v>
          </cell>
          <cell r="O6396">
            <v>820.8</v>
          </cell>
          <cell r="Q6396">
            <v>0.31</v>
          </cell>
          <cell r="T6396">
            <v>93.245000000000005</v>
          </cell>
        </row>
        <row r="6397">
          <cell r="G6397">
            <v>42644</v>
          </cell>
          <cell r="L6397" t="str">
            <v>01-03-155-91W1</v>
          </cell>
          <cell r="O6397">
            <v>862.2</v>
          </cell>
          <cell r="Q6397">
            <v>1.29</v>
          </cell>
          <cell r="T6397">
            <v>85.966999999999999</v>
          </cell>
        </row>
        <row r="6398">
          <cell r="G6398">
            <v>42644</v>
          </cell>
          <cell r="L6398" t="str">
            <v>13-26-007-05W2</v>
          </cell>
          <cell r="O6398">
            <v>862.3</v>
          </cell>
          <cell r="Q6398">
            <v>1.5</v>
          </cell>
          <cell r="T6398">
            <v>76.408000000000001</v>
          </cell>
        </row>
        <row r="6399">
          <cell r="G6399">
            <v>42644</v>
          </cell>
          <cell r="L6399" t="str">
            <v>08-22-002-09W2</v>
          </cell>
          <cell r="O6399">
            <v>841.2</v>
          </cell>
          <cell r="Q6399">
            <v>0.23</v>
          </cell>
          <cell r="T6399">
            <v>76.201999999999998</v>
          </cell>
        </row>
        <row r="6400">
          <cell r="G6400">
            <v>42644</v>
          </cell>
          <cell r="L6400" t="str">
            <v>07-29-009-04W2</v>
          </cell>
          <cell r="O6400">
            <v>839.9</v>
          </cell>
          <cell r="Q6400">
            <v>1.1399999999999999</v>
          </cell>
          <cell r="T6400">
            <v>75.507000000000005</v>
          </cell>
        </row>
        <row r="6401">
          <cell r="G6401">
            <v>42644</v>
          </cell>
          <cell r="L6401" t="str">
            <v>09-30-006-05W2</v>
          </cell>
          <cell r="O6401">
            <v>807.4</v>
          </cell>
          <cell r="Q6401">
            <v>0.23</v>
          </cell>
          <cell r="T6401">
            <v>74.635999999999996</v>
          </cell>
        </row>
        <row r="6402">
          <cell r="G6402">
            <v>42644</v>
          </cell>
          <cell r="L6402" t="str">
            <v>01-30-147-97W1</v>
          </cell>
          <cell r="O6402">
            <v>817.6</v>
          </cell>
          <cell r="Q6402">
            <v>0.55000000000000004</v>
          </cell>
          <cell r="T6402">
            <v>68.549000000000007</v>
          </cell>
        </row>
        <row r="6403">
          <cell r="G6403">
            <v>42644</v>
          </cell>
          <cell r="L6403" t="str">
            <v>34-01-157-95W1</v>
          </cell>
          <cell r="O6403">
            <v>830.5</v>
          </cell>
          <cell r="Q6403">
            <v>0.46</v>
          </cell>
          <cell r="T6403">
            <v>67.701999999999998</v>
          </cell>
        </row>
        <row r="6404">
          <cell r="G6404">
            <v>42644</v>
          </cell>
          <cell r="L6404" t="str">
            <v>01-26-152-96W1</v>
          </cell>
          <cell r="O6404">
            <v>818.2</v>
          </cell>
          <cell r="Q6404">
            <v>0.33</v>
          </cell>
          <cell r="T6404">
            <v>66.665000000000006</v>
          </cell>
        </row>
        <row r="6405">
          <cell r="G6405">
            <v>42644</v>
          </cell>
          <cell r="L6405" t="str">
            <v>10-30-147-97W1</v>
          </cell>
          <cell r="O6405">
            <v>814.1</v>
          </cell>
          <cell r="Q6405">
            <v>0.52</v>
          </cell>
          <cell r="T6405">
            <v>66.096999999999994</v>
          </cell>
        </row>
        <row r="6406">
          <cell r="G6406">
            <v>42644</v>
          </cell>
          <cell r="L6406" t="str">
            <v>04-24-147-98W1</v>
          </cell>
          <cell r="O6406">
            <v>814.1</v>
          </cell>
          <cell r="Q6406">
            <v>0.56000000000000005</v>
          </cell>
          <cell r="T6406">
            <v>65.572000000000003</v>
          </cell>
        </row>
        <row r="6407">
          <cell r="G6407">
            <v>42644</v>
          </cell>
          <cell r="L6407" t="str">
            <v>01-33-164-91W1</v>
          </cell>
          <cell r="O6407">
            <v>828.8</v>
          </cell>
          <cell r="Q6407">
            <v>0.52</v>
          </cell>
          <cell r="T6407">
            <v>64.866</v>
          </cell>
        </row>
        <row r="6408">
          <cell r="G6408">
            <v>42644</v>
          </cell>
          <cell r="L6408" t="str">
            <v>16-04-151-96W1</v>
          </cell>
          <cell r="O6408">
            <v>819</v>
          </cell>
          <cell r="Q6408">
            <v>0.28000000000000003</v>
          </cell>
          <cell r="T6408">
            <v>64.701999999999998</v>
          </cell>
        </row>
        <row r="6409">
          <cell r="G6409">
            <v>42644</v>
          </cell>
          <cell r="L6409" t="str">
            <v>01-20-147-97W1</v>
          </cell>
          <cell r="O6409">
            <v>826.4</v>
          </cell>
          <cell r="Q6409">
            <v>0.7</v>
          </cell>
          <cell r="T6409">
            <v>64.150999999999996</v>
          </cell>
        </row>
        <row r="6410">
          <cell r="G6410">
            <v>42644</v>
          </cell>
          <cell r="L6410" t="str">
            <v>01-19-145-98W1</v>
          </cell>
          <cell r="O6410">
            <v>816.7</v>
          </cell>
          <cell r="Q6410">
            <v>0.38</v>
          </cell>
          <cell r="T6410">
            <v>63.91</v>
          </cell>
        </row>
        <row r="6411">
          <cell r="G6411">
            <v>42644</v>
          </cell>
          <cell r="L6411" t="str">
            <v>06-06-162-96W1</v>
          </cell>
          <cell r="O6411">
            <v>834.7</v>
          </cell>
          <cell r="Q6411">
            <v>0.15</v>
          </cell>
          <cell r="T6411">
            <v>63.024999999999999</v>
          </cell>
        </row>
        <row r="6412">
          <cell r="G6412">
            <v>42644</v>
          </cell>
          <cell r="L6412" t="str">
            <v>15-04-143-101W1</v>
          </cell>
          <cell r="O6412">
            <v>837.7</v>
          </cell>
          <cell r="Q6412">
            <v>0.52</v>
          </cell>
          <cell r="T6412">
            <v>62.83</v>
          </cell>
        </row>
        <row r="6413">
          <cell r="G6413">
            <v>42644</v>
          </cell>
          <cell r="L6413" t="str">
            <v>44-35-022-58W1</v>
          </cell>
          <cell r="O6413">
            <v>866.8</v>
          </cell>
          <cell r="Q6413">
            <v>1.02</v>
          </cell>
          <cell r="T6413">
            <v>62.284999999999997</v>
          </cell>
        </row>
        <row r="6414">
          <cell r="G6414">
            <v>42644</v>
          </cell>
          <cell r="L6414" t="str">
            <v>08-31-007-07W2</v>
          </cell>
          <cell r="O6414">
            <v>867.3</v>
          </cell>
          <cell r="Q6414">
            <v>1.94</v>
          </cell>
          <cell r="T6414">
            <v>62.167999999999999</v>
          </cell>
        </row>
        <row r="6415">
          <cell r="G6415">
            <v>42644</v>
          </cell>
          <cell r="L6415" t="str">
            <v>01-08-162-95W1</v>
          </cell>
          <cell r="O6415">
            <v>851.7</v>
          </cell>
          <cell r="Q6415">
            <v>0.8</v>
          </cell>
          <cell r="T6415">
            <v>61.957999999999998</v>
          </cell>
        </row>
        <row r="6416">
          <cell r="G6416">
            <v>42644</v>
          </cell>
          <cell r="L6416" t="str">
            <v>01-31-164-98W1</v>
          </cell>
          <cell r="O6416">
            <v>819.5</v>
          </cell>
          <cell r="Q6416">
            <v>0.15</v>
          </cell>
          <cell r="T6416">
            <v>61.34</v>
          </cell>
        </row>
        <row r="6417">
          <cell r="G6417">
            <v>42644</v>
          </cell>
          <cell r="L6417" t="str">
            <v>26-35-163-97W1</v>
          </cell>
          <cell r="O6417">
            <v>830.4</v>
          </cell>
          <cell r="Q6417">
            <v>0.14000000000000001</v>
          </cell>
          <cell r="T6417">
            <v>61.021999999999998</v>
          </cell>
        </row>
        <row r="6418">
          <cell r="G6418">
            <v>42644</v>
          </cell>
          <cell r="L6418" t="str">
            <v>01-28-152-101W1</v>
          </cell>
          <cell r="O6418">
            <v>830.5</v>
          </cell>
          <cell r="Q6418">
            <v>0.45</v>
          </cell>
          <cell r="T6418">
            <v>60.371000000000002</v>
          </cell>
        </row>
        <row r="6419">
          <cell r="G6419">
            <v>42644</v>
          </cell>
          <cell r="L6419" t="str">
            <v>24-01-160-96W1</v>
          </cell>
          <cell r="O6419">
            <v>828.7</v>
          </cell>
          <cell r="Q6419">
            <v>0.49</v>
          </cell>
          <cell r="T6419">
            <v>58.01</v>
          </cell>
        </row>
        <row r="6420">
          <cell r="G6420">
            <v>42644</v>
          </cell>
          <cell r="L6420" t="str">
            <v>10-01-157-95W1</v>
          </cell>
          <cell r="O6420">
            <v>828.2</v>
          </cell>
          <cell r="Q6420">
            <v>0.54</v>
          </cell>
          <cell r="T6420">
            <v>54.475999999999999</v>
          </cell>
        </row>
        <row r="6421">
          <cell r="G6421">
            <v>42644</v>
          </cell>
          <cell r="L6421" t="str">
            <v>34-02-157-95W1</v>
          </cell>
          <cell r="O6421">
            <v>844.1</v>
          </cell>
          <cell r="Q6421">
            <v>0.39</v>
          </cell>
          <cell r="T6421">
            <v>46.52</v>
          </cell>
        </row>
        <row r="6422">
          <cell r="G6422">
            <v>42644</v>
          </cell>
          <cell r="L6422" t="str">
            <v>01-14-163-91W1</v>
          </cell>
          <cell r="O6422">
            <v>843.1</v>
          </cell>
          <cell r="Q6422">
            <v>0.53</v>
          </cell>
          <cell r="T6422">
            <v>36.905999999999999</v>
          </cell>
        </row>
        <row r="6423">
          <cell r="G6423">
            <v>42644</v>
          </cell>
          <cell r="L6423" t="str">
            <v>01-13-152-95W1</v>
          </cell>
          <cell r="O6423">
            <v>828.8</v>
          </cell>
          <cell r="Q6423">
            <v>0.06</v>
          </cell>
          <cell r="T6423">
            <v>33.674999999999997</v>
          </cell>
        </row>
        <row r="6424">
          <cell r="G6424">
            <v>42644</v>
          </cell>
          <cell r="L6424" t="str">
            <v>01-05-150-96W1</v>
          </cell>
          <cell r="O6424">
            <v>813.6</v>
          </cell>
          <cell r="Q6424">
            <v>0.24</v>
          </cell>
          <cell r="T6424">
            <v>33.511000000000003</v>
          </cell>
        </row>
        <row r="6425">
          <cell r="G6425">
            <v>42644</v>
          </cell>
          <cell r="L6425" t="str">
            <v>01-05-144-97W1</v>
          </cell>
          <cell r="O6425">
            <v>823.6</v>
          </cell>
          <cell r="Q6425">
            <v>0.45</v>
          </cell>
          <cell r="T6425">
            <v>33.222999999999999</v>
          </cell>
        </row>
        <row r="6426">
          <cell r="G6426">
            <v>42644</v>
          </cell>
          <cell r="L6426" t="str">
            <v>25-11-159-102W1</v>
          </cell>
          <cell r="O6426">
            <v>831.7</v>
          </cell>
          <cell r="Q6426">
            <v>0.45</v>
          </cell>
          <cell r="T6426">
            <v>33.042999999999999</v>
          </cell>
        </row>
        <row r="6427">
          <cell r="G6427">
            <v>42644</v>
          </cell>
          <cell r="L6427" t="str">
            <v>01-02-163-92W1</v>
          </cell>
          <cell r="O6427">
            <v>846.4</v>
          </cell>
          <cell r="Q6427">
            <v>0.53</v>
          </cell>
          <cell r="T6427">
            <v>33.033000000000001</v>
          </cell>
        </row>
        <row r="6428">
          <cell r="G6428">
            <v>42644</v>
          </cell>
          <cell r="L6428" t="str">
            <v>01-32-164-01W1</v>
          </cell>
          <cell r="O6428">
            <v>825.8</v>
          </cell>
          <cell r="Q6428">
            <v>0.53</v>
          </cell>
          <cell r="T6428">
            <v>32.889000000000003</v>
          </cell>
        </row>
        <row r="6429">
          <cell r="G6429">
            <v>42644</v>
          </cell>
          <cell r="L6429" t="str">
            <v>01-08-153-95W1</v>
          </cell>
          <cell r="O6429">
            <v>820.6</v>
          </cell>
          <cell r="Q6429">
            <v>0.31</v>
          </cell>
          <cell r="T6429">
            <v>32.808999999999997</v>
          </cell>
        </row>
        <row r="6430">
          <cell r="G6430">
            <v>42644</v>
          </cell>
          <cell r="L6430" t="str">
            <v>01-13-163-91W1</v>
          </cell>
          <cell r="O6430">
            <v>840.8</v>
          </cell>
          <cell r="Q6430">
            <v>0.53</v>
          </cell>
          <cell r="T6430">
            <v>32.646000000000001</v>
          </cell>
        </row>
        <row r="6431">
          <cell r="G6431">
            <v>42644</v>
          </cell>
          <cell r="L6431" t="str">
            <v>03-01-158-95W1</v>
          </cell>
          <cell r="O6431">
            <v>827.6</v>
          </cell>
          <cell r="Q6431">
            <v>0.61</v>
          </cell>
          <cell r="T6431">
            <v>32.39</v>
          </cell>
        </row>
        <row r="6432">
          <cell r="G6432">
            <v>42644</v>
          </cell>
          <cell r="L6432" t="str">
            <v>11-15-163-89W1</v>
          </cell>
          <cell r="O6432">
            <v>848</v>
          </cell>
          <cell r="Q6432">
            <v>0.6</v>
          </cell>
          <cell r="T6432">
            <v>32.296999999999997</v>
          </cell>
        </row>
        <row r="6433">
          <cell r="G6433">
            <v>42644</v>
          </cell>
          <cell r="L6433" t="str">
            <v>01-29-162-92W1</v>
          </cell>
          <cell r="O6433">
            <v>841.7</v>
          </cell>
          <cell r="Q6433">
            <v>0.55000000000000004</v>
          </cell>
          <cell r="T6433">
            <v>32.238</v>
          </cell>
        </row>
        <row r="6434">
          <cell r="G6434">
            <v>42644</v>
          </cell>
          <cell r="L6434" t="str">
            <v>01-03-153-95W1</v>
          </cell>
          <cell r="O6434">
            <v>830.2</v>
          </cell>
          <cell r="Q6434">
            <v>0.5</v>
          </cell>
          <cell r="T6434">
            <v>31.24</v>
          </cell>
        </row>
        <row r="6435">
          <cell r="G6435">
            <v>42644</v>
          </cell>
          <cell r="L6435" t="str">
            <v>01-05-152-88W1</v>
          </cell>
          <cell r="O6435">
            <v>869.7</v>
          </cell>
          <cell r="Q6435">
            <v>1.46</v>
          </cell>
          <cell r="T6435">
            <v>31.225999999999999</v>
          </cell>
        </row>
        <row r="6436">
          <cell r="G6436">
            <v>42644</v>
          </cell>
          <cell r="L6436" t="str">
            <v>01-15-022-57W1</v>
          </cell>
          <cell r="O6436">
            <v>810.5</v>
          </cell>
          <cell r="Q6436">
            <v>0.37</v>
          </cell>
          <cell r="T6436">
            <v>30.946000000000002</v>
          </cell>
        </row>
        <row r="6437">
          <cell r="G6437">
            <v>42644</v>
          </cell>
          <cell r="L6437" t="str">
            <v>01-34-164-92W1</v>
          </cell>
          <cell r="O6437">
            <v>834.8</v>
          </cell>
          <cell r="Q6437">
            <v>0.54</v>
          </cell>
          <cell r="T6437">
            <v>30.41</v>
          </cell>
        </row>
        <row r="6438">
          <cell r="G6438">
            <v>42644</v>
          </cell>
          <cell r="L6438" t="str">
            <v>01-21-153-95W1</v>
          </cell>
          <cell r="O6438">
            <v>820.6</v>
          </cell>
          <cell r="Q6438">
            <v>0.37</v>
          </cell>
          <cell r="T6438">
            <v>30.398</v>
          </cell>
        </row>
        <row r="6439">
          <cell r="G6439">
            <v>42644</v>
          </cell>
          <cell r="L6439" t="str">
            <v>01-04-162-90W1</v>
          </cell>
          <cell r="O6439">
            <v>850.7</v>
          </cell>
          <cell r="Q6439">
            <v>0.68</v>
          </cell>
          <cell r="T6439">
            <v>30.26</v>
          </cell>
        </row>
        <row r="6440">
          <cell r="G6440">
            <v>42644</v>
          </cell>
          <cell r="L6440" t="str">
            <v>01-31-159-95W1</v>
          </cell>
          <cell r="O6440">
            <v>842</v>
          </cell>
          <cell r="Q6440">
            <v>0.73</v>
          </cell>
          <cell r="T6440">
            <v>30.177</v>
          </cell>
        </row>
        <row r="6441">
          <cell r="G6441">
            <v>42644</v>
          </cell>
          <cell r="L6441" t="str">
            <v>05-16-163-91W1</v>
          </cell>
          <cell r="O6441">
            <v>836.7</v>
          </cell>
          <cell r="Q6441">
            <v>0.5</v>
          </cell>
          <cell r="T6441">
            <v>30.126000000000001</v>
          </cell>
        </row>
        <row r="6442">
          <cell r="G6442">
            <v>42644</v>
          </cell>
          <cell r="L6442" t="str">
            <v>01-18-163-92W1</v>
          </cell>
          <cell r="O6442">
            <v>836.2</v>
          </cell>
          <cell r="Q6442">
            <v>0.59</v>
          </cell>
          <cell r="T6442">
            <v>30.123999999999999</v>
          </cell>
        </row>
        <row r="6443">
          <cell r="G6443">
            <v>42644</v>
          </cell>
          <cell r="L6443" t="str">
            <v>04-04-157-95W1</v>
          </cell>
          <cell r="O6443">
            <v>838.4</v>
          </cell>
          <cell r="Q6443">
            <v>0.62</v>
          </cell>
          <cell r="T6443">
            <v>30.08</v>
          </cell>
        </row>
        <row r="6444">
          <cell r="G6444">
            <v>42644</v>
          </cell>
          <cell r="L6444" t="str">
            <v>01-20-163-91W1</v>
          </cell>
          <cell r="O6444">
            <v>839.6</v>
          </cell>
          <cell r="Q6444">
            <v>0.57999999999999996</v>
          </cell>
          <cell r="T6444">
            <v>29.38</v>
          </cell>
        </row>
        <row r="6445">
          <cell r="G6445">
            <v>42644</v>
          </cell>
          <cell r="L6445" t="str">
            <v>03-03-157-95W1</v>
          </cell>
          <cell r="O6445">
            <v>820.2</v>
          </cell>
          <cell r="Q6445">
            <v>0.33</v>
          </cell>
          <cell r="T6445">
            <v>28.969000000000001</v>
          </cell>
        </row>
        <row r="6446">
          <cell r="G6446">
            <v>42644</v>
          </cell>
          <cell r="L6446" t="str">
            <v>03-05-157-95W1</v>
          </cell>
          <cell r="O6446">
            <v>838</v>
          </cell>
          <cell r="Q6446">
            <v>0.69</v>
          </cell>
          <cell r="T6446">
            <v>28.876000000000001</v>
          </cell>
        </row>
        <row r="6447">
          <cell r="G6447">
            <v>42644</v>
          </cell>
          <cell r="L6447" t="str">
            <v>11-21-163-89W1</v>
          </cell>
          <cell r="O6447">
            <v>839</v>
          </cell>
          <cell r="Q6447">
            <v>0.5</v>
          </cell>
          <cell r="T6447">
            <v>28.782</v>
          </cell>
        </row>
        <row r="6448">
          <cell r="G6448">
            <v>42644</v>
          </cell>
          <cell r="L6448" t="str">
            <v>01-03-158-95W1</v>
          </cell>
          <cell r="O6448">
            <v>839.9</v>
          </cell>
          <cell r="Q6448">
            <v>0.77</v>
          </cell>
          <cell r="T6448">
            <v>28.484999999999999</v>
          </cell>
        </row>
        <row r="6449">
          <cell r="G6449">
            <v>42644</v>
          </cell>
          <cell r="L6449" t="str">
            <v>04-03-157-95W1</v>
          </cell>
          <cell r="O6449">
            <v>834.9</v>
          </cell>
          <cell r="Q6449">
            <v>0.62</v>
          </cell>
          <cell r="T6449">
            <v>28.466000000000001</v>
          </cell>
        </row>
        <row r="6450">
          <cell r="G6450">
            <v>42644</v>
          </cell>
          <cell r="L6450" t="str">
            <v>02-34-159-95W1</v>
          </cell>
          <cell r="O6450">
            <v>852.3</v>
          </cell>
          <cell r="Q6450">
            <v>0.61</v>
          </cell>
          <cell r="T6450">
            <v>28.396999999999998</v>
          </cell>
        </row>
        <row r="6451">
          <cell r="G6451">
            <v>42644</v>
          </cell>
          <cell r="L6451" t="str">
            <v>01-14-001-11W2</v>
          </cell>
          <cell r="O6451">
            <v>843.9</v>
          </cell>
          <cell r="Q6451">
            <v>0.26</v>
          </cell>
          <cell r="T6451">
            <v>27.991</v>
          </cell>
        </row>
        <row r="6452">
          <cell r="G6452">
            <v>42644</v>
          </cell>
          <cell r="L6452" t="str">
            <v>20-01-161-90W1</v>
          </cell>
          <cell r="O6452">
            <v>862.5</v>
          </cell>
          <cell r="Q6452">
            <v>1.4</v>
          </cell>
          <cell r="T6452">
            <v>27.446000000000002</v>
          </cell>
        </row>
        <row r="6453">
          <cell r="G6453">
            <v>42644</v>
          </cell>
          <cell r="L6453" t="str">
            <v>44-11-162-90W1</v>
          </cell>
          <cell r="O6453">
            <v>849.9</v>
          </cell>
          <cell r="Q6453">
            <v>0.57999999999999996</v>
          </cell>
          <cell r="T6453">
            <v>24.940999999999999</v>
          </cell>
        </row>
        <row r="6454">
          <cell r="G6454">
            <v>42644</v>
          </cell>
          <cell r="L6454" t="str">
            <v>03-16-163-91W1</v>
          </cell>
          <cell r="O6454">
            <v>836.6</v>
          </cell>
          <cell r="Q6454">
            <v>0.47</v>
          </cell>
          <cell r="T6454">
            <v>24.099</v>
          </cell>
        </row>
        <row r="6455">
          <cell r="G6455">
            <v>42644</v>
          </cell>
          <cell r="L6455" t="str">
            <v>02-11-163-97W1</v>
          </cell>
          <cell r="O6455">
            <v>828.5</v>
          </cell>
          <cell r="Q6455">
            <v>0.13</v>
          </cell>
          <cell r="T6455">
            <v>23.344000000000001</v>
          </cell>
        </row>
        <row r="6456">
          <cell r="G6456">
            <v>42644</v>
          </cell>
          <cell r="L6456" t="str">
            <v>01-24-144-98W1</v>
          </cell>
          <cell r="O6456">
            <v>824.3</v>
          </cell>
          <cell r="Q6456">
            <v>0.47</v>
          </cell>
          <cell r="T6456">
            <v>22.463999999999999</v>
          </cell>
        </row>
        <row r="6457">
          <cell r="G6457">
            <v>42644</v>
          </cell>
          <cell r="L6457" t="str">
            <v>01-26-144-98W1</v>
          </cell>
          <cell r="O6457">
            <v>834.3</v>
          </cell>
          <cell r="Q6457">
            <v>0.48</v>
          </cell>
          <cell r="T6457">
            <v>21.495999999999999</v>
          </cell>
        </row>
        <row r="6458">
          <cell r="G6458">
            <v>42644</v>
          </cell>
          <cell r="L6458" t="str">
            <v>01-36-003-03W2</v>
          </cell>
          <cell r="O6458">
            <v>835.4</v>
          </cell>
          <cell r="Q6458">
            <v>0.81</v>
          </cell>
          <cell r="T6458">
            <v>510.221</v>
          </cell>
        </row>
        <row r="6459">
          <cell r="G6459">
            <v>42644</v>
          </cell>
          <cell r="L6459" t="str">
            <v>07-23-010-06W2</v>
          </cell>
          <cell r="O6459">
            <v>844.6</v>
          </cell>
          <cell r="Q6459">
            <v>1.45</v>
          </cell>
          <cell r="T6459">
            <v>421.42099999999999</v>
          </cell>
        </row>
        <row r="6460">
          <cell r="G6460">
            <v>42644</v>
          </cell>
          <cell r="L6460" t="str">
            <v>13-14-010-05W2</v>
          </cell>
          <cell r="O6460">
            <v>852.6</v>
          </cell>
          <cell r="Q6460">
            <v>1.61</v>
          </cell>
          <cell r="T6460">
            <v>108.38</v>
          </cell>
        </row>
        <row r="6461">
          <cell r="G6461">
            <v>42644</v>
          </cell>
          <cell r="L6461" t="str">
            <v>12-22-010-05W2</v>
          </cell>
          <cell r="O6461">
            <v>869.1</v>
          </cell>
          <cell r="Q6461">
            <v>1.84</v>
          </cell>
          <cell r="T6461">
            <v>37.195999999999998</v>
          </cell>
        </row>
        <row r="6462">
          <cell r="G6462">
            <v>42644</v>
          </cell>
          <cell r="L6462" t="str">
            <v>11-36-005-04W2</v>
          </cell>
          <cell r="O6462">
            <v>856.6</v>
          </cell>
          <cell r="Q6462">
            <v>1.1299999999999999</v>
          </cell>
          <cell r="T6462">
            <v>6.5140000000000002</v>
          </cell>
        </row>
        <row r="6463">
          <cell r="G6463">
            <v>42644</v>
          </cell>
          <cell r="L6463" t="str">
            <v>05-16-006-13W2</v>
          </cell>
          <cell r="O6463">
            <v>868.5</v>
          </cell>
          <cell r="Q6463">
            <v>2.31</v>
          </cell>
          <cell r="T6463">
            <v>118399.842</v>
          </cell>
        </row>
        <row r="6464">
          <cell r="G6464">
            <v>42644</v>
          </cell>
          <cell r="L6464" t="str">
            <v>08-28-005-33W1</v>
          </cell>
          <cell r="O6464">
            <v>822.2</v>
          </cell>
          <cell r="Q6464">
            <v>0.96</v>
          </cell>
          <cell r="T6464">
            <v>112321.755</v>
          </cell>
        </row>
        <row r="6465">
          <cell r="G6465">
            <v>42644</v>
          </cell>
          <cell r="L6465" t="str">
            <v>15-26-001-31W1</v>
          </cell>
          <cell r="O6465">
            <v>877.1</v>
          </cell>
          <cell r="Q6465">
            <v>2.09</v>
          </cell>
          <cell r="T6465">
            <v>5907.848</v>
          </cell>
        </row>
        <row r="6466">
          <cell r="G6466">
            <v>42644</v>
          </cell>
          <cell r="L6466" t="str">
            <v>14-05-002-31W1</v>
          </cell>
          <cell r="O6466">
            <v>860.1</v>
          </cell>
          <cell r="Q6466">
            <v>1.62</v>
          </cell>
          <cell r="T6466">
            <v>4135.5630000000001</v>
          </cell>
        </row>
        <row r="6467">
          <cell r="G6467">
            <v>42644</v>
          </cell>
          <cell r="L6467" t="str">
            <v>14-13-002-02W2</v>
          </cell>
          <cell r="O6467">
            <v>832.8</v>
          </cell>
          <cell r="Q6467">
            <v>0.55000000000000004</v>
          </cell>
          <cell r="T6467">
            <v>1694.3309999999999</v>
          </cell>
        </row>
        <row r="6468">
          <cell r="G6468">
            <v>42644</v>
          </cell>
          <cell r="L6468" t="str">
            <v>14-03-001-03W2</v>
          </cell>
          <cell r="O6468">
            <v>814.8</v>
          </cell>
          <cell r="Q6468">
            <v>0.12</v>
          </cell>
          <cell r="T6468">
            <v>1516.63</v>
          </cell>
        </row>
        <row r="6469">
          <cell r="G6469">
            <v>42644</v>
          </cell>
          <cell r="L6469" t="str">
            <v>01-03-003-33W1</v>
          </cell>
          <cell r="O6469">
            <v>856</v>
          </cell>
          <cell r="Q6469">
            <v>1.62</v>
          </cell>
          <cell r="T6469">
            <v>1162.577</v>
          </cell>
        </row>
        <row r="6470">
          <cell r="G6470">
            <v>42644</v>
          </cell>
          <cell r="L6470" t="str">
            <v>01-35-007-01W2</v>
          </cell>
          <cell r="O6470">
            <v>844.6</v>
          </cell>
          <cell r="Q6470">
            <v>1.1399999999999999</v>
          </cell>
          <cell r="T6470">
            <v>1136.499</v>
          </cell>
        </row>
        <row r="6471">
          <cell r="G6471">
            <v>42644</v>
          </cell>
          <cell r="L6471" t="str">
            <v>04-16-002-31W1</v>
          </cell>
          <cell r="O6471">
            <v>862.1</v>
          </cell>
          <cell r="Q6471">
            <v>1.69</v>
          </cell>
          <cell r="T6471">
            <v>1093.606</v>
          </cell>
        </row>
        <row r="6472">
          <cell r="G6472">
            <v>42644</v>
          </cell>
          <cell r="L6472" t="str">
            <v>16-03-008-33W1</v>
          </cell>
          <cell r="O6472">
            <v>844.3</v>
          </cell>
          <cell r="Q6472">
            <v>1.22</v>
          </cell>
          <cell r="T6472">
            <v>920.678</v>
          </cell>
        </row>
        <row r="6473">
          <cell r="G6473">
            <v>42644</v>
          </cell>
          <cell r="L6473" t="str">
            <v>01-35-006-30W1</v>
          </cell>
          <cell r="O6473">
            <v>822.5</v>
          </cell>
          <cell r="Q6473">
            <v>0.3</v>
          </cell>
          <cell r="T6473">
            <v>852.35</v>
          </cell>
        </row>
        <row r="6474">
          <cell r="G6474">
            <v>42644</v>
          </cell>
          <cell r="L6474" t="str">
            <v>08-16-007-29W1</v>
          </cell>
          <cell r="O6474">
            <v>824.1</v>
          </cell>
          <cell r="Q6474">
            <v>0.26</v>
          </cell>
          <cell r="T6474">
            <v>622.55399999999997</v>
          </cell>
        </row>
        <row r="6475">
          <cell r="G6475">
            <v>42644</v>
          </cell>
          <cell r="L6475" t="str">
            <v>05-20-001-02W2</v>
          </cell>
          <cell r="O6475">
            <v>830.6</v>
          </cell>
          <cell r="Q6475">
            <v>0.53</v>
          </cell>
          <cell r="T6475">
            <v>599.15899999999999</v>
          </cell>
        </row>
        <row r="6476">
          <cell r="G6476">
            <v>42644</v>
          </cell>
          <cell r="L6476" t="str">
            <v>13-17-005-33W1</v>
          </cell>
          <cell r="O6476">
            <v>829.4</v>
          </cell>
          <cell r="Q6476">
            <v>0.64</v>
          </cell>
          <cell r="T6476">
            <v>530.23500000000001</v>
          </cell>
        </row>
        <row r="6477">
          <cell r="G6477">
            <v>42644</v>
          </cell>
          <cell r="L6477" t="str">
            <v>16-31-001-32W1</v>
          </cell>
          <cell r="O6477">
            <v>847.3</v>
          </cell>
          <cell r="Q6477">
            <v>1.1000000000000001</v>
          </cell>
          <cell r="T6477">
            <v>505.50900000000001</v>
          </cell>
        </row>
        <row r="6478">
          <cell r="G6478">
            <v>42644</v>
          </cell>
          <cell r="L6478" t="str">
            <v>16-04-006-32W1</v>
          </cell>
          <cell r="O6478">
            <v>846.5</v>
          </cell>
          <cell r="Q6478">
            <v>1.1200000000000001</v>
          </cell>
          <cell r="T6478">
            <v>464.06400000000002</v>
          </cell>
        </row>
        <row r="6479">
          <cell r="G6479">
            <v>42644</v>
          </cell>
          <cell r="L6479" t="str">
            <v>08-02-008-03W2</v>
          </cell>
          <cell r="O6479">
            <v>855.7</v>
          </cell>
          <cell r="Q6479">
            <v>1.46</v>
          </cell>
          <cell r="T6479">
            <v>413.61</v>
          </cell>
        </row>
        <row r="6480">
          <cell r="G6480">
            <v>42644</v>
          </cell>
          <cell r="L6480" t="str">
            <v>14-19-006-33W1</v>
          </cell>
          <cell r="O6480">
            <v>839.3</v>
          </cell>
          <cell r="Q6480">
            <v>1.18</v>
          </cell>
          <cell r="T6480">
            <v>374.37599999999998</v>
          </cell>
        </row>
        <row r="6481">
          <cell r="G6481">
            <v>42644</v>
          </cell>
          <cell r="L6481" t="str">
            <v>08-23-007-30W1</v>
          </cell>
          <cell r="O6481">
            <v>818.7</v>
          </cell>
          <cell r="Q6481">
            <v>0.25</v>
          </cell>
          <cell r="T6481">
            <v>322.11200000000002</v>
          </cell>
        </row>
        <row r="6482">
          <cell r="G6482">
            <v>42644</v>
          </cell>
          <cell r="L6482" t="str">
            <v>01-01-010-04W2</v>
          </cell>
          <cell r="O6482">
            <v>840.8</v>
          </cell>
          <cell r="Q6482">
            <v>1.23</v>
          </cell>
          <cell r="T6482">
            <v>295.30500000000001</v>
          </cell>
        </row>
        <row r="6483">
          <cell r="G6483">
            <v>42644</v>
          </cell>
          <cell r="L6483" t="str">
            <v>14-23-005-02W2</v>
          </cell>
          <cell r="O6483">
            <v>849.2</v>
          </cell>
          <cell r="Q6483">
            <v>1.33</v>
          </cell>
          <cell r="T6483">
            <v>227.15</v>
          </cell>
        </row>
        <row r="6484">
          <cell r="G6484">
            <v>42644</v>
          </cell>
          <cell r="L6484" t="str">
            <v>04-11-004-32W1</v>
          </cell>
          <cell r="O6484">
            <v>855.4</v>
          </cell>
          <cell r="Q6484">
            <v>1.57</v>
          </cell>
          <cell r="T6484">
            <v>192.49600000000001</v>
          </cell>
        </row>
        <row r="6485">
          <cell r="G6485">
            <v>42644</v>
          </cell>
          <cell r="L6485" t="str">
            <v>01-06-002-32W1</v>
          </cell>
          <cell r="O6485">
            <v>833.6</v>
          </cell>
          <cell r="Q6485">
            <v>0.81</v>
          </cell>
          <cell r="T6485">
            <v>140.71299999999999</v>
          </cell>
        </row>
        <row r="6486">
          <cell r="G6486">
            <v>42644</v>
          </cell>
          <cell r="L6486" t="str">
            <v>14-24-001-02W2</v>
          </cell>
          <cell r="O6486">
            <v>843.6</v>
          </cell>
          <cell r="Q6486">
            <v>0.79</v>
          </cell>
          <cell r="T6486">
            <v>124.139</v>
          </cell>
        </row>
        <row r="6487">
          <cell r="G6487">
            <v>42644</v>
          </cell>
          <cell r="L6487" t="str">
            <v>09-24-001-01W2</v>
          </cell>
          <cell r="O6487">
            <v>834.7</v>
          </cell>
          <cell r="Q6487">
            <v>0.67</v>
          </cell>
          <cell r="T6487">
            <v>123.724</v>
          </cell>
        </row>
        <row r="6488">
          <cell r="G6488">
            <v>42644</v>
          </cell>
          <cell r="L6488" t="str">
            <v>04-05-006-02W2</v>
          </cell>
          <cell r="O6488">
            <v>848</v>
          </cell>
          <cell r="Q6488">
            <v>1.17</v>
          </cell>
          <cell r="T6488">
            <v>120.236</v>
          </cell>
        </row>
        <row r="6489">
          <cell r="G6489">
            <v>42644</v>
          </cell>
          <cell r="L6489" t="str">
            <v>13-13-002-33W1</v>
          </cell>
          <cell r="O6489">
            <v>832.5</v>
          </cell>
          <cell r="Q6489">
            <v>0.72</v>
          </cell>
          <cell r="T6489">
            <v>111.996</v>
          </cell>
        </row>
        <row r="6490">
          <cell r="G6490">
            <v>42644</v>
          </cell>
          <cell r="L6490" t="str">
            <v>16-16-006-02W2</v>
          </cell>
          <cell r="O6490">
            <v>852.1</v>
          </cell>
          <cell r="Q6490">
            <v>1.1399999999999999</v>
          </cell>
          <cell r="T6490">
            <v>106.068</v>
          </cell>
        </row>
        <row r="6491">
          <cell r="G6491">
            <v>42644</v>
          </cell>
          <cell r="L6491" t="str">
            <v>10-17-007-33W1</v>
          </cell>
          <cell r="O6491">
            <v>838.5</v>
          </cell>
          <cell r="Q6491">
            <v>1.17</v>
          </cell>
          <cell r="T6491">
            <v>100.64</v>
          </cell>
        </row>
        <row r="6492">
          <cell r="G6492">
            <v>42644</v>
          </cell>
          <cell r="L6492" t="str">
            <v>15-14-014-30W1</v>
          </cell>
          <cell r="O6492">
            <v>897.9</v>
          </cell>
          <cell r="Q6492">
            <v>2.31</v>
          </cell>
          <cell r="T6492">
            <v>92.465000000000003</v>
          </cell>
        </row>
        <row r="6493">
          <cell r="G6493">
            <v>42644</v>
          </cell>
          <cell r="L6493" t="str">
            <v>10-29-005-33W1</v>
          </cell>
          <cell r="O6493">
            <v>831.8</v>
          </cell>
          <cell r="Q6493">
            <v>0.87</v>
          </cell>
          <cell r="T6493">
            <v>67.945999999999998</v>
          </cell>
        </row>
        <row r="6494">
          <cell r="G6494">
            <v>42644</v>
          </cell>
          <cell r="L6494" t="str">
            <v>12-20-008-02W2</v>
          </cell>
          <cell r="O6494">
            <v>862</v>
          </cell>
          <cell r="Q6494">
            <v>1.77</v>
          </cell>
          <cell r="T6494">
            <v>61.165999999999997</v>
          </cell>
        </row>
        <row r="6495">
          <cell r="G6495">
            <v>42644</v>
          </cell>
          <cell r="L6495" t="str">
            <v>16-15-008-03W2</v>
          </cell>
          <cell r="O6495">
            <v>857.9</v>
          </cell>
          <cell r="Q6495">
            <v>1.54</v>
          </cell>
          <cell r="T6495">
            <v>60.206000000000003</v>
          </cell>
        </row>
        <row r="6496">
          <cell r="G6496">
            <v>42644</v>
          </cell>
          <cell r="L6496" t="str">
            <v>09-01-002-34W1</v>
          </cell>
          <cell r="O6496">
            <v>830.1</v>
          </cell>
          <cell r="Q6496">
            <v>0.55000000000000004</v>
          </cell>
          <cell r="T6496">
            <v>56.052999999999997</v>
          </cell>
        </row>
        <row r="6497">
          <cell r="G6497">
            <v>42644</v>
          </cell>
          <cell r="L6497" t="str">
            <v>16-07-006-02W2</v>
          </cell>
          <cell r="O6497">
            <v>856</v>
          </cell>
          <cell r="Q6497">
            <v>1.22</v>
          </cell>
          <cell r="T6497">
            <v>54.662999999999997</v>
          </cell>
        </row>
        <row r="6498">
          <cell r="G6498">
            <v>42644</v>
          </cell>
          <cell r="L6498" t="str">
            <v>16-21-003-33W1</v>
          </cell>
          <cell r="O6498">
            <v>858.8</v>
          </cell>
          <cell r="Q6498">
            <v>1.84</v>
          </cell>
          <cell r="T6498">
            <v>36.508000000000003</v>
          </cell>
        </row>
        <row r="6499">
          <cell r="G6499">
            <v>42644</v>
          </cell>
          <cell r="L6499" t="str">
            <v>16-03-001-03W2</v>
          </cell>
          <cell r="O6499">
            <v>833.9</v>
          </cell>
          <cell r="Q6499">
            <v>0.62</v>
          </cell>
          <cell r="T6499">
            <v>35.945</v>
          </cell>
        </row>
        <row r="6500">
          <cell r="G6500">
            <v>42644</v>
          </cell>
          <cell r="L6500" t="str">
            <v>02-14-006-02W2</v>
          </cell>
          <cell r="O6500">
            <v>851.7</v>
          </cell>
          <cell r="Q6500">
            <v>1.1599999999999999</v>
          </cell>
          <cell r="T6500">
            <v>34.710999999999999</v>
          </cell>
        </row>
        <row r="6501">
          <cell r="G6501">
            <v>42644</v>
          </cell>
          <cell r="L6501" t="str">
            <v>08-21-004-01W2</v>
          </cell>
          <cell r="O6501">
            <v>832.2</v>
          </cell>
          <cell r="Q6501">
            <v>0.92</v>
          </cell>
          <cell r="T6501">
            <v>23.8</v>
          </cell>
        </row>
        <row r="6502">
          <cell r="G6502">
            <v>42644</v>
          </cell>
          <cell r="L6502" t="str">
            <v>07-26-005-02W2</v>
          </cell>
          <cell r="O6502">
            <v>853.5</v>
          </cell>
          <cell r="Q6502">
            <v>1.1599999999999999</v>
          </cell>
          <cell r="T6502">
            <v>14.977</v>
          </cell>
        </row>
        <row r="6503">
          <cell r="G6503">
            <v>42644</v>
          </cell>
          <cell r="L6503" t="str">
            <v>07-31-005-33W1</v>
          </cell>
          <cell r="O6503">
            <v>827</v>
          </cell>
          <cell r="Q6503">
            <v>0.66</v>
          </cell>
          <cell r="T6503">
            <v>1476.6389999999999</v>
          </cell>
        </row>
        <row r="6504">
          <cell r="G6504">
            <v>42644</v>
          </cell>
          <cell r="L6504" t="str">
            <v>15-09-007-03W2</v>
          </cell>
          <cell r="O6504">
            <v>847.3</v>
          </cell>
          <cell r="Q6504">
            <v>1.39</v>
          </cell>
          <cell r="T6504">
            <v>1244.5889999999999</v>
          </cell>
        </row>
        <row r="6505">
          <cell r="G6505">
            <v>42644</v>
          </cell>
          <cell r="L6505" t="str">
            <v>04-36-004-02W2</v>
          </cell>
          <cell r="O6505">
            <v>856.8</v>
          </cell>
          <cell r="Q6505">
            <v>1.58</v>
          </cell>
          <cell r="T6505">
            <v>366.053</v>
          </cell>
        </row>
        <row r="6506">
          <cell r="G6506">
            <v>42644</v>
          </cell>
          <cell r="L6506" t="str">
            <v>02-14-005-32W1</v>
          </cell>
          <cell r="O6506">
            <v>835.3</v>
          </cell>
          <cell r="Q6506">
            <v>0.97</v>
          </cell>
          <cell r="T6506">
            <v>205.31899999999999</v>
          </cell>
        </row>
        <row r="6507">
          <cell r="G6507">
            <v>42644</v>
          </cell>
          <cell r="L6507" t="str">
            <v>14-04-006-33W1</v>
          </cell>
          <cell r="O6507">
            <v>824.6</v>
          </cell>
          <cell r="Q6507">
            <v>0.85</v>
          </cell>
          <cell r="T6507">
            <v>34.283999999999999</v>
          </cell>
        </row>
        <row r="6508">
          <cell r="G6508">
            <v>42644</v>
          </cell>
          <cell r="L6508" t="str">
            <v>ALStream</v>
          </cell>
          <cell r="T6508">
            <v>0</v>
          </cell>
        </row>
        <row r="6509">
          <cell r="G6509">
            <v>42644</v>
          </cell>
          <cell r="L6509" t="str">
            <v>MWStream</v>
          </cell>
          <cell r="T6509">
            <v>0</v>
          </cell>
        </row>
        <row r="6510">
          <cell r="G6510">
            <v>42644</v>
          </cell>
          <cell r="L6510" t="str">
            <v>ALStream</v>
          </cell>
          <cell r="O6510">
            <v>830.1</v>
          </cell>
          <cell r="Q6510">
            <v>0.93</v>
          </cell>
          <cell r="T6510">
            <v>-88313.118000000002</v>
          </cell>
        </row>
        <row r="6511">
          <cell r="G6511">
            <v>42644</v>
          </cell>
          <cell r="L6511" t="str">
            <v>MWStream</v>
          </cell>
          <cell r="O6511">
            <v>831.9</v>
          </cell>
          <cell r="Q6511">
            <v>1.1000000000000001</v>
          </cell>
          <cell r="T6511">
            <v>-3598.3339999999998</v>
          </cell>
        </row>
        <row r="6512">
          <cell r="G6512">
            <v>42675</v>
          </cell>
          <cell r="L6512" t="str">
            <v>09-26-004-32W1</v>
          </cell>
          <cell r="O6512">
            <v>866</v>
          </cell>
          <cell r="Q6512">
            <v>1.29</v>
          </cell>
          <cell r="T6512">
            <v>0.62</v>
          </cell>
        </row>
        <row r="6513">
          <cell r="G6513">
            <v>42675</v>
          </cell>
          <cell r="L6513" t="str">
            <v>10-21-006-32W1</v>
          </cell>
          <cell r="O6513">
            <v>833.9</v>
          </cell>
          <cell r="Q6513">
            <v>0.83</v>
          </cell>
          <cell r="T6513">
            <v>21.048999999999999</v>
          </cell>
        </row>
        <row r="6514">
          <cell r="G6514">
            <v>42675</v>
          </cell>
          <cell r="L6514" t="str">
            <v>11-20-007-05W2</v>
          </cell>
          <cell r="O6514">
            <v>858.4</v>
          </cell>
          <cell r="Q6514">
            <v>1.54</v>
          </cell>
          <cell r="T6514">
            <v>58.46</v>
          </cell>
        </row>
        <row r="6515">
          <cell r="G6515">
            <v>42675</v>
          </cell>
          <cell r="L6515" t="str">
            <v>01-15-005-32W1</v>
          </cell>
          <cell r="O6515">
            <v>846.5</v>
          </cell>
          <cell r="Q6515">
            <v>1.06</v>
          </cell>
          <cell r="T6515">
            <v>62.307000000000002</v>
          </cell>
        </row>
        <row r="6516">
          <cell r="G6516">
            <v>42675</v>
          </cell>
          <cell r="L6516" t="str">
            <v>15-09-010-08W2</v>
          </cell>
          <cell r="O6516">
            <v>883</v>
          </cell>
          <cell r="Q6516">
            <v>2.5299999999999998</v>
          </cell>
          <cell r="T6516">
            <v>73.831000000000003</v>
          </cell>
        </row>
        <row r="6517">
          <cell r="G6517">
            <v>42675</v>
          </cell>
          <cell r="L6517" t="str">
            <v>16-08-007-12W2</v>
          </cell>
          <cell r="O6517">
            <v>859.2</v>
          </cell>
          <cell r="Q6517">
            <v>2.1</v>
          </cell>
          <cell r="T6517">
            <v>76.966999999999999</v>
          </cell>
        </row>
        <row r="6518">
          <cell r="G6518">
            <v>42675</v>
          </cell>
          <cell r="L6518" t="str">
            <v>08-18-011-03W2</v>
          </cell>
          <cell r="O6518">
            <v>860</v>
          </cell>
          <cell r="Q6518">
            <v>1.72</v>
          </cell>
          <cell r="T6518">
            <v>92.192999999999998</v>
          </cell>
        </row>
        <row r="6519">
          <cell r="G6519">
            <v>42675</v>
          </cell>
          <cell r="L6519" t="str">
            <v>09-30-002-30W1</v>
          </cell>
          <cell r="O6519">
            <v>867.2</v>
          </cell>
          <cell r="Q6519">
            <v>1.72</v>
          </cell>
          <cell r="T6519">
            <v>92.998000000000005</v>
          </cell>
        </row>
        <row r="6520">
          <cell r="G6520">
            <v>42675</v>
          </cell>
          <cell r="L6520" t="str">
            <v>03-19-001-31W1</v>
          </cell>
          <cell r="O6520">
            <v>869.6</v>
          </cell>
          <cell r="Q6520">
            <v>1.85</v>
          </cell>
          <cell r="T6520">
            <v>112.27</v>
          </cell>
        </row>
        <row r="6521">
          <cell r="G6521">
            <v>42675</v>
          </cell>
          <cell r="L6521" t="str">
            <v>10-09-004-33W1</v>
          </cell>
          <cell r="O6521">
            <v>836.9</v>
          </cell>
          <cell r="Q6521">
            <v>0.67</v>
          </cell>
          <cell r="T6521">
            <v>118.622</v>
          </cell>
        </row>
        <row r="6522">
          <cell r="G6522">
            <v>42675</v>
          </cell>
          <cell r="L6522" t="str">
            <v>09-31-007-12W2</v>
          </cell>
          <cell r="O6522">
            <v>872.9</v>
          </cell>
          <cell r="Q6522">
            <v>2.15</v>
          </cell>
          <cell r="T6522">
            <v>129.011</v>
          </cell>
        </row>
        <row r="6523">
          <cell r="G6523">
            <v>42675</v>
          </cell>
          <cell r="L6523" t="str">
            <v>09-30-007-08W2</v>
          </cell>
          <cell r="O6523">
            <v>833.1</v>
          </cell>
          <cell r="Q6523">
            <v>1.2</v>
          </cell>
          <cell r="T6523">
            <v>131.12</v>
          </cell>
        </row>
        <row r="6524">
          <cell r="G6524">
            <v>42675</v>
          </cell>
          <cell r="L6524" t="str">
            <v>16-16-010-02W2</v>
          </cell>
          <cell r="O6524">
            <v>856.4</v>
          </cell>
          <cell r="Q6524">
            <v>1.72</v>
          </cell>
          <cell r="T6524">
            <v>128.39500000000001</v>
          </cell>
        </row>
        <row r="6525">
          <cell r="G6525">
            <v>42675</v>
          </cell>
          <cell r="L6525" t="str">
            <v>04-15-008-33W1</v>
          </cell>
          <cell r="O6525">
            <v>845.4</v>
          </cell>
          <cell r="Q6525">
            <v>1.1599999999999999</v>
          </cell>
          <cell r="T6525">
            <v>130.31899999999999</v>
          </cell>
        </row>
        <row r="6526">
          <cell r="G6526">
            <v>42675</v>
          </cell>
          <cell r="L6526" t="str">
            <v>07-24-001-32W1</v>
          </cell>
          <cell r="O6526">
            <v>850.6</v>
          </cell>
          <cell r="Q6526">
            <v>1.57</v>
          </cell>
          <cell r="T6526">
            <v>130.71199999999999</v>
          </cell>
        </row>
        <row r="6527">
          <cell r="G6527">
            <v>42675</v>
          </cell>
          <cell r="L6527" t="str">
            <v>14-04-007-13W2</v>
          </cell>
          <cell r="O6527">
            <v>857.9</v>
          </cell>
          <cell r="Q6527">
            <v>1.76</v>
          </cell>
          <cell r="T6527">
            <v>146.30600000000001</v>
          </cell>
        </row>
        <row r="6528">
          <cell r="G6528">
            <v>42675</v>
          </cell>
          <cell r="L6528" t="str">
            <v>03-13-006-33W1</v>
          </cell>
          <cell r="O6528">
            <v>838.5</v>
          </cell>
          <cell r="Q6528">
            <v>0.78</v>
          </cell>
          <cell r="T6528">
            <v>135.143</v>
          </cell>
        </row>
        <row r="6529">
          <cell r="G6529">
            <v>42675</v>
          </cell>
          <cell r="L6529" t="str">
            <v>09-23-002-01W2</v>
          </cell>
          <cell r="O6529">
            <v>843.4</v>
          </cell>
          <cell r="Q6529">
            <v>0.93</v>
          </cell>
          <cell r="T6529">
            <v>136.119</v>
          </cell>
        </row>
        <row r="6530">
          <cell r="G6530">
            <v>42675</v>
          </cell>
          <cell r="L6530" t="str">
            <v>09-08-004-33W1</v>
          </cell>
          <cell r="O6530">
            <v>834.3</v>
          </cell>
          <cell r="Q6530">
            <v>0.71</v>
          </cell>
          <cell r="T6530">
            <v>139.738</v>
          </cell>
        </row>
        <row r="6531">
          <cell r="G6531">
            <v>42675</v>
          </cell>
          <cell r="L6531" t="str">
            <v>02-27-004-33W1</v>
          </cell>
          <cell r="O6531">
            <v>831.5</v>
          </cell>
          <cell r="Q6531">
            <v>0.71</v>
          </cell>
          <cell r="T6531">
            <v>141.16800000000001</v>
          </cell>
        </row>
        <row r="6532">
          <cell r="G6532">
            <v>42675</v>
          </cell>
          <cell r="L6532" t="str">
            <v>16-27-004-33W1</v>
          </cell>
          <cell r="O6532">
            <v>850</v>
          </cell>
          <cell r="Q6532">
            <v>1.28</v>
          </cell>
          <cell r="T6532">
            <v>142.13800000000001</v>
          </cell>
        </row>
        <row r="6533">
          <cell r="G6533">
            <v>42675</v>
          </cell>
          <cell r="L6533" t="str">
            <v>02-18-007-13W2</v>
          </cell>
          <cell r="O6533">
            <v>861.8</v>
          </cell>
          <cell r="Q6533">
            <v>1.74</v>
          </cell>
          <cell r="T6533">
            <v>155.26300000000001</v>
          </cell>
        </row>
        <row r="6534">
          <cell r="G6534">
            <v>42675</v>
          </cell>
          <cell r="L6534" t="str">
            <v>08-01-004-32W1</v>
          </cell>
          <cell r="O6534">
            <v>860.8</v>
          </cell>
          <cell r="Q6534">
            <v>1.62</v>
          </cell>
          <cell r="T6534">
            <v>146.85400000000001</v>
          </cell>
        </row>
        <row r="6535">
          <cell r="G6535">
            <v>42675</v>
          </cell>
          <cell r="L6535" t="str">
            <v>01-29-004-07W2</v>
          </cell>
          <cell r="O6535">
            <v>887.4</v>
          </cell>
          <cell r="Q6535">
            <v>2.0099999999999998</v>
          </cell>
          <cell r="T6535">
            <v>156.11099999999999</v>
          </cell>
        </row>
        <row r="6536">
          <cell r="G6536">
            <v>42675</v>
          </cell>
          <cell r="L6536" t="str">
            <v>15-09-010-02W2</v>
          </cell>
          <cell r="O6536">
            <v>861.2</v>
          </cell>
          <cell r="Q6536">
            <v>1.73</v>
          </cell>
          <cell r="T6536">
            <v>154.16800000000001</v>
          </cell>
        </row>
        <row r="6537">
          <cell r="G6537">
            <v>42675</v>
          </cell>
          <cell r="L6537" t="str">
            <v>13-17-001-31W1</v>
          </cell>
          <cell r="O6537">
            <v>852.2</v>
          </cell>
          <cell r="Q6537">
            <v>1.35</v>
          </cell>
          <cell r="T6537">
            <v>155.34800000000001</v>
          </cell>
        </row>
        <row r="6538">
          <cell r="G6538">
            <v>42675</v>
          </cell>
          <cell r="L6538" t="str">
            <v>16-24-004-01W2</v>
          </cell>
          <cell r="O6538">
            <v>828.2</v>
          </cell>
          <cell r="Q6538">
            <v>0.61</v>
          </cell>
          <cell r="T6538">
            <v>165.483</v>
          </cell>
        </row>
        <row r="6539">
          <cell r="G6539">
            <v>42675</v>
          </cell>
          <cell r="L6539" t="str">
            <v>03-05-006-05W2</v>
          </cell>
          <cell r="O6539">
            <v>846.2</v>
          </cell>
          <cell r="Q6539">
            <v>1.1599999999999999</v>
          </cell>
          <cell r="T6539">
            <v>178.535</v>
          </cell>
        </row>
        <row r="6540">
          <cell r="G6540">
            <v>42675</v>
          </cell>
          <cell r="L6540" t="str">
            <v>12-12-005-34W1</v>
          </cell>
          <cell r="O6540">
            <v>826.5</v>
          </cell>
          <cell r="Q6540">
            <v>0.59</v>
          </cell>
          <cell r="T6540">
            <v>174.67099999999999</v>
          </cell>
        </row>
        <row r="6541">
          <cell r="G6541">
            <v>42675</v>
          </cell>
          <cell r="L6541" t="str">
            <v>13-34-007-14W2</v>
          </cell>
          <cell r="O6541">
            <v>869.8</v>
          </cell>
          <cell r="Q6541">
            <v>2.09</v>
          </cell>
          <cell r="T6541">
            <v>199.50299999999999</v>
          </cell>
        </row>
        <row r="6542">
          <cell r="G6542">
            <v>42675</v>
          </cell>
          <cell r="L6542" t="str">
            <v>10-33-003-31W1</v>
          </cell>
          <cell r="O6542">
            <v>875.2</v>
          </cell>
          <cell r="Q6542">
            <v>0.88</v>
          </cell>
          <cell r="T6542">
            <v>185.08699999999999</v>
          </cell>
        </row>
        <row r="6543">
          <cell r="G6543">
            <v>42675</v>
          </cell>
          <cell r="L6543" t="str">
            <v>08-31-009-01W2</v>
          </cell>
          <cell r="O6543">
            <v>859.8</v>
          </cell>
          <cell r="Q6543">
            <v>1.7</v>
          </cell>
          <cell r="T6543">
            <v>195.66300000000001</v>
          </cell>
        </row>
        <row r="6544">
          <cell r="G6544">
            <v>42675</v>
          </cell>
          <cell r="L6544" t="str">
            <v>07-25-003-13W2</v>
          </cell>
          <cell r="O6544">
            <v>888.8</v>
          </cell>
          <cell r="Q6544">
            <v>2.4300000000000002</v>
          </cell>
          <cell r="T6544">
            <v>222.52099999999999</v>
          </cell>
        </row>
        <row r="6545">
          <cell r="G6545">
            <v>42675</v>
          </cell>
          <cell r="L6545" t="str">
            <v>07-25-009-08W2</v>
          </cell>
          <cell r="O6545">
            <v>881.8</v>
          </cell>
          <cell r="Q6545">
            <v>2.33</v>
          </cell>
          <cell r="T6545">
            <v>220.86600000000001</v>
          </cell>
        </row>
        <row r="6546">
          <cell r="G6546">
            <v>42675</v>
          </cell>
          <cell r="L6546" t="str">
            <v>01-11-005-04W2</v>
          </cell>
          <cell r="O6546">
            <v>854.5</v>
          </cell>
          <cell r="Q6546">
            <v>1.99</v>
          </cell>
          <cell r="T6546">
            <v>216.3</v>
          </cell>
        </row>
        <row r="6547">
          <cell r="G6547">
            <v>42675</v>
          </cell>
          <cell r="L6547" t="str">
            <v>02-08-004-33W1</v>
          </cell>
          <cell r="O6547">
            <v>835</v>
          </cell>
          <cell r="Q6547">
            <v>0.65</v>
          </cell>
          <cell r="T6547">
            <v>205.46199999999999</v>
          </cell>
        </row>
        <row r="6548">
          <cell r="G6548">
            <v>42675</v>
          </cell>
          <cell r="L6548" t="str">
            <v>02-17-005-31W1</v>
          </cell>
          <cell r="O6548">
            <v>848.9</v>
          </cell>
          <cell r="Q6548">
            <v>1.29</v>
          </cell>
          <cell r="T6548">
            <v>205.48699999999999</v>
          </cell>
        </row>
        <row r="6549">
          <cell r="G6549">
            <v>42675</v>
          </cell>
          <cell r="L6549" t="str">
            <v>02-30-001-31W1</v>
          </cell>
          <cell r="O6549">
            <v>865.4</v>
          </cell>
          <cell r="Q6549">
            <v>1.59</v>
          </cell>
          <cell r="T6549">
            <v>209.352</v>
          </cell>
        </row>
        <row r="6550">
          <cell r="G6550">
            <v>42675</v>
          </cell>
          <cell r="L6550" t="str">
            <v>15-21-008-03W2</v>
          </cell>
          <cell r="O6550">
            <v>851.7</v>
          </cell>
          <cell r="Q6550">
            <v>1.46</v>
          </cell>
          <cell r="T6550">
            <v>211.56399999999999</v>
          </cell>
        </row>
        <row r="6551">
          <cell r="G6551">
            <v>42675</v>
          </cell>
          <cell r="L6551" t="str">
            <v>13-25-001-01W2</v>
          </cell>
          <cell r="O6551">
            <v>838.2</v>
          </cell>
          <cell r="Q6551">
            <v>0.81</v>
          </cell>
          <cell r="T6551">
            <v>221.35400000000001</v>
          </cell>
        </row>
        <row r="6552">
          <cell r="G6552">
            <v>42675</v>
          </cell>
          <cell r="L6552" t="str">
            <v>08-31-005-03W2</v>
          </cell>
          <cell r="O6552">
            <v>845.3</v>
          </cell>
          <cell r="Q6552">
            <v>1.05</v>
          </cell>
          <cell r="T6552">
            <v>230.749</v>
          </cell>
        </row>
        <row r="6553">
          <cell r="G6553">
            <v>42675</v>
          </cell>
          <cell r="L6553" t="str">
            <v>12-22-007-11W2</v>
          </cell>
          <cell r="O6553">
            <v>829.3</v>
          </cell>
          <cell r="Q6553">
            <v>1.52</v>
          </cell>
          <cell r="T6553">
            <v>5210.0280000000002</v>
          </cell>
        </row>
        <row r="6554">
          <cell r="G6554">
            <v>42675</v>
          </cell>
          <cell r="L6554" t="str">
            <v>14-33-006-14W2</v>
          </cell>
          <cell r="O6554">
            <v>849.2</v>
          </cell>
          <cell r="Q6554">
            <v>1.68</v>
          </cell>
          <cell r="T6554">
            <v>2254.2550000000001</v>
          </cell>
        </row>
        <row r="6555">
          <cell r="G6555">
            <v>42675</v>
          </cell>
          <cell r="L6555" t="str">
            <v>04-21-006-14W2</v>
          </cell>
          <cell r="O6555">
            <v>866.3</v>
          </cell>
          <cell r="Q6555">
            <v>2.06</v>
          </cell>
          <cell r="T6555">
            <v>1913.8030000000001</v>
          </cell>
        </row>
        <row r="6556">
          <cell r="G6556">
            <v>42675</v>
          </cell>
          <cell r="L6556" t="str">
            <v>07-02-007-11W2</v>
          </cell>
          <cell r="O6556">
            <v>854</v>
          </cell>
          <cell r="Q6556">
            <v>1.28</v>
          </cell>
          <cell r="T6556">
            <v>1429.491</v>
          </cell>
        </row>
        <row r="6557">
          <cell r="G6557">
            <v>42675</v>
          </cell>
          <cell r="L6557" t="str">
            <v>01-22-006-14W2</v>
          </cell>
          <cell r="O6557">
            <v>862.7</v>
          </cell>
          <cell r="Q6557">
            <v>2.14</v>
          </cell>
          <cell r="T6557">
            <v>826.95</v>
          </cell>
        </row>
        <row r="6558">
          <cell r="G6558">
            <v>42675</v>
          </cell>
          <cell r="L6558" t="str">
            <v>04-11-007-13W2</v>
          </cell>
          <cell r="O6558">
            <v>860.5</v>
          </cell>
          <cell r="Q6558">
            <v>1.91</v>
          </cell>
          <cell r="T6558">
            <v>457.73500000000001</v>
          </cell>
        </row>
        <row r="6559">
          <cell r="G6559">
            <v>42675</v>
          </cell>
          <cell r="L6559" t="str">
            <v>03-06-005-12W2</v>
          </cell>
          <cell r="O6559">
            <v>883.3</v>
          </cell>
          <cell r="Q6559">
            <v>2.4</v>
          </cell>
          <cell r="T6559">
            <v>392.55799999999999</v>
          </cell>
        </row>
        <row r="6560">
          <cell r="G6560">
            <v>42675</v>
          </cell>
          <cell r="L6560" t="str">
            <v>01-03-008-13W2</v>
          </cell>
          <cell r="O6560">
            <v>852</v>
          </cell>
          <cell r="Q6560">
            <v>2.0499999999999998</v>
          </cell>
          <cell r="T6560">
            <v>381.42599999999999</v>
          </cell>
        </row>
        <row r="6561">
          <cell r="G6561">
            <v>42675</v>
          </cell>
          <cell r="L6561" t="str">
            <v>10-22-006-14W2</v>
          </cell>
          <cell r="O6561">
            <v>852.4</v>
          </cell>
          <cell r="Q6561">
            <v>1.64</v>
          </cell>
          <cell r="T6561">
            <v>324.09899999999999</v>
          </cell>
        </row>
        <row r="6562">
          <cell r="G6562">
            <v>42675</v>
          </cell>
          <cell r="L6562" t="str">
            <v>15-30-007-12W2</v>
          </cell>
          <cell r="O6562">
            <v>872.1</v>
          </cell>
          <cell r="Q6562">
            <v>2.38</v>
          </cell>
          <cell r="T6562">
            <v>295.34100000000001</v>
          </cell>
        </row>
        <row r="6563">
          <cell r="G6563">
            <v>42675</v>
          </cell>
          <cell r="L6563" t="str">
            <v>07-36-001-34W1</v>
          </cell>
          <cell r="O6563">
            <v>848.7</v>
          </cell>
          <cell r="Q6563">
            <v>1.1499999999999999</v>
          </cell>
          <cell r="T6563">
            <v>242.30600000000001</v>
          </cell>
        </row>
        <row r="6564">
          <cell r="G6564">
            <v>42675</v>
          </cell>
          <cell r="L6564" t="str">
            <v>14-27-001-13W2</v>
          </cell>
          <cell r="O6564">
            <v>816</v>
          </cell>
          <cell r="Q6564">
            <v>0.12</v>
          </cell>
          <cell r="T6564">
            <v>25822.329000000002</v>
          </cell>
        </row>
        <row r="6565">
          <cell r="G6565">
            <v>42675</v>
          </cell>
          <cell r="L6565" t="str">
            <v>07-12-006-11W2</v>
          </cell>
          <cell r="O6565">
            <v>880.5</v>
          </cell>
          <cell r="Q6565">
            <v>2.09</v>
          </cell>
          <cell r="T6565">
            <v>21099.701000000001</v>
          </cell>
        </row>
        <row r="6566">
          <cell r="G6566">
            <v>42675</v>
          </cell>
          <cell r="L6566" t="str">
            <v>09-13-007-11W2</v>
          </cell>
          <cell r="O6566">
            <v>818.5</v>
          </cell>
          <cell r="Q6566">
            <v>0.37</v>
          </cell>
          <cell r="T6566">
            <v>20902.907999999999</v>
          </cell>
        </row>
        <row r="6567">
          <cell r="G6567">
            <v>42675</v>
          </cell>
          <cell r="L6567" t="str">
            <v>01-21-001-14W2</v>
          </cell>
          <cell r="O6567">
            <v>800.9</v>
          </cell>
          <cell r="Q6567">
            <v>0.14000000000000001</v>
          </cell>
          <cell r="T6567">
            <v>12903.491</v>
          </cell>
        </row>
        <row r="6568">
          <cell r="G6568">
            <v>42675</v>
          </cell>
          <cell r="L6568" t="str">
            <v>13-30-007-10W2</v>
          </cell>
          <cell r="O6568">
            <v>813.6</v>
          </cell>
          <cell r="Q6568">
            <v>0.6</v>
          </cell>
          <cell r="T6568">
            <v>12425.564</v>
          </cell>
        </row>
        <row r="6569">
          <cell r="G6569">
            <v>42675</v>
          </cell>
          <cell r="L6569" t="str">
            <v>08-31-004-18W2</v>
          </cell>
          <cell r="O6569">
            <v>856.6</v>
          </cell>
          <cell r="Q6569">
            <v>1.87</v>
          </cell>
          <cell r="T6569">
            <v>7835.4809999999998</v>
          </cell>
        </row>
        <row r="6570">
          <cell r="G6570">
            <v>42675</v>
          </cell>
          <cell r="L6570" t="str">
            <v>01-28-002-14W2</v>
          </cell>
          <cell r="O6570">
            <v>850.4</v>
          </cell>
          <cell r="Q6570">
            <v>1.49</v>
          </cell>
          <cell r="T6570">
            <v>5267.8469999999998</v>
          </cell>
        </row>
        <row r="6571">
          <cell r="G6571">
            <v>42675</v>
          </cell>
          <cell r="L6571" t="str">
            <v>04-05-002-15W2</v>
          </cell>
          <cell r="O6571">
            <v>867</v>
          </cell>
          <cell r="Q6571">
            <v>2.04</v>
          </cell>
          <cell r="T6571">
            <v>3573.9189999999999</v>
          </cell>
        </row>
        <row r="6572">
          <cell r="G6572">
            <v>42675</v>
          </cell>
          <cell r="L6572" t="str">
            <v>11-02-005-12W2</v>
          </cell>
          <cell r="O6572">
            <v>833.9</v>
          </cell>
          <cell r="Q6572">
            <v>1.63</v>
          </cell>
          <cell r="T6572">
            <v>3148.81</v>
          </cell>
        </row>
        <row r="6573">
          <cell r="G6573">
            <v>42675</v>
          </cell>
          <cell r="L6573" t="str">
            <v>05-31-003-16W2</v>
          </cell>
          <cell r="O6573">
            <v>893</v>
          </cell>
          <cell r="Q6573">
            <v>2.42</v>
          </cell>
          <cell r="T6573">
            <v>2892.3069999999998</v>
          </cell>
        </row>
        <row r="6574">
          <cell r="G6574">
            <v>42675</v>
          </cell>
          <cell r="L6574" t="str">
            <v>06-03-001-16W2</v>
          </cell>
          <cell r="O6574">
            <v>846.7</v>
          </cell>
          <cell r="Q6574">
            <v>1.1299999999999999</v>
          </cell>
          <cell r="T6574">
            <v>2244.8870000000002</v>
          </cell>
        </row>
        <row r="6575">
          <cell r="G6575">
            <v>42675</v>
          </cell>
          <cell r="L6575" t="str">
            <v>05-18-004-17W2</v>
          </cell>
          <cell r="O6575">
            <v>862</v>
          </cell>
          <cell r="Q6575">
            <v>2.14</v>
          </cell>
          <cell r="T6575">
            <v>2042.3889999999999</v>
          </cell>
        </row>
        <row r="6576">
          <cell r="G6576">
            <v>42675</v>
          </cell>
          <cell r="L6576" t="str">
            <v>16-23-006-11W2</v>
          </cell>
          <cell r="O6576">
            <v>876.4</v>
          </cell>
          <cell r="Q6576">
            <v>2.2799999999999998</v>
          </cell>
          <cell r="T6576">
            <v>1609.7909999999999</v>
          </cell>
        </row>
        <row r="6577">
          <cell r="G6577">
            <v>42675</v>
          </cell>
          <cell r="L6577" t="str">
            <v>11-04-005-12W2</v>
          </cell>
          <cell r="O6577">
            <v>877.5</v>
          </cell>
          <cell r="Q6577">
            <v>2.0299999999999998</v>
          </cell>
          <cell r="T6577">
            <v>1545.604</v>
          </cell>
        </row>
        <row r="6578">
          <cell r="G6578">
            <v>42675</v>
          </cell>
          <cell r="L6578" t="str">
            <v>15-25-007-11W2</v>
          </cell>
          <cell r="O6578">
            <v>865.1</v>
          </cell>
          <cell r="Q6578">
            <v>1.94</v>
          </cell>
          <cell r="T6578">
            <v>1412.627</v>
          </cell>
        </row>
        <row r="6579">
          <cell r="G6579">
            <v>42675</v>
          </cell>
          <cell r="L6579" t="str">
            <v>15-32-004-12W2</v>
          </cell>
          <cell r="O6579">
            <v>881</v>
          </cell>
          <cell r="Q6579">
            <v>2.14</v>
          </cell>
          <cell r="T6579">
            <v>1382.1849999999999</v>
          </cell>
        </row>
        <row r="6580">
          <cell r="G6580">
            <v>42675</v>
          </cell>
          <cell r="L6580" t="str">
            <v>13-02-007-14W2</v>
          </cell>
          <cell r="O6580">
            <v>852.1</v>
          </cell>
          <cell r="Q6580">
            <v>1.81</v>
          </cell>
          <cell r="T6580">
            <v>1291.663</v>
          </cell>
        </row>
        <row r="6581">
          <cell r="G6581">
            <v>42675</v>
          </cell>
          <cell r="L6581" t="str">
            <v>15-33-006-14W2</v>
          </cell>
          <cell r="O6581">
            <v>846.7</v>
          </cell>
          <cell r="Q6581">
            <v>1.65</v>
          </cell>
          <cell r="T6581">
            <v>1191.4960000000001</v>
          </cell>
        </row>
        <row r="6582">
          <cell r="G6582">
            <v>42675</v>
          </cell>
          <cell r="L6582" t="str">
            <v>02-29-001-17W2</v>
          </cell>
          <cell r="O6582">
            <v>861.6</v>
          </cell>
          <cell r="Q6582">
            <v>1.74</v>
          </cell>
          <cell r="T6582">
            <v>768.00099999999998</v>
          </cell>
        </row>
        <row r="6583">
          <cell r="G6583">
            <v>42675</v>
          </cell>
          <cell r="L6583" t="str">
            <v>12-25-004-19W2</v>
          </cell>
          <cell r="O6583">
            <v>866.4</v>
          </cell>
          <cell r="Q6583">
            <v>2.35</v>
          </cell>
          <cell r="T6583">
            <v>731.53099999999995</v>
          </cell>
        </row>
        <row r="6584">
          <cell r="G6584">
            <v>42675</v>
          </cell>
          <cell r="L6584" t="str">
            <v>11-26-002-19W2</v>
          </cell>
          <cell r="O6584">
            <v>872.5</v>
          </cell>
          <cell r="Q6584">
            <v>1.84</v>
          </cell>
          <cell r="T6584">
            <v>720.47799999999995</v>
          </cell>
        </row>
        <row r="6585">
          <cell r="G6585">
            <v>42675</v>
          </cell>
          <cell r="L6585" t="str">
            <v>05-35-006-11W2</v>
          </cell>
          <cell r="O6585">
            <v>807.7</v>
          </cell>
          <cell r="Q6585">
            <v>0.1</v>
          </cell>
          <cell r="T6585">
            <v>457.42500000000001</v>
          </cell>
        </row>
        <row r="6586">
          <cell r="G6586">
            <v>42675</v>
          </cell>
          <cell r="L6586" t="str">
            <v>09-28-001-15W2</v>
          </cell>
          <cell r="O6586">
            <v>863.4</v>
          </cell>
          <cell r="Q6586">
            <v>1.05</v>
          </cell>
          <cell r="T6586">
            <v>370.01499999999999</v>
          </cell>
        </row>
        <row r="6587">
          <cell r="G6587">
            <v>42675</v>
          </cell>
          <cell r="L6587" t="str">
            <v>03-12-002-19W2</v>
          </cell>
          <cell r="O6587">
            <v>873.5</v>
          </cell>
          <cell r="Q6587">
            <v>2.23</v>
          </cell>
          <cell r="T6587">
            <v>329.86399999999998</v>
          </cell>
        </row>
        <row r="6588">
          <cell r="G6588">
            <v>42675</v>
          </cell>
          <cell r="L6588" t="str">
            <v>11-23-002-34W1</v>
          </cell>
          <cell r="O6588">
            <v>836</v>
          </cell>
          <cell r="Q6588">
            <v>0.76</v>
          </cell>
          <cell r="T6588">
            <v>261.88299999999998</v>
          </cell>
        </row>
        <row r="6589">
          <cell r="G6589">
            <v>42675</v>
          </cell>
          <cell r="L6589" t="str">
            <v>01-07-006-10W2</v>
          </cell>
          <cell r="O6589">
            <v>825.1</v>
          </cell>
          <cell r="Q6589">
            <v>1.7</v>
          </cell>
          <cell r="T6589">
            <v>55218.54</v>
          </cell>
        </row>
        <row r="6590">
          <cell r="G6590">
            <v>42675</v>
          </cell>
          <cell r="L6590" t="str">
            <v>01-24-007-05W2</v>
          </cell>
          <cell r="O6590">
            <v>846.9</v>
          </cell>
          <cell r="Q6590">
            <v>1.29</v>
          </cell>
          <cell r="T6590">
            <v>269.55200000000002</v>
          </cell>
        </row>
        <row r="6591">
          <cell r="G6591">
            <v>42675</v>
          </cell>
          <cell r="L6591" t="str">
            <v>03-33-008-06W2</v>
          </cell>
          <cell r="O6591">
            <v>806.2</v>
          </cell>
          <cell r="Q6591">
            <v>0.19</v>
          </cell>
          <cell r="T6591">
            <v>11996.995999999999</v>
          </cell>
        </row>
        <row r="6592">
          <cell r="G6592">
            <v>42675</v>
          </cell>
          <cell r="L6592" t="str">
            <v>12-06-009-07W2</v>
          </cell>
          <cell r="O6592">
            <v>808.9</v>
          </cell>
          <cell r="Q6592">
            <v>0.17</v>
          </cell>
          <cell r="T6592">
            <v>9944.7690000000002</v>
          </cell>
        </row>
        <row r="6593">
          <cell r="G6593">
            <v>42675</v>
          </cell>
          <cell r="L6593" t="str">
            <v>02-26-009-09W2</v>
          </cell>
          <cell r="O6593">
            <v>813.1</v>
          </cell>
          <cell r="Q6593">
            <v>0.16</v>
          </cell>
          <cell r="T6593">
            <v>7601.27</v>
          </cell>
        </row>
        <row r="6594">
          <cell r="G6594">
            <v>42675</v>
          </cell>
          <cell r="L6594" t="str">
            <v>13-14-009-09W2</v>
          </cell>
          <cell r="O6594">
            <v>867.4</v>
          </cell>
          <cell r="Q6594">
            <v>1.89</v>
          </cell>
          <cell r="T6594">
            <v>1885.0889999999999</v>
          </cell>
        </row>
        <row r="6595">
          <cell r="G6595">
            <v>42675</v>
          </cell>
          <cell r="L6595" t="str">
            <v>03-17-011-06W2</v>
          </cell>
          <cell r="O6595">
            <v>883</v>
          </cell>
          <cell r="Q6595">
            <v>2.57</v>
          </cell>
          <cell r="T6595">
            <v>1586.1389999999999</v>
          </cell>
        </row>
        <row r="6596">
          <cell r="G6596">
            <v>42675</v>
          </cell>
          <cell r="L6596" t="str">
            <v>04-18-009-06W2</v>
          </cell>
          <cell r="O6596">
            <v>822</v>
          </cell>
          <cell r="Q6596">
            <v>0.88</v>
          </cell>
          <cell r="T6596">
            <v>1040.951</v>
          </cell>
        </row>
        <row r="6597">
          <cell r="G6597">
            <v>42675</v>
          </cell>
          <cell r="L6597" t="str">
            <v>03-15-012-06W2</v>
          </cell>
          <cell r="O6597">
            <v>886.5</v>
          </cell>
          <cell r="Q6597">
            <v>2.57</v>
          </cell>
          <cell r="T6597">
            <v>983.40599999999995</v>
          </cell>
        </row>
        <row r="6598">
          <cell r="G6598">
            <v>42675</v>
          </cell>
          <cell r="L6598" t="str">
            <v>09-10-009-06W2</v>
          </cell>
          <cell r="O6598">
            <v>856</v>
          </cell>
          <cell r="Q6598">
            <v>1.65</v>
          </cell>
          <cell r="T6598">
            <v>646.82000000000005</v>
          </cell>
        </row>
        <row r="6599">
          <cell r="G6599">
            <v>42675</v>
          </cell>
          <cell r="L6599" t="str">
            <v>09-26-007-09W2</v>
          </cell>
          <cell r="O6599">
            <v>815.2</v>
          </cell>
          <cell r="Q6599">
            <v>0.48</v>
          </cell>
          <cell r="T6599">
            <v>583.08600000000001</v>
          </cell>
        </row>
        <row r="6600">
          <cell r="G6600">
            <v>42675</v>
          </cell>
          <cell r="L6600" t="str">
            <v>05-31-009-07W2</v>
          </cell>
          <cell r="O6600">
            <v>877.6</v>
          </cell>
          <cell r="Q6600">
            <v>2.31</v>
          </cell>
          <cell r="T6600">
            <v>384.89100000000002</v>
          </cell>
        </row>
        <row r="6601">
          <cell r="G6601">
            <v>42675</v>
          </cell>
          <cell r="L6601" t="str">
            <v>14-18-001-04W2</v>
          </cell>
          <cell r="O6601">
            <v>823.7</v>
          </cell>
          <cell r="Q6601">
            <v>0.53</v>
          </cell>
          <cell r="T6601">
            <v>318.87700000000001</v>
          </cell>
        </row>
        <row r="6602">
          <cell r="G6602">
            <v>42675</v>
          </cell>
          <cell r="L6602" t="str">
            <v>07-23-006-02W2</v>
          </cell>
          <cell r="O6602">
            <v>848.7</v>
          </cell>
          <cell r="Q6602">
            <v>1.1100000000000001</v>
          </cell>
          <cell r="T6602">
            <v>290.25799999999998</v>
          </cell>
        </row>
        <row r="6603">
          <cell r="G6603">
            <v>42675</v>
          </cell>
          <cell r="L6603" t="str">
            <v>04-08-008-08W2</v>
          </cell>
          <cell r="O6603">
            <v>806.2</v>
          </cell>
          <cell r="Q6603">
            <v>0.2</v>
          </cell>
          <cell r="T6603">
            <v>52233.78</v>
          </cell>
        </row>
        <row r="6604">
          <cell r="G6604">
            <v>42675</v>
          </cell>
          <cell r="L6604" t="str">
            <v>09-14-009-08W2</v>
          </cell>
          <cell r="O6604">
            <v>807</v>
          </cell>
          <cell r="Q6604">
            <v>0.15</v>
          </cell>
          <cell r="T6604">
            <v>41352.192999999999</v>
          </cell>
        </row>
        <row r="6605">
          <cell r="G6605">
            <v>42675</v>
          </cell>
          <cell r="L6605" t="str">
            <v>13-29-008-07W2</v>
          </cell>
          <cell r="O6605">
            <v>801.4</v>
          </cell>
          <cell r="Q6605">
            <v>0.13</v>
          </cell>
          <cell r="T6605">
            <v>21292.120999999999</v>
          </cell>
        </row>
        <row r="6606">
          <cell r="G6606">
            <v>42675</v>
          </cell>
          <cell r="L6606" t="str">
            <v>11-15-007-09W2</v>
          </cell>
          <cell r="O6606">
            <v>822</v>
          </cell>
          <cell r="Q6606">
            <v>0.55000000000000004</v>
          </cell>
          <cell r="T6606">
            <v>6190.3149999999996</v>
          </cell>
        </row>
        <row r="6607">
          <cell r="G6607">
            <v>42675</v>
          </cell>
          <cell r="L6607" t="str">
            <v>09-20-008-08W2</v>
          </cell>
          <cell r="O6607">
            <v>813.2</v>
          </cell>
          <cell r="Q6607">
            <v>0.33</v>
          </cell>
          <cell r="T6607">
            <v>3903.6509999999998</v>
          </cell>
        </row>
        <row r="6608">
          <cell r="G6608">
            <v>42675</v>
          </cell>
          <cell r="L6608" t="str">
            <v>13-18-010-06W2</v>
          </cell>
          <cell r="O6608">
            <v>824.5</v>
          </cell>
          <cell r="Q6608">
            <v>0.9</v>
          </cell>
          <cell r="T6608">
            <v>3882.1149999999998</v>
          </cell>
        </row>
        <row r="6609">
          <cell r="G6609">
            <v>42675</v>
          </cell>
          <cell r="L6609" t="str">
            <v>13-07-010-09W2</v>
          </cell>
          <cell r="O6609">
            <v>811.7</v>
          </cell>
          <cell r="Q6609">
            <v>0.16</v>
          </cell>
          <cell r="T6609">
            <v>1722.5239999999999</v>
          </cell>
        </row>
        <row r="6610">
          <cell r="G6610">
            <v>42675</v>
          </cell>
          <cell r="L6610" t="str">
            <v>15-23-006-08W2</v>
          </cell>
          <cell r="O6610">
            <v>869.4</v>
          </cell>
          <cell r="Q6610">
            <v>1.86</v>
          </cell>
          <cell r="T6610">
            <v>1558.4490000000001</v>
          </cell>
        </row>
        <row r="6611">
          <cell r="G6611">
            <v>42675</v>
          </cell>
          <cell r="L6611" t="str">
            <v>05-13-009-06W2</v>
          </cell>
          <cell r="O6611">
            <v>845.9</v>
          </cell>
          <cell r="Q6611">
            <v>1.51</v>
          </cell>
          <cell r="T6611">
            <v>1542.1669999999999</v>
          </cell>
        </row>
        <row r="6612">
          <cell r="G6612">
            <v>42675</v>
          </cell>
          <cell r="L6612" t="str">
            <v>03-06-011-07W2</v>
          </cell>
          <cell r="O6612">
            <v>879.9</v>
          </cell>
          <cell r="Q6612">
            <v>1.81</v>
          </cell>
          <cell r="T6612">
            <v>1518.3689999999999</v>
          </cell>
        </row>
        <row r="6613">
          <cell r="G6613">
            <v>42675</v>
          </cell>
          <cell r="L6613" t="str">
            <v>07-04-010-08W2</v>
          </cell>
          <cell r="O6613">
            <v>873.6</v>
          </cell>
          <cell r="Q6613">
            <v>2.4300000000000002</v>
          </cell>
          <cell r="T6613">
            <v>1387.204</v>
          </cell>
        </row>
        <row r="6614">
          <cell r="G6614">
            <v>42675</v>
          </cell>
          <cell r="L6614" t="str">
            <v>01-26-006-09W2</v>
          </cell>
          <cell r="O6614">
            <v>885.3</v>
          </cell>
          <cell r="Q6614">
            <v>2.34</v>
          </cell>
          <cell r="T6614">
            <v>1191.799</v>
          </cell>
        </row>
        <row r="6615">
          <cell r="G6615">
            <v>42675</v>
          </cell>
          <cell r="L6615" t="str">
            <v>05-13-008-06W2</v>
          </cell>
          <cell r="O6615">
            <v>821.6</v>
          </cell>
          <cell r="Q6615">
            <v>0.51</v>
          </cell>
          <cell r="T6615">
            <v>1038.902</v>
          </cell>
        </row>
        <row r="6616">
          <cell r="G6616">
            <v>42675</v>
          </cell>
          <cell r="L6616" t="str">
            <v>07-28-007-08W2</v>
          </cell>
          <cell r="O6616">
            <v>845.8</v>
          </cell>
          <cell r="Q6616">
            <v>1.25</v>
          </cell>
          <cell r="T6616">
            <v>791.03599999999994</v>
          </cell>
        </row>
        <row r="6617">
          <cell r="G6617">
            <v>42675</v>
          </cell>
          <cell r="L6617" t="str">
            <v>09-06-010-07W2</v>
          </cell>
          <cell r="O6617">
            <v>881.6</v>
          </cell>
          <cell r="Q6617">
            <v>2.36</v>
          </cell>
          <cell r="T6617">
            <v>785.79499999999996</v>
          </cell>
        </row>
        <row r="6618">
          <cell r="G6618">
            <v>42675</v>
          </cell>
          <cell r="L6618" t="str">
            <v>09-11-010-08W2</v>
          </cell>
          <cell r="O6618">
            <v>880.3</v>
          </cell>
          <cell r="Q6618">
            <v>2.4700000000000002</v>
          </cell>
          <cell r="T6618">
            <v>740.71699999999998</v>
          </cell>
        </row>
        <row r="6619">
          <cell r="G6619">
            <v>42675</v>
          </cell>
          <cell r="L6619" t="str">
            <v>01-22-010-07W2</v>
          </cell>
          <cell r="O6619">
            <v>886.2</v>
          </cell>
          <cell r="Q6619">
            <v>2.5099999999999998</v>
          </cell>
          <cell r="T6619">
            <v>671.94</v>
          </cell>
        </row>
        <row r="6620">
          <cell r="G6620">
            <v>42675</v>
          </cell>
          <cell r="L6620" t="str">
            <v>16-35-009-09W2</v>
          </cell>
          <cell r="O6620">
            <v>824.4</v>
          </cell>
          <cell r="Q6620">
            <v>2.4300000000000002</v>
          </cell>
          <cell r="T6620">
            <v>583.92499999999995</v>
          </cell>
        </row>
        <row r="6621">
          <cell r="G6621">
            <v>42675</v>
          </cell>
          <cell r="L6621" t="str">
            <v>01-04-007-09W2</v>
          </cell>
          <cell r="O6621">
            <v>809.6</v>
          </cell>
          <cell r="Q6621">
            <v>0.2</v>
          </cell>
          <cell r="T6621">
            <v>496.32499999999999</v>
          </cell>
        </row>
        <row r="6622">
          <cell r="G6622">
            <v>42675</v>
          </cell>
          <cell r="L6622" t="str">
            <v>05-01-001-32W1</v>
          </cell>
          <cell r="O6622">
            <v>871.5</v>
          </cell>
          <cell r="Q6622">
            <v>1.57</v>
          </cell>
          <cell r="T6622">
            <v>307.93700000000001</v>
          </cell>
        </row>
        <row r="6623">
          <cell r="G6623">
            <v>42675</v>
          </cell>
          <cell r="L6623" t="str">
            <v>03-23-001-32W1</v>
          </cell>
          <cell r="O6623">
            <v>855.9</v>
          </cell>
          <cell r="Q6623">
            <v>1.51</v>
          </cell>
          <cell r="T6623">
            <v>309.601</v>
          </cell>
        </row>
        <row r="6624">
          <cell r="G6624">
            <v>42675</v>
          </cell>
          <cell r="L6624" t="str">
            <v>12-01-003-30W1</v>
          </cell>
          <cell r="O6624">
            <v>858</v>
          </cell>
          <cell r="Q6624">
            <v>1.68</v>
          </cell>
          <cell r="T6624">
            <v>310.82799999999997</v>
          </cell>
        </row>
        <row r="6625">
          <cell r="G6625">
            <v>42675</v>
          </cell>
          <cell r="L6625" t="str">
            <v>10-26-010-03W2</v>
          </cell>
          <cell r="O6625">
            <v>850.9</v>
          </cell>
          <cell r="Q6625">
            <v>1.56</v>
          </cell>
          <cell r="T6625">
            <v>329.18</v>
          </cell>
        </row>
        <row r="6626">
          <cell r="G6626">
            <v>42675</v>
          </cell>
          <cell r="L6626" t="str">
            <v>06-03-004-31W1</v>
          </cell>
          <cell r="O6626">
            <v>870.7</v>
          </cell>
          <cell r="Q6626">
            <v>1.87</v>
          </cell>
          <cell r="T6626">
            <v>324.625</v>
          </cell>
        </row>
        <row r="6627">
          <cell r="G6627">
            <v>42675</v>
          </cell>
          <cell r="L6627" t="str">
            <v>05-31-002-01W2</v>
          </cell>
          <cell r="O6627">
            <v>826</v>
          </cell>
          <cell r="Q6627">
            <v>0.48</v>
          </cell>
          <cell r="T6627">
            <v>7721.9669999999996</v>
          </cell>
        </row>
        <row r="6628">
          <cell r="G6628">
            <v>42675</v>
          </cell>
          <cell r="L6628" t="str">
            <v>13-03-006-34W1</v>
          </cell>
          <cell r="O6628">
            <v>844.2</v>
          </cell>
          <cell r="Q6628">
            <v>1.19</v>
          </cell>
          <cell r="T6628">
            <v>7226.5320000000002</v>
          </cell>
        </row>
        <row r="6629">
          <cell r="G6629">
            <v>42675</v>
          </cell>
          <cell r="L6629" t="str">
            <v>16-18-011-04W2</v>
          </cell>
          <cell r="O6629">
            <v>824</v>
          </cell>
          <cell r="Q6629">
            <v>1.42</v>
          </cell>
          <cell r="T6629">
            <v>6443.4089999999997</v>
          </cell>
        </row>
        <row r="6630">
          <cell r="G6630">
            <v>42675</v>
          </cell>
          <cell r="L6630" t="str">
            <v>11-30-005-03W2</v>
          </cell>
          <cell r="O6630">
            <v>854.4</v>
          </cell>
          <cell r="Q6630">
            <v>1.35</v>
          </cell>
          <cell r="T6630">
            <v>4768.4870000000001</v>
          </cell>
        </row>
        <row r="6631">
          <cell r="G6631">
            <v>42675</v>
          </cell>
          <cell r="L6631" t="str">
            <v>16-12-004-31W1</v>
          </cell>
          <cell r="O6631">
            <v>861.1</v>
          </cell>
          <cell r="Q6631">
            <v>1.7</v>
          </cell>
          <cell r="T6631">
            <v>4175.4669999999996</v>
          </cell>
        </row>
        <row r="6632">
          <cell r="G6632">
            <v>42675</v>
          </cell>
          <cell r="L6632" t="str">
            <v>04-27-003-33W1</v>
          </cell>
          <cell r="O6632">
            <v>841.2</v>
          </cell>
          <cell r="Q6632">
            <v>1.21</v>
          </cell>
          <cell r="T6632">
            <v>3743.2919999999999</v>
          </cell>
        </row>
        <row r="6633">
          <cell r="G6633">
            <v>42675</v>
          </cell>
          <cell r="L6633" t="str">
            <v>03-03-002-32W1</v>
          </cell>
          <cell r="O6633">
            <v>825.2</v>
          </cell>
          <cell r="Q6633">
            <v>0.82</v>
          </cell>
          <cell r="T6633">
            <v>3738.7460000000001</v>
          </cell>
        </row>
        <row r="6634">
          <cell r="G6634">
            <v>42675</v>
          </cell>
          <cell r="L6634" t="str">
            <v>05-03-009-33W1</v>
          </cell>
          <cell r="O6634">
            <v>849</v>
          </cell>
          <cell r="Q6634">
            <v>1.29</v>
          </cell>
          <cell r="T6634">
            <v>2777.9270000000001</v>
          </cell>
        </row>
        <row r="6635">
          <cell r="G6635">
            <v>42675</v>
          </cell>
          <cell r="L6635" t="str">
            <v>04-22-009-33W1</v>
          </cell>
          <cell r="O6635">
            <v>853.3</v>
          </cell>
          <cell r="Q6635">
            <v>1.42</v>
          </cell>
          <cell r="T6635">
            <v>2563.7379999999998</v>
          </cell>
        </row>
        <row r="6636">
          <cell r="G6636">
            <v>42675</v>
          </cell>
          <cell r="L6636" t="str">
            <v>07-28-002-30W1</v>
          </cell>
          <cell r="O6636">
            <v>882.1</v>
          </cell>
          <cell r="Q6636">
            <v>2.4300000000000002</v>
          </cell>
          <cell r="T6636">
            <v>2351.7939999999999</v>
          </cell>
        </row>
        <row r="6637">
          <cell r="G6637">
            <v>42675</v>
          </cell>
          <cell r="L6637" t="str">
            <v>09-28-006-34W1</v>
          </cell>
          <cell r="O6637">
            <v>846.2</v>
          </cell>
          <cell r="Q6637">
            <v>1.27</v>
          </cell>
          <cell r="T6637">
            <v>1831.248</v>
          </cell>
        </row>
        <row r="6638">
          <cell r="G6638">
            <v>42675</v>
          </cell>
          <cell r="L6638" t="str">
            <v>06-27-006-01W2</v>
          </cell>
          <cell r="O6638">
            <v>846.5</v>
          </cell>
          <cell r="Q6638">
            <v>1.17</v>
          </cell>
          <cell r="T6638">
            <v>1617.0530000000001</v>
          </cell>
        </row>
        <row r="6639">
          <cell r="G6639">
            <v>42675</v>
          </cell>
          <cell r="L6639" t="str">
            <v>14-30-009-33W1</v>
          </cell>
          <cell r="O6639">
            <v>855.7</v>
          </cell>
          <cell r="Q6639">
            <v>1.72</v>
          </cell>
          <cell r="T6639">
            <v>1466.7950000000001</v>
          </cell>
        </row>
        <row r="6640">
          <cell r="G6640">
            <v>42675</v>
          </cell>
          <cell r="L6640" t="str">
            <v>14-33-003-01W2</v>
          </cell>
          <cell r="O6640">
            <v>833.8</v>
          </cell>
          <cell r="Q6640">
            <v>0.86</v>
          </cell>
          <cell r="T6640">
            <v>1449.3420000000001</v>
          </cell>
        </row>
        <row r="6641">
          <cell r="G6641">
            <v>42675</v>
          </cell>
          <cell r="L6641" t="str">
            <v>04-17-004-31W1</v>
          </cell>
          <cell r="O6641">
            <v>862.4</v>
          </cell>
          <cell r="Q6641">
            <v>1.74</v>
          </cell>
          <cell r="T6641">
            <v>1318.99</v>
          </cell>
        </row>
        <row r="6642">
          <cell r="G6642">
            <v>42675</v>
          </cell>
          <cell r="L6642" t="str">
            <v>09-27-006-05W2</v>
          </cell>
          <cell r="O6642">
            <v>870.2</v>
          </cell>
          <cell r="Q6642">
            <v>2.14</v>
          </cell>
          <cell r="T6642">
            <v>1233.8389999999999</v>
          </cell>
        </row>
        <row r="6643">
          <cell r="G6643">
            <v>42675</v>
          </cell>
          <cell r="L6643" t="str">
            <v>08-05-006-33W1</v>
          </cell>
          <cell r="O6643">
            <v>830.9</v>
          </cell>
          <cell r="Q6643">
            <v>0.84</v>
          </cell>
          <cell r="T6643">
            <v>1226.05</v>
          </cell>
        </row>
        <row r="6644">
          <cell r="G6644">
            <v>42675</v>
          </cell>
          <cell r="L6644" t="str">
            <v>09-27-008-03W2</v>
          </cell>
          <cell r="O6644">
            <v>854.4</v>
          </cell>
          <cell r="Q6644">
            <v>1.56</v>
          </cell>
          <cell r="T6644">
            <v>1053.6759999999999</v>
          </cell>
        </row>
        <row r="6645">
          <cell r="G6645">
            <v>42675</v>
          </cell>
          <cell r="L6645" t="str">
            <v>10-13-006-03W2</v>
          </cell>
          <cell r="O6645">
            <v>855.7</v>
          </cell>
          <cell r="Q6645">
            <v>1.66</v>
          </cell>
          <cell r="T6645">
            <v>1015.104</v>
          </cell>
        </row>
        <row r="6646">
          <cell r="G6646">
            <v>42675</v>
          </cell>
          <cell r="L6646" t="str">
            <v>15-14-009-03W2</v>
          </cell>
          <cell r="O6646">
            <v>853.7</v>
          </cell>
          <cell r="Q6646">
            <v>1.56</v>
          </cell>
          <cell r="T6646">
            <v>876.71400000000006</v>
          </cell>
        </row>
        <row r="6647">
          <cell r="G6647">
            <v>42675</v>
          </cell>
          <cell r="L6647" t="str">
            <v>07-12-005-34W1</v>
          </cell>
          <cell r="O6647">
            <v>827.7</v>
          </cell>
          <cell r="Q6647">
            <v>0.64</v>
          </cell>
          <cell r="T6647">
            <v>825.85500000000002</v>
          </cell>
        </row>
        <row r="6648">
          <cell r="G6648">
            <v>42675</v>
          </cell>
          <cell r="L6648" t="str">
            <v>10-11-006-34W1</v>
          </cell>
          <cell r="O6648">
            <v>853.5</v>
          </cell>
          <cell r="Q6648">
            <v>1.6</v>
          </cell>
          <cell r="T6648">
            <v>789.51499999999999</v>
          </cell>
        </row>
        <row r="6649">
          <cell r="G6649">
            <v>42675</v>
          </cell>
          <cell r="L6649" t="str">
            <v>11-25-001-32W1</v>
          </cell>
          <cell r="O6649">
            <v>857</v>
          </cell>
          <cell r="Q6649">
            <v>1.52</v>
          </cell>
          <cell r="T6649">
            <v>737.06799999999998</v>
          </cell>
        </row>
        <row r="6650">
          <cell r="G6650">
            <v>42675</v>
          </cell>
          <cell r="L6650" t="str">
            <v>07-12-008-04W2</v>
          </cell>
          <cell r="O6650">
            <v>853.1</v>
          </cell>
          <cell r="Q6650">
            <v>1.41</v>
          </cell>
          <cell r="T6650">
            <v>733.52800000000002</v>
          </cell>
        </row>
        <row r="6651">
          <cell r="G6651">
            <v>42675</v>
          </cell>
          <cell r="L6651" t="str">
            <v>09-19-009-33W1</v>
          </cell>
          <cell r="O6651">
            <v>854.1</v>
          </cell>
          <cell r="Q6651">
            <v>1.54</v>
          </cell>
          <cell r="T6651">
            <v>719.36300000000006</v>
          </cell>
        </row>
        <row r="6652">
          <cell r="G6652">
            <v>42675</v>
          </cell>
          <cell r="L6652" t="str">
            <v>08-35-011-04W2</v>
          </cell>
          <cell r="O6652">
            <v>862.1</v>
          </cell>
          <cell r="Q6652">
            <v>1.84</v>
          </cell>
          <cell r="T6652">
            <v>699.85</v>
          </cell>
        </row>
        <row r="6653">
          <cell r="G6653">
            <v>42675</v>
          </cell>
          <cell r="L6653" t="str">
            <v>07-31-001-31W1</v>
          </cell>
          <cell r="O6653">
            <v>865.6</v>
          </cell>
          <cell r="Q6653">
            <v>1.73</v>
          </cell>
          <cell r="T6653">
            <v>697.95899999999995</v>
          </cell>
        </row>
        <row r="6654">
          <cell r="G6654">
            <v>42675</v>
          </cell>
          <cell r="L6654" t="str">
            <v>06-24-001-34W1</v>
          </cell>
          <cell r="O6654">
            <v>852</v>
          </cell>
          <cell r="Q6654">
            <v>1.17</v>
          </cell>
          <cell r="T6654">
            <v>692.21199999999999</v>
          </cell>
        </row>
        <row r="6655">
          <cell r="G6655">
            <v>42675</v>
          </cell>
          <cell r="L6655" t="str">
            <v>16-21-003-32W1</v>
          </cell>
          <cell r="O6655">
            <v>856.3</v>
          </cell>
          <cell r="Q6655">
            <v>1.61</v>
          </cell>
          <cell r="T6655">
            <v>681.65800000000002</v>
          </cell>
        </row>
        <row r="6656">
          <cell r="G6656">
            <v>42675</v>
          </cell>
          <cell r="L6656" t="str">
            <v>05-12-002-32W1</v>
          </cell>
          <cell r="O6656">
            <v>862</v>
          </cell>
          <cell r="Q6656">
            <v>1.63</v>
          </cell>
          <cell r="T6656">
            <v>660.38099999999997</v>
          </cell>
        </row>
        <row r="6657">
          <cell r="G6657">
            <v>42675</v>
          </cell>
          <cell r="L6657" t="str">
            <v>04-14-005-33W1</v>
          </cell>
          <cell r="O6657">
            <v>832.6</v>
          </cell>
          <cell r="Q6657">
            <v>0.79</v>
          </cell>
          <cell r="T6657">
            <v>651.73699999999997</v>
          </cell>
        </row>
        <row r="6658">
          <cell r="G6658">
            <v>42675</v>
          </cell>
          <cell r="L6658" t="str">
            <v>16-24-001-34W1</v>
          </cell>
          <cell r="O6658">
            <v>853.8</v>
          </cell>
          <cell r="Q6658">
            <v>1.67</v>
          </cell>
          <cell r="T6658">
            <v>617.07899999999995</v>
          </cell>
        </row>
        <row r="6659">
          <cell r="G6659">
            <v>42675</v>
          </cell>
          <cell r="L6659" t="str">
            <v>08-32-006-01W2</v>
          </cell>
          <cell r="O6659">
            <v>846.7</v>
          </cell>
          <cell r="Q6659">
            <v>1.44</v>
          </cell>
          <cell r="T6659">
            <v>576.51400000000001</v>
          </cell>
        </row>
        <row r="6660">
          <cell r="G6660">
            <v>42675</v>
          </cell>
          <cell r="L6660" t="str">
            <v>14-35-006-05W2</v>
          </cell>
          <cell r="O6660">
            <v>861.3</v>
          </cell>
          <cell r="Q6660">
            <v>1.61</v>
          </cell>
          <cell r="T6660">
            <v>482.35399999999998</v>
          </cell>
        </row>
        <row r="6661">
          <cell r="G6661">
            <v>42675</v>
          </cell>
          <cell r="L6661" t="str">
            <v>09-02-007-05W2</v>
          </cell>
          <cell r="O6661">
            <v>857.8</v>
          </cell>
          <cell r="Q6661">
            <v>1.74</v>
          </cell>
          <cell r="T6661">
            <v>463.32</v>
          </cell>
        </row>
        <row r="6662">
          <cell r="G6662">
            <v>42675</v>
          </cell>
          <cell r="L6662" t="str">
            <v>08-26-006-02W2</v>
          </cell>
          <cell r="O6662">
            <v>849.3</v>
          </cell>
          <cell r="Q6662">
            <v>1.1299999999999999</v>
          </cell>
          <cell r="T6662">
            <v>428.98399999999998</v>
          </cell>
        </row>
        <row r="6663">
          <cell r="G6663">
            <v>42675</v>
          </cell>
          <cell r="L6663" t="str">
            <v>02-13-006-01W2</v>
          </cell>
          <cell r="O6663">
            <v>842.2</v>
          </cell>
          <cell r="Q6663">
            <v>1.19</v>
          </cell>
          <cell r="T6663">
            <v>404.18200000000002</v>
          </cell>
        </row>
        <row r="6664">
          <cell r="G6664">
            <v>42675</v>
          </cell>
          <cell r="L6664" t="str">
            <v>16-09-004-31W1</v>
          </cell>
          <cell r="O6664">
            <v>867.7</v>
          </cell>
          <cell r="Q6664">
            <v>1.81</v>
          </cell>
          <cell r="T6664">
            <v>372.58100000000002</v>
          </cell>
        </row>
        <row r="6665">
          <cell r="G6665">
            <v>42675</v>
          </cell>
          <cell r="L6665" t="str">
            <v>12-35-008-03W2</v>
          </cell>
          <cell r="O6665">
            <v>854.9</v>
          </cell>
          <cell r="Q6665">
            <v>1.55</v>
          </cell>
          <cell r="T6665">
            <v>364.05399999999997</v>
          </cell>
        </row>
        <row r="6666">
          <cell r="G6666">
            <v>42675</v>
          </cell>
          <cell r="L6666" t="str">
            <v>09-18-007-04W2</v>
          </cell>
          <cell r="O6666">
            <v>856</v>
          </cell>
          <cell r="Q6666">
            <v>1.41</v>
          </cell>
          <cell r="T6666">
            <v>345.25700000000001</v>
          </cell>
        </row>
        <row r="6667">
          <cell r="G6667">
            <v>42675</v>
          </cell>
          <cell r="L6667" t="str">
            <v>01-01-006-06W2</v>
          </cell>
          <cell r="O6667">
            <v>850.4</v>
          </cell>
          <cell r="Q6667">
            <v>1.19</v>
          </cell>
          <cell r="T6667">
            <v>368.97800000000001</v>
          </cell>
        </row>
        <row r="6668">
          <cell r="G6668">
            <v>42675</v>
          </cell>
          <cell r="L6668" t="str">
            <v>14-09-002-29W1</v>
          </cell>
          <cell r="O6668">
            <v>838</v>
          </cell>
          <cell r="Q6668">
            <v>0.81</v>
          </cell>
          <cell r="T6668">
            <v>9557.116</v>
          </cell>
        </row>
        <row r="6669">
          <cell r="G6669">
            <v>42675</v>
          </cell>
          <cell r="L6669" t="str">
            <v>13-13-007-02W2</v>
          </cell>
          <cell r="O6669">
            <v>836.4</v>
          </cell>
          <cell r="Q6669">
            <v>1.31</v>
          </cell>
          <cell r="T6669">
            <v>4977.9170000000004</v>
          </cell>
        </row>
        <row r="6670">
          <cell r="G6670">
            <v>42675</v>
          </cell>
          <cell r="L6670" t="str">
            <v>08-36-003-34W1</v>
          </cell>
          <cell r="O6670">
            <v>843.8</v>
          </cell>
          <cell r="Q6670">
            <v>0.88</v>
          </cell>
          <cell r="T6670">
            <v>4960.7849999999999</v>
          </cell>
        </row>
        <row r="6671">
          <cell r="G6671">
            <v>42675</v>
          </cell>
          <cell r="L6671" t="str">
            <v>11-27-005-33W1</v>
          </cell>
          <cell r="O6671">
            <v>823</v>
          </cell>
          <cell r="Q6671">
            <v>0.72</v>
          </cell>
          <cell r="T6671">
            <v>4664.71</v>
          </cell>
        </row>
        <row r="6672">
          <cell r="G6672">
            <v>42675</v>
          </cell>
          <cell r="L6672" t="str">
            <v>05-14-003-01W2</v>
          </cell>
          <cell r="O6672">
            <v>833.6</v>
          </cell>
          <cell r="Q6672">
            <v>0.72</v>
          </cell>
          <cell r="T6672">
            <v>3600.2570000000001</v>
          </cell>
        </row>
        <row r="6673">
          <cell r="G6673">
            <v>42675</v>
          </cell>
          <cell r="L6673" t="str">
            <v>05-29-005-32W1</v>
          </cell>
          <cell r="O6673">
            <v>833.9</v>
          </cell>
          <cell r="Q6673">
            <v>0.93</v>
          </cell>
          <cell r="T6673">
            <v>2924.8449999999998</v>
          </cell>
        </row>
        <row r="6674">
          <cell r="G6674">
            <v>42675</v>
          </cell>
          <cell r="L6674" t="str">
            <v>04-10-004-31W1</v>
          </cell>
          <cell r="O6674">
            <v>867</v>
          </cell>
          <cell r="Q6674">
            <v>1.79</v>
          </cell>
          <cell r="T6674">
            <v>2772.0940000000001</v>
          </cell>
        </row>
        <row r="6675">
          <cell r="G6675">
            <v>42675</v>
          </cell>
          <cell r="L6675" t="str">
            <v>04-05-007-33W1</v>
          </cell>
          <cell r="O6675">
            <v>840.6</v>
          </cell>
          <cell r="Q6675">
            <v>1.22</v>
          </cell>
          <cell r="T6675">
            <v>2366.0929999999998</v>
          </cell>
        </row>
        <row r="6676">
          <cell r="G6676">
            <v>42675</v>
          </cell>
          <cell r="L6676" t="str">
            <v>06-01-007-01W2</v>
          </cell>
          <cell r="O6676">
            <v>845.9</v>
          </cell>
          <cell r="Q6676">
            <v>1.1599999999999999</v>
          </cell>
          <cell r="T6676">
            <v>2305.663</v>
          </cell>
        </row>
        <row r="6677">
          <cell r="G6677">
            <v>42675</v>
          </cell>
          <cell r="L6677" t="str">
            <v>16-10-006-30W1</v>
          </cell>
          <cell r="O6677">
            <v>854.6</v>
          </cell>
          <cell r="Q6677">
            <v>1.41</v>
          </cell>
          <cell r="T6677">
            <v>2273.3589999999999</v>
          </cell>
        </row>
        <row r="6678">
          <cell r="G6678">
            <v>42675</v>
          </cell>
          <cell r="L6678" t="str">
            <v>05-13-003-02W2</v>
          </cell>
          <cell r="O6678">
            <v>830.1</v>
          </cell>
          <cell r="Q6678">
            <v>0.56000000000000005</v>
          </cell>
          <cell r="T6678">
            <v>2055.9140000000002</v>
          </cell>
        </row>
        <row r="6679">
          <cell r="G6679">
            <v>42675</v>
          </cell>
          <cell r="L6679" t="str">
            <v>01-09-001-31W1</v>
          </cell>
          <cell r="O6679">
            <v>874.9</v>
          </cell>
          <cell r="Q6679">
            <v>2.13</v>
          </cell>
          <cell r="T6679">
            <v>1975.3869999999999</v>
          </cell>
        </row>
        <row r="6680">
          <cell r="G6680">
            <v>42675</v>
          </cell>
          <cell r="L6680" t="str">
            <v>02-14-005-32W1</v>
          </cell>
          <cell r="O6680">
            <v>836.5</v>
          </cell>
          <cell r="Q6680">
            <v>0.97</v>
          </cell>
          <cell r="T6680">
            <v>1658.1489999999999</v>
          </cell>
        </row>
        <row r="6681">
          <cell r="G6681">
            <v>42675</v>
          </cell>
          <cell r="L6681" t="str">
            <v>14-28-002-34W1</v>
          </cell>
          <cell r="O6681">
            <v>828.1</v>
          </cell>
          <cell r="Q6681">
            <v>0.78</v>
          </cell>
          <cell r="T6681">
            <v>1566.538</v>
          </cell>
        </row>
        <row r="6682">
          <cell r="G6682">
            <v>42675</v>
          </cell>
          <cell r="L6682" t="str">
            <v>02-20-006-32W1</v>
          </cell>
          <cell r="O6682">
            <v>831.2</v>
          </cell>
          <cell r="Q6682">
            <v>0.8</v>
          </cell>
          <cell r="T6682">
            <v>1437.855</v>
          </cell>
        </row>
        <row r="6683">
          <cell r="G6683">
            <v>42675</v>
          </cell>
          <cell r="L6683" t="str">
            <v>08-33-005-03W2</v>
          </cell>
          <cell r="O6683">
            <v>845.5</v>
          </cell>
          <cell r="Q6683">
            <v>1.07</v>
          </cell>
          <cell r="T6683">
            <v>1267.01</v>
          </cell>
        </row>
        <row r="6684">
          <cell r="G6684">
            <v>42675</v>
          </cell>
          <cell r="L6684" t="str">
            <v>02-02-006-03W2</v>
          </cell>
          <cell r="O6684">
            <v>851</v>
          </cell>
          <cell r="Q6684">
            <v>1.31</v>
          </cell>
          <cell r="T6684">
            <v>1225.17</v>
          </cell>
        </row>
        <row r="6685">
          <cell r="G6685">
            <v>42675</v>
          </cell>
          <cell r="L6685" t="str">
            <v>16-13-004-32W1</v>
          </cell>
          <cell r="O6685">
            <v>853.7</v>
          </cell>
          <cell r="Q6685">
            <v>1.33</v>
          </cell>
          <cell r="T6685">
            <v>1117.0650000000001</v>
          </cell>
        </row>
        <row r="6686">
          <cell r="G6686">
            <v>42675</v>
          </cell>
          <cell r="L6686" t="str">
            <v>12-23-005-31W1</v>
          </cell>
          <cell r="O6686">
            <v>844.6</v>
          </cell>
          <cell r="Q6686">
            <v>1.08</v>
          </cell>
          <cell r="T6686">
            <v>1097.819</v>
          </cell>
        </row>
        <row r="6687">
          <cell r="G6687">
            <v>42675</v>
          </cell>
          <cell r="L6687" t="str">
            <v>04-33-006-01W2</v>
          </cell>
          <cell r="O6687">
            <v>852.1</v>
          </cell>
          <cell r="Q6687">
            <v>1.39</v>
          </cell>
          <cell r="T6687">
            <v>1055.9690000000001</v>
          </cell>
        </row>
        <row r="6688">
          <cell r="G6688">
            <v>42675</v>
          </cell>
          <cell r="L6688" t="str">
            <v>13-34-006-05W2</v>
          </cell>
          <cell r="O6688">
            <v>865.1</v>
          </cell>
          <cell r="Q6688">
            <v>1.93</v>
          </cell>
          <cell r="T6688">
            <v>1025.6420000000001</v>
          </cell>
        </row>
        <row r="6689">
          <cell r="G6689">
            <v>42675</v>
          </cell>
          <cell r="L6689" t="str">
            <v>11-28-006-05W2</v>
          </cell>
          <cell r="O6689">
            <v>855.9</v>
          </cell>
          <cell r="Q6689">
            <v>1.51</v>
          </cell>
          <cell r="T6689">
            <v>966.93499999999995</v>
          </cell>
        </row>
        <row r="6690">
          <cell r="G6690">
            <v>42675</v>
          </cell>
          <cell r="L6690" t="str">
            <v>09-33-006-05W2</v>
          </cell>
          <cell r="O6690">
            <v>862</v>
          </cell>
          <cell r="Q6690">
            <v>1.74</v>
          </cell>
          <cell r="T6690">
            <v>946.98</v>
          </cell>
        </row>
        <row r="6691">
          <cell r="G6691">
            <v>42675</v>
          </cell>
          <cell r="L6691" t="str">
            <v>14-33-003-01W2</v>
          </cell>
          <cell r="O6691">
            <v>839.6</v>
          </cell>
          <cell r="Q6691">
            <v>0.87</v>
          </cell>
          <cell r="T6691">
            <v>945.51400000000001</v>
          </cell>
        </row>
        <row r="6692">
          <cell r="G6692">
            <v>42675</v>
          </cell>
          <cell r="L6692" t="str">
            <v>02-15-006-01W2</v>
          </cell>
          <cell r="O6692">
            <v>847.3</v>
          </cell>
          <cell r="Q6692">
            <v>1.24</v>
          </cell>
          <cell r="T6692">
            <v>902.13</v>
          </cell>
        </row>
        <row r="6693">
          <cell r="G6693">
            <v>42675</v>
          </cell>
          <cell r="L6693" t="str">
            <v>06-02-008-02W2</v>
          </cell>
          <cell r="O6693">
            <v>854.7</v>
          </cell>
          <cell r="Q6693">
            <v>1.6</v>
          </cell>
          <cell r="T6693">
            <v>886.23400000000004</v>
          </cell>
        </row>
        <row r="6694">
          <cell r="G6694">
            <v>42675</v>
          </cell>
          <cell r="L6694" t="str">
            <v>13-11-004-02W2</v>
          </cell>
          <cell r="O6694">
            <v>843.8</v>
          </cell>
          <cell r="Q6694">
            <v>1.2</v>
          </cell>
          <cell r="T6694">
            <v>808.351</v>
          </cell>
        </row>
        <row r="6695">
          <cell r="G6695">
            <v>42675</v>
          </cell>
          <cell r="L6695" t="str">
            <v>02-14-010-01W2</v>
          </cell>
          <cell r="O6695">
            <v>855.3</v>
          </cell>
          <cell r="Q6695">
            <v>1.7</v>
          </cell>
          <cell r="T6695">
            <v>681.57100000000003</v>
          </cell>
        </row>
        <row r="6696">
          <cell r="G6696">
            <v>42675</v>
          </cell>
          <cell r="L6696" t="str">
            <v>14-26-002-30W1</v>
          </cell>
          <cell r="O6696">
            <v>869.2</v>
          </cell>
          <cell r="Q6696">
            <v>2.02</v>
          </cell>
          <cell r="T6696">
            <v>646.77800000000002</v>
          </cell>
        </row>
        <row r="6697">
          <cell r="G6697">
            <v>42675</v>
          </cell>
          <cell r="L6697" t="str">
            <v>10-33-004-32W1</v>
          </cell>
          <cell r="O6697">
            <v>838.5</v>
          </cell>
          <cell r="Q6697">
            <v>0.99</v>
          </cell>
          <cell r="T6697">
            <v>631.21699999999998</v>
          </cell>
        </row>
        <row r="6698">
          <cell r="G6698">
            <v>42675</v>
          </cell>
          <cell r="L6698" t="str">
            <v>10-11-004-34W1</v>
          </cell>
          <cell r="O6698">
            <v>834.8</v>
          </cell>
          <cell r="Q6698">
            <v>0.73</v>
          </cell>
          <cell r="T6698">
            <v>574.75</v>
          </cell>
        </row>
        <row r="6699">
          <cell r="G6699">
            <v>42675</v>
          </cell>
          <cell r="L6699" t="str">
            <v>04-04-007-01W2</v>
          </cell>
          <cell r="O6699">
            <v>849.4</v>
          </cell>
          <cell r="Q6699">
            <v>1.1599999999999999</v>
          </cell>
          <cell r="T6699">
            <v>530.27800000000002</v>
          </cell>
        </row>
        <row r="6700">
          <cell r="G6700">
            <v>42675</v>
          </cell>
          <cell r="L6700" t="str">
            <v>02-12-010-02W2</v>
          </cell>
          <cell r="O6700">
            <v>856.4</v>
          </cell>
          <cell r="Q6700">
            <v>1.64</v>
          </cell>
          <cell r="T6700">
            <v>488.05399999999997</v>
          </cell>
        </row>
        <row r="6701">
          <cell r="G6701">
            <v>42675</v>
          </cell>
          <cell r="L6701" t="str">
            <v>14-20-005-33W1</v>
          </cell>
          <cell r="O6701">
            <v>829.3</v>
          </cell>
          <cell r="Q6701">
            <v>0.67</v>
          </cell>
          <cell r="T6701">
            <v>475.55399999999997</v>
          </cell>
        </row>
        <row r="6702">
          <cell r="G6702">
            <v>42675</v>
          </cell>
          <cell r="L6702" t="str">
            <v>08-13-006-33W1</v>
          </cell>
          <cell r="O6702">
            <v>841</v>
          </cell>
          <cell r="Q6702">
            <v>0.89</v>
          </cell>
          <cell r="T6702">
            <v>444.834</v>
          </cell>
        </row>
        <row r="6703">
          <cell r="G6703">
            <v>42675</v>
          </cell>
          <cell r="L6703" t="str">
            <v>02-16-010-02W2</v>
          </cell>
          <cell r="O6703">
            <v>860</v>
          </cell>
          <cell r="Q6703">
            <v>1.69</v>
          </cell>
          <cell r="T6703">
            <v>387.08199999999999</v>
          </cell>
        </row>
        <row r="6704">
          <cell r="G6704">
            <v>42675</v>
          </cell>
          <cell r="L6704" t="str">
            <v>15-26-007-04W2</v>
          </cell>
          <cell r="O6704">
            <v>852.4</v>
          </cell>
          <cell r="Q6704">
            <v>1.4</v>
          </cell>
          <cell r="T6704">
            <v>376.66800000000001</v>
          </cell>
        </row>
        <row r="6705">
          <cell r="G6705">
            <v>42675</v>
          </cell>
          <cell r="L6705" t="str">
            <v>02-10-003-01W2</v>
          </cell>
          <cell r="O6705">
            <v>828.4</v>
          </cell>
          <cell r="Q6705">
            <v>0.5</v>
          </cell>
          <cell r="T6705">
            <v>360.89600000000002</v>
          </cell>
        </row>
        <row r="6706">
          <cell r="G6706">
            <v>42675</v>
          </cell>
          <cell r="L6706" t="str">
            <v>08-12-006-01W2</v>
          </cell>
          <cell r="O6706">
            <v>845.5</v>
          </cell>
          <cell r="Q6706">
            <v>1.29</v>
          </cell>
          <cell r="T6706">
            <v>357.78</v>
          </cell>
        </row>
        <row r="6707">
          <cell r="G6707">
            <v>42675</v>
          </cell>
          <cell r="L6707" t="str">
            <v>06-04-006-33W1</v>
          </cell>
          <cell r="O6707">
            <v>835.8</v>
          </cell>
          <cell r="Q6707">
            <v>0.82</v>
          </cell>
          <cell r="T6707">
            <v>346.584</v>
          </cell>
        </row>
        <row r="6708">
          <cell r="G6708">
            <v>42675</v>
          </cell>
          <cell r="L6708" t="str">
            <v>07-18-005-04W2</v>
          </cell>
          <cell r="O6708">
            <v>850.5</v>
          </cell>
          <cell r="Q6708">
            <v>1.38</v>
          </cell>
          <cell r="T6708">
            <v>416.43799999999999</v>
          </cell>
        </row>
        <row r="6709">
          <cell r="G6709">
            <v>42675</v>
          </cell>
          <cell r="L6709" t="str">
            <v>09-08-004-03W2</v>
          </cell>
          <cell r="O6709">
            <v>838.8</v>
          </cell>
          <cell r="Q6709">
            <v>1.31</v>
          </cell>
          <cell r="T6709">
            <v>14400.835999999999</v>
          </cell>
        </row>
        <row r="6710">
          <cell r="G6710">
            <v>42675</v>
          </cell>
          <cell r="L6710" t="str">
            <v>03-15-004-06W2</v>
          </cell>
          <cell r="O6710">
            <v>850.2</v>
          </cell>
          <cell r="Q6710">
            <v>1.22</v>
          </cell>
          <cell r="T6710">
            <v>5892.5439999999999</v>
          </cell>
        </row>
        <row r="6711">
          <cell r="G6711">
            <v>42675</v>
          </cell>
          <cell r="L6711" t="str">
            <v>07-35-004-04W2</v>
          </cell>
          <cell r="O6711">
            <v>855.8</v>
          </cell>
          <cell r="Q6711">
            <v>1.41</v>
          </cell>
          <cell r="T6711">
            <v>4042.32</v>
          </cell>
        </row>
        <row r="6712">
          <cell r="G6712">
            <v>42675</v>
          </cell>
          <cell r="L6712" t="str">
            <v>16-33-005-06W2</v>
          </cell>
          <cell r="O6712">
            <v>869</v>
          </cell>
          <cell r="Q6712">
            <v>2.25</v>
          </cell>
          <cell r="T6712">
            <v>2931.0160000000001</v>
          </cell>
        </row>
        <row r="6713">
          <cell r="G6713">
            <v>42675</v>
          </cell>
          <cell r="L6713" t="str">
            <v>05-07-005-03W2</v>
          </cell>
          <cell r="O6713">
            <v>848.7</v>
          </cell>
          <cell r="Q6713">
            <v>1.24</v>
          </cell>
          <cell r="T6713">
            <v>2699.6790000000001</v>
          </cell>
        </row>
        <row r="6714">
          <cell r="G6714">
            <v>42675</v>
          </cell>
          <cell r="L6714" t="str">
            <v>16-30-004-08W2</v>
          </cell>
          <cell r="O6714">
            <v>885</v>
          </cell>
          <cell r="Q6714">
            <v>2.0699999999999998</v>
          </cell>
          <cell r="T6714">
            <v>2325.4960000000001</v>
          </cell>
        </row>
        <row r="6715">
          <cell r="G6715">
            <v>42675</v>
          </cell>
          <cell r="L6715" t="str">
            <v>09-33-005-05W2</v>
          </cell>
          <cell r="O6715">
            <v>850.8</v>
          </cell>
          <cell r="Q6715">
            <v>1.02</v>
          </cell>
          <cell r="T6715">
            <v>2155.7739999999999</v>
          </cell>
        </row>
        <row r="6716">
          <cell r="G6716">
            <v>42675</v>
          </cell>
          <cell r="L6716" t="str">
            <v>14-30-001-04W2</v>
          </cell>
          <cell r="O6716">
            <v>831.4</v>
          </cell>
          <cell r="Q6716">
            <v>0.56000000000000005</v>
          </cell>
          <cell r="T6716">
            <v>1797.6410000000001</v>
          </cell>
        </row>
        <row r="6717">
          <cell r="G6717">
            <v>42675</v>
          </cell>
          <cell r="L6717" t="str">
            <v>06-27-004-06W2</v>
          </cell>
          <cell r="O6717">
            <v>830.3</v>
          </cell>
          <cell r="Q6717">
            <v>0.68</v>
          </cell>
          <cell r="T6717">
            <v>1412.308</v>
          </cell>
        </row>
        <row r="6718">
          <cell r="G6718">
            <v>42675</v>
          </cell>
          <cell r="L6718" t="str">
            <v>11-02-005-04W2</v>
          </cell>
          <cell r="O6718">
            <v>851.2</v>
          </cell>
          <cell r="Q6718">
            <v>1.4</v>
          </cell>
          <cell r="T6718">
            <v>1310.136</v>
          </cell>
        </row>
        <row r="6719">
          <cell r="G6719">
            <v>42675</v>
          </cell>
          <cell r="L6719" t="str">
            <v>06-24-004-09W2</v>
          </cell>
          <cell r="O6719">
            <v>878.7</v>
          </cell>
          <cell r="Q6719">
            <v>1.81</v>
          </cell>
          <cell r="T6719">
            <v>1300.511</v>
          </cell>
        </row>
        <row r="6720">
          <cell r="G6720">
            <v>42675</v>
          </cell>
          <cell r="L6720" t="str">
            <v>10-22-004-07W2</v>
          </cell>
          <cell r="O6720">
            <v>883.6</v>
          </cell>
          <cell r="Q6720">
            <v>2</v>
          </cell>
          <cell r="T6720">
            <v>905.41700000000003</v>
          </cell>
        </row>
        <row r="6721">
          <cell r="G6721">
            <v>42675</v>
          </cell>
          <cell r="L6721" t="str">
            <v>14-13-001-05W2</v>
          </cell>
          <cell r="O6721">
            <v>813.2</v>
          </cell>
          <cell r="Q6721">
            <v>0.51</v>
          </cell>
          <cell r="T6721">
            <v>20245.939999999999</v>
          </cell>
        </row>
        <row r="6722">
          <cell r="G6722">
            <v>42675</v>
          </cell>
          <cell r="L6722" t="str">
            <v>05-20-004-04W2</v>
          </cell>
          <cell r="O6722">
            <v>824.2</v>
          </cell>
          <cell r="Q6722">
            <v>1.59</v>
          </cell>
          <cell r="T6722">
            <v>4275.634</v>
          </cell>
        </row>
        <row r="6723">
          <cell r="G6723">
            <v>42675</v>
          </cell>
          <cell r="L6723" t="str">
            <v>05-10-006-05W2</v>
          </cell>
          <cell r="O6723">
            <v>854</v>
          </cell>
          <cell r="Q6723">
            <v>1.55</v>
          </cell>
          <cell r="T6723">
            <v>3269.2719999999999</v>
          </cell>
        </row>
        <row r="6724">
          <cell r="G6724">
            <v>42675</v>
          </cell>
          <cell r="L6724" t="str">
            <v>11-16-005-04W2</v>
          </cell>
          <cell r="O6724">
            <v>849.8</v>
          </cell>
          <cell r="Q6724">
            <v>1.1100000000000001</v>
          </cell>
          <cell r="T6724">
            <v>1950.1959999999999</v>
          </cell>
        </row>
        <row r="6725">
          <cell r="G6725">
            <v>42675</v>
          </cell>
          <cell r="L6725" t="str">
            <v>05-24-005-04W2</v>
          </cell>
          <cell r="O6725">
            <v>852.2</v>
          </cell>
          <cell r="Q6725">
            <v>1.51</v>
          </cell>
          <cell r="T6725">
            <v>1940.8340000000001</v>
          </cell>
        </row>
        <row r="6726">
          <cell r="G6726">
            <v>42675</v>
          </cell>
          <cell r="L6726" t="str">
            <v>07-08-004-05W2</v>
          </cell>
          <cell r="O6726">
            <v>837.5</v>
          </cell>
          <cell r="Q6726">
            <v>0.95</v>
          </cell>
          <cell r="T6726">
            <v>1767.787</v>
          </cell>
        </row>
        <row r="6727">
          <cell r="G6727">
            <v>42675</v>
          </cell>
          <cell r="L6727" t="str">
            <v>05-34-005-06W2</v>
          </cell>
          <cell r="O6727">
            <v>867.1</v>
          </cell>
          <cell r="Q6727">
            <v>2.0299999999999998</v>
          </cell>
          <cell r="T6727">
            <v>1709.741</v>
          </cell>
        </row>
        <row r="6728">
          <cell r="G6728">
            <v>42675</v>
          </cell>
          <cell r="L6728" t="str">
            <v>02-13-006-06W2</v>
          </cell>
          <cell r="O6728">
            <v>845.6</v>
          </cell>
          <cell r="Q6728">
            <v>1.48</v>
          </cell>
          <cell r="T6728">
            <v>1550.5</v>
          </cell>
        </row>
        <row r="6729">
          <cell r="G6729">
            <v>42675</v>
          </cell>
          <cell r="L6729" t="str">
            <v>01-17-005-08W2</v>
          </cell>
          <cell r="O6729">
            <v>883.7</v>
          </cell>
          <cell r="Q6729">
            <v>2.29</v>
          </cell>
          <cell r="T6729">
            <v>1201.462</v>
          </cell>
        </row>
        <row r="6730">
          <cell r="G6730">
            <v>42675</v>
          </cell>
          <cell r="L6730" t="str">
            <v>11-28-005-06W2</v>
          </cell>
          <cell r="O6730">
            <v>881</v>
          </cell>
          <cell r="Q6730">
            <v>2.27</v>
          </cell>
          <cell r="T6730">
            <v>1022.5940000000001</v>
          </cell>
        </row>
        <row r="6731">
          <cell r="G6731">
            <v>42675</v>
          </cell>
          <cell r="L6731" t="str">
            <v>09-27-004-05W2</v>
          </cell>
          <cell r="O6731">
            <v>844.7</v>
          </cell>
          <cell r="Q6731">
            <v>1.4</v>
          </cell>
          <cell r="T6731">
            <v>1012.824</v>
          </cell>
        </row>
        <row r="6732">
          <cell r="G6732">
            <v>42675</v>
          </cell>
          <cell r="L6732" t="str">
            <v>03-29-003-04W2</v>
          </cell>
          <cell r="O6732">
            <v>838</v>
          </cell>
          <cell r="Q6732">
            <v>0.84</v>
          </cell>
          <cell r="T6732">
            <v>999.48099999999999</v>
          </cell>
        </row>
        <row r="6733">
          <cell r="G6733">
            <v>42675</v>
          </cell>
          <cell r="L6733" t="str">
            <v>08-22-004-09W2</v>
          </cell>
          <cell r="O6733">
            <v>876</v>
          </cell>
          <cell r="Q6733">
            <v>2.1</v>
          </cell>
          <cell r="T6733">
            <v>973.34100000000001</v>
          </cell>
        </row>
        <row r="6734">
          <cell r="G6734">
            <v>42675</v>
          </cell>
          <cell r="L6734" t="str">
            <v>08-14-004-07W2</v>
          </cell>
          <cell r="O6734">
            <v>867.6</v>
          </cell>
          <cell r="Q6734">
            <v>1.58</v>
          </cell>
          <cell r="T6734">
            <v>945.12900000000002</v>
          </cell>
        </row>
        <row r="6735">
          <cell r="G6735">
            <v>42675</v>
          </cell>
          <cell r="L6735" t="str">
            <v>09-10-005-04W2</v>
          </cell>
          <cell r="O6735">
            <v>852.7</v>
          </cell>
          <cell r="Q6735">
            <v>1.22</v>
          </cell>
          <cell r="T6735">
            <v>856.72199999999998</v>
          </cell>
        </row>
        <row r="6736">
          <cell r="G6736">
            <v>42675</v>
          </cell>
          <cell r="L6736" t="str">
            <v>13-15-005-08W2</v>
          </cell>
          <cell r="O6736">
            <v>873.8</v>
          </cell>
          <cell r="Q6736">
            <v>1.83</v>
          </cell>
          <cell r="T6736">
            <v>856.31799999999998</v>
          </cell>
        </row>
        <row r="6737">
          <cell r="G6737">
            <v>42675</v>
          </cell>
          <cell r="L6737" t="str">
            <v>13-30-005-05W2</v>
          </cell>
          <cell r="O6737">
            <v>850.4</v>
          </cell>
          <cell r="Q6737">
            <v>1.1000000000000001</v>
          </cell>
          <cell r="T6737">
            <v>702.25400000000002</v>
          </cell>
        </row>
        <row r="6738">
          <cell r="G6738">
            <v>42675</v>
          </cell>
          <cell r="L6738" t="str">
            <v>07-27-007-06W2</v>
          </cell>
          <cell r="O6738">
            <v>814.6</v>
          </cell>
          <cell r="Q6738">
            <v>0.21</v>
          </cell>
          <cell r="T6738">
            <v>613.15899999999999</v>
          </cell>
        </row>
        <row r="6739">
          <cell r="G6739">
            <v>42675</v>
          </cell>
          <cell r="L6739" t="str">
            <v>11-31-005-11W2</v>
          </cell>
          <cell r="O6739">
            <v>876.5</v>
          </cell>
          <cell r="Q6739">
            <v>1.73</v>
          </cell>
          <cell r="T6739">
            <v>1576.883</v>
          </cell>
        </row>
        <row r="6740">
          <cell r="G6740">
            <v>42675</v>
          </cell>
          <cell r="L6740" t="str">
            <v>09-02-006-07W2</v>
          </cell>
          <cell r="O6740">
            <v>887.5</v>
          </cell>
          <cell r="Q6740">
            <v>1.97</v>
          </cell>
          <cell r="T6740">
            <v>1227.5740000000001</v>
          </cell>
        </row>
        <row r="6741">
          <cell r="G6741">
            <v>42675</v>
          </cell>
          <cell r="L6741" t="str">
            <v>16-27-001-16W2</v>
          </cell>
          <cell r="O6741">
            <v>807.4</v>
          </cell>
          <cell r="Q6741">
            <v>0.43</v>
          </cell>
          <cell r="T6741">
            <v>1058.6869999999999</v>
          </cell>
        </row>
        <row r="6742">
          <cell r="G6742">
            <v>42675</v>
          </cell>
          <cell r="L6742" t="str">
            <v>13-06-007-11W2</v>
          </cell>
          <cell r="O6742">
            <v>854.7</v>
          </cell>
          <cell r="Q6742">
            <v>2.08</v>
          </cell>
          <cell r="T6742">
            <v>901.36800000000005</v>
          </cell>
        </row>
        <row r="6743">
          <cell r="G6743">
            <v>42675</v>
          </cell>
          <cell r="L6743" t="str">
            <v>16-05-005-08W2</v>
          </cell>
          <cell r="O6743">
            <v>886.9</v>
          </cell>
          <cell r="Q6743">
            <v>2.0699999999999998</v>
          </cell>
          <cell r="T6743">
            <v>745.94799999999998</v>
          </cell>
        </row>
        <row r="6744">
          <cell r="G6744">
            <v>42675</v>
          </cell>
          <cell r="L6744" t="str">
            <v>14-27-005-12W2</v>
          </cell>
          <cell r="O6744">
            <v>877.1</v>
          </cell>
          <cell r="Q6744">
            <v>1.98</v>
          </cell>
          <cell r="T6744">
            <v>729.44899999999996</v>
          </cell>
        </row>
        <row r="6745">
          <cell r="G6745">
            <v>42675</v>
          </cell>
          <cell r="L6745" t="str">
            <v>01-18-004-08W2</v>
          </cell>
          <cell r="O6745">
            <v>890.8</v>
          </cell>
          <cell r="Q6745">
            <v>2.36</v>
          </cell>
          <cell r="T6745">
            <v>597.89300000000003</v>
          </cell>
        </row>
        <row r="6746">
          <cell r="G6746">
            <v>42675</v>
          </cell>
          <cell r="L6746" t="str">
            <v>13-09-002-11W2</v>
          </cell>
          <cell r="O6746">
            <v>822</v>
          </cell>
          <cell r="Q6746">
            <v>0.17</v>
          </cell>
          <cell r="T6746">
            <v>586.65499999999997</v>
          </cell>
        </row>
        <row r="6747">
          <cell r="G6747">
            <v>42675</v>
          </cell>
          <cell r="L6747" t="str">
            <v>16-09-007-11W2</v>
          </cell>
          <cell r="O6747">
            <v>821</v>
          </cell>
          <cell r="Q6747">
            <v>0.76</v>
          </cell>
          <cell r="T6747">
            <v>535.95799999999997</v>
          </cell>
        </row>
        <row r="6748">
          <cell r="G6748">
            <v>42675</v>
          </cell>
          <cell r="L6748" t="str">
            <v>15-33-013-13W2</v>
          </cell>
          <cell r="O6748">
            <v>863.6</v>
          </cell>
          <cell r="Q6748">
            <v>0.51</v>
          </cell>
          <cell r="T6748">
            <v>532.35900000000004</v>
          </cell>
        </row>
        <row r="6749">
          <cell r="G6749">
            <v>42675</v>
          </cell>
          <cell r="L6749" t="str">
            <v>13-33-006-09W2</v>
          </cell>
          <cell r="O6749">
            <v>887.4</v>
          </cell>
          <cell r="Q6749">
            <v>2.42</v>
          </cell>
          <cell r="T6749">
            <v>530.29600000000005</v>
          </cell>
        </row>
        <row r="6750">
          <cell r="G6750">
            <v>42675</v>
          </cell>
          <cell r="L6750" t="str">
            <v>14-22-004-08W2</v>
          </cell>
          <cell r="O6750">
            <v>875.9</v>
          </cell>
          <cell r="Q6750">
            <v>2.0299999999999998</v>
          </cell>
          <cell r="T6750">
            <v>523.37699999999995</v>
          </cell>
        </row>
        <row r="6751">
          <cell r="G6751">
            <v>42675</v>
          </cell>
          <cell r="L6751" t="str">
            <v>15-36-001-12W2</v>
          </cell>
          <cell r="O6751">
            <v>820.5</v>
          </cell>
          <cell r="Q6751">
            <v>0.14000000000000001</v>
          </cell>
          <cell r="T6751">
            <v>495.66199999999998</v>
          </cell>
        </row>
        <row r="6752">
          <cell r="G6752">
            <v>42675</v>
          </cell>
          <cell r="L6752" t="str">
            <v>12-20-005-12W2</v>
          </cell>
          <cell r="O6752">
            <v>882.5</v>
          </cell>
          <cell r="Q6752">
            <v>2.38</v>
          </cell>
          <cell r="T6752">
            <v>468.11900000000003</v>
          </cell>
        </row>
        <row r="6753">
          <cell r="G6753">
            <v>42675</v>
          </cell>
          <cell r="L6753" t="str">
            <v>15-01-002-12W2</v>
          </cell>
          <cell r="O6753">
            <v>812.4</v>
          </cell>
          <cell r="Q6753">
            <v>0.12</v>
          </cell>
          <cell r="T6753">
            <v>452.887</v>
          </cell>
        </row>
        <row r="6754">
          <cell r="G6754">
            <v>42675</v>
          </cell>
          <cell r="L6754" t="str">
            <v>13-36-002-12W2</v>
          </cell>
          <cell r="O6754">
            <v>808.1</v>
          </cell>
          <cell r="Q6754">
            <v>0.16</v>
          </cell>
          <cell r="T6754">
            <v>448.09699999999998</v>
          </cell>
        </row>
        <row r="6755">
          <cell r="G6755">
            <v>42675</v>
          </cell>
          <cell r="L6755" t="str">
            <v>03-18-007-09W2</v>
          </cell>
          <cell r="O6755">
            <v>816.9</v>
          </cell>
          <cell r="Q6755">
            <v>0.59</v>
          </cell>
          <cell r="T6755">
            <v>428.45699999999999</v>
          </cell>
        </row>
        <row r="6756">
          <cell r="G6756">
            <v>42675</v>
          </cell>
          <cell r="L6756" t="str">
            <v>15-11-005-09W2</v>
          </cell>
          <cell r="O6756">
            <v>884</v>
          </cell>
          <cell r="Q6756">
            <v>2.21</v>
          </cell>
          <cell r="T6756">
            <v>425.19</v>
          </cell>
        </row>
        <row r="6757">
          <cell r="G6757">
            <v>42675</v>
          </cell>
          <cell r="L6757" t="str">
            <v>11-14-007-08W2</v>
          </cell>
          <cell r="O6757">
            <v>844.7</v>
          </cell>
          <cell r="Q6757">
            <v>1.38</v>
          </cell>
          <cell r="T6757">
            <v>420.54300000000001</v>
          </cell>
        </row>
        <row r="6758">
          <cell r="G6758">
            <v>42675</v>
          </cell>
          <cell r="L6758" t="str">
            <v>04-27-004-08W2</v>
          </cell>
          <cell r="O6758">
            <v>884.7</v>
          </cell>
          <cell r="Q6758">
            <v>2.14</v>
          </cell>
          <cell r="T6758">
            <v>416.17200000000003</v>
          </cell>
        </row>
        <row r="6759">
          <cell r="G6759">
            <v>42675</v>
          </cell>
          <cell r="L6759" t="str">
            <v>15-13-002-12W2</v>
          </cell>
          <cell r="O6759">
            <v>817.2</v>
          </cell>
          <cell r="Q6759">
            <v>0.15</v>
          </cell>
          <cell r="T6759">
            <v>408.63499999999999</v>
          </cell>
        </row>
        <row r="6760">
          <cell r="G6760">
            <v>42675</v>
          </cell>
          <cell r="L6760" t="str">
            <v>16-19-001-15W2</v>
          </cell>
          <cell r="O6760">
            <v>806.9</v>
          </cell>
          <cell r="Q6760">
            <v>0.39</v>
          </cell>
          <cell r="T6760">
            <v>389.39299999999997</v>
          </cell>
        </row>
        <row r="6761">
          <cell r="G6761">
            <v>42675</v>
          </cell>
          <cell r="L6761" t="str">
            <v>16-34-001-11W2</v>
          </cell>
          <cell r="O6761">
            <v>820</v>
          </cell>
          <cell r="Q6761">
            <v>0.19</v>
          </cell>
          <cell r="T6761">
            <v>372.36</v>
          </cell>
        </row>
        <row r="6762">
          <cell r="G6762">
            <v>42675</v>
          </cell>
          <cell r="L6762" t="str">
            <v>06-18-006-12W2</v>
          </cell>
          <cell r="O6762">
            <v>890.2</v>
          </cell>
          <cell r="Q6762">
            <v>2.58</v>
          </cell>
          <cell r="T6762">
            <v>369.50599999999997</v>
          </cell>
        </row>
        <row r="6763">
          <cell r="G6763">
            <v>42675</v>
          </cell>
          <cell r="L6763" t="str">
            <v>15-29-007-13W2</v>
          </cell>
          <cell r="O6763">
            <v>843.8</v>
          </cell>
          <cell r="Q6763">
            <v>1.85</v>
          </cell>
          <cell r="T6763">
            <v>292.68</v>
          </cell>
        </row>
        <row r="6764">
          <cell r="G6764">
            <v>42675</v>
          </cell>
          <cell r="L6764" t="str">
            <v>04-16-004-21W2</v>
          </cell>
          <cell r="O6764">
            <v>817.8</v>
          </cell>
          <cell r="Q6764">
            <v>0.21</v>
          </cell>
          <cell r="T6764">
            <v>276.94400000000002</v>
          </cell>
        </row>
        <row r="6765">
          <cell r="G6765">
            <v>42675</v>
          </cell>
          <cell r="L6765" t="str">
            <v>01-10-008-15W2</v>
          </cell>
          <cell r="O6765">
            <v>862.2</v>
          </cell>
          <cell r="Q6765">
            <v>2.21</v>
          </cell>
          <cell r="T6765">
            <v>265.346</v>
          </cell>
        </row>
        <row r="6766">
          <cell r="G6766">
            <v>42675</v>
          </cell>
          <cell r="L6766" t="str">
            <v>04-35-004-09W2</v>
          </cell>
          <cell r="O6766">
            <v>890.6</v>
          </cell>
          <cell r="Q6766">
            <v>1.92</v>
          </cell>
          <cell r="T6766">
            <v>253.15700000000001</v>
          </cell>
        </row>
        <row r="6767">
          <cell r="G6767">
            <v>42675</v>
          </cell>
          <cell r="L6767" t="str">
            <v>09-11-007-14W2</v>
          </cell>
          <cell r="O6767">
            <v>846.6</v>
          </cell>
          <cell r="Q6767">
            <v>1.55</v>
          </cell>
          <cell r="T6767">
            <v>235.273</v>
          </cell>
        </row>
        <row r="6768">
          <cell r="G6768">
            <v>42675</v>
          </cell>
          <cell r="L6768" t="str">
            <v>14-25-003-09W2</v>
          </cell>
          <cell r="O6768">
            <v>857</v>
          </cell>
          <cell r="Q6768">
            <v>0.8</v>
          </cell>
          <cell r="T6768">
            <v>233.77500000000001</v>
          </cell>
        </row>
        <row r="6769">
          <cell r="G6769">
            <v>42675</v>
          </cell>
          <cell r="L6769" t="str">
            <v>04-13-004-10W2</v>
          </cell>
          <cell r="O6769">
            <v>885.2</v>
          </cell>
          <cell r="Q6769">
            <v>2.04</v>
          </cell>
          <cell r="T6769">
            <v>232.762</v>
          </cell>
        </row>
        <row r="6770">
          <cell r="G6770">
            <v>42675</v>
          </cell>
          <cell r="L6770" t="str">
            <v>07-31-006-09W2</v>
          </cell>
          <cell r="O6770">
            <v>871.7</v>
          </cell>
          <cell r="Q6770">
            <v>1.46</v>
          </cell>
          <cell r="T6770">
            <v>223.46199999999999</v>
          </cell>
        </row>
        <row r="6771">
          <cell r="G6771">
            <v>42675</v>
          </cell>
          <cell r="L6771" t="str">
            <v>02-13-004-12W2</v>
          </cell>
          <cell r="O6771">
            <v>882.8</v>
          </cell>
          <cell r="Q6771">
            <v>1.99</v>
          </cell>
          <cell r="T6771">
            <v>217.083</v>
          </cell>
        </row>
        <row r="6772">
          <cell r="G6772">
            <v>42675</v>
          </cell>
          <cell r="L6772" t="str">
            <v>14-20-004-10W2</v>
          </cell>
          <cell r="O6772">
            <v>890.3</v>
          </cell>
          <cell r="Q6772">
            <v>2.14</v>
          </cell>
          <cell r="T6772">
            <v>196.41499999999999</v>
          </cell>
        </row>
        <row r="6773">
          <cell r="G6773">
            <v>42675</v>
          </cell>
          <cell r="L6773" t="str">
            <v>03-08-001-11W2</v>
          </cell>
          <cell r="O6773">
            <v>814.5</v>
          </cell>
          <cell r="Q6773">
            <v>0.32</v>
          </cell>
          <cell r="T6773">
            <v>168.93799999999999</v>
          </cell>
        </row>
        <row r="6774">
          <cell r="G6774">
            <v>42675</v>
          </cell>
          <cell r="L6774" t="str">
            <v>16-29-006-12W2</v>
          </cell>
          <cell r="O6774">
            <v>895</v>
          </cell>
          <cell r="Q6774">
            <v>1.56</v>
          </cell>
          <cell r="T6774">
            <v>159.04499999999999</v>
          </cell>
        </row>
        <row r="6775">
          <cell r="G6775">
            <v>42675</v>
          </cell>
          <cell r="L6775" t="str">
            <v>16-06-005-12W2</v>
          </cell>
          <cell r="O6775">
            <v>876.1</v>
          </cell>
          <cell r="Q6775">
            <v>2</v>
          </cell>
          <cell r="T6775">
            <v>155.16200000000001</v>
          </cell>
        </row>
        <row r="6776">
          <cell r="G6776">
            <v>42675</v>
          </cell>
          <cell r="L6776" t="str">
            <v>12-31-001-17W2</v>
          </cell>
          <cell r="O6776">
            <v>844.9</v>
          </cell>
          <cell r="Q6776">
            <v>0.14000000000000001</v>
          </cell>
          <cell r="T6776">
            <v>146.584</v>
          </cell>
        </row>
        <row r="6777">
          <cell r="G6777">
            <v>42675</v>
          </cell>
          <cell r="L6777" t="str">
            <v>01-36-006-12W2</v>
          </cell>
          <cell r="O6777">
            <v>891.6</v>
          </cell>
          <cell r="Q6777">
            <v>2.63</v>
          </cell>
          <cell r="T6777">
            <v>140.04400000000001</v>
          </cell>
        </row>
        <row r="6778">
          <cell r="G6778">
            <v>42675</v>
          </cell>
          <cell r="L6778" t="str">
            <v>09-06-010-15W2</v>
          </cell>
          <cell r="O6778">
            <v>855.8</v>
          </cell>
          <cell r="Q6778">
            <v>0.13</v>
          </cell>
          <cell r="T6778">
            <v>137.80500000000001</v>
          </cell>
        </row>
        <row r="6779">
          <cell r="G6779">
            <v>42675</v>
          </cell>
          <cell r="L6779" t="str">
            <v>07-02-007-12W2</v>
          </cell>
          <cell r="O6779">
            <v>853.5</v>
          </cell>
          <cell r="Q6779">
            <v>1.83</v>
          </cell>
          <cell r="T6779">
            <v>134.63900000000001</v>
          </cell>
        </row>
        <row r="6780">
          <cell r="G6780">
            <v>42675</v>
          </cell>
          <cell r="L6780" t="str">
            <v>12-27-006-13W2</v>
          </cell>
          <cell r="O6780">
            <v>862.2</v>
          </cell>
          <cell r="Q6780">
            <v>0.18</v>
          </cell>
          <cell r="T6780">
            <v>134.45099999999999</v>
          </cell>
        </row>
        <row r="6781">
          <cell r="G6781">
            <v>42675</v>
          </cell>
          <cell r="L6781" t="str">
            <v>03-27-011-08W2</v>
          </cell>
          <cell r="O6781">
            <v>900.5</v>
          </cell>
          <cell r="Q6781">
            <v>2.62</v>
          </cell>
          <cell r="T6781">
            <v>130.11000000000001</v>
          </cell>
        </row>
        <row r="6782">
          <cell r="G6782">
            <v>42675</v>
          </cell>
          <cell r="L6782" t="str">
            <v>05-31-006-13W2</v>
          </cell>
          <cell r="O6782">
            <v>802.6</v>
          </cell>
          <cell r="Q6782">
            <v>0.19</v>
          </cell>
          <cell r="T6782">
            <v>129.505</v>
          </cell>
        </row>
        <row r="6783">
          <cell r="G6783">
            <v>42675</v>
          </cell>
          <cell r="L6783" t="str">
            <v>13-06-007-09W2</v>
          </cell>
          <cell r="O6783">
            <v>812.2</v>
          </cell>
          <cell r="Q6783">
            <v>0.28999999999999998</v>
          </cell>
          <cell r="T6783">
            <v>125.414</v>
          </cell>
        </row>
        <row r="6784">
          <cell r="G6784">
            <v>42675</v>
          </cell>
          <cell r="L6784" t="str">
            <v>01-06-004-11W2</v>
          </cell>
          <cell r="O6784">
            <v>882.9</v>
          </cell>
          <cell r="Q6784">
            <v>1.95</v>
          </cell>
          <cell r="T6784">
            <v>106.745</v>
          </cell>
        </row>
        <row r="6785">
          <cell r="G6785">
            <v>42675</v>
          </cell>
          <cell r="L6785" t="str">
            <v>09-22-006-12W2</v>
          </cell>
          <cell r="O6785">
            <v>876.1</v>
          </cell>
          <cell r="Q6785">
            <v>2.34</v>
          </cell>
          <cell r="T6785">
            <v>101.634</v>
          </cell>
        </row>
        <row r="6786">
          <cell r="G6786">
            <v>42675</v>
          </cell>
          <cell r="L6786" t="str">
            <v>09-32-006-15W2</v>
          </cell>
          <cell r="O6786">
            <v>890.2</v>
          </cell>
          <cell r="Q6786">
            <v>2.8</v>
          </cell>
          <cell r="T6786">
            <v>82.983000000000004</v>
          </cell>
        </row>
        <row r="6787">
          <cell r="G6787">
            <v>42675</v>
          </cell>
          <cell r="L6787" t="str">
            <v>01-13-007-10W2</v>
          </cell>
          <cell r="O6787">
            <v>819.6</v>
          </cell>
          <cell r="Q6787">
            <v>0.37</v>
          </cell>
          <cell r="T6787">
            <v>75.125</v>
          </cell>
        </row>
        <row r="6788">
          <cell r="G6788">
            <v>42675</v>
          </cell>
          <cell r="L6788" t="str">
            <v>07-24-006-10W2</v>
          </cell>
          <cell r="O6788">
            <v>881.7</v>
          </cell>
          <cell r="Q6788">
            <v>2.44</v>
          </cell>
          <cell r="T6788">
            <v>67.024000000000001</v>
          </cell>
        </row>
        <row r="6789">
          <cell r="G6789">
            <v>42675</v>
          </cell>
          <cell r="L6789" t="str">
            <v>12-28-006-07W2</v>
          </cell>
          <cell r="O6789">
            <v>908.7</v>
          </cell>
          <cell r="Q6789">
            <v>2.52</v>
          </cell>
          <cell r="T6789">
            <v>65.55</v>
          </cell>
        </row>
        <row r="6790">
          <cell r="G6790">
            <v>42675</v>
          </cell>
          <cell r="L6790" t="str">
            <v>02-22-009-09W2</v>
          </cell>
          <cell r="O6790">
            <v>880</v>
          </cell>
          <cell r="Q6790">
            <v>2.46</v>
          </cell>
          <cell r="T6790">
            <v>65.411000000000001</v>
          </cell>
        </row>
        <row r="6791">
          <cell r="G6791">
            <v>42675</v>
          </cell>
          <cell r="L6791" t="str">
            <v>08-34-006-12W2</v>
          </cell>
          <cell r="O6791">
            <v>881.8</v>
          </cell>
          <cell r="Q6791">
            <v>1.89</v>
          </cell>
          <cell r="T6791">
            <v>65.251000000000005</v>
          </cell>
        </row>
        <row r="6792">
          <cell r="G6792">
            <v>42675</v>
          </cell>
          <cell r="L6792" t="str">
            <v>04-23-012-06W2</v>
          </cell>
          <cell r="O6792">
            <v>895.4</v>
          </cell>
          <cell r="Q6792">
            <v>2.52</v>
          </cell>
          <cell r="T6792">
            <v>64.784999999999997</v>
          </cell>
        </row>
        <row r="6793">
          <cell r="G6793">
            <v>42675</v>
          </cell>
          <cell r="L6793" t="str">
            <v>10-11-005-14W2</v>
          </cell>
          <cell r="O6793">
            <v>902.7</v>
          </cell>
          <cell r="Q6793">
            <v>2.86</v>
          </cell>
          <cell r="T6793">
            <v>63.98</v>
          </cell>
        </row>
        <row r="6794">
          <cell r="G6794">
            <v>42675</v>
          </cell>
          <cell r="L6794" t="str">
            <v>07-10-001-20W2</v>
          </cell>
          <cell r="O6794">
            <v>877.2</v>
          </cell>
          <cell r="Q6794">
            <v>1.72</v>
          </cell>
          <cell r="T6794">
            <v>63.96</v>
          </cell>
        </row>
        <row r="6795">
          <cell r="G6795">
            <v>42675</v>
          </cell>
          <cell r="L6795" t="str">
            <v>01-23-005-12W2</v>
          </cell>
          <cell r="O6795">
            <v>883.8</v>
          </cell>
          <cell r="Q6795">
            <v>2.0499999999999998</v>
          </cell>
          <cell r="T6795">
            <v>63.661000000000001</v>
          </cell>
        </row>
        <row r="6796">
          <cell r="G6796">
            <v>42675</v>
          </cell>
          <cell r="L6796" t="str">
            <v>01-22-005-07W2</v>
          </cell>
          <cell r="O6796">
            <v>869.6</v>
          </cell>
          <cell r="Q6796">
            <v>2.5499999999999998</v>
          </cell>
          <cell r="T6796">
            <v>63.594000000000001</v>
          </cell>
        </row>
        <row r="6797">
          <cell r="G6797">
            <v>42675</v>
          </cell>
          <cell r="L6797" t="str">
            <v>03-15-005-13W2</v>
          </cell>
          <cell r="O6797">
            <v>905.5</v>
          </cell>
          <cell r="Q6797">
            <v>2.85</v>
          </cell>
          <cell r="T6797">
            <v>62.899000000000001</v>
          </cell>
        </row>
        <row r="6798">
          <cell r="G6798">
            <v>42675</v>
          </cell>
          <cell r="L6798" t="str">
            <v>03-34-001-11W2</v>
          </cell>
          <cell r="O6798">
            <v>819.9</v>
          </cell>
          <cell r="Q6798">
            <v>0.17</v>
          </cell>
          <cell r="T6798">
            <v>62.79</v>
          </cell>
        </row>
        <row r="6799">
          <cell r="G6799">
            <v>42675</v>
          </cell>
          <cell r="L6799" t="str">
            <v>09-12-007-09W2</v>
          </cell>
          <cell r="O6799">
            <v>812.1</v>
          </cell>
          <cell r="Q6799">
            <v>0.15</v>
          </cell>
          <cell r="T6799">
            <v>58.658999999999999</v>
          </cell>
        </row>
        <row r="6800">
          <cell r="G6800">
            <v>42675</v>
          </cell>
          <cell r="L6800" t="str">
            <v>15-19-005-13W2</v>
          </cell>
          <cell r="O6800">
            <v>895.4</v>
          </cell>
          <cell r="Q6800">
            <v>2.72</v>
          </cell>
          <cell r="T6800">
            <v>36.067999999999998</v>
          </cell>
        </row>
        <row r="6801">
          <cell r="G6801">
            <v>42675</v>
          </cell>
          <cell r="L6801" t="str">
            <v>03-07-007-11W2</v>
          </cell>
          <cell r="O6801">
            <v>840.2</v>
          </cell>
          <cell r="Q6801">
            <v>0.16</v>
          </cell>
          <cell r="T6801">
            <v>34.722000000000001</v>
          </cell>
        </row>
        <row r="6802">
          <cell r="G6802">
            <v>42675</v>
          </cell>
          <cell r="L6802" t="str">
            <v>03-04-001-11W2</v>
          </cell>
          <cell r="O6802">
            <v>821.9</v>
          </cell>
          <cell r="Q6802">
            <v>0.17</v>
          </cell>
          <cell r="T6802">
            <v>33.749000000000002</v>
          </cell>
        </row>
        <row r="6803">
          <cell r="G6803">
            <v>42675</v>
          </cell>
          <cell r="L6803" t="str">
            <v>01-27-164-97W1</v>
          </cell>
          <cell r="O6803">
            <v>883.4</v>
          </cell>
          <cell r="Q6803">
            <v>0.75</v>
          </cell>
          <cell r="T6803">
            <v>30.277999999999999</v>
          </cell>
        </row>
        <row r="6804">
          <cell r="G6804">
            <v>42675</v>
          </cell>
          <cell r="L6804" t="str">
            <v>04-18-007-09W2</v>
          </cell>
          <cell r="O6804">
            <v>813.2</v>
          </cell>
          <cell r="Q6804">
            <v>0.19</v>
          </cell>
          <cell r="T6804">
            <v>28.295999999999999</v>
          </cell>
        </row>
        <row r="6805">
          <cell r="G6805">
            <v>42675</v>
          </cell>
          <cell r="L6805" t="str">
            <v>14-18-163-95W1</v>
          </cell>
          <cell r="O6805">
            <v>844.9</v>
          </cell>
          <cell r="Q6805">
            <v>1.1200000000000001</v>
          </cell>
          <cell r="T6805">
            <v>27.93</v>
          </cell>
        </row>
        <row r="6806">
          <cell r="G6806">
            <v>42675</v>
          </cell>
          <cell r="L6806" t="str">
            <v>10-05-007-10W2</v>
          </cell>
          <cell r="O6806">
            <v>856.6</v>
          </cell>
          <cell r="Q6806">
            <v>1.78</v>
          </cell>
          <cell r="T6806">
            <v>25.893000000000001</v>
          </cell>
        </row>
        <row r="6807">
          <cell r="G6807">
            <v>42675</v>
          </cell>
          <cell r="L6807" t="str">
            <v>05-31-003-16W2</v>
          </cell>
          <cell r="O6807">
            <v>889.8</v>
          </cell>
          <cell r="Q6807">
            <v>2.42</v>
          </cell>
          <cell r="T6807">
            <v>3670.0610000000001</v>
          </cell>
        </row>
        <row r="6808">
          <cell r="G6808">
            <v>42675</v>
          </cell>
          <cell r="L6808" t="str">
            <v>11-25-005-12W2</v>
          </cell>
          <cell r="O6808">
            <v>874.6</v>
          </cell>
          <cell r="Q6808">
            <v>2.02</v>
          </cell>
          <cell r="T6808">
            <v>2283.989</v>
          </cell>
        </row>
        <row r="6809">
          <cell r="G6809">
            <v>42675</v>
          </cell>
          <cell r="L6809" t="str">
            <v>16-18-003-15W2</v>
          </cell>
          <cell r="O6809">
            <v>884.4</v>
          </cell>
          <cell r="Q6809">
            <v>2.4500000000000002</v>
          </cell>
          <cell r="T6809">
            <v>1076.7619999999999</v>
          </cell>
        </row>
        <row r="6810">
          <cell r="G6810">
            <v>42675</v>
          </cell>
          <cell r="L6810" t="str">
            <v>14-21-001-12W2</v>
          </cell>
          <cell r="O6810">
            <v>810.4</v>
          </cell>
          <cell r="Q6810">
            <v>0.22</v>
          </cell>
          <cell r="T6810">
            <v>519.78</v>
          </cell>
        </row>
        <row r="6811">
          <cell r="G6811">
            <v>42675</v>
          </cell>
          <cell r="L6811" t="str">
            <v>16-22-001-12W2</v>
          </cell>
          <cell r="O6811">
            <v>816.1</v>
          </cell>
          <cell r="Q6811">
            <v>0.17</v>
          </cell>
          <cell r="T6811">
            <v>427.54500000000002</v>
          </cell>
        </row>
        <row r="6812">
          <cell r="G6812">
            <v>42675</v>
          </cell>
          <cell r="L6812" t="str">
            <v>11-31-006-08W2</v>
          </cell>
          <cell r="O6812">
            <v>889</v>
          </cell>
          <cell r="Q6812">
            <v>2.5</v>
          </cell>
          <cell r="T6812">
            <v>349.97300000000001</v>
          </cell>
        </row>
        <row r="6813">
          <cell r="G6813">
            <v>42675</v>
          </cell>
          <cell r="L6813" t="str">
            <v>05-23-005-13W2</v>
          </cell>
          <cell r="O6813">
            <v>907.5</v>
          </cell>
          <cell r="Q6813">
            <v>2.75</v>
          </cell>
          <cell r="T6813">
            <v>323.15800000000002</v>
          </cell>
        </row>
        <row r="6814">
          <cell r="G6814">
            <v>42675</v>
          </cell>
          <cell r="L6814" t="str">
            <v>06-20-006-09W2</v>
          </cell>
          <cell r="O6814">
            <v>881.1</v>
          </cell>
          <cell r="Q6814">
            <v>2.19</v>
          </cell>
          <cell r="T6814">
            <v>265.11599999999999</v>
          </cell>
        </row>
        <row r="6815">
          <cell r="G6815">
            <v>42675</v>
          </cell>
          <cell r="L6815" t="str">
            <v>12-30-005-07W2</v>
          </cell>
          <cell r="O6815">
            <v>894.6</v>
          </cell>
          <cell r="Q6815">
            <v>2.5299999999999998</v>
          </cell>
          <cell r="T6815">
            <v>241.82400000000001</v>
          </cell>
        </row>
        <row r="6816">
          <cell r="G6816">
            <v>42675</v>
          </cell>
          <cell r="L6816" t="str">
            <v>13-24-001-16W2</v>
          </cell>
          <cell r="O6816">
            <v>813.1</v>
          </cell>
          <cell r="Q6816">
            <v>0.42</v>
          </cell>
          <cell r="T6816">
            <v>201.43799999999999</v>
          </cell>
        </row>
        <row r="6817">
          <cell r="G6817">
            <v>42675</v>
          </cell>
          <cell r="L6817" t="str">
            <v>13-22-001-12W2</v>
          </cell>
          <cell r="O6817">
            <v>807.2</v>
          </cell>
          <cell r="Q6817">
            <v>0.23</v>
          </cell>
          <cell r="T6817">
            <v>130.232</v>
          </cell>
        </row>
        <row r="6818">
          <cell r="G6818">
            <v>42675</v>
          </cell>
          <cell r="L6818" t="str">
            <v>14-27-001-12W2</v>
          </cell>
          <cell r="O6818">
            <v>814.9</v>
          </cell>
          <cell r="Q6818">
            <v>0.25</v>
          </cell>
          <cell r="T6818">
            <v>123.68600000000001</v>
          </cell>
        </row>
        <row r="6819">
          <cell r="G6819">
            <v>42675</v>
          </cell>
          <cell r="L6819" t="str">
            <v>13-29-001-15W2</v>
          </cell>
          <cell r="O6819">
            <v>798.6</v>
          </cell>
          <cell r="Q6819">
            <v>0.45</v>
          </cell>
          <cell r="T6819">
            <v>83.44</v>
          </cell>
        </row>
        <row r="6820">
          <cell r="G6820">
            <v>42675</v>
          </cell>
          <cell r="L6820" t="str">
            <v>15-06-006-21W2</v>
          </cell>
          <cell r="O6820">
            <v>826.8</v>
          </cell>
          <cell r="Q6820">
            <v>0.19</v>
          </cell>
          <cell r="T6820">
            <v>62.012</v>
          </cell>
        </row>
        <row r="6821">
          <cell r="G6821">
            <v>42675</v>
          </cell>
          <cell r="L6821" t="str">
            <v>16-34-001-15W2</v>
          </cell>
          <cell r="O6821">
            <v>801.7</v>
          </cell>
          <cell r="Q6821">
            <v>0.22</v>
          </cell>
          <cell r="T6821">
            <v>56.725000000000001</v>
          </cell>
        </row>
        <row r="6822">
          <cell r="G6822">
            <v>42675</v>
          </cell>
          <cell r="L6822" t="str">
            <v>13-34-001-13W2</v>
          </cell>
          <cell r="O6822">
            <v>815.1</v>
          </cell>
          <cell r="Q6822">
            <v>0.2</v>
          </cell>
          <cell r="T6822">
            <v>31.736000000000001</v>
          </cell>
        </row>
        <row r="6823">
          <cell r="G6823">
            <v>42675</v>
          </cell>
          <cell r="L6823" t="str">
            <v>16-25-001-15W2</v>
          </cell>
          <cell r="O6823">
            <v>820.6</v>
          </cell>
          <cell r="Q6823">
            <v>0.32</v>
          </cell>
          <cell r="T6823">
            <v>27.334</v>
          </cell>
        </row>
        <row r="6824">
          <cell r="G6824">
            <v>42675</v>
          </cell>
          <cell r="L6824" t="str">
            <v>09-34-005-15W2</v>
          </cell>
          <cell r="O6824">
            <v>884.2</v>
          </cell>
          <cell r="Q6824">
            <v>2.57</v>
          </cell>
          <cell r="T6824">
            <v>1361.232</v>
          </cell>
        </row>
        <row r="6825">
          <cell r="G6825">
            <v>42675</v>
          </cell>
          <cell r="L6825" t="str">
            <v>04-24-005-15W2</v>
          </cell>
          <cell r="O6825">
            <v>890.7</v>
          </cell>
          <cell r="Q6825">
            <v>2.71</v>
          </cell>
          <cell r="T6825">
            <v>1349.5150000000001</v>
          </cell>
        </row>
        <row r="6826">
          <cell r="G6826">
            <v>42675</v>
          </cell>
          <cell r="L6826" t="str">
            <v>15-29-005-15W2</v>
          </cell>
          <cell r="O6826">
            <v>885.2</v>
          </cell>
          <cell r="Q6826">
            <v>2.86</v>
          </cell>
          <cell r="T6826">
            <v>1224.2049999999999</v>
          </cell>
        </row>
        <row r="6827">
          <cell r="G6827">
            <v>42675</v>
          </cell>
          <cell r="L6827" t="str">
            <v>06-17-006-14W2</v>
          </cell>
          <cell r="O6827">
            <v>876.3</v>
          </cell>
          <cell r="Q6827">
            <v>2.1800000000000002</v>
          </cell>
          <cell r="T6827">
            <v>4056.4059999999999</v>
          </cell>
        </row>
        <row r="6828">
          <cell r="G6828">
            <v>42675</v>
          </cell>
          <cell r="L6828" t="str">
            <v>10-11-005-14W2</v>
          </cell>
          <cell r="O6828">
            <v>899.5</v>
          </cell>
          <cell r="Q6828">
            <v>2.86</v>
          </cell>
          <cell r="T6828">
            <v>348.41500000000002</v>
          </cell>
        </row>
        <row r="6829">
          <cell r="G6829">
            <v>42675</v>
          </cell>
          <cell r="L6829" t="str">
            <v>03-15-005-13W2</v>
          </cell>
          <cell r="O6829">
            <v>898</v>
          </cell>
          <cell r="Q6829">
            <v>2.85</v>
          </cell>
          <cell r="T6829">
            <v>292.17899999999997</v>
          </cell>
        </row>
        <row r="6830">
          <cell r="G6830">
            <v>42675</v>
          </cell>
          <cell r="L6830" t="str">
            <v>15-19-005-13W2</v>
          </cell>
          <cell r="O6830">
            <v>894.6</v>
          </cell>
          <cell r="Q6830">
            <v>2.72</v>
          </cell>
          <cell r="T6830">
            <v>198.67099999999999</v>
          </cell>
        </row>
        <row r="6831">
          <cell r="G6831">
            <v>42675</v>
          </cell>
          <cell r="L6831" t="str">
            <v>12-13-006-13W2</v>
          </cell>
          <cell r="O6831">
            <v>870.8</v>
          </cell>
          <cell r="Q6831">
            <v>2.5299999999999998</v>
          </cell>
          <cell r="T6831">
            <v>184.08699999999999</v>
          </cell>
        </row>
        <row r="6832">
          <cell r="G6832">
            <v>42675</v>
          </cell>
          <cell r="L6832" t="str">
            <v>06-17-006-14W2</v>
          </cell>
          <cell r="O6832">
            <v>864.5</v>
          </cell>
          <cell r="Q6832">
            <v>2.1800000000000002</v>
          </cell>
          <cell r="T6832">
            <v>127.405</v>
          </cell>
        </row>
        <row r="6833">
          <cell r="G6833">
            <v>42675</v>
          </cell>
          <cell r="L6833" t="str">
            <v>08-23-005-14W2</v>
          </cell>
          <cell r="O6833">
            <v>904.3</v>
          </cell>
          <cell r="Q6833">
            <v>2.39</v>
          </cell>
          <cell r="T6833">
            <v>34.006999999999998</v>
          </cell>
        </row>
        <row r="6834">
          <cell r="G6834">
            <v>42675</v>
          </cell>
          <cell r="L6834" t="str">
            <v>11-12-006-15W2</v>
          </cell>
          <cell r="O6834">
            <v>872</v>
          </cell>
          <cell r="Q6834">
            <v>2.27</v>
          </cell>
          <cell r="T6834">
            <v>7337.21</v>
          </cell>
        </row>
        <row r="6835">
          <cell r="G6835">
            <v>42675</v>
          </cell>
          <cell r="L6835" t="str">
            <v>07-24-006-15W2</v>
          </cell>
          <cell r="O6835">
            <v>871.6</v>
          </cell>
          <cell r="Q6835">
            <v>1.18</v>
          </cell>
          <cell r="T6835">
            <v>1255.348</v>
          </cell>
        </row>
        <row r="6836">
          <cell r="G6836">
            <v>42675</v>
          </cell>
          <cell r="L6836" t="str">
            <v>07-07-006-15W2</v>
          </cell>
          <cell r="O6836">
            <v>873.1</v>
          </cell>
          <cell r="Q6836">
            <v>2.81</v>
          </cell>
          <cell r="T6836">
            <v>5829.4459999999999</v>
          </cell>
        </row>
        <row r="6837">
          <cell r="G6837">
            <v>42675</v>
          </cell>
          <cell r="L6837" t="str">
            <v>12-30-006-15W2</v>
          </cell>
          <cell r="O6837">
            <v>875.1</v>
          </cell>
          <cell r="Q6837">
            <v>2.99</v>
          </cell>
          <cell r="T6837">
            <v>4297.99</v>
          </cell>
        </row>
        <row r="6838">
          <cell r="G6838">
            <v>42675</v>
          </cell>
          <cell r="L6838" t="str">
            <v>11-25-005-06W2</v>
          </cell>
          <cell r="O6838">
            <v>846.3</v>
          </cell>
          <cell r="Q6838">
            <v>1.1200000000000001</v>
          </cell>
          <cell r="T6838">
            <v>3500.069</v>
          </cell>
        </row>
        <row r="6839">
          <cell r="G6839">
            <v>42675</v>
          </cell>
          <cell r="L6839" t="str">
            <v>12-11-001-10W2</v>
          </cell>
          <cell r="O6839">
            <v>818.6</v>
          </cell>
          <cell r="Q6839">
            <v>0.17</v>
          </cell>
          <cell r="T6839">
            <v>2873.3519999999999</v>
          </cell>
        </row>
        <row r="6840">
          <cell r="G6840">
            <v>42675</v>
          </cell>
          <cell r="L6840" t="str">
            <v>12-32-006-04W2</v>
          </cell>
          <cell r="O6840">
            <v>860.7</v>
          </cell>
          <cell r="Q6840">
            <v>1.82</v>
          </cell>
          <cell r="T6840">
            <v>2536.0210000000002</v>
          </cell>
        </row>
        <row r="6841">
          <cell r="G6841">
            <v>42675</v>
          </cell>
          <cell r="L6841" t="str">
            <v>03-16-001-11W2</v>
          </cell>
          <cell r="O6841">
            <v>821.8</v>
          </cell>
          <cell r="Q6841">
            <v>0.16</v>
          </cell>
          <cell r="T6841">
            <v>1798.01</v>
          </cell>
        </row>
        <row r="6842">
          <cell r="G6842">
            <v>42675</v>
          </cell>
          <cell r="L6842" t="str">
            <v>31-30-164-92W1</v>
          </cell>
          <cell r="O6842">
            <v>831.1</v>
          </cell>
          <cell r="Q6842">
            <v>0.52</v>
          </cell>
          <cell r="T6842">
            <v>1183.4849999999999</v>
          </cell>
        </row>
        <row r="6843">
          <cell r="G6843">
            <v>42675</v>
          </cell>
          <cell r="L6843" t="str">
            <v>16-19-002-04W2</v>
          </cell>
          <cell r="O6843">
            <v>840.1</v>
          </cell>
          <cell r="Q6843">
            <v>0.53</v>
          </cell>
          <cell r="T6843">
            <v>1134.2460000000001</v>
          </cell>
        </row>
        <row r="6844">
          <cell r="G6844">
            <v>42675</v>
          </cell>
          <cell r="L6844" t="str">
            <v>02-31-145-98W1</v>
          </cell>
          <cell r="O6844">
            <v>819.6</v>
          </cell>
          <cell r="Q6844">
            <v>0.41</v>
          </cell>
          <cell r="T6844">
            <v>864.54899999999998</v>
          </cell>
        </row>
        <row r="6845">
          <cell r="G6845">
            <v>42675</v>
          </cell>
          <cell r="L6845" t="str">
            <v>03-10-145-98W1</v>
          </cell>
          <cell r="O6845">
            <v>830.3</v>
          </cell>
          <cell r="Q6845">
            <v>0.41</v>
          </cell>
          <cell r="T6845">
            <v>700.44299999999998</v>
          </cell>
        </row>
        <row r="6846">
          <cell r="G6846">
            <v>42675</v>
          </cell>
          <cell r="L6846" t="str">
            <v>07-04-005-04W2</v>
          </cell>
          <cell r="O6846">
            <v>841.8</v>
          </cell>
          <cell r="Q6846">
            <v>0.89</v>
          </cell>
          <cell r="T6846">
            <v>514.12099999999998</v>
          </cell>
        </row>
        <row r="6847">
          <cell r="G6847">
            <v>42675</v>
          </cell>
          <cell r="L6847" t="str">
            <v>02-05-163-92W1</v>
          </cell>
          <cell r="O6847">
            <v>835.8</v>
          </cell>
          <cell r="Q6847">
            <v>0.54</v>
          </cell>
          <cell r="T6847">
            <v>507.85700000000003</v>
          </cell>
        </row>
        <row r="6848">
          <cell r="G6848">
            <v>42675</v>
          </cell>
          <cell r="L6848" t="str">
            <v>09-20-006-04W2</v>
          </cell>
          <cell r="O6848">
            <v>852.6</v>
          </cell>
          <cell r="Q6848">
            <v>1.36</v>
          </cell>
          <cell r="T6848">
            <v>453.42899999999997</v>
          </cell>
        </row>
        <row r="6849">
          <cell r="G6849">
            <v>42675</v>
          </cell>
          <cell r="L6849" t="str">
            <v>02-34-143-100W1</v>
          </cell>
          <cell r="O6849">
            <v>828.3</v>
          </cell>
          <cell r="Q6849">
            <v>0.38</v>
          </cell>
          <cell r="T6849">
            <v>404.49200000000002</v>
          </cell>
        </row>
        <row r="6850">
          <cell r="G6850">
            <v>42675</v>
          </cell>
          <cell r="L6850" t="str">
            <v>01-19-145-98W1</v>
          </cell>
          <cell r="O6850">
            <v>816.7</v>
          </cell>
          <cell r="Q6850">
            <v>0.38</v>
          </cell>
          <cell r="T6850">
            <v>391.57499999999999</v>
          </cell>
        </row>
        <row r="6851">
          <cell r="G6851">
            <v>42675</v>
          </cell>
          <cell r="L6851" t="str">
            <v>04-06-005-05W2</v>
          </cell>
          <cell r="O6851">
            <v>841.1</v>
          </cell>
          <cell r="Q6851">
            <v>0.91</v>
          </cell>
          <cell r="T6851">
            <v>289.78500000000003</v>
          </cell>
        </row>
        <row r="6852">
          <cell r="G6852">
            <v>42675</v>
          </cell>
          <cell r="L6852" t="str">
            <v>09-19-004-04W2</v>
          </cell>
          <cell r="O6852">
            <v>850.1</v>
          </cell>
          <cell r="Q6852">
            <v>1.19</v>
          </cell>
          <cell r="T6852">
            <v>225.154</v>
          </cell>
        </row>
        <row r="6853">
          <cell r="G6853">
            <v>42675</v>
          </cell>
          <cell r="L6853" t="str">
            <v>05-25-147-98W1</v>
          </cell>
          <cell r="O6853">
            <v>815.5</v>
          </cell>
          <cell r="Q6853">
            <v>0.56000000000000005</v>
          </cell>
          <cell r="T6853">
            <v>219.61799999999999</v>
          </cell>
        </row>
        <row r="6854">
          <cell r="G6854">
            <v>42675</v>
          </cell>
          <cell r="L6854" t="str">
            <v>01-28-142-100W1</v>
          </cell>
          <cell r="O6854">
            <v>824.5</v>
          </cell>
          <cell r="Q6854">
            <v>0.4</v>
          </cell>
          <cell r="T6854">
            <v>192.595</v>
          </cell>
        </row>
        <row r="6855">
          <cell r="G6855">
            <v>42675</v>
          </cell>
          <cell r="L6855" t="str">
            <v>01-02-021-58W1</v>
          </cell>
          <cell r="O6855">
            <v>830.1</v>
          </cell>
          <cell r="Q6855">
            <v>0.7</v>
          </cell>
          <cell r="T6855">
            <v>189.7</v>
          </cell>
        </row>
        <row r="6856">
          <cell r="G6856">
            <v>42675</v>
          </cell>
          <cell r="L6856" t="str">
            <v>01-03-163-92W1</v>
          </cell>
          <cell r="O6856">
            <v>811</v>
          </cell>
          <cell r="Q6856">
            <v>0.46</v>
          </cell>
          <cell r="T6856">
            <v>187.946</v>
          </cell>
        </row>
        <row r="6857">
          <cell r="G6857">
            <v>42675</v>
          </cell>
          <cell r="L6857" t="str">
            <v>13-19-001-03W2</v>
          </cell>
          <cell r="O6857">
            <v>835.6</v>
          </cell>
          <cell r="Q6857">
            <v>0.62</v>
          </cell>
          <cell r="T6857">
            <v>186.86</v>
          </cell>
        </row>
        <row r="6858">
          <cell r="G6858">
            <v>42675</v>
          </cell>
          <cell r="L6858" t="str">
            <v>02-30-147-97W1</v>
          </cell>
          <cell r="O6858">
            <v>809.4</v>
          </cell>
          <cell r="Q6858">
            <v>0.46</v>
          </cell>
          <cell r="T6858">
            <v>186.05500000000001</v>
          </cell>
        </row>
        <row r="6859">
          <cell r="G6859">
            <v>42675</v>
          </cell>
          <cell r="L6859" t="str">
            <v>13-07-005-06W2</v>
          </cell>
          <cell r="O6859">
            <v>887.4</v>
          </cell>
          <cell r="Q6859">
            <v>1.05</v>
          </cell>
          <cell r="T6859">
            <v>147.43100000000001</v>
          </cell>
        </row>
        <row r="6860">
          <cell r="G6860">
            <v>42675</v>
          </cell>
          <cell r="L6860" t="str">
            <v>07-22-003-03W2</v>
          </cell>
          <cell r="O6860">
            <v>827.2</v>
          </cell>
          <cell r="Q6860">
            <v>0.59</v>
          </cell>
          <cell r="T6860">
            <v>139.49600000000001</v>
          </cell>
        </row>
        <row r="6861">
          <cell r="G6861">
            <v>42675</v>
          </cell>
          <cell r="L6861" t="str">
            <v>01-25-150-98W1</v>
          </cell>
          <cell r="O6861">
            <v>819.8</v>
          </cell>
          <cell r="Q6861">
            <v>0.05</v>
          </cell>
          <cell r="T6861">
            <v>135.35599999999999</v>
          </cell>
        </row>
        <row r="6862">
          <cell r="G6862">
            <v>42675</v>
          </cell>
          <cell r="L6862" t="str">
            <v>14-23-163-96W1</v>
          </cell>
          <cell r="O6862">
            <v>823.1</v>
          </cell>
          <cell r="Q6862">
            <v>0.15</v>
          </cell>
          <cell r="T6862">
            <v>135.023</v>
          </cell>
        </row>
        <row r="6863">
          <cell r="G6863">
            <v>42675</v>
          </cell>
          <cell r="L6863" t="str">
            <v>04-19-147-97W1</v>
          </cell>
          <cell r="O6863">
            <v>828.9</v>
          </cell>
          <cell r="Q6863">
            <v>0.52</v>
          </cell>
          <cell r="T6863">
            <v>131.916</v>
          </cell>
        </row>
        <row r="6864">
          <cell r="G6864">
            <v>42675</v>
          </cell>
          <cell r="L6864" t="str">
            <v>01-05-163-92W1</v>
          </cell>
          <cell r="O6864">
            <v>842.1</v>
          </cell>
          <cell r="Q6864">
            <v>0.53</v>
          </cell>
          <cell r="T6864">
            <v>130.49</v>
          </cell>
        </row>
        <row r="6865">
          <cell r="G6865">
            <v>42675</v>
          </cell>
          <cell r="L6865" t="str">
            <v>01-03-163-99W1</v>
          </cell>
          <cell r="O6865">
            <v>832.2</v>
          </cell>
          <cell r="Q6865">
            <v>0.16</v>
          </cell>
          <cell r="T6865">
            <v>127.732</v>
          </cell>
        </row>
        <row r="6866">
          <cell r="G6866">
            <v>42675</v>
          </cell>
          <cell r="L6866" t="str">
            <v>01-17-143-101W1</v>
          </cell>
          <cell r="O6866">
            <v>831.9</v>
          </cell>
          <cell r="Q6866">
            <v>0.51</v>
          </cell>
          <cell r="T6866">
            <v>127.624</v>
          </cell>
        </row>
        <row r="6867">
          <cell r="G6867">
            <v>42675</v>
          </cell>
          <cell r="L6867" t="str">
            <v>01-22-142-100W1</v>
          </cell>
          <cell r="O6867">
            <v>820.8</v>
          </cell>
          <cell r="Q6867">
            <v>0.31</v>
          </cell>
          <cell r="T6867">
            <v>126.91</v>
          </cell>
        </row>
        <row r="6868">
          <cell r="G6868">
            <v>42675</v>
          </cell>
          <cell r="L6868" t="str">
            <v>24-06-158-95W1</v>
          </cell>
          <cell r="O6868">
            <v>810.1</v>
          </cell>
          <cell r="Q6868">
            <v>0.14000000000000001</v>
          </cell>
          <cell r="T6868">
            <v>124.21299999999999</v>
          </cell>
        </row>
        <row r="6869">
          <cell r="G6869">
            <v>42675</v>
          </cell>
          <cell r="L6869" t="str">
            <v>43-03-160-95W1</v>
          </cell>
          <cell r="O6869">
            <v>802.7</v>
          </cell>
          <cell r="Q6869">
            <v>0.2</v>
          </cell>
          <cell r="T6869">
            <v>123.462</v>
          </cell>
        </row>
        <row r="6870">
          <cell r="G6870">
            <v>42675</v>
          </cell>
          <cell r="L6870" t="str">
            <v>08-31-007-07W2</v>
          </cell>
          <cell r="O6870">
            <v>867.3</v>
          </cell>
          <cell r="Q6870">
            <v>1.94</v>
          </cell>
          <cell r="T6870">
            <v>111.15300000000001</v>
          </cell>
        </row>
        <row r="6871">
          <cell r="G6871">
            <v>42675</v>
          </cell>
          <cell r="L6871" t="str">
            <v>01-26-152-96W1</v>
          </cell>
          <cell r="O6871">
            <v>818.2</v>
          </cell>
          <cell r="Q6871">
            <v>0.33</v>
          </cell>
          <cell r="T6871">
            <v>102.801</v>
          </cell>
        </row>
        <row r="6872">
          <cell r="G6872">
            <v>42675</v>
          </cell>
          <cell r="L6872" t="str">
            <v>03-25-147-98W1</v>
          </cell>
          <cell r="O6872">
            <v>811.2</v>
          </cell>
          <cell r="Q6872">
            <v>0.45</v>
          </cell>
          <cell r="T6872">
            <v>101.407</v>
          </cell>
        </row>
        <row r="6873">
          <cell r="G6873">
            <v>42675</v>
          </cell>
          <cell r="L6873" t="str">
            <v>01-21-153-95W1</v>
          </cell>
          <cell r="O6873">
            <v>820.6</v>
          </cell>
          <cell r="Q6873">
            <v>0.37</v>
          </cell>
          <cell r="T6873">
            <v>100.16800000000001</v>
          </cell>
        </row>
        <row r="6874">
          <cell r="G6874">
            <v>42675</v>
          </cell>
          <cell r="L6874" t="str">
            <v>01-28-141-100W1</v>
          </cell>
          <cell r="O6874">
            <v>826.7</v>
          </cell>
          <cell r="Q6874">
            <v>0.37</v>
          </cell>
          <cell r="T6874">
            <v>99.194000000000003</v>
          </cell>
        </row>
        <row r="6875">
          <cell r="G6875">
            <v>42675</v>
          </cell>
          <cell r="L6875" t="str">
            <v>11-12-007-04W2</v>
          </cell>
          <cell r="O6875">
            <v>856.6</v>
          </cell>
          <cell r="Q6875">
            <v>1.45</v>
          </cell>
          <cell r="T6875">
            <v>98.997</v>
          </cell>
        </row>
        <row r="6876">
          <cell r="G6876">
            <v>42675</v>
          </cell>
          <cell r="L6876" t="str">
            <v>01-33-141-100W1</v>
          </cell>
          <cell r="O6876">
            <v>819.6</v>
          </cell>
          <cell r="Q6876">
            <v>0.39</v>
          </cell>
          <cell r="T6876">
            <v>98.802999999999997</v>
          </cell>
        </row>
        <row r="6877">
          <cell r="G6877">
            <v>42675</v>
          </cell>
          <cell r="L6877" t="str">
            <v>33-14-160-95W1</v>
          </cell>
          <cell r="O6877">
            <v>802.5</v>
          </cell>
          <cell r="Q6877">
            <v>0.17</v>
          </cell>
          <cell r="T6877">
            <v>97.456000000000003</v>
          </cell>
        </row>
        <row r="6878">
          <cell r="G6878">
            <v>42675</v>
          </cell>
          <cell r="L6878" t="str">
            <v>12-03-146-100W1</v>
          </cell>
          <cell r="O6878">
            <v>834.7</v>
          </cell>
          <cell r="Q6878">
            <v>0.47</v>
          </cell>
          <cell r="T6878">
            <v>96.320999999999998</v>
          </cell>
        </row>
        <row r="6879">
          <cell r="G6879">
            <v>42675</v>
          </cell>
          <cell r="L6879" t="str">
            <v>01-08-153-95W1</v>
          </cell>
          <cell r="O6879">
            <v>820.6</v>
          </cell>
          <cell r="Q6879">
            <v>0.31</v>
          </cell>
          <cell r="T6879">
            <v>95.456000000000003</v>
          </cell>
        </row>
        <row r="6880">
          <cell r="G6880">
            <v>42675</v>
          </cell>
          <cell r="L6880" t="str">
            <v>01-19-147-97W1</v>
          </cell>
          <cell r="O6880">
            <v>814.7</v>
          </cell>
          <cell r="Q6880">
            <v>0.78</v>
          </cell>
          <cell r="T6880">
            <v>92.656000000000006</v>
          </cell>
        </row>
        <row r="6881">
          <cell r="G6881">
            <v>42675</v>
          </cell>
          <cell r="L6881" t="str">
            <v>01-08-162-95W1</v>
          </cell>
          <cell r="O6881">
            <v>851.7</v>
          </cell>
          <cell r="Q6881">
            <v>0.8</v>
          </cell>
          <cell r="T6881">
            <v>91.218999999999994</v>
          </cell>
        </row>
        <row r="6882">
          <cell r="G6882">
            <v>42675</v>
          </cell>
          <cell r="L6882" t="str">
            <v>14-18-163-95W1</v>
          </cell>
          <cell r="O6882">
            <v>851.5</v>
          </cell>
          <cell r="Q6882">
            <v>1.1200000000000001</v>
          </cell>
          <cell r="T6882">
            <v>87.805999999999997</v>
          </cell>
        </row>
        <row r="6883">
          <cell r="G6883">
            <v>42675</v>
          </cell>
          <cell r="L6883" t="str">
            <v>34-01-157-95W1</v>
          </cell>
          <cell r="O6883">
            <v>830.5</v>
          </cell>
          <cell r="Q6883">
            <v>0.46</v>
          </cell>
          <cell r="T6883">
            <v>85.843000000000004</v>
          </cell>
        </row>
        <row r="6884">
          <cell r="G6884">
            <v>42675</v>
          </cell>
          <cell r="L6884" t="str">
            <v>35-26-164-97W1</v>
          </cell>
          <cell r="O6884">
            <v>836.6</v>
          </cell>
          <cell r="Q6884">
            <v>0.14000000000000001</v>
          </cell>
          <cell r="T6884">
            <v>85.566999999999993</v>
          </cell>
        </row>
        <row r="6885">
          <cell r="G6885">
            <v>42675</v>
          </cell>
          <cell r="L6885" t="str">
            <v>10-01-157-95W1</v>
          </cell>
          <cell r="O6885">
            <v>828.2</v>
          </cell>
          <cell r="Q6885">
            <v>0.54</v>
          </cell>
          <cell r="T6885">
            <v>85.483999999999995</v>
          </cell>
        </row>
        <row r="6886">
          <cell r="G6886">
            <v>42675</v>
          </cell>
          <cell r="L6886" t="str">
            <v>04-25-144-98W1</v>
          </cell>
          <cell r="O6886">
            <v>818.9</v>
          </cell>
          <cell r="Q6886">
            <v>0.5</v>
          </cell>
          <cell r="T6886">
            <v>77.122</v>
          </cell>
        </row>
        <row r="6887">
          <cell r="G6887">
            <v>42675</v>
          </cell>
          <cell r="L6887" t="str">
            <v>16-36-004-06W2</v>
          </cell>
          <cell r="O6887">
            <v>833.5</v>
          </cell>
          <cell r="Q6887">
            <v>0.92</v>
          </cell>
          <cell r="T6887">
            <v>69.671999999999997</v>
          </cell>
        </row>
        <row r="6888">
          <cell r="G6888">
            <v>42675</v>
          </cell>
          <cell r="L6888" t="str">
            <v>01-31-164-98W1</v>
          </cell>
          <cell r="O6888">
            <v>819.5</v>
          </cell>
          <cell r="Q6888">
            <v>0.15</v>
          </cell>
          <cell r="T6888">
            <v>67.421999999999997</v>
          </cell>
        </row>
        <row r="6889">
          <cell r="G6889">
            <v>42675</v>
          </cell>
          <cell r="L6889" t="str">
            <v>25-11-159-102W1</v>
          </cell>
          <cell r="O6889">
            <v>831.7</v>
          </cell>
          <cell r="Q6889">
            <v>0.45</v>
          </cell>
          <cell r="T6889">
            <v>65.981999999999999</v>
          </cell>
        </row>
        <row r="6890">
          <cell r="G6890">
            <v>42675</v>
          </cell>
          <cell r="L6890" t="str">
            <v>27-01-154-89W1</v>
          </cell>
          <cell r="O6890">
            <v>815.5</v>
          </cell>
          <cell r="Q6890">
            <v>0.19</v>
          </cell>
          <cell r="T6890">
            <v>65.828999999999994</v>
          </cell>
        </row>
        <row r="6891">
          <cell r="G6891">
            <v>42675</v>
          </cell>
          <cell r="L6891" t="str">
            <v>03-10-151-96W1</v>
          </cell>
          <cell r="O6891">
            <v>824.7</v>
          </cell>
          <cell r="Q6891">
            <v>0.24</v>
          </cell>
          <cell r="T6891">
            <v>64.456999999999994</v>
          </cell>
        </row>
        <row r="6892">
          <cell r="G6892">
            <v>42675</v>
          </cell>
          <cell r="L6892" t="str">
            <v>44-35-022-58W1</v>
          </cell>
          <cell r="O6892">
            <v>866.8</v>
          </cell>
          <cell r="Q6892">
            <v>1.02</v>
          </cell>
          <cell r="T6892">
            <v>64.355999999999995</v>
          </cell>
        </row>
        <row r="6893">
          <cell r="G6893">
            <v>42675</v>
          </cell>
          <cell r="L6893" t="str">
            <v>01-20-147-97W1</v>
          </cell>
          <cell r="O6893">
            <v>826.4</v>
          </cell>
          <cell r="Q6893">
            <v>0.7</v>
          </cell>
          <cell r="T6893">
            <v>64.311999999999998</v>
          </cell>
        </row>
        <row r="6894">
          <cell r="G6894">
            <v>42675</v>
          </cell>
          <cell r="L6894" t="str">
            <v>02-09-142-100W1</v>
          </cell>
          <cell r="O6894">
            <v>830.5</v>
          </cell>
          <cell r="Q6894">
            <v>0.38</v>
          </cell>
          <cell r="T6894">
            <v>63.738999999999997</v>
          </cell>
        </row>
        <row r="6895">
          <cell r="G6895">
            <v>42675</v>
          </cell>
          <cell r="L6895" t="str">
            <v>01-15-022-57W1</v>
          </cell>
          <cell r="O6895">
            <v>810.5</v>
          </cell>
          <cell r="Q6895">
            <v>0.37</v>
          </cell>
          <cell r="T6895">
            <v>63.7</v>
          </cell>
        </row>
        <row r="6896">
          <cell r="G6896">
            <v>42675</v>
          </cell>
          <cell r="L6896" t="str">
            <v>24-01-160-96W1</v>
          </cell>
          <cell r="O6896">
            <v>828.7</v>
          </cell>
          <cell r="Q6896">
            <v>0.49</v>
          </cell>
          <cell r="T6896">
            <v>63.625</v>
          </cell>
        </row>
        <row r="6897">
          <cell r="G6897">
            <v>42675</v>
          </cell>
          <cell r="L6897" t="str">
            <v>01-28-152-101W1</v>
          </cell>
          <cell r="O6897">
            <v>830.5</v>
          </cell>
          <cell r="Q6897">
            <v>0.45</v>
          </cell>
          <cell r="T6897">
            <v>61.706000000000003</v>
          </cell>
        </row>
        <row r="6898">
          <cell r="G6898">
            <v>42675</v>
          </cell>
          <cell r="L6898" t="str">
            <v>01-13-152-95W1</v>
          </cell>
          <cell r="O6898">
            <v>828.8</v>
          </cell>
          <cell r="Q6898">
            <v>0.06</v>
          </cell>
          <cell r="T6898">
            <v>60.996000000000002</v>
          </cell>
        </row>
        <row r="6899">
          <cell r="G6899">
            <v>42675</v>
          </cell>
          <cell r="L6899" t="str">
            <v>01-18-145-97W1</v>
          </cell>
          <cell r="O6899">
            <v>819.2</v>
          </cell>
          <cell r="Q6899">
            <v>0.45</v>
          </cell>
          <cell r="T6899">
            <v>60.478000000000002</v>
          </cell>
        </row>
        <row r="6900">
          <cell r="G6900">
            <v>42675</v>
          </cell>
          <cell r="L6900" t="str">
            <v>01-09-143-101W1</v>
          </cell>
          <cell r="O6900">
            <v>834.1</v>
          </cell>
          <cell r="Q6900">
            <v>0.53</v>
          </cell>
          <cell r="T6900">
            <v>60.356999999999999</v>
          </cell>
        </row>
        <row r="6901">
          <cell r="G6901">
            <v>42675</v>
          </cell>
          <cell r="L6901" t="str">
            <v>04-04-157-95W1</v>
          </cell>
          <cell r="O6901">
            <v>838.4</v>
          </cell>
          <cell r="Q6901">
            <v>0.62</v>
          </cell>
          <cell r="T6901">
            <v>59.795999999999999</v>
          </cell>
        </row>
        <row r="6902">
          <cell r="G6902">
            <v>42675</v>
          </cell>
          <cell r="L6902" t="str">
            <v>01-02-151-102W1</v>
          </cell>
          <cell r="O6902">
            <v>830.4</v>
          </cell>
          <cell r="Q6902">
            <v>0.33</v>
          </cell>
          <cell r="T6902">
            <v>59.747999999999998</v>
          </cell>
        </row>
        <row r="6903">
          <cell r="G6903">
            <v>42675</v>
          </cell>
          <cell r="L6903" t="str">
            <v>01-03-155-91W1</v>
          </cell>
          <cell r="O6903">
            <v>862.2</v>
          </cell>
          <cell r="Q6903">
            <v>1.29</v>
          </cell>
          <cell r="T6903">
            <v>56.994</v>
          </cell>
        </row>
        <row r="6904">
          <cell r="G6904">
            <v>42675</v>
          </cell>
          <cell r="L6904" t="str">
            <v>01-34-159-95W1</v>
          </cell>
          <cell r="O6904">
            <v>833.9</v>
          </cell>
          <cell r="Q6904">
            <v>0.56999999999999995</v>
          </cell>
          <cell r="T6904">
            <v>55.265999999999998</v>
          </cell>
        </row>
        <row r="6905">
          <cell r="G6905">
            <v>42675</v>
          </cell>
          <cell r="L6905" t="str">
            <v>01-03-158-95W1</v>
          </cell>
          <cell r="O6905">
            <v>839.9</v>
          </cell>
          <cell r="Q6905">
            <v>0.77</v>
          </cell>
          <cell r="T6905">
            <v>54.744</v>
          </cell>
        </row>
        <row r="6906">
          <cell r="G6906">
            <v>42675</v>
          </cell>
          <cell r="L6906" t="str">
            <v>03-01-158-95W1</v>
          </cell>
          <cell r="O6906">
            <v>827.6</v>
          </cell>
          <cell r="Q6906">
            <v>0.61</v>
          </cell>
          <cell r="T6906">
            <v>53.962000000000003</v>
          </cell>
        </row>
        <row r="6907">
          <cell r="G6907">
            <v>42675</v>
          </cell>
          <cell r="L6907" t="str">
            <v>34-02-157-95W1</v>
          </cell>
          <cell r="O6907">
            <v>844.1</v>
          </cell>
          <cell r="Q6907">
            <v>0.39</v>
          </cell>
          <cell r="T6907">
            <v>53.075000000000003</v>
          </cell>
        </row>
        <row r="6908">
          <cell r="G6908">
            <v>42675</v>
          </cell>
          <cell r="L6908" t="str">
            <v>26-35-163-97W1</v>
          </cell>
          <cell r="O6908">
            <v>830.4</v>
          </cell>
          <cell r="Q6908">
            <v>0.14000000000000001</v>
          </cell>
          <cell r="T6908">
            <v>52.908999999999999</v>
          </cell>
        </row>
        <row r="6909">
          <cell r="G6909">
            <v>42675</v>
          </cell>
          <cell r="L6909" t="str">
            <v>13-26-007-05W2</v>
          </cell>
          <cell r="O6909">
            <v>862.3</v>
          </cell>
          <cell r="Q6909">
            <v>1.5</v>
          </cell>
          <cell r="T6909">
            <v>37.241</v>
          </cell>
        </row>
        <row r="6910">
          <cell r="G6910">
            <v>42675</v>
          </cell>
          <cell r="L6910" t="str">
            <v>07-29-009-04W2</v>
          </cell>
          <cell r="O6910">
            <v>839.9</v>
          </cell>
          <cell r="Q6910">
            <v>1.1399999999999999</v>
          </cell>
          <cell r="T6910">
            <v>36.698999999999998</v>
          </cell>
        </row>
        <row r="6911">
          <cell r="G6911">
            <v>42675</v>
          </cell>
          <cell r="L6911" t="str">
            <v>06-06-162-96W1</v>
          </cell>
          <cell r="O6911">
            <v>834.7</v>
          </cell>
          <cell r="Q6911">
            <v>0.15</v>
          </cell>
          <cell r="T6911">
            <v>34.197000000000003</v>
          </cell>
        </row>
        <row r="6912">
          <cell r="G6912">
            <v>42675</v>
          </cell>
          <cell r="L6912" t="str">
            <v>01-18-163-92W1</v>
          </cell>
          <cell r="O6912">
            <v>836.2</v>
          </cell>
          <cell r="Q6912">
            <v>0.59</v>
          </cell>
          <cell r="T6912">
            <v>33.999000000000002</v>
          </cell>
        </row>
        <row r="6913">
          <cell r="G6913">
            <v>42675</v>
          </cell>
          <cell r="L6913" t="str">
            <v>05-01-144-97W1</v>
          </cell>
          <cell r="O6913">
            <v>823.3</v>
          </cell>
          <cell r="Q6913">
            <v>0.48</v>
          </cell>
          <cell r="T6913">
            <v>33.530999999999999</v>
          </cell>
        </row>
        <row r="6914">
          <cell r="G6914">
            <v>42675</v>
          </cell>
          <cell r="L6914" t="str">
            <v>01-34-164-92W1</v>
          </cell>
          <cell r="O6914">
            <v>834.8</v>
          </cell>
          <cell r="Q6914">
            <v>0.54</v>
          </cell>
          <cell r="T6914">
            <v>33.253</v>
          </cell>
        </row>
        <row r="6915">
          <cell r="G6915">
            <v>42675</v>
          </cell>
          <cell r="L6915" t="str">
            <v>01-20-163-91W1</v>
          </cell>
          <cell r="O6915">
            <v>839.6</v>
          </cell>
          <cell r="Q6915">
            <v>0.57999999999999996</v>
          </cell>
          <cell r="T6915">
            <v>33.228000000000002</v>
          </cell>
        </row>
        <row r="6916">
          <cell r="G6916">
            <v>42675</v>
          </cell>
          <cell r="L6916" t="str">
            <v>01-21-159-94W1</v>
          </cell>
          <cell r="O6916">
            <v>831.9</v>
          </cell>
          <cell r="Q6916">
            <v>0.4</v>
          </cell>
          <cell r="T6916">
            <v>32.935000000000002</v>
          </cell>
        </row>
        <row r="6917">
          <cell r="G6917">
            <v>42675</v>
          </cell>
          <cell r="L6917" t="str">
            <v>10-30-147-97W1</v>
          </cell>
          <cell r="O6917">
            <v>814.1</v>
          </cell>
          <cell r="Q6917">
            <v>0.52</v>
          </cell>
          <cell r="T6917">
            <v>32.121000000000002</v>
          </cell>
        </row>
        <row r="6918">
          <cell r="G6918">
            <v>42675</v>
          </cell>
          <cell r="L6918" t="str">
            <v>04-24-147-98W1</v>
          </cell>
          <cell r="O6918">
            <v>814.1</v>
          </cell>
          <cell r="Q6918">
            <v>0.56000000000000005</v>
          </cell>
          <cell r="T6918">
            <v>31.75</v>
          </cell>
        </row>
        <row r="6919">
          <cell r="G6919">
            <v>42675</v>
          </cell>
          <cell r="L6919" t="str">
            <v>01-02-158-95W1</v>
          </cell>
          <cell r="O6919">
            <v>831.4</v>
          </cell>
          <cell r="Q6919">
            <v>0.53</v>
          </cell>
          <cell r="T6919">
            <v>31.135999999999999</v>
          </cell>
        </row>
        <row r="6920">
          <cell r="G6920">
            <v>42675</v>
          </cell>
          <cell r="L6920" t="str">
            <v>03-16-163-91W1</v>
          </cell>
          <cell r="O6920">
            <v>836.6</v>
          </cell>
          <cell r="Q6920">
            <v>0.47</v>
          </cell>
          <cell r="T6920">
            <v>31.064</v>
          </cell>
        </row>
        <row r="6921">
          <cell r="G6921">
            <v>42675</v>
          </cell>
          <cell r="L6921" t="str">
            <v>04-03-157-95W1</v>
          </cell>
          <cell r="O6921">
            <v>834.9</v>
          </cell>
          <cell r="Q6921">
            <v>0.62</v>
          </cell>
          <cell r="T6921">
            <v>31.013999999999999</v>
          </cell>
        </row>
        <row r="6922">
          <cell r="G6922">
            <v>42675</v>
          </cell>
          <cell r="L6922" t="str">
            <v>01-29-162-92W1</v>
          </cell>
          <cell r="O6922">
            <v>841.7</v>
          </cell>
          <cell r="Q6922">
            <v>0.55000000000000004</v>
          </cell>
          <cell r="T6922">
            <v>30.97</v>
          </cell>
        </row>
        <row r="6923">
          <cell r="G6923">
            <v>42675</v>
          </cell>
          <cell r="L6923" t="str">
            <v>11-15-163-89W1</v>
          </cell>
          <cell r="O6923">
            <v>848</v>
          </cell>
          <cell r="Q6923">
            <v>0.6</v>
          </cell>
          <cell r="T6923">
            <v>30.907</v>
          </cell>
        </row>
        <row r="6924">
          <cell r="G6924">
            <v>42675</v>
          </cell>
          <cell r="L6924" t="str">
            <v>01-25-156-93W1</v>
          </cell>
          <cell r="O6924">
            <v>809.5</v>
          </cell>
          <cell r="Q6924">
            <v>0.12</v>
          </cell>
          <cell r="T6924">
            <v>30.86</v>
          </cell>
        </row>
        <row r="6925">
          <cell r="G6925">
            <v>42675</v>
          </cell>
          <cell r="L6925" t="str">
            <v>01-14-001-11W2</v>
          </cell>
          <cell r="O6925">
            <v>843.9</v>
          </cell>
          <cell r="Q6925">
            <v>0.26</v>
          </cell>
          <cell r="T6925">
            <v>30.486000000000001</v>
          </cell>
        </row>
        <row r="6926">
          <cell r="G6926">
            <v>42675</v>
          </cell>
          <cell r="L6926" t="str">
            <v>13-11-160-95W1</v>
          </cell>
          <cell r="O6926">
            <v>801.3</v>
          </cell>
          <cell r="Q6926">
            <v>0.18</v>
          </cell>
          <cell r="T6926">
            <v>30.446999999999999</v>
          </cell>
        </row>
        <row r="6927">
          <cell r="G6927">
            <v>42675</v>
          </cell>
          <cell r="L6927" t="str">
            <v>03-03-157-95W1</v>
          </cell>
          <cell r="O6927">
            <v>820.2</v>
          </cell>
          <cell r="Q6927">
            <v>0.33</v>
          </cell>
          <cell r="T6927">
            <v>30.440999999999999</v>
          </cell>
        </row>
        <row r="6928">
          <cell r="G6928">
            <v>42675</v>
          </cell>
          <cell r="L6928" t="str">
            <v>01-13-022-57W1</v>
          </cell>
          <cell r="O6928">
            <v>800.5</v>
          </cell>
          <cell r="Q6928">
            <v>0.11</v>
          </cell>
          <cell r="T6928">
            <v>30.315000000000001</v>
          </cell>
        </row>
        <row r="6929">
          <cell r="G6929">
            <v>42675</v>
          </cell>
          <cell r="L6929" t="str">
            <v>20-01-161-90W1</v>
          </cell>
          <cell r="O6929">
            <v>862.5</v>
          </cell>
          <cell r="Q6929">
            <v>1.4</v>
          </cell>
          <cell r="T6929">
            <v>30.274000000000001</v>
          </cell>
        </row>
        <row r="6930">
          <cell r="G6930">
            <v>42675</v>
          </cell>
          <cell r="L6930" t="str">
            <v>15-04-143-101W1</v>
          </cell>
          <cell r="O6930">
            <v>837.7</v>
          </cell>
          <cell r="Q6930">
            <v>0.52</v>
          </cell>
          <cell r="T6930">
            <v>30.157</v>
          </cell>
        </row>
        <row r="6931">
          <cell r="G6931">
            <v>42675</v>
          </cell>
          <cell r="L6931" t="str">
            <v>01-10-152-96W1</v>
          </cell>
          <cell r="O6931">
            <v>822.8</v>
          </cell>
          <cell r="Q6931">
            <v>0.35</v>
          </cell>
          <cell r="T6931">
            <v>30.05</v>
          </cell>
        </row>
        <row r="6932">
          <cell r="G6932">
            <v>42675</v>
          </cell>
          <cell r="L6932" t="str">
            <v>01-30-147-97W1</v>
          </cell>
          <cell r="O6932">
            <v>817.6</v>
          </cell>
          <cell r="Q6932">
            <v>0.55000000000000004</v>
          </cell>
          <cell r="T6932">
            <v>29.96</v>
          </cell>
        </row>
        <row r="6933">
          <cell r="G6933">
            <v>42675</v>
          </cell>
          <cell r="L6933" t="str">
            <v>01-33-164-91W1</v>
          </cell>
          <cell r="O6933">
            <v>828.8</v>
          </cell>
          <cell r="Q6933">
            <v>0.52</v>
          </cell>
          <cell r="T6933">
            <v>29.635000000000002</v>
          </cell>
        </row>
        <row r="6934">
          <cell r="G6934">
            <v>42675</v>
          </cell>
          <cell r="L6934" t="str">
            <v>01-33-162-90W1</v>
          </cell>
          <cell r="O6934">
            <v>861.8</v>
          </cell>
          <cell r="Q6934">
            <v>0.42</v>
          </cell>
          <cell r="T6934">
            <v>29.407</v>
          </cell>
        </row>
        <row r="6935">
          <cell r="G6935">
            <v>42675</v>
          </cell>
          <cell r="L6935" t="str">
            <v>03-05-157-95W1</v>
          </cell>
          <cell r="O6935">
            <v>838</v>
          </cell>
          <cell r="Q6935">
            <v>0.69</v>
          </cell>
          <cell r="T6935">
            <v>25.898</v>
          </cell>
        </row>
        <row r="6936">
          <cell r="G6936">
            <v>42675</v>
          </cell>
          <cell r="L6936" t="str">
            <v>01-31-159-95W1</v>
          </cell>
          <cell r="O6936">
            <v>842</v>
          </cell>
          <cell r="Q6936">
            <v>0.73</v>
          </cell>
          <cell r="T6936">
            <v>25.341999999999999</v>
          </cell>
        </row>
        <row r="6937">
          <cell r="G6937">
            <v>42675</v>
          </cell>
          <cell r="L6937" t="str">
            <v>02-11-163-97W1</v>
          </cell>
          <cell r="O6937">
            <v>828.5</v>
          </cell>
          <cell r="Q6937">
            <v>0.13</v>
          </cell>
          <cell r="T6937">
            <v>22.457999999999998</v>
          </cell>
        </row>
        <row r="6938">
          <cell r="G6938">
            <v>42675</v>
          </cell>
          <cell r="L6938" t="str">
            <v>03-25-144-98W1</v>
          </cell>
          <cell r="O6938">
            <v>833.1</v>
          </cell>
          <cell r="Q6938">
            <v>0.5</v>
          </cell>
          <cell r="T6938">
            <v>21.785</v>
          </cell>
        </row>
        <row r="6939">
          <cell r="G6939">
            <v>42675</v>
          </cell>
          <cell r="L6939" t="str">
            <v>01-36-003-03W2</v>
          </cell>
          <cell r="O6939">
            <v>835.4</v>
          </cell>
          <cell r="Q6939">
            <v>0.81</v>
          </cell>
          <cell r="T6939">
            <v>536.56200000000001</v>
          </cell>
        </row>
        <row r="6940">
          <cell r="G6940">
            <v>42675</v>
          </cell>
          <cell r="L6940" t="str">
            <v>07-23-010-06W2</v>
          </cell>
          <cell r="O6940">
            <v>844.6</v>
          </cell>
          <cell r="Q6940">
            <v>1.45</v>
          </cell>
          <cell r="T6940">
            <v>422.12900000000002</v>
          </cell>
        </row>
        <row r="6941">
          <cell r="G6941">
            <v>42675</v>
          </cell>
          <cell r="L6941" t="str">
            <v>05-13-009-06W2</v>
          </cell>
          <cell r="O6941">
            <v>848.4</v>
          </cell>
          <cell r="Q6941">
            <v>1.51</v>
          </cell>
          <cell r="T6941">
            <v>262.709</v>
          </cell>
        </row>
        <row r="6942">
          <cell r="G6942">
            <v>42675</v>
          </cell>
          <cell r="L6942" t="str">
            <v>11-36-005-04W2</v>
          </cell>
          <cell r="O6942">
            <v>860</v>
          </cell>
          <cell r="Q6942">
            <v>1.1299999999999999</v>
          </cell>
          <cell r="T6942">
            <v>167.85499999999999</v>
          </cell>
        </row>
        <row r="6943">
          <cell r="G6943">
            <v>42675</v>
          </cell>
          <cell r="L6943" t="str">
            <v>13-14-010-05W2</v>
          </cell>
          <cell r="O6943">
            <v>852.6</v>
          </cell>
          <cell r="Q6943">
            <v>1.61</v>
          </cell>
          <cell r="T6943">
            <v>143.626</v>
          </cell>
        </row>
        <row r="6944">
          <cell r="G6944">
            <v>42675</v>
          </cell>
          <cell r="L6944" t="str">
            <v>12-22-010-05W2</v>
          </cell>
          <cell r="O6944">
            <v>869.1</v>
          </cell>
          <cell r="Q6944">
            <v>1.84</v>
          </cell>
          <cell r="T6944">
            <v>34.875999999999998</v>
          </cell>
        </row>
        <row r="6945">
          <cell r="G6945">
            <v>42675</v>
          </cell>
          <cell r="L6945" t="str">
            <v>05-16-006-13W2</v>
          </cell>
          <cell r="O6945">
            <v>868</v>
          </cell>
          <cell r="Q6945">
            <v>2.31</v>
          </cell>
          <cell r="T6945">
            <v>115186.371</v>
          </cell>
        </row>
        <row r="6946">
          <cell r="G6946">
            <v>42675</v>
          </cell>
          <cell r="L6946" t="str">
            <v>08-28-005-33W1</v>
          </cell>
          <cell r="O6946">
            <v>824.1</v>
          </cell>
          <cell r="Q6946">
            <v>0.95</v>
          </cell>
          <cell r="T6946">
            <v>106235.251</v>
          </cell>
        </row>
        <row r="6947">
          <cell r="G6947">
            <v>42675</v>
          </cell>
          <cell r="L6947" t="str">
            <v>15-26-001-31W1</v>
          </cell>
          <cell r="O6947">
            <v>877.1</v>
          </cell>
          <cell r="Q6947">
            <v>2.09</v>
          </cell>
          <cell r="T6947">
            <v>5126.8559999999998</v>
          </cell>
        </row>
        <row r="6948">
          <cell r="G6948">
            <v>42675</v>
          </cell>
          <cell r="L6948" t="str">
            <v>14-05-002-31W1</v>
          </cell>
          <cell r="O6948">
            <v>858.4</v>
          </cell>
          <cell r="Q6948">
            <v>1.62</v>
          </cell>
          <cell r="T6948">
            <v>3278.1480000000001</v>
          </cell>
        </row>
        <row r="6949">
          <cell r="G6949">
            <v>42675</v>
          </cell>
          <cell r="L6949" t="str">
            <v>14-13-002-02W2</v>
          </cell>
          <cell r="O6949">
            <v>832.1</v>
          </cell>
          <cell r="Q6949">
            <v>0.55000000000000004</v>
          </cell>
          <cell r="T6949">
            <v>1789.6210000000001</v>
          </cell>
        </row>
        <row r="6950">
          <cell r="G6950">
            <v>42675</v>
          </cell>
          <cell r="L6950" t="str">
            <v>14-03-001-03W2</v>
          </cell>
          <cell r="O6950">
            <v>810.8</v>
          </cell>
          <cell r="Q6950">
            <v>0.12</v>
          </cell>
          <cell r="T6950">
            <v>1487.8720000000001</v>
          </cell>
        </row>
        <row r="6951">
          <cell r="G6951">
            <v>42675</v>
          </cell>
          <cell r="L6951" t="str">
            <v>04-16-002-31W1</v>
          </cell>
          <cell r="O6951">
            <v>860.8</v>
          </cell>
          <cell r="Q6951">
            <v>1.69</v>
          </cell>
          <cell r="T6951">
            <v>1171.828</v>
          </cell>
        </row>
        <row r="6952">
          <cell r="G6952">
            <v>42675</v>
          </cell>
          <cell r="L6952" t="str">
            <v>16-03-008-33W1</v>
          </cell>
          <cell r="O6952">
            <v>844.5</v>
          </cell>
          <cell r="Q6952">
            <v>1.22</v>
          </cell>
          <cell r="T6952">
            <v>974.90700000000004</v>
          </cell>
        </row>
        <row r="6953">
          <cell r="G6953">
            <v>42675</v>
          </cell>
          <cell r="L6953" t="str">
            <v>01-35-007-01W2</v>
          </cell>
          <cell r="O6953">
            <v>844.9</v>
          </cell>
          <cell r="Q6953">
            <v>1.1399999999999999</v>
          </cell>
          <cell r="T6953">
            <v>889.62800000000004</v>
          </cell>
        </row>
        <row r="6954">
          <cell r="G6954">
            <v>42675</v>
          </cell>
          <cell r="L6954" t="str">
            <v>13-17-005-33W1</v>
          </cell>
          <cell r="O6954">
            <v>828.9</v>
          </cell>
          <cell r="Q6954">
            <v>0.64</v>
          </cell>
          <cell r="T6954">
            <v>831.76300000000003</v>
          </cell>
        </row>
        <row r="6955">
          <cell r="G6955">
            <v>42675</v>
          </cell>
          <cell r="L6955" t="str">
            <v>01-03-003-33W1</v>
          </cell>
          <cell r="O6955">
            <v>856.2</v>
          </cell>
          <cell r="Q6955">
            <v>1.62</v>
          </cell>
          <cell r="T6955">
            <v>758.85699999999997</v>
          </cell>
        </row>
        <row r="6956">
          <cell r="G6956">
            <v>42675</v>
          </cell>
          <cell r="L6956" t="str">
            <v>16-04-006-32W1</v>
          </cell>
          <cell r="O6956">
            <v>843.8</v>
          </cell>
          <cell r="Q6956">
            <v>1.1200000000000001</v>
          </cell>
          <cell r="T6956">
            <v>574.38400000000001</v>
          </cell>
        </row>
        <row r="6957">
          <cell r="G6957">
            <v>42675</v>
          </cell>
          <cell r="L6957" t="str">
            <v>05-20-001-02W2</v>
          </cell>
          <cell r="O6957">
            <v>832.8</v>
          </cell>
          <cell r="Q6957">
            <v>0.53</v>
          </cell>
          <cell r="T6957">
            <v>516.46299999999997</v>
          </cell>
        </row>
        <row r="6958">
          <cell r="G6958">
            <v>42675</v>
          </cell>
          <cell r="L6958" t="str">
            <v>16-31-001-32W1</v>
          </cell>
          <cell r="O6958">
            <v>847.4</v>
          </cell>
          <cell r="Q6958">
            <v>1.1000000000000001</v>
          </cell>
          <cell r="T6958">
            <v>456.09</v>
          </cell>
        </row>
        <row r="6959">
          <cell r="G6959">
            <v>42675</v>
          </cell>
          <cell r="L6959" t="str">
            <v>14-19-006-33W1</v>
          </cell>
          <cell r="O6959">
            <v>838.7</v>
          </cell>
          <cell r="Q6959">
            <v>1.18</v>
          </cell>
          <cell r="T6959">
            <v>347.00200000000001</v>
          </cell>
        </row>
        <row r="6960">
          <cell r="G6960">
            <v>42675</v>
          </cell>
          <cell r="L6960" t="str">
            <v>04-11-004-32W1</v>
          </cell>
          <cell r="O6960">
            <v>856</v>
          </cell>
          <cell r="Q6960">
            <v>1.57</v>
          </cell>
          <cell r="T6960">
            <v>277.62099999999998</v>
          </cell>
        </row>
        <row r="6961">
          <cell r="G6961">
            <v>42675</v>
          </cell>
          <cell r="L6961" t="str">
            <v>14-23-005-02W2</v>
          </cell>
          <cell r="O6961">
            <v>852.4</v>
          </cell>
          <cell r="Q6961">
            <v>1.33</v>
          </cell>
          <cell r="T6961">
            <v>267.11399999999998</v>
          </cell>
        </row>
        <row r="6962">
          <cell r="G6962">
            <v>42675</v>
          </cell>
          <cell r="L6962" t="str">
            <v>10-17-007-33W1</v>
          </cell>
          <cell r="O6962">
            <v>840.9</v>
          </cell>
          <cell r="Q6962">
            <v>1.17</v>
          </cell>
          <cell r="T6962">
            <v>178.68100000000001</v>
          </cell>
        </row>
        <row r="6963">
          <cell r="G6963">
            <v>42675</v>
          </cell>
          <cell r="L6963" t="str">
            <v>14-24-001-02W2</v>
          </cell>
          <cell r="O6963">
            <v>844.4</v>
          </cell>
          <cell r="Q6963">
            <v>0.79</v>
          </cell>
          <cell r="T6963">
            <v>120.602</v>
          </cell>
        </row>
        <row r="6964">
          <cell r="G6964">
            <v>42675</v>
          </cell>
          <cell r="L6964" t="str">
            <v>01-06-002-32W1</v>
          </cell>
          <cell r="O6964">
            <v>835.4</v>
          </cell>
          <cell r="Q6964">
            <v>0.81</v>
          </cell>
          <cell r="T6964">
            <v>110.932</v>
          </cell>
        </row>
        <row r="6965">
          <cell r="G6965">
            <v>42675</v>
          </cell>
          <cell r="L6965" t="str">
            <v>13-13-002-33W1</v>
          </cell>
          <cell r="O6965">
            <v>833.3</v>
          </cell>
          <cell r="Q6965">
            <v>0.72</v>
          </cell>
          <cell r="T6965">
            <v>110.907</v>
          </cell>
        </row>
        <row r="6966">
          <cell r="G6966">
            <v>42675</v>
          </cell>
          <cell r="L6966" t="str">
            <v>16-16-006-02W2</v>
          </cell>
          <cell r="O6966">
            <v>847.9</v>
          </cell>
          <cell r="Q6966">
            <v>1.1399999999999999</v>
          </cell>
          <cell r="T6966">
            <v>107.80200000000001</v>
          </cell>
        </row>
        <row r="6967">
          <cell r="G6967">
            <v>42675</v>
          </cell>
          <cell r="L6967" t="str">
            <v>09-24-001-01W2</v>
          </cell>
          <cell r="O6967">
            <v>830.1</v>
          </cell>
          <cell r="Q6967">
            <v>0.67</v>
          </cell>
          <cell r="T6967">
            <v>106.035</v>
          </cell>
        </row>
        <row r="6968">
          <cell r="G6968">
            <v>42675</v>
          </cell>
          <cell r="L6968" t="str">
            <v>16-15-008-03W2</v>
          </cell>
          <cell r="O6968">
            <v>858.3</v>
          </cell>
          <cell r="Q6968">
            <v>1.54</v>
          </cell>
          <cell r="T6968">
            <v>95.51</v>
          </cell>
        </row>
        <row r="6969">
          <cell r="G6969">
            <v>42675</v>
          </cell>
          <cell r="L6969" t="str">
            <v>15-14-014-30W1</v>
          </cell>
          <cell r="O6969">
            <v>897.7</v>
          </cell>
          <cell r="Q6969">
            <v>2.31</v>
          </cell>
          <cell r="T6969">
            <v>90.796000000000006</v>
          </cell>
        </row>
        <row r="6970">
          <cell r="G6970">
            <v>42675</v>
          </cell>
          <cell r="L6970" t="str">
            <v>16-21-003-33W1</v>
          </cell>
          <cell r="O6970">
            <v>857.4</v>
          </cell>
          <cell r="Q6970">
            <v>1.84</v>
          </cell>
          <cell r="T6970">
            <v>72.27</v>
          </cell>
        </row>
        <row r="6971">
          <cell r="G6971">
            <v>42675</v>
          </cell>
          <cell r="L6971" t="str">
            <v>10-29-005-33W1</v>
          </cell>
          <cell r="O6971">
            <v>831.9</v>
          </cell>
          <cell r="Q6971">
            <v>0.87</v>
          </cell>
          <cell r="T6971">
            <v>68.632000000000005</v>
          </cell>
        </row>
        <row r="6972">
          <cell r="G6972">
            <v>42675</v>
          </cell>
          <cell r="L6972" t="str">
            <v>12-20-008-02W2</v>
          </cell>
          <cell r="O6972">
            <v>858</v>
          </cell>
          <cell r="Q6972">
            <v>1.77</v>
          </cell>
          <cell r="T6972">
            <v>63.847000000000001</v>
          </cell>
        </row>
        <row r="6973">
          <cell r="G6973">
            <v>42675</v>
          </cell>
          <cell r="L6973" t="str">
            <v>13-15-006-33W1</v>
          </cell>
          <cell r="O6973">
            <v>852.1</v>
          </cell>
          <cell r="Q6973">
            <v>1.47</v>
          </cell>
          <cell r="T6973">
            <v>55.453000000000003</v>
          </cell>
        </row>
        <row r="6974">
          <cell r="G6974">
            <v>42675</v>
          </cell>
          <cell r="L6974" t="str">
            <v>01-10-002-03W2</v>
          </cell>
          <cell r="O6974">
            <v>840.3</v>
          </cell>
          <cell r="Q6974">
            <v>0.67</v>
          </cell>
          <cell r="T6974">
            <v>37.116999999999997</v>
          </cell>
        </row>
        <row r="6975">
          <cell r="G6975">
            <v>42675</v>
          </cell>
          <cell r="L6975" t="str">
            <v>02-14-006-02W2</v>
          </cell>
          <cell r="O6975">
            <v>849.8</v>
          </cell>
          <cell r="Q6975">
            <v>1.1599999999999999</v>
          </cell>
          <cell r="T6975">
            <v>34.768000000000001</v>
          </cell>
        </row>
        <row r="6976">
          <cell r="G6976">
            <v>42675</v>
          </cell>
          <cell r="L6976" t="str">
            <v>09-01-002-34W1</v>
          </cell>
          <cell r="O6976">
            <v>829.6</v>
          </cell>
          <cell r="Q6976">
            <v>0.55000000000000004</v>
          </cell>
          <cell r="T6976">
            <v>31.577999999999999</v>
          </cell>
        </row>
        <row r="6977">
          <cell r="G6977">
            <v>42675</v>
          </cell>
          <cell r="L6977" t="str">
            <v>07-31-005-33W1</v>
          </cell>
          <cell r="O6977">
            <v>826</v>
          </cell>
          <cell r="Q6977">
            <v>0.66</v>
          </cell>
          <cell r="T6977">
            <v>1358.4090000000001</v>
          </cell>
        </row>
        <row r="6978">
          <cell r="G6978">
            <v>42675</v>
          </cell>
          <cell r="L6978" t="str">
            <v>15-09-007-03W2</v>
          </cell>
          <cell r="O6978">
            <v>845.8</v>
          </cell>
          <cell r="Q6978">
            <v>1.39</v>
          </cell>
          <cell r="T6978">
            <v>1164.6199999999999</v>
          </cell>
        </row>
        <row r="6979">
          <cell r="G6979">
            <v>42675</v>
          </cell>
          <cell r="L6979" t="str">
            <v>04-36-004-02W2</v>
          </cell>
          <cell r="O6979">
            <v>853.4</v>
          </cell>
          <cell r="Q6979">
            <v>1.58</v>
          </cell>
          <cell r="T6979">
            <v>366.95299999999997</v>
          </cell>
        </row>
        <row r="6980">
          <cell r="G6980">
            <v>42675</v>
          </cell>
          <cell r="L6980" t="str">
            <v>14-04-006-33W1</v>
          </cell>
          <cell r="O6980">
            <v>838.3</v>
          </cell>
          <cell r="Q6980">
            <v>0.85</v>
          </cell>
          <cell r="T6980">
            <v>37.655999999999999</v>
          </cell>
        </row>
        <row r="6981">
          <cell r="G6981">
            <v>42675</v>
          </cell>
          <cell r="L6981" t="str">
            <v>ALStream</v>
          </cell>
          <cell r="T6981">
            <v>0</v>
          </cell>
        </row>
        <row r="6982">
          <cell r="G6982">
            <v>42675</v>
          </cell>
          <cell r="L6982" t="str">
            <v>MWStream</v>
          </cell>
          <cell r="T6982">
            <v>0</v>
          </cell>
        </row>
        <row r="6983">
          <cell r="G6983">
            <v>42675</v>
          </cell>
          <cell r="L6983" t="str">
            <v>ALStream</v>
          </cell>
          <cell r="O6983">
            <v>829.2</v>
          </cell>
          <cell r="Q6983">
            <v>0.94</v>
          </cell>
          <cell r="T6983">
            <v>-85153.948999999993</v>
          </cell>
        </row>
        <row r="6984">
          <cell r="G6984">
            <v>42675</v>
          </cell>
          <cell r="L6984" t="str">
            <v>MWStream</v>
          </cell>
          <cell r="O6984">
            <v>829.7</v>
          </cell>
          <cell r="Q6984">
            <v>1.1499999999999999</v>
          </cell>
          <cell r="T6984">
            <v>-7831.1170000000002</v>
          </cell>
        </row>
        <row r="6985">
          <cell r="G6985">
            <v>42705</v>
          </cell>
          <cell r="L6985" t="str">
            <v>10-21-006-32W1</v>
          </cell>
          <cell r="O6985">
            <v>832.6</v>
          </cell>
          <cell r="Q6985">
            <v>0.83</v>
          </cell>
          <cell r="T6985">
            <v>1.0049999999999999</v>
          </cell>
        </row>
        <row r="6986">
          <cell r="G6986">
            <v>42705</v>
          </cell>
          <cell r="L6986" t="str">
            <v>01-19-004-12W2</v>
          </cell>
          <cell r="O6986">
            <v>898.4</v>
          </cell>
          <cell r="Q6986">
            <v>2.62</v>
          </cell>
          <cell r="T6986">
            <v>14.872999999999999</v>
          </cell>
        </row>
        <row r="6987">
          <cell r="G6987">
            <v>42705</v>
          </cell>
          <cell r="L6987" t="str">
            <v>16-08-007-12W2</v>
          </cell>
          <cell r="O6987">
            <v>860.3</v>
          </cell>
          <cell r="Q6987">
            <v>2.1</v>
          </cell>
          <cell r="T6987">
            <v>52.140999999999998</v>
          </cell>
        </row>
        <row r="6988">
          <cell r="G6988">
            <v>42705</v>
          </cell>
          <cell r="L6988" t="str">
            <v>01-15-005-32W1</v>
          </cell>
          <cell r="O6988">
            <v>848.8</v>
          </cell>
          <cell r="Q6988">
            <v>1.06</v>
          </cell>
          <cell r="T6988">
            <v>53.133000000000003</v>
          </cell>
        </row>
        <row r="6989">
          <cell r="G6989">
            <v>42705</v>
          </cell>
          <cell r="L6989" t="str">
            <v>14-04-007-13W2</v>
          </cell>
          <cell r="O6989">
            <v>859.9</v>
          </cell>
          <cell r="Q6989">
            <v>1.76</v>
          </cell>
          <cell r="T6989">
            <v>67.918000000000006</v>
          </cell>
        </row>
        <row r="6990">
          <cell r="G6990">
            <v>42705</v>
          </cell>
          <cell r="L6990" t="str">
            <v>15-09-010-08W2</v>
          </cell>
          <cell r="O6990">
            <v>884.8</v>
          </cell>
          <cell r="Q6990">
            <v>2.5299999999999998</v>
          </cell>
          <cell r="T6990">
            <v>79.403999999999996</v>
          </cell>
        </row>
        <row r="6991">
          <cell r="G6991">
            <v>42705</v>
          </cell>
          <cell r="L6991" t="str">
            <v>16-27-004-33W1</v>
          </cell>
          <cell r="O6991">
            <v>850</v>
          </cell>
          <cell r="Q6991">
            <v>1.28</v>
          </cell>
          <cell r="T6991">
            <v>79.998000000000005</v>
          </cell>
        </row>
        <row r="6992">
          <cell r="G6992">
            <v>42705</v>
          </cell>
          <cell r="L6992" t="str">
            <v>08-18-011-03W2</v>
          </cell>
          <cell r="O6992">
            <v>856.9</v>
          </cell>
          <cell r="Q6992">
            <v>1.72</v>
          </cell>
          <cell r="T6992">
            <v>86.373999999999995</v>
          </cell>
        </row>
        <row r="6993">
          <cell r="G6993">
            <v>42705</v>
          </cell>
          <cell r="L6993" t="str">
            <v>02-27-004-33W1</v>
          </cell>
          <cell r="O6993">
            <v>831.6</v>
          </cell>
          <cell r="Q6993">
            <v>0.71</v>
          </cell>
          <cell r="T6993">
            <v>93.262</v>
          </cell>
        </row>
        <row r="6994">
          <cell r="G6994">
            <v>42705</v>
          </cell>
          <cell r="L6994" t="str">
            <v>13-17-001-31W1</v>
          </cell>
          <cell r="O6994">
            <v>851.7</v>
          </cell>
          <cell r="Q6994">
            <v>1.35</v>
          </cell>
          <cell r="T6994">
            <v>93.992000000000004</v>
          </cell>
        </row>
        <row r="6995">
          <cell r="G6995">
            <v>42705</v>
          </cell>
          <cell r="L6995" t="str">
            <v>09-30-002-30W1</v>
          </cell>
          <cell r="O6995">
            <v>864.4</v>
          </cell>
          <cell r="Q6995">
            <v>1.72</v>
          </cell>
          <cell r="T6995">
            <v>96.266000000000005</v>
          </cell>
        </row>
        <row r="6996">
          <cell r="G6996">
            <v>42705</v>
          </cell>
          <cell r="L6996" t="str">
            <v>07-25-009-08W2</v>
          </cell>
          <cell r="O6996">
            <v>882.9</v>
          </cell>
          <cell r="Q6996">
            <v>2.33</v>
          </cell>
          <cell r="T6996">
            <v>107.682</v>
          </cell>
        </row>
        <row r="6997">
          <cell r="G6997">
            <v>42705</v>
          </cell>
          <cell r="L6997" t="str">
            <v>09-26-004-32W1</v>
          </cell>
          <cell r="O6997">
            <v>866.9</v>
          </cell>
          <cell r="Q6997">
            <v>1.29</v>
          </cell>
          <cell r="T6997">
            <v>106.587</v>
          </cell>
        </row>
        <row r="6998">
          <cell r="G6998">
            <v>42705</v>
          </cell>
          <cell r="L6998" t="str">
            <v>10-09-004-33W1</v>
          </cell>
          <cell r="O6998">
            <v>838.6</v>
          </cell>
          <cell r="Q6998">
            <v>0.67</v>
          </cell>
          <cell r="T6998">
            <v>109.395</v>
          </cell>
        </row>
        <row r="6999">
          <cell r="G6999">
            <v>42705</v>
          </cell>
          <cell r="L6999" t="str">
            <v>13-34-007-14W2</v>
          </cell>
          <cell r="O6999">
            <v>868.7</v>
          </cell>
          <cell r="Q6999">
            <v>2.09</v>
          </cell>
          <cell r="T6999">
            <v>117.748</v>
          </cell>
        </row>
        <row r="7000">
          <cell r="G7000">
            <v>42705</v>
          </cell>
          <cell r="L7000" t="str">
            <v>03-13-006-33W1</v>
          </cell>
          <cell r="O7000">
            <v>838.2</v>
          </cell>
          <cell r="Q7000">
            <v>0.78</v>
          </cell>
          <cell r="T7000">
            <v>118.98399999999999</v>
          </cell>
        </row>
        <row r="7001">
          <cell r="G7001">
            <v>42705</v>
          </cell>
          <cell r="L7001" t="str">
            <v>16-24-004-01W2</v>
          </cell>
          <cell r="O7001">
            <v>825.3</v>
          </cell>
          <cell r="Q7001">
            <v>0.61</v>
          </cell>
          <cell r="T7001">
            <v>120.983</v>
          </cell>
        </row>
        <row r="7002">
          <cell r="G7002">
            <v>42705</v>
          </cell>
          <cell r="L7002" t="str">
            <v>08-01-004-32W1</v>
          </cell>
          <cell r="O7002">
            <v>861.1</v>
          </cell>
          <cell r="Q7002">
            <v>1.62</v>
          </cell>
          <cell r="T7002">
            <v>124.291</v>
          </cell>
        </row>
        <row r="7003">
          <cell r="G7003">
            <v>42705</v>
          </cell>
          <cell r="L7003" t="str">
            <v>09-08-004-33W1</v>
          </cell>
          <cell r="O7003">
            <v>834</v>
          </cell>
          <cell r="Q7003">
            <v>0.71</v>
          </cell>
          <cell r="T7003">
            <v>130.72800000000001</v>
          </cell>
        </row>
        <row r="7004">
          <cell r="G7004">
            <v>42705</v>
          </cell>
          <cell r="L7004" t="str">
            <v>07-24-001-32W1</v>
          </cell>
          <cell r="O7004">
            <v>851.8</v>
          </cell>
          <cell r="Q7004">
            <v>1.57</v>
          </cell>
          <cell r="T7004">
            <v>135.136</v>
          </cell>
        </row>
        <row r="7005">
          <cell r="G7005">
            <v>42705</v>
          </cell>
          <cell r="L7005" t="str">
            <v>09-31-007-12W2</v>
          </cell>
          <cell r="O7005">
            <v>870.1</v>
          </cell>
          <cell r="Q7005">
            <v>2.15</v>
          </cell>
          <cell r="T7005">
            <v>147.12100000000001</v>
          </cell>
        </row>
        <row r="7006">
          <cell r="G7006">
            <v>42705</v>
          </cell>
          <cell r="L7006" t="str">
            <v>16-16-010-02W2</v>
          </cell>
          <cell r="O7006">
            <v>856</v>
          </cell>
          <cell r="Q7006">
            <v>1.72</v>
          </cell>
          <cell r="T7006">
            <v>136.84399999999999</v>
          </cell>
        </row>
        <row r="7007">
          <cell r="G7007">
            <v>42705</v>
          </cell>
          <cell r="L7007" t="str">
            <v>04-15-008-33W1</v>
          </cell>
          <cell r="O7007">
            <v>846.9</v>
          </cell>
          <cell r="Q7007">
            <v>1.1599999999999999</v>
          </cell>
          <cell r="T7007">
            <v>136.87</v>
          </cell>
        </row>
        <row r="7008">
          <cell r="G7008">
            <v>42705</v>
          </cell>
          <cell r="L7008" t="str">
            <v>03-19-001-31W1</v>
          </cell>
          <cell r="O7008">
            <v>865.5</v>
          </cell>
          <cell r="Q7008">
            <v>1.85</v>
          </cell>
          <cell r="T7008">
            <v>138.1</v>
          </cell>
        </row>
        <row r="7009">
          <cell r="G7009">
            <v>42705</v>
          </cell>
          <cell r="L7009" t="str">
            <v>09-23-002-01W2</v>
          </cell>
          <cell r="O7009">
            <v>846.8</v>
          </cell>
          <cell r="Q7009">
            <v>0.93</v>
          </cell>
          <cell r="T7009">
            <v>139.51</v>
          </cell>
        </row>
        <row r="7010">
          <cell r="G7010">
            <v>42705</v>
          </cell>
          <cell r="L7010" t="str">
            <v>03-05-006-05W2</v>
          </cell>
          <cell r="O7010">
            <v>844</v>
          </cell>
          <cell r="Q7010">
            <v>1.1599999999999999</v>
          </cell>
          <cell r="T7010">
            <v>150.99</v>
          </cell>
        </row>
        <row r="7011">
          <cell r="G7011">
            <v>42705</v>
          </cell>
          <cell r="L7011" t="str">
            <v>09-30-007-08W2</v>
          </cell>
          <cell r="O7011">
            <v>834.2</v>
          </cell>
          <cell r="Q7011">
            <v>1.2</v>
          </cell>
          <cell r="T7011">
            <v>160.39099999999999</v>
          </cell>
        </row>
        <row r="7012">
          <cell r="G7012">
            <v>42705</v>
          </cell>
          <cell r="L7012" t="str">
            <v>15-09-010-02W2</v>
          </cell>
          <cell r="O7012">
            <v>863.5</v>
          </cell>
          <cell r="Q7012">
            <v>1.73</v>
          </cell>
          <cell r="T7012">
            <v>153.16300000000001</v>
          </cell>
        </row>
        <row r="7013">
          <cell r="G7013">
            <v>42705</v>
          </cell>
          <cell r="L7013" t="str">
            <v>12-12-005-34W1</v>
          </cell>
          <cell r="O7013">
            <v>825.6</v>
          </cell>
          <cell r="Q7013">
            <v>0.59</v>
          </cell>
          <cell r="T7013">
            <v>169.90299999999999</v>
          </cell>
        </row>
        <row r="7014">
          <cell r="G7014">
            <v>42705</v>
          </cell>
          <cell r="L7014" t="str">
            <v>01-29-004-07W2</v>
          </cell>
          <cell r="O7014">
            <v>883.3</v>
          </cell>
          <cell r="Q7014">
            <v>2.0099999999999998</v>
          </cell>
          <cell r="T7014">
            <v>188.94200000000001</v>
          </cell>
        </row>
        <row r="7015">
          <cell r="G7015">
            <v>42705</v>
          </cell>
          <cell r="L7015" t="str">
            <v>01-11-005-04W2</v>
          </cell>
          <cell r="O7015">
            <v>855.6</v>
          </cell>
          <cell r="Q7015">
            <v>1.99</v>
          </cell>
          <cell r="T7015">
            <v>192.21299999999999</v>
          </cell>
        </row>
        <row r="7016">
          <cell r="G7016">
            <v>42705</v>
          </cell>
          <cell r="L7016" t="str">
            <v>02-17-005-31W1</v>
          </cell>
          <cell r="O7016">
            <v>849.4</v>
          </cell>
          <cell r="Q7016">
            <v>1.29</v>
          </cell>
          <cell r="T7016">
            <v>189.15199999999999</v>
          </cell>
        </row>
        <row r="7017">
          <cell r="G7017">
            <v>42705</v>
          </cell>
          <cell r="L7017" t="str">
            <v>13-25-001-01W2</v>
          </cell>
          <cell r="O7017">
            <v>839.6</v>
          </cell>
          <cell r="Q7017">
            <v>0.81</v>
          </cell>
          <cell r="T7017">
            <v>186.87200000000001</v>
          </cell>
        </row>
        <row r="7018">
          <cell r="G7018">
            <v>42705</v>
          </cell>
          <cell r="L7018" t="str">
            <v>02-30-001-31W1</v>
          </cell>
          <cell r="O7018">
            <v>864.6</v>
          </cell>
          <cell r="Q7018">
            <v>1.59</v>
          </cell>
          <cell r="T7018">
            <v>196.76400000000001</v>
          </cell>
        </row>
        <row r="7019">
          <cell r="G7019">
            <v>42705</v>
          </cell>
          <cell r="L7019" t="str">
            <v>07-25-003-13W2</v>
          </cell>
          <cell r="O7019">
            <v>891.4</v>
          </cell>
          <cell r="Q7019">
            <v>2.4300000000000002</v>
          </cell>
          <cell r="T7019">
            <v>234.66300000000001</v>
          </cell>
        </row>
        <row r="7020">
          <cell r="G7020">
            <v>42705</v>
          </cell>
          <cell r="L7020" t="str">
            <v>01-24-007-05W2</v>
          </cell>
          <cell r="O7020">
            <v>844.1</v>
          </cell>
          <cell r="Q7020">
            <v>1.29</v>
          </cell>
          <cell r="T7020">
            <v>222.77699999999999</v>
          </cell>
        </row>
        <row r="7021">
          <cell r="G7021">
            <v>42705</v>
          </cell>
          <cell r="L7021" t="str">
            <v>15-21-008-03W2</v>
          </cell>
          <cell r="O7021">
            <v>852.8</v>
          </cell>
          <cell r="Q7021">
            <v>1.46</v>
          </cell>
          <cell r="T7021">
            <v>222.53299999999999</v>
          </cell>
        </row>
        <row r="7022">
          <cell r="G7022">
            <v>42705</v>
          </cell>
          <cell r="L7022" t="str">
            <v>10-26-010-03W2</v>
          </cell>
          <cell r="O7022">
            <v>852.4</v>
          </cell>
          <cell r="Q7022">
            <v>1.56</v>
          </cell>
          <cell r="T7022">
            <v>231.55500000000001</v>
          </cell>
        </row>
        <row r="7023">
          <cell r="G7023">
            <v>42705</v>
          </cell>
          <cell r="L7023" t="str">
            <v>08-31-005-03W2</v>
          </cell>
          <cell r="O7023">
            <v>842.8</v>
          </cell>
          <cell r="Q7023">
            <v>1.05</v>
          </cell>
          <cell r="T7023">
            <v>229.89099999999999</v>
          </cell>
        </row>
        <row r="7024">
          <cell r="G7024">
            <v>42705</v>
          </cell>
          <cell r="L7024" t="str">
            <v>09-18-007-04W2</v>
          </cell>
          <cell r="O7024">
            <v>852.6</v>
          </cell>
          <cell r="Q7024">
            <v>1.41</v>
          </cell>
          <cell r="T7024">
            <v>234.20400000000001</v>
          </cell>
        </row>
        <row r="7025">
          <cell r="G7025">
            <v>42705</v>
          </cell>
          <cell r="L7025" t="str">
            <v>10-33-003-31W1</v>
          </cell>
          <cell r="O7025">
            <v>885.1</v>
          </cell>
          <cell r="Q7025">
            <v>0.88</v>
          </cell>
          <cell r="T7025">
            <v>244.95699999999999</v>
          </cell>
        </row>
        <row r="7026">
          <cell r="G7026">
            <v>42705</v>
          </cell>
          <cell r="L7026" t="str">
            <v>12-22-007-11W2</v>
          </cell>
          <cell r="O7026">
            <v>827.7</v>
          </cell>
          <cell r="Q7026">
            <v>1.52</v>
          </cell>
          <cell r="T7026">
            <v>5268.48</v>
          </cell>
        </row>
        <row r="7027">
          <cell r="G7027">
            <v>42705</v>
          </cell>
          <cell r="L7027" t="str">
            <v>01-28-002-14W2</v>
          </cell>
          <cell r="O7027">
            <v>846.9</v>
          </cell>
          <cell r="Q7027">
            <v>1.57</v>
          </cell>
          <cell r="T7027">
            <v>5257.84</v>
          </cell>
        </row>
        <row r="7028">
          <cell r="G7028">
            <v>42705</v>
          </cell>
          <cell r="L7028" t="str">
            <v>04-21-006-14W2</v>
          </cell>
          <cell r="O7028">
            <v>858.6</v>
          </cell>
          <cell r="Q7028">
            <v>2.06</v>
          </cell>
          <cell r="T7028">
            <v>3089.9760000000001</v>
          </cell>
        </row>
        <row r="7029">
          <cell r="G7029">
            <v>42705</v>
          </cell>
          <cell r="L7029" t="str">
            <v>14-33-006-14W2</v>
          </cell>
          <cell r="O7029">
            <v>850.5</v>
          </cell>
          <cell r="Q7029">
            <v>1.68</v>
          </cell>
          <cell r="T7029">
            <v>2326.9940000000001</v>
          </cell>
        </row>
        <row r="7030">
          <cell r="G7030">
            <v>42705</v>
          </cell>
          <cell r="L7030" t="str">
            <v>05-18-004-17W2</v>
          </cell>
          <cell r="O7030">
            <v>862.9</v>
          </cell>
          <cell r="Q7030">
            <v>2.14</v>
          </cell>
          <cell r="T7030">
            <v>1992.62</v>
          </cell>
        </row>
        <row r="7031">
          <cell r="G7031">
            <v>42705</v>
          </cell>
          <cell r="L7031" t="str">
            <v>07-02-007-11W2</v>
          </cell>
          <cell r="O7031">
            <v>857.4</v>
          </cell>
          <cell r="Q7031">
            <v>1.28</v>
          </cell>
          <cell r="T7031">
            <v>1488.8910000000001</v>
          </cell>
        </row>
        <row r="7032">
          <cell r="G7032">
            <v>42705</v>
          </cell>
          <cell r="L7032" t="str">
            <v>15-33-006-14W2</v>
          </cell>
          <cell r="O7032">
            <v>846.7</v>
          </cell>
          <cell r="Q7032">
            <v>1.65</v>
          </cell>
          <cell r="T7032">
            <v>1162.4280000000001</v>
          </cell>
        </row>
        <row r="7033">
          <cell r="G7033">
            <v>42705</v>
          </cell>
          <cell r="L7033" t="str">
            <v>01-22-006-14W2</v>
          </cell>
          <cell r="O7033">
            <v>862.3</v>
          </cell>
          <cell r="Q7033">
            <v>2.14</v>
          </cell>
          <cell r="T7033">
            <v>888.50900000000001</v>
          </cell>
        </row>
        <row r="7034">
          <cell r="G7034">
            <v>42705</v>
          </cell>
          <cell r="L7034" t="str">
            <v>03-05-005-11W2</v>
          </cell>
          <cell r="O7034">
            <v>873.7</v>
          </cell>
          <cell r="Q7034">
            <v>1.55</v>
          </cell>
          <cell r="T7034">
            <v>845.67</v>
          </cell>
        </row>
        <row r="7035">
          <cell r="G7035">
            <v>42705</v>
          </cell>
          <cell r="L7035" t="str">
            <v>04-11-007-13W2</v>
          </cell>
          <cell r="O7035">
            <v>866</v>
          </cell>
          <cell r="Q7035">
            <v>1.91</v>
          </cell>
          <cell r="T7035">
            <v>706.38</v>
          </cell>
        </row>
        <row r="7036">
          <cell r="G7036">
            <v>42705</v>
          </cell>
          <cell r="L7036" t="str">
            <v>03-06-005-12W2</v>
          </cell>
          <cell r="O7036">
            <v>885.9</v>
          </cell>
          <cell r="Q7036">
            <v>2.4</v>
          </cell>
          <cell r="T7036">
            <v>447.18</v>
          </cell>
        </row>
        <row r="7037">
          <cell r="G7037">
            <v>42705</v>
          </cell>
          <cell r="L7037" t="str">
            <v>01-03-008-13W2</v>
          </cell>
          <cell r="O7037">
            <v>853</v>
          </cell>
          <cell r="Q7037">
            <v>2.0499999999999998</v>
          </cell>
          <cell r="T7037">
            <v>330.178</v>
          </cell>
        </row>
        <row r="7038">
          <cell r="G7038">
            <v>42705</v>
          </cell>
          <cell r="L7038" t="str">
            <v>15-30-007-12W2</v>
          </cell>
          <cell r="O7038">
            <v>869.4</v>
          </cell>
          <cell r="Q7038">
            <v>2.38</v>
          </cell>
          <cell r="T7038">
            <v>309.64100000000002</v>
          </cell>
        </row>
        <row r="7039">
          <cell r="G7039">
            <v>42705</v>
          </cell>
          <cell r="L7039" t="str">
            <v>10-22-006-14W2</v>
          </cell>
          <cell r="O7039">
            <v>851</v>
          </cell>
          <cell r="Q7039">
            <v>1.64</v>
          </cell>
          <cell r="T7039">
            <v>302.92399999999998</v>
          </cell>
        </row>
        <row r="7040">
          <cell r="G7040">
            <v>42705</v>
          </cell>
          <cell r="L7040" t="str">
            <v>11-23-002-34W1</v>
          </cell>
          <cell r="O7040">
            <v>834.4</v>
          </cell>
          <cell r="Q7040">
            <v>0.76</v>
          </cell>
          <cell r="T7040">
            <v>244.816</v>
          </cell>
        </row>
        <row r="7041">
          <cell r="G7041">
            <v>42705</v>
          </cell>
          <cell r="L7041" t="str">
            <v>09-13-007-11W2</v>
          </cell>
          <cell r="O7041">
            <v>803.5</v>
          </cell>
          <cell r="Q7041">
            <v>0.37</v>
          </cell>
          <cell r="T7041">
            <v>22011.311000000002</v>
          </cell>
        </row>
        <row r="7042">
          <cell r="G7042">
            <v>42705</v>
          </cell>
          <cell r="L7042" t="str">
            <v>07-12-006-11W2</v>
          </cell>
          <cell r="O7042">
            <v>875.2</v>
          </cell>
          <cell r="Q7042">
            <v>2.08</v>
          </cell>
          <cell r="T7042">
            <v>21372.330999999998</v>
          </cell>
        </row>
        <row r="7043">
          <cell r="G7043">
            <v>42705</v>
          </cell>
          <cell r="L7043" t="str">
            <v>14-27-001-13W2</v>
          </cell>
          <cell r="O7043">
            <v>818.9</v>
          </cell>
          <cell r="Q7043">
            <v>0.12</v>
          </cell>
          <cell r="T7043">
            <v>21171.823</v>
          </cell>
        </row>
        <row r="7044">
          <cell r="G7044">
            <v>42705</v>
          </cell>
          <cell r="L7044" t="str">
            <v>01-21-001-14W2</v>
          </cell>
          <cell r="O7044">
            <v>807.6</v>
          </cell>
          <cell r="Q7044">
            <v>0.14000000000000001</v>
          </cell>
          <cell r="T7044">
            <v>15481.353999999999</v>
          </cell>
        </row>
        <row r="7045">
          <cell r="G7045">
            <v>42705</v>
          </cell>
          <cell r="L7045" t="str">
            <v>13-30-007-10W2</v>
          </cell>
          <cell r="O7045">
            <v>807.5</v>
          </cell>
          <cell r="Q7045">
            <v>0.6</v>
          </cell>
          <cell r="T7045">
            <v>9665.3340000000007</v>
          </cell>
        </row>
        <row r="7046">
          <cell r="G7046">
            <v>42705</v>
          </cell>
          <cell r="L7046" t="str">
            <v>08-31-004-18W2</v>
          </cell>
          <cell r="O7046">
            <v>856.8</v>
          </cell>
          <cell r="Q7046">
            <v>1.87</v>
          </cell>
          <cell r="T7046">
            <v>8124.8389999999999</v>
          </cell>
        </row>
        <row r="7047">
          <cell r="G7047">
            <v>42705</v>
          </cell>
          <cell r="L7047" t="str">
            <v>04-05-002-15W2</v>
          </cell>
          <cell r="O7047">
            <v>863.9</v>
          </cell>
          <cell r="Q7047">
            <v>2.04</v>
          </cell>
          <cell r="T7047">
            <v>3726.9639999999999</v>
          </cell>
        </row>
        <row r="7048">
          <cell r="G7048">
            <v>42705</v>
          </cell>
          <cell r="L7048" t="str">
            <v>11-02-005-12W2</v>
          </cell>
          <cell r="O7048">
            <v>834.5</v>
          </cell>
          <cell r="Q7048">
            <v>1.63</v>
          </cell>
          <cell r="T7048">
            <v>3105.3330000000001</v>
          </cell>
        </row>
        <row r="7049">
          <cell r="G7049">
            <v>42705</v>
          </cell>
          <cell r="L7049" t="str">
            <v>05-31-003-16W2</v>
          </cell>
          <cell r="O7049">
            <v>891.9</v>
          </cell>
          <cell r="Q7049">
            <v>2.42</v>
          </cell>
          <cell r="T7049">
            <v>2838.681</v>
          </cell>
        </row>
        <row r="7050">
          <cell r="G7050">
            <v>42705</v>
          </cell>
          <cell r="L7050" t="str">
            <v>13-02-007-14W2</v>
          </cell>
          <cell r="O7050">
            <v>853.6</v>
          </cell>
          <cell r="Q7050">
            <v>1.81</v>
          </cell>
          <cell r="T7050">
            <v>1523.8219999999999</v>
          </cell>
        </row>
        <row r="7051">
          <cell r="G7051">
            <v>42705</v>
          </cell>
          <cell r="L7051" t="str">
            <v>11-04-005-12W2</v>
          </cell>
          <cell r="O7051">
            <v>878.2</v>
          </cell>
          <cell r="Q7051">
            <v>2.0299999999999998</v>
          </cell>
          <cell r="T7051">
            <v>1515.7059999999999</v>
          </cell>
        </row>
        <row r="7052">
          <cell r="G7052">
            <v>42705</v>
          </cell>
          <cell r="L7052" t="str">
            <v>15-32-004-12W2</v>
          </cell>
          <cell r="O7052">
            <v>881.7</v>
          </cell>
          <cell r="Q7052">
            <v>2.14</v>
          </cell>
          <cell r="T7052">
            <v>1438.3150000000001</v>
          </cell>
        </row>
        <row r="7053">
          <cell r="G7053">
            <v>42705</v>
          </cell>
          <cell r="L7053" t="str">
            <v>06-03-001-16W2</v>
          </cell>
          <cell r="O7053">
            <v>841.2</v>
          </cell>
          <cell r="Q7053">
            <v>1.1299999999999999</v>
          </cell>
          <cell r="T7053">
            <v>1415.835</v>
          </cell>
        </row>
        <row r="7054">
          <cell r="G7054">
            <v>42705</v>
          </cell>
          <cell r="L7054" t="str">
            <v>15-25-007-11W2</v>
          </cell>
          <cell r="O7054">
            <v>861.8</v>
          </cell>
          <cell r="Q7054">
            <v>1.94</v>
          </cell>
          <cell r="T7054">
            <v>1374.9280000000001</v>
          </cell>
        </row>
        <row r="7055">
          <cell r="G7055">
            <v>42705</v>
          </cell>
          <cell r="L7055" t="str">
            <v>16-23-006-11W2</v>
          </cell>
          <cell r="O7055">
            <v>876.8</v>
          </cell>
          <cell r="Q7055">
            <v>2.2799999999999998</v>
          </cell>
          <cell r="T7055">
            <v>1190.8800000000001</v>
          </cell>
        </row>
        <row r="7056">
          <cell r="G7056">
            <v>42705</v>
          </cell>
          <cell r="L7056" t="str">
            <v>11-26-002-19W2</v>
          </cell>
          <cell r="O7056">
            <v>873</v>
          </cell>
          <cell r="Q7056">
            <v>1.84</v>
          </cell>
          <cell r="T7056">
            <v>986.31700000000001</v>
          </cell>
        </row>
        <row r="7057">
          <cell r="G7057">
            <v>42705</v>
          </cell>
          <cell r="L7057" t="str">
            <v>12-25-004-19W2</v>
          </cell>
          <cell r="O7057">
            <v>866.6</v>
          </cell>
          <cell r="Q7057">
            <v>2.35</v>
          </cell>
          <cell r="T7057">
            <v>787.524</v>
          </cell>
        </row>
        <row r="7058">
          <cell r="G7058">
            <v>42705</v>
          </cell>
          <cell r="L7058" t="str">
            <v>02-29-001-17W2</v>
          </cell>
          <cell r="O7058">
            <v>861.3</v>
          </cell>
          <cell r="Q7058">
            <v>1.74</v>
          </cell>
          <cell r="T7058">
            <v>756.91099999999994</v>
          </cell>
        </row>
        <row r="7059">
          <cell r="G7059">
            <v>42705</v>
          </cell>
          <cell r="L7059" t="str">
            <v>05-35-006-11W2</v>
          </cell>
          <cell r="O7059">
            <v>809.2</v>
          </cell>
          <cell r="Q7059">
            <v>0.1</v>
          </cell>
          <cell r="T7059">
            <v>461.38900000000001</v>
          </cell>
        </row>
        <row r="7060">
          <cell r="G7060">
            <v>42705</v>
          </cell>
          <cell r="L7060" t="str">
            <v>03-12-002-19W2</v>
          </cell>
          <cell r="O7060">
            <v>869.8</v>
          </cell>
          <cell r="Q7060">
            <v>2.23</v>
          </cell>
          <cell r="T7060">
            <v>332.95499999999998</v>
          </cell>
        </row>
        <row r="7061">
          <cell r="G7061">
            <v>42705</v>
          </cell>
          <cell r="L7061" t="str">
            <v>09-28-001-15W2</v>
          </cell>
          <cell r="O7061">
            <v>861.9</v>
          </cell>
          <cell r="Q7061">
            <v>1.05</v>
          </cell>
          <cell r="T7061">
            <v>330.73200000000003</v>
          </cell>
        </row>
        <row r="7062">
          <cell r="G7062">
            <v>42705</v>
          </cell>
          <cell r="L7062" t="str">
            <v>08-31-009-01W2</v>
          </cell>
          <cell r="O7062">
            <v>859.1</v>
          </cell>
          <cell r="Q7062">
            <v>1.7</v>
          </cell>
          <cell r="T7062">
            <v>247.607</v>
          </cell>
        </row>
        <row r="7063">
          <cell r="G7063">
            <v>42705</v>
          </cell>
          <cell r="L7063" t="str">
            <v>14-18-001-04W2</v>
          </cell>
          <cell r="O7063">
            <v>824.7</v>
          </cell>
          <cell r="Q7063">
            <v>0.53</v>
          </cell>
          <cell r="T7063">
            <v>288.09699999999998</v>
          </cell>
        </row>
        <row r="7064">
          <cell r="G7064">
            <v>42705</v>
          </cell>
          <cell r="L7064" t="str">
            <v>01-07-006-10W2</v>
          </cell>
          <cell r="O7064">
            <v>825</v>
          </cell>
          <cell r="Q7064">
            <v>1.5</v>
          </cell>
          <cell r="T7064">
            <v>53327.86</v>
          </cell>
        </row>
        <row r="7065">
          <cell r="G7065">
            <v>42705</v>
          </cell>
          <cell r="L7065" t="str">
            <v>07-36-001-34W1</v>
          </cell>
          <cell r="O7065">
            <v>852.2</v>
          </cell>
          <cell r="Q7065">
            <v>1.1499999999999999</v>
          </cell>
          <cell r="T7065">
            <v>273.88900000000001</v>
          </cell>
        </row>
        <row r="7066">
          <cell r="G7066">
            <v>42705</v>
          </cell>
          <cell r="L7066" t="str">
            <v>03-33-008-06W2</v>
          </cell>
          <cell r="O7066">
            <v>805.2</v>
          </cell>
          <cell r="Q7066">
            <v>0.19</v>
          </cell>
          <cell r="T7066">
            <v>13104.25</v>
          </cell>
        </row>
        <row r="7067">
          <cell r="G7067">
            <v>42705</v>
          </cell>
          <cell r="L7067" t="str">
            <v>12-06-009-07W2</v>
          </cell>
          <cell r="O7067">
            <v>805.7</v>
          </cell>
          <cell r="Q7067">
            <v>0.17</v>
          </cell>
          <cell r="T7067">
            <v>9482.9609999999993</v>
          </cell>
        </row>
        <row r="7068">
          <cell r="G7068">
            <v>42705</v>
          </cell>
          <cell r="L7068" t="str">
            <v>02-26-009-09W2</v>
          </cell>
          <cell r="O7068">
            <v>810</v>
          </cell>
          <cell r="Q7068">
            <v>0.16</v>
          </cell>
          <cell r="T7068">
            <v>6988.2160000000003</v>
          </cell>
        </row>
        <row r="7069">
          <cell r="G7069">
            <v>42705</v>
          </cell>
          <cell r="L7069" t="str">
            <v>03-17-011-06W2</v>
          </cell>
          <cell r="O7069">
            <v>883.4</v>
          </cell>
          <cell r="Q7069">
            <v>2.57</v>
          </cell>
          <cell r="T7069">
            <v>3078.277</v>
          </cell>
        </row>
        <row r="7070">
          <cell r="G7070">
            <v>42705</v>
          </cell>
          <cell r="L7070" t="str">
            <v>13-14-009-09W2</v>
          </cell>
          <cell r="O7070">
            <v>867</v>
          </cell>
          <cell r="Q7070">
            <v>1.89</v>
          </cell>
          <cell r="T7070">
            <v>2131.3910000000001</v>
          </cell>
        </row>
        <row r="7071">
          <cell r="G7071">
            <v>42705</v>
          </cell>
          <cell r="L7071" t="str">
            <v>04-18-009-06W2</v>
          </cell>
          <cell r="O7071">
            <v>823.1</v>
          </cell>
          <cell r="Q7071">
            <v>0.88</v>
          </cell>
          <cell r="T7071">
            <v>1120.3710000000001</v>
          </cell>
        </row>
        <row r="7072">
          <cell r="G7072">
            <v>42705</v>
          </cell>
          <cell r="L7072" t="str">
            <v>03-15-012-06W2</v>
          </cell>
          <cell r="O7072">
            <v>886.4</v>
          </cell>
          <cell r="Q7072">
            <v>2.57</v>
          </cell>
          <cell r="T7072">
            <v>1097.7940000000001</v>
          </cell>
        </row>
        <row r="7073">
          <cell r="G7073">
            <v>42705</v>
          </cell>
          <cell r="L7073" t="str">
            <v>09-10-009-06W2</v>
          </cell>
          <cell r="O7073">
            <v>852.5</v>
          </cell>
          <cell r="Q7073">
            <v>1.65</v>
          </cell>
          <cell r="T7073">
            <v>713.69600000000003</v>
          </cell>
        </row>
        <row r="7074">
          <cell r="G7074">
            <v>42705</v>
          </cell>
          <cell r="L7074" t="str">
            <v>05-31-009-07W2</v>
          </cell>
          <cell r="O7074">
            <v>877.6</v>
          </cell>
          <cell r="Q7074">
            <v>2.31</v>
          </cell>
          <cell r="T7074">
            <v>566.29</v>
          </cell>
        </row>
        <row r="7075">
          <cell r="G7075">
            <v>42705</v>
          </cell>
          <cell r="L7075" t="str">
            <v>09-26-007-09W2</v>
          </cell>
          <cell r="O7075">
            <v>813.7</v>
          </cell>
          <cell r="Q7075">
            <v>0.48</v>
          </cell>
          <cell r="T7075">
            <v>536.65300000000002</v>
          </cell>
        </row>
        <row r="7076">
          <cell r="G7076">
            <v>42705</v>
          </cell>
          <cell r="L7076" t="str">
            <v>04-08-008-08W2</v>
          </cell>
          <cell r="O7076">
            <v>813.1</v>
          </cell>
          <cell r="Q7076">
            <v>0.2</v>
          </cell>
          <cell r="T7076">
            <v>75984.024999999994</v>
          </cell>
        </row>
        <row r="7077">
          <cell r="G7077">
            <v>42705</v>
          </cell>
          <cell r="L7077" t="str">
            <v>09-14-009-08W2</v>
          </cell>
          <cell r="O7077">
            <v>802.9</v>
          </cell>
          <cell r="Q7077">
            <v>0.15</v>
          </cell>
          <cell r="T7077">
            <v>30199.411</v>
          </cell>
        </row>
        <row r="7078">
          <cell r="G7078">
            <v>42705</v>
          </cell>
          <cell r="L7078" t="str">
            <v>13-29-008-07W2</v>
          </cell>
          <cell r="O7078">
            <v>800.9</v>
          </cell>
          <cell r="Q7078">
            <v>0.13</v>
          </cell>
          <cell r="T7078">
            <v>21635.382000000001</v>
          </cell>
        </row>
        <row r="7079">
          <cell r="G7079">
            <v>42705</v>
          </cell>
          <cell r="L7079" t="str">
            <v>11-15-007-09W2</v>
          </cell>
          <cell r="O7079">
            <v>821.7</v>
          </cell>
          <cell r="Q7079">
            <v>0.55000000000000004</v>
          </cell>
          <cell r="T7079">
            <v>5355.0209999999997</v>
          </cell>
        </row>
        <row r="7080">
          <cell r="G7080">
            <v>42705</v>
          </cell>
          <cell r="L7080" t="str">
            <v>13-18-010-06W2</v>
          </cell>
          <cell r="O7080">
            <v>832.1</v>
          </cell>
          <cell r="Q7080">
            <v>0.9</v>
          </cell>
          <cell r="T7080">
            <v>5043.8130000000001</v>
          </cell>
        </row>
        <row r="7081">
          <cell r="G7081">
            <v>42705</v>
          </cell>
          <cell r="L7081" t="str">
            <v>09-20-008-08W2</v>
          </cell>
          <cell r="O7081">
            <v>813.4</v>
          </cell>
          <cell r="Q7081">
            <v>0.33</v>
          </cell>
          <cell r="T7081">
            <v>2747.39</v>
          </cell>
        </row>
        <row r="7082">
          <cell r="G7082">
            <v>42705</v>
          </cell>
          <cell r="L7082" t="str">
            <v>13-07-010-09W2</v>
          </cell>
          <cell r="O7082">
            <v>815.7</v>
          </cell>
          <cell r="Q7082">
            <v>0.16</v>
          </cell>
          <cell r="T7082">
            <v>2041.5150000000001</v>
          </cell>
        </row>
        <row r="7083">
          <cell r="G7083">
            <v>42705</v>
          </cell>
          <cell r="L7083" t="str">
            <v>03-06-011-07W2</v>
          </cell>
          <cell r="O7083">
            <v>880.5</v>
          </cell>
          <cell r="Q7083">
            <v>1.81</v>
          </cell>
          <cell r="T7083">
            <v>1846.2049999999999</v>
          </cell>
        </row>
        <row r="7084">
          <cell r="G7084">
            <v>42705</v>
          </cell>
          <cell r="L7084" t="str">
            <v>05-13-009-06W2</v>
          </cell>
          <cell r="O7084">
            <v>845.8</v>
          </cell>
          <cell r="Q7084">
            <v>1.51</v>
          </cell>
          <cell r="T7084">
            <v>1815.306</v>
          </cell>
        </row>
        <row r="7085">
          <cell r="G7085">
            <v>42705</v>
          </cell>
          <cell r="L7085" t="str">
            <v>15-23-006-08W2</v>
          </cell>
          <cell r="O7085">
            <v>868.2</v>
          </cell>
          <cell r="Q7085">
            <v>1.86</v>
          </cell>
          <cell r="T7085">
            <v>1545.1089999999999</v>
          </cell>
        </row>
        <row r="7086">
          <cell r="G7086">
            <v>42705</v>
          </cell>
          <cell r="L7086" t="str">
            <v>05-13-008-06W2</v>
          </cell>
          <cell r="O7086">
            <v>818.5</v>
          </cell>
          <cell r="Q7086">
            <v>0.51</v>
          </cell>
          <cell r="T7086">
            <v>1445.761</v>
          </cell>
        </row>
        <row r="7087">
          <cell r="G7087">
            <v>42705</v>
          </cell>
          <cell r="L7087" t="str">
            <v>07-04-010-08W2</v>
          </cell>
          <cell r="O7087">
            <v>876.9</v>
          </cell>
          <cell r="Q7087">
            <v>2.4300000000000002</v>
          </cell>
          <cell r="T7087">
            <v>1350.56</v>
          </cell>
        </row>
        <row r="7088">
          <cell r="G7088">
            <v>42705</v>
          </cell>
          <cell r="L7088" t="str">
            <v>09-06-010-07W2</v>
          </cell>
          <cell r="O7088">
            <v>881.9</v>
          </cell>
          <cell r="Q7088">
            <v>2.36</v>
          </cell>
          <cell r="T7088">
            <v>962.64599999999996</v>
          </cell>
        </row>
        <row r="7089">
          <cell r="G7089">
            <v>42705</v>
          </cell>
          <cell r="L7089" t="str">
            <v>01-26-006-09W2</v>
          </cell>
          <cell r="O7089">
            <v>883.8</v>
          </cell>
          <cell r="Q7089">
            <v>2.34</v>
          </cell>
          <cell r="T7089">
            <v>923.91300000000001</v>
          </cell>
        </row>
        <row r="7090">
          <cell r="G7090">
            <v>42705</v>
          </cell>
          <cell r="L7090" t="str">
            <v>07-28-007-08W2</v>
          </cell>
          <cell r="O7090">
            <v>845.2</v>
          </cell>
          <cell r="Q7090">
            <v>1.25</v>
          </cell>
          <cell r="T7090">
            <v>777.12599999999998</v>
          </cell>
        </row>
        <row r="7091">
          <cell r="G7091">
            <v>42705</v>
          </cell>
          <cell r="L7091" t="str">
            <v>09-11-010-08W2</v>
          </cell>
          <cell r="O7091">
            <v>881.5</v>
          </cell>
          <cell r="Q7091">
            <v>2.4700000000000002</v>
          </cell>
          <cell r="T7091">
            <v>718.01800000000003</v>
          </cell>
        </row>
        <row r="7092">
          <cell r="G7092">
            <v>42705</v>
          </cell>
          <cell r="L7092" t="str">
            <v>16-35-009-09W2</v>
          </cell>
          <cell r="O7092">
            <v>880.3</v>
          </cell>
          <cell r="Q7092">
            <v>2.4300000000000002</v>
          </cell>
          <cell r="T7092">
            <v>614.60299999999995</v>
          </cell>
        </row>
        <row r="7093">
          <cell r="G7093">
            <v>42705</v>
          </cell>
          <cell r="L7093" t="str">
            <v>01-22-010-07W2</v>
          </cell>
          <cell r="O7093">
            <v>884.8</v>
          </cell>
          <cell r="Q7093">
            <v>2.5099999999999998</v>
          </cell>
          <cell r="T7093">
            <v>513.46299999999997</v>
          </cell>
        </row>
        <row r="7094">
          <cell r="G7094">
            <v>42705</v>
          </cell>
          <cell r="L7094" t="str">
            <v>01-04-007-09W2</v>
          </cell>
          <cell r="O7094">
            <v>810.1</v>
          </cell>
          <cell r="Q7094">
            <v>0.2</v>
          </cell>
          <cell r="T7094">
            <v>411.43799999999999</v>
          </cell>
        </row>
        <row r="7095">
          <cell r="G7095">
            <v>42705</v>
          </cell>
          <cell r="L7095" t="str">
            <v>05-01-001-32W1</v>
          </cell>
          <cell r="O7095">
            <v>867.1</v>
          </cell>
          <cell r="Q7095">
            <v>1.57</v>
          </cell>
          <cell r="T7095">
            <v>298.61399999999998</v>
          </cell>
        </row>
        <row r="7096">
          <cell r="G7096">
            <v>42705</v>
          </cell>
          <cell r="L7096" t="str">
            <v>03-23-001-32W1</v>
          </cell>
          <cell r="O7096">
            <v>856.2</v>
          </cell>
          <cell r="Q7096">
            <v>1.51</v>
          </cell>
          <cell r="T7096">
            <v>303.48700000000002</v>
          </cell>
        </row>
        <row r="7097">
          <cell r="G7097">
            <v>42705</v>
          </cell>
          <cell r="L7097" t="str">
            <v>07-23-006-02W2</v>
          </cell>
          <cell r="O7097">
            <v>844.7</v>
          </cell>
          <cell r="Q7097">
            <v>1.1100000000000001</v>
          </cell>
          <cell r="T7097">
            <v>323.173</v>
          </cell>
        </row>
        <row r="7098">
          <cell r="G7098">
            <v>42705</v>
          </cell>
          <cell r="L7098" t="str">
            <v>16-09-004-31W1</v>
          </cell>
          <cell r="O7098">
            <v>869.2</v>
          </cell>
          <cell r="Q7098">
            <v>1.81</v>
          </cell>
          <cell r="T7098">
            <v>323.49200000000002</v>
          </cell>
        </row>
        <row r="7099">
          <cell r="G7099">
            <v>42705</v>
          </cell>
          <cell r="L7099" t="str">
            <v>07-18-005-04W2</v>
          </cell>
          <cell r="O7099">
            <v>856.4</v>
          </cell>
          <cell r="Q7099">
            <v>1.38</v>
          </cell>
          <cell r="T7099">
            <v>359.37799999999999</v>
          </cell>
        </row>
        <row r="7100">
          <cell r="G7100">
            <v>42705</v>
          </cell>
          <cell r="L7100" t="str">
            <v>15-26-007-04W2</v>
          </cell>
          <cell r="O7100">
            <v>854.9</v>
          </cell>
          <cell r="Q7100">
            <v>1.4</v>
          </cell>
          <cell r="T7100">
            <v>322.35700000000003</v>
          </cell>
        </row>
        <row r="7101">
          <cell r="G7101">
            <v>42705</v>
          </cell>
          <cell r="L7101" t="str">
            <v>05-31-002-01W2</v>
          </cell>
          <cell r="O7101">
            <v>825.8</v>
          </cell>
          <cell r="Q7101">
            <v>0.48</v>
          </cell>
          <cell r="T7101">
            <v>8019.8959999999997</v>
          </cell>
        </row>
        <row r="7102">
          <cell r="G7102">
            <v>42705</v>
          </cell>
          <cell r="L7102" t="str">
            <v>16-18-011-04W2</v>
          </cell>
          <cell r="O7102">
            <v>832.5</v>
          </cell>
          <cell r="Q7102">
            <v>1.42</v>
          </cell>
          <cell r="T7102">
            <v>7387.0110000000004</v>
          </cell>
        </row>
        <row r="7103">
          <cell r="G7103">
            <v>42705</v>
          </cell>
          <cell r="L7103" t="str">
            <v>13-03-006-34W1</v>
          </cell>
          <cell r="O7103">
            <v>843.3</v>
          </cell>
          <cell r="Q7103">
            <v>1.19</v>
          </cell>
          <cell r="T7103">
            <v>6459.1369999999997</v>
          </cell>
        </row>
        <row r="7104">
          <cell r="G7104">
            <v>42705</v>
          </cell>
          <cell r="L7104" t="str">
            <v>11-30-005-03W2</v>
          </cell>
          <cell r="O7104">
            <v>851.5</v>
          </cell>
          <cell r="Q7104">
            <v>1.35</v>
          </cell>
          <cell r="T7104">
            <v>4688.1980000000003</v>
          </cell>
        </row>
        <row r="7105">
          <cell r="G7105">
            <v>42705</v>
          </cell>
          <cell r="L7105" t="str">
            <v>03-03-002-32W1</v>
          </cell>
          <cell r="O7105">
            <v>825.1</v>
          </cell>
          <cell r="Q7105">
            <v>1.66</v>
          </cell>
          <cell r="T7105">
            <v>4410.2439999999997</v>
          </cell>
        </row>
        <row r="7106">
          <cell r="G7106">
            <v>42705</v>
          </cell>
          <cell r="L7106" t="str">
            <v>16-12-004-31W1</v>
          </cell>
          <cell r="O7106">
            <v>852.4</v>
          </cell>
          <cell r="Q7106">
            <v>1.7</v>
          </cell>
          <cell r="T7106">
            <v>4383.7920000000004</v>
          </cell>
        </row>
        <row r="7107">
          <cell r="G7107">
            <v>42705</v>
          </cell>
          <cell r="L7107" t="str">
            <v>04-27-003-33W1</v>
          </cell>
          <cell r="O7107">
            <v>838.3</v>
          </cell>
          <cell r="Q7107">
            <v>1.21</v>
          </cell>
          <cell r="T7107">
            <v>3758.364</v>
          </cell>
        </row>
        <row r="7108">
          <cell r="G7108">
            <v>42705</v>
          </cell>
          <cell r="L7108" t="str">
            <v>05-03-009-33W1</v>
          </cell>
          <cell r="O7108">
            <v>849.2</v>
          </cell>
          <cell r="Q7108">
            <v>1.29</v>
          </cell>
          <cell r="T7108">
            <v>2595.8119999999999</v>
          </cell>
        </row>
        <row r="7109">
          <cell r="G7109">
            <v>42705</v>
          </cell>
          <cell r="L7109" t="str">
            <v>04-22-009-33W1</v>
          </cell>
          <cell r="O7109">
            <v>853.8</v>
          </cell>
          <cell r="Q7109">
            <v>1.42</v>
          </cell>
          <cell r="T7109">
            <v>2542.1840000000002</v>
          </cell>
        </row>
        <row r="7110">
          <cell r="G7110">
            <v>42705</v>
          </cell>
          <cell r="L7110" t="str">
            <v>07-28-002-30W1</v>
          </cell>
          <cell r="O7110">
            <v>881.9</v>
          </cell>
          <cell r="Q7110">
            <v>2.4300000000000002</v>
          </cell>
          <cell r="T7110">
            <v>2214.8620000000001</v>
          </cell>
        </row>
        <row r="7111">
          <cell r="G7111">
            <v>42705</v>
          </cell>
          <cell r="L7111" t="str">
            <v>06-27-006-01W2</v>
          </cell>
          <cell r="O7111">
            <v>844.2</v>
          </cell>
          <cell r="Q7111">
            <v>1.17</v>
          </cell>
          <cell r="T7111">
            <v>2050.123</v>
          </cell>
        </row>
        <row r="7112">
          <cell r="G7112">
            <v>42705</v>
          </cell>
          <cell r="L7112" t="str">
            <v>09-28-006-34W1</v>
          </cell>
          <cell r="O7112">
            <v>845.4</v>
          </cell>
          <cell r="Q7112">
            <v>1.27</v>
          </cell>
          <cell r="T7112">
            <v>1952.586</v>
          </cell>
        </row>
        <row r="7113">
          <cell r="G7113">
            <v>42705</v>
          </cell>
          <cell r="L7113" t="str">
            <v>01-09-001-31W1</v>
          </cell>
          <cell r="O7113">
            <v>872.5</v>
          </cell>
          <cell r="Q7113">
            <v>2.13</v>
          </cell>
          <cell r="T7113">
            <v>1858.7929999999999</v>
          </cell>
        </row>
        <row r="7114">
          <cell r="G7114">
            <v>42705</v>
          </cell>
          <cell r="L7114" t="str">
            <v>04-17-004-31W1</v>
          </cell>
          <cell r="O7114">
            <v>861.1</v>
          </cell>
          <cell r="Q7114">
            <v>1.74</v>
          </cell>
          <cell r="T7114">
            <v>1520.0329999999999</v>
          </cell>
        </row>
        <row r="7115">
          <cell r="G7115">
            <v>42705</v>
          </cell>
          <cell r="L7115" t="str">
            <v>14-30-009-33W1</v>
          </cell>
          <cell r="O7115">
            <v>856.2</v>
          </cell>
          <cell r="Q7115">
            <v>1.72</v>
          </cell>
          <cell r="T7115">
            <v>1512.2190000000001</v>
          </cell>
        </row>
        <row r="7116">
          <cell r="G7116">
            <v>42705</v>
          </cell>
          <cell r="L7116" t="str">
            <v>14-33-003-01W2</v>
          </cell>
          <cell r="O7116">
            <v>834.3</v>
          </cell>
          <cell r="Q7116">
            <v>0.86</v>
          </cell>
          <cell r="T7116">
            <v>1498.4349999999999</v>
          </cell>
        </row>
        <row r="7117">
          <cell r="G7117">
            <v>42705</v>
          </cell>
          <cell r="L7117" t="str">
            <v>08-05-006-33W1</v>
          </cell>
          <cell r="O7117">
            <v>833.2</v>
          </cell>
          <cell r="Q7117">
            <v>0.84</v>
          </cell>
          <cell r="T7117">
            <v>1305.1020000000001</v>
          </cell>
        </row>
        <row r="7118">
          <cell r="G7118">
            <v>42705</v>
          </cell>
          <cell r="L7118" t="str">
            <v>09-27-006-05W2</v>
          </cell>
          <cell r="O7118">
            <v>871.2</v>
          </cell>
          <cell r="Q7118">
            <v>2.14</v>
          </cell>
          <cell r="T7118">
            <v>1169.1510000000001</v>
          </cell>
        </row>
        <row r="7119">
          <cell r="G7119">
            <v>42705</v>
          </cell>
          <cell r="L7119" t="str">
            <v>09-27-008-03W2</v>
          </cell>
          <cell r="O7119">
            <v>852.5</v>
          </cell>
          <cell r="Q7119">
            <v>1.56</v>
          </cell>
          <cell r="T7119">
            <v>1060.549</v>
          </cell>
        </row>
        <row r="7120">
          <cell r="G7120">
            <v>42705</v>
          </cell>
          <cell r="L7120" t="str">
            <v>09-19-009-33W1</v>
          </cell>
          <cell r="O7120">
            <v>853.1</v>
          </cell>
          <cell r="Q7120">
            <v>1.54</v>
          </cell>
          <cell r="T7120">
            <v>1009.039</v>
          </cell>
        </row>
        <row r="7121">
          <cell r="G7121">
            <v>42705</v>
          </cell>
          <cell r="L7121" t="str">
            <v>11-28-006-05W2</v>
          </cell>
          <cell r="O7121">
            <v>855.1</v>
          </cell>
          <cell r="Q7121">
            <v>1.51</v>
          </cell>
          <cell r="T7121">
            <v>938.66800000000001</v>
          </cell>
        </row>
        <row r="7122">
          <cell r="G7122">
            <v>42705</v>
          </cell>
          <cell r="L7122" t="str">
            <v>10-13-006-03W2</v>
          </cell>
          <cell r="O7122">
            <v>855.4</v>
          </cell>
          <cell r="Q7122">
            <v>1.66</v>
          </cell>
          <cell r="T7122">
            <v>903.59400000000005</v>
          </cell>
        </row>
        <row r="7123">
          <cell r="G7123">
            <v>42705</v>
          </cell>
          <cell r="L7123" t="str">
            <v>15-14-009-03W2</v>
          </cell>
          <cell r="O7123">
            <v>851.2</v>
          </cell>
          <cell r="Q7123">
            <v>1.56</v>
          </cell>
          <cell r="T7123">
            <v>877.60400000000004</v>
          </cell>
        </row>
        <row r="7124">
          <cell r="G7124">
            <v>42705</v>
          </cell>
          <cell r="L7124" t="str">
            <v>02-15-006-01W2</v>
          </cell>
          <cell r="O7124">
            <v>844.6</v>
          </cell>
          <cell r="Q7124">
            <v>1.24</v>
          </cell>
          <cell r="T7124">
            <v>776.66399999999999</v>
          </cell>
        </row>
        <row r="7125">
          <cell r="G7125">
            <v>42705</v>
          </cell>
          <cell r="L7125" t="str">
            <v>11-25-001-32W1</v>
          </cell>
          <cell r="O7125">
            <v>853.3</v>
          </cell>
          <cell r="Q7125">
            <v>1.52</v>
          </cell>
          <cell r="T7125">
            <v>756.18499999999995</v>
          </cell>
        </row>
        <row r="7126">
          <cell r="G7126">
            <v>42705</v>
          </cell>
          <cell r="L7126" t="str">
            <v>16-21-003-32W1</v>
          </cell>
          <cell r="O7126">
            <v>854.8</v>
          </cell>
          <cell r="Q7126">
            <v>1.61</v>
          </cell>
          <cell r="T7126">
            <v>752.80499999999995</v>
          </cell>
        </row>
        <row r="7127">
          <cell r="G7127">
            <v>42705</v>
          </cell>
          <cell r="L7127" t="str">
            <v>07-12-008-04W2</v>
          </cell>
          <cell r="O7127">
            <v>854.1</v>
          </cell>
          <cell r="Q7127">
            <v>1.41</v>
          </cell>
          <cell r="T7127">
            <v>738.59</v>
          </cell>
        </row>
        <row r="7128">
          <cell r="G7128">
            <v>42705</v>
          </cell>
          <cell r="L7128" t="str">
            <v>02-14-010-01W2</v>
          </cell>
          <cell r="O7128">
            <v>855.2</v>
          </cell>
          <cell r="Q7128">
            <v>1.7</v>
          </cell>
          <cell r="T7128">
            <v>736.75400000000002</v>
          </cell>
        </row>
        <row r="7129">
          <cell r="G7129">
            <v>42705</v>
          </cell>
          <cell r="L7129" t="str">
            <v>10-11-006-34W1</v>
          </cell>
          <cell r="O7129">
            <v>853.1</v>
          </cell>
          <cell r="Q7129">
            <v>1.6</v>
          </cell>
          <cell r="T7129">
            <v>678.60299999999995</v>
          </cell>
        </row>
        <row r="7130">
          <cell r="G7130">
            <v>42705</v>
          </cell>
          <cell r="L7130" t="str">
            <v>07-31-001-31W1</v>
          </cell>
          <cell r="O7130">
            <v>865.9</v>
          </cell>
          <cell r="Q7130">
            <v>1.73</v>
          </cell>
          <cell r="T7130">
            <v>674.05899999999997</v>
          </cell>
        </row>
        <row r="7131">
          <cell r="G7131">
            <v>42705</v>
          </cell>
          <cell r="L7131" t="str">
            <v>16-24-001-34W1</v>
          </cell>
          <cell r="O7131">
            <v>850.9</v>
          </cell>
          <cell r="Q7131">
            <v>1.67</v>
          </cell>
          <cell r="T7131">
            <v>670.56500000000005</v>
          </cell>
        </row>
        <row r="7132">
          <cell r="G7132">
            <v>42705</v>
          </cell>
          <cell r="L7132" t="str">
            <v>05-12-002-32W1</v>
          </cell>
          <cell r="O7132">
            <v>859.6</v>
          </cell>
          <cell r="Q7132">
            <v>1.63</v>
          </cell>
          <cell r="T7132">
            <v>663.53800000000001</v>
          </cell>
        </row>
        <row r="7133">
          <cell r="G7133">
            <v>42705</v>
          </cell>
          <cell r="L7133" t="str">
            <v>07-12-005-34W1</v>
          </cell>
          <cell r="O7133">
            <v>828.7</v>
          </cell>
          <cell r="Q7133">
            <v>0.64</v>
          </cell>
          <cell r="T7133">
            <v>663.51</v>
          </cell>
        </row>
        <row r="7134">
          <cell r="G7134">
            <v>42705</v>
          </cell>
          <cell r="L7134" t="str">
            <v>08-35-011-04W2</v>
          </cell>
          <cell r="O7134">
            <v>864.1</v>
          </cell>
          <cell r="Q7134">
            <v>1.84</v>
          </cell>
          <cell r="T7134">
            <v>660.84400000000005</v>
          </cell>
        </row>
        <row r="7135">
          <cell r="G7135">
            <v>42705</v>
          </cell>
          <cell r="L7135" t="str">
            <v>06-24-001-34W1</v>
          </cell>
          <cell r="O7135">
            <v>845.2</v>
          </cell>
          <cell r="Q7135">
            <v>1.17</v>
          </cell>
          <cell r="T7135">
            <v>627.697</v>
          </cell>
        </row>
        <row r="7136">
          <cell r="G7136">
            <v>42705</v>
          </cell>
          <cell r="L7136" t="str">
            <v>04-14-005-33W1</v>
          </cell>
          <cell r="O7136">
            <v>834.2</v>
          </cell>
          <cell r="Q7136">
            <v>0.79</v>
          </cell>
          <cell r="T7136">
            <v>613.96</v>
          </cell>
        </row>
        <row r="7137">
          <cell r="G7137">
            <v>42705</v>
          </cell>
          <cell r="L7137" t="str">
            <v>08-32-006-01W2</v>
          </cell>
          <cell r="O7137">
            <v>844.4</v>
          </cell>
          <cell r="Q7137">
            <v>1.44</v>
          </cell>
          <cell r="T7137">
            <v>578.6</v>
          </cell>
        </row>
        <row r="7138">
          <cell r="G7138">
            <v>42705</v>
          </cell>
          <cell r="L7138" t="str">
            <v>09-02-007-05W2</v>
          </cell>
          <cell r="O7138">
            <v>859.2</v>
          </cell>
          <cell r="Q7138">
            <v>1.74</v>
          </cell>
          <cell r="T7138">
            <v>471.9</v>
          </cell>
        </row>
        <row r="7139">
          <cell r="G7139">
            <v>42705</v>
          </cell>
          <cell r="L7139" t="str">
            <v>14-20-005-33W1</v>
          </cell>
          <cell r="O7139">
            <v>830.2</v>
          </cell>
          <cell r="Q7139">
            <v>0.67</v>
          </cell>
          <cell r="T7139">
            <v>471.01799999999997</v>
          </cell>
        </row>
        <row r="7140">
          <cell r="G7140">
            <v>42705</v>
          </cell>
          <cell r="L7140" t="str">
            <v>14-35-006-05W2</v>
          </cell>
          <cell r="O7140">
            <v>855.6</v>
          </cell>
          <cell r="Q7140">
            <v>1.61</v>
          </cell>
          <cell r="T7140">
            <v>446.36099999999999</v>
          </cell>
        </row>
        <row r="7141">
          <cell r="G7141">
            <v>42705</v>
          </cell>
          <cell r="L7141" t="str">
            <v>08-26-006-02W2</v>
          </cell>
          <cell r="O7141">
            <v>845.3</v>
          </cell>
          <cell r="Q7141">
            <v>1.1299999999999999</v>
          </cell>
          <cell r="T7141">
            <v>416.38299999999998</v>
          </cell>
        </row>
        <row r="7142">
          <cell r="G7142">
            <v>42705</v>
          </cell>
          <cell r="L7142" t="str">
            <v>02-13-006-01W2</v>
          </cell>
          <cell r="O7142">
            <v>843</v>
          </cell>
          <cell r="Q7142">
            <v>1.19</v>
          </cell>
          <cell r="T7142">
            <v>367.66399999999999</v>
          </cell>
        </row>
        <row r="7143">
          <cell r="G7143">
            <v>42705</v>
          </cell>
          <cell r="L7143" t="str">
            <v>12-35-008-03W2</v>
          </cell>
          <cell r="O7143">
            <v>854.1</v>
          </cell>
          <cell r="Q7143">
            <v>1.55</v>
          </cell>
          <cell r="T7143">
            <v>361.15</v>
          </cell>
        </row>
        <row r="7144">
          <cell r="G7144">
            <v>42705</v>
          </cell>
          <cell r="L7144" t="str">
            <v>02-10-003-01W2</v>
          </cell>
          <cell r="O7144">
            <v>829.3</v>
          </cell>
          <cell r="Q7144">
            <v>0.5</v>
          </cell>
          <cell r="T7144">
            <v>341.887</v>
          </cell>
        </row>
        <row r="7145">
          <cell r="G7145">
            <v>42705</v>
          </cell>
          <cell r="L7145" t="str">
            <v>12-01-003-30W1</v>
          </cell>
          <cell r="O7145">
            <v>861.3</v>
          </cell>
          <cell r="Q7145">
            <v>1.68</v>
          </cell>
          <cell r="T7145">
            <v>341.59699999999998</v>
          </cell>
        </row>
        <row r="7146">
          <cell r="G7146">
            <v>42705</v>
          </cell>
          <cell r="L7146" t="str">
            <v>14-09-002-29W1</v>
          </cell>
          <cell r="O7146">
            <v>838.9</v>
          </cell>
          <cell r="Q7146">
            <v>0.81</v>
          </cell>
          <cell r="T7146">
            <v>8852.3629999999994</v>
          </cell>
        </row>
        <row r="7147">
          <cell r="G7147">
            <v>42705</v>
          </cell>
          <cell r="L7147" t="str">
            <v>13-13-007-02W2</v>
          </cell>
          <cell r="O7147">
            <v>847.6</v>
          </cell>
          <cell r="Q7147">
            <v>1.31</v>
          </cell>
          <cell r="T7147">
            <v>4977.4170000000004</v>
          </cell>
        </row>
        <row r="7148">
          <cell r="G7148">
            <v>42705</v>
          </cell>
          <cell r="L7148" t="str">
            <v>08-36-003-34W1</v>
          </cell>
          <cell r="O7148">
            <v>840.4</v>
          </cell>
          <cell r="Q7148">
            <v>0.88</v>
          </cell>
          <cell r="T7148">
            <v>4569.4309999999996</v>
          </cell>
        </row>
        <row r="7149">
          <cell r="G7149">
            <v>42705</v>
          </cell>
          <cell r="L7149" t="str">
            <v>11-27-005-33W1</v>
          </cell>
          <cell r="O7149">
            <v>823.6</v>
          </cell>
          <cell r="Q7149">
            <v>0.72</v>
          </cell>
          <cell r="T7149">
            <v>4481.6750000000002</v>
          </cell>
        </row>
        <row r="7150">
          <cell r="G7150">
            <v>42705</v>
          </cell>
          <cell r="L7150" t="str">
            <v>05-14-003-01W2</v>
          </cell>
          <cell r="O7150">
            <v>833.8</v>
          </cell>
          <cell r="Q7150">
            <v>0.72</v>
          </cell>
          <cell r="T7150">
            <v>3704.3679999999999</v>
          </cell>
        </row>
        <row r="7151">
          <cell r="G7151">
            <v>42705</v>
          </cell>
          <cell r="L7151" t="str">
            <v>05-29-005-32W1</v>
          </cell>
          <cell r="O7151">
            <v>834.6</v>
          </cell>
          <cell r="Q7151">
            <v>0.93</v>
          </cell>
          <cell r="T7151">
            <v>2958.741</v>
          </cell>
        </row>
        <row r="7152">
          <cell r="G7152">
            <v>42705</v>
          </cell>
          <cell r="L7152" t="str">
            <v>04-10-004-31W1</v>
          </cell>
          <cell r="O7152">
            <v>867.3</v>
          </cell>
          <cell r="Q7152">
            <v>1.79</v>
          </cell>
          <cell r="T7152">
            <v>2806.5529999999999</v>
          </cell>
        </row>
        <row r="7153">
          <cell r="G7153">
            <v>42705</v>
          </cell>
          <cell r="L7153" t="str">
            <v>04-05-007-33W1</v>
          </cell>
          <cell r="O7153">
            <v>840.7</v>
          </cell>
          <cell r="Q7153">
            <v>1.22</v>
          </cell>
          <cell r="T7153">
            <v>2351.422</v>
          </cell>
        </row>
        <row r="7154">
          <cell r="G7154">
            <v>42705</v>
          </cell>
          <cell r="L7154" t="str">
            <v>06-01-007-01W2</v>
          </cell>
          <cell r="O7154">
            <v>845.7</v>
          </cell>
          <cell r="Q7154">
            <v>1.1599999999999999</v>
          </cell>
          <cell r="T7154">
            <v>2319.2330000000002</v>
          </cell>
        </row>
        <row r="7155">
          <cell r="G7155">
            <v>42705</v>
          </cell>
          <cell r="L7155" t="str">
            <v>16-10-006-30W1</v>
          </cell>
          <cell r="O7155">
            <v>854.2</v>
          </cell>
          <cell r="Q7155">
            <v>1.41</v>
          </cell>
          <cell r="T7155">
            <v>2228.1509999999998</v>
          </cell>
        </row>
        <row r="7156">
          <cell r="G7156">
            <v>42705</v>
          </cell>
          <cell r="L7156" t="str">
            <v>05-13-003-02W2</v>
          </cell>
          <cell r="O7156">
            <v>831</v>
          </cell>
          <cell r="Q7156">
            <v>0.56000000000000005</v>
          </cell>
          <cell r="T7156">
            <v>1842.9860000000001</v>
          </cell>
        </row>
        <row r="7157">
          <cell r="G7157">
            <v>42705</v>
          </cell>
          <cell r="L7157" t="str">
            <v>02-14-005-32W1</v>
          </cell>
          <cell r="O7157">
            <v>835.1</v>
          </cell>
          <cell r="Q7157">
            <v>0.97</v>
          </cell>
          <cell r="T7157">
            <v>1731.838</v>
          </cell>
        </row>
        <row r="7158">
          <cell r="G7158">
            <v>42705</v>
          </cell>
          <cell r="L7158" t="str">
            <v>02-20-006-32W1</v>
          </cell>
          <cell r="O7158">
            <v>832.2</v>
          </cell>
          <cell r="Q7158">
            <v>0.8</v>
          </cell>
          <cell r="T7158">
            <v>1701.442</v>
          </cell>
        </row>
        <row r="7159">
          <cell r="G7159">
            <v>42705</v>
          </cell>
          <cell r="L7159" t="str">
            <v>14-28-002-34W1</v>
          </cell>
          <cell r="O7159">
            <v>829.5</v>
          </cell>
          <cell r="Q7159">
            <v>0.78</v>
          </cell>
          <cell r="T7159">
            <v>1500.1959999999999</v>
          </cell>
        </row>
        <row r="7160">
          <cell r="G7160">
            <v>42705</v>
          </cell>
          <cell r="L7160" t="str">
            <v>16-13-004-32W1</v>
          </cell>
          <cell r="O7160">
            <v>852.9</v>
          </cell>
          <cell r="Q7160">
            <v>1.33</v>
          </cell>
          <cell r="T7160">
            <v>1259.0039999999999</v>
          </cell>
        </row>
        <row r="7161">
          <cell r="G7161">
            <v>42705</v>
          </cell>
          <cell r="L7161" t="str">
            <v>02-02-006-03W2</v>
          </cell>
          <cell r="O7161">
            <v>848</v>
          </cell>
          <cell r="Q7161">
            <v>1.31</v>
          </cell>
          <cell r="T7161">
            <v>1232.212</v>
          </cell>
        </row>
        <row r="7162">
          <cell r="G7162">
            <v>42705</v>
          </cell>
          <cell r="L7162" t="str">
            <v>12-23-005-31W1</v>
          </cell>
          <cell r="O7162">
            <v>843.8</v>
          </cell>
          <cell r="Q7162">
            <v>1.08</v>
          </cell>
          <cell r="T7162">
            <v>1177.0350000000001</v>
          </cell>
        </row>
        <row r="7163">
          <cell r="G7163">
            <v>42705</v>
          </cell>
          <cell r="L7163" t="str">
            <v>04-33-006-01W2</v>
          </cell>
          <cell r="O7163">
            <v>847.6</v>
          </cell>
          <cell r="Q7163">
            <v>1.39</v>
          </cell>
          <cell r="T7163">
            <v>1149.2239999999999</v>
          </cell>
        </row>
        <row r="7164">
          <cell r="G7164">
            <v>42705</v>
          </cell>
          <cell r="L7164" t="str">
            <v>13-34-006-05W2</v>
          </cell>
          <cell r="O7164">
            <v>864.6</v>
          </cell>
          <cell r="Q7164">
            <v>1.93</v>
          </cell>
          <cell r="T7164">
            <v>1136.49</v>
          </cell>
        </row>
        <row r="7165">
          <cell r="G7165">
            <v>42705</v>
          </cell>
          <cell r="L7165" t="str">
            <v>08-33-005-03W2</v>
          </cell>
          <cell r="O7165">
            <v>842.7</v>
          </cell>
          <cell r="Q7165">
            <v>1.07</v>
          </cell>
          <cell r="T7165">
            <v>1081.796</v>
          </cell>
        </row>
        <row r="7166">
          <cell r="G7166">
            <v>42705</v>
          </cell>
          <cell r="L7166" t="str">
            <v>06-02-008-02W2</v>
          </cell>
          <cell r="O7166">
            <v>854.7</v>
          </cell>
          <cell r="Q7166">
            <v>1.6</v>
          </cell>
          <cell r="T7166">
            <v>974.70500000000004</v>
          </cell>
        </row>
        <row r="7167">
          <cell r="G7167">
            <v>42705</v>
          </cell>
          <cell r="L7167" t="str">
            <v>14-33-003-01W2</v>
          </cell>
          <cell r="O7167">
            <v>840.3</v>
          </cell>
          <cell r="Q7167">
            <v>0.87</v>
          </cell>
          <cell r="T7167">
            <v>965.45</v>
          </cell>
        </row>
        <row r="7168">
          <cell r="G7168">
            <v>42705</v>
          </cell>
          <cell r="L7168" t="str">
            <v>14-26-002-30W1</v>
          </cell>
          <cell r="O7168">
            <v>864.9</v>
          </cell>
          <cell r="Q7168">
            <v>2.02</v>
          </cell>
          <cell r="T7168">
            <v>857.86900000000003</v>
          </cell>
        </row>
        <row r="7169">
          <cell r="G7169">
            <v>42705</v>
          </cell>
          <cell r="L7169" t="str">
            <v>02-08-004-33W1</v>
          </cell>
          <cell r="O7169">
            <v>832.3</v>
          </cell>
          <cell r="Q7169">
            <v>0.65</v>
          </cell>
          <cell r="T7169">
            <v>847.601</v>
          </cell>
        </row>
        <row r="7170">
          <cell r="G7170">
            <v>42705</v>
          </cell>
          <cell r="L7170" t="str">
            <v>10-33-004-32W1</v>
          </cell>
          <cell r="O7170">
            <v>839.1</v>
          </cell>
          <cell r="Q7170">
            <v>0.99</v>
          </cell>
          <cell r="T7170">
            <v>827.40599999999995</v>
          </cell>
        </row>
        <row r="7171">
          <cell r="G7171">
            <v>42705</v>
          </cell>
          <cell r="L7171" t="str">
            <v>04-04-007-01W2</v>
          </cell>
          <cell r="O7171">
            <v>844.8</v>
          </cell>
          <cell r="Q7171">
            <v>1.1599999999999999</v>
          </cell>
          <cell r="T7171">
            <v>826.81399999999996</v>
          </cell>
        </row>
        <row r="7172">
          <cell r="G7172">
            <v>42705</v>
          </cell>
          <cell r="L7172" t="str">
            <v>09-33-006-05W2</v>
          </cell>
          <cell r="O7172">
            <v>860.3</v>
          </cell>
          <cell r="Q7172">
            <v>1.74</v>
          </cell>
          <cell r="T7172">
            <v>801.18499999999995</v>
          </cell>
        </row>
        <row r="7173">
          <cell r="G7173">
            <v>42705</v>
          </cell>
          <cell r="L7173" t="str">
            <v>13-11-004-02W2</v>
          </cell>
          <cell r="O7173">
            <v>843.6</v>
          </cell>
          <cell r="Q7173">
            <v>1.2</v>
          </cell>
          <cell r="T7173">
            <v>778.48800000000006</v>
          </cell>
        </row>
        <row r="7174">
          <cell r="G7174">
            <v>42705</v>
          </cell>
          <cell r="L7174" t="str">
            <v>10-11-004-34W1</v>
          </cell>
          <cell r="O7174">
            <v>833.3</v>
          </cell>
          <cell r="Q7174">
            <v>0.73</v>
          </cell>
          <cell r="T7174">
            <v>746.67499999999995</v>
          </cell>
        </row>
        <row r="7175">
          <cell r="G7175">
            <v>42705</v>
          </cell>
          <cell r="L7175" t="str">
            <v>08-13-006-33W1</v>
          </cell>
          <cell r="O7175">
            <v>840.7</v>
          </cell>
          <cell r="Q7175">
            <v>0.89</v>
          </cell>
          <cell r="T7175">
            <v>642.87699999999995</v>
          </cell>
        </row>
        <row r="7176">
          <cell r="G7176">
            <v>42705</v>
          </cell>
          <cell r="L7176" t="str">
            <v>02-12-010-02W2</v>
          </cell>
          <cell r="O7176">
            <v>857.2</v>
          </cell>
          <cell r="Q7176">
            <v>1.64</v>
          </cell>
          <cell r="T7176">
            <v>518.55799999999999</v>
          </cell>
        </row>
        <row r="7177">
          <cell r="G7177">
            <v>42705</v>
          </cell>
          <cell r="L7177" t="str">
            <v>02-16-010-02W2</v>
          </cell>
          <cell r="O7177">
            <v>857.1</v>
          </cell>
          <cell r="Q7177">
            <v>1.69</v>
          </cell>
          <cell r="T7177">
            <v>485.21899999999999</v>
          </cell>
        </row>
        <row r="7178">
          <cell r="G7178">
            <v>42705</v>
          </cell>
          <cell r="L7178" t="str">
            <v>06-04-006-33W1</v>
          </cell>
          <cell r="O7178">
            <v>834.7</v>
          </cell>
          <cell r="Q7178">
            <v>0.82</v>
          </cell>
          <cell r="T7178">
            <v>416.322</v>
          </cell>
        </row>
        <row r="7179">
          <cell r="G7179">
            <v>42705</v>
          </cell>
          <cell r="L7179" t="str">
            <v>08-12-006-01W2</v>
          </cell>
          <cell r="O7179">
            <v>845.8</v>
          </cell>
          <cell r="Q7179">
            <v>1.29</v>
          </cell>
          <cell r="T7179">
            <v>362.71699999999998</v>
          </cell>
        </row>
        <row r="7180">
          <cell r="G7180">
            <v>42705</v>
          </cell>
          <cell r="L7180" t="str">
            <v>06-03-004-31W1</v>
          </cell>
          <cell r="O7180">
            <v>869.9</v>
          </cell>
          <cell r="Q7180">
            <v>1.87</v>
          </cell>
          <cell r="T7180">
            <v>356.74700000000001</v>
          </cell>
        </row>
        <row r="7181">
          <cell r="G7181">
            <v>42705</v>
          </cell>
          <cell r="L7181" t="str">
            <v>01-01-006-06W2</v>
          </cell>
          <cell r="O7181">
            <v>848.2</v>
          </cell>
          <cell r="Q7181">
            <v>1.19</v>
          </cell>
          <cell r="T7181">
            <v>398.2</v>
          </cell>
        </row>
        <row r="7182">
          <cell r="G7182">
            <v>42705</v>
          </cell>
          <cell r="L7182" t="str">
            <v>11-12-006-15W2</v>
          </cell>
          <cell r="O7182">
            <v>869.4</v>
          </cell>
          <cell r="Q7182">
            <v>2.41</v>
          </cell>
          <cell r="T7182">
            <v>7324.1409999999996</v>
          </cell>
        </row>
        <row r="7183">
          <cell r="G7183">
            <v>42705</v>
          </cell>
          <cell r="L7183" t="str">
            <v>09-08-004-03W2</v>
          </cell>
          <cell r="O7183">
            <v>834.2</v>
          </cell>
          <cell r="Q7183">
            <v>1.2</v>
          </cell>
          <cell r="T7183">
            <v>13705.843999999999</v>
          </cell>
        </row>
        <row r="7184">
          <cell r="G7184">
            <v>42705</v>
          </cell>
          <cell r="L7184" t="str">
            <v>03-15-004-06W2</v>
          </cell>
          <cell r="O7184">
            <v>849.4</v>
          </cell>
          <cell r="Q7184">
            <v>1.22</v>
          </cell>
          <cell r="T7184">
            <v>6151.0479999999998</v>
          </cell>
        </row>
        <row r="7185">
          <cell r="G7185">
            <v>42705</v>
          </cell>
          <cell r="L7185" t="str">
            <v>07-35-004-04W2</v>
          </cell>
          <cell r="O7185">
            <v>854.3</v>
          </cell>
          <cell r="Q7185">
            <v>1.41</v>
          </cell>
          <cell r="T7185">
            <v>3756.866</v>
          </cell>
        </row>
        <row r="7186">
          <cell r="G7186">
            <v>42705</v>
          </cell>
          <cell r="L7186" t="str">
            <v>09-33-005-05W2</v>
          </cell>
          <cell r="O7186">
            <v>844.4</v>
          </cell>
          <cell r="Q7186">
            <v>1.02</v>
          </cell>
          <cell r="T7186">
            <v>3108.0790000000002</v>
          </cell>
        </row>
        <row r="7187">
          <cell r="G7187">
            <v>42705</v>
          </cell>
          <cell r="L7187" t="str">
            <v>05-07-005-03W2</v>
          </cell>
          <cell r="O7187">
            <v>848.4</v>
          </cell>
          <cell r="Q7187">
            <v>1.24</v>
          </cell>
          <cell r="T7187">
            <v>2696.7150000000001</v>
          </cell>
        </row>
        <row r="7188">
          <cell r="G7188">
            <v>42705</v>
          </cell>
          <cell r="L7188" t="str">
            <v>16-33-005-06W2</v>
          </cell>
          <cell r="O7188">
            <v>869</v>
          </cell>
          <cell r="Q7188">
            <v>2.25</v>
          </cell>
          <cell r="T7188">
            <v>2653.2440000000001</v>
          </cell>
        </row>
        <row r="7189">
          <cell r="G7189">
            <v>42705</v>
          </cell>
          <cell r="L7189" t="str">
            <v>16-30-004-08W2</v>
          </cell>
          <cell r="O7189">
            <v>884</v>
          </cell>
          <cell r="Q7189">
            <v>2.0699999999999998</v>
          </cell>
          <cell r="T7189">
            <v>2090.5970000000002</v>
          </cell>
        </row>
        <row r="7190">
          <cell r="G7190">
            <v>42705</v>
          </cell>
          <cell r="L7190" t="str">
            <v>14-30-001-04W2</v>
          </cell>
          <cell r="O7190">
            <v>824.2</v>
          </cell>
          <cell r="Q7190">
            <v>0.56000000000000005</v>
          </cell>
          <cell r="T7190">
            <v>2018.297</v>
          </cell>
        </row>
        <row r="7191">
          <cell r="G7191">
            <v>42705</v>
          </cell>
          <cell r="L7191" t="str">
            <v>06-24-004-09W2</v>
          </cell>
          <cell r="O7191">
            <v>880.5</v>
          </cell>
          <cell r="Q7191">
            <v>1.81</v>
          </cell>
          <cell r="T7191">
            <v>1521.49</v>
          </cell>
        </row>
        <row r="7192">
          <cell r="G7192">
            <v>42705</v>
          </cell>
          <cell r="L7192" t="str">
            <v>06-27-004-06W2</v>
          </cell>
          <cell r="O7192">
            <v>830.4</v>
          </cell>
          <cell r="Q7192">
            <v>0.68</v>
          </cell>
          <cell r="T7192">
            <v>1488.271</v>
          </cell>
        </row>
        <row r="7193">
          <cell r="G7193">
            <v>42705</v>
          </cell>
          <cell r="L7193" t="str">
            <v>11-02-005-04W2</v>
          </cell>
          <cell r="O7193">
            <v>851.2</v>
          </cell>
          <cell r="Q7193">
            <v>1.4</v>
          </cell>
          <cell r="T7193">
            <v>1451.567</v>
          </cell>
        </row>
        <row r="7194">
          <cell r="G7194">
            <v>42705</v>
          </cell>
          <cell r="L7194" t="str">
            <v>09-10-005-04W2</v>
          </cell>
          <cell r="O7194">
            <v>856</v>
          </cell>
          <cell r="Q7194">
            <v>1.22</v>
          </cell>
          <cell r="T7194">
            <v>875.29600000000005</v>
          </cell>
        </row>
        <row r="7195">
          <cell r="G7195">
            <v>42705</v>
          </cell>
          <cell r="L7195" t="str">
            <v>10-22-004-07W2</v>
          </cell>
          <cell r="O7195">
            <v>883.8</v>
          </cell>
          <cell r="Q7195">
            <v>2</v>
          </cell>
          <cell r="T7195">
            <v>838.83699999999999</v>
          </cell>
        </row>
        <row r="7196">
          <cell r="G7196">
            <v>42705</v>
          </cell>
          <cell r="L7196" t="str">
            <v>13-30-005-05W2</v>
          </cell>
          <cell r="O7196">
            <v>848.1</v>
          </cell>
          <cell r="Q7196">
            <v>1.1000000000000001</v>
          </cell>
          <cell r="T7196">
            <v>715.33600000000001</v>
          </cell>
        </row>
        <row r="7197">
          <cell r="G7197">
            <v>42705</v>
          </cell>
          <cell r="L7197" t="str">
            <v>14-13-001-05W2</v>
          </cell>
          <cell r="O7197">
            <v>818.6</v>
          </cell>
          <cell r="Q7197">
            <v>0.51</v>
          </cell>
          <cell r="T7197">
            <v>18538.562000000002</v>
          </cell>
        </row>
        <row r="7198">
          <cell r="G7198">
            <v>42705</v>
          </cell>
          <cell r="L7198" t="str">
            <v>05-20-004-04W2</v>
          </cell>
          <cell r="O7198">
            <v>832.9</v>
          </cell>
          <cell r="Q7198">
            <v>1.59</v>
          </cell>
          <cell r="T7198">
            <v>5076.567</v>
          </cell>
        </row>
        <row r="7199">
          <cell r="G7199">
            <v>42705</v>
          </cell>
          <cell r="L7199" t="str">
            <v>05-10-006-05W2</v>
          </cell>
          <cell r="O7199">
            <v>852.3</v>
          </cell>
          <cell r="Q7199">
            <v>1.55</v>
          </cell>
          <cell r="T7199">
            <v>2985.6309999999999</v>
          </cell>
        </row>
        <row r="7200">
          <cell r="G7200">
            <v>42705</v>
          </cell>
          <cell r="L7200" t="str">
            <v>05-34-005-06W2</v>
          </cell>
          <cell r="O7200">
            <v>873.1</v>
          </cell>
          <cell r="Q7200">
            <v>2.0299999999999998</v>
          </cell>
          <cell r="T7200">
            <v>2622.65</v>
          </cell>
        </row>
        <row r="7201">
          <cell r="G7201">
            <v>42705</v>
          </cell>
          <cell r="L7201" t="str">
            <v>11-16-005-04W2</v>
          </cell>
          <cell r="O7201">
            <v>850.3</v>
          </cell>
          <cell r="Q7201">
            <v>1.1100000000000001</v>
          </cell>
          <cell r="T7201">
            <v>2292.5059999999999</v>
          </cell>
        </row>
        <row r="7202">
          <cell r="G7202">
            <v>42705</v>
          </cell>
          <cell r="L7202" t="str">
            <v>07-08-004-05W2</v>
          </cell>
          <cell r="O7202">
            <v>840.9</v>
          </cell>
          <cell r="Q7202">
            <v>0.95</v>
          </cell>
          <cell r="T7202">
            <v>1955.145</v>
          </cell>
        </row>
        <row r="7203">
          <cell r="G7203">
            <v>42705</v>
          </cell>
          <cell r="L7203" t="str">
            <v>05-24-005-04W2</v>
          </cell>
          <cell r="O7203">
            <v>857.7</v>
          </cell>
          <cell r="Q7203">
            <v>1.51</v>
          </cell>
          <cell r="T7203">
            <v>1927.4870000000001</v>
          </cell>
        </row>
        <row r="7204">
          <cell r="G7204">
            <v>42705</v>
          </cell>
          <cell r="L7204" t="str">
            <v>01-17-005-08W2</v>
          </cell>
          <cell r="O7204">
            <v>872.1</v>
          </cell>
          <cell r="Q7204">
            <v>2.29</v>
          </cell>
          <cell r="T7204">
            <v>1656.4649999999999</v>
          </cell>
        </row>
        <row r="7205">
          <cell r="G7205">
            <v>42705</v>
          </cell>
          <cell r="L7205" t="str">
            <v>02-13-006-06W2</v>
          </cell>
          <cell r="O7205">
            <v>844.4</v>
          </cell>
          <cell r="Q7205">
            <v>1.48</v>
          </cell>
          <cell r="T7205">
            <v>1579.0039999999999</v>
          </cell>
        </row>
        <row r="7206">
          <cell r="G7206">
            <v>42705</v>
          </cell>
          <cell r="L7206" t="str">
            <v>11-28-005-06W2</v>
          </cell>
          <cell r="O7206">
            <v>881.7</v>
          </cell>
          <cell r="Q7206">
            <v>2.27</v>
          </cell>
          <cell r="T7206">
            <v>1174.326</v>
          </cell>
        </row>
        <row r="7207">
          <cell r="G7207">
            <v>42705</v>
          </cell>
          <cell r="L7207" t="str">
            <v>08-22-004-09W2</v>
          </cell>
          <cell r="O7207">
            <v>875.2</v>
          </cell>
          <cell r="Q7207">
            <v>2.1</v>
          </cell>
          <cell r="T7207">
            <v>1109.9079999999999</v>
          </cell>
        </row>
        <row r="7208">
          <cell r="G7208">
            <v>42705</v>
          </cell>
          <cell r="L7208" t="str">
            <v>08-14-004-07W2</v>
          </cell>
          <cell r="O7208">
            <v>869.5</v>
          </cell>
          <cell r="Q7208">
            <v>1.58</v>
          </cell>
          <cell r="T7208">
            <v>980.07100000000003</v>
          </cell>
        </row>
        <row r="7209">
          <cell r="G7209">
            <v>42705</v>
          </cell>
          <cell r="L7209" t="str">
            <v>09-27-004-05W2</v>
          </cell>
          <cell r="O7209">
            <v>844.5</v>
          </cell>
          <cell r="Q7209">
            <v>1.4</v>
          </cell>
          <cell r="T7209">
            <v>855.56600000000003</v>
          </cell>
        </row>
        <row r="7210">
          <cell r="G7210">
            <v>42705</v>
          </cell>
          <cell r="L7210" t="str">
            <v>03-29-003-04W2</v>
          </cell>
          <cell r="O7210">
            <v>835</v>
          </cell>
          <cell r="Q7210">
            <v>0.84</v>
          </cell>
          <cell r="T7210">
            <v>817.93700000000001</v>
          </cell>
        </row>
        <row r="7211">
          <cell r="G7211">
            <v>42705</v>
          </cell>
          <cell r="L7211" t="str">
            <v>13-15-005-08W2</v>
          </cell>
          <cell r="O7211">
            <v>870.1</v>
          </cell>
          <cell r="Q7211">
            <v>1.83</v>
          </cell>
          <cell r="T7211">
            <v>673.84900000000005</v>
          </cell>
        </row>
        <row r="7212">
          <cell r="G7212">
            <v>42705</v>
          </cell>
          <cell r="L7212" t="str">
            <v>07-27-007-06W2</v>
          </cell>
          <cell r="O7212">
            <v>814.5</v>
          </cell>
          <cell r="Q7212">
            <v>0.21</v>
          </cell>
          <cell r="T7212">
            <v>430.411</v>
          </cell>
        </row>
        <row r="7213">
          <cell r="G7213">
            <v>42705</v>
          </cell>
          <cell r="L7213" t="str">
            <v>09-02-006-07W2</v>
          </cell>
          <cell r="O7213">
            <v>891.6</v>
          </cell>
          <cell r="Q7213">
            <v>1.97</v>
          </cell>
          <cell r="T7213">
            <v>1051.3399999999999</v>
          </cell>
        </row>
        <row r="7214">
          <cell r="G7214">
            <v>42705</v>
          </cell>
          <cell r="L7214" t="str">
            <v>11-31-005-11W2</v>
          </cell>
          <cell r="O7214">
            <v>877.2</v>
          </cell>
          <cell r="Q7214">
            <v>1.73</v>
          </cell>
          <cell r="T7214">
            <v>1040.126</v>
          </cell>
        </row>
        <row r="7215">
          <cell r="G7215">
            <v>42705</v>
          </cell>
          <cell r="L7215" t="str">
            <v>14-27-005-12W2</v>
          </cell>
          <cell r="O7215">
            <v>875.3</v>
          </cell>
          <cell r="Q7215">
            <v>1.98</v>
          </cell>
          <cell r="T7215">
            <v>993.21900000000005</v>
          </cell>
        </row>
        <row r="7216">
          <cell r="G7216">
            <v>42705</v>
          </cell>
          <cell r="L7216" t="str">
            <v>03-04-001-11W2</v>
          </cell>
          <cell r="O7216">
            <v>817.8</v>
          </cell>
          <cell r="Q7216">
            <v>0.17</v>
          </cell>
          <cell r="T7216">
            <v>965.03200000000004</v>
          </cell>
        </row>
        <row r="7217">
          <cell r="G7217">
            <v>42705</v>
          </cell>
          <cell r="L7217" t="str">
            <v>13-06-007-11W2</v>
          </cell>
          <cell r="O7217">
            <v>854.3</v>
          </cell>
          <cell r="Q7217">
            <v>2.08</v>
          </cell>
          <cell r="T7217">
            <v>761.50199999999995</v>
          </cell>
        </row>
        <row r="7218">
          <cell r="G7218">
            <v>42705</v>
          </cell>
          <cell r="L7218" t="str">
            <v>15-01-002-12W2</v>
          </cell>
          <cell r="O7218">
            <v>818.5</v>
          </cell>
          <cell r="Q7218">
            <v>0.12</v>
          </cell>
          <cell r="T7218">
            <v>721.73800000000006</v>
          </cell>
        </row>
        <row r="7219">
          <cell r="G7219">
            <v>42705</v>
          </cell>
          <cell r="L7219" t="str">
            <v>01-18-004-08W2</v>
          </cell>
          <cell r="O7219">
            <v>892.7</v>
          </cell>
          <cell r="Q7219">
            <v>2.36</v>
          </cell>
          <cell r="T7219">
            <v>600.41499999999996</v>
          </cell>
        </row>
        <row r="7220">
          <cell r="G7220">
            <v>42705</v>
          </cell>
          <cell r="L7220" t="str">
            <v>16-05-005-08W2</v>
          </cell>
          <cell r="O7220">
            <v>886.1</v>
          </cell>
          <cell r="Q7220">
            <v>2.0699999999999998</v>
          </cell>
          <cell r="T7220">
            <v>598.54499999999996</v>
          </cell>
        </row>
        <row r="7221">
          <cell r="G7221">
            <v>42705</v>
          </cell>
          <cell r="L7221" t="str">
            <v>04-27-004-08W2</v>
          </cell>
          <cell r="O7221">
            <v>883.3</v>
          </cell>
          <cell r="Q7221">
            <v>2.14</v>
          </cell>
          <cell r="T7221">
            <v>544.774</v>
          </cell>
        </row>
        <row r="7222">
          <cell r="G7222">
            <v>42705</v>
          </cell>
          <cell r="L7222" t="str">
            <v>16-09-007-11W2</v>
          </cell>
          <cell r="O7222">
            <v>827.7</v>
          </cell>
          <cell r="Q7222">
            <v>0.76</v>
          </cell>
          <cell r="T7222">
            <v>540.16200000000003</v>
          </cell>
        </row>
        <row r="7223">
          <cell r="G7223">
            <v>42705</v>
          </cell>
          <cell r="L7223" t="str">
            <v>15-33-013-13W2</v>
          </cell>
          <cell r="O7223">
            <v>865.9</v>
          </cell>
          <cell r="Q7223">
            <v>0.51</v>
          </cell>
          <cell r="T7223">
            <v>482.279</v>
          </cell>
        </row>
        <row r="7224">
          <cell r="G7224">
            <v>42705</v>
          </cell>
          <cell r="L7224" t="str">
            <v>13-33-006-09W2</v>
          </cell>
          <cell r="O7224">
            <v>886.1</v>
          </cell>
          <cell r="Q7224">
            <v>2.42</v>
          </cell>
          <cell r="T7224">
            <v>454.48</v>
          </cell>
        </row>
        <row r="7225">
          <cell r="G7225">
            <v>42705</v>
          </cell>
          <cell r="L7225" t="str">
            <v>14-22-004-08W2</v>
          </cell>
          <cell r="O7225">
            <v>877.9</v>
          </cell>
          <cell r="Q7225">
            <v>2.0299999999999998</v>
          </cell>
          <cell r="T7225">
            <v>451.47</v>
          </cell>
        </row>
        <row r="7226">
          <cell r="G7226">
            <v>42705</v>
          </cell>
          <cell r="L7226" t="str">
            <v>12-20-005-12W2</v>
          </cell>
          <cell r="O7226">
            <v>884.1</v>
          </cell>
          <cell r="Q7226">
            <v>2.38</v>
          </cell>
          <cell r="T7226">
            <v>437.54199999999997</v>
          </cell>
        </row>
        <row r="7227">
          <cell r="G7227">
            <v>42705</v>
          </cell>
          <cell r="L7227" t="str">
            <v>15-11-005-09W2</v>
          </cell>
          <cell r="O7227">
            <v>881.5</v>
          </cell>
          <cell r="Q7227">
            <v>2.21</v>
          </cell>
          <cell r="T7227">
            <v>424.93799999999999</v>
          </cell>
        </row>
        <row r="7228">
          <cell r="G7228">
            <v>42705</v>
          </cell>
          <cell r="L7228" t="str">
            <v>13-09-002-11W2</v>
          </cell>
          <cell r="O7228">
            <v>815.8</v>
          </cell>
          <cell r="Q7228">
            <v>0.17</v>
          </cell>
          <cell r="T7228">
            <v>417.73200000000003</v>
          </cell>
        </row>
        <row r="7229">
          <cell r="G7229">
            <v>42705</v>
          </cell>
          <cell r="L7229" t="str">
            <v>03-18-007-09W2</v>
          </cell>
          <cell r="O7229">
            <v>824.6</v>
          </cell>
          <cell r="Q7229">
            <v>0.59</v>
          </cell>
          <cell r="T7229">
            <v>405.55399999999997</v>
          </cell>
        </row>
        <row r="7230">
          <cell r="G7230">
            <v>42705</v>
          </cell>
          <cell r="L7230" t="str">
            <v>03-34-001-11W2</v>
          </cell>
          <cell r="O7230">
            <v>817.7</v>
          </cell>
          <cell r="Q7230">
            <v>0.17</v>
          </cell>
          <cell r="T7230">
            <v>378.11099999999999</v>
          </cell>
        </row>
        <row r="7231">
          <cell r="G7231">
            <v>42705</v>
          </cell>
          <cell r="L7231" t="str">
            <v>14-25-003-09W2</v>
          </cell>
          <cell r="O7231">
            <v>856.3</v>
          </cell>
          <cell r="Q7231">
            <v>0.8</v>
          </cell>
          <cell r="T7231">
            <v>355.32799999999997</v>
          </cell>
        </row>
        <row r="7232">
          <cell r="G7232">
            <v>42705</v>
          </cell>
          <cell r="L7232" t="str">
            <v>13-36-002-12W2</v>
          </cell>
          <cell r="O7232">
            <v>805.3</v>
          </cell>
          <cell r="Q7232">
            <v>0.16</v>
          </cell>
          <cell r="T7232">
            <v>353.447</v>
          </cell>
        </row>
        <row r="7233">
          <cell r="G7233">
            <v>42705</v>
          </cell>
          <cell r="L7233" t="str">
            <v>06-18-006-12W2</v>
          </cell>
          <cell r="O7233">
            <v>888.8</v>
          </cell>
          <cell r="Q7233">
            <v>2.58</v>
          </cell>
          <cell r="T7233">
            <v>337.06400000000002</v>
          </cell>
        </row>
        <row r="7234">
          <cell r="G7234">
            <v>42705</v>
          </cell>
          <cell r="L7234" t="str">
            <v>15-29-007-13W2</v>
          </cell>
          <cell r="O7234">
            <v>852.7</v>
          </cell>
          <cell r="Q7234">
            <v>1.85</v>
          </cell>
          <cell r="T7234">
            <v>336.61500000000001</v>
          </cell>
        </row>
        <row r="7235">
          <cell r="G7235">
            <v>42705</v>
          </cell>
          <cell r="L7235" t="str">
            <v>11-14-007-08W2</v>
          </cell>
          <cell r="O7235">
            <v>845.3</v>
          </cell>
          <cell r="Q7235">
            <v>1.38</v>
          </cell>
          <cell r="T7235">
            <v>317.37200000000001</v>
          </cell>
        </row>
        <row r="7236">
          <cell r="G7236">
            <v>42705</v>
          </cell>
          <cell r="L7236" t="str">
            <v>09-11-007-14W2</v>
          </cell>
          <cell r="O7236">
            <v>848.4</v>
          </cell>
          <cell r="Q7236">
            <v>1.55</v>
          </cell>
          <cell r="T7236">
            <v>303.173</v>
          </cell>
        </row>
        <row r="7237">
          <cell r="G7237">
            <v>42705</v>
          </cell>
          <cell r="L7237" t="str">
            <v>16-34-001-11W2</v>
          </cell>
          <cell r="O7237">
            <v>823.1</v>
          </cell>
          <cell r="Q7237">
            <v>0.19</v>
          </cell>
          <cell r="T7237">
            <v>300.262</v>
          </cell>
        </row>
        <row r="7238">
          <cell r="G7238">
            <v>42705</v>
          </cell>
          <cell r="L7238" t="str">
            <v>01-10-008-15W2</v>
          </cell>
          <cell r="O7238">
            <v>862.4</v>
          </cell>
          <cell r="Q7238">
            <v>2.21</v>
          </cell>
          <cell r="T7238">
            <v>295.04899999999998</v>
          </cell>
        </row>
        <row r="7239">
          <cell r="G7239">
            <v>42705</v>
          </cell>
          <cell r="L7239" t="str">
            <v>11-31-006-08W2</v>
          </cell>
          <cell r="O7239">
            <v>890.1</v>
          </cell>
          <cell r="Q7239">
            <v>2.5</v>
          </cell>
          <cell r="T7239">
            <v>291.42500000000001</v>
          </cell>
        </row>
        <row r="7240">
          <cell r="G7240">
            <v>42705</v>
          </cell>
          <cell r="L7240" t="str">
            <v>15-36-001-12W2</v>
          </cell>
          <cell r="O7240">
            <v>811.6</v>
          </cell>
          <cell r="Q7240">
            <v>0.14000000000000001</v>
          </cell>
          <cell r="T7240">
            <v>257.22899999999998</v>
          </cell>
        </row>
        <row r="7241">
          <cell r="G7241">
            <v>42705</v>
          </cell>
          <cell r="L7241" t="str">
            <v>04-13-004-10W2</v>
          </cell>
          <cell r="O7241">
            <v>885.3</v>
          </cell>
          <cell r="Q7241">
            <v>2.04</v>
          </cell>
          <cell r="T7241">
            <v>248.83600000000001</v>
          </cell>
        </row>
        <row r="7242">
          <cell r="G7242">
            <v>42705</v>
          </cell>
          <cell r="L7242" t="str">
            <v>04-23-012-06W2</v>
          </cell>
          <cell r="O7242">
            <v>897.5</v>
          </cell>
          <cell r="Q7242">
            <v>2.52</v>
          </cell>
          <cell r="T7242">
            <v>238.441</v>
          </cell>
        </row>
        <row r="7243">
          <cell r="G7243">
            <v>42705</v>
          </cell>
          <cell r="L7243" t="str">
            <v>04-21-006-14W2</v>
          </cell>
          <cell r="O7243">
            <v>855.2</v>
          </cell>
          <cell r="Q7243">
            <v>2.06</v>
          </cell>
          <cell r="T7243">
            <v>227.19800000000001</v>
          </cell>
        </row>
        <row r="7244">
          <cell r="G7244">
            <v>42705</v>
          </cell>
          <cell r="L7244" t="str">
            <v>04-16-004-21W2</v>
          </cell>
          <cell r="O7244">
            <v>818.8</v>
          </cell>
          <cell r="Q7244">
            <v>0.21</v>
          </cell>
          <cell r="T7244">
            <v>217.03</v>
          </cell>
        </row>
        <row r="7245">
          <cell r="G7245">
            <v>42705</v>
          </cell>
          <cell r="L7245" t="str">
            <v>16-29-006-12W2</v>
          </cell>
          <cell r="O7245">
            <v>915.6</v>
          </cell>
          <cell r="Q7245">
            <v>1.56</v>
          </cell>
          <cell r="T7245">
            <v>209.34800000000001</v>
          </cell>
        </row>
        <row r="7246">
          <cell r="G7246">
            <v>42705</v>
          </cell>
          <cell r="L7246" t="str">
            <v>14-20-004-10W2</v>
          </cell>
          <cell r="O7246">
            <v>889.6</v>
          </cell>
          <cell r="Q7246">
            <v>2.14</v>
          </cell>
          <cell r="T7246">
            <v>200.886</v>
          </cell>
        </row>
        <row r="7247">
          <cell r="G7247">
            <v>42705</v>
          </cell>
          <cell r="L7247" t="str">
            <v>03-08-001-11W2</v>
          </cell>
          <cell r="O7247">
            <v>805.7</v>
          </cell>
          <cell r="Q7247">
            <v>0.32</v>
          </cell>
          <cell r="T7247">
            <v>178.89</v>
          </cell>
        </row>
        <row r="7248">
          <cell r="G7248">
            <v>42705</v>
          </cell>
          <cell r="L7248" t="str">
            <v>12-27-006-13W2</v>
          </cell>
          <cell r="O7248">
            <v>853.7</v>
          </cell>
          <cell r="Q7248">
            <v>0.18</v>
          </cell>
          <cell r="T7248">
            <v>166.453</v>
          </cell>
        </row>
        <row r="7249">
          <cell r="G7249">
            <v>42705</v>
          </cell>
          <cell r="L7249" t="str">
            <v>03-27-011-08W2</v>
          </cell>
          <cell r="O7249">
            <v>900.7</v>
          </cell>
          <cell r="Q7249">
            <v>2.62</v>
          </cell>
          <cell r="T7249">
            <v>164.93899999999999</v>
          </cell>
        </row>
        <row r="7250">
          <cell r="G7250">
            <v>42705</v>
          </cell>
          <cell r="L7250" t="str">
            <v>16-06-005-12W2</v>
          </cell>
          <cell r="O7250">
            <v>880.2</v>
          </cell>
          <cell r="Q7250">
            <v>2</v>
          </cell>
          <cell r="T7250">
            <v>156.68899999999999</v>
          </cell>
        </row>
        <row r="7251">
          <cell r="G7251">
            <v>42705</v>
          </cell>
          <cell r="L7251" t="str">
            <v>02-13-004-12W2</v>
          </cell>
          <cell r="O7251">
            <v>878.9</v>
          </cell>
          <cell r="Q7251">
            <v>1.99</v>
          </cell>
          <cell r="T7251">
            <v>149.96899999999999</v>
          </cell>
        </row>
        <row r="7252">
          <cell r="G7252">
            <v>42705</v>
          </cell>
          <cell r="L7252" t="str">
            <v>01-36-006-12W2</v>
          </cell>
          <cell r="O7252">
            <v>893.1</v>
          </cell>
          <cell r="Q7252">
            <v>2.63</v>
          </cell>
          <cell r="T7252">
            <v>146.49</v>
          </cell>
        </row>
        <row r="7253">
          <cell r="G7253">
            <v>42705</v>
          </cell>
          <cell r="L7253" t="str">
            <v>09-22-006-12W2</v>
          </cell>
          <cell r="O7253">
            <v>880.6</v>
          </cell>
          <cell r="Q7253">
            <v>2.34</v>
          </cell>
          <cell r="T7253">
            <v>137.89400000000001</v>
          </cell>
        </row>
        <row r="7254">
          <cell r="G7254">
            <v>42705</v>
          </cell>
          <cell r="L7254" t="str">
            <v>05-31-006-13W2</v>
          </cell>
          <cell r="O7254">
            <v>807.1</v>
          </cell>
          <cell r="Q7254">
            <v>0.19</v>
          </cell>
          <cell r="T7254">
            <v>133.03200000000001</v>
          </cell>
        </row>
        <row r="7255">
          <cell r="G7255">
            <v>42705</v>
          </cell>
          <cell r="L7255" t="str">
            <v>01-05-007-14W2</v>
          </cell>
          <cell r="O7255">
            <v>844.3</v>
          </cell>
          <cell r="Q7255">
            <v>1.83</v>
          </cell>
          <cell r="T7255">
            <v>128.08699999999999</v>
          </cell>
        </row>
        <row r="7256">
          <cell r="G7256">
            <v>42705</v>
          </cell>
          <cell r="L7256" t="str">
            <v>07-31-006-09W2</v>
          </cell>
          <cell r="O7256">
            <v>872.6</v>
          </cell>
          <cell r="Q7256">
            <v>1.46</v>
          </cell>
          <cell r="T7256">
            <v>126.247</v>
          </cell>
        </row>
        <row r="7257">
          <cell r="G7257">
            <v>42705</v>
          </cell>
          <cell r="L7257" t="str">
            <v>13-06-007-09W2</v>
          </cell>
          <cell r="O7257">
            <v>821.7</v>
          </cell>
          <cell r="Q7257">
            <v>0.28999999999999998</v>
          </cell>
          <cell r="T7257">
            <v>118.914</v>
          </cell>
        </row>
        <row r="7258">
          <cell r="G7258">
            <v>42705</v>
          </cell>
          <cell r="L7258" t="str">
            <v>01-23-005-12W2</v>
          </cell>
          <cell r="O7258">
            <v>877.8</v>
          </cell>
          <cell r="Q7258">
            <v>2.0499999999999998</v>
          </cell>
          <cell r="T7258">
            <v>118.301</v>
          </cell>
        </row>
        <row r="7259">
          <cell r="G7259">
            <v>42705</v>
          </cell>
          <cell r="L7259" t="str">
            <v>12-31-001-17W2</v>
          </cell>
          <cell r="O7259">
            <v>850.9</v>
          </cell>
          <cell r="Q7259">
            <v>0.14000000000000001</v>
          </cell>
          <cell r="T7259">
            <v>107.581</v>
          </cell>
        </row>
        <row r="7260">
          <cell r="G7260">
            <v>42705</v>
          </cell>
          <cell r="L7260" t="str">
            <v>07-02-007-12W2</v>
          </cell>
          <cell r="O7260">
            <v>854.4</v>
          </cell>
          <cell r="Q7260">
            <v>1.83</v>
          </cell>
          <cell r="T7260">
            <v>101.90900000000001</v>
          </cell>
        </row>
        <row r="7261">
          <cell r="G7261">
            <v>42705</v>
          </cell>
          <cell r="L7261" t="str">
            <v>01-06-004-11W2</v>
          </cell>
          <cell r="O7261">
            <v>884.6</v>
          </cell>
          <cell r="Q7261">
            <v>1.95</v>
          </cell>
          <cell r="T7261">
            <v>99.527000000000001</v>
          </cell>
        </row>
        <row r="7262">
          <cell r="G7262">
            <v>42705</v>
          </cell>
          <cell r="L7262" t="str">
            <v>07-10-001-20W2</v>
          </cell>
          <cell r="O7262">
            <v>878.5</v>
          </cell>
          <cell r="Q7262">
            <v>1.72</v>
          </cell>
          <cell r="T7262">
            <v>99.055000000000007</v>
          </cell>
        </row>
        <row r="7263">
          <cell r="G7263">
            <v>42705</v>
          </cell>
          <cell r="L7263" t="str">
            <v>07-24-006-10W2</v>
          </cell>
          <cell r="O7263">
            <v>883.2</v>
          </cell>
          <cell r="Q7263">
            <v>2.44</v>
          </cell>
          <cell r="T7263">
            <v>98.870999999999995</v>
          </cell>
        </row>
        <row r="7264">
          <cell r="G7264">
            <v>42705</v>
          </cell>
          <cell r="L7264" t="str">
            <v>09-06-010-15W2</v>
          </cell>
          <cell r="O7264">
            <v>865.4</v>
          </cell>
          <cell r="Q7264">
            <v>0.13</v>
          </cell>
          <cell r="T7264">
            <v>85.745000000000005</v>
          </cell>
        </row>
        <row r="7265">
          <cell r="G7265">
            <v>42705</v>
          </cell>
          <cell r="L7265" t="str">
            <v>09-32-006-15W2</v>
          </cell>
          <cell r="O7265">
            <v>891.7</v>
          </cell>
          <cell r="Q7265">
            <v>2.8</v>
          </cell>
          <cell r="T7265">
            <v>74.128</v>
          </cell>
        </row>
        <row r="7266">
          <cell r="G7266">
            <v>42705</v>
          </cell>
          <cell r="L7266" t="str">
            <v>10-05-007-10W2</v>
          </cell>
          <cell r="O7266">
            <v>856.3</v>
          </cell>
          <cell r="Q7266">
            <v>1.78</v>
          </cell>
          <cell r="T7266">
            <v>66.762</v>
          </cell>
        </row>
        <row r="7267">
          <cell r="G7267">
            <v>42705</v>
          </cell>
          <cell r="L7267" t="str">
            <v>06-13-007-10W2</v>
          </cell>
          <cell r="O7267">
            <v>828.5</v>
          </cell>
          <cell r="Q7267">
            <v>0.17</v>
          </cell>
          <cell r="T7267">
            <v>65.251000000000005</v>
          </cell>
        </row>
        <row r="7268">
          <cell r="G7268">
            <v>42705</v>
          </cell>
          <cell r="L7268" t="str">
            <v>12-28-006-07W2</v>
          </cell>
          <cell r="O7268">
            <v>908.4</v>
          </cell>
          <cell r="Q7268">
            <v>2.52</v>
          </cell>
          <cell r="T7268">
            <v>60.777000000000001</v>
          </cell>
        </row>
        <row r="7269">
          <cell r="G7269">
            <v>42705</v>
          </cell>
          <cell r="L7269" t="str">
            <v>10-11-005-14W2</v>
          </cell>
          <cell r="O7269">
            <v>902.6</v>
          </cell>
          <cell r="Q7269">
            <v>2.86</v>
          </cell>
          <cell r="T7269">
            <v>32.857999999999997</v>
          </cell>
        </row>
        <row r="7270">
          <cell r="G7270">
            <v>42705</v>
          </cell>
          <cell r="L7270" t="str">
            <v>05-19-007-12W2</v>
          </cell>
          <cell r="O7270">
            <v>868.2</v>
          </cell>
          <cell r="Q7270">
            <v>1.82</v>
          </cell>
          <cell r="T7270">
            <v>32.430999999999997</v>
          </cell>
        </row>
        <row r="7271">
          <cell r="G7271">
            <v>42705</v>
          </cell>
          <cell r="L7271" t="str">
            <v>02-22-009-09W2</v>
          </cell>
          <cell r="O7271">
            <v>879.4</v>
          </cell>
          <cell r="Q7271">
            <v>2.46</v>
          </cell>
          <cell r="T7271">
            <v>32.018000000000001</v>
          </cell>
        </row>
        <row r="7272">
          <cell r="G7272">
            <v>42705</v>
          </cell>
          <cell r="L7272" t="str">
            <v>08-34-006-12W2</v>
          </cell>
          <cell r="O7272">
            <v>881</v>
          </cell>
          <cell r="Q7272">
            <v>1.89</v>
          </cell>
          <cell r="T7272">
            <v>30.905000000000001</v>
          </cell>
        </row>
        <row r="7273">
          <cell r="G7273">
            <v>42705</v>
          </cell>
          <cell r="L7273" t="str">
            <v>01-27-004-07W2</v>
          </cell>
          <cell r="O7273">
            <v>886.2</v>
          </cell>
          <cell r="Q7273">
            <v>2.0299999999999998</v>
          </cell>
          <cell r="T7273">
            <v>28.315999999999999</v>
          </cell>
        </row>
        <row r="7274">
          <cell r="G7274">
            <v>42705</v>
          </cell>
          <cell r="L7274" t="str">
            <v>09-12-007-09W2</v>
          </cell>
          <cell r="O7274">
            <v>813.5</v>
          </cell>
          <cell r="Q7274">
            <v>0.15</v>
          </cell>
          <cell r="T7274">
            <v>24.259</v>
          </cell>
        </row>
        <row r="7275">
          <cell r="G7275">
            <v>42705</v>
          </cell>
          <cell r="L7275" t="str">
            <v>05-31-003-16W2</v>
          </cell>
          <cell r="O7275">
            <v>891.4</v>
          </cell>
          <cell r="Q7275">
            <v>2.42</v>
          </cell>
          <cell r="T7275">
            <v>3647.2489999999998</v>
          </cell>
        </row>
        <row r="7276">
          <cell r="G7276">
            <v>42705</v>
          </cell>
          <cell r="L7276" t="str">
            <v>11-25-005-12W2</v>
          </cell>
          <cell r="O7276">
            <v>874.8</v>
          </cell>
          <cell r="Q7276">
            <v>2.02</v>
          </cell>
          <cell r="T7276">
            <v>2328.0949999999998</v>
          </cell>
        </row>
        <row r="7277">
          <cell r="G7277">
            <v>42705</v>
          </cell>
          <cell r="L7277" t="str">
            <v>16-18-003-15W2</v>
          </cell>
          <cell r="O7277">
            <v>886.6</v>
          </cell>
          <cell r="Q7277">
            <v>2.4500000000000002</v>
          </cell>
          <cell r="T7277">
            <v>1005.629</v>
          </cell>
        </row>
        <row r="7278">
          <cell r="G7278">
            <v>42705</v>
          </cell>
          <cell r="L7278" t="str">
            <v>16-27-001-16W2</v>
          </cell>
          <cell r="O7278">
            <v>807.2</v>
          </cell>
          <cell r="Q7278">
            <v>0.43</v>
          </cell>
          <cell r="T7278">
            <v>552.71199999999999</v>
          </cell>
        </row>
        <row r="7279">
          <cell r="G7279">
            <v>42705</v>
          </cell>
          <cell r="L7279" t="str">
            <v>14-21-001-12W2</v>
          </cell>
          <cell r="O7279">
            <v>817.9</v>
          </cell>
          <cell r="Q7279">
            <v>0.22</v>
          </cell>
          <cell r="T7279">
            <v>446.91800000000001</v>
          </cell>
        </row>
        <row r="7280">
          <cell r="G7280">
            <v>42705</v>
          </cell>
          <cell r="L7280" t="str">
            <v>12-30-005-07W2</v>
          </cell>
          <cell r="O7280">
            <v>896.8</v>
          </cell>
          <cell r="Q7280">
            <v>2.5299999999999998</v>
          </cell>
          <cell r="T7280">
            <v>414.83</v>
          </cell>
        </row>
        <row r="7281">
          <cell r="G7281">
            <v>42705</v>
          </cell>
          <cell r="L7281" t="str">
            <v>16-22-001-12W2</v>
          </cell>
          <cell r="O7281">
            <v>822</v>
          </cell>
          <cell r="Q7281">
            <v>0.17</v>
          </cell>
          <cell r="T7281">
            <v>313.15699999999998</v>
          </cell>
        </row>
        <row r="7282">
          <cell r="G7282">
            <v>42705</v>
          </cell>
          <cell r="L7282" t="str">
            <v>16-19-001-15W2</v>
          </cell>
          <cell r="O7282">
            <v>805.9</v>
          </cell>
          <cell r="Q7282">
            <v>0.39</v>
          </cell>
          <cell r="T7282">
            <v>294.92399999999998</v>
          </cell>
        </row>
        <row r="7283">
          <cell r="G7283">
            <v>42705</v>
          </cell>
          <cell r="L7283" t="str">
            <v>05-23-005-13W2</v>
          </cell>
          <cell r="O7283">
            <v>907.7</v>
          </cell>
          <cell r="Q7283">
            <v>2.75</v>
          </cell>
          <cell r="T7283">
            <v>284.90100000000001</v>
          </cell>
        </row>
        <row r="7284">
          <cell r="G7284">
            <v>42705</v>
          </cell>
          <cell r="L7284" t="str">
            <v>13-24-001-16W2</v>
          </cell>
          <cell r="O7284">
            <v>810.5</v>
          </cell>
          <cell r="Q7284">
            <v>0.42</v>
          </cell>
          <cell r="T7284">
            <v>156.17599999999999</v>
          </cell>
        </row>
        <row r="7285">
          <cell r="G7285">
            <v>42705</v>
          </cell>
          <cell r="L7285" t="str">
            <v>06-20-006-09W2</v>
          </cell>
          <cell r="O7285">
            <v>884.5</v>
          </cell>
          <cell r="Q7285">
            <v>2.19</v>
          </cell>
          <cell r="T7285">
            <v>100.551</v>
          </cell>
        </row>
        <row r="7286">
          <cell r="G7286">
            <v>42705</v>
          </cell>
          <cell r="L7286" t="str">
            <v>13-22-001-12W2</v>
          </cell>
          <cell r="O7286">
            <v>807.5</v>
          </cell>
          <cell r="Q7286">
            <v>0.23</v>
          </cell>
          <cell r="T7286">
            <v>70.998999999999995</v>
          </cell>
        </row>
        <row r="7287">
          <cell r="G7287">
            <v>42705</v>
          </cell>
          <cell r="L7287" t="str">
            <v>13-34-001-13W2</v>
          </cell>
          <cell r="O7287">
            <v>823.2</v>
          </cell>
          <cell r="Q7287">
            <v>0.2</v>
          </cell>
          <cell r="T7287">
            <v>70.816999999999993</v>
          </cell>
        </row>
        <row r="7288">
          <cell r="G7288">
            <v>42705</v>
          </cell>
          <cell r="L7288" t="str">
            <v>15-06-006-21W2</v>
          </cell>
          <cell r="O7288">
            <v>826.4</v>
          </cell>
          <cell r="Q7288">
            <v>0.19</v>
          </cell>
          <cell r="T7288">
            <v>65.965999999999994</v>
          </cell>
        </row>
        <row r="7289">
          <cell r="G7289">
            <v>42705</v>
          </cell>
          <cell r="L7289" t="str">
            <v>14-27-001-12W2</v>
          </cell>
          <cell r="O7289">
            <v>829.4</v>
          </cell>
          <cell r="Q7289">
            <v>0.25</v>
          </cell>
          <cell r="T7289">
            <v>65.421000000000006</v>
          </cell>
        </row>
        <row r="7290">
          <cell r="G7290">
            <v>42705</v>
          </cell>
          <cell r="L7290" t="str">
            <v>16-34-001-15W2</v>
          </cell>
          <cell r="O7290">
            <v>803.4</v>
          </cell>
          <cell r="Q7290">
            <v>0.22</v>
          </cell>
          <cell r="T7290">
            <v>61.564999999999998</v>
          </cell>
        </row>
        <row r="7291">
          <cell r="G7291">
            <v>42705</v>
          </cell>
          <cell r="L7291" t="str">
            <v>16-25-001-15W2</v>
          </cell>
          <cell r="O7291">
            <v>818.7</v>
          </cell>
          <cell r="Q7291">
            <v>0.32</v>
          </cell>
          <cell r="T7291">
            <v>30.556999999999999</v>
          </cell>
        </row>
        <row r="7292">
          <cell r="G7292">
            <v>42705</v>
          </cell>
          <cell r="L7292" t="str">
            <v>04-24-005-15W2</v>
          </cell>
          <cell r="O7292">
            <v>891.5</v>
          </cell>
          <cell r="Q7292">
            <v>2.71</v>
          </cell>
          <cell r="T7292">
            <v>1317.703</v>
          </cell>
        </row>
        <row r="7293">
          <cell r="G7293">
            <v>42705</v>
          </cell>
          <cell r="L7293" t="str">
            <v>15-29-005-15W2</v>
          </cell>
          <cell r="O7293">
            <v>885.1</v>
          </cell>
          <cell r="Q7293">
            <v>2.86</v>
          </cell>
          <cell r="T7293">
            <v>1248.982</v>
          </cell>
        </row>
        <row r="7294">
          <cell r="G7294">
            <v>42705</v>
          </cell>
          <cell r="L7294" t="str">
            <v>09-34-005-15W2</v>
          </cell>
          <cell r="O7294">
            <v>879.1</v>
          </cell>
          <cell r="Q7294">
            <v>2.57</v>
          </cell>
          <cell r="T7294">
            <v>1193.3219999999999</v>
          </cell>
        </row>
        <row r="7295">
          <cell r="G7295">
            <v>42705</v>
          </cell>
          <cell r="L7295" t="str">
            <v>06-17-006-14W2</v>
          </cell>
          <cell r="O7295">
            <v>864.4</v>
          </cell>
          <cell r="Q7295">
            <v>2.1800000000000002</v>
          </cell>
          <cell r="T7295">
            <v>3628.5720000000001</v>
          </cell>
        </row>
        <row r="7296">
          <cell r="G7296">
            <v>42705</v>
          </cell>
          <cell r="L7296" t="str">
            <v>10-11-005-14W2</v>
          </cell>
          <cell r="O7296">
            <v>900.8</v>
          </cell>
          <cell r="Q7296">
            <v>2.86</v>
          </cell>
          <cell r="T7296">
            <v>376.685</v>
          </cell>
        </row>
        <row r="7297">
          <cell r="G7297">
            <v>42705</v>
          </cell>
          <cell r="L7297" t="str">
            <v>03-15-005-13W2</v>
          </cell>
          <cell r="O7297">
            <v>902</v>
          </cell>
          <cell r="Q7297">
            <v>2.85</v>
          </cell>
          <cell r="T7297">
            <v>305.83699999999999</v>
          </cell>
        </row>
        <row r="7298">
          <cell r="G7298">
            <v>42705</v>
          </cell>
          <cell r="L7298" t="str">
            <v>15-19-005-13W2</v>
          </cell>
          <cell r="O7298">
            <v>895.1</v>
          </cell>
          <cell r="Q7298">
            <v>2.72</v>
          </cell>
          <cell r="T7298">
            <v>242.96199999999999</v>
          </cell>
        </row>
        <row r="7299">
          <cell r="G7299">
            <v>42705</v>
          </cell>
          <cell r="L7299" t="str">
            <v>12-13-006-13W2</v>
          </cell>
          <cell r="O7299">
            <v>875.4</v>
          </cell>
          <cell r="Q7299">
            <v>2.5299999999999998</v>
          </cell>
          <cell r="T7299">
            <v>108.56100000000001</v>
          </cell>
        </row>
        <row r="7300">
          <cell r="G7300">
            <v>42705</v>
          </cell>
          <cell r="L7300" t="str">
            <v>07-24-006-15W2</v>
          </cell>
          <cell r="O7300">
            <v>873.1</v>
          </cell>
          <cell r="Q7300">
            <v>1.18</v>
          </cell>
          <cell r="T7300">
            <v>1367.8140000000001</v>
          </cell>
        </row>
        <row r="7301">
          <cell r="G7301">
            <v>42705</v>
          </cell>
          <cell r="L7301" t="str">
            <v>07-07-006-15W2</v>
          </cell>
          <cell r="O7301">
            <v>874.4</v>
          </cell>
          <cell r="Q7301">
            <v>2.81</v>
          </cell>
          <cell r="T7301">
            <v>4517.9579999999996</v>
          </cell>
        </row>
        <row r="7302">
          <cell r="G7302">
            <v>42705</v>
          </cell>
          <cell r="L7302" t="str">
            <v>12-30-006-15W2</v>
          </cell>
          <cell r="O7302">
            <v>886.6</v>
          </cell>
          <cell r="Q7302">
            <v>2.99</v>
          </cell>
          <cell r="T7302">
            <v>4638.45</v>
          </cell>
        </row>
        <row r="7303">
          <cell r="G7303">
            <v>42705</v>
          </cell>
          <cell r="L7303" t="str">
            <v>11-25-005-06W2</v>
          </cell>
          <cell r="O7303">
            <v>846.3</v>
          </cell>
          <cell r="Q7303">
            <v>1.1200000000000001</v>
          </cell>
          <cell r="T7303">
            <v>4530.1459999999997</v>
          </cell>
        </row>
        <row r="7304">
          <cell r="G7304">
            <v>42705</v>
          </cell>
          <cell r="L7304" t="str">
            <v>03-16-001-11W2</v>
          </cell>
          <cell r="O7304">
            <v>821.8</v>
          </cell>
          <cell r="Q7304">
            <v>0.18</v>
          </cell>
          <cell r="T7304">
            <v>3985.8440000000001</v>
          </cell>
        </row>
        <row r="7305">
          <cell r="G7305">
            <v>42705</v>
          </cell>
          <cell r="L7305" t="str">
            <v>12-32-006-04W2</v>
          </cell>
          <cell r="O7305">
            <v>860.7</v>
          </cell>
          <cell r="Q7305">
            <v>1.82</v>
          </cell>
          <cell r="T7305">
            <v>2454.4969999999998</v>
          </cell>
        </row>
        <row r="7306">
          <cell r="G7306">
            <v>42705</v>
          </cell>
          <cell r="L7306" t="str">
            <v>16-36-004-06W2</v>
          </cell>
          <cell r="O7306">
            <v>833.5</v>
          </cell>
          <cell r="Q7306">
            <v>0.92</v>
          </cell>
          <cell r="T7306">
            <v>2089.2959999999998</v>
          </cell>
        </row>
        <row r="7307">
          <cell r="G7307">
            <v>42705</v>
          </cell>
          <cell r="L7307" t="str">
            <v>12-11-001-10W2</v>
          </cell>
          <cell r="O7307">
            <v>818.6</v>
          </cell>
          <cell r="Q7307">
            <v>0.17</v>
          </cell>
          <cell r="T7307">
            <v>2008.019</v>
          </cell>
        </row>
        <row r="7308">
          <cell r="G7308">
            <v>42705</v>
          </cell>
          <cell r="L7308" t="str">
            <v>31-30-164-92W1</v>
          </cell>
          <cell r="O7308">
            <v>831.1</v>
          </cell>
          <cell r="Q7308">
            <v>0.52</v>
          </cell>
          <cell r="T7308">
            <v>1214.0619999999999</v>
          </cell>
        </row>
        <row r="7309">
          <cell r="G7309">
            <v>42705</v>
          </cell>
          <cell r="L7309" t="str">
            <v>16-19-002-04W2</v>
          </cell>
          <cell r="O7309">
            <v>840.1</v>
          </cell>
          <cell r="Q7309">
            <v>0.53</v>
          </cell>
          <cell r="T7309">
            <v>1149.498</v>
          </cell>
        </row>
        <row r="7310">
          <cell r="G7310">
            <v>42705</v>
          </cell>
          <cell r="L7310" t="str">
            <v>02-31-145-98W1</v>
          </cell>
          <cell r="O7310">
            <v>819.6</v>
          </cell>
          <cell r="Q7310">
            <v>0.41</v>
          </cell>
          <cell r="T7310">
            <v>1036.519</v>
          </cell>
        </row>
        <row r="7311">
          <cell r="G7311">
            <v>42705</v>
          </cell>
          <cell r="L7311" t="str">
            <v>03-10-145-98W1</v>
          </cell>
          <cell r="O7311">
            <v>830.3</v>
          </cell>
          <cell r="Q7311">
            <v>0.41</v>
          </cell>
          <cell r="T7311">
            <v>728.48599999999999</v>
          </cell>
        </row>
        <row r="7312">
          <cell r="G7312">
            <v>42705</v>
          </cell>
          <cell r="L7312" t="str">
            <v>07-04-005-04W2</v>
          </cell>
          <cell r="O7312">
            <v>841.8</v>
          </cell>
          <cell r="Q7312">
            <v>0.89</v>
          </cell>
          <cell r="T7312">
            <v>518.69299999999998</v>
          </cell>
        </row>
        <row r="7313">
          <cell r="G7313">
            <v>42705</v>
          </cell>
          <cell r="L7313" t="str">
            <v>01-19-145-98W1</v>
          </cell>
          <cell r="O7313">
            <v>816.7</v>
          </cell>
          <cell r="Q7313">
            <v>0.38</v>
          </cell>
          <cell r="T7313">
            <v>452.21199999999999</v>
          </cell>
        </row>
        <row r="7314">
          <cell r="G7314">
            <v>42705</v>
          </cell>
          <cell r="L7314" t="str">
            <v>02-34-143-100W1</v>
          </cell>
          <cell r="O7314">
            <v>828.3</v>
          </cell>
          <cell r="Q7314">
            <v>0.38</v>
          </cell>
          <cell r="T7314">
            <v>443.66699999999997</v>
          </cell>
        </row>
        <row r="7315">
          <cell r="G7315">
            <v>42705</v>
          </cell>
          <cell r="L7315" t="str">
            <v>09-20-006-04W2</v>
          </cell>
          <cell r="O7315">
            <v>852.6</v>
          </cell>
          <cell r="Q7315">
            <v>1.36</v>
          </cell>
          <cell r="T7315">
            <v>387.44900000000001</v>
          </cell>
        </row>
        <row r="7316">
          <cell r="G7316">
            <v>42705</v>
          </cell>
          <cell r="L7316" t="str">
            <v>02-05-163-92W1</v>
          </cell>
          <cell r="O7316">
            <v>835.8</v>
          </cell>
          <cell r="Q7316">
            <v>0.54</v>
          </cell>
          <cell r="T7316">
            <v>294.43799999999999</v>
          </cell>
        </row>
        <row r="7317">
          <cell r="G7317">
            <v>42705</v>
          </cell>
          <cell r="L7317" t="str">
            <v>01-02-021-58W1</v>
          </cell>
          <cell r="O7317">
            <v>830.1</v>
          </cell>
          <cell r="Q7317">
            <v>0.7</v>
          </cell>
          <cell r="T7317">
            <v>279.42500000000001</v>
          </cell>
        </row>
        <row r="7318">
          <cell r="G7318">
            <v>42705</v>
          </cell>
          <cell r="L7318" t="str">
            <v>09-19-004-04W2</v>
          </cell>
          <cell r="O7318">
            <v>850.1</v>
          </cell>
          <cell r="Q7318">
            <v>1.19</v>
          </cell>
          <cell r="T7318">
            <v>260.14600000000002</v>
          </cell>
        </row>
        <row r="7319">
          <cell r="G7319">
            <v>42705</v>
          </cell>
          <cell r="L7319" t="str">
            <v>13-11-160-95W1</v>
          </cell>
          <cell r="O7319">
            <v>801.3</v>
          </cell>
          <cell r="Q7319">
            <v>0.18</v>
          </cell>
          <cell r="T7319">
            <v>255.76599999999999</v>
          </cell>
        </row>
        <row r="7320">
          <cell r="G7320">
            <v>42705</v>
          </cell>
          <cell r="L7320" t="str">
            <v>01-22-142-100W1</v>
          </cell>
          <cell r="O7320">
            <v>820.8</v>
          </cell>
          <cell r="Q7320">
            <v>0.31</v>
          </cell>
          <cell r="T7320">
            <v>219.87299999999999</v>
          </cell>
        </row>
        <row r="7321">
          <cell r="G7321">
            <v>42705</v>
          </cell>
          <cell r="L7321" t="str">
            <v>01-05-163-92W1</v>
          </cell>
          <cell r="O7321">
            <v>842.1</v>
          </cell>
          <cell r="Q7321">
            <v>0.53</v>
          </cell>
          <cell r="T7321">
            <v>197.66200000000001</v>
          </cell>
        </row>
        <row r="7322">
          <cell r="G7322">
            <v>42705</v>
          </cell>
          <cell r="L7322" t="str">
            <v>13-19-001-03W2</v>
          </cell>
          <cell r="O7322">
            <v>835.6</v>
          </cell>
          <cell r="Q7322">
            <v>0.62</v>
          </cell>
          <cell r="T7322">
            <v>193.31299999999999</v>
          </cell>
        </row>
        <row r="7323">
          <cell r="G7323">
            <v>42705</v>
          </cell>
          <cell r="L7323" t="str">
            <v>24-06-158-95W1</v>
          </cell>
          <cell r="O7323">
            <v>810.1</v>
          </cell>
          <cell r="Q7323">
            <v>0.14000000000000001</v>
          </cell>
          <cell r="T7323">
            <v>191.696</v>
          </cell>
        </row>
        <row r="7324">
          <cell r="G7324">
            <v>42705</v>
          </cell>
          <cell r="L7324" t="str">
            <v>02-30-147-97W1</v>
          </cell>
          <cell r="O7324">
            <v>809.4</v>
          </cell>
          <cell r="Q7324">
            <v>0.46</v>
          </cell>
          <cell r="T7324">
            <v>189.57</v>
          </cell>
        </row>
        <row r="7325">
          <cell r="G7325">
            <v>42705</v>
          </cell>
          <cell r="L7325" t="str">
            <v>43-03-160-95W1</v>
          </cell>
          <cell r="O7325">
            <v>802.7</v>
          </cell>
          <cell r="Q7325">
            <v>0.2</v>
          </cell>
          <cell r="T7325">
            <v>180.94200000000001</v>
          </cell>
        </row>
        <row r="7326">
          <cell r="G7326">
            <v>42705</v>
          </cell>
          <cell r="L7326" t="str">
            <v>01-03-163-92W1</v>
          </cell>
          <cell r="O7326">
            <v>811</v>
          </cell>
          <cell r="Q7326">
            <v>0.46</v>
          </cell>
          <cell r="T7326">
            <v>164.59</v>
          </cell>
        </row>
        <row r="7327">
          <cell r="G7327">
            <v>42705</v>
          </cell>
          <cell r="L7327" t="str">
            <v>05-25-147-98W1</v>
          </cell>
          <cell r="O7327">
            <v>815.5</v>
          </cell>
          <cell r="Q7327">
            <v>0.56000000000000005</v>
          </cell>
          <cell r="T7327">
            <v>159.155</v>
          </cell>
        </row>
        <row r="7328">
          <cell r="G7328">
            <v>42705</v>
          </cell>
          <cell r="L7328" t="str">
            <v>07-22-003-03W2</v>
          </cell>
          <cell r="O7328">
            <v>827.2</v>
          </cell>
          <cell r="Q7328">
            <v>0.59</v>
          </cell>
          <cell r="T7328">
            <v>146.61600000000001</v>
          </cell>
        </row>
        <row r="7329">
          <cell r="G7329">
            <v>42705</v>
          </cell>
          <cell r="L7329" t="str">
            <v>02-18-155-95W1</v>
          </cell>
          <cell r="O7329">
            <v>831.2</v>
          </cell>
          <cell r="Q7329">
            <v>0.46</v>
          </cell>
          <cell r="T7329">
            <v>130.52500000000001</v>
          </cell>
        </row>
        <row r="7330">
          <cell r="G7330">
            <v>42705</v>
          </cell>
          <cell r="L7330" t="str">
            <v>01-19-147-97W1</v>
          </cell>
          <cell r="O7330">
            <v>814.7</v>
          </cell>
          <cell r="Q7330">
            <v>0.78</v>
          </cell>
          <cell r="T7330">
            <v>127.01900000000001</v>
          </cell>
        </row>
        <row r="7331">
          <cell r="G7331">
            <v>42705</v>
          </cell>
          <cell r="L7331" t="str">
            <v>22-11-160-95W1</v>
          </cell>
          <cell r="O7331">
            <v>788.4</v>
          </cell>
          <cell r="Q7331">
            <v>0.14000000000000001</v>
          </cell>
          <cell r="T7331">
            <v>117.884</v>
          </cell>
        </row>
        <row r="7332">
          <cell r="G7332">
            <v>42705</v>
          </cell>
          <cell r="L7332" t="str">
            <v>14-23-163-96W1</v>
          </cell>
          <cell r="O7332">
            <v>823.1</v>
          </cell>
          <cell r="Q7332">
            <v>0.15</v>
          </cell>
          <cell r="T7332">
            <v>117.503</v>
          </cell>
        </row>
        <row r="7333">
          <cell r="G7333">
            <v>42705</v>
          </cell>
          <cell r="L7333" t="str">
            <v>35-26-164-97W1</v>
          </cell>
          <cell r="O7333">
            <v>836.6</v>
          </cell>
          <cell r="Q7333">
            <v>0.14000000000000001</v>
          </cell>
          <cell r="T7333">
            <v>116.751</v>
          </cell>
        </row>
        <row r="7334">
          <cell r="G7334">
            <v>42705</v>
          </cell>
          <cell r="L7334" t="str">
            <v>07-29-009-04W2</v>
          </cell>
          <cell r="O7334">
            <v>839.9</v>
          </cell>
          <cell r="Q7334">
            <v>1.1399999999999999</v>
          </cell>
          <cell r="T7334">
            <v>115.943</v>
          </cell>
        </row>
        <row r="7335">
          <cell r="G7335">
            <v>42705</v>
          </cell>
          <cell r="L7335" t="str">
            <v>01-33-141-100W1</v>
          </cell>
          <cell r="O7335">
            <v>819.6</v>
          </cell>
          <cell r="Q7335">
            <v>0.39</v>
          </cell>
          <cell r="T7335">
            <v>99.875</v>
          </cell>
        </row>
        <row r="7336">
          <cell r="G7336">
            <v>42705</v>
          </cell>
          <cell r="L7336" t="str">
            <v>01-21-153-95W1</v>
          </cell>
          <cell r="O7336">
            <v>820.6</v>
          </cell>
          <cell r="Q7336">
            <v>0.37</v>
          </cell>
          <cell r="T7336">
            <v>98.283000000000001</v>
          </cell>
        </row>
        <row r="7337">
          <cell r="G7337">
            <v>42705</v>
          </cell>
          <cell r="L7337" t="str">
            <v>01-30-147-97W1</v>
          </cell>
          <cell r="O7337">
            <v>817.6</v>
          </cell>
          <cell r="Q7337">
            <v>0.55000000000000004</v>
          </cell>
          <cell r="T7337">
            <v>97.941999999999993</v>
          </cell>
        </row>
        <row r="7338">
          <cell r="G7338">
            <v>42705</v>
          </cell>
          <cell r="L7338" t="str">
            <v>01-28-141-100W1</v>
          </cell>
          <cell r="O7338">
            <v>826.7</v>
          </cell>
          <cell r="Q7338">
            <v>0.37</v>
          </cell>
          <cell r="T7338">
            <v>97.745999999999995</v>
          </cell>
        </row>
        <row r="7339">
          <cell r="G7339">
            <v>42705</v>
          </cell>
          <cell r="L7339" t="str">
            <v>03-25-147-98W1</v>
          </cell>
          <cell r="O7339">
            <v>811.2</v>
          </cell>
          <cell r="Q7339">
            <v>0.45</v>
          </cell>
          <cell r="T7339">
            <v>96.986999999999995</v>
          </cell>
        </row>
        <row r="7340">
          <cell r="G7340">
            <v>42705</v>
          </cell>
          <cell r="L7340" t="str">
            <v>01-09-143-101W1</v>
          </cell>
          <cell r="O7340">
            <v>834.1</v>
          </cell>
          <cell r="Q7340">
            <v>0.53</v>
          </cell>
          <cell r="T7340">
            <v>96.86</v>
          </cell>
        </row>
        <row r="7341">
          <cell r="G7341">
            <v>42705</v>
          </cell>
          <cell r="L7341" t="str">
            <v>01-25-156-93W1</v>
          </cell>
          <cell r="O7341">
            <v>809.5</v>
          </cell>
          <cell r="Q7341">
            <v>0.12</v>
          </cell>
          <cell r="T7341">
            <v>96.149000000000001</v>
          </cell>
        </row>
        <row r="7342">
          <cell r="G7342">
            <v>42705</v>
          </cell>
          <cell r="L7342" t="str">
            <v>01-08-153-95W1</v>
          </cell>
          <cell r="O7342">
            <v>820.6</v>
          </cell>
          <cell r="Q7342">
            <v>0.31</v>
          </cell>
          <cell r="T7342">
            <v>95.748000000000005</v>
          </cell>
        </row>
        <row r="7343">
          <cell r="G7343">
            <v>42705</v>
          </cell>
          <cell r="L7343" t="str">
            <v>01-03-155-91W1</v>
          </cell>
          <cell r="O7343">
            <v>862.2</v>
          </cell>
          <cell r="Q7343">
            <v>1.29</v>
          </cell>
          <cell r="T7343">
            <v>93.039000000000001</v>
          </cell>
        </row>
        <row r="7344">
          <cell r="G7344">
            <v>42705</v>
          </cell>
          <cell r="L7344" t="str">
            <v>01-02-151-102W1</v>
          </cell>
          <cell r="O7344">
            <v>830.4</v>
          </cell>
          <cell r="Q7344">
            <v>0.33</v>
          </cell>
          <cell r="T7344">
            <v>92.659000000000006</v>
          </cell>
        </row>
        <row r="7345">
          <cell r="G7345">
            <v>42705</v>
          </cell>
          <cell r="L7345" t="str">
            <v>03-10-151-96W1</v>
          </cell>
          <cell r="O7345">
            <v>824.7</v>
          </cell>
          <cell r="Q7345">
            <v>0.24</v>
          </cell>
          <cell r="T7345">
            <v>92.11</v>
          </cell>
        </row>
        <row r="7346">
          <cell r="G7346">
            <v>42705</v>
          </cell>
          <cell r="L7346" t="str">
            <v>34-01-157-95W1</v>
          </cell>
          <cell r="O7346">
            <v>830.5</v>
          </cell>
          <cell r="Q7346">
            <v>0.46</v>
          </cell>
          <cell r="T7346">
            <v>82.180999999999997</v>
          </cell>
        </row>
        <row r="7347">
          <cell r="G7347">
            <v>42705</v>
          </cell>
          <cell r="L7347" t="str">
            <v>08-31-007-07W2</v>
          </cell>
          <cell r="O7347">
            <v>867.3</v>
          </cell>
          <cell r="Q7347">
            <v>1.94</v>
          </cell>
          <cell r="T7347">
            <v>76.534999999999997</v>
          </cell>
        </row>
        <row r="7348">
          <cell r="G7348">
            <v>42705</v>
          </cell>
          <cell r="L7348" t="str">
            <v>01-03-163-99W1</v>
          </cell>
          <cell r="O7348">
            <v>832.2</v>
          </cell>
          <cell r="Q7348">
            <v>0.16</v>
          </cell>
          <cell r="T7348">
            <v>67.697000000000003</v>
          </cell>
        </row>
        <row r="7349">
          <cell r="G7349">
            <v>42705</v>
          </cell>
          <cell r="L7349" t="str">
            <v>01-12-144-98W1</v>
          </cell>
          <cell r="O7349">
            <v>817.7</v>
          </cell>
          <cell r="Q7349">
            <v>0.46</v>
          </cell>
          <cell r="T7349">
            <v>65.736999999999995</v>
          </cell>
        </row>
        <row r="7350">
          <cell r="G7350">
            <v>42705</v>
          </cell>
          <cell r="L7350" t="str">
            <v>01-17-143-101W1</v>
          </cell>
          <cell r="O7350">
            <v>831.9</v>
          </cell>
          <cell r="Q7350">
            <v>0.51</v>
          </cell>
          <cell r="T7350">
            <v>64.991</v>
          </cell>
        </row>
        <row r="7351">
          <cell r="G7351">
            <v>42705</v>
          </cell>
          <cell r="L7351" t="str">
            <v>01-05-144-97W1</v>
          </cell>
          <cell r="O7351">
            <v>823.6</v>
          </cell>
          <cell r="Q7351">
            <v>0.45</v>
          </cell>
          <cell r="T7351">
            <v>64.536000000000001</v>
          </cell>
        </row>
        <row r="7352">
          <cell r="G7352">
            <v>42705</v>
          </cell>
          <cell r="L7352" t="str">
            <v>01-26-144-98W1</v>
          </cell>
          <cell r="O7352">
            <v>834.3</v>
          </cell>
          <cell r="Q7352">
            <v>0.48</v>
          </cell>
          <cell r="T7352">
            <v>64.528999999999996</v>
          </cell>
        </row>
        <row r="7353">
          <cell r="G7353">
            <v>42705</v>
          </cell>
          <cell r="L7353" t="str">
            <v>01-13-022-57W1</v>
          </cell>
          <cell r="O7353">
            <v>800.5</v>
          </cell>
          <cell r="Q7353">
            <v>0.11</v>
          </cell>
          <cell r="T7353">
            <v>64.25</v>
          </cell>
        </row>
        <row r="7354">
          <cell r="G7354">
            <v>42705</v>
          </cell>
          <cell r="L7354" t="str">
            <v>01-28-152-101W1</v>
          </cell>
          <cell r="O7354">
            <v>830.5</v>
          </cell>
          <cell r="Q7354">
            <v>0.45</v>
          </cell>
          <cell r="T7354">
            <v>63.543999999999997</v>
          </cell>
        </row>
        <row r="7355">
          <cell r="G7355">
            <v>42705</v>
          </cell>
          <cell r="L7355" t="str">
            <v>04-24-147-98W1</v>
          </cell>
          <cell r="O7355">
            <v>814.1</v>
          </cell>
          <cell r="Q7355">
            <v>0.56000000000000005</v>
          </cell>
          <cell r="T7355">
            <v>63.412999999999997</v>
          </cell>
        </row>
        <row r="7356">
          <cell r="G7356">
            <v>42705</v>
          </cell>
          <cell r="L7356" t="str">
            <v>01-18-145-97W1</v>
          </cell>
          <cell r="O7356">
            <v>819.2</v>
          </cell>
          <cell r="Q7356">
            <v>0.45</v>
          </cell>
          <cell r="T7356">
            <v>63.372</v>
          </cell>
        </row>
        <row r="7357">
          <cell r="G7357">
            <v>42705</v>
          </cell>
          <cell r="L7357" t="str">
            <v>44-35-022-58W1</v>
          </cell>
          <cell r="O7357">
            <v>866.8</v>
          </cell>
          <cell r="Q7357">
            <v>1.02</v>
          </cell>
          <cell r="T7357">
            <v>62.65</v>
          </cell>
        </row>
        <row r="7358">
          <cell r="G7358">
            <v>42705</v>
          </cell>
          <cell r="L7358" t="str">
            <v>02-09-142-100W1</v>
          </cell>
          <cell r="O7358">
            <v>830.5</v>
          </cell>
          <cell r="Q7358">
            <v>0.38</v>
          </cell>
          <cell r="T7358">
            <v>61.892000000000003</v>
          </cell>
        </row>
        <row r="7359">
          <cell r="G7359">
            <v>42705</v>
          </cell>
          <cell r="L7359" t="str">
            <v>22-15-163-91W1</v>
          </cell>
          <cell r="O7359">
            <v>836.9</v>
          </cell>
          <cell r="Q7359">
            <v>0.56999999999999995</v>
          </cell>
          <cell r="T7359">
            <v>61.783999999999999</v>
          </cell>
        </row>
        <row r="7360">
          <cell r="G7360">
            <v>42705</v>
          </cell>
          <cell r="L7360" t="str">
            <v>04-25-144-98W1</v>
          </cell>
          <cell r="O7360">
            <v>818.9</v>
          </cell>
          <cell r="Q7360">
            <v>0.5</v>
          </cell>
          <cell r="T7360">
            <v>61.65</v>
          </cell>
        </row>
        <row r="7361">
          <cell r="G7361">
            <v>42705</v>
          </cell>
          <cell r="L7361" t="str">
            <v>01-10-152-96W1</v>
          </cell>
          <cell r="O7361">
            <v>822.8</v>
          </cell>
          <cell r="Q7361">
            <v>0.35</v>
          </cell>
          <cell r="T7361">
            <v>61.07</v>
          </cell>
        </row>
        <row r="7362">
          <cell r="G7362">
            <v>42705</v>
          </cell>
          <cell r="L7362" t="str">
            <v>16-04-151-96W1</v>
          </cell>
          <cell r="O7362">
            <v>810.7</v>
          </cell>
          <cell r="Q7362">
            <v>0.28000000000000003</v>
          </cell>
          <cell r="T7362">
            <v>60.576000000000001</v>
          </cell>
        </row>
        <row r="7363">
          <cell r="G7363">
            <v>42705</v>
          </cell>
          <cell r="L7363" t="str">
            <v>13-26-007-05W2</v>
          </cell>
          <cell r="O7363">
            <v>862.3</v>
          </cell>
          <cell r="Q7363">
            <v>1.5</v>
          </cell>
          <cell r="T7363">
            <v>56.701000000000001</v>
          </cell>
        </row>
        <row r="7364">
          <cell r="G7364">
            <v>42705</v>
          </cell>
          <cell r="L7364" t="str">
            <v>01-03-153-95W1</v>
          </cell>
          <cell r="O7364">
            <v>830.2</v>
          </cell>
          <cell r="Q7364">
            <v>0.5</v>
          </cell>
          <cell r="T7364">
            <v>37.770000000000003</v>
          </cell>
        </row>
        <row r="7365">
          <cell r="G7365">
            <v>42705</v>
          </cell>
          <cell r="L7365" t="str">
            <v>06-06-162-96W1</v>
          </cell>
          <cell r="O7365">
            <v>834.7</v>
          </cell>
          <cell r="Q7365">
            <v>0.15</v>
          </cell>
          <cell r="T7365">
            <v>34.247</v>
          </cell>
        </row>
        <row r="7366">
          <cell r="G7366">
            <v>42705</v>
          </cell>
          <cell r="L7366" t="str">
            <v>24-01-160-96W1</v>
          </cell>
          <cell r="O7366">
            <v>828.7</v>
          </cell>
          <cell r="Q7366">
            <v>0.49</v>
          </cell>
          <cell r="T7366">
            <v>33.994</v>
          </cell>
        </row>
        <row r="7367">
          <cell r="G7367">
            <v>42705</v>
          </cell>
          <cell r="L7367" t="str">
            <v>33-14-160-95W1</v>
          </cell>
          <cell r="O7367">
            <v>802.5</v>
          </cell>
          <cell r="Q7367">
            <v>0.17</v>
          </cell>
          <cell r="T7367">
            <v>33.658999999999999</v>
          </cell>
        </row>
        <row r="7368">
          <cell r="G7368">
            <v>42705</v>
          </cell>
          <cell r="L7368" t="str">
            <v>15-04-143-101W1</v>
          </cell>
          <cell r="O7368">
            <v>837.7</v>
          </cell>
          <cell r="Q7368">
            <v>0.52</v>
          </cell>
          <cell r="T7368">
            <v>33.348999999999997</v>
          </cell>
        </row>
        <row r="7369">
          <cell r="G7369">
            <v>42705</v>
          </cell>
          <cell r="L7369" t="str">
            <v>10-30-147-97W1</v>
          </cell>
          <cell r="O7369">
            <v>814.1</v>
          </cell>
          <cell r="Q7369">
            <v>0.52</v>
          </cell>
          <cell r="T7369">
            <v>33.215000000000003</v>
          </cell>
        </row>
        <row r="7370">
          <cell r="G7370">
            <v>42705</v>
          </cell>
          <cell r="L7370" t="str">
            <v>02-06-144-97W1</v>
          </cell>
          <cell r="O7370">
            <v>835.9</v>
          </cell>
          <cell r="Q7370">
            <v>0.42</v>
          </cell>
          <cell r="T7370">
            <v>33.148000000000003</v>
          </cell>
        </row>
        <row r="7371">
          <cell r="G7371">
            <v>42705</v>
          </cell>
          <cell r="L7371" t="str">
            <v>11-15-163-89W1</v>
          </cell>
          <cell r="O7371">
            <v>848</v>
          </cell>
          <cell r="Q7371">
            <v>0.6</v>
          </cell>
          <cell r="T7371">
            <v>32.798999999999999</v>
          </cell>
        </row>
        <row r="7372">
          <cell r="G7372">
            <v>42705</v>
          </cell>
          <cell r="L7372" t="str">
            <v>01-23-144-98W1</v>
          </cell>
          <cell r="O7372">
            <v>827.2</v>
          </cell>
          <cell r="Q7372">
            <v>0.37</v>
          </cell>
          <cell r="T7372">
            <v>32.65</v>
          </cell>
        </row>
        <row r="7373">
          <cell r="G7373">
            <v>42705</v>
          </cell>
          <cell r="L7373" t="str">
            <v>01-02-158-95W1</v>
          </cell>
          <cell r="O7373">
            <v>831.4</v>
          </cell>
          <cell r="Q7373">
            <v>0.53</v>
          </cell>
          <cell r="T7373">
            <v>32.08</v>
          </cell>
        </row>
        <row r="7374">
          <cell r="G7374">
            <v>42705</v>
          </cell>
          <cell r="L7374" t="str">
            <v>20-01-161-90W1</v>
          </cell>
          <cell r="O7374">
            <v>862.5</v>
          </cell>
          <cell r="Q7374">
            <v>1.4</v>
          </cell>
          <cell r="T7374">
            <v>31.33</v>
          </cell>
        </row>
        <row r="7375">
          <cell r="G7375">
            <v>42705</v>
          </cell>
          <cell r="L7375" t="str">
            <v>04-19-147-97W1</v>
          </cell>
          <cell r="O7375">
            <v>828.9</v>
          </cell>
          <cell r="Q7375">
            <v>0.52</v>
          </cell>
          <cell r="T7375">
            <v>31.26</v>
          </cell>
        </row>
        <row r="7376">
          <cell r="G7376">
            <v>42705</v>
          </cell>
          <cell r="L7376" t="str">
            <v>03-02-157-95W1</v>
          </cell>
          <cell r="O7376">
            <v>837.7</v>
          </cell>
          <cell r="Q7376">
            <v>0.69</v>
          </cell>
          <cell r="T7376">
            <v>31.1</v>
          </cell>
        </row>
        <row r="7377">
          <cell r="G7377">
            <v>42705</v>
          </cell>
          <cell r="L7377" t="str">
            <v>03-34-145-97W1</v>
          </cell>
          <cell r="O7377">
            <v>843.1</v>
          </cell>
          <cell r="Q7377">
            <v>0.37</v>
          </cell>
          <cell r="T7377">
            <v>30.744</v>
          </cell>
        </row>
        <row r="7378">
          <cell r="G7378">
            <v>42705</v>
          </cell>
          <cell r="L7378" t="str">
            <v>05-05-144-97W1</v>
          </cell>
          <cell r="O7378">
            <v>823.3</v>
          </cell>
          <cell r="Q7378">
            <v>0.44</v>
          </cell>
          <cell r="T7378">
            <v>30.614000000000001</v>
          </cell>
        </row>
        <row r="7379">
          <cell r="G7379">
            <v>42705</v>
          </cell>
          <cell r="L7379" t="str">
            <v>26-35-163-97W1</v>
          </cell>
          <cell r="O7379">
            <v>830.4</v>
          </cell>
          <cell r="Q7379">
            <v>0.14000000000000001</v>
          </cell>
          <cell r="T7379">
            <v>30.538</v>
          </cell>
        </row>
        <row r="7380">
          <cell r="G7380">
            <v>42705</v>
          </cell>
          <cell r="L7380" t="str">
            <v>03-03-157-95W1</v>
          </cell>
          <cell r="O7380">
            <v>820.2</v>
          </cell>
          <cell r="Q7380">
            <v>0.33</v>
          </cell>
          <cell r="T7380">
            <v>30.526</v>
          </cell>
        </row>
        <row r="7381">
          <cell r="G7381">
            <v>42705</v>
          </cell>
          <cell r="L7381" t="str">
            <v>01-13-163-91W1</v>
          </cell>
          <cell r="O7381">
            <v>840.8</v>
          </cell>
          <cell r="Q7381">
            <v>0.53</v>
          </cell>
          <cell r="T7381">
            <v>30.484000000000002</v>
          </cell>
        </row>
        <row r="7382">
          <cell r="G7382">
            <v>42705</v>
          </cell>
          <cell r="L7382" t="str">
            <v>03-25-144-98W1</v>
          </cell>
          <cell r="O7382">
            <v>833.1</v>
          </cell>
          <cell r="Q7382">
            <v>0.5</v>
          </cell>
          <cell r="T7382">
            <v>30.398</v>
          </cell>
        </row>
        <row r="7383">
          <cell r="G7383">
            <v>42705</v>
          </cell>
          <cell r="L7383" t="str">
            <v>01-20-147-97W1</v>
          </cell>
          <cell r="O7383">
            <v>826.4</v>
          </cell>
          <cell r="Q7383">
            <v>0.7</v>
          </cell>
          <cell r="T7383">
            <v>30.366</v>
          </cell>
        </row>
        <row r="7384">
          <cell r="G7384">
            <v>42705</v>
          </cell>
          <cell r="L7384" t="str">
            <v>04-04-157-95W1</v>
          </cell>
          <cell r="O7384">
            <v>838.4</v>
          </cell>
          <cell r="Q7384">
            <v>0.62</v>
          </cell>
          <cell r="T7384">
            <v>30.259</v>
          </cell>
        </row>
        <row r="7385">
          <cell r="G7385">
            <v>42705</v>
          </cell>
          <cell r="L7385" t="str">
            <v>01-15-022-57W1</v>
          </cell>
          <cell r="O7385">
            <v>810.5</v>
          </cell>
          <cell r="Q7385">
            <v>0.37</v>
          </cell>
          <cell r="T7385">
            <v>30.25</v>
          </cell>
        </row>
        <row r="7386">
          <cell r="G7386">
            <v>42705</v>
          </cell>
          <cell r="L7386" t="str">
            <v>12-03-146-100W1</v>
          </cell>
          <cell r="O7386">
            <v>834.7</v>
          </cell>
          <cell r="Q7386">
            <v>0.47</v>
          </cell>
          <cell r="T7386">
            <v>30.241</v>
          </cell>
        </row>
        <row r="7387">
          <cell r="G7387">
            <v>42705</v>
          </cell>
          <cell r="L7387" t="str">
            <v>34-02-157-95W1</v>
          </cell>
          <cell r="O7387">
            <v>844.1</v>
          </cell>
          <cell r="Q7387">
            <v>0.39</v>
          </cell>
          <cell r="T7387">
            <v>30.094999999999999</v>
          </cell>
        </row>
        <row r="7388">
          <cell r="G7388">
            <v>42705</v>
          </cell>
          <cell r="L7388" t="str">
            <v>01-34-164-92W1</v>
          </cell>
          <cell r="O7388">
            <v>834.8</v>
          </cell>
          <cell r="Q7388">
            <v>0.54</v>
          </cell>
          <cell r="T7388">
            <v>29.827999999999999</v>
          </cell>
        </row>
        <row r="7389">
          <cell r="G7389">
            <v>42705</v>
          </cell>
          <cell r="L7389" t="str">
            <v>01-29-162-92W1</v>
          </cell>
          <cell r="O7389">
            <v>841.7</v>
          </cell>
          <cell r="Q7389">
            <v>0.55000000000000004</v>
          </cell>
          <cell r="T7389">
            <v>29.734999999999999</v>
          </cell>
        </row>
        <row r="7390">
          <cell r="G7390">
            <v>42705</v>
          </cell>
          <cell r="L7390" t="str">
            <v>01-24-144-98W1</v>
          </cell>
          <cell r="O7390">
            <v>824.3</v>
          </cell>
          <cell r="Q7390">
            <v>0.47</v>
          </cell>
          <cell r="T7390">
            <v>29.704000000000001</v>
          </cell>
        </row>
        <row r="7391">
          <cell r="G7391">
            <v>42705</v>
          </cell>
          <cell r="L7391" t="str">
            <v>01-03-158-95W1</v>
          </cell>
          <cell r="O7391">
            <v>839.9</v>
          </cell>
          <cell r="Q7391">
            <v>0.77</v>
          </cell>
          <cell r="T7391">
            <v>27.856000000000002</v>
          </cell>
        </row>
        <row r="7392">
          <cell r="G7392">
            <v>42705</v>
          </cell>
          <cell r="L7392" t="str">
            <v>11-21-163-89W1</v>
          </cell>
          <cell r="O7392">
            <v>839</v>
          </cell>
          <cell r="Q7392">
            <v>0.5</v>
          </cell>
          <cell r="T7392">
            <v>26.138000000000002</v>
          </cell>
        </row>
        <row r="7393">
          <cell r="G7393">
            <v>42705</v>
          </cell>
          <cell r="L7393" t="str">
            <v>02-11-163-97W1</v>
          </cell>
          <cell r="O7393">
            <v>828.5</v>
          </cell>
          <cell r="Q7393">
            <v>0.13</v>
          </cell>
          <cell r="T7393">
            <v>23.065999999999999</v>
          </cell>
        </row>
        <row r="7394">
          <cell r="G7394">
            <v>42705</v>
          </cell>
          <cell r="L7394" t="str">
            <v>07-23-010-06W2</v>
          </cell>
          <cell r="O7394">
            <v>844.6</v>
          </cell>
          <cell r="Q7394">
            <v>1.45</v>
          </cell>
          <cell r="T7394">
            <v>523.11699999999996</v>
          </cell>
        </row>
        <row r="7395">
          <cell r="G7395">
            <v>42705</v>
          </cell>
          <cell r="L7395" t="str">
            <v>01-36-003-03W2</v>
          </cell>
          <cell r="O7395">
            <v>836.1</v>
          </cell>
          <cell r="Q7395">
            <v>0.81</v>
          </cell>
          <cell r="T7395">
            <v>388.178</v>
          </cell>
        </row>
        <row r="7396">
          <cell r="G7396">
            <v>42705</v>
          </cell>
          <cell r="L7396" t="str">
            <v>13-14-010-05W2</v>
          </cell>
          <cell r="O7396">
            <v>852.6</v>
          </cell>
          <cell r="Q7396">
            <v>1.61</v>
          </cell>
          <cell r="T7396">
            <v>145.06899999999999</v>
          </cell>
        </row>
        <row r="7397">
          <cell r="G7397">
            <v>42705</v>
          </cell>
          <cell r="L7397" t="str">
            <v>12-22-010-05W2</v>
          </cell>
          <cell r="O7397">
            <v>869.1</v>
          </cell>
          <cell r="Q7397">
            <v>1.84</v>
          </cell>
          <cell r="T7397">
            <v>71.929000000000002</v>
          </cell>
        </row>
        <row r="7398">
          <cell r="G7398">
            <v>42705</v>
          </cell>
          <cell r="L7398" t="str">
            <v>05-16-006-13W2</v>
          </cell>
          <cell r="O7398">
            <v>867.8</v>
          </cell>
          <cell r="Q7398">
            <v>2.31</v>
          </cell>
          <cell r="T7398">
            <v>118264.61500000001</v>
          </cell>
        </row>
        <row r="7399">
          <cell r="G7399">
            <v>42705</v>
          </cell>
          <cell r="L7399" t="str">
            <v>08-28-005-33W1</v>
          </cell>
          <cell r="O7399">
            <v>824.8</v>
          </cell>
          <cell r="Q7399">
            <v>0.97</v>
          </cell>
          <cell r="T7399">
            <v>106852.554</v>
          </cell>
        </row>
        <row r="7400">
          <cell r="G7400">
            <v>42705</v>
          </cell>
          <cell r="L7400" t="str">
            <v>15-26-001-31W1</v>
          </cell>
          <cell r="O7400">
            <v>877.5</v>
          </cell>
          <cell r="Q7400">
            <v>2.09</v>
          </cell>
          <cell r="T7400">
            <v>4402.643</v>
          </cell>
        </row>
        <row r="7401">
          <cell r="G7401">
            <v>42705</v>
          </cell>
          <cell r="L7401" t="str">
            <v>14-05-002-31W1</v>
          </cell>
          <cell r="O7401">
            <v>859.5</v>
          </cell>
          <cell r="Q7401">
            <v>1.62</v>
          </cell>
          <cell r="T7401">
            <v>2984.973</v>
          </cell>
        </row>
        <row r="7402">
          <cell r="G7402">
            <v>42705</v>
          </cell>
          <cell r="L7402" t="str">
            <v>14-03-001-03W2</v>
          </cell>
          <cell r="O7402">
            <v>814.6</v>
          </cell>
          <cell r="Q7402">
            <v>0.12</v>
          </cell>
          <cell r="T7402">
            <v>1771.64</v>
          </cell>
        </row>
        <row r="7403">
          <cell r="G7403">
            <v>42705</v>
          </cell>
          <cell r="L7403" t="str">
            <v>14-13-002-02W2</v>
          </cell>
          <cell r="O7403">
            <v>831.9</v>
          </cell>
          <cell r="Q7403">
            <v>0.55000000000000004</v>
          </cell>
          <cell r="T7403">
            <v>1716.2550000000001</v>
          </cell>
        </row>
        <row r="7404">
          <cell r="G7404">
            <v>42705</v>
          </cell>
          <cell r="L7404" t="str">
            <v>04-16-002-31W1</v>
          </cell>
          <cell r="O7404">
            <v>861.3</v>
          </cell>
          <cell r="Q7404">
            <v>1.69</v>
          </cell>
          <cell r="T7404">
            <v>1115.798</v>
          </cell>
        </row>
        <row r="7405">
          <cell r="G7405">
            <v>42705</v>
          </cell>
          <cell r="L7405" t="str">
            <v>16-03-008-33W1</v>
          </cell>
          <cell r="O7405">
            <v>844.3</v>
          </cell>
          <cell r="Q7405">
            <v>1.22</v>
          </cell>
          <cell r="T7405">
            <v>1071.605</v>
          </cell>
        </row>
        <row r="7406">
          <cell r="G7406">
            <v>42705</v>
          </cell>
          <cell r="L7406" t="str">
            <v>01-35-007-01W2</v>
          </cell>
          <cell r="O7406">
            <v>845</v>
          </cell>
          <cell r="Q7406">
            <v>1.1399999999999999</v>
          </cell>
          <cell r="T7406">
            <v>1032.0709999999999</v>
          </cell>
        </row>
        <row r="7407">
          <cell r="G7407">
            <v>42705</v>
          </cell>
          <cell r="L7407" t="str">
            <v>01-03-003-33W1</v>
          </cell>
          <cell r="O7407">
            <v>856</v>
          </cell>
          <cell r="Q7407">
            <v>1.62</v>
          </cell>
          <cell r="T7407">
            <v>967.32899999999995</v>
          </cell>
        </row>
        <row r="7408">
          <cell r="G7408">
            <v>42705</v>
          </cell>
          <cell r="L7408" t="str">
            <v>13-17-005-33W1</v>
          </cell>
          <cell r="O7408">
            <v>833.9</v>
          </cell>
          <cell r="Q7408">
            <v>0.64</v>
          </cell>
          <cell r="T7408">
            <v>779.43700000000001</v>
          </cell>
        </row>
        <row r="7409">
          <cell r="G7409">
            <v>42705</v>
          </cell>
          <cell r="L7409" t="str">
            <v>16-04-006-32W1</v>
          </cell>
          <cell r="O7409">
            <v>845.5</v>
          </cell>
          <cell r="Q7409">
            <v>1.1200000000000001</v>
          </cell>
          <cell r="T7409">
            <v>513.01300000000003</v>
          </cell>
        </row>
        <row r="7410">
          <cell r="G7410">
            <v>42705</v>
          </cell>
          <cell r="L7410" t="str">
            <v>05-20-001-02W2</v>
          </cell>
          <cell r="O7410">
            <v>829.5</v>
          </cell>
          <cell r="Q7410">
            <v>0.53</v>
          </cell>
          <cell r="T7410">
            <v>502.58300000000003</v>
          </cell>
        </row>
        <row r="7411">
          <cell r="G7411">
            <v>42705</v>
          </cell>
          <cell r="L7411" t="str">
            <v>16-31-001-32W1</v>
          </cell>
          <cell r="O7411">
            <v>845.2</v>
          </cell>
          <cell r="Q7411">
            <v>1.17</v>
          </cell>
          <cell r="T7411">
            <v>412.68400000000003</v>
          </cell>
        </row>
        <row r="7412">
          <cell r="G7412">
            <v>42705</v>
          </cell>
          <cell r="L7412" t="str">
            <v>14-19-006-33W1</v>
          </cell>
          <cell r="O7412">
            <v>840.8</v>
          </cell>
          <cell r="Q7412">
            <v>1.18</v>
          </cell>
          <cell r="T7412">
            <v>392.84500000000003</v>
          </cell>
        </row>
        <row r="7413">
          <cell r="G7413">
            <v>42705</v>
          </cell>
          <cell r="L7413" t="str">
            <v>13-07-005-06W2</v>
          </cell>
          <cell r="O7413">
            <v>882.6</v>
          </cell>
          <cell r="Q7413">
            <v>1.05</v>
          </cell>
          <cell r="T7413">
            <v>391.91300000000001</v>
          </cell>
        </row>
        <row r="7414">
          <cell r="G7414">
            <v>42705</v>
          </cell>
          <cell r="L7414" t="str">
            <v>04-11-004-32W1</v>
          </cell>
          <cell r="O7414">
            <v>859.2</v>
          </cell>
          <cell r="Q7414">
            <v>1.41</v>
          </cell>
          <cell r="T7414">
            <v>254.47900000000001</v>
          </cell>
        </row>
        <row r="7415">
          <cell r="G7415">
            <v>42705</v>
          </cell>
          <cell r="L7415" t="str">
            <v>14-23-005-02W2</v>
          </cell>
          <cell r="O7415">
            <v>854.6</v>
          </cell>
          <cell r="Q7415">
            <v>1.33</v>
          </cell>
          <cell r="T7415">
            <v>240.393</v>
          </cell>
        </row>
        <row r="7416">
          <cell r="G7416">
            <v>42705</v>
          </cell>
          <cell r="L7416" t="str">
            <v>08-14-014-30W1</v>
          </cell>
          <cell r="O7416">
            <v>894.4</v>
          </cell>
          <cell r="Q7416">
            <v>2.2400000000000002</v>
          </cell>
          <cell r="T7416">
            <v>185.18299999999999</v>
          </cell>
        </row>
        <row r="7417">
          <cell r="G7417">
            <v>42705</v>
          </cell>
          <cell r="L7417" t="str">
            <v>13-13-002-33W1</v>
          </cell>
          <cell r="O7417">
            <v>831.4</v>
          </cell>
          <cell r="Q7417">
            <v>0.72</v>
          </cell>
          <cell r="T7417">
            <v>145.17099999999999</v>
          </cell>
        </row>
        <row r="7418">
          <cell r="G7418">
            <v>42705</v>
          </cell>
          <cell r="L7418" t="str">
            <v>01-06-002-32W1</v>
          </cell>
          <cell r="O7418">
            <v>835.6</v>
          </cell>
          <cell r="Q7418">
            <v>0.81</v>
          </cell>
          <cell r="T7418">
            <v>142.06299999999999</v>
          </cell>
        </row>
        <row r="7419">
          <cell r="G7419">
            <v>42705</v>
          </cell>
          <cell r="L7419" t="str">
            <v>10-17-007-33W1</v>
          </cell>
          <cell r="O7419">
            <v>841.9</v>
          </cell>
          <cell r="Q7419">
            <v>1.17</v>
          </cell>
          <cell r="T7419">
            <v>124.586</v>
          </cell>
        </row>
        <row r="7420">
          <cell r="G7420">
            <v>42705</v>
          </cell>
          <cell r="L7420" t="str">
            <v>09-24-001-01W2</v>
          </cell>
          <cell r="O7420">
            <v>837.2</v>
          </cell>
          <cell r="Q7420">
            <v>0.67</v>
          </cell>
          <cell r="T7420">
            <v>113.23099999999999</v>
          </cell>
        </row>
        <row r="7421">
          <cell r="G7421">
            <v>42705</v>
          </cell>
          <cell r="L7421" t="str">
            <v>16-16-006-02W2</v>
          </cell>
          <cell r="O7421">
            <v>850.8</v>
          </cell>
          <cell r="Q7421">
            <v>1.21</v>
          </cell>
          <cell r="T7421">
            <v>111.724</v>
          </cell>
        </row>
        <row r="7422">
          <cell r="G7422">
            <v>42705</v>
          </cell>
          <cell r="L7422" t="str">
            <v>15-14-014-30W1</v>
          </cell>
          <cell r="O7422">
            <v>900</v>
          </cell>
          <cell r="Q7422">
            <v>2.31</v>
          </cell>
          <cell r="T7422">
            <v>91.945999999999998</v>
          </cell>
        </row>
        <row r="7423">
          <cell r="G7423">
            <v>42705</v>
          </cell>
          <cell r="L7423" t="str">
            <v>02-14-006-02W2</v>
          </cell>
          <cell r="O7423">
            <v>852.3</v>
          </cell>
          <cell r="Q7423">
            <v>1.17</v>
          </cell>
          <cell r="T7423">
            <v>62.545000000000002</v>
          </cell>
        </row>
        <row r="7424">
          <cell r="G7424">
            <v>42705</v>
          </cell>
          <cell r="L7424" t="str">
            <v>09-01-002-34W1</v>
          </cell>
          <cell r="O7424">
            <v>832.6</v>
          </cell>
          <cell r="Q7424">
            <v>0.55000000000000004</v>
          </cell>
          <cell r="T7424">
            <v>62.343000000000004</v>
          </cell>
        </row>
        <row r="7425">
          <cell r="G7425">
            <v>42705</v>
          </cell>
          <cell r="L7425" t="str">
            <v>13-15-006-33W1</v>
          </cell>
          <cell r="O7425">
            <v>854</v>
          </cell>
          <cell r="Q7425">
            <v>1.47</v>
          </cell>
          <cell r="T7425">
            <v>61.103000000000002</v>
          </cell>
        </row>
        <row r="7426">
          <cell r="G7426">
            <v>42705</v>
          </cell>
          <cell r="L7426" t="str">
            <v>16-07-006-02W2</v>
          </cell>
          <cell r="O7426">
            <v>859.4</v>
          </cell>
          <cell r="Q7426">
            <v>1.22</v>
          </cell>
          <cell r="T7426">
            <v>57.957999999999998</v>
          </cell>
        </row>
        <row r="7427">
          <cell r="G7427">
            <v>42705</v>
          </cell>
          <cell r="L7427" t="str">
            <v>12-20-008-02W2</v>
          </cell>
          <cell r="O7427">
            <v>851.9</v>
          </cell>
          <cell r="Q7427">
            <v>1.77</v>
          </cell>
          <cell r="T7427">
            <v>55.893000000000001</v>
          </cell>
        </row>
        <row r="7428">
          <cell r="G7428">
            <v>42705</v>
          </cell>
          <cell r="L7428" t="str">
            <v>12-15-004-34W1</v>
          </cell>
          <cell r="O7428">
            <v>854.4</v>
          </cell>
          <cell r="Q7428">
            <v>1.02</v>
          </cell>
          <cell r="T7428">
            <v>40.863999999999997</v>
          </cell>
        </row>
        <row r="7429">
          <cell r="G7429">
            <v>42705</v>
          </cell>
          <cell r="L7429" t="str">
            <v>01-10-002-03W2</v>
          </cell>
          <cell r="O7429">
            <v>839</v>
          </cell>
          <cell r="Q7429">
            <v>0.67</v>
          </cell>
          <cell r="T7429">
            <v>38.719000000000001</v>
          </cell>
        </row>
        <row r="7430">
          <cell r="G7430">
            <v>42705</v>
          </cell>
          <cell r="L7430" t="str">
            <v>16-15-008-03W2</v>
          </cell>
          <cell r="O7430">
            <v>863.9</v>
          </cell>
          <cell r="Q7430">
            <v>1.54</v>
          </cell>
          <cell r="T7430">
            <v>35.286999999999999</v>
          </cell>
        </row>
        <row r="7431">
          <cell r="G7431">
            <v>42705</v>
          </cell>
          <cell r="L7431" t="str">
            <v>10-29-005-33W1</v>
          </cell>
          <cell r="O7431">
            <v>845.8</v>
          </cell>
          <cell r="Q7431">
            <v>0.87</v>
          </cell>
          <cell r="T7431">
            <v>34.145000000000003</v>
          </cell>
        </row>
        <row r="7432">
          <cell r="G7432">
            <v>42705</v>
          </cell>
          <cell r="L7432" t="str">
            <v>01-17-143-101W1</v>
          </cell>
          <cell r="O7432">
            <v>829.2</v>
          </cell>
          <cell r="Q7432">
            <v>0.51</v>
          </cell>
          <cell r="T7432">
            <v>33.515999999999998</v>
          </cell>
        </row>
        <row r="7433">
          <cell r="G7433">
            <v>42705</v>
          </cell>
          <cell r="L7433" t="str">
            <v>02-34-145-97W1</v>
          </cell>
          <cell r="O7433">
            <v>829.8</v>
          </cell>
          <cell r="Q7433">
            <v>0.37</v>
          </cell>
          <cell r="T7433">
            <v>30.992000000000001</v>
          </cell>
        </row>
        <row r="7434">
          <cell r="G7434">
            <v>42705</v>
          </cell>
          <cell r="L7434" t="str">
            <v>14-24-001-02W2</v>
          </cell>
          <cell r="O7434">
            <v>839.6</v>
          </cell>
          <cell r="Q7434">
            <v>0.78</v>
          </cell>
          <cell r="T7434">
            <v>27.786000000000001</v>
          </cell>
        </row>
        <row r="7435">
          <cell r="G7435">
            <v>42705</v>
          </cell>
          <cell r="L7435" t="str">
            <v>03-03-002-32W1</v>
          </cell>
          <cell r="O7435">
            <v>847.3</v>
          </cell>
          <cell r="Q7435">
            <v>1.66</v>
          </cell>
          <cell r="T7435">
            <v>26.602</v>
          </cell>
        </row>
        <row r="7436">
          <cell r="G7436">
            <v>42705</v>
          </cell>
          <cell r="L7436" t="str">
            <v>01-19-145-98W1</v>
          </cell>
          <cell r="O7436">
            <v>818.6</v>
          </cell>
          <cell r="Q7436">
            <v>0.38</v>
          </cell>
          <cell r="T7436">
            <v>19.757999999999999</v>
          </cell>
        </row>
        <row r="7437">
          <cell r="G7437">
            <v>42705</v>
          </cell>
          <cell r="L7437" t="str">
            <v>07-31-005-33W1</v>
          </cell>
          <cell r="O7437">
            <v>827.5</v>
          </cell>
          <cell r="Q7437">
            <v>0.66</v>
          </cell>
          <cell r="T7437">
            <v>1342.546</v>
          </cell>
        </row>
        <row r="7438">
          <cell r="G7438">
            <v>42705</v>
          </cell>
          <cell r="L7438" t="str">
            <v>15-09-007-03W2</v>
          </cell>
          <cell r="O7438">
            <v>846.5</v>
          </cell>
          <cell r="Q7438">
            <v>1.39</v>
          </cell>
          <cell r="T7438">
            <v>1238.011</v>
          </cell>
        </row>
        <row r="7439">
          <cell r="G7439">
            <v>42705</v>
          </cell>
          <cell r="L7439" t="str">
            <v>14-09-002-29W1</v>
          </cell>
          <cell r="O7439">
            <v>839</v>
          </cell>
          <cell r="Q7439">
            <v>0.81</v>
          </cell>
          <cell r="T7439">
            <v>452.93299999999999</v>
          </cell>
        </row>
        <row r="7440">
          <cell r="G7440">
            <v>42705</v>
          </cell>
          <cell r="L7440" t="str">
            <v>04-36-004-02W2</v>
          </cell>
          <cell r="O7440">
            <v>854.6</v>
          </cell>
          <cell r="Q7440">
            <v>1.58</v>
          </cell>
          <cell r="T7440">
            <v>254.69499999999999</v>
          </cell>
        </row>
        <row r="7441">
          <cell r="G7441">
            <v>42705</v>
          </cell>
          <cell r="L7441" t="str">
            <v>14-28-002-34W1</v>
          </cell>
          <cell r="O7441">
            <v>824.3</v>
          </cell>
          <cell r="Q7441">
            <v>0.78</v>
          </cell>
          <cell r="T7441">
            <v>72.664000000000001</v>
          </cell>
        </row>
        <row r="7442">
          <cell r="G7442">
            <v>42705</v>
          </cell>
          <cell r="L7442" t="str">
            <v>14-04-006-33W1</v>
          </cell>
          <cell r="O7442">
            <v>836.1</v>
          </cell>
          <cell r="Q7442">
            <v>0.85</v>
          </cell>
          <cell r="T7442">
            <v>36.115000000000002</v>
          </cell>
        </row>
        <row r="7443">
          <cell r="G7443">
            <v>42705</v>
          </cell>
          <cell r="L7443" t="str">
            <v>ALStream</v>
          </cell>
          <cell r="T7443">
            <v>0</v>
          </cell>
        </row>
        <row r="7444">
          <cell r="G7444">
            <v>42705</v>
          </cell>
          <cell r="L7444" t="str">
            <v>MWStream</v>
          </cell>
          <cell r="T7444">
            <v>0</v>
          </cell>
        </row>
        <row r="7445">
          <cell r="G7445">
            <v>42705</v>
          </cell>
          <cell r="L7445" t="str">
            <v>ALStream</v>
          </cell>
          <cell r="O7445">
            <v>829.5</v>
          </cell>
          <cell r="Q7445">
            <v>0.93</v>
          </cell>
          <cell r="T7445">
            <v>-86598.676999999996</v>
          </cell>
        </row>
        <row r="7446">
          <cell r="G7446">
            <v>42705</v>
          </cell>
          <cell r="L7446" t="str">
            <v>MWStream</v>
          </cell>
          <cell r="O7446">
            <v>828.9</v>
          </cell>
          <cell r="Q7446">
            <v>1.1100000000000001</v>
          </cell>
          <cell r="T7446">
            <v>-9271.7900000000009</v>
          </cell>
        </row>
        <row r="7447">
          <cell r="G7447">
            <v>42736</v>
          </cell>
          <cell r="L7447" t="str">
            <v>09-14-009-08W2</v>
          </cell>
          <cell r="O7447">
            <v>801</v>
          </cell>
          <cell r="Q7447">
            <v>0.15</v>
          </cell>
          <cell r="T7447">
            <v>2E-3</v>
          </cell>
        </row>
        <row r="7448">
          <cell r="G7448">
            <v>42736</v>
          </cell>
          <cell r="L7448" t="str">
            <v>09-30-007-08W2</v>
          </cell>
          <cell r="O7448">
            <v>831.6</v>
          </cell>
          <cell r="Q7448">
            <v>1.02</v>
          </cell>
          <cell r="T7448">
            <v>41.654000000000003</v>
          </cell>
        </row>
        <row r="7449">
          <cell r="G7449">
            <v>42736</v>
          </cell>
          <cell r="L7449" t="str">
            <v>14-04-007-13W2</v>
          </cell>
          <cell r="O7449">
            <v>859.8</v>
          </cell>
          <cell r="Q7449">
            <v>1.89</v>
          </cell>
          <cell r="T7449">
            <v>45.640999999999998</v>
          </cell>
        </row>
        <row r="7450">
          <cell r="G7450">
            <v>42736</v>
          </cell>
          <cell r="L7450" t="str">
            <v>16-08-007-12W2</v>
          </cell>
          <cell r="O7450">
            <v>867.4</v>
          </cell>
          <cell r="Q7450">
            <v>2.15</v>
          </cell>
          <cell r="T7450">
            <v>46.201999999999998</v>
          </cell>
        </row>
        <row r="7451">
          <cell r="G7451">
            <v>42736</v>
          </cell>
          <cell r="L7451" t="str">
            <v>01-15-005-32W1</v>
          </cell>
          <cell r="O7451">
            <v>848</v>
          </cell>
          <cell r="Q7451">
            <v>1.03</v>
          </cell>
          <cell r="T7451">
            <v>48.710999999999999</v>
          </cell>
        </row>
        <row r="7452">
          <cell r="G7452">
            <v>42736</v>
          </cell>
          <cell r="L7452" t="str">
            <v>16-27-004-33W1</v>
          </cell>
          <cell r="O7452">
            <v>849</v>
          </cell>
          <cell r="Q7452">
            <v>0.74</v>
          </cell>
          <cell r="T7452">
            <v>78.197000000000003</v>
          </cell>
        </row>
        <row r="7453">
          <cell r="G7453">
            <v>42736</v>
          </cell>
          <cell r="L7453" t="str">
            <v>03-13-006-33W1</v>
          </cell>
          <cell r="O7453">
            <v>837</v>
          </cell>
          <cell r="Q7453">
            <v>0.82</v>
          </cell>
          <cell r="T7453">
            <v>97.88</v>
          </cell>
        </row>
        <row r="7454">
          <cell r="G7454">
            <v>42736</v>
          </cell>
          <cell r="L7454" t="str">
            <v>08-18-011-03W2</v>
          </cell>
          <cell r="O7454">
            <v>856.9</v>
          </cell>
          <cell r="Q7454">
            <v>1.84</v>
          </cell>
          <cell r="T7454">
            <v>100.429</v>
          </cell>
        </row>
        <row r="7455">
          <cell r="G7455">
            <v>42736</v>
          </cell>
          <cell r="L7455" t="str">
            <v>02-18-007-13W2</v>
          </cell>
          <cell r="O7455">
            <v>864.5</v>
          </cell>
          <cell r="Q7455">
            <v>1.93</v>
          </cell>
          <cell r="T7455">
            <v>113.785</v>
          </cell>
        </row>
        <row r="7456">
          <cell r="G7456">
            <v>42736</v>
          </cell>
          <cell r="L7456" t="str">
            <v>13-17-001-31W1</v>
          </cell>
          <cell r="O7456">
            <v>854</v>
          </cell>
          <cell r="Q7456">
            <v>1.07</v>
          </cell>
          <cell r="T7456">
            <v>107.509</v>
          </cell>
        </row>
        <row r="7457">
          <cell r="G7457">
            <v>42736</v>
          </cell>
          <cell r="L7457" t="str">
            <v>10-09-004-33W1</v>
          </cell>
          <cell r="O7457">
            <v>836.6</v>
          </cell>
          <cell r="Q7457">
            <v>0.67</v>
          </cell>
          <cell r="T7457">
            <v>109.355</v>
          </cell>
        </row>
        <row r="7458">
          <cell r="G7458">
            <v>42736</v>
          </cell>
          <cell r="L7458" t="str">
            <v>03-19-001-31W1</v>
          </cell>
          <cell r="O7458">
            <v>866.6</v>
          </cell>
          <cell r="Q7458">
            <v>1.76</v>
          </cell>
          <cell r="T7458">
            <v>110.852</v>
          </cell>
        </row>
        <row r="7459">
          <cell r="G7459">
            <v>42736</v>
          </cell>
          <cell r="L7459" t="str">
            <v>09-31-007-12W2</v>
          </cell>
          <cell r="O7459">
            <v>867.7</v>
          </cell>
          <cell r="Q7459">
            <v>2.38</v>
          </cell>
          <cell r="T7459">
            <v>127.054</v>
          </cell>
        </row>
        <row r="7460">
          <cell r="G7460">
            <v>42736</v>
          </cell>
          <cell r="L7460" t="str">
            <v>09-30-002-30W1</v>
          </cell>
          <cell r="O7460">
            <v>865.5</v>
          </cell>
          <cell r="Q7460">
            <v>1.64</v>
          </cell>
          <cell r="T7460">
            <v>120.248</v>
          </cell>
        </row>
        <row r="7461">
          <cell r="G7461">
            <v>42736</v>
          </cell>
          <cell r="L7461" t="str">
            <v>09-08-004-33W1</v>
          </cell>
          <cell r="O7461">
            <v>832.9</v>
          </cell>
          <cell r="Q7461">
            <v>0.69</v>
          </cell>
          <cell r="T7461">
            <v>122.012</v>
          </cell>
        </row>
        <row r="7462">
          <cell r="G7462">
            <v>42736</v>
          </cell>
          <cell r="L7462" t="str">
            <v>09-23-002-01W2</v>
          </cell>
          <cell r="O7462">
            <v>846.8</v>
          </cell>
          <cell r="Q7462">
            <v>1.02</v>
          </cell>
          <cell r="T7462">
            <v>124.738</v>
          </cell>
        </row>
        <row r="7463">
          <cell r="G7463">
            <v>42736</v>
          </cell>
          <cell r="L7463" t="str">
            <v>04-15-008-33W1</v>
          </cell>
          <cell r="O7463">
            <v>846.9</v>
          </cell>
          <cell r="Q7463">
            <v>1.35</v>
          </cell>
          <cell r="T7463">
            <v>125.935</v>
          </cell>
        </row>
        <row r="7464">
          <cell r="G7464">
            <v>42736</v>
          </cell>
          <cell r="L7464" t="str">
            <v>16-16-010-02W2</v>
          </cell>
          <cell r="O7464">
            <v>855.1</v>
          </cell>
          <cell r="Q7464">
            <v>1.84</v>
          </cell>
          <cell r="T7464">
            <v>127.626</v>
          </cell>
        </row>
        <row r="7465">
          <cell r="G7465">
            <v>42736</v>
          </cell>
          <cell r="L7465" t="str">
            <v>15-09-010-08W2</v>
          </cell>
          <cell r="O7465">
            <v>883.9</v>
          </cell>
          <cell r="Q7465">
            <v>2.64</v>
          </cell>
          <cell r="T7465">
            <v>138.68100000000001</v>
          </cell>
        </row>
        <row r="7466">
          <cell r="G7466">
            <v>42736</v>
          </cell>
          <cell r="L7466" t="str">
            <v>07-24-001-32W1</v>
          </cell>
          <cell r="O7466">
            <v>853.2</v>
          </cell>
          <cell r="Q7466">
            <v>1.38</v>
          </cell>
          <cell r="T7466">
            <v>143.32599999999999</v>
          </cell>
        </row>
        <row r="7467">
          <cell r="G7467">
            <v>42736</v>
          </cell>
          <cell r="L7467" t="str">
            <v>16-24-004-01W2</v>
          </cell>
          <cell r="O7467">
            <v>825.9</v>
          </cell>
          <cell r="Q7467">
            <v>0.63</v>
          </cell>
          <cell r="T7467">
            <v>142.69800000000001</v>
          </cell>
        </row>
        <row r="7468">
          <cell r="G7468">
            <v>42736</v>
          </cell>
          <cell r="L7468" t="str">
            <v>08-01-004-32W1</v>
          </cell>
          <cell r="O7468">
            <v>860</v>
          </cell>
          <cell r="Q7468">
            <v>1.68</v>
          </cell>
          <cell r="T7468">
            <v>147.101</v>
          </cell>
        </row>
        <row r="7469">
          <cell r="G7469">
            <v>42736</v>
          </cell>
          <cell r="L7469" t="str">
            <v>03-05-006-05W2</v>
          </cell>
          <cell r="O7469">
            <v>832.3</v>
          </cell>
          <cell r="Q7469">
            <v>0.98</v>
          </cell>
          <cell r="T7469">
            <v>156.07499999999999</v>
          </cell>
        </row>
        <row r="7470">
          <cell r="G7470">
            <v>42736</v>
          </cell>
          <cell r="L7470" t="str">
            <v>15-09-010-02W2</v>
          </cell>
          <cell r="O7470">
            <v>862.8</v>
          </cell>
          <cell r="Q7470">
            <v>2</v>
          </cell>
          <cell r="T7470">
            <v>152.24600000000001</v>
          </cell>
        </row>
        <row r="7471">
          <cell r="G7471">
            <v>42736</v>
          </cell>
          <cell r="L7471" t="str">
            <v>13-34-007-14W2</v>
          </cell>
          <cell r="O7471">
            <v>870.3</v>
          </cell>
          <cell r="Q7471">
            <v>2.1800000000000002</v>
          </cell>
          <cell r="T7471">
            <v>173.62899999999999</v>
          </cell>
        </row>
        <row r="7472">
          <cell r="G7472">
            <v>42736</v>
          </cell>
          <cell r="L7472" t="str">
            <v>15-21-008-03W2</v>
          </cell>
          <cell r="O7472">
            <v>852.7</v>
          </cell>
          <cell r="Q7472">
            <v>1.54</v>
          </cell>
          <cell r="T7472">
            <v>157.74199999999999</v>
          </cell>
        </row>
        <row r="7473">
          <cell r="G7473">
            <v>42736</v>
          </cell>
          <cell r="L7473" t="str">
            <v>12-12-005-34W1</v>
          </cell>
          <cell r="O7473">
            <v>825.4</v>
          </cell>
          <cell r="Q7473">
            <v>0.61</v>
          </cell>
          <cell r="T7473">
            <v>163.149</v>
          </cell>
        </row>
        <row r="7474">
          <cell r="G7474">
            <v>42736</v>
          </cell>
          <cell r="L7474" t="str">
            <v>01-29-004-07W2</v>
          </cell>
          <cell r="O7474">
            <v>883.2</v>
          </cell>
          <cell r="Q7474">
            <v>2.13</v>
          </cell>
          <cell r="T7474">
            <v>174.995</v>
          </cell>
        </row>
        <row r="7475">
          <cell r="G7475">
            <v>42736</v>
          </cell>
          <cell r="L7475" t="str">
            <v>07-25-003-13W2</v>
          </cell>
          <cell r="O7475">
            <v>888.6</v>
          </cell>
          <cell r="Q7475">
            <v>2.5099999999999998</v>
          </cell>
          <cell r="T7475">
            <v>186.33799999999999</v>
          </cell>
        </row>
        <row r="7476">
          <cell r="G7476">
            <v>42736</v>
          </cell>
          <cell r="L7476" t="str">
            <v>02-30-001-31W1</v>
          </cell>
          <cell r="O7476">
            <v>865.5</v>
          </cell>
          <cell r="Q7476">
            <v>1.76</v>
          </cell>
          <cell r="T7476">
            <v>173.089</v>
          </cell>
        </row>
        <row r="7477">
          <cell r="G7477">
            <v>42736</v>
          </cell>
          <cell r="L7477" t="str">
            <v>07-36-001-34W1</v>
          </cell>
          <cell r="O7477">
            <v>853</v>
          </cell>
          <cell r="Q7477">
            <v>1.17</v>
          </cell>
          <cell r="T7477">
            <v>172.833</v>
          </cell>
        </row>
        <row r="7478">
          <cell r="G7478">
            <v>42736</v>
          </cell>
          <cell r="L7478" t="str">
            <v>13-25-001-01W2</v>
          </cell>
          <cell r="O7478">
            <v>838.4</v>
          </cell>
          <cell r="Q7478">
            <v>0.84</v>
          </cell>
          <cell r="T7478">
            <v>186.16499999999999</v>
          </cell>
        </row>
        <row r="7479">
          <cell r="G7479">
            <v>42736</v>
          </cell>
          <cell r="L7479" t="str">
            <v>01-11-005-04W2</v>
          </cell>
          <cell r="O7479">
            <v>853.3</v>
          </cell>
          <cell r="Q7479">
            <v>1.59</v>
          </cell>
          <cell r="T7479">
            <v>211.46</v>
          </cell>
        </row>
        <row r="7480">
          <cell r="G7480">
            <v>42736</v>
          </cell>
          <cell r="L7480" t="str">
            <v>02-27-004-33W1</v>
          </cell>
          <cell r="O7480">
            <v>829.4</v>
          </cell>
          <cell r="Q7480">
            <v>0.72</v>
          </cell>
          <cell r="T7480">
            <v>220.72200000000001</v>
          </cell>
        </row>
        <row r="7481">
          <cell r="G7481">
            <v>42736</v>
          </cell>
          <cell r="L7481" t="str">
            <v>05-01-001-32W1</v>
          </cell>
          <cell r="O7481">
            <v>867</v>
          </cell>
          <cell r="Q7481">
            <v>1.83</v>
          </cell>
          <cell r="T7481">
            <v>240.86099999999999</v>
          </cell>
        </row>
        <row r="7482">
          <cell r="G7482">
            <v>42736</v>
          </cell>
          <cell r="L7482" t="str">
            <v>01-24-007-05W2</v>
          </cell>
          <cell r="O7482">
            <v>846.9</v>
          </cell>
          <cell r="Q7482">
            <v>1.34</v>
          </cell>
          <cell r="T7482">
            <v>244.79599999999999</v>
          </cell>
        </row>
        <row r="7483">
          <cell r="G7483">
            <v>42736</v>
          </cell>
          <cell r="L7483" t="str">
            <v>01-28-002-14W2</v>
          </cell>
          <cell r="O7483">
            <v>857.2</v>
          </cell>
          <cell r="Q7483">
            <v>1.64</v>
          </cell>
          <cell r="T7483">
            <v>5017.2560000000003</v>
          </cell>
        </row>
        <row r="7484">
          <cell r="G7484">
            <v>42736</v>
          </cell>
          <cell r="L7484" t="str">
            <v>12-22-007-11W2</v>
          </cell>
          <cell r="O7484">
            <v>818.8</v>
          </cell>
          <cell r="Q7484">
            <v>1.48</v>
          </cell>
          <cell r="T7484">
            <v>4893.7520000000004</v>
          </cell>
        </row>
        <row r="7485">
          <cell r="G7485">
            <v>42736</v>
          </cell>
          <cell r="L7485" t="str">
            <v>04-21-006-14W2</v>
          </cell>
          <cell r="O7485">
            <v>858.3</v>
          </cell>
          <cell r="Q7485">
            <v>2.02</v>
          </cell>
          <cell r="T7485">
            <v>2779.951</v>
          </cell>
        </row>
        <row r="7486">
          <cell r="G7486">
            <v>42736</v>
          </cell>
          <cell r="L7486" t="str">
            <v>07-02-007-11W2</v>
          </cell>
          <cell r="O7486">
            <v>867.4</v>
          </cell>
          <cell r="Q7486">
            <v>1.57</v>
          </cell>
          <cell r="T7486">
            <v>2281.7359999999999</v>
          </cell>
        </row>
        <row r="7487">
          <cell r="G7487">
            <v>42736</v>
          </cell>
          <cell r="L7487" t="str">
            <v>14-33-006-14W2</v>
          </cell>
          <cell r="O7487">
            <v>846.1</v>
          </cell>
          <cell r="Q7487">
            <v>1.71</v>
          </cell>
          <cell r="T7487">
            <v>2227.4670000000001</v>
          </cell>
        </row>
        <row r="7488">
          <cell r="G7488">
            <v>42736</v>
          </cell>
          <cell r="L7488" t="str">
            <v>05-18-004-17W2</v>
          </cell>
          <cell r="O7488">
            <v>866</v>
          </cell>
          <cell r="Q7488">
            <v>2.1800000000000002</v>
          </cell>
          <cell r="T7488">
            <v>2081.7559999999999</v>
          </cell>
        </row>
        <row r="7489">
          <cell r="G7489">
            <v>42736</v>
          </cell>
          <cell r="L7489" t="str">
            <v>15-33-006-14W2</v>
          </cell>
          <cell r="O7489">
            <v>844.9</v>
          </cell>
          <cell r="Q7489">
            <v>1.71</v>
          </cell>
          <cell r="T7489">
            <v>1144.7719999999999</v>
          </cell>
        </row>
        <row r="7490">
          <cell r="G7490">
            <v>42736</v>
          </cell>
          <cell r="L7490" t="str">
            <v>01-22-006-14W2</v>
          </cell>
          <cell r="O7490">
            <v>860.5</v>
          </cell>
          <cell r="Q7490">
            <v>2.2000000000000002</v>
          </cell>
          <cell r="T7490">
            <v>876.68100000000004</v>
          </cell>
        </row>
        <row r="7491">
          <cell r="G7491">
            <v>42736</v>
          </cell>
          <cell r="L7491" t="str">
            <v>03-05-005-11W2</v>
          </cell>
          <cell r="O7491">
            <v>883.6</v>
          </cell>
          <cell r="Q7491">
            <v>1.96</v>
          </cell>
          <cell r="T7491">
            <v>862.80700000000002</v>
          </cell>
        </row>
        <row r="7492">
          <cell r="G7492">
            <v>42736</v>
          </cell>
          <cell r="L7492" t="str">
            <v>04-11-007-13W2</v>
          </cell>
          <cell r="O7492">
            <v>861.1</v>
          </cell>
          <cell r="Q7492">
            <v>2.1800000000000002</v>
          </cell>
          <cell r="T7492">
            <v>580.81700000000001</v>
          </cell>
        </row>
        <row r="7493">
          <cell r="G7493">
            <v>42736</v>
          </cell>
          <cell r="L7493" t="str">
            <v>01-03-008-13W2</v>
          </cell>
          <cell r="O7493">
            <v>852.3</v>
          </cell>
          <cell r="Q7493">
            <v>2.08</v>
          </cell>
          <cell r="T7493">
            <v>419.27699999999999</v>
          </cell>
        </row>
        <row r="7494">
          <cell r="G7494">
            <v>42736</v>
          </cell>
          <cell r="L7494" t="str">
            <v>03-06-005-12W2</v>
          </cell>
          <cell r="O7494">
            <v>887.4</v>
          </cell>
          <cell r="Q7494">
            <v>2.27</v>
          </cell>
          <cell r="T7494">
            <v>389.33199999999999</v>
          </cell>
        </row>
        <row r="7495">
          <cell r="G7495">
            <v>42736</v>
          </cell>
          <cell r="L7495" t="str">
            <v>10-22-006-14W2</v>
          </cell>
          <cell r="O7495">
            <v>848.8</v>
          </cell>
          <cell r="Q7495">
            <v>1.7</v>
          </cell>
          <cell r="T7495">
            <v>346.90199999999999</v>
          </cell>
        </row>
        <row r="7496">
          <cell r="G7496">
            <v>42736</v>
          </cell>
          <cell r="L7496" t="str">
            <v>15-30-007-12W2</v>
          </cell>
          <cell r="O7496">
            <v>873.3</v>
          </cell>
          <cell r="Q7496">
            <v>2.4300000000000002</v>
          </cell>
          <cell r="T7496">
            <v>305.85899999999998</v>
          </cell>
        </row>
        <row r="7497">
          <cell r="G7497">
            <v>42736</v>
          </cell>
          <cell r="L7497" t="str">
            <v>14-27-001-13W2</v>
          </cell>
          <cell r="O7497">
            <v>822</v>
          </cell>
          <cell r="Q7497">
            <v>0.68</v>
          </cell>
          <cell r="T7497">
            <v>25785.918000000001</v>
          </cell>
        </row>
        <row r="7498">
          <cell r="G7498">
            <v>42736</v>
          </cell>
          <cell r="L7498" t="str">
            <v xml:space="preserve">07-12-006-11W2  </v>
          </cell>
          <cell r="O7498">
            <v>875.8</v>
          </cell>
          <cell r="Q7498">
            <v>2.1</v>
          </cell>
          <cell r="T7498">
            <v>21477.073</v>
          </cell>
        </row>
        <row r="7499">
          <cell r="G7499">
            <v>42736</v>
          </cell>
          <cell r="L7499" t="str">
            <v>09-13-007-11W2</v>
          </cell>
          <cell r="O7499">
            <v>816.4</v>
          </cell>
          <cell r="Q7499">
            <v>0.59</v>
          </cell>
          <cell r="T7499">
            <v>21030.911</v>
          </cell>
        </row>
        <row r="7500">
          <cell r="G7500">
            <v>42736</v>
          </cell>
          <cell r="L7500" t="str">
            <v>01-21-001-14W2</v>
          </cell>
          <cell r="O7500">
            <v>809.3</v>
          </cell>
          <cell r="Q7500">
            <v>0.33</v>
          </cell>
          <cell r="T7500">
            <v>19960.418000000001</v>
          </cell>
        </row>
        <row r="7501">
          <cell r="G7501">
            <v>42736</v>
          </cell>
          <cell r="L7501" t="str">
            <v>13-30-007-10W2</v>
          </cell>
          <cell r="O7501">
            <v>816.3</v>
          </cell>
          <cell r="Q7501">
            <v>0.66</v>
          </cell>
          <cell r="T7501">
            <v>11216.892</v>
          </cell>
        </row>
        <row r="7502">
          <cell r="G7502">
            <v>42736</v>
          </cell>
          <cell r="L7502" t="str">
            <v>08-31-004-18W2</v>
          </cell>
          <cell r="O7502">
            <v>858</v>
          </cell>
          <cell r="Q7502">
            <v>1.88</v>
          </cell>
          <cell r="T7502">
            <v>8057.5129999999999</v>
          </cell>
        </row>
        <row r="7503">
          <cell r="G7503">
            <v>42736</v>
          </cell>
          <cell r="L7503" t="str">
            <v>04-05-002-15W2</v>
          </cell>
          <cell r="O7503">
            <v>856.5</v>
          </cell>
          <cell r="Q7503">
            <v>1.98</v>
          </cell>
          <cell r="T7503">
            <v>3861.2350000000001</v>
          </cell>
        </row>
        <row r="7504">
          <cell r="G7504">
            <v>42736</v>
          </cell>
          <cell r="L7504" t="str">
            <v>11-02-005-12W2</v>
          </cell>
          <cell r="O7504">
            <v>846.1</v>
          </cell>
          <cell r="Q7504">
            <v>1.68</v>
          </cell>
          <cell r="T7504">
            <v>3079.645</v>
          </cell>
        </row>
        <row r="7505">
          <cell r="G7505">
            <v>42736</v>
          </cell>
          <cell r="L7505" t="str">
            <v>05-31-003-16W2</v>
          </cell>
          <cell r="O7505">
            <v>891.3</v>
          </cell>
          <cell r="Q7505">
            <v>2.99</v>
          </cell>
          <cell r="T7505">
            <v>2941.1860000000001</v>
          </cell>
        </row>
        <row r="7506">
          <cell r="G7506">
            <v>42736</v>
          </cell>
          <cell r="L7506" t="str">
            <v>06-03-001-16W2</v>
          </cell>
          <cell r="O7506">
            <v>831.9</v>
          </cell>
          <cell r="Q7506">
            <v>0.67</v>
          </cell>
          <cell r="T7506">
            <v>2363.1019999999999</v>
          </cell>
        </row>
        <row r="7507">
          <cell r="G7507">
            <v>42736</v>
          </cell>
          <cell r="L7507" t="str">
            <v>13-02-007-14W2</v>
          </cell>
          <cell r="O7507">
            <v>851.6</v>
          </cell>
          <cell r="Q7507">
            <v>1.9</v>
          </cell>
          <cell r="T7507">
            <v>1597.9079999999999</v>
          </cell>
        </row>
        <row r="7508">
          <cell r="G7508">
            <v>42736</v>
          </cell>
          <cell r="L7508" t="str">
            <v>11-04-005-12W2</v>
          </cell>
          <cell r="O7508">
            <v>876.8</v>
          </cell>
          <cell r="Q7508">
            <v>2.0499999999999998</v>
          </cell>
          <cell r="T7508">
            <v>1555.931</v>
          </cell>
        </row>
        <row r="7509">
          <cell r="G7509">
            <v>42736</v>
          </cell>
          <cell r="L7509" t="str">
            <v>15-32-004-12W2</v>
          </cell>
          <cell r="O7509">
            <v>880.9</v>
          </cell>
          <cell r="Q7509">
            <v>2.17</v>
          </cell>
          <cell r="T7509">
            <v>1396.4390000000001</v>
          </cell>
        </row>
        <row r="7510">
          <cell r="G7510">
            <v>42736</v>
          </cell>
          <cell r="L7510" t="str">
            <v>15-25-007-11W2</v>
          </cell>
          <cell r="O7510">
            <v>860.7</v>
          </cell>
          <cell r="Q7510">
            <v>2.1</v>
          </cell>
          <cell r="T7510">
            <v>1334.7170000000001</v>
          </cell>
        </row>
        <row r="7511">
          <cell r="G7511">
            <v>42736</v>
          </cell>
          <cell r="L7511" t="str">
            <v>16-23-006-11W2</v>
          </cell>
          <cell r="O7511">
            <v>875.4</v>
          </cell>
          <cell r="Q7511">
            <v>2.2999999999999998</v>
          </cell>
          <cell r="T7511">
            <v>1326.066</v>
          </cell>
        </row>
        <row r="7512">
          <cell r="G7512">
            <v>42736</v>
          </cell>
          <cell r="L7512" t="str">
            <v>11-26-002-19W2</v>
          </cell>
          <cell r="O7512">
            <v>871.5</v>
          </cell>
          <cell r="Q7512">
            <v>1.91</v>
          </cell>
          <cell r="T7512">
            <v>1179.5150000000001</v>
          </cell>
        </row>
        <row r="7513">
          <cell r="G7513">
            <v>42736</v>
          </cell>
          <cell r="L7513" t="str">
            <v>12-25-004-19W2</v>
          </cell>
          <cell r="O7513">
            <v>867.3</v>
          </cell>
          <cell r="Q7513">
            <v>2.41</v>
          </cell>
          <cell r="T7513">
            <v>762.928</v>
          </cell>
        </row>
        <row r="7514">
          <cell r="G7514">
            <v>42736</v>
          </cell>
          <cell r="L7514" t="str">
            <v>02-29-001-17W2</v>
          </cell>
          <cell r="O7514">
            <v>863.7</v>
          </cell>
          <cell r="Q7514">
            <v>2.14</v>
          </cell>
          <cell r="T7514">
            <v>744.95399999999995</v>
          </cell>
        </row>
        <row r="7515">
          <cell r="G7515">
            <v>42736</v>
          </cell>
          <cell r="L7515" t="str">
            <v>05-35-006-11W2</v>
          </cell>
          <cell r="O7515">
            <v>804.5</v>
          </cell>
          <cell r="Q7515">
            <v>0.13</v>
          </cell>
          <cell r="T7515">
            <v>410.78500000000003</v>
          </cell>
        </row>
        <row r="7516">
          <cell r="G7516">
            <v>42736</v>
          </cell>
          <cell r="L7516" t="str">
            <v>09-28-001-15W2</v>
          </cell>
          <cell r="O7516">
            <v>860.4</v>
          </cell>
          <cell r="Q7516">
            <v>1.17</v>
          </cell>
          <cell r="T7516">
            <v>370.78199999999998</v>
          </cell>
        </row>
        <row r="7517">
          <cell r="G7517">
            <v>42736</v>
          </cell>
          <cell r="L7517" t="str">
            <v>03-12-002-19W2</v>
          </cell>
          <cell r="O7517">
            <v>875.9</v>
          </cell>
          <cell r="Q7517">
            <v>2.58</v>
          </cell>
          <cell r="T7517">
            <v>322.35300000000001</v>
          </cell>
        </row>
        <row r="7518">
          <cell r="G7518">
            <v>42736</v>
          </cell>
          <cell r="L7518" t="str">
            <v>07-25-009-08W2</v>
          </cell>
          <cell r="O7518">
            <v>883.4</v>
          </cell>
          <cell r="Q7518">
            <v>2.38</v>
          </cell>
          <cell r="T7518">
            <v>291.13900000000001</v>
          </cell>
        </row>
        <row r="7519">
          <cell r="G7519">
            <v>42736</v>
          </cell>
          <cell r="L7519" t="str">
            <v>02-17-005-31W1</v>
          </cell>
          <cell r="O7519">
            <v>847.3</v>
          </cell>
          <cell r="Q7519">
            <v>1.29</v>
          </cell>
          <cell r="T7519">
            <v>267.17599999999999</v>
          </cell>
        </row>
        <row r="7520">
          <cell r="G7520">
            <v>42736</v>
          </cell>
          <cell r="L7520" t="str">
            <v>11-23-002-34W1</v>
          </cell>
          <cell r="O7520">
            <v>837.4</v>
          </cell>
          <cell r="Q7520">
            <v>0.71</v>
          </cell>
          <cell r="T7520">
            <v>267.70999999999998</v>
          </cell>
        </row>
        <row r="7521">
          <cell r="G7521">
            <v>42736</v>
          </cell>
          <cell r="L7521" t="str">
            <v>01-07-006-10W2</v>
          </cell>
          <cell r="O7521">
            <v>827.3</v>
          </cell>
          <cell r="Q7521">
            <v>1.54</v>
          </cell>
          <cell r="T7521">
            <v>50817.362000000001</v>
          </cell>
        </row>
        <row r="7522">
          <cell r="G7522">
            <v>42736</v>
          </cell>
          <cell r="L7522" t="str">
            <v>14-18-001-04W2</v>
          </cell>
          <cell r="O7522">
            <v>826</v>
          </cell>
          <cell r="Q7522">
            <v>0.54</v>
          </cell>
          <cell r="T7522">
            <v>298.51799999999997</v>
          </cell>
        </row>
        <row r="7523">
          <cell r="G7523">
            <v>42736</v>
          </cell>
          <cell r="L7523" t="str">
            <v>12-01-003-30W1</v>
          </cell>
          <cell r="O7523">
            <v>865.2</v>
          </cell>
          <cell r="Q7523">
            <v>1.92</v>
          </cell>
          <cell r="T7523">
            <v>275.52699999999999</v>
          </cell>
        </row>
        <row r="7524">
          <cell r="G7524">
            <v>42736</v>
          </cell>
          <cell r="L7524" t="str">
            <v>09-18-007-04W2</v>
          </cell>
          <cell r="O7524">
            <v>855.5</v>
          </cell>
          <cell r="Q7524">
            <v>1.47</v>
          </cell>
          <cell r="T7524">
            <v>281.57100000000003</v>
          </cell>
        </row>
        <row r="7525">
          <cell r="G7525">
            <v>42736</v>
          </cell>
          <cell r="L7525" t="str">
            <v>08-31-005-03W2</v>
          </cell>
          <cell r="O7525">
            <v>843.8</v>
          </cell>
          <cell r="Q7525">
            <v>1.08</v>
          </cell>
          <cell r="T7525">
            <v>282.65899999999999</v>
          </cell>
        </row>
        <row r="7526">
          <cell r="G7526">
            <v>42736</v>
          </cell>
          <cell r="L7526" t="str">
            <v>03-33-008-06W2</v>
          </cell>
          <cell r="O7526">
            <v>805.7</v>
          </cell>
          <cell r="Q7526">
            <v>0.28000000000000003</v>
          </cell>
          <cell r="T7526">
            <v>14036.508</v>
          </cell>
        </row>
        <row r="7527">
          <cell r="G7527">
            <v>42736</v>
          </cell>
          <cell r="L7527" t="str">
            <v>12-06-009-07W2</v>
          </cell>
          <cell r="O7527">
            <v>805.6</v>
          </cell>
          <cell r="Q7527">
            <v>0.17</v>
          </cell>
          <cell r="T7527">
            <v>8873.2939999999999</v>
          </cell>
        </row>
        <row r="7528">
          <cell r="G7528">
            <v>42736</v>
          </cell>
          <cell r="L7528" t="str">
            <v>02-26-009-09W2</v>
          </cell>
          <cell r="O7528">
            <v>810.2</v>
          </cell>
          <cell r="Q7528">
            <v>0.19</v>
          </cell>
          <cell r="T7528">
            <v>7624.6970000000001</v>
          </cell>
        </row>
        <row r="7529">
          <cell r="G7529">
            <v>42736</v>
          </cell>
          <cell r="L7529" t="str">
            <v>03-17-011-06W2</v>
          </cell>
          <cell r="O7529">
            <v>882.1</v>
          </cell>
          <cell r="Q7529">
            <v>2.79</v>
          </cell>
          <cell r="T7529">
            <v>2879.4639999999999</v>
          </cell>
        </row>
        <row r="7530">
          <cell r="G7530">
            <v>42736</v>
          </cell>
          <cell r="L7530" t="str">
            <v>13-14-009-09W2</v>
          </cell>
          <cell r="O7530">
            <v>864</v>
          </cell>
          <cell r="Q7530">
            <v>1.87</v>
          </cell>
          <cell r="T7530">
            <v>1801.931</v>
          </cell>
        </row>
        <row r="7531">
          <cell r="G7531">
            <v>42736</v>
          </cell>
          <cell r="L7531" t="str">
            <v>04-18-009-06W2</v>
          </cell>
          <cell r="O7531">
            <v>821.1</v>
          </cell>
          <cell r="Q7531">
            <v>0.64</v>
          </cell>
          <cell r="T7531">
            <v>1139.335</v>
          </cell>
        </row>
        <row r="7532">
          <cell r="G7532">
            <v>42736</v>
          </cell>
          <cell r="L7532" t="str">
            <v>09-10-009-06W2</v>
          </cell>
          <cell r="O7532">
            <v>853.5</v>
          </cell>
          <cell r="Q7532">
            <v>1.69</v>
          </cell>
          <cell r="T7532">
            <v>717.64300000000003</v>
          </cell>
        </row>
        <row r="7533">
          <cell r="G7533">
            <v>42736</v>
          </cell>
          <cell r="L7533" t="str">
            <v>05-31-009-07W2</v>
          </cell>
          <cell r="O7533">
            <v>878.5</v>
          </cell>
          <cell r="Q7533">
            <v>2.42</v>
          </cell>
          <cell r="T7533">
            <v>668.84900000000005</v>
          </cell>
        </row>
        <row r="7534">
          <cell r="G7534">
            <v>42736</v>
          </cell>
          <cell r="L7534" t="str">
            <v>03-15-012-06W2</v>
          </cell>
          <cell r="O7534">
            <v>886.4</v>
          </cell>
          <cell r="Q7534">
            <v>2.46</v>
          </cell>
          <cell r="T7534">
            <v>631.04100000000005</v>
          </cell>
        </row>
        <row r="7535">
          <cell r="G7535">
            <v>42736</v>
          </cell>
          <cell r="L7535" t="str">
            <v>09-26-007-09W2</v>
          </cell>
          <cell r="O7535">
            <v>812.4</v>
          </cell>
          <cell r="Q7535">
            <v>0.43</v>
          </cell>
          <cell r="T7535">
            <v>505.60500000000002</v>
          </cell>
        </row>
        <row r="7536">
          <cell r="G7536">
            <v>42736</v>
          </cell>
          <cell r="L7536" t="str">
            <v>07-23-006-02W2</v>
          </cell>
          <cell r="O7536">
            <v>845.2</v>
          </cell>
          <cell r="Q7536">
            <v>1.18</v>
          </cell>
          <cell r="T7536">
            <v>292.81400000000002</v>
          </cell>
        </row>
        <row r="7537">
          <cell r="G7537">
            <v>42736</v>
          </cell>
          <cell r="L7537" t="str">
            <v>08-31-009-01W2</v>
          </cell>
          <cell r="O7537">
            <v>858.8</v>
          </cell>
          <cell r="Q7537">
            <v>1.8</v>
          </cell>
          <cell r="T7537">
            <v>289.76</v>
          </cell>
        </row>
        <row r="7538">
          <cell r="G7538">
            <v>42736</v>
          </cell>
          <cell r="L7538" t="str">
            <v>04-08-008-08W2</v>
          </cell>
          <cell r="O7538">
            <v>815.4</v>
          </cell>
          <cell r="Q7538">
            <v>0.59</v>
          </cell>
          <cell r="T7538">
            <v>122139.87</v>
          </cell>
        </row>
        <row r="7539">
          <cell r="G7539">
            <v>42736</v>
          </cell>
          <cell r="L7539" t="str">
            <v>13-29-008-07W2</v>
          </cell>
          <cell r="O7539">
            <v>800.9</v>
          </cell>
          <cell r="Q7539">
            <v>0.26</v>
          </cell>
          <cell r="T7539">
            <v>12738.714</v>
          </cell>
        </row>
        <row r="7540">
          <cell r="G7540">
            <v>42736</v>
          </cell>
          <cell r="L7540" t="str">
            <v>11-15-007-09W2</v>
          </cell>
          <cell r="O7540">
            <v>820.6</v>
          </cell>
          <cell r="Q7540">
            <v>0.7</v>
          </cell>
          <cell r="T7540">
            <v>6179.5609999999997</v>
          </cell>
        </row>
        <row r="7541">
          <cell r="G7541">
            <v>42736</v>
          </cell>
          <cell r="L7541" t="str">
            <v>13-18-010-06W2</v>
          </cell>
          <cell r="O7541">
            <v>832.2</v>
          </cell>
          <cell r="Q7541">
            <v>0.69</v>
          </cell>
          <cell r="T7541">
            <v>3870.518</v>
          </cell>
        </row>
        <row r="7542">
          <cell r="G7542">
            <v>42736</v>
          </cell>
          <cell r="L7542" t="str">
            <v>09-20-008-08W2</v>
          </cell>
          <cell r="O7542">
            <v>816.5</v>
          </cell>
          <cell r="Q7542">
            <v>0.47</v>
          </cell>
          <cell r="T7542">
            <v>2607.1970000000001</v>
          </cell>
        </row>
        <row r="7543">
          <cell r="G7543">
            <v>42736</v>
          </cell>
          <cell r="L7543" t="str">
            <v>13-07-010-09W2</v>
          </cell>
          <cell r="O7543">
            <v>807</v>
          </cell>
          <cell r="Q7543">
            <v>0.19</v>
          </cell>
          <cell r="T7543">
            <v>1905.8779999999999</v>
          </cell>
        </row>
        <row r="7544">
          <cell r="G7544">
            <v>42736</v>
          </cell>
          <cell r="L7544" t="str">
            <v>03-06-011-07W2</v>
          </cell>
          <cell r="O7544">
            <v>883.4</v>
          </cell>
          <cell r="Q7544">
            <v>1.89</v>
          </cell>
          <cell r="T7544">
            <v>1760.4079999999999</v>
          </cell>
        </row>
        <row r="7545">
          <cell r="G7545">
            <v>42736</v>
          </cell>
          <cell r="L7545" t="str">
            <v>05-13-009-06W2</v>
          </cell>
          <cell r="O7545">
            <v>844.6</v>
          </cell>
          <cell r="Q7545">
            <v>1.59</v>
          </cell>
          <cell r="T7545">
            <v>1721.796</v>
          </cell>
        </row>
        <row r="7546">
          <cell r="G7546">
            <v>42736</v>
          </cell>
          <cell r="L7546" t="str">
            <v>15-23-006-08W2</v>
          </cell>
          <cell r="O7546">
            <v>867.3</v>
          </cell>
          <cell r="Q7546">
            <v>1.94</v>
          </cell>
          <cell r="T7546">
            <v>1529.1980000000001</v>
          </cell>
        </row>
        <row r="7547">
          <cell r="G7547">
            <v>42736</v>
          </cell>
          <cell r="L7547" t="str">
            <v>07-04-010-08W2</v>
          </cell>
          <cell r="O7547">
            <v>876.6</v>
          </cell>
          <cell r="Q7547">
            <v>2.59</v>
          </cell>
          <cell r="T7547">
            <v>1439.3579999999999</v>
          </cell>
        </row>
        <row r="7548">
          <cell r="G7548">
            <v>42736</v>
          </cell>
          <cell r="L7548" t="str">
            <v>05-13-008-06W2</v>
          </cell>
          <cell r="O7548">
            <v>818.9</v>
          </cell>
          <cell r="Q7548">
            <v>0.59</v>
          </cell>
          <cell r="T7548">
            <v>1396.904</v>
          </cell>
        </row>
        <row r="7549">
          <cell r="G7549">
            <v>42736</v>
          </cell>
          <cell r="L7549" t="str">
            <v>01-26-006-09W2</v>
          </cell>
          <cell r="O7549">
            <v>883.9</v>
          </cell>
          <cell r="Q7549">
            <v>2.19</v>
          </cell>
          <cell r="T7549">
            <v>1113.117</v>
          </cell>
        </row>
        <row r="7550">
          <cell r="G7550">
            <v>42736</v>
          </cell>
          <cell r="L7550" t="str">
            <v>09-06-010-07W2</v>
          </cell>
          <cell r="O7550">
            <v>881.8</v>
          </cell>
          <cell r="Q7550">
            <v>2.46</v>
          </cell>
          <cell r="T7550">
            <v>894.42499999999995</v>
          </cell>
        </row>
        <row r="7551">
          <cell r="G7551">
            <v>42736</v>
          </cell>
          <cell r="L7551" t="str">
            <v>09-11-010-08W2</v>
          </cell>
          <cell r="O7551">
            <v>882.8</v>
          </cell>
          <cell r="Q7551">
            <v>2.58</v>
          </cell>
          <cell r="T7551">
            <v>756.39800000000002</v>
          </cell>
        </row>
        <row r="7552">
          <cell r="G7552">
            <v>42736</v>
          </cell>
          <cell r="L7552" t="str">
            <v>07-28-007-08W2</v>
          </cell>
          <cell r="O7552">
            <v>844.6</v>
          </cell>
          <cell r="Q7552">
            <v>1.28</v>
          </cell>
          <cell r="T7552">
            <v>745.88199999999995</v>
          </cell>
        </row>
        <row r="7553">
          <cell r="G7553">
            <v>42736</v>
          </cell>
          <cell r="L7553" t="str">
            <v>16-35-009-09W2</v>
          </cell>
          <cell r="O7553">
            <v>881.7</v>
          </cell>
          <cell r="Q7553">
            <v>2.6</v>
          </cell>
          <cell r="T7553">
            <v>617.952</v>
          </cell>
        </row>
        <row r="7554">
          <cell r="G7554">
            <v>42736</v>
          </cell>
          <cell r="L7554" t="str">
            <v>01-22-010-07W2</v>
          </cell>
          <cell r="O7554">
            <v>883.9</v>
          </cell>
          <cell r="Q7554">
            <v>2.6</v>
          </cell>
          <cell r="T7554">
            <v>448.98399999999998</v>
          </cell>
        </row>
        <row r="7555">
          <cell r="G7555">
            <v>42736</v>
          </cell>
          <cell r="L7555" t="str">
            <v>01-04-007-09W2</v>
          </cell>
          <cell r="O7555">
            <v>811.8</v>
          </cell>
          <cell r="Q7555">
            <v>0.27</v>
          </cell>
          <cell r="T7555">
            <v>421.06</v>
          </cell>
        </row>
        <row r="7556">
          <cell r="G7556">
            <v>42736</v>
          </cell>
          <cell r="L7556" t="str">
            <v>03-23-001-32W1</v>
          </cell>
          <cell r="O7556">
            <v>856</v>
          </cell>
          <cell r="Q7556">
            <v>1.1599999999999999</v>
          </cell>
          <cell r="T7556">
            <v>314.62400000000002</v>
          </cell>
        </row>
        <row r="7557">
          <cell r="G7557">
            <v>42736</v>
          </cell>
          <cell r="L7557" t="str">
            <v>14-35-006-05W2</v>
          </cell>
          <cell r="O7557">
            <v>861.8</v>
          </cell>
          <cell r="Q7557">
            <v>1.75</v>
          </cell>
          <cell r="T7557">
            <v>315.64600000000002</v>
          </cell>
        </row>
        <row r="7558">
          <cell r="G7558">
            <v>42736</v>
          </cell>
          <cell r="L7558" t="str">
            <v>06-03-004-31W1</v>
          </cell>
          <cell r="O7558">
            <v>868.8</v>
          </cell>
          <cell r="Q7558">
            <v>1.94</v>
          </cell>
          <cell r="T7558">
            <v>326.63200000000001</v>
          </cell>
        </row>
        <row r="7559">
          <cell r="G7559">
            <v>42736</v>
          </cell>
          <cell r="L7559" t="str">
            <v>10-33-003-31W1</v>
          </cell>
          <cell r="O7559">
            <v>869.3</v>
          </cell>
          <cell r="Q7559">
            <v>2.16</v>
          </cell>
          <cell r="T7559">
            <v>335.72699999999998</v>
          </cell>
        </row>
        <row r="7560">
          <cell r="G7560">
            <v>42736</v>
          </cell>
          <cell r="L7560" t="str">
            <v>05-31-002-01W2</v>
          </cell>
          <cell r="O7560">
            <v>825.2</v>
          </cell>
          <cell r="Q7560">
            <v>0.79</v>
          </cell>
          <cell r="T7560">
            <v>8927.0429999999997</v>
          </cell>
        </row>
        <row r="7561">
          <cell r="G7561">
            <v>42736</v>
          </cell>
          <cell r="L7561" t="str">
            <v>16-18-011-04W2</v>
          </cell>
          <cell r="O7561">
            <v>826.9</v>
          </cell>
          <cell r="Q7561">
            <v>1.42</v>
          </cell>
          <cell r="T7561">
            <v>7460.0540000000001</v>
          </cell>
        </row>
        <row r="7562">
          <cell r="G7562">
            <v>42736</v>
          </cell>
          <cell r="L7562" t="str">
            <v>13-03-006-34W1</v>
          </cell>
          <cell r="O7562">
            <v>843.5</v>
          </cell>
          <cell r="Q7562">
            <v>1.22</v>
          </cell>
          <cell r="T7562">
            <v>6182.9449999999997</v>
          </cell>
        </row>
        <row r="7563">
          <cell r="G7563">
            <v>42736</v>
          </cell>
          <cell r="L7563" t="str">
            <v>11-30-005-03W2</v>
          </cell>
          <cell r="O7563">
            <v>853</v>
          </cell>
          <cell r="Q7563">
            <v>1.49</v>
          </cell>
          <cell r="T7563">
            <v>4545.6329999999998</v>
          </cell>
        </row>
        <row r="7564">
          <cell r="G7564">
            <v>42736</v>
          </cell>
          <cell r="L7564" t="str">
            <v>16-12-004-31W1</v>
          </cell>
          <cell r="O7564">
            <v>861.1</v>
          </cell>
          <cell r="Q7564">
            <v>1.51</v>
          </cell>
          <cell r="T7564">
            <v>4434.3689999999997</v>
          </cell>
        </row>
        <row r="7565">
          <cell r="G7565">
            <v>42736</v>
          </cell>
          <cell r="L7565" t="str">
            <v>04-27-003-33W1</v>
          </cell>
          <cell r="O7565">
            <v>834.8</v>
          </cell>
          <cell r="Q7565">
            <v>1.1100000000000001</v>
          </cell>
          <cell r="T7565">
            <v>3449.2310000000002</v>
          </cell>
        </row>
        <row r="7566">
          <cell r="G7566">
            <v>42736</v>
          </cell>
          <cell r="L7566" t="str">
            <v>03-03-002-32W1</v>
          </cell>
          <cell r="O7566">
            <v>826.8</v>
          </cell>
          <cell r="Q7566">
            <v>1.62</v>
          </cell>
          <cell r="T7566">
            <v>3297.86</v>
          </cell>
        </row>
        <row r="7567">
          <cell r="G7567">
            <v>42736</v>
          </cell>
          <cell r="L7567" t="str">
            <v>05-03-009-33W1</v>
          </cell>
          <cell r="O7567">
            <v>850.1</v>
          </cell>
          <cell r="Q7567">
            <v>1.4</v>
          </cell>
          <cell r="T7567">
            <v>2421.652</v>
          </cell>
        </row>
        <row r="7568">
          <cell r="G7568">
            <v>42736</v>
          </cell>
          <cell r="L7568" t="str">
            <v>06-27-006-01W2</v>
          </cell>
          <cell r="O7568">
            <v>841</v>
          </cell>
          <cell r="Q7568">
            <v>1.18</v>
          </cell>
          <cell r="T7568">
            <v>2337.1010000000001</v>
          </cell>
        </row>
        <row r="7569">
          <cell r="G7569">
            <v>42736</v>
          </cell>
          <cell r="L7569" t="str">
            <v>04-22-009-33W1</v>
          </cell>
          <cell r="O7569">
            <v>852.2</v>
          </cell>
          <cell r="Q7569">
            <v>1.49</v>
          </cell>
          <cell r="T7569">
            <v>2262.538</v>
          </cell>
        </row>
        <row r="7570">
          <cell r="G7570">
            <v>42736</v>
          </cell>
          <cell r="L7570" t="str">
            <v>09-02-007-05W2</v>
          </cell>
          <cell r="O7570">
            <v>859.9</v>
          </cell>
          <cell r="Q7570">
            <v>1.35</v>
          </cell>
          <cell r="T7570">
            <v>2222.0819999999999</v>
          </cell>
        </row>
        <row r="7571">
          <cell r="G7571">
            <v>42736</v>
          </cell>
          <cell r="L7571" t="str">
            <v>07-28-002-30W1</v>
          </cell>
          <cell r="O7571">
            <v>880.6</v>
          </cell>
          <cell r="Q7571">
            <v>2.4700000000000002</v>
          </cell>
          <cell r="T7571">
            <v>2198.0219999999999</v>
          </cell>
        </row>
        <row r="7572">
          <cell r="G7572">
            <v>42736</v>
          </cell>
          <cell r="L7572" t="str">
            <v>01-09-001-31W1</v>
          </cell>
          <cell r="O7572">
            <v>873.3</v>
          </cell>
          <cell r="Q7572">
            <v>2.14</v>
          </cell>
          <cell r="T7572">
            <v>1989.11</v>
          </cell>
        </row>
        <row r="7573">
          <cell r="G7573">
            <v>42736</v>
          </cell>
          <cell r="L7573" t="str">
            <v>09-28-006-34W1</v>
          </cell>
          <cell r="O7573">
            <v>841.8</v>
          </cell>
          <cell r="Q7573">
            <v>1.3</v>
          </cell>
          <cell r="T7573">
            <v>1709.3889999999999</v>
          </cell>
        </row>
        <row r="7574">
          <cell r="G7574">
            <v>42736</v>
          </cell>
          <cell r="L7574" t="str">
            <v>08-05-006-33W1</v>
          </cell>
          <cell r="O7574">
            <v>833.1</v>
          </cell>
          <cell r="Q7574">
            <v>0.96</v>
          </cell>
          <cell r="T7574">
            <v>1609.981</v>
          </cell>
        </row>
        <row r="7575">
          <cell r="G7575">
            <v>42736</v>
          </cell>
          <cell r="L7575" t="str">
            <v>04-17-004-31W1</v>
          </cell>
          <cell r="O7575">
            <v>861.2</v>
          </cell>
          <cell r="Q7575">
            <v>1.78</v>
          </cell>
          <cell r="T7575">
            <v>1452.5409999999999</v>
          </cell>
        </row>
        <row r="7576">
          <cell r="G7576">
            <v>42736</v>
          </cell>
          <cell r="L7576" t="str">
            <v>14-33-003-01W2</v>
          </cell>
          <cell r="O7576">
            <v>833.5</v>
          </cell>
          <cell r="Q7576">
            <v>1.1499999999999999</v>
          </cell>
          <cell r="T7576">
            <v>1377.828</v>
          </cell>
        </row>
        <row r="7577">
          <cell r="G7577">
            <v>42736</v>
          </cell>
          <cell r="L7577" t="str">
            <v>14-30-009-33W1</v>
          </cell>
          <cell r="O7577">
            <v>856</v>
          </cell>
          <cell r="Q7577">
            <v>1.79</v>
          </cell>
          <cell r="T7577">
            <v>1335.9559999999999</v>
          </cell>
        </row>
        <row r="7578">
          <cell r="G7578">
            <v>42736</v>
          </cell>
          <cell r="L7578" t="str">
            <v>16-21-003-32W1</v>
          </cell>
          <cell r="O7578">
            <v>860.1</v>
          </cell>
          <cell r="Q7578">
            <v>1.43</v>
          </cell>
          <cell r="T7578">
            <v>1098.0409999999999</v>
          </cell>
        </row>
        <row r="7579">
          <cell r="G7579">
            <v>42736</v>
          </cell>
          <cell r="L7579" t="str">
            <v>09-27-008-03W2</v>
          </cell>
          <cell r="O7579">
            <v>851.8</v>
          </cell>
          <cell r="Q7579">
            <v>1.57</v>
          </cell>
          <cell r="T7579">
            <v>1076.2670000000001</v>
          </cell>
        </row>
        <row r="7580">
          <cell r="G7580">
            <v>42736</v>
          </cell>
          <cell r="L7580" t="str">
            <v>11-28-006-05W2</v>
          </cell>
          <cell r="O7580">
            <v>856.2</v>
          </cell>
          <cell r="Q7580">
            <v>1.51</v>
          </cell>
          <cell r="T7580">
            <v>1032.846</v>
          </cell>
        </row>
        <row r="7581">
          <cell r="G7581">
            <v>42736</v>
          </cell>
          <cell r="L7581" t="str">
            <v>10-13-006-03W2</v>
          </cell>
          <cell r="O7581">
            <v>853.2</v>
          </cell>
          <cell r="Q7581">
            <v>1.78</v>
          </cell>
          <cell r="T7581">
            <v>939.09</v>
          </cell>
        </row>
        <row r="7582">
          <cell r="G7582">
            <v>42736</v>
          </cell>
          <cell r="L7582" t="str">
            <v>04-14-005-33W1</v>
          </cell>
          <cell r="O7582">
            <v>845.8</v>
          </cell>
          <cell r="Q7582">
            <v>0.8</v>
          </cell>
          <cell r="T7582">
            <v>938.19299999999998</v>
          </cell>
        </row>
        <row r="7583">
          <cell r="G7583">
            <v>42736</v>
          </cell>
          <cell r="L7583" t="str">
            <v>16-24-001-34W1</v>
          </cell>
          <cell r="O7583">
            <v>850.6</v>
          </cell>
          <cell r="Q7583">
            <v>1.62</v>
          </cell>
          <cell r="T7583">
            <v>919.34199999999998</v>
          </cell>
        </row>
        <row r="7584">
          <cell r="G7584">
            <v>42736</v>
          </cell>
          <cell r="L7584" t="str">
            <v>15-14-009-03W2</v>
          </cell>
          <cell r="O7584">
            <v>852.9</v>
          </cell>
          <cell r="Q7584">
            <v>1.6</v>
          </cell>
          <cell r="T7584">
            <v>866.40899999999999</v>
          </cell>
        </row>
        <row r="7585">
          <cell r="G7585">
            <v>42736</v>
          </cell>
          <cell r="L7585" t="str">
            <v>09-19-009-33W1</v>
          </cell>
          <cell r="O7585">
            <v>852</v>
          </cell>
          <cell r="Q7585">
            <v>1.7</v>
          </cell>
          <cell r="T7585">
            <v>837.11900000000003</v>
          </cell>
        </row>
        <row r="7586">
          <cell r="G7586">
            <v>42736</v>
          </cell>
          <cell r="L7586" t="str">
            <v>02-15-006-01W2</v>
          </cell>
          <cell r="O7586">
            <v>843.4</v>
          </cell>
          <cell r="Q7586">
            <v>1.19</v>
          </cell>
          <cell r="T7586">
            <v>810.726</v>
          </cell>
        </row>
        <row r="7587">
          <cell r="G7587">
            <v>42736</v>
          </cell>
          <cell r="L7587" t="str">
            <v>09-27-006-05W2</v>
          </cell>
          <cell r="O7587">
            <v>869.9</v>
          </cell>
          <cell r="Q7587">
            <v>2.19</v>
          </cell>
          <cell r="T7587">
            <v>798.75099999999998</v>
          </cell>
        </row>
        <row r="7588">
          <cell r="G7588">
            <v>42736</v>
          </cell>
          <cell r="L7588" t="str">
            <v>07-31-001-31W1</v>
          </cell>
          <cell r="O7588">
            <v>864.3</v>
          </cell>
          <cell r="Q7588">
            <v>1.74</v>
          </cell>
          <cell r="T7588">
            <v>738.46799999999996</v>
          </cell>
        </row>
        <row r="7589">
          <cell r="G7589">
            <v>42736</v>
          </cell>
          <cell r="L7589" t="str">
            <v>07-12-008-04W2</v>
          </cell>
          <cell r="O7589">
            <v>850</v>
          </cell>
          <cell r="Q7589">
            <v>1.44</v>
          </cell>
          <cell r="T7589">
            <v>738.36599999999999</v>
          </cell>
        </row>
        <row r="7590">
          <cell r="G7590">
            <v>42736</v>
          </cell>
          <cell r="L7590" t="str">
            <v>02-14-010-01W2</v>
          </cell>
          <cell r="O7590">
            <v>855.1</v>
          </cell>
          <cell r="Q7590">
            <v>1.76</v>
          </cell>
          <cell r="T7590">
            <v>717.56100000000004</v>
          </cell>
        </row>
        <row r="7591">
          <cell r="G7591">
            <v>42736</v>
          </cell>
          <cell r="L7591" t="str">
            <v>10-11-006-34W1</v>
          </cell>
          <cell r="O7591">
            <v>852</v>
          </cell>
          <cell r="Q7591">
            <v>1.66</v>
          </cell>
          <cell r="T7591">
            <v>711.54100000000005</v>
          </cell>
        </row>
        <row r="7592">
          <cell r="G7592">
            <v>42736</v>
          </cell>
          <cell r="L7592" t="str">
            <v>08-35-011-04W2</v>
          </cell>
          <cell r="O7592">
            <v>860.8</v>
          </cell>
          <cell r="Q7592">
            <v>1.94</v>
          </cell>
          <cell r="T7592">
            <v>660.77800000000002</v>
          </cell>
        </row>
        <row r="7593">
          <cell r="G7593">
            <v>42736</v>
          </cell>
          <cell r="L7593" t="str">
            <v>05-12-002-32W1</v>
          </cell>
          <cell r="O7593">
            <v>860</v>
          </cell>
          <cell r="Q7593">
            <v>1.67</v>
          </cell>
          <cell r="T7593">
            <v>660.71900000000005</v>
          </cell>
        </row>
        <row r="7594">
          <cell r="G7594">
            <v>42736</v>
          </cell>
          <cell r="L7594" t="str">
            <v>08-32-006-01W2</v>
          </cell>
          <cell r="O7594">
            <v>844.3</v>
          </cell>
          <cell r="Q7594">
            <v>1.19</v>
          </cell>
          <cell r="T7594">
            <v>588.66399999999999</v>
          </cell>
        </row>
        <row r="7595">
          <cell r="G7595">
            <v>42736</v>
          </cell>
          <cell r="L7595" t="str">
            <v>06-24-001-34W1</v>
          </cell>
          <cell r="O7595">
            <v>845.6</v>
          </cell>
          <cell r="Q7595">
            <v>1.29</v>
          </cell>
          <cell r="T7595">
            <v>569.31600000000003</v>
          </cell>
        </row>
        <row r="7596">
          <cell r="G7596">
            <v>42736</v>
          </cell>
          <cell r="L7596" t="str">
            <v>07-12-005-34W1</v>
          </cell>
          <cell r="O7596">
            <v>823.6</v>
          </cell>
          <cell r="Q7596">
            <v>0.7</v>
          </cell>
          <cell r="T7596">
            <v>560.69500000000005</v>
          </cell>
        </row>
        <row r="7597">
          <cell r="G7597">
            <v>42736</v>
          </cell>
          <cell r="L7597" t="str">
            <v>11-25-001-32W1</v>
          </cell>
          <cell r="O7597">
            <v>859.1</v>
          </cell>
          <cell r="Q7597">
            <v>1.52</v>
          </cell>
          <cell r="T7597">
            <v>527.298</v>
          </cell>
        </row>
        <row r="7598">
          <cell r="G7598">
            <v>42736</v>
          </cell>
          <cell r="L7598" t="str">
            <v>14-20-005-33W1</v>
          </cell>
          <cell r="O7598">
            <v>829.1</v>
          </cell>
          <cell r="Q7598">
            <v>0.69</v>
          </cell>
          <cell r="T7598">
            <v>454.279</v>
          </cell>
        </row>
        <row r="7599">
          <cell r="G7599">
            <v>42736</v>
          </cell>
          <cell r="L7599" t="str">
            <v>08-26-006-02W2</v>
          </cell>
          <cell r="O7599">
            <v>844.4</v>
          </cell>
          <cell r="Q7599">
            <v>1.24</v>
          </cell>
          <cell r="T7599">
            <v>435.94600000000003</v>
          </cell>
        </row>
        <row r="7600">
          <cell r="G7600">
            <v>42736</v>
          </cell>
          <cell r="L7600" t="str">
            <v>10-26-010-03W2</v>
          </cell>
          <cell r="O7600">
            <v>853</v>
          </cell>
          <cell r="Q7600">
            <v>1.63</v>
          </cell>
          <cell r="T7600">
            <v>423.18200000000002</v>
          </cell>
        </row>
        <row r="7601">
          <cell r="G7601">
            <v>42736</v>
          </cell>
          <cell r="L7601" t="str">
            <v>02-10-003-01W2</v>
          </cell>
          <cell r="O7601">
            <v>828.8</v>
          </cell>
          <cell r="Q7601">
            <v>0.54</v>
          </cell>
          <cell r="T7601">
            <v>420.01900000000001</v>
          </cell>
        </row>
        <row r="7602">
          <cell r="G7602">
            <v>42736</v>
          </cell>
          <cell r="L7602" t="str">
            <v>02-13-006-01W2</v>
          </cell>
          <cell r="O7602">
            <v>842.3</v>
          </cell>
          <cell r="Q7602">
            <v>1.24</v>
          </cell>
          <cell r="T7602">
            <v>377.60199999999998</v>
          </cell>
        </row>
        <row r="7603">
          <cell r="G7603">
            <v>42736</v>
          </cell>
          <cell r="L7603" t="str">
            <v>12-35-008-03W2</v>
          </cell>
          <cell r="O7603">
            <v>850.5</v>
          </cell>
          <cell r="Q7603">
            <v>1.51</v>
          </cell>
          <cell r="T7603">
            <v>361.72699999999998</v>
          </cell>
        </row>
        <row r="7604">
          <cell r="G7604">
            <v>42736</v>
          </cell>
          <cell r="L7604" t="str">
            <v>16-09-004-31W1</v>
          </cell>
          <cell r="O7604">
            <v>870</v>
          </cell>
          <cell r="Q7604">
            <v>1.84</v>
          </cell>
          <cell r="T7604">
            <v>349.84800000000001</v>
          </cell>
        </row>
        <row r="7605">
          <cell r="G7605">
            <v>42736</v>
          </cell>
          <cell r="L7605" t="str">
            <v>07-18-005-04W2</v>
          </cell>
          <cell r="O7605">
            <v>856.2</v>
          </cell>
          <cell r="Q7605">
            <v>1.63</v>
          </cell>
          <cell r="T7605">
            <v>385.27199999999999</v>
          </cell>
        </row>
        <row r="7606">
          <cell r="G7606">
            <v>42736</v>
          </cell>
          <cell r="L7606" t="str">
            <v>14-09-002-29W1</v>
          </cell>
          <cell r="O7606">
            <v>838.7</v>
          </cell>
          <cell r="Q7606">
            <v>0.78</v>
          </cell>
          <cell r="T7606">
            <v>9355.1880000000001</v>
          </cell>
        </row>
        <row r="7607">
          <cell r="G7607">
            <v>42736</v>
          </cell>
          <cell r="L7607" t="str">
            <v>11-27-005-33W1</v>
          </cell>
          <cell r="O7607">
            <v>822.9</v>
          </cell>
          <cell r="Q7607">
            <v>0.72</v>
          </cell>
          <cell r="T7607">
            <v>5925.384</v>
          </cell>
        </row>
        <row r="7608">
          <cell r="G7608">
            <v>42736</v>
          </cell>
          <cell r="L7608" t="str">
            <v>13-13-007-02W2</v>
          </cell>
          <cell r="O7608">
            <v>847.3</v>
          </cell>
          <cell r="Q7608">
            <v>1.32</v>
          </cell>
          <cell r="T7608">
            <v>4841.0649999999996</v>
          </cell>
        </row>
        <row r="7609">
          <cell r="G7609">
            <v>42736</v>
          </cell>
          <cell r="L7609" t="str">
            <v>08-36-003-34W1</v>
          </cell>
          <cell r="O7609">
            <v>844</v>
          </cell>
          <cell r="Q7609">
            <v>1.1200000000000001</v>
          </cell>
          <cell r="T7609">
            <v>4109.1679999999997</v>
          </cell>
        </row>
        <row r="7610">
          <cell r="G7610">
            <v>42736</v>
          </cell>
          <cell r="L7610" t="str">
            <v>05-14-003-01W2</v>
          </cell>
          <cell r="O7610">
            <v>833</v>
          </cell>
          <cell r="Q7610">
            <v>1.01</v>
          </cell>
          <cell r="T7610">
            <v>3332.451</v>
          </cell>
        </row>
        <row r="7611">
          <cell r="G7611">
            <v>42736</v>
          </cell>
          <cell r="L7611" t="str">
            <v>05-29-005-32W1</v>
          </cell>
          <cell r="O7611">
            <v>835.3</v>
          </cell>
          <cell r="Q7611">
            <v>0.93</v>
          </cell>
          <cell r="T7611">
            <v>2918.9839999999999</v>
          </cell>
        </row>
        <row r="7612">
          <cell r="G7612">
            <v>42736</v>
          </cell>
          <cell r="L7612" t="str">
            <v>04-10-004-31W1</v>
          </cell>
          <cell r="O7612">
            <v>861.4</v>
          </cell>
          <cell r="Q7612">
            <v>1.78</v>
          </cell>
          <cell r="T7612">
            <v>2685.2080000000001</v>
          </cell>
        </row>
        <row r="7613">
          <cell r="G7613">
            <v>42736</v>
          </cell>
          <cell r="L7613" t="str">
            <v>04-05-007-33W1</v>
          </cell>
          <cell r="O7613">
            <v>841.3</v>
          </cell>
          <cell r="Q7613">
            <v>1.24</v>
          </cell>
          <cell r="T7613">
            <v>2657.114</v>
          </cell>
        </row>
        <row r="7614">
          <cell r="G7614">
            <v>42736</v>
          </cell>
          <cell r="L7614" t="str">
            <v>06-01-007-01W2</v>
          </cell>
          <cell r="O7614">
            <v>845.1</v>
          </cell>
          <cell r="Q7614">
            <v>1.17</v>
          </cell>
          <cell r="T7614">
            <v>2265.2719999999999</v>
          </cell>
        </row>
        <row r="7615">
          <cell r="G7615">
            <v>42736</v>
          </cell>
          <cell r="L7615" t="str">
            <v>16-10-006-30W1</v>
          </cell>
          <cell r="O7615">
            <v>848.6</v>
          </cell>
          <cell r="Q7615">
            <v>1.41</v>
          </cell>
          <cell r="T7615">
            <v>2143.2310000000002</v>
          </cell>
        </row>
        <row r="7616">
          <cell r="G7616">
            <v>42736</v>
          </cell>
          <cell r="L7616" t="str">
            <v>02-20-006-32W1</v>
          </cell>
          <cell r="O7616">
            <v>830.6</v>
          </cell>
          <cell r="Q7616">
            <v>0.9</v>
          </cell>
          <cell r="T7616">
            <v>1851.211</v>
          </cell>
        </row>
        <row r="7617">
          <cell r="G7617">
            <v>42736</v>
          </cell>
          <cell r="L7617" t="str">
            <v>13-34-006-05W2</v>
          </cell>
          <cell r="O7617">
            <v>863.9</v>
          </cell>
          <cell r="Q7617">
            <v>1.98</v>
          </cell>
          <cell r="T7617">
            <v>1819.5609999999999</v>
          </cell>
        </row>
        <row r="7618">
          <cell r="G7618">
            <v>42736</v>
          </cell>
          <cell r="L7618" t="str">
            <v>05-13-003-02W2</v>
          </cell>
          <cell r="O7618">
            <v>830.7</v>
          </cell>
          <cell r="Q7618">
            <v>0.67</v>
          </cell>
          <cell r="T7618">
            <v>1727.8989999999999</v>
          </cell>
        </row>
        <row r="7619">
          <cell r="G7619">
            <v>42736</v>
          </cell>
          <cell r="L7619" t="str">
            <v>02-14-005-32W1</v>
          </cell>
          <cell r="O7619">
            <v>835.8</v>
          </cell>
          <cell r="Q7619">
            <v>0.97</v>
          </cell>
          <cell r="T7619">
            <v>1712.3679999999999</v>
          </cell>
        </row>
        <row r="7620">
          <cell r="G7620">
            <v>42736</v>
          </cell>
          <cell r="L7620" t="str">
            <v>14-28-002-34W1</v>
          </cell>
          <cell r="O7620">
            <v>829.9</v>
          </cell>
          <cell r="Q7620">
            <v>0.68</v>
          </cell>
          <cell r="T7620">
            <v>1485.365</v>
          </cell>
        </row>
        <row r="7621">
          <cell r="G7621">
            <v>42736</v>
          </cell>
          <cell r="L7621" t="str">
            <v>16-13-004-32W1</v>
          </cell>
          <cell r="O7621">
            <v>853.6</v>
          </cell>
          <cell r="Q7621">
            <v>1.33</v>
          </cell>
          <cell r="T7621">
            <v>1225.9649999999999</v>
          </cell>
        </row>
        <row r="7622">
          <cell r="G7622">
            <v>42736</v>
          </cell>
          <cell r="L7622" t="str">
            <v>08-33-005-03W2</v>
          </cell>
          <cell r="O7622">
            <v>843.3</v>
          </cell>
          <cell r="Q7622">
            <v>1.1100000000000001</v>
          </cell>
          <cell r="T7622">
            <v>1186.625</v>
          </cell>
        </row>
        <row r="7623">
          <cell r="G7623">
            <v>42736</v>
          </cell>
          <cell r="L7623" t="str">
            <v>02-02-006-03W2</v>
          </cell>
          <cell r="O7623">
            <v>852.8</v>
          </cell>
          <cell r="Q7623">
            <v>1.21</v>
          </cell>
          <cell r="T7623">
            <v>1145.366</v>
          </cell>
        </row>
        <row r="7624">
          <cell r="G7624">
            <v>42736</v>
          </cell>
          <cell r="L7624" t="str">
            <v>12-23-005-31W1</v>
          </cell>
          <cell r="O7624">
            <v>844.1</v>
          </cell>
          <cell r="Q7624">
            <v>1.08</v>
          </cell>
          <cell r="T7624">
            <v>1120.5609999999999</v>
          </cell>
        </row>
        <row r="7625">
          <cell r="G7625">
            <v>42736</v>
          </cell>
          <cell r="L7625" t="str">
            <v>04-33-006-01W2</v>
          </cell>
          <cell r="O7625">
            <v>844.8</v>
          </cell>
          <cell r="Q7625">
            <v>1.21</v>
          </cell>
          <cell r="T7625">
            <v>1075.758</v>
          </cell>
        </row>
        <row r="7626">
          <cell r="G7626">
            <v>42736</v>
          </cell>
          <cell r="L7626" t="str">
            <v>06-02-008-02W2</v>
          </cell>
          <cell r="O7626">
            <v>854.5</v>
          </cell>
          <cell r="Q7626">
            <v>1.51</v>
          </cell>
          <cell r="T7626">
            <v>1075.114</v>
          </cell>
        </row>
        <row r="7627">
          <cell r="G7627">
            <v>42736</v>
          </cell>
          <cell r="L7627" t="str">
            <v>14-33-003-01W2</v>
          </cell>
          <cell r="O7627">
            <v>841</v>
          </cell>
          <cell r="Q7627">
            <v>0.94</v>
          </cell>
          <cell r="T7627">
            <v>982.43499999999995</v>
          </cell>
        </row>
        <row r="7628">
          <cell r="G7628">
            <v>42736</v>
          </cell>
          <cell r="L7628" t="str">
            <v>04-04-007-01W2</v>
          </cell>
          <cell r="O7628">
            <v>849.2</v>
          </cell>
          <cell r="Q7628">
            <v>1.33</v>
          </cell>
          <cell r="T7628">
            <v>909.88599999999997</v>
          </cell>
        </row>
        <row r="7629">
          <cell r="G7629">
            <v>42736</v>
          </cell>
          <cell r="L7629" t="str">
            <v>10-11-004-34W1</v>
          </cell>
          <cell r="O7629">
            <v>831</v>
          </cell>
          <cell r="Q7629">
            <v>1.03</v>
          </cell>
          <cell r="T7629">
            <v>880.69100000000003</v>
          </cell>
        </row>
        <row r="7630">
          <cell r="G7630">
            <v>42736</v>
          </cell>
          <cell r="L7630" t="str">
            <v>09-33-006-05W2</v>
          </cell>
          <cell r="O7630">
            <v>864.5</v>
          </cell>
          <cell r="Q7630">
            <v>1.8</v>
          </cell>
          <cell r="T7630">
            <v>773.69100000000003</v>
          </cell>
        </row>
        <row r="7631">
          <cell r="G7631">
            <v>42736</v>
          </cell>
          <cell r="L7631" t="str">
            <v>13-11-004-02W2</v>
          </cell>
          <cell r="O7631">
            <v>843.1</v>
          </cell>
          <cell r="Q7631">
            <v>1.1499999999999999</v>
          </cell>
          <cell r="T7631">
            <v>768.94100000000003</v>
          </cell>
        </row>
        <row r="7632">
          <cell r="G7632">
            <v>42736</v>
          </cell>
          <cell r="L7632" t="str">
            <v>10-33-004-32W1</v>
          </cell>
          <cell r="O7632">
            <v>836.6</v>
          </cell>
          <cell r="Q7632">
            <v>0.99</v>
          </cell>
          <cell r="T7632">
            <v>724.33100000000002</v>
          </cell>
        </row>
        <row r="7633">
          <cell r="G7633">
            <v>42736</v>
          </cell>
          <cell r="L7633" t="str">
            <v>02-08-004-33W1</v>
          </cell>
          <cell r="O7633">
            <v>833</v>
          </cell>
          <cell r="Q7633">
            <v>0.68</v>
          </cell>
          <cell r="T7633">
            <v>595.53700000000003</v>
          </cell>
        </row>
        <row r="7634">
          <cell r="G7634">
            <v>42736</v>
          </cell>
          <cell r="L7634" t="str">
            <v>14-26-002-30W1</v>
          </cell>
          <cell r="O7634">
            <v>862.2</v>
          </cell>
          <cell r="Q7634">
            <v>2.0699999999999998</v>
          </cell>
          <cell r="T7634">
            <v>581.69799999999998</v>
          </cell>
        </row>
        <row r="7635">
          <cell r="G7635">
            <v>42736</v>
          </cell>
          <cell r="L7635" t="str">
            <v>08-13-006-33W1</v>
          </cell>
          <cell r="O7635">
            <v>840.8</v>
          </cell>
          <cell r="Q7635">
            <v>0.88</v>
          </cell>
          <cell r="T7635">
            <v>521.30700000000002</v>
          </cell>
        </row>
        <row r="7636">
          <cell r="G7636">
            <v>42736</v>
          </cell>
          <cell r="L7636" t="str">
            <v>02-12-010-02W2</v>
          </cell>
          <cell r="O7636">
            <v>857.4</v>
          </cell>
          <cell r="Q7636">
            <v>1.74</v>
          </cell>
          <cell r="T7636">
            <v>483.81</v>
          </cell>
        </row>
        <row r="7637">
          <cell r="G7637">
            <v>42736</v>
          </cell>
          <cell r="L7637" t="str">
            <v>06-04-006-33W1</v>
          </cell>
          <cell r="O7637">
            <v>833.4</v>
          </cell>
          <cell r="Q7637">
            <v>0.86</v>
          </cell>
          <cell r="T7637">
            <v>459.10700000000003</v>
          </cell>
        </row>
        <row r="7638">
          <cell r="G7638">
            <v>42736</v>
          </cell>
          <cell r="L7638" t="str">
            <v>08-12-006-01W2</v>
          </cell>
          <cell r="O7638">
            <v>844.8</v>
          </cell>
          <cell r="Q7638">
            <v>1.3</v>
          </cell>
          <cell r="T7638">
            <v>411.61200000000002</v>
          </cell>
        </row>
        <row r="7639">
          <cell r="G7639">
            <v>42736</v>
          </cell>
          <cell r="L7639" t="str">
            <v>02-16-010-02W2</v>
          </cell>
          <cell r="O7639">
            <v>856.8</v>
          </cell>
          <cell r="Q7639">
            <v>1.77</v>
          </cell>
          <cell r="T7639">
            <v>405.02</v>
          </cell>
        </row>
        <row r="7640">
          <cell r="G7640">
            <v>42736</v>
          </cell>
          <cell r="L7640" t="str">
            <v>15-26-007-04W2</v>
          </cell>
          <cell r="O7640">
            <v>851</v>
          </cell>
          <cell r="Q7640">
            <v>1.43</v>
          </cell>
          <cell r="T7640">
            <v>361.73500000000001</v>
          </cell>
        </row>
        <row r="7641">
          <cell r="G7641">
            <v>42736</v>
          </cell>
          <cell r="L7641" t="str">
            <v>01-01-006-06W2</v>
          </cell>
          <cell r="O7641">
            <v>849.4</v>
          </cell>
          <cell r="Q7641">
            <v>1.22</v>
          </cell>
          <cell r="T7641">
            <v>388.53500000000003</v>
          </cell>
        </row>
        <row r="7642">
          <cell r="G7642">
            <v>42736</v>
          </cell>
          <cell r="L7642" t="str">
            <v>11-12-006-15W2</v>
          </cell>
          <cell r="O7642">
            <v>868.5</v>
          </cell>
          <cell r="Q7642">
            <v>2.41</v>
          </cell>
          <cell r="T7642">
            <v>7492.5379999999996</v>
          </cell>
        </row>
        <row r="7643">
          <cell r="G7643">
            <v>42736</v>
          </cell>
          <cell r="L7643" t="str">
            <v>09-08-004-03W2</v>
          </cell>
          <cell r="O7643">
            <v>832.2</v>
          </cell>
          <cell r="Q7643">
            <v>1.1599999999999999</v>
          </cell>
          <cell r="T7643">
            <v>14039.305</v>
          </cell>
        </row>
        <row r="7644">
          <cell r="G7644">
            <v>42736</v>
          </cell>
          <cell r="L7644" t="str">
            <v>03-15-004-06W2</v>
          </cell>
          <cell r="O7644">
            <v>851.5</v>
          </cell>
          <cell r="Q7644">
            <v>1.26</v>
          </cell>
          <cell r="T7644">
            <v>5406.71</v>
          </cell>
        </row>
        <row r="7645">
          <cell r="G7645">
            <v>42736</v>
          </cell>
          <cell r="L7645" t="str">
            <v>07-35-004-04W2</v>
          </cell>
          <cell r="O7645">
            <v>853.7</v>
          </cell>
          <cell r="Q7645">
            <v>1.62</v>
          </cell>
          <cell r="T7645">
            <v>3291.4839999999999</v>
          </cell>
        </row>
        <row r="7646">
          <cell r="G7646">
            <v>42736</v>
          </cell>
          <cell r="L7646" t="str">
            <v>16-33-005-06W2</v>
          </cell>
          <cell r="O7646">
            <v>870.5</v>
          </cell>
          <cell r="Q7646">
            <v>2.08</v>
          </cell>
          <cell r="T7646">
            <v>2612.9479999999999</v>
          </cell>
        </row>
        <row r="7647">
          <cell r="G7647">
            <v>42736</v>
          </cell>
          <cell r="L7647" t="str">
            <v>09-33-005-05W2</v>
          </cell>
          <cell r="O7647">
            <v>849.2</v>
          </cell>
          <cell r="Q7647">
            <v>0.79</v>
          </cell>
          <cell r="T7647">
            <v>2506.3490000000002</v>
          </cell>
        </row>
        <row r="7648">
          <cell r="G7648">
            <v>42736</v>
          </cell>
          <cell r="L7648" t="str">
            <v>05-07-005-03W2</v>
          </cell>
          <cell r="O7648">
            <v>849.9</v>
          </cell>
          <cell r="Q7648">
            <v>1.25</v>
          </cell>
          <cell r="T7648">
            <v>2447.125</v>
          </cell>
        </row>
        <row r="7649">
          <cell r="G7649">
            <v>42736</v>
          </cell>
          <cell r="L7649" t="str">
            <v>16-30-004-08W2</v>
          </cell>
          <cell r="O7649">
            <v>882</v>
          </cell>
          <cell r="Q7649">
            <v>2.15</v>
          </cell>
          <cell r="T7649">
            <v>2346.9920000000002</v>
          </cell>
        </row>
        <row r="7650">
          <cell r="G7650">
            <v>42736</v>
          </cell>
          <cell r="L7650" t="str">
            <v>14-30-001-04W2</v>
          </cell>
          <cell r="O7650">
            <v>829.8</v>
          </cell>
          <cell r="Q7650">
            <v>0.69</v>
          </cell>
          <cell r="T7650">
            <v>1889.6790000000001</v>
          </cell>
        </row>
        <row r="7651">
          <cell r="G7651">
            <v>42736</v>
          </cell>
          <cell r="L7651" t="str">
            <v>11-02-005-04W2</v>
          </cell>
          <cell r="O7651">
            <v>855.1</v>
          </cell>
          <cell r="Q7651">
            <v>1.44</v>
          </cell>
          <cell r="T7651">
            <v>1488.702</v>
          </cell>
        </row>
        <row r="7652">
          <cell r="G7652">
            <v>42736</v>
          </cell>
          <cell r="L7652" t="str">
            <v xml:space="preserve">06-27-004-06W2  </v>
          </cell>
          <cell r="O7652">
            <v>829.8</v>
          </cell>
          <cell r="Q7652">
            <v>0.68</v>
          </cell>
          <cell r="T7652">
            <v>1431.547</v>
          </cell>
        </row>
        <row r="7653">
          <cell r="G7653">
            <v>42736</v>
          </cell>
          <cell r="L7653" t="str">
            <v>06-24-004-09W2</v>
          </cell>
          <cell r="O7653">
            <v>877.7</v>
          </cell>
          <cell r="Q7653">
            <v>1.93</v>
          </cell>
          <cell r="T7653">
            <v>1145.5989999999999</v>
          </cell>
        </row>
        <row r="7654">
          <cell r="G7654">
            <v>42736</v>
          </cell>
          <cell r="L7654" t="str">
            <v>10-22-004-07W2</v>
          </cell>
          <cell r="O7654">
            <v>881.3</v>
          </cell>
          <cell r="Q7654">
            <v>2.11</v>
          </cell>
          <cell r="T7654">
            <v>1143.8800000000001</v>
          </cell>
        </row>
        <row r="7655">
          <cell r="G7655">
            <v>42736</v>
          </cell>
          <cell r="L7655" t="str">
            <v>09-10-005-04W2</v>
          </cell>
          <cell r="O7655">
            <v>854.4</v>
          </cell>
          <cell r="Q7655">
            <v>1.22</v>
          </cell>
          <cell r="T7655">
            <v>833.08699999999999</v>
          </cell>
        </row>
        <row r="7656">
          <cell r="G7656">
            <v>42736</v>
          </cell>
          <cell r="L7656" t="str">
            <v>13-30-005-05W2</v>
          </cell>
          <cell r="O7656">
            <v>847.7</v>
          </cell>
          <cell r="Q7656">
            <v>1.17</v>
          </cell>
          <cell r="T7656">
            <v>715.02499999999998</v>
          </cell>
        </row>
        <row r="7657">
          <cell r="G7657">
            <v>42736</v>
          </cell>
          <cell r="L7657" t="str">
            <v>14-13-001-05W2</v>
          </cell>
          <cell r="O7657">
            <v>813.5</v>
          </cell>
          <cell r="Q7657">
            <v>0.7</v>
          </cell>
          <cell r="T7657">
            <v>18973.987000000001</v>
          </cell>
        </row>
        <row r="7658">
          <cell r="G7658">
            <v>42736</v>
          </cell>
          <cell r="L7658" t="str">
            <v>05-20-004-04W2</v>
          </cell>
          <cell r="O7658">
            <v>831.8</v>
          </cell>
          <cell r="Q7658">
            <v>1.56</v>
          </cell>
          <cell r="T7658">
            <v>4602.0349999999999</v>
          </cell>
        </row>
        <row r="7659">
          <cell r="G7659">
            <v>42736</v>
          </cell>
          <cell r="L7659" t="str">
            <v>05-10-006-05W2</v>
          </cell>
          <cell r="O7659">
            <v>855.2</v>
          </cell>
          <cell r="Q7659">
            <v>1.58</v>
          </cell>
          <cell r="T7659">
            <v>3101.835</v>
          </cell>
        </row>
        <row r="7660">
          <cell r="G7660">
            <v>42736</v>
          </cell>
          <cell r="L7660" t="str">
            <v>11-16-005-04W2</v>
          </cell>
          <cell r="O7660">
            <v>852.5</v>
          </cell>
          <cell r="Q7660">
            <v>1.5</v>
          </cell>
          <cell r="T7660">
            <v>2551.7939999999999</v>
          </cell>
        </row>
        <row r="7661">
          <cell r="G7661">
            <v>42736</v>
          </cell>
          <cell r="L7661" t="str">
            <v>05-34-005-06W2</v>
          </cell>
          <cell r="O7661">
            <v>873.2</v>
          </cell>
          <cell r="Q7661">
            <v>2.37</v>
          </cell>
          <cell r="T7661">
            <v>2421.1320000000001</v>
          </cell>
        </row>
        <row r="7662">
          <cell r="G7662">
            <v>42736</v>
          </cell>
          <cell r="L7662" t="str">
            <v>05-24-005-04W2</v>
          </cell>
          <cell r="O7662">
            <v>853.9</v>
          </cell>
          <cell r="Q7662">
            <v>1.46</v>
          </cell>
          <cell r="T7662">
            <v>2392.027</v>
          </cell>
        </row>
        <row r="7663">
          <cell r="G7663">
            <v>42736</v>
          </cell>
          <cell r="L7663" t="str">
            <v>02-13-006-06W2</v>
          </cell>
          <cell r="O7663">
            <v>843.7</v>
          </cell>
          <cell r="Q7663">
            <v>1.79</v>
          </cell>
          <cell r="T7663">
            <v>1887.288</v>
          </cell>
        </row>
        <row r="7664">
          <cell r="G7664">
            <v>42736</v>
          </cell>
          <cell r="L7664" t="str">
            <v>07-08-004-05W2</v>
          </cell>
          <cell r="O7664">
            <v>839.6</v>
          </cell>
          <cell r="Q7664">
            <v>1.02</v>
          </cell>
          <cell r="T7664">
            <v>1852.4079999999999</v>
          </cell>
        </row>
        <row r="7665">
          <cell r="G7665">
            <v>42736</v>
          </cell>
          <cell r="L7665" t="str">
            <v>01-17-005-08W2</v>
          </cell>
          <cell r="O7665">
            <v>890.4</v>
          </cell>
          <cell r="Q7665">
            <v>2.21</v>
          </cell>
          <cell r="T7665">
            <v>1335.808</v>
          </cell>
        </row>
        <row r="7666">
          <cell r="G7666">
            <v>42736</v>
          </cell>
          <cell r="L7666" t="str">
            <v>08-14-004-07W2</v>
          </cell>
          <cell r="O7666">
            <v>863.7</v>
          </cell>
          <cell r="Q7666">
            <v>1.6</v>
          </cell>
          <cell r="T7666">
            <v>1030.1890000000001</v>
          </cell>
        </row>
        <row r="7667">
          <cell r="G7667">
            <v>42736</v>
          </cell>
          <cell r="L7667" t="str">
            <v>08-22-004-09W2</v>
          </cell>
          <cell r="O7667">
            <v>886.1</v>
          </cell>
          <cell r="Q7667">
            <v>1.88</v>
          </cell>
          <cell r="T7667">
            <v>836.274</v>
          </cell>
        </row>
        <row r="7668">
          <cell r="G7668">
            <v>42736</v>
          </cell>
          <cell r="L7668" t="str">
            <v>03-29-003-04W2</v>
          </cell>
          <cell r="O7668">
            <v>835.3</v>
          </cell>
          <cell r="Q7668">
            <v>0.88</v>
          </cell>
          <cell r="T7668">
            <v>833.53099999999995</v>
          </cell>
        </row>
        <row r="7669">
          <cell r="G7669">
            <v>42736</v>
          </cell>
          <cell r="L7669" t="str">
            <v>09-27-004-05W2</v>
          </cell>
          <cell r="O7669">
            <v>846.6</v>
          </cell>
          <cell r="Q7669">
            <v>1.27</v>
          </cell>
          <cell r="T7669">
            <v>829.59799999999996</v>
          </cell>
        </row>
        <row r="7670">
          <cell r="G7670">
            <v>42736</v>
          </cell>
          <cell r="L7670" t="str">
            <v>11-28-005-06W2</v>
          </cell>
          <cell r="O7670">
            <v>880.1</v>
          </cell>
          <cell r="Q7670">
            <v>2.29</v>
          </cell>
          <cell r="T7670">
            <v>750.80899999999997</v>
          </cell>
        </row>
        <row r="7671">
          <cell r="G7671">
            <v>42736</v>
          </cell>
          <cell r="L7671" t="str">
            <v>13-15-005-08W2</v>
          </cell>
          <cell r="O7671">
            <v>878.2</v>
          </cell>
          <cell r="Q7671">
            <v>2</v>
          </cell>
          <cell r="T7671">
            <v>732.24800000000005</v>
          </cell>
        </row>
        <row r="7672">
          <cell r="G7672">
            <v>42736</v>
          </cell>
          <cell r="L7672" t="str">
            <v>07-27-007-06W2</v>
          </cell>
          <cell r="O7672">
            <v>809.1</v>
          </cell>
          <cell r="Q7672">
            <v>0.22</v>
          </cell>
          <cell r="T7672">
            <v>497.75700000000001</v>
          </cell>
        </row>
        <row r="7673">
          <cell r="G7673">
            <v>42736</v>
          </cell>
          <cell r="L7673" t="str">
            <v>11-31-005-11W2</v>
          </cell>
          <cell r="O7673">
            <v>885.3</v>
          </cell>
          <cell r="Q7673">
            <v>1.73</v>
          </cell>
          <cell r="T7673">
            <v>1667.17</v>
          </cell>
        </row>
        <row r="7674">
          <cell r="G7674">
            <v>42736</v>
          </cell>
          <cell r="L7674" t="str">
            <v>14-27-005-12W2</v>
          </cell>
          <cell r="O7674">
            <v>875.4</v>
          </cell>
          <cell r="Q7674">
            <v>1.98</v>
          </cell>
          <cell r="T7674">
            <v>1030.0719999999999</v>
          </cell>
        </row>
        <row r="7675">
          <cell r="G7675">
            <v>42736</v>
          </cell>
          <cell r="L7675" t="str">
            <v>13-06-007-11W2</v>
          </cell>
          <cell r="O7675">
            <v>853</v>
          </cell>
          <cell r="Q7675">
            <v>2.08</v>
          </cell>
          <cell r="T7675">
            <v>803.01900000000001</v>
          </cell>
        </row>
        <row r="7676">
          <cell r="G7676">
            <v>42736</v>
          </cell>
          <cell r="L7676" t="str">
            <v>16-09-007-11W2</v>
          </cell>
          <cell r="O7676">
            <v>835.5</v>
          </cell>
          <cell r="Q7676">
            <v>0.76</v>
          </cell>
          <cell r="T7676">
            <v>786.30399999999997</v>
          </cell>
        </row>
        <row r="7677">
          <cell r="G7677">
            <v>42736</v>
          </cell>
          <cell r="L7677" t="str">
            <v>03-04-001-11W2</v>
          </cell>
          <cell r="O7677">
            <v>816.7</v>
          </cell>
          <cell r="Q7677">
            <v>0.17</v>
          </cell>
          <cell r="T7677">
            <v>744.85900000000004</v>
          </cell>
        </row>
        <row r="7678">
          <cell r="G7678">
            <v>42736</v>
          </cell>
          <cell r="L7678" t="str">
            <v>13-36-002-12W2</v>
          </cell>
          <cell r="O7678">
            <v>811.7</v>
          </cell>
          <cell r="Q7678">
            <v>0.16</v>
          </cell>
          <cell r="T7678">
            <v>730.53099999999995</v>
          </cell>
        </row>
        <row r="7679">
          <cell r="G7679">
            <v>42736</v>
          </cell>
          <cell r="L7679" t="str">
            <v>13-09-002-11W2</v>
          </cell>
          <cell r="O7679">
            <v>823.7</v>
          </cell>
          <cell r="Q7679">
            <v>0.17</v>
          </cell>
          <cell r="T7679">
            <v>658.08199999999999</v>
          </cell>
        </row>
        <row r="7680">
          <cell r="G7680">
            <v>42736</v>
          </cell>
          <cell r="L7680" t="str">
            <v>16-05-005-08W2</v>
          </cell>
          <cell r="O7680">
            <v>884.9</v>
          </cell>
          <cell r="Q7680">
            <v>2.0699999999999998</v>
          </cell>
          <cell r="T7680">
            <v>601.97299999999996</v>
          </cell>
        </row>
        <row r="7681">
          <cell r="G7681">
            <v>42736</v>
          </cell>
          <cell r="L7681" t="str">
            <v>14-22-004-08W2</v>
          </cell>
          <cell r="O7681">
            <v>878.9</v>
          </cell>
          <cell r="Q7681">
            <v>2.0299999999999998</v>
          </cell>
          <cell r="T7681">
            <v>566.32399999999996</v>
          </cell>
        </row>
        <row r="7682">
          <cell r="G7682">
            <v>42736</v>
          </cell>
          <cell r="L7682" t="str">
            <v>01-18-004-08W2</v>
          </cell>
          <cell r="O7682">
            <v>890.5</v>
          </cell>
          <cell r="Q7682">
            <v>2.36</v>
          </cell>
          <cell r="T7682">
            <v>538.20600000000002</v>
          </cell>
        </row>
        <row r="7683">
          <cell r="G7683">
            <v>42736</v>
          </cell>
          <cell r="L7683" t="str">
            <v>04-27-004-08W2</v>
          </cell>
          <cell r="O7683">
            <v>881.5</v>
          </cell>
          <cell r="Q7683">
            <v>2.14</v>
          </cell>
          <cell r="T7683">
            <v>535.03499999999997</v>
          </cell>
        </row>
        <row r="7684">
          <cell r="G7684">
            <v>42736</v>
          </cell>
          <cell r="L7684" t="str">
            <v>09-02-006-07W2</v>
          </cell>
          <cell r="O7684">
            <v>881.4</v>
          </cell>
          <cell r="Q7684">
            <v>1.97</v>
          </cell>
          <cell r="T7684">
            <v>510.601</v>
          </cell>
        </row>
        <row r="7685">
          <cell r="G7685">
            <v>42736</v>
          </cell>
          <cell r="L7685" t="str">
            <v>15-11-005-09W2</v>
          </cell>
          <cell r="O7685">
            <v>884.2</v>
          </cell>
          <cell r="Q7685">
            <v>2.21</v>
          </cell>
          <cell r="T7685">
            <v>491.26900000000001</v>
          </cell>
        </row>
        <row r="7686">
          <cell r="G7686">
            <v>42736</v>
          </cell>
          <cell r="L7686" t="str">
            <v>15-01-002-12W2</v>
          </cell>
          <cell r="O7686">
            <v>818.8</v>
          </cell>
          <cell r="Q7686">
            <v>0.12</v>
          </cell>
          <cell r="T7686">
            <v>486.20600000000002</v>
          </cell>
        </row>
        <row r="7687">
          <cell r="G7687">
            <v>42736</v>
          </cell>
          <cell r="L7687" t="str">
            <v>12-20-005-12W2</v>
          </cell>
          <cell r="O7687">
            <v>883.1</v>
          </cell>
          <cell r="Q7687">
            <v>2.38</v>
          </cell>
          <cell r="T7687">
            <v>475.46</v>
          </cell>
        </row>
        <row r="7688">
          <cell r="G7688">
            <v>42736</v>
          </cell>
          <cell r="L7688" t="str">
            <v>16-34-001-11W2</v>
          </cell>
          <cell r="O7688">
            <v>830.9</v>
          </cell>
          <cell r="Q7688">
            <v>0.19</v>
          </cell>
          <cell r="T7688">
            <v>461.58</v>
          </cell>
        </row>
        <row r="7689">
          <cell r="G7689">
            <v>42736</v>
          </cell>
          <cell r="L7689" t="str">
            <v>15-33-013-13W2</v>
          </cell>
          <cell r="O7689">
            <v>872.1</v>
          </cell>
          <cell r="Q7689">
            <v>0.51</v>
          </cell>
          <cell r="T7689">
            <v>448.19799999999998</v>
          </cell>
        </row>
        <row r="7690">
          <cell r="G7690">
            <v>42736</v>
          </cell>
          <cell r="L7690" t="str">
            <v>03-34-001-11W2</v>
          </cell>
          <cell r="O7690">
            <v>824.4</v>
          </cell>
          <cell r="Q7690">
            <v>0.17</v>
          </cell>
          <cell r="T7690">
            <v>442.447</v>
          </cell>
        </row>
        <row r="7691">
          <cell r="G7691">
            <v>42736</v>
          </cell>
          <cell r="L7691" t="str">
            <v>13-33-006-09W2</v>
          </cell>
          <cell r="O7691">
            <v>888.1</v>
          </cell>
          <cell r="Q7691">
            <v>2.42</v>
          </cell>
          <cell r="T7691">
            <v>434.01100000000002</v>
          </cell>
        </row>
        <row r="7692">
          <cell r="G7692">
            <v>42736</v>
          </cell>
          <cell r="L7692" t="str">
            <v>14-25-003-09W2</v>
          </cell>
          <cell r="O7692">
            <v>855.5</v>
          </cell>
          <cell r="Q7692">
            <v>0.8</v>
          </cell>
          <cell r="T7692">
            <v>420.96800000000002</v>
          </cell>
        </row>
        <row r="7693">
          <cell r="G7693">
            <v>42736</v>
          </cell>
          <cell r="L7693" t="str">
            <v>06-18-006-12W2</v>
          </cell>
          <cell r="O7693">
            <v>889.5</v>
          </cell>
          <cell r="Q7693">
            <v>2.58</v>
          </cell>
          <cell r="T7693">
            <v>372.05700000000002</v>
          </cell>
        </row>
        <row r="7694">
          <cell r="G7694">
            <v>42736</v>
          </cell>
          <cell r="L7694" t="str">
            <v>03-18-007-09W2</v>
          </cell>
          <cell r="O7694">
            <v>824.3</v>
          </cell>
          <cell r="Q7694">
            <v>0.59</v>
          </cell>
          <cell r="T7694">
            <v>369.113</v>
          </cell>
        </row>
        <row r="7695">
          <cell r="G7695">
            <v>42736</v>
          </cell>
          <cell r="L7695" t="str">
            <v>15-36-001-12W2</v>
          </cell>
          <cell r="O7695">
            <v>819.7</v>
          </cell>
          <cell r="Q7695">
            <v>0.14000000000000001</v>
          </cell>
          <cell r="T7695">
            <v>367.18</v>
          </cell>
        </row>
        <row r="7696">
          <cell r="G7696">
            <v>42736</v>
          </cell>
          <cell r="L7696" t="str">
            <v>11-14-007-08W2</v>
          </cell>
          <cell r="O7696">
            <v>857.5</v>
          </cell>
          <cell r="Q7696">
            <v>1.38</v>
          </cell>
          <cell r="T7696">
            <v>344.459</v>
          </cell>
        </row>
        <row r="7697">
          <cell r="G7697">
            <v>42736</v>
          </cell>
          <cell r="L7697" t="str">
            <v>03-08-001-11W2</v>
          </cell>
          <cell r="O7697">
            <v>809.6</v>
          </cell>
          <cell r="Q7697">
            <v>0.32</v>
          </cell>
          <cell r="T7697">
            <v>343.65199999999999</v>
          </cell>
        </row>
        <row r="7698">
          <cell r="G7698">
            <v>42736</v>
          </cell>
          <cell r="L7698" t="str">
            <v>15-29-007-13W2</v>
          </cell>
          <cell r="O7698">
            <v>851.5</v>
          </cell>
          <cell r="Q7698">
            <v>1.85</v>
          </cell>
          <cell r="T7698">
            <v>335.08199999999999</v>
          </cell>
        </row>
        <row r="7699">
          <cell r="G7699">
            <v>42736</v>
          </cell>
          <cell r="L7699" t="str">
            <v>11-31-006-08W2</v>
          </cell>
          <cell r="O7699">
            <v>890.8</v>
          </cell>
          <cell r="Q7699">
            <v>2.5</v>
          </cell>
          <cell r="T7699">
            <v>298.60199999999998</v>
          </cell>
        </row>
        <row r="7700">
          <cell r="G7700">
            <v>42736</v>
          </cell>
          <cell r="L7700" t="str">
            <v>09-11-007-14W2</v>
          </cell>
          <cell r="O7700">
            <v>851.6</v>
          </cell>
          <cell r="Q7700">
            <v>1.55</v>
          </cell>
          <cell r="T7700">
            <v>262.49799999999999</v>
          </cell>
        </row>
        <row r="7701">
          <cell r="G7701">
            <v>42736</v>
          </cell>
          <cell r="L7701" t="str">
            <v>01-10-008-15W2</v>
          </cell>
          <cell r="O7701">
            <v>864.9</v>
          </cell>
          <cell r="Q7701">
            <v>2.21</v>
          </cell>
          <cell r="T7701">
            <v>262.48099999999999</v>
          </cell>
        </row>
        <row r="7702">
          <cell r="G7702">
            <v>42736</v>
          </cell>
          <cell r="L7702" t="str">
            <v>04-13-004-10W2</v>
          </cell>
          <cell r="O7702">
            <v>883.7</v>
          </cell>
          <cell r="Q7702">
            <v>2.04</v>
          </cell>
          <cell r="T7702">
            <v>241.797</v>
          </cell>
        </row>
        <row r="7703">
          <cell r="G7703">
            <v>42736</v>
          </cell>
          <cell r="L7703" t="str">
            <v>07-31-006-09W2</v>
          </cell>
          <cell r="O7703">
            <v>874</v>
          </cell>
          <cell r="Q7703">
            <v>1.46</v>
          </cell>
          <cell r="T7703">
            <v>238.768</v>
          </cell>
        </row>
        <row r="7704">
          <cell r="G7704">
            <v>42736</v>
          </cell>
          <cell r="L7704" t="str">
            <v>04-21-006-14W2</v>
          </cell>
          <cell r="O7704">
            <v>852.2</v>
          </cell>
          <cell r="Q7704">
            <v>2.02</v>
          </cell>
          <cell r="T7704">
            <v>226.666</v>
          </cell>
        </row>
        <row r="7705">
          <cell r="G7705">
            <v>42736</v>
          </cell>
          <cell r="L7705" t="str">
            <v>14-20-004-10W2</v>
          </cell>
          <cell r="O7705">
            <v>889.3</v>
          </cell>
          <cell r="Q7705">
            <v>2.14</v>
          </cell>
          <cell r="T7705">
            <v>225.399</v>
          </cell>
        </row>
        <row r="7706">
          <cell r="G7706">
            <v>42736</v>
          </cell>
          <cell r="L7706" t="str">
            <v>04-16-004-21W2</v>
          </cell>
          <cell r="O7706">
            <v>821</v>
          </cell>
          <cell r="Q7706">
            <v>0.21</v>
          </cell>
          <cell r="T7706">
            <v>218.18299999999999</v>
          </cell>
        </row>
        <row r="7707">
          <cell r="G7707">
            <v>42736</v>
          </cell>
          <cell r="L7707" t="str">
            <v>04-23-012-06W2</v>
          </cell>
          <cell r="O7707">
            <v>896.1</v>
          </cell>
          <cell r="Q7707">
            <v>2.52</v>
          </cell>
          <cell r="T7707">
            <v>209.25800000000001</v>
          </cell>
        </row>
        <row r="7708">
          <cell r="G7708">
            <v>42736</v>
          </cell>
          <cell r="L7708" t="str">
            <v>12-31-001-17W2</v>
          </cell>
          <cell r="O7708">
            <v>852</v>
          </cell>
          <cell r="Q7708">
            <v>0.14000000000000001</v>
          </cell>
          <cell r="T7708">
            <v>179.80199999999999</v>
          </cell>
        </row>
        <row r="7709">
          <cell r="G7709">
            <v>42736</v>
          </cell>
          <cell r="L7709" t="str">
            <v>12-27-006-13W2</v>
          </cell>
          <cell r="O7709">
            <v>852.1</v>
          </cell>
          <cell r="Q7709">
            <v>0.18</v>
          </cell>
          <cell r="T7709">
            <v>164.37899999999999</v>
          </cell>
        </row>
        <row r="7710">
          <cell r="G7710">
            <v>42736</v>
          </cell>
          <cell r="L7710" t="str">
            <v>10-05-007-10W2</v>
          </cell>
          <cell r="O7710">
            <v>865.3</v>
          </cell>
          <cell r="Q7710">
            <v>1.78</v>
          </cell>
          <cell r="T7710">
            <v>163.32300000000001</v>
          </cell>
        </row>
        <row r="7711">
          <cell r="G7711">
            <v>42736</v>
          </cell>
          <cell r="L7711" t="str">
            <v>16-06-005-12W2</v>
          </cell>
          <cell r="O7711">
            <v>878.9</v>
          </cell>
          <cell r="Q7711">
            <v>2</v>
          </cell>
          <cell r="T7711">
            <v>159.441</v>
          </cell>
        </row>
        <row r="7712">
          <cell r="G7712">
            <v>42736</v>
          </cell>
          <cell r="L7712" t="str">
            <v>16-29-006-12W2</v>
          </cell>
          <cell r="O7712">
            <v>909.7</v>
          </cell>
          <cell r="Q7712">
            <v>1.56</v>
          </cell>
          <cell r="T7712">
            <v>158.58000000000001</v>
          </cell>
        </row>
        <row r="7713">
          <cell r="G7713">
            <v>42736</v>
          </cell>
          <cell r="L7713" t="str">
            <v>02-13-004-12W2</v>
          </cell>
          <cell r="O7713">
            <v>878.4</v>
          </cell>
          <cell r="Q7713">
            <v>1.99</v>
          </cell>
          <cell r="T7713">
            <v>153.26599999999999</v>
          </cell>
        </row>
        <row r="7714">
          <cell r="G7714">
            <v>42736</v>
          </cell>
          <cell r="L7714" t="str">
            <v>01-36-006-12W2</v>
          </cell>
          <cell r="O7714">
            <v>892.8</v>
          </cell>
          <cell r="Q7714">
            <v>2.63</v>
          </cell>
          <cell r="T7714">
            <v>143.749</v>
          </cell>
        </row>
        <row r="7715">
          <cell r="G7715">
            <v>42736</v>
          </cell>
          <cell r="L7715" t="str">
            <v>09-22-006-12W2</v>
          </cell>
          <cell r="O7715">
            <v>879.1</v>
          </cell>
          <cell r="Q7715">
            <v>2.34</v>
          </cell>
          <cell r="T7715">
            <v>138.54599999999999</v>
          </cell>
        </row>
        <row r="7716">
          <cell r="G7716">
            <v>42736</v>
          </cell>
          <cell r="L7716" t="str">
            <v>03-27-011-08W2</v>
          </cell>
          <cell r="O7716">
            <v>900.6</v>
          </cell>
          <cell r="Q7716">
            <v>2.62</v>
          </cell>
          <cell r="T7716">
            <v>135.58699999999999</v>
          </cell>
        </row>
        <row r="7717">
          <cell r="G7717">
            <v>42736</v>
          </cell>
          <cell r="L7717" t="str">
            <v>07-02-007-12W2</v>
          </cell>
          <cell r="O7717">
            <v>854.8</v>
          </cell>
          <cell r="Q7717">
            <v>1.83</v>
          </cell>
          <cell r="T7717">
            <v>130.28299999999999</v>
          </cell>
        </row>
        <row r="7718">
          <cell r="G7718">
            <v>42736</v>
          </cell>
          <cell r="L7718" t="str">
            <v>05-31-006-13W2</v>
          </cell>
          <cell r="O7718">
            <v>808.6</v>
          </cell>
          <cell r="Q7718">
            <v>0.19</v>
          </cell>
          <cell r="T7718">
            <v>128.899</v>
          </cell>
        </row>
        <row r="7719">
          <cell r="G7719">
            <v>42736</v>
          </cell>
          <cell r="L7719" t="str">
            <v>13-06-007-09W2</v>
          </cell>
          <cell r="O7719">
            <v>809.4</v>
          </cell>
          <cell r="Q7719">
            <v>0.28999999999999998</v>
          </cell>
          <cell r="T7719">
            <v>107.053</v>
          </cell>
        </row>
        <row r="7720">
          <cell r="G7720">
            <v>42736</v>
          </cell>
          <cell r="L7720" t="str">
            <v>08-34-006-12W2</v>
          </cell>
          <cell r="O7720">
            <v>879.1</v>
          </cell>
          <cell r="Q7720">
            <v>1.89</v>
          </cell>
          <cell r="T7720">
            <v>101.93600000000001</v>
          </cell>
        </row>
        <row r="7721">
          <cell r="G7721">
            <v>42736</v>
          </cell>
          <cell r="L7721" t="str">
            <v>07-10-001-20W2</v>
          </cell>
          <cell r="O7721">
            <v>875.2</v>
          </cell>
          <cell r="Q7721">
            <v>1.72</v>
          </cell>
          <cell r="T7721">
            <v>97.912999999999997</v>
          </cell>
        </row>
        <row r="7722">
          <cell r="G7722">
            <v>42736</v>
          </cell>
          <cell r="L7722" t="str">
            <v>01-06-004-11W2</v>
          </cell>
          <cell r="O7722">
            <v>878.9</v>
          </cell>
          <cell r="Q7722">
            <v>1.95</v>
          </cell>
          <cell r="T7722">
            <v>91.415000000000006</v>
          </cell>
        </row>
        <row r="7723">
          <cell r="G7723">
            <v>42736</v>
          </cell>
          <cell r="L7723" t="str">
            <v>01-23-005-12W2</v>
          </cell>
          <cell r="O7723">
            <v>883</v>
          </cell>
          <cell r="Q7723">
            <v>2.0499999999999998</v>
          </cell>
          <cell r="T7723">
            <v>89.141000000000005</v>
          </cell>
        </row>
        <row r="7724">
          <cell r="G7724">
            <v>42736</v>
          </cell>
          <cell r="L7724" t="str">
            <v>09-32-006-15W2</v>
          </cell>
          <cell r="O7724">
            <v>890.7</v>
          </cell>
          <cell r="Q7724">
            <v>2.8</v>
          </cell>
          <cell r="T7724">
            <v>78.275000000000006</v>
          </cell>
        </row>
        <row r="7725">
          <cell r="G7725">
            <v>42736</v>
          </cell>
          <cell r="L7725" t="str">
            <v>07-24-006-10W2</v>
          </cell>
          <cell r="O7725">
            <v>880.9</v>
          </cell>
          <cell r="Q7725">
            <v>2.44</v>
          </cell>
          <cell r="T7725">
            <v>68.587999999999994</v>
          </cell>
        </row>
        <row r="7726">
          <cell r="G7726">
            <v>42736</v>
          </cell>
          <cell r="L7726" t="str">
            <v>15-13-002-12W2</v>
          </cell>
          <cell r="O7726">
            <v>834.8</v>
          </cell>
          <cell r="Q7726">
            <v>0.15</v>
          </cell>
          <cell r="T7726">
            <v>62.173999999999999</v>
          </cell>
        </row>
        <row r="7727">
          <cell r="G7727">
            <v>42736</v>
          </cell>
          <cell r="L7727" t="str">
            <v>06-13-007-10W2</v>
          </cell>
          <cell r="O7727">
            <v>818.1</v>
          </cell>
          <cell r="Q7727">
            <v>0.17</v>
          </cell>
          <cell r="T7727">
            <v>59.427</v>
          </cell>
        </row>
        <row r="7728">
          <cell r="G7728">
            <v>42736</v>
          </cell>
          <cell r="L7728" t="str">
            <v>08-03-006-07W2</v>
          </cell>
          <cell r="O7728">
            <v>874.5</v>
          </cell>
          <cell r="Q7728">
            <v>1.92</v>
          </cell>
          <cell r="T7728">
            <v>49.213000000000001</v>
          </cell>
        </row>
        <row r="7729">
          <cell r="G7729">
            <v>42736</v>
          </cell>
          <cell r="L7729" t="str">
            <v>15-19-005-13W2</v>
          </cell>
          <cell r="O7729">
            <v>900.8</v>
          </cell>
          <cell r="Q7729">
            <v>2.72</v>
          </cell>
          <cell r="T7729">
            <v>44.192</v>
          </cell>
        </row>
        <row r="7730">
          <cell r="G7730">
            <v>42736</v>
          </cell>
          <cell r="L7730" t="str">
            <v>01-27-004-07W2</v>
          </cell>
          <cell r="O7730">
            <v>885.2</v>
          </cell>
          <cell r="Q7730">
            <v>2.0299999999999998</v>
          </cell>
          <cell r="T7730">
            <v>34.526000000000003</v>
          </cell>
        </row>
        <row r="7731">
          <cell r="G7731">
            <v>42736</v>
          </cell>
          <cell r="L7731" t="str">
            <v>05-26-164-97W1</v>
          </cell>
          <cell r="O7731">
            <v>886.4</v>
          </cell>
          <cell r="Q7731">
            <v>1.59</v>
          </cell>
          <cell r="T7731">
            <v>33.798999999999999</v>
          </cell>
        </row>
        <row r="7732">
          <cell r="G7732">
            <v>42736</v>
          </cell>
          <cell r="L7732" t="str">
            <v>09-06-010-15W2</v>
          </cell>
          <cell r="O7732">
            <v>869.1</v>
          </cell>
          <cell r="Q7732">
            <v>0.13</v>
          </cell>
          <cell r="T7732">
            <v>33.374000000000002</v>
          </cell>
        </row>
        <row r="7733">
          <cell r="G7733">
            <v>42736</v>
          </cell>
          <cell r="L7733" t="str">
            <v>02-22-009-09W2</v>
          </cell>
          <cell r="O7733">
            <v>880.2</v>
          </cell>
          <cell r="Q7733">
            <v>2.46</v>
          </cell>
          <cell r="T7733">
            <v>32.61</v>
          </cell>
        </row>
        <row r="7734">
          <cell r="G7734">
            <v>42736</v>
          </cell>
          <cell r="L7734" t="str">
            <v>14-18-163-95W1</v>
          </cell>
          <cell r="O7734">
            <v>856.1</v>
          </cell>
          <cell r="Q7734">
            <v>1.1200000000000001</v>
          </cell>
          <cell r="T7734">
            <v>31.835000000000001</v>
          </cell>
        </row>
        <row r="7735">
          <cell r="G7735">
            <v>42736</v>
          </cell>
          <cell r="L7735" t="str">
            <v>12-28-006-07W2</v>
          </cell>
          <cell r="O7735">
            <v>907.6</v>
          </cell>
          <cell r="Q7735">
            <v>2.52</v>
          </cell>
          <cell r="T7735">
            <v>30.567</v>
          </cell>
        </row>
        <row r="7736">
          <cell r="G7736">
            <v>42736</v>
          </cell>
          <cell r="L7736" t="str">
            <v>09-12-007-09W2</v>
          </cell>
          <cell r="O7736">
            <v>814.7</v>
          </cell>
          <cell r="Q7736">
            <v>0.15</v>
          </cell>
          <cell r="T7736">
            <v>29.425999999999998</v>
          </cell>
        </row>
        <row r="7737">
          <cell r="G7737">
            <v>42736</v>
          </cell>
          <cell r="L7737" t="str">
            <v>05-31-003-16W2</v>
          </cell>
          <cell r="O7737">
            <v>890.5</v>
          </cell>
          <cell r="Q7737">
            <v>2.99</v>
          </cell>
          <cell r="T7737">
            <v>3467.2150000000001</v>
          </cell>
        </row>
        <row r="7738">
          <cell r="G7738">
            <v>42736</v>
          </cell>
          <cell r="L7738" t="str">
            <v>11-25-005-12W2</v>
          </cell>
          <cell r="O7738">
            <v>875</v>
          </cell>
          <cell r="Q7738">
            <v>2.02</v>
          </cell>
          <cell r="T7738">
            <v>2294.1660000000002</v>
          </cell>
        </row>
        <row r="7739">
          <cell r="G7739">
            <v>42736</v>
          </cell>
          <cell r="L7739" t="str">
            <v>16-18-003-15W2</v>
          </cell>
          <cell r="O7739">
            <v>885.8</v>
          </cell>
          <cell r="Q7739">
            <v>2.4500000000000002</v>
          </cell>
          <cell r="T7739">
            <v>1081.865</v>
          </cell>
        </row>
        <row r="7740">
          <cell r="G7740">
            <v>42736</v>
          </cell>
          <cell r="L7740" t="str">
            <v>12-30-005-07W2</v>
          </cell>
          <cell r="O7740">
            <v>896.6</v>
          </cell>
          <cell r="Q7740">
            <v>2.5299999999999998</v>
          </cell>
          <cell r="T7740">
            <v>662.05</v>
          </cell>
        </row>
        <row r="7741">
          <cell r="G7741">
            <v>42736</v>
          </cell>
          <cell r="L7741" t="str">
            <v>16-27-001-16W2</v>
          </cell>
          <cell r="O7741">
            <v>812.5</v>
          </cell>
          <cell r="Q7741">
            <v>0.43</v>
          </cell>
          <cell r="T7741">
            <v>655.62699999999995</v>
          </cell>
        </row>
        <row r="7742">
          <cell r="G7742">
            <v>42736</v>
          </cell>
          <cell r="L7742" t="str">
            <v>16-19-001-15W2</v>
          </cell>
          <cell r="O7742">
            <v>806.5</v>
          </cell>
          <cell r="Q7742">
            <v>0.39</v>
          </cell>
          <cell r="T7742">
            <v>426.76100000000002</v>
          </cell>
        </row>
        <row r="7743">
          <cell r="G7743">
            <v>42736</v>
          </cell>
          <cell r="L7743" t="str">
            <v>16-22-001-12W2</v>
          </cell>
          <cell r="O7743">
            <v>819.8</v>
          </cell>
          <cell r="Q7743">
            <v>0.17</v>
          </cell>
          <cell r="T7743">
            <v>379.55200000000002</v>
          </cell>
        </row>
        <row r="7744">
          <cell r="G7744">
            <v>42736</v>
          </cell>
          <cell r="L7744" t="str">
            <v>05-23-005-13W2</v>
          </cell>
          <cell r="O7744">
            <v>908.7</v>
          </cell>
          <cell r="Q7744">
            <v>2.75</v>
          </cell>
          <cell r="T7744">
            <v>316.91899999999998</v>
          </cell>
        </row>
        <row r="7745">
          <cell r="G7745">
            <v>42736</v>
          </cell>
          <cell r="L7745" t="str">
            <v>06-20-006-09W2</v>
          </cell>
          <cell r="O7745">
            <v>882.4</v>
          </cell>
          <cell r="Q7745">
            <v>2.19</v>
          </cell>
          <cell r="T7745">
            <v>309.21100000000001</v>
          </cell>
        </row>
        <row r="7746">
          <cell r="G7746">
            <v>42736</v>
          </cell>
          <cell r="L7746" t="str">
            <v>14-21-001-12W2</v>
          </cell>
          <cell r="O7746">
            <v>821.2</v>
          </cell>
          <cell r="Q7746">
            <v>0.22</v>
          </cell>
          <cell r="T7746">
            <v>301.93599999999998</v>
          </cell>
        </row>
        <row r="7747">
          <cell r="G7747">
            <v>42736</v>
          </cell>
          <cell r="L7747" t="str">
            <v>13-24-001-16W2</v>
          </cell>
          <cell r="O7747">
            <v>810.8</v>
          </cell>
          <cell r="Q7747">
            <v>0.42</v>
          </cell>
          <cell r="T7747">
            <v>175.935</v>
          </cell>
        </row>
        <row r="7748">
          <cell r="G7748">
            <v>42736</v>
          </cell>
          <cell r="L7748" t="str">
            <v>14-27-001-12W2</v>
          </cell>
          <cell r="O7748">
            <v>815.3</v>
          </cell>
          <cell r="Q7748">
            <v>0.25</v>
          </cell>
          <cell r="T7748">
            <v>140.399</v>
          </cell>
        </row>
        <row r="7749">
          <cell r="G7749">
            <v>42736</v>
          </cell>
          <cell r="L7749" t="str">
            <v>13-22-001-12W2</v>
          </cell>
          <cell r="O7749">
            <v>807.6</v>
          </cell>
          <cell r="Q7749">
            <v>0.23</v>
          </cell>
          <cell r="T7749">
            <v>108.46</v>
          </cell>
        </row>
        <row r="7750">
          <cell r="G7750">
            <v>42736</v>
          </cell>
          <cell r="L7750" t="str">
            <v>14-27-001-13W2</v>
          </cell>
          <cell r="O7750">
            <v>805.1</v>
          </cell>
          <cell r="Q7750">
            <v>0.68</v>
          </cell>
          <cell r="T7750">
            <v>101.136</v>
          </cell>
        </row>
        <row r="7751">
          <cell r="G7751">
            <v>42736</v>
          </cell>
          <cell r="L7751" t="str">
            <v>16-25-001-15W2</v>
          </cell>
          <cell r="O7751">
            <v>811.7</v>
          </cell>
          <cell r="Q7751">
            <v>0.32</v>
          </cell>
          <cell r="T7751">
            <v>39.567</v>
          </cell>
        </row>
        <row r="7752">
          <cell r="G7752">
            <v>42736</v>
          </cell>
          <cell r="L7752" t="str">
            <v>13-34-001-13W2</v>
          </cell>
          <cell r="O7752">
            <v>815.3</v>
          </cell>
          <cell r="Q7752">
            <v>0.2</v>
          </cell>
          <cell r="T7752">
            <v>34.917999999999999</v>
          </cell>
        </row>
        <row r="7753">
          <cell r="G7753">
            <v>42736</v>
          </cell>
          <cell r="L7753" t="str">
            <v>15-06-006-21W2</v>
          </cell>
          <cell r="O7753">
            <v>830.9</v>
          </cell>
          <cell r="Q7753">
            <v>0.19</v>
          </cell>
          <cell r="T7753">
            <v>29.161999999999999</v>
          </cell>
        </row>
        <row r="7754">
          <cell r="G7754">
            <v>42736</v>
          </cell>
          <cell r="L7754" t="str">
            <v>16-34-001-15W2</v>
          </cell>
          <cell r="O7754">
            <v>804.6</v>
          </cell>
          <cell r="Q7754">
            <v>0.22</v>
          </cell>
          <cell r="T7754">
            <v>28.731000000000002</v>
          </cell>
        </row>
        <row r="7755">
          <cell r="G7755">
            <v>42736</v>
          </cell>
          <cell r="L7755" t="str">
            <v>09-34-005-15W2</v>
          </cell>
          <cell r="O7755">
            <v>879.2</v>
          </cell>
          <cell r="Q7755">
            <v>2.31</v>
          </cell>
          <cell r="T7755">
            <v>1554.8</v>
          </cell>
        </row>
        <row r="7756">
          <cell r="G7756">
            <v>42736</v>
          </cell>
          <cell r="L7756" t="str">
            <v>04-24-005-15W2</v>
          </cell>
          <cell r="O7756">
            <v>891</v>
          </cell>
          <cell r="Q7756">
            <v>2.85</v>
          </cell>
          <cell r="T7756">
            <v>1385.452</v>
          </cell>
        </row>
        <row r="7757">
          <cell r="G7757">
            <v>42736</v>
          </cell>
          <cell r="L7757" t="str">
            <v>15-29-005-15W2</v>
          </cell>
          <cell r="O7757">
            <v>884.4</v>
          </cell>
          <cell r="Q7757">
            <v>2.81</v>
          </cell>
          <cell r="T7757">
            <v>1291.6859999999999</v>
          </cell>
        </row>
        <row r="7758">
          <cell r="G7758">
            <v>42736</v>
          </cell>
          <cell r="L7758" t="str">
            <v>06-17-006-14W2</v>
          </cell>
          <cell r="O7758">
            <v>863.9</v>
          </cell>
          <cell r="Q7758">
            <v>2.16</v>
          </cell>
          <cell r="T7758">
            <v>4015.03</v>
          </cell>
        </row>
        <row r="7759">
          <cell r="G7759">
            <v>42736</v>
          </cell>
          <cell r="L7759" t="str">
            <v>10-11-005-14W2</v>
          </cell>
          <cell r="O7759">
            <v>898.9</v>
          </cell>
          <cell r="Q7759">
            <v>2.86</v>
          </cell>
          <cell r="T7759">
            <v>432.37900000000002</v>
          </cell>
        </row>
        <row r="7760">
          <cell r="G7760">
            <v>42736</v>
          </cell>
          <cell r="L7760" t="str">
            <v>03-15-005-13W2</v>
          </cell>
          <cell r="O7760">
            <v>898.1</v>
          </cell>
          <cell r="Q7760">
            <v>2.85</v>
          </cell>
          <cell r="T7760">
            <v>321.31299999999999</v>
          </cell>
        </row>
        <row r="7761">
          <cell r="G7761">
            <v>42736</v>
          </cell>
          <cell r="L7761" t="str">
            <v>15-19-005-13W2</v>
          </cell>
          <cell r="O7761">
            <v>892.4</v>
          </cell>
          <cell r="Q7761">
            <v>2.72</v>
          </cell>
          <cell r="T7761">
            <v>228.89400000000001</v>
          </cell>
        </row>
        <row r="7762">
          <cell r="G7762">
            <v>42736</v>
          </cell>
          <cell r="L7762" t="str">
            <v>12-13-006-13W2</v>
          </cell>
          <cell r="O7762">
            <v>875.9</v>
          </cell>
          <cell r="Q7762">
            <v>2.5299999999999998</v>
          </cell>
          <cell r="T7762">
            <v>197.76599999999999</v>
          </cell>
        </row>
        <row r="7763">
          <cell r="G7763">
            <v>42736</v>
          </cell>
          <cell r="L7763" t="str">
            <v>07-24-006-15W2</v>
          </cell>
          <cell r="O7763">
            <v>866.7</v>
          </cell>
          <cell r="Q7763">
            <v>2.14</v>
          </cell>
          <cell r="T7763">
            <v>1607.162</v>
          </cell>
        </row>
        <row r="7764">
          <cell r="G7764">
            <v>42736</v>
          </cell>
          <cell r="L7764" t="str">
            <v>07-07-006-15W2</v>
          </cell>
          <cell r="O7764">
            <v>869</v>
          </cell>
          <cell r="Q7764">
            <v>2.68</v>
          </cell>
          <cell r="T7764">
            <v>5598.5039999999999</v>
          </cell>
        </row>
        <row r="7765">
          <cell r="G7765">
            <v>42736</v>
          </cell>
          <cell r="L7765" t="str">
            <v>12-30-006-15W2</v>
          </cell>
          <cell r="O7765">
            <v>891.8</v>
          </cell>
          <cell r="Q7765">
            <v>2.86</v>
          </cell>
          <cell r="T7765">
            <v>4800.4960000000001</v>
          </cell>
        </row>
        <row r="7766">
          <cell r="G7766">
            <v>42736</v>
          </cell>
          <cell r="L7766" t="str">
            <v>03-16-001-11W2</v>
          </cell>
          <cell r="O7766">
            <v>815.3</v>
          </cell>
          <cell r="Q7766">
            <v>0.18</v>
          </cell>
          <cell r="T7766">
            <v>3749.5709999999999</v>
          </cell>
        </row>
        <row r="7767">
          <cell r="G7767">
            <v>42736</v>
          </cell>
          <cell r="L7767" t="str">
            <v>11-25-005-06W2</v>
          </cell>
          <cell r="O7767">
            <v>844.6</v>
          </cell>
          <cell r="Q7767">
            <v>1.1200000000000001</v>
          </cell>
          <cell r="T7767">
            <v>3249.5369999999998</v>
          </cell>
        </row>
        <row r="7768">
          <cell r="G7768">
            <v>42736</v>
          </cell>
          <cell r="L7768" t="str">
            <v>12-32-006-04W2</v>
          </cell>
          <cell r="O7768">
            <v>853.9</v>
          </cell>
          <cell r="Q7768">
            <v>1.82</v>
          </cell>
          <cell r="T7768">
            <v>2356.998</v>
          </cell>
        </row>
        <row r="7769">
          <cell r="G7769">
            <v>42736</v>
          </cell>
          <cell r="L7769" t="str">
            <v>12-11-001-10W2</v>
          </cell>
          <cell r="O7769">
            <v>818.6</v>
          </cell>
          <cell r="Q7769">
            <v>0.17</v>
          </cell>
          <cell r="T7769">
            <v>2027.3330000000001</v>
          </cell>
        </row>
        <row r="7770">
          <cell r="G7770">
            <v>42736</v>
          </cell>
          <cell r="L7770" t="str">
            <v>22-15-163-91W1</v>
          </cell>
          <cell r="O7770">
            <v>835.1</v>
          </cell>
          <cell r="Q7770">
            <v>0.56999999999999995</v>
          </cell>
          <cell r="T7770">
            <v>1810.627</v>
          </cell>
        </row>
        <row r="7771">
          <cell r="G7771">
            <v>42736</v>
          </cell>
          <cell r="L7771" t="str">
            <v>16-36-004-06W2</v>
          </cell>
          <cell r="O7771">
            <v>833.5</v>
          </cell>
          <cell r="Q7771">
            <v>0.92</v>
          </cell>
          <cell r="T7771">
            <v>1638.66</v>
          </cell>
        </row>
        <row r="7772">
          <cell r="G7772">
            <v>42736</v>
          </cell>
          <cell r="L7772" t="str">
            <v>16-19-002-04W2</v>
          </cell>
          <cell r="O7772">
            <v>840.8</v>
          </cell>
          <cell r="Q7772">
            <v>0.53</v>
          </cell>
          <cell r="T7772">
            <v>1456.038</v>
          </cell>
        </row>
        <row r="7773">
          <cell r="G7773">
            <v>42736</v>
          </cell>
          <cell r="L7773" t="str">
            <v>31-30-164-92W1</v>
          </cell>
          <cell r="O7773">
            <v>832.1</v>
          </cell>
          <cell r="Q7773">
            <v>0.52</v>
          </cell>
          <cell r="T7773">
            <v>1039.376</v>
          </cell>
        </row>
        <row r="7774">
          <cell r="G7774">
            <v>42736</v>
          </cell>
          <cell r="L7774" t="str">
            <v>02-31-145-98W1</v>
          </cell>
          <cell r="O7774">
            <v>819.5</v>
          </cell>
          <cell r="Q7774">
            <v>0.41</v>
          </cell>
          <cell r="T7774">
            <v>1004.968</v>
          </cell>
        </row>
        <row r="7775">
          <cell r="G7775">
            <v>42736</v>
          </cell>
          <cell r="L7775" t="str">
            <v>03-10-145-98W1</v>
          </cell>
          <cell r="O7775">
            <v>830.3</v>
          </cell>
          <cell r="Q7775">
            <v>0.41</v>
          </cell>
          <cell r="T7775">
            <v>636.90899999999999</v>
          </cell>
        </row>
        <row r="7776">
          <cell r="G7776">
            <v>42736</v>
          </cell>
          <cell r="L7776" t="str">
            <v>02-34-143-100W1</v>
          </cell>
          <cell r="O7776">
            <v>828.3</v>
          </cell>
          <cell r="Q7776">
            <v>0.38</v>
          </cell>
          <cell r="T7776">
            <v>534.21500000000003</v>
          </cell>
        </row>
        <row r="7777">
          <cell r="G7777">
            <v>42736</v>
          </cell>
          <cell r="L7777" t="str">
            <v>07-04-005-04W2</v>
          </cell>
          <cell r="O7777">
            <v>841.8</v>
          </cell>
          <cell r="Q7777">
            <v>0.89</v>
          </cell>
          <cell r="T7777">
            <v>492.13600000000002</v>
          </cell>
        </row>
        <row r="7778">
          <cell r="G7778">
            <v>42736</v>
          </cell>
          <cell r="L7778" t="str">
            <v>02-05-163-92W1</v>
          </cell>
          <cell r="O7778">
            <v>839.9</v>
          </cell>
          <cell r="Q7778">
            <v>0.54</v>
          </cell>
          <cell r="T7778">
            <v>386.00599999999997</v>
          </cell>
        </row>
        <row r="7779">
          <cell r="G7779">
            <v>42736</v>
          </cell>
          <cell r="L7779" t="str">
            <v>13-11-160-95W1</v>
          </cell>
          <cell r="O7779">
            <v>802.5</v>
          </cell>
          <cell r="Q7779">
            <v>0.18</v>
          </cell>
          <cell r="T7779">
            <v>359.38600000000002</v>
          </cell>
        </row>
        <row r="7780">
          <cell r="G7780">
            <v>42736</v>
          </cell>
          <cell r="L7780" t="str">
            <v>01-19-145-98W1</v>
          </cell>
          <cell r="O7780">
            <v>813.4</v>
          </cell>
          <cell r="Q7780">
            <v>0.38</v>
          </cell>
          <cell r="T7780">
            <v>352.33800000000002</v>
          </cell>
        </row>
        <row r="7781">
          <cell r="G7781">
            <v>42736</v>
          </cell>
          <cell r="L7781" t="str">
            <v>09-20-006-04W2</v>
          </cell>
          <cell r="O7781">
            <v>855.7</v>
          </cell>
          <cell r="Q7781">
            <v>1.36</v>
          </cell>
          <cell r="T7781">
            <v>339.19</v>
          </cell>
        </row>
        <row r="7782">
          <cell r="G7782">
            <v>42736</v>
          </cell>
          <cell r="L7782" t="str">
            <v>09-19-004-04W2</v>
          </cell>
          <cell r="O7782">
            <v>851.5</v>
          </cell>
          <cell r="Q7782">
            <v>1.19</v>
          </cell>
          <cell r="T7782">
            <v>256.411</v>
          </cell>
        </row>
        <row r="7783">
          <cell r="G7783">
            <v>42736</v>
          </cell>
          <cell r="L7783" t="str">
            <v>02-30-147-97W1</v>
          </cell>
          <cell r="O7783">
            <v>809.4</v>
          </cell>
          <cell r="Q7783">
            <v>0.46</v>
          </cell>
          <cell r="T7783">
            <v>231.21600000000001</v>
          </cell>
        </row>
        <row r="7784">
          <cell r="G7784">
            <v>42736</v>
          </cell>
          <cell r="L7784" t="str">
            <v>43-03-160-95W1</v>
          </cell>
          <cell r="O7784">
            <v>805.8</v>
          </cell>
          <cell r="Q7784">
            <v>0.2</v>
          </cell>
          <cell r="T7784">
            <v>216.727</v>
          </cell>
        </row>
        <row r="7785">
          <cell r="G7785">
            <v>42736</v>
          </cell>
          <cell r="L7785" t="str">
            <v>01-03-163-92W1</v>
          </cell>
          <cell r="O7785">
            <v>813</v>
          </cell>
          <cell r="Q7785">
            <v>0.46</v>
          </cell>
          <cell r="T7785">
            <v>215.54499999999999</v>
          </cell>
        </row>
        <row r="7786">
          <cell r="G7786">
            <v>42736</v>
          </cell>
          <cell r="L7786" t="str">
            <v>01-02-021-58W1</v>
          </cell>
          <cell r="O7786">
            <v>828.1</v>
          </cell>
          <cell r="Q7786">
            <v>0.7</v>
          </cell>
          <cell r="T7786">
            <v>213.285</v>
          </cell>
        </row>
        <row r="7787">
          <cell r="G7787">
            <v>42736</v>
          </cell>
          <cell r="L7787" t="str">
            <v>01-05-163-92W1</v>
          </cell>
          <cell r="O7787">
            <v>842.1</v>
          </cell>
          <cell r="Q7787">
            <v>0.53</v>
          </cell>
          <cell r="T7787">
            <v>206.42500000000001</v>
          </cell>
        </row>
        <row r="7788">
          <cell r="G7788">
            <v>42736</v>
          </cell>
          <cell r="L7788" t="str">
            <v>01-30-147-97W1</v>
          </cell>
          <cell r="O7788">
            <v>807.1</v>
          </cell>
          <cell r="Q7788">
            <v>0.55000000000000004</v>
          </cell>
          <cell r="T7788">
            <v>167.596</v>
          </cell>
        </row>
        <row r="7789">
          <cell r="G7789">
            <v>42736</v>
          </cell>
          <cell r="L7789" t="str">
            <v>02-18-155-95W1</v>
          </cell>
          <cell r="O7789">
            <v>813.7</v>
          </cell>
          <cell r="Q7789">
            <v>0.1</v>
          </cell>
          <cell r="T7789">
            <v>162.97800000000001</v>
          </cell>
        </row>
        <row r="7790">
          <cell r="G7790">
            <v>42736</v>
          </cell>
          <cell r="L7790" t="str">
            <v>04-19-147-97W1</v>
          </cell>
          <cell r="O7790">
            <v>828.9</v>
          </cell>
          <cell r="Q7790">
            <v>0.52</v>
          </cell>
          <cell r="T7790">
            <v>162.33799999999999</v>
          </cell>
        </row>
        <row r="7791">
          <cell r="G7791">
            <v>42736</v>
          </cell>
          <cell r="L7791" t="str">
            <v>01-17-143-101W1</v>
          </cell>
          <cell r="O7791">
            <v>831.5</v>
          </cell>
          <cell r="Q7791">
            <v>0.51</v>
          </cell>
          <cell r="T7791">
            <v>160.57599999999999</v>
          </cell>
        </row>
        <row r="7792">
          <cell r="G7792">
            <v>42736</v>
          </cell>
          <cell r="L7792" t="str">
            <v>12-03-146-100W1</v>
          </cell>
          <cell r="O7792">
            <v>837.1</v>
          </cell>
          <cell r="Q7792">
            <v>0.47</v>
          </cell>
          <cell r="T7792">
            <v>160.464</v>
          </cell>
        </row>
        <row r="7793">
          <cell r="G7793">
            <v>42736</v>
          </cell>
          <cell r="L7793" t="str">
            <v>05-25-147-98W1</v>
          </cell>
          <cell r="O7793">
            <v>815.5</v>
          </cell>
          <cell r="Q7793">
            <v>0.56000000000000005</v>
          </cell>
          <cell r="T7793">
            <v>156.70099999999999</v>
          </cell>
        </row>
        <row r="7794">
          <cell r="G7794">
            <v>42736</v>
          </cell>
          <cell r="L7794" t="str">
            <v>13-19-001-03W2</v>
          </cell>
          <cell r="O7794">
            <v>835.6</v>
          </cell>
          <cell r="Q7794">
            <v>0.62</v>
          </cell>
          <cell r="T7794">
            <v>152.04</v>
          </cell>
        </row>
        <row r="7795">
          <cell r="G7795">
            <v>42736</v>
          </cell>
          <cell r="L7795" t="str">
            <v>01-33-141-100W1</v>
          </cell>
          <cell r="O7795">
            <v>819.6</v>
          </cell>
          <cell r="Q7795">
            <v>0.39</v>
          </cell>
          <cell r="T7795">
            <v>147.69399999999999</v>
          </cell>
        </row>
        <row r="7796">
          <cell r="G7796">
            <v>42736</v>
          </cell>
          <cell r="L7796" t="str">
            <v>14-23-163-96W1</v>
          </cell>
          <cell r="O7796">
            <v>821.9</v>
          </cell>
          <cell r="Q7796">
            <v>0.15</v>
          </cell>
          <cell r="T7796">
            <v>144.52099999999999</v>
          </cell>
        </row>
        <row r="7797">
          <cell r="G7797">
            <v>42736</v>
          </cell>
          <cell r="L7797" t="str">
            <v>01-13-152-95W1</v>
          </cell>
          <cell r="O7797">
            <v>828.8</v>
          </cell>
          <cell r="Q7797">
            <v>0.06</v>
          </cell>
          <cell r="T7797">
            <v>142.19900000000001</v>
          </cell>
        </row>
        <row r="7798">
          <cell r="G7798">
            <v>42736</v>
          </cell>
          <cell r="L7798" t="str">
            <v>01-22-142-100W1</v>
          </cell>
          <cell r="O7798">
            <v>820.8</v>
          </cell>
          <cell r="Q7798">
            <v>0.31</v>
          </cell>
          <cell r="T7798">
            <v>138.785</v>
          </cell>
        </row>
        <row r="7799">
          <cell r="G7799">
            <v>42736</v>
          </cell>
          <cell r="L7799" t="str">
            <v>01-03-163-99W1</v>
          </cell>
          <cell r="O7799">
            <v>832.2</v>
          </cell>
          <cell r="Q7799">
            <v>0.16</v>
          </cell>
          <cell r="T7799">
            <v>134.65</v>
          </cell>
        </row>
        <row r="7800">
          <cell r="G7800">
            <v>42736</v>
          </cell>
          <cell r="L7800" t="str">
            <v>02-09-142-100W1</v>
          </cell>
          <cell r="O7800">
            <v>830.5</v>
          </cell>
          <cell r="Q7800">
            <v>0.38</v>
          </cell>
          <cell r="T7800">
            <v>130.75200000000001</v>
          </cell>
        </row>
        <row r="7801">
          <cell r="G7801">
            <v>42736</v>
          </cell>
          <cell r="L7801" t="str">
            <v>01-09-143-101W1</v>
          </cell>
          <cell r="O7801">
            <v>834.1</v>
          </cell>
          <cell r="Q7801">
            <v>0.53</v>
          </cell>
          <cell r="T7801">
            <v>126.68300000000001</v>
          </cell>
        </row>
        <row r="7802">
          <cell r="G7802">
            <v>42736</v>
          </cell>
          <cell r="L7802" t="str">
            <v>03-10-151-96W1</v>
          </cell>
          <cell r="O7802">
            <v>824.7</v>
          </cell>
          <cell r="Q7802">
            <v>0.24</v>
          </cell>
          <cell r="T7802">
            <v>122.59</v>
          </cell>
        </row>
        <row r="7803">
          <cell r="G7803">
            <v>42736</v>
          </cell>
          <cell r="L7803" t="str">
            <v>01-18-145-97W1</v>
          </cell>
          <cell r="O7803">
            <v>818.8</v>
          </cell>
          <cell r="Q7803">
            <v>0.45</v>
          </cell>
          <cell r="T7803">
            <v>122.545</v>
          </cell>
        </row>
        <row r="7804">
          <cell r="G7804">
            <v>42736</v>
          </cell>
          <cell r="L7804" t="str">
            <v>07-22-003-03W2</v>
          </cell>
          <cell r="O7804">
            <v>827.2</v>
          </cell>
          <cell r="Q7804">
            <v>0.59</v>
          </cell>
          <cell r="T7804">
            <v>113.267</v>
          </cell>
        </row>
        <row r="7805">
          <cell r="G7805">
            <v>42736</v>
          </cell>
          <cell r="L7805" t="str">
            <v>35-26-164-97W1</v>
          </cell>
          <cell r="O7805">
            <v>806.5</v>
          </cell>
          <cell r="Q7805">
            <v>0.14000000000000001</v>
          </cell>
          <cell r="T7805">
            <v>112.843</v>
          </cell>
        </row>
        <row r="7806">
          <cell r="G7806">
            <v>42736</v>
          </cell>
          <cell r="L7806" t="str">
            <v>07-29-009-04W2</v>
          </cell>
          <cell r="O7806">
            <v>839.9</v>
          </cell>
          <cell r="Q7806">
            <v>1.1399999999999999</v>
          </cell>
          <cell r="T7806">
            <v>108.172</v>
          </cell>
        </row>
        <row r="7807">
          <cell r="G7807">
            <v>42736</v>
          </cell>
          <cell r="L7807" t="str">
            <v>08-31-007-07W2</v>
          </cell>
          <cell r="O7807">
            <v>867.3</v>
          </cell>
          <cell r="Q7807">
            <v>1.94</v>
          </cell>
          <cell r="T7807">
            <v>104.97199999999999</v>
          </cell>
        </row>
        <row r="7808">
          <cell r="G7808">
            <v>42736</v>
          </cell>
          <cell r="L7808" t="str">
            <v>01-15-022-57W1</v>
          </cell>
          <cell r="O7808">
            <v>810.5</v>
          </cell>
          <cell r="Q7808">
            <v>0.37</v>
          </cell>
          <cell r="T7808">
            <v>99.016999999999996</v>
          </cell>
        </row>
        <row r="7809">
          <cell r="G7809">
            <v>42736</v>
          </cell>
          <cell r="L7809" t="str">
            <v>04-25-144-98W1</v>
          </cell>
          <cell r="O7809">
            <v>817.1</v>
          </cell>
          <cell r="Q7809">
            <v>0.5</v>
          </cell>
          <cell r="T7809">
            <v>97.903999999999996</v>
          </cell>
        </row>
        <row r="7810">
          <cell r="G7810">
            <v>42736</v>
          </cell>
          <cell r="L7810" t="str">
            <v>01-20-147-97W1</v>
          </cell>
          <cell r="O7810">
            <v>826.4</v>
          </cell>
          <cell r="Q7810">
            <v>0.7</v>
          </cell>
          <cell r="T7810">
            <v>97.494</v>
          </cell>
        </row>
        <row r="7811">
          <cell r="G7811">
            <v>42736</v>
          </cell>
          <cell r="L7811" t="str">
            <v>06-06-162-96W1</v>
          </cell>
          <cell r="O7811">
            <v>834.7</v>
          </cell>
          <cell r="Q7811">
            <v>0.15</v>
          </cell>
          <cell r="T7811">
            <v>96.793999999999997</v>
          </cell>
        </row>
        <row r="7812">
          <cell r="G7812">
            <v>42736</v>
          </cell>
          <cell r="L7812" t="str">
            <v>01-28-152-101W1</v>
          </cell>
          <cell r="O7812">
            <v>830.5</v>
          </cell>
          <cell r="Q7812">
            <v>0.45</v>
          </cell>
          <cell r="T7812">
            <v>95.081000000000003</v>
          </cell>
        </row>
        <row r="7813">
          <cell r="G7813">
            <v>42736</v>
          </cell>
          <cell r="L7813" t="str">
            <v>01-25-156-93W1</v>
          </cell>
          <cell r="O7813">
            <v>807</v>
          </cell>
          <cell r="Q7813">
            <v>0.12</v>
          </cell>
          <cell r="T7813">
            <v>94.650999999999996</v>
          </cell>
        </row>
        <row r="7814">
          <cell r="G7814">
            <v>42736</v>
          </cell>
          <cell r="L7814" t="str">
            <v>01-02-151-102W1</v>
          </cell>
          <cell r="O7814">
            <v>836</v>
          </cell>
          <cell r="Q7814">
            <v>0.33</v>
          </cell>
          <cell r="T7814">
            <v>94.402000000000001</v>
          </cell>
        </row>
        <row r="7815">
          <cell r="G7815">
            <v>42736</v>
          </cell>
          <cell r="L7815" t="str">
            <v>15-04-143-101W1</v>
          </cell>
          <cell r="O7815">
            <v>837.7</v>
          </cell>
          <cell r="Q7815">
            <v>0.52</v>
          </cell>
          <cell r="T7815">
            <v>93.83</v>
          </cell>
        </row>
        <row r="7816">
          <cell r="G7816">
            <v>42736</v>
          </cell>
          <cell r="L7816" t="str">
            <v>33-14-160-95W1</v>
          </cell>
          <cell r="O7816">
            <v>800.1</v>
          </cell>
          <cell r="Q7816">
            <v>0.17</v>
          </cell>
          <cell r="T7816">
            <v>93.292000000000002</v>
          </cell>
        </row>
        <row r="7817">
          <cell r="G7817">
            <v>42736</v>
          </cell>
          <cell r="L7817" t="str">
            <v>25-11-159-102W1</v>
          </cell>
          <cell r="O7817">
            <v>831.7</v>
          </cell>
          <cell r="Q7817">
            <v>0.45</v>
          </cell>
          <cell r="T7817">
            <v>92.811999999999998</v>
          </cell>
        </row>
        <row r="7818">
          <cell r="G7818">
            <v>42736</v>
          </cell>
          <cell r="L7818" t="str">
            <v>03-25-147-98W1</v>
          </cell>
          <cell r="O7818">
            <v>811.2</v>
          </cell>
          <cell r="Q7818">
            <v>0.45</v>
          </cell>
          <cell r="T7818">
            <v>92.424999999999997</v>
          </cell>
        </row>
        <row r="7819">
          <cell r="G7819">
            <v>42736</v>
          </cell>
          <cell r="L7819" t="str">
            <v>01-23-144-98W1</v>
          </cell>
          <cell r="O7819">
            <v>827.2</v>
          </cell>
          <cell r="Q7819">
            <v>0.37</v>
          </cell>
          <cell r="T7819">
            <v>91.022000000000006</v>
          </cell>
        </row>
        <row r="7820">
          <cell r="G7820">
            <v>42736</v>
          </cell>
          <cell r="L7820" t="str">
            <v>01-13-022-57W1</v>
          </cell>
          <cell r="O7820">
            <v>800.5</v>
          </cell>
          <cell r="Q7820">
            <v>0.11</v>
          </cell>
          <cell r="T7820">
            <v>90.959000000000003</v>
          </cell>
        </row>
        <row r="7821">
          <cell r="G7821">
            <v>42736</v>
          </cell>
          <cell r="L7821" t="str">
            <v>16-04-151-96W1</v>
          </cell>
          <cell r="O7821">
            <v>812</v>
          </cell>
          <cell r="Q7821">
            <v>0.28000000000000003</v>
          </cell>
          <cell r="T7821">
            <v>68.783000000000001</v>
          </cell>
        </row>
        <row r="7822">
          <cell r="G7822">
            <v>42736</v>
          </cell>
          <cell r="L7822" t="str">
            <v>01-12-144-98W1</v>
          </cell>
          <cell r="O7822">
            <v>817.7</v>
          </cell>
          <cell r="Q7822">
            <v>0.46</v>
          </cell>
          <cell r="T7822">
            <v>68.42</v>
          </cell>
        </row>
        <row r="7823">
          <cell r="G7823">
            <v>42736</v>
          </cell>
          <cell r="L7823" t="str">
            <v>01-03-155-91W1</v>
          </cell>
          <cell r="O7823">
            <v>862.2</v>
          </cell>
          <cell r="Q7823">
            <v>1.29</v>
          </cell>
          <cell r="T7823">
            <v>68.001999999999995</v>
          </cell>
        </row>
        <row r="7824">
          <cell r="G7824">
            <v>42736</v>
          </cell>
          <cell r="L7824" t="str">
            <v>01-33-164-91W1</v>
          </cell>
          <cell r="O7824">
            <v>828.8</v>
          </cell>
          <cell r="Q7824">
            <v>0.52</v>
          </cell>
          <cell r="T7824">
            <v>67.247</v>
          </cell>
        </row>
        <row r="7825">
          <cell r="G7825">
            <v>42736</v>
          </cell>
          <cell r="L7825" t="str">
            <v>01-31-164-98W1</v>
          </cell>
          <cell r="O7825">
            <v>819.5</v>
          </cell>
          <cell r="Q7825">
            <v>0.15</v>
          </cell>
          <cell r="T7825">
            <v>66.953999999999994</v>
          </cell>
        </row>
        <row r="7826">
          <cell r="G7826">
            <v>42736</v>
          </cell>
          <cell r="L7826" t="str">
            <v>13-26-007-05W2</v>
          </cell>
          <cell r="O7826">
            <v>862.3</v>
          </cell>
          <cell r="Q7826">
            <v>1.5</v>
          </cell>
          <cell r="T7826">
            <v>66.007999999999996</v>
          </cell>
        </row>
        <row r="7827">
          <cell r="G7827">
            <v>42736</v>
          </cell>
          <cell r="L7827" t="str">
            <v>01-21-153-95W1</v>
          </cell>
          <cell r="O7827">
            <v>820.6</v>
          </cell>
          <cell r="Q7827">
            <v>0.37</v>
          </cell>
          <cell r="T7827">
            <v>64.349999999999994</v>
          </cell>
        </row>
        <row r="7828">
          <cell r="G7828">
            <v>42736</v>
          </cell>
          <cell r="L7828" t="str">
            <v>05-01-144-97W1</v>
          </cell>
          <cell r="O7828">
            <v>821.5</v>
          </cell>
          <cell r="Q7828">
            <v>0.48</v>
          </cell>
          <cell r="T7828">
            <v>64.283000000000001</v>
          </cell>
        </row>
        <row r="7829">
          <cell r="G7829">
            <v>42736</v>
          </cell>
          <cell r="L7829" t="str">
            <v>01-24-160-96W1</v>
          </cell>
          <cell r="O7829">
            <v>835.3</v>
          </cell>
          <cell r="Q7829">
            <v>0.59</v>
          </cell>
          <cell r="T7829">
            <v>63.81</v>
          </cell>
        </row>
        <row r="7830">
          <cell r="G7830">
            <v>42736</v>
          </cell>
          <cell r="L7830" t="str">
            <v>24-01-160-96W1</v>
          </cell>
          <cell r="O7830">
            <v>828.7</v>
          </cell>
          <cell r="Q7830">
            <v>0.49</v>
          </cell>
          <cell r="T7830">
            <v>62.792999999999999</v>
          </cell>
        </row>
        <row r="7831">
          <cell r="G7831">
            <v>42736</v>
          </cell>
          <cell r="L7831" t="str">
            <v>04-24-147-98W1</v>
          </cell>
          <cell r="O7831">
            <v>814.1</v>
          </cell>
          <cell r="Q7831">
            <v>0.56000000000000005</v>
          </cell>
          <cell r="T7831">
            <v>62.002000000000002</v>
          </cell>
        </row>
        <row r="7832">
          <cell r="G7832">
            <v>42736</v>
          </cell>
          <cell r="L7832" t="str">
            <v>01-28-142-100W1</v>
          </cell>
          <cell r="O7832">
            <v>824.5</v>
          </cell>
          <cell r="Q7832">
            <v>0.4</v>
          </cell>
          <cell r="T7832">
            <v>61.801000000000002</v>
          </cell>
        </row>
        <row r="7833">
          <cell r="G7833">
            <v>42736</v>
          </cell>
          <cell r="L7833" t="str">
            <v>01-32-164-01W1</v>
          </cell>
          <cell r="O7833">
            <v>827.1</v>
          </cell>
          <cell r="Q7833">
            <v>0.53</v>
          </cell>
          <cell r="T7833">
            <v>61.401000000000003</v>
          </cell>
        </row>
        <row r="7834">
          <cell r="G7834">
            <v>42736</v>
          </cell>
          <cell r="L7834" t="str">
            <v>22-11-160-95W1</v>
          </cell>
          <cell r="O7834">
            <v>774.1</v>
          </cell>
          <cell r="Q7834">
            <v>0.14000000000000001</v>
          </cell>
          <cell r="T7834">
            <v>59.838999999999999</v>
          </cell>
        </row>
        <row r="7835">
          <cell r="G7835">
            <v>42736</v>
          </cell>
          <cell r="L7835" t="str">
            <v>01-26-144-98W1</v>
          </cell>
          <cell r="O7835">
            <v>834.3</v>
          </cell>
          <cell r="Q7835">
            <v>0.48</v>
          </cell>
          <cell r="T7835">
            <v>59.311999999999998</v>
          </cell>
        </row>
        <row r="7836">
          <cell r="G7836">
            <v>42736</v>
          </cell>
          <cell r="L7836" t="str">
            <v>24-06-158-95W1</v>
          </cell>
          <cell r="O7836">
            <v>810.1</v>
          </cell>
          <cell r="Q7836">
            <v>0.14000000000000001</v>
          </cell>
          <cell r="T7836">
            <v>58.158000000000001</v>
          </cell>
        </row>
        <row r="7837">
          <cell r="G7837">
            <v>42736</v>
          </cell>
          <cell r="L7837" t="str">
            <v>44-35-022-58W1</v>
          </cell>
          <cell r="O7837">
            <v>864</v>
          </cell>
          <cell r="Q7837">
            <v>1.02</v>
          </cell>
          <cell r="T7837">
            <v>57.531999999999996</v>
          </cell>
        </row>
        <row r="7838">
          <cell r="G7838">
            <v>42736</v>
          </cell>
          <cell r="L7838" t="str">
            <v>34-01-157-95W1</v>
          </cell>
          <cell r="O7838">
            <v>823.9</v>
          </cell>
          <cell r="Q7838">
            <v>0.46</v>
          </cell>
          <cell r="T7838">
            <v>54.048000000000002</v>
          </cell>
        </row>
        <row r="7839">
          <cell r="G7839">
            <v>42736</v>
          </cell>
          <cell r="L7839" t="str">
            <v>01-26-152-96W1</v>
          </cell>
          <cell r="O7839">
            <v>818.2</v>
          </cell>
          <cell r="Q7839">
            <v>0.33</v>
          </cell>
          <cell r="T7839">
            <v>36.628</v>
          </cell>
        </row>
        <row r="7840">
          <cell r="G7840">
            <v>42736</v>
          </cell>
          <cell r="L7840" t="str">
            <v>03-03-157-95W1</v>
          </cell>
          <cell r="O7840">
            <v>820.2</v>
          </cell>
          <cell r="Q7840">
            <v>0.33</v>
          </cell>
          <cell r="T7840">
            <v>35.670999999999999</v>
          </cell>
        </row>
        <row r="7841">
          <cell r="G7841">
            <v>42736</v>
          </cell>
          <cell r="L7841" t="str">
            <v>10-01-157-95W1</v>
          </cell>
          <cell r="O7841">
            <v>836.1</v>
          </cell>
          <cell r="Q7841">
            <v>0.54</v>
          </cell>
          <cell r="T7841">
            <v>33.930999999999997</v>
          </cell>
        </row>
        <row r="7842">
          <cell r="G7842">
            <v>42736</v>
          </cell>
          <cell r="L7842" t="str">
            <v>01-34-159-95W1</v>
          </cell>
          <cell r="O7842">
            <v>833.9</v>
          </cell>
          <cell r="Q7842">
            <v>0.56999999999999995</v>
          </cell>
          <cell r="T7842">
            <v>33.802</v>
          </cell>
        </row>
        <row r="7843">
          <cell r="G7843">
            <v>42736</v>
          </cell>
          <cell r="L7843" t="str">
            <v>03-34-145-97W1</v>
          </cell>
          <cell r="O7843">
            <v>830.5</v>
          </cell>
          <cell r="Q7843">
            <v>0.37</v>
          </cell>
          <cell r="T7843">
            <v>33.485999999999997</v>
          </cell>
        </row>
        <row r="7844">
          <cell r="G7844">
            <v>42736</v>
          </cell>
          <cell r="L7844" t="str">
            <v>24-01-142-100W1</v>
          </cell>
          <cell r="O7844">
            <v>826.3</v>
          </cell>
          <cell r="Q7844">
            <v>0.08</v>
          </cell>
          <cell r="T7844">
            <v>33.365000000000002</v>
          </cell>
        </row>
        <row r="7845">
          <cell r="G7845">
            <v>42736</v>
          </cell>
          <cell r="L7845" t="str">
            <v>01-06-144-98W1</v>
          </cell>
          <cell r="O7845">
            <v>837.2</v>
          </cell>
          <cell r="Q7845">
            <v>0.49</v>
          </cell>
          <cell r="T7845">
            <v>33.363999999999997</v>
          </cell>
        </row>
        <row r="7846">
          <cell r="G7846">
            <v>42736</v>
          </cell>
          <cell r="L7846" t="str">
            <v>10-30-147-97W1</v>
          </cell>
          <cell r="O7846">
            <v>814.1</v>
          </cell>
          <cell r="Q7846">
            <v>0.52</v>
          </cell>
          <cell r="T7846">
            <v>33.215000000000003</v>
          </cell>
        </row>
        <row r="7847">
          <cell r="G7847">
            <v>42736</v>
          </cell>
          <cell r="L7847" t="str">
            <v>02-06-144-97W1</v>
          </cell>
          <cell r="O7847">
            <v>835.9</v>
          </cell>
          <cell r="Q7847">
            <v>0.42</v>
          </cell>
          <cell r="T7847">
            <v>33.112000000000002</v>
          </cell>
        </row>
        <row r="7848">
          <cell r="G7848">
            <v>42736</v>
          </cell>
          <cell r="L7848" t="str">
            <v>03-01-158-95W1</v>
          </cell>
          <cell r="O7848">
            <v>827.6</v>
          </cell>
          <cell r="Q7848">
            <v>0.61</v>
          </cell>
          <cell r="T7848">
            <v>33.014000000000003</v>
          </cell>
        </row>
        <row r="7849">
          <cell r="G7849">
            <v>42736</v>
          </cell>
          <cell r="L7849" t="str">
            <v>03-05-157-95W1</v>
          </cell>
          <cell r="O7849">
            <v>838</v>
          </cell>
          <cell r="Q7849">
            <v>0.69</v>
          </cell>
          <cell r="T7849">
            <v>32.924999999999997</v>
          </cell>
        </row>
        <row r="7850">
          <cell r="G7850">
            <v>42736</v>
          </cell>
          <cell r="L7850" t="str">
            <v>04-04-157-95W1</v>
          </cell>
          <cell r="O7850">
            <v>838.4</v>
          </cell>
          <cell r="Q7850">
            <v>0.62</v>
          </cell>
          <cell r="T7850">
            <v>32.625</v>
          </cell>
        </row>
        <row r="7851">
          <cell r="G7851">
            <v>42736</v>
          </cell>
          <cell r="L7851" t="str">
            <v>05-05-144-97W1</v>
          </cell>
          <cell r="O7851">
            <v>823.3</v>
          </cell>
          <cell r="Q7851">
            <v>0.44</v>
          </cell>
          <cell r="T7851">
            <v>32.448999999999998</v>
          </cell>
        </row>
        <row r="7852">
          <cell r="G7852">
            <v>42736</v>
          </cell>
          <cell r="L7852" t="str">
            <v>01-25-150-98W1</v>
          </cell>
          <cell r="O7852">
            <v>819.8</v>
          </cell>
          <cell r="Q7852">
            <v>0.05</v>
          </cell>
          <cell r="T7852">
            <v>30.914000000000001</v>
          </cell>
        </row>
        <row r="7853">
          <cell r="G7853">
            <v>42736</v>
          </cell>
          <cell r="L7853" t="str">
            <v>02-11-163-97W1</v>
          </cell>
          <cell r="O7853">
            <v>828.5</v>
          </cell>
          <cell r="Q7853">
            <v>0.13</v>
          </cell>
          <cell r="T7853">
            <v>30.751999999999999</v>
          </cell>
        </row>
        <row r="7854">
          <cell r="G7854">
            <v>42736</v>
          </cell>
          <cell r="L7854" t="str">
            <v>26-35-163-97W1</v>
          </cell>
          <cell r="O7854">
            <v>830.4</v>
          </cell>
          <cell r="Q7854">
            <v>0.14000000000000001</v>
          </cell>
          <cell r="T7854">
            <v>30.663</v>
          </cell>
        </row>
        <row r="7855">
          <cell r="G7855">
            <v>42736</v>
          </cell>
          <cell r="L7855" t="str">
            <v>01-06-163-91W1</v>
          </cell>
          <cell r="O7855">
            <v>836.7</v>
          </cell>
          <cell r="Q7855">
            <v>0.53</v>
          </cell>
          <cell r="T7855">
            <v>30.513999999999999</v>
          </cell>
        </row>
        <row r="7856">
          <cell r="G7856">
            <v>42736</v>
          </cell>
          <cell r="L7856" t="str">
            <v>01-28-141-100W1</v>
          </cell>
          <cell r="O7856">
            <v>826.7</v>
          </cell>
          <cell r="Q7856">
            <v>0.37</v>
          </cell>
          <cell r="T7856">
            <v>30.507999999999999</v>
          </cell>
        </row>
        <row r="7857">
          <cell r="G7857">
            <v>42736</v>
          </cell>
          <cell r="L7857" t="str">
            <v>01-31-159-95W1</v>
          </cell>
          <cell r="O7857">
            <v>842</v>
          </cell>
          <cell r="Q7857">
            <v>0.73</v>
          </cell>
          <cell r="T7857">
            <v>30.472000000000001</v>
          </cell>
        </row>
        <row r="7858">
          <cell r="G7858">
            <v>42736</v>
          </cell>
          <cell r="L7858" t="str">
            <v>01-19-147-97W1</v>
          </cell>
          <cell r="O7858">
            <v>814.7</v>
          </cell>
          <cell r="Q7858">
            <v>0.78</v>
          </cell>
          <cell r="T7858">
            <v>30.404</v>
          </cell>
        </row>
        <row r="7859">
          <cell r="G7859">
            <v>42736</v>
          </cell>
          <cell r="L7859" t="str">
            <v>01-21-159-94W1</v>
          </cell>
          <cell r="O7859">
            <v>827.3</v>
          </cell>
          <cell r="Q7859">
            <v>0.4</v>
          </cell>
          <cell r="T7859">
            <v>29.172999999999998</v>
          </cell>
        </row>
        <row r="7860">
          <cell r="G7860">
            <v>42736</v>
          </cell>
          <cell r="L7860" t="str">
            <v>01-01-163-92W1</v>
          </cell>
          <cell r="O7860">
            <v>838.1</v>
          </cell>
          <cell r="Q7860">
            <v>0.53</v>
          </cell>
          <cell r="T7860">
            <v>28.614999999999998</v>
          </cell>
        </row>
        <row r="7861">
          <cell r="G7861">
            <v>42736</v>
          </cell>
          <cell r="L7861" t="str">
            <v>01-24-144-98W1</v>
          </cell>
          <cell r="O7861">
            <v>827.9</v>
          </cell>
          <cell r="Q7861">
            <v>0.47</v>
          </cell>
          <cell r="T7861">
            <v>28.033000000000001</v>
          </cell>
        </row>
        <row r="7862">
          <cell r="G7862">
            <v>42736</v>
          </cell>
          <cell r="L7862" t="str">
            <v>34-02-157-95W1</v>
          </cell>
          <cell r="O7862">
            <v>844.1</v>
          </cell>
          <cell r="Q7862">
            <v>0.39</v>
          </cell>
          <cell r="T7862">
            <v>27.538</v>
          </cell>
        </row>
        <row r="7863">
          <cell r="G7863">
            <v>42736</v>
          </cell>
          <cell r="L7863" t="str">
            <v>14-18-163-95W1</v>
          </cell>
          <cell r="O7863">
            <v>851.5</v>
          </cell>
          <cell r="Q7863">
            <v>1.1200000000000001</v>
          </cell>
          <cell r="T7863">
            <v>27.478000000000002</v>
          </cell>
        </row>
        <row r="7864">
          <cell r="G7864">
            <v>42736</v>
          </cell>
          <cell r="L7864" t="str">
            <v>02-34-159-95W1</v>
          </cell>
          <cell r="O7864">
            <v>852.3</v>
          </cell>
          <cell r="Q7864">
            <v>0.61</v>
          </cell>
          <cell r="T7864">
            <v>26.728000000000002</v>
          </cell>
        </row>
        <row r="7865">
          <cell r="G7865">
            <v>42736</v>
          </cell>
          <cell r="L7865" t="str">
            <v>04-03-157-95W1</v>
          </cell>
          <cell r="O7865">
            <v>834.9</v>
          </cell>
          <cell r="Q7865">
            <v>0.62</v>
          </cell>
          <cell r="T7865">
            <v>25.66</v>
          </cell>
        </row>
        <row r="7866">
          <cell r="G7866">
            <v>42736</v>
          </cell>
          <cell r="L7866" t="str">
            <v>03-02-157-95W1</v>
          </cell>
          <cell r="O7866">
            <v>835.8</v>
          </cell>
          <cell r="Q7866">
            <v>0.69</v>
          </cell>
          <cell r="T7866">
            <v>24.96</v>
          </cell>
        </row>
        <row r="7867">
          <cell r="G7867">
            <v>42736</v>
          </cell>
          <cell r="L7867" t="str">
            <v>16-24-008-07W2</v>
          </cell>
          <cell r="O7867">
            <v>829.9</v>
          </cell>
          <cell r="Q7867">
            <v>0.61</v>
          </cell>
          <cell r="T7867">
            <v>6.0170000000000003</v>
          </cell>
        </row>
        <row r="7868">
          <cell r="G7868">
            <v>42736</v>
          </cell>
          <cell r="L7868" t="str">
            <v>07-23-010-06W2</v>
          </cell>
          <cell r="O7868">
            <v>842.6</v>
          </cell>
          <cell r="Q7868">
            <v>1.45</v>
          </cell>
          <cell r="T7868">
            <v>493.577</v>
          </cell>
        </row>
        <row r="7869">
          <cell r="G7869">
            <v>42736</v>
          </cell>
          <cell r="L7869" t="str">
            <v>01-36-003-03W2</v>
          </cell>
          <cell r="O7869">
            <v>835.4</v>
          </cell>
          <cell r="Q7869">
            <v>0.81</v>
          </cell>
          <cell r="T7869">
            <v>433.24900000000002</v>
          </cell>
        </row>
        <row r="7870">
          <cell r="G7870">
            <v>42736</v>
          </cell>
          <cell r="L7870" t="str">
            <v>13-14-010-05W2</v>
          </cell>
          <cell r="O7870">
            <v>844.9</v>
          </cell>
          <cell r="Q7870">
            <v>1.61</v>
          </cell>
          <cell r="T7870">
            <v>107.538</v>
          </cell>
        </row>
        <row r="7871">
          <cell r="G7871">
            <v>42736</v>
          </cell>
          <cell r="L7871" t="str">
            <v>12-22-010-05W2</v>
          </cell>
          <cell r="O7871">
            <v>869.1</v>
          </cell>
          <cell r="Q7871">
            <v>1.84</v>
          </cell>
          <cell r="T7871">
            <v>73.63</v>
          </cell>
        </row>
        <row r="7872">
          <cell r="G7872">
            <v>42736</v>
          </cell>
          <cell r="L7872" t="str">
            <v>05-16-006-13W2</v>
          </cell>
          <cell r="O7872">
            <v>867.2</v>
          </cell>
          <cell r="Q7872">
            <v>2.34</v>
          </cell>
          <cell r="T7872">
            <v>115522.52099999999</v>
          </cell>
        </row>
        <row r="7873">
          <cell r="G7873">
            <v>42736</v>
          </cell>
          <cell r="L7873" t="str">
            <v>08-28-005-33W1</v>
          </cell>
          <cell r="O7873">
            <v>840.5</v>
          </cell>
          <cell r="Q7873">
            <v>1.23</v>
          </cell>
          <cell r="T7873">
            <v>105136.144</v>
          </cell>
        </row>
        <row r="7874">
          <cell r="G7874">
            <v>42736</v>
          </cell>
          <cell r="L7874" t="str">
            <v>15-26-001-31W1</v>
          </cell>
          <cell r="O7874">
            <v>876.1</v>
          </cell>
          <cell r="Q7874">
            <v>2.09</v>
          </cell>
          <cell r="T7874">
            <v>5184.3459999999995</v>
          </cell>
        </row>
        <row r="7875">
          <cell r="G7875">
            <v>42736</v>
          </cell>
          <cell r="L7875" t="str">
            <v>14-05-002-31W1</v>
          </cell>
          <cell r="O7875">
            <v>858.7</v>
          </cell>
          <cell r="Q7875">
            <v>1.62</v>
          </cell>
          <cell r="T7875">
            <v>2567.7240000000002</v>
          </cell>
        </row>
        <row r="7876">
          <cell r="G7876">
            <v>42736</v>
          </cell>
          <cell r="L7876" t="str">
            <v>14-03-001-03W2</v>
          </cell>
          <cell r="O7876">
            <v>812.8</v>
          </cell>
          <cell r="Q7876">
            <v>0.12</v>
          </cell>
          <cell r="T7876">
            <v>1869.5730000000001</v>
          </cell>
        </row>
        <row r="7877">
          <cell r="G7877">
            <v>42736</v>
          </cell>
          <cell r="L7877" t="str">
            <v>04-16-002-31W1</v>
          </cell>
          <cell r="O7877">
            <v>861.8</v>
          </cell>
          <cell r="Q7877">
            <v>1.69</v>
          </cell>
          <cell r="T7877">
            <v>1480.037</v>
          </cell>
        </row>
        <row r="7878">
          <cell r="G7878">
            <v>42736</v>
          </cell>
          <cell r="L7878" t="str">
            <v>14-13-002-02W2</v>
          </cell>
          <cell r="O7878">
            <v>832.1</v>
          </cell>
          <cell r="Q7878">
            <v>0.55000000000000004</v>
          </cell>
          <cell r="T7878">
            <v>1464.4</v>
          </cell>
        </row>
        <row r="7879">
          <cell r="G7879">
            <v>42736</v>
          </cell>
          <cell r="L7879" t="str">
            <v>01-03-003-33W1</v>
          </cell>
          <cell r="O7879">
            <v>855.3</v>
          </cell>
          <cell r="Q7879">
            <v>1.62</v>
          </cell>
          <cell r="T7879">
            <v>1041.875</v>
          </cell>
        </row>
        <row r="7880">
          <cell r="G7880">
            <v>42736</v>
          </cell>
          <cell r="L7880" t="str">
            <v>01-35-007-01W2</v>
          </cell>
          <cell r="O7880">
            <v>844.5</v>
          </cell>
          <cell r="Q7880">
            <v>1.1399999999999999</v>
          </cell>
          <cell r="T7880">
            <v>1028.8150000000001</v>
          </cell>
        </row>
        <row r="7881">
          <cell r="G7881">
            <v>42736</v>
          </cell>
          <cell r="L7881" t="str">
            <v>16-03-008-33W1</v>
          </cell>
          <cell r="O7881">
            <v>843.9</v>
          </cell>
          <cell r="Q7881">
            <v>1.22</v>
          </cell>
          <cell r="T7881">
            <v>1008.747</v>
          </cell>
        </row>
        <row r="7882">
          <cell r="G7882">
            <v>42736</v>
          </cell>
          <cell r="L7882" t="str">
            <v>13-17-005-33W1</v>
          </cell>
          <cell r="O7882">
            <v>831.4</v>
          </cell>
          <cell r="Q7882">
            <v>0.64</v>
          </cell>
          <cell r="T7882">
            <v>645.59500000000003</v>
          </cell>
        </row>
        <row r="7883">
          <cell r="G7883">
            <v>42736</v>
          </cell>
          <cell r="L7883" t="str">
            <v>16-04-006-32W1</v>
          </cell>
          <cell r="O7883">
            <v>845.8</v>
          </cell>
          <cell r="Q7883">
            <v>1.1200000000000001</v>
          </cell>
          <cell r="T7883">
            <v>567.40300000000002</v>
          </cell>
        </row>
        <row r="7884">
          <cell r="G7884">
            <v>42736</v>
          </cell>
          <cell r="L7884" t="str">
            <v>05-20-001-02W2</v>
          </cell>
          <cell r="O7884">
            <v>832.2</v>
          </cell>
          <cell r="Q7884">
            <v>0.53</v>
          </cell>
          <cell r="T7884">
            <v>430.76100000000002</v>
          </cell>
        </row>
        <row r="7885">
          <cell r="G7885">
            <v>42736</v>
          </cell>
          <cell r="L7885" t="str">
            <v>15-09-002-31W1</v>
          </cell>
          <cell r="O7885">
            <v>857.5</v>
          </cell>
          <cell r="Q7885">
            <v>1.69</v>
          </cell>
          <cell r="T7885">
            <v>428.46800000000002</v>
          </cell>
        </row>
        <row r="7886">
          <cell r="G7886">
            <v>42736</v>
          </cell>
          <cell r="L7886" t="str">
            <v>16-31-001-32W1</v>
          </cell>
          <cell r="O7886">
            <v>845.6</v>
          </cell>
          <cell r="Q7886">
            <v>1.17</v>
          </cell>
          <cell r="T7886">
            <v>409.53300000000002</v>
          </cell>
        </row>
        <row r="7887">
          <cell r="G7887">
            <v>42736</v>
          </cell>
          <cell r="L7887" t="str">
            <v>14-19-006-33W1</v>
          </cell>
          <cell r="O7887">
            <v>842.7</v>
          </cell>
          <cell r="Q7887">
            <v>1.18</v>
          </cell>
          <cell r="T7887">
            <v>357.30500000000001</v>
          </cell>
        </row>
        <row r="7888">
          <cell r="G7888">
            <v>42736</v>
          </cell>
          <cell r="L7888" t="str">
            <v>08-14-014-30W1</v>
          </cell>
          <cell r="O7888">
            <v>895.6</v>
          </cell>
          <cell r="Q7888">
            <v>2.2400000000000002</v>
          </cell>
          <cell r="T7888">
            <v>295.80599999999998</v>
          </cell>
        </row>
        <row r="7889">
          <cell r="G7889">
            <v>42736</v>
          </cell>
          <cell r="L7889" t="str">
            <v>04-11-004-32W1</v>
          </cell>
          <cell r="O7889">
            <v>857.1</v>
          </cell>
          <cell r="Q7889">
            <v>1.41</v>
          </cell>
          <cell r="T7889">
            <v>254.93</v>
          </cell>
        </row>
        <row r="7890">
          <cell r="G7890">
            <v>42736</v>
          </cell>
          <cell r="L7890" t="str">
            <v>13-07-005-06W2</v>
          </cell>
          <cell r="O7890">
            <v>884.3</v>
          </cell>
          <cell r="Q7890">
            <v>1.05</v>
          </cell>
          <cell r="T7890">
            <v>234.62700000000001</v>
          </cell>
        </row>
        <row r="7891">
          <cell r="G7891">
            <v>42736</v>
          </cell>
          <cell r="L7891" t="str">
            <v>14-23-005-02W2</v>
          </cell>
          <cell r="O7891">
            <v>853.4</v>
          </cell>
          <cell r="Q7891">
            <v>1.33</v>
          </cell>
          <cell r="T7891">
            <v>224.96899999999999</v>
          </cell>
        </row>
        <row r="7892">
          <cell r="G7892">
            <v>42736</v>
          </cell>
          <cell r="L7892" t="str">
            <v>16-16-006-02W2</v>
          </cell>
          <cell r="O7892">
            <v>850.9</v>
          </cell>
          <cell r="Q7892">
            <v>1.21</v>
          </cell>
          <cell r="T7892">
            <v>138.584</v>
          </cell>
        </row>
        <row r="7893">
          <cell r="G7893">
            <v>42736</v>
          </cell>
          <cell r="L7893" t="str">
            <v>10-17-007-33W1</v>
          </cell>
          <cell r="O7893">
            <v>842.6</v>
          </cell>
          <cell r="Q7893">
            <v>1.17</v>
          </cell>
          <cell r="T7893">
            <v>133.095</v>
          </cell>
        </row>
        <row r="7894">
          <cell r="G7894">
            <v>42736</v>
          </cell>
          <cell r="L7894" t="str">
            <v>15-14-014-30W1</v>
          </cell>
          <cell r="O7894">
            <v>900.5</v>
          </cell>
          <cell r="Q7894">
            <v>2.31</v>
          </cell>
          <cell r="T7894">
            <v>123.16</v>
          </cell>
        </row>
        <row r="7895">
          <cell r="G7895">
            <v>42736</v>
          </cell>
          <cell r="L7895" t="str">
            <v>14-24-001-02W2</v>
          </cell>
          <cell r="O7895">
            <v>842.3</v>
          </cell>
          <cell r="Q7895">
            <v>0.78</v>
          </cell>
          <cell r="T7895">
            <v>119.574</v>
          </cell>
        </row>
        <row r="7896">
          <cell r="G7896">
            <v>42736</v>
          </cell>
          <cell r="L7896" t="str">
            <v>01-06-002-32W1</v>
          </cell>
          <cell r="O7896">
            <v>834</v>
          </cell>
          <cell r="Q7896">
            <v>0.81</v>
          </cell>
          <cell r="T7896">
            <v>110.47199999999999</v>
          </cell>
        </row>
        <row r="7897">
          <cell r="G7897">
            <v>42736</v>
          </cell>
          <cell r="L7897" t="str">
            <v>13-13-002-33W1</v>
          </cell>
          <cell r="O7897">
            <v>828.9</v>
          </cell>
          <cell r="Q7897">
            <v>0.72</v>
          </cell>
          <cell r="T7897">
            <v>110.05500000000001</v>
          </cell>
        </row>
        <row r="7898">
          <cell r="G7898">
            <v>42736</v>
          </cell>
          <cell r="L7898" t="str">
            <v>16-15-008-03W2</v>
          </cell>
          <cell r="O7898">
            <v>858.2</v>
          </cell>
          <cell r="Q7898">
            <v>1.54</v>
          </cell>
          <cell r="T7898">
            <v>102.821</v>
          </cell>
        </row>
        <row r="7899">
          <cell r="G7899">
            <v>42736</v>
          </cell>
          <cell r="L7899" t="str">
            <v>09-24-001-01W2</v>
          </cell>
          <cell r="O7899">
            <v>834.8</v>
          </cell>
          <cell r="Q7899">
            <v>0.67</v>
          </cell>
          <cell r="T7899">
            <v>79.876999999999995</v>
          </cell>
        </row>
        <row r="7900">
          <cell r="G7900">
            <v>42736</v>
          </cell>
          <cell r="L7900" t="str">
            <v>02-14-006-02W2</v>
          </cell>
          <cell r="O7900">
            <v>853</v>
          </cell>
          <cell r="Q7900">
            <v>1.17</v>
          </cell>
          <cell r="T7900">
            <v>71.525999999999996</v>
          </cell>
        </row>
        <row r="7901">
          <cell r="G7901">
            <v>42736</v>
          </cell>
          <cell r="L7901" t="str">
            <v>01-09-001-31W1</v>
          </cell>
          <cell r="O7901">
            <v>865.2</v>
          </cell>
          <cell r="Q7901">
            <v>2.14</v>
          </cell>
          <cell r="T7901">
            <v>60.573999999999998</v>
          </cell>
        </row>
        <row r="7902">
          <cell r="G7902">
            <v>42736</v>
          </cell>
          <cell r="L7902" t="str">
            <v>10-29-005-33W1</v>
          </cell>
          <cell r="O7902">
            <v>834.3</v>
          </cell>
          <cell r="Q7902">
            <v>0.87</v>
          </cell>
          <cell r="T7902">
            <v>57.755000000000003</v>
          </cell>
        </row>
        <row r="7903">
          <cell r="G7903">
            <v>42736</v>
          </cell>
          <cell r="L7903" t="str">
            <v>12-20-008-02W2</v>
          </cell>
          <cell r="O7903">
            <v>864.2</v>
          </cell>
          <cell r="Q7903">
            <v>1.77</v>
          </cell>
          <cell r="T7903">
            <v>57.039000000000001</v>
          </cell>
        </row>
        <row r="7904">
          <cell r="G7904">
            <v>42736</v>
          </cell>
          <cell r="L7904" t="str">
            <v>13-15-006-33W1</v>
          </cell>
          <cell r="O7904">
            <v>856</v>
          </cell>
          <cell r="Q7904">
            <v>1.47</v>
          </cell>
          <cell r="T7904">
            <v>51.118000000000002</v>
          </cell>
        </row>
        <row r="7905">
          <cell r="G7905">
            <v>42736</v>
          </cell>
          <cell r="L7905" t="str">
            <v>12-15-004-34W1</v>
          </cell>
          <cell r="O7905">
            <v>849.7</v>
          </cell>
          <cell r="Q7905">
            <v>1.02</v>
          </cell>
          <cell r="T7905">
            <v>36.734999999999999</v>
          </cell>
        </row>
        <row r="7906">
          <cell r="G7906">
            <v>42736</v>
          </cell>
          <cell r="L7906" t="str">
            <v>09-01-002-34W1</v>
          </cell>
          <cell r="O7906">
            <v>827.2</v>
          </cell>
          <cell r="Q7906">
            <v>0.55000000000000004</v>
          </cell>
          <cell r="T7906">
            <v>34.890999999999998</v>
          </cell>
        </row>
        <row r="7907">
          <cell r="G7907">
            <v>42736</v>
          </cell>
          <cell r="L7907" t="str">
            <v>16-07-006-02W2</v>
          </cell>
          <cell r="O7907">
            <v>864.4</v>
          </cell>
          <cell r="Q7907">
            <v>1.22</v>
          </cell>
          <cell r="T7907">
            <v>18.733000000000001</v>
          </cell>
        </row>
        <row r="7908">
          <cell r="G7908">
            <v>42736</v>
          </cell>
          <cell r="L7908" t="str">
            <v>07-31-005-33W1</v>
          </cell>
          <cell r="O7908">
            <v>828.2</v>
          </cell>
          <cell r="Q7908">
            <v>0.66</v>
          </cell>
          <cell r="T7908">
            <v>1561.2829999999999</v>
          </cell>
        </row>
        <row r="7909">
          <cell r="G7909">
            <v>42736</v>
          </cell>
          <cell r="L7909" t="str">
            <v>15-09-007-03W2</v>
          </cell>
          <cell r="O7909">
            <v>850.2</v>
          </cell>
          <cell r="Q7909">
            <v>1.39</v>
          </cell>
          <cell r="T7909">
            <v>1176.4010000000001</v>
          </cell>
        </row>
        <row r="7910">
          <cell r="G7910">
            <v>42736</v>
          </cell>
          <cell r="L7910" t="str">
            <v>04-36-004-02W2</v>
          </cell>
          <cell r="O7910">
            <v>856</v>
          </cell>
          <cell r="Q7910">
            <v>1.58</v>
          </cell>
          <cell r="T7910">
            <v>338.66399999999999</v>
          </cell>
        </row>
        <row r="7911">
          <cell r="G7911">
            <v>42736</v>
          </cell>
          <cell r="L7911" t="str">
            <v>14-04-006-33W1</v>
          </cell>
          <cell r="O7911">
            <v>837.8</v>
          </cell>
          <cell r="Q7911">
            <v>0.85</v>
          </cell>
          <cell r="T7911">
            <v>74.424999999999997</v>
          </cell>
        </row>
        <row r="7912">
          <cell r="G7912">
            <v>42736</v>
          </cell>
          <cell r="L7912" t="str">
            <v>ALStream</v>
          </cell>
          <cell r="O7912">
            <v>843.9</v>
          </cell>
          <cell r="Q7912">
            <v>1.24</v>
          </cell>
          <cell r="T7912">
            <v>-86444.873000000007</v>
          </cell>
        </row>
        <row r="7913">
          <cell r="G7913">
            <v>42736</v>
          </cell>
          <cell r="L7913" t="str">
            <v>MWStream</v>
          </cell>
          <cell r="O7913">
            <v>831.7</v>
          </cell>
          <cell r="Q7913">
            <v>1.2</v>
          </cell>
          <cell r="T7913">
            <v>-8601.9789999999994</v>
          </cell>
        </row>
        <row r="7914">
          <cell r="G7914">
            <v>42767</v>
          </cell>
          <cell r="L7914" t="str">
            <v>03-15-012-06W2</v>
          </cell>
          <cell r="O7914">
            <v>889.1</v>
          </cell>
          <cell r="Q7914">
            <v>2.46</v>
          </cell>
          <cell r="T7914">
            <v>1E-3</v>
          </cell>
        </row>
        <row r="7915">
          <cell r="G7915">
            <v>42767</v>
          </cell>
          <cell r="L7915" t="str">
            <v>13-34-007-14W2</v>
          </cell>
          <cell r="O7915">
            <v>869</v>
          </cell>
          <cell r="Q7915">
            <v>2.1800000000000002</v>
          </cell>
          <cell r="T7915">
            <v>14.393000000000001</v>
          </cell>
        </row>
        <row r="7916">
          <cell r="G7916">
            <v>42767</v>
          </cell>
          <cell r="L7916" t="str">
            <v>14-04-007-13W2</v>
          </cell>
          <cell r="O7916">
            <v>857.5</v>
          </cell>
          <cell r="Q7916">
            <v>1.93</v>
          </cell>
          <cell r="T7916">
            <v>38.792000000000002</v>
          </cell>
        </row>
        <row r="7917">
          <cell r="G7917">
            <v>42767</v>
          </cell>
          <cell r="L7917" t="str">
            <v>03-13-006-33W1</v>
          </cell>
          <cell r="O7917">
            <v>834.5</v>
          </cell>
          <cell r="Q7917">
            <v>0.81</v>
          </cell>
          <cell r="T7917">
            <v>44.030999999999999</v>
          </cell>
        </row>
        <row r="7918">
          <cell r="G7918">
            <v>42767</v>
          </cell>
          <cell r="L7918" t="str">
            <v>01-15-005-32W1</v>
          </cell>
          <cell r="O7918">
            <v>848</v>
          </cell>
          <cell r="Q7918">
            <v>1.04</v>
          </cell>
          <cell r="T7918">
            <v>55.707999999999998</v>
          </cell>
        </row>
        <row r="7919">
          <cell r="G7919">
            <v>42767</v>
          </cell>
          <cell r="L7919" t="str">
            <v>13-17-001-31W1</v>
          </cell>
          <cell r="O7919">
            <v>856.6</v>
          </cell>
          <cell r="Q7919">
            <v>1.38</v>
          </cell>
          <cell r="T7919">
            <v>71.887</v>
          </cell>
        </row>
        <row r="7920">
          <cell r="G7920">
            <v>42767</v>
          </cell>
          <cell r="L7920" t="str">
            <v>08-18-011-03W2</v>
          </cell>
          <cell r="O7920">
            <v>857.5</v>
          </cell>
          <cell r="Q7920">
            <v>1.85</v>
          </cell>
          <cell r="T7920">
            <v>73.734999999999999</v>
          </cell>
        </row>
        <row r="7921">
          <cell r="G7921">
            <v>42767</v>
          </cell>
          <cell r="L7921" t="str">
            <v>15-09-010-08W2</v>
          </cell>
          <cell r="O7921">
            <v>883.9</v>
          </cell>
          <cell r="Q7921">
            <v>2.65</v>
          </cell>
          <cell r="T7921">
            <v>78.114999999999995</v>
          </cell>
        </row>
        <row r="7922">
          <cell r="G7922">
            <v>42767</v>
          </cell>
          <cell r="L7922" t="str">
            <v>08-01-004-32W1</v>
          </cell>
          <cell r="O7922">
            <v>857.7</v>
          </cell>
          <cell r="Q7922">
            <v>1.62</v>
          </cell>
          <cell r="T7922">
            <v>75.697999999999993</v>
          </cell>
        </row>
        <row r="7923">
          <cell r="G7923">
            <v>42767</v>
          </cell>
          <cell r="L7923" t="str">
            <v>03-19-001-31W1</v>
          </cell>
          <cell r="O7923">
            <v>864.2</v>
          </cell>
          <cell r="Q7923">
            <v>1.82</v>
          </cell>
          <cell r="T7923">
            <v>94.326999999999998</v>
          </cell>
        </row>
        <row r="7924">
          <cell r="G7924">
            <v>42767</v>
          </cell>
          <cell r="L7924" t="str">
            <v>16-27-004-33W1</v>
          </cell>
          <cell r="O7924">
            <v>846.1</v>
          </cell>
          <cell r="Q7924">
            <v>0.99</v>
          </cell>
          <cell r="T7924">
            <v>96.644000000000005</v>
          </cell>
        </row>
        <row r="7925">
          <cell r="G7925">
            <v>42767</v>
          </cell>
          <cell r="L7925" t="str">
            <v>16-16-010-02W2</v>
          </cell>
          <cell r="O7925">
            <v>853.8</v>
          </cell>
          <cell r="Q7925">
            <v>1.82</v>
          </cell>
          <cell r="T7925">
            <v>99.328999999999994</v>
          </cell>
        </row>
        <row r="7926">
          <cell r="G7926">
            <v>42767</v>
          </cell>
          <cell r="L7926" t="str">
            <v>09-31-007-12W2</v>
          </cell>
          <cell r="O7926">
            <v>867.9</v>
          </cell>
          <cell r="Q7926">
            <v>2.34</v>
          </cell>
          <cell r="T7926">
            <v>117.414</v>
          </cell>
        </row>
        <row r="7927">
          <cell r="G7927">
            <v>42767</v>
          </cell>
          <cell r="L7927" t="str">
            <v>10-09-004-33W1</v>
          </cell>
          <cell r="O7927">
            <v>836</v>
          </cell>
          <cell r="Q7927">
            <v>0.67</v>
          </cell>
          <cell r="T7927">
            <v>110.018</v>
          </cell>
        </row>
        <row r="7928">
          <cell r="G7928">
            <v>42767</v>
          </cell>
          <cell r="L7928" t="str">
            <v>15-09-010-02W2</v>
          </cell>
          <cell r="O7928">
            <v>862.2</v>
          </cell>
          <cell r="Q7928">
            <v>1.92</v>
          </cell>
          <cell r="T7928">
            <v>111.622</v>
          </cell>
        </row>
        <row r="7929">
          <cell r="G7929">
            <v>42767</v>
          </cell>
          <cell r="L7929" t="str">
            <v>07-24-001-32W1</v>
          </cell>
          <cell r="O7929">
            <v>853.2</v>
          </cell>
          <cell r="Q7929">
            <v>1.42</v>
          </cell>
          <cell r="T7929">
            <v>120.714</v>
          </cell>
        </row>
        <row r="7930">
          <cell r="G7930">
            <v>42767</v>
          </cell>
          <cell r="L7930" t="str">
            <v>09-08-004-33W1</v>
          </cell>
          <cell r="O7930">
            <v>832.7</v>
          </cell>
          <cell r="Q7930">
            <v>0.65</v>
          </cell>
          <cell r="T7930">
            <v>122.166</v>
          </cell>
        </row>
        <row r="7931">
          <cell r="G7931">
            <v>42767</v>
          </cell>
          <cell r="L7931" t="str">
            <v>16-08-007-12W2</v>
          </cell>
          <cell r="O7931">
            <v>862.5</v>
          </cell>
          <cell r="Q7931">
            <v>2.09</v>
          </cell>
          <cell r="T7931">
            <v>132.41399999999999</v>
          </cell>
        </row>
        <row r="7932">
          <cell r="G7932">
            <v>42767</v>
          </cell>
          <cell r="L7932" t="str">
            <v>16-24-004-01W2</v>
          </cell>
          <cell r="O7932">
            <v>827.7</v>
          </cell>
          <cell r="Q7932">
            <v>0.61</v>
          </cell>
          <cell r="T7932">
            <v>122.125</v>
          </cell>
        </row>
        <row r="7933">
          <cell r="G7933">
            <v>42767</v>
          </cell>
          <cell r="L7933" t="str">
            <v>03-05-006-05W2</v>
          </cell>
          <cell r="O7933">
            <v>833.5</v>
          </cell>
          <cell r="Q7933">
            <v>0.98</v>
          </cell>
          <cell r="T7933">
            <v>130.88399999999999</v>
          </cell>
        </row>
        <row r="7934">
          <cell r="G7934">
            <v>42767</v>
          </cell>
          <cell r="L7934" t="str">
            <v>04-15-008-33W1</v>
          </cell>
          <cell r="O7934">
            <v>847.4</v>
          </cell>
          <cell r="Q7934">
            <v>1.3</v>
          </cell>
          <cell r="T7934">
            <v>140.37299999999999</v>
          </cell>
        </row>
        <row r="7935">
          <cell r="G7935">
            <v>42767</v>
          </cell>
          <cell r="L7935" t="str">
            <v>01-29-004-07W2</v>
          </cell>
          <cell r="O7935">
            <v>884.1</v>
          </cell>
          <cell r="Q7935">
            <v>2.12</v>
          </cell>
          <cell r="T7935">
            <v>152.68799999999999</v>
          </cell>
        </row>
        <row r="7936">
          <cell r="G7936">
            <v>42767</v>
          </cell>
          <cell r="L7936" t="str">
            <v>09-30-007-08W2</v>
          </cell>
          <cell r="O7936">
            <v>831.9</v>
          </cell>
          <cell r="Q7936">
            <v>1</v>
          </cell>
          <cell r="T7936">
            <v>158.85599999999999</v>
          </cell>
        </row>
        <row r="7937">
          <cell r="G7937">
            <v>42767</v>
          </cell>
          <cell r="L7937" t="str">
            <v>13-25-001-01W2</v>
          </cell>
          <cell r="O7937">
            <v>839.8</v>
          </cell>
          <cell r="Q7937">
            <v>0.84</v>
          </cell>
          <cell r="T7937">
            <v>146.80699999999999</v>
          </cell>
        </row>
        <row r="7938">
          <cell r="G7938">
            <v>42767</v>
          </cell>
          <cell r="L7938" t="str">
            <v>02-30-001-31W1</v>
          </cell>
          <cell r="O7938">
            <v>867.9</v>
          </cell>
          <cell r="Q7938">
            <v>1.68</v>
          </cell>
          <cell r="T7938">
            <v>148.39500000000001</v>
          </cell>
        </row>
        <row r="7939">
          <cell r="G7939">
            <v>42767</v>
          </cell>
          <cell r="L7939" t="str">
            <v>09-30-002-30W1</v>
          </cell>
          <cell r="O7939">
            <v>866.6</v>
          </cell>
          <cell r="Q7939">
            <v>1.73</v>
          </cell>
          <cell r="T7939">
            <v>153.03</v>
          </cell>
        </row>
        <row r="7940">
          <cell r="G7940">
            <v>42767</v>
          </cell>
          <cell r="L7940" t="str">
            <v>09-23-002-01W2</v>
          </cell>
          <cell r="O7940">
            <v>849.2</v>
          </cell>
          <cell r="Q7940">
            <v>1.05</v>
          </cell>
          <cell r="T7940">
            <v>151.834</v>
          </cell>
        </row>
        <row r="7941">
          <cell r="G7941">
            <v>42767</v>
          </cell>
          <cell r="L7941" t="str">
            <v>12-12-005-34W1</v>
          </cell>
          <cell r="O7941">
            <v>825.3</v>
          </cell>
          <cell r="Q7941">
            <v>0.61</v>
          </cell>
          <cell r="T7941">
            <v>153.81800000000001</v>
          </cell>
        </row>
        <row r="7942">
          <cell r="G7942">
            <v>42767</v>
          </cell>
          <cell r="L7942" t="str">
            <v>07-25-003-13W2</v>
          </cell>
          <cell r="O7942">
            <v>890.6</v>
          </cell>
          <cell r="Q7942">
            <v>2.4900000000000002</v>
          </cell>
          <cell r="T7942">
            <v>185.74199999999999</v>
          </cell>
        </row>
        <row r="7943">
          <cell r="G7943">
            <v>42767</v>
          </cell>
          <cell r="L7943" t="str">
            <v>01-11-005-04W2</v>
          </cell>
          <cell r="O7943">
            <v>854.9</v>
          </cell>
          <cell r="Q7943">
            <v>1.53</v>
          </cell>
          <cell r="T7943">
            <v>185.28200000000001</v>
          </cell>
        </row>
        <row r="7944">
          <cell r="G7944">
            <v>42767</v>
          </cell>
          <cell r="L7944" t="str">
            <v>15-21-008-03W2</v>
          </cell>
          <cell r="O7944">
            <v>851.6</v>
          </cell>
          <cell r="Q7944">
            <v>1.52</v>
          </cell>
          <cell r="T7944">
            <v>203.072</v>
          </cell>
        </row>
        <row r="7945">
          <cell r="G7945">
            <v>42767</v>
          </cell>
          <cell r="L7945" t="str">
            <v>02-17-005-31W1</v>
          </cell>
          <cell r="O7945">
            <v>846.5</v>
          </cell>
          <cell r="Q7945">
            <v>1.31</v>
          </cell>
          <cell r="T7945">
            <v>215.67</v>
          </cell>
        </row>
        <row r="7946">
          <cell r="G7946">
            <v>42767</v>
          </cell>
          <cell r="L7946" t="str">
            <v>07-36-001-34W1</v>
          </cell>
          <cell r="O7946">
            <v>851.1</v>
          </cell>
          <cell r="Q7946">
            <v>1.01</v>
          </cell>
          <cell r="T7946">
            <v>213.221</v>
          </cell>
        </row>
        <row r="7947">
          <cell r="G7947">
            <v>42767</v>
          </cell>
          <cell r="L7947" t="str">
            <v>08-31-009-01W2</v>
          </cell>
          <cell r="O7947">
            <v>858.8</v>
          </cell>
          <cell r="Q7947">
            <v>1.83</v>
          </cell>
          <cell r="T7947">
            <v>220.434</v>
          </cell>
        </row>
        <row r="7948">
          <cell r="G7948">
            <v>42767</v>
          </cell>
          <cell r="L7948" t="str">
            <v>15-30-007-12W2</v>
          </cell>
          <cell r="O7948">
            <v>868.1</v>
          </cell>
          <cell r="Q7948">
            <v>2.3199999999999998</v>
          </cell>
          <cell r="T7948">
            <v>266.18799999999999</v>
          </cell>
        </row>
        <row r="7949">
          <cell r="G7949">
            <v>42767</v>
          </cell>
          <cell r="L7949" t="str">
            <v>01-24-007-05W2</v>
          </cell>
          <cell r="O7949">
            <v>847.2</v>
          </cell>
          <cell r="Q7949">
            <v>1.28</v>
          </cell>
          <cell r="T7949">
            <v>231.69</v>
          </cell>
        </row>
        <row r="7950">
          <cell r="G7950">
            <v>42767</v>
          </cell>
          <cell r="L7950" t="str">
            <v>09-18-007-04W2</v>
          </cell>
          <cell r="O7950">
            <v>852.9</v>
          </cell>
          <cell r="Q7950">
            <v>1.43</v>
          </cell>
          <cell r="T7950">
            <v>238.64099999999999</v>
          </cell>
        </row>
        <row r="7951">
          <cell r="G7951">
            <v>42767</v>
          </cell>
          <cell r="L7951" t="str">
            <v>10-22-006-14W2</v>
          </cell>
          <cell r="O7951">
            <v>847.2</v>
          </cell>
          <cell r="Q7951">
            <v>1.7</v>
          </cell>
          <cell r="T7951">
            <v>284.50099999999998</v>
          </cell>
        </row>
        <row r="7952">
          <cell r="G7952">
            <v>42767</v>
          </cell>
          <cell r="L7952" t="str">
            <v>01-28-002-14W2</v>
          </cell>
          <cell r="O7952">
            <v>825.7</v>
          </cell>
          <cell r="Q7952">
            <v>1.44</v>
          </cell>
          <cell r="T7952">
            <v>5483.6130000000003</v>
          </cell>
        </row>
        <row r="7953">
          <cell r="G7953">
            <v>42767</v>
          </cell>
          <cell r="L7953" t="str">
            <v>12-22-007-11W2</v>
          </cell>
          <cell r="O7953">
            <v>825.7</v>
          </cell>
          <cell r="Q7953">
            <v>1.53</v>
          </cell>
          <cell r="T7953">
            <v>4978.7389999999996</v>
          </cell>
        </row>
        <row r="7954">
          <cell r="G7954">
            <v>42767</v>
          </cell>
          <cell r="L7954" t="str">
            <v>04-21-006-14W2</v>
          </cell>
          <cell r="O7954">
            <v>856.9</v>
          </cell>
          <cell r="Q7954">
            <v>2.0099999999999998</v>
          </cell>
          <cell r="T7954">
            <v>2599.2350000000001</v>
          </cell>
        </row>
        <row r="7955">
          <cell r="G7955">
            <v>42767</v>
          </cell>
          <cell r="L7955" t="str">
            <v>14-33-006-14W2</v>
          </cell>
          <cell r="O7955">
            <v>850.3</v>
          </cell>
          <cell r="Q7955">
            <v>1.74</v>
          </cell>
          <cell r="T7955">
            <v>2181.0360000000001</v>
          </cell>
        </row>
        <row r="7956">
          <cell r="G7956">
            <v>42767</v>
          </cell>
          <cell r="L7956" t="str">
            <v>05-18-004-17W2</v>
          </cell>
          <cell r="O7956">
            <v>862.4</v>
          </cell>
          <cell r="Q7956">
            <v>2.2599999999999998</v>
          </cell>
          <cell r="T7956">
            <v>1782.912</v>
          </cell>
        </row>
        <row r="7957">
          <cell r="G7957">
            <v>42767</v>
          </cell>
          <cell r="L7957" t="str">
            <v>07-02-007-11W2</v>
          </cell>
          <cell r="O7957">
            <v>863.9</v>
          </cell>
          <cell r="Q7957">
            <v>1.68</v>
          </cell>
          <cell r="T7957">
            <v>1487.789</v>
          </cell>
        </row>
        <row r="7958">
          <cell r="G7958">
            <v>42767</v>
          </cell>
          <cell r="L7958" t="str">
            <v>15-33-006-14W2</v>
          </cell>
          <cell r="O7958">
            <v>847.3</v>
          </cell>
          <cell r="Q7958">
            <v>1.73</v>
          </cell>
          <cell r="T7958">
            <v>1058.9190000000001</v>
          </cell>
        </row>
        <row r="7959">
          <cell r="G7959">
            <v>42767</v>
          </cell>
          <cell r="L7959" t="str">
            <v>01-22-006-14W2</v>
          </cell>
          <cell r="O7959">
            <v>861.7</v>
          </cell>
          <cell r="Q7959">
            <v>2.17</v>
          </cell>
          <cell r="T7959">
            <v>814.95600000000002</v>
          </cell>
        </row>
        <row r="7960">
          <cell r="G7960">
            <v>42767</v>
          </cell>
          <cell r="L7960" t="str">
            <v>03-05-005-11W2</v>
          </cell>
          <cell r="O7960">
            <v>872.4</v>
          </cell>
          <cell r="Q7960">
            <v>1.83</v>
          </cell>
          <cell r="T7960">
            <v>429.35199999999998</v>
          </cell>
        </row>
        <row r="7961">
          <cell r="G7961">
            <v>42767</v>
          </cell>
          <cell r="L7961" t="str">
            <v>03-06-005-12W2</v>
          </cell>
          <cell r="O7961">
            <v>885</v>
          </cell>
          <cell r="Q7961">
            <v>2.5499999999999998</v>
          </cell>
          <cell r="T7961">
            <v>394.94400000000002</v>
          </cell>
        </row>
        <row r="7962">
          <cell r="G7962">
            <v>42767</v>
          </cell>
          <cell r="L7962" t="str">
            <v>02-18-007-13W2</v>
          </cell>
          <cell r="O7962">
            <v>862.4</v>
          </cell>
          <cell r="Q7962">
            <v>1.91</v>
          </cell>
          <cell r="T7962">
            <v>385.62099999999998</v>
          </cell>
        </row>
        <row r="7963">
          <cell r="G7963">
            <v>42767</v>
          </cell>
          <cell r="L7963" t="str">
            <v>04-11-007-13W2</v>
          </cell>
          <cell r="O7963">
            <v>860.6</v>
          </cell>
          <cell r="Q7963">
            <v>2.0699999999999998</v>
          </cell>
          <cell r="T7963">
            <v>370.69200000000001</v>
          </cell>
        </row>
        <row r="7964">
          <cell r="G7964">
            <v>42767</v>
          </cell>
          <cell r="L7964" t="str">
            <v>01-03-008-13W2</v>
          </cell>
          <cell r="O7964">
            <v>852.3</v>
          </cell>
          <cell r="Q7964">
            <v>2.08</v>
          </cell>
          <cell r="T7964">
            <v>329.255</v>
          </cell>
        </row>
        <row r="7965">
          <cell r="G7965">
            <v>42767</v>
          </cell>
          <cell r="L7965" t="str">
            <v>11-23-002-34W1</v>
          </cell>
          <cell r="O7965">
            <v>833.5</v>
          </cell>
          <cell r="Q7965">
            <v>0.71</v>
          </cell>
          <cell r="T7965">
            <v>242.86699999999999</v>
          </cell>
        </row>
        <row r="7966">
          <cell r="G7966">
            <v>42767</v>
          </cell>
          <cell r="L7966" t="str">
            <v>14-18-001-04W2</v>
          </cell>
          <cell r="O7966">
            <v>823</v>
          </cell>
          <cell r="Q7966">
            <v>0.55000000000000004</v>
          </cell>
          <cell r="T7966">
            <v>267.48599999999999</v>
          </cell>
        </row>
        <row r="7967">
          <cell r="G7967">
            <v>42767</v>
          </cell>
          <cell r="L7967" t="str">
            <v>02-10-003-01W2</v>
          </cell>
          <cell r="O7967">
            <v>829.9</v>
          </cell>
          <cell r="Q7967">
            <v>0.52</v>
          </cell>
          <cell r="T7967">
            <v>250.351</v>
          </cell>
        </row>
        <row r="7968">
          <cell r="G7968">
            <v>42767</v>
          </cell>
          <cell r="L7968" t="str">
            <v>14-27-001-13W2</v>
          </cell>
          <cell r="O7968">
            <v>816.6</v>
          </cell>
          <cell r="Q7968">
            <v>0.56999999999999995</v>
          </cell>
          <cell r="T7968">
            <v>20149.223999999998</v>
          </cell>
        </row>
        <row r="7969">
          <cell r="G7969">
            <v>42767</v>
          </cell>
          <cell r="L7969" t="str">
            <v xml:space="preserve">07-12-006-11W2  </v>
          </cell>
          <cell r="O7969">
            <v>876.2</v>
          </cell>
          <cell r="Q7969">
            <v>2.1</v>
          </cell>
          <cell r="T7969">
            <v>19823.89</v>
          </cell>
        </row>
        <row r="7970">
          <cell r="G7970">
            <v>42767</v>
          </cell>
          <cell r="L7970" t="str">
            <v>01-21-001-14W2</v>
          </cell>
          <cell r="O7970">
            <v>810.2</v>
          </cell>
          <cell r="Q7970">
            <v>0.33</v>
          </cell>
          <cell r="T7970">
            <v>17200.881000000001</v>
          </cell>
        </row>
        <row r="7971">
          <cell r="G7971">
            <v>42767</v>
          </cell>
          <cell r="L7971" t="str">
            <v>09-13-007-11W2</v>
          </cell>
          <cell r="O7971">
            <v>817.3</v>
          </cell>
          <cell r="Q7971">
            <v>0.6</v>
          </cell>
          <cell r="T7971">
            <v>16928.633000000002</v>
          </cell>
        </row>
        <row r="7972">
          <cell r="G7972">
            <v>42767</v>
          </cell>
          <cell r="L7972" t="str">
            <v>13-30-007-10W2</v>
          </cell>
          <cell r="O7972">
            <v>815</v>
          </cell>
          <cell r="Q7972">
            <v>0.65</v>
          </cell>
          <cell r="T7972">
            <v>11683.09</v>
          </cell>
        </row>
        <row r="7973">
          <cell r="G7973">
            <v>42767</v>
          </cell>
          <cell r="L7973" t="str">
            <v>08-31-004-18W2</v>
          </cell>
          <cell r="O7973">
            <v>857</v>
          </cell>
          <cell r="Q7973">
            <v>1.87</v>
          </cell>
          <cell r="T7973">
            <v>6942.3440000000001</v>
          </cell>
        </row>
        <row r="7974">
          <cell r="G7974">
            <v>42767</v>
          </cell>
          <cell r="L7974" t="str">
            <v>04-05-002-15W2</v>
          </cell>
          <cell r="O7974">
            <v>856.3</v>
          </cell>
          <cell r="Q7974">
            <v>1.95</v>
          </cell>
          <cell r="T7974">
            <v>3347.944</v>
          </cell>
        </row>
        <row r="7975">
          <cell r="G7975">
            <v>42767</v>
          </cell>
          <cell r="L7975" t="str">
            <v>11-02-005-12W2</v>
          </cell>
          <cell r="O7975">
            <v>845.5</v>
          </cell>
          <cell r="Q7975">
            <v>1.69</v>
          </cell>
          <cell r="T7975">
            <v>2751.2289999999998</v>
          </cell>
        </row>
        <row r="7976">
          <cell r="G7976">
            <v>42767</v>
          </cell>
          <cell r="L7976" t="str">
            <v>05-31-003-16W2</v>
          </cell>
          <cell r="O7976">
            <v>889.3</v>
          </cell>
          <cell r="Q7976">
            <v>3.27</v>
          </cell>
          <cell r="T7976">
            <v>2555.8119999999999</v>
          </cell>
        </row>
        <row r="7977">
          <cell r="G7977">
            <v>42767</v>
          </cell>
          <cell r="L7977" t="str">
            <v>06-03-001-16W2</v>
          </cell>
          <cell r="O7977">
            <v>825.4</v>
          </cell>
          <cell r="Q7977">
            <v>0.48</v>
          </cell>
          <cell r="T7977">
            <v>2535.1390000000001</v>
          </cell>
        </row>
        <row r="7978">
          <cell r="G7978">
            <v>42767</v>
          </cell>
          <cell r="L7978" t="str">
            <v>13-02-007-14W2</v>
          </cell>
          <cell r="O7978">
            <v>852.4</v>
          </cell>
          <cell r="Q7978">
            <v>1.83</v>
          </cell>
          <cell r="T7978">
            <v>1641.5440000000001</v>
          </cell>
        </row>
        <row r="7979">
          <cell r="G7979">
            <v>42767</v>
          </cell>
          <cell r="L7979" t="str">
            <v>11-04-005-12W2</v>
          </cell>
          <cell r="O7979">
            <v>876.8</v>
          </cell>
          <cell r="Q7979">
            <v>2.09</v>
          </cell>
          <cell r="T7979">
            <v>1412.5039999999999</v>
          </cell>
        </row>
        <row r="7980">
          <cell r="G7980">
            <v>42767</v>
          </cell>
          <cell r="L7980" t="str">
            <v>15-32-004-12W2</v>
          </cell>
          <cell r="O7980">
            <v>880.1</v>
          </cell>
          <cell r="Q7980">
            <v>2.17</v>
          </cell>
          <cell r="T7980">
            <v>1351.4469999999999</v>
          </cell>
        </row>
        <row r="7981">
          <cell r="G7981">
            <v>42767</v>
          </cell>
          <cell r="L7981" t="str">
            <v>16-23-006-11W2</v>
          </cell>
          <cell r="O7981">
            <v>877.8</v>
          </cell>
          <cell r="Q7981">
            <v>2.34</v>
          </cell>
          <cell r="T7981">
            <v>1224.202</v>
          </cell>
        </row>
        <row r="7982">
          <cell r="G7982">
            <v>42767</v>
          </cell>
          <cell r="L7982" t="str">
            <v>11-26-002-19W2</v>
          </cell>
          <cell r="O7982">
            <v>869.2</v>
          </cell>
          <cell r="Q7982">
            <v>1.96</v>
          </cell>
          <cell r="T7982">
            <v>1064.463</v>
          </cell>
        </row>
        <row r="7983">
          <cell r="G7983">
            <v>42767</v>
          </cell>
          <cell r="L7983" t="str">
            <v>12-25-004-19W2</v>
          </cell>
          <cell r="O7983">
            <v>864.2</v>
          </cell>
          <cell r="Q7983">
            <v>2.37</v>
          </cell>
          <cell r="T7983">
            <v>701.72799999999995</v>
          </cell>
        </row>
        <row r="7984">
          <cell r="G7984">
            <v>42767</v>
          </cell>
          <cell r="L7984" t="str">
            <v>02-29-001-17W2</v>
          </cell>
          <cell r="O7984">
            <v>860.3</v>
          </cell>
          <cell r="Q7984">
            <v>2.17</v>
          </cell>
          <cell r="T7984">
            <v>618.17100000000005</v>
          </cell>
        </row>
        <row r="7985">
          <cell r="G7985">
            <v>42767</v>
          </cell>
          <cell r="L7985" t="str">
            <v>15-25-007-11W2</v>
          </cell>
          <cell r="O7985">
            <v>870.7</v>
          </cell>
          <cell r="Q7985">
            <v>2.14</v>
          </cell>
          <cell r="T7985">
            <v>611.99099999999999</v>
          </cell>
        </row>
        <row r="7986">
          <cell r="G7986">
            <v>42767</v>
          </cell>
          <cell r="L7986" t="str">
            <v>05-35-006-11W2</v>
          </cell>
          <cell r="O7986">
            <v>805.9</v>
          </cell>
          <cell r="Q7986">
            <v>0.12</v>
          </cell>
          <cell r="T7986">
            <v>394.875</v>
          </cell>
        </row>
        <row r="7987">
          <cell r="G7987">
            <v>42767</v>
          </cell>
          <cell r="L7987" t="str">
            <v>09-28-001-15W2</v>
          </cell>
          <cell r="O7987">
            <v>862.4</v>
          </cell>
          <cell r="Q7987">
            <v>1.21</v>
          </cell>
          <cell r="T7987">
            <v>355.15600000000001</v>
          </cell>
        </row>
        <row r="7988">
          <cell r="G7988">
            <v>42767</v>
          </cell>
          <cell r="L7988" t="str">
            <v>03-12-002-19W2</v>
          </cell>
          <cell r="O7988">
            <v>875.1</v>
          </cell>
          <cell r="Q7988">
            <v>2.6</v>
          </cell>
          <cell r="T7988">
            <v>303.27100000000002</v>
          </cell>
        </row>
        <row r="7989">
          <cell r="G7989">
            <v>42767</v>
          </cell>
          <cell r="L7989" t="str">
            <v>12-01-003-30W1</v>
          </cell>
          <cell r="O7989">
            <v>865.8</v>
          </cell>
          <cell r="Q7989">
            <v>1.96</v>
          </cell>
          <cell r="T7989">
            <v>259.06400000000002</v>
          </cell>
        </row>
        <row r="7990">
          <cell r="G7990">
            <v>42767</v>
          </cell>
          <cell r="L7990" t="str">
            <v>05-01-001-32W1</v>
          </cell>
          <cell r="O7990">
            <v>870.1</v>
          </cell>
          <cell r="Q7990">
            <v>1.78</v>
          </cell>
          <cell r="T7990">
            <v>264.49799999999999</v>
          </cell>
        </row>
        <row r="7991">
          <cell r="G7991">
            <v>42767</v>
          </cell>
          <cell r="L7991" t="str">
            <v>07-25-009-08W2</v>
          </cell>
          <cell r="O7991">
            <v>881.7</v>
          </cell>
          <cell r="Q7991">
            <v>2.37</v>
          </cell>
          <cell r="T7991">
            <v>303.50299999999999</v>
          </cell>
        </row>
        <row r="7992">
          <cell r="G7992">
            <v>42767</v>
          </cell>
          <cell r="L7992" t="str">
            <v>08-31-005-03W2</v>
          </cell>
          <cell r="O7992">
            <v>840.3</v>
          </cell>
          <cell r="Q7992">
            <v>1.08</v>
          </cell>
          <cell r="T7992">
            <v>267.25900000000001</v>
          </cell>
        </row>
        <row r="7993">
          <cell r="G7993">
            <v>42767</v>
          </cell>
          <cell r="L7993" t="str">
            <v>01-07-006-10W2</v>
          </cell>
          <cell r="O7993">
            <v>823</v>
          </cell>
          <cell r="Q7993">
            <v>1.68</v>
          </cell>
          <cell r="T7993">
            <v>47607.114999999998</v>
          </cell>
        </row>
        <row r="7994">
          <cell r="G7994">
            <v>42767</v>
          </cell>
          <cell r="L7994" t="str">
            <v>07-23-006-02W2</v>
          </cell>
          <cell r="O7994">
            <v>845.2</v>
          </cell>
          <cell r="Q7994">
            <v>1.19</v>
          </cell>
          <cell r="T7994">
            <v>274.63499999999999</v>
          </cell>
        </row>
        <row r="7995">
          <cell r="G7995">
            <v>42767</v>
          </cell>
          <cell r="L7995" t="str">
            <v>03-33-008-06W2</v>
          </cell>
          <cell r="O7995">
            <v>809.1</v>
          </cell>
          <cell r="Q7995">
            <v>0.33</v>
          </cell>
          <cell r="T7995">
            <v>12819.813</v>
          </cell>
        </row>
        <row r="7996">
          <cell r="G7996">
            <v>42767</v>
          </cell>
          <cell r="L7996" t="str">
            <v>12-06-009-07W2</v>
          </cell>
          <cell r="O7996">
            <v>807.9</v>
          </cell>
          <cell r="Q7996">
            <v>0.19</v>
          </cell>
          <cell r="T7996">
            <v>7967.6189999999997</v>
          </cell>
        </row>
        <row r="7997">
          <cell r="G7997">
            <v>42767</v>
          </cell>
          <cell r="L7997" t="str">
            <v>02-26-009-09W2</v>
          </cell>
          <cell r="O7997">
            <v>810.8</v>
          </cell>
          <cell r="Q7997">
            <v>0.17</v>
          </cell>
          <cell r="T7997">
            <v>7768.6840000000002</v>
          </cell>
        </row>
        <row r="7998">
          <cell r="G7998">
            <v>42767</v>
          </cell>
          <cell r="L7998" t="str">
            <v>03-17-011-06W2</v>
          </cell>
          <cell r="O7998">
            <v>882.1</v>
          </cell>
          <cell r="Q7998">
            <v>2.81</v>
          </cell>
          <cell r="T7998">
            <v>2249.1170000000002</v>
          </cell>
        </row>
        <row r="7999">
          <cell r="G7999">
            <v>42767</v>
          </cell>
          <cell r="L7999" t="str">
            <v>13-14-009-09W2</v>
          </cell>
          <cell r="O7999">
            <v>862</v>
          </cell>
          <cell r="Q7999">
            <v>1.82</v>
          </cell>
          <cell r="T7999">
            <v>1696.316</v>
          </cell>
        </row>
        <row r="8000">
          <cell r="G8000">
            <v>42767</v>
          </cell>
          <cell r="L8000" t="str">
            <v>04-18-009-06W2</v>
          </cell>
          <cell r="O8000">
            <v>821.5</v>
          </cell>
          <cell r="Q8000">
            <v>0.6</v>
          </cell>
          <cell r="T8000">
            <v>1027.1969999999999</v>
          </cell>
        </row>
        <row r="8001">
          <cell r="G8001">
            <v>42767</v>
          </cell>
          <cell r="L8001" t="str">
            <v>05-31-009-07W2</v>
          </cell>
          <cell r="O8001">
            <v>880.9</v>
          </cell>
          <cell r="Q8001">
            <v>2.38</v>
          </cell>
          <cell r="T8001">
            <v>708.54399999999998</v>
          </cell>
        </row>
        <row r="8002">
          <cell r="G8002">
            <v>42767</v>
          </cell>
          <cell r="L8002" t="str">
            <v>09-10-009-06W2</v>
          </cell>
          <cell r="O8002">
            <v>853.7</v>
          </cell>
          <cell r="Q8002">
            <v>1.7</v>
          </cell>
          <cell r="T8002">
            <v>676.452</v>
          </cell>
        </row>
        <row r="8003">
          <cell r="G8003">
            <v>42767</v>
          </cell>
          <cell r="L8003" t="str">
            <v>09-26-007-09W2</v>
          </cell>
          <cell r="O8003">
            <v>811</v>
          </cell>
          <cell r="Q8003">
            <v>0.52</v>
          </cell>
          <cell r="T8003">
            <v>593.99300000000005</v>
          </cell>
        </row>
        <row r="8004">
          <cell r="G8004">
            <v>42767</v>
          </cell>
          <cell r="L8004" t="str">
            <v>10-33-003-31W1</v>
          </cell>
          <cell r="O8004">
            <v>877.4</v>
          </cell>
          <cell r="Q8004">
            <v>2.12</v>
          </cell>
          <cell r="T8004">
            <v>291.96199999999999</v>
          </cell>
        </row>
        <row r="8005">
          <cell r="G8005">
            <v>42767</v>
          </cell>
          <cell r="L8005" t="str">
            <v>03-23-001-32W1</v>
          </cell>
          <cell r="O8005">
            <v>859</v>
          </cell>
          <cell r="Q8005">
            <v>1.65</v>
          </cell>
          <cell r="T8005">
            <v>293.28800000000001</v>
          </cell>
        </row>
        <row r="8006">
          <cell r="G8006">
            <v>42767</v>
          </cell>
          <cell r="L8006" t="str">
            <v>01-22-010-07W2</v>
          </cell>
          <cell r="O8006">
            <v>881.7</v>
          </cell>
          <cell r="Q8006">
            <v>2.56</v>
          </cell>
          <cell r="T8006">
            <v>334.68700000000001</v>
          </cell>
        </row>
        <row r="8007">
          <cell r="G8007">
            <v>42767</v>
          </cell>
          <cell r="L8007" t="str">
            <v>04-08-008-08W2</v>
          </cell>
          <cell r="O8007">
            <v>826.4</v>
          </cell>
          <cell r="Q8007">
            <v>0.63</v>
          </cell>
          <cell r="T8007">
            <v>124428.834</v>
          </cell>
        </row>
        <row r="8008">
          <cell r="G8008">
            <v>42767</v>
          </cell>
          <cell r="L8008" t="str">
            <v>13-29-008-07W2</v>
          </cell>
          <cell r="O8008">
            <v>800.4</v>
          </cell>
          <cell r="Q8008">
            <v>0.14000000000000001</v>
          </cell>
          <cell r="T8008">
            <v>8347.0130000000008</v>
          </cell>
        </row>
        <row r="8009">
          <cell r="G8009">
            <v>42767</v>
          </cell>
          <cell r="L8009" t="str">
            <v>11-15-007-09W2</v>
          </cell>
          <cell r="O8009">
            <v>820.9</v>
          </cell>
          <cell r="Q8009">
            <v>0.72</v>
          </cell>
          <cell r="T8009">
            <v>5063.2240000000002</v>
          </cell>
        </row>
        <row r="8010">
          <cell r="G8010">
            <v>42767</v>
          </cell>
          <cell r="L8010" t="str">
            <v>13-18-010-06W2</v>
          </cell>
          <cell r="O8010">
            <v>834.2</v>
          </cell>
          <cell r="Q8010">
            <v>1.19</v>
          </cell>
          <cell r="T8010">
            <v>3898.7570000000001</v>
          </cell>
        </row>
        <row r="8011">
          <cell r="G8011">
            <v>42767</v>
          </cell>
          <cell r="L8011" t="str">
            <v>09-20-008-08W2</v>
          </cell>
          <cell r="O8011">
            <v>815.1</v>
          </cell>
          <cell r="Q8011">
            <v>0.43</v>
          </cell>
          <cell r="T8011">
            <v>3171.6849999999999</v>
          </cell>
        </row>
        <row r="8012">
          <cell r="G8012">
            <v>42767</v>
          </cell>
          <cell r="L8012" t="str">
            <v>09-14-009-08W2</v>
          </cell>
          <cell r="O8012">
            <v>803.8</v>
          </cell>
          <cell r="Q8012">
            <v>0.16</v>
          </cell>
          <cell r="T8012">
            <v>2651.0239999999999</v>
          </cell>
        </row>
        <row r="8013">
          <cell r="G8013">
            <v>42767</v>
          </cell>
          <cell r="L8013" t="str">
            <v>13-07-010-09W2</v>
          </cell>
          <cell r="O8013">
            <v>806.6</v>
          </cell>
          <cell r="Q8013">
            <v>0.18</v>
          </cell>
          <cell r="T8013">
            <v>2203.1469999999999</v>
          </cell>
        </row>
        <row r="8014">
          <cell r="G8014">
            <v>42767</v>
          </cell>
          <cell r="L8014" t="str">
            <v>05-13-009-06W2</v>
          </cell>
          <cell r="O8014">
            <v>846.8</v>
          </cell>
          <cell r="Q8014">
            <v>1.56</v>
          </cell>
          <cell r="T8014">
            <v>1600.3589999999999</v>
          </cell>
        </row>
        <row r="8015">
          <cell r="G8015">
            <v>42767</v>
          </cell>
          <cell r="L8015" t="str">
            <v>03-06-011-07W2</v>
          </cell>
          <cell r="O8015">
            <v>889.5</v>
          </cell>
          <cell r="Q8015">
            <v>1.89</v>
          </cell>
          <cell r="T8015">
            <v>1544.6130000000001</v>
          </cell>
        </row>
        <row r="8016">
          <cell r="G8016">
            <v>42767</v>
          </cell>
          <cell r="L8016" t="str">
            <v>15-23-006-08W2</v>
          </cell>
          <cell r="O8016">
            <v>866.2</v>
          </cell>
          <cell r="Q8016">
            <v>1.94</v>
          </cell>
          <cell r="T8016">
            <v>1326.826</v>
          </cell>
        </row>
        <row r="8017">
          <cell r="G8017">
            <v>42767</v>
          </cell>
          <cell r="L8017" t="str">
            <v>05-13-008-06W2</v>
          </cell>
          <cell r="O8017">
            <v>816.6</v>
          </cell>
          <cell r="Q8017">
            <v>0.61</v>
          </cell>
          <cell r="T8017">
            <v>1278.953</v>
          </cell>
        </row>
        <row r="8018">
          <cell r="G8018">
            <v>42767</v>
          </cell>
          <cell r="L8018" t="str">
            <v>07-04-010-08W2</v>
          </cell>
          <cell r="O8018">
            <v>875.5</v>
          </cell>
          <cell r="Q8018">
            <v>2.54</v>
          </cell>
          <cell r="T8018">
            <v>1211.7439999999999</v>
          </cell>
        </row>
        <row r="8019">
          <cell r="G8019">
            <v>42767</v>
          </cell>
          <cell r="L8019" t="str">
            <v>01-26-006-09W2</v>
          </cell>
          <cell r="O8019">
            <v>885.3</v>
          </cell>
          <cell r="Q8019">
            <v>2.2999999999999998</v>
          </cell>
          <cell r="T8019">
            <v>1141.9259999999999</v>
          </cell>
        </row>
        <row r="8020">
          <cell r="G8020">
            <v>42767</v>
          </cell>
          <cell r="L8020" t="str">
            <v>09-06-010-07W2</v>
          </cell>
          <cell r="O8020">
            <v>881.7</v>
          </cell>
          <cell r="Q8020">
            <v>2.41</v>
          </cell>
          <cell r="T8020">
            <v>832.52300000000002</v>
          </cell>
        </row>
        <row r="8021">
          <cell r="G8021">
            <v>42767</v>
          </cell>
          <cell r="L8021" t="str">
            <v>09-11-010-08W2</v>
          </cell>
          <cell r="O8021">
            <v>882.4</v>
          </cell>
          <cell r="Q8021">
            <v>2.5299999999999998</v>
          </cell>
          <cell r="T8021">
            <v>660.39</v>
          </cell>
        </row>
        <row r="8022">
          <cell r="G8022">
            <v>42767</v>
          </cell>
          <cell r="L8022" t="str">
            <v>16-35-009-09W2</v>
          </cell>
          <cell r="O8022">
            <v>882.1</v>
          </cell>
          <cell r="Q8022">
            <v>2.54</v>
          </cell>
          <cell r="T8022">
            <v>577.10900000000004</v>
          </cell>
        </row>
        <row r="8023">
          <cell r="G8023">
            <v>42767</v>
          </cell>
          <cell r="L8023" t="str">
            <v>07-28-007-08W2</v>
          </cell>
          <cell r="O8023">
            <v>844.5</v>
          </cell>
          <cell r="Q8023">
            <v>1.71</v>
          </cell>
          <cell r="T8023">
            <v>561.70399999999995</v>
          </cell>
        </row>
        <row r="8024">
          <cell r="G8024">
            <v>42767</v>
          </cell>
          <cell r="L8024" t="str">
            <v>01-04-007-09W2</v>
          </cell>
          <cell r="O8024">
            <v>812.3</v>
          </cell>
          <cell r="Q8024">
            <v>0.22</v>
          </cell>
          <cell r="T8024">
            <v>398.39699999999999</v>
          </cell>
        </row>
        <row r="8025">
          <cell r="G8025">
            <v>42767</v>
          </cell>
          <cell r="L8025" t="str">
            <v>14-35-006-05W2</v>
          </cell>
          <cell r="O8025">
            <v>856.1</v>
          </cell>
          <cell r="Q8025">
            <v>1.81</v>
          </cell>
          <cell r="T8025">
            <v>304.57299999999998</v>
          </cell>
        </row>
        <row r="8026">
          <cell r="G8026">
            <v>42767</v>
          </cell>
          <cell r="L8026" t="str">
            <v>16-09-004-31W1</v>
          </cell>
          <cell r="O8026">
            <v>867.7</v>
          </cell>
          <cell r="Q8026">
            <v>1.79</v>
          </cell>
          <cell r="T8026">
            <v>308.76600000000002</v>
          </cell>
        </row>
        <row r="8027">
          <cell r="G8027">
            <v>42767</v>
          </cell>
          <cell r="L8027" t="str">
            <v>07-18-005-04W2</v>
          </cell>
          <cell r="O8027">
            <v>853.4</v>
          </cell>
          <cell r="Q8027">
            <v>1.65</v>
          </cell>
          <cell r="T8027">
            <v>342.62</v>
          </cell>
        </row>
        <row r="8028">
          <cell r="G8028">
            <v>42767</v>
          </cell>
          <cell r="L8028" t="str">
            <v>02-13-006-01W2</v>
          </cell>
          <cell r="O8028">
            <v>842.3</v>
          </cell>
          <cell r="Q8028">
            <v>1.22</v>
          </cell>
          <cell r="T8028">
            <v>315.15499999999997</v>
          </cell>
        </row>
        <row r="8029">
          <cell r="G8029">
            <v>42767</v>
          </cell>
          <cell r="L8029" t="str">
            <v>15-26-007-04W2</v>
          </cell>
          <cell r="O8029">
            <v>851.5</v>
          </cell>
          <cell r="Q8029">
            <v>1.42</v>
          </cell>
          <cell r="T8029">
            <v>310.637</v>
          </cell>
        </row>
        <row r="8030">
          <cell r="G8030">
            <v>42767</v>
          </cell>
          <cell r="L8030" t="str">
            <v>01-01-006-06W2</v>
          </cell>
          <cell r="O8030">
            <v>849.9</v>
          </cell>
          <cell r="Q8030">
            <v>1.22</v>
          </cell>
          <cell r="T8030">
            <v>356.30200000000002</v>
          </cell>
        </row>
        <row r="8031">
          <cell r="G8031">
            <v>42767</v>
          </cell>
          <cell r="L8031" t="str">
            <v>08-12-006-01W2</v>
          </cell>
          <cell r="O8031">
            <v>845.1</v>
          </cell>
          <cell r="Q8031">
            <v>1.3</v>
          </cell>
          <cell r="T8031">
            <v>320.83800000000002</v>
          </cell>
        </row>
        <row r="8032">
          <cell r="G8032">
            <v>42767</v>
          </cell>
          <cell r="L8032" t="str">
            <v>16-18-011-04W2</v>
          </cell>
          <cell r="O8032">
            <v>830.3</v>
          </cell>
          <cell r="Q8032">
            <v>1.61</v>
          </cell>
          <cell r="T8032">
            <v>7771.3980000000001</v>
          </cell>
        </row>
        <row r="8033">
          <cell r="G8033">
            <v>42767</v>
          </cell>
          <cell r="L8033" t="str">
            <v>05-31-002-01W2</v>
          </cell>
          <cell r="O8033">
            <v>825.4</v>
          </cell>
          <cell r="Q8033">
            <v>0.73</v>
          </cell>
          <cell r="T8033">
            <v>7093.32</v>
          </cell>
        </row>
        <row r="8034">
          <cell r="G8034">
            <v>42767</v>
          </cell>
          <cell r="L8034" t="str">
            <v>13-03-006-34W1</v>
          </cell>
          <cell r="O8034">
            <v>842.7</v>
          </cell>
          <cell r="Q8034">
            <v>1.2</v>
          </cell>
          <cell r="T8034">
            <v>6151.1620000000003</v>
          </cell>
        </row>
        <row r="8035">
          <cell r="G8035">
            <v>42767</v>
          </cell>
          <cell r="L8035" t="str">
            <v>11-30-005-03W2</v>
          </cell>
          <cell r="O8035">
            <v>853.8</v>
          </cell>
          <cell r="Q8035">
            <v>1.44</v>
          </cell>
          <cell r="T8035">
            <v>4067.5740000000001</v>
          </cell>
        </row>
        <row r="8036">
          <cell r="G8036">
            <v>42767</v>
          </cell>
          <cell r="L8036" t="str">
            <v>03-03-002-32W1</v>
          </cell>
          <cell r="O8036">
            <v>825.3</v>
          </cell>
          <cell r="Q8036">
            <v>1.57</v>
          </cell>
          <cell r="T8036">
            <v>3995.7719999999999</v>
          </cell>
        </row>
        <row r="8037">
          <cell r="G8037">
            <v>42767</v>
          </cell>
          <cell r="L8037" t="str">
            <v>16-12-004-31W1</v>
          </cell>
          <cell r="O8037">
            <v>852.9</v>
          </cell>
          <cell r="Q8037">
            <v>1.41</v>
          </cell>
          <cell r="T8037">
            <v>3955.1579999999999</v>
          </cell>
        </row>
        <row r="8038">
          <cell r="G8038">
            <v>42767</v>
          </cell>
          <cell r="L8038" t="str">
            <v>04-27-003-33W1</v>
          </cell>
          <cell r="O8038">
            <v>838.7</v>
          </cell>
          <cell r="Q8038">
            <v>1.1100000000000001</v>
          </cell>
          <cell r="T8038">
            <v>3199.3029999999999</v>
          </cell>
        </row>
        <row r="8039">
          <cell r="G8039">
            <v>42767</v>
          </cell>
          <cell r="L8039" t="str">
            <v>09-02-007-05W2</v>
          </cell>
          <cell r="O8039">
            <v>849</v>
          </cell>
          <cell r="Q8039">
            <v>1.25</v>
          </cell>
          <cell r="T8039">
            <v>2993.424</v>
          </cell>
        </row>
        <row r="8040">
          <cell r="G8040">
            <v>42767</v>
          </cell>
          <cell r="L8040" t="str">
            <v>05-03-009-33W1</v>
          </cell>
          <cell r="O8040">
            <v>851.2</v>
          </cell>
          <cell r="Q8040">
            <v>1.4</v>
          </cell>
          <cell r="T8040">
            <v>2290.4499999999998</v>
          </cell>
        </row>
        <row r="8041">
          <cell r="G8041">
            <v>42767</v>
          </cell>
          <cell r="L8041" t="str">
            <v>04-22-009-33W1</v>
          </cell>
          <cell r="O8041">
            <v>852.9</v>
          </cell>
          <cell r="Q8041">
            <v>1.49</v>
          </cell>
          <cell r="T8041">
            <v>2289.63</v>
          </cell>
        </row>
        <row r="8042">
          <cell r="G8042">
            <v>42767</v>
          </cell>
          <cell r="L8042" t="str">
            <v>06-27-006-01W2</v>
          </cell>
          <cell r="O8042">
            <v>844.1</v>
          </cell>
          <cell r="Q8042">
            <v>1.18</v>
          </cell>
          <cell r="T8042">
            <v>2200.308</v>
          </cell>
        </row>
        <row r="8043">
          <cell r="G8043">
            <v>42767</v>
          </cell>
          <cell r="L8043" t="str">
            <v>07-28-002-30W1</v>
          </cell>
          <cell r="O8043">
            <v>876.9</v>
          </cell>
          <cell r="Q8043">
            <v>2.38</v>
          </cell>
          <cell r="T8043">
            <v>2038.047</v>
          </cell>
        </row>
        <row r="8044">
          <cell r="G8044">
            <v>42767</v>
          </cell>
          <cell r="L8044" t="str">
            <v>01-09-001-31W1</v>
          </cell>
          <cell r="O8044">
            <v>873.2</v>
          </cell>
          <cell r="Q8044">
            <v>2.12</v>
          </cell>
          <cell r="T8044">
            <v>1819.327</v>
          </cell>
        </row>
        <row r="8045">
          <cell r="G8045">
            <v>42767</v>
          </cell>
          <cell r="L8045" t="str">
            <v>09-28-006-34W1</v>
          </cell>
          <cell r="O8045">
            <v>841.8</v>
          </cell>
          <cell r="Q8045">
            <v>1.3</v>
          </cell>
          <cell r="T8045">
            <v>1563.1569999999999</v>
          </cell>
        </row>
        <row r="8046">
          <cell r="G8046">
            <v>42767</v>
          </cell>
          <cell r="L8046" t="str">
            <v>10-11-006-34W1</v>
          </cell>
          <cell r="O8046">
            <v>849.5</v>
          </cell>
          <cell r="Q8046">
            <v>1.51</v>
          </cell>
          <cell r="T8046">
            <v>1415.4580000000001</v>
          </cell>
        </row>
        <row r="8047">
          <cell r="G8047">
            <v>42767</v>
          </cell>
          <cell r="L8047" t="str">
            <v>08-05-006-33W1</v>
          </cell>
          <cell r="O8047">
            <v>832.2</v>
          </cell>
          <cell r="Q8047">
            <v>0.99</v>
          </cell>
          <cell r="T8047">
            <v>1340.56</v>
          </cell>
        </row>
        <row r="8048">
          <cell r="G8048">
            <v>42767</v>
          </cell>
          <cell r="L8048" t="str">
            <v>04-17-004-31W1</v>
          </cell>
          <cell r="O8048">
            <v>862.2</v>
          </cell>
          <cell r="Q8048">
            <v>1.74</v>
          </cell>
          <cell r="T8048">
            <v>1332.451</v>
          </cell>
        </row>
        <row r="8049">
          <cell r="G8049">
            <v>42767</v>
          </cell>
          <cell r="L8049" t="str">
            <v>14-33-003-01W2</v>
          </cell>
          <cell r="O8049">
            <v>834</v>
          </cell>
          <cell r="Q8049">
            <v>0.86</v>
          </cell>
          <cell r="T8049">
            <v>1247.345</v>
          </cell>
        </row>
        <row r="8050">
          <cell r="G8050">
            <v>42767</v>
          </cell>
          <cell r="L8050" t="str">
            <v>14-30-009-33W1</v>
          </cell>
          <cell r="O8050">
            <v>855.9</v>
          </cell>
          <cell r="Q8050">
            <v>1.77</v>
          </cell>
          <cell r="T8050">
            <v>1214.4570000000001</v>
          </cell>
        </row>
        <row r="8051">
          <cell r="G8051">
            <v>42767</v>
          </cell>
          <cell r="L8051" t="str">
            <v>09-27-006-05W2</v>
          </cell>
          <cell r="O8051">
            <v>874.2</v>
          </cell>
          <cell r="Q8051">
            <v>2.2000000000000002</v>
          </cell>
          <cell r="T8051">
            <v>1043.5409999999999</v>
          </cell>
        </row>
        <row r="8052">
          <cell r="G8052">
            <v>42767</v>
          </cell>
          <cell r="L8052" t="str">
            <v>09-27-008-03W2</v>
          </cell>
          <cell r="O8052">
            <v>851.4</v>
          </cell>
          <cell r="Q8052">
            <v>1.6</v>
          </cell>
          <cell r="T8052">
            <v>970.56500000000005</v>
          </cell>
        </row>
        <row r="8053">
          <cell r="G8053">
            <v>42767</v>
          </cell>
          <cell r="L8053" t="str">
            <v>11-28-006-05W2</v>
          </cell>
          <cell r="O8053">
            <v>853.4</v>
          </cell>
          <cell r="Q8053">
            <v>1.49</v>
          </cell>
          <cell r="T8053">
            <v>941.77</v>
          </cell>
        </row>
        <row r="8054">
          <cell r="G8054">
            <v>42767</v>
          </cell>
          <cell r="L8054" t="str">
            <v>09-19-009-33W1</v>
          </cell>
          <cell r="O8054">
            <v>852.9</v>
          </cell>
          <cell r="Q8054">
            <v>1.71</v>
          </cell>
          <cell r="T8054">
            <v>880.26199999999994</v>
          </cell>
        </row>
        <row r="8055">
          <cell r="G8055">
            <v>42767</v>
          </cell>
          <cell r="L8055" t="str">
            <v>15-14-009-03W2</v>
          </cell>
          <cell r="O8055">
            <v>850.7</v>
          </cell>
          <cell r="Q8055">
            <v>1.61</v>
          </cell>
          <cell r="T8055">
            <v>829.76499999999999</v>
          </cell>
        </row>
        <row r="8056">
          <cell r="G8056">
            <v>42767</v>
          </cell>
          <cell r="L8056" t="str">
            <v>10-13-006-03W2</v>
          </cell>
          <cell r="O8056">
            <v>853.9</v>
          </cell>
          <cell r="Q8056">
            <v>1.81</v>
          </cell>
          <cell r="T8056">
            <v>788.78300000000002</v>
          </cell>
        </row>
        <row r="8057">
          <cell r="G8057">
            <v>42767</v>
          </cell>
          <cell r="L8057" t="str">
            <v>02-27-004-33W1</v>
          </cell>
          <cell r="O8057">
            <v>826.8</v>
          </cell>
          <cell r="Q8057">
            <v>0.67</v>
          </cell>
          <cell r="T8057">
            <v>772.85400000000004</v>
          </cell>
        </row>
        <row r="8058">
          <cell r="G8058">
            <v>42767</v>
          </cell>
          <cell r="L8058" t="str">
            <v>02-15-006-01W2</v>
          </cell>
          <cell r="O8058">
            <v>846</v>
          </cell>
          <cell r="Q8058">
            <v>1.24</v>
          </cell>
          <cell r="T8058">
            <v>736.87699999999995</v>
          </cell>
        </row>
        <row r="8059">
          <cell r="G8059">
            <v>42767</v>
          </cell>
          <cell r="L8059" t="str">
            <v>16-24-001-34W1</v>
          </cell>
          <cell r="O8059">
            <v>853.9</v>
          </cell>
          <cell r="Q8059">
            <v>1.29</v>
          </cell>
          <cell r="T8059">
            <v>664.72900000000004</v>
          </cell>
        </row>
        <row r="8060">
          <cell r="G8060">
            <v>42767</v>
          </cell>
          <cell r="L8060" t="str">
            <v>07-12-008-04W2</v>
          </cell>
          <cell r="O8060">
            <v>851.2</v>
          </cell>
          <cell r="Q8060">
            <v>1.43</v>
          </cell>
          <cell r="T8060">
            <v>645.03499999999997</v>
          </cell>
        </row>
        <row r="8061">
          <cell r="G8061">
            <v>42767</v>
          </cell>
          <cell r="L8061" t="str">
            <v>11-25-001-32W1</v>
          </cell>
          <cell r="O8061">
            <v>855.9</v>
          </cell>
          <cell r="Q8061">
            <v>1.56</v>
          </cell>
          <cell r="T8061">
            <v>634.84799999999996</v>
          </cell>
        </row>
        <row r="8062">
          <cell r="G8062">
            <v>42767</v>
          </cell>
          <cell r="L8062" t="str">
            <v>07-31-001-31W1</v>
          </cell>
          <cell r="O8062">
            <v>865.6</v>
          </cell>
          <cell r="Q8062">
            <v>1.71</v>
          </cell>
          <cell r="T8062">
            <v>620.33699999999999</v>
          </cell>
        </row>
        <row r="8063">
          <cell r="G8063">
            <v>42767</v>
          </cell>
          <cell r="L8063" t="str">
            <v>02-14-010-01W2</v>
          </cell>
          <cell r="O8063">
            <v>855.3</v>
          </cell>
          <cell r="Q8063">
            <v>1.8</v>
          </cell>
          <cell r="T8063">
            <v>609.42399999999998</v>
          </cell>
        </row>
        <row r="8064">
          <cell r="G8064">
            <v>42767</v>
          </cell>
          <cell r="L8064" t="str">
            <v>08-35-011-04W2</v>
          </cell>
          <cell r="O8064">
            <v>860.3</v>
          </cell>
          <cell r="Q8064">
            <v>1.98</v>
          </cell>
          <cell r="T8064">
            <v>607.69899999999996</v>
          </cell>
        </row>
        <row r="8065">
          <cell r="G8065">
            <v>42767</v>
          </cell>
          <cell r="L8065" t="str">
            <v>16-21-003-32W1</v>
          </cell>
          <cell r="O8065">
            <v>857.5</v>
          </cell>
          <cell r="Q8065">
            <v>1.65</v>
          </cell>
          <cell r="T8065">
            <v>598.91600000000005</v>
          </cell>
        </row>
        <row r="8066">
          <cell r="G8066">
            <v>42767</v>
          </cell>
          <cell r="L8066" t="str">
            <v>05-12-002-32W1</v>
          </cell>
          <cell r="O8066">
            <v>862.8</v>
          </cell>
          <cell r="Q8066">
            <v>1.64</v>
          </cell>
          <cell r="T8066">
            <v>581.99400000000003</v>
          </cell>
        </row>
        <row r="8067">
          <cell r="G8067">
            <v>42767</v>
          </cell>
          <cell r="L8067" t="str">
            <v>06-24-001-34W1</v>
          </cell>
          <cell r="O8067">
            <v>850.5</v>
          </cell>
          <cell r="Q8067">
            <v>1.22</v>
          </cell>
          <cell r="T8067">
            <v>574.62</v>
          </cell>
        </row>
        <row r="8068">
          <cell r="G8068">
            <v>42767</v>
          </cell>
          <cell r="L8068" t="str">
            <v>04-14-005-33W1</v>
          </cell>
          <cell r="O8068">
            <v>839</v>
          </cell>
          <cell r="Q8068">
            <v>1.07</v>
          </cell>
          <cell r="T8068">
            <v>523.07100000000003</v>
          </cell>
        </row>
        <row r="8069">
          <cell r="G8069">
            <v>42767</v>
          </cell>
          <cell r="L8069" t="str">
            <v>14-20-005-33W1</v>
          </cell>
          <cell r="O8069">
            <v>828.6</v>
          </cell>
          <cell r="Q8069">
            <v>0.88</v>
          </cell>
          <cell r="T8069">
            <v>501.541</v>
          </cell>
        </row>
        <row r="8070">
          <cell r="G8070">
            <v>42767</v>
          </cell>
          <cell r="L8070" t="str">
            <v>08-32-006-01W2</v>
          </cell>
          <cell r="O8070">
            <v>846.2</v>
          </cell>
          <cell r="Q8070">
            <v>1.17</v>
          </cell>
          <cell r="T8070">
            <v>494.303</v>
          </cell>
        </row>
        <row r="8071">
          <cell r="G8071">
            <v>42767</v>
          </cell>
          <cell r="L8071" t="str">
            <v>07-12-005-34W1</v>
          </cell>
          <cell r="O8071">
            <v>824.8</v>
          </cell>
          <cell r="Q8071">
            <v>0.68</v>
          </cell>
          <cell r="T8071">
            <v>482.21899999999999</v>
          </cell>
        </row>
        <row r="8072">
          <cell r="G8072">
            <v>42767</v>
          </cell>
          <cell r="L8072" t="str">
            <v>10-26-010-03W2</v>
          </cell>
          <cell r="O8072">
            <v>851</v>
          </cell>
          <cell r="Q8072">
            <v>1.66</v>
          </cell>
          <cell r="T8072">
            <v>391.91899999999998</v>
          </cell>
        </row>
        <row r="8073">
          <cell r="G8073">
            <v>42767</v>
          </cell>
          <cell r="L8073" t="str">
            <v>12-35-008-03W2</v>
          </cell>
          <cell r="O8073">
            <v>852.4</v>
          </cell>
          <cell r="Q8073">
            <v>1.54</v>
          </cell>
          <cell r="T8073">
            <v>383.30500000000001</v>
          </cell>
        </row>
        <row r="8074">
          <cell r="G8074">
            <v>42767</v>
          </cell>
          <cell r="L8074" t="str">
            <v>08-26-006-02W2</v>
          </cell>
          <cell r="O8074">
            <v>845.3</v>
          </cell>
          <cell r="Q8074">
            <v>1.22</v>
          </cell>
          <cell r="T8074">
            <v>366.67599999999999</v>
          </cell>
        </row>
        <row r="8075">
          <cell r="G8075">
            <v>42767</v>
          </cell>
          <cell r="L8075" t="str">
            <v>06-03-004-31W1</v>
          </cell>
          <cell r="O8075">
            <v>868.9</v>
          </cell>
          <cell r="Q8075">
            <v>1.91</v>
          </cell>
          <cell r="T8075">
            <v>334.69799999999998</v>
          </cell>
        </row>
        <row r="8076">
          <cell r="G8076">
            <v>42767</v>
          </cell>
          <cell r="L8076" t="str">
            <v>14-09-002-29W1</v>
          </cell>
          <cell r="O8076">
            <v>834.5</v>
          </cell>
          <cell r="Q8076">
            <v>0.77</v>
          </cell>
          <cell r="T8076">
            <v>8446.2999999999993</v>
          </cell>
        </row>
        <row r="8077">
          <cell r="G8077">
            <v>42767</v>
          </cell>
          <cell r="L8077" t="str">
            <v>11-27-005-33W1</v>
          </cell>
          <cell r="O8077">
            <v>822.1</v>
          </cell>
          <cell r="Q8077">
            <v>0.71</v>
          </cell>
          <cell r="T8077">
            <v>4966.8609999999999</v>
          </cell>
        </row>
        <row r="8078">
          <cell r="G8078">
            <v>42767</v>
          </cell>
          <cell r="L8078" t="str">
            <v>13-13-007-02W2</v>
          </cell>
          <cell r="O8078">
            <v>850.2</v>
          </cell>
          <cell r="Q8078">
            <v>1.28</v>
          </cell>
          <cell r="T8078">
            <v>4432.7370000000001</v>
          </cell>
        </row>
        <row r="8079">
          <cell r="G8079">
            <v>42767</v>
          </cell>
          <cell r="L8079" t="str">
            <v>08-36-003-34W1</v>
          </cell>
          <cell r="O8079">
            <v>847</v>
          </cell>
          <cell r="Q8079">
            <v>1.19</v>
          </cell>
          <cell r="T8079">
            <v>3385.462</v>
          </cell>
        </row>
        <row r="8080">
          <cell r="G8080">
            <v>42767</v>
          </cell>
          <cell r="L8080" t="str">
            <v>05-29-005-32W1</v>
          </cell>
          <cell r="O8080">
            <v>835.2</v>
          </cell>
          <cell r="Q8080">
            <v>0.96</v>
          </cell>
          <cell r="T8080">
            <v>2645.0219999999999</v>
          </cell>
        </row>
        <row r="8081">
          <cell r="G8081">
            <v>42767</v>
          </cell>
          <cell r="L8081" t="str">
            <v>04-10-004-31W1</v>
          </cell>
          <cell r="O8081">
            <v>867.5</v>
          </cell>
          <cell r="Q8081">
            <v>1.79</v>
          </cell>
          <cell r="T8081">
            <v>2469.33</v>
          </cell>
        </row>
        <row r="8082">
          <cell r="G8082">
            <v>42767</v>
          </cell>
          <cell r="L8082" t="str">
            <v>05-14-003-01W2</v>
          </cell>
          <cell r="O8082">
            <v>829.6</v>
          </cell>
          <cell r="Q8082">
            <v>0.93</v>
          </cell>
          <cell r="T8082">
            <v>2335.377</v>
          </cell>
        </row>
        <row r="8083">
          <cell r="G8083">
            <v>42767</v>
          </cell>
          <cell r="L8083" t="str">
            <v>06-01-007-01W2</v>
          </cell>
          <cell r="O8083">
            <v>848.5</v>
          </cell>
          <cell r="Q8083">
            <v>1.1599999999999999</v>
          </cell>
          <cell r="T8083">
            <v>2175.5709999999999</v>
          </cell>
        </row>
        <row r="8084">
          <cell r="G8084">
            <v>42767</v>
          </cell>
          <cell r="L8084" t="str">
            <v>04-05-007-33W1</v>
          </cell>
          <cell r="O8084">
            <v>840.9</v>
          </cell>
          <cell r="Q8084">
            <v>1.21</v>
          </cell>
          <cell r="T8084">
            <v>2171.7860000000001</v>
          </cell>
        </row>
        <row r="8085">
          <cell r="G8085">
            <v>42767</v>
          </cell>
          <cell r="L8085" t="str">
            <v>05-13-003-02W2</v>
          </cell>
          <cell r="O8085">
            <v>832.2</v>
          </cell>
          <cell r="Q8085">
            <v>0.57999999999999996</v>
          </cell>
          <cell r="T8085">
            <v>1713.0160000000001</v>
          </cell>
        </row>
        <row r="8086">
          <cell r="G8086">
            <v>42767</v>
          </cell>
          <cell r="L8086" t="str">
            <v>02-14-005-32W1</v>
          </cell>
          <cell r="O8086">
            <v>834.5</v>
          </cell>
          <cell r="Q8086">
            <v>0.98</v>
          </cell>
          <cell r="T8086">
            <v>1613.1030000000001</v>
          </cell>
        </row>
        <row r="8087">
          <cell r="G8087">
            <v>42767</v>
          </cell>
          <cell r="L8087" t="str">
            <v>16-10-006-30W1</v>
          </cell>
          <cell r="O8087">
            <v>852.8</v>
          </cell>
          <cell r="Q8087">
            <v>1.48</v>
          </cell>
          <cell r="T8087">
            <v>1571.3720000000001</v>
          </cell>
        </row>
        <row r="8088">
          <cell r="G8088">
            <v>42767</v>
          </cell>
          <cell r="L8088" t="str">
            <v>14-28-002-34W1</v>
          </cell>
          <cell r="O8088">
            <v>827.7</v>
          </cell>
          <cell r="Q8088">
            <v>0.66</v>
          </cell>
          <cell r="T8088">
            <v>1527.5709999999999</v>
          </cell>
        </row>
        <row r="8089">
          <cell r="G8089">
            <v>42767</v>
          </cell>
          <cell r="L8089" t="str">
            <v>02-20-006-32W1</v>
          </cell>
          <cell r="O8089">
            <v>830.8</v>
          </cell>
          <cell r="Q8089">
            <v>0.91</v>
          </cell>
          <cell r="T8089">
            <v>1474.4390000000001</v>
          </cell>
        </row>
        <row r="8090">
          <cell r="G8090">
            <v>42767</v>
          </cell>
          <cell r="L8090" t="str">
            <v>13-34-006-05W2</v>
          </cell>
          <cell r="O8090">
            <v>865.6</v>
          </cell>
          <cell r="Q8090">
            <v>1.94</v>
          </cell>
          <cell r="T8090">
            <v>1377.529</v>
          </cell>
        </row>
        <row r="8091">
          <cell r="G8091">
            <v>42767</v>
          </cell>
          <cell r="L8091" t="str">
            <v>08-33-005-03W2</v>
          </cell>
          <cell r="O8091">
            <v>845.5</v>
          </cell>
          <cell r="Q8091">
            <v>1.1100000000000001</v>
          </cell>
          <cell r="T8091">
            <v>1128.3320000000001</v>
          </cell>
        </row>
        <row r="8092">
          <cell r="G8092">
            <v>42767</v>
          </cell>
          <cell r="L8092" t="str">
            <v>16-13-004-32W1</v>
          </cell>
          <cell r="O8092">
            <v>852.4</v>
          </cell>
          <cell r="Q8092">
            <v>1.37</v>
          </cell>
          <cell r="T8092">
            <v>1087.162</v>
          </cell>
        </row>
        <row r="8093">
          <cell r="G8093">
            <v>42767</v>
          </cell>
          <cell r="L8093" t="str">
            <v>02-02-006-03W2</v>
          </cell>
          <cell r="O8093">
            <v>847.6</v>
          </cell>
          <cell r="Q8093">
            <v>1.18</v>
          </cell>
          <cell r="T8093">
            <v>1085.0719999999999</v>
          </cell>
        </row>
        <row r="8094">
          <cell r="G8094">
            <v>42767</v>
          </cell>
          <cell r="L8094" t="str">
            <v>04-04-007-01W2</v>
          </cell>
          <cell r="O8094">
            <v>842.7</v>
          </cell>
          <cell r="Q8094">
            <v>1.37</v>
          </cell>
          <cell r="T8094">
            <v>1013.467</v>
          </cell>
        </row>
        <row r="8095">
          <cell r="G8095">
            <v>42767</v>
          </cell>
          <cell r="L8095" t="str">
            <v>12-23-005-31W1</v>
          </cell>
          <cell r="O8095">
            <v>841.9</v>
          </cell>
          <cell r="Q8095">
            <v>1.1100000000000001</v>
          </cell>
          <cell r="T8095">
            <v>980.71600000000001</v>
          </cell>
        </row>
        <row r="8096">
          <cell r="G8096">
            <v>42767</v>
          </cell>
          <cell r="L8096" t="str">
            <v>14-33-003-01W2</v>
          </cell>
          <cell r="O8096">
            <v>843.2</v>
          </cell>
          <cell r="Q8096">
            <v>0.94</v>
          </cell>
          <cell r="T8096">
            <v>935.00300000000004</v>
          </cell>
        </row>
        <row r="8097">
          <cell r="G8097">
            <v>42767</v>
          </cell>
          <cell r="L8097" t="str">
            <v>04-33-006-01W2</v>
          </cell>
          <cell r="O8097">
            <v>846.4</v>
          </cell>
          <cell r="Q8097">
            <v>1.19</v>
          </cell>
          <cell r="T8097">
            <v>898.51700000000005</v>
          </cell>
        </row>
        <row r="8098">
          <cell r="G8098">
            <v>42767</v>
          </cell>
          <cell r="L8098" t="str">
            <v>06-02-008-02W2</v>
          </cell>
          <cell r="O8098">
            <v>853.5</v>
          </cell>
          <cell r="Q8098">
            <v>1.51</v>
          </cell>
          <cell r="T8098">
            <v>818.42700000000002</v>
          </cell>
        </row>
        <row r="8099">
          <cell r="G8099">
            <v>42767</v>
          </cell>
          <cell r="L8099" t="str">
            <v>09-33-006-05W2</v>
          </cell>
          <cell r="O8099">
            <v>862.5</v>
          </cell>
          <cell r="Q8099">
            <v>1.8</v>
          </cell>
          <cell r="T8099">
            <v>798.93700000000001</v>
          </cell>
        </row>
        <row r="8100">
          <cell r="G8100">
            <v>42767</v>
          </cell>
          <cell r="L8100" t="str">
            <v>13-11-004-02W2</v>
          </cell>
          <cell r="O8100">
            <v>842.8</v>
          </cell>
          <cell r="Q8100">
            <v>1.1100000000000001</v>
          </cell>
          <cell r="T8100">
            <v>768.60500000000002</v>
          </cell>
        </row>
        <row r="8101">
          <cell r="G8101">
            <v>42767</v>
          </cell>
          <cell r="L8101" t="str">
            <v>10-11-004-34W1</v>
          </cell>
          <cell r="O8101">
            <v>829.8</v>
          </cell>
          <cell r="Q8101">
            <v>1.07</v>
          </cell>
          <cell r="T8101">
            <v>735.96299999999997</v>
          </cell>
        </row>
        <row r="8102">
          <cell r="G8102">
            <v>42767</v>
          </cell>
          <cell r="L8102" t="str">
            <v>14-26-002-30W1</v>
          </cell>
          <cell r="O8102">
            <v>865.2</v>
          </cell>
          <cell r="Q8102">
            <v>1.95</v>
          </cell>
          <cell r="T8102">
            <v>685.04600000000005</v>
          </cell>
        </row>
        <row r="8103">
          <cell r="G8103">
            <v>42767</v>
          </cell>
          <cell r="L8103" t="str">
            <v>10-33-004-32W1</v>
          </cell>
          <cell r="O8103">
            <v>837.7</v>
          </cell>
          <cell r="Q8103">
            <v>0.9</v>
          </cell>
          <cell r="T8103">
            <v>665.44299999999998</v>
          </cell>
        </row>
        <row r="8104">
          <cell r="G8104">
            <v>42767</v>
          </cell>
          <cell r="L8104" t="str">
            <v>02-08-004-33W1</v>
          </cell>
          <cell r="O8104">
            <v>832</v>
          </cell>
          <cell r="Q8104">
            <v>0.68</v>
          </cell>
          <cell r="T8104">
            <v>479.17200000000003</v>
          </cell>
        </row>
        <row r="8105">
          <cell r="G8105">
            <v>42767</v>
          </cell>
          <cell r="L8105" t="str">
            <v>08-13-006-33W1</v>
          </cell>
          <cell r="O8105">
            <v>841.1</v>
          </cell>
          <cell r="Q8105">
            <v>0.85</v>
          </cell>
          <cell r="T8105">
            <v>471.40300000000002</v>
          </cell>
        </row>
        <row r="8106">
          <cell r="G8106">
            <v>42767</v>
          </cell>
          <cell r="L8106" t="str">
            <v>02-16-010-02W2</v>
          </cell>
          <cell r="O8106">
            <v>857.3</v>
          </cell>
          <cell r="Q8106">
            <v>1.78</v>
          </cell>
          <cell r="T8106">
            <v>465.74700000000001</v>
          </cell>
        </row>
        <row r="8107">
          <cell r="G8107">
            <v>42767</v>
          </cell>
          <cell r="L8107" t="str">
            <v>02-12-010-02W2</v>
          </cell>
          <cell r="O8107">
            <v>858.3</v>
          </cell>
          <cell r="Q8107">
            <v>1.73</v>
          </cell>
          <cell r="T8107">
            <v>422.93799999999999</v>
          </cell>
        </row>
        <row r="8108">
          <cell r="G8108">
            <v>42767</v>
          </cell>
          <cell r="L8108" t="str">
            <v>06-04-006-33W1</v>
          </cell>
          <cell r="O8108">
            <v>833.3</v>
          </cell>
          <cell r="Q8108">
            <v>0.85</v>
          </cell>
          <cell r="T8108">
            <v>365.95499999999998</v>
          </cell>
        </row>
        <row r="8109">
          <cell r="G8109">
            <v>42767</v>
          </cell>
          <cell r="L8109" t="str">
            <v>11-12-006-15W2</v>
          </cell>
          <cell r="O8109">
            <v>869.7</v>
          </cell>
          <cell r="Q8109">
            <v>2.46</v>
          </cell>
          <cell r="T8109">
            <v>6655.18</v>
          </cell>
        </row>
        <row r="8110">
          <cell r="G8110">
            <v>42767</v>
          </cell>
          <cell r="L8110" t="str">
            <v>09-08-004-03W2</v>
          </cell>
          <cell r="O8110">
            <v>835.1</v>
          </cell>
          <cell r="Q8110">
            <v>1.1299999999999999</v>
          </cell>
          <cell r="T8110">
            <v>12541.532999999999</v>
          </cell>
        </row>
        <row r="8111">
          <cell r="G8111">
            <v>42767</v>
          </cell>
          <cell r="L8111" t="str">
            <v>03-15-004-06W2</v>
          </cell>
          <cell r="O8111">
            <v>851.3</v>
          </cell>
          <cell r="Q8111">
            <v>1.33</v>
          </cell>
          <cell r="T8111">
            <v>4577.7129999999997</v>
          </cell>
        </row>
        <row r="8112">
          <cell r="G8112">
            <v>42767</v>
          </cell>
          <cell r="L8112" t="str">
            <v>07-35-004-04W2</v>
          </cell>
          <cell r="O8112">
            <v>853.2</v>
          </cell>
          <cell r="Q8112">
            <v>1.58</v>
          </cell>
          <cell r="T8112">
            <v>2920.1149999999998</v>
          </cell>
        </row>
        <row r="8113">
          <cell r="G8113">
            <v>42767</v>
          </cell>
          <cell r="L8113" t="str">
            <v>09-33-005-05W2</v>
          </cell>
          <cell r="O8113">
            <v>856.8</v>
          </cell>
          <cell r="Q8113">
            <v>0.75</v>
          </cell>
          <cell r="T8113">
            <v>2561.9250000000002</v>
          </cell>
        </row>
        <row r="8114">
          <cell r="G8114">
            <v>42767</v>
          </cell>
          <cell r="L8114" t="str">
            <v>05-07-005-03W2</v>
          </cell>
          <cell r="O8114">
            <v>849.4</v>
          </cell>
          <cell r="Q8114">
            <v>1.29</v>
          </cell>
          <cell r="T8114">
            <v>2518.4870000000001</v>
          </cell>
        </row>
        <row r="8115">
          <cell r="G8115">
            <v>42767</v>
          </cell>
          <cell r="L8115" t="str">
            <v>16-33-005-06W2</v>
          </cell>
          <cell r="O8115">
            <v>868.2</v>
          </cell>
          <cell r="Q8115">
            <v>2.11</v>
          </cell>
          <cell r="T8115">
            <v>2431.0920000000001</v>
          </cell>
        </row>
        <row r="8116">
          <cell r="G8116">
            <v>42767</v>
          </cell>
          <cell r="L8116" t="str">
            <v>16-30-004-08W2</v>
          </cell>
          <cell r="O8116">
            <v>882.4</v>
          </cell>
          <cell r="Q8116">
            <v>2.1800000000000002</v>
          </cell>
          <cell r="T8116">
            <v>2129.357</v>
          </cell>
        </row>
        <row r="8117">
          <cell r="G8117">
            <v>42767</v>
          </cell>
          <cell r="L8117" t="str">
            <v>14-30-001-04W2</v>
          </cell>
          <cell r="O8117">
            <v>823.4</v>
          </cell>
          <cell r="Q8117">
            <v>0.72</v>
          </cell>
          <cell r="T8117">
            <v>1700.3969999999999</v>
          </cell>
        </row>
        <row r="8118">
          <cell r="G8118">
            <v>42767</v>
          </cell>
          <cell r="L8118" t="str">
            <v>06-24-004-09W2</v>
          </cell>
          <cell r="O8118">
            <v>876.8</v>
          </cell>
          <cell r="Q8118">
            <v>1.81</v>
          </cell>
          <cell r="T8118">
            <v>1546.1990000000001</v>
          </cell>
        </row>
        <row r="8119">
          <cell r="G8119">
            <v>42767</v>
          </cell>
          <cell r="L8119" t="str">
            <v>11-02-005-04W2</v>
          </cell>
          <cell r="O8119">
            <v>851.5</v>
          </cell>
          <cell r="Q8119">
            <v>1.44</v>
          </cell>
          <cell r="T8119">
            <v>1315.981</v>
          </cell>
        </row>
        <row r="8120">
          <cell r="G8120">
            <v>42767</v>
          </cell>
          <cell r="L8120" t="str">
            <v>06-27-004-06W2</v>
          </cell>
          <cell r="O8120">
            <v>829.1</v>
          </cell>
          <cell r="Q8120">
            <v>0.66</v>
          </cell>
          <cell r="T8120">
            <v>1279.739</v>
          </cell>
        </row>
        <row r="8121">
          <cell r="G8121">
            <v>42767</v>
          </cell>
          <cell r="L8121" t="str">
            <v>10-22-004-07W2</v>
          </cell>
          <cell r="O8121">
            <v>878.4</v>
          </cell>
          <cell r="Q8121">
            <v>2.11</v>
          </cell>
          <cell r="T8121">
            <v>1016.537</v>
          </cell>
        </row>
        <row r="8122">
          <cell r="G8122">
            <v>42767</v>
          </cell>
          <cell r="L8122" t="str">
            <v>09-10-005-04W2</v>
          </cell>
          <cell r="O8122">
            <v>852.2</v>
          </cell>
          <cell r="Q8122">
            <v>1.19</v>
          </cell>
          <cell r="T8122">
            <v>727.93</v>
          </cell>
        </row>
        <row r="8123">
          <cell r="G8123">
            <v>42767</v>
          </cell>
          <cell r="L8123" t="str">
            <v>13-30-005-05W2</v>
          </cell>
          <cell r="O8123">
            <v>848.8</v>
          </cell>
          <cell r="Q8123">
            <v>1.1599999999999999</v>
          </cell>
          <cell r="T8123">
            <v>642.91600000000005</v>
          </cell>
        </row>
        <row r="8124">
          <cell r="G8124">
            <v>42767</v>
          </cell>
          <cell r="L8124" t="str">
            <v>14-13-001-05W2</v>
          </cell>
          <cell r="O8124">
            <v>811.9</v>
          </cell>
          <cell r="Q8124">
            <v>0.51</v>
          </cell>
          <cell r="T8124">
            <v>20596.550999999999</v>
          </cell>
        </row>
        <row r="8125">
          <cell r="G8125">
            <v>42767</v>
          </cell>
          <cell r="L8125" t="str">
            <v>05-20-004-04W2</v>
          </cell>
          <cell r="O8125">
            <v>829.3</v>
          </cell>
          <cell r="Q8125">
            <v>1.67</v>
          </cell>
          <cell r="T8125">
            <v>4462.0820000000003</v>
          </cell>
        </row>
        <row r="8126">
          <cell r="G8126">
            <v>42767</v>
          </cell>
          <cell r="L8126" t="str">
            <v>05-10-006-05W2</v>
          </cell>
          <cell r="O8126">
            <v>856.6</v>
          </cell>
          <cell r="Q8126">
            <v>1.7</v>
          </cell>
          <cell r="T8126">
            <v>2876.386</v>
          </cell>
        </row>
        <row r="8127">
          <cell r="G8127">
            <v>42767</v>
          </cell>
          <cell r="L8127" t="str">
            <v>11-16-005-04W2</v>
          </cell>
          <cell r="O8127">
            <v>852.2</v>
          </cell>
          <cell r="Q8127">
            <v>1.47</v>
          </cell>
          <cell r="T8127">
            <v>2556.9360000000001</v>
          </cell>
        </row>
        <row r="8128">
          <cell r="G8128">
            <v>42767</v>
          </cell>
          <cell r="L8128" t="str">
            <v>05-24-005-04W2</v>
          </cell>
          <cell r="O8128">
            <v>856.4</v>
          </cell>
          <cell r="Q8128">
            <v>1.49</v>
          </cell>
          <cell r="T8128">
            <v>2078.5700000000002</v>
          </cell>
        </row>
        <row r="8129">
          <cell r="G8129">
            <v>42767</v>
          </cell>
          <cell r="L8129" t="str">
            <v>05-34-005-06W2</v>
          </cell>
          <cell r="O8129">
            <v>874.5</v>
          </cell>
          <cell r="Q8129">
            <v>2.34</v>
          </cell>
          <cell r="T8129">
            <v>2019.3820000000001</v>
          </cell>
        </row>
        <row r="8130">
          <cell r="G8130">
            <v>42767</v>
          </cell>
          <cell r="L8130" t="str">
            <v>07-08-004-05W2</v>
          </cell>
          <cell r="O8130">
            <v>838.4</v>
          </cell>
          <cell r="Q8130">
            <v>0.96</v>
          </cell>
          <cell r="T8130">
            <v>1870.31</v>
          </cell>
        </row>
        <row r="8131">
          <cell r="G8131">
            <v>42767</v>
          </cell>
          <cell r="L8131" t="str">
            <v>01-17-005-08W2</v>
          </cell>
          <cell r="O8131">
            <v>878.9</v>
          </cell>
          <cell r="Q8131">
            <v>2.16</v>
          </cell>
          <cell r="T8131">
            <v>1543.7570000000001</v>
          </cell>
        </row>
        <row r="8132">
          <cell r="G8132">
            <v>42767</v>
          </cell>
          <cell r="L8132" t="str">
            <v>02-13-006-06W2</v>
          </cell>
          <cell r="O8132">
            <v>852.6</v>
          </cell>
          <cell r="Q8132">
            <v>1.56</v>
          </cell>
          <cell r="T8132">
            <v>1437.386</v>
          </cell>
        </row>
        <row r="8133">
          <cell r="G8133">
            <v>42767</v>
          </cell>
          <cell r="L8133" t="str">
            <v>09-27-004-05W2</v>
          </cell>
          <cell r="O8133">
            <v>844.1</v>
          </cell>
          <cell r="Q8133">
            <v>1.1599999999999999</v>
          </cell>
          <cell r="T8133">
            <v>1079.53</v>
          </cell>
        </row>
        <row r="8134">
          <cell r="G8134">
            <v>42767</v>
          </cell>
          <cell r="L8134" t="str">
            <v>11-28-005-06W2</v>
          </cell>
          <cell r="O8134">
            <v>878.8</v>
          </cell>
          <cell r="Q8134">
            <v>2.4</v>
          </cell>
          <cell r="T8134">
            <v>981.71299999999997</v>
          </cell>
        </row>
        <row r="8135">
          <cell r="G8135">
            <v>42767</v>
          </cell>
          <cell r="L8135" t="str">
            <v>08-22-004-09W2</v>
          </cell>
          <cell r="O8135">
            <v>883.9</v>
          </cell>
          <cell r="Q8135">
            <v>1.91</v>
          </cell>
          <cell r="T8135">
            <v>947.51099999999997</v>
          </cell>
        </row>
        <row r="8136">
          <cell r="G8136">
            <v>42767</v>
          </cell>
          <cell r="L8136" t="str">
            <v>08-14-004-07W2</v>
          </cell>
          <cell r="O8136">
            <v>864.9</v>
          </cell>
          <cell r="Q8136">
            <v>1.55</v>
          </cell>
          <cell r="T8136">
            <v>945.67200000000003</v>
          </cell>
        </row>
        <row r="8137">
          <cell r="G8137">
            <v>42767</v>
          </cell>
          <cell r="L8137" t="str">
            <v>03-29-003-04W2</v>
          </cell>
          <cell r="O8137">
            <v>834.7</v>
          </cell>
          <cell r="Q8137">
            <v>0.83</v>
          </cell>
          <cell r="T8137">
            <v>708.13699999999994</v>
          </cell>
        </row>
        <row r="8138">
          <cell r="G8138">
            <v>42767</v>
          </cell>
          <cell r="L8138" t="str">
            <v>13-15-005-08W2</v>
          </cell>
          <cell r="O8138">
            <v>876.8</v>
          </cell>
          <cell r="Q8138">
            <v>1.94</v>
          </cell>
          <cell r="T8138">
            <v>489.34100000000001</v>
          </cell>
        </row>
        <row r="8139">
          <cell r="G8139">
            <v>42767</v>
          </cell>
          <cell r="L8139" t="str">
            <v>07-27-007-06W2</v>
          </cell>
          <cell r="O8139">
            <v>809.7</v>
          </cell>
          <cell r="Q8139">
            <v>0.25</v>
          </cell>
          <cell r="T8139">
            <v>432.37299999999999</v>
          </cell>
        </row>
        <row r="8140">
          <cell r="G8140">
            <v>42767</v>
          </cell>
          <cell r="L8140" t="str">
            <v>11-31-005-11W2</v>
          </cell>
          <cell r="O8140">
            <v>882.4</v>
          </cell>
          <cell r="Q8140">
            <v>1.73</v>
          </cell>
          <cell r="T8140">
            <v>1714.2249999999999</v>
          </cell>
        </row>
        <row r="8141">
          <cell r="G8141">
            <v>42767</v>
          </cell>
          <cell r="L8141" t="str">
            <v>14-27-005-12W2</v>
          </cell>
          <cell r="O8141">
            <v>874.9</v>
          </cell>
          <cell r="Q8141">
            <v>1.98</v>
          </cell>
          <cell r="T8141">
            <v>939.303</v>
          </cell>
        </row>
        <row r="8142">
          <cell r="G8142">
            <v>42767</v>
          </cell>
          <cell r="L8142" t="str">
            <v>15-11-005-09W2</v>
          </cell>
          <cell r="O8142">
            <v>883.1</v>
          </cell>
          <cell r="Q8142">
            <v>2.21</v>
          </cell>
          <cell r="T8142">
            <v>759.61400000000003</v>
          </cell>
        </row>
        <row r="8143">
          <cell r="G8143">
            <v>42767</v>
          </cell>
          <cell r="L8143" t="str">
            <v>16-09-007-11W2</v>
          </cell>
          <cell r="O8143">
            <v>851.7</v>
          </cell>
          <cell r="Q8143">
            <v>0.76</v>
          </cell>
          <cell r="T8143">
            <v>759.35900000000004</v>
          </cell>
        </row>
        <row r="8144">
          <cell r="G8144">
            <v>42767</v>
          </cell>
          <cell r="L8144" t="str">
            <v>03-04-001-11W2</v>
          </cell>
          <cell r="O8144">
            <v>820.4</v>
          </cell>
          <cell r="Q8144">
            <v>0.17</v>
          </cell>
          <cell r="T8144">
            <v>735.94100000000003</v>
          </cell>
        </row>
        <row r="8145">
          <cell r="G8145">
            <v>42767</v>
          </cell>
          <cell r="L8145" t="str">
            <v>13-06-007-11W2</v>
          </cell>
          <cell r="O8145">
            <v>859.8</v>
          </cell>
          <cell r="Q8145">
            <v>2.08</v>
          </cell>
          <cell r="T8145">
            <v>663.13300000000004</v>
          </cell>
        </row>
        <row r="8146">
          <cell r="G8146">
            <v>42767</v>
          </cell>
          <cell r="L8146" t="str">
            <v>13-36-002-12W2</v>
          </cell>
          <cell r="O8146">
            <v>811.8</v>
          </cell>
          <cell r="Q8146">
            <v>0.16</v>
          </cell>
          <cell r="T8146">
            <v>513.48500000000001</v>
          </cell>
        </row>
        <row r="8147">
          <cell r="G8147">
            <v>42767</v>
          </cell>
          <cell r="L8147" t="str">
            <v>16-29-006-12W2</v>
          </cell>
          <cell r="O8147">
            <v>899.1</v>
          </cell>
          <cell r="Q8147">
            <v>1.56</v>
          </cell>
          <cell r="T8147">
            <v>513.37</v>
          </cell>
        </row>
        <row r="8148">
          <cell r="G8148">
            <v>42767</v>
          </cell>
          <cell r="L8148" t="str">
            <v>01-18-004-08W2</v>
          </cell>
          <cell r="O8148">
            <v>890.2</v>
          </cell>
          <cell r="Q8148">
            <v>2.36</v>
          </cell>
          <cell r="T8148">
            <v>512.721</v>
          </cell>
        </row>
        <row r="8149">
          <cell r="G8149">
            <v>42767</v>
          </cell>
          <cell r="L8149" t="str">
            <v>16-05-005-08W2</v>
          </cell>
          <cell r="O8149">
            <v>886</v>
          </cell>
          <cell r="Q8149">
            <v>2.0699999999999998</v>
          </cell>
          <cell r="T8149">
            <v>490.14800000000002</v>
          </cell>
        </row>
        <row r="8150">
          <cell r="G8150">
            <v>42767</v>
          </cell>
          <cell r="L8150" t="str">
            <v>13-09-002-11W2</v>
          </cell>
          <cell r="O8150">
            <v>823.6</v>
          </cell>
          <cell r="Q8150">
            <v>0.17</v>
          </cell>
          <cell r="T8150">
            <v>479.30099999999999</v>
          </cell>
        </row>
        <row r="8151">
          <cell r="G8151">
            <v>42767</v>
          </cell>
          <cell r="L8151" t="str">
            <v>14-22-004-08W2</v>
          </cell>
          <cell r="O8151">
            <v>879.2</v>
          </cell>
          <cell r="Q8151">
            <v>2.0299999999999998</v>
          </cell>
          <cell r="T8151">
            <v>463.048</v>
          </cell>
        </row>
        <row r="8152">
          <cell r="G8152">
            <v>42767</v>
          </cell>
          <cell r="L8152" t="str">
            <v>13-33-006-09W2</v>
          </cell>
          <cell r="O8152">
            <v>889.7</v>
          </cell>
          <cell r="Q8152">
            <v>2.42</v>
          </cell>
          <cell r="T8152">
            <v>451.96199999999999</v>
          </cell>
        </row>
        <row r="8153">
          <cell r="G8153">
            <v>42767</v>
          </cell>
          <cell r="L8153" t="str">
            <v>15-33-013-13W2</v>
          </cell>
          <cell r="O8153">
            <v>871.3</v>
          </cell>
          <cell r="Q8153">
            <v>0.51</v>
          </cell>
          <cell r="T8153">
            <v>441.06599999999997</v>
          </cell>
        </row>
        <row r="8154">
          <cell r="G8154">
            <v>42767</v>
          </cell>
          <cell r="L8154" t="str">
            <v>04-27-004-08W2</v>
          </cell>
          <cell r="O8154">
            <v>883.3</v>
          </cell>
          <cell r="Q8154">
            <v>2.14</v>
          </cell>
          <cell r="T8154">
            <v>415.15</v>
          </cell>
        </row>
        <row r="8155">
          <cell r="G8155">
            <v>42767</v>
          </cell>
          <cell r="L8155" t="str">
            <v>11-14-007-08W2</v>
          </cell>
          <cell r="O8155">
            <v>864.2</v>
          </cell>
          <cell r="Q8155">
            <v>1.38</v>
          </cell>
          <cell r="T8155">
            <v>411.34</v>
          </cell>
        </row>
        <row r="8156">
          <cell r="G8156">
            <v>42767</v>
          </cell>
          <cell r="L8156" t="str">
            <v>03-18-007-09W2</v>
          </cell>
          <cell r="O8156">
            <v>817.6</v>
          </cell>
          <cell r="Q8156">
            <v>0.59</v>
          </cell>
          <cell r="T8156">
            <v>407.08199999999999</v>
          </cell>
        </row>
        <row r="8157">
          <cell r="G8157">
            <v>42767</v>
          </cell>
          <cell r="L8157" t="str">
            <v>12-20-005-12W2</v>
          </cell>
          <cell r="O8157">
            <v>882.5</v>
          </cell>
          <cell r="Q8157">
            <v>2.38</v>
          </cell>
          <cell r="T8157">
            <v>371.23899999999998</v>
          </cell>
        </row>
        <row r="8158">
          <cell r="G8158">
            <v>42767</v>
          </cell>
          <cell r="L8158" t="str">
            <v>14-25-003-09W2</v>
          </cell>
          <cell r="O8158">
            <v>854.6</v>
          </cell>
          <cell r="Q8158">
            <v>0.8</v>
          </cell>
          <cell r="T8158">
            <v>358.20100000000002</v>
          </cell>
        </row>
        <row r="8159">
          <cell r="G8159">
            <v>42767</v>
          </cell>
          <cell r="L8159" t="str">
            <v>06-18-006-12W2</v>
          </cell>
          <cell r="O8159">
            <v>889.1</v>
          </cell>
          <cell r="Q8159">
            <v>2.58</v>
          </cell>
          <cell r="T8159">
            <v>335.923</v>
          </cell>
        </row>
        <row r="8160">
          <cell r="G8160">
            <v>42767</v>
          </cell>
          <cell r="L8160" t="str">
            <v>15-36-001-12W2</v>
          </cell>
          <cell r="O8160">
            <v>815.9</v>
          </cell>
          <cell r="Q8160">
            <v>0.14000000000000001</v>
          </cell>
          <cell r="T8160">
            <v>322.86</v>
          </cell>
        </row>
        <row r="8161">
          <cell r="G8161">
            <v>42767</v>
          </cell>
          <cell r="L8161" t="str">
            <v>09-02-006-07W2</v>
          </cell>
          <cell r="O8161">
            <v>882.2</v>
          </cell>
          <cell r="Q8161">
            <v>1.97</v>
          </cell>
          <cell r="T8161">
            <v>319.05500000000001</v>
          </cell>
        </row>
        <row r="8162">
          <cell r="G8162">
            <v>42767</v>
          </cell>
          <cell r="L8162" t="str">
            <v>11-31-006-08W2</v>
          </cell>
          <cell r="O8162">
            <v>890.7</v>
          </cell>
          <cell r="Q8162">
            <v>2.5</v>
          </cell>
          <cell r="T8162">
            <v>313.09300000000002</v>
          </cell>
        </row>
        <row r="8163">
          <cell r="G8163">
            <v>42767</v>
          </cell>
          <cell r="L8163" t="str">
            <v>15-29-007-13W2</v>
          </cell>
          <cell r="O8163">
            <v>847.7</v>
          </cell>
          <cell r="Q8163">
            <v>1.85</v>
          </cell>
          <cell r="T8163">
            <v>308.08</v>
          </cell>
        </row>
        <row r="8164">
          <cell r="G8164">
            <v>42767</v>
          </cell>
          <cell r="L8164" t="str">
            <v>16-34-001-11W2</v>
          </cell>
          <cell r="O8164">
            <v>822</v>
          </cell>
          <cell r="Q8164">
            <v>0.19</v>
          </cell>
          <cell r="T8164">
            <v>300.92</v>
          </cell>
        </row>
        <row r="8165">
          <cell r="G8165">
            <v>42767</v>
          </cell>
          <cell r="L8165" t="str">
            <v>01-10-008-15W2</v>
          </cell>
          <cell r="O8165">
            <v>868.6</v>
          </cell>
          <cell r="Q8165">
            <v>2.21</v>
          </cell>
          <cell r="T8165">
            <v>290.38099999999997</v>
          </cell>
        </row>
        <row r="8166">
          <cell r="G8166">
            <v>42767</v>
          </cell>
          <cell r="L8166" t="str">
            <v>09-11-007-14W2</v>
          </cell>
          <cell r="O8166">
            <v>856.2</v>
          </cell>
          <cell r="Q8166">
            <v>1.55</v>
          </cell>
          <cell r="T8166">
            <v>228.304</v>
          </cell>
        </row>
        <row r="8167">
          <cell r="G8167">
            <v>42767</v>
          </cell>
          <cell r="L8167" t="str">
            <v>04-13-004-10W2</v>
          </cell>
          <cell r="O8167">
            <v>886.3</v>
          </cell>
          <cell r="Q8167">
            <v>2.04</v>
          </cell>
          <cell r="T8167">
            <v>213.072</v>
          </cell>
        </row>
        <row r="8168">
          <cell r="G8168">
            <v>42767</v>
          </cell>
          <cell r="L8168" t="str">
            <v>03-08-001-11W2</v>
          </cell>
          <cell r="O8168">
            <v>811.7</v>
          </cell>
          <cell r="Q8168">
            <v>0.32</v>
          </cell>
          <cell r="T8168">
            <v>212.23699999999999</v>
          </cell>
        </row>
        <row r="8169">
          <cell r="G8169">
            <v>42767</v>
          </cell>
          <cell r="L8169" t="str">
            <v>03-34-001-11W2</v>
          </cell>
          <cell r="O8169">
            <v>821.2</v>
          </cell>
          <cell r="Q8169">
            <v>0.17</v>
          </cell>
          <cell r="T8169">
            <v>211.58</v>
          </cell>
        </row>
        <row r="8170">
          <cell r="G8170">
            <v>42767</v>
          </cell>
          <cell r="L8170" t="str">
            <v>04-23-012-06W2</v>
          </cell>
          <cell r="O8170">
            <v>896.9</v>
          </cell>
          <cell r="Q8170">
            <v>2.52</v>
          </cell>
          <cell r="T8170">
            <v>210.69200000000001</v>
          </cell>
        </row>
        <row r="8171">
          <cell r="G8171">
            <v>42767</v>
          </cell>
          <cell r="L8171" t="str">
            <v>02-13-004-12W2</v>
          </cell>
          <cell r="O8171">
            <v>879.8</v>
          </cell>
          <cell r="Q8171">
            <v>1.99</v>
          </cell>
          <cell r="T8171">
            <v>185.851</v>
          </cell>
        </row>
        <row r="8172">
          <cell r="G8172">
            <v>42767</v>
          </cell>
          <cell r="L8172" t="str">
            <v>12-27-006-13W2</v>
          </cell>
          <cell r="O8172">
            <v>865.4</v>
          </cell>
          <cell r="Q8172">
            <v>0.18</v>
          </cell>
          <cell r="T8172">
            <v>183.239</v>
          </cell>
        </row>
        <row r="8173">
          <cell r="G8173">
            <v>42767</v>
          </cell>
          <cell r="L8173" t="str">
            <v>13-06-007-09W2</v>
          </cell>
          <cell r="O8173">
            <v>813.6</v>
          </cell>
          <cell r="Q8173">
            <v>0.28999999999999998</v>
          </cell>
          <cell r="T8173">
            <v>177.56200000000001</v>
          </cell>
        </row>
        <row r="8174">
          <cell r="G8174">
            <v>42767</v>
          </cell>
          <cell r="L8174" t="str">
            <v>07-31-006-09W2</v>
          </cell>
          <cell r="O8174">
            <v>876.2</v>
          </cell>
          <cell r="Q8174">
            <v>1.46</v>
          </cell>
          <cell r="T8174">
            <v>164.50700000000001</v>
          </cell>
        </row>
        <row r="8175">
          <cell r="G8175">
            <v>42767</v>
          </cell>
          <cell r="L8175" t="str">
            <v>04-16-004-21W2</v>
          </cell>
          <cell r="O8175">
            <v>815.2</v>
          </cell>
          <cell r="Q8175">
            <v>0.21</v>
          </cell>
          <cell r="T8175">
            <v>155.63</v>
          </cell>
        </row>
        <row r="8176">
          <cell r="G8176">
            <v>42767</v>
          </cell>
          <cell r="L8176" t="str">
            <v>16-06-005-12W2</v>
          </cell>
          <cell r="O8176">
            <v>877.3</v>
          </cell>
          <cell r="Q8176">
            <v>2</v>
          </cell>
          <cell r="T8176">
            <v>142.25399999999999</v>
          </cell>
        </row>
        <row r="8177">
          <cell r="G8177">
            <v>42767</v>
          </cell>
          <cell r="L8177" t="str">
            <v>09-22-006-12W2</v>
          </cell>
          <cell r="O8177">
            <v>879.6</v>
          </cell>
          <cell r="Q8177">
            <v>2.34</v>
          </cell>
          <cell r="T8177">
            <v>136.79300000000001</v>
          </cell>
        </row>
        <row r="8178">
          <cell r="G8178">
            <v>42767</v>
          </cell>
          <cell r="L8178" t="str">
            <v>12-31-001-17W2</v>
          </cell>
          <cell r="O8178">
            <v>851.7</v>
          </cell>
          <cell r="Q8178">
            <v>0.14000000000000001</v>
          </cell>
          <cell r="T8178">
            <v>134.357</v>
          </cell>
        </row>
        <row r="8179">
          <cell r="G8179">
            <v>42767</v>
          </cell>
          <cell r="L8179" t="str">
            <v>10-05-007-10W2</v>
          </cell>
          <cell r="O8179">
            <v>873.9</v>
          </cell>
          <cell r="Q8179">
            <v>1.78</v>
          </cell>
          <cell r="T8179">
            <v>132.55799999999999</v>
          </cell>
        </row>
        <row r="8180">
          <cell r="G8180">
            <v>42767</v>
          </cell>
          <cell r="L8180" t="str">
            <v>14-20-004-10W2</v>
          </cell>
          <cell r="O8180">
            <v>890.4</v>
          </cell>
          <cell r="Q8180">
            <v>2.14</v>
          </cell>
          <cell r="T8180">
            <v>129.97300000000001</v>
          </cell>
        </row>
        <row r="8181">
          <cell r="G8181">
            <v>42767</v>
          </cell>
          <cell r="L8181" t="str">
            <v>01-36-006-12W2</v>
          </cell>
          <cell r="O8181">
            <v>894.4</v>
          </cell>
          <cell r="Q8181">
            <v>2.63</v>
          </cell>
          <cell r="T8181">
            <v>124.374</v>
          </cell>
        </row>
        <row r="8182">
          <cell r="G8182">
            <v>42767</v>
          </cell>
          <cell r="L8182" t="str">
            <v>06-13-007-10W2</v>
          </cell>
          <cell r="O8182">
            <v>814.4</v>
          </cell>
          <cell r="Q8182">
            <v>0.17</v>
          </cell>
          <cell r="T8182">
            <v>114.94199999999999</v>
          </cell>
        </row>
        <row r="8183">
          <cell r="G8183">
            <v>42767</v>
          </cell>
          <cell r="L8183" t="str">
            <v>03-27-011-08W2</v>
          </cell>
          <cell r="O8183">
            <v>900.5</v>
          </cell>
          <cell r="Q8183">
            <v>2.62</v>
          </cell>
          <cell r="T8183">
            <v>102.301</v>
          </cell>
        </row>
        <row r="8184">
          <cell r="G8184">
            <v>42767</v>
          </cell>
          <cell r="L8184" t="str">
            <v>07-02-007-12W2</v>
          </cell>
          <cell r="O8184">
            <v>857</v>
          </cell>
          <cell r="Q8184">
            <v>1.83</v>
          </cell>
          <cell r="T8184">
            <v>101.14100000000001</v>
          </cell>
        </row>
        <row r="8185">
          <cell r="G8185">
            <v>42767</v>
          </cell>
          <cell r="L8185" t="str">
            <v>07-10-001-20W2</v>
          </cell>
          <cell r="O8185">
            <v>876.5</v>
          </cell>
          <cell r="Q8185">
            <v>1.72</v>
          </cell>
          <cell r="T8185">
            <v>98.546000000000006</v>
          </cell>
        </row>
        <row r="8186">
          <cell r="G8186">
            <v>42767</v>
          </cell>
          <cell r="L8186" t="str">
            <v>07-24-006-10W2</v>
          </cell>
          <cell r="O8186">
            <v>883.7</v>
          </cell>
          <cell r="Q8186">
            <v>2.44</v>
          </cell>
          <cell r="T8186">
            <v>97.891000000000005</v>
          </cell>
        </row>
        <row r="8187">
          <cell r="G8187">
            <v>42767</v>
          </cell>
          <cell r="L8187" t="str">
            <v>01-23-005-12W2</v>
          </cell>
          <cell r="O8187">
            <v>884.2</v>
          </cell>
          <cell r="Q8187">
            <v>2.0499999999999998</v>
          </cell>
          <cell r="T8187">
            <v>97.322000000000003</v>
          </cell>
        </row>
        <row r="8188">
          <cell r="G8188">
            <v>42767</v>
          </cell>
          <cell r="L8188" t="str">
            <v>05-31-006-13W2</v>
          </cell>
          <cell r="O8188">
            <v>805.4</v>
          </cell>
          <cell r="Q8188">
            <v>0.19</v>
          </cell>
          <cell r="T8188">
            <v>96.884</v>
          </cell>
        </row>
        <row r="8189">
          <cell r="G8189">
            <v>42767</v>
          </cell>
          <cell r="L8189" t="str">
            <v>01-06-004-11W2</v>
          </cell>
          <cell r="O8189">
            <v>880.4</v>
          </cell>
          <cell r="Q8189">
            <v>1.95</v>
          </cell>
          <cell r="T8189">
            <v>70.417000000000002</v>
          </cell>
        </row>
        <row r="8190">
          <cell r="G8190">
            <v>42767</v>
          </cell>
          <cell r="L8190" t="str">
            <v>15-01-002-12W2</v>
          </cell>
          <cell r="O8190">
            <v>802.9</v>
          </cell>
          <cell r="Q8190">
            <v>0.12</v>
          </cell>
          <cell r="T8190">
            <v>70.099000000000004</v>
          </cell>
        </row>
        <row r="8191">
          <cell r="G8191">
            <v>42767</v>
          </cell>
          <cell r="L8191" t="str">
            <v>08-34-006-12W2</v>
          </cell>
          <cell r="O8191">
            <v>877.7</v>
          </cell>
          <cell r="Q8191">
            <v>1.89</v>
          </cell>
          <cell r="T8191">
            <v>62.411000000000001</v>
          </cell>
        </row>
        <row r="8192">
          <cell r="G8192">
            <v>42767</v>
          </cell>
          <cell r="L8192" t="str">
            <v>15-13-002-12W2</v>
          </cell>
          <cell r="O8192">
            <v>837.8</v>
          </cell>
          <cell r="Q8192">
            <v>0.15</v>
          </cell>
          <cell r="T8192">
            <v>61.066000000000003</v>
          </cell>
        </row>
        <row r="8193">
          <cell r="G8193">
            <v>42767</v>
          </cell>
          <cell r="L8193" t="str">
            <v>09-12-007-09W2</v>
          </cell>
          <cell r="O8193">
            <v>815.8</v>
          </cell>
          <cell r="Q8193">
            <v>0.15</v>
          </cell>
          <cell r="T8193">
            <v>59.155999999999999</v>
          </cell>
        </row>
        <row r="8194">
          <cell r="G8194">
            <v>42767</v>
          </cell>
          <cell r="L8194" t="str">
            <v>15-19-005-13W2</v>
          </cell>
          <cell r="O8194">
            <v>897.7</v>
          </cell>
          <cell r="Q8194">
            <v>2.72</v>
          </cell>
          <cell r="T8194">
            <v>57.228999999999999</v>
          </cell>
        </row>
        <row r="8195">
          <cell r="G8195">
            <v>42767</v>
          </cell>
          <cell r="L8195" t="str">
            <v>09-32-006-15W2</v>
          </cell>
          <cell r="O8195">
            <v>889.6</v>
          </cell>
          <cell r="Q8195">
            <v>2.8</v>
          </cell>
          <cell r="T8195">
            <v>54.936</v>
          </cell>
        </row>
        <row r="8196">
          <cell r="G8196">
            <v>42767</v>
          </cell>
          <cell r="L8196" t="str">
            <v>09-06-010-15W2</v>
          </cell>
          <cell r="O8196">
            <v>875.4</v>
          </cell>
          <cell r="Q8196">
            <v>0.13</v>
          </cell>
          <cell r="T8196">
            <v>40.284999999999997</v>
          </cell>
        </row>
        <row r="8197">
          <cell r="G8197">
            <v>42767</v>
          </cell>
          <cell r="L8197" t="str">
            <v>15-11-008-12W2</v>
          </cell>
          <cell r="O8197">
            <v>903.9</v>
          </cell>
          <cell r="Q8197">
            <v>2.62</v>
          </cell>
          <cell r="T8197">
            <v>35.848999999999997</v>
          </cell>
        </row>
        <row r="8198">
          <cell r="G8198">
            <v>42767</v>
          </cell>
          <cell r="L8198" t="str">
            <v>02-22-009-09W2</v>
          </cell>
          <cell r="O8198">
            <v>881.8</v>
          </cell>
          <cell r="Q8198">
            <v>2.46</v>
          </cell>
          <cell r="T8198">
            <v>35.384999999999998</v>
          </cell>
        </row>
        <row r="8199">
          <cell r="G8199">
            <v>42767</v>
          </cell>
          <cell r="L8199" t="str">
            <v>12-28-006-07W2</v>
          </cell>
          <cell r="O8199">
            <v>909.7</v>
          </cell>
          <cell r="Q8199">
            <v>2.52</v>
          </cell>
          <cell r="T8199">
            <v>32.183</v>
          </cell>
        </row>
        <row r="8200">
          <cell r="G8200">
            <v>42767</v>
          </cell>
          <cell r="L8200" t="str">
            <v>01-27-004-07W2</v>
          </cell>
          <cell r="O8200">
            <v>885.6</v>
          </cell>
          <cell r="Q8200">
            <v>2.0299999999999998</v>
          </cell>
          <cell r="T8200">
            <v>31.738</v>
          </cell>
        </row>
        <row r="8201">
          <cell r="G8201">
            <v>42767</v>
          </cell>
          <cell r="L8201" t="str">
            <v>04-21-006-14W2</v>
          </cell>
          <cell r="O8201">
            <v>855</v>
          </cell>
          <cell r="Q8201">
            <v>2.0099999999999998</v>
          </cell>
          <cell r="T8201">
            <v>31.484999999999999</v>
          </cell>
        </row>
        <row r="8202">
          <cell r="G8202">
            <v>42767</v>
          </cell>
          <cell r="L8202" t="str">
            <v>01-22-005-07W2</v>
          </cell>
          <cell r="O8202">
            <v>889.4</v>
          </cell>
          <cell r="Q8202">
            <v>2.5499999999999998</v>
          </cell>
          <cell r="T8202">
            <v>31.448</v>
          </cell>
        </row>
        <row r="8203">
          <cell r="G8203">
            <v>42767</v>
          </cell>
          <cell r="L8203" t="str">
            <v>10-11-005-14W2</v>
          </cell>
          <cell r="O8203">
            <v>905.7</v>
          </cell>
          <cell r="Q8203">
            <v>2.86</v>
          </cell>
          <cell r="T8203">
            <v>29.956</v>
          </cell>
        </row>
        <row r="8204">
          <cell r="G8204">
            <v>42767</v>
          </cell>
          <cell r="L8204" t="str">
            <v>05-31-003-16W2</v>
          </cell>
          <cell r="O8204">
            <v>889.3</v>
          </cell>
          <cell r="Q8204">
            <v>3.27</v>
          </cell>
          <cell r="T8204">
            <v>2717.654</v>
          </cell>
        </row>
        <row r="8205">
          <cell r="G8205">
            <v>42767</v>
          </cell>
          <cell r="L8205" t="str">
            <v>11-25-005-12W2</v>
          </cell>
          <cell r="O8205">
            <v>875.4</v>
          </cell>
          <cell r="Q8205">
            <v>2.02</v>
          </cell>
          <cell r="T8205">
            <v>2166.9259999999999</v>
          </cell>
        </row>
        <row r="8206">
          <cell r="G8206">
            <v>42767</v>
          </cell>
          <cell r="L8206" t="str">
            <v>16-18-003-15W2</v>
          </cell>
          <cell r="O8206">
            <v>889.8</v>
          </cell>
          <cell r="Q8206">
            <v>2.4500000000000002</v>
          </cell>
          <cell r="T8206">
            <v>1035.9290000000001</v>
          </cell>
        </row>
        <row r="8207">
          <cell r="G8207">
            <v>42767</v>
          </cell>
          <cell r="L8207" t="str">
            <v>16-27-001-16W2</v>
          </cell>
          <cell r="O8207">
            <v>808.7</v>
          </cell>
          <cell r="Q8207">
            <v>0.43</v>
          </cell>
          <cell r="T8207">
            <v>744.32299999999998</v>
          </cell>
        </row>
        <row r="8208">
          <cell r="G8208">
            <v>42767</v>
          </cell>
          <cell r="L8208" t="str">
            <v>16-19-001-15W2</v>
          </cell>
          <cell r="O8208">
            <v>815</v>
          </cell>
          <cell r="Q8208">
            <v>0.39</v>
          </cell>
          <cell r="T8208">
            <v>382.30399999999997</v>
          </cell>
        </row>
        <row r="8209">
          <cell r="G8209">
            <v>42767</v>
          </cell>
          <cell r="L8209" t="str">
            <v>12-30-005-07W2</v>
          </cell>
          <cell r="O8209">
            <v>895.8</v>
          </cell>
          <cell r="Q8209">
            <v>2.5299999999999998</v>
          </cell>
          <cell r="T8209">
            <v>339.91</v>
          </cell>
        </row>
        <row r="8210">
          <cell r="G8210">
            <v>42767</v>
          </cell>
          <cell r="L8210" t="str">
            <v>14-21-001-12W2</v>
          </cell>
          <cell r="O8210">
            <v>811.5</v>
          </cell>
          <cell r="Q8210">
            <v>0.22</v>
          </cell>
          <cell r="T8210">
            <v>306.42099999999999</v>
          </cell>
        </row>
        <row r="8211">
          <cell r="G8211">
            <v>42767</v>
          </cell>
          <cell r="L8211" t="str">
            <v>06-20-006-09W2</v>
          </cell>
          <cell r="O8211">
            <v>881.6</v>
          </cell>
          <cell r="Q8211">
            <v>2.19</v>
          </cell>
          <cell r="T8211">
            <v>264.041</v>
          </cell>
        </row>
        <row r="8212">
          <cell r="G8212">
            <v>42767</v>
          </cell>
          <cell r="L8212" t="str">
            <v>05-23-005-13W2</v>
          </cell>
          <cell r="O8212">
            <v>905.9</v>
          </cell>
          <cell r="Q8212">
            <v>2.75</v>
          </cell>
          <cell r="T8212">
            <v>256.38799999999998</v>
          </cell>
        </row>
        <row r="8213">
          <cell r="G8213">
            <v>42767</v>
          </cell>
          <cell r="L8213" t="str">
            <v>13-24-001-16W2</v>
          </cell>
          <cell r="O8213">
            <v>805.4</v>
          </cell>
          <cell r="Q8213">
            <v>0.42</v>
          </cell>
          <cell r="T8213">
            <v>132.09200000000001</v>
          </cell>
        </row>
        <row r="8214">
          <cell r="G8214">
            <v>42767</v>
          </cell>
          <cell r="L8214" t="str">
            <v>13-22-001-12W2</v>
          </cell>
          <cell r="O8214">
            <v>805.9</v>
          </cell>
          <cell r="Q8214">
            <v>0.23</v>
          </cell>
          <cell r="T8214">
            <v>79.930999999999997</v>
          </cell>
        </row>
        <row r="8215">
          <cell r="G8215">
            <v>42767</v>
          </cell>
          <cell r="L8215" t="str">
            <v>14-27-001-12W2</v>
          </cell>
          <cell r="O8215">
            <v>824.8</v>
          </cell>
          <cell r="Q8215">
            <v>0.25</v>
          </cell>
          <cell r="T8215">
            <v>70</v>
          </cell>
        </row>
        <row r="8216">
          <cell r="G8216">
            <v>42767</v>
          </cell>
          <cell r="L8216" t="str">
            <v>13-34-001-13W2</v>
          </cell>
          <cell r="O8216">
            <v>814.6</v>
          </cell>
          <cell r="Q8216">
            <v>0.2</v>
          </cell>
          <cell r="T8216">
            <v>35.283000000000001</v>
          </cell>
        </row>
        <row r="8217">
          <cell r="G8217">
            <v>42767</v>
          </cell>
          <cell r="L8217" t="str">
            <v>16-22-001-12W2</v>
          </cell>
          <cell r="O8217">
            <v>817.8</v>
          </cell>
          <cell r="Q8217">
            <v>0.17</v>
          </cell>
          <cell r="T8217">
            <v>33.314999999999998</v>
          </cell>
        </row>
        <row r="8218">
          <cell r="G8218">
            <v>42767</v>
          </cell>
          <cell r="L8218" t="str">
            <v>16-34-001-15W2</v>
          </cell>
          <cell r="O8218">
            <v>805.9</v>
          </cell>
          <cell r="Q8218">
            <v>0.22</v>
          </cell>
          <cell r="T8218">
            <v>33.231000000000002</v>
          </cell>
        </row>
        <row r="8219">
          <cell r="G8219">
            <v>42767</v>
          </cell>
          <cell r="L8219" t="str">
            <v>16-25-001-15W2</v>
          </cell>
          <cell r="O8219">
            <v>811.6</v>
          </cell>
          <cell r="Q8219">
            <v>0.32</v>
          </cell>
          <cell r="T8219">
            <v>31.366</v>
          </cell>
        </row>
        <row r="8220">
          <cell r="G8220">
            <v>42767</v>
          </cell>
          <cell r="L8220" t="str">
            <v>15-06-006-21W2</v>
          </cell>
          <cell r="O8220">
            <v>833.3</v>
          </cell>
          <cell r="Q8220">
            <v>0.19</v>
          </cell>
          <cell r="T8220">
            <v>31.117999999999999</v>
          </cell>
        </row>
        <row r="8221">
          <cell r="G8221">
            <v>42767</v>
          </cell>
          <cell r="L8221" t="str">
            <v>13-29-001-15W2</v>
          </cell>
          <cell r="O8221">
            <v>814.9</v>
          </cell>
          <cell r="Q8221">
            <v>0.45</v>
          </cell>
          <cell r="T8221">
            <v>29.413</v>
          </cell>
        </row>
        <row r="8222">
          <cell r="G8222">
            <v>42767</v>
          </cell>
          <cell r="L8222" t="str">
            <v>15-29-005-15W2</v>
          </cell>
          <cell r="O8222">
            <v>883.8</v>
          </cell>
          <cell r="Q8222">
            <v>2.81</v>
          </cell>
          <cell r="T8222">
            <v>1759.3389999999999</v>
          </cell>
        </row>
        <row r="8223">
          <cell r="G8223">
            <v>42767</v>
          </cell>
          <cell r="L8223" t="str">
            <v>04-24-005-15W2</v>
          </cell>
          <cell r="O8223">
            <v>891</v>
          </cell>
          <cell r="Q8223">
            <v>2.77</v>
          </cell>
          <cell r="T8223">
            <v>1159.0150000000001</v>
          </cell>
        </row>
        <row r="8224">
          <cell r="G8224">
            <v>42767</v>
          </cell>
          <cell r="L8224" t="str">
            <v>09-34-005-15W2</v>
          </cell>
          <cell r="O8224">
            <v>879.7</v>
          </cell>
          <cell r="Q8224">
            <v>2.4</v>
          </cell>
          <cell r="T8224">
            <v>885.899</v>
          </cell>
        </row>
        <row r="8225">
          <cell r="G8225">
            <v>42767</v>
          </cell>
          <cell r="L8225" t="str">
            <v>06-17-006-14W2</v>
          </cell>
          <cell r="O8225">
            <v>864.2</v>
          </cell>
          <cell r="Q8225">
            <v>2.16</v>
          </cell>
          <cell r="T8225">
            <v>4039.7730000000001</v>
          </cell>
        </row>
        <row r="8226">
          <cell r="G8226">
            <v>42767</v>
          </cell>
          <cell r="L8226" t="str">
            <v>10-11-005-14W2</v>
          </cell>
          <cell r="O8226">
            <v>902.8</v>
          </cell>
          <cell r="Q8226">
            <v>2.86</v>
          </cell>
          <cell r="T8226">
            <v>368.83699999999999</v>
          </cell>
        </row>
        <row r="8227">
          <cell r="G8227">
            <v>42767</v>
          </cell>
          <cell r="L8227" t="str">
            <v>03-15-005-13W2</v>
          </cell>
          <cell r="O8227">
            <v>900.6</v>
          </cell>
          <cell r="Q8227">
            <v>2.85</v>
          </cell>
          <cell r="T8227">
            <v>278.81</v>
          </cell>
        </row>
        <row r="8228">
          <cell r="G8228">
            <v>42767</v>
          </cell>
          <cell r="L8228" t="str">
            <v>12-13-006-13W2</v>
          </cell>
          <cell r="O8228">
            <v>870.8</v>
          </cell>
          <cell r="Q8228">
            <v>2.5299999999999998</v>
          </cell>
          <cell r="T8228">
            <v>232.11</v>
          </cell>
        </row>
        <row r="8229">
          <cell r="G8229">
            <v>42767</v>
          </cell>
          <cell r="L8229" t="str">
            <v>15-19-005-13W2</v>
          </cell>
          <cell r="O8229">
            <v>895.5</v>
          </cell>
          <cell r="Q8229">
            <v>2.72</v>
          </cell>
          <cell r="T8229">
            <v>180.68700000000001</v>
          </cell>
        </row>
        <row r="8230">
          <cell r="G8230">
            <v>42767</v>
          </cell>
          <cell r="L8230" t="str">
            <v>07-24-006-15W2</v>
          </cell>
          <cell r="O8230">
            <v>874</v>
          </cell>
          <cell r="Q8230">
            <v>2.15</v>
          </cell>
          <cell r="T8230">
            <v>1304.528</v>
          </cell>
        </row>
        <row r="8231">
          <cell r="G8231">
            <v>42767</v>
          </cell>
          <cell r="L8231" t="str">
            <v>07-07-006-15W2</v>
          </cell>
          <cell r="O8231">
            <v>867.9</v>
          </cell>
          <cell r="Q8231">
            <v>2.76</v>
          </cell>
          <cell r="T8231">
            <v>5073.817</v>
          </cell>
        </row>
        <row r="8232">
          <cell r="G8232">
            <v>42767</v>
          </cell>
          <cell r="L8232" t="str">
            <v>12-30-006-15W2</v>
          </cell>
          <cell r="O8232">
            <v>890.9</v>
          </cell>
          <cell r="Q8232">
            <v>2.91</v>
          </cell>
          <cell r="T8232">
            <v>3871.3539999999998</v>
          </cell>
        </row>
        <row r="8233">
          <cell r="G8233">
            <v>42767</v>
          </cell>
          <cell r="L8233" t="str">
            <v>03-16-001-11W2</v>
          </cell>
          <cell r="O8233">
            <v>813.1</v>
          </cell>
          <cell r="Q8233">
            <v>0.18</v>
          </cell>
          <cell r="T8233">
            <v>3433.498</v>
          </cell>
        </row>
        <row r="8234">
          <cell r="G8234">
            <v>42767</v>
          </cell>
          <cell r="L8234" t="str">
            <v>22-15-163-91W1</v>
          </cell>
          <cell r="O8234">
            <v>835</v>
          </cell>
          <cell r="Q8234">
            <v>0.56999999999999995</v>
          </cell>
          <cell r="T8234">
            <v>2261.3870000000002</v>
          </cell>
        </row>
        <row r="8235">
          <cell r="G8235">
            <v>42767</v>
          </cell>
          <cell r="L8235" t="str">
            <v>16-19-002-04W2</v>
          </cell>
          <cell r="O8235">
            <v>840.9</v>
          </cell>
          <cell r="Q8235">
            <v>0.53</v>
          </cell>
          <cell r="T8235">
            <v>2148.5329999999999</v>
          </cell>
        </row>
        <row r="8236">
          <cell r="G8236">
            <v>42767</v>
          </cell>
          <cell r="L8236" t="str">
            <v>12-32-006-04W2</v>
          </cell>
          <cell r="O8236">
            <v>852.2</v>
          </cell>
          <cell r="Q8236">
            <v>1.82</v>
          </cell>
          <cell r="T8236">
            <v>2120.1709999999998</v>
          </cell>
        </row>
        <row r="8237">
          <cell r="G8237">
            <v>42767</v>
          </cell>
          <cell r="L8237" t="str">
            <v>11-25-005-06W2</v>
          </cell>
          <cell r="O8237">
            <v>844</v>
          </cell>
          <cell r="Q8237">
            <v>1.1200000000000001</v>
          </cell>
          <cell r="T8237">
            <v>1802.394</v>
          </cell>
        </row>
        <row r="8238">
          <cell r="G8238">
            <v>42767</v>
          </cell>
          <cell r="L8238" t="str">
            <v>12-11-001-10W2</v>
          </cell>
          <cell r="O8238">
            <v>818.6</v>
          </cell>
          <cell r="Q8238">
            <v>0.17</v>
          </cell>
          <cell r="T8238">
            <v>1592.1949999999999</v>
          </cell>
        </row>
        <row r="8239">
          <cell r="G8239">
            <v>42767</v>
          </cell>
          <cell r="L8239" t="str">
            <v>16-36-004-06W2</v>
          </cell>
          <cell r="O8239">
            <v>833.5</v>
          </cell>
          <cell r="Q8239">
            <v>0.92</v>
          </cell>
          <cell r="T8239">
            <v>1481.0070000000001</v>
          </cell>
        </row>
        <row r="8240">
          <cell r="G8240">
            <v>42767</v>
          </cell>
          <cell r="L8240" t="str">
            <v>02-31-145-98W1</v>
          </cell>
          <cell r="O8240">
            <v>819.3</v>
          </cell>
          <cell r="Q8240">
            <v>0.41</v>
          </cell>
          <cell r="T8240">
            <v>914.87599999999998</v>
          </cell>
        </row>
        <row r="8241">
          <cell r="G8241">
            <v>42767</v>
          </cell>
          <cell r="L8241" t="str">
            <v>03-10-145-98W1</v>
          </cell>
          <cell r="O8241">
            <v>824.2</v>
          </cell>
          <cell r="Q8241">
            <v>0.41</v>
          </cell>
          <cell r="T8241">
            <v>477.63099999999997</v>
          </cell>
        </row>
        <row r="8242">
          <cell r="G8242">
            <v>42767</v>
          </cell>
          <cell r="L8242" t="str">
            <v>07-04-005-04W2</v>
          </cell>
          <cell r="O8242">
            <v>841.8</v>
          </cell>
          <cell r="Q8242">
            <v>0.89</v>
          </cell>
          <cell r="T8242">
            <v>389.096</v>
          </cell>
        </row>
        <row r="8243">
          <cell r="G8243">
            <v>42767</v>
          </cell>
          <cell r="L8243" t="str">
            <v>02-31-164-94W1</v>
          </cell>
          <cell r="O8243">
            <v>832.3</v>
          </cell>
          <cell r="Q8243">
            <v>0.49</v>
          </cell>
          <cell r="T8243">
            <v>383.44099999999997</v>
          </cell>
        </row>
        <row r="8244">
          <cell r="G8244">
            <v>42767</v>
          </cell>
          <cell r="L8244" t="str">
            <v>01-13-152-95W1</v>
          </cell>
          <cell r="O8244">
            <v>828.8</v>
          </cell>
          <cell r="Q8244">
            <v>0.06</v>
          </cell>
          <cell r="T8244">
            <v>356.51</v>
          </cell>
        </row>
        <row r="8245">
          <cell r="G8245">
            <v>42767</v>
          </cell>
          <cell r="L8245" t="str">
            <v>01-19-145-98W1</v>
          </cell>
          <cell r="O8245">
            <v>813.1</v>
          </cell>
          <cell r="Q8245">
            <v>0.38</v>
          </cell>
          <cell r="T8245">
            <v>326.06700000000001</v>
          </cell>
        </row>
        <row r="8246">
          <cell r="G8246">
            <v>42767</v>
          </cell>
          <cell r="L8246" t="str">
            <v>02-34-143-100W1</v>
          </cell>
          <cell r="O8246">
            <v>828.1</v>
          </cell>
          <cell r="Q8246">
            <v>0.38</v>
          </cell>
          <cell r="T8246">
            <v>313.44299999999998</v>
          </cell>
        </row>
        <row r="8247">
          <cell r="G8247">
            <v>42767</v>
          </cell>
          <cell r="L8247" t="str">
            <v>09-20-006-04W2</v>
          </cell>
          <cell r="O8247">
            <v>857.7</v>
          </cell>
          <cell r="Q8247">
            <v>1.36</v>
          </cell>
          <cell r="T8247">
            <v>303.76</v>
          </cell>
        </row>
        <row r="8248">
          <cell r="G8248">
            <v>42767</v>
          </cell>
          <cell r="L8248" t="str">
            <v>16-05-163-92W1</v>
          </cell>
          <cell r="O8248">
            <v>840.7</v>
          </cell>
          <cell r="Q8248">
            <v>0.51</v>
          </cell>
          <cell r="T8248">
            <v>285.31299999999999</v>
          </cell>
        </row>
        <row r="8249">
          <cell r="G8249">
            <v>42767</v>
          </cell>
          <cell r="L8249" t="str">
            <v>01-21-159-95W1</v>
          </cell>
          <cell r="O8249">
            <v>848.5</v>
          </cell>
          <cell r="Q8249">
            <v>0.18</v>
          </cell>
          <cell r="T8249">
            <v>269.98599999999999</v>
          </cell>
        </row>
        <row r="8250">
          <cell r="G8250">
            <v>42767</v>
          </cell>
          <cell r="L8250" t="str">
            <v>09-19-004-04W2</v>
          </cell>
          <cell r="O8250">
            <v>853.4</v>
          </cell>
          <cell r="Q8250">
            <v>1.19</v>
          </cell>
          <cell r="T8250">
            <v>262.59899999999999</v>
          </cell>
        </row>
        <row r="8251">
          <cell r="G8251">
            <v>42767</v>
          </cell>
          <cell r="L8251" t="str">
            <v>33-14-160-95W1</v>
          </cell>
          <cell r="O8251">
            <v>800.1</v>
          </cell>
          <cell r="Q8251">
            <v>0.17</v>
          </cell>
          <cell r="T8251">
            <v>227.18899999999999</v>
          </cell>
        </row>
        <row r="8252">
          <cell r="G8252">
            <v>42767</v>
          </cell>
          <cell r="L8252" t="str">
            <v>02-31-164-93W1</v>
          </cell>
          <cell r="O8252">
            <v>832.3</v>
          </cell>
          <cell r="Q8252">
            <v>0.46</v>
          </cell>
          <cell r="T8252">
            <v>226.91</v>
          </cell>
        </row>
        <row r="8253">
          <cell r="G8253">
            <v>42767</v>
          </cell>
          <cell r="L8253" t="str">
            <v>13-19-001-03W2</v>
          </cell>
          <cell r="O8253">
            <v>835.8</v>
          </cell>
          <cell r="Q8253">
            <v>0.62</v>
          </cell>
          <cell r="T8253">
            <v>225.24700000000001</v>
          </cell>
        </row>
        <row r="8254">
          <cell r="G8254">
            <v>42767</v>
          </cell>
          <cell r="L8254" t="str">
            <v>05-25-147-98W1</v>
          </cell>
          <cell r="O8254">
            <v>815.7</v>
          </cell>
          <cell r="Q8254">
            <v>0.56000000000000005</v>
          </cell>
          <cell r="T8254">
            <v>220.91399999999999</v>
          </cell>
        </row>
        <row r="8255">
          <cell r="G8255">
            <v>42767</v>
          </cell>
          <cell r="L8255" t="str">
            <v>02-18-155-95W1</v>
          </cell>
          <cell r="O8255">
            <v>802.2</v>
          </cell>
          <cell r="Q8255">
            <v>0.1</v>
          </cell>
          <cell r="T8255">
            <v>217.01400000000001</v>
          </cell>
        </row>
        <row r="8256">
          <cell r="G8256">
            <v>42767</v>
          </cell>
          <cell r="L8256" t="str">
            <v>04-05-002-02W2</v>
          </cell>
          <cell r="O8256">
            <v>830.8</v>
          </cell>
          <cell r="Q8256">
            <v>0.62</v>
          </cell>
          <cell r="T8256">
            <v>202.584</v>
          </cell>
        </row>
        <row r="8257">
          <cell r="G8257">
            <v>42767</v>
          </cell>
          <cell r="L8257" t="str">
            <v>14-03-163-92W1</v>
          </cell>
          <cell r="O8257">
            <v>813.8</v>
          </cell>
          <cell r="Q8257">
            <v>0.5</v>
          </cell>
          <cell r="T8257">
            <v>193.845</v>
          </cell>
        </row>
        <row r="8258">
          <cell r="G8258">
            <v>42767</v>
          </cell>
          <cell r="L8258" t="str">
            <v>13-11-160-95W1</v>
          </cell>
          <cell r="O8258">
            <v>804.5</v>
          </cell>
          <cell r="Q8258">
            <v>0.18</v>
          </cell>
          <cell r="T8258">
            <v>162.876</v>
          </cell>
        </row>
        <row r="8259">
          <cell r="G8259">
            <v>42767</v>
          </cell>
          <cell r="L8259" t="str">
            <v>02-30-147-97W1</v>
          </cell>
          <cell r="O8259">
            <v>811.1</v>
          </cell>
          <cell r="Q8259">
            <v>0.46</v>
          </cell>
          <cell r="T8259">
            <v>158.51900000000001</v>
          </cell>
        </row>
        <row r="8260">
          <cell r="G8260">
            <v>42767</v>
          </cell>
          <cell r="L8260" t="str">
            <v>07-22-003-03W2</v>
          </cell>
          <cell r="O8260">
            <v>830.3</v>
          </cell>
          <cell r="Q8260">
            <v>0.59</v>
          </cell>
          <cell r="T8260">
            <v>146.613</v>
          </cell>
        </row>
        <row r="8261">
          <cell r="G8261">
            <v>42767</v>
          </cell>
          <cell r="L8261" t="str">
            <v>01-21-153-95W1</v>
          </cell>
          <cell r="O8261">
            <v>823.3</v>
          </cell>
          <cell r="Q8261">
            <v>0.37</v>
          </cell>
          <cell r="T8261">
            <v>134.27099999999999</v>
          </cell>
        </row>
        <row r="8262">
          <cell r="G8262">
            <v>42767</v>
          </cell>
          <cell r="L8262" t="str">
            <v>01-02-021-58W1</v>
          </cell>
          <cell r="O8262">
            <v>828.1</v>
          </cell>
          <cell r="Q8262">
            <v>0.7</v>
          </cell>
          <cell r="T8262">
            <v>130.376</v>
          </cell>
        </row>
        <row r="8263">
          <cell r="G8263">
            <v>42767</v>
          </cell>
          <cell r="L8263" t="str">
            <v>01-28-141-100W1</v>
          </cell>
          <cell r="O8263">
            <v>826.7</v>
          </cell>
          <cell r="Q8263">
            <v>0.37</v>
          </cell>
          <cell r="T8263">
            <v>130.136</v>
          </cell>
        </row>
        <row r="8264">
          <cell r="G8264">
            <v>42767</v>
          </cell>
          <cell r="L8264" t="str">
            <v>04-25-144-98W1</v>
          </cell>
          <cell r="O8264">
            <v>816.2</v>
          </cell>
          <cell r="Q8264">
            <v>0.5</v>
          </cell>
          <cell r="T8264">
            <v>128.18700000000001</v>
          </cell>
        </row>
        <row r="8265">
          <cell r="G8265">
            <v>42767</v>
          </cell>
          <cell r="L8265" t="str">
            <v>01-25-156-93W1</v>
          </cell>
          <cell r="O8265">
            <v>802.4</v>
          </cell>
          <cell r="Q8265">
            <v>0.12</v>
          </cell>
          <cell r="T8265">
            <v>123.065</v>
          </cell>
        </row>
        <row r="8266">
          <cell r="G8266">
            <v>42767</v>
          </cell>
          <cell r="L8266" t="str">
            <v>43-03-160-95W1</v>
          </cell>
          <cell r="O8266">
            <v>805.8</v>
          </cell>
          <cell r="Q8266">
            <v>0.2</v>
          </cell>
          <cell r="T8266">
            <v>121.19799999999999</v>
          </cell>
        </row>
        <row r="8267">
          <cell r="G8267">
            <v>42767</v>
          </cell>
          <cell r="L8267" t="str">
            <v>01-24-160-96W1</v>
          </cell>
          <cell r="O8267">
            <v>836.9</v>
          </cell>
          <cell r="Q8267">
            <v>0.59</v>
          </cell>
          <cell r="T8267">
            <v>103.565</v>
          </cell>
        </row>
        <row r="8268">
          <cell r="G8268">
            <v>42767</v>
          </cell>
          <cell r="L8268" t="str">
            <v>01-22-142-100W1</v>
          </cell>
          <cell r="O8268">
            <v>818.8</v>
          </cell>
          <cell r="Q8268">
            <v>0.31</v>
          </cell>
          <cell r="T8268">
            <v>102.57</v>
          </cell>
        </row>
        <row r="8269">
          <cell r="G8269">
            <v>42767</v>
          </cell>
          <cell r="L8269" t="str">
            <v>01-33-141-100W1</v>
          </cell>
          <cell r="O8269">
            <v>816.7</v>
          </cell>
          <cell r="Q8269">
            <v>0.39</v>
          </cell>
          <cell r="T8269">
            <v>101.09699999999999</v>
          </cell>
        </row>
        <row r="8270">
          <cell r="G8270">
            <v>42767</v>
          </cell>
          <cell r="L8270" t="str">
            <v>01-31-159-95W1</v>
          </cell>
          <cell r="O8270">
            <v>818.8</v>
          </cell>
          <cell r="Q8270">
            <v>0.78</v>
          </cell>
          <cell r="T8270">
            <v>100.113</v>
          </cell>
        </row>
        <row r="8271">
          <cell r="G8271">
            <v>42767</v>
          </cell>
          <cell r="L8271" t="str">
            <v>01-02-151-102W1</v>
          </cell>
          <cell r="O8271">
            <v>836</v>
          </cell>
          <cell r="Q8271">
            <v>0.33</v>
          </cell>
          <cell r="T8271">
            <v>98.370999999999995</v>
          </cell>
        </row>
        <row r="8272">
          <cell r="G8272">
            <v>42767</v>
          </cell>
          <cell r="L8272" t="str">
            <v>01-03-163-99W1</v>
          </cell>
          <cell r="O8272">
            <v>832.2</v>
          </cell>
          <cell r="Q8272">
            <v>0.16</v>
          </cell>
          <cell r="T8272">
            <v>98.268000000000001</v>
          </cell>
        </row>
        <row r="8273">
          <cell r="G8273">
            <v>42767</v>
          </cell>
          <cell r="L8273" t="str">
            <v>01-25-150-98W1</v>
          </cell>
          <cell r="O8273">
            <v>819.8</v>
          </cell>
          <cell r="Q8273">
            <v>0.05</v>
          </cell>
          <cell r="T8273">
            <v>98.126999999999995</v>
          </cell>
        </row>
        <row r="8274">
          <cell r="G8274">
            <v>42767</v>
          </cell>
          <cell r="L8274" t="str">
            <v>01-18-145-97W1</v>
          </cell>
          <cell r="O8274">
            <v>817.6</v>
          </cell>
          <cell r="Q8274">
            <v>0.45</v>
          </cell>
          <cell r="T8274">
            <v>97.543999999999997</v>
          </cell>
        </row>
        <row r="8275">
          <cell r="G8275">
            <v>42767</v>
          </cell>
          <cell r="L8275" t="str">
            <v>03-25-147-98W1</v>
          </cell>
          <cell r="O8275">
            <v>811.2</v>
          </cell>
          <cell r="Q8275">
            <v>0.45</v>
          </cell>
          <cell r="T8275">
            <v>95.128</v>
          </cell>
        </row>
        <row r="8276">
          <cell r="G8276">
            <v>42767</v>
          </cell>
          <cell r="L8276" t="str">
            <v>01-30-147-97W1</v>
          </cell>
          <cell r="O8276">
            <v>800</v>
          </cell>
          <cell r="Q8276">
            <v>0.55000000000000004</v>
          </cell>
          <cell r="T8276">
            <v>94.016000000000005</v>
          </cell>
        </row>
        <row r="8277">
          <cell r="G8277">
            <v>42767</v>
          </cell>
          <cell r="L8277" t="str">
            <v>01-17-143-101W1</v>
          </cell>
          <cell r="O8277">
            <v>830.9</v>
          </cell>
          <cell r="Q8277">
            <v>0.51</v>
          </cell>
          <cell r="T8277">
            <v>93.259</v>
          </cell>
        </row>
        <row r="8278">
          <cell r="G8278">
            <v>42767</v>
          </cell>
          <cell r="L8278" t="str">
            <v>01-19-147-97W1</v>
          </cell>
          <cell r="O8278">
            <v>814.7</v>
          </cell>
          <cell r="Q8278">
            <v>0.78</v>
          </cell>
          <cell r="T8278">
            <v>92.902000000000001</v>
          </cell>
        </row>
        <row r="8279">
          <cell r="G8279">
            <v>42767</v>
          </cell>
          <cell r="L8279" t="str">
            <v>01-18-147-97W1</v>
          </cell>
          <cell r="O8279">
            <v>819.6</v>
          </cell>
          <cell r="Q8279">
            <v>0.77</v>
          </cell>
          <cell r="T8279">
            <v>92.3</v>
          </cell>
        </row>
        <row r="8280">
          <cell r="G8280">
            <v>42767</v>
          </cell>
          <cell r="L8280" t="str">
            <v>11-21-163-89W1</v>
          </cell>
          <cell r="O8280">
            <v>839</v>
          </cell>
          <cell r="Q8280">
            <v>0.5</v>
          </cell>
          <cell r="T8280">
            <v>87.513000000000005</v>
          </cell>
        </row>
        <row r="8281">
          <cell r="G8281">
            <v>42767</v>
          </cell>
          <cell r="L8281" t="str">
            <v>14-23-163-96W1</v>
          </cell>
          <cell r="O8281">
            <v>820.9</v>
          </cell>
          <cell r="Q8281">
            <v>0.15</v>
          </cell>
          <cell r="T8281">
            <v>86.03</v>
          </cell>
        </row>
        <row r="8282">
          <cell r="G8282">
            <v>42767</v>
          </cell>
          <cell r="L8282" t="str">
            <v>07-29-009-04W2</v>
          </cell>
          <cell r="O8282">
            <v>839.9</v>
          </cell>
          <cell r="Q8282">
            <v>1.1399999999999999</v>
          </cell>
          <cell r="T8282">
            <v>78.137</v>
          </cell>
        </row>
        <row r="8283">
          <cell r="G8283">
            <v>42767</v>
          </cell>
          <cell r="L8283" t="str">
            <v>08-31-007-07W2</v>
          </cell>
          <cell r="O8283">
            <v>867.3</v>
          </cell>
          <cell r="Q8283">
            <v>1.94</v>
          </cell>
          <cell r="T8283">
            <v>76.561999999999998</v>
          </cell>
        </row>
        <row r="8284">
          <cell r="G8284">
            <v>42767</v>
          </cell>
          <cell r="L8284" t="str">
            <v>34-01-157-95W1</v>
          </cell>
          <cell r="O8284">
            <v>817.3</v>
          </cell>
          <cell r="Q8284">
            <v>0.46</v>
          </cell>
          <cell r="T8284">
            <v>73.757999999999996</v>
          </cell>
        </row>
        <row r="8285">
          <cell r="G8285">
            <v>42767</v>
          </cell>
          <cell r="L8285" t="str">
            <v>20-01-161-90W1</v>
          </cell>
          <cell r="O8285">
            <v>862.5</v>
          </cell>
          <cell r="Q8285">
            <v>1.4</v>
          </cell>
          <cell r="T8285">
            <v>67.989000000000004</v>
          </cell>
        </row>
        <row r="8286">
          <cell r="G8286">
            <v>42767</v>
          </cell>
          <cell r="L8286" t="str">
            <v>12-03-146-100W1</v>
          </cell>
          <cell r="O8286">
            <v>835.7</v>
          </cell>
          <cell r="Q8286">
            <v>0.47</v>
          </cell>
          <cell r="T8286">
            <v>67.287999999999997</v>
          </cell>
        </row>
        <row r="8287">
          <cell r="G8287">
            <v>42767</v>
          </cell>
          <cell r="L8287" t="str">
            <v>06-06-162-96W1</v>
          </cell>
          <cell r="O8287">
            <v>834.7</v>
          </cell>
          <cell r="Q8287">
            <v>0.15</v>
          </cell>
          <cell r="T8287">
            <v>66.459000000000003</v>
          </cell>
        </row>
        <row r="8288">
          <cell r="G8288">
            <v>42767</v>
          </cell>
          <cell r="L8288" t="str">
            <v>03-01-158-95W1</v>
          </cell>
          <cell r="O8288">
            <v>827.6</v>
          </cell>
          <cell r="Q8288">
            <v>0.61</v>
          </cell>
          <cell r="T8288">
            <v>66.453000000000003</v>
          </cell>
        </row>
        <row r="8289">
          <cell r="G8289">
            <v>42767</v>
          </cell>
          <cell r="L8289" t="str">
            <v>01-15-022-57W1</v>
          </cell>
          <cell r="O8289">
            <v>810.5</v>
          </cell>
          <cell r="Q8289">
            <v>0.37</v>
          </cell>
          <cell r="T8289">
            <v>65.89</v>
          </cell>
        </row>
        <row r="8290">
          <cell r="G8290">
            <v>42767</v>
          </cell>
          <cell r="L8290" t="str">
            <v>01-12-144-98W1</v>
          </cell>
          <cell r="O8290">
            <v>817.7</v>
          </cell>
          <cell r="Q8290">
            <v>0.46</v>
          </cell>
          <cell r="T8290">
            <v>64.95</v>
          </cell>
        </row>
        <row r="8291">
          <cell r="G8291">
            <v>42767</v>
          </cell>
          <cell r="L8291" t="str">
            <v>03-03-157-95W1</v>
          </cell>
          <cell r="O8291">
            <v>825.1</v>
          </cell>
          <cell r="Q8291">
            <v>0.33</v>
          </cell>
          <cell r="T8291">
            <v>64.677999999999997</v>
          </cell>
        </row>
        <row r="8292">
          <cell r="G8292">
            <v>42767</v>
          </cell>
          <cell r="L8292" t="str">
            <v>03-10-151-96W1</v>
          </cell>
          <cell r="O8292">
            <v>818.6</v>
          </cell>
          <cell r="Q8292">
            <v>0.24</v>
          </cell>
          <cell r="T8292">
            <v>64.641999999999996</v>
          </cell>
        </row>
        <row r="8293">
          <cell r="G8293">
            <v>42767</v>
          </cell>
          <cell r="L8293" t="str">
            <v>24-01-160-96W1</v>
          </cell>
          <cell r="O8293">
            <v>828.7</v>
          </cell>
          <cell r="Q8293">
            <v>0.49</v>
          </cell>
          <cell r="T8293">
            <v>64.177999999999997</v>
          </cell>
        </row>
        <row r="8294">
          <cell r="G8294">
            <v>42767</v>
          </cell>
          <cell r="L8294" t="str">
            <v>03-25-144-98W1</v>
          </cell>
          <cell r="O8294">
            <v>821.9</v>
          </cell>
          <cell r="Q8294">
            <v>0.5</v>
          </cell>
          <cell r="T8294">
            <v>64.001999999999995</v>
          </cell>
        </row>
        <row r="8295">
          <cell r="G8295">
            <v>42767</v>
          </cell>
          <cell r="L8295" t="str">
            <v>04-24-147-98W1</v>
          </cell>
          <cell r="O8295">
            <v>814.1</v>
          </cell>
          <cell r="Q8295">
            <v>0.56000000000000005</v>
          </cell>
          <cell r="T8295">
            <v>63.996000000000002</v>
          </cell>
        </row>
        <row r="8296">
          <cell r="G8296">
            <v>42767</v>
          </cell>
          <cell r="L8296" t="str">
            <v>01-20-147-97W1</v>
          </cell>
          <cell r="O8296">
            <v>826.4</v>
          </cell>
          <cell r="Q8296">
            <v>0.7</v>
          </cell>
          <cell r="T8296">
            <v>63.247999999999998</v>
          </cell>
        </row>
        <row r="8297">
          <cell r="G8297">
            <v>42767</v>
          </cell>
          <cell r="L8297" t="str">
            <v>02-09-142-100W1</v>
          </cell>
          <cell r="O8297">
            <v>830.5</v>
          </cell>
          <cell r="Q8297">
            <v>0.38</v>
          </cell>
          <cell r="T8297">
            <v>63.192</v>
          </cell>
        </row>
        <row r="8298">
          <cell r="G8298">
            <v>42767</v>
          </cell>
          <cell r="L8298" t="str">
            <v>14-03-163-93W1</v>
          </cell>
          <cell r="O8298">
            <v>842.1</v>
          </cell>
          <cell r="Q8298">
            <v>0.51</v>
          </cell>
          <cell r="T8298">
            <v>62.680999999999997</v>
          </cell>
        </row>
        <row r="8299">
          <cell r="G8299">
            <v>42767</v>
          </cell>
          <cell r="L8299" t="str">
            <v>01-28-152-101W1</v>
          </cell>
          <cell r="O8299">
            <v>830.5</v>
          </cell>
          <cell r="Q8299">
            <v>0.45</v>
          </cell>
          <cell r="T8299">
            <v>62.304000000000002</v>
          </cell>
        </row>
        <row r="8300">
          <cell r="G8300">
            <v>42767</v>
          </cell>
          <cell r="L8300" t="str">
            <v>01-13-022-57W1</v>
          </cell>
          <cell r="O8300">
            <v>800.5</v>
          </cell>
          <cell r="Q8300">
            <v>0.11</v>
          </cell>
          <cell r="T8300">
            <v>61.585999999999999</v>
          </cell>
        </row>
        <row r="8301">
          <cell r="G8301">
            <v>42767</v>
          </cell>
          <cell r="L8301" t="str">
            <v>04-19-147-97W1</v>
          </cell>
          <cell r="O8301">
            <v>828.9</v>
          </cell>
          <cell r="Q8301">
            <v>0.52</v>
          </cell>
          <cell r="T8301">
            <v>60.988</v>
          </cell>
        </row>
        <row r="8302">
          <cell r="G8302">
            <v>42767</v>
          </cell>
          <cell r="L8302" t="str">
            <v>22-11-160-95W1</v>
          </cell>
          <cell r="O8302">
            <v>810.6</v>
          </cell>
          <cell r="Q8302">
            <v>0.14000000000000001</v>
          </cell>
          <cell r="T8302">
            <v>60.545000000000002</v>
          </cell>
        </row>
        <row r="8303">
          <cell r="G8303">
            <v>42767</v>
          </cell>
          <cell r="L8303" t="str">
            <v>02-11-163-97W1</v>
          </cell>
          <cell r="O8303">
            <v>817.1</v>
          </cell>
          <cell r="Q8303">
            <v>0.13</v>
          </cell>
          <cell r="T8303">
            <v>60.543999999999997</v>
          </cell>
        </row>
        <row r="8304">
          <cell r="G8304">
            <v>42767</v>
          </cell>
          <cell r="L8304" t="str">
            <v>01-08-153-95W1</v>
          </cell>
          <cell r="O8304">
            <v>819.3</v>
          </cell>
          <cell r="Q8304">
            <v>0.31</v>
          </cell>
          <cell r="T8304">
            <v>59.223999999999997</v>
          </cell>
        </row>
        <row r="8305">
          <cell r="G8305">
            <v>42767</v>
          </cell>
          <cell r="L8305" t="str">
            <v>01-03-162-90W1</v>
          </cell>
          <cell r="O8305">
            <v>830.2</v>
          </cell>
          <cell r="Q8305">
            <v>0.53</v>
          </cell>
          <cell r="T8305">
            <v>36.008000000000003</v>
          </cell>
        </row>
        <row r="8306">
          <cell r="G8306">
            <v>42767</v>
          </cell>
          <cell r="L8306" t="str">
            <v>01-26-152-96W1</v>
          </cell>
          <cell r="O8306">
            <v>818.2</v>
          </cell>
          <cell r="Q8306">
            <v>0.33</v>
          </cell>
          <cell r="T8306">
            <v>35.234000000000002</v>
          </cell>
        </row>
        <row r="8307">
          <cell r="G8307">
            <v>42767</v>
          </cell>
          <cell r="L8307" t="str">
            <v>11-15-163-89W1</v>
          </cell>
          <cell r="O8307">
            <v>848</v>
          </cell>
          <cell r="Q8307">
            <v>0.6</v>
          </cell>
          <cell r="T8307">
            <v>34.658999999999999</v>
          </cell>
        </row>
        <row r="8308">
          <cell r="G8308">
            <v>42767</v>
          </cell>
          <cell r="L8308" t="str">
            <v>10-01-157-95W1</v>
          </cell>
          <cell r="O8308">
            <v>836.1</v>
          </cell>
          <cell r="Q8308">
            <v>0.54</v>
          </cell>
          <cell r="T8308">
            <v>34.017000000000003</v>
          </cell>
        </row>
        <row r="8309">
          <cell r="G8309">
            <v>42767</v>
          </cell>
          <cell r="L8309" t="str">
            <v>01-10-152-96W1</v>
          </cell>
          <cell r="O8309">
            <v>809</v>
          </cell>
          <cell r="Q8309">
            <v>0.35</v>
          </cell>
          <cell r="T8309">
            <v>33.832999999999998</v>
          </cell>
        </row>
        <row r="8310">
          <cell r="G8310">
            <v>42767</v>
          </cell>
          <cell r="L8310" t="str">
            <v>01-09-143-101W1</v>
          </cell>
          <cell r="O8310">
            <v>834.1</v>
          </cell>
          <cell r="Q8310">
            <v>0.53</v>
          </cell>
          <cell r="T8310">
            <v>33.747</v>
          </cell>
        </row>
        <row r="8311">
          <cell r="G8311">
            <v>42767</v>
          </cell>
          <cell r="L8311" t="str">
            <v>15-04-143-101W1</v>
          </cell>
          <cell r="O8311">
            <v>837.7</v>
          </cell>
          <cell r="Q8311">
            <v>0.52</v>
          </cell>
          <cell r="T8311">
            <v>33.468000000000004</v>
          </cell>
        </row>
        <row r="8312">
          <cell r="G8312">
            <v>42767</v>
          </cell>
          <cell r="L8312" t="str">
            <v>01-26-144-98W1</v>
          </cell>
          <cell r="O8312">
            <v>834.3</v>
          </cell>
          <cell r="Q8312">
            <v>0.48</v>
          </cell>
          <cell r="T8312">
            <v>33.31</v>
          </cell>
        </row>
        <row r="8313">
          <cell r="G8313">
            <v>42767</v>
          </cell>
          <cell r="L8313" t="str">
            <v>01-34-159-95W1</v>
          </cell>
          <cell r="O8313">
            <v>833.9</v>
          </cell>
          <cell r="Q8313">
            <v>0.56999999999999995</v>
          </cell>
          <cell r="T8313">
            <v>30.625</v>
          </cell>
        </row>
        <row r="8314">
          <cell r="G8314">
            <v>42767</v>
          </cell>
          <cell r="L8314" t="str">
            <v>16-04-151-96W1</v>
          </cell>
          <cell r="O8314">
            <v>813.3</v>
          </cell>
          <cell r="Q8314">
            <v>0.28000000000000003</v>
          </cell>
          <cell r="T8314">
            <v>30.596</v>
          </cell>
        </row>
        <row r="8315">
          <cell r="G8315">
            <v>42767</v>
          </cell>
          <cell r="L8315" t="str">
            <v>02-34-145-97W1</v>
          </cell>
          <cell r="O8315">
            <v>832.9</v>
          </cell>
          <cell r="Q8315">
            <v>0.37</v>
          </cell>
          <cell r="T8315">
            <v>30.568999999999999</v>
          </cell>
        </row>
        <row r="8316">
          <cell r="G8316">
            <v>42767</v>
          </cell>
          <cell r="L8316" t="str">
            <v>25-11-159-102W1</v>
          </cell>
          <cell r="O8316">
            <v>831.7</v>
          </cell>
          <cell r="Q8316">
            <v>0.45</v>
          </cell>
          <cell r="T8316">
            <v>30.495999999999999</v>
          </cell>
        </row>
        <row r="8317">
          <cell r="G8317">
            <v>42767</v>
          </cell>
          <cell r="L8317" t="str">
            <v>01-05-150-96W1</v>
          </cell>
          <cell r="O8317">
            <v>813.6</v>
          </cell>
          <cell r="Q8317">
            <v>0.24</v>
          </cell>
          <cell r="T8317">
            <v>30.390999999999998</v>
          </cell>
        </row>
        <row r="8318">
          <cell r="G8318">
            <v>42767</v>
          </cell>
          <cell r="L8318" t="str">
            <v>01-05-144-97W1</v>
          </cell>
          <cell r="O8318">
            <v>823.6</v>
          </cell>
          <cell r="Q8318">
            <v>0.45</v>
          </cell>
          <cell r="T8318">
            <v>30.24</v>
          </cell>
        </row>
        <row r="8319">
          <cell r="G8319">
            <v>42767</v>
          </cell>
          <cell r="L8319" t="str">
            <v>01-32-164-01W1</v>
          </cell>
          <cell r="O8319">
            <v>828.5</v>
          </cell>
          <cell r="Q8319">
            <v>0.53</v>
          </cell>
          <cell r="T8319">
            <v>30.207000000000001</v>
          </cell>
        </row>
        <row r="8320">
          <cell r="G8320">
            <v>42767</v>
          </cell>
          <cell r="L8320" t="str">
            <v>01-23-144-98W1</v>
          </cell>
          <cell r="O8320">
            <v>827.2</v>
          </cell>
          <cell r="Q8320">
            <v>0.37</v>
          </cell>
          <cell r="T8320">
            <v>30.158000000000001</v>
          </cell>
        </row>
        <row r="8321">
          <cell r="G8321">
            <v>42767</v>
          </cell>
          <cell r="L8321" t="str">
            <v>35-26-164-97W1</v>
          </cell>
          <cell r="O8321">
            <v>806.5</v>
          </cell>
          <cell r="Q8321">
            <v>0.14000000000000001</v>
          </cell>
          <cell r="T8321">
            <v>30.058</v>
          </cell>
        </row>
        <row r="8322">
          <cell r="G8322">
            <v>42767</v>
          </cell>
          <cell r="L8322" t="str">
            <v>01-33-164-91W1</v>
          </cell>
          <cell r="O8322">
            <v>828.8</v>
          </cell>
          <cell r="Q8322">
            <v>0.52</v>
          </cell>
          <cell r="T8322">
            <v>29.753</v>
          </cell>
        </row>
        <row r="8323">
          <cell r="G8323">
            <v>42767</v>
          </cell>
          <cell r="L8323" t="str">
            <v>24-06-158-95W1</v>
          </cell>
          <cell r="O8323">
            <v>810.1</v>
          </cell>
          <cell r="Q8323">
            <v>0.14000000000000001</v>
          </cell>
          <cell r="T8323">
            <v>28.82</v>
          </cell>
        </row>
        <row r="8324">
          <cell r="G8324">
            <v>42767</v>
          </cell>
          <cell r="L8324" t="str">
            <v>34-02-157-95W1</v>
          </cell>
          <cell r="O8324">
            <v>824.4</v>
          </cell>
          <cell r="Q8324">
            <v>0.39</v>
          </cell>
          <cell r="T8324">
            <v>28.459</v>
          </cell>
        </row>
        <row r="8325">
          <cell r="G8325">
            <v>42767</v>
          </cell>
          <cell r="L8325" t="str">
            <v>01-29-162-92W1</v>
          </cell>
          <cell r="O8325">
            <v>841.7</v>
          </cell>
          <cell r="Q8325">
            <v>0.55000000000000004</v>
          </cell>
          <cell r="T8325">
            <v>27.873999999999999</v>
          </cell>
        </row>
        <row r="8326">
          <cell r="G8326">
            <v>42767</v>
          </cell>
          <cell r="L8326" t="str">
            <v>14-18-163-95W1</v>
          </cell>
          <cell r="O8326">
            <v>851.5</v>
          </cell>
          <cell r="Q8326">
            <v>1.1200000000000001</v>
          </cell>
          <cell r="T8326">
            <v>27.667000000000002</v>
          </cell>
        </row>
        <row r="8327">
          <cell r="G8327">
            <v>42767</v>
          </cell>
          <cell r="L8327" t="str">
            <v>01-03-153-95W1</v>
          </cell>
          <cell r="O8327">
            <v>830.2</v>
          </cell>
          <cell r="Q8327">
            <v>0.5</v>
          </cell>
          <cell r="T8327">
            <v>27.602</v>
          </cell>
        </row>
        <row r="8328">
          <cell r="G8328">
            <v>42767</v>
          </cell>
          <cell r="L8328" t="str">
            <v>03-05-157-95W1</v>
          </cell>
          <cell r="O8328">
            <v>839.5</v>
          </cell>
          <cell r="Q8328">
            <v>0.69</v>
          </cell>
          <cell r="T8328">
            <v>25.302</v>
          </cell>
        </row>
        <row r="8329">
          <cell r="G8329">
            <v>42767</v>
          </cell>
          <cell r="L8329" t="str">
            <v>03-16-163-91W1</v>
          </cell>
          <cell r="O8329">
            <v>836.6</v>
          </cell>
          <cell r="Q8329">
            <v>0.47</v>
          </cell>
          <cell r="T8329">
            <v>24.896000000000001</v>
          </cell>
        </row>
        <row r="8330">
          <cell r="G8330">
            <v>42767</v>
          </cell>
          <cell r="L8330" t="str">
            <v>01-36-003-03W2</v>
          </cell>
          <cell r="O8330">
            <v>835.4</v>
          </cell>
          <cell r="Q8330">
            <v>0.81</v>
          </cell>
          <cell r="T8330">
            <v>606.37300000000005</v>
          </cell>
        </row>
        <row r="8331">
          <cell r="G8331">
            <v>42767</v>
          </cell>
          <cell r="L8331" t="str">
            <v>07-23-010-06W2</v>
          </cell>
          <cell r="O8331">
            <v>842.1</v>
          </cell>
          <cell r="Q8331">
            <v>1.45</v>
          </cell>
          <cell r="T8331">
            <v>457.22300000000001</v>
          </cell>
        </row>
        <row r="8332">
          <cell r="G8332">
            <v>42767</v>
          </cell>
          <cell r="L8332" t="str">
            <v>13-14-010-05W2</v>
          </cell>
          <cell r="O8332">
            <v>844.9</v>
          </cell>
          <cell r="Q8332">
            <v>1.61</v>
          </cell>
          <cell r="T8332">
            <v>108.32299999999999</v>
          </cell>
        </row>
        <row r="8333">
          <cell r="G8333">
            <v>42767</v>
          </cell>
          <cell r="L8333" t="str">
            <v>01-03-155-91W1</v>
          </cell>
          <cell r="O8333">
            <v>862.2</v>
          </cell>
          <cell r="Q8333">
            <v>1.29</v>
          </cell>
          <cell r="T8333">
            <v>95.813000000000002</v>
          </cell>
        </row>
        <row r="8334">
          <cell r="G8334">
            <v>42767</v>
          </cell>
          <cell r="L8334" t="str">
            <v>12-22-010-05W2</v>
          </cell>
          <cell r="O8334">
            <v>869.1</v>
          </cell>
          <cell r="Q8334">
            <v>1.84</v>
          </cell>
          <cell r="T8334">
            <v>35.643999999999998</v>
          </cell>
        </row>
        <row r="8335">
          <cell r="G8335">
            <v>42767</v>
          </cell>
          <cell r="L8335" t="str">
            <v>11-36-005-04W2</v>
          </cell>
          <cell r="O8335">
            <v>853.2</v>
          </cell>
          <cell r="Q8335">
            <v>1.1299999999999999</v>
          </cell>
          <cell r="T8335">
            <v>35.244</v>
          </cell>
        </row>
        <row r="8336">
          <cell r="G8336">
            <v>42767</v>
          </cell>
          <cell r="L8336" t="str">
            <v>05-16-006-13W2</v>
          </cell>
          <cell r="O8336">
            <v>866.8</v>
          </cell>
          <cell r="Q8336">
            <v>2.39</v>
          </cell>
          <cell r="T8336">
            <v>104905.11500000001</v>
          </cell>
        </row>
        <row r="8337">
          <cell r="G8337">
            <v>42767</v>
          </cell>
          <cell r="L8337" t="str">
            <v>08-28-005-33W1</v>
          </cell>
          <cell r="O8337">
            <v>834.9</v>
          </cell>
          <cell r="Q8337">
            <v>1.1200000000000001</v>
          </cell>
          <cell r="T8337">
            <v>96501.951000000001</v>
          </cell>
        </row>
        <row r="8338">
          <cell r="G8338">
            <v>42767</v>
          </cell>
          <cell r="L8338" t="str">
            <v>15-26-001-31W1</v>
          </cell>
          <cell r="O8338">
            <v>874.7</v>
          </cell>
          <cell r="Q8338">
            <v>2.09</v>
          </cell>
          <cell r="T8338">
            <v>5821.0889999999999</v>
          </cell>
        </row>
        <row r="8339">
          <cell r="G8339">
            <v>42767</v>
          </cell>
          <cell r="L8339" t="str">
            <v>14-05-002-31W1</v>
          </cell>
          <cell r="O8339">
            <v>859.9</v>
          </cell>
          <cell r="Q8339">
            <v>1.62</v>
          </cell>
          <cell r="T8339">
            <v>2892.4830000000002</v>
          </cell>
        </row>
        <row r="8340">
          <cell r="G8340">
            <v>42767</v>
          </cell>
          <cell r="L8340" t="str">
            <v>04-22-002-31W1</v>
          </cell>
          <cell r="O8340">
            <v>859.2</v>
          </cell>
          <cell r="Q8340">
            <v>1.66</v>
          </cell>
          <cell r="T8340">
            <v>2636.165</v>
          </cell>
        </row>
        <row r="8341">
          <cell r="G8341">
            <v>42767</v>
          </cell>
          <cell r="L8341" t="str">
            <v>14-03-001-03W2</v>
          </cell>
          <cell r="O8341">
            <v>810.8</v>
          </cell>
          <cell r="Q8341">
            <v>0.12</v>
          </cell>
          <cell r="T8341">
            <v>1766.732</v>
          </cell>
        </row>
        <row r="8342">
          <cell r="G8342">
            <v>42767</v>
          </cell>
          <cell r="L8342" t="str">
            <v>14-13-002-02W2</v>
          </cell>
          <cell r="O8342">
            <v>831.9</v>
          </cell>
          <cell r="Q8342">
            <v>0.55000000000000004</v>
          </cell>
          <cell r="T8342">
            <v>1349.2429999999999</v>
          </cell>
        </row>
        <row r="8343">
          <cell r="G8343">
            <v>42767</v>
          </cell>
          <cell r="L8343" t="str">
            <v>01-35-006-30W1</v>
          </cell>
          <cell r="O8343">
            <v>822.7</v>
          </cell>
          <cell r="Q8343">
            <v>0.3</v>
          </cell>
          <cell r="T8343">
            <v>1213.6610000000001</v>
          </cell>
        </row>
        <row r="8344">
          <cell r="G8344">
            <v>42767</v>
          </cell>
          <cell r="L8344" t="str">
            <v>01-03-003-33W1</v>
          </cell>
          <cell r="O8344">
            <v>857.6</v>
          </cell>
          <cell r="Q8344">
            <v>1.62</v>
          </cell>
          <cell r="T8344">
            <v>992.66700000000003</v>
          </cell>
        </row>
        <row r="8345">
          <cell r="G8345">
            <v>42767</v>
          </cell>
          <cell r="L8345" t="str">
            <v>01-35-007-01W2</v>
          </cell>
          <cell r="O8345">
            <v>843.2</v>
          </cell>
          <cell r="Q8345">
            <v>1.1399999999999999</v>
          </cell>
          <cell r="T8345">
            <v>947.976</v>
          </cell>
        </row>
        <row r="8346">
          <cell r="G8346">
            <v>42767</v>
          </cell>
          <cell r="L8346" t="str">
            <v>16-03-008-33W1</v>
          </cell>
          <cell r="O8346">
            <v>843.1</v>
          </cell>
          <cell r="Q8346">
            <v>1.22</v>
          </cell>
          <cell r="T8346">
            <v>901.81200000000001</v>
          </cell>
        </row>
        <row r="8347">
          <cell r="G8347">
            <v>42767</v>
          </cell>
          <cell r="L8347" t="str">
            <v>08-16-007-29W1</v>
          </cell>
          <cell r="O8347">
            <v>825.9</v>
          </cell>
          <cell r="Q8347">
            <v>0.26</v>
          </cell>
          <cell r="T8347">
            <v>778.45399999999995</v>
          </cell>
        </row>
        <row r="8348">
          <cell r="G8348">
            <v>42767</v>
          </cell>
          <cell r="L8348" t="str">
            <v>16-04-006-32W1</v>
          </cell>
          <cell r="O8348">
            <v>846.1</v>
          </cell>
          <cell r="Q8348">
            <v>1.1200000000000001</v>
          </cell>
          <cell r="T8348">
            <v>601.63099999999997</v>
          </cell>
        </row>
        <row r="8349">
          <cell r="G8349">
            <v>42767</v>
          </cell>
          <cell r="L8349" t="str">
            <v>04-16-002-31W1</v>
          </cell>
          <cell r="O8349">
            <v>859.2</v>
          </cell>
          <cell r="Q8349">
            <v>1.69</v>
          </cell>
          <cell r="T8349">
            <v>570.53899999999999</v>
          </cell>
        </row>
        <row r="8350">
          <cell r="G8350">
            <v>42767</v>
          </cell>
          <cell r="L8350" t="str">
            <v>14-19-006-33W1</v>
          </cell>
          <cell r="O8350">
            <v>841</v>
          </cell>
          <cell r="Q8350">
            <v>1.18</v>
          </cell>
          <cell r="T8350">
            <v>543.80999999999995</v>
          </cell>
        </row>
        <row r="8351">
          <cell r="G8351">
            <v>42767</v>
          </cell>
          <cell r="L8351" t="str">
            <v>13-17-005-33W1</v>
          </cell>
          <cell r="O8351">
            <v>829.4</v>
          </cell>
          <cell r="Q8351">
            <v>0.64</v>
          </cell>
          <cell r="T8351">
            <v>541.80399999999997</v>
          </cell>
        </row>
        <row r="8352">
          <cell r="G8352">
            <v>42767</v>
          </cell>
          <cell r="L8352" t="str">
            <v>08-23-007-30W1</v>
          </cell>
          <cell r="O8352">
            <v>825.7</v>
          </cell>
          <cell r="Q8352">
            <v>0.25</v>
          </cell>
          <cell r="T8352">
            <v>503.28800000000001</v>
          </cell>
        </row>
        <row r="8353">
          <cell r="G8353">
            <v>42767</v>
          </cell>
          <cell r="L8353" t="str">
            <v>05-20-001-02W2</v>
          </cell>
          <cell r="O8353">
            <v>836.7</v>
          </cell>
          <cell r="Q8353">
            <v>0.53</v>
          </cell>
          <cell r="T8353">
            <v>444.49400000000003</v>
          </cell>
        </row>
        <row r="8354">
          <cell r="G8354">
            <v>42767</v>
          </cell>
          <cell r="L8354" t="str">
            <v>13-07-005-06W2</v>
          </cell>
          <cell r="O8354">
            <v>882.2</v>
          </cell>
          <cell r="Q8354">
            <v>1.05</v>
          </cell>
          <cell r="T8354">
            <v>443.87099999999998</v>
          </cell>
        </row>
        <row r="8355">
          <cell r="G8355">
            <v>42767</v>
          </cell>
          <cell r="L8355" t="str">
            <v>15-09-002-31W1</v>
          </cell>
          <cell r="O8355">
            <v>860.4</v>
          </cell>
          <cell r="Q8355">
            <v>1.69</v>
          </cell>
          <cell r="T8355">
            <v>435.41699999999997</v>
          </cell>
        </row>
        <row r="8356">
          <cell r="G8356">
            <v>42767</v>
          </cell>
          <cell r="L8356" t="str">
            <v>16-31-001-32W1</v>
          </cell>
          <cell r="O8356">
            <v>846.5</v>
          </cell>
          <cell r="Q8356">
            <v>1.17</v>
          </cell>
          <cell r="T8356">
            <v>373.64699999999999</v>
          </cell>
        </row>
        <row r="8357">
          <cell r="G8357">
            <v>42767</v>
          </cell>
          <cell r="L8357" t="str">
            <v>14-23-005-02W2</v>
          </cell>
          <cell r="O8357">
            <v>852.1</v>
          </cell>
          <cell r="Q8357">
            <v>1.33</v>
          </cell>
          <cell r="T8357">
            <v>228.398</v>
          </cell>
        </row>
        <row r="8358">
          <cell r="G8358">
            <v>42767</v>
          </cell>
          <cell r="L8358" t="str">
            <v>04-11-004-32W1</v>
          </cell>
          <cell r="O8358">
            <v>854.8</v>
          </cell>
          <cell r="Q8358">
            <v>1.41</v>
          </cell>
          <cell r="T8358">
            <v>201.08699999999999</v>
          </cell>
        </row>
        <row r="8359">
          <cell r="G8359">
            <v>42767</v>
          </cell>
          <cell r="L8359" t="str">
            <v>08-14-014-30W1</v>
          </cell>
          <cell r="O8359">
            <v>897.5</v>
          </cell>
          <cell r="Q8359">
            <v>2.2400000000000002</v>
          </cell>
          <cell r="T8359">
            <v>156.06</v>
          </cell>
        </row>
        <row r="8360">
          <cell r="G8360">
            <v>42767</v>
          </cell>
          <cell r="L8360" t="str">
            <v>10-17-007-33W1</v>
          </cell>
          <cell r="O8360">
            <v>841</v>
          </cell>
          <cell r="Q8360">
            <v>1.17</v>
          </cell>
          <cell r="T8360">
            <v>124.657</v>
          </cell>
        </row>
        <row r="8361">
          <cell r="G8361">
            <v>42767</v>
          </cell>
          <cell r="L8361" t="str">
            <v>16-16-006-02W2</v>
          </cell>
          <cell r="O8361">
            <v>849</v>
          </cell>
          <cell r="Q8361">
            <v>1.21</v>
          </cell>
          <cell r="T8361">
            <v>92.433999999999997</v>
          </cell>
        </row>
        <row r="8362">
          <cell r="G8362">
            <v>42767</v>
          </cell>
          <cell r="L8362" t="str">
            <v>14-24-001-02W2</v>
          </cell>
          <cell r="O8362">
            <v>845</v>
          </cell>
          <cell r="Q8362">
            <v>0.78</v>
          </cell>
          <cell r="T8362">
            <v>89.980999999999995</v>
          </cell>
        </row>
        <row r="8363">
          <cell r="G8363">
            <v>42767</v>
          </cell>
          <cell r="L8363" t="str">
            <v>15-14-014-30W1</v>
          </cell>
          <cell r="O8363">
            <v>898.3</v>
          </cell>
          <cell r="Q8363">
            <v>2.31</v>
          </cell>
          <cell r="T8363">
            <v>89.534000000000006</v>
          </cell>
        </row>
        <row r="8364">
          <cell r="G8364">
            <v>42767</v>
          </cell>
          <cell r="L8364" t="str">
            <v>13-13-002-33W1</v>
          </cell>
          <cell r="O8364">
            <v>832.4</v>
          </cell>
          <cell r="Q8364">
            <v>0.72</v>
          </cell>
          <cell r="T8364">
            <v>81.022000000000006</v>
          </cell>
        </row>
        <row r="8365">
          <cell r="G8365">
            <v>42767</v>
          </cell>
          <cell r="L8365" t="str">
            <v>09-24-001-01W2</v>
          </cell>
          <cell r="O8365">
            <v>814</v>
          </cell>
          <cell r="Q8365">
            <v>0.67</v>
          </cell>
          <cell r="T8365">
            <v>74.668999999999997</v>
          </cell>
        </row>
        <row r="8366">
          <cell r="G8366">
            <v>42767</v>
          </cell>
          <cell r="L8366" t="str">
            <v>01-06-002-32W1</v>
          </cell>
          <cell r="O8366">
            <v>835.5</v>
          </cell>
          <cell r="Q8366">
            <v>0.81</v>
          </cell>
          <cell r="T8366">
            <v>69.893000000000001</v>
          </cell>
        </row>
        <row r="8367">
          <cell r="G8367">
            <v>42767</v>
          </cell>
          <cell r="L8367" t="str">
            <v>16-15-008-03W2</v>
          </cell>
          <cell r="O8367">
            <v>855</v>
          </cell>
          <cell r="Q8367">
            <v>1.54</v>
          </cell>
          <cell r="T8367">
            <v>68.911000000000001</v>
          </cell>
        </row>
        <row r="8368">
          <cell r="G8368">
            <v>42767</v>
          </cell>
          <cell r="L8368" t="str">
            <v>09-01-002-34W1</v>
          </cell>
          <cell r="O8368">
            <v>827.8</v>
          </cell>
          <cell r="Q8368">
            <v>0.55000000000000004</v>
          </cell>
          <cell r="T8368">
            <v>62.942999999999998</v>
          </cell>
        </row>
        <row r="8369">
          <cell r="G8369">
            <v>42767</v>
          </cell>
          <cell r="L8369" t="str">
            <v>02-14-006-02W2</v>
          </cell>
          <cell r="O8369">
            <v>853</v>
          </cell>
          <cell r="Q8369">
            <v>1.17</v>
          </cell>
          <cell r="T8369">
            <v>38.704999999999998</v>
          </cell>
        </row>
        <row r="8370">
          <cell r="G8370">
            <v>42767</v>
          </cell>
          <cell r="L8370" t="str">
            <v>10-29-005-33W1</v>
          </cell>
          <cell r="O8370">
            <v>837</v>
          </cell>
          <cell r="Q8370">
            <v>0.87</v>
          </cell>
          <cell r="T8370">
            <v>35.701999999999998</v>
          </cell>
        </row>
        <row r="8371">
          <cell r="G8371">
            <v>42767</v>
          </cell>
          <cell r="L8371" t="str">
            <v>13-15-006-33W1</v>
          </cell>
          <cell r="O8371">
            <v>856.4</v>
          </cell>
          <cell r="Q8371">
            <v>1.47</v>
          </cell>
          <cell r="T8371">
            <v>34.930999999999997</v>
          </cell>
        </row>
        <row r="8372">
          <cell r="G8372">
            <v>42767</v>
          </cell>
          <cell r="L8372" t="str">
            <v>11-36-004-03W2</v>
          </cell>
          <cell r="O8372">
            <v>850.7</v>
          </cell>
          <cell r="Q8372">
            <v>0.8</v>
          </cell>
          <cell r="T8372">
            <v>32.774000000000001</v>
          </cell>
        </row>
        <row r="8373">
          <cell r="G8373">
            <v>42767</v>
          </cell>
          <cell r="L8373" t="str">
            <v>12-20-008-02W2</v>
          </cell>
          <cell r="O8373">
            <v>859.4</v>
          </cell>
          <cell r="Q8373">
            <v>1.77</v>
          </cell>
          <cell r="T8373">
            <v>32.533000000000001</v>
          </cell>
        </row>
        <row r="8374">
          <cell r="G8374">
            <v>42767</v>
          </cell>
          <cell r="L8374" t="str">
            <v>16-07-006-02W2</v>
          </cell>
          <cell r="O8374">
            <v>865.9</v>
          </cell>
          <cell r="Q8374">
            <v>1.22</v>
          </cell>
          <cell r="T8374">
            <v>29.805</v>
          </cell>
        </row>
        <row r="8375">
          <cell r="G8375">
            <v>42767</v>
          </cell>
          <cell r="L8375" t="str">
            <v>05-13-014-30W1</v>
          </cell>
          <cell r="O8375">
            <v>898</v>
          </cell>
          <cell r="Q8375">
            <v>2.2400000000000002</v>
          </cell>
          <cell r="T8375">
            <v>2.58</v>
          </cell>
        </row>
        <row r="8376">
          <cell r="G8376">
            <v>42767</v>
          </cell>
          <cell r="L8376" t="str">
            <v>15-09-007-03W2</v>
          </cell>
          <cell r="O8376">
            <v>848.6</v>
          </cell>
          <cell r="Q8376">
            <v>1.39</v>
          </cell>
          <cell r="T8376">
            <v>1079.42</v>
          </cell>
        </row>
        <row r="8377">
          <cell r="G8377">
            <v>42767</v>
          </cell>
          <cell r="L8377" t="str">
            <v>07-31-005-33W1</v>
          </cell>
          <cell r="O8377">
            <v>828.4</v>
          </cell>
          <cell r="Q8377">
            <v>0.66</v>
          </cell>
          <cell r="T8377">
            <v>1050.79</v>
          </cell>
        </row>
        <row r="8378">
          <cell r="G8378">
            <v>42767</v>
          </cell>
          <cell r="L8378" t="str">
            <v>04-36-004-02W2</v>
          </cell>
          <cell r="O8378">
            <v>856.2</v>
          </cell>
          <cell r="Q8378">
            <v>1.58</v>
          </cell>
          <cell r="T8378">
            <v>271.661</v>
          </cell>
        </row>
        <row r="8379">
          <cell r="G8379">
            <v>42767</v>
          </cell>
          <cell r="L8379" t="str">
            <v>14-04-006-33W1</v>
          </cell>
          <cell r="O8379">
            <v>839.1</v>
          </cell>
          <cell r="Q8379">
            <v>0.85</v>
          </cell>
          <cell r="T8379">
            <v>35.972000000000001</v>
          </cell>
        </row>
        <row r="8380">
          <cell r="G8380">
            <v>42767</v>
          </cell>
          <cell r="L8380" t="str">
            <v>ALStream</v>
          </cell>
          <cell r="O8380">
            <v>840.1</v>
          </cell>
          <cell r="Q8380">
            <v>1.1000000000000001</v>
          </cell>
          <cell r="T8380">
            <v>-79856.763999999996</v>
          </cell>
        </row>
        <row r="8381">
          <cell r="G8381">
            <v>42767</v>
          </cell>
          <cell r="L8381" t="str">
            <v>MWStream</v>
          </cell>
          <cell r="O8381">
            <v>829.1</v>
          </cell>
          <cell r="Q8381">
            <v>1.25</v>
          </cell>
          <cell r="T8381">
            <v>-8687.8060000000005</v>
          </cell>
        </row>
        <row r="8382">
          <cell r="G8382">
            <v>42795</v>
          </cell>
          <cell r="L8382" t="str">
            <v>14-04-007-13W2</v>
          </cell>
          <cell r="O8382">
            <v>861.5</v>
          </cell>
          <cell r="Q8382">
            <v>1.89</v>
          </cell>
          <cell r="T8382">
            <v>38.213999999999999</v>
          </cell>
        </row>
        <row r="8383">
          <cell r="G8383">
            <v>42795</v>
          </cell>
          <cell r="L8383" t="str">
            <v>01-15-005-32W1</v>
          </cell>
          <cell r="O8383">
            <v>849.4</v>
          </cell>
          <cell r="Q8383">
            <v>1.03</v>
          </cell>
          <cell r="T8383">
            <v>56.62</v>
          </cell>
        </row>
        <row r="8384">
          <cell r="G8384">
            <v>42795</v>
          </cell>
          <cell r="L8384" t="str">
            <v>08-18-011-03W2</v>
          </cell>
          <cell r="O8384">
            <v>858.4</v>
          </cell>
          <cell r="Q8384">
            <v>1.78</v>
          </cell>
          <cell r="T8384">
            <v>69.569999999999993</v>
          </cell>
        </row>
        <row r="8385">
          <cell r="G8385">
            <v>42795</v>
          </cell>
          <cell r="L8385" t="str">
            <v>15-09-010-08W2</v>
          </cell>
          <cell r="O8385">
            <v>883.7</v>
          </cell>
          <cell r="Q8385">
            <v>2.54</v>
          </cell>
          <cell r="T8385">
            <v>83.430999999999997</v>
          </cell>
        </row>
        <row r="8386">
          <cell r="G8386">
            <v>42795</v>
          </cell>
          <cell r="L8386" t="str">
            <v>16-27-004-33W1</v>
          </cell>
          <cell r="O8386">
            <v>844.1</v>
          </cell>
          <cell r="Q8386">
            <v>1</v>
          </cell>
          <cell r="T8386">
            <v>80.277000000000001</v>
          </cell>
        </row>
        <row r="8387">
          <cell r="G8387">
            <v>42795</v>
          </cell>
          <cell r="L8387" t="str">
            <v>03-13-006-33W1</v>
          </cell>
          <cell r="O8387">
            <v>835.4</v>
          </cell>
          <cell r="Q8387">
            <v>0.81</v>
          </cell>
          <cell r="T8387">
            <v>83.421999999999997</v>
          </cell>
        </row>
        <row r="8388">
          <cell r="G8388">
            <v>42795</v>
          </cell>
          <cell r="L8388" t="str">
            <v>10-09-004-33W1</v>
          </cell>
          <cell r="O8388">
            <v>837</v>
          </cell>
          <cell r="Q8388">
            <v>0.67</v>
          </cell>
          <cell r="T8388">
            <v>96.796000000000006</v>
          </cell>
        </row>
        <row r="8389">
          <cell r="G8389">
            <v>42795</v>
          </cell>
          <cell r="L8389" t="str">
            <v>16-16-010-02W2</v>
          </cell>
          <cell r="O8389">
            <v>851.8</v>
          </cell>
          <cell r="Q8389">
            <v>1.81</v>
          </cell>
          <cell r="T8389">
            <v>108.044</v>
          </cell>
        </row>
        <row r="8390">
          <cell r="G8390">
            <v>42795</v>
          </cell>
          <cell r="L8390" t="str">
            <v>09-30-002-30w1</v>
          </cell>
          <cell r="O8390">
            <v>866.6</v>
          </cell>
          <cell r="Q8390">
            <v>1.76</v>
          </cell>
          <cell r="T8390">
            <v>109.62</v>
          </cell>
        </row>
        <row r="8391">
          <cell r="G8391">
            <v>42795</v>
          </cell>
          <cell r="L8391" t="str">
            <v>07-24-001-32W1</v>
          </cell>
          <cell r="O8391">
            <v>854.1</v>
          </cell>
          <cell r="Q8391">
            <v>1.4</v>
          </cell>
          <cell r="T8391">
            <v>113.473</v>
          </cell>
        </row>
        <row r="8392">
          <cell r="G8392">
            <v>42795</v>
          </cell>
          <cell r="L8392" t="str">
            <v>03-19-001-31W1</v>
          </cell>
          <cell r="O8392">
            <v>870.8</v>
          </cell>
          <cell r="Q8392">
            <v>1.86</v>
          </cell>
          <cell r="T8392">
            <v>113.752</v>
          </cell>
        </row>
        <row r="8393">
          <cell r="G8393">
            <v>42795</v>
          </cell>
          <cell r="L8393" t="str">
            <v>09-31-007-12W2</v>
          </cell>
          <cell r="O8393">
            <v>869.1</v>
          </cell>
          <cell r="Q8393">
            <v>2.38</v>
          </cell>
          <cell r="T8393">
            <v>122.255</v>
          </cell>
        </row>
        <row r="8394">
          <cell r="G8394">
            <v>42795</v>
          </cell>
          <cell r="L8394" t="str">
            <v>09-08-004-33W1</v>
          </cell>
          <cell r="O8394">
            <v>832.1</v>
          </cell>
          <cell r="Q8394">
            <v>0.68</v>
          </cell>
          <cell r="T8394">
            <v>116.57899999999999</v>
          </cell>
        </row>
        <row r="8395">
          <cell r="G8395">
            <v>42795</v>
          </cell>
          <cell r="L8395" t="str">
            <v>16-36-004-06W2</v>
          </cell>
          <cell r="O8395">
            <v>844.4</v>
          </cell>
          <cell r="Q8395">
            <v>0.92</v>
          </cell>
          <cell r="T8395">
            <v>135.16499999999999</v>
          </cell>
        </row>
        <row r="8396">
          <cell r="G8396">
            <v>42795</v>
          </cell>
          <cell r="L8396" t="str">
            <v>08-01-004-32W1</v>
          </cell>
          <cell r="O8396">
            <v>862.5</v>
          </cell>
          <cell r="Q8396">
            <v>1.66</v>
          </cell>
          <cell r="T8396">
            <v>136.065</v>
          </cell>
        </row>
        <row r="8397">
          <cell r="G8397">
            <v>42795</v>
          </cell>
          <cell r="L8397" t="str">
            <v>09-23-002-01W2</v>
          </cell>
          <cell r="O8397">
            <v>849.3</v>
          </cell>
          <cell r="Q8397">
            <v>1.01</v>
          </cell>
          <cell r="T8397">
            <v>134.97300000000001</v>
          </cell>
        </row>
        <row r="8398">
          <cell r="G8398">
            <v>42795</v>
          </cell>
          <cell r="L8398" t="str">
            <v>16-08-007-12W2</v>
          </cell>
          <cell r="O8398">
            <v>857.4</v>
          </cell>
          <cell r="Q8398">
            <v>2.0699999999999998</v>
          </cell>
          <cell r="T8398">
            <v>148.958</v>
          </cell>
        </row>
        <row r="8399">
          <cell r="G8399">
            <v>42795</v>
          </cell>
          <cell r="L8399" t="str">
            <v>03-05-006-05W2</v>
          </cell>
          <cell r="O8399">
            <v>838.4</v>
          </cell>
          <cell r="Q8399">
            <v>0.98</v>
          </cell>
          <cell r="T8399">
            <v>141.68799999999999</v>
          </cell>
        </row>
        <row r="8400">
          <cell r="G8400">
            <v>42795</v>
          </cell>
          <cell r="L8400" t="str">
            <v>04-15-008-33W1</v>
          </cell>
          <cell r="O8400">
            <v>847.1</v>
          </cell>
          <cell r="Q8400">
            <v>1.26</v>
          </cell>
          <cell r="T8400">
            <v>139.06800000000001</v>
          </cell>
        </row>
        <row r="8401">
          <cell r="G8401">
            <v>42795</v>
          </cell>
          <cell r="L8401" t="str">
            <v>13-34-007-14W2</v>
          </cell>
          <cell r="O8401">
            <v>869.7</v>
          </cell>
          <cell r="Q8401">
            <v>2.15</v>
          </cell>
          <cell r="T8401">
            <v>153.27099999999999</v>
          </cell>
        </row>
        <row r="8402">
          <cell r="G8402">
            <v>42795</v>
          </cell>
          <cell r="L8402" t="str">
            <v>16-24-004-01W2</v>
          </cell>
          <cell r="O8402">
            <v>827.5</v>
          </cell>
          <cell r="Q8402">
            <v>0.6</v>
          </cell>
          <cell r="T8402">
            <v>142.52500000000001</v>
          </cell>
        </row>
        <row r="8403">
          <cell r="G8403">
            <v>42795</v>
          </cell>
          <cell r="L8403" t="str">
            <v>07-31-001-31W1</v>
          </cell>
          <cell r="O8403">
            <v>865.3</v>
          </cell>
          <cell r="Q8403">
            <v>1.7</v>
          </cell>
          <cell r="T8403">
            <v>145.28399999999999</v>
          </cell>
        </row>
        <row r="8404">
          <cell r="G8404">
            <v>42795</v>
          </cell>
          <cell r="L8404" t="str">
            <v>13-17-001-31W1</v>
          </cell>
          <cell r="O8404">
            <v>854.7</v>
          </cell>
          <cell r="Q8404">
            <v>1.4</v>
          </cell>
          <cell r="T8404">
            <v>147.37700000000001</v>
          </cell>
        </row>
        <row r="8405">
          <cell r="G8405">
            <v>42795</v>
          </cell>
          <cell r="L8405" t="str">
            <v>15-09-010-02W2</v>
          </cell>
          <cell r="O8405">
            <v>862.3</v>
          </cell>
          <cell r="Q8405">
            <v>1.85</v>
          </cell>
          <cell r="T8405">
            <v>148.28100000000001</v>
          </cell>
        </row>
        <row r="8406">
          <cell r="G8406">
            <v>42795</v>
          </cell>
          <cell r="L8406" t="str">
            <v>13-25-001-01W2</v>
          </cell>
          <cell r="O8406">
            <v>838</v>
          </cell>
          <cell r="Q8406">
            <v>0.88</v>
          </cell>
          <cell r="T8406">
            <v>150.518</v>
          </cell>
        </row>
        <row r="8407">
          <cell r="G8407">
            <v>42795</v>
          </cell>
          <cell r="L8407" t="str">
            <v>09-30-007-08W2</v>
          </cell>
          <cell r="O8407">
            <v>832.3</v>
          </cell>
          <cell r="Q8407">
            <v>1.08</v>
          </cell>
          <cell r="T8407">
            <v>167.45699999999999</v>
          </cell>
        </row>
        <row r="8408">
          <cell r="G8408">
            <v>42795</v>
          </cell>
          <cell r="L8408" t="str">
            <v>12-12-005-34W1</v>
          </cell>
          <cell r="O8408">
            <v>821.4</v>
          </cell>
          <cell r="Q8408">
            <v>0.61</v>
          </cell>
          <cell r="T8408">
            <v>162.05500000000001</v>
          </cell>
        </row>
        <row r="8409">
          <cell r="G8409">
            <v>42795</v>
          </cell>
          <cell r="L8409" t="str">
            <v>15-21-008-03W2</v>
          </cell>
          <cell r="O8409">
            <v>851.7</v>
          </cell>
          <cell r="Q8409">
            <v>1.49</v>
          </cell>
          <cell r="T8409">
            <v>167.65799999999999</v>
          </cell>
        </row>
        <row r="8410">
          <cell r="G8410">
            <v>42795</v>
          </cell>
          <cell r="L8410" t="str">
            <v>01-29-004-07W2</v>
          </cell>
          <cell r="O8410">
            <v>883.3</v>
          </cell>
          <cell r="Q8410">
            <v>2</v>
          </cell>
          <cell r="T8410">
            <v>186.745</v>
          </cell>
        </row>
        <row r="8411">
          <cell r="G8411">
            <v>42795</v>
          </cell>
          <cell r="L8411" t="str">
            <v>05-01-001-32W1</v>
          </cell>
          <cell r="O8411">
            <v>869.2</v>
          </cell>
          <cell r="Q8411">
            <v>1.77</v>
          </cell>
          <cell r="T8411">
            <v>188.012</v>
          </cell>
        </row>
        <row r="8412">
          <cell r="G8412">
            <v>42795</v>
          </cell>
          <cell r="L8412" t="str">
            <v>01-11-005-04W2</v>
          </cell>
          <cell r="O8412">
            <v>856</v>
          </cell>
          <cell r="Q8412">
            <v>1.5</v>
          </cell>
          <cell r="T8412">
            <v>201.03399999999999</v>
          </cell>
        </row>
        <row r="8413">
          <cell r="G8413">
            <v>42795</v>
          </cell>
          <cell r="L8413" t="str">
            <v>09-14-009-08W2</v>
          </cell>
          <cell r="O8413">
            <v>806.5</v>
          </cell>
          <cell r="Q8413">
            <v>0.16</v>
          </cell>
          <cell r="T8413">
            <v>214.578</v>
          </cell>
        </row>
        <row r="8414">
          <cell r="G8414">
            <v>42795</v>
          </cell>
          <cell r="L8414" t="str">
            <v>07-36-001-34W1</v>
          </cell>
          <cell r="O8414">
            <v>849.8</v>
          </cell>
          <cell r="Q8414">
            <v>1.07</v>
          </cell>
          <cell r="T8414">
            <v>198.23699999999999</v>
          </cell>
        </row>
        <row r="8415">
          <cell r="G8415">
            <v>42795</v>
          </cell>
          <cell r="L8415" t="str">
            <v>10-33-003-31W1</v>
          </cell>
          <cell r="O8415">
            <v>861.5</v>
          </cell>
          <cell r="Q8415">
            <v>2.34</v>
          </cell>
          <cell r="T8415">
            <v>203.012</v>
          </cell>
        </row>
        <row r="8416">
          <cell r="G8416">
            <v>42795</v>
          </cell>
          <cell r="L8416" t="str">
            <v>07-25-003-13W2</v>
          </cell>
          <cell r="O8416">
            <v>887.9</v>
          </cell>
          <cell r="Q8416">
            <v>2.41</v>
          </cell>
          <cell r="T8416">
            <v>232.83699999999999</v>
          </cell>
        </row>
        <row r="8417">
          <cell r="G8417">
            <v>42795</v>
          </cell>
          <cell r="L8417" t="str">
            <v>02-30-001-31W1</v>
          </cell>
          <cell r="O8417">
            <v>869.5</v>
          </cell>
          <cell r="Q8417">
            <v>1.71</v>
          </cell>
          <cell r="T8417">
            <v>204.876</v>
          </cell>
        </row>
        <row r="8418">
          <cell r="G8418">
            <v>42795</v>
          </cell>
          <cell r="L8418" t="str">
            <v>02-17-005-31W1</v>
          </cell>
          <cell r="O8418">
            <v>845.4</v>
          </cell>
          <cell r="Q8418">
            <v>1.28</v>
          </cell>
          <cell r="T8418">
            <v>211.04300000000001</v>
          </cell>
        </row>
        <row r="8419">
          <cell r="G8419">
            <v>42795</v>
          </cell>
          <cell r="L8419" t="str">
            <v>01-24-007-05W2</v>
          </cell>
          <cell r="O8419">
            <v>845.6</v>
          </cell>
          <cell r="Q8419">
            <v>1.27</v>
          </cell>
          <cell r="T8419">
            <v>229.31899999999999</v>
          </cell>
        </row>
        <row r="8420">
          <cell r="G8420">
            <v>42795</v>
          </cell>
          <cell r="L8420" t="str">
            <v>03-12-002-19w2</v>
          </cell>
          <cell r="O8420">
            <v>875</v>
          </cell>
          <cell r="Q8420">
            <v>2.9</v>
          </cell>
          <cell r="T8420">
            <v>267.14400000000001</v>
          </cell>
        </row>
        <row r="8421">
          <cell r="G8421">
            <v>42795</v>
          </cell>
          <cell r="L8421" t="str">
            <v>08-31-009-01W2</v>
          </cell>
          <cell r="O8421">
            <v>856.9</v>
          </cell>
          <cell r="Q8421">
            <v>1.75</v>
          </cell>
          <cell r="T8421">
            <v>234.59100000000001</v>
          </cell>
        </row>
        <row r="8422">
          <cell r="G8422">
            <v>42795</v>
          </cell>
          <cell r="L8422" t="str">
            <v>12-22-007-11W2</v>
          </cell>
          <cell r="O8422">
            <v>842.2</v>
          </cell>
          <cell r="Q8422">
            <v>1.74</v>
          </cell>
          <cell r="T8422">
            <v>6959.2520000000004</v>
          </cell>
        </row>
        <row r="8423">
          <cell r="G8423">
            <v>42795</v>
          </cell>
          <cell r="L8423" t="str">
            <v>01-28-002-14W2</v>
          </cell>
          <cell r="O8423">
            <v>826.9</v>
          </cell>
          <cell r="Q8423">
            <v>1.31</v>
          </cell>
          <cell r="T8423">
            <v>6071.2709999999997</v>
          </cell>
        </row>
        <row r="8424">
          <cell r="G8424">
            <v>42795</v>
          </cell>
          <cell r="L8424" t="str">
            <v>04-21-006-14W2</v>
          </cell>
          <cell r="O8424">
            <v>858.7</v>
          </cell>
          <cell r="Q8424">
            <v>2</v>
          </cell>
          <cell r="T8424">
            <v>2619.7959999999998</v>
          </cell>
        </row>
        <row r="8425">
          <cell r="G8425">
            <v>42795</v>
          </cell>
          <cell r="L8425" t="str">
            <v>14-33-006-14W2</v>
          </cell>
          <cell r="O8425">
            <v>845.8</v>
          </cell>
          <cell r="Q8425">
            <v>1.72</v>
          </cell>
          <cell r="T8425">
            <v>2216.0129999999999</v>
          </cell>
        </row>
        <row r="8426">
          <cell r="G8426">
            <v>42795</v>
          </cell>
          <cell r="L8426" t="str">
            <v>05-18-004-17W2</v>
          </cell>
          <cell r="O8426">
            <v>862.2</v>
          </cell>
          <cell r="Q8426">
            <v>2.2400000000000002</v>
          </cell>
          <cell r="T8426">
            <v>1879.2080000000001</v>
          </cell>
        </row>
        <row r="8427">
          <cell r="G8427">
            <v>42795</v>
          </cell>
          <cell r="L8427" t="str">
            <v>07-02-007-11W2</v>
          </cell>
          <cell r="O8427">
            <v>864.7</v>
          </cell>
          <cell r="Q8427">
            <v>1.48</v>
          </cell>
          <cell r="T8427">
            <v>1826.6690000000001</v>
          </cell>
        </row>
        <row r="8428">
          <cell r="G8428">
            <v>42795</v>
          </cell>
          <cell r="L8428" t="str">
            <v>15-33-006-14W2</v>
          </cell>
          <cell r="O8428">
            <v>849.4</v>
          </cell>
          <cell r="Q8428">
            <v>1.7</v>
          </cell>
          <cell r="T8428">
            <v>1107.1669999999999</v>
          </cell>
        </row>
        <row r="8429">
          <cell r="G8429">
            <v>42795</v>
          </cell>
          <cell r="L8429" t="str">
            <v>01-22-006-14W2</v>
          </cell>
          <cell r="O8429">
            <v>862.1</v>
          </cell>
          <cell r="Q8429">
            <v>2.23</v>
          </cell>
          <cell r="T8429">
            <v>861.64099999999996</v>
          </cell>
        </row>
        <row r="8430">
          <cell r="G8430">
            <v>42795</v>
          </cell>
          <cell r="L8430" t="str">
            <v>04-11-007-13W2</v>
          </cell>
          <cell r="O8430">
            <v>858.1</v>
          </cell>
          <cell r="Q8430">
            <v>1.97</v>
          </cell>
          <cell r="T8430">
            <v>430.35899999999998</v>
          </cell>
        </row>
        <row r="8431">
          <cell r="G8431">
            <v>42795</v>
          </cell>
          <cell r="L8431" t="str">
            <v>02-18-007-13W2</v>
          </cell>
          <cell r="O8431">
            <v>866.3</v>
          </cell>
          <cell r="Q8431">
            <v>1.93</v>
          </cell>
          <cell r="T8431">
            <v>425.87700000000001</v>
          </cell>
        </row>
        <row r="8432">
          <cell r="G8432">
            <v>42795</v>
          </cell>
          <cell r="L8432" t="str">
            <v>15-30-007-12w2</v>
          </cell>
          <cell r="O8432">
            <v>871.3</v>
          </cell>
          <cell r="Q8432">
            <v>2.31</v>
          </cell>
          <cell r="T8432">
            <v>394.92200000000003</v>
          </cell>
        </row>
        <row r="8433">
          <cell r="G8433">
            <v>42795</v>
          </cell>
          <cell r="L8433" t="str">
            <v>01-03-008-13W2</v>
          </cell>
          <cell r="O8433">
            <v>851.8</v>
          </cell>
          <cell r="Q8433">
            <v>2.0699999999999998</v>
          </cell>
          <cell r="T8433">
            <v>377.113</v>
          </cell>
        </row>
        <row r="8434">
          <cell r="G8434">
            <v>42795</v>
          </cell>
          <cell r="L8434" t="str">
            <v>03-06-005-12W2</v>
          </cell>
          <cell r="O8434">
            <v>881.9</v>
          </cell>
          <cell r="Q8434">
            <v>2.37</v>
          </cell>
          <cell r="T8434">
            <v>346.58</v>
          </cell>
        </row>
        <row r="8435">
          <cell r="G8435">
            <v>42795</v>
          </cell>
          <cell r="L8435" t="str">
            <v>10-22-006-14W2</v>
          </cell>
          <cell r="O8435">
            <v>849.6</v>
          </cell>
          <cell r="Q8435">
            <v>1.75</v>
          </cell>
          <cell r="T8435">
            <v>346.37599999999998</v>
          </cell>
        </row>
        <row r="8436">
          <cell r="G8436">
            <v>42795</v>
          </cell>
          <cell r="L8436" t="str">
            <v>16-09-004-31W1</v>
          </cell>
          <cell r="O8436">
            <v>868.5</v>
          </cell>
          <cell r="Q8436">
            <v>1.8</v>
          </cell>
          <cell r="T8436">
            <v>245.85900000000001</v>
          </cell>
        </row>
        <row r="8437">
          <cell r="G8437">
            <v>42795</v>
          </cell>
          <cell r="L8437" t="str">
            <v>09-13-007-11W2</v>
          </cell>
          <cell r="O8437">
            <v>818.7</v>
          </cell>
          <cell r="Q8437">
            <v>0.56000000000000005</v>
          </cell>
          <cell r="T8437">
            <v>23623.538</v>
          </cell>
        </row>
        <row r="8438">
          <cell r="G8438">
            <v>42795</v>
          </cell>
          <cell r="L8438" t="str">
            <v>07-12-006-11W2</v>
          </cell>
          <cell r="O8438">
            <v>876.7</v>
          </cell>
          <cell r="Q8438">
            <v>2.09</v>
          </cell>
          <cell r="T8438">
            <v>22323.207999999999</v>
          </cell>
        </row>
        <row r="8439">
          <cell r="G8439">
            <v>42795</v>
          </cell>
          <cell r="L8439" t="str">
            <v>14-27-001-13W2</v>
          </cell>
          <cell r="O8439">
            <v>820.2</v>
          </cell>
          <cell r="Q8439">
            <v>0.56000000000000005</v>
          </cell>
          <cell r="T8439">
            <v>21566.571</v>
          </cell>
        </row>
        <row r="8440">
          <cell r="G8440">
            <v>42795</v>
          </cell>
          <cell r="L8440" t="str">
            <v>01-21-001-14w2</v>
          </cell>
          <cell r="O8440">
            <v>810.8</v>
          </cell>
          <cell r="Q8440">
            <v>0.19</v>
          </cell>
          <cell r="T8440">
            <v>19019.342000000001</v>
          </cell>
        </row>
        <row r="8441">
          <cell r="G8441">
            <v>42795</v>
          </cell>
          <cell r="L8441" t="str">
            <v>13-30-007-10W2</v>
          </cell>
          <cell r="O8441">
            <v>816.1</v>
          </cell>
          <cell r="Q8441">
            <v>0.61</v>
          </cell>
          <cell r="T8441">
            <v>10867.904</v>
          </cell>
        </row>
        <row r="8442">
          <cell r="G8442">
            <v>42795</v>
          </cell>
          <cell r="L8442" t="str">
            <v>08-31-004-18W2</v>
          </cell>
          <cell r="O8442">
            <v>854.1</v>
          </cell>
          <cell r="Q8442">
            <v>1.86</v>
          </cell>
          <cell r="T8442">
            <v>7909.2460000000001</v>
          </cell>
        </row>
        <row r="8443">
          <cell r="G8443">
            <v>42795</v>
          </cell>
          <cell r="L8443" t="str">
            <v>05-31-003-16W2</v>
          </cell>
          <cell r="O8443">
            <v>885.5</v>
          </cell>
          <cell r="Q8443">
            <v>3.17</v>
          </cell>
          <cell r="T8443">
            <v>5368.5050000000001</v>
          </cell>
        </row>
        <row r="8444">
          <cell r="G8444">
            <v>42795</v>
          </cell>
          <cell r="L8444" t="str">
            <v>04-05-002-15W2</v>
          </cell>
          <cell r="O8444">
            <v>863.6</v>
          </cell>
          <cell r="Q8444">
            <v>1.9</v>
          </cell>
          <cell r="T8444">
            <v>4141.4380000000001</v>
          </cell>
        </row>
        <row r="8445">
          <cell r="G8445">
            <v>42795</v>
          </cell>
          <cell r="L8445" t="str">
            <v>11-02-005-12W2</v>
          </cell>
          <cell r="O8445">
            <v>845.3</v>
          </cell>
          <cell r="Q8445">
            <v>1.63</v>
          </cell>
          <cell r="T8445">
            <v>2822.4540000000002</v>
          </cell>
        </row>
        <row r="8446">
          <cell r="G8446">
            <v>42795</v>
          </cell>
          <cell r="L8446" t="str">
            <v>06-03-001-16W2</v>
          </cell>
          <cell r="O8446">
            <v>822.7</v>
          </cell>
          <cell r="Q8446">
            <v>0.49</v>
          </cell>
          <cell r="T8446">
            <v>2023.52</v>
          </cell>
        </row>
        <row r="8447">
          <cell r="G8447">
            <v>42795</v>
          </cell>
          <cell r="L8447" t="str">
            <v>13-02-007-14W2</v>
          </cell>
          <cell r="O8447">
            <v>848.7</v>
          </cell>
          <cell r="Q8447">
            <v>1.83</v>
          </cell>
          <cell r="T8447">
            <v>1625.2750000000001</v>
          </cell>
        </row>
        <row r="8448">
          <cell r="G8448">
            <v>42795</v>
          </cell>
          <cell r="L8448" t="str">
            <v>16-23-006-11W2</v>
          </cell>
          <cell r="O8448">
            <v>875</v>
          </cell>
          <cell r="Q8448">
            <v>2.3199999999999998</v>
          </cell>
          <cell r="T8448">
            <v>1578.8789999999999</v>
          </cell>
        </row>
        <row r="8449">
          <cell r="G8449">
            <v>42795</v>
          </cell>
          <cell r="L8449" t="str">
            <v>11-04-005-12W2</v>
          </cell>
          <cell r="O8449">
            <v>876.8</v>
          </cell>
          <cell r="Q8449">
            <v>2.02</v>
          </cell>
          <cell r="T8449">
            <v>1548.4459999999999</v>
          </cell>
        </row>
        <row r="8450">
          <cell r="G8450">
            <v>42795</v>
          </cell>
          <cell r="L8450" t="str">
            <v>15-32-004-12W2</v>
          </cell>
          <cell r="O8450">
            <v>879.5</v>
          </cell>
          <cell r="Q8450">
            <v>2.14</v>
          </cell>
          <cell r="T8450">
            <v>1517.3820000000001</v>
          </cell>
        </row>
        <row r="8451">
          <cell r="G8451">
            <v>42795</v>
          </cell>
          <cell r="L8451" t="str">
            <v>11-26-002-19W2</v>
          </cell>
          <cell r="O8451">
            <v>870.7</v>
          </cell>
          <cell r="Q8451">
            <v>1.93</v>
          </cell>
          <cell r="T8451">
            <v>1394.4110000000001</v>
          </cell>
        </row>
        <row r="8452">
          <cell r="G8452">
            <v>42795</v>
          </cell>
          <cell r="L8452" t="str">
            <v>15-25-007-11W2</v>
          </cell>
          <cell r="O8452">
            <v>869.6</v>
          </cell>
          <cell r="Q8452">
            <v>2.1800000000000002</v>
          </cell>
          <cell r="T8452">
            <v>1328.2270000000001</v>
          </cell>
        </row>
        <row r="8453">
          <cell r="G8453">
            <v>42795</v>
          </cell>
          <cell r="L8453" t="str">
            <v>12-25-004-19W2</v>
          </cell>
          <cell r="O8453">
            <v>863.9</v>
          </cell>
          <cell r="Q8453">
            <v>2.31</v>
          </cell>
          <cell r="T8453">
            <v>760.84799999999996</v>
          </cell>
        </row>
        <row r="8454">
          <cell r="G8454">
            <v>42795</v>
          </cell>
          <cell r="L8454" t="str">
            <v>02-29-001-17W2</v>
          </cell>
          <cell r="O8454">
            <v>854.4</v>
          </cell>
          <cell r="Q8454">
            <v>2.15</v>
          </cell>
          <cell r="T8454">
            <v>725.74800000000005</v>
          </cell>
        </row>
        <row r="8455">
          <cell r="G8455">
            <v>42795</v>
          </cell>
          <cell r="L8455" t="str">
            <v>05-35-006-11W2</v>
          </cell>
          <cell r="O8455">
            <v>804.6</v>
          </cell>
          <cell r="Q8455">
            <v>0.12</v>
          </cell>
          <cell r="T8455">
            <v>454.18400000000003</v>
          </cell>
        </row>
        <row r="8456">
          <cell r="G8456">
            <v>42795</v>
          </cell>
          <cell r="L8456" t="str">
            <v>09-28-001-15W2</v>
          </cell>
          <cell r="O8456">
            <v>865.1</v>
          </cell>
          <cell r="Q8456">
            <v>1.01</v>
          </cell>
          <cell r="T8456">
            <v>309.44299999999998</v>
          </cell>
        </row>
        <row r="8457">
          <cell r="G8457">
            <v>42795</v>
          </cell>
          <cell r="L8457" t="str">
            <v>07-28-007-08W2</v>
          </cell>
          <cell r="O8457">
            <v>844.1</v>
          </cell>
          <cell r="Q8457">
            <v>1.87</v>
          </cell>
          <cell r="T8457">
            <v>292.548</v>
          </cell>
        </row>
        <row r="8458">
          <cell r="G8458">
            <v>42795</v>
          </cell>
          <cell r="L8458" t="str">
            <v>11-23-002-34W1</v>
          </cell>
          <cell r="O8458">
            <v>830.9</v>
          </cell>
          <cell r="Q8458">
            <v>0.71</v>
          </cell>
          <cell r="T8458">
            <v>264.41899999999998</v>
          </cell>
        </row>
        <row r="8459">
          <cell r="G8459">
            <v>42795</v>
          </cell>
          <cell r="L8459" t="str">
            <v>09-18-007-04W2</v>
          </cell>
          <cell r="O8459">
            <v>854</v>
          </cell>
          <cell r="Q8459">
            <v>1.43</v>
          </cell>
          <cell r="T8459">
            <v>273.02600000000001</v>
          </cell>
        </row>
        <row r="8460">
          <cell r="G8460">
            <v>42795</v>
          </cell>
          <cell r="L8460" t="str">
            <v>01-07-006-10W2</v>
          </cell>
          <cell r="O8460">
            <v>845.3</v>
          </cell>
          <cell r="Q8460">
            <v>1.32</v>
          </cell>
          <cell r="T8460">
            <v>9106.7160000000003</v>
          </cell>
        </row>
        <row r="8461">
          <cell r="G8461">
            <v>42795</v>
          </cell>
          <cell r="L8461" t="str">
            <v>02-13-006-01W2</v>
          </cell>
          <cell r="O8461">
            <v>842.3</v>
          </cell>
          <cell r="Q8461">
            <v>1.22</v>
          </cell>
          <cell r="T8461">
            <v>275.45100000000002</v>
          </cell>
        </row>
        <row r="8462">
          <cell r="G8462">
            <v>42795</v>
          </cell>
          <cell r="L8462" t="str">
            <v>03-23-001-32W1</v>
          </cell>
          <cell r="O8462">
            <v>857.4</v>
          </cell>
          <cell r="Q8462">
            <v>1.41</v>
          </cell>
          <cell r="T8462">
            <v>283.536</v>
          </cell>
        </row>
        <row r="8463">
          <cell r="G8463">
            <v>42795</v>
          </cell>
          <cell r="L8463" t="str">
            <v>07-25-009-08W2</v>
          </cell>
          <cell r="O8463">
            <v>883.3</v>
          </cell>
          <cell r="Q8463">
            <v>2.2599999999999998</v>
          </cell>
          <cell r="T8463">
            <v>323.16699999999997</v>
          </cell>
        </row>
        <row r="8464">
          <cell r="G8464">
            <v>42795</v>
          </cell>
          <cell r="L8464" t="str">
            <v>07-23-006-02W2</v>
          </cell>
          <cell r="O8464">
            <v>846</v>
          </cell>
          <cell r="Q8464">
            <v>1.1499999999999999</v>
          </cell>
          <cell r="T8464">
            <v>287.58100000000002</v>
          </cell>
        </row>
        <row r="8465">
          <cell r="G8465">
            <v>42795</v>
          </cell>
          <cell r="L8465" t="str">
            <v>08-31-005-03W2</v>
          </cell>
          <cell r="O8465">
            <v>840.1</v>
          </cell>
          <cell r="Q8465">
            <v>1.03</v>
          </cell>
          <cell r="T8465">
            <v>282.61700000000002</v>
          </cell>
        </row>
        <row r="8466">
          <cell r="G8466">
            <v>42795</v>
          </cell>
          <cell r="L8466" t="str">
            <v>03-33-008-06W2</v>
          </cell>
          <cell r="O8466">
            <v>807.2</v>
          </cell>
          <cell r="Q8466">
            <v>0.3</v>
          </cell>
          <cell r="T8466">
            <v>15962.98</v>
          </cell>
        </row>
        <row r="8467">
          <cell r="G8467">
            <v>42795</v>
          </cell>
          <cell r="L8467" t="str">
            <v>02-26-009-09W2</v>
          </cell>
          <cell r="O8467">
            <v>810.8</v>
          </cell>
          <cell r="Q8467">
            <v>0.17</v>
          </cell>
          <cell r="T8467">
            <v>7297.97</v>
          </cell>
        </row>
        <row r="8468">
          <cell r="G8468">
            <v>42795</v>
          </cell>
          <cell r="L8468" t="str">
            <v>12-06-009-07W2</v>
          </cell>
          <cell r="O8468">
            <v>810.6</v>
          </cell>
          <cell r="Q8468">
            <v>0.19</v>
          </cell>
          <cell r="T8468">
            <v>6312.9459999999999</v>
          </cell>
        </row>
        <row r="8469">
          <cell r="G8469">
            <v>42795</v>
          </cell>
          <cell r="L8469" t="str">
            <v>03-17-011-06W2</v>
          </cell>
          <cell r="O8469">
            <v>882.5</v>
          </cell>
          <cell r="Q8469">
            <v>2.6</v>
          </cell>
          <cell r="T8469">
            <v>2903.931</v>
          </cell>
        </row>
        <row r="8470">
          <cell r="G8470">
            <v>42795</v>
          </cell>
          <cell r="L8470" t="str">
            <v>13-14-009-09W2</v>
          </cell>
          <cell r="O8470">
            <v>865.6</v>
          </cell>
          <cell r="Q8470">
            <v>1.77</v>
          </cell>
          <cell r="T8470">
            <v>2169.6999999999998</v>
          </cell>
        </row>
        <row r="8471">
          <cell r="G8471">
            <v>42795</v>
          </cell>
          <cell r="L8471" t="str">
            <v>04-18-009-06W2</v>
          </cell>
          <cell r="O8471">
            <v>821.2</v>
          </cell>
          <cell r="Q8471">
            <v>0.63</v>
          </cell>
          <cell r="T8471">
            <v>1249.3440000000001</v>
          </cell>
        </row>
        <row r="8472">
          <cell r="G8472">
            <v>42795</v>
          </cell>
          <cell r="L8472" t="str">
            <v>09-26-007-09W2</v>
          </cell>
          <cell r="O8472">
            <v>839.1</v>
          </cell>
          <cell r="Q8472">
            <v>1.24</v>
          </cell>
          <cell r="T8472">
            <v>1068.2539999999999</v>
          </cell>
        </row>
        <row r="8473">
          <cell r="G8473">
            <v>42795</v>
          </cell>
          <cell r="L8473" t="str">
            <v>09-10-009-06W2</v>
          </cell>
          <cell r="O8473">
            <v>851.5</v>
          </cell>
          <cell r="Q8473">
            <v>1.63</v>
          </cell>
          <cell r="T8473">
            <v>702.92700000000002</v>
          </cell>
        </row>
        <row r="8474">
          <cell r="G8474">
            <v>42795</v>
          </cell>
          <cell r="L8474" t="str">
            <v>05-31-009-07W2</v>
          </cell>
          <cell r="O8474">
            <v>877.7</v>
          </cell>
          <cell r="Q8474">
            <v>2.2599999999999998</v>
          </cell>
          <cell r="T8474">
            <v>628.79600000000005</v>
          </cell>
        </row>
        <row r="8475">
          <cell r="G8475">
            <v>42795</v>
          </cell>
          <cell r="L8475" t="str">
            <v>15-26-007-04W2</v>
          </cell>
          <cell r="O8475">
            <v>851.8</v>
          </cell>
          <cell r="Q8475">
            <v>1.38</v>
          </cell>
          <cell r="T8475">
            <v>290.43200000000002</v>
          </cell>
        </row>
        <row r="8476">
          <cell r="G8476">
            <v>42795</v>
          </cell>
          <cell r="L8476" t="str">
            <v>04-08-008-08W2</v>
          </cell>
          <cell r="O8476">
            <v>816.9</v>
          </cell>
          <cell r="Q8476">
            <v>0.45</v>
          </cell>
          <cell r="T8476">
            <v>132627.41099999999</v>
          </cell>
        </row>
        <row r="8477">
          <cell r="G8477">
            <v>42795</v>
          </cell>
          <cell r="L8477" t="str">
            <v>11-15-007-09W2</v>
          </cell>
          <cell r="O8477">
            <v>822.5</v>
          </cell>
          <cell r="Q8477">
            <v>0.76</v>
          </cell>
          <cell r="T8477">
            <v>6514.0349999999999</v>
          </cell>
        </row>
        <row r="8478">
          <cell r="G8478">
            <v>42795</v>
          </cell>
          <cell r="L8478" t="str">
            <v>13-18-010-06W2</v>
          </cell>
          <cell r="O8478">
            <v>825.6</v>
          </cell>
          <cell r="Q8478">
            <v>0.61</v>
          </cell>
          <cell r="T8478">
            <v>4902.1170000000002</v>
          </cell>
        </row>
        <row r="8479">
          <cell r="G8479">
            <v>42795</v>
          </cell>
          <cell r="L8479" t="str">
            <v>09-20-008-08W2</v>
          </cell>
          <cell r="O8479">
            <v>816.1</v>
          </cell>
          <cell r="Q8479">
            <v>0.4</v>
          </cell>
          <cell r="T8479">
            <v>2780.2750000000001</v>
          </cell>
        </row>
        <row r="8480">
          <cell r="G8480">
            <v>42795</v>
          </cell>
          <cell r="L8480" t="str">
            <v>13-07-010-09W2</v>
          </cell>
          <cell r="O8480">
            <v>811.4</v>
          </cell>
          <cell r="Q8480">
            <v>0.17</v>
          </cell>
          <cell r="T8480">
            <v>2573.5479999999998</v>
          </cell>
        </row>
        <row r="8481">
          <cell r="G8481">
            <v>42795</v>
          </cell>
          <cell r="L8481" t="str">
            <v>09-06-010-07W2</v>
          </cell>
          <cell r="O8481">
            <v>881.3</v>
          </cell>
          <cell r="Q8481">
            <v>2.17</v>
          </cell>
          <cell r="T8481">
            <v>2101.7660000000001</v>
          </cell>
        </row>
        <row r="8482">
          <cell r="G8482">
            <v>42795</v>
          </cell>
          <cell r="L8482" t="str">
            <v>05-13-009-06W2</v>
          </cell>
          <cell r="O8482">
            <v>846</v>
          </cell>
          <cell r="Q8482">
            <v>1.54</v>
          </cell>
          <cell r="T8482">
            <v>1727.6769999999999</v>
          </cell>
        </row>
        <row r="8483">
          <cell r="G8483">
            <v>42795</v>
          </cell>
          <cell r="L8483" t="str">
            <v>13-29-008-07W2</v>
          </cell>
          <cell r="O8483">
            <v>805.8</v>
          </cell>
          <cell r="Q8483">
            <v>0.14000000000000001</v>
          </cell>
          <cell r="T8483">
            <v>1638.6679999999999</v>
          </cell>
        </row>
        <row r="8484">
          <cell r="G8484">
            <v>42795</v>
          </cell>
          <cell r="L8484" t="str">
            <v>05-13-008-06W2</v>
          </cell>
          <cell r="O8484">
            <v>817.7</v>
          </cell>
          <cell r="Q8484">
            <v>0.56999999999999995</v>
          </cell>
          <cell r="T8484">
            <v>1447.905</v>
          </cell>
        </row>
        <row r="8485">
          <cell r="G8485">
            <v>42795</v>
          </cell>
          <cell r="L8485" t="str">
            <v>15-23-006-08W2</v>
          </cell>
          <cell r="O8485">
            <v>866.1</v>
          </cell>
          <cell r="Q8485">
            <v>1.95</v>
          </cell>
          <cell r="T8485">
            <v>1420.7249999999999</v>
          </cell>
        </row>
        <row r="8486">
          <cell r="G8486">
            <v>42795</v>
          </cell>
          <cell r="L8486" t="str">
            <v>07-04-010-08W2</v>
          </cell>
          <cell r="O8486">
            <v>876.1</v>
          </cell>
          <cell r="Q8486">
            <v>2.42</v>
          </cell>
          <cell r="T8486">
            <v>1259.367</v>
          </cell>
        </row>
        <row r="8487">
          <cell r="G8487">
            <v>42795</v>
          </cell>
          <cell r="L8487" t="str">
            <v>01-26-006-09W2</v>
          </cell>
          <cell r="O8487">
            <v>884.8</v>
          </cell>
          <cell r="Q8487">
            <v>2.34</v>
          </cell>
          <cell r="T8487">
            <v>1218.124</v>
          </cell>
        </row>
        <row r="8488">
          <cell r="G8488">
            <v>42795</v>
          </cell>
          <cell r="L8488" t="str">
            <v>01-22-010-07W2</v>
          </cell>
          <cell r="O8488">
            <v>884.4</v>
          </cell>
          <cell r="Q8488">
            <v>2.31</v>
          </cell>
          <cell r="T8488">
            <v>829.18499999999995</v>
          </cell>
        </row>
        <row r="8489">
          <cell r="G8489">
            <v>42795</v>
          </cell>
          <cell r="L8489" t="str">
            <v>09-11-010-08W2</v>
          </cell>
          <cell r="O8489">
            <v>880.7</v>
          </cell>
          <cell r="Q8489">
            <v>2.46</v>
          </cell>
          <cell r="T8489">
            <v>795.88900000000001</v>
          </cell>
        </row>
        <row r="8490">
          <cell r="G8490">
            <v>42795</v>
          </cell>
          <cell r="L8490" t="str">
            <v>16-35-009-09W2</v>
          </cell>
          <cell r="O8490">
            <v>876.2</v>
          </cell>
          <cell r="Q8490">
            <v>2.4700000000000002</v>
          </cell>
          <cell r="T8490">
            <v>598.46199999999999</v>
          </cell>
        </row>
        <row r="8491">
          <cell r="G8491">
            <v>42795</v>
          </cell>
          <cell r="L8491" t="str">
            <v>01-04-007-09W2</v>
          </cell>
          <cell r="O8491">
            <v>812.2</v>
          </cell>
          <cell r="Q8491">
            <v>0.21</v>
          </cell>
          <cell r="T8491">
            <v>487.298</v>
          </cell>
        </row>
        <row r="8492">
          <cell r="G8492">
            <v>42795</v>
          </cell>
          <cell r="L8492" t="str">
            <v>01-01-006-06W2</v>
          </cell>
          <cell r="O8492">
            <v>848.3</v>
          </cell>
          <cell r="Q8492">
            <v>1.18</v>
          </cell>
          <cell r="T8492">
            <v>377.42099999999999</v>
          </cell>
        </row>
        <row r="8493">
          <cell r="G8493">
            <v>42795</v>
          </cell>
          <cell r="L8493" t="str">
            <v>14-35-006-05W2</v>
          </cell>
          <cell r="O8493">
            <v>853.6</v>
          </cell>
          <cell r="Q8493">
            <v>1.69</v>
          </cell>
          <cell r="T8493">
            <v>340.73700000000002</v>
          </cell>
        </row>
        <row r="8494">
          <cell r="G8494">
            <v>42795</v>
          </cell>
          <cell r="L8494" t="str">
            <v>16-18-011-04W2</v>
          </cell>
          <cell r="O8494">
            <v>835.1</v>
          </cell>
          <cell r="Q8494">
            <v>1.62</v>
          </cell>
          <cell r="T8494">
            <v>7995.5450000000001</v>
          </cell>
        </row>
        <row r="8495">
          <cell r="G8495">
            <v>42795</v>
          </cell>
          <cell r="L8495" t="str">
            <v>05-31-002-01W2</v>
          </cell>
          <cell r="O8495">
            <v>825.7</v>
          </cell>
          <cell r="Q8495">
            <v>0.53</v>
          </cell>
          <cell r="T8495">
            <v>6750.8019999999997</v>
          </cell>
        </row>
        <row r="8496">
          <cell r="G8496">
            <v>42795</v>
          </cell>
          <cell r="L8496" t="str">
            <v>13-03-006-34W1</v>
          </cell>
          <cell r="O8496">
            <v>842.3</v>
          </cell>
          <cell r="Q8496">
            <v>1.2</v>
          </cell>
          <cell r="T8496">
            <v>5390.0870000000004</v>
          </cell>
        </row>
        <row r="8497">
          <cell r="G8497">
            <v>42795</v>
          </cell>
          <cell r="L8497" t="str">
            <v>11-30-005-03W2</v>
          </cell>
          <cell r="O8497">
            <v>854.8</v>
          </cell>
          <cell r="Q8497">
            <v>1.41</v>
          </cell>
          <cell r="T8497">
            <v>4854.1400000000003</v>
          </cell>
        </row>
        <row r="8498">
          <cell r="G8498">
            <v>42795</v>
          </cell>
          <cell r="L8498" t="str">
            <v>16-12-004-31W1</v>
          </cell>
          <cell r="O8498">
            <v>858.9</v>
          </cell>
          <cell r="Q8498">
            <v>1.4</v>
          </cell>
          <cell r="T8498">
            <v>3908.6239999999998</v>
          </cell>
        </row>
        <row r="8499">
          <cell r="G8499">
            <v>42795</v>
          </cell>
          <cell r="L8499" t="str">
            <v>03-03-002-32W1</v>
          </cell>
          <cell r="O8499">
            <v>825.2</v>
          </cell>
          <cell r="Q8499">
            <v>1.36</v>
          </cell>
          <cell r="T8499">
            <v>3482.7910000000002</v>
          </cell>
        </row>
        <row r="8500">
          <cell r="G8500">
            <v>42795</v>
          </cell>
          <cell r="L8500" t="str">
            <v>04-27-003-33W1</v>
          </cell>
          <cell r="O8500">
            <v>839.7</v>
          </cell>
          <cell r="Q8500">
            <v>1.0900000000000001</v>
          </cell>
          <cell r="T8500">
            <v>3251.3809999999999</v>
          </cell>
        </row>
        <row r="8501">
          <cell r="G8501">
            <v>42795</v>
          </cell>
          <cell r="L8501" t="str">
            <v>06-27-006-01W2</v>
          </cell>
          <cell r="O8501">
            <v>841.9</v>
          </cell>
          <cell r="Q8501">
            <v>1.1299999999999999</v>
          </cell>
          <cell r="T8501">
            <v>2689.3960000000002</v>
          </cell>
        </row>
        <row r="8502">
          <cell r="G8502">
            <v>42795</v>
          </cell>
          <cell r="L8502" t="str">
            <v>07-28-002-30W1</v>
          </cell>
          <cell r="O8502">
            <v>878.3</v>
          </cell>
          <cell r="Q8502">
            <v>2.2999999999999998</v>
          </cell>
          <cell r="T8502">
            <v>2585.989</v>
          </cell>
        </row>
        <row r="8503">
          <cell r="G8503">
            <v>42795</v>
          </cell>
          <cell r="L8503" t="str">
            <v>05-03-009-33W1</v>
          </cell>
          <cell r="O8503">
            <v>847.7</v>
          </cell>
          <cell r="Q8503">
            <v>1.34</v>
          </cell>
          <cell r="T8503">
            <v>2456.3589999999999</v>
          </cell>
        </row>
        <row r="8504">
          <cell r="G8504">
            <v>42795</v>
          </cell>
          <cell r="L8504" t="str">
            <v>09-02-007-05W2</v>
          </cell>
          <cell r="O8504">
            <v>846.4</v>
          </cell>
          <cell r="Q8504">
            <v>1.28</v>
          </cell>
          <cell r="T8504">
            <v>2413.5329999999999</v>
          </cell>
        </row>
        <row r="8505">
          <cell r="G8505">
            <v>42795</v>
          </cell>
          <cell r="L8505" t="str">
            <v>01-09-001-31W1</v>
          </cell>
          <cell r="O8505">
            <v>872.9</v>
          </cell>
          <cell r="Q8505">
            <v>2.0699999999999998</v>
          </cell>
          <cell r="T8505">
            <v>2233.703</v>
          </cell>
        </row>
        <row r="8506">
          <cell r="G8506">
            <v>42795</v>
          </cell>
          <cell r="L8506" t="str">
            <v>04-22-009-33W1</v>
          </cell>
          <cell r="O8506">
            <v>852.9</v>
          </cell>
          <cell r="Q8506">
            <v>1.46</v>
          </cell>
          <cell r="T8506">
            <v>2079.982</v>
          </cell>
        </row>
        <row r="8507">
          <cell r="G8507">
            <v>42795</v>
          </cell>
          <cell r="L8507" t="str">
            <v>09-28-006-34W1</v>
          </cell>
          <cell r="O8507">
            <v>841.4</v>
          </cell>
          <cell r="Q8507">
            <v>1.27</v>
          </cell>
          <cell r="T8507">
            <v>1833.1569999999999</v>
          </cell>
        </row>
        <row r="8508">
          <cell r="G8508">
            <v>42795</v>
          </cell>
          <cell r="L8508" t="str">
            <v>10-11-006-34W1</v>
          </cell>
          <cell r="O8508">
            <v>847.8</v>
          </cell>
          <cell r="Q8508">
            <v>1.47</v>
          </cell>
          <cell r="T8508">
            <v>1743.181</v>
          </cell>
        </row>
        <row r="8509">
          <cell r="G8509">
            <v>42795</v>
          </cell>
          <cell r="L8509" t="str">
            <v>04-17-004-31W1</v>
          </cell>
          <cell r="O8509">
            <v>860.8</v>
          </cell>
          <cell r="Q8509">
            <v>1.7</v>
          </cell>
          <cell r="T8509">
            <v>1425.6389999999999</v>
          </cell>
        </row>
        <row r="8510">
          <cell r="G8510">
            <v>42795</v>
          </cell>
          <cell r="L8510" t="str">
            <v>14-33-003-01W2</v>
          </cell>
          <cell r="O8510">
            <v>833.9</v>
          </cell>
          <cell r="Q8510">
            <v>0.86</v>
          </cell>
          <cell r="T8510">
            <v>1400.6189999999999</v>
          </cell>
        </row>
        <row r="8511">
          <cell r="G8511">
            <v>42795</v>
          </cell>
          <cell r="L8511" t="str">
            <v>08-05-006-33W1</v>
          </cell>
          <cell r="O8511">
            <v>832.5</v>
          </cell>
          <cell r="Q8511">
            <v>0.92</v>
          </cell>
          <cell r="T8511">
            <v>1371.0050000000001</v>
          </cell>
        </row>
        <row r="8512">
          <cell r="G8512">
            <v>42795</v>
          </cell>
          <cell r="L8512" t="str">
            <v>16-21-003-32W1</v>
          </cell>
          <cell r="O8512">
            <v>851.8</v>
          </cell>
          <cell r="Q8512">
            <v>1.1499999999999999</v>
          </cell>
          <cell r="T8512">
            <v>1328.37</v>
          </cell>
        </row>
        <row r="8513">
          <cell r="G8513">
            <v>42795</v>
          </cell>
          <cell r="L8513" t="str">
            <v>09-19-009-33W1</v>
          </cell>
          <cell r="O8513">
            <v>852</v>
          </cell>
          <cell r="Q8513">
            <v>1.73</v>
          </cell>
          <cell r="T8513">
            <v>1197.4169999999999</v>
          </cell>
        </row>
        <row r="8514">
          <cell r="G8514">
            <v>42795</v>
          </cell>
          <cell r="L8514" t="str">
            <v>09-27-006-05W2</v>
          </cell>
          <cell r="O8514">
            <v>870.7</v>
          </cell>
          <cell r="Q8514">
            <v>2.2000000000000002</v>
          </cell>
          <cell r="T8514">
            <v>1184.6569999999999</v>
          </cell>
        </row>
        <row r="8515">
          <cell r="G8515">
            <v>42795</v>
          </cell>
          <cell r="L8515" t="str">
            <v>11-28-006-05W2</v>
          </cell>
          <cell r="O8515">
            <v>851.3</v>
          </cell>
          <cell r="Q8515">
            <v>1.4</v>
          </cell>
          <cell r="T8515">
            <v>1149.6379999999999</v>
          </cell>
        </row>
        <row r="8516">
          <cell r="G8516">
            <v>42795</v>
          </cell>
          <cell r="L8516" t="str">
            <v>09-27-008-03W2</v>
          </cell>
          <cell r="O8516">
            <v>849.4</v>
          </cell>
          <cell r="Q8516">
            <v>1.56</v>
          </cell>
          <cell r="T8516">
            <v>1088.213</v>
          </cell>
        </row>
        <row r="8517">
          <cell r="G8517">
            <v>42795</v>
          </cell>
          <cell r="L8517" t="str">
            <v>14-30-009-33W1</v>
          </cell>
          <cell r="O8517">
            <v>855.5</v>
          </cell>
          <cell r="Q8517">
            <v>1.72</v>
          </cell>
          <cell r="T8517">
            <v>1061.903</v>
          </cell>
        </row>
        <row r="8518">
          <cell r="G8518">
            <v>42795</v>
          </cell>
          <cell r="L8518" t="str">
            <v>15-14-009-03W2</v>
          </cell>
          <cell r="O8518">
            <v>849.5</v>
          </cell>
          <cell r="Q8518">
            <v>1.54</v>
          </cell>
          <cell r="T8518">
            <v>901.245</v>
          </cell>
        </row>
        <row r="8519">
          <cell r="G8519">
            <v>42795</v>
          </cell>
          <cell r="L8519" t="str">
            <v>10-13-006-03W2</v>
          </cell>
          <cell r="O8519">
            <v>857.5</v>
          </cell>
          <cell r="Q8519">
            <v>1.8</v>
          </cell>
          <cell r="T8519">
            <v>890.14700000000005</v>
          </cell>
        </row>
        <row r="8520">
          <cell r="G8520">
            <v>42795</v>
          </cell>
          <cell r="L8520" t="str">
            <v>16-24-001-34W1</v>
          </cell>
          <cell r="O8520">
            <v>854.1</v>
          </cell>
          <cell r="Q8520">
            <v>1.28</v>
          </cell>
          <cell r="T8520">
            <v>845.28399999999999</v>
          </cell>
        </row>
        <row r="8521">
          <cell r="G8521">
            <v>42795</v>
          </cell>
          <cell r="L8521" t="str">
            <v>02-15-006-01W2</v>
          </cell>
          <cell r="O8521">
            <v>847.2</v>
          </cell>
          <cell r="Q8521">
            <v>1.19</v>
          </cell>
          <cell r="T8521">
            <v>821.39</v>
          </cell>
        </row>
        <row r="8522">
          <cell r="G8522">
            <v>42795</v>
          </cell>
          <cell r="L8522" t="str">
            <v>12-35-008-03W2</v>
          </cell>
          <cell r="O8522">
            <v>852.9</v>
          </cell>
          <cell r="Q8522">
            <v>1.47</v>
          </cell>
          <cell r="T8522">
            <v>789.12599999999998</v>
          </cell>
        </row>
        <row r="8523">
          <cell r="G8523">
            <v>42795</v>
          </cell>
          <cell r="L8523" t="str">
            <v>11-25-001-32W1</v>
          </cell>
          <cell r="O8523">
            <v>856.4</v>
          </cell>
          <cell r="Q8523">
            <v>1.53</v>
          </cell>
          <cell r="T8523">
            <v>767.15300000000002</v>
          </cell>
        </row>
        <row r="8524">
          <cell r="G8524">
            <v>42795</v>
          </cell>
          <cell r="L8524" t="str">
            <v>07-12-005-34W1</v>
          </cell>
          <cell r="O8524">
            <v>825.4</v>
          </cell>
          <cell r="Q8524">
            <v>0.68</v>
          </cell>
          <cell r="T8524">
            <v>720.35</v>
          </cell>
        </row>
        <row r="8525">
          <cell r="G8525">
            <v>42795</v>
          </cell>
          <cell r="L8525" t="str">
            <v>07-12-008-04W2</v>
          </cell>
          <cell r="O8525">
            <v>851.1</v>
          </cell>
          <cell r="Q8525">
            <v>1.4</v>
          </cell>
          <cell r="T8525">
            <v>686.59100000000001</v>
          </cell>
        </row>
        <row r="8526">
          <cell r="G8526">
            <v>42795</v>
          </cell>
          <cell r="L8526" t="str">
            <v>05-12-002-32W1</v>
          </cell>
          <cell r="O8526">
            <v>859.2</v>
          </cell>
          <cell r="Q8526">
            <v>1.65</v>
          </cell>
          <cell r="T8526">
            <v>670.01099999999997</v>
          </cell>
        </row>
        <row r="8527">
          <cell r="G8527">
            <v>42795</v>
          </cell>
          <cell r="L8527" t="str">
            <v>02-14-010-01W2</v>
          </cell>
          <cell r="O8527">
            <v>855.5</v>
          </cell>
          <cell r="Q8527">
            <v>1.74</v>
          </cell>
          <cell r="T8527">
            <v>658.22500000000002</v>
          </cell>
        </row>
        <row r="8528">
          <cell r="G8528">
            <v>42795</v>
          </cell>
          <cell r="L8528" t="str">
            <v>08-35-011-04W2</v>
          </cell>
          <cell r="O8528">
            <v>861.9</v>
          </cell>
          <cell r="Q8528">
            <v>1.9</v>
          </cell>
          <cell r="T8528">
            <v>658.12599999999998</v>
          </cell>
        </row>
        <row r="8529">
          <cell r="G8529">
            <v>42795</v>
          </cell>
          <cell r="L8529" t="str">
            <v>06-24-001-34W1</v>
          </cell>
          <cell r="O8529">
            <v>848.6</v>
          </cell>
          <cell r="Q8529">
            <v>1.23</v>
          </cell>
          <cell r="T8529">
            <v>592.22500000000002</v>
          </cell>
        </row>
        <row r="8530">
          <cell r="G8530">
            <v>42795</v>
          </cell>
          <cell r="L8530" t="str">
            <v>02-27-004-33W1</v>
          </cell>
          <cell r="O8530">
            <v>825.5</v>
          </cell>
          <cell r="Q8530">
            <v>0.67</v>
          </cell>
          <cell r="T8530">
            <v>532.57899999999995</v>
          </cell>
        </row>
        <row r="8531">
          <cell r="G8531">
            <v>42795</v>
          </cell>
          <cell r="L8531" t="str">
            <v>04-14-005-33W1</v>
          </cell>
          <cell r="O8531">
            <v>840.8</v>
          </cell>
          <cell r="Q8531">
            <v>1</v>
          </cell>
          <cell r="T8531">
            <v>497.87200000000001</v>
          </cell>
        </row>
        <row r="8532">
          <cell r="G8532">
            <v>42795</v>
          </cell>
          <cell r="L8532" t="str">
            <v>08-32-006-01W2</v>
          </cell>
          <cell r="O8532">
            <v>843.9</v>
          </cell>
          <cell r="Q8532">
            <v>1.1599999999999999</v>
          </cell>
          <cell r="T8532">
            <v>474.92</v>
          </cell>
        </row>
        <row r="8533">
          <cell r="G8533">
            <v>42795</v>
          </cell>
          <cell r="L8533" t="str">
            <v>12-01-003-30W1</v>
          </cell>
          <cell r="O8533">
            <v>866.9</v>
          </cell>
          <cell r="Q8533">
            <v>1.93</v>
          </cell>
          <cell r="T8533">
            <v>453.82</v>
          </cell>
        </row>
        <row r="8534">
          <cell r="G8534">
            <v>42795</v>
          </cell>
          <cell r="L8534" t="str">
            <v>14-20-005-33W1</v>
          </cell>
          <cell r="O8534">
            <v>827.4</v>
          </cell>
          <cell r="Q8534">
            <v>0.73</v>
          </cell>
          <cell r="T8534">
            <v>450.83800000000002</v>
          </cell>
        </row>
        <row r="8535">
          <cell r="G8535">
            <v>42795</v>
          </cell>
          <cell r="L8535" t="str">
            <v>02-10-003-01W2</v>
          </cell>
          <cell r="O8535">
            <v>830.8</v>
          </cell>
          <cell r="Q8535">
            <v>0.53</v>
          </cell>
          <cell r="T8535">
            <v>392.52800000000002</v>
          </cell>
        </row>
        <row r="8536">
          <cell r="G8536">
            <v>42795</v>
          </cell>
          <cell r="L8536" t="str">
            <v>08-26-006-02W2</v>
          </cell>
          <cell r="O8536">
            <v>845.8</v>
          </cell>
          <cell r="Q8536">
            <v>1.19</v>
          </cell>
          <cell r="T8536">
            <v>376.416</v>
          </cell>
        </row>
        <row r="8537">
          <cell r="G8537">
            <v>42795</v>
          </cell>
          <cell r="L8537" t="str">
            <v>10-26-010-03W2</v>
          </cell>
          <cell r="O8537">
            <v>850.9</v>
          </cell>
          <cell r="Q8537">
            <v>1.59</v>
          </cell>
          <cell r="T8537">
            <v>352.24799999999999</v>
          </cell>
        </row>
        <row r="8538">
          <cell r="G8538">
            <v>42795</v>
          </cell>
          <cell r="L8538" t="str">
            <v>02-16-010-02W2</v>
          </cell>
          <cell r="O8538">
            <v>855.6</v>
          </cell>
          <cell r="Q8538">
            <v>1.72</v>
          </cell>
          <cell r="T8538">
            <v>335.488</v>
          </cell>
        </row>
        <row r="8539">
          <cell r="G8539">
            <v>42795</v>
          </cell>
          <cell r="L8539" t="str">
            <v>14-18-001-04W2</v>
          </cell>
          <cell r="O8539">
            <v>821.7</v>
          </cell>
          <cell r="Q8539">
            <v>0.61</v>
          </cell>
          <cell r="T8539">
            <v>385.05599999999998</v>
          </cell>
        </row>
        <row r="8540">
          <cell r="G8540">
            <v>42795</v>
          </cell>
          <cell r="L8540" t="str">
            <v>14-09-002-29W1</v>
          </cell>
          <cell r="O8540">
            <v>833.3</v>
          </cell>
          <cell r="Q8540">
            <v>0.79</v>
          </cell>
          <cell r="T8540">
            <v>9449.0609999999997</v>
          </cell>
        </row>
        <row r="8541">
          <cell r="G8541">
            <v>42795</v>
          </cell>
          <cell r="L8541" t="str">
            <v>11-27-005-33w1</v>
          </cell>
          <cell r="O8541">
            <v>823.9</v>
          </cell>
          <cell r="Q8541">
            <v>0.72</v>
          </cell>
          <cell r="T8541">
            <v>5621.018</v>
          </cell>
        </row>
        <row r="8542">
          <cell r="G8542">
            <v>42795</v>
          </cell>
          <cell r="L8542" t="str">
            <v>13-13-007-02W2</v>
          </cell>
          <cell r="O8542">
            <v>849.1</v>
          </cell>
          <cell r="Q8542">
            <v>1.24</v>
          </cell>
          <cell r="T8542">
            <v>4661.3360000000002</v>
          </cell>
        </row>
        <row r="8543">
          <cell r="G8543">
            <v>42795</v>
          </cell>
          <cell r="L8543" t="str">
            <v>08-36-003-34W1</v>
          </cell>
          <cell r="O8543">
            <v>848.7</v>
          </cell>
          <cell r="Q8543">
            <v>1.35</v>
          </cell>
          <cell r="T8543">
            <v>3577.116</v>
          </cell>
        </row>
        <row r="8544">
          <cell r="G8544">
            <v>42795</v>
          </cell>
          <cell r="L8544" t="str">
            <v>04-05-007-33W1</v>
          </cell>
          <cell r="O8544">
            <v>839.2</v>
          </cell>
          <cell r="Q8544">
            <v>1.22</v>
          </cell>
          <cell r="T8544">
            <v>2666.2469999999998</v>
          </cell>
        </row>
        <row r="8545">
          <cell r="G8545">
            <v>42795</v>
          </cell>
          <cell r="L8545" t="str">
            <v>05-14-003-01W2</v>
          </cell>
          <cell r="O8545">
            <v>832.3</v>
          </cell>
          <cell r="Q8545">
            <v>0.89</v>
          </cell>
          <cell r="T8545">
            <v>2628.259</v>
          </cell>
        </row>
        <row r="8546">
          <cell r="G8546">
            <v>42795</v>
          </cell>
          <cell r="L8546" t="str">
            <v>06-01-007-01W2</v>
          </cell>
          <cell r="O8546">
            <v>847.2</v>
          </cell>
          <cell r="Q8546">
            <v>1.1299999999999999</v>
          </cell>
          <cell r="T8546">
            <v>2331.413</v>
          </cell>
        </row>
        <row r="8547">
          <cell r="G8547">
            <v>42795</v>
          </cell>
          <cell r="L8547" t="str">
            <v>05-13-003-02W2</v>
          </cell>
          <cell r="O8547">
            <v>831.2</v>
          </cell>
          <cell r="Q8547">
            <v>0.74</v>
          </cell>
          <cell r="T8547">
            <v>2296.7539999999999</v>
          </cell>
        </row>
        <row r="8548">
          <cell r="G8548">
            <v>42795</v>
          </cell>
          <cell r="L8548" t="str">
            <v>04-10-004-31w1</v>
          </cell>
          <cell r="O8548">
            <v>868</v>
          </cell>
          <cell r="Q8548">
            <v>1.8</v>
          </cell>
          <cell r="T8548">
            <v>1974.403</v>
          </cell>
        </row>
        <row r="8549">
          <cell r="G8549">
            <v>42795</v>
          </cell>
          <cell r="L8549" t="str">
            <v>14-25-002-34W1</v>
          </cell>
          <cell r="O8549">
            <v>830.3</v>
          </cell>
          <cell r="Q8549">
            <v>0.69</v>
          </cell>
          <cell r="T8549">
            <v>1804.578</v>
          </cell>
        </row>
        <row r="8550">
          <cell r="G8550">
            <v>42795</v>
          </cell>
          <cell r="L8550" t="str">
            <v>02-14-005-32W1</v>
          </cell>
          <cell r="O8550">
            <v>833.2</v>
          </cell>
          <cell r="Q8550">
            <v>0.98</v>
          </cell>
          <cell r="T8550">
            <v>1646.6279999999999</v>
          </cell>
        </row>
        <row r="8551">
          <cell r="G8551">
            <v>42795</v>
          </cell>
          <cell r="L8551" t="str">
            <v>16-10-006-30W1</v>
          </cell>
          <cell r="O8551">
            <v>848.7</v>
          </cell>
          <cell r="Q8551">
            <v>1.48</v>
          </cell>
          <cell r="T8551">
            <v>1440.6880000000001</v>
          </cell>
        </row>
        <row r="8552">
          <cell r="G8552">
            <v>42795</v>
          </cell>
          <cell r="L8552" t="str">
            <v>08-33-005-03W2</v>
          </cell>
          <cell r="O8552">
            <v>849</v>
          </cell>
          <cell r="Q8552">
            <v>1.1000000000000001</v>
          </cell>
          <cell r="T8552">
            <v>1421.019</v>
          </cell>
        </row>
        <row r="8553">
          <cell r="G8553">
            <v>42795</v>
          </cell>
          <cell r="L8553" t="str">
            <v>02-20-006-32W1</v>
          </cell>
          <cell r="O8553">
            <v>835.7</v>
          </cell>
          <cell r="Q8553">
            <v>0.87</v>
          </cell>
          <cell r="T8553">
            <v>1373.183</v>
          </cell>
        </row>
        <row r="8554">
          <cell r="G8554">
            <v>42795</v>
          </cell>
          <cell r="L8554" t="str">
            <v>04-04-007-01W2</v>
          </cell>
          <cell r="O8554">
            <v>851.2</v>
          </cell>
          <cell r="Q8554">
            <v>1.35</v>
          </cell>
          <cell r="T8554">
            <v>1205.5899999999999</v>
          </cell>
        </row>
        <row r="8555">
          <cell r="G8555">
            <v>42795</v>
          </cell>
          <cell r="L8555" t="str">
            <v>16-13-004-32W1</v>
          </cell>
          <cell r="O8555">
            <v>852.7</v>
          </cell>
          <cell r="Q8555">
            <v>1.36</v>
          </cell>
          <cell r="T8555">
            <v>1156.1130000000001</v>
          </cell>
        </row>
        <row r="8556">
          <cell r="G8556">
            <v>42795</v>
          </cell>
          <cell r="L8556" t="str">
            <v>13-34-006-05W2</v>
          </cell>
          <cell r="O8556">
            <v>866</v>
          </cell>
          <cell r="Q8556">
            <v>2.0499999999999998</v>
          </cell>
          <cell r="T8556">
            <v>1142.702</v>
          </cell>
        </row>
        <row r="8557">
          <cell r="G8557">
            <v>42795</v>
          </cell>
          <cell r="L8557" t="str">
            <v>02-02-006-03W2</v>
          </cell>
          <cell r="O8557">
            <v>847.6</v>
          </cell>
          <cell r="Q8557">
            <v>1.17</v>
          </cell>
          <cell r="T8557">
            <v>1120.9739999999999</v>
          </cell>
        </row>
        <row r="8558">
          <cell r="G8558">
            <v>42795</v>
          </cell>
          <cell r="L8558" t="str">
            <v>09-33-006-05W2</v>
          </cell>
          <cell r="O8558">
            <v>863.8</v>
          </cell>
          <cell r="Q8558">
            <v>1.73</v>
          </cell>
          <cell r="T8558">
            <v>1075.433</v>
          </cell>
        </row>
        <row r="8559">
          <cell r="G8559">
            <v>42795</v>
          </cell>
          <cell r="L8559" t="str">
            <v>12-23-005-31W1</v>
          </cell>
          <cell r="O8559">
            <v>843.1</v>
          </cell>
          <cell r="Q8559">
            <v>1.0900000000000001</v>
          </cell>
          <cell r="T8559">
            <v>1049.502</v>
          </cell>
        </row>
        <row r="8560">
          <cell r="G8560">
            <v>42795</v>
          </cell>
          <cell r="L8560" t="str">
            <v>14-33-003-01W2</v>
          </cell>
          <cell r="O8560">
            <v>840.9</v>
          </cell>
          <cell r="Q8560">
            <v>0.97</v>
          </cell>
          <cell r="T8560">
            <v>972.04200000000003</v>
          </cell>
        </row>
        <row r="8561">
          <cell r="G8561">
            <v>42795</v>
          </cell>
          <cell r="L8561" t="str">
            <v>04-33-006-01W2</v>
          </cell>
          <cell r="O8561">
            <v>845.3</v>
          </cell>
          <cell r="Q8561">
            <v>1.1499999999999999</v>
          </cell>
          <cell r="T8561">
            <v>940.25300000000004</v>
          </cell>
        </row>
        <row r="8562">
          <cell r="G8562">
            <v>42795</v>
          </cell>
          <cell r="L8562" t="str">
            <v>13-11-004-02W2</v>
          </cell>
          <cell r="O8562">
            <v>844.4</v>
          </cell>
          <cell r="Q8562">
            <v>1.0900000000000001</v>
          </cell>
          <cell r="T8562">
            <v>883.72500000000002</v>
          </cell>
        </row>
        <row r="8563">
          <cell r="G8563">
            <v>42795</v>
          </cell>
          <cell r="L8563" t="str">
            <v>06-02-008-02W2</v>
          </cell>
          <cell r="O8563">
            <v>854.2</v>
          </cell>
          <cell r="Q8563">
            <v>1.49</v>
          </cell>
          <cell r="T8563">
            <v>872.351</v>
          </cell>
        </row>
        <row r="8564">
          <cell r="G8564">
            <v>42795</v>
          </cell>
          <cell r="L8564" t="str">
            <v>14-26-002-30W1</v>
          </cell>
          <cell r="O8564">
            <v>865.7</v>
          </cell>
          <cell r="Q8564">
            <v>1.9</v>
          </cell>
          <cell r="T8564">
            <v>814.29399999999998</v>
          </cell>
        </row>
        <row r="8565">
          <cell r="G8565">
            <v>42795</v>
          </cell>
          <cell r="L8565" t="str">
            <v>10-33-004-32w1</v>
          </cell>
          <cell r="O8565">
            <v>836</v>
          </cell>
          <cell r="Q8565">
            <v>0.91</v>
          </cell>
          <cell r="T8565">
            <v>729.79600000000005</v>
          </cell>
        </row>
        <row r="8566">
          <cell r="G8566">
            <v>42795</v>
          </cell>
          <cell r="L8566" t="str">
            <v>10-11-004-34W1</v>
          </cell>
          <cell r="O8566">
            <v>829</v>
          </cell>
          <cell r="Q8566">
            <v>0.77</v>
          </cell>
          <cell r="T8566">
            <v>574.97199999999998</v>
          </cell>
        </row>
        <row r="8567">
          <cell r="G8567">
            <v>42795</v>
          </cell>
          <cell r="L8567" t="str">
            <v>05-29-005-32W1</v>
          </cell>
          <cell r="O8567">
            <v>833.8</v>
          </cell>
          <cell r="Q8567">
            <v>0.95</v>
          </cell>
          <cell r="T8567">
            <v>493.81900000000002</v>
          </cell>
        </row>
        <row r="8568">
          <cell r="G8568">
            <v>42795</v>
          </cell>
          <cell r="L8568" t="str">
            <v>02-08-004-33W1</v>
          </cell>
          <cell r="O8568">
            <v>833</v>
          </cell>
          <cell r="Q8568">
            <v>0.66</v>
          </cell>
          <cell r="T8568">
            <v>489.67899999999997</v>
          </cell>
        </row>
        <row r="8569">
          <cell r="G8569">
            <v>42795</v>
          </cell>
          <cell r="L8569" t="str">
            <v>02-12-010-02W2</v>
          </cell>
          <cell r="O8569">
            <v>858.3</v>
          </cell>
          <cell r="Q8569">
            <v>1.7</v>
          </cell>
          <cell r="T8569">
            <v>461.166</v>
          </cell>
        </row>
        <row r="8570">
          <cell r="G8570">
            <v>42795</v>
          </cell>
          <cell r="L8570" t="str">
            <v>08-13-006-33W1</v>
          </cell>
          <cell r="O8570">
            <v>840.4</v>
          </cell>
          <cell r="Q8570">
            <v>0.84</v>
          </cell>
          <cell r="T8570">
            <v>456.36</v>
          </cell>
        </row>
        <row r="8571">
          <cell r="G8571">
            <v>42795</v>
          </cell>
          <cell r="L8571" t="str">
            <v>06-04-006-33W1</v>
          </cell>
          <cell r="O8571">
            <v>833.3</v>
          </cell>
          <cell r="Q8571">
            <v>0.85</v>
          </cell>
          <cell r="T8571">
            <v>392.48599999999999</v>
          </cell>
        </row>
        <row r="8572">
          <cell r="G8572">
            <v>42795</v>
          </cell>
          <cell r="L8572" t="str">
            <v>06-03-004-31W1</v>
          </cell>
          <cell r="O8572">
            <v>869.5</v>
          </cell>
          <cell r="Q8572">
            <v>1.92</v>
          </cell>
          <cell r="T8572">
            <v>363.72300000000001</v>
          </cell>
        </row>
        <row r="8573">
          <cell r="G8573">
            <v>42795</v>
          </cell>
          <cell r="L8573" t="str">
            <v>08-12-006-01W2</v>
          </cell>
          <cell r="O8573">
            <v>846.2</v>
          </cell>
          <cell r="Q8573">
            <v>1.29</v>
          </cell>
          <cell r="T8573">
            <v>363.63400000000001</v>
          </cell>
        </row>
        <row r="8574">
          <cell r="G8574">
            <v>42795</v>
          </cell>
          <cell r="L8574" t="str">
            <v>11-12-006-15W2</v>
          </cell>
          <cell r="O8574">
            <v>869.9</v>
          </cell>
          <cell r="Q8574">
            <v>2.2999999999999998</v>
          </cell>
          <cell r="T8574">
            <v>7335.8190000000004</v>
          </cell>
        </row>
        <row r="8575">
          <cell r="G8575">
            <v>42795</v>
          </cell>
          <cell r="L8575" t="str">
            <v>07-18-005-04W2</v>
          </cell>
          <cell r="O8575">
            <v>854.6</v>
          </cell>
          <cell r="Q8575">
            <v>1.57</v>
          </cell>
          <cell r="T8575">
            <v>412.68099999999998</v>
          </cell>
        </row>
        <row r="8576">
          <cell r="G8576">
            <v>42795</v>
          </cell>
          <cell r="L8576" t="str">
            <v>09-08-004-03W2</v>
          </cell>
          <cell r="O8576">
            <v>828.9</v>
          </cell>
          <cell r="Q8576">
            <v>1.08</v>
          </cell>
          <cell r="T8576">
            <v>13878.534</v>
          </cell>
        </row>
        <row r="8577">
          <cell r="G8577">
            <v>42795</v>
          </cell>
          <cell r="L8577" t="str">
            <v>03-15-004-06W2</v>
          </cell>
          <cell r="O8577">
            <v>852.2</v>
          </cell>
          <cell r="Q8577">
            <v>1.21</v>
          </cell>
          <cell r="T8577">
            <v>4943.8360000000002</v>
          </cell>
        </row>
        <row r="8578">
          <cell r="G8578">
            <v>42795</v>
          </cell>
          <cell r="L8578" t="str">
            <v>05-07-005-03W2</v>
          </cell>
          <cell r="O8578">
            <v>846.3</v>
          </cell>
          <cell r="Q8578">
            <v>1.21</v>
          </cell>
          <cell r="T8578">
            <v>3207.6129999999998</v>
          </cell>
        </row>
        <row r="8579">
          <cell r="G8579">
            <v>42795</v>
          </cell>
          <cell r="L8579" t="str">
            <v>07-35-004-04W2</v>
          </cell>
          <cell r="O8579">
            <v>854.8</v>
          </cell>
          <cell r="Q8579">
            <v>1.68</v>
          </cell>
          <cell r="T8579">
            <v>2820.489</v>
          </cell>
        </row>
        <row r="8580">
          <cell r="G8580">
            <v>42795</v>
          </cell>
          <cell r="L8580" t="str">
            <v>14-30-001-04W2</v>
          </cell>
          <cell r="O8580">
            <v>823.4</v>
          </cell>
          <cell r="Q8580">
            <v>0.72</v>
          </cell>
          <cell r="T8580">
            <v>2810.9380000000001</v>
          </cell>
        </row>
        <row r="8581">
          <cell r="G8581">
            <v>42795</v>
          </cell>
          <cell r="L8581" t="str">
            <v>09-33-005-05W2</v>
          </cell>
          <cell r="O8581">
            <v>849.9</v>
          </cell>
          <cell r="Q8581">
            <v>0.79</v>
          </cell>
          <cell r="T8581">
            <v>2613.7190000000001</v>
          </cell>
        </row>
        <row r="8582">
          <cell r="G8582">
            <v>42795</v>
          </cell>
          <cell r="L8582" t="str">
            <v>16-33-005-06W2</v>
          </cell>
          <cell r="O8582">
            <v>864.1</v>
          </cell>
          <cell r="Q8582">
            <v>2.0499999999999998</v>
          </cell>
          <cell r="T8582">
            <v>2554.4140000000002</v>
          </cell>
        </row>
        <row r="8583">
          <cell r="G8583">
            <v>42795</v>
          </cell>
          <cell r="L8583" t="str">
            <v>16-30-004-08w2</v>
          </cell>
          <cell r="O8583">
            <v>883.6</v>
          </cell>
          <cell r="Q8583">
            <v>2.1</v>
          </cell>
          <cell r="T8583">
            <v>2218.2620000000002</v>
          </cell>
        </row>
        <row r="8584">
          <cell r="G8584">
            <v>42795</v>
          </cell>
          <cell r="L8584" t="str">
            <v>06-24-004-09w2</v>
          </cell>
          <cell r="O8584">
            <v>875.8</v>
          </cell>
          <cell r="Q8584">
            <v>1.81</v>
          </cell>
          <cell r="T8584">
            <v>1550.0250000000001</v>
          </cell>
        </row>
        <row r="8585">
          <cell r="G8585">
            <v>42795</v>
          </cell>
          <cell r="L8585" t="str">
            <v>11-02-005-04W2</v>
          </cell>
          <cell r="O8585">
            <v>851.5</v>
          </cell>
          <cell r="Q8585">
            <v>1.43</v>
          </cell>
          <cell r="T8585">
            <v>1461.7829999999999</v>
          </cell>
        </row>
        <row r="8586">
          <cell r="G8586">
            <v>42795</v>
          </cell>
          <cell r="L8586" t="str">
            <v>06-27-004-06W2</v>
          </cell>
          <cell r="O8586">
            <v>828.7</v>
          </cell>
          <cell r="Q8586">
            <v>0.65</v>
          </cell>
          <cell r="T8586">
            <v>1434.7339999999999</v>
          </cell>
        </row>
        <row r="8587">
          <cell r="G8587">
            <v>42795</v>
          </cell>
          <cell r="L8587" t="str">
            <v>10-22-004-07W2</v>
          </cell>
          <cell r="O8587">
            <v>877.5</v>
          </cell>
          <cell r="Q8587">
            <v>2.02</v>
          </cell>
          <cell r="T8587">
            <v>1254.93</v>
          </cell>
        </row>
        <row r="8588">
          <cell r="G8588">
            <v>42795</v>
          </cell>
          <cell r="L8588" t="str">
            <v>11-25-005-06W2</v>
          </cell>
          <cell r="O8588">
            <v>842.1</v>
          </cell>
          <cell r="Q8588">
            <v>1.1200000000000001</v>
          </cell>
          <cell r="T8588">
            <v>1152.3340000000001</v>
          </cell>
        </row>
        <row r="8589">
          <cell r="G8589">
            <v>42795</v>
          </cell>
          <cell r="L8589" t="str">
            <v>09-10-005-04W2</v>
          </cell>
          <cell r="O8589">
            <v>850.4</v>
          </cell>
          <cell r="Q8589">
            <v>1.27</v>
          </cell>
          <cell r="T8589">
            <v>743.75900000000001</v>
          </cell>
        </row>
        <row r="8590">
          <cell r="G8590">
            <v>42795</v>
          </cell>
          <cell r="L8590" t="str">
            <v>13-30-005-05W2</v>
          </cell>
          <cell r="O8590">
            <v>849.3</v>
          </cell>
          <cell r="Q8590">
            <v>1.1100000000000001</v>
          </cell>
          <cell r="T8590">
            <v>625.54999999999995</v>
          </cell>
        </row>
        <row r="8591">
          <cell r="G8591">
            <v>42795</v>
          </cell>
          <cell r="L8591" t="str">
            <v>14-13-001-05W2</v>
          </cell>
          <cell r="O8591">
            <v>818</v>
          </cell>
          <cell r="Q8591">
            <v>0.54</v>
          </cell>
          <cell r="T8591">
            <v>20568.135999999999</v>
          </cell>
        </row>
        <row r="8592">
          <cell r="G8592">
            <v>42795</v>
          </cell>
          <cell r="L8592" t="str">
            <v>05-20-004-04W2</v>
          </cell>
          <cell r="O8592">
            <v>829.6</v>
          </cell>
          <cell r="Q8592">
            <v>1.64</v>
          </cell>
          <cell r="T8592">
            <v>3991.6840000000002</v>
          </cell>
        </row>
        <row r="8593">
          <cell r="G8593">
            <v>42795</v>
          </cell>
          <cell r="L8593" t="str">
            <v>05-10-006-05W2</v>
          </cell>
          <cell r="O8593">
            <v>853.7</v>
          </cell>
          <cell r="Q8593">
            <v>1.56</v>
          </cell>
          <cell r="T8593">
            <v>2628.7220000000002</v>
          </cell>
        </row>
        <row r="8594">
          <cell r="G8594">
            <v>42795</v>
          </cell>
          <cell r="L8594" t="str">
            <v>05-34-005-06W2</v>
          </cell>
          <cell r="O8594">
            <v>866</v>
          </cell>
          <cell r="Q8594">
            <v>2.35</v>
          </cell>
          <cell r="T8594">
            <v>2281.692</v>
          </cell>
        </row>
        <row r="8595">
          <cell r="G8595">
            <v>42795</v>
          </cell>
          <cell r="L8595" t="str">
            <v>05-24-005-04W2</v>
          </cell>
          <cell r="O8595">
            <v>855.7</v>
          </cell>
          <cell r="Q8595">
            <v>1.45</v>
          </cell>
          <cell r="T8595">
            <v>2267.107</v>
          </cell>
        </row>
        <row r="8596">
          <cell r="G8596">
            <v>42795</v>
          </cell>
          <cell r="L8596" t="str">
            <v>11-16-005-04W2</v>
          </cell>
          <cell r="O8596">
            <v>848.8</v>
          </cell>
          <cell r="Q8596">
            <v>1.39</v>
          </cell>
          <cell r="T8596">
            <v>1978.498</v>
          </cell>
        </row>
        <row r="8597">
          <cell r="G8597">
            <v>42795</v>
          </cell>
          <cell r="L8597" t="str">
            <v>07-08-004-05W2</v>
          </cell>
          <cell r="O8597">
            <v>839</v>
          </cell>
          <cell r="Q8597">
            <v>1</v>
          </cell>
          <cell r="T8597">
            <v>1924.8510000000001</v>
          </cell>
        </row>
        <row r="8598">
          <cell r="G8598">
            <v>42795</v>
          </cell>
          <cell r="L8598" t="str">
            <v>01-17-005-08W2</v>
          </cell>
          <cell r="O8598">
            <v>875.5</v>
          </cell>
          <cell r="Q8598">
            <v>2.13</v>
          </cell>
          <cell r="T8598">
            <v>1656.2449999999999</v>
          </cell>
        </row>
        <row r="8599">
          <cell r="G8599">
            <v>42795</v>
          </cell>
          <cell r="L8599" t="str">
            <v>02-13-006-06W2</v>
          </cell>
          <cell r="O8599">
            <v>847.4</v>
          </cell>
          <cell r="Q8599">
            <v>1.45</v>
          </cell>
          <cell r="T8599">
            <v>1407.9559999999999</v>
          </cell>
        </row>
        <row r="8600">
          <cell r="G8600">
            <v>42795</v>
          </cell>
          <cell r="L8600" t="str">
            <v>03-29-003-04W2</v>
          </cell>
          <cell r="O8600">
            <v>838.2</v>
          </cell>
          <cell r="Q8600">
            <v>0.84</v>
          </cell>
          <cell r="T8600">
            <v>1144.816</v>
          </cell>
        </row>
        <row r="8601">
          <cell r="G8601">
            <v>42795</v>
          </cell>
          <cell r="L8601" t="str">
            <v>11-28-005-06W2</v>
          </cell>
          <cell r="O8601">
            <v>878.9</v>
          </cell>
          <cell r="Q8601">
            <v>2.37</v>
          </cell>
          <cell r="T8601">
            <v>1016.518</v>
          </cell>
        </row>
        <row r="8602">
          <cell r="G8602">
            <v>42795</v>
          </cell>
          <cell r="L8602" t="str">
            <v>08-14-004-07W2</v>
          </cell>
          <cell r="O8602">
            <v>865.5</v>
          </cell>
          <cell r="Q8602">
            <v>1.53</v>
          </cell>
          <cell r="T8602">
            <v>1005.194</v>
          </cell>
        </row>
        <row r="8603">
          <cell r="G8603">
            <v>42795</v>
          </cell>
          <cell r="L8603" t="str">
            <v>08-22-004-09W2</v>
          </cell>
          <cell r="O8603">
            <v>870.9</v>
          </cell>
          <cell r="Q8603">
            <v>1.93</v>
          </cell>
          <cell r="T8603">
            <v>959.63400000000001</v>
          </cell>
        </row>
        <row r="8604">
          <cell r="G8604">
            <v>42795</v>
          </cell>
          <cell r="L8604" t="str">
            <v>09-27-004-05W2</v>
          </cell>
          <cell r="O8604">
            <v>847.3</v>
          </cell>
          <cell r="Q8604">
            <v>1.3</v>
          </cell>
          <cell r="T8604">
            <v>920.36300000000006</v>
          </cell>
        </row>
        <row r="8605">
          <cell r="G8605">
            <v>42795</v>
          </cell>
          <cell r="L8605" t="str">
            <v>13-15-005-08W2</v>
          </cell>
          <cell r="O8605">
            <v>876.9</v>
          </cell>
          <cell r="Q8605">
            <v>1.81</v>
          </cell>
          <cell r="T8605">
            <v>602.83000000000004</v>
          </cell>
        </row>
        <row r="8606">
          <cell r="G8606">
            <v>42795</v>
          </cell>
          <cell r="L8606" t="str">
            <v>07-27-007-06W2</v>
          </cell>
          <cell r="O8606">
            <v>837.8</v>
          </cell>
          <cell r="Q8606">
            <v>0.22</v>
          </cell>
          <cell r="T8606">
            <v>483.12799999999999</v>
          </cell>
        </row>
        <row r="8607">
          <cell r="G8607">
            <v>42795</v>
          </cell>
          <cell r="L8607" t="str">
            <v>11-31-005-11W2</v>
          </cell>
          <cell r="O8607">
            <v>881.2</v>
          </cell>
          <cell r="Q8607">
            <v>1.73</v>
          </cell>
          <cell r="T8607">
            <v>1882.085</v>
          </cell>
        </row>
        <row r="8608">
          <cell r="G8608">
            <v>42795</v>
          </cell>
          <cell r="L8608" t="str">
            <v>01-18-004-08W2</v>
          </cell>
          <cell r="O8608">
            <v>890.6</v>
          </cell>
          <cell r="Q8608">
            <v>2.36</v>
          </cell>
          <cell r="T8608">
            <v>1061.827</v>
          </cell>
        </row>
        <row r="8609">
          <cell r="G8609">
            <v>42795</v>
          </cell>
          <cell r="L8609" t="str">
            <v>14-27-005-12W2</v>
          </cell>
          <cell r="O8609">
            <v>873.6</v>
          </cell>
          <cell r="Q8609">
            <v>1.98</v>
          </cell>
          <cell r="T8609">
            <v>975.47799999999995</v>
          </cell>
        </row>
        <row r="8610">
          <cell r="G8610">
            <v>42795</v>
          </cell>
          <cell r="L8610" t="str">
            <v>03-04-001-11W2</v>
          </cell>
          <cell r="O8610">
            <v>817.1</v>
          </cell>
          <cell r="Q8610">
            <v>0.17</v>
          </cell>
          <cell r="T8610">
            <v>859.57600000000002</v>
          </cell>
        </row>
        <row r="8611">
          <cell r="G8611">
            <v>42795</v>
          </cell>
          <cell r="L8611" t="str">
            <v>16-09-007-11W2</v>
          </cell>
          <cell r="O8611">
            <v>843.5</v>
          </cell>
          <cell r="Q8611">
            <v>0.76</v>
          </cell>
          <cell r="T8611">
            <v>763.74800000000005</v>
          </cell>
        </row>
        <row r="8612">
          <cell r="G8612">
            <v>42795</v>
          </cell>
          <cell r="L8612" t="str">
            <v>13-06-007-11W2</v>
          </cell>
          <cell r="O8612">
            <v>860</v>
          </cell>
          <cell r="Q8612">
            <v>2.08</v>
          </cell>
          <cell r="T8612">
            <v>705.82399999999996</v>
          </cell>
        </row>
        <row r="8613">
          <cell r="G8613">
            <v>42795</v>
          </cell>
          <cell r="L8613" t="str">
            <v>16-29-006-12W2</v>
          </cell>
          <cell r="O8613">
            <v>900.9</v>
          </cell>
          <cell r="Q8613">
            <v>1.56</v>
          </cell>
          <cell r="T8613">
            <v>643.15599999999995</v>
          </cell>
        </row>
        <row r="8614">
          <cell r="G8614">
            <v>42795</v>
          </cell>
          <cell r="L8614" t="str">
            <v>03-18-007-09W2</v>
          </cell>
          <cell r="O8614">
            <v>817.1</v>
          </cell>
          <cell r="Q8614">
            <v>0.59</v>
          </cell>
          <cell r="T8614">
            <v>581.92200000000003</v>
          </cell>
        </row>
        <row r="8615">
          <cell r="G8615">
            <v>42795</v>
          </cell>
          <cell r="L8615" t="str">
            <v>15-11-005-09W2</v>
          </cell>
          <cell r="O8615">
            <v>883.9</v>
          </cell>
          <cell r="Q8615">
            <v>2.21</v>
          </cell>
          <cell r="T8615">
            <v>568.82899999999995</v>
          </cell>
        </row>
        <row r="8616">
          <cell r="G8616">
            <v>42795</v>
          </cell>
          <cell r="L8616" t="str">
            <v>16-05-005-08W2</v>
          </cell>
          <cell r="O8616">
            <v>884.6</v>
          </cell>
          <cell r="Q8616">
            <v>2.0699999999999998</v>
          </cell>
          <cell r="T8616">
            <v>562.93600000000004</v>
          </cell>
        </row>
        <row r="8617">
          <cell r="G8617">
            <v>42795</v>
          </cell>
          <cell r="L8617" t="str">
            <v>13-09-002-11W2</v>
          </cell>
          <cell r="O8617">
            <v>821.9</v>
          </cell>
          <cell r="Q8617">
            <v>0.17</v>
          </cell>
          <cell r="T8617">
            <v>485.01400000000001</v>
          </cell>
        </row>
        <row r="8618">
          <cell r="G8618">
            <v>42795</v>
          </cell>
          <cell r="L8618" t="str">
            <v>12-20-005-12W2</v>
          </cell>
          <cell r="O8618">
            <v>883</v>
          </cell>
          <cell r="Q8618">
            <v>2.38</v>
          </cell>
          <cell r="T8618">
            <v>477.61200000000002</v>
          </cell>
        </row>
        <row r="8619">
          <cell r="G8619">
            <v>42795</v>
          </cell>
          <cell r="L8619" t="str">
            <v>04-27-004-08W2</v>
          </cell>
          <cell r="O8619">
            <v>883.1</v>
          </cell>
          <cell r="Q8619">
            <v>2.14</v>
          </cell>
          <cell r="T8619">
            <v>466.572</v>
          </cell>
        </row>
        <row r="8620">
          <cell r="G8620">
            <v>42795</v>
          </cell>
          <cell r="L8620" t="str">
            <v>14-22-004-08W2</v>
          </cell>
          <cell r="O8620">
            <v>878.7</v>
          </cell>
          <cell r="Q8620">
            <v>2.0299999999999998</v>
          </cell>
          <cell r="T8620">
            <v>460.68299999999999</v>
          </cell>
        </row>
        <row r="8621">
          <cell r="G8621">
            <v>42795</v>
          </cell>
          <cell r="L8621" t="str">
            <v>15-33-013-13W2</v>
          </cell>
          <cell r="O8621">
            <v>874.2</v>
          </cell>
          <cell r="Q8621">
            <v>0.51</v>
          </cell>
          <cell r="T8621">
            <v>441.42399999999998</v>
          </cell>
        </row>
        <row r="8622">
          <cell r="G8622">
            <v>42795</v>
          </cell>
          <cell r="L8622" t="str">
            <v>15-01-002-12W2</v>
          </cell>
          <cell r="O8622">
            <v>820.7</v>
          </cell>
          <cell r="Q8622">
            <v>0.12</v>
          </cell>
          <cell r="T8622">
            <v>397.15499999999997</v>
          </cell>
        </row>
        <row r="8623">
          <cell r="G8623">
            <v>42795</v>
          </cell>
          <cell r="L8623" t="str">
            <v>16-34-001-15W2</v>
          </cell>
          <cell r="O8623">
            <v>819.9</v>
          </cell>
          <cell r="Q8623">
            <v>0.19</v>
          </cell>
          <cell r="T8623">
            <v>356.33800000000002</v>
          </cell>
        </row>
        <row r="8624">
          <cell r="G8624">
            <v>42795</v>
          </cell>
          <cell r="L8624" t="str">
            <v>11-31-006-08W2</v>
          </cell>
          <cell r="O8624">
            <v>896.1</v>
          </cell>
          <cell r="Q8624">
            <v>2.5</v>
          </cell>
          <cell r="T8624">
            <v>344.08199999999999</v>
          </cell>
        </row>
        <row r="8625">
          <cell r="G8625">
            <v>42795</v>
          </cell>
          <cell r="L8625" t="str">
            <v>15-29-007-13W2</v>
          </cell>
          <cell r="O8625">
            <v>851.3</v>
          </cell>
          <cell r="Q8625">
            <v>1.85</v>
          </cell>
          <cell r="T8625">
            <v>340.08600000000001</v>
          </cell>
        </row>
        <row r="8626">
          <cell r="G8626">
            <v>42795</v>
          </cell>
          <cell r="L8626" t="str">
            <v>06-18-006-12W2</v>
          </cell>
          <cell r="O8626">
            <v>888.5</v>
          </cell>
          <cell r="Q8626">
            <v>2.58</v>
          </cell>
          <cell r="T8626">
            <v>326.85399999999998</v>
          </cell>
        </row>
        <row r="8627">
          <cell r="G8627">
            <v>42795</v>
          </cell>
          <cell r="L8627" t="str">
            <v>01-10-008-15W2</v>
          </cell>
          <cell r="O8627">
            <v>866.2</v>
          </cell>
          <cell r="Q8627">
            <v>2.21</v>
          </cell>
          <cell r="T8627">
            <v>317.93400000000003</v>
          </cell>
        </row>
        <row r="8628">
          <cell r="G8628">
            <v>42795</v>
          </cell>
          <cell r="L8628" t="str">
            <v>15-36-001-12W2</v>
          </cell>
          <cell r="O8628">
            <v>817.2</v>
          </cell>
          <cell r="Q8628">
            <v>0.14000000000000001</v>
          </cell>
          <cell r="T8628">
            <v>315.47000000000003</v>
          </cell>
        </row>
        <row r="8629">
          <cell r="G8629">
            <v>42795</v>
          </cell>
          <cell r="L8629" t="str">
            <v>10-05-007-10W2</v>
          </cell>
          <cell r="O8629">
            <v>865</v>
          </cell>
          <cell r="Q8629">
            <v>1.78</v>
          </cell>
          <cell r="T8629">
            <v>299.60000000000002</v>
          </cell>
        </row>
        <row r="8630">
          <cell r="G8630">
            <v>42795</v>
          </cell>
          <cell r="L8630" t="str">
            <v>13-36-002-12W2</v>
          </cell>
          <cell r="O8630">
            <v>811.3</v>
          </cell>
          <cell r="Q8630">
            <v>0.16</v>
          </cell>
          <cell r="T8630">
            <v>295.42399999999998</v>
          </cell>
        </row>
        <row r="8631">
          <cell r="G8631">
            <v>42795</v>
          </cell>
          <cell r="L8631" t="str">
            <v>13-33-006-09W2</v>
          </cell>
          <cell r="O8631">
            <v>885.4</v>
          </cell>
          <cell r="Q8631">
            <v>2.42</v>
          </cell>
          <cell r="T8631">
            <v>293.33999999999997</v>
          </cell>
        </row>
        <row r="8632">
          <cell r="G8632">
            <v>42795</v>
          </cell>
          <cell r="L8632" t="str">
            <v>09-02-006-07W2</v>
          </cell>
          <cell r="O8632">
            <v>880</v>
          </cell>
          <cell r="Q8632">
            <v>1.97</v>
          </cell>
          <cell r="T8632">
            <v>271.87200000000001</v>
          </cell>
        </row>
        <row r="8633">
          <cell r="G8633">
            <v>42795</v>
          </cell>
          <cell r="L8633" t="str">
            <v>04-23-012-06W2</v>
          </cell>
          <cell r="O8633">
            <v>897.1</v>
          </cell>
          <cell r="Q8633">
            <v>2.52</v>
          </cell>
          <cell r="T8633">
            <v>259.08499999999998</v>
          </cell>
        </row>
        <row r="8634">
          <cell r="G8634">
            <v>42795</v>
          </cell>
          <cell r="L8634" t="str">
            <v>11-14-007-08W2</v>
          </cell>
          <cell r="O8634">
            <v>864.2</v>
          </cell>
          <cell r="Q8634">
            <v>1.38</v>
          </cell>
          <cell r="T8634">
            <v>246.52099999999999</v>
          </cell>
        </row>
        <row r="8635">
          <cell r="G8635">
            <v>42795</v>
          </cell>
          <cell r="L8635" t="str">
            <v>14-25-003-09W2</v>
          </cell>
          <cell r="O8635">
            <v>844.8</v>
          </cell>
          <cell r="Q8635">
            <v>0.8</v>
          </cell>
          <cell r="T8635">
            <v>241.703</v>
          </cell>
        </row>
        <row r="8636">
          <cell r="G8636">
            <v>42795</v>
          </cell>
          <cell r="L8636" t="str">
            <v>09-06-010-15W2</v>
          </cell>
          <cell r="O8636">
            <v>866.3</v>
          </cell>
          <cell r="Q8636">
            <v>0.13</v>
          </cell>
          <cell r="T8636">
            <v>232.11500000000001</v>
          </cell>
        </row>
        <row r="8637">
          <cell r="G8637">
            <v>42795</v>
          </cell>
          <cell r="L8637" t="str">
            <v>04-16-004-21W2</v>
          </cell>
          <cell r="O8637">
            <v>818.4</v>
          </cell>
          <cell r="Q8637">
            <v>0.21</v>
          </cell>
          <cell r="T8637">
            <v>208.51900000000001</v>
          </cell>
        </row>
        <row r="8638">
          <cell r="G8638">
            <v>42795</v>
          </cell>
          <cell r="L8638" t="str">
            <v>14-20-004-10W2</v>
          </cell>
          <cell r="O8638">
            <v>889.1</v>
          </cell>
          <cell r="Q8638">
            <v>2.14</v>
          </cell>
          <cell r="T8638">
            <v>196.89500000000001</v>
          </cell>
        </row>
        <row r="8639">
          <cell r="G8639">
            <v>42795</v>
          </cell>
          <cell r="L8639" t="str">
            <v>09-11-007-14W2</v>
          </cell>
          <cell r="O8639">
            <v>849.6</v>
          </cell>
          <cell r="Q8639">
            <v>1.55</v>
          </cell>
          <cell r="T8639">
            <v>193.845</v>
          </cell>
        </row>
        <row r="8640">
          <cell r="G8640">
            <v>42795</v>
          </cell>
          <cell r="L8640" t="str">
            <v>04-13-004-10W2</v>
          </cell>
          <cell r="O8640">
            <v>885.8</v>
          </cell>
          <cell r="Q8640">
            <v>2.04</v>
          </cell>
          <cell r="T8640">
            <v>186.05500000000001</v>
          </cell>
        </row>
        <row r="8641">
          <cell r="G8641">
            <v>42795</v>
          </cell>
          <cell r="L8641" t="str">
            <v>02-13-004-12W2</v>
          </cell>
          <cell r="O8641">
            <v>878.6</v>
          </cell>
          <cell r="Q8641">
            <v>1.99</v>
          </cell>
          <cell r="T8641">
            <v>169.13800000000001</v>
          </cell>
        </row>
        <row r="8642">
          <cell r="G8642">
            <v>42795</v>
          </cell>
          <cell r="L8642" t="str">
            <v>03-34-001-11W2</v>
          </cell>
          <cell r="O8642">
            <v>827</v>
          </cell>
          <cell r="Q8642">
            <v>0.17</v>
          </cell>
          <cell r="T8642">
            <v>164.78399999999999</v>
          </cell>
        </row>
        <row r="8643">
          <cell r="G8643">
            <v>42795</v>
          </cell>
          <cell r="L8643" t="str">
            <v>12-27-006-13W2</v>
          </cell>
          <cell r="O8643">
            <v>865.4</v>
          </cell>
          <cell r="Q8643">
            <v>0.18</v>
          </cell>
          <cell r="T8643">
            <v>163.173</v>
          </cell>
        </row>
        <row r="8644">
          <cell r="G8644">
            <v>42795</v>
          </cell>
          <cell r="L8644" t="str">
            <v>03-27-011-08W2</v>
          </cell>
          <cell r="O8644">
            <v>899.3</v>
          </cell>
          <cell r="Q8644">
            <v>2.62</v>
          </cell>
          <cell r="T8644">
            <v>160.32</v>
          </cell>
        </row>
        <row r="8645">
          <cell r="G8645">
            <v>42795</v>
          </cell>
          <cell r="L8645" t="str">
            <v>15-13-002-12W2</v>
          </cell>
          <cell r="O8645">
            <v>828.8</v>
          </cell>
          <cell r="Q8645">
            <v>0.15</v>
          </cell>
          <cell r="T8645">
            <v>149.99299999999999</v>
          </cell>
        </row>
        <row r="8646">
          <cell r="G8646">
            <v>42795</v>
          </cell>
          <cell r="L8646" t="str">
            <v>16-06-005-12W2</v>
          </cell>
          <cell r="O8646">
            <v>876.8</v>
          </cell>
          <cell r="Q8646">
            <v>2</v>
          </cell>
          <cell r="T8646">
            <v>136.428</v>
          </cell>
        </row>
        <row r="8647">
          <cell r="G8647">
            <v>42795</v>
          </cell>
          <cell r="L8647" t="str">
            <v>14-27-007-08W2</v>
          </cell>
          <cell r="O8647">
            <v>882.2</v>
          </cell>
          <cell r="Q8647">
            <v>2.33</v>
          </cell>
          <cell r="T8647">
            <v>134.55600000000001</v>
          </cell>
        </row>
        <row r="8648">
          <cell r="G8648">
            <v>42795</v>
          </cell>
          <cell r="L8648" t="str">
            <v>07-31-006-09W2</v>
          </cell>
          <cell r="O8648">
            <v>872.3</v>
          </cell>
          <cell r="Q8648">
            <v>1.46</v>
          </cell>
          <cell r="T8648">
            <v>129.69399999999999</v>
          </cell>
        </row>
        <row r="8649">
          <cell r="G8649">
            <v>42795</v>
          </cell>
          <cell r="L8649" t="str">
            <v>09-22-006-12W2</v>
          </cell>
          <cell r="O8649">
            <v>879.7</v>
          </cell>
          <cell r="Q8649">
            <v>2.34</v>
          </cell>
          <cell r="T8649">
            <v>119.307</v>
          </cell>
        </row>
        <row r="8650">
          <cell r="G8650">
            <v>42795</v>
          </cell>
          <cell r="L8650" t="str">
            <v>07-02-007-12W2</v>
          </cell>
          <cell r="O8650">
            <v>857.8</v>
          </cell>
          <cell r="Q8650">
            <v>1.83</v>
          </cell>
          <cell r="T8650">
            <v>116.435</v>
          </cell>
        </row>
        <row r="8651">
          <cell r="G8651">
            <v>42795</v>
          </cell>
          <cell r="L8651" t="str">
            <v>01-06-004-11W2</v>
          </cell>
          <cell r="O8651">
            <v>878</v>
          </cell>
          <cell r="Q8651">
            <v>1.95</v>
          </cell>
          <cell r="T8651">
            <v>114.651</v>
          </cell>
        </row>
        <row r="8652">
          <cell r="G8652">
            <v>42795</v>
          </cell>
          <cell r="L8652" t="str">
            <v>06-13-007-10W2</v>
          </cell>
          <cell r="O8652">
            <v>820.7</v>
          </cell>
          <cell r="Q8652">
            <v>0.17</v>
          </cell>
          <cell r="T8652">
            <v>111.39400000000001</v>
          </cell>
        </row>
        <row r="8653">
          <cell r="G8653">
            <v>42795</v>
          </cell>
          <cell r="L8653" t="str">
            <v>03-08-001-11W2</v>
          </cell>
          <cell r="O8653">
            <v>808.1</v>
          </cell>
          <cell r="Q8653">
            <v>0.32</v>
          </cell>
          <cell r="T8653">
            <v>107.265</v>
          </cell>
        </row>
        <row r="8654">
          <cell r="G8654">
            <v>42795</v>
          </cell>
          <cell r="L8654" t="str">
            <v>07-10-001-20W2</v>
          </cell>
          <cell r="O8654">
            <v>875.4</v>
          </cell>
          <cell r="Q8654">
            <v>1.72</v>
          </cell>
          <cell r="T8654">
            <v>99.927000000000007</v>
          </cell>
        </row>
        <row r="8655">
          <cell r="G8655">
            <v>42795</v>
          </cell>
          <cell r="L8655" t="str">
            <v>05-31-006-13W2</v>
          </cell>
          <cell r="O8655">
            <v>803.4</v>
          </cell>
          <cell r="Q8655">
            <v>0.19</v>
          </cell>
          <cell r="T8655">
            <v>96.956000000000003</v>
          </cell>
        </row>
        <row r="8656">
          <cell r="G8656">
            <v>42795</v>
          </cell>
          <cell r="L8656" t="str">
            <v>12-31-001-17W2</v>
          </cell>
          <cell r="O8656">
            <v>846.7</v>
          </cell>
          <cell r="Q8656">
            <v>0.14000000000000001</v>
          </cell>
          <cell r="T8656">
            <v>96.394999999999996</v>
          </cell>
        </row>
        <row r="8657">
          <cell r="G8657">
            <v>42795</v>
          </cell>
          <cell r="L8657" t="str">
            <v>09-32-006-15W2</v>
          </cell>
          <cell r="O8657">
            <v>889.4</v>
          </cell>
          <cell r="Q8657">
            <v>2.8</v>
          </cell>
          <cell r="T8657">
            <v>95.200999999999993</v>
          </cell>
        </row>
        <row r="8658">
          <cell r="G8658">
            <v>42795</v>
          </cell>
          <cell r="L8658" t="str">
            <v>01-23-005-12W2</v>
          </cell>
          <cell r="O8658">
            <v>875.8</v>
          </cell>
          <cell r="Q8658">
            <v>2.0499999999999998</v>
          </cell>
          <cell r="T8658">
            <v>86.474999999999994</v>
          </cell>
        </row>
        <row r="8659">
          <cell r="G8659">
            <v>42795</v>
          </cell>
          <cell r="L8659" t="str">
            <v>13-06-007-09W2</v>
          </cell>
          <cell r="O8659">
            <v>813.7</v>
          </cell>
          <cell r="Q8659">
            <v>0.28999999999999998</v>
          </cell>
          <cell r="T8659">
            <v>86.07</v>
          </cell>
        </row>
        <row r="8660">
          <cell r="G8660">
            <v>42795</v>
          </cell>
          <cell r="L8660" t="str">
            <v>01-36-006-12W2</v>
          </cell>
          <cell r="O8660">
            <v>895.3</v>
          </cell>
          <cell r="Q8660">
            <v>2.63</v>
          </cell>
          <cell r="T8660">
            <v>85.343000000000004</v>
          </cell>
        </row>
        <row r="8661">
          <cell r="G8661">
            <v>42795</v>
          </cell>
          <cell r="L8661" t="str">
            <v>04-21-006-14W2</v>
          </cell>
          <cell r="O8661">
            <v>855.6</v>
          </cell>
          <cell r="Q8661">
            <v>2</v>
          </cell>
          <cell r="T8661">
            <v>70.69</v>
          </cell>
        </row>
        <row r="8662">
          <cell r="G8662">
            <v>42795</v>
          </cell>
          <cell r="L8662" t="str">
            <v>08-34-006-12W2</v>
          </cell>
          <cell r="O8662">
            <v>877.8</v>
          </cell>
          <cell r="Q8662">
            <v>1.89</v>
          </cell>
          <cell r="T8662">
            <v>69.775999999999996</v>
          </cell>
        </row>
        <row r="8663">
          <cell r="G8663">
            <v>42795</v>
          </cell>
          <cell r="L8663" t="str">
            <v>07-24-006-10W2</v>
          </cell>
          <cell r="O8663">
            <v>883.7</v>
          </cell>
          <cell r="Q8663">
            <v>2.44</v>
          </cell>
          <cell r="T8663">
            <v>60.744999999999997</v>
          </cell>
        </row>
        <row r="8664">
          <cell r="G8664">
            <v>42795</v>
          </cell>
          <cell r="L8664" t="str">
            <v>12-28-006-07W2</v>
          </cell>
          <cell r="O8664">
            <v>907.7</v>
          </cell>
          <cell r="Q8664">
            <v>2.52</v>
          </cell>
          <cell r="T8664">
            <v>57.168999999999997</v>
          </cell>
        </row>
        <row r="8665">
          <cell r="G8665">
            <v>42795</v>
          </cell>
          <cell r="L8665" t="str">
            <v>15-11-008-12W2</v>
          </cell>
          <cell r="O8665">
            <v>901.4</v>
          </cell>
          <cell r="Q8665">
            <v>2.62</v>
          </cell>
          <cell r="T8665">
            <v>42.926000000000002</v>
          </cell>
        </row>
        <row r="8666">
          <cell r="G8666">
            <v>42795</v>
          </cell>
          <cell r="L8666" t="str">
            <v>02-22-009-09W2</v>
          </cell>
          <cell r="O8666">
            <v>883</v>
          </cell>
          <cell r="Q8666">
            <v>2.46</v>
          </cell>
          <cell r="T8666">
            <v>36.564</v>
          </cell>
        </row>
        <row r="8667">
          <cell r="G8667">
            <v>42795</v>
          </cell>
          <cell r="L8667" t="str">
            <v>03-15-005-13W2</v>
          </cell>
          <cell r="O8667">
            <v>905.3</v>
          </cell>
          <cell r="Q8667">
            <v>2.85</v>
          </cell>
          <cell r="T8667">
            <v>27.952999999999999</v>
          </cell>
        </row>
        <row r="8668">
          <cell r="G8668">
            <v>42795</v>
          </cell>
          <cell r="L8668" t="str">
            <v>01-22-005-07W2</v>
          </cell>
          <cell r="O8668">
            <v>890.9</v>
          </cell>
          <cell r="Q8668">
            <v>2.5499999999999998</v>
          </cell>
          <cell r="T8668">
            <v>25.181000000000001</v>
          </cell>
        </row>
        <row r="8669">
          <cell r="G8669">
            <v>42795</v>
          </cell>
          <cell r="L8669" t="str">
            <v>09-12-007-09W2</v>
          </cell>
          <cell r="O8669">
            <v>815.7</v>
          </cell>
          <cell r="Q8669">
            <v>0.15</v>
          </cell>
          <cell r="T8669">
            <v>25.131</v>
          </cell>
        </row>
        <row r="8670">
          <cell r="G8670">
            <v>42795</v>
          </cell>
          <cell r="L8670" t="str">
            <v>05-19-007-12W2</v>
          </cell>
          <cell r="O8670">
            <v>866.6</v>
          </cell>
          <cell r="Q8670">
            <v>1.62</v>
          </cell>
          <cell r="T8670">
            <v>24.661000000000001</v>
          </cell>
        </row>
        <row r="8671">
          <cell r="G8671">
            <v>42795</v>
          </cell>
          <cell r="L8671" t="str">
            <v>03-07-007-11W2</v>
          </cell>
          <cell r="O8671">
            <v>814.7</v>
          </cell>
          <cell r="Q8671">
            <v>0.16</v>
          </cell>
          <cell r="T8671">
            <v>21.067</v>
          </cell>
        </row>
        <row r="8672">
          <cell r="G8672">
            <v>42795</v>
          </cell>
          <cell r="L8672" t="str">
            <v>11-25-005-12W2</v>
          </cell>
          <cell r="O8672">
            <v>874.7</v>
          </cell>
          <cell r="Q8672">
            <v>2.02</v>
          </cell>
          <cell r="T8672">
            <v>2072.0839999999998</v>
          </cell>
        </row>
        <row r="8673">
          <cell r="G8673">
            <v>42795</v>
          </cell>
          <cell r="L8673" t="str">
            <v>16-18-003-15W2</v>
          </cell>
          <cell r="O8673">
            <v>890.3</v>
          </cell>
          <cell r="Q8673">
            <v>2.4500000000000002</v>
          </cell>
          <cell r="T8673">
            <v>1173.1130000000001</v>
          </cell>
        </row>
        <row r="8674">
          <cell r="G8674">
            <v>42795</v>
          </cell>
          <cell r="L8674" t="str">
            <v>05-31-003-16W2</v>
          </cell>
          <cell r="O8674">
            <v>885.4</v>
          </cell>
          <cell r="Q8674">
            <v>3.17</v>
          </cell>
          <cell r="T8674">
            <v>941.39800000000002</v>
          </cell>
        </row>
        <row r="8675">
          <cell r="G8675">
            <v>42795</v>
          </cell>
          <cell r="L8675" t="str">
            <v>12-30-005-07W2</v>
          </cell>
          <cell r="O8675">
            <v>893.5</v>
          </cell>
          <cell r="Q8675">
            <v>2.5299999999999998</v>
          </cell>
          <cell r="T8675">
            <v>406.14400000000001</v>
          </cell>
        </row>
        <row r="8676">
          <cell r="G8676">
            <v>42795</v>
          </cell>
          <cell r="L8676" t="str">
            <v>16-27-001-16W2</v>
          </cell>
          <cell r="O8676">
            <v>809</v>
          </cell>
          <cell r="Q8676">
            <v>0.43</v>
          </cell>
          <cell r="T8676">
            <v>368.57100000000003</v>
          </cell>
        </row>
        <row r="8677">
          <cell r="G8677">
            <v>42795</v>
          </cell>
          <cell r="L8677" t="str">
            <v>05-23-005-13W2</v>
          </cell>
          <cell r="O8677">
            <v>908.7</v>
          </cell>
          <cell r="Q8677">
            <v>2.75</v>
          </cell>
          <cell r="T8677">
            <v>284.99900000000002</v>
          </cell>
        </row>
        <row r="8678">
          <cell r="G8678">
            <v>42795</v>
          </cell>
          <cell r="L8678" t="str">
            <v>06-20-006-09W2</v>
          </cell>
          <cell r="O8678">
            <v>882.3</v>
          </cell>
          <cell r="Q8678">
            <v>2.19</v>
          </cell>
          <cell r="T8678">
            <v>250.56800000000001</v>
          </cell>
        </row>
        <row r="8679">
          <cell r="G8679">
            <v>42795</v>
          </cell>
          <cell r="L8679" t="str">
            <v>14-21-001-12W2</v>
          </cell>
          <cell r="O8679">
            <v>814.6</v>
          </cell>
          <cell r="Q8679">
            <v>0.22</v>
          </cell>
          <cell r="T8679">
            <v>193.196</v>
          </cell>
        </row>
        <row r="8680">
          <cell r="G8680">
            <v>42795</v>
          </cell>
          <cell r="L8680" t="str">
            <v>16-19-001-15W2</v>
          </cell>
          <cell r="O8680">
            <v>808.2</v>
          </cell>
          <cell r="Q8680">
            <v>0.39</v>
          </cell>
          <cell r="T8680">
            <v>156.12899999999999</v>
          </cell>
        </row>
        <row r="8681">
          <cell r="G8681">
            <v>42795</v>
          </cell>
          <cell r="L8681" t="str">
            <v>13-29-001-15W2</v>
          </cell>
          <cell r="O8681">
            <v>812.3</v>
          </cell>
          <cell r="Q8681">
            <v>0.45</v>
          </cell>
          <cell r="T8681">
            <v>107.78400000000001</v>
          </cell>
        </row>
        <row r="8682">
          <cell r="G8682">
            <v>42795</v>
          </cell>
          <cell r="L8682" t="str">
            <v>13-24-001-16W2</v>
          </cell>
          <cell r="O8682">
            <v>804.5</v>
          </cell>
          <cell r="Q8682">
            <v>0.42</v>
          </cell>
          <cell r="T8682">
            <v>92.352000000000004</v>
          </cell>
        </row>
        <row r="8683">
          <cell r="G8683">
            <v>42795</v>
          </cell>
          <cell r="L8683" t="str">
            <v>16-22-001-12W2</v>
          </cell>
          <cell r="O8683">
            <v>818.9</v>
          </cell>
          <cell r="Q8683">
            <v>0.17</v>
          </cell>
          <cell r="T8683">
            <v>79.466999999999999</v>
          </cell>
        </row>
        <row r="8684">
          <cell r="G8684">
            <v>42795</v>
          </cell>
          <cell r="L8684" t="str">
            <v>14-27-001-12W2</v>
          </cell>
          <cell r="O8684">
            <v>823</v>
          </cell>
          <cell r="Q8684">
            <v>0.25</v>
          </cell>
          <cell r="T8684">
            <v>64.811000000000007</v>
          </cell>
        </row>
        <row r="8685">
          <cell r="G8685">
            <v>42795</v>
          </cell>
          <cell r="L8685" t="str">
            <v>13-22-001-12W2</v>
          </cell>
          <cell r="O8685">
            <v>809.1</v>
          </cell>
          <cell r="Q8685">
            <v>0.23</v>
          </cell>
          <cell r="T8685">
            <v>58.886000000000003</v>
          </cell>
        </row>
        <row r="8686">
          <cell r="G8686">
            <v>42795</v>
          </cell>
          <cell r="L8686" t="str">
            <v>16-34-001-15W2</v>
          </cell>
          <cell r="O8686">
            <v>804.1</v>
          </cell>
          <cell r="Q8686">
            <v>0.22</v>
          </cell>
          <cell r="T8686">
            <v>58.305</v>
          </cell>
        </row>
        <row r="8687">
          <cell r="G8687">
            <v>42795</v>
          </cell>
          <cell r="L8687" t="str">
            <v>13-34-001-13W2</v>
          </cell>
          <cell r="O8687">
            <v>816.7</v>
          </cell>
          <cell r="Q8687">
            <v>0.2</v>
          </cell>
          <cell r="T8687">
            <v>56.884999999999998</v>
          </cell>
        </row>
        <row r="8688">
          <cell r="G8688">
            <v>42795</v>
          </cell>
          <cell r="L8688" t="str">
            <v>15-06-006-21W2</v>
          </cell>
          <cell r="O8688">
            <v>825.8</v>
          </cell>
          <cell r="Q8688">
            <v>0.19</v>
          </cell>
          <cell r="T8688">
            <v>31.138999999999999</v>
          </cell>
        </row>
        <row r="8689">
          <cell r="G8689">
            <v>42795</v>
          </cell>
          <cell r="L8689" t="str">
            <v>16-25-001-15W2</v>
          </cell>
          <cell r="O8689">
            <v>825.6</v>
          </cell>
          <cell r="Q8689">
            <v>0.32</v>
          </cell>
          <cell r="T8689">
            <v>27.731999999999999</v>
          </cell>
        </row>
        <row r="8690">
          <cell r="G8690">
            <v>42795</v>
          </cell>
          <cell r="L8690" t="str">
            <v>15-29-005-15W2</v>
          </cell>
          <cell r="O8690">
            <v>885.7</v>
          </cell>
          <cell r="Q8690">
            <v>2.84</v>
          </cell>
          <cell r="T8690">
            <v>2728.0479999999998</v>
          </cell>
        </row>
        <row r="8691">
          <cell r="G8691">
            <v>42795</v>
          </cell>
          <cell r="L8691" t="str">
            <v>04-24-005-15W2</v>
          </cell>
          <cell r="O8691">
            <v>891.3</v>
          </cell>
          <cell r="Q8691">
            <v>2.8</v>
          </cell>
          <cell r="T8691">
            <v>1218.1030000000001</v>
          </cell>
        </row>
        <row r="8692">
          <cell r="G8692">
            <v>42795</v>
          </cell>
          <cell r="L8692" t="str">
            <v>09-34-005-15W2</v>
          </cell>
          <cell r="O8692">
            <v>880.8</v>
          </cell>
          <cell r="Q8692">
            <v>2.42</v>
          </cell>
          <cell r="T8692">
            <v>1027.768</v>
          </cell>
        </row>
        <row r="8693">
          <cell r="G8693">
            <v>42795</v>
          </cell>
          <cell r="L8693" t="str">
            <v>06-17-006-14W2</v>
          </cell>
          <cell r="O8693">
            <v>873.2</v>
          </cell>
          <cell r="Q8693">
            <v>2.1800000000000002</v>
          </cell>
          <cell r="T8693">
            <v>4781.67</v>
          </cell>
        </row>
        <row r="8694">
          <cell r="G8694">
            <v>42795</v>
          </cell>
          <cell r="L8694" t="str">
            <v>10-11-005-14W2</v>
          </cell>
          <cell r="O8694">
            <v>902.8</v>
          </cell>
          <cell r="Q8694">
            <v>2.86</v>
          </cell>
          <cell r="T8694">
            <v>398.27800000000002</v>
          </cell>
        </row>
        <row r="8695">
          <cell r="G8695">
            <v>42795</v>
          </cell>
          <cell r="L8695" t="str">
            <v>12-13-006-13W2</v>
          </cell>
          <cell r="O8695">
            <v>875.8</v>
          </cell>
          <cell r="Q8695">
            <v>2.5299999999999998</v>
          </cell>
          <cell r="T8695">
            <v>348.822</v>
          </cell>
        </row>
        <row r="8696">
          <cell r="G8696">
            <v>42795</v>
          </cell>
          <cell r="L8696" t="str">
            <v>03-15-005-13W2</v>
          </cell>
          <cell r="O8696">
            <v>901.2</v>
          </cell>
          <cell r="Q8696">
            <v>2.85</v>
          </cell>
          <cell r="T8696">
            <v>313.358</v>
          </cell>
        </row>
        <row r="8697">
          <cell r="G8697">
            <v>42795</v>
          </cell>
          <cell r="L8697" t="str">
            <v>15-19-005-13W2</v>
          </cell>
          <cell r="O8697">
            <v>897.5</v>
          </cell>
          <cell r="Q8697">
            <v>2.72</v>
          </cell>
          <cell r="T8697">
            <v>235.09100000000001</v>
          </cell>
        </row>
        <row r="8698">
          <cell r="G8698">
            <v>42795</v>
          </cell>
          <cell r="L8698" t="str">
            <v>07-24-006-15W2</v>
          </cell>
          <cell r="O8698">
            <v>868</v>
          </cell>
          <cell r="Q8698">
            <v>2.19</v>
          </cell>
          <cell r="T8698">
            <v>1344.7329999999999</v>
          </cell>
        </row>
        <row r="8699">
          <cell r="G8699">
            <v>42795</v>
          </cell>
          <cell r="L8699" t="str">
            <v>07-07-006-15W2</v>
          </cell>
          <cell r="O8699">
            <v>869.2</v>
          </cell>
          <cell r="Q8699">
            <v>2.7</v>
          </cell>
          <cell r="T8699">
            <v>6292.7340000000004</v>
          </cell>
        </row>
        <row r="8700">
          <cell r="G8700">
            <v>42795</v>
          </cell>
          <cell r="L8700" t="str">
            <v>12-30-006-15W2</v>
          </cell>
          <cell r="O8700">
            <v>886.1</v>
          </cell>
          <cell r="Q8700">
            <v>3</v>
          </cell>
          <cell r="T8700">
            <v>3811.7449999999999</v>
          </cell>
        </row>
        <row r="8701">
          <cell r="G8701">
            <v>42795</v>
          </cell>
          <cell r="L8701" t="str">
            <v>11-25-005-06W2</v>
          </cell>
          <cell r="O8701">
            <v>844</v>
          </cell>
          <cell r="Q8701">
            <v>1.1200000000000001</v>
          </cell>
          <cell r="T8701">
            <v>4409.5540000000001</v>
          </cell>
        </row>
        <row r="8702">
          <cell r="G8702">
            <v>42795</v>
          </cell>
          <cell r="L8702" t="str">
            <v>03-16-001-11W2</v>
          </cell>
          <cell r="O8702">
            <v>812.8</v>
          </cell>
          <cell r="Q8702">
            <v>0.18</v>
          </cell>
          <cell r="T8702">
            <v>3501.0549999999998</v>
          </cell>
        </row>
        <row r="8703">
          <cell r="G8703">
            <v>42795</v>
          </cell>
          <cell r="L8703" t="str">
            <v>12-32-006-04W2</v>
          </cell>
          <cell r="O8703">
            <v>852.2</v>
          </cell>
          <cell r="Q8703">
            <v>1.82</v>
          </cell>
          <cell r="T8703">
            <v>2290.741</v>
          </cell>
        </row>
        <row r="8704">
          <cell r="G8704">
            <v>42795</v>
          </cell>
          <cell r="L8704" t="str">
            <v>22-15-163-91W1</v>
          </cell>
          <cell r="O8704">
            <v>835</v>
          </cell>
          <cell r="Q8704">
            <v>0.56999999999999995</v>
          </cell>
          <cell r="T8704">
            <v>2266.8589999999999</v>
          </cell>
        </row>
        <row r="8705">
          <cell r="G8705">
            <v>42795</v>
          </cell>
          <cell r="L8705" t="str">
            <v>16-19-002-04W2</v>
          </cell>
          <cell r="O8705">
            <v>840.9</v>
          </cell>
          <cell r="Q8705">
            <v>0.53</v>
          </cell>
          <cell r="T8705">
            <v>2086.0970000000002</v>
          </cell>
        </row>
        <row r="8706">
          <cell r="G8706">
            <v>42795</v>
          </cell>
          <cell r="L8706" t="str">
            <v>12-11-001-10W2</v>
          </cell>
          <cell r="O8706">
            <v>818.6</v>
          </cell>
          <cell r="Q8706">
            <v>0.17</v>
          </cell>
          <cell r="T8706">
            <v>1272.8589999999999</v>
          </cell>
        </row>
        <row r="8707">
          <cell r="G8707">
            <v>42795</v>
          </cell>
          <cell r="L8707" t="str">
            <v>16-36-004-06W2</v>
          </cell>
          <cell r="O8707">
            <v>833.5</v>
          </cell>
          <cell r="Q8707">
            <v>0.92</v>
          </cell>
          <cell r="T8707">
            <v>1148.4649999999999</v>
          </cell>
        </row>
        <row r="8708">
          <cell r="G8708">
            <v>42795</v>
          </cell>
          <cell r="L8708" t="str">
            <v>02-31-145-98W1</v>
          </cell>
          <cell r="O8708">
            <v>819.3</v>
          </cell>
          <cell r="Q8708">
            <v>0.41</v>
          </cell>
          <cell r="T8708">
            <v>1078.23</v>
          </cell>
        </row>
        <row r="8709">
          <cell r="G8709">
            <v>42795</v>
          </cell>
          <cell r="L8709" t="str">
            <v>04-05-002-02W2</v>
          </cell>
          <cell r="O8709">
            <v>822.3</v>
          </cell>
          <cell r="Q8709">
            <v>0.62</v>
          </cell>
          <cell r="T8709">
            <v>1029.2719999999999</v>
          </cell>
        </row>
        <row r="8710">
          <cell r="G8710">
            <v>42795</v>
          </cell>
          <cell r="L8710" t="str">
            <v>03-10-145-98W1</v>
          </cell>
          <cell r="O8710">
            <v>821.1</v>
          </cell>
          <cell r="Q8710">
            <v>0.41</v>
          </cell>
          <cell r="T8710">
            <v>842.99300000000005</v>
          </cell>
        </row>
        <row r="8711">
          <cell r="G8711">
            <v>42795</v>
          </cell>
          <cell r="L8711" t="str">
            <v>01-19-145-98W1</v>
          </cell>
          <cell r="O8711">
            <v>813.1</v>
          </cell>
          <cell r="Q8711">
            <v>0.38</v>
          </cell>
          <cell r="T8711">
            <v>540.13300000000004</v>
          </cell>
        </row>
        <row r="8712">
          <cell r="G8712">
            <v>42795</v>
          </cell>
          <cell r="L8712" t="str">
            <v>15-05-163-91W1</v>
          </cell>
          <cell r="O8712">
            <v>832.3</v>
          </cell>
          <cell r="Q8712">
            <v>0.5</v>
          </cell>
          <cell r="T8712">
            <v>533.79300000000001</v>
          </cell>
        </row>
        <row r="8713">
          <cell r="G8713">
            <v>42795</v>
          </cell>
          <cell r="L8713" t="str">
            <v>02-34-143-100W1</v>
          </cell>
          <cell r="O8713">
            <v>828.1</v>
          </cell>
          <cell r="Q8713">
            <v>0.38</v>
          </cell>
          <cell r="T8713">
            <v>499.49700000000001</v>
          </cell>
        </row>
        <row r="8714">
          <cell r="G8714">
            <v>42795</v>
          </cell>
          <cell r="L8714" t="str">
            <v>07-04-005-04W2</v>
          </cell>
          <cell r="O8714">
            <v>841.8</v>
          </cell>
          <cell r="Q8714">
            <v>0.89</v>
          </cell>
          <cell r="T8714">
            <v>428.25700000000001</v>
          </cell>
        </row>
        <row r="8715">
          <cell r="G8715">
            <v>42795</v>
          </cell>
          <cell r="L8715" t="str">
            <v>09-20-006-04W2</v>
          </cell>
          <cell r="O8715">
            <v>857.7</v>
          </cell>
          <cell r="Q8715">
            <v>1.36</v>
          </cell>
          <cell r="T8715">
            <v>345.98399999999998</v>
          </cell>
        </row>
        <row r="8716">
          <cell r="G8716">
            <v>42795</v>
          </cell>
          <cell r="L8716" t="str">
            <v>02-31-164-93W1</v>
          </cell>
          <cell r="O8716">
            <v>826.6</v>
          </cell>
          <cell r="Q8716">
            <v>0.46</v>
          </cell>
          <cell r="T8716">
            <v>317.25299999999999</v>
          </cell>
        </row>
        <row r="8717">
          <cell r="G8717">
            <v>42795</v>
          </cell>
          <cell r="L8717" t="str">
            <v>13-19-001-03W2</v>
          </cell>
          <cell r="O8717">
            <v>836.8</v>
          </cell>
          <cell r="Q8717">
            <v>0.62</v>
          </cell>
          <cell r="T8717">
            <v>292.82299999999998</v>
          </cell>
        </row>
        <row r="8718">
          <cell r="G8718">
            <v>42795</v>
          </cell>
          <cell r="L8718" t="str">
            <v>01-02-021-58W1</v>
          </cell>
          <cell r="O8718">
            <v>828.1</v>
          </cell>
          <cell r="Q8718">
            <v>0.7</v>
          </cell>
          <cell r="T8718">
            <v>291.46199999999999</v>
          </cell>
        </row>
        <row r="8719">
          <cell r="G8719">
            <v>42795</v>
          </cell>
          <cell r="L8719" t="str">
            <v>02-31-164-94W1</v>
          </cell>
          <cell r="O8719">
            <v>832.3</v>
          </cell>
          <cell r="Q8719">
            <v>0.49</v>
          </cell>
          <cell r="T8719">
            <v>271.59300000000002</v>
          </cell>
        </row>
        <row r="8720">
          <cell r="G8720">
            <v>42795</v>
          </cell>
          <cell r="L8720" t="str">
            <v>01-21-153-95W1</v>
          </cell>
          <cell r="O8720">
            <v>823.3</v>
          </cell>
          <cell r="Q8720">
            <v>0.37</v>
          </cell>
          <cell r="T8720">
            <v>259.18299999999999</v>
          </cell>
        </row>
        <row r="8721">
          <cell r="G8721">
            <v>42795</v>
          </cell>
          <cell r="L8721" t="str">
            <v>02-30-147-97W1</v>
          </cell>
          <cell r="O8721">
            <v>811.5</v>
          </cell>
          <cell r="Q8721">
            <v>0.46</v>
          </cell>
          <cell r="T8721">
            <v>256.71499999999997</v>
          </cell>
        </row>
        <row r="8722">
          <cell r="G8722">
            <v>42795</v>
          </cell>
          <cell r="L8722" t="str">
            <v>16-05-163-92W1</v>
          </cell>
          <cell r="O8722">
            <v>839.5</v>
          </cell>
          <cell r="Q8722">
            <v>0.51</v>
          </cell>
          <cell r="T8722">
            <v>249.56299999999999</v>
          </cell>
        </row>
        <row r="8723">
          <cell r="G8723">
            <v>42795</v>
          </cell>
          <cell r="L8723" t="str">
            <v>09-19-004-04W2</v>
          </cell>
          <cell r="O8723">
            <v>853.4</v>
          </cell>
          <cell r="Q8723">
            <v>1.19</v>
          </cell>
          <cell r="T8723">
            <v>220.346</v>
          </cell>
        </row>
        <row r="8724">
          <cell r="G8724">
            <v>42795</v>
          </cell>
          <cell r="L8724" t="str">
            <v>04-22-002-31W1</v>
          </cell>
          <cell r="O8724">
            <v>861.8</v>
          </cell>
          <cell r="Q8724">
            <v>1.66</v>
          </cell>
          <cell r="T8724">
            <v>219.57</v>
          </cell>
        </row>
        <row r="8725">
          <cell r="G8725">
            <v>42795</v>
          </cell>
          <cell r="L8725" t="str">
            <v>05-25-147-98W1</v>
          </cell>
          <cell r="O8725">
            <v>815.7</v>
          </cell>
          <cell r="Q8725">
            <v>0.56000000000000005</v>
          </cell>
          <cell r="T8725">
            <v>215.441</v>
          </cell>
        </row>
        <row r="8726">
          <cell r="G8726">
            <v>42795</v>
          </cell>
          <cell r="L8726" t="str">
            <v>01-08-153-95W1</v>
          </cell>
          <cell r="O8726">
            <v>819.3</v>
          </cell>
          <cell r="Q8726">
            <v>0.31</v>
          </cell>
          <cell r="T8726">
            <v>211.80699999999999</v>
          </cell>
        </row>
        <row r="8727">
          <cell r="G8727">
            <v>42795</v>
          </cell>
          <cell r="L8727" t="str">
            <v>01-17-143-101W1</v>
          </cell>
          <cell r="O8727">
            <v>830.9</v>
          </cell>
          <cell r="Q8727">
            <v>0.51</v>
          </cell>
          <cell r="T8727">
            <v>184.00200000000001</v>
          </cell>
        </row>
        <row r="8728">
          <cell r="G8728">
            <v>42795</v>
          </cell>
          <cell r="L8728" t="str">
            <v>14-03-163-93W1</v>
          </cell>
          <cell r="O8728">
            <v>842.1</v>
          </cell>
          <cell r="Q8728">
            <v>0.51</v>
          </cell>
          <cell r="T8728">
            <v>180.58199999999999</v>
          </cell>
        </row>
        <row r="8729">
          <cell r="G8729">
            <v>42795</v>
          </cell>
          <cell r="L8729" t="str">
            <v>01-19-147-97W1</v>
          </cell>
          <cell r="O8729">
            <v>814.7</v>
          </cell>
          <cell r="Q8729">
            <v>0.78</v>
          </cell>
          <cell r="T8729">
            <v>180.45500000000001</v>
          </cell>
        </row>
        <row r="8730">
          <cell r="G8730">
            <v>42795</v>
          </cell>
          <cell r="L8730" t="str">
            <v>01-26-152-96W1</v>
          </cell>
          <cell r="O8730">
            <v>815.3</v>
          </cell>
          <cell r="Q8730">
            <v>0.33</v>
          </cell>
          <cell r="T8730">
            <v>140.70099999999999</v>
          </cell>
        </row>
        <row r="8731">
          <cell r="G8731">
            <v>42795</v>
          </cell>
          <cell r="L8731" t="str">
            <v>01-22-142-100W1</v>
          </cell>
          <cell r="O8731">
            <v>818</v>
          </cell>
          <cell r="Q8731">
            <v>0.31</v>
          </cell>
          <cell r="T8731">
            <v>133.38300000000001</v>
          </cell>
        </row>
        <row r="8732">
          <cell r="G8732">
            <v>42795</v>
          </cell>
          <cell r="L8732" t="str">
            <v>14-03-163-92W1</v>
          </cell>
          <cell r="O8732">
            <v>813.8</v>
          </cell>
          <cell r="Q8732">
            <v>0.5</v>
          </cell>
          <cell r="T8732">
            <v>132.97800000000001</v>
          </cell>
        </row>
        <row r="8733">
          <cell r="G8733">
            <v>42795</v>
          </cell>
          <cell r="L8733" t="str">
            <v>01-18-147-97W1</v>
          </cell>
          <cell r="O8733">
            <v>819.6</v>
          </cell>
          <cell r="Q8733">
            <v>0.77</v>
          </cell>
          <cell r="T8733">
            <v>128.548</v>
          </cell>
        </row>
        <row r="8734">
          <cell r="G8734">
            <v>42795</v>
          </cell>
          <cell r="L8734" t="str">
            <v>01-28-142-100W1</v>
          </cell>
          <cell r="O8734">
            <v>824.5</v>
          </cell>
          <cell r="Q8734">
            <v>0.4</v>
          </cell>
          <cell r="T8734">
            <v>125.92100000000001</v>
          </cell>
        </row>
        <row r="8735">
          <cell r="G8735">
            <v>42795</v>
          </cell>
          <cell r="L8735" t="str">
            <v>01-20-147-97W1</v>
          </cell>
          <cell r="O8735">
            <v>826.4</v>
          </cell>
          <cell r="Q8735">
            <v>0.7</v>
          </cell>
          <cell r="T8735">
            <v>122.23399999999999</v>
          </cell>
        </row>
        <row r="8736">
          <cell r="G8736">
            <v>42795</v>
          </cell>
          <cell r="L8736" t="str">
            <v>01-13-022-57W1</v>
          </cell>
          <cell r="O8736">
            <v>800.4</v>
          </cell>
          <cell r="Q8736">
            <v>0.11</v>
          </cell>
          <cell r="T8736">
            <v>121.074</v>
          </cell>
        </row>
        <row r="8737">
          <cell r="G8737">
            <v>42795</v>
          </cell>
          <cell r="L8737" t="str">
            <v>01-21-159-95W1</v>
          </cell>
          <cell r="O8737">
            <v>849.6</v>
          </cell>
          <cell r="Q8737">
            <v>0.18</v>
          </cell>
          <cell r="T8737">
            <v>118.532</v>
          </cell>
        </row>
        <row r="8738">
          <cell r="G8738">
            <v>42795</v>
          </cell>
          <cell r="L8738" t="str">
            <v>01-09-143-101W1</v>
          </cell>
          <cell r="O8738">
            <v>834.1</v>
          </cell>
          <cell r="Q8738">
            <v>0.53</v>
          </cell>
          <cell r="T8738">
            <v>116.506</v>
          </cell>
        </row>
        <row r="8739">
          <cell r="G8739">
            <v>42795</v>
          </cell>
          <cell r="L8739" t="str">
            <v>04-25-144-98W1</v>
          </cell>
          <cell r="O8739">
            <v>816.2</v>
          </cell>
          <cell r="Q8739">
            <v>0.5</v>
          </cell>
          <cell r="T8739">
            <v>111.718</v>
          </cell>
        </row>
        <row r="8740">
          <cell r="G8740">
            <v>42795</v>
          </cell>
          <cell r="L8740" t="str">
            <v>07-22-003-03W2</v>
          </cell>
          <cell r="O8740">
            <v>830.3</v>
          </cell>
          <cell r="Q8740">
            <v>0.59</v>
          </cell>
          <cell r="T8740">
            <v>105.789</v>
          </cell>
        </row>
        <row r="8741">
          <cell r="G8741">
            <v>42795</v>
          </cell>
          <cell r="L8741" t="str">
            <v>01-31-164-98W1</v>
          </cell>
          <cell r="O8741">
            <v>819.5</v>
          </cell>
          <cell r="Q8741">
            <v>0.15</v>
          </cell>
          <cell r="T8741">
            <v>105.748</v>
          </cell>
        </row>
        <row r="8742">
          <cell r="G8742">
            <v>42795</v>
          </cell>
          <cell r="L8742" t="str">
            <v>02-31-164-92W1</v>
          </cell>
          <cell r="O8742">
            <v>856.8</v>
          </cell>
          <cell r="Q8742">
            <v>0.46</v>
          </cell>
          <cell r="T8742">
            <v>105.599</v>
          </cell>
        </row>
        <row r="8743">
          <cell r="G8743">
            <v>42795</v>
          </cell>
          <cell r="L8743" t="str">
            <v>07-29-009-04W2</v>
          </cell>
          <cell r="O8743">
            <v>839.9</v>
          </cell>
          <cell r="Q8743">
            <v>1.1399999999999999</v>
          </cell>
          <cell r="T8743">
            <v>104.85</v>
          </cell>
        </row>
        <row r="8744">
          <cell r="G8744">
            <v>42795</v>
          </cell>
          <cell r="L8744" t="str">
            <v>05-20-001-02W2</v>
          </cell>
          <cell r="O8744">
            <v>832.2</v>
          </cell>
          <cell r="Q8744">
            <v>0.53</v>
          </cell>
          <cell r="T8744">
            <v>104.499</v>
          </cell>
        </row>
        <row r="8745">
          <cell r="G8745">
            <v>42795</v>
          </cell>
          <cell r="L8745" t="str">
            <v>43-03-160-95W1</v>
          </cell>
          <cell r="O8745">
            <v>805.8</v>
          </cell>
          <cell r="Q8745">
            <v>0.2</v>
          </cell>
          <cell r="T8745">
            <v>97.662999999999997</v>
          </cell>
        </row>
        <row r="8746">
          <cell r="G8746">
            <v>42795</v>
          </cell>
          <cell r="L8746" t="str">
            <v>04-19-147-97W1</v>
          </cell>
          <cell r="O8746">
            <v>828.9</v>
          </cell>
          <cell r="Q8746">
            <v>0.52</v>
          </cell>
          <cell r="T8746">
            <v>96.308999999999997</v>
          </cell>
        </row>
        <row r="8747">
          <cell r="G8747">
            <v>42795</v>
          </cell>
          <cell r="L8747" t="str">
            <v>03-25-147-98W1</v>
          </cell>
          <cell r="O8747">
            <v>811.2</v>
          </cell>
          <cell r="Q8747">
            <v>0.45</v>
          </cell>
          <cell r="T8747">
            <v>95.93</v>
          </cell>
        </row>
        <row r="8748">
          <cell r="G8748">
            <v>42795</v>
          </cell>
          <cell r="L8748" t="str">
            <v>08-31-007-07W2</v>
          </cell>
          <cell r="O8748">
            <v>867.3</v>
          </cell>
          <cell r="Q8748">
            <v>1.94</v>
          </cell>
          <cell r="T8748">
            <v>94.6</v>
          </cell>
        </row>
        <row r="8749">
          <cell r="G8749">
            <v>42795</v>
          </cell>
          <cell r="L8749" t="str">
            <v>01-03-155-91W1</v>
          </cell>
          <cell r="O8749">
            <v>860.6</v>
          </cell>
          <cell r="Q8749">
            <v>1.29</v>
          </cell>
          <cell r="T8749">
            <v>94.290999999999997</v>
          </cell>
        </row>
        <row r="8750">
          <cell r="G8750">
            <v>42795</v>
          </cell>
          <cell r="L8750" t="str">
            <v>14-18-163-95W1</v>
          </cell>
          <cell r="O8750">
            <v>851.5</v>
          </cell>
          <cell r="Q8750">
            <v>1.1200000000000001</v>
          </cell>
          <cell r="T8750">
            <v>93.049000000000007</v>
          </cell>
        </row>
        <row r="8751">
          <cell r="G8751">
            <v>42795</v>
          </cell>
          <cell r="L8751" t="str">
            <v>01-18-145-97W1</v>
          </cell>
          <cell r="O8751">
            <v>817.6</v>
          </cell>
          <cell r="Q8751">
            <v>0.45</v>
          </cell>
          <cell r="T8751">
            <v>92.599000000000004</v>
          </cell>
        </row>
        <row r="8752">
          <cell r="G8752">
            <v>42795</v>
          </cell>
          <cell r="L8752" t="str">
            <v>12-03-146-100W1</v>
          </cell>
          <cell r="O8752">
            <v>834.3</v>
          </cell>
          <cell r="Q8752">
            <v>0.47</v>
          </cell>
          <cell r="T8752">
            <v>92.561999999999998</v>
          </cell>
        </row>
        <row r="8753">
          <cell r="G8753">
            <v>42795</v>
          </cell>
          <cell r="L8753" t="str">
            <v>01-33-141-100W1</v>
          </cell>
          <cell r="O8753">
            <v>816.7</v>
          </cell>
          <cell r="Q8753">
            <v>0.39</v>
          </cell>
          <cell r="T8753">
            <v>91.759</v>
          </cell>
        </row>
        <row r="8754">
          <cell r="G8754">
            <v>42795</v>
          </cell>
          <cell r="L8754" t="str">
            <v>01-28-141-100W1</v>
          </cell>
          <cell r="O8754">
            <v>826.7</v>
          </cell>
          <cell r="Q8754">
            <v>0.37</v>
          </cell>
          <cell r="T8754">
            <v>91.45</v>
          </cell>
        </row>
        <row r="8755">
          <cell r="G8755">
            <v>42795</v>
          </cell>
          <cell r="L8755" t="str">
            <v>13-11-160-95W1</v>
          </cell>
          <cell r="O8755">
            <v>804.5</v>
          </cell>
          <cell r="Q8755">
            <v>0.18</v>
          </cell>
          <cell r="T8755">
            <v>89.498999999999995</v>
          </cell>
        </row>
        <row r="8756">
          <cell r="G8756">
            <v>42795</v>
          </cell>
          <cell r="L8756" t="str">
            <v>01-03-153-95W1</v>
          </cell>
          <cell r="O8756">
            <v>776.4</v>
          </cell>
          <cell r="Q8756">
            <v>0.5</v>
          </cell>
          <cell r="T8756">
            <v>88.736000000000004</v>
          </cell>
        </row>
        <row r="8757">
          <cell r="G8757">
            <v>42795</v>
          </cell>
          <cell r="L8757" t="str">
            <v>33-14-160-95W1</v>
          </cell>
          <cell r="O8757">
            <v>800.1</v>
          </cell>
          <cell r="Q8757">
            <v>0.17</v>
          </cell>
          <cell r="T8757">
            <v>88.266000000000005</v>
          </cell>
        </row>
        <row r="8758">
          <cell r="G8758">
            <v>42795</v>
          </cell>
          <cell r="L8758" t="str">
            <v>10-01-157-95W1</v>
          </cell>
          <cell r="O8758">
            <v>836.1</v>
          </cell>
          <cell r="Q8758">
            <v>0.54</v>
          </cell>
          <cell r="T8758">
            <v>87.921000000000006</v>
          </cell>
        </row>
        <row r="8759">
          <cell r="G8759">
            <v>42795</v>
          </cell>
          <cell r="L8759" t="str">
            <v>01-24-160-96W1</v>
          </cell>
          <cell r="O8759">
            <v>836.9</v>
          </cell>
          <cell r="Q8759">
            <v>0.59</v>
          </cell>
          <cell r="T8759">
            <v>83.486999999999995</v>
          </cell>
        </row>
        <row r="8760">
          <cell r="G8760">
            <v>42795</v>
          </cell>
          <cell r="L8760" t="str">
            <v>35-26-164-97W1</v>
          </cell>
          <cell r="O8760">
            <v>806.5</v>
          </cell>
          <cell r="Q8760">
            <v>0.14000000000000001</v>
          </cell>
          <cell r="T8760">
            <v>80.742000000000004</v>
          </cell>
        </row>
        <row r="8761">
          <cell r="G8761">
            <v>42795</v>
          </cell>
          <cell r="L8761" t="str">
            <v>14-23-163-96W1</v>
          </cell>
          <cell r="O8761">
            <v>820.9</v>
          </cell>
          <cell r="Q8761">
            <v>0.15</v>
          </cell>
          <cell r="T8761">
            <v>79.344999999999999</v>
          </cell>
        </row>
        <row r="8762">
          <cell r="G8762">
            <v>42795</v>
          </cell>
          <cell r="L8762" t="str">
            <v>24-06-158-95W1</v>
          </cell>
          <cell r="O8762">
            <v>810.1</v>
          </cell>
          <cell r="Q8762">
            <v>0.14000000000000001</v>
          </cell>
          <cell r="T8762">
            <v>79.168999999999997</v>
          </cell>
        </row>
        <row r="8763">
          <cell r="G8763">
            <v>42795</v>
          </cell>
          <cell r="L8763" t="str">
            <v>02-09-142-100W1</v>
          </cell>
          <cell r="O8763">
            <v>830.5</v>
          </cell>
          <cell r="Q8763">
            <v>0.38</v>
          </cell>
          <cell r="T8763">
            <v>77.820999999999998</v>
          </cell>
        </row>
        <row r="8764">
          <cell r="G8764">
            <v>42795</v>
          </cell>
          <cell r="L8764" t="str">
            <v>15-04-143-101W1</v>
          </cell>
          <cell r="O8764">
            <v>837.7</v>
          </cell>
          <cell r="Q8764">
            <v>0.52</v>
          </cell>
          <cell r="T8764">
            <v>66.441999999999993</v>
          </cell>
        </row>
        <row r="8765">
          <cell r="G8765">
            <v>42795</v>
          </cell>
          <cell r="L8765" t="str">
            <v>16-04-151-96W1</v>
          </cell>
          <cell r="O8765">
            <v>813.3</v>
          </cell>
          <cell r="Q8765">
            <v>0.28000000000000003</v>
          </cell>
          <cell r="T8765">
            <v>64.653999999999996</v>
          </cell>
        </row>
        <row r="8766">
          <cell r="G8766">
            <v>42795</v>
          </cell>
          <cell r="L8766" t="str">
            <v>25-11-159-102W1</v>
          </cell>
          <cell r="O8766">
            <v>830.4</v>
          </cell>
          <cell r="Q8766">
            <v>0.45</v>
          </cell>
          <cell r="T8766">
            <v>64.563999999999993</v>
          </cell>
        </row>
        <row r="8767">
          <cell r="G8767">
            <v>42795</v>
          </cell>
          <cell r="L8767" t="str">
            <v>01-31-159-95W1</v>
          </cell>
          <cell r="O8767">
            <v>842</v>
          </cell>
          <cell r="Q8767">
            <v>0.73</v>
          </cell>
          <cell r="T8767">
            <v>64.438999999999993</v>
          </cell>
        </row>
        <row r="8768">
          <cell r="G8768">
            <v>42795</v>
          </cell>
          <cell r="L8768" t="str">
            <v>01-30-147-97W1</v>
          </cell>
          <cell r="O8768">
            <v>800</v>
          </cell>
          <cell r="Q8768">
            <v>0.55000000000000004</v>
          </cell>
          <cell r="T8768">
            <v>64.122</v>
          </cell>
        </row>
        <row r="8769">
          <cell r="G8769">
            <v>42795</v>
          </cell>
          <cell r="L8769" t="str">
            <v>01-03-163-99W1</v>
          </cell>
          <cell r="O8769">
            <v>832.2</v>
          </cell>
          <cell r="Q8769">
            <v>0.16</v>
          </cell>
          <cell r="T8769">
            <v>63.563000000000002</v>
          </cell>
        </row>
        <row r="8770">
          <cell r="G8770">
            <v>42795</v>
          </cell>
          <cell r="L8770" t="str">
            <v>01-12-144-98W1</v>
          </cell>
          <cell r="O8770">
            <v>817.7</v>
          </cell>
          <cell r="Q8770">
            <v>0.46</v>
          </cell>
          <cell r="T8770">
            <v>63.435000000000002</v>
          </cell>
        </row>
        <row r="8771">
          <cell r="G8771">
            <v>42795</v>
          </cell>
          <cell r="L8771" t="str">
            <v>01-28-152-101W1</v>
          </cell>
          <cell r="O8771">
            <v>831.3</v>
          </cell>
          <cell r="Q8771">
            <v>0.45</v>
          </cell>
          <cell r="T8771">
            <v>63.082999999999998</v>
          </cell>
        </row>
        <row r="8772">
          <cell r="G8772">
            <v>42795</v>
          </cell>
          <cell r="L8772" t="str">
            <v>01-02-151-102W1</v>
          </cell>
          <cell r="O8772">
            <v>836</v>
          </cell>
          <cell r="Q8772">
            <v>0.33</v>
          </cell>
          <cell r="T8772">
            <v>62.786999999999999</v>
          </cell>
        </row>
        <row r="8773">
          <cell r="G8773">
            <v>42795</v>
          </cell>
          <cell r="L8773" t="str">
            <v>03-10-151-96W1</v>
          </cell>
          <cell r="O8773">
            <v>813.1</v>
          </cell>
          <cell r="Q8773">
            <v>0.24</v>
          </cell>
          <cell r="T8773">
            <v>62.292999999999999</v>
          </cell>
        </row>
        <row r="8774">
          <cell r="G8774">
            <v>42795</v>
          </cell>
          <cell r="L8774" t="str">
            <v>01-23-144-98W1</v>
          </cell>
          <cell r="O8774">
            <v>827.2</v>
          </cell>
          <cell r="Q8774">
            <v>0.37</v>
          </cell>
          <cell r="T8774">
            <v>61.871000000000002</v>
          </cell>
        </row>
        <row r="8775">
          <cell r="G8775">
            <v>42795</v>
          </cell>
          <cell r="L8775" t="str">
            <v>01-07-153-95W1</v>
          </cell>
          <cell r="O8775">
            <v>823.9</v>
          </cell>
          <cell r="Q8775">
            <v>0.24</v>
          </cell>
          <cell r="T8775">
            <v>60.481000000000002</v>
          </cell>
        </row>
        <row r="8776">
          <cell r="G8776">
            <v>42795</v>
          </cell>
          <cell r="L8776" t="str">
            <v>01-03-158-95W1</v>
          </cell>
          <cell r="O8776">
            <v>836.5</v>
          </cell>
          <cell r="Q8776">
            <v>0.77</v>
          </cell>
          <cell r="T8776">
            <v>60.024999999999999</v>
          </cell>
        </row>
        <row r="8777">
          <cell r="G8777">
            <v>42795</v>
          </cell>
          <cell r="L8777" t="str">
            <v>05-01-144-97W1</v>
          </cell>
          <cell r="O8777">
            <v>819.9</v>
          </cell>
          <cell r="Q8777">
            <v>0.48</v>
          </cell>
          <cell r="T8777">
            <v>56.378</v>
          </cell>
        </row>
        <row r="8778">
          <cell r="G8778">
            <v>42795</v>
          </cell>
          <cell r="L8778" t="str">
            <v>44-35-022-58W1</v>
          </cell>
          <cell r="O8778">
            <v>861.3</v>
          </cell>
          <cell r="Q8778">
            <v>1.02</v>
          </cell>
          <cell r="T8778">
            <v>54.37</v>
          </cell>
        </row>
        <row r="8779">
          <cell r="G8779">
            <v>42795</v>
          </cell>
          <cell r="L8779" t="str">
            <v>34-01-157-95W1</v>
          </cell>
          <cell r="O8779">
            <v>817.3</v>
          </cell>
          <cell r="Q8779">
            <v>0.46</v>
          </cell>
          <cell r="T8779">
            <v>52.503999999999998</v>
          </cell>
        </row>
        <row r="8780">
          <cell r="G8780">
            <v>42795</v>
          </cell>
          <cell r="L8780" t="str">
            <v>07-33-161-91W1</v>
          </cell>
          <cell r="O8780">
            <v>846</v>
          </cell>
          <cell r="Q8780">
            <v>0.71</v>
          </cell>
          <cell r="T8780">
            <v>45.671999999999997</v>
          </cell>
        </row>
        <row r="8781">
          <cell r="G8781">
            <v>42795</v>
          </cell>
          <cell r="L8781" t="str">
            <v>01-29-162-92W1</v>
          </cell>
          <cell r="O8781">
            <v>841.7</v>
          </cell>
          <cell r="Q8781">
            <v>0.55000000000000004</v>
          </cell>
          <cell r="T8781">
            <v>34.837000000000003</v>
          </cell>
        </row>
        <row r="8782">
          <cell r="G8782">
            <v>42795</v>
          </cell>
          <cell r="L8782" t="str">
            <v>01-33-164-91W1</v>
          </cell>
          <cell r="O8782">
            <v>834.3</v>
          </cell>
          <cell r="Q8782">
            <v>0.52</v>
          </cell>
          <cell r="T8782">
            <v>34.091999999999999</v>
          </cell>
        </row>
        <row r="8783">
          <cell r="G8783">
            <v>42795</v>
          </cell>
          <cell r="L8783" t="str">
            <v>01-05-144-97W1</v>
          </cell>
          <cell r="O8783">
            <v>820.4</v>
          </cell>
          <cell r="Q8783">
            <v>0.45</v>
          </cell>
          <cell r="T8783">
            <v>33.067</v>
          </cell>
        </row>
        <row r="8784">
          <cell r="G8784">
            <v>42795</v>
          </cell>
          <cell r="L8784" t="str">
            <v>01-06-144-98W1</v>
          </cell>
          <cell r="O8784">
            <v>837.2</v>
          </cell>
          <cell r="Q8784">
            <v>0.49</v>
          </cell>
          <cell r="T8784">
            <v>32.962000000000003</v>
          </cell>
        </row>
        <row r="8785">
          <cell r="G8785">
            <v>42795</v>
          </cell>
          <cell r="L8785" t="str">
            <v>24-01-160-96W1</v>
          </cell>
          <cell r="O8785">
            <v>828.7</v>
          </cell>
          <cell r="Q8785">
            <v>0.49</v>
          </cell>
          <cell r="T8785">
            <v>32.901000000000003</v>
          </cell>
        </row>
        <row r="8786">
          <cell r="G8786">
            <v>42795</v>
          </cell>
          <cell r="L8786" t="str">
            <v>01-15-022-57W1</v>
          </cell>
          <cell r="O8786">
            <v>800.6</v>
          </cell>
          <cell r="Q8786">
            <v>0.37</v>
          </cell>
          <cell r="T8786">
            <v>32.881999999999998</v>
          </cell>
        </row>
        <row r="8787">
          <cell r="G8787">
            <v>42795</v>
          </cell>
          <cell r="L8787" t="str">
            <v>04-03-157-95W1</v>
          </cell>
          <cell r="O8787">
            <v>834.9</v>
          </cell>
          <cell r="Q8787">
            <v>0.62</v>
          </cell>
          <cell r="T8787">
            <v>31.74</v>
          </cell>
        </row>
        <row r="8788">
          <cell r="G8788">
            <v>42795</v>
          </cell>
          <cell r="L8788" t="str">
            <v>01-10-002-03W2</v>
          </cell>
          <cell r="O8788">
            <v>838.5</v>
          </cell>
          <cell r="Q8788">
            <v>0.67</v>
          </cell>
          <cell r="T8788">
            <v>31.242999999999999</v>
          </cell>
        </row>
        <row r="8789">
          <cell r="G8789">
            <v>42795</v>
          </cell>
          <cell r="L8789" t="str">
            <v>11-15-163-89W1</v>
          </cell>
          <cell r="O8789">
            <v>848</v>
          </cell>
          <cell r="Q8789">
            <v>0.6</v>
          </cell>
          <cell r="T8789">
            <v>30.774000000000001</v>
          </cell>
        </row>
        <row r="8790">
          <cell r="G8790">
            <v>42795</v>
          </cell>
          <cell r="L8790" t="str">
            <v>13-26-007-05W2</v>
          </cell>
          <cell r="O8790">
            <v>862.3</v>
          </cell>
          <cell r="Q8790">
            <v>1.5</v>
          </cell>
          <cell r="T8790">
            <v>30.73</v>
          </cell>
        </row>
        <row r="8791">
          <cell r="G8791">
            <v>42795</v>
          </cell>
          <cell r="L8791" t="str">
            <v>01-26-144-98W1</v>
          </cell>
          <cell r="O8791">
            <v>834.3</v>
          </cell>
          <cell r="Q8791">
            <v>0.48</v>
          </cell>
          <cell r="T8791">
            <v>30.72</v>
          </cell>
        </row>
        <row r="8792">
          <cell r="G8792">
            <v>42795</v>
          </cell>
          <cell r="L8792" t="str">
            <v>01-10-152-96W1</v>
          </cell>
          <cell r="O8792">
            <v>809</v>
          </cell>
          <cell r="Q8792">
            <v>0.35</v>
          </cell>
          <cell r="T8792">
            <v>30.709</v>
          </cell>
        </row>
        <row r="8793">
          <cell r="G8793">
            <v>42795</v>
          </cell>
          <cell r="L8793" t="str">
            <v>26-35-163-97W1</v>
          </cell>
          <cell r="O8793">
            <v>830.4</v>
          </cell>
          <cell r="Q8793">
            <v>0.14000000000000001</v>
          </cell>
          <cell r="T8793">
            <v>30.434000000000001</v>
          </cell>
        </row>
        <row r="8794">
          <cell r="G8794">
            <v>42795</v>
          </cell>
          <cell r="L8794" t="str">
            <v>06-06-162-96W1</v>
          </cell>
          <cell r="O8794">
            <v>834.7</v>
          </cell>
          <cell r="Q8794">
            <v>0.15</v>
          </cell>
          <cell r="T8794">
            <v>30.308</v>
          </cell>
        </row>
        <row r="8795">
          <cell r="G8795">
            <v>42795</v>
          </cell>
          <cell r="L8795" t="str">
            <v>03-25-144-98W1</v>
          </cell>
          <cell r="O8795">
            <v>821.9</v>
          </cell>
          <cell r="Q8795">
            <v>0.5</v>
          </cell>
          <cell r="T8795">
            <v>30.216999999999999</v>
          </cell>
        </row>
        <row r="8796">
          <cell r="G8796">
            <v>42795</v>
          </cell>
          <cell r="L8796" t="str">
            <v>05-05-144-97W1</v>
          </cell>
          <cell r="O8796">
            <v>823.3</v>
          </cell>
          <cell r="Q8796">
            <v>0.44</v>
          </cell>
          <cell r="T8796">
            <v>30.157</v>
          </cell>
        </row>
        <row r="8797">
          <cell r="G8797">
            <v>42795</v>
          </cell>
          <cell r="L8797" t="str">
            <v>11-21-163-89W1</v>
          </cell>
          <cell r="O8797">
            <v>839</v>
          </cell>
          <cell r="Q8797">
            <v>0.5</v>
          </cell>
          <cell r="T8797">
            <v>29.765000000000001</v>
          </cell>
        </row>
        <row r="8798">
          <cell r="G8798">
            <v>42795</v>
          </cell>
          <cell r="L8798" t="str">
            <v>20-01-161-90W1</v>
          </cell>
          <cell r="O8798">
            <v>862.5</v>
          </cell>
          <cell r="Q8798">
            <v>1.4</v>
          </cell>
          <cell r="T8798">
            <v>27.51</v>
          </cell>
        </row>
        <row r="8799">
          <cell r="G8799">
            <v>42795</v>
          </cell>
          <cell r="L8799" t="str">
            <v>34-02-157-95W1</v>
          </cell>
          <cell r="O8799">
            <v>824.4</v>
          </cell>
          <cell r="Q8799">
            <v>0.39</v>
          </cell>
          <cell r="T8799">
            <v>27.414999999999999</v>
          </cell>
        </row>
        <row r="8800">
          <cell r="G8800">
            <v>42795</v>
          </cell>
          <cell r="L8800" t="str">
            <v>02-06-144-97W1</v>
          </cell>
          <cell r="O8800">
            <v>835.9</v>
          </cell>
          <cell r="Q8800">
            <v>0.42</v>
          </cell>
          <cell r="T8800">
            <v>27.216000000000001</v>
          </cell>
        </row>
        <row r="8801">
          <cell r="G8801">
            <v>42795</v>
          </cell>
          <cell r="L8801" t="str">
            <v>03-01-158-95W1</v>
          </cell>
          <cell r="O8801">
            <v>827.6</v>
          </cell>
          <cell r="Q8801">
            <v>0.61</v>
          </cell>
          <cell r="T8801">
            <v>26.414000000000001</v>
          </cell>
        </row>
        <row r="8802">
          <cell r="G8802">
            <v>42795</v>
          </cell>
          <cell r="L8802" t="str">
            <v>03-03-157-95W1</v>
          </cell>
          <cell r="O8802">
            <v>825.1</v>
          </cell>
          <cell r="Q8802">
            <v>0.33</v>
          </cell>
          <cell r="T8802">
            <v>25.72</v>
          </cell>
        </row>
        <row r="8803">
          <cell r="G8803">
            <v>42795</v>
          </cell>
          <cell r="L8803" t="str">
            <v>03-16-163-91W1</v>
          </cell>
          <cell r="O8803">
            <v>836.6</v>
          </cell>
          <cell r="Q8803">
            <v>0.47</v>
          </cell>
          <cell r="T8803">
            <v>24.97</v>
          </cell>
        </row>
        <row r="8804">
          <cell r="G8804">
            <v>42795</v>
          </cell>
          <cell r="L8804" t="str">
            <v>13-24-160-96W1</v>
          </cell>
          <cell r="O8804">
            <v>828.9</v>
          </cell>
          <cell r="Q8804">
            <v>0.62</v>
          </cell>
          <cell r="T8804">
            <v>24.347999999999999</v>
          </cell>
        </row>
        <row r="8805">
          <cell r="G8805">
            <v>42795</v>
          </cell>
          <cell r="L8805" t="str">
            <v>01-21-159-94W1</v>
          </cell>
          <cell r="O8805">
            <v>837.1</v>
          </cell>
          <cell r="Q8805">
            <v>0.4</v>
          </cell>
          <cell r="T8805">
            <v>23.774000000000001</v>
          </cell>
        </row>
        <row r="8806">
          <cell r="G8806">
            <v>42795</v>
          </cell>
          <cell r="L8806" t="str">
            <v>02-34-145-97W1</v>
          </cell>
          <cell r="O8806">
            <v>832.9</v>
          </cell>
          <cell r="Q8806">
            <v>0.37</v>
          </cell>
          <cell r="T8806">
            <v>23.678000000000001</v>
          </cell>
        </row>
        <row r="8807">
          <cell r="G8807">
            <v>42795</v>
          </cell>
          <cell r="L8807" t="str">
            <v>02-11-163-97W1</v>
          </cell>
          <cell r="O8807">
            <v>817.1</v>
          </cell>
          <cell r="Q8807">
            <v>0.13</v>
          </cell>
          <cell r="T8807">
            <v>22.277000000000001</v>
          </cell>
        </row>
        <row r="8808">
          <cell r="G8808">
            <v>42795</v>
          </cell>
          <cell r="L8808" t="str">
            <v>07-23-010-06W2</v>
          </cell>
          <cell r="O8808">
            <v>842.1</v>
          </cell>
          <cell r="Q8808">
            <v>1.45</v>
          </cell>
          <cell r="T8808">
            <v>537.30700000000002</v>
          </cell>
        </row>
        <row r="8809">
          <cell r="G8809">
            <v>42795</v>
          </cell>
          <cell r="L8809" t="str">
            <v>01-36-003-03W2</v>
          </cell>
          <cell r="O8809">
            <v>835.2</v>
          </cell>
          <cell r="Q8809">
            <v>0.81</v>
          </cell>
          <cell r="T8809">
            <v>517.83500000000004</v>
          </cell>
        </row>
        <row r="8810">
          <cell r="G8810">
            <v>42795</v>
          </cell>
          <cell r="L8810" t="str">
            <v>12-22-010-05W2</v>
          </cell>
          <cell r="O8810">
            <v>869.1</v>
          </cell>
          <cell r="Q8810">
            <v>1.84</v>
          </cell>
          <cell r="T8810">
            <v>65.135999999999996</v>
          </cell>
        </row>
        <row r="8811">
          <cell r="G8811">
            <v>42795</v>
          </cell>
          <cell r="L8811" t="str">
            <v>13-14-010-05W2</v>
          </cell>
          <cell r="O8811">
            <v>844.9</v>
          </cell>
          <cell r="Q8811">
            <v>1.61</v>
          </cell>
          <cell r="T8811">
            <v>62.8</v>
          </cell>
        </row>
        <row r="8812">
          <cell r="G8812">
            <v>42795</v>
          </cell>
          <cell r="L8812" t="str">
            <v>05-16-006-13W2</v>
          </cell>
          <cell r="O8812">
            <v>866.4</v>
          </cell>
          <cell r="Q8812">
            <v>2.38</v>
          </cell>
          <cell r="T8812">
            <v>118908.394</v>
          </cell>
        </row>
        <row r="8813">
          <cell r="G8813">
            <v>42795</v>
          </cell>
          <cell r="L8813" t="str">
            <v>08-28-005-33W1</v>
          </cell>
          <cell r="O8813">
            <v>833.9</v>
          </cell>
          <cell r="Q8813">
            <v>1.1399999999999999</v>
          </cell>
          <cell r="T8813">
            <v>106074.851</v>
          </cell>
        </row>
        <row r="8814">
          <cell r="G8814">
            <v>42795</v>
          </cell>
          <cell r="L8814" t="str">
            <v>15-26-001-31W1</v>
          </cell>
          <cell r="O8814">
            <v>874.2</v>
          </cell>
          <cell r="Q8814">
            <v>2.09</v>
          </cell>
          <cell r="T8814">
            <v>8136.4570000000003</v>
          </cell>
        </row>
        <row r="8815">
          <cell r="G8815">
            <v>42795</v>
          </cell>
          <cell r="L8815" t="str">
            <v>04-22-002-31W1</v>
          </cell>
          <cell r="O8815">
            <v>859.9</v>
          </cell>
          <cell r="Q8815">
            <v>1.66</v>
          </cell>
          <cell r="T8815">
            <v>6537.1679999999997</v>
          </cell>
        </row>
        <row r="8816">
          <cell r="G8816">
            <v>42795</v>
          </cell>
          <cell r="L8816" t="str">
            <v>14-05-002-31W1</v>
          </cell>
          <cell r="O8816">
            <v>858.3</v>
          </cell>
          <cell r="Q8816">
            <v>1.62</v>
          </cell>
          <cell r="T8816">
            <v>2672.3789999999999</v>
          </cell>
        </row>
        <row r="8817">
          <cell r="G8817">
            <v>42795</v>
          </cell>
          <cell r="L8817" t="str">
            <v>14-13-002-02W2</v>
          </cell>
          <cell r="O8817">
            <v>827</v>
          </cell>
          <cell r="Q8817">
            <v>0.55000000000000004</v>
          </cell>
          <cell r="T8817">
            <v>2031.163</v>
          </cell>
        </row>
        <row r="8818">
          <cell r="G8818">
            <v>42795</v>
          </cell>
          <cell r="L8818" t="str">
            <v>14-03-001-03W2</v>
          </cell>
          <cell r="O8818">
            <v>810.1</v>
          </cell>
          <cell r="Q8818">
            <v>0.12</v>
          </cell>
          <cell r="T8818">
            <v>1745.328</v>
          </cell>
        </row>
        <row r="8819">
          <cell r="G8819">
            <v>42795</v>
          </cell>
          <cell r="L8819" t="str">
            <v>01-35-006-30W1</v>
          </cell>
          <cell r="O8819">
            <v>820.3</v>
          </cell>
          <cell r="Q8819">
            <v>0.3</v>
          </cell>
          <cell r="T8819">
            <v>1241.404</v>
          </cell>
        </row>
        <row r="8820">
          <cell r="G8820">
            <v>42795</v>
          </cell>
          <cell r="L8820" t="str">
            <v>01-35-007-01W2</v>
          </cell>
          <cell r="O8820">
            <v>844.6</v>
          </cell>
          <cell r="Q8820">
            <v>1.1399999999999999</v>
          </cell>
          <cell r="T8820">
            <v>1003.568</v>
          </cell>
        </row>
        <row r="8821">
          <cell r="G8821">
            <v>42795</v>
          </cell>
          <cell r="L8821" t="str">
            <v>16-03-008-33W1</v>
          </cell>
          <cell r="O8821">
            <v>845.6</v>
          </cell>
          <cell r="Q8821">
            <v>1.22</v>
          </cell>
          <cell r="T8821">
            <v>957.97900000000004</v>
          </cell>
        </row>
        <row r="8822">
          <cell r="G8822">
            <v>42795</v>
          </cell>
          <cell r="L8822" t="str">
            <v>08-16-007-29W1</v>
          </cell>
          <cell r="O8822">
            <v>825.2</v>
          </cell>
          <cell r="Q8822">
            <v>0.26</v>
          </cell>
          <cell r="T8822">
            <v>869.53099999999995</v>
          </cell>
        </row>
        <row r="8823">
          <cell r="G8823">
            <v>42795</v>
          </cell>
          <cell r="L8823" t="str">
            <v>14-19-006-33W1</v>
          </cell>
          <cell r="O8823">
            <v>840</v>
          </cell>
          <cell r="Q8823">
            <v>1.18</v>
          </cell>
          <cell r="T8823">
            <v>853.80100000000004</v>
          </cell>
        </row>
        <row r="8824">
          <cell r="G8824">
            <v>42795</v>
          </cell>
          <cell r="L8824" t="str">
            <v>01-11-005-07W2</v>
          </cell>
          <cell r="O8824">
            <v>880.2</v>
          </cell>
          <cell r="Q8824">
            <v>1.65</v>
          </cell>
          <cell r="T8824">
            <v>785.94899999999996</v>
          </cell>
        </row>
        <row r="8825">
          <cell r="G8825">
            <v>42795</v>
          </cell>
          <cell r="L8825" t="str">
            <v>16-04-006-32W1</v>
          </cell>
          <cell r="O8825">
            <v>845.1</v>
          </cell>
          <cell r="Q8825">
            <v>1.1200000000000001</v>
          </cell>
          <cell r="T8825">
            <v>641.65200000000004</v>
          </cell>
        </row>
        <row r="8826">
          <cell r="G8826">
            <v>42795</v>
          </cell>
          <cell r="L8826" t="str">
            <v>13-17-005-33W1</v>
          </cell>
          <cell r="O8826">
            <v>831.2</v>
          </cell>
          <cell r="Q8826">
            <v>0.64</v>
          </cell>
          <cell r="T8826">
            <v>637.54600000000005</v>
          </cell>
        </row>
        <row r="8827">
          <cell r="G8827">
            <v>42795</v>
          </cell>
          <cell r="L8827" t="str">
            <v>13-07-005-06W2</v>
          </cell>
          <cell r="O8827">
            <v>880.8</v>
          </cell>
          <cell r="Q8827">
            <v>1.05</v>
          </cell>
          <cell r="T8827">
            <v>604.745</v>
          </cell>
        </row>
        <row r="8828">
          <cell r="G8828">
            <v>42795</v>
          </cell>
          <cell r="L8828" t="str">
            <v>05-20-001-02W2</v>
          </cell>
          <cell r="O8828">
            <v>825.2</v>
          </cell>
          <cell r="Q8828">
            <v>0.53</v>
          </cell>
          <cell r="T8828">
            <v>495.03899999999999</v>
          </cell>
        </row>
        <row r="8829">
          <cell r="G8829">
            <v>42795</v>
          </cell>
          <cell r="L8829" t="str">
            <v>08-23-007-30W1</v>
          </cell>
          <cell r="O8829">
            <v>820.5</v>
          </cell>
          <cell r="Q8829">
            <v>0.25</v>
          </cell>
          <cell r="T8829">
            <v>485.20299999999997</v>
          </cell>
        </row>
        <row r="8830">
          <cell r="G8830">
            <v>42795</v>
          </cell>
          <cell r="L8830" t="str">
            <v>01-03-003-33W1</v>
          </cell>
          <cell r="O8830">
            <v>851.4</v>
          </cell>
          <cell r="Q8830">
            <v>1.62</v>
          </cell>
          <cell r="T8830">
            <v>483.08100000000002</v>
          </cell>
        </row>
        <row r="8831">
          <cell r="G8831">
            <v>42795</v>
          </cell>
          <cell r="L8831" t="str">
            <v>16-31-001-32W1</v>
          </cell>
          <cell r="O8831">
            <v>845.6</v>
          </cell>
          <cell r="Q8831">
            <v>1.17</v>
          </cell>
          <cell r="T8831">
            <v>375.36799999999999</v>
          </cell>
        </row>
        <row r="8832">
          <cell r="G8832">
            <v>42795</v>
          </cell>
          <cell r="L8832" t="str">
            <v>04-11-004-32W1</v>
          </cell>
          <cell r="O8832">
            <v>855.1</v>
          </cell>
          <cell r="Q8832">
            <v>1.41</v>
          </cell>
          <cell r="T8832">
            <v>254.477</v>
          </cell>
        </row>
        <row r="8833">
          <cell r="G8833">
            <v>42795</v>
          </cell>
          <cell r="L8833" t="str">
            <v>14-23-005-02W2</v>
          </cell>
          <cell r="O8833">
            <v>852.3</v>
          </cell>
          <cell r="Q8833">
            <v>1.33</v>
          </cell>
          <cell r="T8833">
            <v>248.56</v>
          </cell>
        </row>
        <row r="8834">
          <cell r="G8834">
            <v>42795</v>
          </cell>
          <cell r="L8834" t="str">
            <v>16-12-004-31W1</v>
          </cell>
          <cell r="O8834">
            <v>856</v>
          </cell>
          <cell r="Q8834">
            <v>1.4</v>
          </cell>
          <cell r="T8834">
            <v>225.64699999999999</v>
          </cell>
        </row>
        <row r="8835">
          <cell r="G8835">
            <v>42795</v>
          </cell>
          <cell r="L8835" t="str">
            <v>08-14-014-30W1</v>
          </cell>
          <cell r="O8835">
            <v>896.9</v>
          </cell>
          <cell r="Q8835">
            <v>2.2400000000000002</v>
          </cell>
          <cell r="T8835">
            <v>203.624</v>
          </cell>
        </row>
        <row r="8836">
          <cell r="G8836">
            <v>42795</v>
          </cell>
          <cell r="L8836" t="str">
            <v>10-17-007-33W1</v>
          </cell>
          <cell r="O8836">
            <v>841.9</v>
          </cell>
          <cell r="Q8836">
            <v>1.17</v>
          </cell>
          <cell r="T8836">
            <v>119.82</v>
          </cell>
        </row>
        <row r="8837">
          <cell r="G8837">
            <v>42795</v>
          </cell>
          <cell r="L8837" t="str">
            <v>16-16-006-02W2</v>
          </cell>
          <cell r="O8837">
            <v>849.4</v>
          </cell>
          <cell r="Q8837">
            <v>1.21</v>
          </cell>
          <cell r="T8837">
            <v>114.158</v>
          </cell>
        </row>
        <row r="8838">
          <cell r="G8838">
            <v>42795</v>
          </cell>
          <cell r="L8838" t="str">
            <v>13-13-002-33W1</v>
          </cell>
          <cell r="O8838">
            <v>828.2</v>
          </cell>
          <cell r="Q8838">
            <v>0.72</v>
          </cell>
          <cell r="T8838">
            <v>107.20099999999999</v>
          </cell>
        </row>
        <row r="8839">
          <cell r="G8839">
            <v>42795</v>
          </cell>
          <cell r="L8839" t="str">
            <v>09-24-001-01W2</v>
          </cell>
          <cell r="O8839">
            <v>830.4</v>
          </cell>
          <cell r="Q8839">
            <v>0.67</v>
          </cell>
          <cell r="T8839">
            <v>104.7</v>
          </cell>
        </row>
        <row r="8840">
          <cell r="G8840">
            <v>42795</v>
          </cell>
          <cell r="L8840" t="str">
            <v>16-15-008-03W2</v>
          </cell>
          <cell r="O8840">
            <v>858.1</v>
          </cell>
          <cell r="Q8840">
            <v>1.54</v>
          </cell>
          <cell r="T8840">
            <v>92.346999999999994</v>
          </cell>
        </row>
        <row r="8841">
          <cell r="G8841">
            <v>42795</v>
          </cell>
          <cell r="L8841" t="str">
            <v>02-25-002-03W2</v>
          </cell>
          <cell r="O8841">
            <v>830.1</v>
          </cell>
          <cell r="Q8841">
            <v>0.5</v>
          </cell>
          <cell r="T8841">
            <v>90.876000000000005</v>
          </cell>
        </row>
        <row r="8842">
          <cell r="G8842">
            <v>42795</v>
          </cell>
          <cell r="L8842" t="str">
            <v>14-24-001-02W2</v>
          </cell>
          <cell r="O8842">
            <v>847.2</v>
          </cell>
          <cell r="Q8842">
            <v>0.78</v>
          </cell>
          <cell r="T8842">
            <v>85.977999999999994</v>
          </cell>
        </row>
        <row r="8843">
          <cell r="G8843">
            <v>42795</v>
          </cell>
          <cell r="L8843" t="str">
            <v>08-36-007-34W1</v>
          </cell>
          <cell r="O8843">
            <v>849.5</v>
          </cell>
          <cell r="Q8843">
            <v>1.37</v>
          </cell>
          <cell r="T8843">
            <v>84.61</v>
          </cell>
        </row>
        <row r="8844">
          <cell r="G8844">
            <v>42795</v>
          </cell>
          <cell r="L8844" t="str">
            <v>15-14-014-30W1</v>
          </cell>
          <cell r="O8844">
            <v>897.5</v>
          </cell>
          <cell r="Q8844">
            <v>2.31</v>
          </cell>
          <cell r="T8844">
            <v>81.858999999999995</v>
          </cell>
        </row>
        <row r="8845">
          <cell r="G8845">
            <v>42795</v>
          </cell>
          <cell r="L8845" t="str">
            <v>01-06-002-32W1</v>
          </cell>
          <cell r="O8845">
            <v>832.4</v>
          </cell>
          <cell r="Q8845">
            <v>0.81</v>
          </cell>
          <cell r="T8845">
            <v>80.751999999999995</v>
          </cell>
        </row>
        <row r="8846">
          <cell r="G8846">
            <v>42795</v>
          </cell>
          <cell r="L8846" t="str">
            <v>13-15-006-33W1</v>
          </cell>
          <cell r="O8846">
            <v>853.9</v>
          </cell>
          <cell r="Q8846">
            <v>1.47</v>
          </cell>
          <cell r="T8846">
            <v>45.34</v>
          </cell>
        </row>
        <row r="8847">
          <cell r="G8847">
            <v>42795</v>
          </cell>
          <cell r="L8847" t="str">
            <v>05-13-014-30W1</v>
          </cell>
          <cell r="O8847">
            <v>903.4</v>
          </cell>
          <cell r="Q8847">
            <v>2.2400000000000002</v>
          </cell>
          <cell r="T8847">
            <v>40.322000000000003</v>
          </cell>
        </row>
        <row r="8848">
          <cell r="G8848">
            <v>42795</v>
          </cell>
          <cell r="L8848" t="str">
            <v>16-03-001-03W2</v>
          </cell>
          <cell r="O8848">
            <v>822.9</v>
          </cell>
          <cell r="Q8848">
            <v>0.62</v>
          </cell>
          <cell r="T8848">
            <v>38.341000000000001</v>
          </cell>
        </row>
        <row r="8849">
          <cell r="G8849">
            <v>42795</v>
          </cell>
          <cell r="L8849" t="str">
            <v>10-29-005-33W1</v>
          </cell>
          <cell r="O8849">
            <v>832</v>
          </cell>
          <cell r="Q8849">
            <v>0.87</v>
          </cell>
          <cell r="T8849">
            <v>33.140999999999998</v>
          </cell>
        </row>
        <row r="8850">
          <cell r="G8850">
            <v>42795</v>
          </cell>
          <cell r="L8850" t="str">
            <v>12-20-008-02W2</v>
          </cell>
          <cell r="O8850">
            <v>863.9</v>
          </cell>
          <cell r="Q8850">
            <v>1.77</v>
          </cell>
          <cell r="T8850">
            <v>29.373999999999999</v>
          </cell>
        </row>
        <row r="8851">
          <cell r="G8851">
            <v>42795</v>
          </cell>
          <cell r="L8851" t="str">
            <v>09-01-002-34W1</v>
          </cell>
          <cell r="O8851">
            <v>825.9</v>
          </cell>
          <cell r="Q8851">
            <v>0.55000000000000004</v>
          </cell>
          <cell r="T8851">
            <v>28.629000000000001</v>
          </cell>
        </row>
        <row r="8852">
          <cell r="G8852">
            <v>42795</v>
          </cell>
          <cell r="L8852" t="str">
            <v>16-07-006-02W2</v>
          </cell>
          <cell r="O8852">
            <v>859.7</v>
          </cell>
          <cell r="Q8852">
            <v>1.22</v>
          </cell>
          <cell r="T8852">
            <v>26.591000000000001</v>
          </cell>
        </row>
        <row r="8853">
          <cell r="G8853">
            <v>42795</v>
          </cell>
          <cell r="L8853" t="str">
            <v>11-36-004-03W2</v>
          </cell>
          <cell r="O8853">
            <v>838.8</v>
          </cell>
          <cell r="Q8853">
            <v>0.8</v>
          </cell>
          <cell r="T8853">
            <v>26.033000000000001</v>
          </cell>
        </row>
        <row r="8854">
          <cell r="G8854">
            <v>42795</v>
          </cell>
          <cell r="L8854" t="str">
            <v>05-29-005-32W1</v>
          </cell>
          <cell r="O8854">
            <v>833.8</v>
          </cell>
          <cell r="Q8854">
            <v>0.95</v>
          </cell>
          <cell r="T8854">
            <v>2085.547</v>
          </cell>
        </row>
        <row r="8855">
          <cell r="G8855">
            <v>42795</v>
          </cell>
          <cell r="L8855" t="str">
            <v>15-09-007-03W2</v>
          </cell>
          <cell r="O8855">
            <v>848.8</v>
          </cell>
          <cell r="Q8855">
            <v>1.39</v>
          </cell>
          <cell r="T8855">
            <v>1128.884</v>
          </cell>
        </row>
        <row r="8856">
          <cell r="G8856">
            <v>42795</v>
          </cell>
          <cell r="L8856" t="str">
            <v>07-31-005-33W1</v>
          </cell>
          <cell r="O8856">
            <v>827.3</v>
          </cell>
          <cell r="Q8856">
            <v>0.66</v>
          </cell>
          <cell r="T8856">
            <v>758.27099999999996</v>
          </cell>
        </row>
        <row r="8857">
          <cell r="G8857">
            <v>42795</v>
          </cell>
          <cell r="L8857" t="str">
            <v>04-36-004-02W2</v>
          </cell>
          <cell r="O8857">
            <v>857.2</v>
          </cell>
          <cell r="Q8857">
            <v>1.58</v>
          </cell>
          <cell r="T8857">
            <v>345.96</v>
          </cell>
        </row>
        <row r="8858">
          <cell r="G8858">
            <v>42795</v>
          </cell>
          <cell r="L8858" t="str">
            <v>14-04-006-33W1</v>
          </cell>
          <cell r="O8858">
            <v>833.5</v>
          </cell>
          <cell r="Q8858">
            <v>0.85</v>
          </cell>
          <cell r="T8858">
            <v>35.893999999999998</v>
          </cell>
        </row>
        <row r="8859">
          <cell r="G8859">
            <v>42795</v>
          </cell>
          <cell r="L8859" t="str">
            <v>ALStream</v>
          </cell>
          <cell r="O8859">
            <v>842.5</v>
          </cell>
          <cell r="Q8859">
            <v>1.17</v>
          </cell>
          <cell r="T8859">
            <v>-86681.103000000003</v>
          </cell>
        </row>
        <row r="8860">
          <cell r="G8860">
            <v>42795</v>
          </cell>
          <cell r="L8860" t="str">
            <v>MWStream</v>
          </cell>
          <cell r="O8860">
            <v>834.4</v>
          </cell>
          <cell r="Q8860">
            <v>1.1100000000000001</v>
          </cell>
          <cell r="T8860">
            <v>-6933.0749999999998</v>
          </cell>
        </row>
        <row r="8861">
          <cell r="G8861">
            <v>42795</v>
          </cell>
          <cell r="L8861"/>
          <cell r="O8861"/>
          <cell r="Q8861"/>
          <cell r="T8861">
            <v>0</v>
          </cell>
        </row>
        <row r="8862">
          <cell r="G8862">
            <v>42795</v>
          </cell>
          <cell r="L8862"/>
          <cell r="O8862"/>
          <cell r="Q8862"/>
          <cell r="T8862">
            <v>0</v>
          </cell>
        </row>
        <row r="8863">
          <cell r="G8863">
            <v>42826</v>
          </cell>
          <cell r="L8863" t="str">
            <v>08-28-005-33W1</v>
          </cell>
          <cell r="O8863">
            <v>830.1</v>
          </cell>
          <cell r="Q8863">
            <v>1.1299999999999999</v>
          </cell>
          <cell r="T8863">
            <v>111869.038</v>
          </cell>
        </row>
        <row r="8864">
          <cell r="G8864">
            <v>42826</v>
          </cell>
          <cell r="L8864" t="str">
            <v>16-08-004-05W2</v>
          </cell>
          <cell r="O8864">
            <v>670.4</v>
          </cell>
          <cell r="Q8864">
            <v>0</v>
          </cell>
          <cell r="T8864">
            <v>4068.1770000000001</v>
          </cell>
        </row>
        <row r="8865">
          <cell r="G8865">
            <v>42826</v>
          </cell>
          <cell r="L8865" t="str">
            <v>04-15-008-33W1</v>
          </cell>
          <cell r="O8865">
            <v>847.1</v>
          </cell>
          <cell r="Q8865">
            <v>1.33</v>
          </cell>
          <cell r="T8865">
            <v>92.444000000000003</v>
          </cell>
        </row>
        <row r="8866">
          <cell r="G8866">
            <v>42826</v>
          </cell>
          <cell r="L8866" t="str">
            <v>10-09-004-33W1</v>
          </cell>
          <cell r="O8866">
            <v>838</v>
          </cell>
          <cell r="Q8866">
            <v>0.66</v>
          </cell>
          <cell r="T8866">
            <v>92.525999999999996</v>
          </cell>
        </row>
        <row r="8867">
          <cell r="G8867">
            <v>42826</v>
          </cell>
          <cell r="L8867" t="str">
            <v>13-17-001-31W1</v>
          </cell>
          <cell r="O8867">
            <v>852</v>
          </cell>
          <cell r="Q8867">
            <v>1.35</v>
          </cell>
          <cell r="T8867">
            <v>102.46899999999999</v>
          </cell>
        </row>
        <row r="8868">
          <cell r="G8868">
            <v>42826</v>
          </cell>
          <cell r="L8868" t="str">
            <v>16-24-004-01W2</v>
          </cell>
          <cell r="O8868">
            <v>828.7</v>
          </cell>
          <cell r="Q8868">
            <v>0.62</v>
          </cell>
          <cell r="T8868">
            <v>112.955</v>
          </cell>
        </row>
        <row r="8869">
          <cell r="G8869">
            <v>42826</v>
          </cell>
          <cell r="L8869" t="str">
            <v>03-13-006-33W1</v>
          </cell>
          <cell r="O8869">
            <v>834.2</v>
          </cell>
          <cell r="Q8869">
            <v>0.84</v>
          </cell>
          <cell r="T8869">
            <v>118.009</v>
          </cell>
        </row>
        <row r="8870">
          <cell r="G8870">
            <v>42826</v>
          </cell>
          <cell r="L8870" t="str">
            <v>09-23-002-01W2</v>
          </cell>
          <cell r="O8870">
            <v>850.2</v>
          </cell>
          <cell r="Q8870">
            <v>1.02</v>
          </cell>
          <cell r="T8870">
            <v>123.813</v>
          </cell>
        </row>
        <row r="8871">
          <cell r="G8871">
            <v>42826</v>
          </cell>
          <cell r="L8871" t="str">
            <v>07-24-001-32W1</v>
          </cell>
          <cell r="O8871">
            <v>852</v>
          </cell>
          <cell r="Q8871">
            <v>1.42</v>
          </cell>
          <cell r="T8871">
            <v>130.684</v>
          </cell>
        </row>
        <row r="8872">
          <cell r="G8872">
            <v>42826</v>
          </cell>
          <cell r="L8872" t="str">
            <v>12-12-005-34W1</v>
          </cell>
          <cell r="O8872">
            <v>819.9</v>
          </cell>
          <cell r="Q8872">
            <v>0.62</v>
          </cell>
          <cell r="T8872">
            <v>158.81800000000001</v>
          </cell>
        </row>
        <row r="8873">
          <cell r="G8873">
            <v>42826</v>
          </cell>
          <cell r="L8873" t="str">
            <v>13-25-001-01W2</v>
          </cell>
          <cell r="O8873">
            <v>841.7</v>
          </cell>
          <cell r="Q8873">
            <v>0.95</v>
          </cell>
          <cell r="T8873">
            <v>169.596</v>
          </cell>
        </row>
        <row r="8874">
          <cell r="G8874">
            <v>42826</v>
          </cell>
          <cell r="L8874" t="str">
            <v>07-36-001-34W1</v>
          </cell>
          <cell r="O8874">
            <v>853.6</v>
          </cell>
          <cell r="Q8874">
            <v>1.0900000000000001</v>
          </cell>
          <cell r="T8874">
            <v>203.21299999999999</v>
          </cell>
        </row>
        <row r="8875">
          <cell r="G8875">
            <v>42826</v>
          </cell>
          <cell r="L8875" t="str">
            <v>11-23-002-34W1</v>
          </cell>
          <cell r="O8875">
            <v>835.3</v>
          </cell>
          <cell r="Q8875">
            <v>0.89</v>
          </cell>
          <cell r="T8875">
            <v>210.79599999999999</v>
          </cell>
        </row>
        <row r="8876">
          <cell r="G8876">
            <v>42826</v>
          </cell>
          <cell r="L8876" t="str">
            <v>15-21-008-03W2</v>
          </cell>
          <cell r="O8876">
            <v>850</v>
          </cell>
          <cell r="Q8876">
            <v>1.52</v>
          </cell>
          <cell r="T8876">
            <v>212.93600000000001</v>
          </cell>
        </row>
        <row r="8877">
          <cell r="G8877">
            <v>42826</v>
          </cell>
          <cell r="L8877" t="str">
            <v>08-12-006-01W2</v>
          </cell>
          <cell r="O8877">
            <v>846.2</v>
          </cell>
          <cell r="Q8877">
            <v>1.33</v>
          </cell>
          <cell r="T8877">
            <v>250.96199999999999</v>
          </cell>
        </row>
        <row r="8878">
          <cell r="G8878">
            <v>42826</v>
          </cell>
          <cell r="L8878" t="str">
            <v>08-31-009-01W2</v>
          </cell>
          <cell r="O8878">
            <v>857.4</v>
          </cell>
          <cell r="Q8878">
            <v>1.81</v>
          </cell>
          <cell r="T8878">
            <v>254.78299999999999</v>
          </cell>
        </row>
        <row r="8879">
          <cell r="G8879">
            <v>42826</v>
          </cell>
          <cell r="L8879" t="str">
            <v>14-35-006-05W2</v>
          </cell>
          <cell r="O8879">
            <v>853</v>
          </cell>
          <cell r="Q8879">
            <v>1.59</v>
          </cell>
          <cell r="T8879">
            <v>269.89</v>
          </cell>
        </row>
        <row r="8880">
          <cell r="G8880">
            <v>42826</v>
          </cell>
          <cell r="L8880" t="str">
            <v>01-07-006-10W2</v>
          </cell>
          <cell r="O8880">
            <v>846.2</v>
          </cell>
          <cell r="Q8880">
            <v>1.2</v>
          </cell>
          <cell r="T8880">
            <v>6264.8940000000002</v>
          </cell>
        </row>
        <row r="8881">
          <cell r="G8881">
            <v>42826</v>
          </cell>
          <cell r="L8881" t="str">
            <v>15-26-007-04W2</v>
          </cell>
          <cell r="O8881">
            <v>850.8</v>
          </cell>
          <cell r="Q8881">
            <v>1.43</v>
          </cell>
          <cell r="T8881">
            <v>277.75200000000001</v>
          </cell>
        </row>
        <row r="8882">
          <cell r="G8882">
            <v>42826</v>
          </cell>
          <cell r="L8882" t="str">
            <v>10-26-010-03W2</v>
          </cell>
          <cell r="O8882">
            <v>850.8</v>
          </cell>
          <cell r="Q8882">
            <v>1.65</v>
          </cell>
          <cell r="T8882">
            <v>290.73</v>
          </cell>
        </row>
        <row r="8883">
          <cell r="G8883">
            <v>42826</v>
          </cell>
          <cell r="L8883" t="str">
            <v>03-23-001-32W1</v>
          </cell>
          <cell r="O8883">
            <v>854.8</v>
          </cell>
          <cell r="Q8883">
            <v>1.52</v>
          </cell>
          <cell r="T8883">
            <v>296.42399999999998</v>
          </cell>
        </row>
        <row r="8884">
          <cell r="G8884">
            <v>42826</v>
          </cell>
          <cell r="L8884" t="str">
            <v>08-31-005-03W2</v>
          </cell>
          <cell r="O8884">
            <v>840.4</v>
          </cell>
          <cell r="Q8884">
            <v>1.06</v>
          </cell>
          <cell r="T8884">
            <v>301.988</v>
          </cell>
        </row>
        <row r="8885">
          <cell r="G8885">
            <v>42826</v>
          </cell>
          <cell r="L8885" t="str">
            <v>05-31-002-01W2</v>
          </cell>
          <cell r="O8885">
            <v>822.8</v>
          </cell>
          <cell r="Q8885">
            <v>0.51</v>
          </cell>
          <cell r="T8885">
            <v>6210.3829999999998</v>
          </cell>
        </row>
        <row r="8886">
          <cell r="G8886">
            <v>42826</v>
          </cell>
          <cell r="L8886" t="str">
            <v>04-27-003-33W1</v>
          </cell>
          <cell r="O8886">
            <v>840</v>
          </cell>
          <cell r="Q8886">
            <v>1.19</v>
          </cell>
          <cell r="T8886">
            <v>2341.2629999999999</v>
          </cell>
        </row>
        <row r="8887">
          <cell r="G8887">
            <v>42826</v>
          </cell>
          <cell r="L8887" t="str">
            <v>04-22-009-33W1</v>
          </cell>
          <cell r="O8887">
            <v>855.8</v>
          </cell>
          <cell r="Q8887">
            <v>1.47</v>
          </cell>
          <cell r="T8887">
            <v>2294.174</v>
          </cell>
        </row>
        <row r="8888">
          <cell r="G8888">
            <v>42826</v>
          </cell>
          <cell r="L8888" t="str">
            <v>05-03-009-33W1</v>
          </cell>
          <cell r="O8888">
            <v>848</v>
          </cell>
          <cell r="Q8888">
            <v>1.37</v>
          </cell>
          <cell r="T8888">
            <v>2069.241</v>
          </cell>
        </row>
        <row r="8889">
          <cell r="G8889">
            <v>42826</v>
          </cell>
          <cell r="L8889" t="str">
            <v>14-30-009-33W1</v>
          </cell>
          <cell r="O8889">
            <v>856</v>
          </cell>
          <cell r="Q8889">
            <v>1.78</v>
          </cell>
          <cell r="T8889">
            <v>1180.9770000000001</v>
          </cell>
        </row>
        <row r="8890">
          <cell r="G8890">
            <v>42826</v>
          </cell>
          <cell r="L8890" t="str">
            <v>09-19-009-33W1</v>
          </cell>
          <cell r="O8890">
            <v>854.2</v>
          </cell>
          <cell r="Q8890">
            <v>1.7</v>
          </cell>
          <cell r="T8890">
            <v>1139.94</v>
          </cell>
        </row>
        <row r="8891">
          <cell r="G8891">
            <v>42826</v>
          </cell>
          <cell r="L8891" t="str">
            <v>05-12-002-32W1</v>
          </cell>
          <cell r="O8891">
            <v>861</v>
          </cell>
          <cell r="Q8891">
            <v>1.68</v>
          </cell>
          <cell r="T8891">
            <v>912.96799999999996</v>
          </cell>
        </row>
        <row r="8892">
          <cell r="G8892">
            <v>42826</v>
          </cell>
          <cell r="L8892" t="str">
            <v>14-09-002-29W1</v>
          </cell>
          <cell r="O8892">
            <v>837.3</v>
          </cell>
          <cell r="Q8892">
            <v>0.76</v>
          </cell>
          <cell r="T8892">
            <v>12560.075999999999</v>
          </cell>
        </row>
        <row r="8893">
          <cell r="G8893">
            <v>42826</v>
          </cell>
          <cell r="L8893" t="str">
            <v>11-27-005-33W1</v>
          </cell>
          <cell r="O8893">
            <v>824.7</v>
          </cell>
          <cell r="Q8893">
            <v>0.76</v>
          </cell>
          <cell r="T8893">
            <v>5375.7169999999996</v>
          </cell>
        </row>
        <row r="8894">
          <cell r="G8894">
            <v>42826</v>
          </cell>
          <cell r="L8894" t="str">
            <v>13-13-007-02W2</v>
          </cell>
          <cell r="O8894">
            <v>846.2</v>
          </cell>
          <cell r="Q8894">
            <v>1.25</v>
          </cell>
          <cell r="T8894">
            <v>4080.2460000000001</v>
          </cell>
        </row>
        <row r="8895">
          <cell r="G8895">
            <v>42826</v>
          </cell>
          <cell r="L8895" t="str">
            <v>08-36-003-34W1</v>
          </cell>
          <cell r="O8895">
            <v>847.3</v>
          </cell>
          <cell r="Q8895">
            <v>1.2</v>
          </cell>
          <cell r="T8895">
            <v>3547.7240000000002</v>
          </cell>
        </row>
        <row r="8896">
          <cell r="G8896">
            <v>42826</v>
          </cell>
          <cell r="L8896" t="str">
            <v>05-14-003-01W2</v>
          </cell>
          <cell r="O8896">
            <v>831.2</v>
          </cell>
          <cell r="Q8896">
            <v>0.95</v>
          </cell>
          <cell r="T8896">
            <v>3029.3780000000002</v>
          </cell>
        </row>
        <row r="8897">
          <cell r="G8897">
            <v>42826</v>
          </cell>
          <cell r="L8897" t="str">
            <v>05-29-005-32W1</v>
          </cell>
          <cell r="O8897">
            <v>832.9</v>
          </cell>
          <cell r="Q8897">
            <v>0.96</v>
          </cell>
          <cell r="T8897">
            <v>2823.221</v>
          </cell>
        </row>
        <row r="8898">
          <cell r="G8898">
            <v>42826</v>
          </cell>
          <cell r="L8898" t="str">
            <v>04-05-007-33W1</v>
          </cell>
          <cell r="O8898">
            <v>840.8</v>
          </cell>
          <cell r="Q8898">
            <v>1.24</v>
          </cell>
          <cell r="T8898">
            <v>2213.453</v>
          </cell>
        </row>
        <row r="8899">
          <cell r="G8899">
            <v>42826</v>
          </cell>
          <cell r="L8899" t="str">
            <v>06-01-007-01W2</v>
          </cell>
          <cell r="O8899">
            <v>844.4</v>
          </cell>
          <cell r="Q8899">
            <v>1.1599999999999999</v>
          </cell>
          <cell r="T8899">
            <v>2155.1930000000002</v>
          </cell>
        </row>
        <row r="8900">
          <cell r="G8900">
            <v>42826</v>
          </cell>
          <cell r="L8900" t="str">
            <v>05-13-003-02W2</v>
          </cell>
          <cell r="O8900">
            <v>827.5</v>
          </cell>
          <cell r="Q8900">
            <v>0.66</v>
          </cell>
          <cell r="T8900">
            <v>1994.7460000000001</v>
          </cell>
        </row>
        <row r="8901">
          <cell r="G8901">
            <v>42826</v>
          </cell>
          <cell r="L8901" t="str">
            <v>09-33-006-05W2</v>
          </cell>
          <cell r="O8901">
            <v>858.3</v>
          </cell>
          <cell r="Q8901">
            <v>1.75</v>
          </cell>
          <cell r="T8901">
            <v>1854.088</v>
          </cell>
        </row>
        <row r="8902">
          <cell r="G8902">
            <v>42826</v>
          </cell>
          <cell r="L8902" t="str">
            <v>16-13-004-32W1</v>
          </cell>
          <cell r="O8902">
            <v>855.8</v>
          </cell>
          <cell r="Q8902">
            <v>1.62</v>
          </cell>
          <cell r="T8902">
            <v>1789.8340000000001</v>
          </cell>
        </row>
        <row r="8903">
          <cell r="G8903">
            <v>42826</v>
          </cell>
          <cell r="L8903" t="str">
            <v>16-10-006-30W1</v>
          </cell>
          <cell r="O8903">
            <v>850.3</v>
          </cell>
          <cell r="Q8903">
            <v>1.47</v>
          </cell>
          <cell r="T8903">
            <v>1603.8209999999999</v>
          </cell>
        </row>
        <row r="8904">
          <cell r="G8904">
            <v>42826</v>
          </cell>
          <cell r="L8904" t="str">
            <v>14-28-002-34W1</v>
          </cell>
          <cell r="O8904">
            <v>830.3</v>
          </cell>
          <cell r="Q8904">
            <v>0.68</v>
          </cell>
          <cell r="T8904">
            <v>1594.5640000000001</v>
          </cell>
        </row>
        <row r="8905">
          <cell r="G8905">
            <v>42826</v>
          </cell>
          <cell r="L8905" t="str">
            <v>02-14-005-32W1</v>
          </cell>
          <cell r="O8905">
            <v>833.8</v>
          </cell>
          <cell r="Q8905">
            <v>1.02</v>
          </cell>
          <cell r="T8905">
            <v>1569.806</v>
          </cell>
        </row>
        <row r="8906">
          <cell r="G8906">
            <v>42826</v>
          </cell>
          <cell r="L8906" t="str">
            <v>08-33-005-03W2</v>
          </cell>
          <cell r="O8906">
            <v>844.5</v>
          </cell>
          <cell r="Q8906">
            <v>1.1499999999999999</v>
          </cell>
          <cell r="T8906">
            <v>1296.194</v>
          </cell>
        </row>
        <row r="8907">
          <cell r="G8907">
            <v>42826</v>
          </cell>
          <cell r="L8907" t="str">
            <v>02-20-006-32W1</v>
          </cell>
          <cell r="O8907">
            <v>830.5</v>
          </cell>
          <cell r="Q8907">
            <v>0.9</v>
          </cell>
          <cell r="T8907">
            <v>1223.846</v>
          </cell>
        </row>
        <row r="8908">
          <cell r="G8908">
            <v>42826</v>
          </cell>
          <cell r="L8908" t="str">
            <v>02-02-006-03W2</v>
          </cell>
          <cell r="O8908">
            <v>846.4</v>
          </cell>
          <cell r="Q8908">
            <v>1.19</v>
          </cell>
          <cell r="T8908">
            <v>1123.6859999999999</v>
          </cell>
        </row>
        <row r="8909">
          <cell r="G8909">
            <v>42826</v>
          </cell>
          <cell r="L8909" t="str">
            <v>12-23-005-31W1</v>
          </cell>
          <cell r="O8909">
            <v>844.1</v>
          </cell>
          <cell r="Q8909">
            <v>1.1100000000000001</v>
          </cell>
          <cell r="T8909">
            <v>1067.3530000000001</v>
          </cell>
        </row>
        <row r="8910">
          <cell r="G8910">
            <v>42826</v>
          </cell>
          <cell r="L8910" t="str">
            <v>13-34-006-05W2</v>
          </cell>
          <cell r="O8910">
            <v>860.6</v>
          </cell>
          <cell r="Q8910">
            <v>2.11</v>
          </cell>
          <cell r="T8910">
            <v>1066.412</v>
          </cell>
        </row>
        <row r="8911">
          <cell r="G8911">
            <v>42826</v>
          </cell>
          <cell r="L8911" t="str">
            <v>06-02-008-02W2</v>
          </cell>
          <cell r="O8911">
            <v>857.2</v>
          </cell>
          <cell r="Q8911">
            <v>1.56</v>
          </cell>
          <cell r="T8911">
            <v>986.38900000000001</v>
          </cell>
        </row>
        <row r="8912">
          <cell r="G8912">
            <v>42826</v>
          </cell>
          <cell r="L8912" t="str">
            <v>04-33-006-01W2</v>
          </cell>
          <cell r="O8912">
            <v>851.1</v>
          </cell>
          <cell r="Q8912">
            <v>1.19</v>
          </cell>
          <cell r="T8912">
            <v>920.351</v>
          </cell>
        </row>
        <row r="8913">
          <cell r="G8913">
            <v>42826</v>
          </cell>
          <cell r="L8913" t="str">
            <v>04-04-007-01W2</v>
          </cell>
          <cell r="O8913">
            <v>847.2</v>
          </cell>
          <cell r="Q8913">
            <v>1.17</v>
          </cell>
          <cell r="T8913">
            <v>902.92399999999998</v>
          </cell>
        </row>
        <row r="8914">
          <cell r="G8914">
            <v>42826</v>
          </cell>
          <cell r="L8914" t="str">
            <v>04-10-004-31W1</v>
          </cell>
          <cell r="O8914">
            <v>865</v>
          </cell>
          <cell r="Q8914">
            <v>1.88</v>
          </cell>
          <cell r="T8914">
            <v>841.83299999999997</v>
          </cell>
        </row>
        <row r="8915">
          <cell r="G8915">
            <v>42826</v>
          </cell>
          <cell r="L8915" t="str">
            <v>14-33-003-01W2</v>
          </cell>
          <cell r="O8915">
            <v>839.8</v>
          </cell>
          <cell r="Q8915">
            <v>1</v>
          </cell>
          <cell r="T8915">
            <v>823.80200000000002</v>
          </cell>
        </row>
        <row r="8916">
          <cell r="G8916">
            <v>42826</v>
          </cell>
          <cell r="L8916" t="str">
            <v>13-11-004-02W2</v>
          </cell>
          <cell r="O8916">
            <v>840.9</v>
          </cell>
          <cell r="Q8916">
            <v>1.1100000000000001</v>
          </cell>
          <cell r="T8916">
            <v>813.04399999999998</v>
          </cell>
        </row>
        <row r="8917">
          <cell r="G8917">
            <v>42826</v>
          </cell>
          <cell r="L8917" t="str">
            <v>10-33-004-32W1</v>
          </cell>
          <cell r="O8917">
            <v>835.5</v>
          </cell>
          <cell r="Q8917">
            <v>0.9</v>
          </cell>
          <cell r="T8917">
            <v>731.346</v>
          </cell>
        </row>
        <row r="8918">
          <cell r="G8918">
            <v>42826</v>
          </cell>
          <cell r="L8918" t="str">
            <v>14-26-002-30W1</v>
          </cell>
          <cell r="O8918">
            <v>867.2</v>
          </cell>
          <cell r="Q8918">
            <v>1.88</v>
          </cell>
          <cell r="T8918">
            <v>641.34100000000001</v>
          </cell>
        </row>
        <row r="8919">
          <cell r="G8919">
            <v>42826</v>
          </cell>
          <cell r="L8919" t="str">
            <v>10-11-004-34W1</v>
          </cell>
          <cell r="O8919">
            <v>832.1</v>
          </cell>
          <cell r="Q8919">
            <v>0.71</v>
          </cell>
          <cell r="T8919">
            <v>552.52599999999995</v>
          </cell>
        </row>
        <row r="8920">
          <cell r="G8920">
            <v>42826</v>
          </cell>
          <cell r="L8920" t="str">
            <v>02-12-010-02W2</v>
          </cell>
          <cell r="O8920">
            <v>858.4</v>
          </cell>
          <cell r="Q8920">
            <v>1.76</v>
          </cell>
          <cell r="T8920">
            <v>460.77499999999998</v>
          </cell>
        </row>
        <row r="8921">
          <cell r="G8921">
            <v>42826</v>
          </cell>
          <cell r="L8921" t="str">
            <v>08-13-006-33W1</v>
          </cell>
          <cell r="O8921">
            <v>841.6</v>
          </cell>
          <cell r="Q8921">
            <v>0.91</v>
          </cell>
          <cell r="T8921">
            <v>456.82799999999997</v>
          </cell>
        </row>
        <row r="8922">
          <cell r="G8922">
            <v>42826</v>
          </cell>
          <cell r="L8922" t="str">
            <v>02-16-010-02W2</v>
          </cell>
          <cell r="O8922">
            <v>856.4</v>
          </cell>
          <cell r="Q8922">
            <v>1.79</v>
          </cell>
          <cell r="T8922">
            <v>436.25599999999997</v>
          </cell>
        </row>
        <row r="8923">
          <cell r="G8923">
            <v>42826</v>
          </cell>
          <cell r="L8923" t="str">
            <v>02-08-004-33W1</v>
          </cell>
          <cell r="O8923">
            <v>830.1</v>
          </cell>
          <cell r="Q8923">
            <v>0.66</v>
          </cell>
          <cell r="T8923">
            <v>420.66800000000001</v>
          </cell>
        </row>
        <row r="8924">
          <cell r="G8924">
            <v>42826</v>
          </cell>
          <cell r="L8924" t="str">
            <v>06-03-004-31W1</v>
          </cell>
          <cell r="O8924">
            <v>864.9</v>
          </cell>
          <cell r="Q8924">
            <v>1.93</v>
          </cell>
          <cell r="T8924">
            <v>376.24900000000002</v>
          </cell>
        </row>
        <row r="8925">
          <cell r="G8925">
            <v>42826</v>
          </cell>
          <cell r="L8925" t="str">
            <v>06-04-006-33W1</v>
          </cell>
          <cell r="O8925">
            <v>832.2</v>
          </cell>
          <cell r="Q8925">
            <v>0.85</v>
          </cell>
          <cell r="T8925">
            <v>356.16399999999999</v>
          </cell>
        </row>
        <row r="8926">
          <cell r="G8926">
            <v>42826</v>
          </cell>
          <cell r="L8926" t="str">
            <v>13-28-008-10W2</v>
          </cell>
          <cell r="O8926">
            <v>875.9</v>
          </cell>
          <cell r="Q8926">
            <v>2.21</v>
          </cell>
          <cell r="T8926">
            <v>2451.6010000000001</v>
          </cell>
        </row>
        <row r="8927">
          <cell r="G8927">
            <v>42826</v>
          </cell>
          <cell r="L8927" t="str">
            <v>11-31-005-11W2</v>
          </cell>
          <cell r="O8927">
            <v>879.5</v>
          </cell>
          <cell r="Q8927">
            <v>1.73</v>
          </cell>
          <cell r="T8927">
            <v>1636.9570000000001</v>
          </cell>
        </row>
        <row r="8928">
          <cell r="G8928">
            <v>42826</v>
          </cell>
          <cell r="L8928" t="str">
            <v>01-18-004-08W2</v>
          </cell>
          <cell r="O8928">
            <v>890.4</v>
          </cell>
          <cell r="Q8928">
            <v>2.36</v>
          </cell>
          <cell r="T8928">
            <v>1108.376</v>
          </cell>
        </row>
        <row r="8929">
          <cell r="G8929">
            <v>42826</v>
          </cell>
          <cell r="L8929" t="str">
            <v>14-27-005-12W2</v>
          </cell>
          <cell r="O8929">
            <v>873.7</v>
          </cell>
          <cell r="Q8929">
            <v>1.98</v>
          </cell>
          <cell r="T8929">
            <v>1028.933</v>
          </cell>
        </row>
        <row r="8930">
          <cell r="G8930">
            <v>42826</v>
          </cell>
          <cell r="L8930" t="str">
            <v>03-04-001-11W2</v>
          </cell>
          <cell r="O8930">
            <v>819.9</v>
          </cell>
          <cell r="Q8930">
            <v>0.17</v>
          </cell>
          <cell r="T8930">
            <v>867.12099999999998</v>
          </cell>
        </row>
        <row r="8931">
          <cell r="G8931">
            <v>42826</v>
          </cell>
          <cell r="L8931" t="str">
            <v>16-29-006-12W2</v>
          </cell>
          <cell r="O8931">
            <v>924.6</v>
          </cell>
          <cell r="Q8931">
            <v>1.56</v>
          </cell>
          <cell r="T8931">
            <v>758.255</v>
          </cell>
        </row>
        <row r="8932">
          <cell r="G8932">
            <v>42826</v>
          </cell>
          <cell r="L8932" t="str">
            <v>15-01-002-12W2</v>
          </cell>
          <cell r="O8932">
            <v>820.6</v>
          </cell>
          <cell r="Q8932">
            <v>0.12</v>
          </cell>
          <cell r="T8932">
            <v>708.34900000000005</v>
          </cell>
        </row>
        <row r="8933">
          <cell r="G8933">
            <v>42826</v>
          </cell>
          <cell r="L8933" t="str">
            <v>16-09-007-11W2</v>
          </cell>
          <cell r="O8933">
            <v>831.3</v>
          </cell>
          <cell r="Q8933">
            <v>0.76</v>
          </cell>
          <cell r="T8933">
            <v>685.63199999999995</v>
          </cell>
        </row>
        <row r="8934">
          <cell r="G8934">
            <v>42826</v>
          </cell>
          <cell r="L8934" t="str">
            <v>13-09-002-11W2</v>
          </cell>
          <cell r="O8934">
            <v>822.7</v>
          </cell>
          <cell r="Q8934">
            <v>0.17</v>
          </cell>
          <cell r="T8934">
            <v>669.51199999999994</v>
          </cell>
        </row>
        <row r="8935">
          <cell r="G8935">
            <v>42826</v>
          </cell>
          <cell r="L8935" t="str">
            <v>13-06-007-11W2</v>
          </cell>
          <cell r="O8935">
            <v>860.4</v>
          </cell>
          <cell r="Q8935">
            <v>2.08</v>
          </cell>
          <cell r="T8935">
            <v>642.50199999999995</v>
          </cell>
        </row>
        <row r="8936">
          <cell r="G8936">
            <v>42826</v>
          </cell>
          <cell r="L8936" t="str">
            <v>16-05-005-08W2</v>
          </cell>
          <cell r="O8936">
            <v>885.2</v>
          </cell>
          <cell r="Q8936">
            <v>2.0699999999999998</v>
          </cell>
          <cell r="T8936">
            <v>548.46100000000001</v>
          </cell>
        </row>
        <row r="8937">
          <cell r="G8937">
            <v>42826</v>
          </cell>
          <cell r="L8937" t="str">
            <v>13-36-002-12W2</v>
          </cell>
          <cell r="O8937">
            <v>807</v>
          </cell>
          <cell r="Q8937">
            <v>0.16</v>
          </cell>
          <cell r="T8937">
            <v>513.25300000000004</v>
          </cell>
        </row>
        <row r="8938">
          <cell r="G8938">
            <v>42826</v>
          </cell>
          <cell r="L8938" t="str">
            <v>14-22-004-08W2</v>
          </cell>
          <cell r="O8938">
            <v>877.9</v>
          </cell>
          <cell r="Q8938">
            <v>2.0299999999999998</v>
          </cell>
          <cell r="T8938">
            <v>440.22</v>
          </cell>
        </row>
        <row r="8939">
          <cell r="G8939">
            <v>42826</v>
          </cell>
          <cell r="L8939" t="str">
            <v>15-11-005-09W2</v>
          </cell>
          <cell r="O8939">
            <v>883</v>
          </cell>
          <cell r="Q8939">
            <v>2.21</v>
          </cell>
          <cell r="T8939">
            <v>431.39299999999997</v>
          </cell>
        </row>
        <row r="8940">
          <cell r="G8940">
            <v>42826</v>
          </cell>
          <cell r="L8940" t="str">
            <v>16-34-001-11W2</v>
          </cell>
          <cell r="O8940">
            <v>818.8</v>
          </cell>
          <cell r="Q8940">
            <v>0.19</v>
          </cell>
          <cell r="T8940">
            <v>429.851</v>
          </cell>
        </row>
        <row r="8941">
          <cell r="G8941">
            <v>42826</v>
          </cell>
          <cell r="L8941" t="str">
            <v>12-20-005-12W2</v>
          </cell>
          <cell r="O8941">
            <v>881.6</v>
          </cell>
          <cell r="Q8941">
            <v>2.38</v>
          </cell>
          <cell r="T8941">
            <v>429.54199999999997</v>
          </cell>
        </row>
        <row r="8942">
          <cell r="G8942">
            <v>42826</v>
          </cell>
          <cell r="L8942" t="str">
            <v>04-27-004-08W2</v>
          </cell>
          <cell r="O8942">
            <v>885.7</v>
          </cell>
          <cell r="Q8942">
            <v>2.14</v>
          </cell>
          <cell r="T8942">
            <v>390.517</v>
          </cell>
        </row>
        <row r="8943">
          <cell r="G8943">
            <v>42826</v>
          </cell>
          <cell r="L8943" t="str">
            <v>11-31-006-08W2</v>
          </cell>
          <cell r="O8943">
            <v>890.9</v>
          </cell>
          <cell r="Q8943">
            <v>2.5</v>
          </cell>
          <cell r="T8943">
            <v>360.72399999999999</v>
          </cell>
        </row>
        <row r="8944">
          <cell r="G8944">
            <v>42826</v>
          </cell>
          <cell r="L8944" t="str">
            <v>13-33-006-09W2</v>
          </cell>
          <cell r="O8944">
            <v>883.3</v>
          </cell>
          <cell r="Q8944">
            <v>2.42</v>
          </cell>
          <cell r="T8944">
            <v>352.35399999999998</v>
          </cell>
        </row>
        <row r="8945">
          <cell r="G8945">
            <v>42826</v>
          </cell>
          <cell r="L8945" t="str">
            <v>03-18-007-09W2</v>
          </cell>
          <cell r="O8945">
            <v>812.5</v>
          </cell>
          <cell r="Q8945">
            <v>0.59</v>
          </cell>
          <cell r="T8945">
            <v>348.31400000000002</v>
          </cell>
        </row>
        <row r="8946">
          <cell r="G8946">
            <v>42826</v>
          </cell>
          <cell r="L8946" t="str">
            <v>01-10-008-15W2</v>
          </cell>
          <cell r="O8946">
            <v>866.3</v>
          </cell>
          <cell r="Q8946">
            <v>2.21</v>
          </cell>
          <cell r="T8946">
            <v>345.77600000000001</v>
          </cell>
        </row>
        <row r="8947">
          <cell r="G8947">
            <v>42826</v>
          </cell>
          <cell r="L8947" t="str">
            <v>14-25-003-09W2</v>
          </cell>
          <cell r="O8947">
            <v>845</v>
          </cell>
          <cell r="Q8947">
            <v>0.8</v>
          </cell>
          <cell r="T8947">
            <v>339.64600000000002</v>
          </cell>
        </row>
        <row r="8948">
          <cell r="G8948">
            <v>42826</v>
          </cell>
          <cell r="L8948" t="str">
            <v>06-18-006-12W2</v>
          </cell>
          <cell r="O8948">
            <v>892.6</v>
          </cell>
          <cell r="Q8948">
            <v>2.58</v>
          </cell>
          <cell r="T8948">
            <v>324.09699999999998</v>
          </cell>
        </row>
        <row r="8949">
          <cell r="G8949">
            <v>42826</v>
          </cell>
          <cell r="L8949" t="str">
            <v>15-33-013-13W2</v>
          </cell>
          <cell r="O8949">
            <v>869.2</v>
          </cell>
          <cell r="Q8949">
            <v>0.51</v>
          </cell>
          <cell r="T8949">
            <v>312.16000000000003</v>
          </cell>
        </row>
        <row r="8950">
          <cell r="G8950">
            <v>42826</v>
          </cell>
          <cell r="L8950" t="str">
            <v>11-14-007-08W2</v>
          </cell>
          <cell r="O8950">
            <v>844.4</v>
          </cell>
          <cell r="Q8950">
            <v>1.38</v>
          </cell>
          <cell r="T8950">
            <v>266.00200000000001</v>
          </cell>
        </row>
        <row r="8951">
          <cell r="G8951">
            <v>42826</v>
          </cell>
          <cell r="L8951" t="str">
            <v>15-29-007-13W2</v>
          </cell>
          <cell r="O8951">
            <v>849.4</v>
          </cell>
          <cell r="Q8951">
            <v>1.85</v>
          </cell>
          <cell r="T8951">
            <v>263.77199999999999</v>
          </cell>
        </row>
        <row r="8952">
          <cell r="G8952">
            <v>42826</v>
          </cell>
          <cell r="L8952" t="str">
            <v>04-23-012-06W2</v>
          </cell>
          <cell r="O8952">
            <v>893.8</v>
          </cell>
          <cell r="Q8952">
            <v>2.52</v>
          </cell>
          <cell r="T8952">
            <v>247.14400000000001</v>
          </cell>
        </row>
        <row r="8953">
          <cell r="G8953">
            <v>42826</v>
          </cell>
          <cell r="L8953" t="str">
            <v>04-13-004-10W2</v>
          </cell>
          <cell r="O8953">
            <v>883.9</v>
          </cell>
          <cell r="Q8953">
            <v>2.04</v>
          </cell>
          <cell r="T8953">
            <v>225.99</v>
          </cell>
        </row>
        <row r="8954">
          <cell r="G8954">
            <v>42826</v>
          </cell>
          <cell r="L8954" t="str">
            <v>14-20-004-10W2</v>
          </cell>
          <cell r="O8954">
            <v>889.6</v>
          </cell>
          <cell r="Q8954">
            <v>2.14</v>
          </cell>
          <cell r="T8954">
            <v>217.33600000000001</v>
          </cell>
        </row>
        <row r="8955">
          <cell r="G8955">
            <v>42826</v>
          </cell>
          <cell r="L8955" t="str">
            <v>12-31-001-17W2</v>
          </cell>
          <cell r="O8955">
            <v>850.6</v>
          </cell>
          <cell r="Q8955">
            <v>0.14000000000000001</v>
          </cell>
          <cell r="T8955">
            <v>182.57599999999999</v>
          </cell>
        </row>
        <row r="8956">
          <cell r="G8956">
            <v>42826</v>
          </cell>
          <cell r="L8956" t="str">
            <v>03-14-005-08W2</v>
          </cell>
          <cell r="O8956">
            <v>895.4</v>
          </cell>
          <cell r="Q8956">
            <v>2.65</v>
          </cell>
          <cell r="T8956">
            <v>155.28100000000001</v>
          </cell>
        </row>
        <row r="8957">
          <cell r="G8957">
            <v>42826</v>
          </cell>
          <cell r="L8957" t="str">
            <v>09-02-006-07W2</v>
          </cell>
          <cell r="O8957">
            <v>883.5</v>
          </cell>
          <cell r="Q8957">
            <v>1.97</v>
          </cell>
          <cell r="T8957">
            <v>154.197</v>
          </cell>
        </row>
        <row r="8958">
          <cell r="G8958">
            <v>42826</v>
          </cell>
          <cell r="L8958" t="str">
            <v>16-06-005-12W2</v>
          </cell>
          <cell r="O8958">
            <v>878.5</v>
          </cell>
          <cell r="Q8958">
            <v>2</v>
          </cell>
          <cell r="T8958">
            <v>151.41800000000001</v>
          </cell>
        </row>
        <row r="8959">
          <cell r="G8959">
            <v>42826</v>
          </cell>
          <cell r="L8959" t="str">
            <v>12-27-006-13W2</v>
          </cell>
          <cell r="O8959">
            <v>864.1</v>
          </cell>
          <cell r="Q8959">
            <v>0.18</v>
          </cell>
          <cell r="T8959">
            <v>146.79499999999999</v>
          </cell>
        </row>
        <row r="8960">
          <cell r="G8960">
            <v>42826</v>
          </cell>
          <cell r="L8960" t="str">
            <v>05-31-006-13W2</v>
          </cell>
          <cell r="O8960">
            <v>804.5</v>
          </cell>
          <cell r="Q8960">
            <v>0.19</v>
          </cell>
          <cell r="T8960">
            <v>142.11000000000001</v>
          </cell>
        </row>
        <row r="8961">
          <cell r="G8961">
            <v>42826</v>
          </cell>
          <cell r="L8961" t="str">
            <v>09-11-007-14W2</v>
          </cell>
          <cell r="O8961">
            <v>848.2</v>
          </cell>
          <cell r="Q8961">
            <v>1.55</v>
          </cell>
          <cell r="T8961">
            <v>141.346</v>
          </cell>
        </row>
        <row r="8962">
          <cell r="G8962">
            <v>42826</v>
          </cell>
          <cell r="L8962" t="str">
            <v>04-16-004-21W2</v>
          </cell>
          <cell r="O8962">
            <v>816.7</v>
          </cell>
          <cell r="Q8962">
            <v>0.21</v>
          </cell>
          <cell r="T8962">
            <v>134.44900000000001</v>
          </cell>
        </row>
        <row r="8963">
          <cell r="G8963">
            <v>42826</v>
          </cell>
          <cell r="L8963" t="str">
            <v>09-22-006-12W2</v>
          </cell>
          <cell r="O8963">
            <v>876.8</v>
          </cell>
          <cell r="Q8963">
            <v>2.34</v>
          </cell>
          <cell r="T8963">
            <v>134.03399999999999</v>
          </cell>
        </row>
        <row r="8964">
          <cell r="G8964">
            <v>42826</v>
          </cell>
          <cell r="L8964" t="str">
            <v>14-27-007-08W2</v>
          </cell>
          <cell r="O8964">
            <v>881.3</v>
          </cell>
          <cell r="Q8964">
            <v>2.33</v>
          </cell>
          <cell r="T8964">
            <v>123.441</v>
          </cell>
        </row>
        <row r="8965">
          <cell r="G8965">
            <v>42826</v>
          </cell>
          <cell r="L8965" t="str">
            <v>07-31-006-09W2</v>
          </cell>
          <cell r="O8965">
            <v>874.3</v>
          </cell>
          <cell r="Q8965">
            <v>1.46</v>
          </cell>
          <cell r="T8965">
            <v>116.521</v>
          </cell>
        </row>
        <row r="8966">
          <cell r="G8966">
            <v>42826</v>
          </cell>
          <cell r="L8966" t="str">
            <v>06-13-007-10W2</v>
          </cell>
          <cell r="O8966">
            <v>821.4</v>
          </cell>
          <cell r="Q8966">
            <v>0.17</v>
          </cell>
          <cell r="T8966">
            <v>110.881</v>
          </cell>
        </row>
        <row r="8967">
          <cell r="G8967">
            <v>42826</v>
          </cell>
          <cell r="L8967" t="str">
            <v>10-05-007-10W2</v>
          </cell>
          <cell r="O8967">
            <v>865</v>
          </cell>
          <cell r="Q8967">
            <v>1.78</v>
          </cell>
          <cell r="T8967">
            <v>106.42100000000001</v>
          </cell>
        </row>
        <row r="8968">
          <cell r="G8968">
            <v>42826</v>
          </cell>
          <cell r="L8968" t="str">
            <v>07-02-007-12W2</v>
          </cell>
          <cell r="O8968">
            <v>857.9</v>
          </cell>
          <cell r="Q8968">
            <v>1.83</v>
          </cell>
          <cell r="T8968">
            <v>105.54300000000001</v>
          </cell>
        </row>
        <row r="8969">
          <cell r="G8969">
            <v>42826</v>
          </cell>
          <cell r="L8969" t="str">
            <v>01-36-006-12W2</v>
          </cell>
          <cell r="O8969">
            <v>892.6</v>
          </cell>
          <cell r="Q8969">
            <v>2.63</v>
          </cell>
          <cell r="T8969">
            <v>104.76600000000001</v>
          </cell>
        </row>
        <row r="8970">
          <cell r="G8970">
            <v>42826</v>
          </cell>
          <cell r="L8970" t="str">
            <v>01-06-004-11W2</v>
          </cell>
          <cell r="O8970">
            <v>879.7</v>
          </cell>
          <cell r="Q8970">
            <v>1.95</v>
          </cell>
          <cell r="T8970">
            <v>104.553</v>
          </cell>
        </row>
        <row r="8971">
          <cell r="G8971">
            <v>42826</v>
          </cell>
          <cell r="L8971" t="str">
            <v>02-13-004-12W2</v>
          </cell>
          <cell r="O8971">
            <v>873.9</v>
          </cell>
          <cell r="Q8971">
            <v>1.99</v>
          </cell>
          <cell r="T8971">
            <v>103.646</v>
          </cell>
        </row>
        <row r="8972">
          <cell r="G8972">
            <v>42826</v>
          </cell>
          <cell r="L8972" t="str">
            <v>03-27-011-08W2</v>
          </cell>
          <cell r="O8972">
            <v>898.8</v>
          </cell>
          <cell r="Q8972">
            <v>2.62</v>
          </cell>
          <cell r="T8972">
            <v>103.39</v>
          </cell>
        </row>
        <row r="8973">
          <cell r="G8973">
            <v>42826</v>
          </cell>
          <cell r="L8973" t="str">
            <v>13-06-007-09W2</v>
          </cell>
          <cell r="O8973">
            <v>815.5</v>
          </cell>
          <cell r="Q8973">
            <v>0.28999999999999998</v>
          </cell>
          <cell r="T8973">
            <v>87.224999999999994</v>
          </cell>
        </row>
        <row r="8974">
          <cell r="G8974">
            <v>42826</v>
          </cell>
          <cell r="L8974" t="str">
            <v>09-12-007-09W2</v>
          </cell>
          <cell r="O8974">
            <v>815.6</v>
          </cell>
          <cell r="Q8974">
            <v>0.15</v>
          </cell>
          <cell r="T8974">
            <v>79.227000000000004</v>
          </cell>
        </row>
        <row r="8975">
          <cell r="G8975">
            <v>42826</v>
          </cell>
          <cell r="L8975" t="str">
            <v>03-34-001-11W2</v>
          </cell>
          <cell r="O8975">
            <v>826.5</v>
          </cell>
          <cell r="Q8975">
            <v>0.17</v>
          </cell>
          <cell r="T8975">
            <v>78.162999999999997</v>
          </cell>
        </row>
        <row r="8976">
          <cell r="G8976">
            <v>42826</v>
          </cell>
          <cell r="L8976" t="str">
            <v>15-13-002-12W2</v>
          </cell>
          <cell r="O8976">
            <v>825.7</v>
          </cell>
          <cell r="Q8976">
            <v>0.15</v>
          </cell>
          <cell r="T8976">
            <v>76.685000000000002</v>
          </cell>
        </row>
        <row r="8977">
          <cell r="G8977">
            <v>42826</v>
          </cell>
          <cell r="L8977" t="str">
            <v>01-23-005-12W2</v>
          </cell>
          <cell r="O8977">
            <v>882.2</v>
          </cell>
          <cell r="Q8977">
            <v>2.0499999999999998</v>
          </cell>
          <cell r="T8977">
            <v>76.555999999999997</v>
          </cell>
        </row>
        <row r="8978">
          <cell r="G8978">
            <v>42826</v>
          </cell>
          <cell r="L8978" t="str">
            <v>07-10-001-20W2</v>
          </cell>
          <cell r="O8978">
            <v>877.4</v>
          </cell>
          <cell r="Q8978">
            <v>1.72</v>
          </cell>
          <cell r="T8978">
            <v>75.837999999999994</v>
          </cell>
        </row>
        <row r="8979">
          <cell r="G8979">
            <v>42826</v>
          </cell>
          <cell r="L8979" t="str">
            <v>09-32-006-15W2</v>
          </cell>
          <cell r="O8979">
            <v>887.2</v>
          </cell>
          <cell r="Q8979">
            <v>2.8</v>
          </cell>
          <cell r="T8979">
            <v>68.707999999999998</v>
          </cell>
        </row>
        <row r="8980">
          <cell r="G8980">
            <v>42826</v>
          </cell>
          <cell r="L8980" t="str">
            <v>09-06-010-15W2</v>
          </cell>
          <cell r="O8980">
            <v>868</v>
          </cell>
          <cell r="Q8980">
            <v>0.13</v>
          </cell>
          <cell r="T8980">
            <v>59.265000000000001</v>
          </cell>
        </row>
        <row r="8981">
          <cell r="G8981">
            <v>42826</v>
          </cell>
          <cell r="L8981" t="str">
            <v>07-24-006-10W2</v>
          </cell>
          <cell r="O8981">
            <v>882.1</v>
          </cell>
          <cell r="Q8981">
            <v>2.44</v>
          </cell>
          <cell r="T8981">
            <v>59.256999999999998</v>
          </cell>
        </row>
        <row r="8982">
          <cell r="G8982">
            <v>42826</v>
          </cell>
          <cell r="L8982" t="str">
            <v>04-18-007-09W2</v>
          </cell>
          <cell r="O8982">
            <v>826.5</v>
          </cell>
          <cell r="Q8982">
            <v>0.19</v>
          </cell>
          <cell r="T8982">
            <v>56.81</v>
          </cell>
        </row>
        <row r="8983">
          <cell r="G8983">
            <v>42826</v>
          </cell>
          <cell r="L8983" t="str">
            <v>15-11-008-12W2</v>
          </cell>
          <cell r="O8983">
            <v>904.4</v>
          </cell>
          <cell r="Q8983">
            <v>2.62</v>
          </cell>
          <cell r="T8983">
            <v>55.749000000000002</v>
          </cell>
        </row>
        <row r="8984">
          <cell r="G8984">
            <v>42826</v>
          </cell>
          <cell r="L8984" t="str">
            <v>15-36-001-12W2</v>
          </cell>
          <cell r="O8984">
            <v>820.1</v>
          </cell>
          <cell r="Q8984">
            <v>0.14000000000000001</v>
          </cell>
          <cell r="T8984">
            <v>52.884</v>
          </cell>
        </row>
        <row r="8985">
          <cell r="G8985">
            <v>42826</v>
          </cell>
          <cell r="L8985" t="str">
            <v>08-34-006-12W2</v>
          </cell>
          <cell r="O8985">
            <v>878.3</v>
          </cell>
          <cell r="Q8985">
            <v>1.89</v>
          </cell>
          <cell r="T8985">
            <v>48.381</v>
          </cell>
        </row>
        <row r="8986">
          <cell r="G8986">
            <v>42826</v>
          </cell>
          <cell r="L8986" t="str">
            <v>01-03-006-14W2</v>
          </cell>
          <cell r="O8986">
            <v>884.8</v>
          </cell>
          <cell r="Q8986">
            <v>2.37</v>
          </cell>
          <cell r="T8986">
            <v>30.167999999999999</v>
          </cell>
        </row>
        <row r="8987">
          <cell r="G8987">
            <v>42826</v>
          </cell>
          <cell r="L8987" t="str">
            <v>01-27-004-07W2</v>
          </cell>
          <cell r="O8987">
            <v>887.8</v>
          </cell>
          <cell r="Q8987">
            <v>2.0299999999999998</v>
          </cell>
          <cell r="T8987">
            <v>27.882999999999999</v>
          </cell>
        </row>
        <row r="8988">
          <cell r="G8988">
            <v>42826</v>
          </cell>
          <cell r="L8988" t="str">
            <v>12-28-006-07W2</v>
          </cell>
          <cell r="O8988">
            <v>906.2</v>
          </cell>
          <cell r="Q8988">
            <v>2.52</v>
          </cell>
          <cell r="T8988">
            <v>27.577999999999999</v>
          </cell>
        </row>
        <row r="8989">
          <cell r="G8989">
            <v>42826</v>
          </cell>
          <cell r="L8989" t="str">
            <v>02-22-009-09W2</v>
          </cell>
          <cell r="O8989">
            <v>881.8</v>
          </cell>
          <cell r="Q8989">
            <v>2.46</v>
          </cell>
          <cell r="T8989">
            <v>25.045999999999999</v>
          </cell>
        </row>
        <row r="8990">
          <cell r="G8990">
            <v>42826</v>
          </cell>
          <cell r="L8990" t="str">
            <v>05-19-007-12W2</v>
          </cell>
          <cell r="O8990">
            <v>864.6</v>
          </cell>
          <cell r="Q8990">
            <v>1.82</v>
          </cell>
          <cell r="T8990">
            <v>23.053000000000001</v>
          </cell>
        </row>
        <row r="8991">
          <cell r="G8991">
            <v>42826</v>
          </cell>
          <cell r="L8991" t="str">
            <v>11-12-006-15W2</v>
          </cell>
          <cell r="O8991">
            <v>869.5</v>
          </cell>
          <cell r="Q8991">
            <v>2.4</v>
          </cell>
          <cell r="T8991">
            <v>7160.7740000000003</v>
          </cell>
        </row>
        <row r="8992">
          <cell r="G8992">
            <v>42826</v>
          </cell>
          <cell r="L8992" t="str">
            <v>12-22-007-11W2</v>
          </cell>
          <cell r="O8992">
            <v>819</v>
          </cell>
          <cell r="Q8992">
            <v>0.94</v>
          </cell>
          <cell r="T8992">
            <v>8008.9170000000004</v>
          </cell>
        </row>
        <row r="8993">
          <cell r="G8993">
            <v>42826</v>
          </cell>
          <cell r="L8993" t="str">
            <v>01-28-002-14W2</v>
          </cell>
          <cell r="O8993">
            <v>831.1</v>
          </cell>
          <cell r="Q8993">
            <v>1.33</v>
          </cell>
          <cell r="T8993">
            <v>5505.9059999999999</v>
          </cell>
        </row>
        <row r="8994">
          <cell r="G8994">
            <v>42826</v>
          </cell>
          <cell r="L8994" t="str">
            <v>04-21-006-14W2</v>
          </cell>
          <cell r="O8994">
            <v>858</v>
          </cell>
          <cell r="Q8994">
            <v>2.0099999999999998</v>
          </cell>
          <cell r="T8994">
            <v>2460.7359999999999</v>
          </cell>
        </row>
        <row r="8995">
          <cell r="G8995">
            <v>42826</v>
          </cell>
          <cell r="L8995" t="str">
            <v>14-33-006-14W2</v>
          </cell>
          <cell r="O8995">
            <v>847.5</v>
          </cell>
          <cell r="Q8995">
            <v>1.75</v>
          </cell>
          <cell r="T8995">
            <v>2091.8789999999999</v>
          </cell>
        </row>
        <row r="8996">
          <cell r="G8996">
            <v>42826</v>
          </cell>
          <cell r="L8996" t="str">
            <v>05-18-004-17W2</v>
          </cell>
          <cell r="O8996">
            <v>862.7</v>
          </cell>
          <cell r="Q8996">
            <v>2.2400000000000002</v>
          </cell>
          <cell r="T8996">
            <v>1890.76</v>
          </cell>
        </row>
        <row r="8997">
          <cell r="G8997">
            <v>42826</v>
          </cell>
          <cell r="L8997" t="str">
            <v>07-02-007-11W2</v>
          </cell>
          <cell r="O8997">
            <v>850.2</v>
          </cell>
          <cell r="Q8997">
            <v>1.43</v>
          </cell>
          <cell r="T8997">
            <v>1695.73</v>
          </cell>
        </row>
        <row r="8998">
          <cell r="G8998">
            <v>42826</v>
          </cell>
          <cell r="L8998" t="str">
            <v>15-33-006-14W2</v>
          </cell>
          <cell r="O8998">
            <v>848.9</v>
          </cell>
          <cell r="Q8998">
            <v>1.71</v>
          </cell>
          <cell r="T8998">
            <v>1069.703</v>
          </cell>
        </row>
        <row r="8999">
          <cell r="G8999">
            <v>42826</v>
          </cell>
          <cell r="L8999" t="str">
            <v>01-22-006-14W2</v>
          </cell>
          <cell r="O8999">
            <v>864.3</v>
          </cell>
          <cell r="Q8999">
            <v>2.2400000000000002</v>
          </cell>
          <cell r="T8999">
            <v>925.76300000000003</v>
          </cell>
        </row>
        <row r="9000">
          <cell r="G9000">
            <v>42826</v>
          </cell>
          <cell r="L9000" t="str">
            <v>03-06-005-12W2</v>
          </cell>
          <cell r="O9000">
            <v>885.1</v>
          </cell>
          <cell r="Q9000">
            <v>2.44</v>
          </cell>
          <cell r="T9000">
            <v>436.23099999999999</v>
          </cell>
        </row>
        <row r="9001">
          <cell r="G9001">
            <v>42826</v>
          </cell>
          <cell r="L9001" t="str">
            <v>04-11-007-13W2</v>
          </cell>
          <cell r="O9001">
            <v>854.7</v>
          </cell>
          <cell r="Q9001">
            <v>2.09</v>
          </cell>
          <cell r="T9001">
            <v>428.42700000000002</v>
          </cell>
        </row>
        <row r="9002">
          <cell r="G9002">
            <v>42826</v>
          </cell>
          <cell r="L9002" t="str">
            <v>02-18-007-13W2</v>
          </cell>
          <cell r="O9002">
            <v>859.1</v>
          </cell>
          <cell r="Q9002">
            <v>1.91</v>
          </cell>
          <cell r="T9002">
            <v>413.81400000000002</v>
          </cell>
        </row>
        <row r="9003">
          <cell r="G9003">
            <v>42826</v>
          </cell>
          <cell r="L9003" t="str">
            <v>01-03-008-13W2</v>
          </cell>
          <cell r="O9003">
            <v>852</v>
          </cell>
          <cell r="Q9003">
            <v>2.12</v>
          </cell>
          <cell r="T9003">
            <v>406.26799999999997</v>
          </cell>
        </row>
        <row r="9004">
          <cell r="G9004">
            <v>42826</v>
          </cell>
          <cell r="L9004" t="str">
            <v>15-30-007-12W2</v>
          </cell>
          <cell r="O9004">
            <v>871.1</v>
          </cell>
          <cell r="Q9004">
            <v>2.4</v>
          </cell>
          <cell r="T9004">
            <v>309.82900000000001</v>
          </cell>
        </row>
        <row r="9005">
          <cell r="G9005">
            <v>42826</v>
          </cell>
          <cell r="L9005" t="str">
            <v>07-25-003-13W2</v>
          </cell>
          <cell r="O9005">
            <v>889.8</v>
          </cell>
          <cell r="Q9005">
            <v>2.58</v>
          </cell>
          <cell r="T9005">
            <v>229.90700000000001</v>
          </cell>
        </row>
        <row r="9006">
          <cell r="G9006">
            <v>42826</v>
          </cell>
          <cell r="L9006" t="str">
            <v>10-22-006-14W2</v>
          </cell>
          <cell r="O9006">
            <v>844.6</v>
          </cell>
          <cell r="Q9006">
            <v>1.69</v>
          </cell>
          <cell r="T9006">
            <v>228.05799999999999</v>
          </cell>
        </row>
        <row r="9007">
          <cell r="G9007">
            <v>42826</v>
          </cell>
          <cell r="L9007" t="str">
            <v>13-34-007-14W2</v>
          </cell>
          <cell r="O9007">
            <v>870.6</v>
          </cell>
          <cell r="Q9007">
            <v>2.1800000000000002</v>
          </cell>
          <cell r="T9007">
            <v>141.066</v>
          </cell>
        </row>
        <row r="9008">
          <cell r="G9008">
            <v>42826</v>
          </cell>
          <cell r="L9008" t="str">
            <v>09-31-007-12W2</v>
          </cell>
          <cell r="O9008">
            <v>871.6</v>
          </cell>
          <cell r="Q9008">
            <v>2.37</v>
          </cell>
          <cell r="T9008">
            <v>123.206</v>
          </cell>
        </row>
        <row r="9009">
          <cell r="G9009">
            <v>42826</v>
          </cell>
          <cell r="L9009" t="str">
            <v>16-08-007-12W2</v>
          </cell>
          <cell r="O9009">
            <v>857.3</v>
          </cell>
          <cell r="Q9009">
            <v>2.14</v>
          </cell>
          <cell r="T9009">
            <v>118.575</v>
          </cell>
        </row>
        <row r="9010">
          <cell r="G9010">
            <v>42826</v>
          </cell>
          <cell r="L9010" t="str">
            <v>14-04-007-13W2</v>
          </cell>
          <cell r="O9010">
            <v>865.9</v>
          </cell>
          <cell r="Q9010">
            <v>1.97</v>
          </cell>
          <cell r="T9010">
            <v>39.774999999999999</v>
          </cell>
        </row>
        <row r="9011">
          <cell r="G9011">
            <v>42826</v>
          </cell>
          <cell r="L9011" t="str">
            <v>11-25-005-12W2</v>
          </cell>
          <cell r="O9011">
            <v>875</v>
          </cell>
          <cell r="Q9011">
            <v>2.02</v>
          </cell>
          <cell r="T9011">
            <v>2251.768</v>
          </cell>
        </row>
        <row r="9012">
          <cell r="G9012">
            <v>42826</v>
          </cell>
          <cell r="L9012" t="str">
            <v>16-18-003-15W2</v>
          </cell>
          <cell r="O9012">
            <v>889</v>
          </cell>
          <cell r="Q9012">
            <v>2.4500000000000002</v>
          </cell>
          <cell r="T9012">
            <v>1109.06</v>
          </cell>
        </row>
        <row r="9013">
          <cell r="G9013">
            <v>42826</v>
          </cell>
          <cell r="L9013" t="str">
            <v>16-27-001-16W2</v>
          </cell>
          <cell r="O9013">
            <v>809.6</v>
          </cell>
          <cell r="Q9013">
            <v>0.43</v>
          </cell>
          <cell r="T9013">
            <v>981.64200000000005</v>
          </cell>
        </row>
        <row r="9014">
          <cell r="G9014">
            <v>42826</v>
          </cell>
          <cell r="L9014" t="str">
            <v>16-19-001-15W2</v>
          </cell>
          <cell r="O9014">
            <v>807.3</v>
          </cell>
          <cell r="Q9014">
            <v>0.39</v>
          </cell>
          <cell r="T9014">
            <v>403.66</v>
          </cell>
        </row>
        <row r="9015">
          <cell r="G9015">
            <v>42826</v>
          </cell>
          <cell r="L9015" t="str">
            <v>13-24-001-16W2</v>
          </cell>
          <cell r="O9015">
            <v>805.7</v>
          </cell>
          <cell r="Q9015">
            <v>0.42</v>
          </cell>
          <cell r="T9015">
            <v>185.75700000000001</v>
          </cell>
        </row>
        <row r="9016">
          <cell r="G9016">
            <v>42826</v>
          </cell>
          <cell r="L9016" t="str">
            <v>05-23-005-13W2</v>
          </cell>
          <cell r="O9016">
            <v>904.7</v>
          </cell>
          <cell r="Q9016">
            <v>2.75</v>
          </cell>
          <cell r="T9016">
            <v>185.11099999999999</v>
          </cell>
        </row>
        <row r="9017">
          <cell r="G9017">
            <v>42826</v>
          </cell>
          <cell r="L9017" t="str">
            <v>12-30-005-07W2</v>
          </cell>
          <cell r="O9017">
            <v>894</v>
          </cell>
          <cell r="Q9017">
            <v>2.5299999999999998</v>
          </cell>
          <cell r="T9017">
            <v>92.707999999999998</v>
          </cell>
        </row>
        <row r="9018">
          <cell r="G9018">
            <v>42826</v>
          </cell>
          <cell r="L9018" t="str">
            <v>06-20-006-09W2</v>
          </cell>
          <cell r="O9018">
            <v>885.5</v>
          </cell>
          <cell r="Q9018">
            <v>2.19</v>
          </cell>
          <cell r="T9018">
            <v>88.908000000000001</v>
          </cell>
        </row>
        <row r="9019">
          <cell r="G9019">
            <v>42826</v>
          </cell>
          <cell r="L9019" t="str">
            <v>16-34-001-15W2</v>
          </cell>
          <cell r="O9019">
            <v>803.4</v>
          </cell>
          <cell r="Q9019">
            <v>0.22</v>
          </cell>
          <cell r="T9019">
            <v>72.667000000000002</v>
          </cell>
        </row>
        <row r="9020">
          <cell r="G9020">
            <v>42826</v>
          </cell>
          <cell r="L9020" t="str">
            <v>13-29-001-15W2</v>
          </cell>
          <cell r="O9020">
            <v>808.7</v>
          </cell>
          <cell r="Q9020">
            <v>0.45</v>
          </cell>
          <cell r="T9020">
            <v>47.076999999999998</v>
          </cell>
        </row>
        <row r="9021">
          <cell r="G9021">
            <v>42826</v>
          </cell>
          <cell r="L9021" t="str">
            <v>13-34-001-13W2</v>
          </cell>
          <cell r="O9021">
            <v>809</v>
          </cell>
          <cell r="Q9021">
            <v>0.2</v>
          </cell>
          <cell r="T9021">
            <v>46.149000000000001</v>
          </cell>
        </row>
        <row r="9022">
          <cell r="G9022">
            <v>42826</v>
          </cell>
          <cell r="L9022" t="str">
            <v>16-25-001-15W2</v>
          </cell>
          <cell r="O9022">
            <v>820.9</v>
          </cell>
          <cell r="Q9022">
            <v>0.32</v>
          </cell>
          <cell r="T9022">
            <v>44.305999999999997</v>
          </cell>
        </row>
        <row r="9023">
          <cell r="G9023">
            <v>42826</v>
          </cell>
          <cell r="L9023" t="str">
            <v>15-06-006-21W2</v>
          </cell>
          <cell r="O9023">
            <v>823.6</v>
          </cell>
          <cell r="Q9023">
            <v>0.19</v>
          </cell>
          <cell r="T9023">
            <v>26.704000000000001</v>
          </cell>
        </row>
        <row r="9024">
          <cell r="G9024">
            <v>42826</v>
          </cell>
          <cell r="L9024" t="str">
            <v>15-29-005-15W2</v>
          </cell>
          <cell r="O9024">
            <v>885.7</v>
          </cell>
          <cell r="Q9024">
            <v>2.85</v>
          </cell>
          <cell r="T9024">
            <v>3401.2339999999999</v>
          </cell>
        </row>
        <row r="9025">
          <cell r="G9025">
            <v>42826</v>
          </cell>
          <cell r="L9025" t="str">
            <v>04-24-005-15W2</v>
          </cell>
          <cell r="O9025">
            <v>891.8</v>
          </cell>
          <cell r="Q9025">
            <v>2.85</v>
          </cell>
          <cell r="T9025">
            <v>1179.1980000000001</v>
          </cell>
        </row>
        <row r="9026">
          <cell r="G9026">
            <v>42826</v>
          </cell>
          <cell r="L9026" t="str">
            <v>09-34-005-15W2</v>
          </cell>
          <cell r="O9026">
            <v>879</v>
          </cell>
          <cell r="Q9026">
            <v>2.4900000000000002</v>
          </cell>
          <cell r="T9026">
            <v>1109.4580000000001</v>
          </cell>
        </row>
        <row r="9027">
          <cell r="G9027">
            <v>42826</v>
          </cell>
          <cell r="L9027" t="str">
            <v>06-17-006-14W2</v>
          </cell>
          <cell r="O9027">
            <v>868.1</v>
          </cell>
          <cell r="Q9027">
            <v>2.16</v>
          </cell>
          <cell r="T9027">
            <v>4530.973</v>
          </cell>
        </row>
        <row r="9028">
          <cell r="G9028">
            <v>42826</v>
          </cell>
          <cell r="L9028" t="str">
            <v>07-12-006-11W2</v>
          </cell>
          <cell r="O9028">
            <v>877.4</v>
          </cell>
          <cell r="Q9028">
            <v>2.11</v>
          </cell>
          <cell r="T9028">
            <v>21877.668000000001</v>
          </cell>
        </row>
        <row r="9029">
          <cell r="G9029">
            <v>42826</v>
          </cell>
          <cell r="L9029" t="str">
            <v>14-27-001-13W2</v>
          </cell>
          <cell r="O9029">
            <v>823.1</v>
          </cell>
          <cell r="Q9029">
            <v>0.56999999999999995</v>
          </cell>
          <cell r="T9029">
            <v>23117.685000000001</v>
          </cell>
        </row>
        <row r="9030">
          <cell r="G9030">
            <v>42826</v>
          </cell>
          <cell r="L9030" t="str">
            <v>09-13-007-11W2</v>
          </cell>
          <cell r="O9030">
            <v>821.5</v>
          </cell>
          <cell r="Q9030">
            <v>0.64</v>
          </cell>
          <cell r="T9030">
            <v>21198.933000000001</v>
          </cell>
        </row>
        <row r="9031">
          <cell r="G9031">
            <v>42826</v>
          </cell>
          <cell r="L9031" t="str">
            <v>01-21-001-14W2</v>
          </cell>
          <cell r="O9031">
            <v>807.2</v>
          </cell>
          <cell r="Q9031">
            <v>0.22</v>
          </cell>
          <cell r="T9031">
            <v>19811.154999999999</v>
          </cell>
        </row>
        <row r="9032">
          <cell r="G9032">
            <v>42826</v>
          </cell>
          <cell r="L9032" t="str">
            <v>13-30-007-10W2</v>
          </cell>
          <cell r="O9032">
            <v>820</v>
          </cell>
          <cell r="Q9032">
            <v>0.77</v>
          </cell>
          <cell r="T9032">
            <v>13068.535</v>
          </cell>
        </row>
        <row r="9033">
          <cell r="G9033">
            <v>42826</v>
          </cell>
          <cell r="L9033" t="str">
            <v>08-31-004-18W2</v>
          </cell>
          <cell r="O9033">
            <v>855.6</v>
          </cell>
          <cell r="Q9033">
            <v>1.87</v>
          </cell>
          <cell r="T9033">
            <v>7693.7780000000002</v>
          </cell>
        </row>
        <row r="9034">
          <cell r="G9034">
            <v>42826</v>
          </cell>
          <cell r="L9034" t="str">
            <v>05-31-003-16W2</v>
          </cell>
          <cell r="O9034">
            <v>887.3</v>
          </cell>
          <cell r="Q9034">
            <v>2.92</v>
          </cell>
          <cell r="T9034">
            <v>6110.1149999999998</v>
          </cell>
        </row>
        <row r="9035">
          <cell r="G9035">
            <v>42826</v>
          </cell>
          <cell r="L9035" t="str">
            <v>04-05-002-15W2</v>
          </cell>
          <cell r="O9035">
            <v>856.9</v>
          </cell>
          <cell r="Q9035">
            <v>1.97</v>
          </cell>
          <cell r="T9035">
            <v>3705.826</v>
          </cell>
        </row>
        <row r="9036">
          <cell r="G9036">
            <v>42826</v>
          </cell>
          <cell r="L9036" t="str">
            <v>11-02-005-12W2</v>
          </cell>
          <cell r="O9036">
            <v>852</v>
          </cell>
          <cell r="Q9036">
            <v>1.68</v>
          </cell>
          <cell r="T9036">
            <v>2980.6370000000002</v>
          </cell>
        </row>
        <row r="9037">
          <cell r="G9037">
            <v>42826</v>
          </cell>
          <cell r="L9037" t="str">
            <v>06-03-001-16W2</v>
          </cell>
          <cell r="O9037">
            <v>818.3</v>
          </cell>
          <cell r="Q9037">
            <v>0.48</v>
          </cell>
          <cell r="T9037">
            <v>2420.6219999999998</v>
          </cell>
        </row>
        <row r="9038">
          <cell r="G9038">
            <v>42826</v>
          </cell>
          <cell r="L9038" t="str">
            <v>11-26-002-19W2</v>
          </cell>
          <cell r="O9038">
            <v>872.1</v>
          </cell>
          <cell r="Q9038">
            <v>1.95</v>
          </cell>
          <cell r="T9038">
            <v>1704.6980000000001</v>
          </cell>
        </row>
        <row r="9039">
          <cell r="G9039">
            <v>42826</v>
          </cell>
          <cell r="L9039" t="str">
            <v>13-02-007-14W2</v>
          </cell>
          <cell r="O9039">
            <v>850.1</v>
          </cell>
          <cell r="Q9039">
            <v>1.9</v>
          </cell>
          <cell r="T9039">
            <v>1664.7049999999999</v>
          </cell>
        </row>
        <row r="9040">
          <cell r="G9040">
            <v>42826</v>
          </cell>
          <cell r="L9040" t="str">
            <v>16-23-006-11W2</v>
          </cell>
          <cell r="O9040">
            <v>877.8</v>
          </cell>
          <cell r="Q9040">
            <v>2.38</v>
          </cell>
          <cell r="T9040">
            <v>1639.1759999999999</v>
          </cell>
        </row>
        <row r="9041">
          <cell r="G9041">
            <v>42826</v>
          </cell>
          <cell r="L9041" t="str">
            <v>11-04-005-12W2</v>
          </cell>
          <cell r="O9041">
            <v>874.8</v>
          </cell>
          <cell r="Q9041">
            <v>2.12</v>
          </cell>
          <cell r="T9041">
            <v>1490.846</v>
          </cell>
        </row>
        <row r="9042">
          <cell r="G9042">
            <v>42826</v>
          </cell>
          <cell r="L9042" t="str">
            <v>15-32-004-12W2</v>
          </cell>
          <cell r="O9042">
            <v>880.6</v>
          </cell>
          <cell r="Q9042">
            <v>2.2400000000000002</v>
          </cell>
          <cell r="T9042">
            <v>1380.2639999999999</v>
          </cell>
        </row>
        <row r="9043">
          <cell r="G9043">
            <v>42826</v>
          </cell>
          <cell r="L9043" t="str">
            <v>15-25-007-11W2</v>
          </cell>
          <cell r="O9043">
            <v>872.5</v>
          </cell>
          <cell r="Q9043">
            <v>2.2400000000000002</v>
          </cell>
          <cell r="T9043">
            <v>1112.68</v>
          </cell>
        </row>
        <row r="9044">
          <cell r="G9044">
            <v>42826</v>
          </cell>
          <cell r="L9044" t="str">
            <v>12-25-004-19W2</v>
          </cell>
          <cell r="O9044">
            <v>861.8</v>
          </cell>
          <cell r="Q9044">
            <v>2.34</v>
          </cell>
          <cell r="T9044">
            <v>796.48599999999999</v>
          </cell>
        </row>
        <row r="9045">
          <cell r="G9045">
            <v>42826</v>
          </cell>
          <cell r="L9045" t="str">
            <v>02-29-001-17W2</v>
          </cell>
          <cell r="O9045">
            <v>863.9</v>
          </cell>
          <cell r="Q9045">
            <v>2.29</v>
          </cell>
          <cell r="T9045">
            <v>719.40099999999995</v>
          </cell>
        </row>
        <row r="9046">
          <cell r="G9046">
            <v>42826</v>
          </cell>
          <cell r="L9046" t="str">
            <v>05-35-006-11W2</v>
          </cell>
          <cell r="O9046">
            <v>806.7</v>
          </cell>
          <cell r="Q9046">
            <v>0.11</v>
          </cell>
          <cell r="T9046">
            <v>426.81</v>
          </cell>
        </row>
        <row r="9047">
          <cell r="G9047">
            <v>42826</v>
          </cell>
          <cell r="L9047" t="str">
            <v>09-28-001-15W2</v>
          </cell>
          <cell r="O9047">
            <v>860.1</v>
          </cell>
          <cell r="Q9047">
            <v>0.99</v>
          </cell>
          <cell r="T9047">
            <v>387.584</v>
          </cell>
        </row>
        <row r="9048">
          <cell r="G9048">
            <v>42826</v>
          </cell>
          <cell r="L9048" t="str">
            <v>03-12-002-19W2</v>
          </cell>
          <cell r="O9048">
            <v>872.3</v>
          </cell>
          <cell r="Q9048">
            <v>2.72</v>
          </cell>
          <cell r="T9048">
            <v>294.59699999999998</v>
          </cell>
        </row>
        <row r="9049">
          <cell r="G9049">
            <v>42826</v>
          </cell>
          <cell r="L9049" t="str">
            <v>03-33-008-06W2</v>
          </cell>
          <cell r="O9049">
            <v>807.1</v>
          </cell>
          <cell r="Q9049">
            <v>0.25</v>
          </cell>
          <cell r="T9049">
            <v>13021.991</v>
          </cell>
        </row>
        <row r="9050">
          <cell r="G9050">
            <v>42826</v>
          </cell>
          <cell r="L9050" t="str">
            <v>12-06-009-07W2</v>
          </cell>
          <cell r="O9050">
            <v>809.4</v>
          </cell>
          <cell r="Q9050">
            <v>0.16</v>
          </cell>
          <cell r="T9050">
            <v>8089.0709999999999</v>
          </cell>
        </row>
        <row r="9051">
          <cell r="G9051">
            <v>42826</v>
          </cell>
          <cell r="L9051" t="str">
            <v>02-26-009-09W2</v>
          </cell>
          <cell r="O9051">
            <v>811.5</v>
          </cell>
          <cell r="Q9051">
            <v>0.17</v>
          </cell>
          <cell r="T9051">
            <v>5250.2839999999997</v>
          </cell>
        </row>
        <row r="9052">
          <cell r="G9052">
            <v>42826</v>
          </cell>
          <cell r="L9052" t="str">
            <v>03-17-011-06W2</v>
          </cell>
          <cell r="O9052">
            <v>881.6</v>
          </cell>
          <cell r="Q9052">
            <v>2.67</v>
          </cell>
          <cell r="T9052">
            <v>2696.212</v>
          </cell>
        </row>
        <row r="9053">
          <cell r="G9053">
            <v>42826</v>
          </cell>
          <cell r="L9053" t="str">
            <v>13-14-009-09W2</v>
          </cell>
          <cell r="O9053">
            <v>865.9</v>
          </cell>
          <cell r="Q9053">
            <v>1.86</v>
          </cell>
          <cell r="T9053">
            <v>1825.89</v>
          </cell>
        </row>
        <row r="9054">
          <cell r="G9054">
            <v>42826</v>
          </cell>
          <cell r="L9054" t="str">
            <v>04-18-009-06W2</v>
          </cell>
          <cell r="O9054">
            <v>820.9</v>
          </cell>
          <cell r="Q9054">
            <v>0.61</v>
          </cell>
          <cell r="T9054">
            <v>1617.0429999999999</v>
          </cell>
        </row>
        <row r="9055">
          <cell r="G9055">
            <v>42826</v>
          </cell>
          <cell r="L9055" t="str">
            <v>09-10-009-06W2</v>
          </cell>
          <cell r="O9055">
            <v>853</v>
          </cell>
          <cell r="Q9055">
            <v>1.58</v>
          </cell>
          <cell r="T9055">
            <v>697.13900000000001</v>
          </cell>
        </row>
        <row r="9056">
          <cell r="G9056">
            <v>42826</v>
          </cell>
          <cell r="L9056" t="str">
            <v>09-26-007-09W2</v>
          </cell>
          <cell r="O9056">
            <v>829.6</v>
          </cell>
          <cell r="Q9056">
            <v>1.1000000000000001</v>
          </cell>
          <cell r="T9056">
            <v>668.01199999999994</v>
          </cell>
        </row>
        <row r="9057">
          <cell r="G9057">
            <v>42826</v>
          </cell>
          <cell r="L9057" t="str">
            <v>05-31-009-07W2</v>
          </cell>
          <cell r="O9057">
            <v>878.5</v>
          </cell>
          <cell r="Q9057">
            <v>2.4300000000000002</v>
          </cell>
          <cell r="T9057">
            <v>573.69299999999998</v>
          </cell>
        </row>
        <row r="9058">
          <cell r="G9058">
            <v>42826</v>
          </cell>
          <cell r="L9058" t="str">
            <v>09-30-007-08W2</v>
          </cell>
          <cell r="O9058">
            <v>829.6</v>
          </cell>
          <cell r="Q9058">
            <v>0.69</v>
          </cell>
          <cell r="T9058">
            <v>118.79</v>
          </cell>
        </row>
        <row r="9059">
          <cell r="G9059">
            <v>42826</v>
          </cell>
          <cell r="L9059" t="str">
            <v>15-09-010-08W2</v>
          </cell>
          <cell r="O9059">
            <v>885.5</v>
          </cell>
          <cell r="Q9059">
            <v>2.67</v>
          </cell>
          <cell r="T9059">
            <v>39.076000000000001</v>
          </cell>
        </row>
        <row r="9060">
          <cell r="G9060">
            <v>42826</v>
          </cell>
          <cell r="L9060" t="str">
            <v>04-08-008-08W2</v>
          </cell>
          <cell r="O9060">
            <v>814.3</v>
          </cell>
          <cell r="Q9060">
            <v>0.44</v>
          </cell>
          <cell r="T9060">
            <v>140792.67800000001</v>
          </cell>
        </row>
        <row r="9061">
          <cell r="G9061">
            <v>42826</v>
          </cell>
          <cell r="L9061" t="str">
            <v>11-15-007-09W2</v>
          </cell>
          <cell r="O9061">
            <v>823.8</v>
          </cell>
          <cell r="Q9061">
            <v>0.73</v>
          </cell>
          <cell r="T9061">
            <v>6439.6459999999997</v>
          </cell>
        </row>
        <row r="9062">
          <cell r="G9062">
            <v>42826</v>
          </cell>
          <cell r="L9062" t="str">
            <v>13-18-010-06W2</v>
          </cell>
          <cell r="O9062">
            <v>825.1</v>
          </cell>
          <cell r="Q9062">
            <v>0.69</v>
          </cell>
          <cell r="T9062">
            <v>3934.0360000000001</v>
          </cell>
        </row>
        <row r="9063">
          <cell r="G9063">
            <v>42826</v>
          </cell>
          <cell r="L9063" t="str">
            <v>13-07-010-09W2</v>
          </cell>
          <cell r="O9063">
            <v>814.7</v>
          </cell>
          <cell r="Q9063">
            <v>0.17</v>
          </cell>
          <cell r="T9063">
            <v>2359.5050000000001</v>
          </cell>
        </row>
        <row r="9064">
          <cell r="G9064">
            <v>42826</v>
          </cell>
          <cell r="L9064" t="str">
            <v>09-06-010-07W2</v>
          </cell>
          <cell r="O9064">
            <v>881.3</v>
          </cell>
          <cell r="Q9064">
            <v>2.2200000000000002</v>
          </cell>
          <cell r="T9064">
            <v>2029.066</v>
          </cell>
        </row>
        <row r="9065">
          <cell r="G9065">
            <v>42826</v>
          </cell>
          <cell r="L9065" t="str">
            <v>15-23-006-08W2</v>
          </cell>
          <cell r="O9065">
            <v>863.5</v>
          </cell>
          <cell r="Q9065">
            <v>1.43</v>
          </cell>
          <cell r="T9065">
            <v>1954.143</v>
          </cell>
        </row>
        <row r="9066">
          <cell r="G9066">
            <v>42826</v>
          </cell>
          <cell r="L9066" t="str">
            <v>09-20-008-08W2</v>
          </cell>
          <cell r="O9066">
            <v>813.8</v>
          </cell>
          <cell r="Q9066">
            <v>0.49</v>
          </cell>
          <cell r="T9066">
            <v>1781.8</v>
          </cell>
        </row>
        <row r="9067">
          <cell r="G9067">
            <v>42826</v>
          </cell>
          <cell r="L9067" t="str">
            <v>05-13-009-06W2</v>
          </cell>
          <cell r="O9067">
            <v>848.4</v>
          </cell>
          <cell r="Q9067">
            <v>1.59</v>
          </cell>
          <cell r="T9067">
            <v>1670.2180000000001</v>
          </cell>
        </row>
        <row r="9068">
          <cell r="G9068">
            <v>42826</v>
          </cell>
          <cell r="L9068" t="str">
            <v>05-13-008-06W2</v>
          </cell>
          <cell r="O9068">
            <v>820</v>
          </cell>
          <cell r="Q9068">
            <v>0.59</v>
          </cell>
          <cell r="T9068">
            <v>1305.702</v>
          </cell>
        </row>
        <row r="9069">
          <cell r="G9069">
            <v>42826</v>
          </cell>
          <cell r="L9069" t="str">
            <v>07-04-010-08W2</v>
          </cell>
          <cell r="O9069">
            <v>878</v>
          </cell>
          <cell r="Q9069">
            <v>2.57</v>
          </cell>
          <cell r="T9069">
            <v>1228.731</v>
          </cell>
        </row>
        <row r="9070">
          <cell r="G9070">
            <v>42826</v>
          </cell>
          <cell r="L9070" t="str">
            <v>01-26-006-09W2</v>
          </cell>
          <cell r="O9070">
            <v>884.3</v>
          </cell>
          <cell r="Q9070">
            <v>2.33</v>
          </cell>
          <cell r="T9070">
            <v>1068.818</v>
          </cell>
        </row>
        <row r="9071">
          <cell r="G9071">
            <v>42826</v>
          </cell>
          <cell r="L9071" t="str">
            <v>01-22-010-07W2</v>
          </cell>
          <cell r="O9071">
            <v>892.1</v>
          </cell>
          <cell r="Q9071">
            <v>2.31</v>
          </cell>
          <cell r="T9071">
            <v>926.19399999999996</v>
          </cell>
        </row>
        <row r="9072">
          <cell r="G9072">
            <v>42826</v>
          </cell>
          <cell r="L9072" t="str">
            <v>09-11-010-08W2</v>
          </cell>
          <cell r="O9072">
            <v>880.9</v>
          </cell>
          <cell r="Q9072">
            <v>2.58</v>
          </cell>
          <cell r="T9072">
            <v>743.52200000000005</v>
          </cell>
        </row>
        <row r="9073">
          <cell r="G9073">
            <v>42826</v>
          </cell>
          <cell r="L9073" t="str">
            <v>16-35-009-09W2</v>
          </cell>
          <cell r="O9073">
            <v>882.5</v>
          </cell>
          <cell r="Q9073">
            <v>2.58</v>
          </cell>
          <cell r="T9073">
            <v>580.86599999999999</v>
          </cell>
        </row>
        <row r="9074">
          <cell r="G9074">
            <v>42826</v>
          </cell>
          <cell r="L9074" t="str">
            <v>07-28-007-08W2</v>
          </cell>
          <cell r="O9074">
            <v>848.3</v>
          </cell>
          <cell r="Q9074">
            <v>1.76</v>
          </cell>
          <cell r="T9074">
            <v>579.95899999999995</v>
          </cell>
        </row>
        <row r="9075">
          <cell r="G9075">
            <v>42826</v>
          </cell>
          <cell r="L9075" t="str">
            <v>01-04-007-09W2</v>
          </cell>
          <cell r="O9075">
            <v>812.9</v>
          </cell>
          <cell r="Q9075">
            <v>0.26</v>
          </cell>
          <cell r="T9075">
            <v>498.88400000000001</v>
          </cell>
        </row>
        <row r="9076">
          <cell r="G9076">
            <v>42826</v>
          </cell>
          <cell r="L9076" t="str">
            <v>07-25-009-08W2</v>
          </cell>
          <cell r="O9076">
            <v>882.4</v>
          </cell>
          <cell r="Q9076">
            <v>2.39</v>
          </cell>
          <cell r="T9076">
            <v>317.09399999999999</v>
          </cell>
        </row>
        <row r="9077">
          <cell r="G9077">
            <v>42826</v>
          </cell>
          <cell r="L9077" t="str">
            <v>10-11-005-14W2</v>
          </cell>
          <cell r="O9077">
            <v>899.4</v>
          </cell>
          <cell r="Q9077">
            <v>2.86</v>
          </cell>
          <cell r="T9077">
            <v>388.589</v>
          </cell>
        </row>
        <row r="9078">
          <cell r="G9078">
            <v>42826</v>
          </cell>
          <cell r="L9078" t="str">
            <v>12-13-006-13W2</v>
          </cell>
          <cell r="O9078">
            <v>873.2</v>
          </cell>
          <cell r="Q9078">
            <v>2.5299999999999998</v>
          </cell>
          <cell r="T9078">
            <v>342.00200000000001</v>
          </cell>
        </row>
        <row r="9079">
          <cell r="G9079">
            <v>42826</v>
          </cell>
          <cell r="L9079" t="str">
            <v>03-15-005-13W2</v>
          </cell>
          <cell r="O9079">
            <v>899.7</v>
          </cell>
          <cell r="Q9079">
            <v>2.85</v>
          </cell>
          <cell r="T9079">
            <v>316.05799999999999</v>
          </cell>
        </row>
        <row r="9080">
          <cell r="G9080">
            <v>42826</v>
          </cell>
          <cell r="L9080" t="str">
            <v>15-19-005-13W2</v>
          </cell>
          <cell r="O9080">
            <v>896.6</v>
          </cell>
          <cell r="Q9080">
            <v>2.72</v>
          </cell>
          <cell r="T9080">
            <v>204.81399999999999</v>
          </cell>
        </row>
        <row r="9081">
          <cell r="G9081">
            <v>42826</v>
          </cell>
          <cell r="L9081" t="str">
            <v>07-24-006-15W2</v>
          </cell>
          <cell r="O9081">
            <v>870.9</v>
          </cell>
          <cell r="Q9081">
            <v>2.19</v>
          </cell>
          <cell r="T9081">
            <v>1635.163</v>
          </cell>
        </row>
        <row r="9082">
          <cell r="G9082">
            <v>42826</v>
          </cell>
          <cell r="L9082" t="str">
            <v>07-07-006-15W2</v>
          </cell>
          <cell r="O9082">
            <v>869.1</v>
          </cell>
          <cell r="Q9082">
            <v>2.78</v>
          </cell>
          <cell r="T9082">
            <v>6716.366</v>
          </cell>
        </row>
        <row r="9083">
          <cell r="G9083">
            <v>42826</v>
          </cell>
          <cell r="L9083" t="str">
            <v>01-29-004-07W2</v>
          </cell>
          <cell r="O9083">
            <v>886.3</v>
          </cell>
          <cell r="Q9083">
            <v>2.04</v>
          </cell>
          <cell r="T9083">
            <v>198.77199999999999</v>
          </cell>
        </row>
        <row r="9084">
          <cell r="G9084">
            <v>42826</v>
          </cell>
          <cell r="L9084" t="str">
            <v>06-24-004-09W2</v>
          </cell>
          <cell r="O9084">
            <v>877.5</v>
          </cell>
          <cell r="Q9084">
            <v>1.96</v>
          </cell>
          <cell r="T9084">
            <v>1305.3330000000001</v>
          </cell>
        </row>
        <row r="9085">
          <cell r="G9085">
            <v>42826</v>
          </cell>
          <cell r="L9085" t="str">
            <v>10-22-004-07W2</v>
          </cell>
          <cell r="O9085">
            <v>881.9</v>
          </cell>
          <cell r="Q9085">
            <v>2.1</v>
          </cell>
          <cell r="T9085">
            <v>1251.0029999999999</v>
          </cell>
        </row>
        <row r="9086">
          <cell r="G9086">
            <v>42826</v>
          </cell>
          <cell r="L9086" t="str">
            <v>16-30-004-08W2</v>
          </cell>
          <cell r="O9086">
            <v>884.1</v>
          </cell>
          <cell r="Q9086">
            <v>2.1800000000000002</v>
          </cell>
          <cell r="T9086">
            <v>1800.854</v>
          </cell>
        </row>
        <row r="9087">
          <cell r="G9087">
            <v>42826</v>
          </cell>
          <cell r="L9087" t="str">
            <v>09-08-004-03W2</v>
          </cell>
          <cell r="O9087">
            <v>830.4</v>
          </cell>
          <cell r="Q9087">
            <v>1.04</v>
          </cell>
          <cell r="T9087">
            <v>12874.832</v>
          </cell>
        </row>
        <row r="9088">
          <cell r="G9088">
            <v>42826</v>
          </cell>
          <cell r="L9088" t="str">
            <v>11-25-005-06W2</v>
          </cell>
          <cell r="O9088">
            <v>843.6</v>
          </cell>
          <cell r="Q9088">
            <v>1.1200000000000001</v>
          </cell>
          <cell r="T9088">
            <v>6735.8530000000001</v>
          </cell>
        </row>
        <row r="9089">
          <cell r="G9089">
            <v>42826</v>
          </cell>
          <cell r="L9089" t="str">
            <v>03-15-004-06W2</v>
          </cell>
          <cell r="O9089">
            <v>853</v>
          </cell>
          <cell r="Q9089">
            <v>1.35</v>
          </cell>
          <cell r="T9089">
            <v>4664.6729999999998</v>
          </cell>
        </row>
        <row r="9090">
          <cell r="G9090">
            <v>42826</v>
          </cell>
          <cell r="L9090" t="str">
            <v>14-30-001-04W2</v>
          </cell>
          <cell r="O9090">
            <v>824.9</v>
          </cell>
          <cell r="Q9090">
            <v>0.61</v>
          </cell>
          <cell r="T9090">
            <v>3731.5810000000001</v>
          </cell>
        </row>
        <row r="9091">
          <cell r="G9091">
            <v>42826</v>
          </cell>
          <cell r="L9091" t="str">
            <v>05-07-005-03W2</v>
          </cell>
          <cell r="O9091">
            <v>845.6</v>
          </cell>
          <cell r="Q9091">
            <v>1.26</v>
          </cell>
          <cell r="T9091">
            <v>3164.721</v>
          </cell>
        </row>
        <row r="9092">
          <cell r="G9092">
            <v>42826</v>
          </cell>
          <cell r="L9092" t="str">
            <v>07-35-004-04W2</v>
          </cell>
          <cell r="O9092">
            <v>851.2</v>
          </cell>
          <cell r="Q9092">
            <v>1.6</v>
          </cell>
          <cell r="T9092">
            <v>2822.2620000000002</v>
          </cell>
        </row>
        <row r="9093">
          <cell r="G9093">
            <v>42826</v>
          </cell>
          <cell r="L9093" t="str">
            <v>16-33-005-06W2</v>
          </cell>
          <cell r="O9093">
            <v>872.9</v>
          </cell>
          <cell r="Q9093">
            <v>1.79</v>
          </cell>
          <cell r="T9093">
            <v>2745.7159999999999</v>
          </cell>
        </row>
        <row r="9094">
          <cell r="G9094">
            <v>42826</v>
          </cell>
          <cell r="L9094" t="str">
            <v>09-33-005-05W2</v>
          </cell>
          <cell r="O9094">
            <v>844.4</v>
          </cell>
          <cell r="Q9094">
            <v>0.73</v>
          </cell>
          <cell r="T9094">
            <v>2057.73</v>
          </cell>
        </row>
        <row r="9095">
          <cell r="G9095">
            <v>42826</v>
          </cell>
          <cell r="L9095" t="str">
            <v>06-27-004-06W2</v>
          </cell>
          <cell r="O9095">
            <v>832.1</v>
          </cell>
          <cell r="Q9095">
            <v>0.69</v>
          </cell>
          <cell r="T9095">
            <v>1356.59</v>
          </cell>
        </row>
        <row r="9096">
          <cell r="G9096">
            <v>42826</v>
          </cell>
          <cell r="L9096" t="str">
            <v>11-02-005-04W2</v>
          </cell>
          <cell r="O9096">
            <v>851.9</v>
          </cell>
          <cell r="Q9096">
            <v>1.46</v>
          </cell>
          <cell r="T9096">
            <v>1338.5350000000001</v>
          </cell>
        </row>
        <row r="9097">
          <cell r="G9097">
            <v>42826</v>
          </cell>
          <cell r="L9097" t="str">
            <v>16-36-004-06W2</v>
          </cell>
          <cell r="O9097">
            <v>841.7</v>
          </cell>
          <cell r="Q9097">
            <v>0.92</v>
          </cell>
          <cell r="T9097">
            <v>880.55600000000004</v>
          </cell>
        </row>
        <row r="9098">
          <cell r="G9098">
            <v>42826</v>
          </cell>
          <cell r="L9098" t="str">
            <v>09-10-005-04W2</v>
          </cell>
          <cell r="O9098">
            <v>854.5</v>
          </cell>
          <cell r="Q9098">
            <v>1.29</v>
          </cell>
          <cell r="T9098">
            <v>725.58</v>
          </cell>
        </row>
        <row r="9099">
          <cell r="G9099">
            <v>42826</v>
          </cell>
          <cell r="L9099" t="str">
            <v>13-30-005-05W2</v>
          </cell>
          <cell r="O9099">
            <v>848.1</v>
          </cell>
          <cell r="Q9099">
            <v>1.22</v>
          </cell>
          <cell r="T9099">
            <v>687.346</v>
          </cell>
        </row>
        <row r="9100">
          <cell r="G9100">
            <v>42826</v>
          </cell>
          <cell r="L9100" t="str">
            <v>07-18-005-04W2</v>
          </cell>
          <cell r="O9100">
            <v>853.8</v>
          </cell>
          <cell r="Q9100">
            <v>1.53</v>
          </cell>
          <cell r="T9100">
            <v>470.54399999999998</v>
          </cell>
        </row>
        <row r="9101">
          <cell r="G9101">
            <v>42826</v>
          </cell>
          <cell r="L9101" t="str">
            <v>01-01-006-06W2</v>
          </cell>
          <cell r="O9101">
            <v>848.7</v>
          </cell>
          <cell r="Q9101">
            <v>1.17</v>
          </cell>
          <cell r="T9101">
            <v>345.62799999999999</v>
          </cell>
        </row>
        <row r="9102">
          <cell r="G9102">
            <v>42826</v>
          </cell>
          <cell r="L9102" t="str">
            <v>14-18-001-04W2</v>
          </cell>
          <cell r="O9102">
            <v>827.5</v>
          </cell>
          <cell r="Q9102">
            <v>0.71</v>
          </cell>
          <cell r="T9102">
            <v>245.11099999999999</v>
          </cell>
        </row>
        <row r="9103">
          <cell r="G9103">
            <v>42826</v>
          </cell>
          <cell r="L9103" t="str">
            <v>01-11-005-04W2</v>
          </cell>
          <cell r="O9103">
            <v>850.3</v>
          </cell>
          <cell r="Q9103">
            <v>1.59</v>
          </cell>
          <cell r="T9103">
            <v>178.15</v>
          </cell>
        </row>
        <row r="9104">
          <cell r="G9104">
            <v>42826</v>
          </cell>
          <cell r="L9104" t="str">
            <v>01-17-005-08W2</v>
          </cell>
          <cell r="O9104">
            <v>883.9</v>
          </cell>
          <cell r="Q9104">
            <v>2.37</v>
          </cell>
          <cell r="T9104">
            <v>1712.0139999999999</v>
          </cell>
        </row>
        <row r="9105">
          <cell r="G9105">
            <v>42826</v>
          </cell>
          <cell r="L9105" t="str">
            <v>08-14-004-07W2</v>
          </cell>
          <cell r="O9105">
            <v>857.6</v>
          </cell>
          <cell r="Q9105">
            <v>1.53</v>
          </cell>
          <cell r="T9105">
            <v>909.47799999999995</v>
          </cell>
        </row>
        <row r="9106">
          <cell r="G9106">
            <v>42826</v>
          </cell>
          <cell r="L9106" t="str">
            <v>08-22-004-09W2</v>
          </cell>
          <cell r="O9106">
            <v>879.5</v>
          </cell>
          <cell r="Q9106">
            <v>2.17</v>
          </cell>
          <cell r="T9106">
            <v>797.85299999999995</v>
          </cell>
        </row>
        <row r="9107">
          <cell r="G9107">
            <v>42826</v>
          </cell>
          <cell r="L9107" t="str">
            <v>13-15-005-08W2</v>
          </cell>
          <cell r="O9107">
            <v>878</v>
          </cell>
          <cell r="Q9107">
            <v>2.12</v>
          </cell>
          <cell r="T9107">
            <v>543.57100000000003</v>
          </cell>
        </row>
        <row r="9108">
          <cell r="G9108">
            <v>42826</v>
          </cell>
          <cell r="L9108" t="str">
            <v>14-13-001-05W2</v>
          </cell>
          <cell r="O9108">
            <v>825.5</v>
          </cell>
          <cell r="Q9108">
            <v>0.56000000000000005</v>
          </cell>
          <cell r="T9108">
            <v>19345.195</v>
          </cell>
        </row>
        <row r="9109">
          <cell r="G9109">
            <v>42826</v>
          </cell>
          <cell r="L9109" t="str">
            <v>05-20-004-04W2</v>
          </cell>
          <cell r="O9109">
            <v>824.5</v>
          </cell>
          <cell r="Q9109">
            <v>1.7</v>
          </cell>
          <cell r="T9109">
            <v>4145.7510000000002</v>
          </cell>
        </row>
        <row r="9110">
          <cell r="G9110">
            <v>42826</v>
          </cell>
          <cell r="L9110" t="str">
            <v>11-16-005-04W2</v>
          </cell>
          <cell r="O9110">
            <v>853.2</v>
          </cell>
          <cell r="Q9110">
            <v>1.36</v>
          </cell>
          <cell r="T9110">
            <v>3019.7249999999999</v>
          </cell>
        </row>
        <row r="9111">
          <cell r="G9111">
            <v>42826</v>
          </cell>
          <cell r="L9111" t="str">
            <v>05-24-005-04W2</v>
          </cell>
          <cell r="O9111">
            <v>856.8</v>
          </cell>
          <cell r="Q9111">
            <v>1.67</v>
          </cell>
          <cell r="T9111">
            <v>2772.9319999999998</v>
          </cell>
        </row>
        <row r="9112">
          <cell r="G9112">
            <v>42826</v>
          </cell>
          <cell r="L9112" t="str">
            <v>05-34-005-06W2</v>
          </cell>
          <cell r="O9112">
            <v>873.7</v>
          </cell>
          <cell r="Q9112">
            <v>2.35</v>
          </cell>
          <cell r="T9112">
            <v>2271.1680000000001</v>
          </cell>
        </row>
        <row r="9113">
          <cell r="G9113">
            <v>42826</v>
          </cell>
          <cell r="L9113" t="str">
            <v>05-10-006-05W2</v>
          </cell>
          <cell r="O9113">
            <v>853.2</v>
          </cell>
          <cell r="Q9113">
            <v>1.59</v>
          </cell>
          <cell r="T9113">
            <v>2160.6550000000002</v>
          </cell>
        </row>
        <row r="9114">
          <cell r="G9114">
            <v>42826</v>
          </cell>
          <cell r="L9114" t="str">
            <v>07-08-004-05W2</v>
          </cell>
          <cell r="O9114">
            <v>836.2</v>
          </cell>
          <cell r="Q9114">
            <v>0.89</v>
          </cell>
          <cell r="T9114">
            <v>1939.77</v>
          </cell>
        </row>
        <row r="9115">
          <cell r="G9115">
            <v>42826</v>
          </cell>
          <cell r="L9115" t="str">
            <v>02-13-006-06W2</v>
          </cell>
          <cell r="O9115">
            <v>842.7</v>
          </cell>
          <cell r="Q9115">
            <v>1.44</v>
          </cell>
          <cell r="T9115">
            <v>1227.76</v>
          </cell>
        </row>
        <row r="9116">
          <cell r="G9116">
            <v>42826</v>
          </cell>
          <cell r="L9116" t="str">
            <v>03-29-003-04W2</v>
          </cell>
          <cell r="O9116">
            <v>837.1</v>
          </cell>
          <cell r="Q9116">
            <v>0.84</v>
          </cell>
          <cell r="T9116">
            <v>1032.999</v>
          </cell>
        </row>
        <row r="9117">
          <cell r="G9117">
            <v>42826</v>
          </cell>
          <cell r="L9117" t="str">
            <v>09-27-004-05W2</v>
          </cell>
          <cell r="O9117">
            <v>829.2</v>
          </cell>
          <cell r="Q9117">
            <v>1.27</v>
          </cell>
          <cell r="T9117">
            <v>1021.688</v>
          </cell>
        </row>
        <row r="9118">
          <cell r="G9118">
            <v>42826</v>
          </cell>
          <cell r="L9118" t="str">
            <v>11-28-005-06W2</v>
          </cell>
          <cell r="O9118">
            <v>879.8</v>
          </cell>
          <cell r="Q9118">
            <v>2.41</v>
          </cell>
          <cell r="T9118">
            <v>898.93200000000002</v>
          </cell>
        </row>
        <row r="9119">
          <cell r="G9119">
            <v>42826</v>
          </cell>
          <cell r="L9119" t="str">
            <v>07-27-007-06W2</v>
          </cell>
          <cell r="O9119">
            <v>806.3</v>
          </cell>
          <cell r="Q9119">
            <v>0.22</v>
          </cell>
          <cell r="T9119">
            <v>518.02800000000002</v>
          </cell>
        </row>
        <row r="9120">
          <cell r="G9120">
            <v>42826</v>
          </cell>
          <cell r="L9120" t="str">
            <v>03-05-006-05W2</v>
          </cell>
          <cell r="O9120">
            <v>837</v>
          </cell>
          <cell r="Q9120">
            <v>0.96</v>
          </cell>
          <cell r="T9120">
            <v>157.71600000000001</v>
          </cell>
        </row>
        <row r="9121">
          <cell r="G9121">
            <v>42826</v>
          </cell>
          <cell r="L9121" t="str">
            <v>12-30-006-15W2</v>
          </cell>
          <cell r="O9121">
            <v>890.4</v>
          </cell>
          <cell r="Q9121">
            <v>2.9</v>
          </cell>
          <cell r="T9121">
            <v>4754.5860000000002</v>
          </cell>
        </row>
        <row r="9122">
          <cell r="G9122">
            <v>42826</v>
          </cell>
          <cell r="L9122" t="str">
            <v>03-16-001-11W2</v>
          </cell>
          <cell r="O9122">
            <v>812.6</v>
          </cell>
          <cell r="Q9122">
            <v>0.18</v>
          </cell>
          <cell r="T9122">
            <v>4769.6040000000003</v>
          </cell>
        </row>
        <row r="9123">
          <cell r="G9123">
            <v>42826</v>
          </cell>
          <cell r="L9123" t="str">
            <v>16-19-002-04W2</v>
          </cell>
          <cell r="O9123">
            <v>840.9</v>
          </cell>
          <cell r="Q9123">
            <v>0.53</v>
          </cell>
          <cell r="T9123">
            <v>2584.944</v>
          </cell>
        </row>
        <row r="9124">
          <cell r="G9124">
            <v>42826</v>
          </cell>
          <cell r="L9124" t="str">
            <v>11-25-005-06W2</v>
          </cell>
          <cell r="O9124">
            <v>844</v>
          </cell>
          <cell r="Q9124">
            <v>1.1200000000000001</v>
          </cell>
          <cell r="T9124">
            <v>2496.4850000000001</v>
          </cell>
        </row>
        <row r="9125">
          <cell r="G9125">
            <v>42826</v>
          </cell>
          <cell r="L9125" t="str">
            <v>12-32-006-04W2</v>
          </cell>
          <cell r="O9125">
            <v>852.2</v>
          </cell>
          <cell r="Q9125">
            <v>1.82</v>
          </cell>
          <cell r="T9125">
            <v>2234.241</v>
          </cell>
        </row>
        <row r="9126">
          <cell r="G9126">
            <v>42826</v>
          </cell>
          <cell r="L9126" t="str">
            <v>15-05-163-91W1</v>
          </cell>
          <cell r="O9126">
            <v>832.3</v>
          </cell>
          <cell r="Q9126">
            <v>0.5</v>
          </cell>
          <cell r="T9126">
            <v>1525.3440000000001</v>
          </cell>
        </row>
        <row r="9127">
          <cell r="G9127">
            <v>42826</v>
          </cell>
          <cell r="L9127" t="str">
            <v>03-22-163-91W1</v>
          </cell>
          <cell r="O9127">
            <v>840.1</v>
          </cell>
          <cell r="Q9127">
            <v>0.5</v>
          </cell>
          <cell r="T9127">
            <v>1135.6289999999999</v>
          </cell>
        </row>
        <row r="9128">
          <cell r="G9128">
            <v>42826</v>
          </cell>
          <cell r="L9128" t="str">
            <v>03-22-163-91W1</v>
          </cell>
          <cell r="O9128">
            <v>835</v>
          </cell>
          <cell r="Q9128">
            <v>0.5</v>
          </cell>
          <cell r="T9128">
            <v>1070.0730000000001</v>
          </cell>
        </row>
        <row r="9129">
          <cell r="G9129">
            <v>42826</v>
          </cell>
          <cell r="L9129" t="str">
            <v>04-05-002-02W2</v>
          </cell>
          <cell r="O9129">
            <v>822.3</v>
          </cell>
          <cell r="Q9129">
            <v>0.62</v>
          </cell>
          <cell r="T9129">
            <v>965.77800000000002</v>
          </cell>
        </row>
        <row r="9130">
          <cell r="G9130">
            <v>42826</v>
          </cell>
          <cell r="L9130" t="str">
            <v>02-31-145-98W1</v>
          </cell>
          <cell r="O9130">
            <v>819.3</v>
          </cell>
          <cell r="Q9130">
            <v>0.41</v>
          </cell>
          <cell r="T9130">
            <v>589.98900000000003</v>
          </cell>
        </row>
        <row r="9131">
          <cell r="G9131">
            <v>42826</v>
          </cell>
          <cell r="L9131" t="str">
            <v>03-10-145-98W1</v>
          </cell>
          <cell r="O9131">
            <v>821.1</v>
          </cell>
          <cell r="Q9131">
            <v>0.41</v>
          </cell>
          <cell r="T9131">
            <v>451.04500000000002</v>
          </cell>
        </row>
        <row r="9132">
          <cell r="G9132">
            <v>42826</v>
          </cell>
          <cell r="L9132" t="str">
            <v>01-19-145-98W1</v>
          </cell>
          <cell r="O9132">
            <v>813.1</v>
          </cell>
          <cell r="Q9132">
            <v>0.38</v>
          </cell>
          <cell r="T9132">
            <v>400.25299999999999</v>
          </cell>
        </row>
        <row r="9133">
          <cell r="G9133">
            <v>42826</v>
          </cell>
          <cell r="L9133" t="str">
            <v>07-04-005-04W2</v>
          </cell>
          <cell r="O9133">
            <v>841.8</v>
          </cell>
          <cell r="Q9133">
            <v>0.89</v>
          </cell>
          <cell r="T9133">
            <v>383.14</v>
          </cell>
        </row>
        <row r="9134">
          <cell r="G9134">
            <v>42826</v>
          </cell>
          <cell r="L9134" t="str">
            <v>02-31-164-94W1</v>
          </cell>
          <cell r="O9134">
            <v>832.3</v>
          </cell>
          <cell r="Q9134">
            <v>0.49</v>
          </cell>
          <cell r="T9134">
            <v>336.387</v>
          </cell>
        </row>
        <row r="9135">
          <cell r="G9135">
            <v>42826</v>
          </cell>
          <cell r="L9135" t="str">
            <v>09-19-004-04W2</v>
          </cell>
          <cell r="O9135">
            <v>853.4</v>
          </cell>
          <cell r="Q9135">
            <v>1.19</v>
          </cell>
          <cell r="T9135">
            <v>334.81200000000001</v>
          </cell>
        </row>
        <row r="9136">
          <cell r="G9136">
            <v>42826</v>
          </cell>
          <cell r="L9136" t="str">
            <v>12-11-001-10W2</v>
          </cell>
          <cell r="O9136">
            <v>818.6</v>
          </cell>
          <cell r="Q9136">
            <v>0.17</v>
          </cell>
          <cell r="T9136">
            <v>334.44900000000001</v>
          </cell>
        </row>
        <row r="9137">
          <cell r="G9137">
            <v>42826</v>
          </cell>
          <cell r="L9137" t="str">
            <v>09-20-006-04W2</v>
          </cell>
          <cell r="O9137">
            <v>857.7</v>
          </cell>
          <cell r="Q9137">
            <v>1.36</v>
          </cell>
          <cell r="T9137">
            <v>303.20600000000002</v>
          </cell>
        </row>
        <row r="9138">
          <cell r="G9138">
            <v>42826</v>
          </cell>
          <cell r="L9138" t="str">
            <v>01-28-142-100W1</v>
          </cell>
          <cell r="O9138">
            <v>824.5</v>
          </cell>
          <cell r="Q9138">
            <v>0.4</v>
          </cell>
          <cell r="T9138">
            <v>253.42099999999999</v>
          </cell>
        </row>
        <row r="9139">
          <cell r="G9139">
            <v>42826</v>
          </cell>
          <cell r="L9139" t="str">
            <v>16-05-163-92W1</v>
          </cell>
          <cell r="O9139">
            <v>839.5</v>
          </cell>
          <cell r="Q9139">
            <v>0.51</v>
          </cell>
          <cell r="T9139">
            <v>234.107</v>
          </cell>
        </row>
        <row r="9140">
          <cell r="G9140">
            <v>42826</v>
          </cell>
          <cell r="L9140" t="str">
            <v>02-31-164-93W1</v>
          </cell>
          <cell r="O9140">
            <v>826.6</v>
          </cell>
          <cell r="Q9140">
            <v>0.46</v>
          </cell>
          <cell r="T9140">
            <v>224.82300000000001</v>
          </cell>
        </row>
        <row r="9141">
          <cell r="G9141">
            <v>42826</v>
          </cell>
          <cell r="L9141" t="str">
            <v>05-25-147-98W1</v>
          </cell>
          <cell r="O9141">
            <v>815.7</v>
          </cell>
          <cell r="Q9141">
            <v>0.56000000000000005</v>
          </cell>
          <cell r="T9141">
            <v>206.316</v>
          </cell>
        </row>
        <row r="9142">
          <cell r="G9142">
            <v>42826</v>
          </cell>
          <cell r="L9142" t="str">
            <v>24-06-158-95W1</v>
          </cell>
          <cell r="O9142">
            <v>810.1</v>
          </cell>
          <cell r="Q9142">
            <v>0.14000000000000001</v>
          </cell>
          <cell r="T9142">
            <v>204.14599999999999</v>
          </cell>
        </row>
        <row r="9143">
          <cell r="G9143">
            <v>42826</v>
          </cell>
          <cell r="L9143" t="str">
            <v>01-03-163-99W1</v>
          </cell>
          <cell r="O9143">
            <v>832.2</v>
          </cell>
          <cell r="Q9143">
            <v>0.16</v>
          </cell>
          <cell r="T9143">
            <v>196.078</v>
          </cell>
        </row>
        <row r="9144">
          <cell r="G9144">
            <v>42826</v>
          </cell>
          <cell r="L9144" t="str">
            <v>13-19-001-03W2</v>
          </cell>
          <cell r="O9144">
            <v>836.8</v>
          </cell>
          <cell r="Q9144">
            <v>0.62</v>
          </cell>
          <cell r="T9144">
            <v>185.92500000000001</v>
          </cell>
        </row>
        <row r="9145">
          <cell r="G9145">
            <v>42826</v>
          </cell>
          <cell r="L9145" t="str">
            <v>01-02-021-58W1</v>
          </cell>
          <cell r="O9145">
            <v>828.1</v>
          </cell>
          <cell r="Q9145">
            <v>0.7</v>
          </cell>
          <cell r="T9145">
            <v>177.732</v>
          </cell>
        </row>
        <row r="9146">
          <cell r="G9146">
            <v>42826</v>
          </cell>
          <cell r="L9146" t="str">
            <v>02-34-143-100W1</v>
          </cell>
          <cell r="O9146">
            <v>828.1</v>
          </cell>
          <cell r="Q9146">
            <v>0.38</v>
          </cell>
          <cell r="T9146">
            <v>174.53700000000001</v>
          </cell>
        </row>
        <row r="9147">
          <cell r="G9147">
            <v>42826</v>
          </cell>
          <cell r="L9147" t="str">
            <v>14-23-163-96W1</v>
          </cell>
          <cell r="O9147">
            <v>820.9</v>
          </cell>
          <cell r="Q9147">
            <v>0.15</v>
          </cell>
          <cell r="T9147">
            <v>166.441</v>
          </cell>
        </row>
        <row r="9148">
          <cell r="G9148">
            <v>42826</v>
          </cell>
          <cell r="L9148" t="str">
            <v>43-03-160-95W1</v>
          </cell>
          <cell r="O9148">
            <v>805.8</v>
          </cell>
          <cell r="Q9148">
            <v>0.2</v>
          </cell>
          <cell r="T9148">
            <v>165.43700000000001</v>
          </cell>
        </row>
        <row r="9149">
          <cell r="G9149">
            <v>42826</v>
          </cell>
          <cell r="L9149" t="str">
            <v>02-31-164-92W1</v>
          </cell>
          <cell r="O9149">
            <v>856.8</v>
          </cell>
          <cell r="Q9149">
            <v>0.46</v>
          </cell>
          <cell r="T9149">
            <v>159.309</v>
          </cell>
        </row>
        <row r="9150">
          <cell r="G9150">
            <v>42826</v>
          </cell>
          <cell r="L9150" t="str">
            <v>01-21-153-95W1</v>
          </cell>
          <cell r="O9150">
            <v>823.3</v>
          </cell>
          <cell r="Q9150">
            <v>0.37</v>
          </cell>
          <cell r="T9150">
            <v>154.233</v>
          </cell>
        </row>
        <row r="9151">
          <cell r="G9151">
            <v>42826</v>
          </cell>
          <cell r="L9151" t="str">
            <v>13-11-160-95W1</v>
          </cell>
          <cell r="O9151">
            <v>804.5</v>
          </cell>
          <cell r="Q9151">
            <v>0.18</v>
          </cell>
          <cell r="T9151">
            <v>146.83500000000001</v>
          </cell>
        </row>
        <row r="9152">
          <cell r="G9152">
            <v>42826</v>
          </cell>
          <cell r="L9152" t="str">
            <v>33-14-160-95W1</v>
          </cell>
          <cell r="O9152">
            <v>800.1</v>
          </cell>
          <cell r="Q9152">
            <v>0.17</v>
          </cell>
          <cell r="T9152">
            <v>140.184</v>
          </cell>
        </row>
        <row r="9153">
          <cell r="G9153">
            <v>42826</v>
          </cell>
          <cell r="L9153" t="str">
            <v>14-03-163-92W1</v>
          </cell>
          <cell r="O9153">
            <v>813.8</v>
          </cell>
          <cell r="Q9153">
            <v>0.5</v>
          </cell>
          <cell r="T9153">
            <v>137.999</v>
          </cell>
        </row>
        <row r="9154">
          <cell r="G9154">
            <v>42826</v>
          </cell>
          <cell r="L9154" t="str">
            <v>01-17-143-101W1</v>
          </cell>
          <cell r="O9154">
            <v>830.9</v>
          </cell>
          <cell r="Q9154">
            <v>0.51</v>
          </cell>
          <cell r="T9154">
            <v>134.863</v>
          </cell>
        </row>
        <row r="9155">
          <cell r="G9155">
            <v>42826</v>
          </cell>
          <cell r="L9155" t="str">
            <v>01-26-152-96W1</v>
          </cell>
          <cell r="O9155">
            <v>815.3</v>
          </cell>
          <cell r="Q9155">
            <v>0.33</v>
          </cell>
          <cell r="T9155">
            <v>133.988</v>
          </cell>
        </row>
        <row r="9156">
          <cell r="G9156">
            <v>42826</v>
          </cell>
          <cell r="L9156" t="str">
            <v>01-02-151-102W1</v>
          </cell>
          <cell r="O9156">
            <v>836</v>
          </cell>
          <cell r="Q9156">
            <v>0.33</v>
          </cell>
          <cell r="T9156">
            <v>133.71700000000001</v>
          </cell>
        </row>
        <row r="9157">
          <cell r="G9157">
            <v>42826</v>
          </cell>
          <cell r="L9157" t="str">
            <v>01-30-147-97W1</v>
          </cell>
          <cell r="O9157">
            <v>800</v>
          </cell>
          <cell r="Q9157">
            <v>0.55000000000000004</v>
          </cell>
          <cell r="T9157">
            <v>133.27699999999999</v>
          </cell>
        </row>
        <row r="9158">
          <cell r="G9158">
            <v>42826</v>
          </cell>
          <cell r="L9158" t="str">
            <v>02-30-147-97W1</v>
          </cell>
          <cell r="O9158">
            <v>811.5</v>
          </cell>
          <cell r="Q9158">
            <v>0.46</v>
          </cell>
          <cell r="T9158">
            <v>130.71</v>
          </cell>
        </row>
        <row r="9159">
          <cell r="G9159">
            <v>42826</v>
          </cell>
          <cell r="L9159" t="str">
            <v>14-18-163-95W1</v>
          </cell>
          <cell r="O9159">
            <v>851.5</v>
          </cell>
          <cell r="Q9159">
            <v>1.1200000000000001</v>
          </cell>
          <cell r="T9159">
            <v>125.297</v>
          </cell>
        </row>
        <row r="9160">
          <cell r="G9160">
            <v>42826</v>
          </cell>
          <cell r="L9160" t="str">
            <v>01-24-160-96W1</v>
          </cell>
          <cell r="O9160">
            <v>836.9</v>
          </cell>
          <cell r="Q9160">
            <v>0.59</v>
          </cell>
          <cell r="T9160">
            <v>111.102</v>
          </cell>
        </row>
        <row r="9161">
          <cell r="G9161">
            <v>42826</v>
          </cell>
          <cell r="L9161" t="str">
            <v>01-13-022-57W1</v>
          </cell>
          <cell r="O9161">
            <v>800.3</v>
          </cell>
          <cell r="Q9161">
            <v>0.11</v>
          </cell>
          <cell r="T9161">
            <v>111.05200000000001</v>
          </cell>
        </row>
        <row r="9162">
          <cell r="G9162">
            <v>42826</v>
          </cell>
          <cell r="L9162" t="str">
            <v>04-25-144-98W1</v>
          </cell>
          <cell r="O9162">
            <v>816.2</v>
          </cell>
          <cell r="Q9162">
            <v>0.5</v>
          </cell>
          <cell r="T9162">
            <v>110.96299999999999</v>
          </cell>
        </row>
        <row r="9163">
          <cell r="G9163">
            <v>42826</v>
          </cell>
          <cell r="L9163" t="str">
            <v>01-31-159-95W1</v>
          </cell>
          <cell r="O9163">
            <v>818.8</v>
          </cell>
          <cell r="Q9163">
            <v>0.78</v>
          </cell>
          <cell r="T9163">
            <v>109.226</v>
          </cell>
        </row>
        <row r="9164">
          <cell r="G9164">
            <v>42826</v>
          </cell>
          <cell r="L9164" t="str">
            <v>35-26-164-97W1</v>
          </cell>
          <cell r="O9164">
            <v>806.5</v>
          </cell>
          <cell r="Q9164">
            <v>0.14000000000000001</v>
          </cell>
          <cell r="T9164">
            <v>106.962</v>
          </cell>
        </row>
        <row r="9165">
          <cell r="G9165">
            <v>42826</v>
          </cell>
          <cell r="L9165" t="str">
            <v>12-03-146-100W1</v>
          </cell>
          <cell r="O9165">
            <v>834.3</v>
          </cell>
          <cell r="Q9165">
            <v>0.47</v>
          </cell>
          <cell r="T9165">
            <v>105.422</v>
          </cell>
        </row>
        <row r="9166">
          <cell r="G9166">
            <v>42826</v>
          </cell>
          <cell r="L9166" t="str">
            <v>01-03-155-91W1</v>
          </cell>
          <cell r="O9166">
            <v>860.6</v>
          </cell>
          <cell r="Q9166">
            <v>1.29</v>
          </cell>
          <cell r="T9166">
            <v>102.80800000000001</v>
          </cell>
        </row>
        <row r="9167">
          <cell r="G9167">
            <v>42826</v>
          </cell>
          <cell r="L9167" t="str">
            <v>04-24-147-98W1</v>
          </cell>
          <cell r="O9167">
            <v>814.1</v>
          </cell>
          <cell r="Q9167">
            <v>0.56000000000000005</v>
          </cell>
          <cell r="T9167">
            <v>102.726</v>
          </cell>
        </row>
        <row r="9168">
          <cell r="G9168">
            <v>42826</v>
          </cell>
          <cell r="L9168" t="str">
            <v>01-19-147-97W1</v>
          </cell>
          <cell r="O9168">
            <v>814.7</v>
          </cell>
          <cell r="Q9168">
            <v>0.78</v>
          </cell>
          <cell r="T9168">
            <v>101.58199999999999</v>
          </cell>
        </row>
        <row r="9169">
          <cell r="G9169">
            <v>42826</v>
          </cell>
          <cell r="L9169" t="str">
            <v>07-22-003-03W2</v>
          </cell>
          <cell r="O9169">
            <v>830.3</v>
          </cell>
          <cell r="Q9169">
            <v>0.59</v>
          </cell>
          <cell r="T9169">
            <v>101.054</v>
          </cell>
        </row>
        <row r="9170">
          <cell r="G9170">
            <v>42826</v>
          </cell>
          <cell r="L9170" t="str">
            <v>07-29-009-04W2</v>
          </cell>
          <cell r="O9170">
            <v>839.9</v>
          </cell>
          <cell r="Q9170">
            <v>1.1399999999999999</v>
          </cell>
          <cell r="T9170">
            <v>95.292000000000002</v>
          </cell>
        </row>
        <row r="9171">
          <cell r="G9171">
            <v>42826</v>
          </cell>
          <cell r="L9171" t="str">
            <v>06-06-162-96W1</v>
          </cell>
          <cell r="O9171">
            <v>834.7</v>
          </cell>
          <cell r="Q9171">
            <v>0.15</v>
          </cell>
          <cell r="T9171">
            <v>87.725999999999999</v>
          </cell>
        </row>
        <row r="9172">
          <cell r="G9172">
            <v>42826</v>
          </cell>
          <cell r="L9172" t="str">
            <v>01-18-147-97W1</v>
          </cell>
          <cell r="O9172">
            <v>819.6</v>
          </cell>
          <cell r="Q9172">
            <v>0.77</v>
          </cell>
          <cell r="T9172">
            <v>82.960999999999999</v>
          </cell>
        </row>
        <row r="9173">
          <cell r="G9173">
            <v>42826</v>
          </cell>
          <cell r="L9173" t="str">
            <v>01-08-153-95W1</v>
          </cell>
          <cell r="O9173">
            <v>819.3</v>
          </cell>
          <cell r="Q9173">
            <v>0.31</v>
          </cell>
          <cell r="T9173">
            <v>82.835999999999999</v>
          </cell>
        </row>
        <row r="9174">
          <cell r="G9174">
            <v>42826</v>
          </cell>
          <cell r="L9174" t="str">
            <v>10-01-157-95W1</v>
          </cell>
          <cell r="O9174">
            <v>836.1</v>
          </cell>
          <cell r="Q9174">
            <v>0.54</v>
          </cell>
          <cell r="T9174">
            <v>82.793000000000006</v>
          </cell>
        </row>
        <row r="9175">
          <cell r="G9175">
            <v>42826</v>
          </cell>
          <cell r="L9175" t="str">
            <v>03-25-147-98W1</v>
          </cell>
          <cell r="O9175">
            <v>811.2</v>
          </cell>
          <cell r="Q9175">
            <v>0.45</v>
          </cell>
          <cell r="T9175">
            <v>81.233000000000004</v>
          </cell>
        </row>
        <row r="9176">
          <cell r="G9176">
            <v>42826</v>
          </cell>
          <cell r="L9176" t="str">
            <v>01-33-141-100W1</v>
          </cell>
          <cell r="O9176">
            <v>816.7</v>
          </cell>
          <cell r="Q9176">
            <v>0.39</v>
          </cell>
          <cell r="T9176">
            <v>81.088999999999999</v>
          </cell>
        </row>
        <row r="9177">
          <cell r="G9177">
            <v>42826</v>
          </cell>
          <cell r="L9177" t="str">
            <v>01-03-153-95W1</v>
          </cell>
          <cell r="O9177">
            <v>776.4</v>
          </cell>
          <cell r="Q9177">
            <v>0.5</v>
          </cell>
          <cell r="T9177">
            <v>80.852999999999994</v>
          </cell>
        </row>
        <row r="9178">
          <cell r="G9178">
            <v>42826</v>
          </cell>
          <cell r="L9178" t="str">
            <v>44-35-022-58W1</v>
          </cell>
          <cell r="O9178">
            <v>861.3</v>
          </cell>
          <cell r="Q9178">
            <v>1.02</v>
          </cell>
          <cell r="T9178">
            <v>79.016000000000005</v>
          </cell>
        </row>
        <row r="9179">
          <cell r="G9179">
            <v>42826</v>
          </cell>
          <cell r="L9179" t="str">
            <v>01-18-145-97W1</v>
          </cell>
          <cell r="O9179">
            <v>817.6</v>
          </cell>
          <cell r="Q9179">
            <v>0.45</v>
          </cell>
          <cell r="T9179">
            <v>78.445999999999998</v>
          </cell>
        </row>
        <row r="9180">
          <cell r="G9180">
            <v>42826</v>
          </cell>
          <cell r="L9180" t="str">
            <v>04-19-147-97W1</v>
          </cell>
          <cell r="O9180">
            <v>828.9</v>
          </cell>
          <cell r="Q9180">
            <v>0.52</v>
          </cell>
          <cell r="T9180">
            <v>78.034000000000006</v>
          </cell>
        </row>
        <row r="9181">
          <cell r="G9181">
            <v>42826</v>
          </cell>
          <cell r="L9181" t="str">
            <v>01-31-159-95W1</v>
          </cell>
          <cell r="O9181">
            <v>842</v>
          </cell>
          <cell r="Q9181">
            <v>0.73</v>
          </cell>
          <cell r="T9181">
            <v>78.019000000000005</v>
          </cell>
        </row>
        <row r="9182">
          <cell r="G9182">
            <v>42826</v>
          </cell>
          <cell r="L9182" t="str">
            <v>02-09-142-100W1</v>
          </cell>
          <cell r="O9182">
            <v>830.5</v>
          </cell>
          <cell r="Q9182">
            <v>0.38</v>
          </cell>
          <cell r="T9182">
            <v>76.756</v>
          </cell>
        </row>
        <row r="9183">
          <cell r="G9183">
            <v>42826</v>
          </cell>
          <cell r="L9183" t="str">
            <v>01-28-152-101W1</v>
          </cell>
          <cell r="O9183">
            <v>831.3</v>
          </cell>
          <cell r="Q9183">
            <v>0.45</v>
          </cell>
          <cell r="T9183">
            <v>76.150999999999996</v>
          </cell>
        </row>
        <row r="9184">
          <cell r="G9184">
            <v>42826</v>
          </cell>
          <cell r="L9184" t="str">
            <v>01-28-141-100W1</v>
          </cell>
          <cell r="O9184">
            <v>826.7</v>
          </cell>
          <cell r="Q9184">
            <v>0.37</v>
          </cell>
          <cell r="T9184">
            <v>72.248000000000005</v>
          </cell>
        </row>
        <row r="9185">
          <cell r="G9185">
            <v>42826</v>
          </cell>
          <cell r="L9185" t="str">
            <v>10-30-147-97W1</v>
          </cell>
          <cell r="O9185">
            <v>814.1</v>
          </cell>
          <cell r="Q9185">
            <v>0.52</v>
          </cell>
          <cell r="T9185">
            <v>71.168000000000006</v>
          </cell>
        </row>
        <row r="9186">
          <cell r="G9186">
            <v>42826</v>
          </cell>
          <cell r="L9186" t="str">
            <v>08-31-007-07W2</v>
          </cell>
          <cell r="O9186">
            <v>867.3</v>
          </cell>
          <cell r="Q9186">
            <v>1.94</v>
          </cell>
          <cell r="T9186">
            <v>63.545999999999999</v>
          </cell>
        </row>
        <row r="9187">
          <cell r="G9187">
            <v>42826</v>
          </cell>
          <cell r="L9187" t="str">
            <v>01-22-142-100W1</v>
          </cell>
          <cell r="O9187">
            <v>818</v>
          </cell>
          <cell r="Q9187">
            <v>0.31</v>
          </cell>
          <cell r="T9187">
            <v>60.296999999999997</v>
          </cell>
        </row>
        <row r="9188">
          <cell r="G9188">
            <v>42826</v>
          </cell>
          <cell r="L9188" t="str">
            <v>24-01-160-96W1</v>
          </cell>
          <cell r="O9188">
            <v>828.7</v>
          </cell>
          <cell r="Q9188">
            <v>0.49</v>
          </cell>
          <cell r="T9188">
            <v>59.984000000000002</v>
          </cell>
        </row>
        <row r="9189">
          <cell r="G9189">
            <v>42826</v>
          </cell>
          <cell r="L9189" t="str">
            <v>01-15-022-57W1</v>
          </cell>
          <cell r="O9189">
            <v>800.6</v>
          </cell>
          <cell r="Q9189">
            <v>0.37</v>
          </cell>
          <cell r="T9189">
            <v>56.076000000000001</v>
          </cell>
        </row>
        <row r="9190">
          <cell r="G9190">
            <v>42826</v>
          </cell>
          <cell r="L9190" t="str">
            <v>03-01-158-95W1</v>
          </cell>
          <cell r="O9190">
            <v>827.6</v>
          </cell>
          <cell r="Q9190">
            <v>0.61</v>
          </cell>
          <cell r="T9190">
            <v>55.174999999999997</v>
          </cell>
        </row>
        <row r="9191">
          <cell r="G9191">
            <v>42826</v>
          </cell>
          <cell r="L9191" t="str">
            <v>34-02-157-95W1</v>
          </cell>
          <cell r="O9191">
            <v>824.4</v>
          </cell>
          <cell r="Q9191">
            <v>0.39</v>
          </cell>
          <cell r="T9191">
            <v>54.44</v>
          </cell>
        </row>
        <row r="9192">
          <cell r="G9192">
            <v>42826</v>
          </cell>
          <cell r="L9192" t="str">
            <v>34-01-157-95W1</v>
          </cell>
          <cell r="O9192">
            <v>817.3</v>
          </cell>
          <cell r="Q9192">
            <v>0.46</v>
          </cell>
          <cell r="T9192">
            <v>54.433999999999997</v>
          </cell>
        </row>
        <row r="9193">
          <cell r="G9193">
            <v>42826</v>
          </cell>
          <cell r="L9193" t="str">
            <v>01-31-164-98W1</v>
          </cell>
          <cell r="O9193">
            <v>819.5</v>
          </cell>
          <cell r="Q9193">
            <v>0.15</v>
          </cell>
          <cell r="T9193">
            <v>54.143999999999998</v>
          </cell>
        </row>
        <row r="9194">
          <cell r="G9194">
            <v>42826</v>
          </cell>
          <cell r="L9194" t="str">
            <v>01-26-144-98W1</v>
          </cell>
          <cell r="O9194">
            <v>834.3</v>
          </cell>
          <cell r="Q9194">
            <v>0.48</v>
          </cell>
          <cell r="T9194">
            <v>53.670999999999999</v>
          </cell>
        </row>
        <row r="9195">
          <cell r="G9195">
            <v>42826</v>
          </cell>
          <cell r="L9195" t="str">
            <v>01-34-159-95W1</v>
          </cell>
          <cell r="O9195">
            <v>833.9</v>
          </cell>
          <cell r="Q9195">
            <v>0.56999999999999995</v>
          </cell>
          <cell r="T9195">
            <v>53.575000000000003</v>
          </cell>
        </row>
        <row r="9196">
          <cell r="G9196">
            <v>42826</v>
          </cell>
          <cell r="L9196" t="str">
            <v>01-08-162-95W1</v>
          </cell>
          <cell r="O9196">
            <v>851.7</v>
          </cell>
          <cell r="Q9196">
            <v>0.8</v>
          </cell>
          <cell r="T9196">
            <v>53.11</v>
          </cell>
        </row>
        <row r="9197">
          <cell r="G9197">
            <v>42826</v>
          </cell>
          <cell r="L9197" t="str">
            <v>25-11-159-102W1</v>
          </cell>
          <cell r="O9197">
            <v>830.4</v>
          </cell>
          <cell r="Q9197">
            <v>0.45</v>
          </cell>
          <cell r="T9197">
            <v>52.817</v>
          </cell>
        </row>
        <row r="9198">
          <cell r="G9198">
            <v>42826</v>
          </cell>
          <cell r="L9198" t="str">
            <v>03-16-163-91W1</v>
          </cell>
          <cell r="O9198">
            <v>836.6</v>
          </cell>
          <cell r="Q9198">
            <v>0.47</v>
          </cell>
          <cell r="T9198">
            <v>52.314999999999998</v>
          </cell>
        </row>
        <row r="9199">
          <cell r="G9199">
            <v>42826</v>
          </cell>
          <cell r="L9199" t="str">
            <v>01-03-158-95W1</v>
          </cell>
          <cell r="O9199">
            <v>836.5</v>
          </cell>
          <cell r="Q9199">
            <v>0.77</v>
          </cell>
          <cell r="T9199">
            <v>51.658999999999999</v>
          </cell>
        </row>
        <row r="9200">
          <cell r="G9200">
            <v>42826</v>
          </cell>
          <cell r="L9200" t="str">
            <v>01-33-164-91W1</v>
          </cell>
          <cell r="O9200">
            <v>831</v>
          </cell>
          <cell r="Q9200">
            <v>0.52</v>
          </cell>
          <cell r="T9200">
            <v>51.317999999999998</v>
          </cell>
        </row>
        <row r="9201">
          <cell r="G9201">
            <v>42826</v>
          </cell>
          <cell r="L9201" t="str">
            <v>03-10-151-96W1</v>
          </cell>
          <cell r="O9201">
            <v>813.1</v>
          </cell>
          <cell r="Q9201">
            <v>0.24</v>
          </cell>
          <cell r="T9201">
            <v>51.241999999999997</v>
          </cell>
        </row>
        <row r="9202">
          <cell r="G9202">
            <v>42826</v>
          </cell>
          <cell r="L9202" t="str">
            <v>02-02-158-95W1</v>
          </cell>
          <cell r="O9202">
            <v>834.9</v>
          </cell>
          <cell r="Q9202">
            <v>0.81</v>
          </cell>
          <cell r="T9202">
            <v>50.512999999999998</v>
          </cell>
        </row>
        <row r="9203">
          <cell r="G9203">
            <v>42826</v>
          </cell>
          <cell r="L9203" t="str">
            <v>01-05-144-97W1</v>
          </cell>
          <cell r="O9203">
            <v>820.4</v>
          </cell>
          <cell r="Q9203">
            <v>0.45</v>
          </cell>
          <cell r="T9203">
            <v>48.6</v>
          </cell>
        </row>
        <row r="9204">
          <cell r="G9204">
            <v>42826</v>
          </cell>
          <cell r="L9204" t="str">
            <v>02-11-163-97W1</v>
          </cell>
          <cell r="O9204">
            <v>817.1</v>
          </cell>
          <cell r="Q9204">
            <v>0.13</v>
          </cell>
          <cell r="T9204">
            <v>47.323999999999998</v>
          </cell>
        </row>
        <row r="9205">
          <cell r="G9205">
            <v>42826</v>
          </cell>
          <cell r="L9205" t="str">
            <v>01-09-143-101W1</v>
          </cell>
          <cell r="O9205">
            <v>834.1</v>
          </cell>
          <cell r="Q9205">
            <v>0.53</v>
          </cell>
          <cell r="T9205">
            <v>47.259</v>
          </cell>
        </row>
        <row r="9206">
          <cell r="G9206">
            <v>42826</v>
          </cell>
          <cell r="L9206" t="str">
            <v>01-07-153-95W1</v>
          </cell>
          <cell r="O9206">
            <v>823.9</v>
          </cell>
          <cell r="Q9206">
            <v>0.24</v>
          </cell>
          <cell r="T9206">
            <v>46.624000000000002</v>
          </cell>
        </row>
        <row r="9207">
          <cell r="G9207">
            <v>42826</v>
          </cell>
          <cell r="L9207" t="str">
            <v>15-04-143-101W1</v>
          </cell>
          <cell r="O9207">
            <v>837.7</v>
          </cell>
          <cell r="Q9207">
            <v>0.52</v>
          </cell>
          <cell r="T9207">
            <v>46.231000000000002</v>
          </cell>
        </row>
        <row r="9208">
          <cell r="G9208">
            <v>42826</v>
          </cell>
          <cell r="L9208" t="str">
            <v>14-03-163-93W1</v>
          </cell>
          <cell r="O9208">
            <v>842.1</v>
          </cell>
          <cell r="Q9208">
            <v>0.51</v>
          </cell>
          <cell r="T9208">
            <v>46.2</v>
          </cell>
        </row>
        <row r="9209">
          <cell r="G9209">
            <v>42826</v>
          </cell>
          <cell r="L9209" t="str">
            <v>01-24-144-98W1</v>
          </cell>
          <cell r="O9209">
            <v>827.9</v>
          </cell>
          <cell r="Q9209">
            <v>0.47</v>
          </cell>
          <cell r="T9209">
            <v>35.57</v>
          </cell>
        </row>
        <row r="9210">
          <cell r="G9210">
            <v>42826</v>
          </cell>
          <cell r="L9210" t="str">
            <v>01-05-150-96W1</v>
          </cell>
          <cell r="O9210">
            <v>813.6</v>
          </cell>
          <cell r="Q9210">
            <v>0.24</v>
          </cell>
          <cell r="T9210">
            <v>33.073</v>
          </cell>
        </row>
        <row r="9211">
          <cell r="G9211">
            <v>42826</v>
          </cell>
          <cell r="L9211" t="str">
            <v>13-26-007-05W2</v>
          </cell>
          <cell r="O9211">
            <v>852.6</v>
          </cell>
          <cell r="Q9211">
            <v>1.5</v>
          </cell>
          <cell r="T9211">
            <v>32.459000000000003</v>
          </cell>
        </row>
        <row r="9212">
          <cell r="G9212">
            <v>42826</v>
          </cell>
          <cell r="L9212" t="str">
            <v>01-32-164-01W1</v>
          </cell>
          <cell r="O9212">
            <v>828.5</v>
          </cell>
          <cell r="Q9212">
            <v>0.53</v>
          </cell>
          <cell r="T9212">
            <v>30.684999999999999</v>
          </cell>
        </row>
        <row r="9213">
          <cell r="G9213">
            <v>42826</v>
          </cell>
          <cell r="L9213" t="str">
            <v>01-23-144-98W1</v>
          </cell>
          <cell r="O9213">
            <v>827.2</v>
          </cell>
          <cell r="Q9213">
            <v>0.37</v>
          </cell>
          <cell r="T9213">
            <v>30.556000000000001</v>
          </cell>
        </row>
        <row r="9214">
          <cell r="G9214">
            <v>42826</v>
          </cell>
          <cell r="L9214" t="str">
            <v>01-20-163-91W1</v>
          </cell>
          <cell r="O9214">
            <v>839.6</v>
          </cell>
          <cell r="Q9214">
            <v>0.57999999999999996</v>
          </cell>
          <cell r="T9214">
            <v>30.332000000000001</v>
          </cell>
        </row>
        <row r="9215">
          <cell r="G9215">
            <v>42826</v>
          </cell>
          <cell r="L9215" t="str">
            <v>26-35-163-97W1</v>
          </cell>
          <cell r="O9215">
            <v>830.4</v>
          </cell>
          <cell r="Q9215">
            <v>0.14000000000000001</v>
          </cell>
          <cell r="T9215">
            <v>30.306999999999999</v>
          </cell>
        </row>
        <row r="9216">
          <cell r="G9216">
            <v>42826</v>
          </cell>
          <cell r="L9216" t="str">
            <v>03-34-145-97W1</v>
          </cell>
          <cell r="O9216">
            <v>830.5</v>
          </cell>
          <cell r="Q9216">
            <v>0.37</v>
          </cell>
          <cell r="T9216">
            <v>29.983000000000001</v>
          </cell>
        </row>
        <row r="9217">
          <cell r="G9217">
            <v>42826</v>
          </cell>
          <cell r="L9217" t="str">
            <v>01-31-164-91W1</v>
          </cell>
          <cell r="O9217">
            <v>851.2</v>
          </cell>
          <cell r="Q9217">
            <v>0.57999999999999996</v>
          </cell>
          <cell r="T9217">
            <v>29.57</v>
          </cell>
        </row>
        <row r="9218">
          <cell r="G9218">
            <v>42826</v>
          </cell>
          <cell r="L9218" t="str">
            <v>01-10-152-96W1</v>
          </cell>
          <cell r="O9218">
            <v>809</v>
          </cell>
          <cell r="Q9218">
            <v>0.35</v>
          </cell>
          <cell r="T9218">
            <v>28.893999999999998</v>
          </cell>
        </row>
        <row r="9219">
          <cell r="G9219">
            <v>42826</v>
          </cell>
          <cell r="L9219" t="str">
            <v>01-34-164-92W1</v>
          </cell>
          <cell r="O9219">
            <v>834.8</v>
          </cell>
          <cell r="Q9219">
            <v>0.54</v>
          </cell>
          <cell r="T9219">
            <v>28.667000000000002</v>
          </cell>
        </row>
        <row r="9220">
          <cell r="G9220">
            <v>42826</v>
          </cell>
          <cell r="L9220" t="str">
            <v>01-30-163-91W1</v>
          </cell>
          <cell r="O9220">
            <v>863</v>
          </cell>
          <cell r="Q9220">
            <v>0.46</v>
          </cell>
          <cell r="T9220">
            <v>28.396999999999998</v>
          </cell>
        </row>
        <row r="9221">
          <cell r="G9221">
            <v>42826</v>
          </cell>
          <cell r="L9221" t="str">
            <v>03-25-144-98W1</v>
          </cell>
          <cell r="O9221">
            <v>821.9</v>
          </cell>
          <cell r="Q9221">
            <v>0.5</v>
          </cell>
          <cell r="T9221">
            <v>27.75</v>
          </cell>
        </row>
        <row r="9222">
          <cell r="G9222">
            <v>42826</v>
          </cell>
          <cell r="L9222" t="str">
            <v>04-04-157-95W1</v>
          </cell>
          <cell r="O9222">
            <v>838.4</v>
          </cell>
          <cell r="Q9222">
            <v>0.62</v>
          </cell>
          <cell r="T9222">
            <v>27.667999999999999</v>
          </cell>
        </row>
        <row r="9223">
          <cell r="G9223">
            <v>42826</v>
          </cell>
          <cell r="L9223" t="str">
            <v>03-02-157-95W1</v>
          </cell>
          <cell r="O9223">
            <v>835.8</v>
          </cell>
          <cell r="Q9223">
            <v>0.69</v>
          </cell>
          <cell r="T9223">
            <v>27.606000000000002</v>
          </cell>
        </row>
        <row r="9224">
          <cell r="G9224">
            <v>42826</v>
          </cell>
          <cell r="L9224" t="str">
            <v>20-01-161-90W1</v>
          </cell>
          <cell r="O9224">
            <v>862.5</v>
          </cell>
          <cell r="Q9224">
            <v>1.4</v>
          </cell>
          <cell r="T9224">
            <v>26.869</v>
          </cell>
        </row>
        <row r="9225">
          <cell r="G9225">
            <v>42826</v>
          </cell>
          <cell r="L9225" t="str">
            <v>01-18-162-91W1</v>
          </cell>
          <cell r="O9225">
            <v>858.1</v>
          </cell>
          <cell r="Q9225">
            <v>0.87</v>
          </cell>
          <cell r="T9225">
            <v>26.600999999999999</v>
          </cell>
        </row>
        <row r="9226">
          <cell r="G9226">
            <v>42826</v>
          </cell>
          <cell r="L9226" t="str">
            <v>01-02-158-95W1</v>
          </cell>
          <cell r="O9226">
            <v>831.4</v>
          </cell>
          <cell r="Q9226">
            <v>0.53</v>
          </cell>
          <cell r="T9226">
            <v>26.295999999999999</v>
          </cell>
        </row>
        <row r="9227">
          <cell r="G9227">
            <v>42826</v>
          </cell>
          <cell r="L9227" t="str">
            <v>01-21-159-94W1</v>
          </cell>
          <cell r="O9227">
            <v>837.1</v>
          </cell>
          <cell r="Q9227">
            <v>0.4</v>
          </cell>
          <cell r="T9227">
            <v>26.198</v>
          </cell>
        </row>
        <row r="9228">
          <cell r="G9228">
            <v>42826</v>
          </cell>
          <cell r="L9228" t="str">
            <v>01-29-162-92W1</v>
          </cell>
          <cell r="O9228">
            <v>841.7</v>
          </cell>
          <cell r="Q9228">
            <v>0.55000000000000004</v>
          </cell>
          <cell r="T9228">
            <v>25.763000000000002</v>
          </cell>
        </row>
        <row r="9229">
          <cell r="G9229">
            <v>42826</v>
          </cell>
          <cell r="L9229" t="str">
            <v>44-11-162-90W1</v>
          </cell>
          <cell r="O9229">
            <v>849.9</v>
          </cell>
          <cell r="Q9229">
            <v>0.57999999999999996</v>
          </cell>
          <cell r="T9229">
            <v>25.123000000000001</v>
          </cell>
        </row>
        <row r="9230">
          <cell r="G9230">
            <v>42826</v>
          </cell>
          <cell r="L9230" t="str">
            <v>24-01-142-100W1</v>
          </cell>
          <cell r="O9230">
            <v>826.3</v>
          </cell>
          <cell r="Q9230">
            <v>0.08</v>
          </cell>
          <cell r="T9230">
            <v>24.88</v>
          </cell>
        </row>
        <row r="9231">
          <cell r="G9231">
            <v>42826</v>
          </cell>
          <cell r="L9231" t="str">
            <v>16-04-151-96W1</v>
          </cell>
          <cell r="O9231">
            <v>813.3</v>
          </cell>
          <cell r="Q9231">
            <v>0.28000000000000003</v>
          </cell>
          <cell r="T9231">
            <v>24.855</v>
          </cell>
        </row>
        <row r="9232">
          <cell r="G9232">
            <v>42826</v>
          </cell>
          <cell r="L9232" t="str">
            <v>01-33-162-90W1</v>
          </cell>
          <cell r="O9232">
            <v>861.8</v>
          </cell>
          <cell r="Q9232">
            <v>0.42</v>
          </cell>
          <cell r="T9232">
            <v>24.399000000000001</v>
          </cell>
        </row>
        <row r="9233">
          <cell r="G9233">
            <v>42826</v>
          </cell>
          <cell r="L9233" t="str">
            <v>13-10-151-96W1</v>
          </cell>
          <cell r="O9233">
            <v>813.1</v>
          </cell>
          <cell r="Q9233">
            <v>0.33</v>
          </cell>
          <cell r="T9233">
            <v>21.318999999999999</v>
          </cell>
        </row>
        <row r="9234">
          <cell r="G9234">
            <v>42826</v>
          </cell>
          <cell r="L9234" t="str">
            <v>11-21-163-89W1</v>
          </cell>
          <cell r="O9234">
            <v>839</v>
          </cell>
          <cell r="Q9234">
            <v>0.5</v>
          </cell>
          <cell r="T9234">
            <v>20.181999999999999</v>
          </cell>
        </row>
        <row r="9235">
          <cell r="G9235">
            <v>42826</v>
          </cell>
          <cell r="L9235" t="str">
            <v>07-23-010-06W2</v>
          </cell>
          <cell r="O9235">
            <v>842.1</v>
          </cell>
          <cell r="Q9235">
            <v>1.45</v>
          </cell>
          <cell r="T9235">
            <v>509.83300000000003</v>
          </cell>
        </row>
        <row r="9236">
          <cell r="G9236">
            <v>42826</v>
          </cell>
          <cell r="L9236" t="str">
            <v>01-36-003-03W2</v>
          </cell>
          <cell r="O9236">
            <v>835.2</v>
          </cell>
          <cell r="Q9236">
            <v>0.81</v>
          </cell>
          <cell r="T9236">
            <v>481.21699999999998</v>
          </cell>
        </row>
        <row r="9237">
          <cell r="G9237">
            <v>42826</v>
          </cell>
          <cell r="L9237" t="str">
            <v>13-14-010-05W2</v>
          </cell>
          <cell r="O9237">
            <v>844.9</v>
          </cell>
          <cell r="Q9237">
            <v>1.61</v>
          </cell>
          <cell r="T9237">
            <v>30.460999999999999</v>
          </cell>
        </row>
        <row r="9238">
          <cell r="G9238">
            <v>42826</v>
          </cell>
          <cell r="L9238" t="str">
            <v>12-22-010-05W2</v>
          </cell>
          <cell r="O9238">
            <v>869.1</v>
          </cell>
          <cell r="Q9238">
            <v>1.84</v>
          </cell>
          <cell r="T9238">
            <v>25.791</v>
          </cell>
        </row>
        <row r="9239">
          <cell r="G9239">
            <v>42826</v>
          </cell>
          <cell r="L9239" t="str">
            <v>05-36-002-03W2</v>
          </cell>
          <cell r="O9239">
            <v>844.3</v>
          </cell>
          <cell r="Q9239">
            <v>0.67</v>
          </cell>
          <cell r="T9239">
            <v>25.309000000000001</v>
          </cell>
        </row>
        <row r="9240">
          <cell r="G9240">
            <v>42826</v>
          </cell>
          <cell r="L9240" t="str">
            <v>05-16-006-13W2</v>
          </cell>
          <cell r="O9240">
            <v>868.5</v>
          </cell>
          <cell r="Q9240">
            <v>2.4</v>
          </cell>
          <cell r="T9240">
            <v>115537.139</v>
          </cell>
        </row>
        <row r="9241">
          <cell r="G9241">
            <v>42826</v>
          </cell>
          <cell r="L9241" t="str">
            <v>16-18-011-04W2</v>
          </cell>
          <cell r="O9241">
            <v>826.9</v>
          </cell>
          <cell r="Q9241">
            <v>1.57</v>
          </cell>
          <cell r="T9241">
            <v>8466.4830000000002</v>
          </cell>
        </row>
        <row r="9242">
          <cell r="G9242">
            <v>42826</v>
          </cell>
          <cell r="L9242" t="str">
            <v>13-03-006-34W1</v>
          </cell>
          <cell r="O9242">
            <v>843.5</v>
          </cell>
          <cell r="Q9242">
            <v>1.19</v>
          </cell>
          <cell r="T9242">
            <v>6027.9970000000003</v>
          </cell>
        </row>
        <row r="9243">
          <cell r="G9243">
            <v>42826</v>
          </cell>
          <cell r="L9243" t="str">
            <v>07-28-002-30W1</v>
          </cell>
          <cell r="O9243">
            <v>885.4</v>
          </cell>
          <cell r="Q9243">
            <v>2.56</v>
          </cell>
          <cell r="T9243">
            <v>4965.0870000000004</v>
          </cell>
        </row>
        <row r="9244">
          <cell r="G9244">
            <v>42826</v>
          </cell>
          <cell r="L9244" t="str">
            <v>11-30-005-03W2</v>
          </cell>
          <cell r="O9244">
            <v>852.8</v>
          </cell>
          <cell r="Q9244">
            <v>1.45</v>
          </cell>
          <cell r="T9244">
            <v>4378.3119999999999</v>
          </cell>
        </row>
        <row r="9245">
          <cell r="G9245">
            <v>42826</v>
          </cell>
          <cell r="L9245" t="str">
            <v>03-03-002-32W1</v>
          </cell>
          <cell r="O9245">
            <v>824.8</v>
          </cell>
          <cell r="Q9245">
            <v>1.52</v>
          </cell>
          <cell r="T9245">
            <v>3352.8609999999999</v>
          </cell>
        </row>
        <row r="9246">
          <cell r="G9246">
            <v>42826</v>
          </cell>
          <cell r="L9246" t="str">
            <v>01-09-001-31W1</v>
          </cell>
          <cell r="O9246">
            <v>870.8</v>
          </cell>
          <cell r="Q9246">
            <v>2.0499999999999998</v>
          </cell>
          <cell r="T9246">
            <v>2392.7860000000001</v>
          </cell>
        </row>
        <row r="9247">
          <cell r="G9247">
            <v>42826</v>
          </cell>
          <cell r="L9247" t="str">
            <v>06-27-006-01W2</v>
          </cell>
          <cell r="O9247">
            <v>845.9</v>
          </cell>
          <cell r="Q9247">
            <v>1.21</v>
          </cell>
          <cell r="T9247">
            <v>2144.2750000000001</v>
          </cell>
        </row>
        <row r="9248">
          <cell r="G9248">
            <v>42826</v>
          </cell>
          <cell r="L9248" t="str">
            <v>09-28-006-34W1</v>
          </cell>
          <cell r="O9248">
            <v>843.3</v>
          </cell>
          <cell r="Q9248">
            <v>1.26</v>
          </cell>
          <cell r="T9248">
            <v>1957.3579999999999</v>
          </cell>
        </row>
        <row r="9249">
          <cell r="G9249">
            <v>42826</v>
          </cell>
          <cell r="L9249" t="str">
            <v>10-11-006-34W1</v>
          </cell>
          <cell r="O9249">
            <v>849.6</v>
          </cell>
          <cell r="Q9249">
            <v>1.45</v>
          </cell>
          <cell r="T9249">
            <v>1870.7370000000001</v>
          </cell>
        </row>
        <row r="9250">
          <cell r="G9250">
            <v>42826</v>
          </cell>
          <cell r="L9250" t="str">
            <v>16-12-004-31W1</v>
          </cell>
          <cell r="O9250">
            <v>858.6</v>
          </cell>
          <cell r="Q9250">
            <v>1.59</v>
          </cell>
          <cell r="T9250">
            <v>1568.2629999999999</v>
          </cell>
        </row>
        <row r="9251">
          <cell r="G9251">
            <v>42826</v>
          </cell>
          <cell r="L9251" t="str">
            <v>04-17-004-31W1</v>
          </cell>
          <cell r="O9251">
            <v>857</v>
          </cell>
          <cell r="Q9251">
            <v>1.52</v>
          </cell>
          <cell r="T9251">
            <v>1529.07</v>
          </cell>
        </row>
        <row r="9252">
          <cell r="G9252">
            <v>42826</v>
          </cell>
          <cell r="L9252" t="str">
            <v>08-05-006-33W1</v>
          </cell>
          <cell r="O9252">
            <v>841.3</v>
          </cell>
          <cell r="Q9252">
            <v>1</v>
          </cell>
          <cell r="T9252">
            <v>1405.857</v>
          </cell>
        </row>
        <row r="9253">
          <cell r="G9253">
            <v>42826</v>
          </cell>
          <cell r="L9253" t="str">
            <v>07-12-005-34W1</v>
          </cell>
          <cell r="O9253">
            <v>825.3</v>
          </cell>
          <cell r="Q9253">
            <v>0.71</v>
          </cell>
          <cell r="T9253">
            <v>1165.7460000000001</v>
          </cell>
        </row>
        <row r="9254">
          <cell r="G9254">
            <v>42826</v>
          </cell>
          <cell r="L9254" t="str">
            <v>11-28-006-05W2</v>
          </cell>
          <cell r="O9254">
            <v>853</v>
          </cell>
          <cell r="Q9254">
            <v>1.5</v>
          </cell>
          <cell r="T9254">
            <v>1141.1410000000001</v>
          </cell>
        </row>
        <row r="9255">
          <cell r="G9255">
            <v>42826</v>
          </cell>
          <cell r="L9255" t="str">
            <v>14-33-003-01W2</v>
          </cell>
          <cell r="O9255">
            <v>830.5</v>
          </cell>
          <cell r="Q9255">
            <v>0.89</v>
          </cell>
          <cell r="T9255">
            <v>1114.616</v>
          </cell>
        </row>
        <row r="9256">
          <cell r="G9256">
            <v>42826</v>
          </cell>
          <cell r="L9256" t="str">
            <v>09-27-006-05W2</v>
          </cell>
          <cell r="O9256">
            <v>866.5</v>
          </cell>
          <cell r="Q9256">
            <v>2.2400000000000002</v>
          </cell>
          <cell r="T9256">
            <v>1029.5329999999999</v>
          </cell>
        </row>
        <row r="9257">
          <cell r="G9257">
            <v>42826</v>
          </cell>
          <cell r="L9257" t="str">
            <v>09-27-008-03W2</v>
          </cell>
          <cell r="O9257">
            <v>855.4</v>
          </cell>
          <cell r="Q9257">
            <v>1.6</v>
          </cell>
          <cell r="T9257">
            <v>1003.01</v>
          </cell>
        </row>
        <row r="9258">
          <cell r="G9258">
            <v>42826</v>
          </cell>
          <cell r="L9258" t="str">
            <v>10-13-006-03W2</v>
          </cell>
          <cell r="O9258">
            <v>858.1</v>
          </cell>
          <cell r="Q9258">
            <v>1.82</v>
          </cell>
          <cell r="T9258">
            <v>867.78300000000002</v>
          </cell>
        </row>
        <row r="9259">
          <cell r="G9259">
            <v>42826</v>
          </cell>
          <cell r="L9259" t="str">
            <v>15-14-009-03W2</v>
          </cell>
          <cell r="O9259">
            <v>853.9</v>
          </cell>
          <cell r="Q9259">
            <v>1.63</v>
          </cell>
          <cell r="T9259">
            <v>859.947</v>
          </cell>
        </row>
        <row r="9260">
          <cell r="G9260">
            <v>42826</v>
          </cell>
          <cell r="L9260" t="str">
            <v>02-15-006-01W2</v>
          </cell>
          <cell r="O9260">
            <v>847.5</v>
          </cell>
          <cell r="Q9260">
            <v>1.25</v>
          </cell>
          <cell r="T9260">
            <v>768.90300000000002</v>
          </cell>
        </row>
        <row r="9261">
          <cell r="G9261">
            <v>42826</v>
          </cell>
          <cell r="L9261" t="str">
            <v>12-35-008-03W2</v>
          </cell>
          <cell r="O9261">
            <v>855.7</v>
          </cell>
          <cell r="Q9261">
            <v>1.52</v>
          </cell>
          <cell r="T9261">
            <v>735.72900000000004</v>
          </cell>
        </row>
        <row r="9262">
          <cell r="G9262">
            <v>42826</v>
          </cell>
          <cell r="L9262" t="str">
            <v>11-25-001-32W1</v>
          </cell>
          <cell r="O9262">
            <v>866.4</v>
          </cell>
          <cell r="Q9262">
            <v>1.53</v>
          </cell>
          <cell r="T9262">
            <v>728.54499999999996</v>
          </cell>
        </row>
        <row r="9263">
          <cell r="G9263">
            <v>42826</v>
          </cell>
          <cell r="L9263" t="str">
            <v>07-12-008-04W2</v>
          </cell>
          <cell r="O9263">
            <v>851.6</v>
          </cell>
          <cell r="Q9263">
            <v>1.42</v>
          </cell>
          <cell r="T9263">
            <v>699.59199999999998</v>
          </cell>
        </row>
        <row r="9264">
          <cell r="G9264">
            <v>42826</v>
          </cell>
          <cell r="L9264" t="str">
            <v>06-24-001-34W1</v>
          </cell>
          <cell r="O9264">
            <v>849.9</v>
          </cell>
          <cell r="Q9264">
            <v>1.22</v>
          </cell>
          <cell r="T9264">
            <v>664.25599999999997</v>
          </cell>
        </row>
        <row r="9265">
          <cell r="G9265">
            <v>42826</v>
          </cell>
          <cell r="L9265" t="str">
            <v>08-35-011-04W2</v>
          </cell>
          <cell r="O9265">
            <v>862.4</v>
          </cell>
          <cell r="Q9265">
            <v>1.99</v>
          </cell>
          <cell r="T9265">
            <v>643.423</v>
          </cell>
        </row>
        <row r="9266">
          <cell r="G9266">
            <v>42826</v>
          </cell>
          <cell r="L9266" t="str">
            <v>02-14-010-01W2</v>
          </cell>
          <cell r="O9266">
            <v>856.1</v>
          </cell>
          <cell r="Q9266">
            <v>1.81</v>
          </cell>
          <cell r="T9266">
            <v>639.31600000000003</v>
          </cell>
        </row>
        <row r="9267">
          <cell r="G9267">
            <v>42826</v>
          </cell>
          <cell r="L9267" t="str">
            <v>04-14-005-33W1</v>
          </cell>
          <cell r="O9267">
            <v>841.9</v>
          </cell>
          <cell r="Q9267">
            <v>1.08</v>
          </cell>
          <cell r="T9267">
            <v>632.351</v>
          </cell>
        </row>
        <row r="9268">
          <cell r="G9268">
            <v>42826</v>
          </cell>
          <cell r="L9268" t="str">
            <v>08-32-006-01W2</v>
          </cell>
          <cell r="O9268">
            <v>845.8</v>
          </cell>
          <cell r="Q9268">
            <v>1.18</v>
          </cell>
          <cell r="T9268">
            <v>502.37299999999999</v>
          </cell>
        </row>
        <row r="9269">
          <cell r="G9269">
            <v>42826</v>
          </cell>
          <cell r="L9269" t="str">
            <v>14-20-005-33W1</v>
          </cell>
          <cell r="O9269">
            <v>832.3</v>
          </cell>
          <cell r="Q9269">
            <v>0.79</v>
          </cell>
          <cell r="T9269">
            <v>468.33</v>
          </cell>
        </row>
        <row r="9270">
          <cell r="G9270">
            <v>42826</v>
          </cell>
          <cell r="L9270" t="str">
            <v>16-21-003-32W1</v>
          </cell>
          <cell r="O9270">
            <v>856.1</v>
          </cell>
          <cell r="Q9270">
            <v>1.62</v>
          </cell>
          <cell r="T9270">
            <v>460.334</v>
          </cell>
        </row>
        <row r="9271">
          <cell r="G9271">
            <v>42826</v>
          </cell>
          <cell r="L9271" t="str">
            <v>02-27-004-33W1</v>
          </cell>
          <cell r="O9271">
            <v>825.7</v>
          </cell>
          <cell r="Q9271">
            <v>0.69</v>
          </cell>
          <cell r="T9271">
            <v>453.23099999999999</v>
          </cell>
        </row>
        <row r="9272">
          <cell r="G9272">
            <v>42826</v>
          </cell>
          <cell r="L9272" t="str">
            <v>09-02-007-05W2</v>
          </cell>
          <cell r="O9272">
            <v>846.4</v>
          </cell>
          <cell r="Q9272">
            <v>1.75</v>
          </cell>
          <cell r="T9272">
            <v>410.28899999999999</v>
          </cell>
        </row>
        <row r="9273">
          <cell r="G9273">
            <v>42826</v>
          </cell>
          <cell r="L9273" t="str">
            <v>08-26-006-02W2</v>
          </cell>
          <cell r="O9273">
            <v>846.9</v>
          </cell>
          <cell r="Q9273">
            <v>1.2</v>
          </cell>
          <cell r="T9273">
            <v>401.00400000000002</v>
          </cell>
        </row>
        <row r="9274">
          <cell r="G9274">
            <v>42826</v>
          </cell>
          <cell r="L9274" t="str">
            <v>12-01-003-30W1</v>
          </cell>
          <cell r="O9274">
            <v>867</v>
          </cell>
          <cell r="Q9274">
            <v>1.93</v>
          </cell>
          <cell r="T9274">
            <v>392.99200000000002</v>
          </cell>
        </row>
        <row r="9275">
          <cell r="G9275">
            <v>42826</v>
          </cell>
          <cell r="L9275" t="str">
            <v>16-24-001-34W1</v>
          </cell>
          <cell r="O9275">
            <v>854.5</v>
          </cell>
          <cell r="Q9275">
            <v>1.1499999999999999</v>
          </cell>
          <cell r="T9275">
            <v>344.197</v>
          </cell>
        </row>
        <row r="9276">
          <cell r="G9276">
            <v>42826</v>
          </cell>
          <cell r="L9276" t="str">
            <v>02-10-003-01W2</v>
          </cell>
          <cell r="O9276">
            <v>829.7</v>
          </cell>
          <cell r="Q9276">
            <v>0.54</v>
          </cell>
          <cell r="T9276">
            <v>314.98899999999998</v>
          </cell>
        </row>
        <row r="9277">
          <cell r="G9277">
            <v>42826</v>
          </cell>
          <cell r="L9277" t="str">
            <v>02-13-006-01W2</v>
          </cell>
          <cell r="O9277">
            <v>841.8</v>
          </cell>
          <cell r="Q9277">
            <v>1.25</v>
          </cell>
          <cell r="T9277">
            <v>290.14</v>
          </cell>
        </row>
        <row r="9278">
          <cell r="G9278">
            <v>42826</v>
          </cell>
          <cell r="L9278" t="str">
            <v>09-18-007-04W2</v>
          </cell>
          <cell r="O9278">
            <v>852.7</v>
          </cell>
          <cell r="Q9278">
            <v>1.42</v>
          </cell>
          <cell r="T9278">
            <v>256.41800000000001</v>
          </cell>
        </row>
        <row r="9279">
          <cell r="G9279">
            <v>42826</v>
          </cell>
          <cell r="L9279" t="str">
            <v>07-23-006-02W2</v>
          </cell>
          <cell r="O9279">
            <v>844.6</v>
          </cell>
          <cell r="Q9279">
            <v>1.17</v>
          </cell>
          <cell r="T9279">
            <v>248.542</v>
          </cell>
        </row>
        <row r="9280">
          <cell r="G9280">
            <v>42826</v>
          </cell>
          <cell r="L9280" t="str">
            <v>10-33-003-31W1</v>
          </cell>
          <cell r="O9280">
            <v>872.8</v>
          </cell>
          <cell r="Q9280">
            <v>2.34</v>
          </cell>
          <cell r="T9280">
            <v>241.51300000000001</v>
          </cell>
        </row>
        <row r="9281">
          <cell r="G9281">
            <v>42826</v>
          </cell>
          <cell r="L9281" t="str">
            <v>01-24-007-05W2</v>
          </cell>
          <cell r="O9281">
            <v>843.6</v>
          </cell>
          <cell r="Q9281">
            <v>1.35</v>
          </cell>
          <cell r="T9281">
            <v>207.708</v>
          </cell>
        </row>
        <row r="9282">
          <cell r="G9282">
            <v>42826</v>
          </cell>
          <cell r="L9282" t="str">
            <v>05-01-001-32W1</v>
          </cell>
          <cell r="O9282">
            <v>875.1</v>
          </cell>
          <cell r="Q9282">
            <v>2.06</v>
          </cell>
          <cell r="T9282">
            <v>188.71299999999999</v>
          </cell>
        </row>
        <row r="9283">
          <cell r="G9283">
            <v>42826</v>
          </cell>
          <cell r="L9283" t="str">
            <v>02-17-005-31W1</v>
          </cell>
          <cell r="O9283">
            <v>845.4</v>
          </cell>
          <cell r="Q9283">
            <v>1.32</v>
          </cell>
          <cell r="T9283">
            <v>156.93100000000001</v>
          </cell>
        </row>
        <row r="9284">
          <cell r="G9284">
            <v>42826</v>
          </cell>
          <cell r="L9284" t="str">
            <v>09-30-002-30W1</v>
          </cell>
          <cell r="O9284">
            <v>863.3</v>
          </cell>
          <cell r="Q9284">
            <v>1.71</v>
          </cell>
          <cell r="T9284">
            <v>153.77099999999999</v>
          </cell>
        </row>
        <row r="9285">
          <cell r="G9285">
            <v>42826</v>
          </cell>
          <cell r="L9285" t="str">
            <v>02-30-001-31W1</v>
          </cell>
          <cell r="O9285">
            <v>871.4</v>
          </cell>
          <cell r="Q9285">
            <v>1.76</v>
          </cell>
          <cell r="T9285">
            <v>113.624</v>
          </cell>
        </row>
        <row r="9286">
          <cell r="G9286">
            <v>42826</v>
          </cell>
          <cell r="L9286" t="str">
            <v>15-09-010-02W2</v>
          </cell>
          <cell r="O9286">
            <v>862.8</v>
          </cell>
          <cell r="Q9286">
            <v>1.93</v>
          </cell>
          <cell r="T9286">
            <v>111.009</v>
          </cell>
        </row>
        <row r="9287">
          <cell r="G9287">
            <v>42826</v>
          </cell>
          <cell r="L9287" t="str">
            <v>09-08-004-33W1</v>
          </cell>
          <cell r="O9287">
            <v>831.4</v>
          </cell>
          <cell r="Q9287">
            <v>0.66</v>
          </cell>
          <cell r="T9287">
            <v>93.527000000000001</v>
          </cell>
        </row>
        <row r="9288">
          <cell r="G9288">
            <v>42826</v>
          </cell>
          <cell r="L9288" t="str">
            <v>16-16-010-02W2</v>
          </cell>
          <cell r="O9288">
            <v>850.4</v>
          </cell>
          <cell r="Q9288">
            <v>1.84</v>
          </cell>
          <cell r="T9288">
            <v>89.248000000000005</v>
          </cell>
        </row>
        <row r="9289">
          <cell r="G9289">
            <v>42826</v>
          </cell>
          <cell r="L9289" t="str">
            <v>03-19-001-31W1</v>
          </cell>
          <cell r="O9289">
            <v>870.5</v>
          </cell>
          <cell r="Q9289">
            <v>1.87</v>
          </cell>
          <cell r="T9289">
            <v>88.694999999999993</v>
          </cell>
        </row>
        <row r="9290">
          <cell r="G9290">
            <v>42826</v>
          </cell>
          <cell r="L9290" t="str">
            <v>16-27-004-33W1</v>
          </cell>
          <cell r="O9290">
            <v>844</v>
          </cell>
          <cell r="Q9290">
            <v>1.05</v>
          </cell>
          <cell r="T9290">
            <v>84.691000000000003</v>
          </cell>
        </row>
        <row r="9291">
          <cell r="G9291">
            <v>42826</v>
          </cell>
          <cell r="L9291" t="str">
            <v>08-18-011-03W2</v>
          </cell>
          <cell r="O9291">
            <v>858.2</v>
          </cell>
          <cell r="Q9291">
            <v>1.83</v>
          </cell>
          <cell r="T9291">
            <v>58.621000000000002</v>
          </cell>
        </row>
        <row r="9292">
          <cell r="G9292">
            <v>42826</v>
          </cell>
          <cell r="L9292" t="str">
            <v>01-15-005-32W1</v>
          </cell>
          <cell r="O9292">
            <v>851.6</v>
          </cell>
          <cell r="Q9292">
            <v>1.02</v>
          </cell>
          <cell r="T9292">
            <v>46.52</v>
          </cell>
        </row>
        <row r="9293">
          <cell r="G9293">
            <v>42826</v>
          </cell>
          <cell r="L9293" t="str">
            <v>08-01-004-32W1</v>
          </cell>
          <cell r="O9293">
            <v>861.6</v>
          </cell>
          <cell r="Q9293">
            <v>1.67</v>
          </cell>
          <cell r="T9293">
            <v>29.850999999999999</v>
          </cell>
        </row>
        <row r="9294">
          <cell r="G9294">
            <v>42826</v>
          </cell>
          <cell r="L9294" t="str">
            <v>15-26-001-31W1</v>
          </cell>
          <cell r="O9294">
            <v>876</v>
          </cell>
          <cell r="Q9294">
            <v>2.09</v>
          </cell>
          <cell r="T9294">
            <v>7587.9309999999996</v>
          </cell>
        </row>
        <row r="9295">
          <cell r="G9295">
            <v>42826</v>
          </cell>
          <cell r="L9295" t="str">
            <v>04-22-002-31W1</v>
          </cell>
          <cell r="O9295">
            <v>860.3</v>
          </cell>
          <cell r="Q9295">
            <v>1.66</v>
          </cell>
          <cell r="T9295">
            <v>6404.4030000000002</v>
          </cell>
        </row>
        <row r="9296">
          <cell r="G9296">
            <v>42826</v>
          </cell>
          <cell r="L9296" t="str">
            <v>14-13-002-02W2</v>
          </cell>
          <cell r="O9296">
            <v>822.8</v>
          </cell>
          <cell r="Q9296">
            <v>0.55000000000000004</v>
          </cell>
          <cell r="T9296">
            <v>3608.3470000000002</v>
          </cell>
        </row>
        <row r="9297">
          <cell r="G9297">
            <v>42826</v>
          </cell>
          <cell r="L9297" t="str">
            <v>14-05-002-31W1</v>
          </cell>
          <cell r="O9297">
            <v>859</v>
          </cell>
          <cell r="Q9297">
            <v>1.62</v>
          </cell>
          <cell r="T9297">
            <v>2155.752</v>
          </cell>
        </row>
        <row r="9298">
          <cell r="G9298">
            <v>42826</v>
          </cell>
          <cell r="L9298" t="str">
            <v>14-03-001-03W2</v>
          </cell>
          <cell r="O9298">
            <v>809.8</v>
          </cell>
          <cell r="Q9298">
            <v>0.12</v>
          </cell>
          <cell r="T9298">
            <v>1749.59</v>
          </cell>
        </row>
        <row r="9299">
          <cell r="G9299">
            <v>42826</v>
          </cell>
          <cell r="L9299" t="str">
            <v>01-35-006-30W1</v>
          </cell>
          <cell r="O9299">
            <v>819.1</v>
          </cell>
          <cell r="Q9299">
            <v>0.3</v>
          </cell>
          <cell r="T9299">
            <v>1526.249</v>
          </cell>
        </row>
        <row r="9300">
          <cell r="G9300">
            <v>42826</v>
          </cell>
          <cell r="L9300" t="str">
            <v>02-25-002-03W2</v>
          </cell>
          <cell r="O9300">
            <v>832.2</v>
          </cell>
          <cell r="Q9300">
            <v>0.5</v>
          </cell>
          <cell r="T9300">
            <v>1163.673</v>
          </cell>
        </row>
        <row r="9301">
          <cell r="G9301">
            <v>42826</v>
          </cell>
          <cell r="L9301" t="str">
            <v>01-35-007-01W2</v>
          </cell>
          <cell r="O9301">
            <v>843.7</v>
          </cell>
          <cell r="Q9301">
            <v>1.1399999999999999</v>
          </cell>
          <cell r="T9301">
            <v>928.89099999999996</v>
          </cell>
        </row>
        <row r="9302">
          <cell r="G9302">
            <v>42826</v>
          </cell>
          <cell r="L9302" t="str">
            <v>16-03-008-33W1</v>
          </cell>
          <cell r="O9302">
            <v>844.6</v>
          </cell>
          <cell r="Q9302">
            <v>1.22</v>
          </cell>
          <cell r="T9302">
            <v>897.51099999999997</v>
          </cell>
        </row>
        <row r="9303">
          <cell r="G9303">
            <v>42826</v>
          </cell>
          <cell r="L9303" t="str">
            <v>08-16-007-29W1</v>
          </cell>
          <cell r="O9303">
            <v>824.3</v>
          </cell>
          <cell r="Q9303">
            <v>0.26</v>
          </cell>
          <cell r="T9303">
            <v>816.423</v>
          </cell>
        </row>
        <row r="9304">
          <cell r="G9304">
            <v>42826</v>
          </cell>
          <cell r="L9304" t="str">
            <v>01-11-005-07W2</v>
          </cell>
          <cell r="O9304">
            <v>881.1</v>
          </cell>
          <cell r="Q9304">
            <v>1.65</v>
          </cell>
          <cell r="T9304">
            <v>791.73</v>
          </cell>
        </row>
        <row r="9305">
          <cell r="G9305">
            <v>42826</v>
          </cell>
          <cell r="L9305" t="str">
            <v>13-17-005-33W1</v>
          </cell>
          <cell r="O9305">
            <v>830.9</v>
          </cell>
          <cell r="Q9305">
            <v>0.64</v>
          </cell>
          <cell r="T9305">
            <v>709.72</v>
          </cell>
        </row>
        <row r="9306">
          <cell r="G9306">
            <v>42826</v>
          </cell>
          <cell r="L9306" t="str">
            <v>08-23-007-30W1</v>
          </cell>
          <cell r="O9306">
            <v>818.6</v>
          </cell>
          <cell r="Q9306">
            <v>0.25</v>
          </cell>
          <cell r="T9306">
            <v>665.09400000000005</v>
          </cell>
        </row>
        <row r="9307">
          <cell r="G9307">
            <v>42826</v>
          </cell>
          <cell r="L9307" t="str">
            <v>16-12-004-31W1</v>
          </cell>
          <cell r="O9307">
            <v>861.1</v>
          </cell>
          <cell r="Q9307">
            <v>1.59</v>
          </cell>
          <cell r="T9307">
            <v>659.82399999999996</v>
          </cell>
        </row>
        <row r="9308">
          <cell r="G9308">
            <v>42826</v>
          </cell>
          <cell r="L9308" t="str">
            <v>05-20-001-02W2</v>
          </cell>
          <cell r="O9308">
            <v>827.7</v>
          </cell>
          <cell r="Q9308">
            <v>0.53</v>
          </cell>
          <cell r="T9308">
            <v>541.005</v>
          </cell>
        </row>
        <row r="9309">
          <cell r="G9309">
            <v>42826</v>
          </cell>
          <cell r="L9309" t="str">
            <v>01-03-003-33W1</v>
          </cell>
          <cell r="O9309">
            <v>851.4</v>
          </cell>
          <cell r="Q9309">
            <v>1.62</v>
          </cell>
          <cell r="T9309">
            <v>520.16499999999996</v>
          </cell>
        </row>
        <row r="9310">
          <cell r="G9310">
            <v>42826</v>
          </cell>
          <cell r="L9310" t="str">
            <v>13-07-005-06W2</v>
          </cell>
          <cell r="O9310">
            <v>880.4</v>
          </cell>
          <cell r="Q9310">
            <v>1.05</v>
          </cell>
          <cell r="T9310">
            <v>501.07799999999997</v>
          </cell>
        </row>
        <row r="9311">
          <cell r="G9311">
            <v>42826</v>
          </cell>
          <cell r="L9311" t="str">
            <v>14-19-006-33W1</v>
          </cell>
          <cell r="O9311">
            <v>840.5</v>
          </cell>
          <cell r="Q9311">
            <v>1.18</v>
          </cell>
          <cell r="T9311">
            <v>358.87400000000002</v>
          </cell>
        </row>
        <row r="9312">
          <cell r="G9312">
            <v>42826</v>
          </cell>
          <cell r="L9312" t="str">
            <v>16-31-001-32W1</v>
          </cell>
          <cell r="O9312">
            <v>846.3</v>
          </cell>
          <cell r="Q9312">
            <v>1.17</v>
          </cell>
          <cell r="T9312">
            <v>305.24200000000002</v>
          </cell>
        </row>
        <row r="9313">
          <cell r="G9313">
            <v>42826</v>
          </cell>
          <cell r="L9313" t="str">
            <v>14-23-005-02W2</v>
          </cell>
          <cell r="O9313">
            <v>849.1</v>
          </cell>
          <cell r="Q9313">
            <v>1.33</v>
          </cell>
          <cell r="T9313">
            <v>218.42400000000001</v>
          </cell>
        </row>
        <row r="9314">
          <cell r="G9314">
            <v>42826</v>
          </cell>
          <cell r="L9314" t="str">
            <v>16-04-006-32W1</v>
          </cell>
          <cell r="O9314">
            <v>844.7</v>
          </cell>
          <cell r="Q9314">
            <v>1.1200000000000001</v>
          </cell>
          <cell r="T9314">
            <v>207.69900000000001</v>
          </cell>
        </row>
        <row r="9315">
          <cell r="G9315">
            <v>42826</v>
          </cell>
          <cell r="L9315" t="str">
            <v>08-36-007-34W1</v>
          </cell>
          <cell r="O9315">
            <v>848.6</v>
          </cell>
          <cell r="Q9315">
            <v>1.37</v>
          </cell>
          <cell r="T9315">
            <v>196.68700000000001</v>
          </cell>
        </row>
        <row r="9316">
          <cell r="G9316">
            <v>42826</v>
          </cell>
          <cell r="L9316" t="str">
            <v>01-19-162-85W1</v>
          </cell>
          <cell r="O9316">
            <v>888.3</v>
          </cell>
          <cell r="Q9316">
            <v>2.06</v>
          </cell>
          <cell r="T9316">
            <v>188.55099999999999</v>
          </cell>
        </row>
        <row r="9317">
          <cell r="G9317">
            <v>42826</v>
          </cell>
          <cell r="L9317" t="str">
            <v>09-24-001-01W2</v>
          </cell>
          <cell r="O9317">
            <v>830.3</v>
          </cell>
          <cell r="Q9317">
            <v>0.67</v>
          </cell>
          <cell r="T9317">
            <v>135.90600000000001</v>
          </cell>
        </row>
        <row r="9318">
          <cell r="G9318">
            <v>42826</v>
          </cell>
          <cell r="L9318" t="str">
            <v>01-24-162-86W1</v>
          </cell>
          <cell r="O9318">
            <v>889.1</v>
          </cell>
          <cell r="Q9318">
            <v>2.06</v>
          </cell>
          <cell r="T9318">
            <v>129.78800000000001</v>
          </cell>
        </row>
        <row r="9319">
          <cell r="G9319">
            <v>42826</v>
          </cell>
          <cell r="L9319" t="str">
            <v>13-13-002-33W1</v>
          </cell>
          <cell r="O9319">
            <v>830.9</v>
          </cell>
          <cell r="Q9319">
            <v>0.72</v>
          </cell>
          <cell r="T9319">
            <v>127.285</v>
          </cell>
        </row>
        <row r="9320">
          <cell r="G9320">
            <v>42826</v>
          </cell>
          <cell r="L9320" t="str">
            <v>04-11-004-32W1</v>
          </cell>
          <cell r="O9320">
            <v>857.3</v>
          </cell>
          <cell r="Q9320">
            <v>1.41</v>
          </cell>
          <cell r="T9320">
            <v>119.07599999999999</v>
          </cell>
        </row>
        <row r="9321">
          <cell r="G9321">
            <v>42826</v>
          </cell>
          <cell r="L9321" t="str">
            <v>01-06-002-32W1</v>
          </cell>
          <cell r="O9321">
            <v>834.5</v>
          </cell>
          <cell r="Q9321">
            <v>0.81</v>
          </cell>
          <cell r="T9321">
            <v>107.22799999999999</v>
          </cell>
        </row>
        <row r="9322">
          <cell r="G9322">
            <v>42826</v>
          </cell>
          <cell r="L9322" t="str">
            <v>10-17-007-33W1</v>
          </cell>
          <cell r="O9322">
            <v>842.1</v>
          </cell>
          <cell r="Q9322">
            <v>1.17</v>
          </cell>
          <cell r="T9322">
            <v>104.1</v>
          </cell>
        </row>
        <row r="9323">
          <cell r="G9323">
            <v>42826</v>
          </cell>
          <cell r="L9323" t="str">
            <v>01-13-162-86W1</v>
          </cell>
          <cell r="O9323">
            <v>879.6</v>
          </cell>
          <cell r="Q9323">
            <v>2.06</v>
          </cell>
          <cell r="T9323">
            <v>101.67700000000001</v>
          </cell>
        </row>
        <row r="9324">
          <cell r="G9324">
            <v>42826</v>
          </cell>
          <cell r="L9324" t="str">
            <v>15-14-014-30W1</v>
          </cell>
          <cell r="O9324">
            <v>898</v>
          </cell>
          <cell r="Q9324">
            <v>2.31</v>
          </cell>
          <cell r="T9324">
            <v>94.820999999999998</v>
          </cell>
        </row>
        <row r="9325">
          <cell r="G9325">
            <v>42826</v>
          </cell>
          <cell r="L9325" t="str">
            <v>16-16-006-02W2</v>
          </cell>
          <cell r="O9325">
            <v>847.3</v>
          </cell>
          <cell r="Q9325">
            <v>1.21</v>
          </cell>
          <cell r="T9325">
            <v>76.867999999999995</v>
          </cell>
        </row>
        <row r="9326">
          <cell r="G9326">
            <v>42826</v>
          </cell>
          <cell r="L9326" t="str">
            <v>16-15-008-03W2</v>
          </cell>
          <cell r="O9326">
            <v>856.3</v>
          </cell>
          <cell r="Q9326">
            <v>1.54</v>
          </cell>
          <cell r="T9326">
            <v>70.739999999999995</v>
          </cell>
        </row>
        <row r="9327">
          <cell r="G9327">
            <v>42826</v>
          </cell>
          <cell r="L9327" t="str">
            <v>08-14-014-30W1</v>
          </cell>
          <cell r="O9327">
            <v>896.4</v>
          </cell>
          <cell r="Q9327">
            <v>2.2400000000000002</v>
          </cell>
          <cell r="T9327">
            <v>69.474999999999994</v>
          </cell>
        </row>
        <row r="9328">
          <cell r="G9328">
            <v>42826</v>
          </cell>
          <cell r="L9328" t="str">
            <v>05-13-014-30W1</v>
          </cell>
          <cell r="O9328">
            <v>898.4</v>
          </cell>
          <cell r="Q9328">
            <v>2.2400000000000002</v>
          </cell>
          <cell r="T9328">
            <v>67.155000000000001</v>
          </cell>
        </row>
        <row r="9329">
          <cell r="G9329">
            <v>42826</v>
          </cell>
          <cell r="L9329" t="str">
            <v>12-20-008-02W2</v>
          </cell>
          <cell r="O9329">
            <v>866.4</v>
          </cell>
          <cell r="Q9329">
            <v>1.77</v>
          </cell>
          <cell r="T9329">
            <v>56.555</v>
          </cell>
        </row>
        <row r="9330">
          <cell r="G9330">
            <v>42826</v>
          </cell>
          <cell r="L9330" t="str">
            <v>11-36-004-03W2</v>
          </cell>
          <cell r="O9330">
            <v>836.7</v>
          </cell>
          <cell r="Q9330">
            <v>0.8</v>
          </cell>
          <cell r="T9330">
            <v>51.911000000000001</v>
          </cell>
        </row>
        <row r="9331">
          <cell r="G9331">
            <v>42826</v>
          </cell>
          <cell r="L9331" t="str">
            <v>16-09-004-31W1</v>
          </cell>
          <cell r="O9331">
            <v>864.3</v>
          </cell>
          <cell r="Q9331">
            <v>1.8</v>
          </cell>
          <cell r="T9331">
            <v>45.298999999999999</v>
          </cell>
        </row>
        <row r="9332">
          <cell r="G9332">
            <v>42826</v>
          </cell>
          <cell r="L9332" t="str">
            <v>01-22-163-82W1</v>
          </cell>
          <cell r="O9332">
            <v>897.7</v>
          </cell>
          <cell r="Q9332">
            <v>2.06</v>
          </cell>
          <cell r="T9332">
            <v>42.262</v>
          </cell>
        </row>
        <row r="9333">
          <cell r="G9333">
            <v>42826</v>
          </cell>
          <cell r="L9333" t="str">
            <v>16-07-006-02W2</v>
          </cell>
          <cell r="O9333">
            <v>862</v>
          </cell>
          <cell r="Q9333">
            <v>1.22</v>
          </cell>
          <cell r="T9333">
            <v>27.187999999999999</v>
          </cell>
        </row>
        <row r="9334">
          <cell r="G9334">
            <v>42826</v>
          </cell>
          <cell r="L9334" t="str">
            <v>01-23-162-86W1</v>
          </cell>
          <cell r="O9334">
            <v>892.9</v>
          </cell>
          <cell r="Q9334">
            <v>2.06</v>
          </cell>
          <cell r="T9334">
            <v>22.574000000000002</v>
          </cell>
        </row>
        <row r="9335">
          <cell r="G9335">
            <v>42826</v>
          </cell>
          <cell r="L9335" t="str">
            <v>01-32-159-80W1</v>
          </cell>
          <cell r="O9335">
            <v>901.2</v>
          </cell>
          <cell r="Q9335">
            <v>0.81</v>
          </cell>
          <cell r="T9335">
            <v>21.838000000000001</v>
          </cell>
        </row>
        <row r="9336">
          <cell r="G9336">
            <v>42826</v>
          </cell>
          <cell r="L9336" t="str">
            <v>15-09-007-03W2</v>
          </cell>
          <cell r="O9336">
            <v>847.2</v>
          </cell>
          <cell r="Q9336">
            <v>1.39</v>
          </cell>
          <cell r="T9336">
            <v>1284.981</v>
          </cell>
        </row>
        <row r="9337">
          <cell r="G9337">
            <v>42826</v>
          </cell>
          <cell r="L9337" t="str">
            <v>07-31-005-33W1</v>
          </cell>
          <cell r="O9337">
            <v>826.3</v>
          </cell>
          <cell r="Q9337">
            <v>0.66</v>
          </cell>
          <cell r="T9337">
            <v>404.08</v>
          </cell>
        </row>
        <row r="9338">
          <cell r="G9338">
            <v>42826</v>
          </cell>
          <cell r="L9338" t="str">
            <v>04-36-004-02W2</v>
          </cell>
          <cell r="O9338">
            <v>853.7</v>
          </cell>
          <cell r="Q9338">
            <v>1.58</v>
          </cell>
          <cell r="T9338">
            <v>257.63400000000001</v>
          </cell>
        </row>
        <row r="9339">
          <cell r="G9339">
            <v>42826</v>
          </cell>
          <cell r="L9339" t="str">
            <v>AL Stream</v>
          </cell>
          <cell r="O9339">
            <v>843.9</v>
          </cell>
          <cell r="Q9339">
            <v>1.1599999999999999</v>
          </cell>
          <cell r="T9339">
            <v>-86288.501999999993</v>
          </cell>
        </row>
        <row r="9340">
          <cell r="G9340">
            <v>42826</v>
          </cell>
          <cell r="L9340" t="str">
            <v>MW Stream</v>
          </cell>
          <cell r="O9340">
            <v>833.5</v>
          </cell>
          <cell r="Q9340">
            <v>1.0900000000000001</v>
          </cell>
          <cell r="T9340">
            <v>-4789.3310000000001</v>
          </cell>
        </row>
        <row r="9341">
          <cell r="G9341">
            <v>42856</v>
          </cell>
          <cell r="L9341" t="str">
            <v>05-13-003-02W2</v>
          </cell>
          <cell r="O9341">
            <v>831.3</v>
          </cell>
          <cell r="Q9341">
            <v>0.7</v>
          </cell>
          <cell r="T9341">
            <v>2076.2559999999999</v>
          </cell>
        </row>
        <row r="9342">
          <cell r="G9342">
            <v>42856</v>
          </cell>
          <cell r="L9342" t="str">
            <v>10-11-004-34W1</v>
          </cell>
          <cell r="O9342">
            <v>829.6</v>
          </cell>
          <cell r="Q9342">
            <v>0.76</v>
          </cell>
          <cell r="T9342">
            <v>461.02100000000002</v>
          </cell>
        </row>
        <row r="9343">
          <cell r="G9343">
            <v>42856</v>
          </cell>
          <cell r="L9343" t="str">
            <v>06-03-004-31W1</v>
          </cell>
          <cell r="O9343">
            <v>867.7</v>
          </cell>
          <cell r="Q9343">
            <v>1.92</v>
          </cell>
          <cell r="T9343">
            <v>368.13299999999998</v>
          </cell>
        </row>
        <row r="9344">
          <cell r="G9344">
            <v>42856</v>
          </cell>
          <cell r="L9344" t="str">
            <v>14-09-002-29W1</v>
          </cell>
          <cell r="O9344">
            <v>837.8</v>
          </cell>
          <cell r="Q9344">
            <v>0.77</v>
          </cell>
          <cell r="T9344">
            <v>13057.414000000001</v>
          </cell>
        </row>
        <row r="9345">
          <cell r="G9345">
            <v>42856</v>
          </cell>
          <cell r="L9345" t="str">
            <v>14-26-002-30W1</v>
          </cell>
          <cell r="O9345">
            <v>865.7</v>
          </cell>
          <cell r="Q9345">
            <v>1.84</v>
          </cell>
          <cell r="T9345">
            <v>686.66099999999994</v>
          </cell>
        </row>
        <row r="9346">
          <cell r="G9346">
            <v>42856</v>
          </cell>
          <cell r="L9346" t="str">
            <v>06-04-006-33W1</v>
          </cell>
          <cell r="O9346">
            <v>832.7</v>
          </cell>
          <cell r="Q9346">
            <v>0.87</v>
          </cell>
          <cell r="T9346">
            <v>397.38</v>
          </cell>
        </row>
        <row r="9347">
          <cell r="G9347">
            <v>42856</v>
          </cell>
          <cell r="L9347" t="str">
            <v>02-02-006-03W2</v>
          </cell>
          <cell r="O9347">
            <v>849.1</v>
          </cell>
          <cell r="Q9347">
            <v>1.19</v>
          </cell>
          <cell r="T9347">
            <v>1164.912</v>
          </cell>
        </row>
        <row r="9348">
          <cell r="G9348">
            <v>42856</v>
          </cell>
          <cell r="L9348" t="str">
            <v>08-31-005-03W2</v>
          </cell>
          <cell r="O9348">
            <v>842.5</v>
          </cell>
          <cell r="Q9348">
            <v>1.02</v>
          </cell>
          <cell r="T9348">
            <v>299.584</v>
          </cell>
        </row>
        <row r="9349">
          <cell r="G9349">
            <v>42856</v>
          </cell>
          <cell r="L9349" t="str">
            <v>10-09-004-33W1</v>
          </cell>
          <cell r="O9349">
            <v>838</v>
          </cell>
          <cell r="Q9349">
            <v>0.68</v>
          </cell>
          <cell r="T9349">
            <v>69.897000000000006</v>
          </cell>
        </row>
        <row r="9350">
          <cell r="G9350">
            <v>42856</v>
          </cell>
          <cell r="L9350" t="str">
            <v>02-08-004-33W1</v>
          </cell>
          <cell r="O9350">
            <v>830.8</v>
          </cell>
          <cell r="Q9350">
            <v>0.65</v>
          </cell>
          <cell r="T9350">
            <v>421.76</v>
          </cell>
        </row>
        <row r="9351">
          <cell r="G9351">
            <v>42856</v>
          </cell>
          <cell r="L9351" t="str">
            <v>05-14-003-01W2</v>
          </cell>
          <cell r="O9351">
            <v>834.5</v>
          </cell>
          <cell r="Q9351">
            <v>0.94</v>
          </cell>
          <cell r="T9351">
            <v>2413.8069999999998</v>
          </cell>
        </row>
        <row r="9352">
          <cell r="G9352">
            <v>42856</v>
          </cell>
          <cell r="L9352" t="str">
            <v>08-36-003-34W1</v>
          </cell>
          <cell r="O9352">
            <v>851.5</v>
          </cell>
          <cell r="Q9352">
            <v>1.22</v>
          </cell>
          <cell r="T9352">
            <v>3563.8530000000001</v>
          </cell>
        </row>
        <row r="9353">
          <cell r="G9353">
            <v>42856</v>
          </cell>
          <cell r="L9353" t="str">
            <v>09-23-002-01W2</v>
          </cell>
          <cell r="O9353">
            <v>849.2</v>
          </cell>
          <cell r="Q9353">
            <v>0.99</v>
          </cell>
          <cell r="T9353">
            <v>151.62200000000001</v>
          </cell>
        </row>
        <row r="9354">
          <cell r="G9354">
            <v>42856</v>
          </cell>
          <cell r="L9354" t="str">
            <v>12-12-005-34W1</v>
          </cell>
          <cell r="O9354">
            <v>821.9</v>
          </cell>
          <cell r="Q9354">
            <v>0.61</v>
          </cell>
          <cell r="T9354">
            <v>154.50200000000001</v>
          </cell>
        </row>
        <row r="9355">
          <cell r="G9355">
            <v>42856</v>
          </cell>
          <cell r="L9355" t="str">
            <v>13-11-004-02W2</v>
          </cell>
          <cell r="O9355">
            <v>840.1</v>
          </cell>
          <cell r="Q9355">
            <v>1.03</v>
          </cell>
          <cell r="T9355">
            <v>1341.8330000000001</v>
          </cell>
        </row>
        <row r="9356">
          <cell r="G9356">
            <v>42856</v>
          </cell>
          <cell r="L9356" t="str">
            <v>14-28-002-34W1</v>
          </cell>
          <cell r="O9356">
            <v>831.9</v>
          </cell>
          <cell r="Q9356">
            <v>0.69</v>
          </cell>
          <cell r="T9356">
            <v>1638.6089999999999</v>
          </cell>
        </row>
        <row r="9357">
          <cell r="G9357">
            <v>42856</v>
          </cell>
          <cell r="L9357" t="str">
            <v>14-33-003-01W2</v>
          </cell>
          <cell r="O9357">
            <v>833.2</v>
          </cell>
          <cell r="Q9357">
            <v>0.96</v>
          </cell>
          <cell r="T9357">
            <v>924.40700000000004</v>
          </cell>
        </row>
        <row r="9358">
          <cell r="G9358">
            <v>42856</v>
          </cell>
          <cell r="L9358" t="str">
            <v>16-24-004-01W2</v>
          </cell>
          <cell r="O9358">
            <v>829.6</v>
          </cell>
          <cell r="Q9358">
            <v>0.62</v>
          </cell>
          <cell r="T9358">
            <v>124.336</v>
          </cell>
        </row>
        <row r="9359">
          <cell r="G9359">
            <v>42856</v>
          </cell>
          <cell r="L9359" t="str">
            <v>04-10-004-31W1</v>
          </cell>
          <cell r="O9359">
            <v>865.7</v>
          </cell>
          <cell r="Q9359">
            <v>1.82</v>
          </cell>
          <cell r="T9359">
            <v>2556.7440000000001</v>
          </cell>
        </row>
        <row r="9360">
          <cell r="G9360">
            <v>42856</v>
          </cell>
          <cell r="L9360" t="str">
            <v>10-33-004-32W1</v>
          </cell>
          <cell r="O9360">
            <v>836.5</v>
          </cell>
          <cell r="Q9360">
            <v>0.91</v>
          </cell>
          <cell r="T9360">
            <v>780.18</v>
          </cell>
        </row>
        <row r="9361">
          <cell r="G9361">
            <v>42856</v>
          </cell>
          <cell r="L9361" t="str">
            <v>12-23-005-31W1</v>
          </cell>
          <cell r="O9361">
            <v>845.6</v>
          </cell>
          <cell r="Q9361">
            <v>1.08</v>
          </cell>
          <cell r="T9361">
            <v>1061.461</v>
          </cell>
        </row>
        <row r="9362">
          <cell r="G9362">
            <v>42856</v>
          </cell>
          <cell r="L9362" t="str">
            <v>16-10-006-30W1</v>
          </cell>
          <cell r="O9362">
            <v>851.7</v>
          </cell>
          <cell r="Q9362">
            <v>1.47</v>
          </cell>
          <cell r="T9362">
            <v>1574.423</v>
          </cell>
        </row>
        <row r="9363">
          <cell r="G9363">
            <v>42856</v>
          </cell>
          <cell r="L9363" t="str">
            <v>16-13-004-32W1</v>
          </cell>
          <cell r="O9363">
            <v>854</v>
          </cell>
          <cell r="Q9363">
            <v>1.37</v>
          </cell>
          <cell r="T9363">
            <v>1224.211</v>
          </cell>
        </row>
        <row r="9364">
          <cell r="G9364">
            <v>42856</v>
          </cell>
          <cell r="L9364" t="str">
            <v>02-20-006-32W1</v>
          </cell>
          <cell r="O9364">
            <v>832.5</v>
          </cell>
          <cell r="Q9364">
            <v>0.93</v>
          </cell>
          <cell r="T9364">
            <v>1407.4760000000001</v>
          </cell>
        </row>
        <row r="9365">
          <cell r="G9365">
            <v>42856</v>
          </cell>
          <cell r="L9365" t="str">
            <v>04-04-007-01W2</v>
          </cell>
          <cell r="O9365">
            <v>854.2</v>
          </cell>
          <cell r="Q9365">
            <v>1.36</v>
          </cell>
          <cell r="T9365">
            <v>1088.376</v>
          </cell>
        </row>
        <row r="9366">
          <cell r="G9366">
            <v>42856</v>
          </cell>
          <cell r="L9366" t="str">
            <v>04-05-007-33W1</v>
          </cell>
          <cell r="O9366">
            <v>843</v>
          </cell>
          <cell r="Q9366">
            <v>1.23</v>
          </cell>
          <cell r="T9366">
            <v>2440.424</v>
          </cell>
        </row>
        <row r="9367">
          <cell r="G9367">
            <v>42856</v>
          </cell>
          <cell r="L9367" t="str">
            <v>04-33-006-01W2</v>
          </cell>
          <cell r="O9367">
            <v>846</v>
          </cell>
          <cell r="Q9367">
            <v>1.1599999999999999</v>
          </cell>
          <cell r="T9367">
            <v>949.65499999999997</v>
          </cell>
        </row>
        <row r="9368">
          <cell r="G9368">
            <v>42856</v>
          </cell>
          <cell r="L9368" t="str">
            <v>06-01-007-01W2</v>
          </cell>
          <cell r="O9368">
            <v>842.5</v>
          </cell>
          <cell r="Q9368">
            <v>1.17</v>
          </cell>
          <cell r="T9368">
            <v>2096.8240000000001</v>
          </cell>
        </row>
        <row r="9369">
          <cell r="G9369">
            <v>42856</v>
          </cell>
          <cell r="L9369" t="str">
            <v>06-02-008-02W2</v>
          </cell>
          <cell r="O9369">
            <v>847.8</v>
          </cell>
          <cell r="Q9369">
            <v>1.54</v>
          </cell>
          <cell r="T9369">
            <v>947.77300000000002</v>
          </cell>
        </row>
        <row r="9370">
          <cell r="G9370">
            <v>42856</v>
          </cell>
          <cell r="L9370" t="str">
            <v>08-12-006-01W2</v>
          </cell>
          <cell r="O9370">
            <v>847</v>
          </cell>
          <cell r="Q9370">
            <v>1.28</v>
          </cell>
          <cell r="T9370">
            <v>418.40699999999998</v>
          </cell>
        </row>
        <row r="9371">
          <cell r="G9371">
            <v>42856</v>
          </cell>
          <cell r="L9371" t="str">
            <v>08-13-006-33W1</v>
          </cell>
          <cell r="O9371">
            <v>840.2</v>
          </cell>
          <cell r="Q9371">
            <v>0.88</v>
          </cell>
          <cell r="T9371">
            <v>394.49599999999998</v>
          </cell>
        </row>
        <row r="9372">
          <cell r="G9372">
            <v>42856</v>
          </cell>
          <cell r="L9372" t="str">
            <v>13-13-007-02W2</v>
          </cell>
          <cell r="O9372">
            <v>847.4</v>
          </cell>
          <cell r="Q9372">
            <v>1.28</v>
          </cell>
          <cell r="T9372">
            <v>4681.2809999999999</v>
          </cell>
        </row>
        <row r="9373">
          <cell r="G9373">
            <v>42856</v>
          </cell>
          <cell r="L9373" t="str">
            <v>02-16-010-02W2</v>
          </cell>
          <cell r="O9373">
            <v>856.9</v>
          </cell>
          <cell r="Q9373">
            <v>1.76</v>
          </cell>
          <cell r="T9373">
            <v>453.22899999999998</v>
          </cell>
        </row>
        <row r="9374">
          <cell r="G9374">
            <v>42856</v>
          </cell>
          <cell r="L9374" t="str">
            <v>08-31-009-01W2</v>
          </cell>
          <cell r="O9374">
            <v>857.4</v>
          </cell>
          <cell r="Q9374">
            <v>1.81</v>
          </cell>
          <cell r="T9374">
            <v>296.03699999999998</v>
          </cell>
        </row>
        <row r="9375">
          <cell r="G9375">
            <v>42856</v>
          </cell>
          <cell r="L9375" t="str">
            <v>08-33-005-03W2</v>
          </cell>
          <cell r="O9375">
            <v>845.1</v>
          </cell>
          <cell r="Q9375">
            <v>1.1200000000000001</v>
          </cell>
          <cell r="T9375">
            <v>1328.777</v>
          </cell>
        </row>
        <row r="9376">
          <cell r="G9376">
            <v>42856</v>
          </cell>
          <cell r="L9376" t="str">
            <v>09-33-006-05W2</v>
          </cell>
          <cell r="O9376">
            <v>859.6</v>
          </cell>
          <cell r="Q9376">
            <v>1.68</v>
          </cell>
          <cell r="T9376">
            <v>1423.1289999999999</v>
          </cell>
        </row>
        <row r="9377">
          <cell r="G9377">
            <v>42856</v>
          </cell>
          <cell r="L9377" t="str">
            <v>13-34-006-05W2</v>
          </cell>
          <cell r="O9377">
            <v>860.3</v>
          </cell>
          <cell r="Q9377">
            <v>2.0499999999999998</v>
          </cell>
          <cell r="T9377">
            <v>1471.037</v>
          </cell>
        </row>
        <row r="9378">
          <cell r="G9378">
            <v>42856</v>
          </cell>
          <cell r="L9378" t="str">
            <v>15-21-008-03W2</v>
          </cell>
          <cell r="O9378">
            <v>850.5</v>
          </cell>
          <cell r="Q9378">
            <v>1.48</v>
          </cell>
          <cell r="T9378">
            <v>213.899</v>
          </cell>
        </row>
        <row r="9379">
          <cell r="G9379">
            <v>42856</v>
          </cell>
          <cell r="L9379" t="str">
            <v>15-26-007-04W2</v>
          </cell>
          <cell r="O9379">
            <v>851.4</v>
          </cell>
          <cell r="Q9379">
            <v>1.44</v>
          </cell>
          <cell r="T9379">
            <v>308.77600000000001</v>
          </cell>
        </row>
        <row r="9380">
          <cell r="G9380">
            <v>42856</v>
          </cell>
          <cell r="L9380" t="str">
            <v>07-36-001-34W1</v>
          </cell>
          <cell r="O9380">
            <v>851.4</v>
          </cell>
          <cell r="Q9380">
            <v>1.1200000000000001</v>
          </cell>
          <cell r="T9380">
            <v>147.60900000000001</v>
          </cell>
        </row>
        <row r="9381">
          <cell r="G9381">
            <v>42856</v>
          </cell>
          <cell r="L9381" t="str">
            <v>11-23-002-34W1</v>
          </cell>
          <cell r="O9381">
            <v>834.1</v>
          </cell>
          <cell r="Q9381">
            <v>0.82</v>
          </cell>
          <cell r="T9381">
            <v>269.57299999999998</v>
          </cell>
        </row>
        <row r="9382">
          <cell r="G9382">
            <v>42856</v>
          </cell>
          <cell r="L9382" t="str">
            <v>13-25-001-01W2</v>
          </cell>
          <cell r="O9382">
            <v>840.5</v>
          </cell>
          <cell r="Q9382">
            <v>0.9</v>
          </cell>
          <cell r="T9382">
            <v>155.66900000000001</v>
          </cell>
        </row>
        <row r="9383">
          <cell r="G9383">
            <v>42856</v>
          </cell>
          <cell r="L9383" t="str">
            <v>05-31-002-01W2</v>
          </cell>
          <cell r="O9383">
            <v>821.8</v>
          </cell>
          <cell r="Q9383">
            <v>0.73</v>
          </cell>
          <cell r="T9383">
            <v>7702.1589999999997</v>
          </cell>
        </row>
        <row r="9384">
          <cell r="G9384">
            <v>42856</v>
          </cell>
          <cell r="L9384" t="str">
            <v>04-27-003-33W1</v>
          </cell>
          <cell r="O9384">
            <v>844.2</v>
          </cell>
          <cell r="Q9384">
            <v>1.1299999999999999</v>
          </cell>
          <cell r="T9384">
            <v>3393.7950000000001</v>
          </cell>
        </row>
        <row r="9385">
          <cell r="G9385">
            <v>42856</v>
          </cell>
          <cell r="L9385" t="str">
            <v>02-14-005-32W1</v>
          </cell>
          <cell r="O9385">
            <v>835.2</v>
          </cell>
          <cell r="Q9385">
            <v>0.99</v>
          </cell>
          <cell r="T9385">
            <v>1589.758</v>
          </cell>
        </row>
        <row r="9386">
          <cell r="G9386">
            <v>42856</v>
          </cell>
          <cell r="L9386" t="str">
            <v>05-29-005-32W1</v>
          </cell>
          <cell r="O9386">
            <v>836.5</v>
          </cell>
          <cell r="Q9386">
            <v>0.96</v>
          </cell>
          <cell r="T9386">
            <v>2752.261</v>
          </cell>
        </row>
        <row r="9387">
          <cell r="G9387">
            <v>42856</v>
          </cell>
          <cell r="L9387" t="str">
            <v>03-13-006-33W1</v>
          </cell>
          <cell r="O9387">
            <v>837</v>
          </cell>
          <cell r="Q9387">
            <v>0.84</v>
          </cell>
          <cell r="T9387">
            <v>115.97199999999999</v>
          </cell>
        </row>
        <row r="9388">
          <cell r="G9388">
            <v>42856</v>
          </cell>
          <cell r="L9388" t="str">
            <v>11-27-005-33W1</v>
          </cell>
          <cell r="O9388">
            <v>823.7</v>
          </cell>
          <cell r="Q9388">
            <v>0.75</v>
          </cell>
          <cell r="T9388">
            <v>6713.5219999999999</v>
          </cell>
        </row>
        <row r="9389">
          <cell r="G9389">
            <v>42856</v>
          </cell>
          <cell r="L9389" t="str">
            <v>02-12-010-02W2</v>
          </cell>
          <cell r="O9389">
            <v>858.8</v>
          </cell>
          <cell r="Q9389">
            <v>1.72</v>
          </cell>
          <cell r="T9389">
            <v>491.303</v>
          </cell>
        </row>
        <row r="9390">
          <cell r="G9390">
            <v>42856</v>
          </cell>
          <cell r="L9390" t="str">
            <v>04-15-008-33W1</v>
          </cell>
          <cell r="O9390">
            <v>846.4</v>
          </cell>
          <cell r="Q9390">
            <v>1.34</v>
          </cell>
          <cell r="T9390">
            <v>81.570999999999998</v>
          </cell>
        </row>
        <row r="9391">
          <cell r="G9391">
            <v>42856</v>
          </cell>
          <cell r="L9391" t="str">
            <v>04-22-009-33W1</v>
          </cell>
          <cell r="O9391">
            <v>851.9</v>
          </cell>
          <cell r="Q9391">
            <v>1.48</v>
          </cell>
          <cell r="T9391">
            <v>2217.2359999999999</v>
          </cell>
        </row>
        <row r="9392">
          <cell r="G9392">
            <v>42856</v>
          </cell>
          <cell r="L9392" t="str">
            <v>05-03-009-33W1</v>
          </cell>
          <cell r="O9392">
            <v>848.4</v>
          </cell>
          <cell r="Q9392">
            <v>1.37</v>
          </cell>
          <cell r="T9392">
            <v>2132.6619999999998</v>
          </cell>
        </row>
        <row r="9393">
          <cell r="G9393">
            <v>42856</v>
          </cell>
          <cell r="L9393" t="str">
            <v>09-19-009-33W1</v>
          </cell>
          <cell r="O9393">
            <v>857.2</v>
          </cell>
          <cell r="Q9393">
            <v>1.67</v>
          </cell>
          <cell r="T9393">
            <v>963.48800000000006</v>
          </cell>
        </row>
        <row r="9394">
          <cell r="G9394">
            <v>42856</v>
          </cell>
          <cell r="L9394" t="str">
            <v>14-30-009-33W1</v>
          </cell>
          <cell r="O9394">
            <v>854.8</v>
          </cell>
          <cell r="Q9394">
            <v>1.77</v>
          </cell>
          <cell r="T9394">
            <v>1197.825</v>
          </cell>
        </row>
        <row r="9395">
          <cell r="G9395">
            <v>42856</v>
          </cell>
          <cell r="L9395" t="str">
            <v>10-26-010-03W2</v>
          </cell>
          <cell r="O9395">
            <v>850.8</v>
          </cell>
          <cell r="Q9395">
            <v>1.68</v>
          </cell>
          <cell r="T9395">
            <v>275.88200000000001</v>
          </cell>
        </row>
        <row r="9396">
          <cell r="G9396">
            <v>42856</v>
          </cell>
          <cell r="L9396" t="str">
            <v>03-23-001-32W1</v>
          </cell>
          <cell r="O9396">
            <v>858.1</v>
          </cell>
          <cell r="Q9396">
            <v>1.56</v>
          </cell>
          <cell r="T9396">
            <v>291.93099999999998</v>
          </cell>
        </row>
        <row r="9397">
          <cell r="G9397">
            <v>42856</v>
          </cell>
          <cell r="L9397" t="str">
            <v>05-12-002-32W1</v>
          </cell>
          <cell r="O9397">
            <v>864.8</v>
          </cell>
          <cell r="Q9397">
            <v>1.7</v>
          </cell>
          <cell r="T9397">
            <v>1269.43</v>
          </cell>
        </row>
        <row r="9398">
          <cell r="G9398">
            <v>42856</v>
          </cell>
          <cell r="L9398" t="str">
            <v>07-24-001-32W1</v>
          </cell>
          <cell r="O9398">
            <v>851</v>
          </cell>
          <cell r="Q9398">
            <v>1.33</v>
          </cell>
          <cell r="T9398">
            <v>130.52000000000001</v>
          </cell>
        </row>
        <row r="9399">
          <cell r="G9399">
            <v>42856</v>
          </cell>
          <cell r="L9399" t="str">
            <v>13-17-001-31W1</v>
          </cell>
          <cell r="O9399">
            <v>844.7</v>
          </cell>
          <cell r="Q9399">
            <v>1.4</v>
          </cell>
          <cell r="T9399">
            <v>137.41800000000001</v>
          </cell>
        </row>
        <row r="9400">
          <cell r="G9400">
            <v>42856</v>
          </cell>
          <cell r="L9400" t="str">
            <v>14-35-006-05W2</v>
          </cell>
          <cell r="O9400">
            <v>855</v>
          </cell>
          <cell r="Q9400">
            <v>1.81</v>
          </cell>
          <cell r="T9400">
            <v>357.83300000000003</v>
          </cell>
        </row>
        <row r="9401">
          <cell r="G9401">
            <v>42856</v>
          </cell>
          <cell r="L9401" t="str">
            <v>08-28-005-33w1</v>
          </cell>
          <cell r="O9401">
            <v>824.2</v>
          </cell>
          <cell r="Q9401">
            <v>1.0900000000000001</v>
          </cell>
          <cell r="T9401">
            <v>118292.008</v>
          </cell>
        </row>
        <row r="9402">
          <cell r="G9402">
            <v>42856</v>
          </cell>
          <cell r="L9402" t="str">
            <v>10-33-003-31W1</v>
          </cell>
          <cell r="O9402">
            <v>879.3</v>
          </cell>
          <cell r="Q9402">
            <v>2.3199999999999998</v>
          </cell>
          <cell r="T9402">
            <v>195.81899999999999</v>
          </cell>
        </row>
        <row r="9403">
          <cell r="G9403">
            <v>42856</v>
          </cell>
          <cell r="L9403" t="str">
            <v>01-15-005-32W1</v>
          </cell>
          <cell r="O9403">
            <v>848.2</v>
          </cell>
          <cell r="Q9403">
            <v>1.04</v>
          </cell>
          <cell r="T9403">
            <v>43.16</v>
          </cell>
        </row>
        <row r="9404">
          <cell r="G9404">
            <v>42856</v>
          </cell>
          <cell r="L9404" t="str">
            <v>08-32-006-01W2</v>
          </cell>
          <cell r="O9404">
            <v>843.5</v>
          </cell>
          <cell r="Q9404">
            <v>1.18</v>
          </cell>
          <cell r="T9404">
            <v>542.89800000000002</v>
          </cell>
        </row>
        <row r="9405">
          <cell r="G9405">
            <v>42856</v>
          </cell>
          <cell r="L9405" t="str">
            <v>05-01-001-32W1</v>
          </cell>
          <cell r="O9405">
            <v>875</v>
          </cell>
          <cell r="Q9405">
            <v>1.9</v>
          </cell>
          <cell r="T9405">
            <v>280.202</v>
          </cell>
        </row>
        <row r="9406">
          <cell r="G9406">
            <v>42856</v>
          </cell>
          <cell r="L9406" t="str">
            <v>02-10-003-01W2</v>
          </cell>
          <cell r="O9406">
            <v>828.8</v>
          </cell>
          <cell r="Q9406">
            <v>0.54</v>
          </cell>
          <cell r="T9406">
            <v>299.63099999999997</v>
          </cell>
        </row>
        <row r="9407">
          <cell r="G9407">
            <v>42856</v>
          </cell>
          <cell r="L9407" t="str">
            <v>02-27-004-33W1</v>
          </cell>
          <cell r="O9407">
            <v>827.5</v>
          </cell>
          <cell r="Q9407">
            <v>0.69</v>
          </cell>
          <cell r="T9407">
            <v>320.464</v>
          </cell>
        </row>
        <row r="9408">
          <cell r="G9408">
            <v>42856</v>
          </cell>
          <cell r="L9408" t="str">
            <v>04-14-005-33w1</v>
          </cell>
          <cell r="O9408">
            <v>846.8</v>
          </cell>
          <cell r="Q9408">
            <v>1.03</v>
          </cell>
          <cell r="T9408">
            <v>686.84799999999996</v>
          </cell>
        </row>
        <row r="9409">
          <cell r="G9409">
            <v>42856</v>
          </cell>
          <cell r="L9409" t="str">
            <v>07-12-005-34W1</v>
          </cell>
          <cell r="O9409">
            <v>828.6</v>
          </cell>
          <cell r="Q9409">
            <v>0.71</v>
          </cell>
          <cell r="T9409">
            <v>971.97199999999998</v>
          </cell>
        </row>
        <row r="9410">
          <cell r="G9410">
            <v>42856</v>
          </cell>
          <cell r="L9410" t="str">
            <v>14-20-005-33w1</v>
          </cell>
          <cell r="O9410">
            <v>834</v>
          </cell>
          <cell r="Q9410">
            <v>0.75</v>
          </cell>
          <cell r="T9410">
            <v>508.98899999999998</v>
          </cell>
        </row>
        <row r="9411">
          <cell r="G9411">
            <v>42856</v>
          </cell>
          <cell r="L9411" t="str">
            <v>16-27-004-33w1</v>
          </cell>
          <cell r="O9411">
            <v>841.7</v>
          </cell>
          <cell r="Q9411">
            <v>1.02</v>
          </cell>
          <cell r="T9411">
            <v>69.022999999999996</v>
          </cell>
        </row>
        <row r="9412">
          <cell r="G9412">
            <v>42856</v>
          </cell>
          <cell r="L9412" t="str">
            <v>02-17-005-31W1</v>
          </cell>
          <cell r="O9412">
            <v>846</v>
          </cell>
          <cell r="Q9412">
            <v>1.33</v>
          </cell>
          <cell r="T9412">
            <v>243.32300000000001</v>
          </cell>
        </row>
        <row r="9413">
          <cell r="G9413">
            <v>42856</v>
          </cell>
          <cell r="L9413" t="str">
            <v>02-14-010-01W2</v>
          </cell>
          <cell r="O9413">
            <v>855.8</v>
          </cell>
          <cell r="Q9413">
            <v>1.79</v>
          </cell>
          <cell r="T9413">
            <v>664.255</v>
          </cell>
        </row>
        <row r="9414">
          <cell r="G9414">
            <v>42856</v>
          </cell>
          <cell r="L9414" t="str">
            <v>02-13-006-01W2</v>
          </cell>
          <cell r="O9414">
            <v>843.1</v>
          </cell>
          <cell r="Q9414">
            <v>1.23</v>
          </cell>
          <cell r="T9414">
            <v>303.07499999999999</v>
          </cell>
        </row>
        <row r="9415">
          <cell r="G9415">
            <v>42856</v>
          </cell>
          <cell r="L9415" t="str">
            <v>02-15-006-01W2</v>
          </cell>
          <cell r="O9415">
            <v>845.2</v>
          </cell>
          <cell r="Q9415">
            <v>1.23</v>
          </cell>
          <cell r="T9415">
            <v>772.67700000000002</v>
          </cell>
        </row>
        <row r="9416">
          <cell r="G9416">
            <v>42856</v>
          </cell>
          <cell r="L9416" t="str">
            <v>06-27-006-01W2</v>
          </cell>
          <cell r="O9416">
            <v>845</v>
          </cell>
          <cell r="Q9416">
            <v>1.19</v>
          </cell>
          <cell r="T9416">
            <v>2229.3090000000002</v>
          </cell>
        </row>
        <row r="9417">
          <cell r="G9417">
            <v>42856</v>
          </cell>
          <cell r="L9417" t="str">
            <v>07-23-006-02W2</v>
          </cell>
          <cell r="O9417">
            <v>845</v>
          </cell>
          <cell r="Q9417">
            <v>1.17</v>
          </cell>
          <cell r="T9417">
            <v>316.21800000000002</v>
          </cell>
        </row>
        <row r="9418">
          <cell r="G9418">
            <v>42856</v>
          </cell>
          <cell r="L9418" t="str">
            <v>08-05-006-33w1</v>
          </cell>
          <cell r="O9418">
            <v>832.8</v>
          </cell>
          <cell r="Q9418">
            <v>0.94</v>
          </cell>
          <cell r="T9418">
            <v>1455.2819999999999</v>
          </cell>
        </row>
        <row r="9419">
          <cell r="G9419">
            <v>42856</v>
          </cell>
          <cell r="L9419" t="str">
            <v>08-26-006-02W2</v>
          </cell>
          <cell r="O9419">
            <v>842.7</v>
          </cell>
          <cell r="Q9419">
            <v>1.21</v>
          </cell>
          <cell r="T9419">
            <v>363.637</v>
          </cell>
        </row>
        <row r="9420">
          <cell r="G9420">
            <v>42856</v>
          </cell>
          <cell r="L9420" t="str">
            <v>09-28-006-34W1</v>
          </cell>
          <cell r="O9420">
            <v>844.4</v>
          </cell>
          <cell r="Q9420">
            <v>1.26</v>
          </cell>
          <cell r="T9420">
            <v>1878.1220000000001</v>
          </cell>
        </row>
        <row r="9421">
          <cell r="G9421">
            <v>42856</v>
          </cell>
          <cell r="L9421" t="str">
            <v>10-11-006-34W1</v>
          </cell>
          <cell r="O9421">
            <v>851.5</v>
          </cell>
          <cell r="Q9421">
            <v>1.47</v>
          </cell>
          <cell r="T9421">
            <v>1569.5509999999999</v>
          </cell>
        </row>
        <row r="9422">
          <cell r="G9422">
            <v>42856</v>
          </cell>
          <cell r="L9422" t="str">
            <v>13-03-006-34W1</v>
          </cell>
          <cell r="O9422">
            <v>848.6</v>
          </cell>
          <cell r="Q9422">
            <v>1.19</v>
          </cell>
          <cell r="T9422">
            <v>5507.5879999999997</v>
          </cell>
        </row>
        <row r="9423">
          <cell r="G9423">
            <v>42856</v>
          </cell>
          <cell r="L9423" t="str">
            <v>08-18-011-03W2</v>
          </cell>
          <cell r="O9423">
            <v>860.3</v>
          </cell>
          <cell r="Q9423">
            <v>1.89</v>
          </cell>
          <cell r="T9423">
            <v>56.210999999999999</v>
          </cell>
        </row>
        <row r="9424">
          <cell r="G9424">
            <v>42856</v>
          </cell>
          <cell r="L9424" t="str">
            <v>08-35-011-04W2</v>
          </cell>
          <cell r="O9424">
            <v>864.8</v>
          </cell>
          <cell r="Q9424">
            <v>1.88</v>
          </cell>
          <cell r="T9424">
            <v>630.26400000000001</v>
          </cell>
        </row>
        <row r="9425">
          <cell r="G9425">
            <v>42856</v>
          </cell>
          <cell r="L9425" t="str">
            <v>15-09-010-02W2</v>
          </cell>
          <cell r="O9425">
            <v>862.8</v>
          </cell>
          <cell r="Q9425">
            <v>1.94</v>
          </cell>
          <cell r="T9425">
            <v>148.91999999999999</v>
          </cell>
        </row>
        <row r="9426">
          <cell r="G9426">
            <v>42856</v>
          </cell>
          <cell r="L9426" t="str">
            <v>16-16-010-02W2</v>
          </cell>
          <cell r="O9426">
            <v>850.7</v>
          </cell>
          <cell r="Q9426">
            <v>1.77</v>
          </cell>
          <cell r="T9426">
            <v>129.97300000000001</v>
          </cell>
        </row>
        <row r="9427">
          <cell r="G9427">
            <v>42856</v>
          </cell>
          <cell r="L9427" t="str">
            <v>16-18-011-04W2</v>
          </cell>
          <cell r="O9427">
            <v>828</v>
          </cell>
          <cell r="Q9427">
            <v>1.58</v>
          </cell>
          <cell r="T9427">
            <v>9610.1779999999999</v>
          </cell>
        </row>
        <row r="9428">
          <cell r="G9428">
            <v>42856</v>
          </cell>
          <cell r="L9428" t="str">
            <v>01-24-007-05W2</v>
          </cell>
          <cell r="O9428">
            <v>846.1</v>
          </cell>
          <cell r="Q9428">
            <v>1.31</v>
          </cell>
          <cell r="T9428">
            <v>241.745</v>
          </cell>
        </row>
        <row r="9429">
          <cell r="G9429">
            <v>42856</v>
          </cell>
          <cell r="L9429" t="str">
            <v>07-12-008-04W2</v>
          </cell>
          <cell r="O9429">
            <v>852</v>
          </cell>
          <cell r="Q9429">
            <v>1.45</v>
          </cell>
          <cell r="T9429">
            <v>696.73599999999999</v>
          </cell>
        </row>
        <row r="9430">
          <cell r="G9430">
            <v>42856</v>
          </cell>
          <cell r="L9430" t="str">
            <v>09-18-007-04W2</v>
          </cell>
          <cell r="O9430">
            <v>856.1</v>
          </cell>
          <cell r="Q9430">
            <v>1.47</v>
          </cell>
          <cell r="T9430">
            <v>269.60899999999998</v>
          </cell>
        </row>
        <row r="9431">
          <cell r="G9431">
            <v>42856</v>
          </cell>
          <cell r="L9431" t="str">
            <v>09-27-008-03W2</v>
          </cell>
          <cell r="O9431">
            <v>852.5</v>
          </cell>
          <cell r="Q9431">
            <v>1.64</v>
          </cell>
          <cell r="T9431">
            <v>1058.3610000000001</v>
          </cell>
        </row>
        <row r="9432">
          <cell r="G9432">
            <v>42856</v>
          </cell>
          <cell r="L9432" t="str">
            <v>10-13-006-03W2</v>
          </cell>
          <cell r="O9432">
            <v>858.3</v>
          </cell>
          <cell r="Q9432">
            <v>1.9</v>
          </cell>
          <cell r="T9432">
            <v>826.20699999999999</v>
          </cell>
        </row>
        <row r="9433">
          <cell r="G9433">
            <v>42856</v>
          </cell>
          <cell r="L9433" t="str">
            <v>11-28-006-05W2</v>
          </cell>
          <cell r="O9433">
            <v>853.6</v>
          </cell>
          <cell r="Q9433">
            <v>1.43</v>
          </cell>
          <cell r="T9433">
            <v>1128.8409999999999</v>
          </cell>
        </row>
        <row r="9434">
          <cell r="G9434">
            <v>42856</v>
          </cell>
          <cell r="L9434" t="str">
            <v>12-35-008-03W2</v>
          </cell>
          <cell r="O9434">
            <v>852</v>
          </cell>
          <cell r="Q9434">
            <v>1.53</v>
          </cell>
          <cell r="T9434">
            <v>642.02200000000005</v>
          </cell>
        </row>
        <row r="9435">
          <cell r="G9435">
            <v>42856</v>
          </cell>
          <cell r="L9435" t="str">
            <v>15-14-009-03W2</v>
          </cell>
          <cell r="O9435">
            <v>850.1</v>
          </cell>
          <cell r="Q9435">
            <v>1.69</v>
          </cell>
          <cell r="T9435">
            <v>807.245</v>
          </cell>
        </row>
        <row r="9436">
          <cell r="G9436">
            <v>42856</v>
          </cell>
          <cell r="L9436" t="str">
            <v>01-09-001-31W1</v>
          </cell>
          <cell r="O9436">
            <v>875.6</v>
          </cell>
          <cell r="Q9436">
            <v>2.06</v>
          </cell>
          <cell r="T9436">
            <v>2097.0050000000001</v>
          </cell>
        </row>
        <row r="9437">
          <cell r="G9437">
            <v>42856</v>
          </cell>
          <cell r="L9437" t="str">
            <v>03-03-002-32W1</v>
          </cell>
          <cell r="O9437">
            <v>824.4</v>
          </cell>
          <cell r="Q9437">
            <v>1.79</v>
          </cell>
          <cell r="T9437">
            <v>5197.7240000000002</v>
          </cell>
        </row>
        <row r="9438">
          <cell r="G9438">
            <v>42856</v>
          </cell>
          <cell r="L9438" t="str">
            <v>03-19-001-31W1</v>
          </cell>
          <cell r="O9438">
            <v>871.1</v>
          </cell>
          <cell r="Q9438">
            <v>1.78</v>
          </cell>
          <cell r="T9438">
            <v>54.183999999999997</v>
          </cell>
        </row>
        <row r="9439">
          <cell r="G9439">
            <v>42856</v>
          </cell>
          <cell r="L9439" t="str">
            <v>11-25-001-32W1</v>
          </cell>
          <cell r="O9439">
            <v>858.9</v>
          </cell>
          <cell r="Q9439">
            <v>1.51</v>
          </cell>
          <cell r="T9439">
            <v>769.65700000000004</v>
          </cell>
        </row>
        <row r="9440">
          <cell r="G9440">
            <v>42856</v>
          </cell>
          <cell r="L9440" t="str">
            <v>16-24-001-34W1</v>
          </cell>
          <cell r="O9440">
            <v>854.5</v>
          </cell>
          <cell r="Q9440">
            <v>1.1499999999999999</v>
          </cell>
          <cell r="T9440">
            <v>338.42</v>
          </cell>
        </row>
        <row r="9441">
          <cell r="G9441">
            <v>42856</v>
          </cell>
          <cell r="L9441" t="str">
            <v>16-12-004-31W1</v>
          </cell>
          <cell r="O9441">
            <v>861.7</v>
          </cell>
          <cell r="Q9441">
            <v>1.65</v>
          </cell>
          <cell r="T9441">
            <v>4221.9210000000003</v>
          </cell>
        </row>
        <row r="9442">
          <cell r="G9442">
            <v>42856</v>
          </cell>
          <cell r="L9442" t="str">
            <v>07-28-002-30W1</v>
          </cell>
          <cell r="O9442">
            <v>886.2</v>
          </cell>
          <cell r="Q9442">
            <v>2.42</v>
          </cell>
          <cell r="T9442">
            <v>3970.3809999999999</v>
          </cell>
        </row>
        <row r="9443">
          <cell r="G9443">
            <v>42856</v>
          </cell>
          <cell r="L9443" t="str">
            <v>09-08-004-33W1</v>
          </cell>
          <cell r="O9443">
            <v>833.7</v>
          </cell>
          <cell r="Q9443">
            <v>0.66</v>
          </cell>
          <cell r="T9443">
            <v>145.685</v>
          </cell>
        </row>
        <row r="9444">
          <cell r="G9444">
            <v>42856</v>
          </cell>
          <cell r="L9444" t="str">
            <v>14-33-003-01W2</v>
          </cell>
          <cell r="O9444">
            <v>831.5</v>
          </cell>
          <cell r="Q9444">
            <v>0.93</v>
          </cell>
          <cell r="T9444">
            <v>1177.742</v>
          </cell>
        </row>
        <row r="9445">
          <cell r="G9445">
            <v>42856</v>
          </cell>
          <cell r="L9445" t="str">
            <v>04-17-004-31W1</v>
          </cell>
          <cell r="O9445">
            <v>859.3</v>
          </cell>
          <cell r="Q9445">
            <v>1.61</v>
          </cell>
          <cell r="T9445">
            <v>1702.229</v>
          </cell>
        </row>
        <row r="9446">
          <cell r="G9446">
            <v>42856</v>
          </cell>
          <cell r="L9446" t="str">
            <v>08-01-004-32W1</v>
          </cell>
          <cell r="O9446">
            <v>857.6</v>
          </cell>
          <cell r="Q9446">
            <v>1.64</v>
          </cell>
          <cell r="T9446">
            <v>149.16200000000001</v>
          </cell>
        </row>
        <row r="9447">
          <cell r="G9447">
            <v>42856</v>
          </cell>
          <cell r="L9447" t="str">
            <v>09-30-002-30W1</v>
          </cell>
          <cell r="O9447">
            <v>866.9</v>
          </cell>
          <cell r="Q9447">
            <v>1.73</v>
          </cell>
          <cell r="T9447">
            <v>104.145</v>
          </cell>
        </row>
        <row r="9448">
          <cell r="G9448">
            <v>42856</v>
          </cell>
          <cell r="L9448" t="str">
            <v>12-01-003-30W1</v>
          </cell>
          <cell r="O9448">
            <v>865.8</v>
          </cell>
          <cell r="Q9448">
            <v>1.82</v>
          </cell>
          <cell r="T9448">
            <v>445.84300000000002</v>
          </cell>
        </row>
        <row r="9449">
          <cell r="G9449">
            <v>42856</v>
          </cell>
          <cell r="L9449" t="str">
            <v>16-21-003-32W1</v>
          </cell>
          <cell r="O9449">
            <v>864.4</v>
          </cell>
          <cell r="Q9449">
            <v>1.48</v>
          </cell>
          <cell r="T9449">
            <v>1064.97</v>
          </cell>
        </row>
        <row r="9450">
          <cell r="G9450">
            <v>42856</v>
          </cell>
          <cell r="L9450" t="str">
            <v>09-02-007-05W2</v>
          </cell>
          <cell r="O9450">
            <v>848.8</v>
          </cell>
          <cell r="Q9450">
            <v>1.88</v>
          </cell>
          <cell r="T9450">
            <v>405.47699999999998</v>
          </cell>
        </row>
        <row r="9451">
          <cell r="G9451">
            <v>42856</v>
          </cell>
          <cell r="L9451" t="str">
            <v>09-27-006-05W2</v>
          </cell>
          <cell r="O9451">
            <v>868.5</v>
          </cell>
          <cell r="Q9451">
            <v>2.2400000000000002</v>
          </cell>
          <cell r="T9451">
            <v>1169.8589999999999</v>
          </cell>
        </row>
        <row r="9452">
          <cell r="G9452">
            <v>42856</v>
          </cell>
          <cell r="L9452" t="str">
            <v>11-30-005-03W2</v>
          </cell>
          <cell r="O9452">
            <v>854.2</v>
          </cell>
          <cell r="Q9452">
            <v>1.45</v>
          </cell>
          <cell r="T9452">
            <v>3812.1930000000002</v>
          </cell>
        </row>
        <row r="9453">
          <cell r="G9453">
            <v>42856</v>
          </cell>
          <cell r="L9453" t="str">
            <v>02-30-001-31W1</v>
          </cell>
          <cell r="O9453">
            <v>867.3</v>
          </cell>
          <cell r="Q9453">
            <v>1.68</v>
          </cell>
          <cell r="T9453">
            <v>193.185</v>
          </cell>
        </row>
        <row r="9454">
          <cell r="G9454">
            <v>42856</v>
          </cell>
          <cell r="L9454" t="str">
            <v>06-24-001-34W1</v>
          </cell>
          <cell r="O9454">
            <v>853.4</v>
          </cell>
          <cell r="Q9454">
            <v>1.28</v>
          </cell>
          <cell r="T9454">
            <v>660.72799999999995</v>
          </cell>
        </row>
        <row r="9455">
          <cell r="G9455">
            <v>42856</v>
          </cell>
          <cell r="L9455" t="str">
            <v>09-30-007-08W2</v>
          </cell>
          <cell r="O9455">
            <v>835.6</v>
          </cell>
          <cell r="Q9455">
            <v>1.0900000000000001</v>
          </cell>
          <cell r="T9455">
            <v>179.75899999999999</v>
          </cell>
        </row>
        <row r="9456">
          <cell r="G9456">
            <v>42856</v>
          </cell>
          <cell r="L9456" t="str">
            <v>07-04-010-08W2</v>
          </cell>
          <cell r="O9456">
            <v>876.8</v>
          </cell>
          <cell r="Q9456">
            <v>2.54</v>
          </cell>
          <cell r="T9456">
            <v>1175.558</v>
          </cell>
        </row>
        <row r="9457">
          <cell r="G9457">
            <v>42856</v>
          </cell>
          <cell r="L9457" t="str">
            <v>07-28-007-08W2</v>
          </cell>
          <cell r="O9457">
            <v>851.4</v>
          </cell>
          <cell r="Q9457">
            <v>1.4</v>
          </cell>
          <cell r="T9457">
            <v>689.66600000000005</v>
          </cell>
        </row>
        <row r="9458">
          <cell r="G9458">
            <v>42856</v>
          </cell>
          <cell r="L9458" t="str">
            <v>09-11-010-08W2</v>
          </cell>
          <cell r="O9458">
            <v>888.1</v>
          </cell>
          <cell r="Q9458">
            <v>2.5499999999999998</v>
          </cell>
          <cell r="T9458">
            <v>797.11800000000005</v>
          </cell>
        </row>
        <row r="9459">
          <cell r="G9459">
            <v>42856</v>
          </cell>
          <cell r="L9459" t="str">
            <v>04-08-008-08W2</v>
          </cell>
          <cell r="O9459">
            <v>822.8</v>
          </cell>
          <cell r="Q9459">
            <v>0.63</v>
          </cell>
          <cell r="T9459">
            <v>152210.65299999999</v>
          </cell>
        </row>
        <row r="9460">
          <cell r="G9460">
            <v>42856</v>
          </cell>
          <cell r="L9460" t="str">
            <v>01-04-007-09W2</v>
          </cell>
          <cell r="O9460">
            <v>815</v>
          </cell>
          <cell r="Q9460">
            <v>0.23</v>
          </cell>
          <cell r="T9460">
            <v>410.363</v>
          </cell>
        </row>
        <row r="9461">
          <cell r="G9461">
            <v>42856</v>
          </cell>
          <cell r="L9461" t="str">
            <v>01-22-010-07W2</v>
          </cell>
          <cell r="O9461">
            <v>888.4</v>
          </cell>
          <cell r="Q9461">
            <v>2.13</v>
          </cell>
          <cell r="T9461">
            <v>640.95000000000005</v>
          </cell>
        </row>
        <row r="9462">
          <cell r="G9462">
            <v>42856</v>
          </cell>
          <cell r="L9462" t="str">
            <v>01-26-006-09W2</v>
          </cell>
          <cell r="O9462">
            <v>882.2</v>
          </cell>
          <cell r="Q9462">
            <v>2.2799999999999998</v>
          </cell>
          <cell r="T9462">
            <v>1521.5719999999999</v>
          </cell>
        </row>
        <row r="9463">
          <cell r="G9463">
            <v>42856</v>
          </cell>
          <cell r="L9463" t="str">
            <v>05-13-008-06W2</v>
          </cell>
          <cell r="O9463">
            <v>822</v>
          </cell>
          <cell r="Q9463">
            <v>0.63</v>
          </cell>
          <cell r="T9463">
            <v>1228.152</v>
          </cell>
        </row>
        <row r="9464">
          <cell r="G9464">
            <v>42856</v>
          </cell>
          <cell r="L9464" t="str">
            <v>07-25-009-08W2</v>
          </cell>
          <cell r="O9464">
            <v>882.7</v>
          </cell>
          <cell r="Q9464">
            <v>2.34</v>
          </cell>
          <cell r="T9464">
            <v>328.11700000000002</v>
          </cell>
        </row>
        <row r="9465">
          <cell r="G9465">
            <v>42856</v>
          </cell>
          <cell r="L9465" t="str">
            <v>09-06-010-07W2</v>
          </cell>
          <cell r="O9465">
            <v>884.2</v>
          </cell>
          <cell r="Q9465">
            <v>2.12</v>
          </cell>
          <cell r="T9465">
            <v>2012.1679999999999</v>
          </cell>
        </row>
        <row r="9466">
          <cell r="G9466">
            <v>42856</v>
          </cell>
          <cell r="L9466" t="str">
            <v>09-20-008-08W2</v>
          </cell>
          <cell r="O9466">
            <v>822.8</v>
          </cell>
          <cell r="Q9466">
            <v>0.61</v>
          </cell>
          <cell r="T9466">
            <v>1955.6880000000001</v>
          </cell>
        </row>
        <row r="9467">
          <cell r="G9467">
            <v>42856</v>
          </cell>
          <cell r="L9467" t="str">
            <v>11-15-007-09W2</v>
          </cell>
          <cell r="O9467">
            <v>826.5</v>
          </cell>
          <cell r="Q9467">
            <v>0.68</v>
          </cell>
          <cell r="T9467">
            <v>6839.1149999999998</v>
          </cell>
        </row>
        <row r="9468">
          <cell r="G9468">
            <v>42856</v>
          </cell>
          <cell r="L9468" t="str">
            <v>13-07-010-09W2</v>
          </cell>
          <cell r="O9468">
            <v>814.5</v>
          </cell>
          <cell r="Q9468">
            <v>0.21</v>
          </cell>
          <cell r="T9468">
            <v>2419.5410000000002</v>
          </cell>
        </row>
        <row r="9469">
          <cell r="G9469">
            <v>42856</v>
          </cell>
          <cell r="L9469" t="str">
            <v>13-18-010-06W2</v>
          </cell>
          <cell r="O9469">
            <v>829.8</v>
          </cell>
          <cell r="Q9469">
            <v>0.91</v>
          </cell>
          <cell r="T9469">
            <v>3842.8110000000001</v>
          </cell>
        </row>
        <row r="9470">
          <cell r="G9470">
            <v>42856</v>
          </cell>
          <cell r="L9470" t="str">
            <v>15-23-006-08W2</v>
          </cell>
          <cell r="O9470">
            <v>853.5</v>
          </cell>
          <cell r="Q9470">
            <v>1.55</v>
          </cell>
          <cell r="T9470">
            <v>1983.175</v>
          </cell>
        </row>
        <row r="9471">
          <cell r="G9471">
            <v>42856</v>
          </cell>
          <cell r="L9471" t="str">
            <v>16-35-009-09W2</v>
          </cell>
          <cell r="O9471">
            <v>882.2</v>
          </cell>
          <cell r="Q9471">
            <v>2.56</v>
          </cell>
          <cell r="T9471">
            <v>582.29899999999998</v>
          </cell>
        </row>
        <row r="9472">
          <cell r="G9472">
            <v>42856</v>
          </cell>
          <cell r="L9472" t="str">
            <v>13-14-009-09W2</v>
          </cell>
          <cell r="O9472">
            <v>866.3</v>
          </cell>
          <cell r="Q9472">
            <v>1.86</v>
          </cell>
          <cell r="T9472">
            <v>2225.9989999999998</v>
          </cell>
        </row>
        <row r="9473">
          <cell r="G9473">
            <v>42856</v>
          </cell>
          <cell r="L9473" t="str">
            <v>05-13-009-06W2</v>
          </cell>
          <cell r="O9473">
            <v>847.9</v>
          </cell>
          <cell r="Q9473">
            <v>1.57</v>
          </cell>
          <cell r="T9473">
            <v>1670.1079999999999</v>
          </cell>
        </row>
        <row r="9474">
          <cell r="G9474">
            <v>42856</v>
          </cell>
          <cell r="L9474" t="str">
            <v>05-31-009-07W2</v>
          </cell>
          <cell r="O9474">
            <v>879</v>
          </cell>
          <cell r="Q9474">
            <v>2.41</v>
          </cell>
          <cell r="T9474">
            <v>646.69000000000005</v>
          </cell>
        </row>
        <row r="9475">
          <cell r="G9475">
            <v>42856</v>
          </cell>
          <cell r="L9475" t="str">
            <v>02-26-009-09W2</v>
          </cell>
          <cell r="O9475">
            <v>811.8</v>
          </cell>
          <cell r="Q9475">
            <v>0.26</v>
          </cell>
          <cell r="T9475">
            <v>3329.3429999999998</v>
          </cell>
        </row>
        <row r="9476">
          <cell r="G9476">
            <v>42856</v>
          </cell>
          <cell r="L9476" t="str">
            <v>03-33-008-06W2</v>
          </cell>
          <cell r="O9476">
            <v>809</v>
          </cell>
          <cell r="Q9476">
            <v>0.35</v>
          </cell>
          <cell r="T9476">
            <v>12983.781000000001</v>
          </cell>
        </row>
        <row r="9477">
          <cell r="G9477">
            <v>42856</v>
          </cell>
          <cell r="L9477" t="str">
            <v>04-18-009-06W2</v>
          </cell>
          <cell r="O9477">
            <v>824.7</v>
          </cell>
          <cell r="Q9477">
            <v>0.68</v>
          </cell>
          <cell r="T9477">
            <v>1610.73</v>
          </cell>
        </row>
        <row r="9478">
          <cell r="G9478">
            <v>42856</v>
          </cell>
          <cell r="L9478" t="str">
            <v>09-10-009-06W2</v>
          </cell>
          <cell r="O9478">
            <v>853.8</v>
          </cell>
          <cell r="Q9478">
            <v>1.7</v>
          </cell>
          <cell r="T9478">
            <v>665.48599999999999</v>
          </cell>
        </row>
        <row r="9479">
          <cell r="G9479">
            <v>42856</v>
          </cell>
          <cell r="L9479" t="str">
            <v>12-06-009-07W2</v>
          </cell>
          <cell r="O9479">
            <v>810.1</v>
          </cell>
          <cell r="Q9479">
            <v>0.19</v>
          </cell>
          <cell r="T9479">
            <v>8729.3289999999997</v>
          </cell>
        </row>
        <row r="9480">
          <cell r="G9480">
            <v>42856</v>
          </cell>
          <cell r="L9480" t="str">
            <v>03-17-011-06W2</v>
          </cell>
          <cell r="O9480">
            <v>881.3</v>
          </cell>
          <cell r="Q9480">
            <v>2.63</v>
          </cell>
          <cell r="T9480">
            <v>1562.2380000000001</v>
          </cell>
        </row>
        <row r="9481">
          <cell r="G9481">
            <v>42856</v>
          </cell>
          <cell r="L9481" t="str">
            <v>15-09-010-08W2</v>
          </cell>
          <cell r="O9481">
            <v>885.1</v>
          </cell>
          <cell r="Q9481">
            <v>2.63</v>
          </cell>
          <cell r="T9481">
            <v>91.41</v>
          </cell>
        </row>
        <row r="9482">
          <cell r="G9482">
            <v>42856</v>
          </cell>
          <cell r="L9482" t="str">
            <v>10-22-006-14W2</v>
          </cell>
          <cell r="O9482">
            <v>843</v>
          </cell>
          <cell r="Q9482">
            <v>1.74</v>
          </cell>
          <cell r="T9482">
            <v>264.38499999999999</v>
          </cell>
        </row>
        <row r="9483">
          <cell r="G9483">
            <v>42856</v>
          </cell>
          <cell r="L9483" t="str">
            <v>12-25-004-19W2</v>
          </cell>
          <cell r="O9483">
            <v>863.5</v>
          </cell>
          <cell r="Q9483">
            <v>2.2599999999999998</v>
          </cell>
          <cell r="T9483">
            <v>907.74199999999996</v>
          </cell>
        </row>
        <row r="9484">
          <cell r="G9484">
            <v>42856</v>
          </cell>
          <cell r="L9484" t="str">
            <v>15-25-007-11W2</v>
          </cell>
          <cell r="O9484">
            <v>873.2</v>
          </cell>
          <cell r="Q9484">
            <v>2.29</v>
          </cell>
          <cell r="T9484">
            <v>1328.7629999999999</v>
          </cell>
        </row>
        <row r="9485">
          <cell r="G9485">
            <v>42856</v>
          </cell>
          <cell r="L9485" t="str">
            <v>11-04-005-12W2</v>
          </cell>
          <cell r="O9485">
            <v>876</v>
          </cell>
          <cell r="Q9485">
            <v>2.0499999999999998</v>
          </cell>
          <cell r="T9485">
            <v>1479.5239999999999</v>
          </cell>
        </row>
        <row r="9486">
          <cell r="G9486">
            <v>42856</v>
          </cell>
          <cell r="L9486" t="str">
            <v>15-32-004-12W2</v>
          </cell>
          <cell r="O9486">
            <v>882.4</v>
          </cell>
          <cell r="Q9486">
            <v>2.2000000000000002</v>
          </cell>
          <cell r="T9486">
            <v>1342.8879999999999</v>
          </cell>
        </row>
        <row r="9487">
          <cell r="G9487">
            <v>42856</v>
          </cell>
          <cell r="L9487" t="str">
            <v>14-33-006-14W2</v>
          </cell>
          <cell r="O9487">
            <v>849.3</v>
          </cell>
          <cell r="Q9487">
            <v>1.75</v>
          </cell>
          <cell r="T9487">
            <v>2199.5239999999999</v>
          </cell>
        </row>
        <row r="9488">
          <cell r="G9488">
            <v>42856</v>
          </cell>
          <cell r="L9488" t="str">
            <v>13-02-007-14W2</v>
          </cell>
          <cell r="O9488">
            <v>852.5</v>
          </cell>
          <cell r="Q9488">
            <v>1.91</v>
          </cell>
          <cell r="T9488">
            <v>1554.7670000000001</v>
          </cell>
        </row>
        <row r="9489">
          <cell r="G9489">
            <v>42856</v>
          </cell>
          <cell r="L9489" t="str">
            <v>02-29-001-17W2</v>
          </cell>
          <cell r="O9489">
            <v>864.4</v>
          </cell>
          <cell r="Q9489">
            <v>2.2599999999999998</v>
          </cell>
          <cell r="T9489">
            <v>754.60299999999995</v>
          </cell>
        </row>
        <row r="9490">
          <cell r="G9490">
            <v>42856</v>
          </cell>
          <cell r="L9490" t="str">
            <v>03-12-002-19W2</v>
          </cell>
          <cell r="O9490">
            <v>875.3</v>
          </cell>
          <cell r="Q9490">
            <v>2.92</v>
          </cell>
          <cell r="T9490">
            <v>289.95699999999999</v>
          </cell>
        </row>
        <row r="9491">
          <cell r="G9491">
            <v>42856</v>
          </cell>
          <cell r="L9491" t="str">
            <v>06-03-001-16W2</v>
          </cell>
          <cell r="O9491">
            <v>815.1</v>
          </cell>
          <cell r="Q9491">
            <v>0.66</v>
          </cell>
          <cell r="T9491">
            <v>3012.7420000000002</v>
          </cell>
        </row>
        <row r="9492">
          <cell r="G9492">
            <v>42856</v>
          </cell>
          <cell r="L9492" t="str">
            <v>09-28-001-15W2</v>
          </cell>
          <cell r="O9492">
            <v>863.9</v>
          </cell>
          <cell r="Q9492">
            <v>1.25</v>
          </cell>
          <cell r="T9492">
            <v>296.60599999999999</v>
          </cell>
        </row>
        <row r="9493">
          <cell r="G9493">
            <v>42856</v>
          </cell>
          <cell r="L9493" t="str">
            <v>11-26-002-19W2</v>
          </cell>
          <cell r="O9493">
            <v>872.9</v>
          </cell>
          <cell r="Q9493">
            <v>1.87</v>
          </cell>
          <cell r="T9493">
            <v>1699.62</v>
          </cell>
        </row>
        <row r="9494">
          <cell r="G9494">
            <v>42856</v>
          </cell>
          <cell r="L9494" t="str">
            <v>05-35-006-11W2</v>
          </cell>
          <cell r="O9494">
            <v>805.9</v>
          </cell>
          <cell r="Q9494">
            <v>0.14000000000000001</v>
          </cell>
          <cell r="T9494">
            <v>443.15800000000002</v>
          </cell>
        </row>
        <row r="9495">
          <cell r="G9495">
            <v>42856</v>
          </cell>
          <cell r="L9495" t="str">
            <v>09-13-007-11W2</v>
          </cell>
          <cell r="O9495">
            <v>822.4</v>
          </cell>
          <cell r="Q9495">
            <v>0.76</v>
          </cell>
          <cell r="T9495">
            <v>22699.566999999999</v>
          </cell>
        </row>
        <row r="9496">
          <cell r="G9496">
            <v>42856</v>
          </cell>
          <cell r="L9496" t="str">
            <v>13-30-007-10W2</v>
          </cell>
          <cell r="O9496">
            <v>823.6</v>
          </cell>
          <cell r="Q9496">
            <v>0.75</v>
          </cell>
          <cell r="T9496">
            <v>12872.544</v>
          </cell>
        </row>
        <row r="9497">
          <cell r="G9497">
            <v>42856</v>
          </cell>
          <cell r="L9497" t="str">
            <v>16-23-006-11W2</v>
          </cell>
          <cell r="O9497">
            <v>869.7</v>
          </cell>
          <cell r="Q9497">
            <v>2.3199999999999998</v>
          </cell>
          <cell r="T9497">
            <v>1759.8240000000001</v>
          </cell>
        </row>
        <row r="9498">
          <cell r="G9498">
            <v>42856</v>
          </cell>
          <cell r="L9498" t="str">
            <v>01-21-001-14W2</v>
          </cell>
          <cell r="O9498">
            <v>810.9</v>
          </cell>
          <cell r="Q9498">
            <v>0.24</v>
          </cell>
          <cell r="T9498">
            <v>20016.702000000001</v>
          </cell>
        </row>
        <row r="9499">
          <cell r="G9499">
            <v>42856</v>
          </cell>
          <cell r="L9499" t="str">
            <v>14-27-001-13W2</v>
          </cell>
          <cell r="O9499">
            <v>822.7</v>
          </cell>
          <cell r="Q9499">
            <v>0.64</v>
          </cell>
          <cell r="T9499">
            <v>24656.244999999999</v>
          </cell>
        </row>
        <row r="9500">
          <cell r="G9500">
            <v>42856</v>
          </cell>
          <cell r="L9500" t="str">
            <v>05-31-003-16W2</v>
          </cell>
          <cell r="O9500">
            <v>884.4</v>
          </cell>
          <cell r="Q9500">
            <v>2.75</v>
          </cell>
          <cell r="T9500">
            <v>2844.9769999999999</v>
          </cell>
        </row>
        <row r="9501">
          <cell r="G9501">
            <v>42856</v>
          </cell>
          <cell r="L9501" t="str">
            <v>08-31-004-18W2</v>
          </cell>
          <cell r="O9501">
            <v>856.7</v>
          </cell>
          <cell r="Q9501">
            <v>1.77</v>
          </cell>
          <cell r="T9501">
            <v>8074.473</v>
          </cell>
        </row>
        <row r="9502">
          <cell r="G9502">
            <v>42856</v>
          </cell>
          <cell r="L9502" t="str">
            <v>04-11-007-13W2</v>
          </cell>
          <cell r="O9502">
            <v>854.7</v>
          </cell>
          <cell r="Q9502">
            <v>2.06</v>
          </cell>
          <cell r="T9502">
            <v>308.23399999999998</v>
          </cell>
        </row>
        <row r="9503">
          <cell r="G9503">
            <v>42856</v>
          </cell>
          <cell r="L9503" t="str">
            <v>04-21-006-14W2</v>
          </cell>
          <cell r="O9503">
            <v>856.8</v>
          </cell>
          <cell r="Q9503">
            <v>1.96</v>
          </cell>
          <cell r="T9503">
            <v>3477.7829999999999</v>
          </cell>
        </row>
        <row r="9504">
          <cell r="G9504">
            <v>42856</v>
          </cell>
          <cell r="L9504" t="str">
            <v>04-05-002-15W2</v>
          </cell>
          <cell r="O9504">
            <v>865.5</v>
          </cell>
          <cell r="Q9504">
            <v>1.96</v>
          </cell>
          <cell r="T9504">
            <v>4763.951</v>
          </cell>
        </row>
        <row r="9505">
          <cell r="G9505">
            <v>42856</v>
          </cell>
          <cell r="L9505" t="str">
            <v>11-02-005-12W2</v>
          </cell>
          <cell r="O9505">
            <v>851.1</v>
          </cell>
          <cell r="Q9505">
            <v>1.78</v>
          </cell>
          <cell r="T9505">
            <v>3038.6930000000002</v>
          </cell>
        </row>
        <row r="9506">
          <cell r="G9506">
            <v>42856</v>
          </cell>
          <cell r="L9506" t="str">
            <v>12-22-007-11W2</v>
          </cell>
          <cell r="O9506">
            <v>821.4</v>
          </cell>
          <cell r="Q9506">
            <v>0.8</v>
          </cell>
          <cell r="T9506">
            <v>9174.1849999999995</v>
          </cell>
        </row>
        <row r="9507">
          <cell r="G9507">
            <v>42856</v>
          </cell>
          <cell r="L9507" t="str">
            <v>01-07-006-10W2</v>
          </cell>
          <cell r="O9507">
            <v>839.6</v>
          </cell>
          <cell r="Q9507">
            <v>1.1100000000000001</v>
          </cell>
          <cell r="T9507">
            <v>6171.8180000000002</v>
          </cell>
        </row>
        <row r="9508">
          <cell r="G9508">
            <v>42856</v>
          </cell>
          <cell r="L9508" t="str">
            <v>01-28-002-14W2</v>
          </cell>
          <cell r="O9508">
            <v>836.4</v>
          </cell>
          <cell r="Q9508">
            <v>1.51</v>
          </cell>
          <cell r="T9508">
            <v>5887.6930000000002</v>
          </cell>
        </row>
        <row r="9509">
          <cell r="G9509">
            <v>42856</v>
          </cell>
          <cell r="L9509" t="str">
            <v>05-18-004-17W2</v>
          </cell>
          <cell r="O9509">
            <v>864.5</v>
          </cell>
          <cell r="Q9509">
            <v>2.23</v>
          </cell>
          <cell r="T9509">
            <v>1841.117</v>
          </cell>
        </row>
        <row r="9510">
          <cell r="G9510">
            <v>42856</v>
          </cell>
          <cell r="L9510" t="str">
            <v>09-31-007-12W2</v>
          </cell>
          <cell r="O9510">
            <v>873.1</v>
          </cell>
          <cell r="Q9510">
            <v>2.4</v>
          </cell>
          <cell r="T9510">
            <v>87.777000000000001</v>
          </cell>
        </row>
        <row r="9511">
          <cell r="G9511">
            <v>42856</v>
          </cell>
          <cell r="L9511" t="str">
            <v>15-33-006-14W2</v>
          </cell>
          <cell r="O9511">
            <v>849.7</v>
          </cell>
          <cell r="Q9511">
            <v>1.71</v>
          </cell>
          <cell r="T9511">
            <v>1072.2570000000001</v>
          </cell>
        </row>
        <row r="9512">
          <cell r="G9512">
            <v>42856</v>
          </cell>
          <cell r="L9512" t="str">
            <v>07-25-003-13W2</v>
          </cell>
          <cell r="O9512">
            <v>890.2</v>
          </cell>
          <cell r="Q9512">
            <v>2.5299999999999998</v>
          </cell>
          <cell r="T9512">
            <v>231.809</v>
          </cell>
        </row>
        <row r="9513">
          <cell r="G9513">
            <v>42856</v>
          </cell>
          <cell r="L9513" t="str">
            <v>01-03-008-13W2</v>
          </cell>
          <cell r="O9513">
            <v>853.4</v>
          </cell>
          <cell r="Q9513">
            <v>2.0699999999999998</v>
          </cell>
          <cell r="T9513">
            <v>420.23399999999998</v>
          </cell>
        </row>
        <row r="9514">
          <cell r="G9514">
            <v>42856</v>
          </cell>
          <cell r="L9514" t="str">
            <v>14-04-007-13W2</v>
          </cell>
          <cell r="O9514">
            <v>865</v>
          </cell>
          <cell r="Q9514">
            <v>1.95</v>
          </cell>
          <cell r="T9514">
            <v>43.125999999999998</v>
          </cell>
        </row>
        <row r="9515">
          <cell r="G9515">
            <v>42856</v>
          </cell>
          <cell r="L9515" t="str">
            <v>16-08-007-12W2</v>
          </cell>
          <cell r="O9515">
            <v>862</v>
          </cell>
          <cell r="Q9515">
            <v>2.11</v>
          </cell>
          <cell r="T9515">
            <v>150.87899999999999</v>
          </cell>
        </row>
        <row r="9516">
          <cell r="G9516">
            <v>42856</v>
          </cell>
          <cell r="L9516" t="str">
            <v>07-02-007-11W2</v>
          </cell>
          <cell r="O9516">
            <v>863.6</v>
          </cell>
          <cell r="Q9516">
            <v>1.49</v>
          </cell>
          <cell r="T9516">
            <v>1787.816</v>
          </cell>
        </row>
        <row r="9517">
          <cell r="G9517">
            <v>42856</v>
          </cell>
          <cell r="L9517" t="str">
            <v>03-06-005-12W2</v>
          </cell>
          <cell r="O9517">
            <v>887.1</v>
          </cell>
          <cell r="Q9517">
            <v>2.4500000000000002</v>
          </cell>
          <cell r="T9517">
            <v>389.399</v>
          </cell>
        </row>
        <row r="9518">
          <cell r="G9518">
            <v>42856</v>
          </cell>
          <cell r="L9518" t="str">
            <v>01-22-006-14W2</v>
          </cell>
          <cell r="O9518">
            <v>863.8</v>
          </cell>
          <cell r="Q9518">
            <v>2.2400000000000002</v>
          </cell>
          <cell r="T9518">
            <v>772.96500000000003</v>
          </cell>
        </row>
        <row r="9519">
          <cell r="G9519">
            <v>42856</v>
          </cell>
          <cell r="L9519" t="str">
            <v>02-18-007-13W2</v>
          </cell>
          <cell r="O9519">
            <v>850</v>
          </cell>
          <cell r="Q9519">
            <v>1.93</v>
          </cell>
          <cell r="T9519">
            <v>455.72</v>
          </cell>
        </row>
        <row r="9520">
          <cell r="G9520">
            <v>42856</v>
          </cell>
          <cell r="L9520" t="str">
            <v>13-34-007-14W2</v>
          </cell>
          <cell r="O9520">
            <v>868.6</v>
          </cell>
          <cell r="Q9520">
            <v>2.16</v>
          </cell>
          <cell r="T9520">
            <v>118.574</v>
          </cell>
        </row>
        <row r="9521">
          <cell r="G9521">
            <v>42856</v>
          </cell>
          <cell r="L9521" t="str">
            <v>15-30-007-12W2</v>
          </cell>
          <cell r="O9521">
            <v>872.4</v>
          </cell>
          <cell r="Q9521">
            <v>2.3199999999999998</v>
          </cell>
          <cell r="T9521">
            <v>408.84100000000001</v>
          </cell>
        </row>
        <row r="9522">
          <cell r="G9522">
            <v>42856</v>
          </cell>
          <cell r="L9522" t="str">
            <v>03-29-003-04W2</v>
          </cell>
          <cell r="O9522">
            <v>832.7</v>
          </cell>
          <cell r="Q9522">
            <v>0.87</v>
          </cell>
          <cell r="T9522">
            <v>1058.9000000000001</v>
          </cell>
        </row>
        <row r="9523">
          <cell r="G9523">
            <v>42856</v>
          </cell>
          <cell r="L9523" t="str">
            <v>07-08-004-05W2</v>
          </cell>
          <cell r="O9523">
            <v>834.8</v>
          </cell>
          <cell r="Q9523">
            <v>1.06</v>
          </cell>
          <cell r="T9523">
            <v>2380.4520000000002</v>
          </cell>
        </row>
        <row r="9524">
          <cell r="G9524">
            <v>42856</v>
          </cell>
          <cell r="L9524" t="str">
            <v>05-24-005-04W2</v>
          </cell>
          <cell r="O9524">
            <v>852.2</v>
          </cell>
          <cell r="Q9524">
            <v>1.63</v>
          </cell>
          <cell r="T9524">
            <v>2675.54</v>
          </cell>
        </row>
        <row r="9525">
          <cell r="G9525">
            <v>42856</v>
          </cell>
          <cell r="L9525" t="str">
            <v>09-27-004-05W2</v>
          </cell>
          <cell r="O9525">
            <v>841.1</v>
          </cell>
          <cell r="Q9525">
            <v>1.18</v>
          </cell>
          <cell r="T9525">
            <v>53.948</v>
          </cell>
        </row>
        <row r="9526">
          <cell r="G9526">
            <v>42856</v>
          </cell>
          <cell r="L9526" t="str">
            <v>14-13-001-05W2</v>
          </cell>
          <cell r="O9526">
            <v>824.7</v>
          </cell>
          <cell r="Q9526">
            <v>0.53</v>
          </cell>
          <cell r="T9526">
            <v>19932.741000000002</v>
          </cell>
        </row>
        <row r="9527">
          <cell r="G9527">
            <v>42856</v>
          </cell>
          <cell r="L9527" t="str">
            <v>02-13-006-06W2</v>
          </cell>
          <cell r="O9527">
            <v>845</v>
          </cell>
          <cell r="Q9527">
            <v>1.43</v>
          </cell>
          <cell r="T9527">
            <v>1309.8610000000001</v>
          </cell>
        </row>
        <row r="9528">
          <cell r="G9528">
            <v>42856</v>
          </cell>
          <cell r="L9528" t="str">
            <v>03-05-006-05W2</v>
          </cell>
          <cell r="O9528">
            <v>839.9</v>
          </cell>
          <cell r="Q9528">
            <v>1</v>
          </cell>
          <cell r="T9528">
            <v>155.58199999999999</v>
          </cell>
        </row>
        <row r="9529">
          <cell r="G9529">
            <v>42856</v>
          </cell>
          <cell r="L9529" t="str">
            <v>05-20-004-04W2</v>
          </cell>
          <cell r="O9529">
            <v>851.4</v>
          </cell>
          <cell r="Q9529">
            <v>1.7</v>
          </cell>
          <cell r="T9529">
            <v>3948.9380000000001</v>
          </cell>
        </row>
        <row r="9530">
          <cell r="G9530">
            <v>42856</v>
          </cell>
          <cell r="L9530" t="str">
            <v>05-34-005-06W2</v>
          </cell>
          <cell r="O9530">
            <v>872.3</v>
          </cell>
          <cell r="Q9530">
            <v>2.35</v>
          </cell>
          <cell r="T9530">
            <v>2139.3539999999998</v>
          </cell>
        </row>
        <row r="9531">
          <cell r="G9531">
            <v>42856</v>
          </cell>
          <cell r="L9531" t="str">
            <v>07-27-007-06W2</v>
          </cell>
          <cell r="O9531">
            <v>810.6</v>
          </cell>
          <cell r="Q9531">
            <v>0.22</v>
          </cell>
          <cell r="T9531">
            <v>514.15599999999995</v>
          </cell>
        </row>
        <row r="9532">
          <cell r="G9532">
            <v>42856</v>
          </cell>
          <cell r="L9532" t="str">
            <v>11-16-005-04W2</v>
          </cell>
          <cell r="O9532">
            <v>855.5</v>
          </cell>
          <cell r="Q9532">
            <v>1.37</v>
          </cell>
          <cell r="T9532">
            <v>2732.9609999999998</v>
          </cell>
        </row>
        <row r="9533">
          <cell r="G9533">
            <v>42856</v>
          </cell>
          <cell r="L9533" t="str">
            <v>11-28-005-06W2</v>
          </cell>
          <cell r="O9533">
            <v>880</v>
          </cell>
          <cell r="Q9533">
            <v>2.34</v>
          </cell>
          <cell r="T9533">
            <v>1000.045</v>
          </cell>
        </row>
        <row r="9534">
          <cell r="G9534">
            <v>42856</v>
          </cell>
          <cell r="L9534" t="str">
            <v>07-35-004-04W2</v>
          </cell>
          <cell r="O9534">
            <v>851.4</v>
          </cell>
          <cell r="Q9534">
            <v>1.54</v>
          </cell>
          <cell r="T9534">
            <v>3010.1</v>
          </cell>
        </row>
        <row r="9535">
          <cell r="G9535">
            <v>42856</v>
          </cell>
          <cell r="L9535" t="str">
            <v>05-10-006-05W2</v>
          </cell>
          <cell r="O9535">
            <v>849.6</v>
          </cell>
          <cell r="Q9535">
            <v>1.47</v>
          </cell>
          <cell r="T9535">
            <v>2076.3870000000002</v>
          </cell>
        </row>
        <row r="9536">
          <cell r="G9536">
            <v>42856</v>
          </cell>
          <cell r="L9536" t="str">
            <v>09-08-004-03W2</v>
          </cell>
          <cell r="O9536">
            <v>829.4</v>
          </cell>
          <cell r="Q9536">
            <v>1.06</v>
          </cell>
          <cell r="T9536">
            <v>14195.075000000001</v>
          </cell>
        </row>
        <row r="9537">
          <cell r="G9537">
            <v>42856</v>
          </cell>
          <cell r="L9537" t="str">
            <v>14-18-001-04W2</v>
          </cell>
          <cell r="O9537">
            <v>828.6</v>
          </cell>
          <cell r="Q9537">
            <v>0.64</v>
          </cell>
          <cell r="T9537">
            <v>263.17500000000001</v>
          </cell>
        </row>
        <row r="9538">
          <cell r="G9538">
            <v>42856</v>
          </cell>
          <cell r="L9538" t="str">
            <v>14-30-001-04W2</v>
          </cell>
          <cell r="O9538">
            <v>827.1</v>
          </cell>
          <cell r="Q9538">
            <v>0.64</v>
          </cell>
          <cell r="T9538">
            <v>3098.3020000000001</v>
          </cell>
        </row>
        <row r="9539">
          <cell r="G9539">
            <v>42856</v>
          </cell>
          <cell r="L9539" t="str">
            <v>01-01-006-06W2</v>
          </cell>
          <cell r="O9539">
            <v>850.3</v>
          </cell>
          <cell r="Q9539">
            <v>1.21</v>
          </cell>
          <cell r="T9539">
            <v>395.21199999999999</v>
          </cell>
        </row>
        <row r="9540">
          <cell r="G9540">
            <v>42856</v>
          </cell>
          <cell r="L9540" t="str">
            <v>13-30-005-05W2</v>
          </cell>
          <cell r="O9540">
            <v>850.3</v>
          </cell>
          <cell r="Q9540">
            <v>1.06</v>
          </cell>
          <cell r="T9540">
            <v>697.38300000000004</v>
          </cell>
        </row>
        <row r="9541">
          <cell r="G9541">
            <v>42856</v>
          </cell>
          <cell r="L9541" t="str">
            <v>16-33-005-06W2</v>
          </cell>
          <cell r="O9541">
            <v>872.3</v>
          </cell>
          <cell r="Q9541">
            <v>2.06</v>
          </cell>
          <cell r="T9541">
            <v>2103.069</v>
          </cell>
        </row>
        <row r="9542">
          <cell r="G9542">
            <v>42856</v>
          </cell>
          <cell r="L9542" t="str">
            <v>16-08-004-05W2</v>
          </cell>
          <cell r="O9542">
            <v>660</v>
          </cell>
          <cell r="Q9542">
            <v>0</v>
          </cell>
          <cell r="T9542">
            <v>7567.4579999999996</v>
          </cell>
        </row>
        <row r="9543">
          <cell r="G9543">
            <v>42856</v>
          </cell>
          <cell r="L9543" t="str">
            <v>01-11-005-04W2</v>
          </cell>
          <cell r="O9543">
            <v>853.5</v>
          </cell>
          <cell r="Q9543">
            <v>1.59</v>
          </cell>
          <cell r="T9543">
            <v>211.322</v>
          </cell>
        </row>
        <row r="9544">
          <cell r="G9544">
            <v>42856</v>
          </cell>
          <cell r="L9544" t="str">
            <v>05-07-005-03W2</v>
          </cell>
          <cell r="O9544">
            <v>847.2</v>
          </cell>
          <cell r="Q9544">
            <v>1.22</v>
          </cell>
          <cell r="T9544">
            <v>2892.944</v>
          </cell>
        </row>
        <row r="9545">
          <cell r="G9545">
            <v>42856</v>
          </cell>
          <cell r="L9545" t="str">
            <v>07-18-005-04W2</v>
          </cell>
          <cell r="O9545">
            <v>853.8</v>
          </cell>
          <cell r="Q9545">
            <v>1.52</v>
          </cell>
          <cell r="T9545">
            <v>456.48500000000001</v>
          </cell>
        </row>
        <row r="9546">
          <cell r="G9546">
            <v>42856</v>
          </cell>
          <cell r="L9546" t="str">
            <v>09-10-005-04W2</v>
          </cell>
          <cell r="O9546">
            <v>852.4</v>
          </cell>
          <cell r="Q9546">
            <v>1.21</v>
          </cell>
          <cell r="T9546">
            <v>758.65599999999995</v>
          </cell>
        </row>
        <row r="9547">
          <cell r="G9547">
            <v>42856</v>
          </cell>
          <cell r="L9547" t="str">
            <v>09-33-005-05W2</v>
          </cell>
          <cell r="O9547">
            <v>850.2</v>
          </cell>
          <cell r="Q9547">
            <v>0.72</v>
          </cell>
          <cell r="T9547">
            <v>2054.8420000000001</v>
          </cell>
        </row>
        <row r="9548">
          <cell r="G9548">
            <v>42856</v>
          </cell>
          <cell r="L9548" t="str">
            <v>11-02-005-04W2</v>
          </cell>
          <cell r="O9548">
            <v>851.8</v>
          </cell>
          <cell r="Q9548">
            <v>1.43</v>
          </cell>
          <cell r="T9548">
            <v>1433.26</v>
          </cell>
        </row>
        <row r="9549">
          <cell r="G9549">
            <v>42856</v>
          </cell>
          <cell r="L9549" t="str">
            <v>11-25-005-06W2</v>
          </cell>
          <cell r="O9549">
            <v>844.2</v>
          </cell>
          <cell r="Q9549">
            <v>1.08</v>
          </cell>
          <cell r="T9549">
            <v>6829.1049999999996</v>
          </cell>
        </row>
        <row r="9550">
          <cell r="G9550">
            <v>42856</v>
          </cell>
          <cell r="L9550" t="str">
            <v>03-15-004-06W2</v>
          </cell>
          <cell r="O9550">
            <v>850.4</v>
          </cell>
          <cell r="Q9550">
            <v>1.32</v>
          </cell>
          <cell r="T9550">
            <v>4675.3909999999996</v>
          </cell>
        </row>
        <row r="9551">
          <cell r="G9551">
            <v>42856</v>
          </cell>
          <cell r="L9551" t="str">
            <v>06-27-004-06W2</v>
          </cell>
          <cell r="O9551">
            <v>830.9</v>
          </cell>
          <cell r="Q9551">
            <v>0.67</v>
          </cell>
          <cell r="T9551">
            <v>1395.1790000000001</v>
          </cell>
        </row>
        <row r="9552">
          <cell r="G9552">
            <v>42856</v>
          </cell>
          <cell r="L9552" t="str">
            <v>16-36-004-06W2</v>
          </cell>
          <cell r="O9552">
            <v>842.8</v>
          </cell>
          <cell r="Q9552">
            <v>1.03</v>
          </cell>
          <cell r="T9552">
            <v>871.37199999999996</v>
          </cell>
        </row>
        <row r="9553">
          <cell r="G9553">
            <v>42856</v>
          </cell>
          <cell r="L9553" t="str">
            <v>07-12-006-11W2</v>
          </cell>
          <cell r="O9553">
            <v>876.5</v>
          </cell>
          <cell r="Q9553">
            <v>2.0699999999999998</v>
          </cell>
          <cell r="T9553">
            <v>21822.753000000001</v>
          </cell>
        </row>
        <row r="9554">
          <cell r="G9554">
            <v>42856</v>
          </cell>
          <cell r="L9554" t="str">
            <v>02-07-006-10W2</v>
          </cell>
          <cell r="O9554">
            <v>836.3</v>
          </cell>
          <cell r="Q9554">
            <v>1.27</v>
          </cell>
          <cell r="T9554">
            <v>10113.319</v>
          </cell>
        </row>
        <row r="9555">
          <cell r="G9555">
            <v>42856</v>
          </cell>
          <cell r="L9555" t="str">
            <v>10-22-004-07W2</v>
          </cell>
          <cell r="O9555">
            <v>882.1</v>
          </cell>
          <cell r="Q9555">
            <v>2.0699999999999998</v>
          </cell>
          <cell r="T9555">
            <v>1116.95</v>
          </cell>
        </row>
        <row r="9556">
          <cell r="G9556">
            <v>42856</v>
          </cell>
          <cell r="L9556" t="str">
            <v>08-14-004-07W2</v>
          </cell>
          <cell r="O9556">
            <v>866.8</v>
          </cell>
          <cell r="Q9556">
            <v>1.53</v>
          </cell>
          <cell r="T9556">
            <v>912.15</v>
          </cell>
        </row>
        <row r="9557">
          <cell r="G9557">
            <v>42856</v>
          </cell>
          <cell r="L9557" t="str">
            <v>08-22-004-09W2</v>
          </cell>
          <cell r="O9557">
            <v>879.8</v>
          </cell>
          <cell r="Q9557">
            <v>1.78</v>
          </cell>
          <cell r="T9557">
            <v>1427.921</v>
          </cell>
        </row>
        <row r="9558">
          <cell r="G9558">
            <v>42856</v>
          </cell>
          <cell r="L9558" t="str">
            <v>13-15-005-08W2</v>
          </cell>
          <cell r="O9558">
            <v>882.7</v>
          </cell>
          <cell r="Q9558">
            <v>2.0699999999999998</v>
          </cell>
          <cell r="T9558">
            <v>1972.9010000000001</v>
          </cell>
        </row>
        <row r="9559">
          <cell r="G9559">
            <v>42856</v>
          </cell>
          <cell r="L9559" t="str">
            <v>01-29-004-07W2</v>
          </cell>
          <cell r="O9559">
            <v>884</v>
          </cell>
          <cell r="Q9559">
            <v>2.08</v>
          </cell>
          <cell r="T9559">
            <v>152.65</v>
          </cell>
        </row>
        <row r="9560">
          <cell r="G9560">
            <v>42856</v>
          </cell>
          <cell r="L9560" t="str">
            <v>06-24-004-09W2</v>
          </cell>
          <cell r="O9560">
            <v>881.9</v>
          </cell>
          <cell r="Q9560">
            <v>2</v>
          </cell>
          <cell r="T9560">
            <v>1489.6469999999999</v>
          </cell>
        </row>
        <row r="9561">
          <cell r="G9561">
            <v>42856</v>
          </cell>
          <cell r="L9561" t="str">
            <v>16-30-004-08W2</v>
          </cell>
          <cell r="O9561">
            <v>878.5</v>
          </cell>
          <cell r="Q9561">
            <v>2.14</v>
          </cell>
          <cell r="T9561">
            <v>2475.2350000000001</v>
          </cell>
        </row>
        <row r="9562">
          <cell r="G9562">
            <v>42856</v>
          </cell>
          <cell r="L9562" t="str">
            <v>AL Stream</v>
          </cell>
          <cell r="O9562">
            <v>843.2</v>
          </cell>
          <cell r="Q9562">
            <v>1.17</v>
          </cell>
          <cell r="T9562">
            <v>-88682.323999999993</v>
          </cell>
        </row>
        <row r="9563">
          <cell r="G9563">
            <v>42856</v>
          </cell>
          <cell r="L9563" t="str">
            <v>MW Stream</v>
          </cell>
          <cell r="O9563">
            <v>833.6</v>
          </cell>
          <cell r="Q9563">
            <v>1.07</v>
          </cell>
          <cell r="T9563">
            <v>-5154.1149999999998</v>
          </cell>
        </row>
        <row r="9564">
          <cell r="G9564">
            <v>42856</v>
          </cell>
          <cell r="L9564" t="str">
            <v>01-35-007-01W2</v>
          </cell>
          <cell r="O9564">
            <v>843.5</v>
          </cell>
          <cell r="Q9564">
            <v>1.1399999999999999</v>
          </cell>
          <cell r="T9564">
            <v>1054.69</v>
          </cell>
        </row>
        <row r="9565">
          <cell r="G9565">
            <v>42856</v>
          </cell>
          <cell r="L9565" t="str">
            <v>10-05-007-10W2</v>
          </cell>
          <cell r="O9565">
            <v>857.3</v>
          </cell>
          <cell r="Q9565">
            <v>1.78</v>
          </cell>
          <cell r="T9565">
            <v>191.65299999999999</v>
          </cell>
        </row>
        <row r="9566">
          <cell r="G9566">
            <v>42856</v>
          </cell>
          <cell r="L9566" t="str">
            <v>11-14-007-08W2</v>
          </cell>
          <cell r="O9566">
            <v>853.7</v>
          </cell>
          <cell r="Q9566">
            <v>1.38</v>
          </cell>
          <cell r="T9566">
            <v>345.125</v>
          </cell>
        </row>
        <row r="9567">
          <cell r="G9567">
            <v>42856</v>
          </cell>
          <cell r="L9567" t="str">
            <v>16-19-002-04W2</v>
          </cell>
          <cell r="O9567">
            <v>840.9</v>
          </cell>
          <cell r="Q9567">
            <v>0.53</v>
          </cell>
          <cell r="T9567">
            <v>3092.2660000000001</v>
          </cell>
        </row>
        <row r="9568">
          <cell r="G9568">
            <v>42856</v>
          </cell>
          <cell r="L9568" t="str">
            <v>14-23-005-02W2</v>
          </cell>
          <cell r="O9568">
            <v>851.9</v>
          </cell>
          <cell r="Q9568">
            <v>1.33</v>
          </cell>
          <cell r="T9568">
            <v>252.142</v>
          </cell>
        </row>
        <row r="9569">
          <cell r="G9569">
            <v>42856</v>
          </cell>
          <cell r="L9569" t="str">
            <v>04-16-004-21W2</v>
          </cell>
          <cell r="O9569">
            <v>819.4</v>
          </cell>
          <cell r="Q9569">
            <v>0.21</v>
          </cell>
          <cell r="T9569">
            <v>178.68100000000001</v>
          </cell>
        </row>
        <row r="9570">
          <cell r="G9570">
            <v>42856</v>
          </cell>
          <cell r="L9570" t="str">
            <v>04-36-004-02W2</v>
          </cell>
          <cell r="O9570">
            <v>855.5</v>
          </cell>
          <cell r="Q9570">
            <v>1.58</v>
          </cell>
          <cell r="T9570">
            <v>189.89599999999999</v>
          </cell>
        </row>
        <row r="9571">
          <cell r="G9571">
            <v>42856</v>
          </cell>
          <cell r="L9571" t="str">
            <v>11-26-007-34W1</v>
          </cell>
          <cell r="O9571">
            <v>839.6</v>
          </cell>
          <cell r="Q9571">
            <v>1.1399999999999999</v>
          </cell>
          <cell r="T9571">
            <v>237.012</v>
          </cell>
        </row>
        <row r="9572">
          <cell r="G9572">
            <v>42856</v>
          </cell>
          <cell r="L9572" t="str">
            <v>15-09-007-03W2</v>
          </cell>
          <cell r="O9572">
            <v>847.6</v>
          </cell>
          <cell r="Q9572">
            <v>1.39</v>
          </cell>
          <cell r="T9572">
            <v>1659.893</v>
          </cell>
        </row>
        <row r="9573">
          <cell r="G9573">
            <v>42856</v>
          </cell>
          <cell r="L9573" t="str">
            <v>04-18-007-09W2</v>
          </cell>
          <cell r="O9573">
            <v>820.1</v>
          </cell>
          <cell r="Q9573">
            <v>0.19</v>
          </cell>
          <cell r="T9573">
            <v>110.261</v>
          </cell>
        </row>
        <row r="9574">
          <cell r="G9574">
            <v>42856</v>
          </cell>
          <cell r="L9574" t="str">
            <v>06-13-007-10W2</v>
          </cell>
          <cell r="O9574">
            <v>821.3</v>
          </cell>
          <cell r="Q9574">
            <v>0.17</v>
          </cell>
          <cell r="T9574">
            <v>117.578</v>
          </cell>
        </row>
        <row r="9575">
          <cell r="G9575">
            <v>42856</v>
          </cell>
          <cell r="L9575" t="str">
            <v>09-12-007-09W2</v>
          </cell>
          <cell r="O9575">
            <v>817.8</v>
          </cell>
          <cell r="Q9575">
            <v>0.15</v>
          </cell>
          <cell r="T9575">
            <v>27.300999999999998</v>
          </cell>
        </row>
        <row r="9576">
          <cell r="G9576">
            <v>42856</v>
          </cell>
          <cell r="L9576" t="str">
            <v>13-06-007-09W2</v>
          </cell>
          <cell r="O9576">
            <v>819.6</v>
          </cell>
          <cell r="Q9576">
            <v>0.28999999999999998</v>
          </cell>
          <cell r="T9576">
            <v>85.668000000000006</v>
          </cell>
        </row>
        <row r="9577">
          <cell r="G9577">
            <v>42856</v>
          </cell>
          <cell r="L9577" t="str">
            <v>07-23-010-06W2</v>
          </cell>
          <cell r="O9577">
            <v>842.1</v>
          </cell>
          <cell r="Q9577">
            <v>1.45</v>
          </cell>
          <cell r="T9577">
            <v>522.6</v>
          </cell>
        </row>
        <row r="9578">
          <cell r="G9578">
            <v>42856</v>
          </cell>
          <cell r="L9578" t="str">
            <v>12-22-010-05W2</v>
          </cell>
          <cell r="O9578">
            <v>866.5</v>
          </cell>
          <cell r="Q9578">
            <v>1.84</v>
          </cell>
          <cell r="T9578">
            <v>79.813000000000002</v>
          </cell>
        </row>
        <row r="9579">
          <cell r="G9579">
            <v>42856</v>
          </cell>
          <cell r="L9579" t="str">
            <v>11-36-004-03W2</v>
          </cell>
          <cell r="O9579">
            <v>847.8</v>
          </cell>
          <cell r="Q9579">
            <v>0.8</v>
          </cell>
          <cell r="T9579">
            <v>18.893999999999998</v>
          </cell>
        </row>
        <row r="9580">
          <cell r="G9580">
            <v>42856</v>
          </cell>
          <cell r="L9580" t="str">
            <v>01-03-003-33W1</v>
          </cell>
          <cell r="O9580">
            <v>855.5</v>
          </cell>
          <cell r="Q9580">
            <v>1.62</v>
          </cell>
          <cell r="T9580">
            <v>554.98500000000001</v>
          </cell>
        </row>
        <row r="9581">
          <cell r="G9581">
            <v>42856</v>
          </cell>
          <cell r="L9581" t="str">
            <v>01-06-002-32W1</v>
          </cell>
          <cell r="O9581">
            <v>835.2</v>
          </cell>
          <cell r="Q9581">
            <v>0.81</v>
          </cell>
          <cell r="T9581">
            <v>104.224</v>
          </cell>
        </row>
        <row r="9582">
          <cell r="G9582">
            <v>42856</v>
          </cell>
          <cell r="L9582" t="str">
            <v>04-22-002-31W1</v>
          </cell>
          <cell r="O9582">
            <v>858.1</v>
          </cell>
          <cell r="Q9582">
            <v>1.66</v>
          </cell>
          <cell r="T9582">
            <v>4278.875</v>
          </cell>
        </row>
        <row r="9583">
          <cell r="G9583">
            <v>42856</v>
          </cell>
          <cell r="L9583" t="str">
            <v>12-20-008-02W2</v>
          </cell>
          <cell r="O9583">
            <v>869</v>
          </cell>
          <cell r="Q9583">
            <v>1.77</v>
          </cell>
          <cell r="T9583">
            <v>51.595999999999997</v>
          </cell>
        </row>
        <row r="9584">
          <cell r="G9584">
            <v>42856</v>
          </cell>
          <cell r="L9584" t="str">
            <v>16-03-008-33W1</v>
          </cell>
          <cell r="O9584">
            <v>843.8</v>
          </cell>
          <cell r="Q9584">
            <v>1.22</v>
          </cell>
          <cell r="T9584">
            <v>987.35900000000004</v>
          </cell>
        </row>
        <row r="9585">
          <cell r="G9585">
            <v>42856</v>
          </cell>
          <cell r="L9585" t="str">
            <v>16-31-001-32W1</v>
          </cell>
          <cell r="O9585">
            <v>848.4</v>
          </cell>
          <cell r="Q9585">
            <v>1.17</v>
          </cell>
          <cell r="T9585">
            <v>342.31700000000001</v>
          </cell>
        </row>
        <row r="9586">
          <cell r="G9586">
            <v>42856</v>
          </cell>
          <cell r="L9586" t="str">
            <v>08-31-007-07W2</v>
          </cell>
          <cell r="O9586">
            <v>867.3</v>
          </cell>
          <cell r="Q9586">
            <v>1.94</v>
          </cell>
          <cell r="T9586">
            <v>121.58799999999999</v>
          </cell>
        </row>
        <row r="9587">
          <cell r="G9587">
            <v>42856</v>
          </cell>
          <cell r="L9587" t="str">
            <v>09-20-006-04W2</v>
          </cell>
          <cell r="O9587">
            <v>857.7</v>
          </cell>
          <cell r="Q9587">
            <v>1.36</v>
          </cell>
          <cell r="T9587">
            <v>269.18</v>
          </cell>
        </row>
        <row r="9588">
          <cell r="G9588">
            <v>42856</v>
          </cell>
          <cell r="L9588" t="str">
            <v>08-36-007-34W1</v>
          </cell>
          <cell r="O9588">
            <v>848.3</v>
          </cell>
          <cell r="Q9588">
            <v>1.37</v>
          </cell>
          <cell r="T9588">
            <v>314.202</v>
          </cell>
        </row>
        <row r="9589">
          <cell r="G9589">
            <v>42856</v>
          </cell>
          <cell r="L9589" t="str">
            <v>14-24-001-02W2</v>
          </cell>
          <cell r="O9589">
            <v>839</v>
          </cell>
          <cell r="Q9589">
            <v>0.78</v>
          </cell>
          <cell r="T9589">
            <v>59.341000000000001</v>
          </cell>
        </row>
        <row r="9590">
          <cell r="G9590">
            <v>42856</v>
          </cell>
          <cell r="L9590" t="str">
            <v>16-09-007-11W2</v>
          </cell>
          <cell r="O9590">
            <v>836.6</v>
          </cell>
          <cell r="Q9590">
            <v>0.76</v>
          </cell>
          <cell r="T9590">
            <v>445.78699999999998</v>
          </cell>
        </row>
        <row r="9591">
          <cell r="G9591">
            <v>42856</v>
          </cell>
          <cell r="L9591" t="str">
            <v>04-21-006-14W2</v>
          </cell>
          <cell r="O9591">
            <v>852.7</v>
          </cell>
          <cell r="Q9591">
            <v>1.96</v>
          </cell>
          <cell r="T9591">
            <v>200.13399999999999</v>
          </cell>
        </row>
        <row r="9592">
          <cell r="G9592">
            <v>42856</v>
          </cell>
          <cell r="L9592" t="str">
            <v>16-07-006-02W2</v>
          </cell>
          <cell r="O9592">
            <v>859.3</v>
          </cell>
          <cell r="Q9592">
            <v>1.22</v>
          </cell>
          <cell r="T9592">
            <v>33.213000000000001</v>
          </cell>
        </row>
        <row r="9593">
          <cell r="G9593">
            <v>42856</v>
          </cell>
          <cell r="L9593" t="str">
            <v>16-16-006-02W2</v>
          </cell>
          <cell r="O9593">
            <v>847.6</v>
          </cell>
          <cell r="Q9593">
            <v>1.21</v>
          </cell>
          <cell r="T9593">
            <v>150.72</v>
          </cell>
        </row>
        <row r="9594">
          <cell r="G9594">
            <v>42856</v>
          </cell>
          <cell r="L9594" t="str">
            <v>13-17-005-33W1</v>
          </cell>
          <cell r="O9594">
            <v>831</v>
          </cell>
          <cell r="Q9594">
            <v>0.64</v>
          </cell>
          <cell r="T9594">
            <v>656.83500000000004</v>
          </cell>
        </row>
        <row r="9595">
          <cell r="G9595">
            <v>42856</v>
          </cell>
          <cell r="L9595" t="str">
            <v>07-31-005-33W1</v>
          </cell>
          <cell r="O9595">
            <v>825.4</v>
          </cell>
          <cell r="Q9595">
            <v>0.66</v>
          </cell>
          <cell r="T9595">
            <v>785.03499999999997</v>
          </cell>
        </row>
        <row r="9596">
          <cell r="G9596">
            <v>42856</v>
          </cell>
          <cell r="L9596" t="str">
            <v>14-04-006-33W1</v>
          </cell>
          <cell r="O9596">
            <v>838.9</v>
          </cell>
          <cell r="Q9596">
            <v>0.85</v>
          </cell>
          <cell r="T9596">
            <v>96.203000000000003</v>
          </cell>
        </row>
        <row r="9597">
          <cell r="G9597">
            <v>42856</v>
          </cell>
          <cell r="L9597" t="str">
            <v>13-22-001-12W2</v>
          </cell>
          <cell r="O9597">
            <v>814.3</v>
          </cell>
          <cell r="Q9597">
            <v>0.23</v>
          </cell>
          <cell r="T9597">
            <v>111.568</v>
          </cell>
        </row>
        <row r="9598">
          <cell r="G9598">
            <v>42856</v>
          </cell>
          <cell r="L9598" t="str">
            <v>13-24-001-16W2</v>
          </cell>
          <cell r="O9598">
            <v>805.7</v>
          </cell>
          <cell r="Q9598">
            <v>0.42</v>
          </cell>
          <cell r="T9598">
            <v>218.04</v>
          </cell>
        </row>
        <row r="9599">
          <cell r="G9599">
            <v>42856</v>
          </cell>
          <cell r="L9599" t="str">
            <v>13-29-001-15W2</v>
          </cell>
          <cell r="O9599">
            <v>810.2</v>
          </cell>
          <cell r="Q9599">
            <v>0.45</v>
          </cell>
          <cell r="T9599">
            <v>54.86</v>
          </cell>
        </row>
        <row r="9600">
          <cell r="G9600">
            <v>42856</v>
          </cell>
          <cell r="L9600" t="str">
            <v>13-34-001-13W2</v>
          </cell>
          <cell r="O9600">
            <v>820</v>
          </cell>
          <cell r="Q9600">
            <v>0.2</v>
          </cell>
          <cell r="T9600">
            <v>25.747</v>
          </cell>
        </row>
        <row r="9601">
          <cell r="G9601">
            <v>42856</v>
          </cell>
          <cell r="L9601" t="str">
            <v>14-21-001-12W2</v>
          </cell>
          <cell r="O9601">
            <v>811.4</v>
          </cell>
          <cell r="Q9601">
            <v>0.22</v>
          </cell>
          <cell r="T9601">
            <v>487.69</v>
          </cell>
        </row>
        <row r="9602">
          <cell r="G9602">
            <v>42856</v>
          </cell>
          <cell r="L9602" t="str">
            <v>14-27-001-12W2</v>
          </cell>
          <cell r="O9602">
            <v>823.9</v>
          </cell>
          <cell r="Q9602">
            <v>0.25</v>
          </cell>
          <cell r="T9602">
            <v>58.430999999999997</v>
          </cell>
        </row>
        <row r="9603">
          <cell r="G9603">
            <v>42856</v>
          </cell>
          <cell r="L9603" t="str">
            <v>15-06-006-21W2</v>
          </cell>
          <cell r="O9603">
            <v>824.2</v>
          </cell>
          <cell r="Q9603">
            <v>0.19</v>
          </cell>
          <cell r="T9603">
            <v>63.457000000000001</v>
          </cell>
        </row>
        <row r="9604">
          <cell r="G9604">
            <v>42856</v>
          </cell>
          <cell r="L9604" t="str">
            <v>16-19-001-15W2</v>
          </cell>
          <cell r="O9604">
            <v>803.4</v>
          </cell>
          <cell r="Q9604">
            <v>0.39</v>
          </cell>
          <cell r="T9604">
            <v>367.81900000000002</v>
          </cell>
        </row>
        <row r="9605">
          <cell r="G9605">
            <v>42856</v>
          </cell>
          <cell r="L9605" t="str">
            <v>16-22-001-12W2</v>
          </cell>
          <cell r="O9605">
            <v>819.6</v>
          </cell>
          <cell r="Q9605">
            <v>0.17</v>
          </cell>
          <cell r="T9605">
            <v>232.74</v>
          </cell>
        </row>
        <row r="9606">
          <cell r="G9606">
            <v>42856</v>
          </cell>
          <cell r="L9606" t="str">
            <v>16-25-001-15W2</v>
          </cell>
          <cell r="O9606">
            <v>807.8</v>
          </cell>
          <cell r="Q9606">
            <v>0.32</v>
          </cell>
          <cell r="T9606">
            <v>25.062999999999999</v>
          </cell>
        </row>
        <row r="9607">
          <cell r="G9607">
            <v>42856</v>
          </cell>
          <cell r="L9607" t="str">
            <v>16-27-001-16W2</v>
          </cell>
          <cell r="O9607">
            <v>806.3</v>
          </cell>
          <cell r="Q9607">
            <v>0.43</v>
          </cell>
          <cell r="T9607">
            <v>831.52599999999995</v>
          </cell>
        </row>
        <row r="9608">
          <cell r="G9608">
            <v>42856</v>
          </cell>
          <cell r="L9608" t="str">
            <v>16-34-001-15W2</v>
          </cell>
          <cell r="O9608">
            <v>802.6</v>
          </cell>
          <cell r="Q9608">
            <v>0.22</v>
          </cell>
          <cell r="T9608">
            <v>27.751000000000001</v>
          </cell>
        </row>
        <row r="9609">
          <cell r="G9609">
            <v>42856</v>
          </cell>
          <cell r="L9609" t="str">
            <v>09-06-010-15W2</v>
          </cell>
          <cell r="O9609">
            <v>866</v>
          </cell>
          <cell r="Q9609">
            <v>0.13</v>
          </cell>
          <cell r="T9609">
            <v>111.65900000000001</v>
          </cell>
        </row>
        <row r="9610">
          <cell r="G9610">
            <v>42856</v>
          </cell>
          <cell r="L9610" t="str">
            <v>01-03-155-91W1</v>
          </cell>
          <cell r="O9610">
            <v>860.6</v>
          </cell>
          <cell r="Q9610">
            <v>1.29</v>
          </cell>
          <cell r="T9610">
            <v>80.539000000000001</v>
          </cell>
        </row>
        <row r="9611">
          <cell r="G9611">
            <v>42856</v>
          </cell>
          <cell r="L9611" t="str">
            <v>01-03-158-95W1</v>
          </cell>
          <cell r="O9611">
            <v>836.5</v>
          </cell>
          <cell r="Q9611">
            <v>0.77</v>
          </cell>
          <cell r="T9611">
            <v>53.920999999999999</v>
          </cell>
        </row>
        <row r="9612">
          <cell r="G9612">
            <v>42856</v>
          </cell>
          <cell r="L9612" t="str">
            <v>01-08-162-95W1</v>
          </cell>
          <cell r="O9612">
            <v>851.7</v>
          </cell>
          <cell r="Q9612">
            <v>0.8</v>
          </cell>
          <cell r="T9612">
            <v>52.567</v>
          </cell>
        </row>
        <row r="9613">
          <cell r="G9613">
            <v>42856</v>
          </cell>
          <cell r="L9613" t="str">
            <v>01-29-162-92W1</v>
          </cell>
          <cell r="O9613">
            <v>841.7</v>
          </cell>
          <cell r="Q9613">
            <v>0.55000000000000004</v>
          </cell>
          <cell r="T9613">
            <v>52.454000000000001</v>
          </cell>
        </row>
        <row r="9614">
          <cell r="G9614">
            <v>42856</v>
          </cell>
          <cell r="L9614" t="str">
            <v>01-31-159-95W1</v>
          </cell>
          <cell r="O9614">
            <v>842</v>
          </cell>
          <cell r="Q9614">
            <v>0.73</v>
          </cell>
          <cell r="T9614">
            <v>26.036999999999999</v>
          </cell>
        </row>
        <row r="9615">
          <cell r="G9615">
            <v>42856</v>
          </cell>
          <cell r="L9615" t="str">
            <v>01-31-159-95W1</v>
          </cell>
          <cell r="O9615">
            <v>818.8</v>
          </cell>
          <cell r="Q9615">
            <v>0.78</v>
          </cell>
          <cell r="T9615">
            <v>59.122999999999998</v>
          </cell>
        </row>
        <row r="9616">
          <cell r="G9616">
            <v>42856</v>
          </cell>
          <cell r="L9616" t="str">
            <v>01-34-159-95W1</v>
          </cell>
          <cell r="O9616">
            <v>833.9</v>
          </cell>
          <cell r="Q9616">
            <v>0.56999999999999995</v>
          </cell>
          <cell r="T9616">
            <v>29.797999999999998</v>
          </cell>
        </row>
        <row r="9617">
          <cell r="G9617">
            <v>42856</v>
          </cell>
          <cell r="L9617" t="str">
            <v>03-01-158-95W1</v>
          </cell>
          <cell r="O9617">
            <v>827.6</v>
          </cell>
          <cell r="Q9617">
            <v>0.61</v>
          </cell>
          <cell r="T9617">
            <v>29.045999999999999</v>
          </cell>
        </row>
        <row r="9618">
          <cell r="G9618">
            <v>42856</v>
          </cell>
          <cell r="L9618" t="str">
            <v>03-02-157-95W1</v>
          </cell>
          <cell r="O9618">
            <v>835.8</v>
          </cell>
          <cell r="Q9618">
            <v>0.69</v>
          </cell>
          <cell r="T9618">
            <v>26.13</v>
          </cell>
        </row>
        <row r="9619">
          <cell r="G9619">
            <v>42856</v>
          </cell>
          <cell r="L9619" t="str">
            <v>03-03-157-95W1</v>
          </cell>
          <cell r="O9619">
            <v>825.1</v>
          </cell>
          <cell r="Q9619">
            <v>0.33</v>
          </cell>
          <cell r="T9619">
            <v>76.995999999999995</v>
          </cell>
        </row>
        <row r="9620">
          <cell r="G9620">
            <v>42856</v>
          </cell>
          <cell r="L9620" t="str">
            <v>04-03-157-95W1</v>
          </cell>
          <cell r="O9620">
            <v>834.9</v>
          </cell>
          <cell r="Q9620">
            <v>0.62</v>
          </cell>
          <cell r="T9620">
            <v>55.555</v>
          </cell>
        </row>
        <row r="9621">
          <cell r="G9621">
            <v>42856</v>
          </cell>
          <cell r="L9621" t="str">
            <v>11-15-163-89W1</v>
          </cell>
          <cell r="O9621">
            <v>848</v>
          </cell>
          <cell r="Q9621">
            <v>0.6</v>
          </cell>
          <cell r="T9621">
            <v>50.73</v>
          </cell>
        </row>
        <row r="9622">
          <cell r="G9622">
            <v>42856</v>
          </cell>
          <cell r="L9622" t="str">
            <v>11-21-163-89W1</v>
          </cell>
          <cell r="O9622">
            <v>839</v>
          </cell>
          <cell r="Q9622">
            <v>0.5</v>
          </cell>
          <cell r="T9622">
            <v>22.646000000000001</v>
          </cell>
        </row>
        <row r="9623">
          <cell r="G9623">
            <v>42856</v>
          </cell>
          <cell r="L9623" t="str">
            <v>14-18-163-95W1</v>
          </cell>
          <cell r="O9623">
            <v>851.5</v>
          </cell>
          <cell r="Q9623">
            <v>1.1200000000000001</v>
          </cell>
          <cell r="T9623">
            <v>136.50399999999999</v>
          </cell>
        </row>
        <row r="9624">
          <cell r="G9624">
            <v>42856</v>
          </cell>
          <cell r="L9624" t="str">
            <v>18-16-154-95W1</v>
          </cell>
          <cell r="O9624">
            <v>818</v>
          </cell>
          <cell r="Q9624">
            <v>0.32</v>
          </cell>
          <cell r="T9624">
            <v>54.555</v>
          </cell>
        </row>
        <row r="9625">
          <cell r="G9625">
            <v>42856</v>
          </cell>
          <cell r="L9625" t="str">
            <v>20-01-161-90W1</v>
          </cell>
          <cell r="O9625">
            <v>862.5</v>
          </cell>
          <cell r="Q9625">
            <v>1.4</v>
          </cell>
          <cell r="T9625">
            <v>59.07</v>
          </cell>
        </row>
        <row r="9626">
          <cell r="G9626">
            <v>42856</v>
          </cell>
          <cell r="L9626" t="str">
            <v>34-01-157-95W1</v>
          </cell>
          <cell r="O9626">
            <v>817.3</v>
          </cell>
          <cell r="Q9626">
            <v>0.46</v>
          </cell>
          <cell r="T9626">
            <v>83.331000000000003</v>
          </cell>
        </row>
        <row r="9627">
          <cell r="G9627">
            <v>42856</v>
          </cell>
          <cell r="L9627" t="str">
            <v>34-02-157-95W1</v>
          </cell>
          <cell r="O9627">
            <v>824.4</v>
          </cell>
          <cell r="Q9627">
            <v>0.39</v>
          </cell>
          <cell r="T9627">
            <v>29.001000000000001</v>
          </cell>
        </row>
        <row r="9628">
          <cell r="G9628">
            <v>42856</v>
          </cell>
          <cell r="L9628" t="str">
            <v>05-31-006-13W2</v>
          </cell>
          <cell r="O9628">
            <v>803.7</v>
          </cell>
          <cell r="Q9628">
            <v>0.19</v>
          </cell>
          <cell r="T9628">
            <v>99.771000000000001</v>
          </cell>
        </row>
        <row r="9629">
          <cell r="G9629">
            <v>42856</v>
          </cell>
          <cell r="L9629" t="str">
            <v>01-35-006-30W1</v>
          </cell>
          <cell r="O9629">
            <v>819.8</v>
          </cell>
          <cell r="Q9629">
            <v>0.3</v>
          </cell>
          <cell r="T9629">
            <v>1417.7570000000001</v>
          </cell>
        </row>
        <row r="9630">
          <cell r="G9630">
            <v>42856</v>
          </cell>
          <cell r="L9630" t="str">
            <v>08-16-007-29W1</v>
          </cell>
          <cell r="O9630">
            <v>824.1</v>
          </cell>
          <cell r="Q9630">
            <v>0.26</v>
          </cell>
          <cell r="T9630">
            <v>839.29200000000003</v>
          </cell>
        </row>
        <row r="9631">
          <cell r="G9631">
            <v>42856</v>
          </cell>
          <cell r="L9631" t="str">
            <v>08-23-007-30W1</v>
          </cell>
          <cell r="O9631">
            <v>818.9</v>
          </cell>
          <cell r="Q9631">
            <v>0.25</v>
          </cell>
          <cell r="T9631">
            <v>611.79399999999998</v>
          </cell>
        </row>
        <row r="9632">
          <cell r="G9632">
            <v>42856</v>
          </cell>
          <cell r="L9632" t="str">
            <v>16-04-006-32W1</v>
          </cell>
          <cell r="O9632">
            <v>844.5</v>
          </cell>
          <cell r="Q9632">
            <v>1.1200000000000001</v>
          </cell>
          <cell r="T9632">
            <v>747.71100000000001</v>
          </cell>
        </row>
        <row r="9633">
          <cell r="G9633">
            <v>42856</v>
          </cell>
          <cell r="L9633" t="str">
            <v>14-05-002-31W1</v>
          </cell>
          <cell r="O9633">
            <v>860</v>
          </cell>
          <cell r="Q9633">
            <v>1.62</v>
          </cell>
          <cell r="T9633">
            <v>1880.885</v>
          </cell>
        </row>
        <row r="9634">
          <cell r="G9634">
            <v>42856</v>
          </cell>
          <cell r="L9634" t="str">
            <v>10-17-007-33W1</v>
          </cell>
          <cell r="O9634">
            <v>845.6</v>
          </cell>
          <cell r="Q9634">
            <v>1.17</v>
          </cell>
          <cell r="T9634">
            <v>133.63800000000001</v>
          </cell>
        </row>
        <row r="9635">
          <cell r="G9635">
            <v>42856</v>
          </cell>
          <cell r="L9635" t="str">
            <v>10-29-005-33W1</v>
          </cell>
          <cell r="O9635">
            <v>833.6</v>
          </cell>
          <cell r="Q9635">
            <v>0.87</v>
          </cell>
          <cell r="T9635">
            <v>32.454000000000001</v>
          </cell>
        </row>
        <row r="9636">
          <cell r="G9636">
            <v>42856</v>
          </cell>
          <cell r="L9636" t="str">
            <v>14-19-006-33W1</v>
          </cell>
          <cell r="O9636">
            <v>839.6</v>
          </cell>
          <cell r="Q9636">
            <v>1.18</v>
          </cell>
          <cell r="T9636">
            <v>1004.576</v>
          </cell>
        </row>
        <row r="9637">
          <cell r="G9637">
            <v>42856</v>
          </cell>
          <cell r="L9637" t="str">
            <v>16-15-008-03W2</v>
          </cell>
          <cell r="O9637">
            <v>855.7</v>
          </cell>
          <cell r="Q9637">
            <v>1.54</v>
          </cell>
          <cell r="T9637">
            <v>87.301000000000002</v>
          </cell>
        </row>
        <row r="9638">
          <cell r="G9638">
            <v>42856</v>
          </cell>
          <cell r="L9638" t="str">
            <v>02-31-164-92W1</v>
          </cell>
          <cell r="O9638">
            <v>856.8</v>
          </cell>
          <cell r="Q9638">
            <v>0.46</v>
          </cell>
          <cell r="T9638">
            <v>160.93299999999999</v>
          </cell>
        </row>
        <row r="9639">
          <cell r="G9639">
            <v>42856</v>
          </cell>
          <cell r="L9639" t="str">
            <v>02-31-164-93W1</v>
          </cell>
          <cell r="O9639">
            <v>826.6</v>
          </cell>
          <cell r="Q9639">
            <v>0.46</v>
          </cell>
          <cell r="T9639">
            <v>446.98599999999999</v>
          </cell>
        </row>
        <row r="9640">
          <cell r="G9640">
            <v>42856</v>
          </cell>
          <cell r="L9640" t="str">
            <v>02-31-164-94W1</v>
          </cell>
          <cell r="O9640">
            <v>832.3</v>
          </cell>
          <cell r="Q9640">
            <v>0.49</v>
          </cell>
          <cell r="T9640">
            <v>545.76900000000001</v>
          </cell>
        </row>
        <row r="9641">
          <cell r="G9641">
            <v>42856</v>
          </cell>
          <cell r="L9641" t="str">
            <v>03-22-163-91W1</v>
          </cell>
          <cell r="O9641">
            <v>840.2</v>
          </cell>
          <cell r="Q9641">
            <v>0.5</v>
          </cell>
          <cell r="T9641">
            <v>1008.6609999999999</v>
          </cell>
        </row>
        <row r="9642">
          <cell r="G9642">
            <v>42856</v>
          </cell>
          <cell r="L9642" t="str">
            <v>03-22-163-91W1</v>
          </cell>
          <cell r="O9642">
            <v>837.9</v>
          </cell>
          <cell r="Q9642">
            <v>0.5</v>
          </cell>
          <cell r="T9642">
            <v>1034.614</v>
          </cell>
        </row>
        <row r="9643">
          <cell r="G9643">
            <v>42856</v>
          </cell>
          <cell r="L9643" t="str">
            <v>14-03-163-92W1</v>
          </cell>
          <cell r="O9643">
            <v>813.8</v>
          </cell>
          <cell r="Q9643">
            <v>0.5</v>
          </cell>
          <cell r="T9643">
            <v>193.119</v>
          </cell>
        </row>
        <row r="9644">
          <cell r="G9644">
            <v>42856</v>
          </cell>
          <cell r="L9644" t="str">
            <v>14-03-163-93W1</v>
          </cell>
          <cell r="O9644">
            <v>842.1</v>
          </cell>
          <cell r="Q9644">
            <v>0.51</v>
          </cell>
          <cell r="T9644">
            <v>218.05500000000001</v>
          </cell>
        </row>
        <row r="9645">
          <cell r="G9645">
            <v>42856</v>
          </cell>
          <cell r="L9645" t="str">
            <v>15-05-163-91W1</v>
          </cell>
          <cell r="O9645">
            <v>832.3</v>
          </cell>
          <cell r="Q9645">
            <v>0.5</v>
          </cell>
          <cell r="T9645">
            <v>1807.338</v>
          </cell>
        </row>
        <row r="9646">
          <cell r="G9646">
            <v>42856</v>
          </cell>
          <cell r="L9646" t="str">
            <v>16-05-163-92W1</v>
          </cell>
          <cell r="O9646">
            <v>839.5</v>
          </cell>
          <cell r="Q9646">
            <v>0.51</v>
          </cell>
          <cell r="T9646">
            <v>345.30099999999999</v>
          </cell>
        </row>
        <row r="9647">
          <cell r="G9647">
            <v>42856</v>
          </cell>
          <cell r="L9647" t="str">
            <v>01-14-001-11W2</v>
          </cell>
          <cell r="O9647">
            <v>843.9</v>
          </cell>
          <cell r="Q9647">
            <v>0.26</v>
          </cell>
          <cell r="T9647">
            <v>25.113</v>
          </cell>
        </row>
        <row r="9648">
          <cell r="G9648">
            <v>42856</v>
          </cell>
          <cell r="L9648" t="str">
            <v>03-16-001-11W2</v>
          </cell>
          <cell r="O9648">
            <v>812.6</v>
          </cell>
          <cell r="Q9648">
            <v>0.18</v>
          </cell>
          <cell r="T9648">
            <v>4681.0889999999999</v>
          </cell>
        </row>
        <row r="9649">
          <cell r="G9649">
            <v>42856</v>
          </cell>
          <cell r="L9649" t="str">
            <v>08-20-002-10W2</v>
          </cell>
          <cell r="O9649">
            <v>831.5</v>
          </cell>
          <cell r="Q9649">
            <v>0.17</v>
          </cell>
          <cell r="T9649">
            <v>27.814</v>
          </cell>
        </row>
        <row r="9650">
          <cell r="G9650">
            <v>42856</v>
          </cell>
          <cell r="L9650" t="str">
            <v>12-11-001-10W2</v>
          </cell>
          <cell r="O9650">
            <v>822.6</v>
          </cell>
          <cell r="Q9650">
            <v>0.17</v>
          </cell>
          <cell r="T9650">
            <v>2807.9639999999999</v>
          </cell>
        </row>
        <row r="9651">
          <cell r="G9651">
            <v>42856</v>
          </cell>
          <cell r="L9651" t="str">
            <v>09-19-004-04W2</v>
          </cell>
          <cell r="O9651">
            <v>853.4</v>
          </cell>
          <cell r="Q9651">
            <v>1.19</v>
          </cell>
          <cell r="T9651">
            <v>318.93</v>
          </cell>
        </row>
        <row r="9652">
          <cell r="G9652">
            <v>42856</v>
          </cell>
          <cell r="L9652" t="str">
            <v>01-02-021-58W1</v>
          </cell>
          <cell r="O9652">
            <v>828.1</v>
          </cell>
          <cell r="Q9652">
            <v>0.7</v>
          </cell>
          <cell r="T9652">
            <v>183.95</v>
          </cell>
        </row>
        <row r="9653">
          <cell r="G9653">
            <v>42856</v>
          </cell>
          <cell r="L9653" t="str">
            <v>01-02-151-102W1</v>
          </cell>
          <cell r="O9653">
            <v>836</v>
          </cell>
          <cell r="Q9653">
            <v>0.33</v>
          </cell>
          <cell r="T9653">
            <v>49.057000000000002</v>
          </cell>
        </row>
        <row r="9654">
          <cell r="G9654">
            <v>42856</v>
          </cell>
          <cell r="L9654" t="str">
            <v>01-03-153-95W1</v>
          </cell>
          <cell r="O9654">
            <v>776.4</v>
          </cell>
          <cell r="Q9654">
            <v>0.5</v>
          </cell>
          <cell r="T9654">
            <v>52.426000000000002</v>
          </cell>
        </row>
        <row r="9655">
          <cell r="G9655">
            <v>42856</v>
          </cell>
          <cell r="L9655" t="str">
            <v>01-03-163-99W1</v>
          </cell>
          <cell r="O9655">
            <v>832.2</v>
          </cell>
          <cell r="Q9655">
            <v>0.16</v>
          </cell>
          <cell r="T9655">
            <v>150.67099999999999</v>
          </cell>
        </row>
        <row r="9656">
          <cell r="G9656">
            <v>42856</v>
          </cell>
          <cell r="L9656" t="str">
            <v>01-05-150-96W1</v>
          </cell>
          <cell r="O9656">
            <v>813.6</v>
          </cell>
          <cell r="Q9656">
            <v>0.24</v>
          </cell>
          <cell r="T9656">
            <v>34.685000000000002</v>
          </cell>
        </row>
        <row r="9657">
          <cell r="G9657">
            <v>42856</v>
          </cell>
          <cell r="L9657" t="str">
            <v>01-07-153-95W1</v>
          </cell>
          <cell r="O9657">
            <v>823.9</v>
          </cell>
          <cell r="Q9657">
            <v>0.24</v>
          </cell>
          <cell r="T9657">
            <v>62.826000000000001</v>
          </cell>
        </row>
        <row r="9658">
          <cell r="G9658">
            <v>42856</v>
          </cell>
          <cell r="L9658" t="str">
            <v>01-08-153-95W1</v>
          </cell>
          <cell r="O9658">
            <v>819.3</v>
          </cell>
          <cell r="Q9658">
            <v>0.31</v>
          </cell>
          <cell r="T9658">
            <v>85.620999999999995</v>
          </cell>
        </row>
        <row r="9659">
          <cell r="G9659">
            <v>42856</v>
          </cell>
          <cell r="L9659" t="str">
            <v>01-09-143-101W1</v>
          </cell>
          <cell r="O9659">
            <v>834.1</v>
          </cell>
          <cell r="Q9659">
            <v>0.53</v>
          </cell>
          <cell r="T9659">
            <v>77.037999999999997</v>
          </cell>
        </row>
        <row r="9660">
          <cell r="G9660">
            <v>42856</v>
          </cell>
          <cell r="L9660" t="str">
            <v>01-12-144-98W1</v>
          </cell>
          <cell r="O9660">
            <v>817.7</v>
          </cell>
          <cell r="Q9660">
            <v>0.46</v>
          </cell>
          <cell r="T9660">
            <v>62.411000000000001</v>
          </cell>
        </row>
        <row r="9661">
          <cell r="G9661">
            <v>42856</v>
          </cell>
          <cell r="L9661" t="str">
            <v>01-13-022-57W1</v>
          </cell>
          <cell r="O9661">
            <v>800.3</v>
          </cell>
          <cell r="Q9661">
            <v>0.11</v>
          </cell>
          <cell r="T9661">
            <v>83.753</v>
          </cell>
        </row>
        <row r="9662">
          <cell r="G9662">
            <v>42856</v>
          </cell>
          <cell r="L9662" t="str">
            <v>01-15-022-57W1</v>
          </cell>
          <cell r="O9662">
            <v>800.6</v>
          </cell>
          <cell r="Q9662">
            <v>0.37</v>
          </cell>
          <cell r="T9662">
            <v>99.468999999999994</v>
          </cell>
        </row>
        <row r="9663">
          <cell r="G9663">
            <v>42856</v>
          </cell>
          <cell r="L9663" t="str">
            <v>01-17-143-101W1</v>
          </cell>
          <cell r="O9663">
            <v>830.9</v>
          </cell>
          <cell r="Q9663">
            <v>0.51</v>
          </cell>
          <cell r="T9663">
            <v>119.248</v>
          </cell>
        </row>
        <row r="9664">
          <cell r="G9664">
            <v>42856</v>
          </cell>
          <cell r="L9664" t="str">
            <v>01-17-163-91W1</v>
          </cell>
          <cell r="O9664">
            <v>847.8</v>
          </cell>
          <cell r="Q9664">
            <v>0.59</v>
          </cell>
          <cell r="T9664">
            <v>24.710999999999999</v>
          </cell>
        </row>
        <row r="9665">
          <cell r="G9665">
            <v>42856</v>
          </cell>
          <cell r="L9665" t="str">
            <v>01-18-145-97W1</v>
          </cell>
          <cell r="O9665">
            <v>817.6</v>
          </cell>
          <cell r="Q9665">
            <v>0.45</v>
          </cell>
          <cell r="T9665">
            <v>147.37700000000001</v>
          </cell>
        </row>
        <row r="9666">
          <cell r="G9666">
            <v>42856</v>
          </cell>
          <cell r="L9666" t="str">
            <v>01-18-147-97W1</v>
          </cell>
          <cell r="O9666">
            <v>819.6</v>
          </cell>
          <cell r="Q9666">
            <v>0.77</v>
          </cell>
          <cell r="T9666">
            <v>56.968000000000004</v>
          </cell>
        </row>
        <row r="9667">
          <cell r="G9667">
            <v>42856</v>
          </cell>
          <cell r="L9667" t="str">
            <v>01-19-145-98W1</v>
          </cell>
          <cell r="O9667">
            <v>813.1</v>
          </cell>
          <cell r="Q9667">
            <v>0.38</v>
          </cell>
          <cell r="T9667">
            <v>323.38200000000001</v>
          </cell>
        </row>
        <row r="9668">
          <cell r="G9668">
            <v>42856</v>
          </cell>
          <cell r="L9668" t="str">
            <v>01-19-147-97W1</v>
          </cell>
          <cell r="O9668">
            <v>814.7</v>
          </cell>
          <cell r="Q9668">
            <v>0.78</v>
          </cell>
          <cell r="T9668">
            <v>113.96</v>
          </cell>
        </row>
        <row r="9669">
          <cell r="G9669">
            <v>42856</v>
          </cell>
          <cell r="L9669" t="str">
            <v>01-19-162-92W1</v>
          </cell>
          <cell r="O9669">
            <v>844.5</v>
          </cell>
          <cell r="Q9669">
            <v>0.53</v>
          </cell>
          <cell r="T9669">
            <v>26.986000000000001</v>
          </cell>
        </row>
        <row r="9670">
          <cell r="G9670">
            <v>42856</v>
          </cell>
          <cell r="L9670" t="str">
            <v>01-20-147-97W1</v>
          </cell>
          <cell r="O9670">
            <v>826.4</v>
          </cell>
          <cell r="Q9670">
            <v>0.7</v>
          </cell>
          <cell r="T9670">
            <v>82.709000000000003</v>
          </cell>
        </row>
        <row r="9671">
          <cell r="G9671">
            <v>42856</v>
          </cell>
          <cell r="L9671" t="str">
            <v>01-20-163-91W1</v>
          </cell>
          <cell r="O9671">
            <v>839.6</v>
          </cell>
          <cell r="Q9671">
            <v>0.57999999999999996</v>
          </cell>
          <cell r="T9671">
            <v>33.686999999999998</v>
          </cell>
        </row>
        <row r="9672">
          <cell r="G9672">
            <v>42856</v>
          </cell>
          <cell r="L9672" t="str">
            <v>01-21-153-95W1</v>
          </cell>
          <cell r="O9672">
            <v>823.3</v>
          </cell>
          <cell r="Q9672">
            <v>0.37</v>
          </cell>
          <cell r="T9672">
            <v>135.66300000000001</v>
          </cell>
        </row>
        <row r="9673">
          <cell r="G9673">
            <v>42856</v>
          </cell>
          <cell r="L9673" t="str">
            <v>01-22-142-100W1</v>
          </cell>
          <cell r="O9673">
            <v>818</v>
          </cell>
          <cell r="Q9673">
            <v>0.31</v>
          </cell>
          <cell r="T9673">
            <v>146.15299999999999</v>
          </cell>
        </row>
        <row r="9674">
          <cell r="G9674">
            <v>42856</v>
          </cell>
          <cell r="L9674" t="str">
            <v>01-23-144-98W1</v>
          </cell>
          <cell r="O9674">
            <v>827.2</v>
          </cell>
          <cell r="Q9674">
            <v>0.37</v>
          </cell>
          <cell r="T9674">
            <v>24.725000000000001</v>
          </cell>
        </row>
        <row r="9675">
          <cell r="G9675">
            <v>42856</v>
          </cell>
          <cell r="L9675" t="str">
            <v>01-24-144-98W1</v>
          </cell>
          <cell r="O9675">
            <v>827.9</v>
          </cell>
          <cell r="Q9675">
            <v>0.47</v>
          </cell>
          <cell r="T9675">
            <v>24.701000000000001</v>
          </cell>
        </row>
        <row r="9676">
          <cell r="G9676">
            <v>42856</v>
          </cell>
          <cell r="L9676" t="str">
            <v>01-24-160-96W1</v>
          </cell>
          <cell r="O9676">
            <v>836.9</v>
          </cell>
          <cell r="Q9676">
            <v>0.59</v>
          </cell>
          <cell r="T9676">
            <v>88.42</v>
          </cell>
        </row>
        <row r="9677">
          <cell r="G9677">
            <v>42856</v>
          </cell>
          <cell r="L9677" t="str">
            <v>01-26-144-98W1</v>
          </cell>
          <cell r="O9677">
            <v>834.3</v>
          </cell>
          <cell r="Q9677">
            <v>0.48</v>
          </cell>
          <cell r="T9677">
            <v>23.776</v>
          </cell>
        </row>
        <row r="9678">
          <cell r="G9678">
            <v>42856</v>
          </cell>
          <cell r="L9678" t="str">
            <v>01-26-152-96W1</v>
          </cell>
          <cell r="O9678">
            <v>815.3</v>
          </cell>
          <cell r="Q9678">
            <v>0.33</v>
          </cell>
          <cell r="T9678">
            <v>37.091000000000001</v>
          </cell>
        </row>
        <row r="9679">
          <cell r="G9679">
            <v>42856</v>
          </cell>
          <cell r="L9679" t="str">
            <v>01-28-141-100W1</v>
          </cell>
          <cell r="O9679">
            <v>826.7</v>
          </cell>
          <cell r="Q9679">
            <v>0.37</v>
          </cell>
          <cell r="T9679">
            <v>23.442</v>
          </cell>
        </row>
        <row r="9680">
          <cell r="G9680">
            <v>42856</v>
          </cell>
          <cell r="L9680" t="str">
            <v>01-28-142-100W1</v>
          </cell>
          <cell r="O9680">
            <v>824.5</v>
          </cell>
          <cell r="Q9680">
            <v>0.4</v>
          </cell>
          <cell r="T9680">
            <v>116.914</v>
          </cell>
        </row>
        <row r="9681">
          <cell r="G9681">
            <v>42856</v>
          </cell>
          <cell r="L9681" t="str">
            <v>01-28-152-101W1</v>
          </cell>
          <cell r="O9681">
            <v>831.3</v>
          </cell>
          <cell r="Q9681">
            <v>0.45</v>
          </cell>
          <cell r="T9681">
            <v>33.975999999999999</v>
          </cell>
        </row>
        <row r="9682">
          <cell r="G9682">
            <v>42856</v>
          </cell>
          <cell r="L9682" t="str">
            <v>01-30-147-97W1</v>
          </cell>
          <cell r="O9682">
            <v>800</v>
          </cell>
          <cell r="Q9682">
            <v>0.55000000000000004</v>
          </cell>
          <cell r="T9682">
            <v>30.457999999999998</v>
          </cell>
        </row>
        <row r="9683">
          <cell r="G9683">
            <v>42856</v>
          </cell>
          <cell r="L9683" t="str">
            <v>01-31-164-98W1</v>
          </cell>
          <cell r="O9683">
            <v>819.5</v>
          </cell>
          <cell r="Q9683">
            <v>0.15</v>
          </cell>
          <cell r="T9683">
            <v>59.936999999999998</v>
          </cell>
        </row>
        <row r="9684">
          <cell r="G9684">
            <v>42856</v>
          </cell>
          <cell r="L9684" t="str">
            <v>01-32-164-01W1</v>
          </cell>
          <cell r="O9684">
            <v>828.5</v>
          </cell>
          <cell r="Q9684">
            <v>0.53</v>
          </cell>
          <cell r="T9684">
            <v>29.463999999999999</v>
          </cell>
        </row>
        <row r="9685">
          <cell r="G9685">
            <v>42856</v>
          </cell>
          <cell r="L9685" t="str">
            <v>01-33-141-100W1</v>
          </cell>
          <cell r="O9685">
            <v>816.7</v>
          </cell>
          <cell r="Q9685">
            <v>0.39</v>
          </cell>
          <cell r="T9685">
            <v>82.248999999999995</v>
          </cell>
        </row>
        <row r="9686">
          <cell r="G9686">
            <v>42856</v>
          </cell>
          <cell r="L9686" t="str">
            <v>01-33-164-91W1</v>
          </cell>
          <cell r="O9686">
            <v>828.8</v>
          </cell>
          <cell r="Q9686">
            <v>0.52</v>
          </cell>
          <cell r="T9686">
            <v>23.58</v>
          </cell>
        </row>
        <row r="9687">
          <cell r="G9687">
            <v>42856</v>
          </cell>
          <cell r="L9687" t="str">
            <v>01-34-164-92W1</v>
          </cell>
          <cell r="O9687">
            <v>834.4</v>
          </cell>
          <cell r="Q9687">
            <v>0.54</v>
          </cell>
          <cell r="T9687">
            <v>77.370999999999995</v>
          </cell>
        </row>
        <row r="9688">
          <cell r="G9688">
            <v>42856</v>
          </cell>
          <cell r="L9688" t="str">
            <v>02-09-142-100W1</v>
          </cell>
          <cell r="O9688">
            <v>830.5</v>
          </cell>
          <cell r="Q9688">
            <v>0.38</v>
          </cell>
          <cell r="T9688">
            <v>30.097000000000001</v>
          </cell>
        </row>
        <row r="9689">
          <cell r="G9689">
            <v>42856</v>
          </cell>
          <cell r="L9689" t="str">
            <v>02-11-163-97W1</v>
          </cell>
          <cell r="O9689">
            <v>817.1</v>
          </cell>
          <cell r="Q9689">
            <v>0.13</v>
          </cell>
          <cell r="T9689">
            <v>30.347999999999999</v>
          </cell>
        </row>
        <row r="9690">
          <cell r="G9690">
            <v>42856</v>
          </cell>
          <cell r="L9690" t="str">
            <v>02-30-147-97W1</v>
          </cell>
          <cell r="O9690">
            <v>811.5</v>
          </cell>
          <cell r="Q9690">
            <v>0.46</v>
          </cell>
          <cell r="T9690">
            <v>109.313</v>
          </cell>
        </row>
        <row r="9691">
          <cell r="G9691">
            <v>42856</v>
          </cell>
          <cell r="L9691" t="str">
            <v>02-34-143-100W1</v>
          </cell>
          <cell r="O9691">
            <v>828.1</v>
          </cell>
          <cell r="Q9691">
            <v>0.38</v>
          </cell>
          <cell r="T9691">
            <v>221.72</v>
          </cell>
        </row>
        <row r="9692">
          <cell r="G9692">
            <v>42856</v>
          </cell>
          <cell r="L9692" t="str">
            <v>03-10-151-96W1</v>
          </cell>
          <cell r="O9692">
            <v>813.1</v>
          </cell>
          <cell r="Q9692">
            <v>0.24</v>
          </cell>
          <cell r="T9692">
            <v>52.957000000000001</v>
          </cell>
        </row>
        <row r="9693">
          <cell r="G9693">
            <v>42856</v>
          </cell>
          <cell r="L9693" t="str">
            <v>03-16-163-91W1</v>
          </cell>
          <cell r="O9693">
            <v>833.6</v>
          </cell>
          <cell r="Q9693">
            <v>0.47</v>
          </cell>
          <cell r="T9693">
            <v>30.387</v>
          </cell>
        </row>
        <row r="9694">
          <cell r="G9694">
            <v>42856</v>
          </cell>
          <cell r="L9694" t="str">
            <v>03-25-144-98W1</v>
          </cell>
          <cell r="O9694">
            <v>821.9</v>
          </cell>
          <cell r="Q9694">
            <v>0.5</v>
          </cell>
          <cell r="T9694">
            <v>27.126000000000001</v>
          </cell>
        </row>
        <row r="9695">
          <cell r="G9695">
            <v>42856</v>
          </cell>
          <cell r="L9695" t="str">
            <v>03-25-147-98W1</v>
          </cell>
          <cell r="O9695">
            <v>811.2</v>
          </cell>
          <cell r="Q9695">
            <v>0.45</v>
          </cell>
          <cell r="T9695">
            <v>30.596</v>
          </cell>
        </row>
        <row r="9696">
          <cell r="G9696">
            <v>42856</v>
          </cell>
          <cell r="L9696" t="str">
            <v>03-34-145-97W1</v>
          </cell>
          <cell r="O9696">
            <v>830.5</v>
          </cell>
          <cell r="Q9696">
            <v>0.37</v>
          </cell>
          <cell r="T9696">
            <v>30.056999999999999</v>
          </cell>
        </row>
        <row r="9697">
          <cell r="G9697">
            <v>42856</v>
          </cell>
          <cell r="L9697" t="str">
            <v>04-19-147-97W1</v>
          </cell>
          <cell r="O9697">
            <v>828.9</v>
          </cell>
          <cell r="Q9697">
            <v>0.52</v>
          </cell>
          <cell r="T9697">
            <v>90.653000000000006</v>
          </cell>
        </row>
        <row r="9698">
          <cell r="G9698">
            <v>42856</v>
          </cell>
          <cell r="L9698" t="str">
            <v>04-24-147-98W1</v>
          </cell>
          <cell r="O9698">
            <v>814.1</v>
          </cell>
          <cell r="Q9698">
            <v>0.56000000000000005</v>
          </cell>
          <cell r="T9698">
            <v>29.943000000000001</v>
          </cell>
        </row>
        <row r="9699">
          <cell r="G9699">
            <v>42856</v>
          </cell>
          <cell r="L9699" t="str">
            <v>04-25-144-98W1</v>
          </cell>
          <cell r="O9699">
            <v>816.2</v>
          </cell>
          <cell r="Q9699">
            <v>0.5</v>
          </cell>
          <cell r="T9699">
            <v>23.844000000000001</v>
          </cell>
        </row>
        <row r="9700">
          <cell r="G9700">
            <v>42856</v>
          </cell>
          <cell r="L9700" t="str">
            <v>05-01-144-97W1</v>
          </cell>
          <cell r="O9700">
            <v>819.9</v>
          </cell>
          <cell r="Q9700">
            <v>0.48</v>
          </cell>
          <cell r="T9700">
            <v>24.306000000000001</v>
          </cell>
        </row>
        <row r="9701">
          <cell r="G9701">
            <v>42856</v>
          </cell>
          <cell r="L9701" t="str">
            <v>05-05-144-97W1</v>
          </cell>
          <cell r="O9701">
            <v>823.3</v>
          </cell>
          <cell r="Q9701">
            <v>0.44</v>
          </cell>
          <cell r="T9701">
            <v>29.988</v>
          </cell>
        </row>
        <row r="9702">
          <cell r="G9702">
            <v>42856</v>
          </cell>
          <cell r="L9702" t="str">
            <v>05-25-147-98W1</v>
          </cell>
          <cell r="O9702">
            <v>815.7</v>
          </cell>
          <cell r="Q9702">
            <v>0.56000000000000005</v>
          </cell>
          <cell r="T9702">
            <v>108.524</v>
          </cell>
        </row>
        <row r="9703">
          <cell r="G9703">
            <v>42856</v>
          </cell>
          <cell r="L9703" t="str">
            <v>06-06-162-96W1</v>
          </cell>
          <cell r="O9703">
            <v>834.7</v>
          </cell>
          <cell r="Q9703">
            <v>0.15</v>
          </cell>
          <cell r="T9703">
            <v>61.625999999999998</v>
          </cell>
        </row>
        <row r="9704">
          <cell r="G9704">
            <v>42856</v>
          </cell>
          <cell r="L9704" t="str">
            <v>12-03-146-100W1</v>
          </cell>
          <cell r="O9704">
            <v>834.3</v>
          </cell>
          <cell r="Q9704">
            <v>0.47</v>
          </cell>
          <cell r="T9704">
            <v>147.536</v>
          </cell>
        </row>
        <row r="9705">
          <cell r="G9705">
            <v>42856</v>
          </cell>
          <cell r="L9705" t="str">
            <v>13-11-160-95W1</v>
          </cell>
          <cell r="O9705">
            <v>804.5</v>
          </cell>
          <cell r="Q9705">
            <v>0.18</v>
          </cell>
          <cell r="T9705">
            <v>113.127</v>
          </cell>
        </row>
        <row r="9706">
          <cell r="G9706">
            <v>42856</v>
          </cell>
          <cell r="L9706" t="str">
            <v>13-18-163-90W1</v>
          </cell>
          <cell r="O9706">
            <v>844.7</v>
          </cell>
          <cell r="Q9706">
            <v>0.42</v>
          </cell>
          <cell r="T9706">
            <v>29.285</v>
          </cell>
        </row>
        <row r="9707">
          <cell r="G9707">
            <v>42856</v>
          </cell>
          <cell r="L9707" t="str">
            <v>14-23-163-96W1</v>
          </cell>
          <cell r="O9707">
            <v>820.9</v>
          </cell>
          <cell r="Q9707">
            <v>0.15</v>
          </cell>
          <cell r="T9707">
            <v>143.398</v>
          </cell>
        </row>
        <row r="9708">
          <cell r="G9708">
            <v>42856</v>
          </cell>
          <cell r="L9708" t="str">
            <v>15-02-144-102W1</v>
          </cell>
          <cell r="O9708">
            <v>859.7</v>
          </cell>
          <cell r="Q9708">
            <v>0.68</v>
          </cell>
          <cell r="T9708">
            <v>64.403000000000006</v>
          </cell>
        </row>
        <row r="9709">
          <cell r="G9709">
            <v>42856</v>
          </cell>
          <cell r="L9709" t="str">
            <v>15-04-143-101W1</v>
          </cell>
          <cell r="O9709">
            <v>837.7</v>
          </cell>
          <cell r="Q9709">
            <v>0.52</v>
          </cell>
          <cell r="T9709">
            <v>28.786000000000001</v>
          </cell>
        </row>
        <row r="9710">
          <cell r="G9710">
            <v>42856</v>
          </cell>
          <cell r="L9710" t="str">
            <v>16-04-151-96W1</v>
          </cell>
          <cell r="O9710">
            <v>813.3</v>
          </cell>
          <cell r="Q9710">
            <v>0.28000000000000003</v>
          </cell>
          <cell r="T9710">
            <v>90.918999999999997</v>
          </cell>
        </row>
        <row r="9711">
          <cell r="G9711">
            <v>42856</v>
          </cell>
          <cell r="L9711" t="str">
            <v>24-01-160-96W1</v>
          </cell>
          <cell r="O9711">
            <v>828.7</v>
          </cell>
          <cell r="Q9711">
            <v>0.49</v>
          </cell>
          <cell r="T9711">
            <v>30.358000000000001</v>
          </cell>
        </row>
        <row r="9712">
          <cell r="G9712">
            <v>42856</v>
          </cell>
          <cell r="L9712" t="str">
            <v>24-06-158-95W1</v>
          </cell>
          <cell r="O9712">
            <v>810.1</v>
          </cell>
          <cell r="Q9712">
            <v>0.14000000000000001</v>
          </cell>
          <cell r="T9712">
            <v>88.307000000000002</v>
          </cell>
        </row>
        <row r="9713">
          <cell r="G9713">
            <v>42856</v>
          </cell>
          <cell r="L9713" t="str">
            <v>25-11-159-102W1</v>
          </cell>
          <cell r="O9713">
            <v>830.4</v>
          </cell>
          <cell r="Q9713">
            <v>0.45</v>
          </cell>
          <cell r="T9713">
            <v>53.341000000000001</v>
          </cell>
        </row>
        <row r="9714">
          <cell r="G9714">
            <v>42856</v>
          </cell>
          <cell r="L9714" t="str">
            <v>33-14-160-95W1</v>
          </cell>
          <cell r="O9714">
            <v>800.1</v>
          </cell>
          <cell r="Q9714">
            <v>0.17</v>
          </cell>
          <cell r="T9714">
            <v>59.814</v>
          </cell>
        </row>
        <row r="9715">
          <cell r="G9715">
            <v>42856</v>
          </cell>
          <cell r="L9715" t="str">
            <v>43-03-160-95W1</v>
          </cell>
          <cell r="O9715">
            <v>805.8</v>
          </cell>
          <cell r="Q9715">
            <v>0.2</v>
          </cell>
          <cell r="T9715">
            <v>56.34</v>
          </cell>
        </row>
        <row r="9716">
          <cell r="G9716">
            <v>42856</v>
          </cell>
          <cell r="L9716" t="str">
            <v>44-35-022-58W1</v>
          </cell>
          <cell r="O9716">
            <v>861.3</v>
          </cell>
          <cell r="Q9716">
            <v>1.02</v>
          </cell>
          <cell r="T9716">
            <v>78.137</v>
          </cell>
        </row>
        <row r="9717">
          <cell r="G9717">
            <v>42856</v>
          </cell>
          <cell r="L9717" t="str">
            <v>16-08-004-05W2</v>
          </cell>
          <cell r="O9717">
            <v>660</v>
          </cell>
          <cell r="Q9717">
            <v>0</v>
          </cell>
          <cell r="T9717">
            <v>39.899000000000001</v>
          </cell>
        </row>
        <row r="9718">
          <cell r="G9718">
            <v>42856</v>
          </cell>
          <cell r="L9718" t="str">
            <v>02-25-002-03W2</v>
          </cell>
          <cell r="O9718">
            <v>833.7</v>
          </cell>
          <cell r="Q9718">
            <v>0.5</v>
          </cell>
          <cell r="T9718">
            <v>1158.702</v>
          </cell>
        </row>
        <row r="9719">
          <cell r="G9719">
            <v>42856</v>
          </cell>
          <cell r="L9719" t="str">
            <v>13-13-002-33W1</v>
          </cell>
          <cell r="O9719">
            <v>832.6</v>
          </cell>
          <cell r="Q9719">
            <v>0.72</v>
          </cell>
          <cell r="T9719">
            <v>110.864</v>
          </cell>
        </row>
        <row r="9720">
          <cell r="G9720">
            <v>42856</v>
          </cell>
          <cell r="L9720" t="str">
            <v>03-03-001-16W2</v>
          </cell>
          <cell r="O9720">
            <v>807.7</v>
          </cell>
          <cell r="Q9720">
            <v>0.35</v>
          </cell>
          <cell r="T9720">
            <v>191.446</v>
          </cell>
        </row>
        <row r="9721">
          <cell r="G9721">
            <v>42856</v>
          </cell>
          <cell r="L9721" t="str">
            <v>03-04-001-11W2</v>
          </cell>
          <cell r="O9721">
            <v>821.3</v>
          </cell>
          <cell r="Q9721">
            <v>0.17</v>
          </cell>
          <cell r="T9721">
            <v>744.74800000000005</v>
          </cell>
        </row>
        <row r="9722">
          <cell r="G9722">
            <v>42856</v>
          </cell>
          <cell r="L9722" t="str">
            <v>03-08-001-11W2</v>
          </cell>
          <cell r="O9722">
            <v>809.1</v>
          </cell>
          <cell r="Q9722">
            <v>0.32</v>
          </cell>
          <cell r="T9722">
            <v>323.05200000000002</v>
          </cell>
        </row>
        <row r="9723">
          <cell r="G9723">
            <v>42856</v>
          </cell>
          <cell r="L9723" t="str">
            <v>03-18-007-09W2</v>
          </cell>
          <cell r="O9723">
            <v>812.1</v>
          </cell>
          <cell r="Q9723">
            <v>0.59</v>
          </cell>
          <cell r="T9723">
            <v>467.46899999999999</v>
          </cell>
        </row>
        <row r="9724">
          <cell r="G9724">
            <v>42856</v>
          </cell>
          <cell r="L9724" t="str">
            <v>03-34-001-11W2</v>
          </cell>
          <cell r="O9724">
            <v>822.8</v>
          </cell>
          <cell r="Q9724">
            <v>0.17</v>
          </cell>
          <cell r="T9724">
            <v>355.791</v>
          </cell>
        </row>
        <row r="9725">
          <cell r="G9725">
            <v>42856</v>
          </cell>
          <cell r="L9725" t="str">
            <v>07-02-007-12W2</v>
          </cell>
          <cell r="O9725">
            <v>856.7</v>
          </cell>
          <cell r="Q9725">
            <v>1.83</v>
          </cell>
          <cell r="T9725">
            <v>134.45099999999999</v>
          </cell>
        </row>
        <row r="9726">
          <cell r="G9726">
            <v>42856</v>
          </cell>
          <cell r="L9726" t="str">
            <v>12-27-006-13W2</v>
          </cell>
          <cell r="O9726">
            <v>866.3</v>
          </cell>
          <cell r="Q9726">
            <v>0.18</v>
          </cell>
          <cell r="T9726">
            <v>162.46799999999999</v>
          </cell>
        </row>
        <row r="9727">
          <cell r="G9727">
            <v>42856</v>
          </cell>
          <cell r="L9727" t="str">
            <v>12-31-001-17W2</v>
          </cell>
          <cell r="O9727">
            <v>840.7</v>
          </cell>
          <cell r="Q9727">
            <v>0.14000000000000001</v>
          </cell>
          <cell r="T9727">
            <v>155.30199999999999</v>
          </cell>
        </row>
        <row r="9728">
          <cell r="G9728">
            <v>42856</v>
          </cell>
          <cell r="L9728" t="str">
            <v>13-06-007-11W2</v>
          </cell>
          <cell r="O9728">
            <v>863</v>
          </cell>
          <cell r="Q9728">
            <v>2.08</v>
          </cell>
          <cell r="T9728">
            <v>635.29300000000001</v>
          </cell>
        </row>
        <row r="9729">
          <cell r="G9729">
            <v>42856</v>
          </cell>
          <cell r="L9729" t="str">
            <v>13-09-002-11W2</v>
          </cell>
          <cell r="O9729">
            <v>820.9</v>
          </cell>
          <cell r="Q9729">
            <v>0.17</v>
          </cell>
          <cell r="T9729">
            <v>637.70500000000004</v>
          </cell>
        </row>
        <row r="9730">
          <cell r="G9730">
            <v>42856</v>
          </cell>
          <cell r="L9730" t="str">
            <v>13-36-002-12W2</v>
          </cell>
          <cell r="O9730">
            <v>816.1</v>
          </cell>
          <cell r="Q9730">
            <v>0.16</v>
          </cell>
          <cell r="T9730">
            <v>502.904</v>
          </cell>
        </row>
        <row r="9731">
          <cell r="G9731">
            <v>42856</v>
          </cell>
          <cell r="L9731" t="str">
            <v>14-25-001-16W2</v>
          </cell>
          <cell r="O9731">
            <v>811.6</v>
          </cell>
          <cell r="Q9731">
            <v>0.38</v>
          </cell>
          <cell r="T9731">
            <v>31.606000000000002</v>
          </cell>
        </row>
        <row r="9732">
          <cell r="G9732">
            <v>42856</v>
          </cell>
          <cell r="L9732" t="str">
            <v>14-25-003-09W2</v>
          </cell>
          <cell r="O9732">
            <v>848.5</v>
          </cell>
          <cell r="Q9732">
            <v>0.8</v>
          </cell>
          <cell r="T9732">
            <v>262.517</v>
          </cell>
        </row>
        <row r="9733">
          <cell r="G9733">
            <v>42856</v>
          </cell>
          <cell r="L9733" t="str">
            <v>15-01-002-12W2</v>
          </cell>
          <cell r="O9733">
            <v>818.9</v>
          </cell>
          <cell r="Q9733">
            <v>0.12</v>
          </cell>
          <cell r="T9733">
            <v>651.09199999999998</v>
          </cell>
        </row>
        <row r="9734">
          <cell r="G9734">
            <v>42856</v>
          </cell>
          <cell r="L9734" t="str">
            <v>15-13-002-12W2</v>
          </cell>
          <cell r="O9734">
            <v>835.2</v>
          </cell>
          <cell r="Q9734">
            <v>0.15</v>
          </cell>
          <cell r="T9734">
            <v>57.564999999999998</v>
          </cell>
        </row>
        <row r="9735">
          <cell r="G9735">
            <v>42856</v>
          </cell>
          <cell r="L9735" t="str">
            <v>15-29-007-13W2</v>
          </cell>
          <cell r="O9735">
            <v>851.7</v>
          </cell>
          <cell r="Q9735">
            <v>1.85</v>
          </cell>
          <cell r="T9735">
            <v>264.37900000000002</v>
          </cell>
        </row>
        <row r="9736">
          <cell r="G9736">
            <v>42856</v>
          </cell>
          <cell r="L9736" t="str">
            <v>15-36-001-12W2</v>
          </cell>
          <cell r="O9736">
            <v>814</v>
          </cell>
          <cell r="Q9736">
            <v>0.14000000000000001</v>
          </cell>
          <cell r="T9736">
            <v>304.28300000000002</v>
          </cell>
        </row>
        <row r="9737">
          <cell r="G9737">
            <v>42856</v>
          </cell>
          <cell r="L9737" t="str">
            <v>16-34-001-11W2</v>
          </cell>
          <cell r="O9737">
            <v>825.9</v>
          </cell>
          <cell r="Q9737">
            <v>0.19</v>
          </cell>
          <cell r="T9737">
            <v>349.596</v>
          </cell>
        </row>
        <row r="9738">
          <cell r="G9738">
            <v>42856</v>
          </cell>
          <cell r="L9738" t="str">
            <v>07-04-005-04W2</v>
          </cell>
          <cell r="O9738">
            <v>841.8</v>
          </cell>
          <cell r="Q9738">
            <v>0.89</v>
          </cell>
          <cell r="T9738">
            <v>389.01299999999998</v>
          </cell>
        </row>
        <row r="9739">
          <cell r="G9739">
            <v>42856</v>
          </cell>
          <cell r="L9739" t="str">
            <v>07-22-003-03W2</v>
          </cell>
          <cell r="O9739">
            <v>830.3</v>
          </cell>
          <cell r="Q9739">
            <v>0.59</v>
          </cell>
          <cell r="T9739">
            <v>146.99600000000001</v>
          </cell>
        </row>
        <row r="9740">
          <cell r="G9740">
            <v>42856</v>
          </cell>
          <cell r="L9740" t="str">
            <v>07-29-009-04W2</v>
          </cell>
          <cell r="O9740">
            <v>837.3</v>
          </cell>
          <cell r="Q9740">
            <v>1.1399999999999999</v>
          </cell>
          <cell r="T9740">
            <v>140.512</v>
          </cell>
        </row>
        <row r="9741">
          <cell r="G9741">
            <v>42856</v>
          </cell>
          <cell r="L9741" t="str">
            <v>11-25-005-06W2</v>
          </cell>
          <cell r="O9741">
            <v>844</v>
          </cell>
          <cell r="Q9741">
            <v>1.08</v>
          </cell>
          <cell r="T9741">
            <v>1598.3109999999999</v>
          </cell>
        </row>
        <row r="9742">
          <cell r="G9742">
            <v>42856</v>
          </cell>
          <cell r="L9742" t="str">
            <v>04-11-004-32W1</v>
          </cell>
          <cell r="O9742">
            <v>855.3</v>
          </cell>
          <cell r="Q9742">
            <v>1.41</v>
          </cell>
          <cell r="T9742">
            <v>509.91399999999999</v>
          </cell>
        </row>
        <row r="9743">
          <cell r="G9743">
            <v>42856</v>
          </cell>
          <cell r="L9743" t="str">
            <v>12-32-006-04W2</v>
          </cell>
          <cell r="O9743">
            <v>852.2</v>
          </cell>
          <cell r="Q9743">
            <v>1.82</v>
          </cell>
          <cell r="T9743">
            <v>2144.605</v>
          </cell>
        </row>
        <row r="9744">
          <cell r="G9744">
            <v>42856</v>
          </cell>
          <cell r="L9744" t="str">
            <v>09-01-002-34W1</v>
          </cell>
          <cell r="O9744">
            <v>828.1</v>
          </cell>
          <cell r="Q9744">
            <v>0.55000000000000004</v>
          </cell>
          <cell r="T9744">
            <v>58.54</v>
          </cell>
        </row>
        <row r="9745">
          <cell r="G9745">
            <v>42856</v>
          </cell>
          <cell r="L9745" t="str">
            <v>14-13-002-02W2</v>
          </cell>
          <cell r="O9745">
            <v>824</v>
          </cell>
          <cell r="Q9745">
            <v>0.55000000000000004</v>
          </cell>
          <cell r="T9745">
            <v>3343.6849999999999</v>
          </cell>
        </row>
        <row r="9746">
          <cell r="G9746">
            <v>42856</v>
          </cell>
          <cell r="L9746" t="str">
            <v>04-05-002-02W2</v>
          </cell>
          <cell r="O9746">
            <v>822.3</v>
          </cell>
          <cell r="Q9746">
            <v>0.62</v>
          </cell>
          <cell r="T9746">
            <v>926.91099999999994</v>
          </cell>
        </row>
        <row r="9747">
          <cell r="G9747">
            <v>42856</v>
          </cell>
          <cell r="L9747" t="str">
            <v>01-10-008-15W2</v>
          </cell>
          <cell r="O9747">
            <v>868.2</v>
          </cell>
          <cell r="Q9747">
            <v>2.21</v>
          </cell>
          <cell r="T9747">
            <v>365.11799999999999</v>
          </cell>
        </row>
        <row r="9748">
          <cell r="G9748">
            <v>42856</v>
          </cell>
          <cell r="L9748" t="str">
            <v>09-11-007-14W2</v>
          </cell>
          <cell r="O9748">
            <v>847.4</v>
          </cell>
          <cell r="Q9748">
            <v>1.55</v>
          </cell>
          <cell r="T9748">
            <v>216.74100000000001</v>
          </cell>
        </row>
        <row r="9749">
          <cell r="G9749">
            <v>42856</v>
          </cell>
          <cell r="L9749" t="str">
            <v>05-20-001-02W2</v>
          </cell>
          <cell r="O9749">
            <v>828.8</v>
          </cell>
          <cell r="Q9749">
            <v>0.53</v>
          </cell>
          <cell r="T9749">
            <v>1101.857</v>
          </cell>
        </row>
        <row r="9750">
          <cell r="G9750">
            <v>42856</v>
          </cell>
          <cell r="L9750" t="str">
            <v>09-24-001-01W2</v>
          </cell>
          <cell r="O9750">
            <v>826.8</v>
          </cell>
          <cell r="Q9750">
            <v>0.67</v>
          </cell>
          <cell r="T9750">
            <v>141.69200000000001</v>
          </cell>
        </row>
        <row r="9751">
          <cell r="G9751">
            <v>42856</v>
          </cell>
          <cell r="L9751" t="str">
            <v>14-03-001-03W2</v>
          </cell>
          <cell r="O9751">
            <v>811.7</v>
          </cell>
          <cell r="Q9751">
            <v>0.12</v>
          </cell>
          <cell r="T9751">
            <v>1767.6969999999999</v>
          </cell>
        </row>
        <row r="9752">
          <cell r="G9752">
            <v>42856</v>
          </cell>
          <cell r="L9752" t="str">
            <v>13-19-001-03W2</v>
          </cell>
          <cell r="O9752">
            <v>836.8</v>
          </cell>
          <cell r="Q9752">
            <v>0.62</v>
          </cell>
          <cell r="T9752">
            <v>254.988</v>
          </cell>
        </row>
        <row r="9753">
          <cell r="G9753">
            <v>42856</v>
          </cell>
          <cell r="L9753" t="str">
            <v>01-27-004-07W2</v>
          </cell>
          <cell r="O9753">
            <v>890.2</v>
          </cell>
          <cell r="Q9753">
            <v>2.0299999999999998</v>
          </cell>
          <cell r="T9753">
            <v>28.163</v>
          </cell>
        </row>
        <row r="9754">
          <cell r="G9754">
            <v>42856</v>
          </cell>
          <cell r="L9754" t="str">
            <v>04-27-004-08W2</v>
          </cell>
          <cell r="O9754">
            <v>882.7</v>
          </cell>
          <cell r="Q9754">
            <v>2.14</v>
          </cell>
          <cell r="T9754">
            <v>442.87799999999999</v>
          </cell>
        </row>
        <row r="9755">
          <cell r="G9755">
            <v>42856</v>
          </cell>
          <cell r="L9755" t="str">
            <v>04-35-004-09W2</v>
          </cell>
          <cell r="O9755">
            <v>890.8</v>
          </cell>
          <cell r="Q9755">
            <v>1.92</v>
          </cell>
          <cell r="T9755">
            <v>153.547</v>
          </cell>
        </row>
        <row r="9756">
          <cell r="G9756">
            <v>42856</v>
          </cell>
          <cell r="L9756" t="str">
            <v>09-02-006-07W2</v>
          </cell>
          <cell r="O9756">
            <v>880.2</v>
          </cell>
          <cell r="Q9756">
            <v>1.97</v>
          </cell>
          <cell r="T9756">
            <v>534.55399999999997</v>
          </cell>
        </row>
        <row r="9757">
          <cell r="G9757">
            <v>42856</v>
          </cell>
          <cell r="L9757" t="str">
            <v>11-31-005-11W2</v>
          </cell>
          <cell r="O9757">
            <v>877.4</v>
          </cell>
          <cell r="Q9757">
            <v>1.73</v>
          </cell>
          <cell r="T9757">
            <v>2249.1489999999999</v>
          </cell>
        </row>
        <row r="9758">
          <cell r="G9758">
            <v>42856</v>
          </cell>
          <cell r="L9758" t="str">
            <v>07-31-006-09W2</v>
          </cell>
          <cell r="O9758">
            <v>876.3</v>
          </cell>
          <cell r="Q9758">
            <v>1.46</v>
          </cell>
          <cell r="T9758">
            <v>134.482</v>
          </cell>
        </row>
        <row r="9759">
          <cell r="G9759">
            <v>42856</v>
          </cell>
          <cell r="L9759" t="str">
            <v>02-13-004-12W2</v>
          </cell>
          <cell r="O9759">
            <v>880.3</v>
          </cell>
          <cell r="Q9759">
            <v>1.99</v>
          </cell>
          <cell r="T9759">
            <v>210.2</v>
          </cell>
        </row>
        <row r="9760">
          <cell r="G9760">
            <v>42856</v>
          </cell>
          <cell r="L9760" t="str">
            <v>01-23-005-12W2</v>
          </cell>
          <cell r="O9760">
            <v>881.9</v>
          </cell>
          <cell r="Q9760">
            <v>2.0499999999999998</v>
          </cell>
          <cell r="T9760">
            <v>92.831000000000003</v>
          </cell>
        </row>
        <row r="9761">
          <cell r="G9761">
            <v>42856</v>
          </cell>
          <cell r="L9761" t="str">
            <v>03-14-005-08W2</v>
          </cell>
          <cell r="O9761">
            <v>894.9</v>
          </cell>
          <cell r="Q9761">
            <v>2.65</v>
          </cell>
          <cell r="T9761">
            <v>86.242000000000004</v>
          </cell>
        </row>
        <row r="9762">
          <cell r="G9762">
            <v>42856</v>
          </cell>
          <cell r="L9762" t="str">
            <v>06-20-006-09W2</v>
          </cell>
          <cell r="O9762">
            <v>882.5</v>
          </cell>
          <cell r="Q9762">
            <v>2.19</v>
          </cell>
          <cell r="T9762">
            <v>250.57300000000001</v>
          </cell>
        </row>
        <row r="9763">
          <cell r="G9763">
            <v>42856</v>
          </cell>
          <cell r="L9763" t="str">
            <v>08-03-006-07W2</v>
          </cell>
          <cell r="O9763">
            <v>875.5</v>
          </cell>
          <cell r="Q9763">
            <v>1.92</v>
          </cell>
          <cell r="T9763">
            <v>61.353999999999999</v>
          </cell>
        </row>
        <row r="9764">
          <cell r="G9764">
            <v>42856</v>
          </cell>
          <cell r="L9764" t="str">
            <v>14-20-004-10W2</v>
          </cell>
          <cell r="O9764">
            <v>885.8</v>
          </cell>
          <cell r="Q9764">
            <v>2.14</v>
          </cell>
          <cell r="T9764">
            <v>221.26499999999999</v>
          </cell>
        </row>
        <row r="9765">
          <cell r="G9765">
            <v>42856</v>
          </cell>
          <cell r="L9765" t="str">
            <v>14-22-004-08W2</v>
          </cell>
          <cell r="O9765">
            <v>876</v>
          </cell>
          <cell r="Q9765">
            <v>2.0299999999999998</v>
          </cell>
          <cell r="T9765">
            <v>497.69900000000001</v>
          </cell>
        </row>
        <row r="9766">
          <cell r="G9766">
            <v>42856</v>
          </cell>
          <cell r="L9766" t="str">
            <v>12-30-005-07W2</v>
          </cell>
          <cell r="O9766">
            <v>892.7</v>
          </cell>
          <cell r="Q9766">
            <v>2.5299999999999998</v>
          </cell>
          <cell r="T9766">
            <v>720.89300000000003</v>
          </cell>
        </row>
        <row r="9767">
          <cell r="G9767">
            <v>42856</v>
          </cell>
          <cell r="L9767" t="str">
            <v>09-32-006-15W2</v>
          </cell>
          <cell r="O9767">
            <v>886.1</v>
          </cell>
          <cell r="Q9767">
            <v>2.8</v>
          </cell>
          <cell r="T9767">
            <v>82.513999999999996</v>
          </cell>
        </row>
        <row r="9768">
          <cell r="G9768">
            <v>42856</v>
          </cell>
          <cell r="L9768" t="str">
            <v>05-13-014-30W1</v>
          </cell>
          <cell r="O9768">
            <v>899.4</v>
          </cell>
          <cell r="Q9768">
            <v>2.2400000000000002</v>
          </cell>
          <cell r="T9768">
            <v>44.677</v>
          </cell>
        </row>
        <row r="9769">
          <cell r="G9769">
            <v>42856</v>
          </cell>
          <cell r="L9769" t="str">
            <v>08-14-014-30W1</v>
          </cell>
          <cell r="O9769">
            <v>896.7</v>
          </cell>
          <cell r="Q9769">
            <v>2.2400000000000002</v>
          </cell>
          <cell r="T9769">
            <v>181.73099999999999</v>
          </cell>
        </row>
        <row r="9770">
          <cell r="G9770">
            <v>42856</v>
          </cell>
          <cell r="L9770" t="str">
            <v>14-27-005-12W2</v>
          </cell>
          <cell r="O9770">
            <v>874.3</v>
          </cell>
          <cell r="Q9770">
            <v>1.98</v>
          </cell>
          <cell r="T9770">
            <v>1024.9760000000001</v>
          </cell>
        </row>
        <row r="9771">
          <cell r="G9771">
            <v>42856</v>
          </cell>
          <cell r="L9771" t="str">
            <v>16-06-005-12W2</v>
          </cell>
          <cell r="O9771">
            <v>880</v>
          </cell>
          <cell r="Q9771">
            <v>2</v>
          </cell>
          <cell r="T9771">
            <v>154.518</v>
          </cell>
        </row>
        <row r="9772">
          <cell r="G9772">
            <v>42856</v>
          </cell>
          <cell r="L9772" t="str">
            <v>05-31-003-16W2</v>
          </cell>
          <cell r="O9772">
            <v>885.3</v>
          </cell>
          <cell r="Q9772">
            <v>2.75</v>
          </cell>
          <cell r="T9772">
            <v>1281.905</v>
          </cell>
        </row>
        <row r="9773">
          <cell r="G9773">
            <v>42856</v>
          </cell>
          <cell r="L9773" t="str">
            <v>15-33-013-13W2</v>
          </cell>
          <cell r="O9773">
            <v>872</v>
          </cell>
          <cell r="Q9773">
            <v>0.51</v>
          </cell>
          <cell r="T9773">
            <v>427.05</v>
          </cell>
        </row>
        <row r="9774">
          <cell r="G9774">
            <v>42856</v>
          </cell>
          <cell r="L9774" t="str">
            <v>01-36-006-12W2</v>
          </cell>
          <cell r="O9774">
            <v>893.4</v>
          </cell>
          <cell r="Q9774">
            <v>2.63</v>
          </cell>
          <cell r="T9774">
            <v>75.872</v>
          </cell>
        </row>
        <row r="9775">
          <cell r="G9775">
            <v>42856</v>
          </cell>
          <cell r="L9775" t="str">
            <v>03-27-011-08W2</v>
          </cell>
          <cell r="O9775">
            <v>898.5</v>
          </cell>
          <cell r="Q9775">
            <v>2.62</v>
          </cell>
          <cell r="T9775">
            <v>148.26499999999999</v>
          </cell>
        </row>
        <row r="9776">
          <cell r="G9776">
            <v>42856</v>
          </cell>
          <cell r="L9776" t="str">
            <v>04-13-004-10W2</v>
          </cell>
          <cell r="O9776">
            <v>885.1</v>
          </cell>
          <cell r="Q9776">
            <v>2.04</v>
          </cell>
          <cell r="T9776">
            <v>219.93600000000001</v>
          </cell>
        </row>
        <row r="9777">
          <cell r="G9777">
            <v>42856</v>
          </cell>
          <cell r="L9777" t="str">
            <v>04-23-012-06W2</v>
          </cell>
          <cell r="O9777">
            <v>895.9</v>
          </cell>
          <cell r="Q9777">
            <v>2.52</v>
          </cell>
          <cell r="T9777">
            <v>258.12400000000002</v>
          </cell>
        </row>
        <row r="9778">
          <cell r="G9778">
            <v>42856</v>
          </cell>
          <cell r="L9778" t="str">
            <v>07-24-006-10W2</v>
          </cell>
          <cell r="O9778">
            <v>883</v>
          </cell>
          <cell r="Q9778">
            <v>2.44</v>
          </cell>
          <cell r="T9778">
            <v>62.328000000000003</v>
          </cell>
        </row>
        <row r="9779">
          <cell r="G9779">
            <v>42856</v>
          </cell>
          <cell r="L9779" t="str">
            <v>12-28-006-07W2</v>
          </cell>
          <cell r="O9779">
            <v>908</v>
          </cell>
          <cell r="Q9779">
            <v>2.52</v>
          </cell>
          <cell r="T9779">
            <v>93.977000000000004</v>
          </cell>
        </row>
        <row r="9780">
          <cell r="G9780">
            <v>42856</v>
          </cell>
          <cell r="L9780" t="str">
            <v>13-33-006-09W2</v>
          </cell>
          <cell r="O9780">
            <v>883.8</v>
          </cell>
          <cell r="Q9780">
            <v>2.42</v>
          </cell>
          <cell r="T9780">
            <v>385.30500000000001</v>
          </cell>
        </row>
        <row r="9781">
          <cell r="G9781">
            <v>42856</v>
          </cell>
          <cell r="L9781" t="str">
            <v>01-18-004-08W2</v>
          </cell>
          <cell r="O9781">
            <v>889.9</v>
          </cell>
          <cell r="Q9781">
            <v>2.36</v>
          </cell>
          <cell r="T9781">
            <v>1004.1319999999999</v>
          </cell>
        </row>
        <row r="9782">
          <cell r="G9782">
            <v>42856</v>
          </cell>
          <cell r="L9782" t="str">
            <v>01-18-004-08W2</v>
          </cell>
          <cell r="O9782">
            <v>889.9</v>
          </cell>
          <cell r="Q9782">
            <v>2.13</v>
          </cell>
          <cell r="T9782">
            <v>55.097999999999999</v>
          </cell>
        </row>
        <row r="9783">
          <cell r="G9783">
            <v>42856</v>
          </cell>
          <cell r="L9783" t="str">
            <v>15-11-005-09W2</v>
          </cell>
          <cell r="O9783">
            <v>882.4</v>
          </cell>
          <cell r="Q9783">
            <v>2.21</v>
          </cell>
          <cell r="T9783">
            <v>643.48199999999997</v>
          </cell>
        </row>
        <row r="9784">
          <cell r="G9784">
            <v>42856</v>
          </cell>
          <cell r="L9784" t="str">
            <v>16-05-005-08W2</v>
          </cell>
          <cell r="O9784">
            <v>884.5</v>
          </cell>
          <cell r="Q9784">
            <v>2.0699999999999998</v>
          </cell>
          <cell r="T9784">
            <v>546.44899999999996</v>
          </cell>
        </row>
        <row r="9785">
          <cell r="G9785">
            <v>42856</v>
          </cell>
          <cell r="L9785" t="str">
            <v>12-13-006-13W2</v>
          </cell>
          <cell r="O9785">
            <v>877.2</v>
          </cell>
          <cell r="Q9785">
            <v>2.5299999999999998</v>
          </cell>
          <cell r="T9785">
            <v>96.835999999999999</v>
          </cell>
        </row>
        <row r="9786">
          <cell r="G9786">
            <v>42856</v>
          </cell>
          <cell r="L9786" t="str">
            <v>02-22-009-09W2</v>
          </cell>
          <cell r="O9786">
            <v>887.6</v>
          </cell>
          <cell r="Q9786">
            <v>2.46</v>
          </cell>
          <cell r="T9786">
            <v>51.573999999999998</v>
          </cell>
        </row>
        <row r="9787">
          <cell r="G9787">
            <v>42856</v>
          </cell>
          <cell r="L9787" t="str">
            <v>10-11-005-14W2</v>
          </cell>
          <cell r="O9787">
            <v>903.2</v>
          </cell>
          <cell r="Q9787">
            <v>2.86</v>
          </cell>
          <cell r="T9787">
            <v>29.440999999999999</v>
          </cell>
        </row>
        <row r="9788">
          <cell r="G9788">
            <v>42856</v>
          </cell>
          <cell r="L9788" t="str">
            <v>15-14-014-30W1</v>
          </cell>
          <cell r="O9788">
            <v>897.2</v>
          </cell>
          <cell r="Q9788">
            <v>2.31</v>
          </cell>
          <cell r="T9788">
            <v>103.867</v>
          </cell>
        </row>
        <row r="9789">
          <cell r="G9789">
            <v>42856</v>
          </cell>
          <cell r="L9789" t="str">
            <v>05-23-005-13W2</v>
          </cell>
          <cell r="O9789">
            <v>905.3</v>
          </cell>
          <cell r="Q9789">
            <v>2.75</v>
          </cell>
          <cell r="T9789">
            <v>281.21100000000001</v>
          </cell>
        </row>
        <row r="9790">
          <cell r="G9790">
            <v>42856</v>
          </cell>
          <cell r="L9790" t="str">
            <v>11-25-005-12W2</v>
          </cell>
          <cell r="O9790">
            <v>874.7</v>
          </cell>
          <cell r="Q9790">
            <v>2.02</v>
          </cell>
          <cell r="T9790">
            <v>2199.038</v>
          </cell>
        </row>
        <row r="9791">
          <cell r="G9791">
            <v>42856</v>
          </cell>
          <cell r="L9791" t="str">
            <v>16-18-003-15W2</v>
          </cell>
          <cell r="O9791">
            <v>889.4</v>
          </cell>
          <cell r="Q9791">
            <v>2.4500000000000002</v>
          </cell>
          <cell r="T9791">
            <v>1119.0429999999999</v>
          </cell>
        </row>
        <row r="9792">
          <cell r="G9792">
            <v>42856</v>
          </cell>
          <cell r="L9792" t="str">
            <v>16-29-006-12W2</v>
          </cell>
          <cell r="O9792">
            <v>897.6</v>
          </cell>
          <cell r="Q9792">
            <v>1.56</v>
          </cell>
          <cell r="T9792">
            <v>649.03</v>
          </cell>
        </row>
        <row r="9793">
          <cell r="G9793">
            <v>42856</v>
          </cell>
          <cell r="L9793" t="str">
            <v>13-28-008-10W2</v>
          </cell>
          <cell r="O9793">
            <v>874.4</v>
          </cell>
          <cell r="Q9793">
            <v>2.21</v>
          </cell>
          <cell r="T9793">
            <v>2692.31</v>
          </cell>
        </row>
        <row r="9794">
          <cell r="G9794">
            <v>42856</v>
          </cell>
          <cell r="L9794" t="str">
            <v>07-10-001-20W2</v>
          </cell>
          <cell r="O9794">
            <v>873.5</v>
          </cell>
          <cell r="Q9794">
            <v>1.72</v>
          </cell>
          <cell r="T9794">
            <v>105.601</v>
          </cell>
        </row>
        <row r="9795">
          <cell r="G9795">
            <v>42856</v>
          </cell>
          <cell r="L9795" t="str">
            <v>15-19-005-13W2</v>
          </cell>
          <cell r="O9795">
            <v>896.1</v>
          </cell>
          <cell r="Q9795">
            <v>2.72</v>
          </cell>
          <cell r="T9795">
            <v>63.945</v>
          </cell>
        </row>
        <row r="9796">
          <cell r="G9796">
            <v>42856</v>
          </cell>
          <cell r="L9796" t="str">
            <v>15-26-001-31W1</v>
          </cell>
          <cell r="O9796">
            <v>877</v>
          </cell>
          <cell r="Q9796">
            <v>2.09</v>
          </cell>
          <cell r="T9796">
            <v>6732.8519999999999</v>
          </cell>
        </row>
        <row r="9797">
          <cell r="G9797">
            <v>42856</v>
          </cell>
          <cell r="L9797" t="str">
            <v>11-31-006-08W2</v>
          </cell>
          <cell r="O9797">
            <v>890</v>
          </cell>
          <cell r="Q9797">
            <v>2.5</v>
          </cell>
          <cell r="T9797">
            <v>318.70600000000002</v>
          </cell>
        </row>
        <row r="9798">
          <cell r="G9798">
            <v>42856</v>
          </cell>
          <cell r="L9798" t="str">
            <v>01-13-162-86W1</v>
          </cell>
          <cell r="O9798">
            <v>877.9</v>
          </cell>
          <cell r="Q9798">
            <v>2.06</v>
          </cell>
          <cell r="T9798">
            <v>21.481000000000002</v>
          </cell>
        </row>
        <row r="9799">
          <cell r="G9799">
            <v>42856</v>
          </cell>
          <cell r="L9799" t="str">
            <v>01-19-162-85W1</v>
          </cell>
          <cell r="O9799">
            <v>886.3</v>
          </cell>
          <cell r="Q9799">
            <v>2.06</v>
          </cell>
          <cell r="T9799">
            <v>145.453</v>
          </cell>
        </row>
        <row r="9800">
          <cell r="G9800">
            <v>42856</v>
          </cell>
          <cell r="L9800" t="str">
            <v>01-22-163-82W1</v>
          </cell>
          <cell r="O9800">
            <v>897.5</v>
          </cell>
          <cell r="Q9800">
            <v>2.06</v>
          </cell>
          <cell r="T9800">
            <v>96.936000000000007</v>
          </cell>
        </row>
        <row r="9801">
          <cell r="G9801">
            <v>42856</v>
          </cell>
          <cell r="L9801" t="str">
            <v>01-23-162-86W1</v>
          </cell>
          <cell r="O9801">
            <v>887.5</v>
          </cell>
          <cell r="Q9801">
            <v>2.06</v>
          </cell>
          <cell r="T9801">
            <v>70.489000000000004</v>
          </cell>
        </row>
        <row r="9802">
          <cell r="G9802">
            <v>42856</v>
          </cell>
          <cell r="L9802" t="str">
            <v>01-24-162-86W1</v>
          </cell>
          <cell r="O9802">
            <v>890.9</v>
          </cell>
          <cell r="Q9802">
            <v>2.06</v>
          </cell>
          <cell r="T9802">
            <v>69.447000000000003</v>
          </cell>
        </row>
        <row r="9803">
          <cell r="G9803">
            <v>42856</v>
          </cell>
          <cell r="L9803" t="str">
            <v>01-27-160-85W1</v>
          </cell>
          <cell r="O9803">
            <v>890.9</v>
          </cell>
          <cell r="Q9803">
            <v>2.06</v>
          </cell>
          <cell r="T9803">
            <v>45.923000000000002</v>
          </cell>
        </row>
        <row r="9804">
          <cell r="G9804">
            <v>42856</v>
          </cell>
          <cell r="L9804" t="str">
            <v>01-06-004-11W2</v>
          </cell>
          <cell r="O9804">
            <v>881.4</v>
          </cell>
          <cell r="Q9804">
            <v>1.95</v>
          </cell>
          <cell r="T9804">
            <v>107.523</v>
          </cell>
        </row>
        <row r="9805">
          <cell r="G9805">
            <v>42856</v>
          </cell>
          <cell r="L9805" t="str">
            <v>06-18-006-12W2</v>
          </cell>
          <cell r="O9805">
            <v>889.1</v>
          </cell>
          <cell r="Q9805">
            <v>2.58</v>
          </cell>
          <cell r="T9805">
            <v>332.41399999999999</v>
          </cell>
        </row>
        <row r="9806">
          <cell r="G9806">
            <v>42856</v>
          </cell>
          <cell r="L9806" t="str">
            <v>09-22-006-12W2</v>
          </cell>
          <cell r="O9806">
            <v>876.1</v>
          </cell>
          <cell r="Q9806">
            <v>2.34</v>
          </cell>
          <cell r="T9806">
            <v>134.833</v>
          </cell>
        </row>
        <row r="9807">
          <cell r="G9807">
            <v>42856</v>
          </cell>
          <cell r="L9807" t="str">
            <v>12-20-005-12W2</v>
          </cell>
          <cell r="O9807">
            <v>882.3</v>
          </cell>
          <cell r="Q9807">
            <v>2.38</v>
          </cell>
          <cell r="T9807">
            <v>435.46199999999999</v>
          </cell>
        </row>
        <row r="9808">
          <cell r="G9808">
            <v>42856</v>
          </cell>
          <cell r="L9808" t="str">
            <v>14-27-007-08W2</v>
          </cell>
          <cell r="O9808">
            <v>882.2</v>
          </cell>
          <cell r="Q9808">
            <v>2.33</v>
          </cell>
          <cell r="T9808">
            <v>176.898</v>
          </cell>
        </row>
        <row r="9809">
          <cell r="G9809">
            <v>42856</v>
          </cell>
          <cell r="L9809" t="str">
            <v>15-11-008-12W2</v>
          </cell>
          <cell r="O9809">
            <v>901.9</v>
          </cell>
          <cell r="Q9809">
            <v>2.62</v>
          </cell>
          <cell r="T9809">
            <v>72</v>
          </cell>
        </row>
        <row r="9810">
          <cell r="G9810">
            <v>42856</v>
          </cell>
          <cell r="L9810" t="str">
            <v>08-34-006-12W2</v>
          </cell>
          <cell r="O9810">
            <v>876.9</v>
          </cell>
          <cell r="Q9810">
            <v>1.89</v>
          </cell>
          <cell r="T9810">
            <v>62.441000000000003</v>
          </cell>
        </row>
        <row r="9811">
          <cell r="G9811">
            <v>42856</v>
          </cell>
          <cell r="L9811" t="str">
            <v>01-11-005-07W2</v>
          </cell>
          <cell r="O9811">
            <v>881.7</v>
          </cell>
          <cell r="Q9811">
            <v>1.65</v>
          </cell>
          <cell r="T9811">
            <v>755.50699999999995</v>
          </cell>
        </row>
        <row r="9812">
          <cell r="G9812">
            <v>42856</v>
          </cell>
          <cell r="L9812" t="str">
            <v>13-07-005-06W2</v>
          </cell>
          <cell r="O9812">
            <v>881.1</v>
          </cell>
          <cell r="Q9812">
            <v>1.05</v>
          </cell>
          <cell r="T9812">
            <v>430.79300000000001</v>
          </cell>
        </row>
        <row r="9813">
          <cell r="G9813">
            <v>42856</v>
          </cell>
          <cell r="L9813" t="str">
            <v>06-17-006-14W2</v>
          </cell>
          <cell r="O9813">
            <v>866.4</v>
          </cell>
          <cell r="Q9813">
            <v>2</v>
          </cell>
          <cell r="T9813">
            <v>4499.3100000000004</v>
          </cell>
        </row>
        <row r="9814">
          <cell r="G9814">
            <v>42856</v>
          </cell>
          <cell r="L9814" t="str">
            <v>05-16-006-13W2</v>
          </cell>
          <cell r="O9814">
            <v>868.7</v>
          </cell>
          <cell r="Q9814">
            <v>2.25</v>
          </cell>
          <cell r="T9814">
            <v>115996.79399999999</v>
          </cell>
        </row>
        <row r="9815">
          <cell r="G9815">
            <v>42856</v>
          </cell>
          <cell r="L9815" t="str">
            <v>09-34-005-15W2</v>
          </cell>
          <cell r="O9815">
            <v>881.4</v>
          </cell>
          <cell r="Q9815">
            <v>2.2799999999999998</v>
          </cell>
          <cell r="T9815">
            <v>1520.924</v>
          </cell>
        </row>
        <row r="9816">
          <cell r="G9816">
            <v>42856</v>
          </cell>
          <cell r="L9816" t="str">
            <v>07-24-006-15W2</v>
          </cell>
          <cell r="O9816">
            <v>872.7</v>
          </cell>
          <cell r="Q9816">
            <v>2.15</v>
          </cell>
          <cell r="T9816">
            <v>1450.249</v>
          </cell>
        </row>
        <row r="9817">
          <cell r="G9817">
            <v>42856</v>
          </cell>
          <cell r="L9817" t="str">
            <v>12-30-006-15W2</v>
          </cell>
          <cell r="O9817">
            <v>890</v>
          </cell>
          <cell r="Q9817">
            <v>2.86</v>
          </cell>
          <cell r="T9817">
            <v>4252.3419999999996</v>
          </cell>
        </row>
        <row r="9818">
          <cell r="G9818">
            <v>42856</v>
          </cell>
          <cell r="L9818" t="str">
            <v>07-07-006-15W2</v>
          </cell>
          <cell r="O9818">
            <v>865</v>
          </cell>
          <cell r="Q9818">
            <v>2.75</v>
          </cell>
          <cell r="T9818">
            <v>5265.8419999999996</v>
          </cell>
        </row>
        <row r="9819">
          <cell r="G9819">
            <v>42856</v>
          </cell>
          <cell r="L9819" t="str">
            <v>04-24-005-15W2</v>
          </cell>
          <cell r="O9819">
            <v>891.1</v>
          </cell>
          <cell r="Q9819">
            <v>2.78</v>
          </cell>
          <cell r="T9819">
            <v>1089.597</v>
          </cell>
        </row>
        <row r="9820">
          <cell r="G9820">
            <v>42856</v>
          </cell>
          <cell r="L9820" t="str">
            <v>15-29-005-15W2</v>
          </cell>
          <cell r="O9820">
            <v>886.8</v>
          </cell>
          <cell r="Q9820">
            <v>2.65</v>
          </cell>
          <cell r="T9820">
            <v>5148.2089999999998</v>
          </cell>
        </row>
        <row r="9821">
          <cell r="G9821">
            <v>42856</v>
          </cell>
          <cell r="L9821" t="str">
            <v>12-13-006-13W2</v>
          </cell>
          <cell r="O9821">
            <v>874</v>
          </cell>
          <cell r="Q9821">
            <v>2.5299999999999998</v>
          </cell>
          <cell r="T9821">
            <v>227.90100000000001</v>
          </cell>
        </row>
        <row r="9822">
          <cell r="G9822">
            <v>42856</v>
          </cell>
          <cell r="L9822" t="str">
            <v>03-15-005-13W2</v>
          </cell>
          <cell r="O9822">
            <v>899.9</v>
          </cell>
          <cell r="Q9822">
            <v>2.85</v>
          </cell>
          <cell r="T9822">
            <v>305.988</v>
          </cell>
        </row>
        <row r="9823">
          <cell r="G9823">
            <v>42856</v>
          </cell>
          <cell r="L9823" t="str">
            <v>10-11-005-14W2</v>
          </cell>
          <cell r="O9823">
            <v>899.8</v>
          </cell>
          <cell r="Q9823">
            <v>2.86</v>
          </cell>
          <cell r="T9823">
            <v>364.31200000000001</v>
          </cell>
        </row>
        <row r="9824">
          <cell r="G9824">
            <v>42856</v>
          </cell>
          <cell r="L9824" t="str">
            <v>15-19-005-13W2</v>
          </cell>
          <cell r="O9824">
            <v>894.7</v>
          </cell>
          <cell r="Q9824">
            <v>2.72</v>
          </cell>
          <cell r="T9824">
            <v>196.416</v>
          </cell>
        </row>
        <row r="9825">
          <cell r="G9825">
            <v>42856</v>
          </cell>
          <cell r="L9825" t="str">
            <v>11-12-006-15W2</v>
          </cell>
          <cell r="O9825">
            <v>870.9</v>
          </cell>
          <cell r="Q9825">
            <v>2.4</v>
          </cell>
          <cell r="T9825">
            <v>7049.7860000000001</v>
          </cell>
        </row>
        <row r="9826">
          <cell r="G9826">
            <v>42856</v>
          </cell>
          <cell r="L9826" t="str">
            <v>12-12-009-28W1</v>
          </cell>
          <cell r="O9826">
            <v>922</v>
          </cell>
          <cell r="Q9826">
            <v>3.45</v>
          </cell>
          <cell r="T9826">
            <v>30.853000000000002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ckets"/>
    </sheetNames>
    <sheetDataSet>
      <sheetData sheetId="0" refreshError="1">
        <row r="1">
          <cell r="H1" t="str">
            <v>Net Volume</v>
          </cell>
        </row>
        <row r="2">
          <cell r="A2">
            <v>310649</v>
          </cell>
          <cell r="H2">
            <v>35.56</v>
          </cell>
        </row>
        <row r="3">
          <cell r="A3">
            <v>310650</v>
          </cell>
          <cell r="H3">
            <v>35.56</v>
          </cell>
        </row>
        <row r="4">
          <cell r="A4">
            <v>310651</v>
          </cell>
          <cell r="H4">
            <v>32.909999999999997</v>
          </cell>
        </row>
        <row r="5">
          <cell r="A5">
            <v>310652</v>
          </cell>
          <cell r="H5">
            <v>34.619999999999997</v>
          </cell>
        </row>
        <row r="6">
          <cell r="A6">
            <v>310653</v>
          </cell>
          <cell r="H6">
            <v>34.61</v>
          </cell>
        </row>
        <row r="7">
          <cell r="A7">
            <v>310688</v>
          </cell>
          <cell r="H7">
            <v>37.17</v>
          </cell>
        </row>
        <row r="8">
          <cell r="A8">
            <v>310696</v>
          </cell>
          <cell r="H8">
            <v>35.61</v>
          </cell>
        </row>
        <row r="9">
          <cell r="A9">
            <v>310722</v>
          </cell>
          <cell r="H9">
            <v>37.590000000000003</v>
          </cell>
        </row>
        <row r="10">
          <cell r="A10">
            <v>310726</v>
          </cell>
          <cell r="H10">
            <v>35.85</v>
          </cell>
        </row>
        <row r="11">
          <cell r="A11">
            <v>310728</v>
          </cell>
          <cell r="H11">
            <v>39.65</v>
          </cell>
        </row>
        <row r="12">
          <cell r="A12">
            <v>310738</v>
          </cell>
          <cell r="H12">
            <v>35.799999999999997</v>
          </cell>
        </row>
        <row r="13">
          <cell r="A13">
            <v>310744</v>
          </cell>
          <cell r="H13">
            <v>37.75</v>
          </cell>
        </row>
        <row r="14">
          <cell r="A14">
            <v>310745</v>
          </cell>
          <cell r="H14">
            <v>34.42</v>
          </cell>
        </row>
        <row r="15">
          <cell r="A15">
            <v>310689</v>
          </cell>
          <cell r="H15">
            <v>38.56</v>
          </cell>
        </row>
        <row r="16">
          <cell r="A16">
            <v>310762</v>
          </cell>
          <cell r="H16">
            <v>40.85</v>
          </cell>
        </row>
        <row r="17">
          <cell r="A17">
            <v>310763</v>
          </cell>
          <cell r="H17">
            <v>37.14</v>
          </cell>
        </row>
        <row r="18">
          <cell r="A18">
            <v>310765</v>
          </cell>
          <cell r="H18">
            <v>33.33</v>
          </cell>
        </row>
        <row r="19">
          <cell r="A19">
            <v>310766</v>
          </cell>
          <cell r="H19">
            <v>36.909999999999997</v>
          </cell>
        </row>
        <row r="20">
          <cell r="A20">
            <v>310773</v>
          </cell>
          <cell r="H20">
            <v>34.49</v>
          </cell>
        </row>
        <row r="21">
          <cell r="A21">
            <v>310800</v>
          </cell>
          <cell r="H21">
            <v>38.36</v>
          </cell>
        </row>
        <row r="22">
          <cell r="A22">
            <v>310870</v>
          </cell>
          <cell r="H22">
            <v>37.83</v>
          </cell>
        </row>
        <row r="23">
          <cell r="A23">
            <v>310871</v>
          </cell>
          <cell r="H23">
            <v>38.29</v>
          </cell>
        </row>
        <row r="24">
          <cell r="A24">
            <v>310875</v>
          </cell>
          <cell r="H24">
            <v>38.04</v>
          </cell>
        </row>
        <row r="25">
          <cell r="A25">
            <v>310877</v>
          </cell>
          <cell r="H25">
            <v>33.4</v>
          </cell>
        </row>
        <row r="26">
          <cell r="A26">
            <v>310878</v>
          </cell>
          <cell r="H26">
            <v>34.340000000000003</v>
          </cell>
        </row>
        <row r="27">
          <cell r="A27">
            <v>310897</v>
          </cell>
          <cell r="H27">
            <v>36.93</v>
          </cell>
        </row>
        <row r="28">
          <cell r="A28">
            <v>310913</v>
          </cell>
          <cell r="H28">
            <v>43.32</v>
          </cell>
        </row>
        <row r="29">
          <cell r="A29">
            <v>310977</v>
          </cell>
          <cell r="H29">
            <v>37.590000000000003</v>
          </cell>
        </row>
        <row r="30">
          <cell r="A30">
            <v>310978</v>
          </cell>
          <cell r="H30">
            <v>39.81</v>
          </cell>
        </row>
        <row r="31">
          <cell r="A31">
            <v>310979</v>
          </cell>
          <cell r="H31">
            <v>34.43</v>
          </cell>
        </row>
        <row r="32">
          <cell r="A32">
            <v>311005</v>
          </cell>
          <cell r="H32">
            <v>35.78</v>
          </cell>
        </row>
        <row r="33">
          <cell r="A33">
            <v>311007</v>
          </cell>
          <cell r="H33">
            <v>33.200000000000003</v>
          </cell>
        </row>
        <row r="34">
          <cell r="A34">
            <v>311008</v>
          </cell>
          <cell r="H34">
            <v>36.950000000000003</v>
          </cell>
        </row>
        <row r="35">
          <cell r="A35">
            <v>311010</v>
          </cell>
          <cell r="H35">
            <v>36.08</v>
          </cell>
        </row>
        <row r="36">
          <cell r="A36">
            <v>311012</v>
          </cell>
          <cell r="H36">
            <v>34.31</v>
          </cell>
        </row>
        <row r="37">
          <cell r="A37">
            <v>311019</v>
          </cell>
          <cell r="H37">
            <v>37.96</v>
          </cell>
        </row>
        <row r="38">
          <cell r="A38">
            <v>311024</v>
          </cell>
          <cell r="H38">
            <v>38.64</v>
          </cell>
        </row>
        <row r="39">
          <cell r="A39">
            <v>311034</v>
          </cell>
          <cell r="H39">
            <v>37.19</v>
          </cell>
        </row>
        <row r="40">
          <cell r="A40">
            <v>311035</v>
          </cell>
          <cell r="H40">
            <v>37.049999999999997</v>
          </cell>
        </row>
        <row r="41">
          <cell r="A41">
            <v>311038</v>
          </cell>
          <cell r="H41">
            <v>35.659999999999997</v>
          </cell>
        </row>
        <row r="42">
          <cell r="A42">
            <v>311039</v>
          </cell>
          <cell r="H42">
            <v>36.07</v>
          </cell>
        </row>
        <row r="43">
          <cell r="A43">
            <v>311040</v>
          </cell>
          <cell r="H43">
            <v>36.380000000000003</v>
          </cell>
        </row>
        <row r="44">
          <cell r="A44">
            <v>311041</v>
          </cell>
          <cell r="H44">
            <v>40.770000000000003</v>
          </cell>
        </row>
        <row r="45">
          <cell r="A45">
            <v>311042</v>
          </cell>
          <cell r="H45">
            <v>35.32</v>
          </cell>
        </row>
        <row r="46">
          <cell r="A46">
            <v>311082</v>
          </cell>
          <cell r="H46">
            <v>37.64</v>
          </cell>
        </row>
        <row r="47">
          <cell r="A47">
            <v>311083</v>
          </cell>
          <cell r="H47">
            <v>42.95</v>
          </cell>
        </row>
        <row r="48">
          <cell r="A48">
            <v>311090</v>
          </cell>
          <cell r="H48">
            <v>35.590000000000003</v>
          </cell>
        </row>
        <row r="49">
          <cell r="A49">
            <v>311091</v>
          </cell>
          <cell r="H49">
            <v>36.020000000000003</v>
          </cell>
        </row>
        <row r="50">
          <cell r="A50">
            <v>311092</v>
          </cell>
          <cell r="H50">
            <v>37.15</v>
          </cell>
        </row>
        <row r="51">
          <cell r="A51">
            <v>311093</v>
          </cell>
          <cell r="H51">
            <v>36.29</v>
          </cell>
        </row>
        <row r="52">
          <cell r="A52">
            <v>311116</v>
          </cell>
          <cell r="H52">
            <v>32.6</v>
          </cell>
        </row>
        <row r="53">
          <cell r="A53">
            <v>311130</v>
          </cell>
          <cell r="H53">
            <v>36.43</v>
          </cell>
        </row>
        <row r="54">
          <cell r="A54">
            <v>311131</v>
          </cell>
          <cell r="H54">
            <v>38.299999999999997</v>
          </cell>
        </row>
        <row r="55">
          <cell r="A55">
            <v>311132</v>
          </cell>
          <cell r="H55">
            <v>40.76</v>
          </cell>
        </row>
        <row r="56">
          <cell r="A56">
            <v>311135</v>
          </cell>
          <cell r="H56">
            <v>31.08</v>
          </cell>
        </row>
        <row r="57">
          <cell r="A57">
            <v>310983</v>
          </cell>
          <cell r="H57">
            <v>40.96</v>
          </cell>
        </row>
        <row r="58">
          <cell r="A58">
            <v>310991</v>
          </cell>
          <cell r="H58">
            <v>44.02</v>
          </cell>
        </row>
        <row r="59">
          <cell r="A59">
            <v>310992</v>
          </cell>
          <cell r="H59">
            <v>41.28</v>
          </cell>
        </row>
        <row r="60">
          <cell r="A60">
            <v>310990</v>
          </cell>
          <cell r="H60">
            <v>34.450000000000003</v>
          </cell>
        </row>
        <row r="61">
          <cell r="A61">
            <v>310989</v>
          </cell>
          <cell r="H61">
            <v>37.119999999999997</v>
          </cell>
        </row>
        <row r="62">
          <cell r="A62">
            <v>310988</v>
          </cell>
          <cell r="H62">
            <v>36.76</v>
          </cell>
        </row>
        <row r="63">
          <cell r="A63">
            <v>310980</v>
          </cell>
          <cell r="H63">
            <v>40.93</v>
          </cell>
        </row>
        <row r="64">
          <cell r="A64">
            <v>311136</v>
          </cell>
          <cell r="H64">
            <v>36.85</v>
          </cell>
        </row>
        <row r="65">
          <cell r="A65">
            <v>311137</v>
          </cell>
          <cell r="H65">
            <v>38.29</v>
          </cell>
        </row>
        <row r="66">
          <cell r="A66">
            <v>311142</v>
          </cell>
          <cell r="H66">
            <v>19.34</v>
          </cell>
        </row>
        <row r="67">
          <cell r="A67">
            <v>311145</v>
          </cell>
          <cell r="H67">
            <v>17.440000000000001</v>
          </cell>
        </row>
        <row r="68">
          <cell r="A68">
            <v>311147</v>
          </cell>
          <cell r="H68">
            <v>21.89</v>
          </cell>
        </row>
        <row r="69">
          <cell r="A69">
            <v>311148</v>
          </cell>
          <cell r="H69">
            <v>34.31</v>
          </cell>
        </row>
        <row r="70">
          <cell r="A70">
            <v>311151</v>
          </cell>
          <cell r="H70">
            <v>18.84</v>
          </cell>
        </row>
        <row r="71">
          <cell r="A71">
            <v>311155</v>
          </cell>
          <cell r="H71">
            <v>12.61</v>
          </cell>
        </row>
        <row r="72">
          <cell r="A72">
            <v>311156</v>
          </cell>
          <cell r="H72">
            <v>38.340000000000003</v>
          </cell>
        </row>
        <row r="73">
          <cell r="A73">
            <v>311157</v>
          </cell>
          <cell r="H73">
            <v>34.770000000000003</v>
          </cell>
        </row>
        <row r="74">
          <cell r="A74">
            <v>311167</v>
          </cell>
          <cell r="H74">
            <v>38.06</v>
          </cell>
        </row>
        <row r="75">
          <cell r="A75">
            <v>311171</v>
          </cell>
          <cell r="H75">
            <v>36.840000000000003</v>
          </cell>
        </row>
        <row r="76">
          <cell r="A76">
            <v>311175</v>
          </cell>
          <cell r="H76">
            <v>40.86</v>
          </cell>
        </row>
        <row r="77">
          <cell r="A77">
            <v>311176</v>
          </cell>
          <cell r="H77">
            <v>35.26</v>
          </cell>
        </row>
        <row r="78">
          <cell r="A78">
            <v>311177</v>
          </cell>
          <cell r="H78">
            <v>35.26</v>
          </cell>
        </row>
        <row r="79">
          <cell r="A79">
            <v>311179</v>
          </cell>
          <cell r="H79">
            <v>36.83</v>
          </cell>
        </row>
        <row r="80">
          <cell r="A80">
            <v>311180</v>
          </cell>
          <cell r="H80">
            <v>41.37</v>
          </cell>
        </row>
        <row r="81">
          <cell r="A81">
            <v>311181</v>
          </cell>
          <cell r="H81">
            <v>39.56</v>
          </cell>
        </row>
        <row r="82">
          <cell r="A82">
            <v>311188</v>
          </cell>
          <cell r="H82">
            <v>36.380000000000003</v>
          </cell>
        </row>
        <row r="83">
          <cell r="A83">
            <v>311189</v>
          </cell>
          <cell r="H83">
            <v>36.85</v>
          </cell>
        </row>
        <row r="84">
          <cell r="A84">
            <v>311222</v>
          </cell>
          <cell r="H84">
            <v>35.53</v>
          </cell>
        </row>
        <row r="85">
          <cell r="A85">
            <v>311230</v>
          </cell>
          <cell r="H85">
            <v>42.57</v>
          </cell>
        </row>
        <row r="86">
          <cell r="A86">
            <v>311243</v>
          </cell>
          <cell r="H86">
            <v>36.04</v>
          </cell>
        </row>
        <row r="87">
          <cell r="A87">
            <v>311276</v>
          </cell>
          <cell r="H87">
            <v>36.799999999999997</v>
          </cell>
        </row>
        <row r="88">
          <cell r="A88">
            <v>311277</v>
          </cell>
          <cell r="H88">
            <v>35.74</v>
          </cell>
        </row>
        <row r="89">
          <cell r="A89">
            <v>311278</v>
          </cell>
          <cell r="H89">
            <v>32.83</v>
          </cell>
        </row>
        <row r="90">
          <cell r="A90">
            <v>311279</v>
          </cell>
          <cell r="H90">
            <v>36.76</v>
          </cell>
        </row>
        <row r="91">
          <cell r="A91">
            <v>311280</v>
          </cell>
          <cell r="H91">
            <v>35.450000000000003</v>
          </cell>
        </row>
        <row r="92">
          <cell r="A92">
            <v>311289</v>
          </cell>
          <cell r="H92">
            <v>40.85</v>
          </cell>
        </row>
        <row r="93">
          <cell r="A93">
            <v>311298</v>
          </cell>
          <cell r="H93">
            <v>32.71</v>
          </cell>
        </row>
        <row r="94">
          <cell r="A94">
            <v>311310</v>
          </cell>
          <cell r="H94">
            <v>35.14</v>
          </cell>
        </row>
        <row r="95">
          <cell r="A95">
            <v>311318</v>
          </cell>
          <cell r="H95">
            <v>38</v>
          </cell>
        </row>
        <row r="96">
          <cell r="A96">
            <v>311323</v>
          </cell>
          <cell r="H96">
            <v>33.46</v>
          </cell>
        </row>
        <row r="97">
          <cell r="A97">
            <v>311325</v>
          </cell>
          <cell r="H97">
            <v>35.880000000000003</v>
          </cell>
        </row>
        <row r="98">
          <cell r="A98">
            <v>311326</v>
          </cell>
          <cell r="H98">
            <v>37.64</v>
          </cell>
        </row>
        <row r="99">
          <cell r="A99">
            <v>311328</v>
          </cell>
          <cell r="H99">
            <v>35.49</v>
          </cell>
        </row>
        <row r="100">
          <cell r="A100">
            <v>311329</v>
          </cell>
          <cell r="H100">
            <v>39.82</v>
          </cell>
        </row>
        <row r="101">
          <cell r="A101">
            <v>311247</v>
          </cell>
          <cell r="H101">
            <v>33.17</v>
          </cell>
        </row>
        <row r="102">
          <cell r="A102">
            <v>311255</v>
          </cell>
          <cell r="H102">
            <v>33.22</v>
          </cell>
        </row>
        <row r="103">
          <cell r="A103">
            <v>311229</v>
          </cell>
          <cell r="H103">
            <v>34.92</v>
          </cell>
        </row>
        <row r="104">
          <cell r="A104">
            <v>311256</v>
          </cell>
          <cell r="H104">
            <v>35.119999999999997</v>
          </cell>
        </row>
        <row r="105">
          <cell r="A105">
            <v>311257</v>
          </cell>
          <cell r="H105">
            <v>33.03</v>
          </cell>
        </row>
        <row r="106">
          <cell r="A106">
            <v>311258</v>
          </cell>
          <cell r="H106">
            <v>35.57</v>
          </cell>
        </row>
        <row r="107">
          <cell r="A107">
            <v>311232</v>
          </cell>
          <cell r="H107">
            <v>36.4</v>
          </cell>
        </row>
        <row r="108">
          <cell r="A108">
            <v>311234</v>
          </cell>
          <cell r="H108">
            <v>35.82</v>
          </cell>
        </row>
        <row r="109">
          <cell r="A109">
            <v>311249</v>
          </cell>
          <cell r="H109">
            <v>32.729999999999997</v>
          </cell>
        </row>
        <row r="110">
          <cell r="A110">
            <v>311259</v>
          </cell>
          <cell r="H110">
            <v>33.39</v>
          </cell>
        </row>
        <row r="111">
          <cell r="A111">
            <v>311260</v>
          </cell>
          <cell r="H111">
            <v>33.130000000000003</v>
          </cell>
        </row>
        <row r="112">
          <cell r="A112">
            <v>311237</v>
          </cell>
          <cell r="H112">
            <v>34.340000000000003</v>
          </cell>
        </row>
        <row r="113">
          <cell r="A113">
            <v>311238</v>
          </cell>
          <cell r="H113">
            <v>37.630000000000003</v>
          </cell>
        </row>
        <row r="114">
          <cell r="A114">
            <v>311261</v>
          </cell>
          <cell r="H114">
            <v>35.799999999999997</v>
          </cell>
        </row>
        <row r="115">
          <cell r="A115">
            <v>311262</v>
          </cell>
          <cell r="H115">
            <v>35.409999999999997</v>
          </cell>
        </row>
        <row r="116">
          <cell r="A116">
            <v>311239</v>
          </cell>
          <cell r="H116">
            <v>35.81</v>
          </cell>
        </row>
        <row r="117">
          <cell r="A117">
            <v>311240</v>
          </cell>
          <cell r="H117">
            <v>34.33</v>
          </cell>
        </row>
        <row r="118">
          <cell r="A118">
            <v>311250</v>
          </cell>
          <cell r="H118">
            <v>36.11</v>
          </cell>
        </row>
        <row r="119">
          <cell r="A119">
            <v>311241</v>
          </cell>
          <cell r="H119">
            <v>35.979999999999997</v>
          </cell>
        </row>
        <row r="120">
          <cell r="A120">
            <v>311251</v>
          </cell>
          <cell r="H120">
            <v>41.1</v>
          </cell>
        </row>
        <row r="121">
          <cell r="A121">
            <v>311253</v>
          </cell>
          <cell r="H121">
            <v>35.01</v>
          </cell>
        </row>
        <row r="122">
          <cell r="A122">
            <v>311244</v>
          </cell>
          <cell r="H122">
            <v>34.909999999999997</v>
          </cell>
        </row>
        <row r="123">
          <cell r="A123">
            <v>311267</v>
          </cell>
          <cell r="H123">
            <v>32.01</v>
          </cell>
        </row>
        <row r="124">
          <cell r="A124">
            <v>311245</v>
          </cell>
          <cell r="H124">
            <v>35.99</v>
          </cell>
        </row>
        <row r="125">
          <cell r="A125">
            <v>311266</v>
          </cell>
          <cell r="H125">
            <v>42.59</v>
          </cell>
        </row>
        <row r="126">
          <cell r="A126">
            <v>311153</v>
          </cell>
          <cell r="H126">
            <v>15.69</v>
          </cell>
        </row>
        <row r="127">
          <cell r="A127">
            <v>311271</v>
          </cell>
          <cell r="H127">
            <v>33.4</v>
          </cell>
        </row>
        <row r="128">
          <cell r="A128">
            <v>311333</v>
          </cell>
          <cell r="H128">
            <v>35.700000000000003</v>
          </cell>
        </row>
        <row r="129">
          <cell r="A129">
            <v>311336</v>
          </cell>
          <cell r="H129">
            <v>36.79</v>
          </cell>
        </row>
        <row r="130">
          <cell r="A130">
            <v>311337</v>
          </cell>
          <cell r="H130">
            <v>37.909999999999997</v>
          </cell>
        </row>
        <row r="131">
          <cell r="A131">
            <v>311339</v>
          </cell>
          <cell r="H131">
            <v>37.18</v>
          </cell>
        </row>
        <row r="132">
          <cell r="A132">
            <v>311343</v>
          </cell>
          <cell r="H132">
            <v>37.06</v>
          </cell>
        </row>
        <row r="133">
          <cell r="A133">
            <v>311350</v>
          </cell>
          <cell r="H133">
            <v>36.19</v>
          </cell>
        </row>
        <row r="134">
          <cell r="A134">
            <v>311361</v>
          </cell>
          <cell r="H134">
            <v>40.82</v>
          </cell>
        </row>
        <row r="135">
          <cell r="A135">
            <v>311362</v>
          </cell>
          <cell r="H135">
            <v>41.42</v>
          </cell>
        </row>
        <row r="136">
          <cell r="A136">
            <v>311363</v>
          </cell>
          <cell r="H136">
            <v>34.159999999999997</v>
          </cell>
        </row>
        <row r="137">
          <cell r="A137">
            <v>311364</v>
          </cell>
          <cell r="H137">
            <v>34.869999999999997</v>
          </cell>
        </row>
        <row r="138">
          <cell r="A138">
            <v>311411</v>
          </cell>
          <cell r="H138">
            <v>36.03</v>
          </cell>
        </row>
        <row r="139">
          <cell r="A139">
            <v>311414</v>
          </cell>
          <cell r="H139">
            <v>40.71</v>
          </cell>
        </row>
        <row r="140">
          <cell r="A140">
            <v>311424</v>
          </cell>
          <cell r="H140">
            <v>33.479999999999997</v>
          </cell>
        </row>
        <row r="141">
          <cell r="A141">
            <v>311425</v>
          </cell>
          <cell r="H141">
            <v>41.81</v>
          </cell>
        </row>
        <row r="142">
          <cell r="A142">
            <v>311426</v>
          </cell>
          <cell r="H142">
            <v>35.659999999999997</v>
          </cell>
        </row>
        <row r="143">
          <cell r="A143">
            <v>311427</v>
          </cell>
          <cell r="H143">
            <v>34.049999999999997</v>
          </cell>
        </row>
        <row r="144">
          <cell r="A144">
            <v>311431</v>
          </cell>
          <cell r="H144">
            <v>38.1</v>
          </cell>
        </row>
        <row r="145">
          <cell r="A145">
            <v>311435</v>
          </cell>
          <cell r="H145">
            <v>32.99</v>
          </cell>
        </row>
        <row r="146">
          <cell r="A146">
            <v>311438</v>
          </cell>
          <cell r="H146">
            <v>38.06</v>
          </cell>
        </row>
        <row r="147">
          <cell r="A147">
            <v>311441</v>
          </cell>
          <cell r="H147">
            <v>37.520000000000003</v>
          </cell>
        </row>
        <row r="148">
          <cell r="A148">
            <v>311443</v>
          </cell>
          <cell r="H148">
            <v>38.619999999999997</v>
          </cell>
        </row>
        <row r="149">
          <cell r="A149">
            <v>311446</v>
          </cell>
          <cell r="H149">
            <v>37.67</v>
          </cell>
        </row>
        <row r="150">
          <cell r="A150">
            <v>311462</v>
          </cell>
          <cell r="H150">
            <v>34.31</v>
          </cell>
        </row>
        <row r="151">
          <cell r="A151">
            <v>311465</v>
          </cell>
          <cell r="H151">
            <v>37.39</v>
          </cell>
        </row>
        <row r="152">
          <cell r="A152">
            <v>311466</v>
          </cell>
          <cell r="H152">
            <v>37.01</v>
          </cell>
        </row>
        <row r="153">
          <cell r="A153">
            <v>311468</v>
          </cell>
          <cell r="H153">
            <v>35.94</v>
          </cell>
        </row>
        <row r="154">
          <cell r="A154">
            <v>311472</v>
          </cell>
          <cell r="H154">
            <v>33.08</v>
          </cell>
        </row>
        <row r="155">
          <cell r="A155">
            <v>311475</v>
          </cell>
          <cell r="H155">
            <v>40.17</v>
          </cell>
        </row>
        <row r="156">
          <cell r="A156">
            <v>311476</v>
          </cell>
          <cell r="H156">
            <v>36.200000000000003</v>
          </cell>
        </row>
        <row r="157">
          <cell r="A157">
            <v>311481</v>
          </cell>
          <cell r="H157">
            <v>37.01</v>
          </cell>
        </row>
        <row r="158">
          <cell r="A158">
            <v>311482</v>
          </cell>
          <cell r="H158">
            <v>44.69</v>
          </cell>
        </row>
        <row r="159">
          <cell r="A159">
            <v>311483</v>
          </cell>
          <cell r="H159">
            <v>35.82</v>
          </cell>
        </row>
        <row r="160">
          <cell r="A160">
            <v>311484</v>
          </cell>
          <cell r="H160">
            <v>42.59</v>
          </cell>
        </row>
        <row r="161">
          <cell r="A161">
            <v>311488</v>
          </cell>
          <cell r="H161">
            <v>32.83</v>
          </cell>
        </row>
        <row r="162">
          <cell r="A162">
            <v>311491</v>
          </cell>
          <cell r="H162">
            <v>35.46</v>
          </cell>
        </row>
        <row r="163">
          <cell r="A163">
            <v>311524</v>
          </cell>
          <cell r="H163">
            <v>34.99</v>
          </cell>
        </row>
        <row r="164">
          <cell r="A164">
            <v>311529</v>
          </cell>
          <cell r="H164">
            <v>38.15</v>
          </cell>
        </row>
        <row r="165">
          <cell r="A165">
            <v>311543</v>
          </cell>
          <cell r="H165">
            <v>42.24</v>
          </cell>
        </row>
        <row r="166">
          <cell r="A166">
            <v>311544</v>
          </cell>
          <cell r="H166">
            <v>32.72</v>
          </cell>
        </row>
        <row r="167">
          <cell r="A167">
            <v>311555</v>
          </cell>
          <cell r="H167">
            <v>39.74</v>
          </cell>
        </row>
        <row r="168">
          <cell r="A168">
            <v>311556</v>
          </cell>
          <cell r="H168">
            <v>37.51</v>
          </cell>
        </row>
        <row r="169">
          <cell r="A169">
            <v>311562</v>
          </cell>
          <cell r="H169">
            <v>38.01</v>
          </cell>
        </row>
        <row r="170">
          <cell r="A170">
            <v>311566</v>
          </cell>
          <cell r="H170">
            <v>34.83</v>
          </cell>
        </row>
        <row r="171">
          <cell r="A171">
            <v>311570</v>
          </cell>
          <cell r="H171">
            <v>33.32</v>
          </cell>
        </row>
        <row r="172">
          <cell r="A172">
            <v>311571</v>
          </cell>
          <cell r="H172">
            <v>36.76</v>
          </cell>
        </row>
        <row r="173">
          <cell r="A173">
            <v>311573</v>
          </cell>
          <cell r="H173">
            <v>35.79</v>
          </cell>
        </row>
        <row r="174">
          <cell r="A174">
            <v>311574</v>
          </cell>
          <cell r="H174">
            <v>32.97</v>
          </cell>
        </row>
        <row r="175">
          <cell r="A175">
            <v>311576</v>
          </cell>
          <cell r="H175">
            <v>37.97</v>
          </cell>
        </row>
        <row r="176">
          <cell r="A176">
            <v>311580</v>
          </cell>
          <cell r="H176">
            <v>41.27</v>
          </cell>
        </row>
        <row r="177">
          <cell r="A177">
            <v>311582</v>
          </cell>
          <cell r="H177">
            <v>38.03</v>
          </cell>
        </row>
        <row r="178">
          <cell r="A178">
            <v>311588</v>
          </cell>
          <cell r="H178">
            <v>36.99</v>
          </cell>
        </row>
        <row r="179">
          <cell r="A179">
            <v>311591</v>
          </cell>
          <cell r="H179">
            <v>36.85</v>
          </cell>
        </row>
        <row r="180">
          <cell r="A180">
            <v>311594</v>
          </cell>
          <cell r="H180">
            <v>22.28</v>
          </cell>
        </row>
        <row r="181">
          <cell r="A181">
            <v>311602</v>
          </cell>
          <cell r="H181">
            <v>33.299999999999997</v>
          </cell>
        </row>
        <row r="182">
          <cell r="A182">
            <v>311605</v>
          </cell>
          <cell r="H182">
            <v>36.409999999999997</v>
          </cell>
        </row>
        <row r="183">
          <cell r="A183">
            <v>311607</v>
          </cell>
          <cell r="H183">
            <v>35.450000000000003</v>
          </cell>
        </row>
        <row r="184">
          <cell r="A184">
            <v>311608</v>
          </cell>
          <cell r="H184">
            <v>40.32</v>
          </cell>
        </row>
        <row r="185">
          <cell r="A185">
            <v>311609</v>
          </cell>
          <cell r="H185">
            <v>37.299999999999997</v>
          </cell>
        </row>
        <row r="186">
          <cell r="A186">
            <v>311613</v>
          </cell>
          <cell r="H186">
            <v>36.020000000000003</v>
          </cell>
        </row>
        <row r="187">
          <cell r="A187">
            <v>311655</v>
          </cell>
          <cell r="H187">
            <v>35.450000000000003</v>
          </cell>
        </row>
        <row r="188">
          <cell r="A188">
            <v>311667</v>
          </cell>
          <cell r="H188">
            <v>37.04</v>
          </cell>
        </row>
        <row r="189">
          <cell r="A189">
            <v>311668</v>
          </cell>
          <cell r="H189">
            <v>42.47</v>
          </cell>
        </row>
        <row r="190">
          <cell r="A190">
            <v>311670</v>
          </cell>
          <cell r="H190">
            <v>33.700000000000003</v>
          </cell>
        </row>
        <row r="191">
          <cell r="A191">
            <v>311673</v>
          </cell>
          <cell r="H191">
            <v>37.85</v>
          </cell>
        </row>
        <row r="192">
          <cell r="A192">
            <v>311678</v>
          </cell>
          <cell r="H192">
            <v>34.86</v>
          </cell>
        </row>
        <row r="193">
          <cell r="A193">
            <v>311679</v>
          </cell>
          <cell r="H193">
            <v>38.22</v>
          </cell>
        </row>
        <row r="194">
          <cell r="A194">
            <v>311687</v>
          </cell>
          <cell r="H194">
            <v>37.86</v>
          </cell>
        </row>
        <row r="195">
          <cell r="A195">
            <v>311689</v>
          </cell>
          <cell r="H195">
            <v>37.49</v>
          </cell>
        </row>
        <row r="196">
          <cell r="A196">
            <v>311696</v>
          </cell>
          <cell r="H196">
            <v>41.55</v>
          </cell>
        </row>
        <row r="197">
          <cell r="A197">
            <v>311697</v>
          </cell>
          <cell r="H197">
            <v>35.5</v>
          </cell>
        </row>
        <row r="198">
          <cell r="A198">
            <v>311698</v>
          </cell>
          <cell r="H198">
            <v>33.46</v>
          </cell>
        </row>
        <row r="199">
          <cell r="A199">
            <v>311701</v>
          </cell>
          <cell r="H199">
            <v>38.090000000000003</v>
          </cell>
        </row>
        <row r="200">
          <cell r="A200">
            <v>311702</v>
          </cell>
          <cell r="H200">
            <v>38.07</v>
          </cell>
        </row>
        <row r="201">
          <cell r="A201">
            <v>311707</v>
          </cell>
          <cell r="H201">
            <v>7.65</v>
          </cell>
        </row>
        <row r="202">
          <cell r="A202">
            <v>311708</v>
          </cell>
          <cell r="H202">
            <v>30.08</v>
          </cell>
        </row>
        <row r="203">
          <cell r="A203">
            <v>311715</v>
          </cell>
          <cell r="H203">
            <v>32.880000000000003</v>
          </cell>
        </row>
        <row r="204">
          <cell r="A204">
            <v>311716</v>
          </cell>
          <cell r="H204">
            <v>36.950000000000003</v>
          </cell>
        </row>
        <row r="205">
          <cell r="A205">
            <v>311721</v>
          </cell>
          <cell r="H205">
            <v>36.24</v>
          </cell>
        </row>
        <row r="206">
          <cell r="A206">
            <v>311727</v>
          </cell>
          <cell r="H206">
            <v>36.799999999999997</v>
          </cell>
        </row>
        <row r="207">
          <cell r="A207">
            <v>311729</v>
          </cell>
          <cell r="H207">
            <v>36.11</v>
          </cell>
        </row>
        <row r="208">
          <cell r="A208">
            <v>311733</v>
          </cell>
          <cell r="H208">
            <v>42.37</v>
          </cell>
        </row>
        <row r="209">
          <cell r="A209">
            <v>311738</v>
          </cell>
          <cell r="H209">
            <v>34.15</v>
          </cell>
        </row>
        <row r="210">
          <cell r="A210">
            <v>311781</v>
          </cell>
          <cell r="H210">
            <v>34.68</v>
          </cell>
        </row>
        <row r="211">
          <cell r="A211">
            <v>311787</v>
          </cell>
          <cell r="H211">
            <v>38.409999999999997</v>
          </cell>
        </row>
        <row r="212">
          <cell r="A212">
            <v>311788</v>
          </cell>
          <cell r="H212">
            <v>41.85</v>
          </cell>
        </row>
        <row r="213">
          <cell r="A213">
            <v>311789</v>
          </cell>
          <cell r="H213">
            <v>36.89</v>
          </cell>
        </row>
        <row r="214">
          <cell r="A214">
            <v>311791</v>
          </cell>
          <cell r="H214">
            <v>42.84</v>
          </cell>
        </row>
        <row r="215">
          <cell r="A215">
            <v>311792</v>
          </cell>
          <cell r="H215">
            <v>33.19</v>
          </cell>
        </row>
        <row r="216">
          <cell r="A216">
            <v>311798</v>
          </cell>
          <cell r="H216">
            <v>34.99</v>
          </cell>
        </row>
        <row r="217">
          <cell r="A217">
            <v>311814</v>
          </cell>
          <cell r="H217">
            <v>36.72</v>
          </cell>
        </row>
        <row r="218">
          <cell r="A218">
            <v>311816</v>
          </cell>
          <cell r="H218">
            <v>32.82</v>
          </cell>
        </row>
        <row r="219">
          <cell r="A219">
            <v>311820</v>
          </cell>
          <cell r="H219">
            <v>37.14</v>
          </cell>
        </row>
        <row r="220">
          <cell r="A220">
            <v>311828</v>
          </cell>
          <cell r="H220">
            <v>35.47</v>
          </cell>
        </row>
        <row r="221">
          <cell r="A221">
            <v>311829</v>
          </cell>
          <cell r="H221">
            <v>35.49</v>
          </cell>
        </row>
        <row r="222">
          <cell r="A222">
            <v>311830</v>
          </cell>
          <cell r="H222">
            <v>39.94</v>
          </cell>
        </row>
        <row r="223">
          <cell r="A223">
            <v>311832</v>
          </cell>
          <cell r="H223">
            <v>33.01</v>
          </cell>
        </row>
        <row r="224">
          <cell r="A224">
            <v>311833</v>
          </cell>
          <cell r="H224">
            <v>32.89</v>
          </cell>
        </row>
        <row r="225">
          <cell r="A225">
            <v>311834</v>
          </cell>
          <cell r="H225">
            <v>29.87</v>
          </cell>
        </row>
        <row r="226">
          <cell r="A226">
            <v>311840</v>
          </cell>
          <cell r="H226">
            <v>37.950000000000003</v>
          </cell>
        </row>
        <row r="227">
          <cell r="A227">
            <v>311843</v>
          </cell>
          <cell r="H227">
            <v>40.85</v>
          </cell>
        </row>
        <row r="228">
          <cell r="A228">
            <v>311844</v>
          </cell>
          <cell r="H228">
            <v>35.15</v>
          </cell>
        </row>
        <row r="229">
          <cell r="A229">
            <v>311845</v>
          </cell>
          <cell r="H229">
            <v>37.76</v>
          </cell>
        </row>
        <row r="230">
          <cell r="A230">
            <v>311851</v>
          </cell>
          <cell r="H230">
            <v>36.729999999999997</v>
          </cell>
        </row>
        <row r="231">
          <cell r="A231">
            <v>311855</v>
          </cell>
          <cell r="H231">
            <v>36.43</v>
          </cell>
        </row>
        <row r="232">
          <cell r="A232">
            <v>311861</v>
          </cell>
          <cell r="H232">
            <v>40.35</v>
          </cell>
        </row>
        <row r="233">
          <cell r="A233">
            <v>311866</v>
          </cell>
          <cell r="H233">
            <v>36.07</v>
          </cell>
        </row>
        <row r="234">
          <cell r="A234">
            <v>311892</v>
          </cell>
          <cell r="H234">
            <v>36.72</v>
          </cell>
        </row>
        <row r="235">
          <cell r="A235">
            <v>311895</v>
          </cell>
          <cell r="H235">
            <v>37.159999999999997</v>
          </cell>
        </row>
        <row r="236">
          <cell r="A236">
            <v>311897</v>
          </cell>
          <cell r="H236">
            <v>41.06</v>
          </cell>
        </row>
        <row r="237">
          <cell r="A237">
            <v>311902</v>
          </cell>
          <cell r="H237">
            <v>36.19</v>
          </cell>
        </row>
        <row r="238">
          <cell r="A238">
            <v>311906</v>
          </cell>
          <cell r="H238">
            <v>32.71</v>
          </cell>
        </row>
        <row r="239">
          <cell r="A239">
            <v>311909</v>
          </cell>
          <cell r="H239">
            <v>40.42</v>
          </cell>
        </row>
        <row r="240">
          <cell r="A240">
            <v>311916</v>
          </cell>
          <cell r="H240">
            <v>34.69</v>
          </cell>
        </row>
        <row r="241">
          <cell r="A241">
            <v>311920</v>
          </cell>
          <cell r="H241">
            <v>41.76</v>
          </cell>
        </row>
        <row r="242">
          <cell r="A242">
            <v>311927</v>
          </cell>
          <cell r="H242">
            <v>37.950000000000003</v>
          </cell>
        </row>
        <row r="243">
          <cell r="A243">
            <v>311929</v>
          </cell>
          <cell r="H243">
            <v>38.26</v>
          </cell>
        </row>
        <row r="244">
          <cell r="A244">
            <v>311939</v>
          </cell>
          <cell r="H244">
            <v>34.5</v>
          </cell>
        </row>
        <row r="245">
          <cell r="A245">
            <v>311943</v>
          </cell>
          <cell r="H245">
            <v>33.020000000000003</v>
          </cell>
        </row>
        <row r="246">
          <cell r="A246">
            <v>311944</v>
          </cell>
          <cell r="H246">
            <v>40.76</v>
          </cell>
        </row>
        <row r="247">
          <cell r="A247">
            <v>311945</v>
          </cell>
          <cell r="H247">
            <v>41.31</v>
          </cell>
        </row>
        <row r="248">
          <cell r="A248">
            <v>311946</v>
          </cell>
          <cell r="H248">
            <v>37.25</v>
          </cell>
        </row>
        <row r="249">
          <cell r="A249">
            <v>311948</v>
          </cell>
          <cell r="H249">
            <v>34.840000000000003</v>
          </cell>
        </row>
        <row r="250">
          <cell r="A250">
            <v>311956</v>
          </cell>
          <cell r="H250">
            <v>42.06</v>
          </cell>
        </row>
        <row r="251">
          <cell r="A251">
            <v>311960</v>
          </cell>
          <cell r="H251">
            <v>34.270000000000003</v>
          </cell>
        </row>
        <row r="252">
          <cell r="A252">
            <v>311961</v>
          </cell>
          <cell r="H252">
            <v>40.46</v>
          </cell>
        </row>
        <row r="253">
          <cell r="A253">
            <v>311962</v>
          </cell>
          <cell r="H253">
            <v>35.83</v>
          </cell>
        </row>
        <row r="254">
          <cell r="A254">
            <v>311966</v>
          </cell>
          <cell r="H254">
            <v>36.11</v>
          </cell>
        </row>
        <row r="255">
          <cell r="A255">
            <v>311971</v>
          </cell>
          <cell r="H255">
            <v>35.54</v>
          </cell>
        </row>
        <row r="256">
          <cell r="A256">
            <v>312081</v>
          </cell>
          <cell r="H256">
            <v>35.44</v>
          </cell>
        </row>
        <row r="257">
          <cell r="A257">
            <v>312083</v>
          </cell>
          <cell r="H257">
            <v>35.43</v>
          </cell>
        </row>
        <row r="258">
          <cell r="A258">
            <v>312086</v>
          </cell>
          <cell r="H258">
            <v>33.159999999999997</v>
          </cell>
        </row>
        <row r="259">
          <cell r="A259">
            <v>312087</v>
          </cell>
          <cell r="H259">
            <v>41.59</v>
          </cell>
        </row>
        <row r="260">
          <cell r="A260">
            <v>312091</v>
          </cell>
          <cell r="H260">
            <v>36.83</v>
          </cell>
        </row>
        <row r="261">
          <cell r="A261">
            <v>312110</v>
          </cell>
          <cell r="H261">
            <v>35.479999999999997</v>
          </cell>
        </row>
        <row r="262">
          <cell r="A262">
            <v>312134</v>
          </cell>
          <cell r="H262">
            <v>37.89</v>
          </cell>
        </row>
        <row r="263">
          <cell r="A263">
            <v>312143</v>
          </cell>
          <cell r="H263">
            <v>36.479999999999997</v>
          </cell>
        </row>
        <row r="264">
          <cell r="A264">
            <v>312147</v>
          </cell>
          <cell r="H264">
            <v>41.52</v>
          </cell>
        </row>
        <row r="265">
          <cell r="A265">
            <v>312148</v>
          </cell>
          <cell r="H265">
            <v>0.25</v>
          </cell>
        </row>
        <row r="266">
          <cell r="A266">
            <v>312168</v>
          </cell>
          <cell r="H266">
            <v>34.630000000000003</v>
          </cell>
        </row>
        <row r="267">
          <cell r="A267">
            <v>312169</v>
          </cell>
          <cell r="H267">
            <v>41.38</v>
          </cell>
        </row>
        <row r="268">
          <cell r="A268">
            <v>312170</v>
          </cell>
          <cell r="H268">
            <v>36.28</v>
          </cell>
        </row>
        <row r="269">
          <cell r="A269">
            <v>312181</v>
          </cell>
          <cell r="H269">
            <v>38.229999999999997</v>
          </cell>
        </row>
        <row r="270">
          <cell r="A270">
            <v>312182</v>
          </cell>
          <cell r="H270">
            <v>38.270000000000003</v>
          </cell>
        </row>
        <row r="271">
          <cell r="A271">
            <v>312183</v>
          </cell>
          <cell r="H271">
            <v>34.9</v>
          </cell>
        </row>
        <row r="272">
          <cell r="A272">
            <v>312184</v>
          </cell>
          <cell r="H272">
            <v>41.72</v>
          </cell>
        </row>
        <row r="273">
          <cell r="A273">
            <v>312186</v>
          </cell>
          <cell r="H273">
            <v>35.51</v>
          </cell>
        </row>
        <row r="274">
          <cell r="A274">
            <v>312189</v>
          </cell>
          <cell r="H274">
            <v>40.630000000000003</v>
          </cell>
        </row>
        <row r="275">
          <cell r="A275">
            <v>312194</v>
          </cell>
          <cell r="H275">
            <v>37.65</v>
          </cell>
        </row>
        <row r="276">
          <cell r="A276">
            <v>312195</v>
          </cell>
          <cell r="H276">
            <v>42.46</v>
          </cell>
        </row>
        <row r="277">
          <cell r="A277">
            <v>312198</v>
          </cell>
          <cell r="H277">
            <v>33.119999999999997</v>
          </cell>
        </row>
        <row r="278">
          <cell r="A278">
            <v>312200</v>
          </cell>
          <cell r="H278">
            <v>37.32</v>
          </cell>
        </row>
        <row r="279">
          <cell r="A279">
            <v>312202</v>
          </cell>
          <cell r="H279">
            <v>35.96</v>
          </cell>
        </row>
        <row r="280">
          <cell r="A280">
            <v>312203</v>
          </cell>
          <cell r="H280">
            <v>36.43</v>
          </cell>
        </row>
        <row r="281">
          <cell r="A281">
            <v>312211</v>
          </cell>
          <cell r="H281">
            <v>34.020000000000003</v>
          </cell>
        </row>
        <row r="282">
          <cell r="A282">
            <v>312212</v>
          </cell>
          <cell r="H282">
            <v>41.04</v>
          </cell>
        </row>
        <row r="283">
          <cell r="A283">
            <v>312213</v>
          </cell>
          <cell r="H283">
            <v>41.56</v>
          </cell>
        </row>
        <row r="284">
          <cell r="A284">
            <v>312214</v>
          </cell>
          <cell r="H284">
            <v>33.15</v>
          </cell>
        </row>
        <row r="285">
          <cell r="A285">
            <v>312215</v>
          </cell>
          <cell r="H285">
            <v>35.520000000000003</v>
          </cell>
        </row>
        <row r="286">
          <cell r="A286">
            <v>312246</v>
          </cell>
          <cell r="H286">
            <v>41.96</v>
          </cell>
        </row>
        <row r="287">
          <cell r="A287">
            <v>312247</v>
          </cell>
          <cell r="H287">
            <v>37.200000000000003</v>
          </cell>
        </row>
        <row r="288">
          <cell r="A288">
            <v>312252</v>
          </cell>
          <cell r="H288">
            <v>35.32</v>
          </cell>
        </row>
        <row r="289">
          <cell r="A289">
            <v>312256</v>
          </cell>
          <cell r="H289">
            <v>35.85</v>
          </cell>
        </row>
        <row r="290">
          <cell r="A290">
            <v>312263</v>
          </cell>
          <cell r="H290">
            <v>36.200000000000003</v>
          </cell>
        </row>
        <row r="291">
          <cell r="A291">
            <v>312265</v>
          </cell>
          <cell r="H291">
            <v>32.590000000000003</v>
          </cell>
        </row>
        <row r="292">
          <cell r="A292">
            <v>312266</v>
          </cell>
          <cell r="H292">
            <v>34.53</v>
          </cell>
        </row>
        <row r="293">
          <cell r="A293">
            <v>312267</v>
          </cell>
          <cell r="H293">
            <v>37.200000000000003</v>
          </cell>
        </row>
        <row r="294">
          <cell r="A294">
            <v>312268</v>
          </cell>
          <cell r="H294">
            <v>37.32</v>
          </cell>
        </row>
        <row r="295">
          <cell r="A295">
            <v>312270</v>
          </cell>
          <cell r="H295">
            <v>36.24</v>
          </cell>
        </row>
        <row r="296">
          <cell r="A296">
            <v>312279</v>
          </cell>
          <cell r="H296">
            <v>37.479999999999997</v>
          </cell>
        </row>
        <row r="297">
          <cell r="A297">
            <v>312283</v>
          </cell>
          <cell r="H297">
            <v>41.52</v>
          </cell>
        </row>
        <row r="298">
          <cell r="A298">
            <v>312285</v>
          </cell>
          <cell r="H298">
            <v>37.630000000000003</v>
          </cell>
        </row>
        <row r="299">
          <cell r="A299">
            <v>312287</v>
          </cell>
          <cell r="H299">
            <v>34.54</v>
          </cell>
        </row>
        <row r="300">
          <cell r="A300">
            <v>312289</v>
          </cell>
          <cell r="H300">
            <v>38.46</v>
          </cell>
        </row>
        <row r="301">
          <cell r="A301">
            <v>312290</v>
          </cell>
          <cell r="H301">
            <v>37.19</v>
          </cell>
        </row>
        <row r="302">
          <cell r="A302">
            <v>312291</v>
          </cell>
          <cell r="H302">
            <v>33.79</v>
          </cell>
        </row>
        <row r="303">
          <cell r="A303">
            <v>312293</v>
          </cell>
          <cell r="H303">
            <v>37.68</v>
          </cell>
        </row>
        <row r="304">
          <cell r="A304">
            <v>312308</v>
          </cell>
          <cell r="H304">
            <v>32.83</v>
          </cell>
        </row>
        <row r="305">
          <cell r="A305">
            <v>312310</v>
          </cell>
          <cell r="H305">
            <v>33.549999999999997</v>
          </cell>
        </row>
        <row r="306">
          <cell r="A306">
            <v>312312</v>
          </cell>
          <cell r="H306">
            <v>37.18</v>
          </cell>
        </row>
        <row r="307">
          <cell r="A307">
            <v>312313</v>
          </cell>
          <cell r="H307">
            <v>38.200000000000003</v>
          </cell>
        </row>
        <row r="308">
          <cell r="A308">
            <v>312319</v>
          </cell>
          <cell r="H308">
            <v>35.5</v>
          </cell>
        </row>
        <row r="309">
          <cell r="A309">
            <v>312320</v>
          </cell>
          <cell r="H309">
            <v>41.68</v>
          </cell>
        </row>
        <row r="310">
          <cell r="A310">
            <v>312324</v>
          </cell>
          <cell r="H310">
            <v>36.869999999999997</v>
          </cell>
        </row>
        <row r="311">
          <cell r="A311">
            <v>312326</v>
          </cell>
          <cell r="H311">
            <v>35.9</v>
          </cell>
        </row>
        <row r="312">
          <cell r="A312">
            <v>312329</v>
          </cell>
          <cell r="H312">
            <v>35.99</v>
          </cell>
        </row>
        <row r="313">
          <cell r="A313">
            <v>312335</v>
          </cell>
          <cell r="H313">
            <v>35.47</v>
          </cell>
        </row>
        <row r="314">
          <cell r="A314">
            <v>312369</v>
          </cell>
          <cell r="H314">
            <v>38.56</v>
          </cell>
        </row>
        <row r="315">
          <cell r="A315">
            <v>312382</v>
          </cell>
          <cell r="H315">
            <v>33.33</v>
          </cell>
        </row>
        <row r="316">
          <cell r="A316">
            <v>312395</v>
          </cell>
          <cell r="H316">
            <v>34.58</v>
          </cell>
        </row>
        <row r="317">
          <cell r="A317">
            <v>312402</v>
          </cell>
          <cell r="H317">
            <v>34.729999999999997</v>
          </cell>
        </row>
        <row r="318">
          <cell r="A318">
            <v>312403</v>
          </cell>
          <cell r="H318">
            <v>36</v>
          </cell>
        </row>
        <row r="319">
          <cell r="A319">
            <v>312405</v>
          </cell>
          <cell r="H319">
            <v>35.28</v>
          </cell>
        </row>
        <row r="320">
          <cell r="A320">
            <v>312406</v>
          </cell>
          <cell r="H320">
            <v>39.92</v>
          </cell>
        </row>
        <row r="321">
          <cell r="A321">
            <v>312407</v>
          </cell>
          <cell r="H321">
            <v>35.47</v>
          </cell>
        </row>
        <row r="322">
          <cell r="A322">
            <v>312409</v>
          </cell>
          <cell r="H322">
            <v>35.979999999999997</v>
          </cell>
        </row>
        <row r="323">
          <cell r="A323">
            <v>312411</v>
          </cell>
          <cell r="H323">
            <v>37.79</v>
          </cell>
        </row>
        <row r="324">
          <cell r="A324">
            <v>312416</v>
          </cell>
          <cell r="H324">
            <v>37.69</v>
          </cell>
        </row>
        <row r="325">
          <cell r="A325">
            <v>312418</v>
          </cell>
          <cell r="H325">
            <v>37.909999999999997</v>
          </cell>
        </row>
        <row r="326">
          <cell r="A326">
            <v>312429</v>
          </cell>
          <cell r="H326">
            <v>37.049999999999997</v>
          </cell>
        </row>
        <row r="327">
          <cell r="A327">
            <v>312430</v>
          </cell>
          <cell r="H327">
            <v>34.08</v>
          </cell>
        </row>
        <row r="328">
          <cell r="A328">
            <v>312432</v>
          </cell>
          <cell r="H328">
            <v>37.270000000000003</v>
          </cell>
        </row>
        <row r="329">
          <cell r="A329">
            <v>312433</v>
          </cell>
          <cell r="H329">
            <v>32.85</v>
          </cell>
        </row>
        <row r="330">
          <cell r="A330">
            <v>312434</v>
          </cell>
          <cell r="H330">
            <v>37</v>
          </cell>
        </row>
        <row r="331">
          <cell r="A331">
            <v>312435</v>
          </cell>
          <cell r="H331">
            <v>40.81</v>
          </cell>
        </row>
        <row r="332">
          <cell r="A332">
            <v>312438</v>
          </cell>
          <cell r="H332">
            <v>35.85</v>
          </cell>
        </row>
        <row r="333">
          <cell r="A333">
            <v>312439</v>
          </cell>
          <cell r="H333">
            <v>41.68</v>
          </cell>
        </row>
        <row r="334">
          <cell r="A334">
            <v>312440</v>
          </cell>
          <cell r="H334">
            <v>34.25</v>
          </cell>
        </row>
        <row r="335">
          <cell r="A335">
            <v>312441</v>
          </cell>
          <cell r="H335">
            <v>37.28</v>
          </cell>
        </row>
        <row r="336">
          <cell r="A336">
            <v>312442</v>
          </cell>
          <cell r="H336">
            <v>35.53</v>
          </cell>
        </row>
        <row r="337">
          <cell r="A337">
            <v>312444</v>
          </cell>
          <cell r="H337">
            <v>35.5</v>
          </cell>
        </row>
        <row r="338">
          <cell r="A338">
            <v>312445</v>
          </cell>
          <cell r="H338">
            <v>37.1</v>
          </cell>
        </row>
        <row r="339">
          <cell r="A339">
            <v>312446</v>
          </cell>
          <cell r="H339">
            <v>34.340000000000003</v>
          </cell>
        </row>
        <row r="340">
          <cell r="A340">
            <v>312447</v>
          </cell>
          <cell r="H340">
            <v>36.25</v>
          </cell>
        </row>
        <row r="341">
          <cell r="A341">
            <v>312449</v>
          </cell>
          <cell r="H341">
            <v>41.39</v>
          </cell>
        </row>
        <row r="342">
          <cell r="A342">
            <v>312453</v>
          </cell>
          <cell r="H342">
            <v>36</v>
          </cell>
        </row>
        <row r="343">
          <cell r="A343">
            <v>312462</v>
          </cell>
          <cell r="H343">
            <v>36.520000000000003</v>
          </cell>
        </row>
        <row r="344">
          <cell r="A344">
            <v>312504</v>
          </cell>
          <cell r="H344">
            <v>42.17</v>
          </cell>
        </row>
        <row r="345">
          <cell r="A345">
            <v>312509</v>
          </cell>
          <cell r="H345">
            <v>35.840000000000003</v>
          </cell>
        </row>
        <row r="346">
          <cell r="A346">
            <v>312512</v>
          </cell>
          <cell r="H346">
            <v>34.99</v>
          </cell>
        </row>
        <row r="347">
          <cell r="A347">
            <v>312521</v>
          </cell>
          <cell r="H347">
            <v>34.15</v>
          </cell>
        </row>
        <row r="348">
          <cell r="A348">
            <v>312529</v>
          </cell>
          <cell r="H348">
            <v>37.67</v>
          </cell>
        </row>
        <row r="349">
          <cell r="A349">
            <v>312530</v>
          </cell>
          <cell r="H349">
            <v>36.21</v>
          </cell>
        </row>
        <row r="350">
          <cell r="A350">
            <v>312531</v>
          </cell>
          <cell r="H350">
            <v>33.18</v>
          </cell>
        </row>
        <row r="351">
          <cell r="A351">
            <v>312532</v>
          </cell>
          <cell r="H351">
            <v>36.6</v>
          </cell>
        </row>
        <row r="352">
          <cell r="A352">
            <v>312533</v>
          </cell>
          <cell r="H352">
            <v>34.92</v>
          </cell>
        </row>
        <row r="353">
          <cell r="A353">
            <v>312535</v>
          </cell>
          <cell r="H353">
            <v>35.4</v>
          </cell>
        </row>
        <row r="354">
          <cell r="A354">
            <v>312536</v>
          </cell>
          <cell r="H354">
            <v>38.880000000000003</v>
          </cell>
        </row>
        <row r="355">
          <cell r="A355">
            <v>312537</v>
          </cell>
          <cell r="H355">
            <v>41.22</v>
          </cell>
        </row>
        <row r="356">
          <cell r="A356">
            <v>312549</v>
          </cell>
          <cell r="H356">
            <v>34.369999999999997</v>
          </cell>
        </row>
        <row r="357">
          <cell r="A357">
            <v>312552</v>
          </cell>
          <cell r="H357">
            <v>38.200000000000003</v>
          </cell>
        </row>
        <row r="358">
          <cell r="A358">
            <v>312557</v>
          </cell>
          <cell r="H358">
            <v>35.130000000000003</v>
          </cell>
        </row>
        <row r="359">
          <cell r="A359">
            <v>312558</v>
          </cell>
          <cell r="H359">
            <v>35.47</v>
          </cell>
        </row>
        <row r="360">
          <cell r="A360">
            <v>312559</v>
          </cell>
          <cell r="H360">
            <v>35.93</v>
          </cell>
        </row>
        <row r="361">
          <cell r="A361">
            <v>312560</v>
          </cell>
          <cell r="H361">
            <v>40.47</v>
          </cell>
        </row>
        <row r="362">
          <cell r="A362">
            <v>312561</v>
          </cell>
          <cell r="H362">
            <v>37.19</v>
          </cell>
        </row>
        <row r="363">
          <cell r="A363">
            <v>312564</v>
          </cell>
          <cell r="H363">
            <v>34.630000000000003</v>
          </cell>
        </row>
        <row r="364">
          <cell r="A364">
            <v>312565</v>
          </cell>
          <cell r="H364">
            <v>41.21</v>
          </cell>
        </row>
        <row r="365">
          <cell r="A365">
            <v>312566</v>
          </cell>
          <cell r="H365">
            <v>32.97</v>
          </cell>
        </row>
        <row r="366">
          <cell r="A366">
            <v>312573</v>
          </cell>
          <cell r="H366">
            <v>37.53</v>
          </cell>
        </row>
        <row r="367">
          <cell r="A367">
            <v>312580</v>
          </cell>
          <cell r="H367">
            <v>36.26</v>
          </cell>
        </row>
        <row r="368">
          <cell r="A368">
            <v>312583</v>
          </cell>
          <cell r="H368">
            <v>36.83</v>
          </cell>
        </row>
        <row r="369">
          <cell r="A369">
            <v>312586</v>
          </cell>
          <cell r="H369">
            <v>38.19</v>
          </cell>
        </row>
        <row r="370">
          <cell r="A370">
            <v>312587</v>
          </cell>
          <cell r="H370">
            <v>36.409999999999997</v>
          </cell>
        </row>
        <row r="371">
          <cell r="A371">
            <v>312597</v>
          </cell>
          <cell r="H371">
            <v>35.729999999999997</v>
          </cell>
        </row>
        <row r="372">
          <cell r="A372">
            <v>312598</v>
          </cell>
          <cell r="H372">
            <v>35.57</v>
          </cell>
        </row>
        <row r="373">
          <cell r="A373">
            <v>312638</v>
          </cell>
          <cell r="H373">
            <v>34.85</v>
          </cell>
        </row>
        <row r="374">
          <cell r="A374">
            <v>312645</v>
          </cell>
          <cell r="H374">
            <v>37.799999999999997</v>
          </cell>
        </row>
        <row r="375">
          <cell r="A375">
            <v>312647</v>
          </cell>
          <cell r="H375">
            <v>35.04</v>
          </cell>
        </row>
        <row r="376">
          <cell r="A376">
            <v>312648</v>
          </cell>
          <cell r="H376">
            <v>33.08</v>
          </cell>
        </row>
        <row r="377">
          <cell r="A377">
            <v>312649</v>
          </cell>
          <cell r="H377">
            <v>35.15</v>
          </cell>
        </row>
        <row r="378">
          <cell r="A378">
            <v>312650</v>
          </cell>
          <cell r="H378">
            <v>43.11</v>
          </cell>
        </row>
        <row r="379">
          <cell r="A379">
            <v>312651</v>
          </cell>
          <cell r="H379">
            <v>36.090000000000003</v>
          </cell>
        </row>
        <row r="380">
          <cell r="A380">
            <v>312655</v>
          </cell>
          <cell r="H380">
            <v>36.909999999999997</v>
          </cell>
        </row>
        <row r="381">
          <cell r="A381">
            <v>312658</v>
          </cell>
          <cell r="H381">
            <v>33.97</v>
          </cell>
        </row>
        <row r="382">
          <cell r="A382">
            <v>312673</v>
          </cell>
          <cell r="H382">
            <v>38.18</v>
          </cell>
        </row>
        <row r="383">
          <cell r="A383">
            <v>312674</v>
          </cell>
          <cell r="H383">
            <v>34.11</v>
          </cell>
        </row>
        <row r="384">
          <cell r="A384">
            <v>312676</v>
          </cell>
          <cell r="H384">
            <v>37.659999999999997</v>
          </cell>
        </row>
        <row r="385">
          <cell r="A385">
            <v>312679</v>
          </cell>
          <cell r="H385">
            <v>41.41</v>
          </cell>
        </row>
        <row r="386">
          <cell r="A386">
            <v>312682</v>
          </cell>
          <cell r="H386">
            <v>35.369999999999997</v>
          </cell>
        </row>
        <row r="387">
          <cell r="A387">
            <v>312688</v>
          </cell>
          <cell r="H387">
            <v>35.74</v>
          </cell>
        </row>
        <row r="388">
          <cell r="A388">
            <v>312689</v>
          </cell>
          <cell r="H388">
            <v>32.82</v>
          </cell>
        </row>
        <row r="389">
          <cell r="A389">
            <v>312705</v>
          </cell>
          <cell r="H389">
            <v>34.08</v>
          </cell>
        </row>
        <row r="390">
          <cell r="A390">
            <v>312706</v>
          </cell>
          <cell r="H390">
            <v>40.82</v>
          </cell>
        </row>
        <row r="391">
          <cell r="A391">
            <v>312708</v>
          </cell>
          <cell r="H391">
            <v>33.4</v>
          </cell>
        </row>
        <row r="392">
          <cell r="A392">
            <v>312712</v>
          </cell>
          <cell r="H392">
            <v>37.32</v>
          </cell>
        </row>
        <row r="393">
          <cell r="A393">
            <v>312715</v>
          </cell>
          <cell r="H393">
            <v>35.68</v>
          </cell>
        </row>
        <row r="394">
          <cell r="A394">
            <v>312717</v>
          </cell>
          <cell r="H394">
            <v>36.26</v>
          </cell>
        </row>
        <row r="395">
          <cell r="A395">
            <v>312719</v>
          </cell>
          <cell r="H395">
            <v>35.950000000000003</v>
          </cell>
        </row>
        <row r="396">
          <cell r="A396">
            <v>312720</v>
          </cell>
          <cell r="H396">
            <v>35.94</v>
          </cell>
        </row>
        <row r="397">
          <cell r="A397">
            <v>312725</v>
          </cell>
          <cell r="H397">
            <v>32.75</v>
          </cell>
        </row>
        <row r="398">
          <cell r="A398">
            <v>312729</v>
          </cell>
          <cell r="H398">
            <v>42.07</v>
          </cell>
        </row>
        <row r="399">
          <cell r="A399">
            <v>312766</v>
          </cell>
          <cell r="H399">
            <v>33.68</v>
          </cell>
        </row>
        <row r="400">
          <cell r="A400">
            <v>312767</v>
          </cell>
          <cell r="H400">
            <v>33.06</v>
          </cell>
        </row>
        <row r="401">
          <cell r="A401">
            <v>312772</v>
          </cell>
          <cell r="H401">
            <v>34.39</v>
          </cell>
        </row>
        <row r="402">
          <cell r="A402">
            <v>312776</v>
          </cell>
          <cell r="H402">
            <v>40.46</v>
          </cell>
        </row>
        <row r="403">
          <cell r="A403">
            <v>312783</v>
          </cell>
          <cell r="H403">
            <v>38.229999999999997</v>
          </cell>
        </row>
        <row r="404">
          <cell r="A404">
            <v>312788</v>
          </cell>
          <cell r="H404">
            <v>33.9</v>
          </cell>
        </row>
        <row r="405">
          <cell r="A405">
            <v>312790</v>
          </cell>
          <cell r="H405">
            <v>36.07</v>
          </cell>
        </row>
        <row r="406">
          <cell r="A406">
            <v>312802</v>
          </cell>
          <cell r="H406">
            <v>35.86</v>
          </cell>
        </row>
        <row r="407">
          <cell r="A407">
            <v>312804</v>
          </cell>
          <cell r="H407">
            <v>35.78</v>
          </cell>
        </row>
        <row r="408">
          <cell r="A408">
            <v>312806</v>
          </cell>
          <cell r="H408">
            <v>31.34</v>
          </cell>
        </row>
        <row r="409">
          <cell r="A409">
            <v>312810</v>
          </cell>
          <cell r="H409">
            <v>34.92</v>
          </cell>
        </row>
        <row r="410">
          <cell r="A410">
            <v>312812</v>
          </cell>
          <cell r="H410">
            <v>34.159999999999997</v>
          </cell>
        </row>
        <row r="411">
          <cell r="A411">
            <v>312813</v>
          </cell>
          <cell r="H411">
            <v>37.75</v>
          </cell>
        </row>
        <row r="412">
          <cell r="A412">
            <v>312816</v>
          </cell>
          <cell r="H412">
            <v>37.72</v>
          </cell>
        </row>
        <row r="413">
          <cell r="A413">
            <v>312833</v>
          </cell>
          <cell r="H413">
            <v>37.46</v>
          </cell>
        </row>
        <row r="414">
          <cell r="A414">
            <v>312840</v>
          </cell>
          <cell r="H414">
            <v>33.39</v>
          </cell>
        </row>
        <row r="415">
          <cell r="A415">
            <v>312851</v>
          </cell>
          <cell r="H415">
            <v>40.33</v>
          </cell>
        </row>
        <row r="416">
          <cell r="A416">
            <v>312855</v>
          </cell>
          <cell r="H416">
            <v>32.770000000000003</v>
          </cell>
        </row>
        <row r="417">
          <cell r="A417">
            <v>312856</v>
          </cell>
          <cell r="H417">
            <v>41.63</v>
          </cell>
        </row>
        <row r="418">
          <cell r="A418">
            <v>312857</v>
          </cell>
          <cell r="H418">
            <v>35.5</v>
          </cell>
        </row>
        <row r="419">
          <cell r="A419">
            <v>312858</v>
          </cell>
          <cell r="H419">
            <v>35.5</v>
          </cell>
        </row>
        <row r="420">
          <cell r="A420">
            <v>312859</v>
          </cell>
          <cell r="H420">
            <v>42.14</v>
          </cell>
        </row>
        <row r="421">
          <cell r="A421">
            <v>312860</v>
          </cell>
          <cell r="H421">
            <v>32.799999999999997</v>
          </cell>
        </row>
        <row r="422">
          <cell r="A422">
            <v>312861</v>
          </cell>
          <cell r="H422">
            <v>37.53</v>
          </cell>
        </row>
        <row r="423">
          <cell r="A423">
            <v>312862</v>
          </cell>
          <cell r="H423">
            <v>37.369999999999997</v>
          </cell>
        </row>
        <row r="424">
          <cell r="A424">
            <v>312863</v>
          </cell>
          <cell r="H424">
            <v>41.13</v>
          </cell>
        </row>
        <row r="425">
          <cell r="A425">
            <v>312864</v>
          </cell>
          <cell r="H425">
            <v>39.770000000000003</v>
          </cell>
        </row>
        <row r="426">
          <cell r="A426">
            <v>312865</v>
          </cell>
          <cell r="H426">
            <v>37.43</v>
          </cell>
        </row>
        <row r="427">
          <cell r="A427">
            <v>312866</v>
          </cell>
          <cell r="H427">
            <v>36.47</v>
          </cell>
        </row>
        <row r="428">
          <cell r="A428">
            <v>312875</v>
          </cell>
          <cell r="H428">
            <v>35.82</v>
          </cell>
        </row>
        <row r="429">
          <cell r="A429">
            <v>312878</v>
          </cell>
          <cell r="H429">
            <v>39.92</v>
          </cell>
        </row>
        <row r="430">
          <cell r="A430">
            <v>312909</v>
          </cell>
          <cell r="H430">
            <v>36.020000000000003</v>
          </cell>
        </row>
        <row r="431">
          <cell r="A431">
            <v>312911</v>
          </cell>
          <cell r="H431">
            <v>33.97</v>
          </cell>
        </row>
        <row r="432">
          <cell r="A432">
            <v>312915</v>
          </cell>
          <cell r="H432">
            <v>35.200000000000003</v>
          </cell>
        </row>
        <row r="433">
          <cell r="A433">
            <v>312923</v>
          </cell>
          <cell r="H433">
            <v>37.25</v>
          </cell>
        </row>
        <row r="434">
          <cell r="A434">
            <v>312924</v>
          </cell>
          <cell r="H434">
            <v>34.020000000000003</v>
          </cell>
        </row>
        <row r="435">
          <cell r="A435">
            <v>312925</v>
          </cell>
          <cell r="H435">
            <v>39.22</v>
          </cell>
        </row>
        <row r="436">
          <cell r="A436">
            <v>312926</v>
          </cell>
          <cell r="H436">
            <v>33.840000000000003</v>
          </cell>
        </row>
        <row r="437">
          <cell r="A437">
            <v>312930</v>
          </cell>
          <cell r="H437">
            <v>34.14</v>
          </cell>
        </row>
        <row r="438">
          <cell r="A438">
            <v>312934</v>
          </cell>
          <cell r="H438">
            <v>34.979999999999997</v>
          </cell>
        </row>
        <row r="439">
          <cell r="A439">
            <v>312936</v>
          </cell>
          <cell r="H439">
            <v>34.340000000000003</v>
          </cell>
        </row>
        <row r="440">
          <cell r="A440">
            <v>312944</v>
          </cell>
          <cell r="H440">
            <v>34.229999999999997</v>
          </cell>
        </row>
        <row r="441">
          <cell r="A441">
            <v>312945</v>
          </cell>
          <cell r="H441">
            <v>37.76</v>
          </cell>
        </row>
        <row r="442">
          <cell r="A442">
            <v>312949</v>
          </cell>
          <cell r="H442">
            <v>32.549999999999997</v>
          </cell>
        </row>
        <row r="443">
          <cell r="A443">
            <v>312954</v>
          </cell>
          <cell r="H443">
            <v>36.39</v>
          </cell>
        </row>
        <row r="444">
          <cell r="A444">
            <v>312956</v>
          </cell>
          <cell r="H444">
            <v>36.68</v>
          </cell>
        </row>
        <row r="445">
          <cell r="A445">
            <v>312962</v>
          </cell>
          <cell r="H445">
            <v>35.29</v>
          </cell>
        </row>
        <row r="446">
          <cell r="A446">
            <v>312969</v>
          </cell>
          <cell r="H446">
            <v>37.04</v>
          </cell>
        </row>
        <row r="447">
          <cell r="A447">
            <v>312974</v>
          </cell>
          <cell r="H447">
            <v>42.87</v>
          </cell>
        </row>
        <row r="448">
          <cell r="A448">
            <v>312982</v>
          </cell>
          <cell r="H448">
            <v>37.72</v>
          </cell>
        </row>
        <row r="449">
          <cell r="A449">
            <v>312983</v>
          </cell>
          <cell r="H449">
            <v>33.380000000000003</v>
          </cell>
        </row>
        <row r="450">
          <cell r="A450">
            <v>312990</v>
          </cell>
          <cell r="H450">
            <v>37.26</v>
          </cell>
        </row>
        <row r="451">
          <cell r="A451">
            <v>312993</v>
          </cell>
          <cell r="H451">
            <v>33.07</v>
          </cell>
        </row>
        <row r="452">
          <cell r="A452">
            <v>312995</v>
          </cell>
          <cell r="H452">
            <v>35.57</v>
          </cell>
        </row>
        <row r="453">
          <cell r="A453">
            <v>312997</v>
          </cell>
          <cell r="H453">
            <v>40.14</v>
          </cell>
        </row>
        <row r="454">
          <cell r="A454">
            <v>313005</v>
          </cell>
          <cell r="H454">
            <v>35.450000000000003</v>
          </cell>
        </row>
        <row r="455">
          <cell r="A455">
            <v>313006</v>
          </cell>
          <cell r="H455">
            <v>32.909999999999997</v>
          </cell>
        </row>
        <row r="456">
          <cell r="A456">
            <v>313007</v>
          </cell>
          <cell r="H456">
            <v>32.97</v>
          </cell>
        </row>
        <row r="457">
          <cell r="A457">
            <v>313008</v>
          </cell>
          <cell r="H457">
            <v>40.82</v>
          </cell>
        </row>
        <row r="458">
          <cell r="A458">
            <v>313010</v>
          </cell>
          <cell r="H458">
            <v>41.77</v>
          </cell>
        </row>
        <row r="459">
          <cell r="A459">
            <v>313012</v>
          </cell>
          <cell r="H459">
            <v>34.590000000000003</v>
          </cell>
        </row>
        <row r="460">
          <cell r="A460">
            <v>313013</v>
          </cell>
          <cell r="H460">
            <v>40.56</v>
          </cell>
        </row>
        <row r="461">
          <cell r="A461">
            <v>313014</v>
          </cell>
          <cell r="H461">
            <v>41.42</v>
          </cell>
        </row>
        <row r="462">
          <cell r="A462">
            <v>313015</v>
          </cell>
          <cell r="H462">
            <v>32.94</v>
          </cell>
        </row>
        <row r="463">
          <cell r="A463">
            <v>313017</v>
          </cell>
          <cell r="H463">
            <v>37.659999999999997</v>
          </cell>
        </row>
        <row r="464">
          <cell r="A464">
            <v>311975</v>
          </cell>
          <cell r="H464">
            <v>38.340000000000003</v>
          </cell>
        </row>
        <row r="465">
          <cell r="A465">
            <v>311979</v>
          </cell>
          <cell r="H465">
            <v>35.97</v>
          </cell>
        </row>
        <row r="466">
          <cell r="A466">
            <v>311981</v>
          </cell>
          <cell r="H466">
            <v>36.14</v>
          </cell>
        </row>
        <row r="467">
          <cell r="A467">
            <v>311982</v>
          </cell>
          <cell r="H467">
            <v>37.97</v>
          </cell>
        </row>
        <row r="468">
          <cell r="A468">
            <v>312016</v>
          </cell>
          <cell r="H468">
            <v>35.9</v>
          </cell>
        </row>
        <row r="469">
          <cell r="A469">
            <v>312017</v>
          </cell>
          <cell r="H469">
            <v>39.659999999999997</v>
          </cell>
        </row>
        <row r="470">
          <cell r="A470">
            <v>312033</v>
          </cell>
          <cell r="H470">
            <v>33.82</v>
          </cell>
        </row>
        <row r="471">
          <cell r="A471">
            <v>312034</v>
          </cell>
          <cell r="H471">
            <v>41.09</v>
          </cell>
        </row>
        <row r="472">
          <cell r="A472">
            <v>312051</v>
          </cell>
          <cell r="H472">
            <v>35.26</v>
          </cell>
        </row>
        <row r="473">
          <cell r="A473">
            <v>312052</v>
          </cell>
          <cell r="H473">
            <v>40.75</v>
          </cell>
        </row>
        <row r="474">
          <cell r="A474">
            <v>312055</v>
          </cell>
          <cell r="H474">
            <v>36.99</v>
          </cell>
        </row>
        <row r="475">
          <cell r="A475">
            <v>312058</v>
          </cell>
          <cell r="H475">
            <v>41.22</v>
          </cell>
        </row>
        <row r="476">
          <cell r="A476">
            <v>312061</v>
          </cell>
          <cell r="H476">
            <v>32.799999999999997</v>
          </cell>
        </row>
        <row r="477">
          <cell r="A477">
            <v>312063</v>
          </cell>
          <cell r="H477">
            <v>33.770000000000003</v>
          </cell>
        </row>
        <row r="478">
          <cell r="A478">
            <v>312064</v>
          </cell>
          <cell r="H478">
            <v>38.229999999999997</v>
          </cell>
        </row>
        <row r="479">
          <cell r="A479">
            <v>312067</v>
          </cell>
          <cell r="H479">
            <v>37.46</v>
          </cell>
        </row>
        <row r="480">
          <cell r="A480">
            <v>312070</v>
          </cell>
          <cell r="H480">
            <v>38.450000000000003</v>
          </cell>
        </row>
        <row r="481">
          <cell r="A481">
            <v>312072</v>
          </cell>
          <cell r="H481">
            <v>40.29</v>
          </cell>
        </row>
        <row r="482">
          <cell r="A482">
            <v>313023</v>
          </cell>
          <cell r="H482">
            <v>41.16</v>
          </cell>
        </row>
        <row r="483">
          <cell r="A483">
            <v>313026</v>
          </cell>
          <cell r="H483">
            <v>42.76</v>
          </cell>
        </row>
        <row r="484">
          <cell r="A484">
            <v>313057</v>
          </cell>
          <cell r="H484">
            <v>35.380000000000003</v>
          </cell>
        </row>
        <row r="485">
          <cell r="A485">
            <v>313060</v>
          </cell>
          <cell r="H485">
            <v>35.090000000000003</v>
          </cell>
        </row>
        <row r="486">
          <cell r="A486">
            <v>313065</v>
          </cell>
          <cell r="H486">
            <v>35.1</v>
          </cell>
        </row>
        <row r="487">
          <cell r="A487">
            <v>313066</v>
          </cell>
          <cell r="H487">
            <v>35.22</v>
          </cell>
        </row>
        <row r="488">
          <cell r="A488">
            <v>313067</v>
          </cell>
          <cell r="H488">
            <v>36.049999999999997</v>
          </cell>
        </row>
        <row r="489">
          <cell r="A489">
            <v>313072</v>
          </cell>
          <cell r="H489">
            <v>35.6</v>
          </cell>
        </row>
        <row r="490">
          <cell r="A490">
            <v>313073</v>
          </cell>
          <cell r="H490">
            <v>34.07</v>
          </cell>
        </row>
        <row r="491">
          <cell r="A491">
            <v>313077</v>
          </cell>
          <cell r="H491">
            <v>31.76</v>
          </cell>
        </row>
        <row r="492">
          <cell r="A492">
            <v>313079</v>
          </cell>
          <cell r="H492">
            <v>31.5</v>
          </cell>
        </row>
        <row r="493">
          <cell r="A493">
            <v>313081</v>
          </cell>
          <cell r="H493">
            <v>36.46</v>
          </cell>
        </row>
        <row r="494">
          <cell r="A494">
            <v>313083</v>
          </cell>
          <cell r="H494">
            <v>36.07</v>
          </cell>
        </row>
        <row r="495">
          <cell r="A495">
            <v>313086</v>
          </cell>
          <cell r="H495">
            <v>34.049999999999997</v>
          </cell>
        </row>
        <row r="496">
          <cell r="A496">
            <v>313088</v>
          </cell>
          <cell r="H496">
            <v>33.299999999999997</v>
          </cell>
        </row>
        <row r="497">
          <cell r="A497">
            <v>313092</v>
          </cell>
          <cell r="H497">
            <v>36</v>
          </cell>
        </row>
        <row r="498">
          <cell r="A498">
            <v>313094</v>
          </cell>
          <cell r="H498">
            <v>35.979999999999997</v>
          </cell>
        </row>
        <row r="499">
          <cell r="A499">
            <v>313095</v>
          </cell>
          <cell r="H499">
            <v>32.72</v>
          </cell>
        </row>
        <row r="500">
          <cell r="A500">
            <v>313096</v>
          </cell>
          <cell r="H500">
            <v>37.729999999999997</v>
          </cell>
        </row>
        <row r="501">
          <cell r="A501">
            <v>313097</v>
          </cell>
          <cell r="H501">
            <v>32.270000000000003</v>
          </cell>
        </row>
        <row r="502">
          <cell r="A502">
            <v>313100</v>
          </cell>
          <cell r="H502">
            <v>36.380000000000003</v>
          </cell>
        </row>
        <row r="503">
          <cell r="A503">
            <v>312778</v>
          </cell>
          <cell r="H503">
            <v>35.35</v>
          </cell>
        </row>
        <row r="504">
          <cell r="A504">
            <v>312779</v>
          </cell>
          <cell r="H504">
            <v>35.32</v>
          </cell>
        </row>
        <row r="505">
          <cell r="A505">
            <v>312043</v>
          </cell>
          <cell r="H505">
            <v>41.28</v>
          </cell>
        </row>
        <row r="506">
          <cell r="A506">
            <v>312079</v>
          </cell>
          <cell r="H506">
            <v>36.14</v>
          </cell>
        </row>
        <row r="507">
          <cell r="A507">
            <v>312251</v>
          </cell>
          <cell r="H507">
            <v>32.950000000000003</v>
          </cell>
        </row>
        <row r="508">
          <cell r="A508">
            <v>312466</v>
          </cell>
          <cell r="H508">
            <v>35.549999999999997</v>
          </cell>
        </row>
        <row r="509">
          <cell r="A509">
            <v>312777</v>
          </cell>
          <cell r="H509">
            <v>41.11</v>
          </cell>
        </row>
        <row r="510">
          <cell r="A510">
            <v>312782</v>
          </cell>
          <cell r="H510">
            <v>33.770000000000003</v>
          </cell>
        </row>
        <row r="511">
          <cell r="A511">
            <v>313019</v>
          </cell>
          <cell r="H511">
            <v>40.49</v>
          </cell>
        </row>
        <row r="512">
          <cell r="A512">
            <v>313367</v>
          </cell>
          <cell r="H512">
            <v>43.05</v>
          </cell>
        </row>
        <row r="513">
          <cell r="A513">
            <v>313369</v>
          </cell>
          <cell r="H513">
            <v>34.979999999999997</v>
          </cell>
        </row>
        <row r="514">
          <cell r="A514">
            <v>313370</v>
          </cell>
          <cell r="H514">
            <v>37.5</v>
          </cell>
        </row>
        <row r="515">
          <cell r="A515">
            <v>313378</v>
          </cell>
          <cell r="H515">
            <v>37.56</v>
          </cell>
        </row>
        <row r="516">
          <cell r="A516">
            <v>313386</v>
          </cell>
          <cell r="H516">
            <v>37.53</v>
          </cell>
        </row>
        <row r="517">
          <cell r="A517">
            <v>313390</v>
          </cell>
          <cell r="H517">
            <v>32.94</v>
          </cell>
        </row>
        <row r="518">
          <cell r="A518">
            <v>313391</v>
          </cell>
          <cell r="H518">
            <v>36.64</v>
          </cell>
        </row>
        <row r="519">
          <cell r="A519">
            <v>313392</v>
          </cell>
          <cell r="H519">
            <v>36.340000000000003</v>
          </cell>
        </row>
        <row r="520">
          <cell r="A520">
            <v>313399</v>
          </cell>
          <cell r="H520">
            <v>34.25</v>
          </cell>
        </row>
        <row r="521">
          <cell r="A521">
            <v>313400</v>
          </cell>
          <cell r="H521">
            <v>42.13</v>
          </cell>
        </row>
        <row r="522">
          <cell r="A522">
            <v>313401</v>
          </cell>
          <cell r="H522">
            <v>37.090000000000003</v>
          </cell>
        </row>
        <row r="523">
          <cell r="A523">
            <v>313402</v>
          </cell>
          <cell r="H523">
            <v>41.16</v>
          </cell>
        </row>
        <row r="524">
          <cell r="A524">
            <v>313403</v>
          </cell>
          <cell r="H524">
            <v>40.090000000000003</v>
          </cell>
        </row>
        <row r="525">
          <cell r="A525">
            <v>313407</v>
          </cell>
          <cell r="H525">
            <v>39.130000000000003</v>
          </cell>
        </row>
        <row r="526">
          <cell r="A526">
            <v>313412</v>
          </cell>
          <cell r="H526">
            <v>32.71</v>
          </cell>
        </row>
        <row r="527">
          <cell r="A527">
            <v>313419</v>
          </cell>
          <cell r="H527">
            <v>34.31</v>
          </cell>
        </row>
        <row r="528">
          <cell r="A528">
            <v>313420</v>
          </cell>
          <cell r="H528">
            <v>35.520000000000003</v>
          </cell>
        </row>
        <row r="529">
          <cell r="A529">
            <v>313421</v>
          </cell>
          <cell r="H529">
            <v>41.31</v>
          </cell>
        </row>
        <row r="530">
          <cell r="A530">
            <v>313429</v>
          </cell>
          <cell r="H530">
            <v>38.270000000000003</v>
          </cell>
        </row>
        <row r="531">
          <cell r="A531">
            <v>313431</v>
          </cell>
          <cell r="H531">
            <v>35.950000000000003</v>
          </cell>
        </row>
        <row r="532">
          <cell r="A532">
            <v>313477</v>
          </cell>
          <cell r="H532">
            <v>34.54</v>
          </cell>
        </row>
        <row r="533">
          <cell r="A533">
            <v>313485</v>
          </cell>
          <cell r="H533">
            <v>37.07</v>
          </cell>
        </row>
        <row r="534">
          <cell r="A534">
            <v>313486</v>
          </cell>
          <cell r="H534">
            <v>24.55</v>
          </cell>
        </row>
        <row r="535">
          <cell r="A535">
            <v>313489</v>
          </cell>
          <cell r="H535">
            <v>33.04</v>
          </cell>
        </row>
        <row r="536">
          <cell r="A536">
            <v>313492</v>
          </cell>
          <cell r="H536">
            <v>36.32</v>
          </cell>
        </row>
        <row r="537">
          <cell r="A537">
            <v>313494</v>
          </cell>
          <cell r="H537">
            <v>41.38</v>
          </cell>
        </row>
        <row r="538">
          <cell r="A538">
            <v>313496</v>
          </cell>
          <cell r="H538">
            <v>36.19</v>
          </cell>
        </row>
        <row r="539">
          <cell r="A539">
            <v>313497</v>
          </cell>
          <cell r="H539">
            <v>33.19</v>
          </cell>
        </row>
        <row r="540">
          <cell r="A540">
            <v>313498</v>
          </cell>
          <cell r="H540">
            <v>40.57</v>
          </cell>
        </row>
        <row r="541">
          <cell r="A541">
            <v>313499</v>
          </cell>
          <cell r="H541">
            <v>35.1</v>
          </cell>
        </row>
        <row r="542">
          <cell r="A542">
            <v>313500</v>
          </cell>
          <cell r="H542">
            <v>39.29</v>
          </cell>
        </row>
        <row r="543">
          <cell r="A543">
            <v>313501</v>
          </cell>
          <cell r="H543">
            <v>35.31</v>
          </cell>
        </row>
        <row r="544">
          <cell r="A544">
            <v>313502</v>
          </cell>
          <cell r="H544">
            <v>41.4</v>
          </cell>
        </row>
        <row r="545">
          <cell r="A545">
            <v>313503</v>
          </cell>
          <cell r="H545">
            <v>35.14</v>
          </cell>
        </row>
        <row r="546">
          <cell r="A546">
            <v>313507</v>
          </cell>
          <cell r="H546">
            <v>38.049999999999997</v>
          </cell>
        </row>
        <row r="547">
          <cell r="A547">
            <v>313512</v>
          </cell>
          <cell r="H547">
            <v>37.42</v>
          </cell>
        </row>
        <row r="548">
          <cell r="A548">
            <v>313515</v>
          </cell>
          <cell r="H548">
            <v>36.880000000000003</v>
          </cell>
        </row>
        <row r="549">
          <cell r="A549">
            <v>313520</v>
          </cell>
          <cell r="H549">
            <v>40.5</v>
          </cell>
        </row>
        <row r="550">
          <cell r="A550">
            <v>313523</v>
          </cell>
          <cell r="H550">
            <v>34.380000000000003</v>
          </cell>
        </row>
        <row r="551">
          <cell r="A551">
            <v>313532</v>
          </cell>
          <cell r="H551">
            <v>34.72</v>
          </cell>
        </row>
        <row r="552">
          <cell r="A552">
            <v>313533</v>
          </cell>
          <cell r="H552">
            <v>12.85</v>
          </cell>
        </row>
        <row r="553">
          <cell r="A553">
            <v>313534</v>
          </cell>
          <cell r="H553">
            <v>37.67</v>
          </cell>
        </row>
        <row r="554">
          <cell r="A554">
            <v>313546</v>
          </cell>
          <cell r="H554">
            <v>40.93</v>
          </cell>
        </row>
        <row r="555">
          <cell r="A555">
            <v>313552</v>
          </cell>
          <cell r="H555">
            <v>33.49</v>
          </cell>
        </row>
        <row r="556">
          <cell r="A556">
            <v>313557</v>
          </cell>
          <cell r="H556">
            <v>33.36</v>
          </cell>
        </row>
        <row r="557">
          <cell r="A557">
            <v>313564</v>
          </cell>
          <cell r="H557">
            <v>37.57</v>
          </cell>
        </row>
        <row r="558">
          <cell r="A558">
            <v>313567</v>
          </cell>
          <cell r="H558">
            <v>41.53</v>
          </cell>
        </row>
        <row r="559">
          <cell r="A559">
            <v>313568</v>
          </cell>
          <cell r="H559">
            <v>40.659999999999997</v>
          </cell>
        </row>
        <row r="560">
          <cell r="A560">
            <v>313569</v>
          </cell>
          <cell r="H560">
            <v>35.4</v>
          </cell>
        </row>
        <row r="561">
          <cell r="A561">
            <v>313570</v>
          </cell>
          <cell r="H561">
            <v>33.299999999999997</v>
          </cell>
        </row>
        <row r="562">
          <cell r="A562">
            <v>313573</v>
          </cell>
          <cell r="H562">
            <v>35.840000000000003</v>
          </cell>
        </row>
        <row r="563">
          <cell r="A563">
            <v>313576</v>
          </cell>
          <cell r="H563">
            <v>34.79</v>
          </cell>
        </row>
        <row r="564">
          <cell r="A564">
            <v>313610</v>
          </cell>
          <cell r="H564">
            <v>42.46</v>
          </cell>
        </row>
        <row r="565">
          <cell r="A565">
            <v>313616</v>
          </cell>
          <cell r="H565">
            <v>41.13</v>
          </cell>
        </row>
        <row r="566">
          <cell r="A566">
            <v>313617</v>
          </cell>
          <cell r="H566">
            <v>35.46</v>
          </cell>
        </row>
        <row r="567">
          <cell r="A567">
            <v>313630</v>
          </cell>
          <cell r="H567">
            <v>37.19</v>
          </cell>
        </row>
        <row r="568">
          <cell r="A568">
            <v>313638</v>
          </cell>
          <cell r="H568">
            <v>34.94</v>
          </cell>
        </row>
        <row r="569">
          <cell r="A569">
            <v>313639</v>
          </cell>
          <cell r="H569">
            <v>36.36</v>
          </cell>
        </row>
        <row r="570">
          <cell r="A570">
            <v>313640</v>
          </cell>
          <cell r="H570">
            <v>41.74</v>
          </cell>
        </row>
        <row r="571">
          <cell r="A571">
            <v>313641</v>
          </cell>
          <cell r="H571">
            <v>33.409999999999997</v>
          </cell>
        </row>
        <row r="572">
          <cell r="A572">
            <v>313642</v>
          </cell>
          <cell r="H572">
            <v>34.69</v>
          </cell>
        </row>
        <row r="573">
          <cell r="A573">
            <v>313645</v>
          </cell>
          <cell r="H573">
            <v>34.46</v>
          </cell>
        </row>
        <row r="574">
          <cell r="A574">
            <v>313657</v>
          </cell>
          <cell r="H574">
            <v>37.630000000000003</v>
          </cell>
        </row>
        <row r="575">
          <cell r="A575">
            <v>313661</v>
          </cell>
          <cell r="H575">
            <v>38.840000000000003</v>
          </cell>
        </row>
        <row r="576">
          <cell r="A576">
            <v>313663</v>
          </cell>
          <cell r="H576">
            <v>38.159999999999997</v>
          </cell>
        </row>
        <row r="577">
          <cell r="A577">
            <v>313667</v>
          </cell>
          <cell r="H577">
            <v>38.340000000000003</v>
          </cell>
        </row>
        <row r="578">
          <cell r="A578">
            <v>313676</v>
          </cell>
          <cell r="H578">
            <v>40.43</v>
          </cell>
        </row>
        <row r="579">
          <cell r="A579">
            <v>313677</v>
          </cell>
          <cell r="H579">
            <v>41.22</v>
          </cell>
        </row>
        <row r="580">
          <cell r="A580">
            <v>313680</v>
          </cell>
          <cell r="H580">
            <v>37.619999999999997</v>
          </cell>
        </row>
        <row r="581">
          <cell r="A581">
            <v>313682</v>
          </cell>
          <cell r="H581">
            <v>33.409999999999997</v>
          </cell>
        </row>
        <row r="582">
          <cell r="A582">
            <v>313696</v>
          </cell>
          <cell r="H582">
            <v>35.5</v>
          </cell>
        </row>
        <row r="583">
          <cell r="A583">
            <v>313697</v>
          </cell>
          <cell r="H583">
            <v>34.39</v>
          </cell>
        </row>
        <row r="584">
          <cell r="A584">
            <v>313698</v>
          </cell>
          <cell r="H584">
            <v>33.29</v>
          </cell>
        </row>
        <row r="585">
          <cell r="A585">
            <v>313703</v>
          </cell>
          <cell r="H585">
            <v>34.65</v>
          </cell>
        </row>
        <row r="586">
          <cell r="A586">
            <v>313705</v>
          </cell>
          <cell r="H586">
            <v>35.93</v>
          </cell>
        </row>
        <row r="587">
          <cell r="A587">
            <v>313709</v>
          </cell>
          <cell r="H587">
            <v>40.770000000000003</v>
          </cell>
        </row>
        <row r="588">
          <cell r="A588">
            <v>313712</v>
          </cell>
          <cell r="H588">
            <v>35.99</v>
          </cell>
        </row>
        <row r="589">
          <cell r="A589">
            <v>313722</v>
          </cell>
          <cell r="H589">
            <v>35.1</v>
          </cell>
        </row>
        <row r="590">
          <cell r="A590">
            <v>313723</v>
          </cell>
          <cell r="H590">
            <v>35.479999999999997</v>
          </cell>
        </row>
        <row r="591">
          <cell r="A591">
            <v>313725</v>
          </cell>
          <cell r="H591">
            <v>34.85</v>
          </cell>
        </row>
        <row r="592">
          <cell r="A592">
            <v>313750</v>
          </cell>
          <cell r="H592">
            <v>35.119999999999997</v>
          </cell>
        </row>
        <row r="593">
          <cell r="A593">
            <v>313759</v>
          </cell>
          <cell r="H593">
            <v>32.93</v>
          </cell>
        </row>
        <row r="594">
          <cell r="A594">
            <v>313760</v>
          </cell>
          <cell r="H594">
            <v>38.64</v>
          </cell>
        </row>
        <row r="595">
          <cell r="A595">
            <v>313764</v>
          </cell>
          <cell r="H595">
            <v>37.31</v>
          </cell>
        </row>
        <row r="596">
          <cell r="A596">
            <v>313772</v>
          </cell>
          <cell r="H596">
            <v>37.909999999999997</v>
          </cell>
        </row>
        <row r="597">
          <cell r="A597">
            <v>313774</v>
          </cell>
          <cell r="H597">
            <v>43.2</v>
          </cell>
        </row>
        <row r="598">
          <cell r="A598">
            <v>313780</v>
          </cell>
          <cell r="H598">
            <v>40.549999999999997</v>
          </cell>
        </row>
        <row r="599">
          <cell r="A599">
            <v>313782</v>
          </cell>
          <cell r="H599">
            <v>36.43</v>
          </cell>
        </row>
        <row r="600">
          <cell r="A600">
            <v>313783</v>
          </cell>
          <cell r="H600">
            <v>40.799999999999997</v>
          </cell>
        </row>
        <row r="601">
          <cell r="A601">
            <v>313786</v>
          </cell>
          <cell r="H601">
            <v>37.380000000000003</v>
          </cell>
        </row>
        <row r="602">
          <cell r="A602">
            <v>313787</v>
          </cell>
          <cell r="H602">
            <v>40.020000000000003</v>
          </cell>
        </row>
        <row r="603">
          <cell r="A603">
            <v>313797</v>
          </cell>
          <cell r="H603">
            <v>36.369999999999997</v>
          </cell>
        </row>
        <row r="604">
          <cell r="A604">
            <v>313798</v>
          </cell>
          <cell r="H604">
            <v>34.31</v>
          </cell>
        </row>
        <row r="605">
          <cell r="A605">
            <v>313800</v>
          </cell>
          <cell r="H605">
            <v>36.01</v>
          </cell>
        </row>
        <row r="606">
          <cell r="A606">
            <v>313802</v>
          </cell>
          <cell r="H606">
            <v>37.53</v>
          </cell>
        </row>
        <row r="607">
          <cell r="A607">
            <v>313803</v>
          </cell>
          <cell r="H607">
            <v>41.27</v>
          </cell>
        </row>
        <row r="608">
          <cell r="A608">
            <v>313808</v>
          </cell>
          <cell r="H608">
            <v>34.46</v>
          </cell>
        </row>
        <row r="609">
          <cell r="A609">
            <v>313101</v>
          </cell>
          <cell r="H609">
            <v>34.9</v>
          </cell>
        </row>
        <row r="610">
          <cell r="A610">
            <v>313108</v>
          </cell>
          <cell r="H610">
            <v>36.82</v>
          </cell>
        </row>
        <row r="611">
          <cell r="A611">
            <v>313113</v>
          </cell>
          <cell r="H611">
            <v>40.299999999999997</v>
          </cell>
        </row>
        <row r="612">
          <cell r="A612">
            <v>313115</v>
          </cell>
          <cell r="H612">
            <v>39.659999999999997</v>
          </cell>
        </row>
        <row r="613">
          <cell r="A613">
            <v>313118</v>
          </cell>
          <cell r="H613">
            <v>39.85</v>
          </cell>
        </row>
        <row r="614">
          <cell r="A614">
            <v>313120</v>
          </cell>
          <cell r="H614">
            <v>38.5</v>
          </cell>
        </row>
        <row r="615">
          <cell r="A615">
            <v>313121</v>
          </cell>
          <cell r="H615">
            <v>33.36</v>
          </cell>
        </row>
        <row r="616">
          <cell r="A616">
            <v>313125</v>
          </cell>
          <cell r="H616">
            <v>37.46</v>
          </cell>
        </row>
        <row r="617">
          <cell r="A617">
            <v>313129</v>
          </cell>
          <cell r="H617">
            <v>33.78</v>
          </cell>
        </row>
        <row r="618">
          <cell r="A618">
            <v>313135</v>
          </cell>
          <cell r="H618">
            <v>37.33</v>
          </cell>
        </row>
        <row r="619">
          <cell r="A619">
            <v>313147</v>
          </cell>
          <cell r="H619">
            <v>41.34</v>
          </cell>
        </row>
        <row r="620">
          <cell r="A620">
            <v>313148</v>
          </cell>
          <cell r="H620">
            <v>41.24</v>
          </cell>
        </row>
        <row r="621">
          <cell r="A621">
            <v>313149</v>
          </cell>
          <cell r="H621">
            <v>35.46</v>
          </cell>
        </row>
        <row r="622">
          <cell r="A622">
            <v>313150</v>
          </cell>
          <cell r="H622">
            <v>37.03</v>
          </cell>
        </row>
        <row r="623">
          <cell r="A623">
            <v>313157</v>
          </cell>
          <cell r="H623">
            <v>35.35</v>
          </cell>
        </row>
        <row r="624">
          <cell r="A624">
            <v>313186</v>
          </cell>
          <cell r="H624">
            <v>42.96</v>
          </cell>
        </row>
        <row r="625">
          <cell r="A625">
            <v>313200</v>
          </cell>
          <cell r="H625">
            <v>35.47</v>
          </cell>
        </row>
        <row r="626">
          <cell r="A626">
            <v>313203</v>
          </cell>
          <cell r="H626">
            <v>33.36</v>
          </cell>
        </row>
        <row r="627">
          <cell r="A627">
            <v>313210</v>
          </cell>
          <cell r="H627">
            <v>36.75</v>
          </cell>
        </row>
        <row r="628">
          <cell r="A628">
            <v>313217</v>
          </cell>
          <cell r="H628">
            <v>37.729999999999997</v>
          </cell>
        </row>
        <row r="629">
          <cell r="A629">
            <v>313221</v>
          </cell>
          <cell r="H629">
            <v>35.65</v>
          </cell>
        </row>
        <row r="630">
          <cell r="A630">
            <v>313225</v>
          </cell>
          <cell r="H630">
            <v>35.24</v>
          </cell>
        </row>
        <row r="631">
          <cell r="A631">
            <v>313226</v>
          </cell>
          <cell r="H631">
            <v>36.630000000000003</v>
          </cell>
        </row>
        <row r="632">
          <cell r="A632">
            <v>313228</v>
          </cell>
          <cell r="H632">
            <v>41.44</v>
          </cell>
        </row>
        <row r="633">
          <cell r="A633">
            <v>313236</v>
          </cell>
          <cell r="H633">
            <v>37.92</v>
          </cell>
        </row>
        <row r="634">
          <cell r="A634">
            <v>313238</v>
          </cell>
          <cell r="H634">
            <v>36.93</v>
          </cell>
        </row>
        <row r="635">
          <cell r="A635">
            <v>313243</v>
          </cell>
          <cell r="H635">
            <v>40.25</v>
          </cell>
        </row>
        <row r="636">
          <cell r="A636">
            <v>313257</v>
          </cell>
          <cell r="H636">
            <v>37.21</v>
          </cell>
        </row>
        <row r="637">
          <cell r="A637">
            <v>313260</v>
          </cell>
          <cell r="H637">
            <v>37.18</v>
          </cell>
        </row>
        <row r="638">
          <cell r="A638">
            <v>313273</v>
          </cell>
          <cell r="H638">
            <v>32.9</v>
          </cell>
        </row>
        <row r="639">
          <cell r="A639">
            <v>313278</v>
          </cell>
          <cell r="H639">
            <v>41.38</v>
          </cell>
        </row>
        <row r="640">
          <cell r="A640">
            <v>313279</v>
          </cell>
          <cell r="H640">
            <v>35.6</v>
          </cell>
        </row>
        <row r="641">
          <cell r="A641">
            <v>313280</v>
          </cell>
          <cell r="H641">
            <v>34.26</v>
          </cell>
        </row>
        <row r="642">
          <cell r="A642">
            <v>313281</v>
          </cell>
          <cell r="H642">
            <v>36.020000000000003</v>
          </cell>
        </row>
        <row r="643">
          <cell r="A643">
            <v>313282</v>
          </cell>
          <cell r="H643">
            <v>37.22</v>
          </cell>
        </row>
        <row r="644">
          <cell r="A644">
            <v>313293</v>
          </cell>
          <cell r="H644">
            <v>40.64</v>
          </cell>
        </row>
        <row r="645">
          <cell r="A645">
            <v>313320</v>
          </cell>
          <cell r="H645">
            <v>38.49</v>
          </cell>
        </row>
        <row r="646">
          <cell r="A646">
            <v>313336</v>
          </cell>
          <cell r="H646">
            <v>34.19</v>
          </cell>
        </row>
        <row r="647">
          <cell r="A647">
            <v>313341</v>
          </cell>
          <cell r="H647">
            <v>39.17</v>
          </cell>
        </row>
        <row r="648">
          <cell r="A648">
            <v>313343</v>
          </cell>
          <cell r="H648">
            <v>41.33</v>
          </cell>
        </row>
        <row r="649">
          <cell r="A649">
            <v>313360</v>
          </cell>
          <cell r="H649">
            <v>36.869999999999997</v>
          </cell>
        </row>
        <row r="650">
          <cell r="A650">
            <v>313362</v>
          </cell>
          <cell r="H650">
            <v>37.15</v>
          </cell>
        </row>
        <row r="651">
          <cell r="A651">
            <v>313363</v>
          </cell>
          <cell r="H651">
            <v>34.75</v>
          </cell>
        </row>
        <row r="652">
          <cell r="A652">
            <v>313365</v>
          </cell>
          <cell r="H652">
            <v>33.159999999999997</v>
          </cell>
        </row>
        <row r="653">
          <cell r="A653">
            <v>313969</v>
          </cell>
          <cell r="H653">
            <v>37.49</v>
          </cell>
        </row>
        <row r="654">
          <cell r="A654">
            <v>313970</v>
          </cell>
          <cell r="H654">
            <v>40.119999999999997</v>
          </cell>
        </row>
        <row r="655">
          <cell r="A655">
            <v>313973</v>
          </cell>
          <cell r="H655">
            <v>39.22</v>
          </cell>
        </row>
        <row r="656">
          <cell r="A656">
            <v>313974</v>
          </cell>
          <cell r="H656">
            <v>41.05</v>
          </cell>
        </row>
        <row r="657">
          <cell r="A657">
            <v>313975</v>
          </cell>
          <cell r="H657">
            <v>32.64</v>
          </cell>
        </row>
        <row r="658">
          <cell r="A658">
            <v>313976</v>
          </cell>
          <cell r="H658">
            <v>34.31</v>
          </cell>
        </row>
        <row r="659">
          <cell r="A659">
            <v>313985</v>
          </cell>
          <cell r="H659">
            <v>36.65</v>
          </cell>
        </row>
        <row r="660">
          <cell r="A660">
            <v>313986</v>
          </cell>
          <cell r="H660">
            <v>35.5</v>
          </cell>
        </row>
        <row r="661">
          <cell r="A661">
            <v>313988</v>
          </cell>
          <cell r="H661">
            <v>37.9</v>
          </cell>
        </row>
        <row r="662">
          <cell r="A662">
            <v>313990</v>
          </cell>
          <cell r="H662">
            <v>36.340000000000003</v>
          </cell>
        </row>
        <row r="663">
          <cell r="A663">
            <v>313991</v>
          </cell>
          <cell r="H663">
            <v>36.770000000000003</v>
          </cell>
        </row>
        <row r="664">
          <cell r="A664">
            <v>313993</v>
          </cell>
          <cell r="H664">
            <v>37.909999999999997</v>
          </cell>
        </row>
        <row r="665">
          <cell r="A665">
            <v>313994</v>
          </cell>
          <cell r="H665">
            <v>43.1</v>
          </cell>
        </row>
        <row r="666">
          <cell r="A666">
            <v>314015</v>
          </cell>
          <cell r="H666">
            <v>35.200000000000003</v>
          </cell>
        </row>
        <row r="667">
          <cell r="A667">
            <v>314018</v>
          </cell>
          <cell r="H667">
            <v>36.229999999999997</v>
          </cell>
        </row>
        <row r="668">
          <cell r="A668">
            <v>314019</v>
          </cell>
          <cell r="H668">
            <v>37.97</v>
          </cell>
        </row>
        <row r="669">
          <cell r="A669">
            <v>314044</v>
          </cell>
          <cell r="H669">
            <v>32.86</v>
          </cell>
        </row>
        <row r="670">
          <cell r="A670">
            <v>314058</v>
          </cell>
          <cell r="H670">
            <v>40.61</v>
          </cell>
        </row>
        <row r="671">
          <cell r="A671">
            <v>314064</v>
          </cell>
          <cell r="H671">
            <v>37.479999999999997</v>
          </cell>
        </row>
        <row r="672">
          <cell r="A672">
            <v>314066</v>
          </cell>
          <cell r="H672">
            <v>40.43</v>
          </cell>
        </row>
        <row r="673">
          <cell r="A673">
            <v>314069</v>
          </cell>
          <cell r="H673">
            <v>34.92</v>
          </cell>
        </row>
        <row r="674">
          <cell r="A674">
            <v>314073</v>
          </cell>
          <cell r="H674">
            <v>33.85</v>
          </cell>
        </row>
        <row r="675">
          <cell r="A675">
            <v>314079</v>
          </cell>
          <cell r="H675">
            <v>36.93</v>
          </cell>
        </row>
        <row r="676">
          <cell r="A676">
            <v>314081</v>
          </cell>
          <cell r="H676">
            <v>36.700000000000003</v>
          </cell>
        </row>
        <row r="677">
          <cell r="A677">
            <v>314084</v>
          </cell>
          <cell r="H677">
            <v>34.32</v>
          </cell>
        </row>
        <row r="678">
          <cell r="A678">
            <v>314085</v>
          </cell>
          <cell r="H678">
            <v>33.15</v>
          </cell>
        </row>
        <row r="679">
          <cell r="A679">
            <v>314086</v>
          </cell>
          <cell r="H679">
            <v>41.06</v>
          </cell>
        </row>
        <row r="680">
          <cell r="A680">
            <v>314090</v>
          </cell>
          <cell r="H680">
            <v>32.979999999999997</v>
          </cell>
        </row>
        <row r="681">
          <cell r="A681">
            <v>314091</v>
          </cell>
          <cell r="H681">
            <v>32.950000000000003</v>
          </cell>
        </row>
        <row r="682">
          <cell r="A682">
            <v>314093</v>
          </cell>
          <cell r="H682">
            <v>33.1</v>
          </cell>
        </row>
        <row r="683">
          <cell r="A683">
            <v>314096</v>
          </cell>
          <cell r="H683">
            <v>37.049999999999997</v>
          </cell>
        </row>
        <row r="684">
          <cell r="A684">
            <v>314099</v>
          </cell>
          <cell r="H684">
            <v>41.33</v>
          </cell>
        </row>
        <row r="685">
          <cell r="A685">
            <v>314101</v>
          </cell>
          <cell r="H685">
            <v>34.75</v>
          </cell>
        </row>
        <row r="686">
          <cell r="A686">
            <v>314103</v>
          </cell>
          <cell r="H686">
            <v>38.89</v>
          </cell>
        </row>
        <row r="687">
          <cell r="A687">
            <v>314104</v>
          </cell>
          <cell r="H687">
            <v>37.729999999999997</v>
          </cell>
        </row>
        <row r="688">
          <cell r="A688">
            <v>314107</v>
          </cell>
          <cell r="H688">
            <v>36.130000000000003</v>
          </cell>
        </row>
        <row r="689">
          <cell r="A689">
            <v>314115</v>
          </cell>
          <cell r="H689">
            <v>35.85</v>
          </cell>
        </row>
        <row r="690">
          <cell r="A690">
            <v>314116</v>
          </cell>
          <cell r="H690">
            <v>36.53</v>
          </cell>
        </row>
        <row r="691">
          <cell r="A691">
            <v>314117</v>
          </cell>
          <cell r="H691">
            <v>36.49</v>
          </cell>
        </row>
        <row r="692">
          <cell r="A692">
            <v>314122</v>
          </cell>
          <cell r="H692">
            <v>42.25</v>
          </cell>
        </row>
        <row r="693">
          <cell r="A693">
            <v>314145</v>
          </cell>
          <cell r="H693">
            <v>37.99</v>
          </cell>
        </row>
        <row r="694">
          <cell r="A694">
            <v>314165</v>
          </cell>
          <cell r="H694">
            <v>36.47</v>
          </cell>
        </row>
        <row r="695">
          <cell r="A695">
            <v>314183</v>
          </cell>
          <cell r="H695">
            <v>37.619999999999997</v>
          </cell>
        </row>
        <row r="696">
          <cell r="A696">
            <v>314195</v>
          </cell>
          <cell r="H696">
            <v>37.32</v>
          </cell>
        </row>
        <row r="697">
          <cell r="A697">
            <v>314198</v>
          </cell>
          <cell r="H697">
            <v>38.229999999999997</v>
          </cell>
        </row>
        <row r="698">
          <cell r="A698">
            <v>314199</v>
          </cell>
          <cell r="H698">
            <v>40.340000000000003</v>
          </cell>
        </row>
        <row r="699">
          <cell r="A699">
            <v>314201</v>
          </cell>
          <cell r="H699">
            <v>33.01</v>
          </cell>
        </row>
        <row r="700">
          <cell r="A700">
            <v>314204</v>
          </cell>
          <cell r="H700">
            <v>37.76</v>
          </cell>
        </row>
        <row r="701">
          <cell r="A701">
            <v>314206</v>
          </cell>
          <cell r="H701">
            <v>37.299999999999997</v>
          </cell>
        </row>
        <row r="702">
          <cell r="A702">
            <v>314211</v>
          </cell>
          <cell r="H702">
            <v>37.22</v>
          </cell>
        </row>
        <row r="703">
          <cell r="A703">
            <v>314215</v>
          </cell>
          <cell r="H703">
            <v>33.46</v>
          </cell>
        </row>
        <row r="704">
          <cell r="A704">
            <v>314216</v>
          </cell>
          <cell r="H704">
            <v>35.46</v>
          </cell>
        </row>
        <row r="705">
          <cell r="A705">
            <v>314217</v>
          </cell>
          <cell r="H705">
            <v>40.98</v>
          </cell>
        </row>
        <row r="706">
          <cell r="A706">
            <v>314219</v>
          </cell>
          <cell r="H706">
            <v>35.65</v>
          </cell>
        </row>
        <row r="707">
          <cell r="A707">
            <v>314221</v>
          </cell>
          <cell r="H707">
            <v>43.04</v>
          </cell>
        </row>
        <row r="708">
          <cell r="A708">
            <v>314222</v>
          </cell>
          <cell r="H708">
            <v>33.479999999999997</v>
          </cell>
        </row>
        <row r="709">
          <cell r="A709">
            <v>314223</v>
          </cell>
          <cell r="H709">
            <v>36.85</v>
          </cell>
        </row>
        <row r="710">
          <cell r="A710">
            <v>314224</v>
          </cell>
          <cell r="H710">
            <v>38.1</v>
          </cell>
        </row>
        <row r="711">
          <cell r="A711">
            <v>314225</v>
          </cell>
          <cell r="H711">
            <v>35.44</v>
          </cell>
        </row>
        <row r="712">
          <cell r="A712">
            <v>314229</v>
          </cell>
          <cell r="H712">
            <v>40.11</v>
          </cell>
        </row>
        <row r="713">
          <cell r="A713">
            <v>314232</v>
          </cell>
          <cell r="H713">
            <v>35.880000000000003</v>
          </cell>
        </row>
        <row r="714">
          <cell r="A714">
            <v>314235</v>
          </cell>
          <cell r="H714">
            <v>34.81</v>
          </cell>
        </row>
        <row r="715">
          <cell r="A715">
            <v>314236</v>
          </cell>
          <cell r="H715">
            <v>33.49</v>
          </cell>
        </row>
        <row r="716">
          <cell r="A716">
            <v>314237</v>
          </cell>
          <cell r="H716">
            <v>41.7</v>
          </cell>
        </row>
        <row r="717">
          <cell r="A717">
            <v>314240</v>
          </cell>
          <cell r="H717">
            <v>40.78</v>
          </cell>
        </row>
        <row r="718">
          <cell r="A718">
            <v>314242</v>
          </cell>
          <cell r="H718">
            <v>35.82</v>
          </cell>
        </row>
        <row r="719">
          <cell r="A719">
            <v>314244</v>
          </cell>
          <cell r="H719">
            <v>39.17</v>
          </cell>
        </row>
        <row r="720">
          <cell r="A720">
            <v>314248</v>
          </cell>
          <cell r="H720">
            <v>34.24</v>
          </cell>
        </row>
        <row r="721">
          <cell r="A721">
            <v>314256</v>
          </cell>
          <cell r="H721">
            <v>34.6</v>
          </cell>
        </row>
        <row r="722">
          <cell r="A722">
            <v>314257</v>
          </cell>
          <cell r="H722">
            <v>35.61</v>
          </cell>
        </row>
        <row r="723">
          <cell r="A723">
            <v>314260</v>
          </cell>
          <cell r="H723">
            <v>36.090000000000003</v>
          </cell>
        </row>
        <row r="724">
          <cell r="A724">
            <v>314312</v>
          </cell>
          <cell r="H724">
            <v>36.58</v>
          </cell>
        </row>
        <row r="725">
          <cell r="A725">
            <v>314313</v>
          </cell>
          <cell r="H725">
            <v>36.020000000000003</v>
          </cell>
        </row>
        <row r="726">
          <cell r="A726">
            <v>314314</v>
          </cell>
          <cell r="H726">
            <v>38.06</v>
          </cell>
        </row>
        <row r="727">
          <cell r="A727">
            <v>314324</v>
          </cell>
          <cell r="H727">
            <v>38.549999999999997</v>
          </cell>
        </row>
        <row r="728">
          <cell r="A728">
            <v>314326</v>
          </cell>
          <cell r="H728">
            <v>34.409999999999997</v>
          </cell>
        </row>
        <row r="729">
          <cell r="A729">
            <v>314328</v>
          </cell>
          <cell r="H729">
            <v>33.33</v>
          </cell>
        </row>
        <row r="730">
          <cell r="A730">
            <v>314341</v>
          </cell>
          <cell r="H730">
            <v>40.17</v>
          </cell>
        </row>
        <row r="731">
          <cell r="A731">
            <v>314343</v>
          </cell>
          <cell r="H731">
            <v>37.36</v>
          </cell>
        </row>
        <row r="732">
          <cell r="A732">
            <v>314344</v>
          </cell>
          <cell r="H732">
            <v>34.25</v>
          </cell>
        </row>
        <row r="733">
          <cell r="A733">
            <v>314347</v>
          </cell>
          <cell r="H733">
            <v>32.99</v>
          </cell>
        </row>
        <row r="734">
          <cell r="A734">
            <v>314348</v>
          </cell>
          <cell r="H734">
            <v>36.24</v>
          </cell>
        </row>
        <row r="735">
          <cell r="A735">
            <v>314350</v>
          </cell>
          <cell r="H735">
            <v>41.44</v>
          </cell>
        </row>
        <row r="736">
          <cell r="A736">
            <v>314351</v>
          </cell>
          <cell r="H736">
            <v>38.15</v>
          </cell>
        </row>
        <row r="737">
          <cell r="A737">
            <v>314353</v>
          </cell>
          <cell r="H737">
            <v>33.56</v>
          </cell>
        </row>
        <row r="738">
          <cell r="A738">
            <v>314358</v>
          </cell>
          <cell r="H738">
            <v>34.549999999999997</v>
          </cell>
        </row>
        <row r="739">
          <cell r="A739">
            <v>314359</v>
          </cell>
          <cell r="H739">
            <v>37.97</v>
          </cell>
        </row>
        <row r="740">
          <cell r="A740">
            <v>314360</v>
          </cell>
          <cell r="H740">
            <v>34.799999999999997</v>
          </cell>
        </row>
        <row r="741">
          <cell r="A741">
            <v>314361</v>
          </cell>
          <cell r="H741">
            <v>35.83</v>
          </cell>
        </row>
        <row r="742">
          <cell r="A742">
            <v>314362</v>
          </cell>
          <cell r="H742">
            <v>33.049999999999997</v>
          </cell>
        </row>
        <row r="743">
          <cell r="A743">
            <v>314367</v>
          </cell>
          <cell r="H743">
            <v>32.99</v>
          </cell>
        </row>
        <row r="744">
          <cell r="A744">
            <v>314368</v>
          </cell>
          <cell r="H744">
            <v>39.32</v>
          </cell>
        </row>
        <row r="745">
          <cell r="A745">
            <v>314372</v>
          </cell>
          <cell r="H745">
            <v>36.07</v>
          </cell>
        </row>
        <row r="746">
          <cell r="A746">
            <v>314374</v>
          </cell>
          <cell r="H746">
            <v>41.55</v>
          </cell>
        </row>
        <row r="747">
          <cell r="A747">
            <v>314375</v>
          </cell>
          <cell r="H747">
            <v>35.5</v>
          </cell>
        </row>
        <row r="748">
          <cell r="A748">
            <v>314376</v>
          </cell>
          <cell r="H748">
            <v>37.299999999999997</v>
          </cell>
        </row>
        <row r="749">
          <cell r="A749">
            <v>314381</v>
          </cell>
          <cell r="H749">
            <v>37.28</v>
          </cell>
        </row>
        <row r="750">
          <cell r="A750">
            <v>314393</v>
          </cell>
          <cell r="H750">
            <v>35.090000000000003</v>
          </cell>
        </row>
        <row r="751">
          <cell r="A751">
            <v>314395</v>
          </cell>
          <cell r="H751">
            <v>35.5</v>
          </cell>
        </row>
        <row r="752">
          <cell r="A752">
            <v>314399</v>
          </cell>
          <cell r="H752">
            <v>42.43</v>
          </cell>
        </row>
        <row r="753">
          <cell r="A753">
            <v>314401</v>
          </cell>
          <cell r="H753">
            <v>38.35</v>
          </cell>
        </row>
        <row r="754">
          <cell r="A754">
            <v>314433</v>
          </cell>
          <cell r="H754">
            <v>33.79</v>
          </cell>
        </row>
        <row r="755">
          <cell r="A755">
            <v>314451</v>
          </cell>
          <cell r="H755">
            <v>37.25</v>
          </cell>
        </row>
        <row r="756">
          <cell r="A756">
            <v>314454</v>
          </cell>
          <cell r="H756">
            <v>35.85</v>
          </cell>
        </row>
        <row r="757">
          <cell r="A757">
            <v>314457</v>
          </cell>
          <cell r="H757">
            <v>33.57</v>
          </cell>
        </row>
        <row r="758">
          <cell r="A758">
            <v>314461</v>
          </cell>
          <cell r="H758">
            <v>42.78</v>
          </cell>
        </row>
        <row r="759">
          <cell r="A759">
            <v>314472</v>
          </cell>
          <cell r="H759">
            <v>38.729999999999997</v>
          </cell>
        </row>
        <row r="760">
          <cell r="A760">
            <v>314473</v>
          </cell>
          <cell r="H760">
            <v>34.729999999999997</v>
          </cell>
        </row>
        <row r="761">
          <cell r="A761">
            <v>314474</v>
          </cell>
          <cell r="H761">
            <v>34.659999999999997</v>
          </cell>
        </row>
        <row r="762">
          <cell r="A762">
            <v>314476</v>
          </cell>
          <cell r="H762">
            <v>35.72</v>
          </cell>
        </row>
        <row r="763">
          <cell r="A763">
            <v>314477</v>
          </cell>
          <cell r="H763">
            <v>36.270000000000003</v>
          </cell>
        </row>
        <row r="764">
          <cell r="A764">
            <v>314479</v>
          </cell>
          <cell r="H764">
            <v>37.340000000000003</v>
          </cell>
        </row>
        <row r="765">
          <cell r="A765">
            <v>314480</v>
          </cell>
          <cell r="H765">
            <v>40.92</v>
          </cell>
        </row>
        <row r="766">
          <cell r="A766">
            <v>314481</v>
          </cell>
          <cell r="H766">
            <v>36.25</v>
          </cell>
        </row>
        <row r="767">
          <cell r="A767">
            <v>314485</v>
          </cell>
          <cell r="H767">
            <v>33.770000000000003</v>
          </cell>
        </row>
        <row r="768">
          <cell r="A768">
            <v>314490</v>
          </cell>
          <cell r="H768">
            <v>41.08</v>
          </cell>
        </row>
        <row r="769">
          <cell r="A769">
            <v>314491</v>
          </cell>
          <cell r="H769">
            <v>38</v>
          </cell>
        </row>
        <row r="770">
          <cell r="A770">
            <v>314492</v>
          </cell>
          <cell r="H770">
            <v>34.22</v>
          </cell>
        </row>
        <row r="771">
          <cell r="A771">
            <v>314495</v>
          </cell>
          <cell r="H771">
            <v>33.51</v>
          </cell>
        </row>
        <row r="772">
          <cell r="A772">
            <v>314499</v>
          </cell>
          <cell r="H772">
            <v>35.78</v>
          </cell>
        </row>
        <row r="773">
          <cell r="A773">
            <v>314510</v>
          </cell>
          <cell r="H773">
            <v>36.729999999999997</v>
          </cell>
        </row>
        <row r="774">
          <cell r="A774">
            <v>314514</v>
          </cell>
          <cell r="H774">
            <v>35.25</v>
          </cell>
        </row>
        <row r="775">
          <cell r="A775">
            <v>314516</v>
          </cell>
          <cell r="H775">
            <v>39.159999999999997</v>
          </cell>
        </row>
        <row r="776">
          <cell r="A776">
            <v>314518</v>
          </cell>
          <cell r="H776">
            <v>36.4</v>
          </cell>
        </row>
        <row r="777">
          <cell r="A777">
            <v>314522</v>
          </cell>
          <cell r="H777">
            <v>37.51</v>
          </cell>
        </row>
        <row r="778">
          <cell r="A778">
            <v>314525</v>
          </cell>
          <cell r="H778">
            <v>35.799999999999997</v>
          </cell>
        </row>
        <row r="779">
          <cell r="A779">
            <v>314526</v>
          </cell>
          <cell r="H779">
            <v>32.78</v>
          </cell>
        </row>
        <row r="780">
          <cell r="A780">
            <v>314527</v>
          </cell>
          <cell r="H780">
            <v>34.590000000000003</v>
          </cell>
        </row>
        <row r="781">
          <cell r="A781">
            <v>314532</v>
          </cell>
          <cell r="H781">
            <v>35.49</v>
          </cell>
        </row>
        <row r="782">
          <cell r="A782">
            <v>314566</v>
          </cell>
          <cell r="H782">
            <v>35.909999999999997</v>
          </cell>
        </row>
        <row r="783">
          <cell r="A783">
            <v>314580</v>
          </cell>
          <cell r="H783">
            <v>33.979999999999997</v>
          </cell>
        </row>
        <row r="784">
          <cell r="A784">
            <v>314582</v>
          </cell>
          <cell r="H784">
            <v>38.01</v>
          </cell>
        </row>
        <row r="785">
          <cell r="A785">
            <v>314602</v>
          </cell>
          <cell r="H785">
            <v>34.380000000000003</v>
          </cell>
        </row>
        <row r="786">
          <cell r="A786">
            <v>314607</v>
          </cell>
          <cell r="H786">
            <v>40.549999999999997</v>
          </cell>
        </row>
        <row r="787">
          <cell r="A787">
            <v>314608</v>
          </cell>
          <cell r="H787">
            <v>34.729999999999997</v>
          </cell>
        </row>
        <row r="788">
          <cell r="A788">
            <v>314615</v>
          </cell>
          <cell r="H788">
            <v>42.68</v>
          </cell>
        </row>
        <row r="789">
          <cell r="A789">
            <v>314617</v>
          </cell>
          <cell r="H789">
            <v>41.66</v>
          </cell>
        </row>
        <row r="790">
          <cell r="A790">
            <v>314618</v>
          </cell>
          <cell r="H790">
            <v>33.369999999999997</v>
          </cell>
        </row>
        <row r="791">
          <cell r="A791">
            <v>314619</v>
          </cell>
          <cell r="H791">
            <v>38.08</v>
          </cell>
        </row>
        <row r="792">
          <cell r="A792">
            <v>314621</v>
          </cell>
          <cell r="H792">
            <v>33.21</v>
          </cell>
        </row>
        <row r="793">
          <cell r="A793">
            <v>314622</v>
          </cell>
          <cell r="H793">
            <v>33.299999999999997</v>
          </cell>
        </row>
        <row r="794">
          <cell r="A794">
            <v>314623</v>
          </cell>
          <cell r="H794">
            <v>35.78</v>
          </cell>
        </row>
        <row r="795">
          <cell r="A795">
            <v>314625</v>
          </cell>
          <cell r="H795">
            <v>33.24</v>
          </cell>
        </row>
        <row r="796">
          <cell r="A796">
            <v>314627</v>
          </cell>
          <cell r="H796">
            <v>34.96</v>
          </cell>
        </row>
        <row r="797">
          <cell r="A797">
            <v>314633</v>
          </cell>
          <cell r="H797">
            <v>40.729999999999997</v>
          </cell>
        </row>
        <row r="798">
          <cell r="A798">
            <v>314638</v>
          </cell>
          <cell r="H798">
            <v>38.25</v>
          </cell>
        </row>
        <row r="799">
          <cell r="A799">
            <v>314639</v>
          </cell>
          <cell r="H799">
            <v>37.72</v>
          </cell>
        </row>
        <row r="800">
          <cell r="A800">
            <v>314647</v>
          </cell>
          <cell r="H800">
            <v>33.5</v>
          </cell>
        </row>
        <row r="801">
          <cell r="A801">
            <v>314648</v>
          </cell>
          <cell r="H801">
            <v>35.07</v>
          </cell>
        </row>
        <row r="802">
          <cell r="A802">
            <v>314651</v>
          </cell>
          <cell r="H802">
            <v>35.9</v>
          </cell>
        </row>
        <row r="803">
          <cell r="A803">
            <v>314655</v>
          </cell>
          <cell r="H803">
            <v>34.69</v>
          </cell>
        </row>
        <row r="804">
          <cell r="A804">
            <v>314666</v>
          </cell>
          <cell r="H804">
            <v>35.49</v>
          </cell>
        </row>
        <row r="805">
          <cell r="A805">
            <v>314668</v>
          </cell>
          <cell r="H805">
            <v>35.99</v>
          </cell>
        </row>
        <row r="806">
          <cell r="A806">
            <v>314669</v>
          </cell>
          <cell r="H806">
            <v>37.4</v>
          </cell>
        </row>
        <row r="807">
          <cell r="A807">
            <v>314681</v>
          </cell>
          <cell r="H807">
            <v>37.28</v>
          </cell>
        </row>
        <row r="808">
          <cell r="A808">
            <v>314689</v>
          </cell>
          <cell r="H808">
            <v>41.69</v>
          </cell>
        </row>
        <row r="809">
          <cell r="A809">
            <v>314716</v>
          </cell>
          <cell r="H809">
            <v>36.11</v>
          </cell>
        </row>
        <row r="810">
          <cell r="A810">
            <v>314720</v>
          </cell>
          <cell r="H810">
            <v>35.92</v>
          </cell>
        </row>
        <row r="811">
          <cell r="A811">
            <v>314721</v>
          </cell>
          <cell r="H811">
            <v>37.39</v>
          </cell>
        </row>
        <row r="812">
          <cell r="A812">
            <v>314725</v>
          </cell>
          <cell r="H812">
            <v>35.659999999999997</v>
          </cell>
        </row>
        <row r="813">
          <cell r="A813">
            <v>314728</v>
          </cell>
          <cell r="H813">
            <v>33.39</v>
          </cell>
        </row>
        <row r="814">
          <cell r="A814">
            <v>314729</v>
          </cell>
          <cell r="H814">
            <v>34.9</v>
          </cell>
        </row>
        <row r="815">
          <cell r="A815">
            <v>314731</v>
          </cell>
          <cell r="H815">
            <v>35.159999999999997</v>
          </cell>
        </row>
        <row r="816">
          <cell r="A816">
            <v>314742</v>
          </cell>
          <cell r="H816">
            <v>34.28</v>
          </cell>
        </row>
        <row r="817">
          <cell r="A817">
            <v>314744</v>
          </cell>
          <cell r="H817">
            <v>32.58</v>
          </cell>
        </row>
        <row r="818">
          <cell r="A818">
            <v>314750</v>
          </cell>
          <cell r="H818">
            <v>33.33</v>
          </cell>
        </row>
        <row r="819">
          <cell r="A819">
            <v>314757</v>
          </cell>
          <cell r="H819">
            <v>35.159999999999997</v>
          </cell>
        </row>
        <row r="820">
          <cell r="A820">
            <v>314758</v>
          </cell>
          <cell r="H820">
            <v>34.53</v>
          </cell>
        </row>
        <row r="821">
          <cell r="A821">
            <v>314760</v>
          </cell>
          <cell r="H821">
            <v>34.04</v>
          </cell>
        </row>
        <row r="822">
          <cell r="A822">
            <v>314765</v>
          </cell>
          <cell r="H822">
            <v>34.32</v>
          </cell>
        </row>
        <row r="823">
          <cell r="A823">
            <v>314768</v>
          </cell>
          <cell r="H823">
            <v>34.89</v>
          </cell>
        </row>
        <row r="824">
          <cell r="A824">
            <v>314770</v>
          </cell>
          <cell r="H824">
            <v>38.4</v>
          </cell>
        </row>
        <row r="825">
          <cell r="A825">
            <v>314780</v>
          </cell>
          <cell r="H825">
            <v>38.229999999999997</v>
          </cell>
        </row>
        <row r="826">
          <cell r="A826">
            <v>314783</v>
          </cell>
          <cell r="H826">
            <v>35.61</v>
          </cell>
        </row>
        <row r="827">
          <cell r="A827">
            <v>314789</v>
          </cell>
          <cell r="H827">
            <v>34.64</v>
          </cell>
        </row>
        <row r="828">
          <cell r="A828">
            <v>314792</v>
          </cell>
          <cell r="H828">
            <v>37.409999999999997</v>
          </cell>
        </row>
        <row r="829">
          <cell r="A829">
            <v>314797</v>
          </cell>
          <cell r="H829">
            <v>41.59</v>
          </cell>
        </row>
        <row r="830">
          <cell r="A830">
            <v>314802</v>
          </cell>
          <cell r="H830">
            <v>34.24</v>
          </cell>
        </row>
        <row r="831">
          <cell r="A831">
            <v>314803</v>
          </cell>
          <cell r="H831">
            <v>32.85</v>
          </cell>
        </row>
        <row r="832">
          <cell r="A832">
            <v>314806</v>
          </cell>
          <cell r="H832">
            <v>14.95</v>
          </cell>
        </row>
        <row r="833">
          <cell r="A833">
            <v>314807</v>
          </cell>
          <cell r="H833">
            <v>34.35</v>
          </cell>
        </row>
        <row r="834">
          <cell r="A834">
            <v>314809</v>
          </cell>
          <cell r="H834">
            <v>41.03</v>
          </cell>
        </row>
        <row r="835">
          <cell r="A835">
            <v>314810</v>
          </cell>
          <cell r="H835">
            <v>34.47</v>
          </cell>
        </row>
        <row r="836">
          <cell r="A836">
            <v>314811</v>
          </cell>
          <cell r="H836">
            <v>34.56</v>
          </cell>
        </row>
        <row r="837">
          <cell r="A837">
            <v>314812</v>
          </cell>
          <cell r="H837">
            <v>41.82</v>
          </cell>
        </row>
        <row r="838">
          <cell r="A838">
            <v>314813</v>
          </cell>
          <cell r="H838">
            <v>35.5</v>
          </cell>
        </row>
        <row r="839">
          <cell r="A839">
            <v>314814</v>
          </cell>
          <cell r="H839">
            <v>41.16</v>
          </cell>
        </row>
        <row r="840">
          <cell r="A840">
            <v>314815</v>
          </cell>
          <cell r="H840">
            <v>41.06</v>
          </cell>
        </row>
        <row r="841">
          <cell r="A841">
            <v>314819</v>
          </cell>
          <cell r="H841">
            <v>38.96</v>
          </cell>
        </row>
        <row r="842">
          <cell r="A842">
            <v>314822</v>
          </cell>
          <cell r="H842">
            <v>39.130000000000003</v>
          </cell>
        </row>
        <row r="843">
          <cell r="A843">
            <v>314823</v>
          </cell>
          <cell r="H843">
            <v>25.45</v>
          </cell>
        </row>
        <row r="844">
          <cell r="A844">
            <v>314831</v>
          </cell>
          <cell r="H844">
            <v>35.909999999999997</v>
          </cell>
        </row>
        <row r="845">
          <cell r="A845">
            <v>314858</v>
          </cell>
          <cell r="H845">
            <v>34.979999999999997</v>
          </cell>
        </row>
        <row r="846">
          <cell r="A846">
            <v>314859</v>
          </cell>
          <cell r="H846">
            <v>36.24</v>
          </cell>
        </row>
        <row r="847">
          <cell r="A847">
            <v>314869</v>
          </cell>
          <cell r="H847">
            <v>37.25</v>
          </cell>
        </row>
        <row r="848">
          <cell r="A848">
            <v>314873</v>
          </cell>
          <cell r="H848">
            <v>35.22</v>
          </cell>
        </row>
        <row r="849">
          <cell r="A849">
            <v>314875</v>
          </cell>
          <cell r="H849">
            <v>35.03</v>
          </cell>
        </row>
        <row r="850">
          <cell r="A850">
            <v>314880</v>
          </cell>
          <cell r="H850">
            <v>32.659999999999997</v>
          </cell>
        </row>
        <row r="851">
          <cell r="A851">
            <v>314889</v>
          </cell>
          <cell r="H851">
            <v>35.020000000000003</v>
          </cell>
        </row>
        <row r="852">
          <cell r="A852">
            <v>314890</v>
          </cell>
          <cell r="H852">
            <v>40.56</v>
          </cell>
        </row>
        <row r="853">
          <cell r="A853">
            <v>314899</v>
          </cell>
          <cell r="H853">
            <v>36.15</v>
          </cell>
        </row>
        <row r="854">
          <cell r="A854">
            <v>314906</v>
          </cell>
          <cell r="H854">
            <v>34.82</v>
          </cell>
        </row>
        <row r="855">
          <cell r="A855">
            <v>314913</v>
          </cell>
          <cell r="H855">
            <v>34.200000000000003</v>
          </cell>
        </row>
        <row r="856">
          <cell r="A856">
            <v>314921</v>
          </cell>
          <cell r="H856">
            <v>38.17</v>
          </cell>
        </row>
        <row r="857">
          <cell r="A857">
            <v>314923</v>
          </cell>
          <cell r="H857">
            <v>37.119999999999997</v>
          </cell>
        </row>
        <row r="858">
          <cell r="A858">
            <v>314924</v>
          </cell>
          <cell r="H858">
            <v>40.43</v>
          </cell>
        </row>
        <row r="859">
          <cell r="A859">
            <v>314925</v>
          </cell>
          <cell r="H859">
            <v>32.92</v>
          </cell>
        </row>
        <row r="860">
          <cell r="A860">
            <v>314930</v>
          </cell>
          <cell r="H860">
            <v>33.43</v>
          </cell>
        </row>
        <row r="861">
          <cell r="A861">
            <v>314932</v>
          </cell>
          <cell r="H861">
            <v>34.32</v>
          </cell>
        </row>
        <row r="862">
          <cell r="A862">
            <v>314935</v>
          </cell>
          <cell r="H862">
            <v>37.049999999999997</v>
          </cell>
        </row>
        <row r="863">
          <cell r="A863">
            <v>314937</v>
          </cell>
          <cell r="H863">
            <v>35.43</v>
          </cell>
        </row>
        <row r="864">
          <cell r="A864">
            <v>314943</v>
          </cell>
          <cell r="H864">
            <v>32.75</v>
          </cell>
        </row>
        <row r="865">
          <cell r="A865">
            <v>314947</v>
          </cell>
          <cell r="H865">
            <v>35.1</v>
          </cell>
        </row>
        <row r="866">
          <cell r="A866">
            <v>314948</v>
          </cell>
          <cell r="H866">
            <v>42.87</v>
          </cell>
        </row>
        <row r="867">
          <cell r="A867">
            <v>314953</v>
          </cell>
          <cell r="H867">
            <v>41.48</v>
          </cell>
        </row>
        <row r="868">
          <cell r="A868">
            <v>314969</v>
          </cell>
          <cell r="H868">
            <v>42.97</v>
          </cell>
        </row>
        <row r="869">
          <cell r="A869">
            <v>314974</v>
          </cell>
          <cell r="H869">
            <v>36.6</v>
          </cell>
        </row>
        <row r="870">
          <cell r="A870">
            <v>315000</v>
          </cell>
          <cell r="H870">
            <v>27.58</v>
          </cell>
        </row>
        <row r="871">
          <cell r="A871">
            <v>315013</v>
          </cell>
          <cell r="H871">
            <v>39.340000000000003</v>
          </cell>
        </row>
        <row r="872">
          <cell r="A872">
            <v>315016</v>
          </cell>
          <cell r="H872">
            <v>34.69</v>
          </cell>
        </row>
        <row r="873">
          <cell r="A873">
            <v>315018</v>
          </cell>
          <cell r="H873">
            <v>37.93</v>
          </cell>
        </row>
        <row r="874">
          <cell r="A874">
            <v>315023</v>
          </cell>
          <cell r="H874">
            <v>33.24</v>
          </cell>
        </row>
        <row r="875">
          <cell r="A875">
            <v>315024</v>
          </cell>
          <cell r="H875">
            <v>34.96</v>
          </cell>
        </row>
        <row r="876">
          <cell r="A876">
            <v>315029</v>
          </cell>
          <cell r="H876">
            <v>34.14</v>
          </cell>
        </row>
        <row r="877">
          <cell r="A877">
            <v>315030</v>
          </cell>
          <cell r="H877">
            <v>38.43</v>
          </cell>
        </row>
        <row r="878">
          <cell r="A878">
            <v>315031</v>
          </cell>
          <cell r="H878">
            <v>33.96</v>
          </cell>
        </row>
        <row r="879">
          <cell r="A879">
            <v>315037</v>
          </cell>
          <cell r="H879">
            <v>43.97</v>
          </cell>
        </row>
        <row r="880">
          <cell r="A880">
            <v>315042</v>
          </cell>
          <cell r="H880">
            <v>40.76</v>
          </cell>
        </row>
        <row r="881">
          <cell r="A881">
            <v>315044</v>
          </cell>
          <cell r="H881">
            <v>38.450000000000003</v>
          </cell>
        </row>
        <row r="882">
          <cell r="A882">
            <v>315048</v>
          </cell>
          <cell r="H882">
            <v>38.840000000000003</v>
          </cell>
        </row>
        <row r="883">
          <cell r="A883">
            <v>315050</v>
          </cell>
          <cell r="H883">
            <v>38.49</v>
          </cell>
        </row>
        <row r="884">
          <cell r="A884">
            <v>315051</v>
          </cell>
          <cell r="H884">
            <v>35.200000000000003</v>
          </cell>
        </row>
        <row r="885">
          <cell r="A885">
            <v>315054</v>
          </cell>
          <cell r="H885">
            <v>36.67</v>
          </cell>
        </row>
        <row r="886">
          <cell r="A886">
            <v>315062</v>
          </cell>
          <cell r="H886">
            <v>37.340000000000003</v>
          </cell>
        </row>
        <row r="887">
          <cell r="A887">
            <v>315064</v>
          </cell>
          <cell r="H887">
            <v>40.08</v>
          </cell>
        </row>
        <row r="888">
          <cell r="A888">
            <v>315065</v>
          </cell>
          <cell r="H888">
            <v>41.25</v>
          </cell>
        </row>
        <row r="889">
          <cell r="A889">
            <v>315067</v>
          </cell>
          <cell r="H889">
            <v>34.33</v>
          </cell>
        </row>
        <row r="890">
          <cell r="A890">
            <v>315068</v>
          </cell>
          <cell r="H890">
            <v>32.950000000000003</v>
          </cell>
        </row>
        <row r="891">
          <cell r="A891">
            <v>315070</v>
          </cell>
          <cell r="H891">
            <v>37.86</v>
          </cell>
        </row>
        <row r="892">
          <cell r="A892">
            <v>315074</v>
          </cell>
          <cell r="H892">
            <v>35.619999999999997</v>
          </cell>
        </row>
        <row r="893">
          <cell r="A893">
            <v>315080</v>
          </cell>
          <cell r="H893">
            <v>42.62</v>
          </cell>
        </row>
        <row r="894">
          <cell r="A894">
            <v>315082</v>
          </cell>
          <cell r="H894">
            <v>37.159999999999997</v>
          </cell>
        </row>
        <row r="895">
          <cell r="A895">
            <v>315084</v>
          </cell>
          <cell r="H895">
            <v>32.770000000000003</v>
          </cell>
        </row>
        <row r="896">
          <cell r="A896">
            <v>315091</v>
          </cell>
          <cell r="H896">
            <v>28.53</v>
          </cell>
        </row>
        <row r="897">
          <cell r="A897">
            <v>315096</v>
          </cell>
          <cell r="H897">
            <v>41.65</v>
          </cell>
        </row>
        <row r="898">
          <cell r="A898">
            <v>315134</v>
          </cell>
          <cell r="H898">
            <v>35.380000000000003</v>
          </cell>
        </row>
        <row r="899">
          <cell r="A899">
            <v>315143</v>
          </cell>
          <cell r="H899">
            <v>37.85</v>
          </cell>
        </row>
        <row r="900">
          <cell r="A900">
            <v>315145</v>
          </cell>
          <cell r="H900">
            <v>33.24</v>
          </cell>
        </row>
        <row r="901">
          <cell r="A901">
            <v>315150</v>
          </cell>
          <cell r="H901">
            <v>33.18</v>
          </cell>
        </row>
        <row r="902">
          <cell r="A902">
            <v>315154</v>
          </cell>
          <cell r="H902">
            <v>37.729999999999997</v>
          </cell>
        </row>
        <row r="903">
          <cell r="A903">
            <v>315158</v>
          </cell>
          <cell r="H903">
            <v>32.78</v>
          </cell>
        </row>
        <row r="904">
          <cell r="A904">
            <v>315161</v>
          </cell>
          <cell r="H904">
            <v>43.48</v>
          </cell>
        </row>
        <row r="905">
          <cell r="A905">
            <v>315164</v>
          </cell>
          <cell r="H905">
            <v>35.01</v>
          </cell>
        </row>
        <row r="906">
          <cell r="A906">
            <v>315167</v>
          </cell>
          <cell r="H906">
            <v>38.74</v>
          </cell>
        </row>
        <row r="907">
          <cell r="A907">
            <v>315174</v>
          </cell>
          <cell r="H907">
            <v>37.130000000000003</v>
          </cell>
        </row>
        <row r="908">
          <cell r="A908">
            <v>315180</v>
          </cell>
          <cell r="H908">
            <v>40.020000000000003</v>
          </cell>
        </row>
        <row r="909">
          <cell r="A909">
            <v>315182</v>
          </cell>
          <cell r="H909">
            <v>32.89</v>
          </cell>
        </row>
        <row r="910">
          <cell r="A910">
            <v>315188</v>
          </cell>
          <cell r="H910">
            <v>37.81</v>
          </cell>
        </row>
        <row r="911">
          <cell r="A911">
            <v>315189</v>
          </cell>
          <cell r="H911">
            <v>34.31</v>
          </cell>
        </row>
        <row r="912">
          <cell r="A912">
            <v>315192</v>
          </cell>
          <cell r="H912">
            <v>34.299999999999997</v>
          </cell>
        </row>
        <row r="913">
          <cell r="A913">
            <v>315198</v>
          </cell>
          <cell r="H913">
            <v>35.5</v>
          </cell>
        </row>
        <row r="914">
          <cell r="A914">
            <v>315207</v>
          </cell>
          <cell r="H914">
            <v>38.729999999999997</v>
          </cell>
        </row>
        <row r="915">
          <cell r="A915">
            <v>315212</v>
          </cell>
          <cell r="H915">
            <v>41.97</v>
          </cell>
        </row>
        <row r="916">
          <cell r="A916">
            <v>315214</v>
          </cell>
          <cell r="H916">
            <v>37.86</v>
          </cell>
        </row>
        <row r="917">
          <cell r="A917">
            <v>315216</v>
          </cell>
          <cell r="H917">
            <v>33.450000000000003</v>
          </cell>
        </row>
        <row r="918">
          <cell r="A918">
            <v>315217</v>
          </cell>
          <cell r="H918">
            <v>37.14</v>
          </cell>
        </row>
        <row r="919">
          <cell r="A919">
            <v>315219</v>
          </cell>
          <cell r="H919">
            <v>37.83</v>
          </cell>
        </row>
        <row r="920">
          <cell r="A920">
            <v>315220</v>
          </cell>
          <cell r="H920">
            <v>36.64</v>
          </cell>
        </row>
        <row r="921">
          <cell r="A921">
            <v>315232</v>
          </cell>
          <cell r="H921">
            <v>35.94</v>
          </cell>
        </row>
        <row r="922">
          <cell r="A922">
            <v>315236</v>
          </cell>
          <cell r="H922">
            <v>42.42</v>
          </cell>
        </row>
        <row r="923">
          <cell r="A923">
            <v>315237</v>
          </cell>
          <cell r="H923">
            <v>34.520000000000003</v>
          </cell>
        </row>
        <row r="924">
          <cell r="A924">
            <v>315264</v>
          </cell>
          <cell r="H924">
            <v>37.54</v>
          </cell>
        </row>
        <row r="925">
          <cell r="A925">
            <v>315284</v>
          </cell>
          <cell r="H925">
            <v>35.39</v>
          </cell>
        </row>
        <row r="926">
          <cell r="A926">
            <v>315290</v>
          </cell>
          <cell r="H926">
            <v>33.21</v>
          </cell>
        </row>
        <row r="927">
          <cell r="A927">
            <v>315301</v>
          </cell>
          <cell r="H927">
            <v>33.049999999999997</v>
          </cell>
        </row>
        <row r="928">
          <cell r="A928">
            <v>315307</v>
          </cell>
          <cell r="H928">
            <v>38.5</v>
          </cell>
        </row>
        <row r="929">
          <cell r="A929">
            <v>315309</v>
          </cell>
          <cell r="H929">
            <v>43.44</v>
          </cell>
        </row>
        <row r="930">
          <cell r="A930">
            <v>315312</v>
          </cell>
          <cell r="H930">
            <v>37.119999999999997</v>
          </cell>
        </row>
        <row r="931">
          <cell r="A931">
            <v>315314</v>
          </cell>
          <cell r="H931">
            <v>34.840000000000003</v>
          </cell>
        </row>
        <row r="932">
          <cell r="A932">
            <v>315318</v>
          </cell>
          <cell r="H932">
            <v>38.81</v>
          </cell>
        </row>
        <row r="933">
          <cell r="A933">
            <v>315319</v>
          </cell>
          <cell r="H933">
            <v>37.72</v>
          </cell>
        </row>
        <row r="934">
          <cell r="A934">
            <v>315330</v>
          </cell>
          <cell r="H934">
            <v>37.1</v>
          </cell>
        </row>
        <row r="935">
          <cell r="A935">
            <v>315331</v>
          </cell>
          <cell r="H935">
            <v>33.39</v>
          </cell>
        </row>
        <row r="936">
          <cell r="A936">
            <v>315333</v>
          </cell>
          <cell r="H936">
            <v>37.99</v>
          </cell>
        </row>
        <row r="937">
          <cell r="A937">
            <v>315334</v>
          </cell>
          <cell r="H937">
            <v>37.29</v>
          </cell>
        </row>
        <row r="938">
          <cell r="A938">
            <v>315337</v>
          </cell>
          <cell r="H938">
            <v>34.159999999999997</v>
          </cell>
        </row>
        <row r="939">
          <cell r="A939">
            <v>315341</v>
          </cell>
          <cell r="H939">
            <v>32.92</v>
          </cell>
        </row>
        <row r="940">
          <cell r="A940">
            <v>315346</v>
          </cell>
          <cell r="H940">
            <v>35.36</v>
          </cell>
        </row>
        <row r="941">
          <cell r="A941">
            <v>315348</v>
          </cell>
          <cell r="H941">
            <v>33.42</v>
          </cell>
        </row>
        <row r="942">
          <cell r="A942">
            <v>315351</v>
          </cell>
          <cell r="H942">
            <v>37.71</v>
          </cell>
        </row>
        <row r="943">
          <cell r="A943">
            <v>315358</v>
          </cell>
          <cell r="H943">
            <v>42.66</v>
          </cell>
        </row>
        <row r="944">
          <cell r="A944">
            <v>315362</v>
          </cell>
          <cell r="H944">
            <v>36.119999999999997</v>
          </cell>
        </row>
        <row r="945">
          <cell r="A945">
            <v>315363</v>
          </cell>
          <cell r="H945">
            <v>40.97</v>
          </cell>
        </row>
        <row r="946">
          <cell r="A946">
            <v>315372</v>
          </cell>
          <cell r="H946">
            <v>42.08</v>
          </cell>
        </row>
        <row r="947">
          <cell r="A947">
            <v>315373</v>
          </cell>
          <cell r="H947">
            <v>36.4</v>
          </cell>
        </row>
        <row r="948">
          <cell r="A948">
            <v>315374</v>
          </cell>
          <cell r="H948">
            <v>41.51</v>
          </cell>
        </row>
        <row r="949">
          <cell r="A949">
            <v>315414</v>
          </cell>
          <cell r="H949">
            <v>36.409999999999997</v>
          </cell>
        </row>
        <row r="950">
          <cell r="A950">
            <v>315415</v>
          </cell>
          <cell r="H950">
            <v>36.159999999999997</v>
          </cell>
        </row>
        <row r="951">
          <cell r="A951">
            <v>315422</v>
          </cell>
          <cell r="H951">
            <v>35.22</v>
          </cell>
        </row>
        <row r="952">
          <cell r="A952">
            <v>315429</v>
          </cell>
          <cell r="H952">
            <v>33.06</v>
          </cell>
        </row>
        <row r="953">
          <cell r="A953">
            <v>315431</v>
          </cell>
          <cell r="H953">
            <v>36.119999999999997</v>
          </cell>
        </row>
        <row r="954">
          <cell r="A954">
            <v>315438</v>
          </cell>
          <cell r="H954">
            <v>32.71</v>
          </cell>
        </row>
        <row r="955">
          <cell r="A955">
            <v>315440</v>
          </cell>
          <cell r="H955">
            <v>35.409999999999997</v>
          </cell>
        </row>
        <row r="956">
          <cell r="A956">
            <v>315443</v>
          </cell>
          <cell r="H956">
            <v>40.32</v>
          </cell>
        </row>
        <row r="957">
          <cell r="A957">
            <v>315445</v>
          </cell>
          <cell r="H957">
            <v>33.33</v>
          </cell>
        </row>
        <row r="958">
          <cell r="A958">
            <v>315448</v>
          </cell>
          <cell r="H958">
            <v>40.659999999999997</v>
          </cell>
        </row>
        <row r="959">
          <cell r="A959">
            <v>315449</v>
          </cell>
          <cell r="H959">
            <v>43.82</v>
          </cell>
        </row>
        <row r="960">
          <cell r="A960">
            <v>315452</v>
          </cell>
          <cell r="H960">
            <v>37.159999999999997</v>
          </cell>
        </row>
        <row r="961">
          <cell r="A961">
            <v>315454</v>
          </cell>
          <cell r="H961">
            <v>38.590000000000003</v>
          </cell>
        </row>
        <row r="962">
          <cell r="A962">
            <v>315457</v>
          </cell>
          <cell r="H962">
            <v>34.090000000000003</v>
          </cell>
        </row>
        <row r="963">
          <cell r="A963">
            <v>315462</v>
          </cell>
          <cell r="H963">
            <v>34.99</v>
          </cell>
        </row>
        <row r="964">
          <cell r="A964">
            <v>315472</v>
          </cell>
          <cell r="H964">
            <v>37.729999999999997</v>
          </cell>
        </row>
        <row r="965">
          <cell r="A965">
            <v>315478</v>
          </cell>
          <cell r="H965">
            <v>33.07</v>
          </cell>
        </row>
        <row r="966">
          <cell r="A966">
            <v>315480</v>
          </cell>
          <cell r="H966">
            <v>35.369999999999997</v>
          </cell>
        </row>
        <row r="967">
          <cell r="A967">
            <v>315482</v>
          </cell>
          <cell r="H967">
            <v>38.799999999999997</v>
          </cell>
        </row>
        <row r="968">
          <cell r="A968">
            <v>315484</v>
          </cell>
          <cell r="H968">
            <v>41.84</v>
          </cell>
        </row>
        <row r="969">
          <cell r="A969">
            <v>315488</v>
          </cell>
          <cell r="H969">
            <v>37.42</v>
          </cell>
        </row>
        <row r="970">
          <cell r="A970">
            <v>315489</v>
          </cell>
          <cell r="H970">
            <v>34.9</v>
          </cell>
        </row>
        <row r="971">
          <cell r="A971">
            <v>315490</v>
          </cell>
          <cell r="H971">
            <v>34.39</v>
          </cell>
        </row>
        <row r="972">
          <cell r="A972">
            <v>315494</v>
          </cell>
          <cell r="H972">
            <v>35.65</v>
          </cell>
        </row>
        <row r="973">
          <cell r="A973">
            <v>315500</v>
          </cell>
          <cell r="H973">
            <v>42.33</v>
          </cell>
        </row>
        <row r="974">
          <cell r="A974">
            <v>315506</v>
          </cell>
          <cell r="H974">
            <v>35.130000000000003</v>
          </cell>
        </row>
        <row r="975">
          <cell r="A975">
            <v>315535</v>
          </cell>
          <cell r="H975">
            <v>35.9</v>
          </cell>
        </row>
        <row r="976">
          <cell r="A976">
            <v>315546</v>
          </cell>
          <cell r="H976">
            <v>34.619999999999997</v>
          </cell>
        </row>
        <row r="977">
          <cell r="A977">
            <v>315548</v>
          </cell>
          <cell r="H977">
            <v>35.49</v>
          </cell>
        </row>
        <row r="978">
          <cell r="A978">
            <v>315551</v>
          </cell>
          <cell r="H978">
            <v>35.33</v>
          </cell>
        </row>
        <row r="979">
          <cell r="A979">
            <v>315554</v>
          </cell>
          <cell r="H979">
            <v>34.83</v>
          </cell>
        </row>
        <row r="980">
          <cell r="A980">
            <v>315559</v>
          </cell>
          <cell r="H980">
            <v>32.9</v>
          </cell>
        </row>
        <row r="981">
          <cell r="A981">
            <v>315561</v>
          </cell>
          <cell r="H981">
            <v>35.42</v>
          </cell>
        </row>
        <row r="982">
          <cell r="A982">
            <v>313888</v>
          </cell>
          <cell r="H982">
            <v>35.81</v>
          </cell>
        </row>
        <row r="983">
          <cell r="A983">
            <v>313894</v>
          </cell>
          <cell r="H983">
            <v>35.020000000000003</v>
          </cell>
        </row>
        <row r="984">
          <cell r="A984">
            <v>313897</v>
          </cell>
          <cell r="H984">
            <v>34.450000000000003</v>
          </cell>
        </row>
        <row r="985">
          <cell r="A985">
            <v>313905</v>
          </cell>
          <cell r="H985">
            <v>34.75</v>
          </cell>
        </row>
        <row r="986">
          <cell r="A986">
            <v>313907</v>
          </cell>
          <cell r="H986">
            <v>38.11</v>
          </cell>
        </row>
        <row r="987">
          <cell r="A987">
            <v>313914</v>
          </cell>
          <cell r="H987">
            <v>27.65</v>
          </cell>
        </row>
        <row r="988">
          <cell r="A988">
            <v>313915</v>
          </cell>
          <cell r="H988">
            <v>33.22</v>
          </cell>
        </row>
        <row r="989">
          <cell r="A989">
            <v>313916</v>
          </cell>
          <cell r="H989">
            <v>38.33</v>
          </cell>
        </row>
        <row r="990">
          <cell r="A990">
            <v>313921</v>
          </cell>
          <cell r="H990">
            <v>32.96</v>
          </cell>
        </row>
        <row r="991">
          <cell r="A991">
            <v>313928</v>
          </cell>
          <cell r="H991">
            <v>35.14</v>
          </cell>
        </row>
        <row r="992">
          <cell r="A992">
            <v>313932</v>
          </cell>
          <cell r="H992">
            <v>40.229999999999997</v>
          </cell>
        </row>
        <row r="993">
          <cell r="A993">
            <v>313933</v>
          </cell>
          <cell r="H993">
            <v>36.71</v>
          </cell>
        </row>
        <row r="994">
          <cell r="A994">
            <v>313939</v>
          </cell>
          <cell r="H994">
            <v>34.64</v>
          </cell>
        </row>
        <row r="995">
          <cell r="A995">
            <v>313940</v>
          </cell>
          <cell r="H995">
            <v>37.07</v>
          </cell>
        </row>
        <row r="996">
          <cell r="A996">
            <v>313954</v>
          </cell>
          <cell r="H996">
            <v>34.58</v>
          </cell>
        </row>
        <row r="997">
          <cell r="A997">
            <v>313958</v>
          </cell>
          <cell r="H997">
            <v>40.6</v>
          </cell>
        </row>
        <row r="998">
          <cell r="A998">
            <v>313959</v>
          </cell>
          <cell r="H998">
            <v>41.09</v>
          </cell>
        </row>
        <row r="999">
          <cell r="A999">
            <v>313961</v>
          </cell>
          <cell r="H999">
            <v>33.11</v>
          </cell>
        </row>
        <row r="1000">
          <cell r="A1000">
            <v>313963</v>
          </cell>
          <cell r="H1000">
            <v>33.26</v>
          </cell>
        </row>
        <row r="1001">
          <cell r="A1001">
            <v>313964</v>
          </cell>
          <cell r="H1001">
            <v>34.24</v>
          </cell>
        </row>
        <row r="1002">
          <cell r="A1002">
            <v>313827</v>
          </cell>
          <cell r="H1002">
            <v>35.47</v>
          </cell>
        </row>
        <row r="1003">
          <cell r="A1003">
            <v>313829</v>
          </cell>
          <cell r="H1003">
            <v>32.880000000000003</v>
          </cell>
        </row>
        <row r="1004">
          <cell r="A1004">
            <v>313830</v>
          </cell>
          <cell r="H1004">
            <v>41.48</v>
          </cell>
        </row>
        <row r="1005">
          <cell r="A1005">
            <v>313831</v>
          </cell>
          <cell r="H1005">
            <v>38.979999999999997</v>
          </cell>
        </row>
        <row r="1006">
          <cell r="A1006">
            <v>313832</v>
          </cell>
          <cell r="H1006">
            <v>37.68</v>
          </cell>
        </row>
        <row r="1007">
          <cell r="A1007">
            <v>313834</v>
          </cell>
          <cell r="H1007">
            <v>32.72</v>
          </cell>
        </row>
        <row r="1008">
          <cell r="A1008">
            <v>313836</v>
          </cell>
          <cell r="H1008">
            <v>36.47</v>
          </cell>
        </row>
        <row r="1009">
          <cell r="A1009">
            <v>313838</v>
          </cell>
          <cell r="H1009">
            <v>37.58</v>
          </cell>
        </row>
        <row r="1010">
          <cell r="A1010">
            <v>313844</v>
          </cell>
          <cell r="H1010">
            <v>36.520000000000003</v>
          </cell>
        </row>
        <row r="1011">
          <cell r="A1011">
            <v>313845</v>
          </cell>
          <cell r="H1011">
            <v>36.17</v>
          </cell>
        </row>
        <row r="1012">
          <cell r="A1012">
            <v>313846</v>
          </cell>
          <cell r="H1012">
            <v>34.71</v>
          </cell>
        </row>
        <row r="1013">
          <cell r="A1013">
            <v>313366</v>
          </cell>
          <cell r="H1013">
            <v>33.65</v>
          </cell>
        </row>
        <row r="1014">
          <cell r="A1014">
            <v>313819</v>
          </cell>
          <cell r="H1014">
            <v>34.369999999999997</v>
          </cell>
        </row>
        <row r="1015">
          <cell r="A1015">
            <v>313857</v>
          </cell>
          <cell r="H1015">
            <v>42.97</v>
          </cell>
        </row>
        <row r="1016">
          <cell r="A1016">
            <v>313967</v>
          </cell>
          <cell r="H1016">
            <v>35.67</v>
          </cell>
        </row>
        <row r="1017">
          <cell r="A1017">
            <v>314192</v>
          </cell>
          <cell r="H1017">
            <v>32.770000000000003</v>
          </cell>
        </row>
        <row r="1018">
          <cell r="A1018">
            <v>313966</v>
          </cell>
          <cell r="H1018">
            <v>40.61</v>
          </cell>
        </row>
        <row r="1019">
          <cell r="A1019">
            <v>314586</v>
          </cell>
          <cell r="H1019">
            <v>42.38</v>
          </cell>
        </row>
        <row r="1020">
          <cell r="A1020">
            <v>314373</v>
          </cell>
          <cell r="H1020">
            <v>34.54</v>
          </cell>
        </row>
        <row r="1021">
          <cell r="A1021">
            <v>314589</v>
          </cell>
          <cell r="H1021">
            <v>36.28</v>
          </cell>
        </row>
        <row r="1022">
          <cell r="A1022">
            <v>314754</v>
          </cell>
          <cell r="H1022">
            <v>33.64</v>
          </cell>
        </row>
        <row r="1023">
          <cell r="A1023">
            <v>315005</v>
          </cell>
          <cell r="H1023">
            <v>41.54</v>
          </cell>
        </row>
        <row r="1024">
          <cell r="A1024">
            <v>316005</v>
          </cell>
          <cell r="H1024">
            <v>40.08</v>
          </cell>
        </row>
        <row r="1025">
          <cell r="A1025">
            <v>316006</v>
          </cell>
          <cell r="H1025">
            <v>33.200000000000003</v>
          </cell>
        </row>
        <row r="1026">
          <cell r="A1026">
            <v>316007</v>
          </cell>
          <cell r="H1026">
            <v>41.34</v>
          </cell>
        </row>
        <row r="1027">
          <cell r="A1027">
            <v>316008</v>
          </cell>
          <cell r="H1027">
            <v>37</v>
          </cell>
        </row>
        <row r="1028">
          <cell r="A1028">
            <v>316010</v>
          </cell>
          <cell r="H1028">
            <v>32.840000000000003</v>
          </cell>
        </row>
        <row r="1029">
          <cell r="A1029">
            <v>316011</v>
          </cell>
          <cell r="H1029">
            <v>40.93</v>
          </cell>
        </row>
        <row r="1030">
          <cell r="A1030">
            <v>316012</v>
          </cell>
          <cell r="H1030">
            <v>37.53</v>
          </cell>
        </row>
        <row r="1031">
          <cell r="A1031">
            <v>316014</v>
          </cell>
          <cell r="H1031">
            <v>34.6</v>
          </cell>
        </row>
        <row r="1032">
          <cell r="A1032">
            <v>316016</v>
          </cell>
          <cell r="H1032">
            <v>37.479999999999997</v>
          </cell>
        </row>
        <row r="1033">
          <cell r="A1033">
            <v>316025</v>
          </cell>
          <cell r="H1033">
            <v>35.869999999999997</v>
          </cell>
        </row>
        <row r="1034">
          <cell r="A1034">
            <v>316026</v>
          </cell>
          <cell r="H1034">
            <v>36.729999999999997</v>
          </cell>
        </row>
        <row r="1035">
          <cell r="A1035">
            <v>316061</v>
          </cell>
          <cell r="H1035">
            <v>43.07</v>
          </cell>
        </row>
        <row r="1036">
          <cell r="A1036">
            <v>316062</v>
          </cell>
          <cell r="H1036">
            <v>38.21</v>
          </cell>
        </row>
        <row r="1037">
          <cell r="A1037">
            <v>316065</v>
          </cell>
          <cell r="H1037">
            <v>36.83</v>
          </cell>
        </row>
        <row r="1038">
          <cell r="A1038">
            <v>316082</v>
          </cell>
          <cell r="H1038">
            <v>36.71</v>
          </cell>
        </row>
        <row r="1039">
          <cell r="A1039">
            <v>316084</v>
          </cell>
          <cell r="H1039">
            <v>36.14</v>
          </cell>
        </row>
        <row r="1040">
          <cell r="A1040">
            <v>316089</v>
          </cell>
          <cell r="H1040">
            <v>36.619999999999997</v>
          </cell>
        </row>
        <row r="1041">
          <cell r="A1041">
            <v>316090</v>
          </cell>
          <cell r="H1041">
            <v>33.25</v>
          </cell>
        </row>
        <row r="1042">
          <cell r="A1042">
            <v>316092</v>
          </cell>
          <cell r="H1042">
            <v>37.29</v>
          </cell>
        </row>
        <row r="1043">
          <cell r="A1043">
            <v>316094</v>
          </cell>
          <cell r="H1043">
            <v>32.869999999999997</v>
          </cell>
        </row>
        <row r="1044">
          <cell r="A1044">
            <v>316099</v>
          </cell>
          <cell r="H1044">
            <v>34.53</v>
          </cell>
        </row>
        <row r="1045">
          <cell r="A1045">
            <v>316100</v>
          </cell>
          <cell r="H1045">
            <v>37.51</v>
          </cell>
        </row>
        <row r="1046">
          <cell r="A1046">
            <v>316108</v>
          </cell>
          <cell r="H1046">
            <v>36.270000000000003</v>
          </cell>
        </row>
        <row r="1047">
          <cell r="A1047">
            <v>316115</v>
          </cell>
          <cell r="H1047">
            <v>37.49</v>
          </cell>
        </row>
        <row r="1048">
          <cell r="A1048">
            <v>316118</v>
          </cell>
          <cell r="H1048">
            <v>32.79</v>
          </cell>
        </row>
        <row r="1049">
          <cell r="A1049">
            <v>316119</v>
          </cell>
          <cell r="H1049">
            <v>34.659999999999997</v>
          </cell>
        </row>
        <row r="1050">
          <cell r="A1050">
            <v>316120</v>
          </cell>
          <cell r="H1050">
            <v>34.65</v>
          </cell>
        </row>
        <row r="1051">
          <cell r="A1051">
            <v>316122</v>
          </cell>
          <cell r="H1051">
            <v>38.46</v>
          </cell>
        </row>
        <row r="1052">
          <cell r="A1052">
            <v>316133</v>
          </cell>
          <cell r="H1052">
            <v>35.79</v>
          </cell>
        </row>
        <row r="1053">
          <cell r="A1053">
            <v>316134</v>
          </cell>
          <cell r="H1053">
            <v>37.369999999999997</v>
          </cell>
        </row>
        <row r="1054">
          <cell r="A1054">
            <v>316136</v>
          </cell>
          <cell r="H1054">
            <v>41.06</v>
          </cell>
        </row>
        <row r="1055">
          <cell r="A1055">
            <v>316139</v>
          </cell>
          <cell r="H1055">
            <v>39.04</v>
          </cell>
        </row>
        <row r="1056">
          <cell r="A1056">
            <v>316140</v>
          </cell>
          <cell r="H1056">
            <v>32.880000000000003</v>
          </cell>
        </row>
        <row r="1057">
          <cell r="A1057">
            <v>316141</v>
          </cell>
          <cell r="H1057">
            <v>38.1</v>
          </cell>
        </row>
        <row r="1058">
          <cell r="A1058">
            <v>316142</v>
          </cell>
          <cell r="H1058">
            <v>35.049999999999997</v>
          </cell>
        </row>
        <row r="1059">
          <cell r="A1059">
            <v>316143</v>
          </cell>
          <cell r="H1059">
            <v>34.659999999999997</v>
          </cell>
        </row>
        <row r="1060">
          <cell r="A1060">
            <v>316144</v>
          </cell>
          <cell r="H1060">
            <v>35.53</v>
          </cell>
        </row>
        <row r="1061">
          <cell r="A1061">
            <v>316146</v>
          </cell>
          <cell r="H1061">
            <v>40.9</v>
          </cell>
        </row>
        <row r="1062">
          <cell r="A1062">
            <v>316157</v>
          </cell>
          <cell r="H1062">
            <v>36.47</v>
          </cell>
        </row>
        <row r="1063">
          <cell r="A1063">
            <v>316162</v>
          </cell>
          <cell r="H1063">
            <v>42.31</v>
          </cell>
        </row>
        <row r="1064">
          <cell r="A1064">
            <v>316196</v>
          </cell>
          <cell r="H1064">
            <v>36.07</v>
          </cell>
        </row>
        <row r="1065">
          <cell r="A1065">
            <v>316204</v>
          </cell>
          <cell r="H1065">
            <v>42.92</v>
          </cell>
        </row>
        <row r="1066">
          <cell r="A1066">
            <v>316205</v>
          </cell>
          <cell r="H1066">
            <v>36.159999999999997</v>
          </cell>
        </row>
        <row r="1067">
          <cell r="A1067">
            <v>316212</v>
          </cell>
          <cell r="H1067">
            <v>35.85</v>
          </cell>
        </row>
        <row r="1068">
          <cell r="A1068">
            <v>316241</v>
          </cell>
          <cell r="H1068">
            <v>36.79</v>
          </cell>
        </row>
        <row r="1069">
          <cell r="A1069">
            <v>316243</v>
          </cell>
          <cell r="H1069">
            <v>33.520000000000003</v>
          </cell>
        </row>
        <row r="1070">
          <cell r="A1070">
            <v>316244</v>
          </cell>
          <cell r="H1070">
            <v>36.950000000000003</v>
          </cell>
        </row>
        <row r="1071">
          <cell r="A1071">
            <v>316245</v>
          </cell>
          <cell r="H1071">
            <v>35.369999999999997</v>
          </cell>
        </row>
        <row r="1072">
          <cell r="A1072">
            <v>316246</v>
          </cell>
          <cell r="H1072">
            <v>35.49</v>
          </cell>
        </row>
        <row r="1073">
          <cell r="A1073">
            <v>316247</v>
          </cell>
          <cell r="H1073">
            <v>36.299999999999997</v>
          </cell>
        </row>
        <row r="1074">
          <cell r="A1074">
            <v>316248</v>
          </cell>
          <cell r="H1074">
            <v>33.1</v>
          </cell>
        </row>
        <row r="1075">
          <cell r="A1075">
            <v>316262</v>
          </cell>
          <cell r="H1075">
            <v>34.56</v>
          </cell>
        </row>
        <row r="1076">
          <cell r="A1076">
            <v>316275</v>
          </cell>
          <cell r="H1076">
            <v>37.24</v>
          </cell>
        </row>
        <row r="1077">
          <cell r="A1077">
            <v>316278</v>
          </cell>
          <cell r="H1077">
            <v>37.090000000000003</v>
          </cell>
        </row>
        <row r="1078">
          <cell r="A1078">
            <v>316281</v>
          </cell>
          <cell r="H1078">
            <v>37.270000000000003</v>
          </cell>
        </row>
        <row r="1079">
          <cell r="A1079">
            <v>316282</v>
          </cell>
          <cell r="H1079">
            <v>33</v>
          </cell>
        </row>
        <row r="1080">
          <cell r="A1080">
            <v>316285</v>
          </cell>
          <cell r="H1080">
            <v>38.74</v>
          </cell>
        </row>
        <row r="1081">
          <cell r="A1081">
            <v>316286</v>
          </cell>
          <cell r="H1081">
            <v>39.08</v>
          </cell>
        </row>
        <row r="1082">
          <cell r="A1082">
            <v>316288</v>
          </cell>
          <cell r="H1082">
            <v>35.56</v>
          </cell>
        </row>
        <row r="1083">
          <cell r="A1083">
            <v>316289</v>
          </cell>
          <cell r="H1083">
            <v>33.35</v>
          </cell>
        </row>
        <row r="1084">
          <cell r="A1084">
            <v>316290</v>
          </cell>
          <cell r="H1084">
            <v>40.47</v>
          </cell>
        </row>
        <row r="1085">
          <cell r="A1085">
            <v>316291</v>
          </cell>
          <cell r="H1085">
            <v>34.42</v>
          </cell>
        </row>
        <row r="1086">
          <cell r="A1086">
            <v>316292</v>
          </cell>
          <cell r="H1086">
            <v>35.08</v>
          </cell>
        </row>
        <row r="1087">
          <cell r="A1087">
            <v>316293</v>
          </cell>
          <cell r="H1087">
            <v>41.06</v>
          </cell>
        </row>
        <row r="1088">
          <cell r="A1088">
            <v>316299</v>
          </cell>
          <cell r="H1088">
            <v>36.090000000000003</v>
          </cell>
        </row>
        <row r="1089">
          <cell r="A1089">
            <v>316308</v>
          </cell>
          <cell r="H1089">
            <v>36.83</v>
          </cell>
        </row>
        <row r="1090">
          <cell r="A1090">
            <v>316337</v>
          </cell>
          <cell r="H1090">
            <v>41.86</v>
          </cell>
        </row>
        <row r="1091">
          <cell r="A1091">
            <v>316357</v>
          </cell>
          <cell r="H1091">
            <v>33.03</v>
          </cell>
        </row>
        <row r="1092">
          <cell r="A1092">
            <v>316359</v>
          </cell>
          <cell r="H1092">
            <v>42.99</v>
          </cell>
        </row>
        <row r="1093">
          <cell r="A1093">
            <v>316362</v>
          </cell>
          <cell r="H1093">
            <v>33.01</v>
          </cell>
        </row>
        <row r="1094">
          <cell r="A1094">
            <v>316363</v>
          </cell>
          <cell r="H1094">
            <v>37.58</v>
          </cell>
        </row>
        <row r="1095">
          <cell r="A1095">
            <v>316365</v>
          </cell>
          <cell r="H1095">
            <v>30.95</v>
          </cell>
        </row>
        <row r="1096">
          <cell r="A1096">
            <v>316366</v>
          </cell>
          <cell r="H1096">
            <v>36.32</v>
          </cell>
        </row>
        <row r="1097">
          <cell r="A1097">
            <v>316367</v>
          </cell>
          <cell r="H1097">
            <v>36.57</v>
          </cell>
        </row>
        <row r="1098">
          <cell r="A1098">
            <v>316368</v>
          </cell>
          <cell r="H1098">
            <v>35.82</v>
          </cell>
        </row>
        <row r="1099">
          <cell r="A1099">
            <v>316369</v>
          </cell>
          <cell r="H1099">
            <v>41.28</v>
          </cell>
        </row>
        <row r="1100">
          <cell r="A1100">
            <v>316371</v>
          </cell>
          <cell r="H1100">
            <v>35.840000000000003</v>
          </cell>
        </row>
        <row r="1101">
          <cell r="A1101">
            <v>316373</v>
          </cell>
          <cell r="H1101">
            <v>38.39</v>
          </cell>
        </row>
        <row r="1102">
          <cell r="A1102">
            <v>316379</v>
          </cell>
          <cell r="H1102">
            <v>36.42</v>
          </cell>
        </row>
        <row r="1103">
          <cell r="A1103">
            <v>316386</v>
          </cell>
          <cell r="H1103">
            <v>37.020000000000003</v>
          </cell>
        </row>
        <row r="1104">
          <cell r="A1104">
            <v>316391</v>
          </cell>
          <cell r="H1104">
            <v>34.93</v>
          </cell>
        </row>
        <row r="1105">
          <cell r="A1105">
            <v>316393</v>
          </cell>
          <cell r="H1105">
            <v>36.15</v>
          </cell>
        </row>
        <row r="1106">
          <cell r="A1106">
            <v>316394</v>
          </cell>
          <cell r="H1106">
            <v>40.49</v>
          </cell>
        </row>
        <row r="1107">
          <cell r="A1107">
            <v>316400</v>
          </cell>
          <cell r="H1107">
            <v>35.950000000000003</v>
          </cell>
        </row>
        <row r="1108">
          <cell r="A1108">
            <v>316408</v>
          </cell>
          <cell r="H1108">
            <v>37.909999999999997</v>
          </cell>
        </row>
        <row r="1109">
          <cell r="A1109">
            <v>316409</v>
          </cell>
          <cell r="H1109">
            <v>35.99</v>
          </cell>
        </row>
        <row r="1110">
          <cell r="A1110">
            <v>316412</v>
          </cell>
          <cell r="H1110">
            <v>37.270000000000003</v>
          </cell>
        </row>
        <row r="1111">
          <cell r="A1111">
            <v>316413</v>
          </cell>
          <cell r="H1111">
            <v>39.08</v>
          </cell>
        </row>
        <row r="1112">
          <cell r="A1112">
            <v>316415</v>
          </cell>
          <cell r="H1112">
            <v>33.1</v>
          </cell>
        </row>
        <row r="1113">
          <cell r="A1113">
            <v>316416</v>
          </cell>
          <cell r="H1113">
            <v>35.869999999999997</v>
          </cell>
        </row>
        <row r="1114">
          <cell r="A1114">
            <v>316418</v>
          </cell>
          <cell r="H1114">
            <v>40.22</v>
          </cell>
        </row>
        <row r="1115">
          <cell r="A1115">
            <v>316419</v>
          </cell>
          <cell r="H1115">
            <v>32.659999999999997</v>
          </cell>
        </row>
        <row r="1116">
          <cell r="A1116">
            <v>316420</v>
          </cell>
          <cell r="H1116">
            <v>34.729999999999997</v>
          </cell>
        </row>
        <row r="1117">
          <cell r="A1117">
            <v>316421</v>
          </cell>
          <cell r="H1117">
            <v>42.68</v>
          </cell>
        </row>
        <row r="1118">
          <cell r="A1118">
            <v>316423</v>
          </cell>
          <cell r="H1118">
            <v>39.51</v>
          </cell>
        </row>
        <row r="1119">
          <cell r="A1119">
            <v>316427</v>
          </cell>
          <cell r="H1119">
            <v>36.4</v>
          </cell>
        </row>
        <row r="1120">
          <cell r="A1120">
            <v>316435</v>
          </cell>
          <cell r="H1120">
            <v>35.17</v>
          </cell>
        </row>
        <row r="1121">
          <cell r="A1121">
            <v>316468</v>
          </cell>
          <cell r="H1121">
            <v>37.909999999999997</v>
          </cell>
        </row>
        <row r="1122">
          <cell r="A1122">
            <v>316479</v>
          </cell>
          <cell r="H1122">
            <v>40.79</v>
          </cell>
        </row>
        <row r="1123">
          <cell r="A1123">
            <v>316483</v>
          </cell>
          <cell r="H1123">
            <v>33.06</v>
          </cell>
        </row>
        <row r="1124">
          <cell r="A1124">
            <v>316486</v>
          </cell>
          <cell r="H1124">
            <v>41.84</v>
          </cell>
        </row>
        <row r="1125">
          <cell r="A1125">
            <v>316495</v>
          </cell>
          <cell r="H1125">
            <v>36.909999999999997</v>
          </cell>
        </row>
        <row r="1126">
          <cell r="A1126">
            <v>316505</v>
          </cell>
          <cell r="H1126">
            <v>36.19</v>
          </cell>
        </row>
        <row r="1127">
          <cell r="A1127">
            <v>316512</v>
          </cell>
          <cell r="H1127">
            <v>37.729999999999997</v>
          </cell>
        </row>
        <row r="1128">
          <cell r="A1128">
            <v>316513</v>
          </cell>
          <cell r="H1128">
            <v>35.81</v>
          </cell>
        </row>
        <row r="1129">
          <cell r="A1129">
            <v>316514</v>
          </cell>
          <cell r="H1129">
            <v>40.69</v>
          </cell>
        </row>
        <row r="1130">
          <cell r="A1130">
            <v>316515</v>
          </cell>
          <cell r="H1130">
            <v>37.32</v>
          </cell>
        </row>
        <row r="1131">
          <cell r="A1131">
            <v>316516</v>
          </cell>
          <cell r="H1131">
            <v>34.78</v>
          </cell>
        </row>
        <row r="1132">
          <cell r="A1132">
            <v>316519</v>
          </cell>
          <cell r="H1132">
            <v>35.85</v>
          </cell>
        </row>
        <row r="1133">
          <cell r="A1133">
            <v>316520</v>
          </cell>
          <cell r="H1133">
            <v>33.130000000000003</v>
          </cell>
        </row>
        <row r="1134">
          <cell r="A1134">
            <v>316523</v>
          </cell>
          <cell r="H1134">
            <v>40.96</v>
          </cell>
        </row>
        <row r="1135">
          <cell r="A1135">
            <v>316527</v>
          </cell>
          <cell r="H1135">
            <v>36.42</v>
          </cell>
        </row>
        <row r="1136">
          <cell r="A1136">
            <v>316528</v>
          </cell>
          <cell r="H1136">
            <v>38.31</v>
          </cell>
        </row>
        <row r="1137">
          <cell r="A1137">
            <v>316531</v>
          </cell>
          <cell r="H1137">
            <v>34.64</v>
          </cell>
        </row>
        <row r="1138">
          <cell r="A1138">
            <v>316543</v>
          </cell>
          <cell r="H1138">
            <v>37.24</v>
          </cell>
        </row>
        <row r="1139">
          <cell r="A1139">
            <v>316544</v>
          </cell>
          <cell r="H1139">
            <v>41.11</v>
          </cell>
        </row>
        <row r="1140">
          <cell r="A1140">
            <v>316545</v>
          </cell>
          <cell r="H1140">
            <v>33.200000000000003</v>
          </cell>
        </row>
        <row r="1141">
          <cell r="A1141">
            <v>316548</v>
          </cell>
          <cell r="H1141">
            <v>34.67</v>
          </cell>
        </row>
        <row r="1142">
          <cell r="A1142">
            <v>316549</v>
          </cell>
          <cell r="H1142">
            <v>35.99</v>
          </cell>
        </row>
        <row r="1143">
          <cell r="A1143">
            <v>316552</v>
          </cell>
          <cell r="H1143">
            <v>39.76</v>
          </cell>
        </row>
        <row r="1144">
          <cell r="A1144">
            <v>316557</v>
          </cell>
          <cell r="H1144">
            <v>36.130000000000003</v>
          </cell>
        </row>
        <row r="1145">
          <cell r="A1145">
            <v>316565</v>
          </cell>
          <cell r="H1145">
            <v>36.479999999999997</v>
          </cell>
        </row>
        <row r="1146">
          <cell r="A1146">
            <v>316609</v>
          </cell>
          <cell r="H1146">
            <v>35.46</v>
          </cell>
        </row>
        <row r="1147">
          <cell r="A1147">
            <v>316610</v>
          </cell>
          <cell r="H1147">
            <v>34.590000000000003</v>
          </cell>
        </row>
        <row r="1148">
          <cell r="A1148">
            <v>316613</v>
          </cell>
          <cell r="H1148">
            <v>34.71</v>
          </cell>
        </row>
        <row r="1149">
          <cell r="A1149">
            <v>316617</v>
          </cell>
          <cell r="H1149">
            <v>35.31</v>
          </cell>
        </row>
        <row r="1150">
          <cell r="A1150">
            <v>316618</v>
          </cell>
          <cell r="H1150">
            <v>36.729999999999997</v>
          </cell>
        </row>
        <row r="1151">
          <cell r="A1151">
            <v>316620</v>
          </cell>
          <cell r="H1151">
            <v>43.25</v>
          </cell>
        </row>
        <row r="1152">
          <cell r="A1152">
            <v>316621</v>
          </cell>
          <cell r="H1152">
            <v>35.06</v>
          </cell>
        </row>
        <row r="1153">
          <cell r="A1153">
            <v>316622</v>
          </cell>
          <cell r="H1153">
            <v>35.21</v>
          </cell>
        </row>
        <row r="1154">
          <cell r="A1154">
            <v>316623</v>
          </cell>
          <cell r="H1154">
            <v>34.82</v>
          </cell>
        </row>
        <row r="1155">
          <cell r="A1155">
            <v>316625</v>
          </cell>
          <cell r="H1155">
            <v>34.72</v>
          </cell>
        </row>
        <row r="1156">
          <cell r="A1156">
            <v>316626</v>
          </cell>
          <cell r="H1156">
            <v>32.82</v>
          </cell>
        </row>
        <row r="1157">
          <cell r="A1157">
            <v>316628</v>
          </cell>
          <cell r="H1157">
            <v>34.450000000000003</v>
          </cell>
        </row>
        <row r="1158">
          <cell r="A1158">
            <v>316633</v>
          </cell>
          <cell r="H1158">
            <v>31.91</v>
          </cell>
        </row>
        <row r="1159">
          <cell r="A1159">
            <v>316634</v>
          </cell>
          <cell r="H1159">
            <v>32.76</v>
          </cell>
        </row>
        <row r="1160">
          <cell r="A1160">
            <v>316637</v>
          </cell>
          <cell r="H1160">
            <v>33.14</v>
          </cell>
        </row>
        <row r="1161">
          <cell r="A1161">
            <v>316639</v>
          </cell>
          <cell r="H1161">
            <v>35.08</v>
          </cell>
        </row>
        <row r="1162">
          <cell r="A1162">
            <v>316640</v>
          </cell>
          <cell r="H1162">
            <v>25.62</v>
          </cell>
        </row>
        <row r="1163">
          <cell r="A1163">
            <v>316650</v>
          </cell>
          <cell r="H1163">
            <v>37.61</v>
          </cell>
        </row>
        <row r="1164">
          <cell r="A1164">
            <v>316651</v>
          </cell>
          <cell r="H1164">
            <v>37.32</v>
          </cell>
        </row>
        <row r="1165">
          <cell r="A1165">
            <v>316652</v>
          </cell>
          <cell r="H1165">
            <v>36.4</v>
          </cell>
        </row>
        <row r="1166">
          <cell r="A1166">
            <v>316654</v>
          </cell>
          <cell r="H1166">
            <v>33.53</v>
          </cell>
        </row>
        <row r="1167">
          <cell r="A1167">
            <v>316658</v>
          </cell>
          <cell r="H1167">
            <v>38.200000000000003</v>
          </cell>
        </row>
        <row r="1168">
          <cell r="A1168">
            <v>316671</v>
          </cell>
          <cell r="H1168">
            <v>36.979999999999997</v>
          </cell>
        </row>
        <row r="1169">
          <cell r="A1169">
            <v>316675</v>
          </cell>
          <cell r="H1169">
            <v>41.42</v>
          </cell>
        </row>
        <row r="1170">
          <cell r="A1170">
            <v>316677</v>
          </cell>
          <cell r="H1170">
            <v>35.520000000000003</v>
          </cell>
        </row>
        <row r="1171">
          <cell r="A1171">
            <v>316678</v>
          </cell>
          <cell r="H1171">
            <v>35.5</v>
          </cell>
        </row>
        <row r="1172">
          <cell r="A1172">
            <v>316680</v>
          </cell>
          <cell r="H1172">
            <v>35.53</v>
          </cell>
        </row>
        <row r="1173">
          <cell r="A1173">
            <v>316681</v>
          </cell>
          <cell r="H1173">
            <v>40.94</v>
          </cell>
        </row>
        <row r="1174">
          <cell r="A1174">
            <v>316685</v>
          </cell>
          <cell r="H1174">
            <v>41.73</v>
          </cell>
        </row>
        <row r="1175">
          <cell r="A1175">
            <v>316692</v>
          </cell>
          <cell r="H1175">
            <v>36.799999999999997</v>
          </cell>
        </row>
        <row r="1176">
          <cell r="A1176">
            <v>316694</v>
          </cell>
          <cell r="H1176">
            <v>40.47</v>
          </cell>
        </row>
        <row r="1177">
          <cell r="A1177">
            <v>316695</v>
          </cell>
          <cell r="H1177">
            <v>37.380000000000003</v>
          </cell>
        </row>
        <row r="1178">
          <cell r="A1178">
            <v>316742</v>
          </cell>
          <cell r="H1178">
            <v>34.770000000000003</v>
          </cell>
        </row>
        <row r="1179">
          <cell r="A1179">
            <v>316751</v>
          </cell>
          <cell r="H1179">
            <v>33.36</v>
          </cell>
        </row>
        <row r="1180">
          <cell r="A1180">
            <v>316754</v>
          </cell>
          <cell r="H1180">
            <v>38.18</v>
          </cell>
        </row>
        <row r="1181">
          <cell r="A1181">
            <v>316757</v>
          </cell>
          <cell r="H1181">
            <v>35.479999999999997</v>
          </cell>
        </row>
        <row r="1182">
          <cell r="A1182">
            <v>316765</v>
          </cell>
          <cell r="H1182">
            <v>36.78</v>
          </cell>
        </row>
        <row r="1183">
          <cell r="A1183">
            <v>316766</v>
          </cell>
          <cell r="H1183">
            <v>33.200000000000003</v>
          </cell>
        </row>
        <row r="1184">
          <cell r="A1184">
            <v>315642</v>
          </cell>
          <cell r="H1184">
            <v>35.51</v>
          </cell>
        </row>
        <row r="1185">
          <cell r="A1185">
            <v>315647</v>
          </cell>
          <cell r="H1185">
            <v>35.42</v>
          </cell>
        </row>
        <row r="1186">
          <cell r="A1186">
            <v>315678</v>
          </cell>
          <cell r="H1186">
            <v>35.17</v>
          </cell>
        </row>
        <row r="1187">
          <cell r="A1187">
            <v>315686</v>
          </cell>
          <cell r="H1187">
            <v>36.78</v>
          </cell>
        </row>
        <row r="1188">
          <cell r="A1188">
            <v>315689</v>
          </cell>
          <cell r="H1188">
            <v>37.909999999999997</v>
          </cell>
        </row>
        <row r="1189">
          <cell r="A1189">
            <v>315690</v>
          </cell>
          <cell r="H1189">
            <v>35.85</v>
          </cell>
        </row>
        <row r="1190">
          <cell r="A1190">
            <v>315692</v>
          </cell>
          <cell r="H1190">
            <v>40.75</v>
          </cell>
        </row>
        <row r="1191">
          <cell r="A1191">
            <v>315693</v>
          </cell>
          <cell r="H1191">
            <v>32.65</v>
          </cell>
        </row>
        <row r="1192">
          <cell r="A1192">
            <v>315697</v>
          </cell>
          <cell r="H1192">
            <v>36.520000000000003</v>
          </cell>
        </row>
        <row r="1193">
          <cell r="A1193">
            <v>315701</v>
          </cell>
          <cell r="H1193">
            <v>36.700000000000003</v>
          </cell>
        </row>
        <row r="1194">
          <cell r="A1194">
            <v>315704</v>
          </cell>
          <cell r="H1194">
            <v>40.729999999999997</v>
          </cell>
        </row>
        <row r="1195">
          <cell r="A1195">
            <v>315705</v>
          </cell>
          <cell r="H1195">
            <v>42.56</v>
          </cell>
        </row>
        <row r="1196">
          <cell r="A1196">
            <v>315706</v>
          </cell>
          <cell r="H1196">
            <v>37.99</v>
          </cell>
        </row>
        <row r="1197">
          <cell r="A1197">
            <v>315708</v>
          </cell>
          <cell r="H1197">
            <v>35.54</v>
          </cell>
        </row>
        <row r="1198">
          <cell r="A1198">
            <v>315712</v>
          </cell>
          <cell r="H1198">
            <v>37.01</v>
          </cell>
        </row>
        <row r="1199">
          <cell r="A1199">
            <v>315713</v>
          </cell>
          <cell r="H1199">
            <v>38.4</v>
          </cell>
        </row>
        <row r="1200">
          <cell r="A1200">
            <v>315727</v>
          </cell>
          <cell r="H1200">
            <v>40.14</v>
          </cell>
        </row>
        <row r="1201">
          <cell r="A1201">
            <v>315731</v>
          </cell>
          <cell r="H1201">
            <v>35.28</v>
          </cell>
        </row>
        <row r="1202">
          <cell r="A1202">
            <v>315736</v>
          </cell>
          <cell r="H1202">
            <v>35.5</v>
          </cell>
        </row>
        <row r="1203">
          <cell r="A1203">
            <v>315737</v>
          </cell>
          <cell r="H1203">
            <v>35.380000000000003</v>
          </cell>
        </row>
        <row r="1204">
          <cell r="A1204">
            <v>315738</v>
          </cell>
          <cell r="H1204">
            <v>33.15</v>
          </cell>
        </row>
        <row r="1205">
          <cell r="A1205">
            <v>315740</v>
          </cell>
          <cell r="H1205">
            <v>33.42</v>
          </cell>
        </row>
        <row r="1206">
          <cell r="A1206">
            <v>315741</v>
          </cell>
          <cell r="H1206">
            <v>38.5</v>
          </cell>
        </row>
        <row r="1207">
          <cell r="A1207">
            <v>315743</v>
          </cell>
          <cell r="H1207">
            <v>33.33</v>
          </cell>
        </row>
        <row r="1208">
          <cell r="A1208">
            <v>315745</v>
          </cell>
          <cell r="H1208">
            <v>37.049999999999997</v>
          </cell>
        </row>
        <row r="1209">
          <cell r="A1209">
            <v>315746</v>
          </cell>
          <cell r="H1209">
            <v>36.97</v>
          </cell>
        </row>
        <row r="1210">
          <cell r="A1210">
            <v>315747</v>
          </cell>
          <cell r="H1210">
            <v>32.94</v>
          </cell>
        </row>
        <row r="1211">
          <cell r="A1211">
            <v>315748</v>
          </cell>
          <cell r="H1211">
            <v>35.64</v>
          </cell>
        </row>
        <row r="1212">
          <cell r="A1212">
            <v>315749</v>
          </cell>
          <cell r="H1212">
            <v>35.53</v>
          </cell>
        </row>
        <row r="1213">
          <cell r="A1213">
            <v>315751</v>
          </cell>
          <cell r="H1213">
            <v>38.75</v>
          </cell>
        </row>
        <row r="1214">
          <cell r="A1214">
            <v>315755</v>
          </cell>
          <cell r="H1214">
            <v>35.090000000000003</v>
          </cell>
        </row>
        <row r="1215">
          <cell r="A1215">
            <v>315762</v>
          </cell>
          <cell r="H1215">
            <v>33.58</v>
          </cell>
        </row>
        <row r="1216">
          <cell r="A1216">
            <v>315766</v>
          </cell>
          <cell r="H1216">
            <v>34.31</v>
          </cell>
        </row>
        <row r="1217">
          <cell r="A1217">
            <v>315776</v>
          </cell>
          <cell r="H1217">
            <v>36.14</v>
          </cell>
        </row>
        <row r="1218">
          <cell r="A1218">
            <v>315783</v>
          </cell>
          <cell r="H1218">
            <v>40.58</v>
          </cell>
        </row>
        <row r="1219">
          <cell r="A1219">
            <v>315787</v>
          </cell>
          <cell r="H1219">
            <v>35.85</v>
          </cell>
        </row>
        <row r="1220">
          <cell r="A1220">
            <v>315831</v>
          </cell>
          <cell r="H1220">
            <v>36.61</v>
          </cell>
        </row>
        <row r="1221">
          <cell r="A1221">
            <v>315832</v>
          </cell>
          <cell r="H1221">
            <v>37.61</v>
          </cell>
        </row>
        <row r="1222">
          <cell r="A1222">
            <v>315836</v>
          </cell>
          <cell r="H1222">
            <v>38.33</v>
          </cell>
        </row>
        <row r="1223">
          <cell r="A1223">
            <v>315838</v>
          </cell>
          <cell r="H1223">
            <v>34.9</v>
          </cell>
        </row>
        <row r="1224">
          <cell r="A1224">
            <v>315847</v>
          </cell>
          <cell r="H1224">
            <v>35.61</v>
          </cell>
        </row>
        <row r="1225">
          <cell r="A1225">
            <v>315858</v>
          </cell>
          <cell r="H1225">
            <v>38.35</v>
          </cell>
        </row>
        <row r="1226">
          <cell r="A1226">
            <v>315862</v>
          </cell>
          <cell r="H1226">
            <v>38.72</v>
          </cell>
        </row>
        <row r="1227">
          <cell r="A1227">
            <v>315863</v>
          </cell>
          <cell r="H1227">
            <v>37.840000000000003</v>
          </cell>
        </row>
        <row r="1228">
          <cell r="A1228">
            <v>315865</v>
          </cell>
          <cell r="H1228">
            <v>36.11</v>
          </cell>
        </row>
        <row r="1229">
          <cell r="A1229">
            <v>315866</v>
          </cell>
          <cell r="H1229">
            <v>42.08</v>
          </cell>
        </row>
        <row r="1230">
          <cell r="A1230">
            <v>315867</v>
          </cell>
          <cell r="H1230">
            <v>37.47</v>
          </cell>
        </row>
        <row r="1231">
          <cell r="A1231">
            <v>315868</v>
          </cell>
          <cell r="H1231">
            <v>41.08</v>
          </cell>
        </row>
        <row r="1232">
          <cell r="A1232">
            <v>315869</v>
          </cell>
          <cell r="H1232">
            <v>34.07</v>
          </cell>
        </row>
        <row r="1233">
          <cell r="A1233">
            <v>315876</v>
          </cell>
          <cell r="H1233">
            <v>30.91</v>
          </cell>
        </row>
        <row r="1234">
          <cell r="A1234">
            <v>315878</v>
          </cell>
          <cell r="H1234">
            <v>41.11</v>
          </cell>
        </row>
        <row r="1235">
          <cell r="A1235">
            <v>315879</v>
          </cell>
          <cell r="H1235">
            <v>33.96</v>
          </cell>
        </row>
        <row r="1236">
          <cell r="A1236">
            <v>315880</v>
          </cell>
          <cell r="H1236">
            <v>33.31</v>
          </cell>
        </row>
        <row r="1237">
          <cell r="A1237">
            <v>315884</v>
          </cell>
          <cell r="H1237">
            <v>42.05</v>
          </cell>
        </row>
        <row r="1238">
          <cell r="A1238">
            <v>315886</v>
          </cell>
          <cell r="H1238">
            <v>33.1</v>
          </cell>
        </row>
        <row r="1239">
          <cell r="A1239">
            <v>315888</v>
          </cell>
          <cell r="H1239">
            <v>40.92</v>
          </cell>
        </row>
        <row r="1240">
          <cell r="A1240">
            <v>315890</v>
          </cell>
          <cell r="H1240">
            <v>33.07</v>
          </cell>
        </row>
        <row r="1241">
          <cell r="A1241">
            <v>315895</v>
          </cell>
          <cell r="H1241">
            <v>37.51</v>
          </cell>
        </row>
        <row r="1242">
          <cell r="A1242">
            <v>315896</v>
          </cell>
          <cell r="H1242">
            <v>35.229999999999997</v>
          </cell>
        </row>
        <row r="1243">
          <cell r="A1243">
            <v>315897</v>
          </cell>
          <cell r="H1243">
            <v>36.130000000000003</v>
          </cell>
        </row>
        <row r="1244">
          <cell r="A1244">
            <v>315898</v>
          </cell>
          <cell r="H1244">
            <v>37.200000000000003</v>
          </cell>
        </row>
        <row r="1245">
          <cell r="A1245">
            <v>315901</v>
          </cell>
          <cell r="H1245">
            <v>40.76</v>
          </cell>
        </row>
        <row r="1246">
          <cell r="A1246">
            <v>315905</v>
          </cell>
          <cell r="H1246">
            <v>37</v>
          </cell>
        </row>
        <row r="1247">
          <cell r="A1247">
            <v>315906</v>
          </cell>
          <cell r="H1247">
            <v>37.11</v>
          </cell>
        </row>
        <row r="1248">
          <cell r="A1248">
            <v>315907</v>
          </cell>
          <cell r="H1248">
            <v>36.32</v>
          </cell>
        </row>
        <row r="1249">
          <cell r="A1249">
            <v>315920</v>
          </cell>
          <cell r="H1249">
            <v>35.89</v>
          </cell>
        </row>
        <row r="1250">
          <cell r="A1250">
            <v>315924</v>
          </cell>
          <cell r="H1250">
            <v>36.47</v>
          </cell>
        </row>
        <row r="1251">
          <cell r="A1251">
            <v>315927</v>
          </cell>
          <cell r="H1251">
            <v>37.799999999999997</v>
          </cell>
        </row>
        <row r="1252">
          <cell r="A1252">
            <v>315951</v>
          </cell>
          <cell r="H1252">
            <v>34.729999999999997</v>
          </cell>
        </row>
        <row r="1253">
          <cell r="A1253">
            <v>315963</v>
          </cell>
          <cell r="H1253">
            <v>33.630000000000003</v>
          </cell>
        </row>
        <row r="1254">
          <cell r="A1254">
            <v>315965</v>
          </cell>
          <cell r="H1254">
            <v>38.270000000000003</v>
          </cell>
        </row>
        <row r="1255">
          <cell r="A1255">
            <v>315979</v>
          </cell>
          <cell r="H1255">
            <v>35.39</v>
          </cell>
        </row>
        <row r="1256">
          <cell r="A1256">
            <v>315981</v>
          </cell>
          <cell r="H1256">
            <v>32.97</v>
          </cell>
        </row>
        <row r="1257">
          <cell r="A1257">
            <v>315983</v>
          </cell>
          <cell r="H1257">
            <v>37.130000000000003</v>
          </cell>
        </row>
        <row r="1258">
          <cell r="A1258">
            <v>315988</v>
          </cell>
          <cell r="H1258">
            <v>41.13</v>
          </cell>
        </row>
        <row r="1259">
          <cell r="A1259">
            <v>315991</v>
          </cell>
          <cell r="H1259">
            <v>39.020000000000003</v>
          </cell>
        </row>
        <row r="1260">
          <cell r="A1260">
            <v>315992</v>
          </cell>
          <cell r="H1260">
            <v>35.76</v>
          </cell>
        </row>
        <row r="1261">
          <cell r="A1261">
            <v>315994</v>
          </cell>
          <cell r="H1261">
            <v>35.5</v>
          </cell>
        </row>
        <row r="1262">
          <cell r="A1262">
            <v>315995</v>
          </cell>
          <cell r="H1262">
            <v>34.770000000000003</v>
          </cell>
        </row>
        <row r="1263">
          <cell r="A1263">
            <v>315997</v>
          </cell>
          <cell r="H1263">
            <v>34.1</v>
          </cell>
        </row>
        <row r="1264">
          <cell r="A1264">
            <v>315998</v>
          </cell>
          <cell r="H1264">
            <v>40.880000000000003</v>
          </cell>
        </row>
        <row r="1265">
          <cell r="A1265">
            <v>315999</v>
          </cell>
          <cell r="H1265">
            <v>36.19</v>
          </cell>
        </row>
        <row r="1266">
          <cell r="A1266">
            <v>316000</v>
          </cell>
          <cell r="H1266">
            <v>41.35</v>
          </cell>
        </row>
        <row r="1267">
          <cell r="A1267">
            <v>316770</v>
          </cell>
          <cell r="H1267">
            <v>35.64</v>
          </cell>
        </row>
        <row r="1268">
          <cell r="A1268">
            <v>316771</v>
          </cell>
          <cell r="H1268">
            <v>34.950000000000003</v>
          </cell>
        </row>
        <row r="1269">
          <cell r="A1269">
            <v>316777</v>
          </cell>
          <cell r="H1269">
            <v>37.299999999999997</v>
          </cell>
        </row>
        <row r="1270">
          <cell r="A1270">
            <v>316786</v>
          </cell>
          <cell r="H1270">
            <v>36.61</v>
          </cell>
        </row>
        <row r="1271">
          <cell r="A1271">
            <v>316796</v>
          </cell>
          <cell r="H1271">
            <v>33.61</v>
          </cell>
        </row>
        <row r="1272">
          <cell r="A1272">
            <v>316805</v>
          </cell>
          <cell r="H1272">
            <v>40.78</v>
          </cell>
        </row>
        <row r="1273">
          <cell r="A1273">
            <v>316807</v>
          </cell>
          <cell r="H1273">
            <v>37.22</v>
          </cell>
        </row>
        <row r="1274">
          <cell r="A1274">
            <v>316809</v>
          </cell>
          <cell r="H1274">
            <v>43.13</v>
          </cell>
        </row>
        <row r="1275">
          <cell r="A1275">
            <v>316810</v>
          </cell>
          <cell r="H1275">
            <v>35.96</v>
          </cell>
        </row>
        <row r="1276">
          <cell r="A1276">
            <v>316811</v>
          </cell>
          <cell r="H1276">
            <v>41.41</v>
          </cell>
        </row>
        <row r="1277">
          <cell r="A1277">
            <v>316812</v>
          </cell>
          <cell r="H1277">
            <v>34.840000000000003</v>
          </cell>
        </row>
        <row r="1278">
          <cell r="A1278">
            <v>316813</v>
          </cell>
          <cell r="H1278">
            <v>37.75</v>
          </cell>
        </row>
        <row r="1279">
          <cell r="A1279">
            <v>316814</v>
          </cell>
          <cell r="H1279">
            <v>41.31</v>
          </cell>
        </row>
        <row r="1280">
          <cell r="A1280">
            <v>316815</v>
          </cell>
          <cell r="H1280">
            <v>40.79</v>
          </cell>
        </row>
        <row r="1281">
          <cell r="A1281">
            <v>316824</v>
          </cell>
          <cell r="H1281">
            <v>36.380000000000003</v>
          </cell>
        </row>
        <row r="1282">
          <cell r="A1282">
            <v>316827</v>
          </cell>
          <cell r="H1282">
            <v>40.770000000000003</v>
          </cell>
        </row>
        <row r="1283">
          <cell r="A1283">
            <v>316832</v>
          </cell>
          <cell r="H1283">
            <v>35.22</v>
          </cell>
        </row>
        <row r="1284">
          <cell r="A1284">
            <v>316884</v>
          </cell>
          <cell r="H1284">
            <v>33.049999999999997</v>
          </cell>
        </row>
        <row r="1285">
          <cell r="A1285">
            <v>316887</v>
          </cell>
          <cell r="H1285">
            <v>35.450000000000003</v>
          </cell>
        </row>
        <row r="1286">
          <cell r="A1286">
            <v>316889</v>
          </cell>
          <cell r="H1286">
            <v>38.42</v>
          </cell>
        </row>
        <row r="1287">
          <cell r="A1287">
            <v>316890</v>
          </cell>
          <cell r="H1287">
            <v>38.17</v>
          </cell>
        </row>
        <row r="1288">
          <cell r="A1288">
            <v>316902</v>
          </cell>
          <cell r="H1288">
            <v>33.6</v>
          </cell>
        </row>
        <row r="1289">
          <cell r="A1289">
            <v>316903</v>
          </cell>
          <cell r="H1289">
            <v>33.92</v>
          </cell>
        </row>
        <row r="1290">
          <cell r="A1290">
            <v>316907</v>
          </cell>
          <cell r="H1290">
            <v>37.72</v>
          </cell>
        </row>
        <row r="1291">
          <cell r="A1291">
            <v>316912</v>
          </cell>
          <cell r="H1291">
            <v>36.159999999999997</v>
          </cell>
        </row>
        <row r="1292">
          <cell r="A1292">
            <v>316914</v>
          </cell>
          <cell r="H1292">
            <v>36.909999999999997</v>
          </cell>
        </row>
        <row r="1293">
          <cell r="A1293">
            <v>316916</v>
          </cell>
          <cell r="H1293">
            <v>34.89</v>
          </cell>
        </row>
        <row r="1294">
          <cell r="A1294">
            <v>316917</v>
          </cell>
          <cell r="H1294">
            <v>34.86</v>
          </cell>
        </row>
        <row r="1295">
          <cell r="A1295">
            <v>316933</v>
          </cell>
          <cell r="H1295">
            <v>35.5</v>
          </cell>
        </row>
        <row r="1296">
          <cell r="A1296">
            <v>316934</v>
          </cell>
          <cell r="H1296">
            <v>40.909999999999997</v>
          </cell>
        </row>
        <row r="1297">
          <cell r="A1297">
            <v>316935</v>
          </cell>
          <cell r="H1297">
            <v>35.76</v>
          </cell>
        </row>
        <row r="1298">
          <cell r="A1298">
            <v>316937</v>
          </cell>
          <cell r="H1298">
            <v>36.700000000000003</v>
          </cell>
        </row>
        <row r="1299">
          <cell r="A1299">
            <v>316940</v>
          </cell>
          <cell r="H1299">
            <v>33.65</v>
          </cell>
        </row>
        <row r="1300">
          <cell r="A1300">
            <v>316942</v>
          </cell>
          <cell r="H1300">
            <v>33.64</v>
          </cell>
        </row>
        <row r="1301">
          <cell r="A1301">
            <v>316944</v>
          </cell>
          <cell r="H1301">
            <v>35.979999999999997</v>
          </cell>
        </row>
        <row r="1302">
          <cell r="A1302">
            <v>316945</v>
          </cell>
          <cell r="H1302">
            <v>34.61</v>
          </cell>
        </row>
        <row r="1303">
          <cell r="A1303">
            <v>316946</v>
          </cell>
          <cell r="H1303">
            <v>40.630000000000003</v>
          </cell>
        </row>
        <row r="1304">
          <cell r="A1304">
            <v>316949</v>
          </cell>
          <cell r="H1304">
            <v>41.44</v>
          </cell>
        </row>
        <row r="1305">
          <cell r="A1305">
            <v>316951</v>
          </cell>
          <cell r="H1305">
            <v>37.19</v>
          </cell>
        </row>
        <row r="1306">
          <cell r="A1306">
            <v>316952</v>
          </cell>
          <cell r="H1306">
            <v>38.549999999999997</v>
          </cell>
        </row>
        <row r="1307">
          <cell r="A1307">
            <v>316961</v>
          </cell>
          <cell r="H1307">
            <v>37.68</v>
          </cell>
        </row>
        <row r="1308">
          <cell r="A1308">
            <v>316962</v>
          </cell>
          <cell r="H1308">
            <v>36.18</v>
          </cell>
        </row>
        <row r="1309">
          <cell r="A1309">
            <v>316963</v>
          </cell>
          <cell r="H1309">
            <v>41.07</v>
          </cell>
        </row>
        <row r="1310">
          <cell r="A1310">
            <v>316970</v>
          </cell>
          <cell r="H1310">
            <v>41.25</v>
          </cell>
        </row>
        <row r="1311">
          <cell r="A1311">
            <v>317011</v>
          </cell>
          <cell r="H1311">
            <v>36.200000000000003</v>
          </cell>
        </row>
        <row r="1312">
          <cell r="A1312">
            <v>317019</v>
          </cell>
          <cell r="H1312">
            <v>36.11</v>
          </cell>
        </row>
        <row r="1313">
          <cell r="A1313">
            <v>317030</v>
          </cell>
          <cell r="H1313">
            <v>38.200000000000003</v>
          </cell>
        </row>
        <row r="1314">
          <cell r="A1314">
            <v>317031</v>
          </cell>
          <cell r="H1314">
            <v>34.880000000000003</v>
          </cell>
        </row>
        <row r="1315">
          <cell r="A1315">
            <v>317033</v>
          </cell>
          <cell r="H1315">
            <v>33.06</v>
          </cell>
        </row>
        <row r="1316">
          <cell r="A1316">
            <v>317040</v>
          </cell>
          <cell r="H1316">
            <v>39.01</v>
          </cell>
        </row>
        <row r="1317">
          <cell r="A1317">
            <v>317042</v>
          </cell>
          <cell r="H1317">
            <v>38.89</v>
          </cell>
        </row>
        <row r="1318">
          <cell r="A1318">
            <v>317045</v>
          </cell>
          <cell r="H1318">
            <v>37.68</v>
          </cell>
        </row>
        <row r="1319">
          <cell r="A1319">
            <v>317046</v>
          </cell>
          <cell r="H1319">
            <v>33.89</v>
          </cell>
        </row>
        <row r="1320">
          <cell r="A1320">
            <v>317048</v>
          </cell>
          <cell r="H1320">
            <v>35.130000000000003</v>
          </cell>
        </row>
        <row r="1321">
          <cell r="A1321">
            <v>317058</v>
          </cell>
          <cell r="H1321">
            <v>37.1</v>
          </cell>
        </row>
        <row r="1322">
          <cell r="A1322">
            <v>317063</v>
          </cell>
          <cell r="H1322">
            <v>36.159999999999997</v>
          </cell>
        </row>
        <row r="1323">
          <cell r="A1323">
            <v>317068</v>
          </cell>
          <cell r="H1323">
            <v>40.450000000000003</v>
          </cell>
        </row>
        <row r="1324">
          <cell r="A1324">
            <v>317076</v>
          </cell>
          <cell r="H1324">
            <v>33.520000000000003</v>
          </cell>
        </row>
        <row r="1325">
          <cell r="A1325">
            <v>317081</v>
          </cell>
          <cell r="H1325">
            <v>37.840000000000003</v>
          </cell>
        </row>
        <row r="1326">
          <cell r="A1326">
            <v>317086</v>
          </cell>
          <cell r="H1326">
            <v>40.380000000000003</v>
          </cell>
        </row>
        <row r="1327">
          <cell r="A1327">
            <v>317089</v>
          </cell>
          <cell r="H1327">
            <v>33.64</v>
          </cell>
        </row>
        <row r="1328">
          <cell r="A1328">
            <v>317092</v>
          </cell>
          <cell r="H1328">
            <v>41.16</v>
          </cell>
        </row>
        <row r="1329">
          <cell r="A1329">
            <v>317093</v>
          </cell>
          <cell r="H1329">
            <v>40.6</v>
          </cell>
        </row>
        <row r="1330">
          <cell r="A1330">
            <v>317095</v>
          </cell>
          <cell r="H1330">
            <v>38.619999999999997</v>
          </cell>
        </row>
        <row r="1331">
          <cell r="A1331">
            <v>317099</v>
          </cell>
          <cell r="H1331">
            <v>37.75</v>
          </cell>
        </row>
        <row r="1332">
          <cell r="A1332">
            <v>317106</v>
          </cell>
          <cell r="H1332">
            <v>35.5</v>
          </cell>
        </row>
        <row r="1333">
          <cell r="A1333">
            <v>317108</v>
          </cell>
          <cell r="H1333">
            <v>36.04</v>
          </cell>
        </row>
        <row r="1334">
          <cell r="A1334">
            <v>317109</v>
          </cell>
          <cell r="H1334">
            <v>36.32</v>
          </cell>
        </row>
        <row r="1335">
          <cell r="A1335">
            <v>317112</v>
          </cell>
          <cell r="H1335">
            <v>41.7</v>
          </cell>
        </row>
        <row r="1336">
          <cell r="A1336">
            <v>317149</v>
          </cell>
          <cell r="H1336">
            <v>33.21</v>
          </cell>
        </row>
        <row r="1337">
          <cell r="A1337">
            <v>317159</v>
          </cell>
          <cell r="H1337">
            <v>34.97</v>
          </cell>
        </row>
        <row r="1338">
          <cell r="A1338">
            <v>317168</v>
          </cell>
          <cell r="H1338">
            <v>41.11</v>
          </cell>
        </row>
        <row r="1339">
          <cell r="A1339">
            <v>317171</v>
          </cell>
          <cell r="H1339">
            <v>33</v>
          </cell>
        </row>
        <row r="1340">
          <cell r="A1340">
            <v>317176</v>
          </cell>
          <cell r="H1340">
            <v>38.229999999999997</v>
          </cell>
        </row>
        <row r="1341">
          <cell r="A1341">
            <v>317177</v>
          </cell>
          <cell r="H1341">
            <v>38.880000000000003</v>
          </cell>
        </row>
        <row r="1342">
          <cell r="A1342">
            <v>317181</v>
          </cell>
          <cell r="H1342">
            <v>37.74</v>
          </cell>
        </row>
        <row r="1343">
          <cell r="A1343">
            <v>317190</v>
          </cell>
          <cell r="H1343">
            <v>34.96</v>
          </cell>
        </row>
        <row r="1344">
          <cell r="A1344">
            <v>317198</v>
          </cell>
          <cell r="H1344">
            <v>37.369999999999997</v>
          </cell>
        </row>
        <row r="1345">
          <cell r="A1345">
            <v>317202</v>
          </cell>
          <cell r="H1345">
            <v>33.340000000000003</v>
          </cell>
        </row>
        <row r="1346">
          <cell r="A1346">
            <v>317203</v>
          </cell>
          <cell r="H1346">
            <v>37.24</v>
          </cell>
        </row>
        <row r="1347">
          <cell r="A1347">
            <v>317229</v>
          </cell>
          <cell r="H1347">
            <v>36.909999999999997</v>
          </cell>
        </row>
        <row r="1348">
          <cell r="A1348">
            <v>317232</v>
          </cell>
          <cell r="H1348">
            <v>38.979999999999997</v>
          </cell>
        </row>
        <row r="1349">
          <cell r="A1349">
            <v>317233</v>
          </cell>
          <cell r="H1349">
            <v>33.24</v>
          </cell>
        </row>
        <row r="1350">
          <cell r="A1350">
            <v>317236</v>
          </cell>
          <cell r="H1350">
            <v>34.75</v>
          </cell>
        </row>
        <row r="1351">
          <cell r="A1351">
            <v>317237</v>
          </cell>
          <cell r="H1351">
            <v>37.04</v>
          </cell>
        </row>
        <row r="1352">
          <cell r="A1352">
            <v>317238</v>
          </cell>
          <cell r="H1352">
            <v>37</v>
          </cell>
        </row>
        <row r="1353">
          <cell r="A1353">
            <v>317239</v>
          </cell>
          <cell r="H1353">
            <v>40.53</v>
          </cell>
        </row>
        <row r="1354">
          <cell r="A1354">
            <v>317240</v>
          </cell>
          <cell r="H1354">
            <v>35.6</v>
          </cell>
        </row>
        <row r="1355">
          <cell r="A1355">
            <v>317241</v>
          </cell>
          <cell r="H1355">
            <v>41.89</v>
          </cell>
        </row>
        <row r="1356">
          <cell r="A1356">
            <v>317242</v>
          </cell>
          <cell r="H1356">
            <v>35.5</v>
          </cell>
        </row>
        <row r="1357">
          <cell r="A1357">
            <v>317250</v>
          </cell>
          <cell r="H1357">
            <v>36.61</v>
          </cell>
        </row>
        <row r="1358">
          <cell r="A1358">
            <v>317252</v>
          </cell>
          <cell r="H1358">
            <v>36.54</v>
          </cell>
        </row>
        <row r="1359">
          <cell r="A1359">
            <v>317286</v>
          </cell>
          <cell r="H1359">
            <v>37.86</v>
          </cell>
        </row>
        <row r="1360">
          <cell r="A1360">
            <v>317303</v>
          </cell>
          <cell r="H1360">
            <v>41.41</v>
          </cell>
        </row>
        <row r="1361">
          <cell r="A1361">
            <v>317312</v>
          </cell>
          <cell r="H1361">
            <v>34.479999999999997</v>
          </cell>
        </row>
        <row r="1362">
          <cell r="A1362">
            <v>317319</v>
          </cell>
          <cell r="H1362">
            <v>36.590000000000003</v>
          </cell>
        </row>
        <row r="1363">
          <cell r="A1363">
            <v>317322</v>
          </cell>
          <cell r="H1363">
            <v>42.05</v>
          </cell>
        </row>
        <row r="1364">
          <cell r="A1364">
            <v>317326</v>
          </cell>
          <cell r="H1364">
            <v>33.69</v>
          </cell>
        </row>
        <row r="1365">
          <cell r="A1365">
            <v>317328</v>
          </cell>
          <cell r="H1365">
            <v>37.96</v>
          </cell>
        </row>
        <row r="1366">
          <cell r="A1366">
            <v>317332</v>
          </cell>
          <cell r="H1366">
            <v>37.909999999999997</v>
          </cell>
        </row>
        <row r="1367">
          <cell r="A1367">
            <v>317333</v>
          </cell>
          <cell r="H1367">
            <v>42.21</v>
          </cell>
        </row>
        <row r="1368">
          <cell r="A1368">
            <v>317337</v>
          </cell>
          <cell r="H1368">
            <v>35.549999999999997</v>
          </cell>
        </row>
        <row r="1369">
          <cell r="A1369">
            <v>317340</v>
          </cell>
          <cell r="H1369">
            <v>33.5</v>
          </cell>
        </row>
        <row r="1370">
          <cell r="A1370">
            <v>317341</v>
          </cell>
          <cell r="H1370">
            <v>41.1</v>
          </cell>
        </row>
        <row r="1371">
          <cell r="A1371">
            <v>317342</v>
          </cell>
          <cell r="H1371">
            <v>33.31</v>
          </cell>
        </row>
        <row r="1372">
          <cell r="A1372">
            <v>317355</v>
          </cell>
          <cell r="H1372">
            <v>37.33</v>
          </cell>
        </row>
        <row r="1373">
          <cell r="A1373">
            <v>317356</v>
          </cell>
          <cell r="H1373">
            <v>36.409999999999997</v>
          </cell>
        </row>
        <row r="1374">
          <cell r="A1374">
            <v>317358</v>
          </cell>
          <cell r="H1374">
            <v>35.5</v>
          </cell>
        </row>
        <row r="1375">
          <cell r="A1375">
            <v>317361</v>
          </cell>
          <cell r="H1375">
            <v>35.07</v>
          </cell>
        </row>
        <row r="1376">
          <cell r="A1376">
            <v>317365</v>
          </cell>
          <cell r="H1376">
            <v>33.270000000000003</v>
          </cell>
        </row>
        <row r="1377">
          <cell r="A1377">
            <v>317376</v>
          </cell>
          <cell r="H1377">
            <v>37.21</v>
          </cell>
        </row>
        <row r="1378">
          <cell r="A1378">
            <v>317377</v>
          </cell>
          <cell r="H1378">
            <v>41.04</v>
          </cell>
        </row>
        <row r="1379">
          <cell r="A1379">
            <v>317387</v>
          </cell>
          <cell r="H1379">
            <v>33.6</v>
          </cell>
        </row>
        <row r="1380">
          <cell r="A1380">
            <v>317388</v>
          </cell>
          <cell r="H1380">
            <v>40.590000000000003</v>
          </cell>
        </row>
        <row r="1381">
          <cell r="A1381">
            <v>317391</v>
          </cell>
          <cell r="H1381">
            <v>38.869999999999997</v>
          </cell>
        </row>
        <row r="1382">
          <cell r="A1382">
            <v>317393</v>
          </cell>
          <cell r="H1382">
            <v>34.700000000000003</v>
          </cell>
        </row>
        <row r="1383">
          <cell r="A1383">
            <v>317397</v>
          </cell>
          <cell r="H1383">
            <v>37.83</v>
          </cell>
        </row>
        <row r="1384">
          <cell r="A1384">
            <v>317432</v>
          </cell>
          <cell r="H1384">
            <v>37.729999999999997</v>
          </cell>
        </row>
        <row r="1385">
          <cell r="A1385">
            <v>317436</v>
          </cell>
          <cell r="H1385">
            <v>41.24</v>
          </cell>
        </row>
        <row r="1386">
          <cell r="A1386">
            <v>317445</v>
          </cell>
          <cell r="H1386">
            <v>35.11</v>
          </cell>
        </row>
        <row r="1387">
          <cell r="A1387">
            <v>317450</v>
          </cell>
          <cell r="H1387">
            <v>33.36</v>
          </cell>
        </row>
        <row r="1388">
          <cell r="A1388">
            <v>317457</v>
          </cell>
          <cell r="H1388">
            <v>41.86</v>
          </cell>
        </row>
        <row r="1389">
          <cell r="A1389">
            <v>317463</v>
          </cell>
          <cell r="H1389">
            <v>33.380000000000003</v>
          </cell>
        </row>
        <row r="1390">
          <cell r="A1390">
            <v>317467</v>
          </cell>
          <cell r="H1390">
            <v>37.270000000000003</v>
          </cell>
        </row>
        <row r="1391">
          <cell r="A1391">
            <v>317470</v>
          </cell>
          <cell r="H1391">
            <v>38.42</v>
          </cell>
        </row>
        <row r="1392">
          <cell r="A1392">
            <v>317471</v>
          </cell>
          <cell r="H1392">
            <v>38.04</v>
          </cell>
        </row>
        <row r="1393">
          <cell r="A1393">
            <v>317474</v>
          </cell>
          <cell r="H1393">
            <v>38.229999999999997</v>
          </cell>
        </row>
        <row r="1394">
          <cell r="A1394">
            <v>317481</v>
          </cell>
          <cell r="H1394">
            <v>35.35</v>
          </cell>
        </row>
        <row r="1395">
          <cell r="A1395">
            <v>317488</v>
          </cell>
          <cell r="H1395">
            <v>42.83</v>
          </cell>
        </row>
        <row r="1396">
          <cell r="A1396">
            <v>317490</v>
          </cell>
          <cell r="H1396">
            <v>41.25</v>
          </cell>
        </row>
        <row r="1397">
          <cell r="A1397">
            <v>317493</v>
          </cell>
          <cell r="H1397">
            <v>40.86</v>
          </cell>
        </row>
        <row r="1398">
          <cell r="A1398">
            <v>317494</v>
          </cell>
          <cell r="H1398">
            <v>36.82</v>
          </cell>
        </row>
        <row r="1399">
          <cell r="A1399">
            <v>317495</v>
          </cell>
          <cell r="H1399">
            <v>36.119999999999997</v>
          </cell>
        </row>
        <row r="1400">
          <cell r="A1400">
            <v>317500</v>
          </cell>
          <cell r="H1400">
            <v>33.53</v>
          </cell>
        </row>
        <row r="1401">
          <cell r="A1401">
            <v>317504</v>
          </cell>
          <cell r="H1401">
            <v>37.44</v>
          </cell>
        </row>
        <row r="1402">
          <cell r="A1402">
            <v>317512</v>
          </cell>
          <cell r="H1402">
            <v>33.159999999999997</v>
          </cell>
        </row>
        <row r="1403">
          <cell r="A1403">
            <v>317518</v>
          </cell>
          <cell r="H1403">
            <v>35.380000000000003</v>
          </cell>
        </row>
        <row r="1404">
          <cell r="A1404">
            <v>317519</v>
          </cell>
          <cell r="H1404">
            <v>35.700000000000003</v>
          </cell>
        </row>
        <row r="1405">
          <cell r="A1405">
            <v>317520</v>
          </cell>
          <cell r="H1405">
            <v>38.450000000000003</v>
          </cell>
        </row>
        <row r="1406">
          <cell r="A1406">
            <v>317524</v>
          </cell>
          <cell r="H1406">
            <v>34.72</v>
          </cell>
        </row>
        <row r="1407">
          <cell r="A1407">
            <v>317530</v>
          </cell>
          <cell r="H1407">
            <v>37.75</v>
          </cell>
        </row>
        <row r="1408">
          <cell r="A1408">
            <v>317531</v>
          </cell>
          <cell r="H1408">
            <v>37.380000000000003</v>
          </cell>
        </row>
        <row r="1409">
          <cell r="A1409">
            <v>317533</v>
          </cell>
          <cell r="H1409">
            <v>40.24</v>
          </cell>
        </row>
        <row r="1410">
          <cell r="A1410">
            <v>317534</v>
          </cell>
          <cell r="H1410">
            <v>35.619999999999997</v>
          </cell>
        </row>
        <row r="1411">
          <cell r="A1411">
            <v>317535</v>
          </cell>
          <cell r="H1411">
            <v>32.93</v>
          </cell>
        </row>
        <row r="1412">
          <cell r="A1412">
            <v>317541</v>
          </cell>
          <cell r="H1412">
            <v>36.49</v>
          </cell>
        </row>
        <row r="1413">
          <cell r="A1413">
            <v>317550</v>
          </cell>
          <cell r="H1413">
            <v>35</v>
          </cell>
        </row>
        <row r="1414">
          <cell r="A1414">
            <v>317551</v>
          </cell>
          <cell r="H1414">
            <v>36.06</v>
          </cell>
        </row>
        <row r="1415">
          <cell r="A1415">
            <v>317554</v>
          </cell>
          <cell r="H1415">
            <v>37.44</v>
          </cell>
        </row>
        <row r="1416">
          <cell r="A1416">
            <v>317565</v>
          </cell>
          <cell r="H1416">
            <v>40.69</v>
          </cell>
        </row>
        <row r="1417">
          <cell r="A1417">
            <v>317568</v>
          </cell>
          <cell r="H1417">
            <v>34.53</v>
          </cell>
        </row>
        <row r="1418">
          <cell r="A1418">
            <v>317595</v>
          </cell>
          <cell r="H1418">
            <v>33.29</v>
          </cell>
        </row>
        <row r="1419">
          <cell r="A1419">
            <v>317597</v>
          </cell>
          <cell r="H1419">
            <v>37.58</v>
          </cell>
        </row>
        <row r="1420">
          <cell r="A1420">
            <v>317810</v>
          </cell>
          <cell r="H1420">
            <v>32.590000000000003</v>
          </cell>
        </row>
        <row r="1421">
          <cell r="A1421">
            <v>317811</v>
          </cell>
          <cell r="H1421">
            <v>36.57</v>
          </cell>
        </row>
        <row r="1422">
          <cell r="A1422">
            <v>317812</v>
          </cell>
          <cell r="H1422">
            <v>40.35</v>
          </cell>
        </row>
        <row r="1423">
          <cell r="A1423">
            <v>317813</v>
          </cell>
          <cell r="H1423">
            <v>35.840000000000003</v>
          </cell>
        </row>
        <row r="1424">
          <cell r="A1424">
            <v>317814</v>
          </cell>
          <cell r="H1424">
            <v>37.1</v>
          </cell>
        </row>
        <row r="1425">
          <cell r="A1425">
            <v>317815</v>
          </cell>
          <cell r="H1425">
            <v>34.46</v>
          </cell>
        </row>
        <row r="1426">
          <cell r="A1426">
            <v>317816</v>
          </cell>
          <cell r="H1426">
            <v>33.409999999999997</v>
          </cell>
        </row>
        <row r="1427">
          <cell r="A1427">
            <v>317817</v>
          </cell>
          <cell r="H1427">
            <v>40.74</v>
          </cell>
        </row>
        <row r="1428">
          <cell r="A1428">
            <v>317818</v>
          </cell>
          <cell r="H1428">
            <v>40.630000000000003</v>
          </cell>
        </row>
        <row r="1429">
          <cell r="A1429">
            <v>317827</v>
          </cell>
          <cell r="H1429">
            <v>40.9</v>
          </cell>
        </row>
        <row r="1430">
          <cell r="A1430">
            <v>317830</v>
          </cell>
          <cell r="H1430">
            <v>41.41</v>
          </cell>
        </row>
        <row r="1431">
          <cell r="A1431">
            <v>317874</v>
          </cell>
          <cell r="H1431">
            <v>34.74</v>
          </cell>
        </row>
        <row r="1432">
          <cell r="A1432">
            <v>317875</v>
          </cell>
          <cell r="H1432">
            <v>35.81</v>
          </cell>
        </row>
        <row r="1433">
          <cell r="A1433">
            <v>317878</v>
          </cell>
          <cell r="H1433">
            <v>36.35</v>
          </cell>
        </row>
        <row r="1434">
          <cell r="A1434">
            <v>317885</v>
          </cell>
          <cell r="H1434">
            <v>41.76</v>
          </cell>
        </row>
        <row r="1435">
          <cell r="A1435">
            <v>317887</v>
          </cell>
          <cell r="H1435">
            <v>33.840000000000003</v>
          </cell>
        </row>
        <row r="1436">
          <cell r="A1436">
            <v>317891</v>
          </cell>
          <cell r="H1436">
            <v>38.31</v>
          </cell>
        </row>
        <row r="1437">
          <cell r="A1437">
            <v>317893</v>
          </cell>
          <cell r="H1437">
            <v>33.21</v>
          </cell>
        </row>
        <row r="1438">
          <cell r="A1438">
            <v>317895</v>
          </cell>
          <cell r="H1438">
            <v>35.22</v>
          </cell>
        </row>
        <row r="1439">
          <cell r="A1439">
            <v>317900</v>
          </cell>
          <cell r="H1439">
            <v>40.97</v>
          </cell>
        </row>
        <row r="1440">
          <cell r="A1440">
            <v>317905</v>
          </cell>
          <cell r="H1440">
            <v>40.65</v>
          </cell>
        </row>
        <row r="1441">
          <cell r="A1441">
            <v>317914</v>
          </cell>
          <cell r="H1441">
            <v>38.619999999999997</v>
          </cell>
        </row>
        <row r="1442">
          <cell r="A1442">
            <v>317919</v>
          </cell>
          <cell r="H1442">
            <v>36.93</v>
          </cell>
        </row>
        <row r="1443">
          <cell r="A1443">
            <v>317929</v>
          </cell>
          <cell r="H1443">
            <v>34.4</v>
          </cell>
        </row>
        <row r="1444">
          <cell r="A1444">
            <v>317937</v>
          </cell>
          <cell r="H1444">
            <v>33.24</v>
          </cell>
        </row>
        <row r="1445">
          <cell r="A1445">
            <v>317942</v>
          </cell>
          <cell r="H1445">
            <v>33.35</v>
          </cell>
        </row>
        <row r="1446">
          <cell r="A1446">
            <v>317946</v>
          </cell>
          <cell r="H1446">
            <v>40.090000000000003</v>
          </cell>
        </row>
        <row r="1447">
          <cell r="A1447">
            <v>317948</v>
          </cell>
          <cell r="H1447">
            <v>36.36</v>
          </cell>
        </row>
        <row r="1448">
          <cell r="A1448">
            <v>317949</v>
          </cell>
          <cell r="H1448">
            <v>38.25</v>
          </cell>
        </row>
        <row r="1449">
          <cell r="A1449">
            <v>317951</v>
          </cell>
          <cell r="H1449">
            <v>33.380000000000003</v>
          </cell>
        </row>
        <row r="1450">
          <cell r="A1450">
            <v>317952</v>
          </cell>
          <cell r="H1450">
            <v>35.869999999999997</v>
          </cell>
        </row>
        <row r="1451">
          <cell r="A1451">
            <v>317953</v>
          </cell>
          <cell r="H1451">
            <v>35.01</v>
          </cell>
        </row>
        <row r="1452">
          <cell r="A1452">
            <v>317954</v>
          </cell>
          <cell r="H1452">
            <v>34.65</v>
          </cell>
        </row>
        <row r="1453">
          <cell r="A1453">
            <v>317962</v>
          </cell>
          <cell r="H1453">
            <v>40.51</v>
          </cell>
        </row>
        <row r="1454">
          <cell r="A1454">
            <v>317965</v>
          </cell>
          <cell r="H1454">
            <v>36.14</v>
          </cell>
        </row>
        <row r="1455">
          <cell r="A1455">
            <v>317968</v>
          </cell>
          <cell r="H1455">
            <v>41.93</v>
          </cell>
        </row>
        <row r="1456">
          <cell r="A1456">
            <v>317971</v>
          </cell>
          <cell r="H1456">
            <v>42</v>
          </cell>
        </row>
        <row r="1457">
          <cell r="A1457">
            <v>318008</v>
          </cell>
          <cell r="H1457">
            <v>34.97</v>
          </cell>
        </row>
        <row r="1458">
          <cell r="A1458">
            <v>318024</v>
          </cell>
          <cell r="H1458">
            <v>35.5</v>
          </cell>
        </row>
        <row r="1459">
          <cell r="A1459">
            <v>318025</v>
          </cell>
          <cell r="H1459">
            <v>33.17</v>
          </cell>
        </row>
        <row r="1460">
          <cell r="A1460">
            <v>318026</v>
          </cell>
          <cell r="H1460">
            <v>34.880000000000003</v>
          </cell>
        </row>
        <row r="1461">
          <cell r="A1461">
            <v>318027</v>
          </cell>
          <cell r="H1461">
            <v>32.979999999999997</v>
          </cell>
        </row>
        <row r="1462">
          <cell r="A1462">
            <v>318028</v>
          </cell>
          <cell r="H1462">
            <v>40.01</v>
          </cell>
        </row>
        <row r="1463">
          <cell r="A1463">
            <v>318029</v>
          </cell>
          <cell r="H1463">
            <v>36.15</v>
          </cell>
        </row>
        <row r="1464">
          <cell r="A1464">
            <v>318039</v>
          </cell>
          <cell r="H1464">
            <v>36.130000000000003</v>
          </cell>
        </row>
        <row r="1465">
          <cell r="A1465">
            <v>318043</v>
          </cell>
          <cell r="H1465">
            <v>38.340000000000003</v>
          </cell>
        </row>
        <row r="1466">
          <cell r="A1466">
            <v>318052</v>
          </cell>
          <cell r="H1466">
            <v>36.82</v>
          </cell>
        </row>
        <row r="1467">
          <cell r="A1467">
            <v>318053</v>
          </cell>
          <cell r="H1467">
            <v>34.39</v>
          </cell>
        </row>
        <row r="1468">
          <cell r="A1468">
            <v>318055</v>
          </cell>
          <cell r="H1468">
            <v>41.72</v>
          </cell>
        </row>
        <row r="1469">
          <cell r="A1469">
            <v>318062</v>
          </cell>
          <cell r="H1469">
            <v>37.630000000000003</v>
          </cell>
        </row>
        <row r="1470">
          <cell r="A1470">
            <v>318065</v>
          </cell>
          <cell r="H1470">
            <v>33.39</v>
          </cell>
        </row>
        <row r="1471">
          <cell r="A1471">
            <v>318084</v>
          </cell>
          <cell r="H1471">
            <v>37.96</v>
          </cell>
        </row>
        <row r="1472">
          <cell r="A1472">
            <v>318085</v>
          </cell>
          <cell r="H1472">
            <v>33.25</v>
          </cell>
        </row>
        <row r="1473">
          <cell r="A1473">
            <v>318087</v>
          </cell>
          <cell r="H1473">
            <v>39.35</v>
          </cell>
        </row>
        <row r="1474">
          <cell r="A1474">
            <v>318088</v>
          </cell>
          <cell r="H1474">
            <v>36.1</v>
          </cell>
        </row>
        <row r="1475">
          <cell r="A1475">
            <v>318089</v>
          </cell>
          <cell r="H1475">
            <v>36.659999999999997</v>
          </cell>
        </row>
        <row r="1476">
          <cell r="A1476">
            <v>318091</v>
          </cell>
          <cell r="H1476">
            <v>35.49</v>
          </cell>
        </row>
        <row r="1477">
          <cell r="A1477">
            <v>318093</v>
          </cell>
          <cell r="H1477">
            <v>34.86</v>
          </cell>
        </row>
        <row r="1478">
          <cell r="A1478">
            <v>318094</v>
          </cell>
          <cell r="H1478">
            <v>37.54</v>
          </cell>
        </row>
        <row r="1479">
          <cell r="A1479">
            <v>318095</v>
          </cell>
          <cell r="H1479">
            <v>42.19</v>
          </cell>
        </row>
        <row r="1480">
          <cell r="A1480">
            <v>318096</v>
          </cell>
          <cell r="H1480">
            <v>37.67</v>
          </cell>
        </row>
        <row r="1481">
          <cell r="A1481">
            <v>318098</v>
          </cell>
          <cell r="H1481">
            <v>40.25</v>
          </cell>
        </row>
        <row r="1482">
          <cell r="A1482">
            <v>318107</v>
          </cell>
          <cell r="H1482">
            <v>36.19</v>
          </cell>
        </row>
        <row r="1483">
          <cell r="A1483">
            <v>318111</v>
          </cell>
          <cell r="H1483">
            <v>41.87</v>
          </cell>
        </row>
        <row r="1484">
          <cell r="A1484">
            <v>318117</v>
          </cell>
          <cell r="H1484">
            <v>33.700000000000003</v>
          </cell>
        </row>
        <row r="1485">
          <cell r="A1485">
            <v>318151</v>
          </cell>
          <cell r="H1485">
            <v>34.99</v>
          </cell>
        </row>
        <row r="1486">
          <cell r="A1486">
            <v>318153</v>
          </cell>
          <cell r="H1486">
            <v>35.72</v>
          </cell>
        </row>
        <row r="1487">
          <cell r="A1487">
            <v>318155</v>
          </cell>
          <cell r="H1487">
            <v>35.19</v>
          </cell>
        </row>
        <row r="1488">
          <cell r="A1488">
            <v>318159</v>
          </cell>
          <cell r="H1488">
            <v>35.200000000000003</v>
          </cell>
        </row>
        <row r="1489">
          <cell r="A1489">
            <v>318174</v>
          </cell>
          <cell r="H1489">
            <v>33.17</v>
          </cell>
        </row>
        <row r="1490">
          <cell r="A1490">
            <v>318177</v>
          </cell>
          <cell r="H1490">
            <v>37.1</v>
          </cell>
        </row>
        <row r="1491">
          <cell r="A1491">
            <v>318180</v>
          </cell>
          <cell r="H1491">
            <v>40.75</v>
          </cell>
        </row>
        <row r="1492">
          <cell r="A1492">
            <v>318186</v>
          </cell>
          <cell r="H1492">
            <v>38.19</v>
          </cell>
        </row>
        <row r="1493">
          <cell r="A1493">
            <v>318188</v>
          </cell>
          <cell r="H1493">
            <v>41.72</v>
          </cell>
        </row>
        <row r="1494">
          <cell r="A1494">
            <v>318189</v>
          </cell>
          <cell r="H1494">
            <v>38.14</v>
          </cell>
        </row>
        <row r="1495">
          <cell r="A1495">
            <v>318195</v>
          </cell>
          <cell r="H1495">
            <v>33.86</v>
          </cell>
        </row>
        <row r="1496">
          <cell r="A1496">
            <v>318198</v>
          </cell>
          <cell r="H1496">
            <v>37.53</v>
          </cell>
        </row>
        <row r="1497">
          <cell r="A1497">
            <v>318200</v>
          </cell>
          <cell r="H1497">
            <v>32.979999999999997</v>
          </cell>
        </row>
        <row r="1498">
          <cell r="A1498">
            <v>318205</v>
          </cell>
          <cell r="H1498">
            <v>34.67</v>
          </cell>
        </row>
        <row r="1499">
          <cell r="A1499">
            <v>318211</v>
          </cell>
          <cell r="H1499">
            <v>37.380000000000003</v>
          </cell>
        </row>
        <row r="1500">
          <cell r="A1500">
            <v>318214</v>
          </cell>
          <cell r="H1500">
            <v>43.02</v>
          </cell>
        </row>
        <row r="1501">
          <cell r="A1501">
            <v>318215</v>
          </cell>
          <cell r="H1501">
            <v>35.979999999999997</v>
          </cell>
        </row>
        <row r="1502">
          <cell r="A1502">
            <v>318216</v>
          </cell>
          <cell r="H1502">
            <v>33.299999999999997</v>
          </cell>
        </row>
        <row r="1503">
          <cell r="A1503">
            <v>318218</v>
          </cell>
          <cell r="H1503">
            <v>35.5</v>
          </cell>
        </row>
        <row r="1504">
          <cell r="A1504">
            <v>318220</v>
          </cell>
          <cell r="H1504">
            <v>34.72</v>
          </cell>
        </row>
        <row r="1505">
          <cell r="A1505">
            <v>318227</v>
          </cell>
          <cell r="H1505">
            <v>38.06</v>
          </cell>
        </row>
        <row r="1506">
          <cell r="A1506">
            <v>318229</v>
          </cell>
          <cell r="H1506">
            <v>33.619999999999997</v>
          </cell>
        </row>
        <row r="1507">
          <cell r="A1507">
            <v>318232</v>
          </cell>
          <cell r="H1507">
            <v>35.51</v>
          </cell>
        </row>
        <row r="1508">
          <cell r="A1508">
            <v>318237</v>
          </cell>
          <cell r="H1508">
            <v>40.200000000000003</v>
          </cell>
        </row>
        <row r="1509">
          <cell r="A1509">
            <v>318238</v>
          </cell>
          <cell r="H1509">
            <v>39.31</v>
          </cell>
        </row>
        <row r="1510">
          <cell r="A1510">
            <v>318240</v>
          </cell>
          <cell r="H1510">
            <v>35.99</v>
          </cell>
        </row>
        <row r="1511">
          <cell r="A1511">
            <v>318243</v>
          </cell>
          <cell r="H1511">
            <v>35.299999999999997</v>
          </cell>
        </row>
        <row r="1512">
          <cell r="A1512">
            <v>318247</v>
          </cell>
          <cell r="H1512">
            <v>35.630000000000003</v>
          </cell>
        </row>
        <row r="1513">
          <cell r="A1513">
            <v>318254</v>
          </cell>
          <cell r="H1513">
            <v>40.51</v>
          </cell>
        </row>
        <row r="1514">
          <cell r="A1514">
            <v>317618</v>
          </cell>
          <cell r="H1514">
            <v>40.64</v>
          </cell>
        </row>
        <row r="1515">
          <cell r="A1515">
            <v>317623</v>
          </cell>
          <cell r="H1515">
            <v>38.29</v>
          </cell>
        </row>
        <row r="1516">
          <cell r="A1516">
            <v>317625</v>
          </cell>
          <cell r="H1516">
            <v>34.71</v>
          </cell>
        </row>
        <row r="1517">
          <cell r="A1517">
            <v>317631</v>
          </cell>
          <cell r="H1517">
            <v>41.48</v>
          </cell>
        </row>
        <row r="1518">
          <cell r="A1518">
            <v>317634</v>
          </cell>
          <cell r="H1518">
            <v>37.26</v>
          </cell>
        </row>
        <row r="1519">
          <cell r="A1519">
            <v>317636</v>
          </cell>
          <cell r="H1519">
            <v>37.01</v>
          </cell>
        </row>
        <row r="1520">
          <cell r="A1520">
            <v>317639</v>
          </cell>
          <cell r="H1520">
            <v>33.69</v>
          </cell>
        </row>
        <row r="1521">
          <cell r="A1521">
            <v>317640</v>
          </cell>
          <cell r="H1521">
            <v>34.58</v>
          </cell>
        </row>
        <row r="1522">
          <cell r="A1522">
            <v>317658</v>
          </cell>
          <cell r="H1522">
            <v>41.52</v>
          </cell>
        </row>
        <row r="1523">
          <cell r="A1523">
            <v>317660</v>
          </cell>
          <cell r="H1523">
            <v>35.96</v>
          </cell>
        </row>
        <row r="1524">
          <cell r="A1524">
            <v>317661</v>
          </cell>
          <cell r="H1524">
            <v>34.92</v>
          </cell>
        </row>
        <row r="1525">
          <cell r="A1525">
            <v>317667</v>
          </cell>
          <cell r="H1525">
            <v>37.369999999999997</v>
          </cell>
        </row>
        <row r="1526">
          <cell r="A1526">
            <v>317668</v>
          </cell>
          <cell r="H1526">
            <v>35.72</v>
          </cell>
        </row>
        <row r="1527">
          <cell r="A1527">
            <v>317670</v>
          </cell>
          <cell r="H1527">
            <v>37.36</v>
          </cell>
        </row>
        <row r="1528">
          <cell r="A1528">
            <v>317671</v>
          </cell>
          <cell r="H1528">
            <v>37.53</v>
          </cell>
        </row>
        <row r="1529">
          <cell r="A1529">
            <v>317676</v>
          </cell>
          <cell r="H1529">
            <v>36.03</v>
          </cell>
        </row>
        <row r="1530">
          <cell r="A1530">
            <v>317678</v>
          </cell>
          <cell r="H1530">
            <v>35.270000000000003</v>
          </cell>
        </row>
        <row r="1531">
          <cell r="A1531">
            <v>317679</v>
          </cell>
          <cell r="H1531">
            <v>35.56</v>
          </cell>
        </row>
        <row r="1532">
          <cell r="A1532">
            <v>317680</v>
          </cell>
          <cell r="H1532">
            <v>35.92</v>
          </cell>
        </row>
        <row r="1533">
          <cell r="A1533">
            <v>317688</v>
          </cell>
          <cell r="H1533">
            <v>36.07</v>
          </cell>
        </row>
        <row r="1534">
          <cell r="A1534">
            <v>317691</v>
          </cell>
          <cell r="H1534">
            <v>36.81</v>
          </cell>
        </row>
        <row r="1535">
          <cell r="A1535">
            <v>317692</v>
          </cell>
          <cell r="H1535">
            <v>35.54</v>
          </cell>
        </row>
        <row r="1536">
          <cell r="A1536">
            <v>317738</v>
          </cell>
          <cell r="H1536">
            <v>34.81</v>
          </cell>
        </row>
        <row r="1537">
          <cell r="A1537">
            <v>317741</v>
          </cell>
          <cell r="H1537">
            <v>36.69</v>
          </cell>
        </row>
        <row r="1538">
          <cell r="A1538">
            <v>317764</v>
          </cell>
          <cell r="H1538">
            <v>38.18</v>
          </cell>
        </row>
        <row r="1539">
          <cell r="A1539">
            <v>317773</v>
          </cell>
          <cell r="H1539">
            <v>36.74</v>
          </cell>
        </row>
        <row r="1540">
          <cell r="A1540">
            <v>317774</v>
          </cell>
          <cell r="H1540">
            <v>37.58</v>
          </cell>
        </row>
        <row r="1541">
          <cell r="A1541">
            <v>317775</v>
          </cell>
          <cell r="H1541">
            <v>33.75</v>
          </cell>
        </row>
        <row r="1542">
          <cell r="A1542">
            <v>317784</v>
          </cell>
          <cell r="H1542">
            <v>37.25</v>
          </cell>
        </row>
        <row r="1543">
          <cell r="A1543">
            <v>317786</v>
          </cell>
          <cell r="H1543">
            <v>33.26</v>
          </cell>
        </row>
        <row r="1544">
          <cell r="A1544">
            <v>317788</v>
          </cell>
          <cell r="H1544">
            <v>40.49</v>
          </cell>
        </row>
        <row r="1545">
          <cell r="A1545">
            <v>317793</v>
          </cell>
          <cell r="H1545">
            <v>34.51</v>
          </cell>
        </row>
        <row r="1546">
          <cell r="A1546">
            <v>317795</v>
          </cell>
          <cell r="H1546">
            <v>34.83</v>
          </cell>
        </row>
        <row r="1547">
          <cell r="A1547">
            <v>318297</v>
          </cell>
          <cell r="H1547">
            <v>42.78</v>
          </cell>
        </row>
        <row r="1548">
          <cell r="A1548">
            <v>318302</v>
          </cell>
          <cell r="H1548">
            <v>37.159999999999997</v>
          </cell>
        </row>
        <row r="1549">
          <cell r="A1549">
            <v>318309</v>
          </cell>
          <cell r="H1549">
            <v>35.06</v>
          </cell>
        </row>
        <row r="1550">
          <cell r="A1550">
            <v>318326</v>
          </cell>
          <cell r="H1550">
            <v>33.32</v>
          </cell>
        </row>
        <row r="1551">
          <cell r="A1551">
            <v>318328</v>
          </cell>
          <cell r="H1551">
            <v>35.33</v>
          </cell>
        </row>
        <row r="1552">
          <cell r="A1552">
            <v>318329</v>
          </cell>
          <cell r="H1552">
            <v>32.909999999999997</v>
          </cell>
        </row>
        <row r="1553">
          <cell r="A1553">
            <v>318335</v>
          </cell>
          <cell r="H1553">
            <v>33.39</v>
          </cell>
        </row>
        <row r="1554">
          <cell r="A1554">
            <v>318338</v>
          </cell>
          <cell r="H1554">
            <v>42.25</v>
          </cell>
        </row>
        <row r="1555">
          <cell r="A1555">
            <v>318339</v>
          </cell>
          <cell r="H1555">
            <v>38.229999999999997</v>
          </cell>
        </row>
        <row r="1556">
          <cell r="A1556">
            <v>318342</v>
          </cell>
          <cell r="H1556">
            <v>37.53</v>
          </cell>
        </row>
        <row r="1557">
          <cell r="A1557">
            <v>318343</v>
          </cell>
          <cell r="H1557">
            <v>40.79</v>
          </cell>
        </row>
        <row r="1558">
          <cell r="A1558">
            <v>318345</v>
          </cell>
          <cell r="H1558">
            <v>38.14</v>
          </cell>
        </row>
        <row r="1559">
          <cell r="A1559">
            <v>318353</v>
          </cell>
          <cell r="H1559">
            <v>33.79</v>
          </cell>
        </row>
        <row r="1560">
          <cell r="A1560">
            <v>318355</v>
          </cell>
          <cell r="H1560">
            <v>36.51</v>
          </cell>
        </row>
        <row r="1561">
          <cell r="A1561">
            <v>318357</v>
          </cell>
          <cell r="H1561">
            <v>36.61</v>
          </cell>
        </row>
        <row r="1562">
          <cell r="A1562">
            <v>318363</v>
          </cell>
          <cell r="H1562">
            <v>34.450000000000003</v>
          </cell>
        </row>
        <row r="1563">
          <cell r="A1563">
            <v>318366</v>
          </cell>
          <cell r="H1563">
            <v>37.130000000000003</v>
          </cell>
        </row>
        <row r="1564">
          <cell r="A1564">
            <v>318378</v>
          </cell>
          <cell r="H1564">
            <v>37.08</v>
          </cell>
        </row>
        <row r="1565">
          <cell r="A1565">
            <v>318380</v>
          </cell>
          <cell r="H1565">
            <v>35.81</v>
          </cell>
        </row>
        <row r="1566">
          <cell r="A1566">
            <v>318384</v>
          </cell>
          <cell r="H1566">
            <v>39.049999999999997</v>
          </cell>
        </row>
        <row r="1567">
          <cell r="A1567">
            <v>318392</v>
          </cell>
          <cell r="H1567">
            <v>35.5</v>
          </cell>
        </row>
        <row r="1568">
          <cell r="A1568">
            <v>318393</v>
          </cell>
          <cell r="H1568">
            <v>42.33</v>
          </cell>
        </row>
        <row r="1569">
          <cell r="A1569">
            <v>318394</v>
          </cell>
          <cell r="H1569">
            <v>35.93</v>
          </cell>
        </row>
        <row r="1570">
          <cell r="A1570">
            <v>318395</v>
          </cell>
          <cell r="H1570">
            <v>35.799999999999997</v>
          </cell>
        </row>
        <row r="1571">
          <cell r="A1571">
            <v>318396</v>
          </cell>
          <cell r="H1571">
            <v>37.69</v>
          </cell>
        </row>
        <row r="1572">
          <cell r="A1572">
            <v>318397</v>
          </cell>
          <cell r="H1572">
            <v>37.31</v>
          </cell>
        </row>
        <row r="1573">
          <cell r="A1573">
            <v>318398</v>
          </cell>
          <cell r="H1573">
            <v>42.83</v>
          </cell>
        </row>
        <row r="1574">
          <cell r="A1574">
            <v>318399</v>
          </cell>
          <cell r="H1574">
            <v>37.51</v>
          </cell>
        </row>
        <row r="1575">
          <cell r="A1575">
            <v>318404</v>
          </cell>
          <cell r="H1575">
            <v>40.07</v>
          </cell>
        </row>
        <row r="1576">
          <cell r="A1576">
            <v>318407</v>
          </cell>
          <cell r="H1576">
            <v>36.020000000000003</v>
          </cell>
        </row>
        <row r="1577">
          <cell r="A1577">
            <v>318410</v>
          </cell>
          <cell r="H1577">
            <v>35.630000000000003</v>
          </cell>
        </row>
        <row r="1578">
          <cell r="A1578">
            <v>318610</v>
          </cell>
          <cell r="H1578">
            <v>34.270000000000003</v>
          </cell>
        </row>
        <row r="1579">
          <cell r="A1579">
            <v>318611</v>
          </cell>
          <cell r="H1579">
            <v>34.79</v>
          </cell>
        </row>
        <row r="1580">
          <cell r="A1580">
            <v>318619</v>
          </cell>
          <cell r="H1580">
            <v>39.92</v>
          </cell>
        </row>
        <row r="1581">
          <cell r="A1581">
            <v>318621</v>
          </cell>
          <cell r="H1581">
            <v>33.65</v>
          </cell>
        </row>
        <row r="1582">
          <cell r="A1582">
            <v>318626</v>
          </cell>
          <cell r="H1582">
            <v>10</v>
          </cell>
        </row>
        <row r="1583">
          <cell r="A1583">
            <v>318627</v>
          </cell>
          <cell r="H1583">
            <v>3.03</v>
          </cell>
        </row>
        <row r="1584">
          <cell r="A1584">
            <v>318632</v>
          </cell>
          <cell r="H1584">
            <v>33.1</v>
          </cell>
        </row>
        <row r="1585">
          <cell r="A1585">
            <v>318638</v>
          </cell>
          <cell r="H1585">
            <v>38.020000000000003</v>
          </cell>
        </row>
        <row r="1586">
          <cell r="A1586">
            <v>318639</v>
          </cell>
          <cell r="H1586">
            <v>38.19</v>
          </cell>
        </row>
        <row r="1587">
          <cell r="A1587">
            <v>318647</v>
          </cell>
          <cell r="H1587">
            <v>33.26</v>
          </cell>
        </row>
        <row r="1588">
          <cell r="A1588">
            <v>318654</v>
          </cell>
          <cell r="H1588">
            <v>35.54</v>
          </cell>
        </row>
        <row r="1589">
          <cell r="A1589">
            <v>318670</v>
          </cell>
          <cell r="H1589">
            <v>37.590000000000003</v>
          </cell>
        </row>
        <row r="1590">
          <cell r="A1590">
            <v>318671</v>
          </cell>
          <cell r="H1590">
            <v>40</v>
          </cell>
        </row>
        <row r="1591">
          <cell r="A1591">
            <v>318682</v>
          </cell>
          <cell r="H1591">
            <v>34.08</v>
          </cell>
        </row>
        <row r="1592">
          <cell r="A1592">
            <v>318691</v>
          </cell>
          <cell r="H1592">
            <v>38.83</v>
          </cell>
        </row>
        <row r="1593">
          <cell r="A1593">
            <v>318692</v>
          </cell>
          <cell r="H1593">
            <v>40.93</v>
          </cell>
        </row>
        <row r="1594">
          <cell r="A1594">
            <v>318708</v>
          </cell>
          <cell r="H1594">
            <v>35.49</v>
          </cell>
        </row>
        <row r="1595">
          <cell r="A1595">
            <v>318709</v>
          </cell>
          <cell r="H1595">
            <v>41.45</v>
          </cell>
        </row>
        <row r="1596">
          <cell r="A1596">
            <v>318751</v>
          </cell>
          <cell r="H1596">
            <v>34.369999999999997</v>
          </cell>
        </row>
        <row r="1597">
          <cell r="A1597">
            <v>318756</v>
          </cell>
          <cell r="H1597">
            <v>40.28</v>
          </cell>
        </row>
        <row r="1598">
          <cell r="A1598">
            <v>318757</v>
          </cell>
          <cell r="H1598">
            <v>40.24</v>
          </cell>
        </row>
        <row r="1599">
          <cell r="A1599">
            <v>318759</v>
          </cell>
          <cell r="H1599">
            <v>33.24</v>
          </cell>
        </row>
        <row r="1600">
          <cell r="A1600">
            <v>318770</v>
          </cell>
          <cell r="H1600">
            <v>33.33</v>
          </cell>
        </row>
        <row r="1601">
          <cell r="A1601">
            <v>318779</v>
          </cell>
          <cell r="H1601">
            <v>35.03</v>
          </cell>
        </row>
        <row r="1602">
          <cell r="A1602">
            <v>318783</v>
          </cell>
          <cell r="H1602">
            <v>37.57</v>
          </cell>
        </row>
        <row r="1603">
          <cell r="A1603">
            <v>318786</v>
          </cell>
          <cell r="H1603">
            <v>37.33</v>
          </cell>
        </row>
        <row r="1604">
          <cell r="A1604">
            <v>318788</v>
          </cell>
          <cell r="H1604">
            <v>35.15</v>
          </cell>
        </row>
        <row r="1605">
          <cell r="A1605">
            <v>318790</v>
          </cell>
          <cell r="H1605">
            <v>40.69</v>
          </cell>
        </row>
        <row r="1606">
          <cell r="A1606">
            <v>318793</v>
          </cell>
          <cell r="H1606">
            <v>36.4</v>
          </cell>
        </row>
        <row r="1607">
          <cell r="A1607">
            <v>318800</v>
          </cell>
          <cell r="H1607">
            <v>38.549999999999997</v>
          </cell>
        </row>
        <row r="1608">
          <cell r="A1608">
            <v>318802</v>
          </cell>
          <cell r="H1608">
            <v>33.47</v>
          </cell>
        </row>
        <row r="1609">
          <cell r="A1609">
            <v>318818</v>
          </cell>
          <cell r="H1609">
            <v>32.86</v>
          </cell>
        </row>
        <row r="1610">
          <cell r="A1610">
            <v>318825</v>
          </cell>
          <cell r="H1610">
            <v>40.26</v>
          </cell>
        </row>
        <row r="1611">
          <cell r="A1611">
            <v>318831</v>
          </cell>
          <cell r="H1611">
            <v>35.5</v>
          </cell>
        </row>
        <row r="1612">
          <cell r="A1612">
            <v>318832</v>
          </cell>
          <cell r="H1612">
            <v>35.24</v>
          </cell>
        </row>
        <row r="1613">
          <cell r="A1613">
            <v>318833</v>
          </cell>
          <cell r="H1613">
            <v>35.659999999999997</v>
          </cell>
        </row>
        <row r="1614">
          <cell r="A1614">
            <v>318834</v>
          </cell>
          <cell r="H1614">
            <v>35.26</v>
          </cell>
        </row>
        <row r="1615">
          <cell r="A1615">
            <v>318835</v>
          </cell>
          <cell r="H1615">
            <v>37.74</v>
          </cell>
        </row>
        <row r="1616">
          <cell r="A1616">
            <v>318836</v>
          </cell>
          <cell r="H1616">
            <v>41.46</v>
          </cell>
        </row>
        <row r="1617">
          <cell r="A1617">
            <v>318841</v>
          </cell>
          <cell r="H1617">
            <v>35.25</v>
          </cell>
        </row>
        <row r="1618">
          <cell r="A1618">
            <v>318842</v>
          </cell>
          <cell r="H1618">
            <v>36.619999999999997</v>
          </cell>
        </row>
        <row r="1619">
          <cell r="A1619">
            <v>318885</v>
          </cell>
          <cell r="H1619">
            <v>34.049999999999997</v>
          </cell>
        </row>
        <row r="1620">
          <cell r="A1620">
            <v>318898</v>
          </cell>
          <cell r="H1620">
            <v>33.68</v>
          </cell>
        </row>
        <row r="1621">
          <cell r="A1621">
            <v>318900</v>
          </cell>
          <cell r="H1621">
            <v>37.700000000000003</v>
          </cell>
        </row>
        <row r="1622">
          <cell r="A1622">
            <v>318903</v>
          </cell>
          <cell r="H1622">
            <v>40.99</v>
          </cell>
        </row>
        <row r="1623">
          <cell r="A1623">
            <v>318905</v>
          </cell>
          <cell r="H1623">
            <v>38.020000000000003</v>
          </cell>
        </row>
        <row r="1624">
          <cell r="A1624">
            <v>318911</v>
          </cell>
          <cell r="H1624">
            <v>38.71</v>
          </cell>
        </row>
        <row r="1625">
          <cell r="A1625">
            <v>318915</v>
          </cell>
          <cell r="H1625">
            <v>37.24</v>
          </cell>
        </row>
        <row r="1626">
          <cell r="A1626">
            <v>318916</v>
          </cell>
          <cell r="H1626">
            <v>40.68</v>
          </cell>
        </row>
        <row r="1627">
          <cell r="A1627">
            <v>318917</v>
          </cell>
          <cell r="H1627">
            <v>35.4</v>
          </cell>
        </row>
        <row r="1628">
          <cell r="A1628">
            <v>318923</v>
          </cell>
          <cell r="H1628">
            <v>34.99</v>
          </cell>
        </row>
        <row r="1629">
          <cell r="A1629">
            <v>318924</v>
          </cell>
          <cell r="H1629">
            <v>34.68</v>
          </cell>
        </row>
        <row r="1630">
          <cell r="A1630">
            <v>318932</v>
          </cell>
          <cell r="H1630">
            <v>35.49</v>
          </cell>
        </row>
        <row r="1631">
          <cell r="A1631">
            <v>318933</v>
          </cell>
          <cell r="H1631">
            <v>41.38</v>
          </cell>
        </row>
        <row r="1632">
          <cell r="A1632">
            <v>318934</v>
          </cell>
          <cell r="H1632">
            <v>43.33</v>
          </cell>
        </row>
        <row r="1633">
          <cell r="A1633">
            <v>318936</v>
          </cell>
          <cell r="H1633">
            <v>32.96</v>
          </cell>
        </row>
        <row r="1634">
          <cell r="A1634">
            <v>318937</v>
          </cell>
          <cell r="H1634">
            <v>35.61</v>
          </cell>
        </row>
        <row r="1635">
          <cell r="A1635">
            <v>318938</v>
          </cell>
          <cell r="H1635">
            <v>38.53</v>
          </cell>
        </row>
        <row r="1636">
          <cell r="A1636">
            <v>318947</v>
          </cell>
          <cell r="H1636">
            <v>37.840000000000003</v>
          </cell>
        </row>
        <row r="1637">
          <cell r="A1637">
            <v>318960</v>
          </cell>
          <cell r="H1637">
            <v>35.58</v>
          </cell>
        </row>
        <row r="1638">
          <cell r="A1638">
            <v>318961</v>
          </cell>
          <cell r="H1638">
            <v>40.770000000000003</v>
          </cell>
        </row>
        <row r="1639">
          <cell r="A1639">
            <v>318962</v>
          </cell>
          <cell r="H1639">
            <v>33.25</v>
          </cell>
        </row>
        <row r="1640">
          <cell r="A1640">
            <v>318968</v>
          </cell>
          <cell r="H1640">
            <v>37.270000000000003</v>
          </cell>
        </row>
        <row r="1641">
          <cell r="A1641">
            <v>318985</v>
          </cell>
          <cell r="H1641">
            <v>35.79</v>
          </cell>
        </row>
        <row r="1642">
          <cell r="A1642">
            <v>319009</v>
          </cell>
          <cell r="H1642">
            <v>34.909999999999997</v>
          </cell>
        </row>
        <row r="1643">
          <cell r="A1643">
            <v>319010</v>
          </cell>
          <cell r="H1643">
            <v>35.33</v>
          </cell>
        </row>
        <row r="1644">
          <cell r="A1644">
            <v>319023</v>
          </cell>
          <cell r="H1644">
            <v>34.25</v>
          </cell>
        </row>
        <row r="1645">
          <cell r="A1645">
            <v>319043</v>
          </cell>
          <cell r="H1645">
            <v>38.729999999999997</v>
          </cell>
        </row>
        <row r="1646">
          <cell r="A1646">
            <v>319046</v>
          </cell>
          <cell r="H1646">
            <v>37.56</v>
          </cell>
        </row>
        <row r="1647">
          <cell r="A1647">
            <v>319047</v>
          </cell>
          <cell r="H1647">
            <v>33.32</v>
          </cell>
        </row>
        <row r="1648">
          <cell r="A1648">
            <v>319048</v>
          </cell>
          <cell r="H1648">
            <v>38.01</v>
          </cell>
        </row>
        <row r="1649">
          <cell r="A1649">
            <v>319049</v>
          </cell>
          <cell r="H1649">
            <v>44.11</v>
          </cell>
        </row>
        <row r="1650">
          <cell r="A1650">
            <v>319054</v>
          </cell>
          <cell r="H1650">
            <v>37.22</v>
          </cell>
        </row>
        <row r="1651">
          <cell r="A1651">
            <v>319055</v>
          </cell>
          <cell r="H1651">
            <v>33.840000000000003</v>
          </cell>
        </row>
        <row r="1652">
          <cell r="A1652">
            <v>319058</v>
          </cell>
          <cell r="H1652">
            <v>38.369999999999997</v>
          </cell>
        </row>
        <row r="1653">
          <cell r="A1653">
            <v>319062</v>
          </cell>
          <cell r="H1653">
            <v>40.5</v>
          </cell>
        </row>
        <row r="1654">
          <cell r="A1654">
            <v>319063</v>
          </cell>
          <cell r="H1654">
            <v>35.14</v>
          </cell>
        </row>
        <row r="1655">
          <cell r="A1655">
            <v>319064</v>
          </cell>
          <cell r="H1655">
            <v>33.32</v>
          </cell>
        </row>
        <row r="1656">
          <cell r="A1656">
            <v>319065</v>
          </cell>
          <cell r="H1656">
            <v>36.299999999999997</v>
          </cell>
        </row>
        <row r="1657">
          <cell r="A1657">
            <v>319072</v>
          </cell>
          <cell r="H1657">
            <v>34.71</v>
          </cell>
        </row>
        <row r="1658">
          <cell r="A1658">
            <v>319077</v>
          </cell>
          <cell r="H1658">
            <v>37.869999999999997</v>
          </cell>
        </row>
        <row r="1659">
          <cell r="A1659">
            <v>319085</v>
          </cell>
          <cell r="H1659">
            <v>34.29</v>
          </cell>
        </row>
        <row r="1660">
          <cell r="A1660">
            <v>319087</v>
          </cell>
          <cell r="H1660">
            <v>34.9</v>
          </cell>
        </row>
        <row r="1661">
          <cell r="A1661">
            <v>319088</v>
          </cell>
          <cell r="H1661">
            <v>40.630000000000003</v>
          </cell>
        </row>
        <row r="1662">
          <cell r="A1662">
            <v>319091</v>
          </cell>
          <cell r="H1662">
            <v>32.92</v>
          </cell>
        </row>
        <row r="1663">
          <cell r="A1663">
            <v>319093</v>
          </cell>
          <cell r="H1663">
            <v>39.65</v>
          </cell>
        </row>
        <row r="1664">
          <cell r="A1664">
            <v>319095</v>
          </cell>
          <cell r="H1664">
            <v>37.340000000000003</v>
          </cell>
        </row>
        <row r="1665">
          <cell r="A1665">
            <v>319097</v>
          </cell>
          <cell r="H1665">
            <v>40.72</v>
          </cell>
        </row>
        <row r="1666">
          <cell r="A1666">
            <v>319107</v>
          </cell>
          <cell r="H1666">
            <v>33.299999999999997</v>
          </cell>
        </row>
        <row r="1667">
          <cell r="A1667">
            <v>319108</v>
          </cell>
          <cell r="H1667">
            <v>35.94</v>
          </cell>
        </row>
        <row r="1668">
          <cell r="A1668">
            <v>319109</v>
          </cell>
          <cell r="H1668">
            <v>35.83</v>
          </cell>
        </row>
        <row r="1669">
          <cell r="A1669">
            <v>319151</v>
          </cell>
          <cell r="H1669">
            <v>38.770000000000003</v>
          </cell>
        </row>
        <row r="1670">
          <cell r="A1670">
            <v>319152</v>
          </cell>
          <cell r="H1670">
            <v>36.28</v>
          </cell>
        </row>
        <row r="1671">
          <cell r="A1671">
            <v>319167</v>
          </cell>
          <cell r="H1671">
            <v>36.18</v>
          </cell>
        </row>
        <row r="1672">
          <cell r="A1672">
            <v>319169</v>
          </cell>
          <cell r="H1672">
            <v>38.26</v>
          </cell>
        </row>
        <row r="1673">
          <cell r="A1673">
            <v>319174</v>
          </cell>
          <cell r="H1673">
            <v>33.04</v>
          </cell>
        </row>
        <row r="1674">
          <cell r="A1674">
            <v>319175</v>
          </cell>
          <cell r="H1674">
            <v>40.68</v>
          </cell>
        </row>
        <row r="1675">
          <cell r="A1675">
            <v>319176</v>
          </cell>
          <cell r="H1675">
            <v>38.32</v>
          </cell>
        </row>
        <row r="1676">
          <cell r="A1676">
            <v>319185</v>
          </cell>
          <cell r="H1676">
            <v>35.47</v>
          </cell>
        </row>
        <row r="1677">
          <cell r="A1677">
            <v>319186</v>
          </cell>
          <cell r="H1677">
            <v>35.28</v>
          </cell>
        </row>
        <row r="1678">
          <cell r="A1678">
            <v>319187</v>
          </cell>
          <cell r="H1678">
            <v>33.130000000000003</v>
          </cell>
        </row>
        <row r="1679">
          <cell r="A1679">
            <v>315562</v>
          </cell>
          <cell r="H1679">
            <v>43.25</v>
          </cell>
        </row>
        <row r="1680">
          <cell r="A1680">
            <v>315563</v>
          </cell>
          <cell r="H1680">
            <v>37.57</v>
          </cell>
        </row>
        <row r="1681">
          <cell r="A1681">
            <v>315567</v>
          </cell>
          <cell r="H1681">
            <v>36.15</v>
          </cell>
        </row>
        <row r="1682">
          <cell r="A1682">
            <v>315568</v>
          </cell>
          <cell r="H1682">
            <v>33.049999999999997</v>
          </cell>
        </row>
        <row r="1683">
          <cell r="A1683">
            <v>315573</v>
          </cell>
          <cell r="H1683">
            <v>31.51</v>
          </cell>
        </row>
        <row r="1684">
          <cell r="A1684">
            <v>315574</v>
          </cell>
          <cell r="H1684">
            <v>37.26</v>
          </cell>
        </row>
        <row r="1685">
          <cell r="A1685">
            <v>315577</v>
          </cell>
          <cell r="H1685">
            <v>36.229999999999997</v>
          </cell>
        </row>
        <row r="1686">
          <cell r="A1686">
            <v>315579</v>
          </cell>
          <cell r="H1686">
            <v>42.66</v>
          </cell>
        </row>
        <row r="1687">
          <cell r="A1687">
            <v>315581</v>
          </cell>
          <cell r="H1687">
            <v>40.65</v>
          </cell>
        </row>
        <row r="1688">
          <cell r="A1688">
            <v>315585</v>
          </cell>
          <cell r="H1688">
            <v>38.11</v>
          </cell>
        </row>
        <row r="1689">
          <cell r="A1689">
            <v>315587</v>
          </cell>
          <cell r="H1689">
            <v>33.92</v>
          </cell>
        </row>
        <row r="1690">
          <cell r="A1690">
            <v>315588</v>
          </cell>
          <cell r="H1690">
            <v>34.67</v>
          </cell>
        </row>
        <row r="1691">
          <cell r="A1691">
            <v>315589</v>
          </cell>
          <cell r="H1691">
            <v>34.79</v>
          </cell>
        </row>
        <row r="1692">
          <cell r="A1692">
            <v>315606</v>
          </cell>
          <cell r="H1692">
            <v>33.659999999999997</v>
          </cell>
        </row>
        <row r="1693">
          <cell r="A1693">
            <v>315610</v>
          </cell>
          <cell r="H1693">
            <v>34.85</v>
          </cell>
        </row>
        <row r="1694">
          <cell r="A1694">
            <v>315611</v>
          </cell>
          <cell r="H1694">
            <v>41.77</v>
          </cell>
        </row>
        <row r="1695">
          <cell r="A1695">
            <v>315612</v>
          </cell>
          <cell r="H1695">
            <v>33.14</v>
          </cell>
        </row>
        <row r="1696">
          <cell r="A1696">
            <v>315615</v>
          </cell>
          <cell r="H1696">
            <v>33.04</v>
          </cell>
        </row>
        <row r="1697">
          <cell r="A1697">
            <v>315620</v>
          </cell>
          <cell r="H1697">
            <v>37.32</v>
          </cell>
        </row>
        <row r="1698">
          <cell r="A1698">
            <v>315621</v>
          </cell>
          <cell r="H1698">
            <v>36.450000000000003</v>
          </cell>
        </row>
        <row r="1699">
          <cell r="A1699">
            <v>315622</v>
          </cell>
          <cell r="H1699">
            <v>39.19</v>
          </cell>
        </row>
        <row r="1700">
          <cell r="A1700">
            <v>315623</v>
          </cell>
          <cell r="H1700">
            <v>43.06</v>
          </cell>
        </row>
        <row r="1701">
          <cell r="A1701">
            <v>315630</v>
          </cell>
          <cell r="H1701">
            <v>37.770000000000003</v>
          </cell>
        </row>
        <row r="1702">
          <cell r="A1702">
            <v>315633</v>
          </cell>
          <cell r="H1702">
            <v>35.26</v>
          </cell>
        </row>
        <row r="1703">
          <cell r="A1703">
            <v>315638</v>
          </cell>
          <cell r="H1703">
            <v>35.770000000000003</v>
          </cell>
        </row>
        <row r="1704">
          <cell r="A1704">
            <v>318459</v>
          </cell>
          <cell r="H1704">
            <v>34.229999999999997</v>
          </cell>
        </row>
        <row r="1705">
          <cell r="A1705">
            <v>318461</v>
          </cell>
          <cell r="H1705">
            <v>34.270000000000003</v>
          </cell>
        </row>
        <row r="1706">
          <cell r="A1706">
            <v>318468</v>
          </cell>
          <cell r="H1706">
            <v>34.619999999999997</v>
          </cell>
        </row>
        <row r="1707">
          <cell r="A1707">
            <v>318475</v>
          </cell>
          <cell r="H1707">
            <v>35.43</v>
          </cell>
        </row>
        <row r="1708">
          <cell r="A1708">
            <v>318476</v>
          </cell>
          <cell r="H1708">
            <v>40.93</v>
          </cell>
        </row>
        <row r="1709">
          <cell r="A1709">
            <v>318477</v>
          </cell>
          <cell r="H1709">
            <v>36.26</v>
          </cell>
        </row>
        <row r="1710">
          <cell r="A1710">
            <v>318480</v>
          </cell>
          <cell r="H1710">
            <v>32.82</v>
          </cell>
        </row>
        <row r="1711">
          <cell r="A1711">
            <v>318481</v>
          </cell>
          <cell r="H1711">
            <v>42.67</v>
          </cell>
        </row>
        <row r="1712">
          <cell r="A1712">
            <v>318485</v>
          </cell>
          <cell r="H1712">
            <v>33.54</v>
          </cell>
        </row>
        <row r="1713">
          <cell r="A1713">
            <v>318486</v>
          </cell>
          <cell r="H1713">
            <v>35.26</v>
          </cell>
        </row>
        <row r="1714">
          <cell r="A1714">
            <v>318495</v>
          </cell>
          <cell r="H1714">
            <v>37.869999999999997</v>
          </cell>
        </row>
        <row r="1715">
          <cell r="A1715">
            <v>318496</v>
          </cell>
          <cell r="H1715">
            <v>37.64</v>
          </cell>
        </row>
        <row r="1716">
          <cell r="A1716">
            <v>318506</v>
          </cell>
          <cell r="H1716">
            <v>40.6</v>
          </cell>
        </row>
        <row r="1717">
          <cell r="A1717">
            <v>318510</v>
          </cell>
          <cell r="H1717">
            <v>33.28</v>
          </cell>
        </row>
        <row r="1718">
          <cell r="A1718">
            <v>318513</v>
          </cell>
          <cell r="H1718">
            <v>38.130000000000003</v>
          </cell>
        </row>
        <row r="1719">
          <cell r="A1719">
            <v>318515</v>
          </cell>
          <cell r="H1719">
            <v>38.270000000000003</v>
          </cell>
        </row>
        <row r="1720">
          <cell r="A1720">
            <v>318518</v>
          </cell>
          <cell r="H1720">
            <v>34.07</v>
          </cell>
        </row>
        <row r="1721">
          <cell r="A1721">
            <v>318527</v>
          </cell>
          <cell r="H1721">
            <v>37.590000000000003</v>
          </cell>
        </row>
        <row r="1722">
          <cell r="A1722">
            <v>318543</v>
          </cell>
          <cell r="H1722">
            <v>39.29</v>
          </cell>
        </row>
        <row r="1723">
          <cell r="A1723">
            <v>318548</v>
          </cell>
          <cell r="H1723">
            <v>40.47</v>
          </cell>
        </row>
        <row r="1724">
          <cell r="A1724">
            <v>318553</v>
          </cell>
          <cell r="H1724">
            <v>35.700000000000003</v>
          </cell>
        </row>
        <row r="1725">
          <cell r="A1725">
            <v>318554</v>
          </cell>
          <cell r="H1725">
            <v>41.12</v>
          </cell>
        </row>
        <row r="1726">
          <cell r="A1726">
            <v>318555</v>
          </cell>
          <cell r="H1726">
            <v>37.700000000000003</v>
          </cell>
        </row>
        <row r="1727">
          <cell r="A1727">
            <v>318556</v>
          </cell>
          <cell r="H1727">
            <v>34.270000000000003</v>
          </cell>
        </row>
        <row r="1728">
          <cell r="A1728">
            <v>318557</v>
          </cell>
          <cell r="H1728">
            <v>41.78</v>
          </cell>
        </row>
        <row r="1729">
          <cell r="A1729">
            <v>318558</v>
          </cell>
          <cell r="H1729">
            <v>33.18</v>
          </cell>
        </row>
        <row r="1730">
          <cell r="A1730">
            <v>318562</v>
          </cell>
          <cell r="H1730">
            <v>35.9</v>
          </cell>
        </row>
        <row r="1731">
          <cell r="A1731">
            <v>318563</v>
          </cell>
          <cell r="H1731">
            <v>35.25</v>
          </cell>
        </row>
        <row r="1732">
          <cell r="A1732">
            <v>319190</v>
          </cell>
          <cell r="H1732">
            <v>37.69</v>
          </cell>
        </row>
        <row r="1733">
          <cell r="A1733">
            <v>319194</v>
          </cell>
          <cell r="H1733">
            <v>33.25</v>
          </cell>
        </row>
        <row r="1734">
          <cell r="A1734">
            <v>319195</v>
          </cell>
          <cell r="H1734">
            <v>35.06</v>
          </cell>
        </row>
        <row r="1735">
          <cell r="A1735">
            <v>319197</v>
          </cell>
          <cell r="H1735">
            <v>38.04</v>
          </cell>
        </row>
        <row r="1736">
          <cell r="A1736">
            <v>319199</v>
          </cell>
          <cell r="H1736">
            <v>35.03</v>
          </cell>
        </row>
        <row r="1737">
          <cell r="A1737">
            <v>319204</v>
          </cell>
          <cell r="H1737">
            <v>37.119999999999997</v>
          </cell>
        </row>
        <row r="1738">
          <cell r="A1738">
            <v>319225</v>
          </cell>
          <cell r="H1738">
            <v>32.979999999999997</v>
          </cell>
        </row>
        <row r="1739">
          <cell r="A1739">
            <v>319226</v>
          </cell>
          <cell r="H1739">
            <v>33.96</v>
          </cell>
        </row>
        <row r="1740">
          <cell r="A1740">
            <v>319227</v>
          </cell>
          <cell r="H1740">
            <v>35.67</v>
          </cell>
        </row>
        <row r="1741">
          <cell r="A1741">
            <v>319228</v>
          </cell>
          <cell r="H1741">
            <v>32.89</v>
          </cell>
        </row>
        <row r="1742">
          <cell r="A1742">
            <v>319230</v>
          </cell>
          <cell r="H1742">
            <v>36.33</v>
          </cell>
        </row>
        <row r="1743">
          <cell r="A1743">
            <v>319231</v>
          </cell>
          <cell r="H1743">
            <v>34.35</v>
          </cell>
        </row>
        <row r="1744">
          <cell r="A1744">
            <v>319232</v>
          </cell>
          <cell r="H1744">
            <v>42.77</v>
          </cell>
        </row>
        <row r="1745">
          <cell r="A1745">
            <v>319233</v>
          </cell>
          <cell r="H1745">
            <v>35.76</v>
          </cell>
        </row>
        <row r="1746">
          <cell r="A1746">
            <v>319234</v>
          </cell>
          <cell r="H1746">
            <v>39.35</v>
          </cell>
        </row>
        <row r="1747">
          <cell r="A1747">
            <v>319240</v>
          </cell>
          <cell r="H1747">
            <v>41.16</v>
          </cell>
        </row>
        <row r="1748">
          <cell r="A1748">
            <v>319248</v>
          </cell>
          <cell r="H1748">
            <v>36.42</v>
          </cell>
        </row>
        <row r="1749">
          <cell r="A1749">
            <v>319250</v>
          </cell>
          <cell r="H1749">
            <v>41.73</v>
          </cell>
        </row>
        <row r="1750">
          <cell r="A1750">
            <v>319283</v>
          </cell>
          <cell r="H1750">
            <v>36.340000000000003</v>
          </cell>
        </row>
        <row r="1751">
          <cell r="A1751">
            <v>319292</v>
          </cell>
          <cell r="H1751">
            <v>34.29</v>
          </cell>
        </row>
        <row r="1752">
          <cell r="A1752">
            <v>319305</v>
          </cell>
          <cell r="H1752">
            <v>33.130000000000003</v>
          </cell>
        </row>
        <row r="1753">
          <cell r="A1753">
            <v>319308</v>
          </cell>
          <cell r="H1753">
            <v>33.22</v>
          </cell>
        </row>
        <row r="1754">
          <cell r="A1754">
            <v>319313</v>
          </cell>
          <cell r="H1754">
            <v>37.07</v>
          </cell>
        </row>
        <row r="1755">
          <cell r="A1755">
            <v>319314</v>
          </cell>
          <cell r="H1755">
            <v>40.909999999999997</v>
          </cell>
        </row>
        <row r="1756">
          <cell r="A1756">
            <v>319315</v>
          </cell>
          <cell r="H1756">
            <v>33.29</v>
          </cell>
        </row>
        <row r="1757">
          <cell r="A1757">
            <v>319316</v>
          </cell>
          <cell r="H1757">
            <v>35.33</v>
          </cell>
        </row>
        <row r="1758">
          <cell r="A1758">
            <v>319320</v>
          </cell>
          <cell r="H1758">
            <v>38.520000000000003</v>
          </cell>
        </row>
        <row r="1759">
          <cell r="A1759">
            <v>319322</v>
          </cell>
          <cell r="H1759">
            <v>33.1</v>
          </cell>
        </row>
        <row r="1760">
          <cell r="A1760">
            <v>319324</v>
          </cell>
          <cell r="H1760">
            <v>40.76</v>
          </cell>
        </row>
        <row r="1761">
          <cell r="A1761">
            <v>319326</v>
          </cell>
          <cell r="H1761">
            <v>38.6</v>
          </cell>
        </row>
        <row r="1762">
          <cell r="A1762">
            <v>319331</v>
          </cell>
          <cell r="H1762">
            <v>34.01</v>
          </cell>
        </row>
        <row r="1763">
          <cell r="A1763">
            <v>319338</v>
          </cell>
          <cell r="H1763">
            <v>36.590000000000003</v>
          </cell>
        </row>
        <row r="1764">
          <cell r="A1764">
            <v>319339</v>
          </cell>
          <cell r="H1764">
            <v>35.090000000000003</v>
          </cell>
        </row>
        <row r="1765">
          <cell r="A1765">
            <v>319340</v>
          </cell>
          <cell r="H1765">
            <v>38.26</v>
          </cell>
        </row>
        <row r="1766">
          <cell r="A1766">
            <v>319351</v>
          </cell>
          <cell r="H1766">
            <v>38.1</v>
          </cell>
        </row>
        <row r="1767">
          <cell r="A1767">
            <v>319352</v>
          </cell>
          <cell r="H1767">
            <v>35</v>
          </cell>
        </row>
        <row r="1768">
          <cell r="A1768">
            <v>319353</v>
          </cell>
          <cell r="H1768">
            <v>35.06</v>
          </cell>
        </row>
        <row r="1769">
          <cell r="A1769">
            <v>319354</v>
          </cell>
          <cell r="H1769">
            <v>37.840000000000003</v>
          </cell>
        </row>
        <row r="1770">
          <cell r="A1770">
            <v>319361</v>
          </cell>
          <cell r="H1770">
            <v>37.479999999999997</v>
          </cell>
        </row>
        <row r="1771">
          <cell r="A1771">
            <v>319365</v>
          </cell>
          <cell r="H1771">
            <v>33.36</v>
          </cell>
        </row>
        <row r="1772">
          <cell r="A1772">
            <v>319368</v>
          </cell>
          <cell r="H1772">
            <v>43.35</v>
          </cell>
        </row>
        <row r="1773">
          <cell r="A1773">
            <v>319369</v>
          </cell>
          <cell r="H1773">
            <v>35.79</v>
          </cell>
        </row>
        <row r="1774">
          <cell r="A1774">
            <v>319374</v>
          </cell>
          <cell r="H1774">
            <v>43.29</v>
          </cell>
        </row>
        <row r="1775">
          <cell r="A1775">
            <v>319375</v>
          </cell>
          <cell r="H1775">
            <v>35.99</v>
          </cell>
        </row>
        <row r="1776">
          <cell r="A1776">
            <v>319385</v>
          </cell>
          <cell r="H1776">
            <v>36.049999999999997</v>
          </cell>
        </row>
        <row r="1777">
          <cell r="A1777">
            <v>319386</v>
          </cell>
          <cell r="H1777">
            <v>36.49</v>
          </cell>
        </row>
        <row r="1778">
          <cell r="A1778">
            <v>319419</v>
          </cell>
          <cell r="H1778">
            <v>32.81</v>
          </cell>
        </row>
        <row r="1779">
          <cell r="A1779">
            <v>319599</v>
          </cell>
          <cell r="H1779">
            <v>39.049999999999997</v>
          </cell>
        </row>
        <row r="1780">
          <cell r="A1780">
            <v>319601</v>
          </cell>
          <cell r="H1780">
            <v>39.020000000000003</v>
          </cell>
        </row>
        <row r="1781">
          <cell r="A1781">
            <v>319607</v>
          </cell>
          <cell r="H1781">
            <v>38.92</v>
          </cell>
        </row>
        <row r="1782">
          <cell r="A1782">
            <v>319615</v>
          </cell>
          <cell r="H1782">
            <v>34.880000000000003</v>
          </cell>
        </row>
        <row r="1783">
          <cell r="A1783">
            <v>319617</v>
          </cell>
          <cell r="H1783">
            <v>34.74</v>
          </cell>
        </row>
        <row r="1784">
          <cell r="A1784">
            <v>319669</v>
          </cell>
          <cell r="H1784">
            <v>36.69</v>
          </cell>
        </row>
        <row r="1785">
          <cell r="A1785">
            <v>319672</v>
          </cell>
          <cell r="H1785">
            <v>35.369999999999997</v>
          </cell>
        </row>
        <row r="1786">
          <cell r="A1786">
            <v>319673</v>
          </cell>
          <cell r="H1786">
            <v>36.619999999999997</v>
          </cell>
        </row>
        <row r="1787">
          <cell r="A1787">
            <v>319680</v>
          </cell>
          <cell r="H1787">
            <v>35.49</v>
          </cell>
        </row>
        <row r="1788">
          <cell r="A1788">
            <v>319682</v>
          </cell>
          <cell r="H1788">
            <v>36.47</v>
          </cell>
        </row>
        <row r="1789">
          <cell r="A1789">
            <v>319697</v>
          </cell>
          <cell r="H1789">
            <v>37.6</v>
          </cell>
        </row>
        <row r="1790">
          <cell r="A1790">
            <v>319699</v>
          </cell>
          <cell r="H1790">
            <v>35.5</v>
          </cell>
        </row>
        <row r="1791">
          <cell r="A1791">
            <v>319700</v>
          </cell>
          <cell r="H1791">
            <v>37.909999999999997</v>
          </cell>
        </row>
        <row r="1792">
          <cell r="A1792">
            <v>319701</v>
          </cell>
          <cell r="H1792">
            <v>36.299999999999997</v>
          </cell>
        </row>
        <row r="1793">
          <cell r="A1793">
            <v>319705</v>
          </cell>
          <cell r="H1793">
            <v>33.58</v>
          </cell>
        </row>
        <row r="1794">
          <cell r="A1794">
            <v>319707</v>
          </cell>
          <cell r="H1794">
            <v>41.3</v>
          </cell>
        </row>
        <row r="1795">
          <cell r="A1795">
            <v>319718</v>
          </cell>
          <cell r="H1795">
            <v>38.78</v>
          </cell>
        </row>
        <row r="1796">
          <cell r="A1796">
            <v>319725</v>
          </cell>
          <cell r="H1796">
            <v>37.61</v>
          </cell>
        </row>
        <row r="1797">
          <cell r="A1797">
            <v>319736</v>
          </cell>
          <cell r="H1797">
            <v>33.24</v>
          </cell>
        </row>
        <row r="1798">
          <cell r="A1798">
            <v>319738</v>
          </cell>
          <cell r="H1798">
            <v>37.85</v>
          </cell>
        </row>
        <row r="1799">
          <cell r="A1799">
            <v>319744</v>
          </cell>
          <cell r="H1799">
            <v>38.24</v>
          </cell>
        </row>
        <row r="1800">
          <cell r="A1800">
            <v>319747</v>
          </cell>
          <cell r="H1800">
            <v>37.29</v>
          </cell>
        </row>
        <row r="1801">
          <cell r="A1801">
            <v>319761</v>
          </cell>
          <cell r="H1801">
            <v>35.68</v>
          </cell>
        </row>
        <row r="1802">
          <cell r="A1802">
            <v>319765</v>
          </cell>
          <cell r="H1802">
            <v>35.49</v>
          </cell>
        </row>
        <row r="1803">
          <cell r="A1803">
            <v>319766</v>
          </cell>
          <cell r="H1803">
            <v>38.15</v>
          </cell>
        </row>
        <row r="1804">
          <cell r="A1804">
            <v>319767</v>
          </cell>
          <cell r="H1804">
            <v>33.49</v>
          </cell>
        </row>
        <row r="1805">
          <cell r="A1805">
            <v>319768</v>
          </cell>
          <cell r="H1805">
            <v>38.22</v>
          </cell>
        </row>
        <row r="1806">
          <cell r="A1806">
            <v>319769</v>
          </cell>
          <cell r="H1806">
            <v>33.770000000000003</v>
          </cell>
        </row>
        <row r="1807">
          <cell r="A1807">
            <v>319770</v>
          </cell>
          <cell r="H1807">
            <v>34.979999999999997</v>
          </cell>
        </row>
        <row r="1808">
          <cell r="A1808">
            <v>319771</v>
          </cell>
          <cell r="H1808">
            <v>35.380000000000003</v>
          </cell>
        </row>
        <row r="1809">
          <cell r="A1809">
            <v>319783</v>
          </cell>
          <cell r="H1809">
            <v>39.47</v>
          </cell>
        </row>
        <row r="1810">
          <cell r="A1810">
            <v>319786</v>
          </cell>
          <cell r="H1810">
            <v>37.799999999999997</v>
          </cell>
        </row>
        <row r="1811">
          <cell r="A1811">
            <v>319787</v>
          </cell>
          <cell r="H1811">
            <v>37.6</v>
          </cell>
        </row>
        <row r="1812">
          <cell r="A1812">
            <v>319790</v>
          </cell>
          <cell r="H1812">
            <v>38.25</v>
          </cell>
        </row>
        <row r="1813">
          <cell r="A1813">
            <v>319829</v>
          </cell>
          <cell r="H1813">
            <v>34.44</v>
          </cell>
        </row>
        <row r="1814">
          <cell r="A1814">
            <v>319858</v>
          </cell>
          <cell r="H1814">
            <v>38.130000000000003</v>
          </cell>
        </row>
        <row r="1815">
          <cell r="A1815">
            <v>319859</v>
          </cell>
          <cell r="H1815">
            <v>35.369999999999997</v>
          </cell>
        </row>
        <row r="1816">
          <cell r="A1816">
            <v>319867</v>
          </cell>
          <cell r="H1816">
            <v>38.479999999999997</v>
          </cell>
        </row>
        <row r="1817">
          <cell r="A1817">
            <v>319874</v>
          </cell>
          <cell r="H1817">
            <v>35.92</v>
          </cell>
        </row>
        <row r="1818">
          <cell r="A1818">
            <v>319875</v>
          </cell>
          <cell r="H1818">
            <v>36.729999999999997</v>
          </cell>
        </row>
        <row r="1819">
          <cell r="A1819">
            <v>319876</v>
          </cell>
          <cell r="H1819">
            <v>36.31</v>
          </cell>
        </row>
        <row r="1820">
          <cell r="A1820">
            <v>319877</v>
          </cell>
          <cell r="H1820">
            <v>40.69</v>
          </cell>
        </row>
        <row r="1821">
          <cell r="A1821">
            <v>319878</v>
          </cell>
          <cell r="H1821">
            <v>38.69</v>
          </cell>
        </row>
        <row r="1822">
          <cell r="A1822">
            <v>319883</v>
          </cell>
          <cell r="H1822">
            <v>38.1</v>
          </cell>
        </row>
        <row r="1823">
          <cell r="A1823">
            <v>319888</v>
          </cell>
          <cell r="H1823">
            <v>33.200000000000003</v>
          </cell>
        </row>
        <row r="1824">
          <cell r="A1824">
            <v>319891</v>
          </cell>
          <cell r="H1824">
            <v>38.119999999999997</v>
          </cell>
        </row>
        <row r="1825">
          <cell r="A1825">
            <v>319903</v>
          </cell>
          <cell r="H1825">
            <v>34.49</v>
          </cell>
        </row>
        <row r="1826">
          <cell r="A1826">
            <v>319922</v>
          </cell>
          <cell r="H1826">
            <v>35.53</v>
          </cell>
        </row>
        <row r="1827">
          <cell r="A1827">
            <v>319926</v>
          </cell>
          <cell r="H1827">
            <v>37.9</v>
          </cell>
        </row>
        <row r="1828">
          <cell r="A1828">
            <v>319927</v>
          </cell>
          <cell r="H1828">
            <v>35.5</v>
          </cell>
        </row>
        <row r="1829">
          <cell r="A1829">
            <v>319928</v>
          </cell>
          <cell r="H1829">
            <v>35.090000000000003</v>
          </cell>
        </row>
        <row r="1830">
          <cell r="A1830">
            <v>319929</v>
          </cell>
          <cell r="H1830">
            <v>37.42</v>
          </cell>
        </row>
        <row r="1831">
          <cell r="A1831">
            <v>319931</v>
          </cell>
          <cell r="H1831">
            <v>34.83</v>
          </cell>
        </row>
        <row r="1832">
          <cell r="A1832">
            <v>319932</v>
          </cell>
          <cell r="H1832">
            <v>41.08</v>
          </cell>
        </row>
        <row r="1833">
          <cell r="A1833">
            <v>319935</v>
          </cell>
          <cell r="H1833">
            <v>42.75</v>
          </cell>
        </row>
        <row r="1834">
          <cell r="A1834">
            <v>319945</v>
          </cell>
          <cell r="H1834">
            <v>39.33</v>
          </cell>
        </row>
        <row r="1835">
          <cell r="A1835">
            <v>319984</v>
          </cell>
          <cell r="H1835">
            <v>36.549999999999997</v>
          </cell>
        </row>
        <row r="1836">
          <cell r="A1836">
            <v>320005</v>
          </cell>
          <cell r="H1836">
            <v>32.909999999999997</v>
          </cell>
        </row>
        <row r="1837">
          <cell r="A1837">
            <v>320006</v>
          </cell>
          <cell r="H1837">
            <v>42.53</v>
          </cell>
        </row>
        <row r="1838">
          <cell r="A1838">
            <v>320008</v>
          </cell>
          <cell r="H1838">
            <v>36.340000000000003</v>
          </cell>
        </row>
        <row r="1839">
          <cell r="A1839">
            <v>320009</v>
          </cell>
          <cell r="H1839">
            <v>33.549999999999997</v>
          </cell>
        </row>
        <row r="1840">
          <cell r="A1840">
            <v>320010</v>
          </cell>
          <cell r="H1840">
            <v>36.11</v>
          </cell>
        </row>
        <row r="1841">
          <cell r="A1841">
            <v>320012</v>
          </cell>
          <cell r="H1841">
            <v>41.55</v>
          </cell>
        </row>
        <row r="1842">
          <cell r="A1842">
            <v>320013</v>
          </cell>
          <cell r="H1842">
            <v>42.58</v>
          </cell>
        </row>
        <row r="1843">
          <cell r="A1843">
            <v>320015</v>
          </cell>
          <cell r="H1843">
            <v>39.14</v>
          </cell>
        </row>
        <row r="1844">
          <cell r="A1844">
            <v>320017</v>
          </cell>
          <cell r="H1844">
            <v>34.11</v>
          </cell>
        </row>
        <row r="1845">
          <cell r="A1845">
            <v>320023</v>
          </cell>
          <cell r="H1845">
            <v>38.380000000000003</v>
          </cell>
        </row>
        <row r="1846">
          <cell r="A1846">
            <v>320034</v>
          </cell>
          <cell r="H1846">
            <v>37.26</v>
          </cell>
        </row>
        <row r="1847">
          <cell r="A1847">
            <v>320036</v>
          </cell>
          <cell r="H1847">
            <v>38.69</v>
          </cell>
        </row>
        <row r="1848">
          <cell r="A1848">
            <v>320044</v>
          </cell>
          <cell r="H1848">
            <v>37.15</v>
          </cell>
        </row>
        <row r="1849">
          <cell r="A1849">
            <v>320048</v>
          </cell>
          <cell r="H1849">
            <v>33.770000000000003</v>
          </cell>
        </row>
        <row r="1850">
          <cell r="A1850">
            <v>320056</v>
          </cell>
          <cell r="H1850">
            <v>35.67</v>
          </cell>
        </row>
        <row r="1851">
          <cell r="A1851">
            <v>320058</v>
          </cell>
          <cell r="H1851">
            <v>35.5</v>
          </cell>
        </row>
        <row r="1852">
          <cell r="A1852">
            <v>320059</v>
          </cell>
          <cell r="H1852">
            <v>35.42</v>
          </cell>
        </row>
        <row r="1853">
          <cell r="A1853">
            <v>320062</v>
          </cell>
          <cell r="H1853">
            <v>37.54</v>
          </cell>
        </row>
        <row r="1854">
          <cell r="A1854">
            <v>320063</v>
          </cell>
          <cell r="H1854">
            <v>36.840000000000003</v>
          </cell>
        </row>
        <row r="1855">
          <cell r="A1855">
            <v>320065</v>
          </cell>
          <cell r="H1855">
            <v>42.32</v>
          </cell>
        </row>
        <row r="1856">
          <cell r="A1856">
            <v>320070</v>
          </cell>
          <cell r="H1856">
            <v>39.93</v>
          </cell>
        </row>
        <row r="1857">
          <cell r="A1857">
            <v>320071</v>
          </cell>
          <cell r="H1857">
            <v>35.43</v>
          </cell>
        </row>
        <row r="1858">
          <cell r="A1858">
            <v>320076</v>
          </cell>
          <cell r="H1858">
            <v>35.380000000000003</v>
          </cell>
        </row>
        <row r="1859">
          <cell r="A1859">
            <v>320080</v>
          </cell>
          <cell r="H1859">
            <v>36.72</v>
          </cell>
        </row>
        <row r="1860">
          <cell r="A1860">
            <v>320082</v>
          </cell>
          <cell r="H1860">
            <v>40.119999999999997</v>
          </cell>
        </row>
        <row r="1861">
          <cell r="A1861">
            <v>320085</v>
          </cell>
          <cell r="H1861">
            <v>39.15</v>
          </cell>
        </row>
        <row r="1862">
          <cell r="A1862">
            <v>319523</v>
          </cell>
          <cell r="H1862">
            <v>39.07</v>
          </cell>
        </row>
        <row r="1863">
          <cell r="A1863">
            <v>319525</v>
          </cell>
          <cell r="H1863">
            <v>36</v>
          </cell>
        </row>
        <row r="1864">
          <cell r="A1864">
            <v>319549</v>
          </cell>
          <cell r="H1864">
            <v>7.4</v>
          </cell>
        </row>
        <row r="1865">
          <cell r="A1865">
            <v>319551</v>
          </cell>
          <cell r="H1865">
            <v>40.869999999999997</v>
          </cell>
        </row>
        <row r="1866">
          <cell r="A1866">
            <v>319552</v>
          </cell>
          <cell r="H1866">
            <v>27.03</v>
          </cell>
        </row>
        <row r="1867">
          <cell r="A1867">
            <v>319556</v>
          </cell>
          <cell r="H1867">
            <v>33.729999999999997</v>
          </cell>
        </row>
        <row r="1868">
          <cell r="A1868">
            <v>319557</v>
          </cell>
          <cell r="H1868">
            <v>37.46</v>
          </cell>
        </row>
        <row r="1869">
          <cell r="A1869">
            <v>319558</v>
          </cell>
          <cell r="H1869">
            <v>38.32</v>
          </cell>
        </row>
        <row r="1870">
          <cell r="A1870">
            <v>319560</v>
          </cell>
          <cell r="H1870">
            <v>35.65</v>
          </cell>
        </row>
        <row r="1871">
          <cell r="A1871">
            <v>319561</v>
          </cell>
          <cell r="H1871">
            <v>34.36</v>
          </cell>
        </row>
        <row r="1872">
          <cell r="A1872">
            <v>319565</v>
          </cell>
          <cell r="H1872">
            <v>38.200000000000003</v>
          </cell>
        </row>
        <row r="1873">
          <cell r="A1873">
            <v>319567</v>
          </cell>
          <cell r="H1873">
            <v>37.04</v>
          </cell>
        </row>
        <row r="1874">
          <cell r="A1874">
            <v>319570</v>
          </cell>
          <cell r="H1874">
            <v>41.35</v>
          </cell>
        </row>
        <row r="1875">
          <cell r="A1875">
            <v>319573</v>
          </cell>
          <cell r="H1875">
            <v>35.1</v>
          </cell>
        </row>
        <row r="1876">
          <cell r="A1876">
            <v>319574</v>
          </cell>
          <cell r="H1876">
            <v>36.68</v>
          </cell>
        </row>
        <row r="1877">
          <cell r="A1877">
            <v>319436</v>
          </cell>
          <cell r="H1877">
            <v>34.78</v>
          </cell>
        </row>
        <row r="1878">
          <cell r="A1878">
            <v>319439</v>
          </cell>
          <cell r="H1878">
            <v>38.08</v>
          </cell>
        </row>
        <row r="1879">
          <cell r="A1879">
            <v>319446</v>
          </cell>
          <cell r="H1879">
            <v>37.18</v>
          </cell>
        </row>
        <row r="1880">
          <cell r="A1880">
            <v>319450</v>
          </cell>
          <cell r="H1880">
            <v>32.92</v>
          </cell>
        </row>
        <row r="1881">
          <cell r="A1881">
            <v>319452</v>
          </cell>
          <cell r="H1881">
            <v>41.05</v>
          </cell>
        </row>
        <row r="1882">
          <cell r="A1882">
            <v>319470</v>
          </cell>
          <cell r="H1882">
            <v>38.14</v>
          </cell>
        </row>
        <row r="1883">
          <cell r="A1883">
            <v>319473</v>
          </cell>
          <cell r="H1883">
            <v>32.85</v>
          </cell>
        </row>
        <row r="1884">
          <cell r="A1884">
            <v>319477</v>
          </cell>
          <cell r="H1884">
            <v>35.54</v>
          </cell>
        </row>
        <row r="1885">
          <cell r="A1885">
            <v>319483</v>
          </cell>
          <cell r="H1885">
            <v>42.7</v>
          </cell>
        </row>
        <row r="1886">
          <cell r="A1886">
            <v>317604</v>
          </cell>
          <cell r="H1886">
            <v>38.61</v>
          </cell>
        </row>
        <row r="1887">
          <cell r="A1887">
            <v>320098</v>
          </cell>
          <cell r="H1887">
            <v>36.61</v>
          </cell>
        </row>
        <row r="1888">
          <cell r="A1888">
            <v>320099</v>
          </cell>
          <cell r="H1888">
            <v>40.07</v>
          </cell>
        </row>
        <row r="1889">
          <cell r="A1889">
            <v>320103</v>
          </cell>
          <cell r="H1889">
            <v>38.19</v>
          </cell>
        </row>
        <row r="1890">
          <cell r="A1890">
            <v>320138</v>
          </cell>
          <cell r="H1890">
            <v>35.51</v>
          </cell>
        </row>
        <row r="1891">
          <cell r="A1891">
            <v>320154</v>
          </cell>
          <cell r="H1891">
            <v>39.36</v>
          </cell>
        </row>
        <row r="1892">
          <cell r="A1892">
            <v>320155</v>
          </cell>
          <cell r="H1892">
            <v>40.47</v>
          </cell>
        </row>
        <row r="1893">
          <cell r="A1893">
            <v>320159</v>
          </cell>
          <cell r="H1893">
            <v>32.9</v>
          </cell>
        </row>
        <row r="1894">
          <cell r="A1894">
            <v>320160</v>
          </cell>
          <cell r="H1894">
            <v>36.01</v>
          </cell>
        </row>
        <row r="1895">
          <cell r="A1895">
            <v>320161</v>
          </cell>
          <cell r="H1895">
            <v>39.1</v>
          </cell>
        </row>
        <row r="1896">
          <cell r="A1896">
            <v>320167</v>
          </cell>
          <cell r="H1896">
            <v>33.299999999999997</v>
          </cell>
        </row>
        <row r="1897">
          <cell r="A1897">
            <v>320168</v>
          </cell>
          <cell r="H1897">
            <v>38.64</v>
          </cell>
        </row>
        <row r="1898">
          <cell r="A1898">
            <v>320174</v>
          </cell>
          <cell r="H1898">
            <v>38.19</v>
          </cell>
        </row>
        <row r="1899">
          <cell r="A1899">
            <v>320176</v>
          </cell>
          <cell r="H1899">
            <v>41.68</v>
          </cell>
        </row>
        <row r="1900">
          <cell r="A1900">
            <v>320188</v>
          </cell>
          <cell r="H1900">
            <v>37.31</v>
          </cell>
        </row>
        <row r="1901">
          <cell r="A1901">
            <v>320192</v>
          </cell>
          <cell r="H1901">
            <v>37.71</v>
          </cell>
        </row>
        <row r="1902">
          <cell r="A1902">
            <v>320193</v>
          </cell>
          <cell r="H1902">
            <v>33.869999999999997</v>
          </cell>
        </row>
        <row r="1903">
          <cell r="A1903">
            <v>320200</v>
          </cell>
          <cell r="H1903">
            <v>34.909999999999997</v>
          </cell>
        </row>
        <row r="1904">
          <cell r="A1904">
            <v>320206</v>
          </cell>
          <cell r="H1904">
            <v>35.51</v>
          </cell>
        </row>
        <row r="1905">
          <cell r="A1905">
            <v>320209</v>
          </cell>
          <cell r="H1905">
            <v>35.5</v>
          </cell>
        </row>
        <row r="1906">
          <cell r="A1906">
            <v>320210</v>
          </cell>
          <cell r="H1906">
            <v>43.74</v>
          </cell>
        </row>
        <row r="1907">
          <cell r="A1907">
            <v>320211</v>
          </cell>
          <cell r="H1907">
            <v>32.89</v>
          </cell>
        </row>
        <row r="1908">
          <cell r="A1908">
            <v>320212</v>
          </cell>
          <cell r="H1908">
            <v>42.45</v>
          </cell>
        </row>
        <row r="1909">
          <cell r="A1909">
            <v>320213</v>
          </cell>
          <cell r="H1909">
            <v>35.49</v>
          </cell>
        </row>
        <row r="1910">
          <cell r="A1910">
            <v>320214</v>
          </cell>
          <cell r="H1910">
            <v>37.020000000000003</v>
          </cell>
        </row>
        <row r="1911">
          <cell r="A1911">
            <v>320215</v>
          </cell>
          <cell r="H1911">
            <v>38</v>
          </cell>
        </row>
        <row r="1912">
          <cell r="A1912">
            <v>320216</v>
          </cell>
          <cell r="H1912">
            <v>40.17</v>
          </cell>
        </row>
        <row r="1913">
          <cell r="A1913">
            <v>320219</v>
          </cell>
          <cell r="H1913">
            <v>40.909999999999997</v>
          </cell>
        </row>
        <row r="1914">
          <cell r="A1914">
            <v>320220</v>
          </cell>
          <cell r="H1914">
            <v>37.270000000000003</v>
          </cell>
        </row>
        <row r="1915">
          <cell r="A1915">
            <v>320221</v>
          </cell>
          <cell r="H1915">
            <v>36.51</v>
          </cell>
        </row>
        <row r="1916">
          <cell r="A1916">
            <v>320230</v>
          </cell>
          <cell r="H1916">
            <v>41.06</v>
          </cell>
        </row>
        <row r="1917">
          <cell r="A1917">
            <v>320238</v>
          </cell>
          <cell r="H1917">
            <v>35.5</v>
          </cell>
        </row>
        <row r="1918">
          <cell r="A1918">
            <v>320293</v>
          </cell>
          <cell r="H1918">
            <v>34.35</v>
          </cell>
        </row>
        <row r="1919">
          <cell r="A1919">
            <v>320301</v>
          </cell>
          <cell r="H1919">
            <v>35.6</v>
          </cell>
        </row>
        <row r="1920">
          <cell r="A1920">
            <v>320303</v>
          </cell>
          <cell r="H1920">
            <v>32.83</v>
          </cell>
        </row>
        <row r="1921">
          <cell r="A1921">
            <v>320310</v>
          </cell>
          <cell r="H1921">
            <v>37.58</v>
          </cell>
        </row>
        <row r="1922">
          <cell r="A1922">
            <v>320311</v>
          </cell>
          <cell r="H1922">
            <v>41.41</v>
          </cell>
        </row>
        <row r="1923">
          <cell r="A1923">
            <v>320321</v>
          </cell>
          <cell r="H1923">
            <v>41.08</v>
          </cell>
        </row>
        <row r="1924">
          <cell r="A1924">
            <v>320323</v>
          </cell>
          <cell r="H1924">
            <v>33.369999999999997</v>
          </cell>
        </row>
        <row r="1925">
          <cell r="A1925">
            <v>320328</v>
          </cell>
          <cell r="H1925">
            <v>37.17</v>
          </cell>
        </row>
        <row r="1926">
          <cell r="A1926">
            <v>320329</v>
          </cell>
          <cell r="H1926">
            <v>33.5</v>
          </cell>
        </row>
        <row r="1927">
          <cell r="A1927">
            <v>320331</v>
          </cell>
          <cell r="H1927">
            <v>40.64</v>
          </cell>
        </row>
        <row r="1928">
          <cell r="A1928">
            <v>320332</v>
          </cell>
          <cell r="H1928">
            <v>35.369999999999997</v>
          </cell>
        </row>
        <row r="1929">
          <cell r="A1929">
            <v>320338</v>
          </cell>
          <cell r="H1929">
            <v>37.69</v>
          </cell>
        </row>
        <row r="1930">
          <cell r="A1930">
            <v>320345</v>
          </cell>
          <cell r="H1930">
            <v>35.61</v>
          </cell>
        </row>
        <row r="1931">
          <cell r="A1931">
            <v>320346</v>
          </cell>
          <cell r="H1931">
            <v>36.43</v>
          </cell>
        </row>
        <row r="1932">
          <cell r="A1932">
            <v>320353</v>
          </cell>
          <cell r="H1932">
            <v>35.49</v>
          </cell>
        </row>
        <row r="1933">
          <cell r="A1933">
            <v>320354</v>
          </cell>
          <cell r="H1933">
            <v>40.57</v>
          </cell>
        </row>
        <row r="1934">
          <cell r="A1934">
            <v>320355</v>
          </cell>
          <cell r="H1934">
            <v>35.25</v>
          </cell>
        </row>
        <row r="1935">
          <cell r="A1935">
            <v>320356</v>
          </cell>
          <cell r="H1935">
            <v>36.700000000000003</v>
          </cell>
        </row>
        <row r="1936">
          <cell r="A1936">
            <v>320357</v>
          </cell>
          <cell r="H1936">
            <v>35.24</v>
          </cell>
        </row>
        <row r="1937">
          <cell r="A1937">
            <v>320358</v>
          </cell>
          <cell r="H1937">
            <v>40.659999999999997</v>
          </cell>
        </row>
        <row r="1938">
          <cell r="A1938">
            <v>320361</v>
          </cell>
          <cell r="H1938">
            <v>33.31</v>
          </cell>
        </row>
        <row r="1939">
          <cell r="A1939">
            <v>320364</v>
          </cell>
          <cell r="H1939">
            <v>35.58</v>
          </cell>
        </row>
        <row r="1940">
          <cell r="A1940">
            <v>320366</v>
          </cell>
          <cell r="H1940">
            <v>37.21</v>
          </cell>
        </row>
        <row r="1941">
          <cell r="A1941">
            <v>320367</v>
          </cell>
          <cell r="H1941">
            <v>41.9</v>
          </cell>
        </row>
        <row r="1942">
          <cell r="A1942">
            <v>320369</v>
          </cell>
          <cell r="H1942">
            <v>35.200000000000003</v>
          </cell>
        </row>
        <row r="1943">
          <cell r="A1943">
            <v>320376</v>
          </cell>
          <cell r="H1943">
            <v>36.99</v>
          </cell>
        </row>
        <row r="1944">
          <cell r="A1944">
            <v>320388</v>
          </cell>
          <cell r="H1944">
            <v>41.48</v>
          </cell>
        </row>
        <row r="1945">
          <cell r="A1945">
            <v>320418</v>
          </cell>
          <cell r="H1945">
            <v>34.799999999999997</v>
          </cell>
        </row>
        <row r="1946">
          <cell r="A1946">
            <v>320453</v>
          </cell>
          <cell r="H1946">
            <v>41.14</v>
          </cell>
        </row>
        <row r="1947">
          <cell r="A1947">
            <v>320455</v>
          </cell>
          <cell r="H1947">
            <v>40.200000000000003</v>
          </cell>
        </row>
        <row r="1948">
          <cell r="A1948">
            <v>320464</v>
          </cell>
          <cell r="H1948">
            <v>37.630000000000003</v>
          </cell>
        </row>
        <row r="1949">
          <cell r="A1949">
            <v>320467</v>
          </cell>
          <cell r="H1949">
            <v>34.409999999999997</v>
          </cell>
        </row>
        <row r="1950">
          <cell r="A1950">
            <v>320470</v>
          </cell>
          <cell r="H1950">
            <v>35.450000000000003</v>
          </cell>
        </row>
        <row r="1951">
          <cell r="A1951">
            <v>320471</v>
          </cell>
          <cell r="H1951">
            <v>33.409999999999997</v>
          </cell>
        </row>
        <row r="1952">
          <cell r="A1952">
            <v>320472</v>
          </cell>
          <cell r="H1952">
            <v>36.479999999999997</v>
          </cell>
        </row>
        <row r="1953">
          <cell r="A1953">
            <v>320474</v>
          </cell>
          <cell r="H1953">
            <v>37.92</v>
          </cell>
        </row>
        <row r="1954">
          <cell r="A1954">
            <v>320483</v>
          </cell>
          <cell r="H1954">
            <v>33.44</v>
          </cell>
        </row>
        <row r="1955">
          <cell r="A1955">
            <v>320485</v>
          </cell>
          <cell r="H1955">
            <v>35.5</v>
          </cell>
        </row>
        <row r="1956">
          <cell r="A1956">
            <v>320493</v>
          </cell>
          <cell r="H1956">
            <v>37.6</v>
          </cell>
        </row>
        <row r="1957">
          <cell r="A1957">
            <v>320505</v>
          </cell>
          <cell r="H1957">
            <v>40.21</v>
          </cell>
        </row>
        <row r="1958">
          <cell r="A1958">
            <v>320507</v>
          </cell>
          <cell r="H1958">
            <v>33.18</v>
          </cell>
        </row>
        <row r="1959">
          <cell r="A1959">
            <v>320509</v>
          </cell>
          <cell r="H1959">
            <v>40.909999999999997</v>
          </cell>
        </row>
        <row r="1960">
          <cell r="A1960">
            <v>320510</v>
          </cell>
          <cell r="H1960">
            <v>36.72</v>
          </cell>
        </row>
        <row r="1961">
          <cell r="A1961">
            <v>320514</v>
          </cell>
          <cell r="H1961">
            <v>35.68</v>
          </cell>
        </row>
        <row r="1962">
          <cell r="A1962">
            <v>320515</v>
          </cell>
          <cell r="H1962">
            <v>35.24</v>
          </cell>
        </row>
        <row r="1963">
          <cell r="A1963">
            <v>320516</v>
          </cell>
          <cell r="H1963">
            <v>36.36</v>
          </cell>
        </row>
        <row r="1964">
          <cell r="A1964">
            <v>320517</v>
          </cell>
          <cell r="H1964">
            <v>33.630000000000003</v>
          </cell>
        </row>
        <row r="1965">
          <cell r="A1965">
            <v>320518</v>
          </cell>
          <cell r="H1965">
            <v>36.42</v>
          </cell>
        </row>
        <row r="1966">
          <cell r="A1966">
            <v>320519</v>
          </cell>
          <cell r="H1966">
            <v>34.53</v>
          </cell>
        </row>
        <row r="1967">
          <cell r="A1967">
            <v>320529</v>
          </cell>
          <cell r="H1967">
            <v>41.71</v>
          </cell>
        </row>
        <row r="1968">
          <cell r="A1968">
            <v>320561</v>
          </cell>
          <cell r="H1968">
            <v>33.619999999999997</v>
          </cell>
        </row>
        <row r="1969">
          <cell r="A1969">
            <v>320569</v>
          </cell>
          <cell r="H1969">
            <v>34.15</v>
          </cell>
        </row>
        <row r="1970">
          <cell r="A1970">
            <v>320571</v>
          </cell>
          <cell r="H1970">
            <v>37.93</v>
          </cell>
        </row>
        <row r="1971">
          <cell r="A1971">
            <v>320576</v>
          </cell>
          <cell r="H1971">
            <v>31.99</v>
          </cell>
        </row>
        <row r="1972">
          <cell r="A1972">
            <v>320595</v>
          </cell>
          <cell r="H1972">
            <v>38.06</v>
          </cell>
        </row>
        <row r="1973">
          <cell r="A1973">
            <v>320598</v>
          </cell>
          <cell r="H1973">
            <v>41.04</v>
          </cell>
        </row>
        <row r="1974">
          <cell r="A1974">
            <v>320600</v>
          </cell>
          <cell r="H1974">
            <v>37.520000000000003</v>
          </cell>
        </row>
        <row r="1975">
          <cell r="A1975">
            <v>320612</v>
          </cell>
          <cell r="H1975">
            <v>37.61</v>
          </cell>
        </row>
        <row r="1976">
          <cell r="A1976">
            <v>320617</v>
          </cell>
          <cell r="H1976">
            <v>35.51</v>
          </cell>
        </row>
        <row r="1977">
          <cell r="A1977">
            <v>320618</v>
          </cell>
          <cell r="H1977">
            <v>34.46</v>
          </cell>
        </row>
        <row r="1978">
          <cell r="A1978">
            <v>320619</v>
          </cell>
          <cell r="H1978">
            <v>36.130000000000003</v>
          </cell>
        </row>
        <row r="1979">
          <cell r="A1979">
            <v>320620</v>
          </cell>
          <cell r="H1979">
            <v>35.9</v>
          </cell>
        </row>
        <row r="1980">
          <cell r="A1980">
            <v>320621</v>
          </cell>
          <cell r="H1980">
            <v>36.46</v>
          </cell>
        </row>
        <row r="1981">
          <cell r="A1981">
            <v>320622</v>
          </cell>
          <cell r="H1981">
            <v>33.24</v>
          </cell>
        </row>
        <row r="1982">
          <cell r="A1982">
            <v>320624</v>
          </cell>
          <cell r="H1982">
            <v>35.119999999999997</v>
          </cell>
        </row>
        <row r="1983">
          <cell r="A1983">
            <v>320638</v>
          </cell>
          <cell r="H1983">
            <v>36.130000000000003</v>
          </cell>
        </row>
        <row r="1984">
          <cell r="A1984">
            <v>320640</v>
          </cell>
          <cell r="H1984">
            <v>43.61</v>
          </cell>
        </row>
        <row r="1985">
          <cell r="A1985">
            <v>320641</v>
          </cell>
          <cell r="H1985">
            <v>35.28</v>
          </cell>
        </row>
        <row r="1986">
          <cell r="A1986">
            <v>320642</v>
          </cell>
          <cell r="H1986">
            <v>33.26</v>
          </cell>
        </row>
        <row r="1987">
          <cell r="A1987">
            <v>320644</v>
          </cell>
          <cell r="H1987">
            <v>39.86</v>
          </cell>
        </row>
        <row r="1988">
          <cell r="A1988">
            <v>320651</v>
          </cell>
          <cell r="H1988">
            <v>43.32</v>
          </cell>
        </row>
        <row r="1989">
          <cell r="A1989">
            <v>320656</v>
          </cell>
          <cell r="H1989">
            <v>35.549999999999997</v>
          </cell>
        </row>
        <row r="1990">
          <cell r="A1990">
            <v>320660</v>
          </cell>
          <cell r="H1990">
            <v>38.31</v>
          </cell>
        </row>
        <row r="1991">
          <cell r="A1991">
            <v>320661</v>
          </cell>
          <cell r="H1991">
            <v>40.479999999999997</v>
          </cell>
        </row>
        <row r="1992">
          <cell r="A1992">
            <v>320669</v>
          </cell>
          <cell r="H1992">
            <v>41.52</v>
          </cell>
        </row>
        <row r="1993">
          <cell r="A1993">
            <v>320671</v>
          </cell>
          <cell r="H1993">
            <v>36.49</v>
          </cell>
        </row>
        <row r="1994">
          <cell r="A1994">
            <v>320702</v>
          </cell>
          <cell r="H1994">
            <v>37.47</v>
          </cell>
        </row>
        <row r="1995">
          <cell r="A1995">
            <v>320719</v>
          </cell>
          <cell r="H1995">
            <v>33.92</v>
          </cell>
        </row>
        <row r="1996">
          <cell r="A1996">
            <v>320729</v>
          </cell>
          <cell r="H1996">
            <v>37.68</v>
          </cell>
        </row>
        <row r="1997">
          <cell r="A1997">
            <v>320732</v>
          </cell>
          <cell r="H1997">
            <v>38.28</v>
          </cell>
        </row>
        <row r="1998">
          <cell r="A1998">
            <v>320733</v>
          </cell>
          <cell r="H1998">
            <v>37.04</v>
          </cell>
        </row>
        <row r="1999">
          <cell r="A1999">
            <v>320739</v>
          </cell>
          <cell r="H1999">
            <v>37.96</v>
          </cell>
        </row>
        <row r="2000">
          <cell r="A2000">
            <v>320740</v>
          </cell>
          <cell r="H2000">
            <v>41.12</v>
          </cell>
        </row>
        <row r="2001">
          <cell r="A2001">
            <v>320744</v>
          </cell>
          <cell r="H2001">
            <v>33.630000000000003</v>
          </cell>
        </row>
        <row r="2002">
          <cell r="A2002">
            <v>320751</v>
          </cell>
          <cell r="H2002">
            <v>37.700000000000003</v>
          </cell>
        </row>
        <row r="2003">
          <cell r="A2003">
            <v>320755</v>
          </cell>
          <cell r="H2003">
            <v>37.5</v>
          </cell>
        </row>
        <row r="2004">
          <cell r="A2004">
            <v>320756</v>
          </cell>
          <cell r="H2004">
            <v>33.68</v>
          </cell>
        </row>
        <row r="2005">
          <cell r="A2005">
            <v>320757</v>
          </cell>
          <cell r="H2005">
            <v>40.42</v>
          </cell>
        </row>
        <row r="2006">
          <cell r="A2006">
            <v>320762</v>
          </cell>
          <cell r="H2006">
            <v>37.049999999999997</v>
          </cell>
        </row>
        <row r="2007">
          <cell r="A2007">
            <v>320769</v>
          </cell>
          <cell r="H2007">
            <v>38.76</v>
          </cell>
        </row>
        <row r="2008">
          <cell r="A2008">
            <v>320770</v>
          </cell>
          <cell r="H2008">
            <v>32.950000000000003</v>
          </cell>
        </row>
        <row r="2009">
          <cell r="A2009">
            <v>320771</v>
          </cell>
          <cell r="H2009">
            <v>35.82</v>
          </cell>
        </row>
        <row r="2010">
          <cell r="A2010">
            <v>320778</v>
          </cell>
          <cell r="H2010">
            <v>34.92</v>
          </cell>
        </row>
        <row r="2011">
          <cell r="A2011">
            <v>320780</v>
          </cell>
          <cell r="H2011">
            <v>38.43</v>
          </cell>
        </row>
        <row r="2012">
          <cell r="A2012">
            <v>320784</v>
          </cell>
          <cell r="H2012">
            <v>34.369999999999997</v>
          </cell>
        </row>
        <row r="2013">
          <cell r="A2013">
            <v>320785</v>
          </cell>
          <cell r="H2013">
            <v>40.32</v>
          </cell>
        </row>
        <row r="2014">
          <cell r="A2014">
            <v>320786</v>
          </cell>
          <cell r="H2014">
            <v>41.14</v>
          </cell>
        </row>
        <row r="2015">
          <cell r="A2015">
            <v>320787</v>
          </cell>
          <cell r="H2015">
            <v>35.4</v>
          </cell>
        </row>
        <row r="2016">
          <cell r="A2016">
            <v>320788</v>
          </cell>
          <cell r="H2016">
            <v>35.799999999999997</v>
          </cell>
        </row>
        <row r="2017">
          <cell r="A2017">
            <v>320789</v>
          </cell>
          <cell r="H2017">
            <v>33.76</v>
          </cell>
        </row>
        <row r="2018">
          <cell r="A2018">
            <v>320790</v>
          </cell>
          <cell r="H2018">
            <v>37.14</v>
          </cell>
        </row>
        <row r="2019">
          <cell r="A2019">
            <v>319487</v>
          </cell>
          <cell r="H2019">
            <v>34.81</v>
          </cell>
        </row>
        <row r="2020">
          <cell r="A2020">
            <v>319488</v>
          </cell>
          <cell r="H2020">
            <v>33.36</v>
          </cell>
        </row>
        <row r="2021">
          <cell r="A2021">
            <v>315641</v>
          </cell>
          <cell r="H2021">
            <v>38.28</v>
          </cell>
        </row>
        <row r="2022">
          <cell r="A2022">
            <v>315777</v>
          </cell>
          <cell r="H2022">
            <v>36.04</v>
          </cell>
        </row>
        <row r="2023">
          <cell r="A2023">
            <v>316003</v>
          </cell>
          <cell r="H2023">
            <v>41.73</v>
          </cell>
        </row>
        <row r="2024">
          <cell r="A2024">
            <v>316769</v>
          </cell>
          <cell r="H2024">
            <v>33.19</v>
          </cell>
        </row>
        <row r="2025">
          <cell r="A2025">
            <v>317605</v>
          </cell>
          <cell r="H2025">
            <v>32.880000000000003</v>
          </cell>
        </row>
        <row r="2026">
          <cell r="A2026">
            <v>317208</v>
          </cell>
          <cell r="H2026">
            <v>41.27</v>
          </cell>
        </row>
        <row r="2027">
          <cell r="A2027">
            <v>317204</v>
          </cell>
          <cell r="H2027">
            <v>37.67</v>
          </cell>
        </row>
        <row r="2028">
          <cell r="A2028">
            <v>317607</v>
          </cell>
          <cell r="H2028">
            <v>33.229999999999997</v>
          </cell>
        </row>
        <row r="2029">
          <cell r="A2029">
            <v>317453</v>
          </cell>
          <cell r="H2029">
            <v>41.14</v>
          </cell>
        </row>
        <row r="2030">
          <cell r="A2030">
            <v>317598</v>
          </cell>
          <cell r="H2030">
            <v>36.14</v>
          </cell>
        </row>
        <row r="2031">
          <cell r="A2031">
            <v>317808</v>
          </cell>
          <cell r="H2031">
            <v>35.47</v>
          </cell>
        </row>
        <row r="2032">
          <cell r="A2032">
            <v>318457</v>
          </cell>
          <cell r="H2032">
            <v>35.82</v>
          </cell>
        </row>
        <row r="2033">
          <cell r="A2033">
            <v>318264</v>
          </cell>
          <cell r="H2033">
            <v>35.82</v>
          </cell>
        </row>
        <row r="2034">
          <cell r="A2034">
            <v>318260</v>
          </cell>
          <cell r="H2034">
            <v>41.73</v>
          </cell>
        </row>
        <row r="2035">
          <cell r="A2035">
            <v>318592</v>
          </cell>
          <cell r="H2035">
            <v>35.5</v>
          </cell>
        </row>
        <row r="2036">
          <cell r="A2036">
            <v>319188</v>
          </cell>
          <cell r="H2036">
            <v>35.82</v>
          </cell>
        </row>
        <row r="2037">
          <cell r="A2037">
            <v>319430</v>
          </cell>
          <cell r="H2037">
            <v>41.45</v>
          </cell>
        </row>
        <row r="2038">
          <cell r="A2038">
            <v>319433</v>
          </cell>
          <cell r="H2038">
            <v>40.69</v>
          </cell>
        </row>
        <row r="2039">
          <cell r="A2039">
            <v>319486</v>
          </cell>
          <cell r="H2039">
            <v>34.9</v>
          </cell>
        </row>
        <row r="2040">
          <cell r="A2040">
            <v>319492</v>
          </cell>
          <cell r="H2040">
            <v>33.11</v>
          </cell>
        </row>
        <row r="2041">
          <cell r="A2041">
            <v>319597</v>
          </cell>
          <cell r="H2041">
            <v>42.38</v>
          </cell>
        </row>
        <row r="2042">
          <cell r="A2042">
            <v>320289</v>
          </cell>
          <cell r="H2042">
            <v>38.56</v>
          </cell>
        </row>
        <row r="2043">
          <cell r="A2043">
            <v>320086</v>
          </cell>
          <cell r="H2043">
            <v>35.83</v>
          </cell>
        </row>
        <row r="2044">
          <cell r="A2044">
            <v>320157</v>
          </cell>
          <cell r="H2044">
            <v>35.5</v>
          </cell>
        </row>
        <row r="2045">
          <cell r="A2045">
            <v>320239</v>
          </cell>
          <cell r="H2045">
            <v>42.73</v>
          </cell>
        </row>
        <row r="2046">
          <cell r="A2046">
            <v>320423</v>
          </cell>
          <cell r="H2046">
            <v>33.1</v>
          </cell>
        </row>
        <row r="2047">
          <cell r="A2047">
            <v>320445</v>
          </cell>
          <cell r="H2047">
            <v>43.56</v>
          </cell>
        </row>
        <row r="2048">
          <cell r="A2048">
            <v>320791</v>
          </cell>
          <cell r="H2048">
            <v>35.49</v>
          </cell>
        </row>
        <row r="2049">
          <cell r="A2049">
            <v>320792</v>
          </cell>
          <cell r="H2049">
            <v>37.47</v>
          </cell>
        </row>
        <row r="2050">
          <cell r="A2050">
            <v>320797</v>
          </cell>
          <cell r="H2050">
            <v>36.04</v>
          </cell>
        </row>
        <row r="2051">
          <cell r="A2051">
            <v>320847</v>
          </cell>
          <cell r="H2051">
            <v>40.049999999999997</v>
          </cell>
        </row>
        <row r="2052">
          <cell r="A2052">
            <v>320852</v>
          </cell>
          <cell r="H2052">
            <v>33.25</v>
          </cell>
        </row>
        <row r="2053">
          <cell r="A2053">
            <v>320854</v>
          </cell>
          <cell r="H2053">
            <v>35.200000000000003</v>
          </cell>
        </row>
        <row r="2054">
          <cell r="A2054">
            <v>320868</v>
          </cell>
          <cell r="H2054">
            <v>38.270000000000003</v>
          </cell>
        </row>
        <row r="2055">
          <cell r="A2055">
            <v>320870</v>
          </cell>
          <cell r="H2055">
            <v>33.47</v>
          </cell>
        </row>
        <row r="2056">
          <cell r="A2056">
            <v>320872</v>
          </cell>
          <cell r="H2056">
            <v>36.57</v>
          </cell>
        </row>
        <row r="2057">
          <cell r="A2057">
            <v>320873</v>
          </cell>
          <cell r="H2057">
            <v>38.18</v>
          </cell>
        </row>
        <row r="2058">
          <cell r="A2058">
            <v>320884</v>
          </cell>
          <cell r="H2058">
            <v>37.729999999999997</v>
          </cell>
        </row>
        <row r="2059">
          <cell r="A2059">
            <v>320886</v>
          </cell>
          <cell r="H2059">
            <v>34.450000000000003</v>
          </cell>
        </row>
        <row r="2060">
          <cell r="A2060">
            <v>320897</v>
          </cell>
          <cell r="H2060">
            <v>35.479999999999997</v>
          </cell>
        </row>
        <row r="2061">
          <cell r="A2061">
            <v>320898</v>
          </cell>
          <cell r="H2061">
            <v>34.43</v>
          </cell>
        </row>
        <row r="2062">
          <cell r="A2062">
            <v>320899</v>
          </cell>
          <cell r="H2062">
            <v>37.909999999999997</v>
          </cell>
        </row>
        <row r="2063">
          <cell r="A2063">
            <v>320901</v>
          </cell>
          <cell r="H2063">
            <v>33.869999999999997</v>
          </cell>
        </row>
        <row r="2064">
          <cell r="A2064">
            <v>320905</v>
          </cell>
          <cell r="H2064">
            <v>35.619999999999997</v>
          </cell>
        </row>
        <row r="2065">
          <cell r="A2065">
            <v>320906</v>
          </cell>
          <cell r="H2065">
            <v>35.659999999999997</v>
          </cell>
        </row>
        <row r="2066">
          <cell r="A2066">
            <v>320907</v>
          </cell>
          <cell r="H2066">
            <v>41.48</v>
          </cell>
        </row>
        <row r="2067">
          <cell r="A2067">
            <v>320912</v>
          </cell>
          <cell r="H2067">
            <v>33.69</v>
          </cell>
        </row>
        <row r="2068">
          <cell r="A2068">
            <v>320924</v>
          </cell>
          <cell r="H2068">
            <v>39.35</v>
          </cell>
        </row>
        <row r="2069">
          <cell r="A2069">
            <v>320926</v>
          </cell>
          <cell r="H2069">
            <v>40.31</v>
          </cell>
        </row>
        <row r="2070">
          <cell r="A2070">
            <v>320928</v>
          </cell>
          <cell r="H2070">
            <v>36.26</v>
          </cell>
        </row>
        <row r="2071">
          <cell r="A2071">
            <v>320929</v>
          </cell>
          <cell r="H2071">
            <v>37.31</v>
          </cell>
        </row>
        <row r="2072">
          <cell r="A2072">
            <v>320933</v>
          </cell>
          <cell r="H2072">
            <v>35.880000000000003</v>
          </cell>
        </row>
        <row r="2073">
          <cell r="A2073">
            <v>320937</v>
          </cell>
          <cell r="H2073">
            <v>37.619999999999997</v>
          </cell>
        </row>
        <row r="2074">
          <cell r="A2074">
            <v>320943</v>
          </cell>
          <cell r="H2074">
            <v>35.81</v>
          </cell>
        </row>
        <row r="2075">
          <cell r="A2075">
            <v>320976</v>
          </cell>
          <cell r="H2075">
            <v>35.44</v>
          </cell>
        </row>
        <row r="2076">
          <cell r="A2076">
            <v>320978</v>
          </cell>
          <cell r="H2076">
            <v>37.6</v>
          </cell>
        </row>
        <row r="2077">
          <cell r="A2077">
            <v>320982</v>
          </cell>
          <cell r="H2077">
            <v>34.71</v>
          </cell>
        </row>
        <row r="2078">
          <cell r="A2078">
            <v>321006</v>
          </cell>
          <cell r="H2078">
            <v>37.869999999999997</v>
          </cell>
        </row>
        <row r="2079">
          <cell r="A2079">
            <v>321012</v>
          </cell>
          <cell r="H2079">
            <v>40.15</v>
          </cell>
        </row>
        <row r="2080">
          <cell r="A2080">
            <v>321016</v>
          </cell>
          <cell r="H2080">
            <v>38.5</v>
          </cell>
        </row>
        <row r="2081">
          <cell r="A2081">
            <v>321018</v>
          </cell>
          <cell r="H2081">
            <v>33.299999999999997</v>
          </cell>
        </row>
        <row r="2082">
          <cell r="A2082">
            <v>321019</v>
          </cell>
          <cell r="H2082">
            <v>35.15</v>
          </cell>
        </row>
        <row r="2083">
          <cell r="A2083">
            <v>321025</v>
          </cell>
          <cell r="H2083">
            <v>40.67</v>
          </cell>
        </row>
        <row r="2084">
          <cell r="A2084">
            <v>321027</v>
          </cell>
          <cell r="H2084">
            <v>38.71</v>
          </cell>
        </row>
        <row r="2085">
          <cell r="A2085">
            <v>321030</v>
          </cell>
          <cell r="H2085">
            <v>37.85</v>
          </cell>
        </row>
        <row r="2086">
          <cell r="A2086">
            <v>321041</v>
          </cell>
          <cell r="H2086">
            <v>33.43</v>
          </cell>
        </row>
        <row r="2087">
          <cell r="A2087">
            <v>321043</v>
          </cell>
          <cell r="H2087">
            <v>35.5</v>
          </cell>
        </row>
        <row r="2088">
          <cell r="A2088">
            <v>321044</v>
          </cell>
          <cell r="H2088">
            <v>34.270000000000003</v>
          </cell>
        </row>
        <row r="2089">
          <cell r="A2089">
            <v>321045</v>
          </cell>
          <cell r="H2089">
            <v>36.25</v>
          </cell>
        </row>
        <row r="2090">
          <cell r="A2090">
            <v>321048</v>
          </cell>
          <cell r="H2090">
            <v>37.47</v>
          </cell>
        </row>
        <row r="2091">
          <cell r="A2091">
            <v>321064</v>
          </cell>
          <cell r="H2091">
            <v>40.090000000000003</v>
          </cell>
        </row>
        <row r="2092">
          <cell r="A2092">
            <v>321066</v>
          </cell>
          <cell r="H2092">
            <v>35.270000000000003</v>
          </cell>
        </row>
        <row r="2093">
          <cell r="A2093">
            <v>321067</v>
          </cell>
          <cell r="H2093">
            <v>35.479999999999997</v>
          </cell>
        </row>
        <row r="2094">
          <cell r="A2094">
            <v>321069</v>
          </cell>
          <cell r="H2094">
            <v>37.770000000000003</v>
          </cell>
        </row>
        <row r="2095">
          <cell r="A2095">
            <v>321081</v>
          </cell>
          <cell r="H2095">
            <v>37.729999999999997</v>
          </cell>
        </row>
        <row r="2096">
          <cell r="A2096">
            <v>321097</v>
          </cell>
          <cell r="H2096">
            <v>34.15</v>
          </cell>
        </row>
        <row r="2097">
          <cell r="A2097">
            <v>321128</v>
          </cell>
          <cell r="H2097">
            <v>36.29</v>
          </cell>
        </row>
        <row r="2098">
          <cell r="A2098">
            <v>321134</v>
          </cell>
          <cell r="H2098">
            <v>34.700000000000003</v>
          </cell>
        </row>
        <row r="2099">
          <cell r="A2099">
            <v>321137</v>
          </cell>
          <cell r="H2099">
            <v>36.14</v>
          </cell>
        </row>
        <row r="2100">
          <cell r="A2100">
            <v>321142</v>
          </cell>
          <cell r="H2100">
            <v>38.75</v>
          </cell>
        </row>
        <row r="2101">
          <cell r="A2101">
            <v>321144</v>
          </cell>
          <cell r="H2101">
            <v>40.72</v>
          </cell>
        </row>
        <row r="2102">
          <cell r="A2102">
            <v>321148</v>
          </cell>
          <cell r="H2102">
            <v>35.21</v>
          </cell>
        </row>
        <row r="2103">
          <cell r="A2103">
            <v>321149</v>
          </cell>
          <cell r="H2103">
            <v>33.15</v>
          </cell>
        </row>
        <row r="2104">
          <cell r="A2104">
            <v>321157</v>
          </cell>
          <cell r="H2104">
            <v>36.07</v>
          </cell>
        </row>
        <row r="2105">
          <cell r="A2105">
            <v>321160</v>
          </cell>
          <cell r="H2105">
            <v>38.08</v>
          </cell>
        </row>
        <row r="2106">
          <cell r="A2106">
            <v>321165</v>
          </cell>
          <cell r="H2106">
            <v>40.869999999999997</v>
          </cell>
        </row>
        <row r="2107">
          <cell r="A2107">
            <v>321167</v>
          </cell>
          <cell r="H2107">
            <v>38.24</v>
          </cell>
        </row>
        <row r="2108">
          <cell r="A2108">
            <v>321172</v>
          </cell>
          <cell r="H2108">
            <v>33.14</v>
          </cell>
        </row>
        <row r="2109">
          <cell r="A2109">
            <v>321174</v>
          </cell>
          <cell r="H2109">
            <v>38.72</v>
          </cell>
        </row>
        <row r="2110">
          <cell r="A2110">
            <v>321176</v>
          </cell>
          <cell r="H2110">
            <v>39.229999999999997</v>
          </cell>
        </row>
        <row r="2111">
          <cell r="A2111">
            <v>321179</v>
          </cell>
          <cell r="H2111">
            <v>37.69</v>
          </cell>
        </row>
        <row r="2112">
          <cell r="A2112">
            <v>321182</v>
          </cell>
          <cell r="H2112">
            <v>35.47</v>
          </cell>
        </row>
        <row r="2113">
          <cell r="A2113">
            <v>321183</v>
          </cell>
          <cell r="H2113">
            <v>34.56</v>
          </cell>
        </row>
        <row r="2114">
          <cell r="A2114">
            <v>321192</v>
          </cell>
          <cell r="H2114">
            <v>33.409999999999997</v>
          </cell>
        </row>
        <row r="2115">
          <cell r="A2115">
            <v>321206</v>
          </cell>
          <cell r="H2115">
            <v>34.14</v>
          </cell>
        </row>
        <row r="2116">
          <cell r="A2116">
            <v>321208</v>
          </cell>
          <cell r="H2116">
            <v>40.020000000000003</v>
          </cell>
        </row>
        <row r="2117">
          <cell r="A2117">
            <v>321210</v>
          </cell>
          <cell r="H2117">
            <v>37.57</v>
          </cell>
        </row>
        <row r="2118">
          <cell r="A2118">
            <v>321211</v>
          </cell>
          <cell r="H2118">
            <v>36</v>
          </cell>
        </row>
        <row r="2119">
          <cell r="A2119">
            <v>321212</v>
          </cell>
          <cell r="H2119">
            <v>40.85</v>
          </cell>
        </row>
        <row r="2120">
          <cell r="A2120">
            <v>321213</v>
          </cell>
          <cell r="H2120">
            <v>34.49</v>
          </cell>
        </row>
        <row r="2121">
          <cell r="A2121">
            <v>321214</v>
          </cell>
          <cell r="H2121">
            <v>35.32</v>
          </cell>
        </row>
        <row r="2122">
          <cell r="A2122">
            <v>321215</v>
          </cell>
          <cell r="H2122">
            <v>34.46</v>
          </cell>
        </row>
        <row r="2123">
          <cell r="A2123">
            <v>321216</v>
          </cell>
          <cell r="H2123">
            <v>35.69</v>
          </cell>
        </row>
        <row r="2124">
          <cell r="A2124">
            <v>321235</v>
          </cell>
          <cell r="H2124">
            <v>35.64</v>
          </cell>
        </row>
        <row r="2125">
          <cell r="A2125">
            <v>321237</v>
          </cell>
          <cell r="H2125">
            <v>36.07</v>
          </cell>
        </row>
        <row r="2126">
          <cell r="A2126">
            <v>321271</v>
          </cell>
          <cell r="H2126">
            <v>35.6</v>
          </cell>
        </row>
        <row r="2127">
          <cell r="A2127">
            <v>321275</v>
          </cell>
          <cell r="H2127">
            <v>35.729999999999997</v>
          </cell>
        </row>
        <row r="2128">
          <cell r="A2128">
            <v>321277</v>
          </cell>
          <cell r="H2128">
            <v>39.14</v>
          </cell>
        </row>
        <row r="2129">
          <cell r="A2129">
            <v>321279</v>
          </cell>
          <cell r="H2129">
            <v>34.909999999999997</v>
          </cell>
        </row>
        <row r="2130">
          <cell r="A2130">
            <v>321282</v>
          </cell>
          <cell r="H2130">
            <v>38.340000000000003</v>
          </cell>
        </row>
        <row r="2131">
          <cell r="A2131">
            <v>321295</v>
          </cell>
          <cell r="H2131">
            <v>33.630000000000003</v>
          </cell>
        </row>
        <row r="2132">
          <cell r="A2132">
            <v>321299</v>
          </cell>
          <cell r="H2132">
            <v>38.18</v>
          </cell>
        </row>
        <row r="2133">
          <cell r="A2133">
            <v>321300</v>
          </cell>
          <cell r="H2133">
            <v>33.119999999999997</v>
          </cell>
        </row>
        <row r="2134">
          <cell r="A2134">
            <v>321302</v>
          </cell>
          <cell r="H2134">
            <v>36.119999999999997</v>
          </cell>
        </row>
        <row r="2135">
          <cell r="A2135">
            <v>321305</v>
          </cell>
          <cell r="H2135">
            <v>33.380000000000003</v>
          </cell>
        </row>
        <row r="2136">
          <cell r="A2136">
            <v>321307</v>
          </cell>
          <cell r="H2136">
            <v>35.22</v>
          </cell>
        </row>
        <row r="2137">
          <cell r="A2137">
            <v>321312</v>
          </cell>
          <cell r="H2137">
            <v>37.869999999999997</v>
          </cell>
        </row>
        <row r="2138">
          <cell r="A2138">
            <v>321314</v>
          </cell>
          <cell r="H2138">
            <v>33.4</v>
          </cell>
        </row>
        <row r="2139">
          <cell r="A2139">
            <v>321332</v>
          </cell>
          <cell r="H2139">
            <v>41.13</v>
          </cell>
        </row>
        <row r="2140">
          <cell r="A2140">
            <v>321333</v>
          </cell>
          <cell r="H2140">
            <v>40.54</v>
          </cell>
        </row>
        <row r="2141">
          <cell r="A2141">
            <v>321335</v>
          </cell>
          <cell r="H2141">
            <v>34.61</v>
          </cell>
        </row>
        <row r="2142">
          <cell r="A2142">
            <v>321342</v>
          </cell>
          <cell r="H2142">
            <v>37.619999999999997</v>
          </cell>
        </row>
        <row r="2143">
          <cell r="A2143">
            <v>321344</v>
          </cell>
          <cell r="H2143">
            <v>33.96</v>
          </cell>
        </row>
        <row r="2144">
          <cell r="A2144">
            <v>321349</v>
          </cell>
          <cell r="H2144">
            <v>39.44</v>
          </cell>
        </row>
        <row r="2145">
          <cell r="A2145">
            <v>321352</v>
          </cell>
          <cell r="H2145">
            <v>40.25</v>
          </cell>
        </row>
        <row r="2146">
          <cell r="A2146">
            <v>321353</v>
          </cell>
          <cell r="H2146">
            <v>36.049999999999997</v>
          </cell>
        </row>
        <row r="2147">
          <cell r="A2147">
            <v>321354</v>
          </cell>
          <cell r="H2147">
            <v>34.880000000000003</v>
          </cell>
        </row>
        <row r="2148">
          <cell r="A2148">
            <v>321355</v>
          </cell>
          <cell r="H2148">
            <v>35.56</v>
          </cell>
        </row>
        <row r="2149">
          <cell r="A2149">
            <v>321356</v>
          </cell>
          <cell r="H2149">
            <v>35.86</v>
          </cell>
        </row>
        <row r="2150">
          <cell r="A2150">
            <v>321358</v>
          </cell>
          <cell r="H2150">
            <v>40.56</v>
          </cell>
        </row>
        <row r="2151">
          <cell r="A2151">
            <v>321374</v>
          </cell>
          <cell r="H2151">
            <v>33.28</v>
          </cell>
        </row>
        <row r="2152">
          <cell r="A2152">
            <v>321375</v>
          </cell>
          <cell r="H2152">
            <v>40.79</v>
          </cell>
        </row>
        <row r="2153">
          <cell r="A2153">
            <v>321385</v>
          </cell>
          <cell r="H2153">
            <v>36.090000000000003</v>
          </cell>
        </row>
        <row r="2154">
          <cell r="A2154">
            <v>321425</v>
          </cell>
          <cell r="H2154">
            <v>39.22</v>
          </cell>
        </row>
        <row r="2155">
          <cell r="A2155">
            <v>321428</v>
          </cell>
          <cell r="H2155">
            <v>34.450000000000003</v>
          </cell>
        </row>
        <row r="2156">
          <cell r="A2156">
            <v>321503</v>
          </cell>
          <cell r="H2156">
            <v>33.020000000000003</v>
          </cell>
        </row>
        <row r="2157">
          <cell r="A2157">
            <v>321508</v>
          </cell>
          <cell r="H2157">
            <v>36.049999999999997</v>
          </cell>
        </row>
        <row r="2158">
          <cell r="A2158">
            <v>321510</v>
          </cell>
          <cell r="H2158">
            <v>33.39</v>
          </cell>
        </row>
        <row r="2159">
          <cell r="A2159">
            <v>321514</v>
          </cell>
          <cell r="H2159">
            <v>36.479999999999997</v>
          </cell>
        </row>
        <row r="2160">
          <cell r="A2160">
            <v>321515</v>
          </cell>
          <cell r="H2160">
            <v>35.5</v>
          </cell>
        </row>
        <row r="2161">
          <cell r="A2161">
            <v>321516</v>
          </cell>
          <cell r="H2161">
            <v>40.729999999999997</v>
          </cell>
        </row>
        <row r="2162">
          <cell r="A2162">
            <v>321519</v>
          </cell>
          <cell r="H2162">
            <v>35.18</v>
          </cell>
        </row>
        <row r="2163">
          <cell r="A2163">
            <v>321531</v>
          </cell>
          <cell r="H2163">
            <v>36.590000000000003</v>
          </cell>
        </row>
        <row r="2164">
          <cell r="A2164">
            <v>321532</v>
          </cell>
          <cell r="H2164">
            <v>36.96</v>
          </cell>
        </row>
        <row r="2165">
          <cell r="A2165">
            <v>321543</v>
          </cell>
          <cell r="H2165">
            <v>35.99</v>
          </cell>
        </row>
        <row r="2166">
          <cell r="A2166">
            <v>321557</v>
          </cell>
          <cell r="H2166">
            <v>34.520000000000003</v>
          </cell>
        </row>
        <row r="2167">
          <cell r="A2167">
            <v>321601</v>
          </cell>
          <cell r="H2167">
            <v>36.19</v>
          </cell>
        </row>
        <row r="2168">
          <cell r="A2168">
            <v>321607</v>
          </cell>
          <cell r="H2168">
            <v>34.06</v>
          </cell>
        </row>
        <row r="2169">
          <cell r="A2169">
            <v>321612</v>
          </cell>
          <cell r="H2169">
            <v>33.520000000000003</v>
          </cell>
        </row>
        <row r="2170">
          <cell r="A2170">
            <v>321621</v>
          </cell>
          <cell r="H2170">
            <v>37.74</v>
          </cell>
        </row>
        <row r="2171">
          <cell r="A2171">
            <v>321635</v>
          </cell>
          <cell r="H2171">
            <v>38.53</v>
          </cell>
        </row>
        <row r="2172">
          <cell r="A2172">
            <v>321636</v>
          </cell>
          <cell r="H2172">
            <v>33.61</v>
          </cell>
        </row>
        <row r="2173">
          <cell r="A2173">
            <v>321637</v>
          </cell>
          <cell r="H2173">
            <v>40.74</v>
          </cell>
        </row>
        <row r="2174">
          <cell r="A2174">
            <v>321638</v>
          </cell>
          <cell r="H2174">
            <v>40.68</v>
          </cell>
        </row>
        <row r="2175">
          <cell r="A2175">
            <v>321645</v>
          </cell>
          <cell r="H2175">
            <v>33.81</v>
          </cell>
        </row>
        <row r="2176">
          <cell r="A2176">
            <v>321652</v>
          </cell>
          <cell r="H2176">
            <v>38.11</v>
          </cell>
        </row>
        <row r="2177">
          <cell r="A2177">
            <v>321655</v>
          </cell>
          <cell r="H2177">
            <v>35.5</v>
          </cell>
        </row>
        <row r="2178">
          <cell r="A2178">
            <v>321658</v>
          </cell>
          <cell r="H2178">
            <v>33.49</v>
          </cell>
        </row>
        <row r="2179">
          <cell r="A2179">
            <v>321668</v>
          </cell>
          <cell r="H2179">
            <v>35.799999999999997</v>
          </cell>
        </row>
        <row r="2180">
          <cell r="A2180">
            <v>321669</v>
          </cell>
          <cell r="H2180">
            <v>35.5</v>
          </cell>
        </row>
        <row r="2181">
          <cell r="A2181">
            <v>321682</v>
          </cell>
          <cell r="H2181">
            <v>40.590000000000003</v>
          </cell>
        </row>
        <row r="2182">
          <cell r="A2182">
            <v>321683</v>
          </cell>
          <cell r="H2182">
            <v>40.43</v>
          </cell>
        </row>
        <row r="2183">
          <cell r="A2183">
            <v>321688</v>
          </cell>
          <cell r="H2183">
            <v>37.11</v>
          </cell>
        </row>
        <row r="2184">
          <cell r="A2184">
            <v>321690</v>
          </cell>
          <cell r="H2184">
            <v>38.32</v>
          </cell>
        </row>
        <row r="2185">
          <cell r="A2185">
            <v>321697</v>
          </cell>
          <cell r="H2185">
            <v>35.840000000000003</v>
          </cell>
        </row>
        <row r="2186">
          <cell r="A2186">
            <v>321705</v>
          </cell>
          <cell r="H2186">
            <v>36.11</v>
          </cell>
        </row>
        <row r="2187">
          <cell r="A2187">
            <v>321711</v>
          </cell>
          <cell r="H2187">
            <v>34.590000000000003</v>
          </cell>
        </row>
        <row r="2188">
          <cell r="A2188">
            <v>321742</v>
          </cell>
          <cell r="H2188">
            <v>36.17</v>
          </cell>
        </row>
        <row r="2189">
          <cell r="A2189">
            <v>321759</v>
          </cell>
          <cell r="H2189">
            <v>38.97</v>
          </cell>
        </row>
        <row r="2190">
          <cell r="A2190">
            <v>321766</v>
          </cell>
          <cell r="H2190">
            <v>33.340000000000003</v>
          </cell>
        </row>
        <row r="2191">
          <cell r="A2191">
            <v>321772</v>
          </cell>
          <cell r="H2191">
            <v>33.700000000000003</v>
          </cell>
        </row>
        <row r="2192">
          <cell r="A2192">
            <v>321778</v>
          </cell>
          <cell r="H2192">
            <v>38.36</v>
          </cell>
        </row>
        <row r="2193">
          <cell r="A2193">
            <v>321792</v>
          </cell>
          <cell r="H2193">
            <v>41.66</v>
          </cell>
        </row>
        <row r="2194">
          <cell r="A2194">
            <v>321793</v>
          </cell>
          <cell r="H2194">
            <v>38.57</v>
          </cell>
        </row>
        <row r="2195">
          <cell r="A2195">
            <v>321796</v>
          </cell>
          <cell r="H2195">
            <v>33.75</v>
          </cell>
        </row>
        <row r="2196">
          <cell r="A2196">
            <v>321797</v>
          </cell>
          <cell r="H2196">
            <v>41.89</v>
          </cell>
        </row>
        <row r="2197">
          <cell r="A2197">
            <v>321799</v>
          </cell>
          <cell r="H2197">
            <v>41.91</v>
          </cell>
        </row>
        <row r="2198">
          <cell r="A2198">
            <v>321805</v>
          </cell>
          <cell r="H2198">
            <v>37.479999999999997</v>
          </cell>
        </row>
        <row r="2199">
          <cell r="A2199">
            <v>321810</v>
          </cell>
          <cell r="H2199">
            <v>35.5</v>
          </cell>
        </row>
        <row r="2200">
          <cell r="A2200">
            <v>321812</v>
          </cell>
          <cell r="H2200">
            <v>33.36</v>
          </cell>
        </row>
        <row r="2201">
          <cell r="A2201">
            <v>321822</v>
          </cell>
          <cell r="H2201">
            <v>39.44</v>
          </cell>
        </row>
        <row r="2202">
          <cell r="A2202">
            <v>321824</v>
          </cell>
          <cell r="H2202">
            <v>35.880000000000003</v>
          </cell>
        </row>
        <row r="2203">
          <cell r="A2203">
            <v>321827</v>
          </cell>
          <cell r="H2203">
            <v>40.82</v>
          </cell>
        </row>
        <row r="2204">
          <cell r="A2204">
            <v>321828</v>
          </cell>
          <cell r="H2204">
            <v>35.25</v>
          </cell>
        </row>
        <row r="2205">
          <cell r="A2205">
            <v>321832</v>
          </cell>
          <cell r="H2205">
            <v>35.549999999999997</v>
          </cell>
        </row>
        <row r="2206">
          <cell r="A2206">
            <v>321833</v>
          </cell>
          <cell r="H2206">
            <v>35.450000000000003</v>
          </cell>
        </row>
        <row r="2207">
          <cell r="A2207">
            <v>321834</v>
          </cell>
          <cell r="H2207">
            <v>41.02</v>
          </cell>
        </row>
        <row r="2208">
          <cell r="A2208">
            <v>321845</v>
          </cell>
          <cell r="H2208">
            <v>36.200000000000003</v>
          </cell>
        </row>
        <row r="2209">
          <cell r="A2209">
            <v>321850</v>
          </cell>
          <cell r="H2209">
            <v>32.869999999999997</v>
          </cell>
        </row>
        <row r="2210">
          <cell r="A2210">
            <v>321851</v>
          </cell>
          <cell r="H2210">
            <v>38.78</v>
          </cell>
        </row>
        <row r="2211">
          <cell r="A2211">
            <v>321858</v>
          </cell>
          <cell r="H2211">
            <v>40.81</v>
          </cell>
        </row>
        <row r="2212">
          <cell r="A2212">
            <v>321859</v>
          </cell>
          <cell r="H2212">
            <v>35.28</v>
          </cell>
        </row>
        <row r="2213">
          <cell r="A2213">
            <v>321900</v>
          </cell>
          <cell r="H2213">
            <v>37.89</v>
          </cell>
        </row>
        <row r="2214">
          <cell r="A2214">
            <v>321923</v>
          </cell>
          <cell r="H2214">
            <v>34.82</v>
          </cell>
        </row>
        <row r="2215">
          <cell r="A2215">
            <v>321940</v>
          </cell>
          <cell r="H2215">
            <v>33.24</v>
          </cell>
        </row>
        <row r="2216">
          <cell r="A2216">
            <v>321941</v>
          </cell>
          <cell r="H2216">
            <v>41.3</v>
          </cell>
        </row>
        <row r="2217">
          <cell r="A2217">
            <v>321942</v>
          </cell>
          <cell r="H2217">
            <v>40.04</v>
          </cell>
        </row>
        <row r="2218">
          <cell r="A2218">
            <v>321943</v>
          </cell>
          <cell r="H2218">
            <v>35.79</v>
          </cell>
        </row>
        <row r="2219">
          <cell r="A2219">
            <v>321945</v>
          </cell>
          <cell r="H2219">
            <v>36.479999999999997</v>
          </cell>
        </row>
        <row r="2220">
          <cell r="A2220">
            <v>321947</v>
          </cell>
          <cell r="H2220">
            <v>36.049999999999997</v>
          </cell>
        </row>
        <row r="2221">
          <cell r="A2221">
            <v>321948</v>
          </cell>
          <cell r="H2221">
            <v>38.21</v>
          </cell>
        </row>
        <row r="2222">
          <cell r="A2222">
            <v>321957</v>
          </cell>
          <cell r="H2222">
            <v>34.36</v>
          </cell>
        </row>
        <row r="2223">
          <cell r="A2223">
            <v>321963</v>
          </cell>
          <cell r="H2223">
            <v>33.36</v>
          </cell>
        </row>
        <row r="2224">
          <cell r="A2224">
            <v>321967</v>
          </cell>
          <cell r="H2224">
            <v>38.549999999999997</v>
          </cell>
        </row>
        <row r="2225">
          <cell r="A2225">
            <v>321987</v>
          </cell>
          <cell r="H2225">
            <v>33.270000000000003</v>
          </cell>
        </row>
        <row r="2226">
          <cell r="A2226">
            <v>321990</v>
          </cell>
          <cell r="H2226">
            <v>33.32</v>
          </cell>
        </row>
        <row r="2227">
          <cell r="A2227">
            <v>321993</v>
          </cell>
          <cell r="H2227">
            <v>36.07</v>
          </cell>
        </row>
        <row r="2228">
          <cell r="A2228">
            <v>321994</v>
          </cell>
          <cell r="H2228">
            <v>35.86</v>
          </cell>
        </row>
        <row r="2229">
          <cell r="A2229">
            <v>321995</v>
          </cell>
          <cell r="H2229">
            <v>38.78</v>
          </cell>
        </row>
        <row r="2230">
          <cell r="A2230">
            <v>321998</v>
          </cell>
          <cell r="H2230">
            <v>35.450000000000003</v>
          </cell>
        </row>
        <row r="2231">
          <cell r="A2231">
            <v>322000</v>
          </cell>
          <cell r="H2231">
            <v>39.630000000000003</v>
          </cell>
        </row>
        <row r="2232">
          <cell r="A2232">
            <v>322002</v>
          </cell>
          <cell r="H2232">
            <v>33.6</v>
          </cell>
        </row>
        <row r="2233">
          <cell r="A2233">
            <v>322003</v>
          </cell>
          <cell r="H2233">
            <v>35.369999999999997</v>
          </cell>
        </row>
        <row r="2234">
          <cell r="A2234">
            <v>322004</v>
          </cell>
          <cell r="H2234">
            <v>35.6</v>
          </cell>
        </row>
        <row r="2235">
          <cell r="A2235">
            <v>322005</v>
          </cell>
          <cell r="H2235">
            <v>40.58</v>
          </cell>
        </row>
        <row r="2236">
          <cell r="A2236">
            <v>322006</v>
          </cell>
          <cell r="H2236">
            <v>35.26</v>
          </cell>
        </row>
        <row r="2237">
          <cell r="A2237">
            <v>322007</v>
          </cell>
          <cell r="H2237">
            <v>36.82</v>
          </cell>
        </row>
        <row r="2238">
          <cell r="A2238">
            <v>322011</v>
          </cell>
          <cell r="H2238">
            <v>36.1</v>
          </cell>
        </row>
        <row r="2239">
          <cell r="A2239">
            <v>322020</v>
          </cell>
          <cell r="H2239">
            <v>41.28</v>
          </cell>
        </row>
        <row r="2240">
          <cell r="A2240">
            <v>322024</v>
          </cell>
          <cell r="H2240">
            <v>38.700000000000003</v>
          </cell>
        </row>
        <row r="2241">
          <cell r="A2241">
            <v>322028</v>
          </cell>
          <cell r="H2241">
            <v>35.79</v>
          </cell>
        </row>
        <row r="2242">
          <cell r="A2242">
            <v>322070</v>
          </cell>
          <cell r="H2242">
            <v>34.57</v>
          </cell>
        </row>
        <row r="2243">
          <cell r="A2243">
            <v>322085</v>
          </cell>
          <cell r="H2243">
            <v>34.33</v>
          </cell>
        </row>
        <row r="2244">
          <cell r="A2244">
            <v>322086</v>
          </cell>
          <cell r="H2244">
            <v>36.909999999999997</v>
          </cell>
        </row>
        <row r="2245">
          <cell r="A2245">
            <v>322087</v>
          </cell>
          <cell r="H2245">
            <v>36.26</v>
          </cell>
        </row>
        <row r="2246">
          <cell r="A2246">
            <v>322088</v>
          </cell>
          <cell r="H2246">
            <v>35.5</v>
          </cell>
        </row>
        <row r="2247">
          <cell r="A2247">
            <v>322090</v>
          </cell>
          <cell r="H2247">
            <v>38.22</v>
          </cell>
        </row>
        <row r="2248">
          <cell r="A2248">
            <v>322093</v>
          </cell>
          <cell r="H2248">
            <v>37.99</v>
          </cell>
        </row>
        <row r="2249">
          <cell r="A2249">
            <v>322104</v>
          </cell>
          <cell r="H2249">
            <v>33.01</v>
          </cell>
        </row>
        <row r="2250">
          <cell r="A2250">
            <v>322109</v>
          </cell>
          <cell r="H2250">
            <v>38.58</v>
          </cell>
        </row>
        <row r="2251">
          <cell r="A2251">
            <v>322125</v>
          </cell>
          <cell r="H2251">
            <v>35.89</v>
          </cell>
        </row>
        <row r="2252">
          <cell r="A2252">
            <v>322132</v>
          </cell>
          <cell r="H2252">
            <v>34.76</v>
          </cell>
        </row>
        <row r="2253">
          <cell r="A2253">
            <v>322133</v>
          </cell>
          <cell r="H2253">
            <v>35.17</v>
          </cell>
        </row>
        <row r="2254">
          <cell r="A2254">
            <v>322134</v>
          </cell>
          <cell r="H2254">
            <v>38.24</v>
          </cell>
        </row>
        <row r="2255">
          <cell r="A2255">
            <v>322135</v>
          </cell>
          <cell r="H2255">
            <v>33.450000000000003</v>
          </cell>
        </row>
        <row r="2256">
          <cell r="A2256">
            <v>322137</v>
          </cell>
          <cell r="H2256">
            <v>34.020000000000003</v>
          </cell>
        </row>
        <row r="2257">
          <cell r="A2257">
            <v>322138</v>
          </cell>
          <cell r="H2257">
            <v>39.549999999999997</v>
          </cell>
        </row>
        <row r="2258">
          <cell r="A2258">
            <v>322143</v>
          </cell>
          <cell r="H2258">
            <v>33.92</v>
          </cell>
        </row>
        <row r="2259">
          <cell r="A2259">
            <v>322146</v>
          </cell>
          <cell r="H2259">
            <v>34.799999999999997</v>
          </cell>
        </row>
        <row r="2260">
          <cell r="A2260">
            <v>322153</v>
          </cell>
          <cell r="H2260">
            <v>36</v>
          </cell>
        </row>
        <row r="2261">
          <cell r="A2261">
            <v>322154</v>
          </cell>
          <cell r="H2261">
            <v>39.06</v>
          </cell>
        </row>
        <row r="2262">
          <cell r="A2262">
            <v>322155</v>
          </cell>
          <cell r="H2262">
            <v>33.340000000000003</v>
          </cell>
        </row>
        <row r="2263">
          <cell r="A2263">
            <v>322164</v>
          </cell>
          <cell r="H2263">
            <v>40.880000000000003</v>
          </cell>
        </row>
        <row r="2264">
          <cell r="A2264">
            <v>322170</v>
          </cell>
          <cell r="H2264">
            <v>35.42</v>
          </cell>
        </row>
        <row r="2265">
          <cell r="A2265">
            <v>322174</v>
          </cell>
          <cell r="H2265">
            <v>36.590000000000003</v>
          </cell>
        </row>
        <row r="2266">
          <cell r="A2266">
            <v>322176</v>
          </cell>
          <cell r="H2266">
            <v>35.76</v>
          </cell>
        </row>
        <row r="2267">
          <cell r="A2267">
            <v>322178</v>
          </cell>
          <cell r="H2267">
            <v>36.58</v>
          </cell>
        </row>
        <row r="2268">
          <cell r="A2268">
            <v>322551</v>
          </cell>
          <cell r="H2268">
            <v>31.54</v>
          </cell>
        </row>
        <row r="2269">
          <cell r="A2269">
            <v>322558</v>
          </cell>
          <cell r="H2269">
            <v>31.85</v>
          </cell>
        </row>
        <row r="2270">
          <cell r="A2270">
            <v>322561</v>
          </cell>
          <cell r="H2270">
            <v>38.24</v>
          </cell>
        </row>
        <row r="2271">
          <cell r="A2271">
            <v>322564</v>
          </cell>
          <cell r="H2271">
            <v>33.880000000000003</v>
          </cell>
        </row>
        <row r="2272">
          <cell r="A2272">
            <v>322565</v>
          </cell>
          <cell r="H2272">
            <v>38.29</v>
          </cell>
        </row>
        <row r="2273">
          <cell r="A2273">
            <v>322567</v>
          </cell>
          <cell r="H2273">
            <v>36.159999999999997</v>
          </cell>
        </row>
        <row r="2274">
          <cell r="A2274">
            <v>322573</v>
          </cell>
          <cell r="H2274">
            <v>33.770000000000003</v>
          </cell>
        </row>
        <row r="2275">
          <cell r="A2275">
            <v>322581</v>
          </cell>
          <cell r="H2275">
            <v>37.25</v>
          </cell>
        </row>
        <row r="2276">
          <cell r="A2276">
            <v>322603</v>
          </cell>
          <cell r="H2276">
            <v>38.28</v>
          </cell>
        </row>
        <row r="2277">
          <cell r="A2277">
            <v>322608</v>
          </cell>
          <cell r="H2277">
            <v>37.479999999999997</v>
          </cell>
        </row>
        <row r="2278">
          <cell r="A2278">
            <v>322609</v>
          </cell>
          <cell r="H2278">
            <v>32.18</v>
          </cell>
        </row>
        <row r="2279">
          <cell r="A2279">
            <v>322613</v>
          </cell>
          <cell r="H2279">
            <v>32.72</v>
          </cell>
        </row>
        <row r="2280">
          <cell r="A2280">
            <v>322618</v>
          </cell>
          <cell r="H2280">
            <v>42.87</v>
          </cell>
        </row>
        <row r="2281">
          <cell r="A2281">
            <v>322619</v>
          </cell>
          <cell r="H2281">
            <v>33.909999999999997</v>
          </cell>
        </row>
        <row r="2282">
          <cell r="A2282">
            <v>322620</v>
          </cell>
          <cell r="H2282">
            <v>34.03</v>
          </cell>
        </row>
        <row r="2283">
          <cell r="A2283">
            <v>322621</v>
          </cell>
          <cell r="H2283">
            <v>37.14</v>
          </cell>
        </row>
        <row r="2284">
          <cell r="A2284">
            <v>322622</v>
          </cell>
          <cell r="H2284">
            <v>33.159999999999997</v>
          </cell>
        </row>
        <row r="2285">
          <cell r="A2285">
            <v>322623</v>
          </cell>
          <cell r="H2285">
            <v>31.68</v>
          </cell>
        </row>
        <row r="2286">
          <cell r="A2286">
            <v>322624</v>
          </cell>
          <cell r="H2286">
            <v>30.36</v>
          </cell>
        </row>
        <row r="2287">
          <cell r="A2287">
            <v>322625</v>
          </cell>
          <cell r="H2287">
            <v>41.51</v>
          </cell>
        </row>
        <row r="2288">
          <cell r="A2288">
            <v>322626</v>
          </cell>
          <cell r="H2288">
            <v>28.03</v>
          </cell>
        </row>
        <row r="2289">
          <cell r="A2289">
            <v>322627</v>
          </cell>
          <cell r="H2289">
            <v>33.369999999999997</v>
          </cell>
        </row>
        <row r="2290">
          <cell r="A2290">
            <v>322628</v>
          </cell>
          <cell r="H2290">
            <v>35.69</v>
          </cell>
        </row>
        <row r="2291">
          <cell r="A2291">
            <v>322629</v>
          </cell>
          <cell r="H2291">
            <v>41.67</v>
          </cell>
        </row>
        <row r="2292">
          <cell r="A2292">
            <v>322649</v>
          </cell>
          <cell r="H2292">
            <v>35.28</v>
          </cell>
        </row>
        <row r="2293">
          <cell r="A2293">
            <v>322691</v>
          </cell>
          <cell r="H2293">
            <v>38.14</v>
          </cell>
        </row>
        <row r="2294">
          <cell r="A2294">
            <v>322697</v>
          </cell>
          <cell r="H2294">
            <v>33.32</v>
          </cell>
        </row>
        <row r="2295">
          <cell r="A2295">
            <v>322698</v>
          </cell>
          <cell r="H2295">
            <v>31.96</v>
          </cell>
        </row>
        <row r="2296">
          <cell r="A2296">
            <v>322699</v>
          </cell>
          <cell r="H2296">
            <v>35.82</v>
          </cell>
        </row>
        <row r="2297">
          <cell r="A2297">
            <v>322711</v>
          </cell>
          <cell r="H2297">
            <v>37.619999999999997</v>
          </cell>
        </row>
        <row r="2298">
          <cell r="A2298">
            <v>322714</v>
          </cell>
          <cell r="H2298">
            <v>38.909999999999997</v>
          </cell>
        </row>
        <row r="2299">
          <cell r="A2299">
            <v>322716</v>
          </cell>
          <cell r="H2299">
            <v>31.38</v>
          </cell>
        </row>
        <row r="2300">
          <cell r="A2300">
            <v>322721</v>
          </cell>
          <cell r="H2300">
            <v>37.28</v>
          </cell>
        </row>
        <row r="2301">
          <cell r="A2301">
            <v>322722</v>
          </cell>
          <cell r="H2301">
            <v>34.22</v>
          </cell>
        </row>
        <row r="2302">
          <cell r="A2302">
            <v>322726</v>
          </cell>
          <cell r="H2302">
            <v>32.26</v>
          </cell>
        </row>
        <row r="2303">
          <cell r="A2303">
            <v>322730</v>
          </cell>
          <cell r="H2303">
            <v>31.86</v>
          </cell>
        </row>
        <row r="2304">
          <cell r="A2304">
            <v>322734</v>
          </cell>
          <cell r="H2304">
            <v>38.08</v>
          </cell>
        </row>
        <row r="2305">
          <cell r="A2305">
            <v>322738</v>
          </cell>
          <cell r="H2305">
            <v>31.89</v>
          </cell>
        </row>
        <row r="2306">
          <cell r="A2306">
            <v>322740</v>
          </cell>
          <cell r="H2306">
            <v>33.22</v>
          </cell>
        </row>
        <row r="2307">
          <cell r="A2307">
            <v>322742</v>
          </cell>
          <cell r="H2307">
            <v>33.81</v>
          </cell>
        </row>
        <row r="2308">
          <cell r="A2308">
            <v>322744</v>
          </cell>
          <cell r="H2308">
            <v>33.78</v>
          </cell>
        </row>
        <row r="2309">
          <cell r="A2309">
            <v>322745</v>
          </cell>
          <cell r="H2309">
            <v>40.28</v>
          </cell>
        </row>
        <row r="2310">
          <cell r="A2310">
            <v>322747</v>
          </cell>
          <cell r="H2310">
            <v>32.58</v>
          </cell>
        </row>
        <row r="2311">
          <cell r="A2311">
            <v>322749</v>
          </cell>
          <cell r="H2311">
            <v>33.590000000000003</v>
          </cell>
        </row>
        <row r="2312">
          <cell r="A2312">
            <v>322751</v>
          </cell>
          <cell r="H2312">
            <v>32.409999999999997</v>
          </cell>
        </row>
        <row r="2313">
          <cell r="A2313">
            <v>322754</v>
          </cell>
          <cell r="H2313">
            <v>32.130000000000003</v>
          </cell>
        </row>
        <row r="2314">
          <cell r="A2314">
            <v>322785</v>
          </cell>
          <cell r="H2314">
            <v>41.65</v>
          </cell>
        </row>
        <row r="2315">
          <cell r="A2315">
            <v>322786</v>
          </cell>
          <cell r="H2315">
            <v>34</v>
          </cell>
        </row>
        <row r="2316">
          <cell r="A2316">
            <v>322787</v>
          </cell>
          <cell r="H2316">
            <v>36.99</v>
          </cell>
        </row>
        <row r="2317">
          <cell r="A2317">
            <v>322788</v>
          </cell>
          <cell r="H2317">
            <v>38.57</v>
          </cell>
        </row>
        <row r="2318">
          <cell r="A2318">
            <v>322797</v>
          </cell>
          <cell r="H2318">
            <v>38.020000000000003</v>
          </cell>
        </row>
        <row r="2319">
          <cell r="A2319">
            <v>322798</v>
          </cell>
          <cell r="H2319">
            <v>30.5</v>
          </cell>
        </row>
        <row r="2320">
          <cell r="A2320">
            <v>322801</v>
          </cell>
          <cell r="H2320">
            <v>36.46</v>
          </cell>
        </row>
        <row r="2321">
          <cell r="A2321">
            <v>322804</v>
          </cell>
          <cell r="H2321">
            <v>30.06</v>
          </cell>
        </row>
        <row r="2322">
          <cell r="A2322">
            <v>322806</v>
          </cell>
          <cell r="H2322">
            <v>36.590000000000003</v>
          </cell>
        </row>
        <row r="2323">
          <cell r="A2323">
            <v>322807</v>
          </cell>
          <cell r="H2323">
            <v>35.479999999999997</v>
          </cell>
        </row>
        <row r="2324">
          <cell r="A2324">
            <v>322809</v>
          </cell>
          <cell r="H2324">
            <v>31.2</v>
          </cell>
        </row>
        <row r="2325">
          <cell r="A2325">
            <v>322851</v>
          </cell>
          <cell r="H2325">
            <v>33.75</v>
          </cell>
        </row>
        <row r="2326">
          <cell r="A2326">
            <v>322870</v>
          </cell>
          <cell r="H2326">
            <v>32.1</v>
          </cell>
        </row>
        <row r="2327">
          <cell r="A2327">
            <v>322880</v>
          </cell>
          <cell r="H2327">
            <v>31.79</v>
          </cell>
        </row>
        <row r="2328">
          <cell r="A2328">
            <v>322881</v>
          </cell>
          <cell r="H2328">
            <v>38.409999999999997</v>
          </cell>
        </row>
        <row r="2329">
          <cell r="A2329">
            <v>322882</v>
          </cell>
          <cell r="H2329">
            <v>34.229999999999997</v>
          </cell>
        </row>
        <row r="2330">
          <cell r="A2330">
            <v>322884</v>
          </cell>
          <cell r="H2330">
            <v>32.18</v>
          </cell>
        </row>
        <row r="2331">
          <cell r="A2331">
            <v>322885</v>
          </cell>
          <cell r="H2331">
            <v>40.89</v>
          </cell>
        </row>
        <row r="2332">
          <cell r="A2332">
            <v>322892</v>
          </cell>
          <cell r="H2332">
            <v>33.14</v>
          </cell>
        </row>
        <row r="2333">
          <cell r="A2333">
            <v>322896</v>
          </cell>
          <cell r="H2333">
            <v>34.06</v>
          </cell>
        </row>
        <row r="2334">
          <cell r="A2334">
            <v>322905</v>
          </cell>
          <cell r="H2334">
            <v>38.58</v>
          </cell>
        </row>
        <row r="2335">
          <cell r="A2335">
            <v>322906</v>
          </cell>
          <cell r="H2335">
            <v>38.25</v>
          </cell>
        </row>
        <row r="2336">
          <cell r="A2336">
            <v>322912</v>
          </cell>
          <cell r="H2336">
            <v>31.82</v>
          </cell>
        </row>
        <row r="2337">
          <cell r="A2337">
            <v>322914</v>
          </cell>
          <cell r="H2337">
            <v>33.56</v>
          </cell>
        </row>
        <row r="2338">
          <cell r="A2338">
            <v>322915</v>
          </cell>
          <cell r="H2338">
            <v>42.33</v>
          </cell>
        </row>
        <row r="2339">
          <cell r="A2339">
            <v>322920</v>
          </cell>
          <cell r="H2339">
            <v>31.98</v>
          </cell>
        </row>
        <row r="2340">
          <cell r="A2340">
            <v>322925</v>
          </cell>
          <cell r="H2340">
            <v>32.090000000000003</v>
          </cell>
        </row>
        <row r="2341">
          <cell r="A2341">
            <v>322940</v>
          </cell>
          <cell r="H2341">
            <v>37.74</v>
          </cell>
        </row>
        <row r="2342">
          <cell r="A2342">
            <v>322942</v>
          </cell>
          <cell r="H2342">
            <v>33.86</v>
          </cell>
        </row>
        <row r="2343">
          <cell r="A2343">
            <v>322945</v>
          </cell>
          <cell r="H2343">
            <v>37.46</v>
          </cell>
        </row>
        <row r="2344">
          <cell r="A2344">
            <v>322948</v>
          </cell>
          <cell r="H2344">
            <v>35.85</v>
          </cell>
        </row>
        <row r="2345">
          <cell r="A2345">
            <v>322950</v>
          </cell>
          <cell r="H2345">
            <v>32.11</v>
          </cell>
        </row>
        <row r="2346">
          <cell r="A2346">
            <v>322965</v>
          </cell>
          <cell r="H2346">
            <v>37.83</v>
          </cell>
        </row>
        <row r="2347">
          <cell r="A2347">
            <v>322968</v>
          </cell>
          <cell r="H2347">
            <v>29.89</v>
          </cell>
        </row>
        <row r="2348">
          <cell r="A2348">
            <v>323098</v>
          </cell>
          <cell r="H2348">
            <v>37.49</v>
          </cell>
        </row>
        <row r="2349">
          <cell r="A2349">
            <v>323101</v>
          </cell>
          <cell r="H2349">
            <v>32.43</v>
          </cell>
        </row>
        <row r="2350">
          <cell r="A2350">
            <v>323102</v>
          </cell>
          <cell r="H2350">
            <v>32.630000000000003</v>
          </cell>
        </row>
        <row r="2351">
          <cell r="A2351">
            <v>323107</v>
          </cell>
          <cell r="H2351">
            <v>35.24</v>
          </cell>
        </row>
        <row r="2352">
          <cell r="A2352">
            <v>323109</v>
          </cell>
          <cell r="H2352">
            <v>38.42</v>
          </cell>
        </row>
        <row r="2353">
          <cell r="A2353">
            <v>323111</v>
          </cell>
          <cell r="H2353">
            <v>41.98</v>
          </cell>
        </row>
        <row r="2354">
          <cell r="A2354">
            <v>323112</v>
          </cell>
          <cell r="H2354">
            <v>32.07</v>
          </cell>
        </row>
        <row r="2355">
          <cell r="A2355">
            <v>323113</v>
          </cell>
          <cell r="H2355">
            <v>34.380000000000003</v>
          </cell>
        </row>
        <row r="2356">
          <cell r="A2356">
            <v>323114</v>
          </cell>
          <cell r="H2356">
            <v>41.15</v>
          </cell>
        </row>
        <row r="2357">
          <cell r="A2357">
            <v>323115</v>
          </cell>
          <cell r="H2357">
            <v>35.32</v>
          </cell>
        </row>
        <row r="2358">
          <cell r="A2358">
            <v>323116</v>
          </cell>
          <cell r="H2358">
            <v>38.130000000000003</v>
          </cell>
        </row>
        <row r="2359">
          <cell r="A2359">
            <v>323117</v>
          </cell>
          <cell r="H2359">
            <v>32.24</v>
          </cell>
        </row>
        <row r="2360">
          <cell r="A2360">
            <v>323163</v>
          </cell>
          <cell r="H2360">
            <v>32.6</v>
          </cell>
        </row>
        <row r="2361">
          <cell r="A2361">
            <v>323164</v>
          </cell>
          <cell r="H2361">
            <v>33.03</v>
          </cell>
        </row>
        <row r="2362">
          <cell r="A2362">
            <v>323169</v>
          </cell>
          <cell r="H2362">
            <v>36.130000000000003</v>
          </cell>
        </row>
        <row r="2363">
          <cell r="A2363">
            <v>323173</v>
          </cell>
          <cell r="H2363">
            <v>33.96</v>
          </cell>
        </row>
        <row r="2364">
          <cell r="A2364">
            <v>323175</v>
          </cell>
          <cell r="H2364">
            <v>38.590000000000003</v>
          </cell>
        </row>
        <row r="2365">
          <cell r="A2365">
            <v>323178</v>
          </cell>
          <cell r="H2365">
            <v>40.08</v>
          </cell>
        </row>
        <row r="2366">
          <cell r="A2366">
            <v>323180</v>
          </cell>
          <cell r="H2366">
            <v>37.94</v>
          </cell>
        </row>
        <row r="2367">
          <cell r="A2367">
            <v>323189</v>
          </cell>
          <cell r="H2367">
            <v>33.75</v>
          </cell>
        </row>
        <row r="2368">
          <cell r="A2368">
            <v>323196</v>
          </cell>
          <cell r="H2368">
            <v>40.9</v>
          </cell>
        </row>
        <row r="2369">
          <cell r="A2369">
            <v>323198</v>
          </cell>
          <cell r="H2369">
            <v>38.74</v>
          </cell>
        </row>
        <row r="2370">
          <cell r="A2370">
            <v>323199</v>
          </cell>
          <cell r="H2370">
            <v>31.8</v>
          </cell>
        </row>
        <row r="2371">
          <cell r="A2371">
            <v>323203</v>
          </cell>
          <cell r="H2371">
            <v>31.95</v>
          </cell>
        </row>
        <row r="2372">
          <cell r="A2372">
            <v>323205</v>
          </cell>
          <cell r="H2372">
            <v>33.92</v>
          </cell>
        </row>
        <row r="2373">
          <cell r="A2373">
            <v>323206</v>
          </cell>
          <cell r="H2373">
            <v>32.85</v>
          </cell>
        </row>
        <row r="2374">
          <cell r="A2374">
            <v>323214</v>
          </cell>
          <cell r="H2374">
            <v>37.409999999999997</v>
          </cell>
        </row>
        <row r="2375">
          <cell r="A2375">
            <v>323222</v>
          </cell>
          <cell r="H2375">
            <v>37.44</v>
          </cell>
        </row>
        <row r="2376">
          <cell r="A2376">
            <v>323228</v>
          </cell>
          <cell r="H2376">
            <v>31.3</v>
          </cell>
        </row>
        <row r="2377">
          <cell r="A2377">
            <v>323241</v>
          </cell>
          <cell r="H2377">
            <v>32.46</v>
          </cell>
        </row>
        <row r="2378">
          <cell r="A2378">
            <v>323246</v>
          </cell>
          <cell r="H2378">
            <v>36.15</v>
          </cell>
        </row>
        <row r="2379">
          <cell r="A2379">
            <v>323252</v>
          </cell>
          <cell r="H2379">
            <v>41.93</v>
          </cell>
        </row>
        <row r="2380">
          <cell r="A2380">
            <v>323257</v>
          </cell>
          <cell r="H2380">
            <v>42.15</v>
          </cell>
        </row>
        <row r="2381">
          <cell r="A2381">
            <v>323260</v>
          </cell>
          <cell r="H2381">
            <v>31.16</v>
          </cell>
        </row>
        <row r="2382">
          <cell r="A2382">
            <v>323261</v>
          </cell>
          <cell r="H2382">
            <v>34.79</v>
          </cell>
        </row>
        <row r="2383">
          <cell r="A2383">
            <v>323262</v>
          </cell>
          <cell r="H2383">
            <v>36.56</v>
          </cell>
        </row>
        <row r="2384">
          <cell r="A2384">
            <v>323263</v>
          </cell>
          <cell r="H2384">
            <v>32.26</v>
          </cell>
        </row>
        <row r="2385">
          <cell r="A2385">
            <v>323264</v>
          </cell>
          <cell r="H2385">
            <v>33.01</v>
          </cell>
        </row>
        <row r="2386">
          <cell r="A2386">
            <v>323265</v>
          </cell>
          <cell r="H2386">
            <v>38.24</v>
          </cell>
        </row>
        <row r="2387">
          <cell r="A2387">
            <v>323266</v>
          </cell>
          <cell r="H2387">
            <v>35.5</v>
          </cell>
        </row>
        <row r="2388">
          <cell r="A2388">
            <v>323269</v>
          </cell>
          <cell r="H2388">
            <v>32.24</v>
          </cell>
        </row>
        <row r="2389">
          <cell r="A2389">
            <v>323285</v>
          </cell>
          <cell r="H2389">
            <v>41.81</v>
          </cell>
        </row>
        <row r="2390">
          <cell r="A2390">
            <v>323321</v>
          </cell>
          <cell r="H2390">
            <v>39.9</v>
          </cell>
        </row>
        <row r="2391">
          <cell r="A2391">
            <v>323322</v>
          </cell>
          <cell r="H2391">
            <v>39.01</v>
          </cell>
        </row>
        <row r="2392">
          <cell r="A2392">
            <v>323326</v>
          </cell>
          <cell r="H2392">
            <v>33.76</v>
          </cell>
        </row>
        <row r="2393">
          <cell r="A2393">
            <v>323331</v>
          </cell>
          <cell r="H2393">
            <v>38.729999999999997</v>
          </cell>
        </row>
        <row r="2394">
          <cell r="A2394">
            <v>323334</v>
          </cell>
          <cell r="H2394">
            <v>33.479999999999997</v>
          </cell>
        </row>
        <row r="2395">
          <cell r="A2395">
            <v>323340</v>
          </cell>
          <cell r="H2395">
            <v>36.020000000000003</v>
          </cell>
        </row>
        <row r="2396">
          <cell r="A2396">
            <v>323341</v>
          </cell>
          <cell r="H2396">
            <v>31.86</v>
          </cell>
        </row>
        <row r="2397">
          <cell r="A2397">
            <v>323343</v>
          </cell>
          <cell r="H2397">
            <v>40.5</v>
          </cell>
        </row>
        <row r="2398">
          <cell r="A2398">
            <v>323347</v>
          </cell>
          <cell r="H2398">
            <v>33.86</v>
          </cell>
        </row>
        <row r="2399">
          <cell r="A2399">
            <v>323351</v>
          </cell>
          <cell r="H2399">
            <v>31.65</v>
          </cell>
        </row>
        <row r="2400">
          <cell r="A2400">
            <v>323359</v>
          </cell>
          <cell r="H2400">
            <v>32.36</v>
          </cell>
        </row>
        <row r="2401">
          <cell r="A2401">
            <v>323361</v>
          </cell>
          <cell r="H2401">
            <v>36.18</v>
          </cell>
        </row>
        <row r="2402">
          <cell r="A2402">
            <v>323362</v>
          </cell>
          <cell r="H2402">
            <v>32.06</v>
          </cell>
        </row>
        <row r="2403">
          <cell r="A2403">
            <v>323381</v>
          </cell>
          <cell r="H2403">
            <v>35.54</v>
          </cell>
        </row>
        <row r="2404">
          <cell r="A2404">
            <v>323388</v>
          </cell>
          <cell r="H2404">
            <v>36.200000000000003</v>
          </cell>
        </row>
        <row r="2405">
          <cell r="A2405">
            <v>323390</v>
          </cell>
          <cell r="H2405">
            <v>47.49</v>
          </cell>
        </row>
        <row r="2406">
          <cell r="A2406">
            <v>323392</v>
          </cell>
          <cell r="H2406">
            <v>38.33</v>
          </cell>
        </row>
        <row r="2407">
          <cell r="A2407">
            <v>323393</v>
          </cell>
          <cell r="H2407">
            <v>35.369999999999997</v>
          </cell>
        </row>
        <row r="2408">
          <cell r="A2408">
            <v>323396</v>
          </cell>
          <cell r="H2408">
            <v>34.89</v>
          </cell>
        </row>
        <row r="2409">
          <cell r="A2409">
            <v>323398</v>
          </cell>
          <cell r="H2409">
            <v>40.19</v>
          </cell>
        </row>
        <row r="2410">
          <cell r="A2410">
            <v>323400</v>
          </cell>
          <cell r="H2410">
            <v>32.44</v>
          </cell>
        </row>
        <row r="2411">
          <cell r="A2411">
            <v>323401</v>
          </cell>
          <cell r="H2411">
            <v>34.5</v>
          </cell>
        </row>
        <row r="2412">
          <cell r="A2412">
            <v>323402</v>
          </cell>
          <cell r="H2412">
            <v>41.69</v>
          </cell>
        </row>
        <row r="2413">
          <cell r="A2413">
            <v>323403</v>
          </cell>
          <cell r="H2413">
            <v>40.35</v>
          </cell>
        </row>
        <row r="2414">
          <cell r="A2414">
            <v>323405</v>
          </cell>
          <cell r="H2414">
            <v>33.47</v>
          </cell>
        </row>
        <row r="2415">
          <cell r="A2415">
            <v>323406</v>
          </cell>
          <cell r="H2415">
            <v>32.200000000000003</v>
          </cell>
        </row>
        <row r="2416">
          <cell r="A2416">
            <v>323407</v>
          </cell>
          <cell r="H2416">
            <v>37.81</v>
          </cell>
        </row>
        <row r="2417">
          <cell r="A2417">
            <v>323418</v>
          </cell>
          <cell r="H2417">
            <v>31.74</v>
          </cell>
        </row>
        <row r="2418">
          <cell r="A2418">
            <v>323453</v>
          </cell>
          <cell r="H2418">
            <v>32.56</v>
          </cell>
        </row>
        <row r="2419">
          <cell r="A2419">
            <v>323458</v>
          </cell>
          <cell r="H2419">
            <v>38.78</v>
          </cell>
        </row>
        <row r="2420">
          <cell r="A2420">
            <v>323459</v>
          </cell>
          <cell r="H2420">
            <v>39.28</v>
          </cell>
        </row>
        <row r="2421">
          <cell r="A2421">
            <v>323460</v>
          </cell>
          <cell r="H2421">
            <v>38.75</v>
          </cell>
        </row>
        <row r="2422">
          <cell r="A2422">
            <v>323465</v>
          </cell>
          <cell r="H2422">
            <v>33.78</v>
          </cell>
        </row>
        <row r="2423">
          <cell r="A2423">
            <v>323471</v>
          </cell>
          <cell r="H2423">
            <v>33.99</v>
          </cell>
        </row>
        <row r="2424">
          <cell r="A2424">
            <v>323496</v>
          </cell>
          <cell r="H2424">
            <v>35.49</v>
          </cell>
        </row>
        <row r="2425">
          <cell r="A2425">
            <v>323497</v>
          </cell>
          <cell r="H2425">
            <v>41.6</v>
          </cell>
        </row>
        <row r="2426">
          <cell r="A2426">
            <v>323498</v>
          </cell>
          <cell r="H2426">
            <v>31.74</v>
          </cell>
        </row>
        <row r="2427">
          <cell r="A2427">
            <v>323499</v>
          </cell>
          <cell r="H2427">
            <v>31.42</v>
          </cell>
        </row>
        <row r="2428">
          <cell r="A2428">
            <v>323508</v>
          </cell>
          <cell r="H2428">
            <v>37.840000000000003</v>
          </cell>
        </row>
        <row r="2429">
          <cell r="A2429">
            <v>323520</v>
          </cell>
          <cell r="H2429">
            <v>33.81</v>
          </cell>
        </row>
        <row r="2430">
          <cell r="A2430">
            <v>323533</v>
          </cell>
          <cell r="H2430">
            <v>35.26</v>
          </cell>
        </row>
        <row r="2431">
          <cell r="A2431">
            <v>323536</v>
          </cell>
          <cell r="H2431">
            <v>35.94</v>
          </cell>
        </row>
        <row r="2432">
          <cell r="A2432">
            <v>323537</v>
          </cell>
          <cell r="H2432">
            <v>35.549999999999997</v>
          </cell>
        </row>
        <row r="2433">
          <cell r="A2433">
            <v>323538</v>
          </cell>
          <cell r="H2433">
            <v>40.08</v>
          </cell>
        </row>
        <row r="2434">
          <cell r="A2434">
            <v>323540</v>
          </cell>
          <cell r="H2434">
            <v>34.5</v>
          </cell>
        </row>
        <row r="2435">
          <cell r="A2435">
            <v>322181</v>
          </cell>
          <cell r="H2435">
            <v>40.61</v>
          </cell>
        </row>
        <row r="2436">
          <cell r="A2436">
            <v>322231</v>
          </cell>
          <cell r="H2436">
            <v>34.43</v>
          </cell>
        </row>
        <row r="2437">
          <cell r="A2437">
            <v>322255</v>
          </cell>
          <cell r="H2437">
            <v>38.04</v>
          </cell>
        </row>
        <row r="2438">
          <cell r="A2438">
            <v>322256</v>
          </cell>
          <cell r="H2438">
            <v>38.64</v>
          </cell>
        </row>
        <row r="2439">
          <cell r="A2439">
            <v>322257</v>
          </cell>
          <cell r="H2439">
            <v>41.15</v>
          </cell>
        </row>
        <row r="2440">
          <cell r="A2440">
            <v>322263</v>
          </cell>
          <cell r="H2440">
            <v>35.61</v>
          </cell>
        </row>
        <row r="2441">
          <cell r="A2441">
            <v>322265</v>
          </cell>
          <cell r="H2441">
            <v>40.409999999999997</v>
          </cell>
        </row>
        <row r="2442">
          <cell r="A2442">
            <v>322266</v>
          </cell>
          <cell r="H2442">
            <v>34.32</v>
          </cell>
        </row>
        <row r="2443">
          <cell r="A2443">
            <v>322267</v>
          </cell>
          <cell r="H2443">
            <v>33.6</v>
          </cell>
        </row>
        <row r="2444">
          <cell r="A2444">
            <v>322268</v>
          </cell>
          <cell r="H2444">
            <v>37.770000000000003</v>
          </cell>
        </row>
        <row r="2445">
          <cell r="A2445">
            <v>322269</v>
          </cell>
          <cell r="H2445">
            <v>36.28</v>
          </cell>
        </row>
        <row r="2446">
          <cell r="A2446">
            <v>322271</v>
          </cell>
          <cell r="H2446">
            <v>41.31</v>
          </cell>
        </row>
        <row r="2447">
          <cell r="A2447">
            <v>322286</v>
          </cell>
          <cell r="H2447">
            <v>38.299999999999997</v>
          </cell>
        </row>
        <row r="2448">
          <cell r="A2448">
            <v>322290</v>
          </cell>
          <cell r="H2448">
            <v>36.119999999999997</v>
          </cell>
        </row>
        <row r="2449">
          <cell r="A2449">
            <v>322296</v>
          </cell>
          <cell r="H2449">
            <v>37.26</v>
          </cell>
        </row>
        <row r="2450">
          <cell r="A2450">
            <v>322302</v>
          </cell>
          <cell r="H2450">
            <v>32.39</v>
          </cell>
        </row>
        <row r="2451">
          <cell r="A2451">
            <v>322309</v>
          </cell>
          <cell r="H2451">
            <v>35.49</v>
          </cell>
        </row>
        <row r="2452">
          <cell r="A2452">
            <v>322310</v>
          </cell>
          <cell r="H2452">
            <v>35.22</v>
          </cell>
        </row>
        <row r="2453">
          <cell r="A2453">
            <v>322311</v>
          </cell>
          <cell r="H2453">
            <v>35.07</v>
          </cell>
        </row>
        <row r="2454">
          <cell r="A2454">
            <v>322312</v>
          </cell>
          <cell r="H2454">
            <v>32.97</v>
          </cell>
        </row>
        <row r="2455">
          <cell r="A2455">
            <v>322313</v>
          </cell>
          <cell r="H2455">
            <v>33.520000000000003</v>
          </cell>
        </row>
        <row r="2456">
          <cell r="A2456">
            <v>322314</v>
          </cell>
          <cell r="H2456">
            <v>36.15</v>
          </cell>
        </row>
        <row r="2457">
          <cell r="A2457">
            <v>322315</v>
          </cell>
          <cell r="H2457">
            <v>38.89</v>
          </cell>
        </row>
        <row r="2458">
          <cell r="A2458">
            <v>322319</v>
          </cell>
          <cell r="H2458">
            <v>38.44</v>
          </cell>
        </row>
        <row r="2459">
          <cell r="A2459">
            <v>322321</v>
          </cell>
          <cell r="H2459">
            <v>40.07</v>
          </cell>
        </row>
        <row r="2460">
          <cell r="A2460">
            <v>322325</v>
          </cell>
          <cell r="H2460">
            <v>36.799999999999997</v>
          </cell>
        </row>
        <row r="2461">
          <cell r="A2461">
            <v>322333</v>
          </cell>
          <cell r="H2461">
            <v>36.020000000000003</v>
          </cell>
        </row>
        <row r="2462">
          <cell r="A2462">
            <v>322334</v>
          </cell>
          <cell r="H2462">
            <v>40.67</v>
          </cell>
        </row>
        <row r="2463">
          <cell r="A2463">
            <v>322341</v>
          </cell>
          <cell r="H2463">
            <v>38.909999999999997</v>
          </cell>
        </row>
        <row r="2464">
          <cell r="A2464">
            <v>322347</v>
          </cell>
          <cell r="H2464">
            <v>34.369999999999997</v>
          </cell>
        </row>
        <row r="2465">
          <cell r="A2465">
            <v>322395</v>
          </cell>
          <cell r="H2465">
            <v>35.549999999999997</v>
          </cell>
        </row>
        <row r="2466">
          <cell r="A2466">
            <v>322397</v>
          </cell>
          <cell r="H2466">
            <v>34.64</v>
          </cell>
        </row>
        <row r="2467">
          <cell r="A2467">
            <v>322406</v>
          </cell>
          <cell r="H2467">
            <v>36.770000000000003</v>
          </cell>
        </row>
        <row r="2468">
          <cell r="A2468">
            <v>322410</v>
          </cell>
          <cell r="H2468">
            <v>38.24</v>
          </cell>
        </row>
        <row r="2469">
          <cell r="A2469">
            <v>322412</v>
          </cell>
          <cell r="H2469">
            <v>38.44</v>
          </cell>
        </row>
        <row r="2470">
          <cell r="A2470">
            <v>322423</v>
          </cell>
          <cell r="H2470">
            <v>32.630000000000003</v>
          </cell>
        </row>
        <row r="2471">
          <cell r="A2471">
            <v>322428</v>
          </cell>
          <cell r="H2471">
            <v>33.549999999999997</v>
          </cell>
        </row>
        <row r="2472">
          <cell r="A2472">
            <v>322433</v>
          </cell>
          <cell r="H2472">
            <v>34.200000000000003</v>
          </cell>
        </row>
        <row r="2473">
          <cell r="A2473">
            <v>322442</v>
          </cell>
          <cell r="H2473">
            <v>34.19</v>
          </cell>
        </row>
        <row r="2474">
          <cell r="A2474">
            <v>322446</v>
          </cell>
          <cell r="H2474">
            <v>37.85</v>
          </cell>
        </row>
        <row r="2475">
          <cell r="A2475">
            <v>322448</v>
          </cell>
          <cell r="H2475">
            <v>36.119999999999997</v>
          </cell>
        </row>
        <row r="2476">
          <cell r="A2476">
            <v>322450</v>
          </cell>
          <cell r="H2476">
            <v>36.950000000000003</v>
          </cell>
        </row>
        <row r="2477">
          <cell r="A2477">
            <v>322451</v>
          </cell>
          <cell r="H2477">
            <v>34.979999999999997</v>
          </cell>
        </row>
        <row r="2478">
          <cell r="A2478">
            <v>322452</v>
          </cell>
          <cell r="H2478">
            <v>32.159999999999997</v>
          </cell>
        </row>
        <row r="2479">
          <cell r="A2479">
            <v>322454</v>
          </cell>
          <cell r="H2479">
            <v>33.47</v>
          </cell>
        </row>
        <row r="2480">
          <cell r="A2480">
            <v>322455</v>
          </cell>
          <cell r="H2480">
            <v>41.18</v>
          </cell>
        </row>
        <row r="2481">
          <cell r="A2481">
            <v>322456</v>
          </cell>
          <cell r="H2481">
            <v>34.9</v>
          </cell>
        </row>
        <row r="2482">
          <cell r="A2482">
            <v>322457</v>
          </cell>
          <cell r="H2482">
            <v>37.08</v>
          </cell>
        </row>
        <row r="2483">
          <cell r="A2483">
            <v>322459</v>
          </cell>
          <cell r="H2483">
            <v>40.42</v>
          </cell>
        </row>
        <row r="2484">
          <cell r="A2484">
            <v>322461</v>
          </cell>
          <cell r="H2484">
            <v>37.67</v>
          </cell>
        </row>
        <row r="2485">
          <cell r="A2485">
            <v>322462</v>
          </cell>
          <cell r="H2485">
            <v>41.12</v>
          </cell>
        </row>
        <row r="2486">
          <cell r="A2486">
            <v>322467</v>
          </cell>
          <cell r="H2486">
            <v>33.19</v>
          </cell>
        </row>
        <row r="2487">
          <cell r="A2487">
            <v>322468</v>
          </cell>
          <cell r="H2487">
            <v>38.700000000000003</v>
          </cell>
        </row>
        <row r="2488">
          <cell r="A2488">
            <v>322483</v>
          </cell>
          <cell r="H2488">
            <v>38.200000000000003</v>
          </cell>
        </row>
        <row r="2489">
          <cell r="A2489">
            <v>322484</v>
          </cell>
          <cell r="H2489">
            <v>33.85</v>
          </cell>
        </row>
        <row r="2490">
          <cell r="A2490">
            <v>322485</v>
          </cell>
          <cell r="H2490">
            <v>35.4</v>
          </cell>
        </row>
        <row r="2491">
          <cell r="A2491">
            <v>322486</v>
          </cell>
          <cell r="H2491">
            <v>33.69</v>
          </cell>
        </row>
        <row r="2492">
          <cell r="A2492">
            <v>322536</v>
          </cell>
          <cell r="H2492">
            <v>33.799999999999997</v>
          </cell>
        </row>
        <row r="2493">
          <cell r="A2493">
            <v>321450</v>
          </cell>
          <cell r="H2493">
            <v>33.590000000000003</v>
          </cell>
        </row>
        <row r="2494">
          <cell r="A2494">
            <v>321456</v>
          </cell>
          <cell r="H2494">
            <v>38.17</v>
          </cell>
        </row>
        <row r="2495">
          <cell r="A2495">
            <v>321459</v>
          </cell>
          <cell r="H2495">
            <v>40.94</v>
          </cell>
        </row>
        <row r="2496">
          <cell r="A2496">
            <v>321462</v>
          </cell>
          <cell r="H2496">
            <v>37.590000000000003</v>
          </cell>
        </row>
        <row r="2497">
          <cell r="A2497">
            <v>321475</v>
          </cell>
          <cell r="H2497">
            <v>34.049999999999997</v>
          </cell>
        </row>
        <row r="2498">
          <cell r="A2498">
            <v>321477</v>
          </cell>
          <cell r="H2498">
            <v>41.5</v>
          </cell>
        </row>
        <row r="2499">
          <cell r="A2499">
            <v>321480</v>
          </cell>
          <cell r="H2499">
            <v>34.17</v>
          </cell>
        </row>
        <row r="2500">
          <cell r="A2500">
            <v>321481</v>
          </cell>
          <cell r="H2500">
            <v>37.880000000000003</v>
          </cell>
        </row>
        <row r="2501">
          <cell r="A2501">
            <v>321483</v>
          </cell>
          <cell r="H2501">
            <v>33.99</v>
          </cell>
        </row>
        <row r="2502">
          <cell r="A2502">
            <v>321491</v>
          </cell>
          <cell r="H2502">
            <v>41.06</v>
          </cell>
        </row>
        <row r="2503">
          <cell r="A2503">
            <v>323034</v>
          </cell>
          <cell r="H2503">
            <v>35.28</v>
          </cell>
        </row>
        <row r="2504">
          <cell r="A2504">
            <v>323041</v>
          </cell>
          <cell r="H2504">
            <v>38.700000000000003</v>
          </cell>
        </row>
        <row r="2505">
          <cell r="A2505">
            <v>323051</v>
          </cell>
          <cell r="H2505">
            <v>31.3</v>
          </cell>
        </row>
        <row r="2506">
          <cell r="A2506">
            <v>323053</v>
          </cell>
          <cell r="H2506">
            <v>34.68</v>
          </cell>
        </row>
        <row r="2507">
          <cell r="A2507">
            <v>323067</v>
          </cell>
          <cell r="H2507">
            <v>33.57</v>
          </cell>
        </row>
        <row r="2508">
          <cell r="A2508">
            <v>323072</v>
          </cell>
          <cell r="H2508">
            <v>38.1</v>
          </cell>
        </row>
        <row r="2509">
          <cell r="A2509">
            <v>323073</v>
          </cell>
          <cell r="H2509">
            <v>40.630000000000003</v>
          </cell>
        </row>
        <row r="2510">
          <cell r="A2510">
            <v>323074</v>
          </cell>
          <cell r="H2510">
            <v>41.61</v>
          </cell>
        </row>
        <row r="2511">
          <cell r="A2511">
            <v>323076</v>
          </cell>
          <cell r="H2511">
            <v>31.66</v>
          </cell>
        </row>
        <row r="2512">
          <cell r="A2512">
            <v>323079</v>
          </cell>
          <cell r="H2512">
            <v>37.409999999999997</v>
          </cell>
        </row>
        <row r="2513">
          <cell r="A2513">
            <v>323080</v>
          </cell>
          <cell r="H2513">
            <v>37.11</v>
          </cell>
        </row>
        <row r="2514">
          <cell r="A2514">
            <v>323083</v>
          </cell>
          <cell r="H2514">
            <v>33.229999999999997</v>
          </cell>
        </row>
        <row r="2515">
          <cell r="A2515">
            <v>323087</v>
          </cell>
          <cell r="H2515">
            <v>0</v>
          </cell>
        </row>
        <row r="2516">
          <cell r="A2516">
            <v>323095</v>
          </cell>
          <cell r="H2516">
            <v>31.97</v>
          </cell>
        </row>
        <row r="2517">
          <cell r="A2517">
            <v>323547</v>
          </cell>
          <cell r="H2517">
            <v>32.06</v>
          </cell>
        </row>
        <row r="2518">
          <cell r="A2518">
            <v>323554</v>
          </cell>
          <cell r="H2518">
            <v>32.159999999999997</v>
          </cell>
        </row>
        <row r="2519">
          <cell r="A2519">
            <v>323558</v>
          </cell>
          <cell r="H2519">
            <v>35.590000000000003</v>
          </cell>
        </row>
        <row r="2520">
          <cell r="A2520">
            <v>323559</v>
          </cell>
          <cell r="H2520">
            <v>42.11</v>
          </cell>
        </row>
        <row r="2521">
          <cell r="A2521">
            <v>323560</v>
          </cell>
          <cell r="H2521">
            <v>33.93</v>
          </cell>
        </row>
        <row r="2522">
          <cell r="A2522">
            <v>323561</v>
          </cell>
          <cell r="H2522">
            <v>38.06</v>
          </cell>
        </row>
        <row r="2523">
          <cell r="A2523">
            <v>323575</v>
          </cell>
          <cell r="H2523">
            <v>32.33</v>
          </cell>
        </row>
        <row r="2524">
          <cell r="A2524">
            <v>323582</v>
          </cell>
          <cell r="H2524">
            <v>34.659999999999997</v>
          </cell>
        </row>
        <row r="2525">
          <cell r="A2525">
            <v>323584</v>
          </cell>
          <cell r="H2525">
            <v>31.91</v>
          </cell>
        </row>
        <row r="2526">
          <cell r="A2526">
            <v>323612</v>
          </cell>
          <cell r="H2526">
            <v>41.78</v>
          </cell>
        </row>
        <row r="2527">
          <cell r="A2527">
            <v>323613</v>
          </cell>
          <cell r="H2527">
            <v>40.53</v>
          </cell>
        </row>
        <row r="2528">
          <cell r="A2528">
            <v>323614</v>
          </cell>
          <cell r="H2528">
            <v>38.64</v>
          </cell>
        </row>
        <row r="2529">
          <cell r="A2529">
            <v>323622</v>
          </cell>
          <cell r="H2529">
            <v>33.64</v>
          </cell>
        </row>
        <row r="2530">
          <cell r="A2530">
            <v>323627</v>
          </cell>
          <cell r="H2530">
            <v>35.19</v>
          </cell>
        </row>
        <row r="2531">
          <cell r="A2531">
            <v>323628</v>
          </cell>
          <cell r="H2531">
            <v>34.99</v>
          </cell>
        </row>
        <row r="2532">
          <cell r="A2532">
            <v>323639</v>
          </cell>
          <cell r="H2532">
            <v>35.659999999999997</v>
          </cell>
        </row>
        <row r="2533">
          <cell r="A2533">
            <v>323651</v>
          </cell>
          <cell r="H2533">
            <v>38.619999999999997</v>
          </cell>
        </row>
        <row r="2534">
          <cell r="A2534">
            <v>323662</v>
          </cell>
          <cell r="H2534">
            <v>31.55</v>
          </cell>
        </row>
        <row r="2535">
          <cell r="A2535">
            <v>323664</v>
          </cell>
          <cell r="H2535">
            <v>31.88</v>
          </cell>
        </row>
        <row r="2536">
          <cell r="A2536">
            <v>323666</v>
          </cell>
          <cell r="H2536">
            <v>32.49</v>
          </cell>
        </row>
        <row r="2537">
          <cell r="A2537">
            <v>323669</v>
          </cell>
          <cell r="H2537">
            <v>37.5</v>
          </cell>
        </row>
        <row r="2538">
          <cell r="A2538">
            <v>323670</v>
          </cell>
          <cell r="H2538">
            <v>40.479999999999997</v>
          </cell>
        </row>
        <row r="2539">
          <cell r="A2539">
            <v>323674</v>
          </cell>
          <cell r="H2539">
            <v>35.549999999999997</v>
          </cell>
        </row>
        <row r="2540">
          <cell r="A2540">
            <v>323678</v>
          </cell>
          <cell r="H2540">
            <v>44.67</v>
          </cell>
        </row>
        <row r="2541">
          <cell r="A2541">
            <v>323679</v>
          </cell>
          <cell r="H2541">
            <v>32.28</v>
          </cell>
        </row>
        <row r="2542">
          <cell r="A2542">
            <v>323690</v>
          </cell>
          <cell r="H2542">
            <v>36.49</v>
          </cell>
        </row>
        <row r="2543">
          <cell r="A2543">
            <v>323692</v>
          </cell>
          <cell r="H2543">
            <v>33.89</v>
          </cell>
        </row>
        <row r="2544">
          <cell r="A2544">
            <v>323693</v>
          </cell>
          <cell r="H2544">
            <v>40.74</v>
          </cell>
        </row>
        <row r="2545">
          <cell r="A2545">
            <v>323694</v>
          </cell>
          <cell r="H2545">
            <v>32.479999999999997</v>
          </cell>
        </row>
        <row r="2546">
          <cell r="A2546">
            <v>323695</v>
          </cell>
          <cell r="H2546">
            <v>27.43</v>
          </cell>
        </row>
        <row r="2547">
          <cell r="A2547">
            <v>323696</v>
          </cell>
          <cell r="H2547">
            <v>33.619999999999997</v>
          </cell>
        </row>
        <row r="2548">
          <cell r="A2548">
            <v>323697</v>
          </cell>
          <cell r="H2548">
            <v>35.659999999999997</v>
          </cell>
        </row>
        <row r="2549">
          <cell r="A2549">
            <v>323709</v>
          </cell>
          <cell r="H2549">
            <v>32.31</v>
          </cell>
        </row>
        <row r="2550">
          <cell r="A2550">
            <v>323715</v>
          </cell>
          <cell r="H2550">
            <v>32.549999999999997</v>
          </cell>
        </row>
        <row r="2551">
          <cell r="A2551">
            <v>323725</v>
          </cell>
          <cell r="H2551">
            <v>36.619999999999997</v>
          </cell>
        </row>
        <row r="2552">
          <cell r="A2552">
            <v>323762</v>
          </cell>
          <cell r="H2552">
            <v>40.47</v>
          </cell>
        </row>
        <row r="2553">
          <cell r="A2553">
            <v>323764</v>
          </cell>
          <cell r="H2553">
            <v>33.520000000000003</v>
          </cell>
        </row>
        <row r="2554">
          <cell r="A2554">
            <v>323807</v>
          </cell>
          <cell r="H2554">
            <v>31.37</v>
          </cell>
        </row>
        <row r="2555">
          <cell r="A2555">
            <v>323808</v>
          </cell>
          <cell r="H2555">
            <v>35.17</v>
          </cell>
        </row>
        <row r="2556">
          <cell r="A2556">
            <v>323809</v>
          </cell>
          <cell r="H2556">
            <v>31.78</v>
          </cell>
        </row>
        <row r="2557">
          <cell r="A2557">
            <v>323810</v>
          </cell>
          <cell r="H2557">
            <v>33.479999999999997</v>
          </cell>
        </row>
        <row r="2558">
          <cell r="A2558">
            <v>323811</v>
          </cell>
          <cell r="H2558">
            <v>33.56</v>
          </cell>
        </row>
        <row r="2559">
          <cell r="A2559">
            <v>323822</v>
          </cell>
          <cell r="H2559">
            <v>33.57</v>
          </cell>
        </row>
        <row r="2560">
          <cell r="A2560">
            <v>323828</v>
          </cell>
          <cell r="H2560">
            <v>31.54</v>
          </cell>
        </row>
        <row r="2561">
          <cell r="A2561">
            <v>323833</v>
          </cell>
          <cell r="H2561">
            <v>37.659999999999997</v>
          </cell>
        </row>
        <row r="2562">
          <cell r="A2562">
            <v>323834</v>
          </cell>
          <cell r="H2562">
            <v>38.35</v>
          </cell>
        </row>
        <row r="2563">
          <cell r="A2563">
            <v>323839</v>
          </cell>
          <cell r="H2563">
            <v>38.840000000000003</v>
          </cell>
        </row>
        <row r="2564">
          <cell r="A2564">
            <v>323844</v>
          </cell>
          <cell r="H2564">
            <v>35.64</v>
          </cell>
        </row>
        <row r="2565">
          <cell r="A2565">
            <v>323850</v>
          </cell>
          <cell r="H2565">
            <v>27.14</v>
          </cell>
        </row>
        <row r="2566">
          <cell r="A2566">
            <v>323858</v>
          </cell>
          <cell r="H2566">
            <v>40.08</v>
          </cell>
        </row>
        <row r="2567">
          <cell r="A2567">
            <v>323859</v>
          </cell>
          <cell r="H2567">
            <v>33.86</v>
          </cell>
        </row>
        <row r="2568">
          <cell r="A2568">
            <v>323860</v>
          </cell>
          <cell r="H2568">
            <v>34.090000000000003</v>
          </cell>
        </row>
        <row r="2569">
          <cell r="A2569">
            <v>323861</v>
          </cell>
          <cell r="H2569">
            <v>36.57</v>
          </cell>
        </row>
        <row r="2570">
          <cell r="A2570">
            <v>323864</v>
          </cell>
          <cell r="H2570">
            <v>32.47</v>
          </cell>
        </row>
        <row r="2571">
          <cell r="A2571">
            <v>323865</v>
          </cell>
          <cell r="H2571">
            <v>31.93</v>
          </cell>
        </row>
        <row r="2572">
          <cell r="A2572">
            <v>323866</v>
          </cell>
          <cell r="H2572">
            <v>32.97</v>
          </cell>
        </row>
        <row r="2573">
          <cell r="A2573">
            <v>323867</v>
          </cell>
          <cell r="H2573">
            <v>35.99</v>
          </cell>
        </row>
        <row r="2574">
          <cell r="A2574">
            <v>323878</v>
          </cell>
          <cell r="H2574">
            <v>38.06</v>
          </cell>
        </row>
        <row r="2575">
          <cell r="A2575">
            <v>323891</v>
          </cell>
          <cell r="H2575">
            <v>35.340000000000003</v>
          </cell>
        </row>
        <row r="2576">
          <cell r="A2576">
            <v>323898</v>
          </cell>
          <cell r="H2576">
            <v>40.9</v>
          </cell>
        </row>
        <row r="2577">
          <cell r="A2577">
            <v>323903</v>
          </cell>
          <cell r="H2577">
            <v>30.62</v>
          </cell>
        </row>
        <row r="2578">
          <cell r="A2578">
            <v>323936</v>
          </cell>
          <cell r="H2578">
            <v>33.64</v>
          </cell>
        </row>
        <row r="2579">
          <cell r="A2579">
            <v>323937</v>
          </cell>
          <cell r="H2579">
            <v>42.22</v>
          </cell>
        </row>
        <row r="2580">
          <cell r="A2580">
            <v>323938</v>
          </cell>
          <cell r="H2580">
            <v>37.08</v>
          </cell>
        </row>
        <row r="2581">
          <cell r="A2581">
            <v>323951</v>
          </cell>
          <cell r="H2581">
            <v>26.97</v>
          </cell>
        </row>
        <row r="2582">
          <cell r="A2582">
            <v>323959</v>
          </cell>
          <cell r="H2582">
            <v>38.15</v>
          </cell>
        </row>
        <row r="2583">
          <cell r="A2583">
            <v>323965</v>
          </cell>
          <cell r="H2583">
            <v>37.61</v>
          </cell>
        </row>
        <row r="2584">
          <cell r="A2584">
            <v>323969</v>
          </cell>
          <cell r="H2584">
            <v>27.63</v>
          </cell>
        </row>
        <row r="2585">
          <cell r="A2585">
            <v>323971</v>
          </cell>
          <cell r="H2585">
            <v>41.17</v>
          </cell>
        </row>
        <row r="2586">
          <cell r="A2586">
            <v>323972</v>
          </cell>
          <cell r="H2586">
            <v>32.96</v>
          </cell>
        </row>
        <row r="2587">
          <cell r="A2587">
            <v>323978</v>
          </cell>
          <cell r="H2587">
            <v>36.119999999999997</v>
          </cell>
        </row>
        <row r="2588">
          <cell r="A2588">
            <v>323979</v>
          </cell>
          <cell r="H2588">
            <v>32.65</v>
          </cell>
        </row>
        <row r="2589">
          <cell r="A2589">
            <v>323982</v>
          </cell>
          <cell r="H2589">
            <v>34.06</v>
          </cell>
        </row>
        <row r="2590">
          <cell r="A2590">
            <v>323983</v>
          </cell>
          <cell r="H2590">
            <v>40.81</v>
          </cell>
        </row>
        <row r="2591">
          <cell r="A2591">
            <v>323985</v>
          </cell>
          <cell r="H2591">
            <v>41.06</v>
          </cell>
        </row>
        <row r="2592">
          <cell r="A2592">
            <v>323988</v>
          </cell>
          <cell r="H2592">
            <v>38.770000000000003</v>
          </cell>
        </row>
        <row r="2593">
          <cell r="A2593">
            <v>323989</v>
          </cell>
          <cell r="H2593">
            <v>27.42</v>
          </cell>
        </row>
        <row r="2594">
          <cell r="A2594">
            <v>323990</v>
          </cell>
          <cell r="H2594">
            <v>32.29</v>
          </cell>
        </row>
        <row r="2595">
          <cell r="A2595">
            <v>323991</v>
          </cell>
          <cell r="H2595">
            <v>32.14</v>
          </cell>
        </row>
        <row r="2596">
          <cell r="A2596">
            <v>324001</v>
          </cell>
          <cell r="H2596">
            <v>44.48</v>
          </cell>
        </row>
        <row r="2597">
          <cell r="A2597">
            <v>324009</v>
          </cell>
          <cell r="H2597">
            <v>45.34</v>
          </cell>
        </row>
        <row r="2598">
          <cell r="A2598">
            <v>324015</v>
          </cell>
          <cell r="H2598">
            <v>37.94</v>
          </cell>
        </row>
        <row r="2599">
          <cell r="A2599">
            <v>324019</v>
          </cell>
          <cell r="H2599">
            <v>32.93</v>
          </cell>
        </row>
        <row r="2600">
          <cell r="A2600">
            <v>324020</v>
          </cell>
          <cell r="H2600">
            <v>34.14</v>
          </cell>
        </row>
        <row r="2601">
          <cell r="A2601">
            <v>324021</v>
          </cell>
          <cell r="H2601">
            <v>37.299999999999997</v>
          </cell>
        </row>
        <row r="2602">
          <cell r="A2602">
            <v>324022</v>
          </cell>
          <cell r="H2602">
            <v>42.04</v>
          </cell>
        </row>
        <row r="2603">
          <cell r="A2603">
            <v>324023</v>
          </cell>
          <cell r="H2603">
            <v>40.25</v>
          </cell>
        </row>
        <row r="2604">
          <cell r="A2604">
            <v>324024</v>
          </cell>
          <cell r="H2604">
            <v>33.130000000000003</v>
          </cell>
        </row>
        <row r="2605">
          <cell r="A2605">
            <v>324025</v>
          </cell>
          <cell r="H2605">
            <v>31.02</v>
          </cell>
        </row>
        <row r="2606">
          <cell r="A2606">
            <v>324026</v>
          </cell>
          <cell r="H2606">
            <v>36.9</v>
          </cell>
        </row>
        <row r="2607">
          <cell r="A2607">
            <v>324027</v>
          </cell>
          <cell r="H2607">
            <v>34.299999999999997</v>
          </cell>
        </row>
        <row r="2608">
          <cell r="A2608">
            <v>324038</v>
          </cell>
          <cell r="H2608">
            <v>38.26</v>
          </cell>
        </row>
        <row r="2609">
          <cell r="A2609">
            <v>324043</v>
          </cell>
          <cell r="H2609">
            <v>30.5</v>
          </cell>
        </row>
        <row r="2610">
          <cell r="A2610">
            <v>324159</v>
          </cell>
          <cell r="H2610">
            <v>30.71</v>
          </cell>
        </row>
        <row r="2611">
          <cell r="A2611">
            <v>324162</v>
          </cell>
          <cell r="H2611">
            <v>34.25</v>
          </cell>
        </row>
        <row r="2612">
          <cell r="A2612">
            <v>324163</v>
          </cell>
          <cell r="H2612">
            <v>40.840000000000003</v>
          </cell>
        </row>
        <row r="2613">
          <cell r="A2613">
            <v>324170</v>
          </cell>
          <cell r="H2613">
            <v>46.94</v>
          </cell>
        </row>
        <row r="2614">
          <cell r="A2614">
            <v>324176</v>
          </cell>
          <cell r="H2614">
            <v>33.61</v>
          </cell>
        </row>
        <row r="2615">
          <cell r="A2615">
            <v>324179</v>
          </cell>
          <cell r="H2615">
            <v>37.67</v>
          </cell>
        </row>
        <row r="2616">
          <cell r="A2616">
            <v>324186</v>
          </cell>
          <cell r="H2616">
            <v>40.409999999999997</v>
          </cell>
        </row>
        <row r="2617">
          <cell r="A2617">
            <v>324190</v>
          </cell>
          <cell r="H2617">
            <v>32.979999999999997</v>
          </cell>
        </row>
        <row r="2618">
          <cell r="A2618">
            <v>324191</v>
          </cell>
          <cell r="H2618">
            <v>36.47</v>
          </cell>
        </row>
        <row r="2619">
          <cell r="A2619">
            <v>324192</v>
          </cell>
          <cell r="H2619">
            <v>37.1</v>
          </cell>
        </row>
        <row r="2620">
          <cell r="A2620">
            <v>324193</v>
          </cell>
          <cell r="H2620">
            <v>40.72</v>
          </cell>
        </row>
        <row r="2621">
          <cell r="A2621">
            <v>324194</v>
          </cell>
          <cell r="H2621">
            <v>39.9</v>
          </cell>
        </row>
        <row r="2622">
          <cell r="A2622">
            <v>324197</v>
          </cell>
          <cell r="H2622">
            <v>38.33</v>
          </cell>
        </row>
        <row r="2623">
          <cell r="A2623">
            <v>324198</v>
          </cell>
          <cell r="H2623">
            <v>32.36</v>
          </cell>
        </row>
        <row r="2624">
          <cell r="A2624">
            <v>324212</v>
          </cell>
          <cell r="H2624">
            <v>33.97</v>
          </cell>
        </row>
        <row r="2625">
          <cell r="A2625">
            <v>324219</v>
          </cell>
          <cell r="H2625">
            <v>38.200000000000003</v>
          </cell>
        </row>
        <row r="2626">
          <cell r="A2626">
            <v>324220</v>
          </cell>
          <cell r="H2626">
            <v>41.7</v>
          </cell>
        </row>
        <row r="2627">
          <cell r="A2627">
            <v>324274</v>
          </cell>
          <cell r="H2627">
            <v>37.72</v>
          </cell>
        </row>
        <row r="2628">
          <cell r="A2628">
            <v>324277</v>
          </cell>
          <cell r="H2628">
            <v>30</v>
          </cell>
        </row>
        <row r="2629">
          <cell r="A2629">
            <v>324284</v>
          </cell>
          <cell r="H2629">
            <v>33.11</v>
          </cell>
        </row>
        <row r="2630">
          <cell r="A2630">
            <v>324294</v>
          </cell>
          <cell r="H2630">
            <v>34.659999999999997</v>
          </cell>
        </row>
        <row r="2631">
          <cell r="A2631">
            <v>324295</v>
          </cell>
          <cell r="H2631">
            <v>33.74</v>
          </cell>
        </row>
        <row r="2632">
          <cell r="A2632">
            <v>324299</v>
          </cell>
          <cell r="H2632">
            <v>34.44</v>
          </cell>
        </row>
        <row r="2633">
          <cell r="A2633">
            <v>324300</v>
          </cell>
          <cell r="H2633">
            <v>28.13</v>
          </cell>
        </row>
        <row r="2634">
          <cell r="A2634">
            <v>324303</v>
          </cell>
          <cell r="H2634">
            <v>37.89</v>
          </cell>
        </row>
        <row r="2635">
          <cell r="A2635">
            <v>324304</v>
          </cell>
          <cell r="H2635">
            <v>30.11</v>
          </cell>
        </row>
        <row r="2636">
          <cell r="A2636">
            <v>324309</v>
          </cell>
          <cell r="H2636">
            <v>33.33</v>
          </cell>
        </row>
        <row r="2637">
          <cell r="A2637">
            <v>324315</v>
          </cell>
          <cell r="H2637">
            <v>40.880000000000003</v>
          </cell>
        </row>
        <row r="2638">
          <cell r="A2638">
            <v>324336</v>
          </cell>
          <cell r="H2638">
            <v>36.76</v>
          </cell>
        </row>
        <row r="2639">
          <cell r="A2639">
            <v>324337</v>
          </cell>
          <cell r="H2639">
            <v>32.700000000000003</v>
          </cell>
        </row>
        <row r="2640">
          <cell r="A2640">
            <v>324339</v>
          </cell>
          <cell r="H2640">
            <v>43.51</v>
          </cell>
        </row>
        <row r="2641">
          <cell r="A2641">
            <v>324348</v>
          </cell>
          <cell r="H2641">
            <v>37.28</v>
          </cell>
        </row>
        <row r="2642">
          <cell r="A2642">
            <v>324349</v>
          </cell>
          <cell r="H2642">
            <v>33.96</v>
          </cell>
        </row>
        <row r="2643">
          <cell r="A2643">
            <v>324350</v>
          </cell>
          <cell r="H2643">
            <v>33.61</v>
          </cell>
        </row>
        <row r="2644">
          <cell r="A2644">
            <v>324351</v>
          </cell>
          <cell r="H2644">
            <v>34.58</v>
          </cell>
        </row>
        <row r="2645">
          <cell r="A2645">
            <v>324353</v>
          </cell>
          <cell r="H2645">
            <v>36.200000000000003</v>
          </cell>
        </row>
        <row r="2646">
          <cell r="A2646">
            <v>324354</v>
          </cell>
          <cell r="H2646">
            <v>38.22</v>
          </cell>
        </row>
        <row r="2647">
          <cell r="A2647">
            <v>324355</v>
          </cell>
          <cell r="H2647">
            <v>32.21</v>
          </cell>
        </row>
        <row r="2648">
          <cell r="A2648">
            <v>324366</v>
          </cell>
          <cell r="H2648">
            <v>30.1</v>
          </cell>
        </row>
        <row r="2649">
          <cell r="A2649">
            <v>324371</v>
          </cell>
          <cell r="H2649">
            <v>38.18</v>
          </cell>
        </row>
        <row r="2650">
          <cell r="A2650">
            <v>324423</v>
          </cell>
          <cell r="H2650">
            <v>37.479999999999997</v>
          </cell>
        </row>
        <row r="2651">
          <cell r="A2651">
            <v>324427</v>
          </cell>
          <cell r="H2651">
            <v>32.549999999999997</v>
          </cell>
        </row>
        <row r="2652">
          <cell r="A2652">
            <v>324437</v>
          </cell>
          <cell r="H2652">
            <v>38.01</v>
          </cell>
        </row>
        <row r="2653">
          <cell r="A2653">
            <v>324442</v>
          </cell>
          <cell r="H2653">
            <v>33.31</v>
          </cell>
        </row>
        <row r="2654">
          <cell r="A2654">
            <v>324450</v>
          </cell>
          <cell r="H2654">
            <v>37.75</v>
          </cell>
        </row>
        <row r="2655">
          <cell r="A2655">
            <v>324463</v>
          </cell>
          <cell r="H2655">
            <v>35.17</v>
          </cell>
        </row>
        <row r="2656">
          <cell r="A2656">
            <v>324465</v>
          </cell>
          <cell r="H2656">
            <v>36.67</v>
          </cell>
        </row>
        <row r="2657">
          <cell r="A2657">
            <v>324466</v>
          </cell>
          <cell r="H2657">
            <v>34.1</v>
          </cell>
        </row>
        <row r="2658">
          <cell r="A2658">
            <v>324467</v>
          </cell>
          <cell r="H2658">
            <v>27.79</v>
          </cell>
        </row>
        <row r="2659">
          <cell r="A2659">
            <v>324471</v>
          </cell>
          <cell r="H2659">
            <v>38.630000000000003</v>
          </cell>
        </row>
        <row r="2660">
          <cell r="A2660">
            <v>324480</v>
          </cell>
          <cell r="H2660">
            <v>33.049999999999997</v>
          </cell>
        </row>
        <row r="2661">
          <cell r="A2661">
            <v>324482</v>
          </cell>
          <cell r="H2661">
            <v>37.119999999999997</v>
          </cell>
        </row>
        <row r="2662">
          <cell r="A2662">
            <v>324484</v>
          </cell>
          <cell r="H2662">
            <v>33.75</v>
          </cell>
        </row>
        <row r="2663">
          <cell r="A2663">
            <v>324491</v>
          </cell>
          <cell r="H2663">
            <v>39.799999999999997</v>
          </cell>
        </row>
        <row r="2664">
          <cell r="A2664">
            <v>324496</v>
          </cell>
          <cell r="H2664">
            <v>40.6</v>
          </cell>
        </row>
        <row r="2665">
          <cell r="A2665">
            <v>324497</v>
          </cell>
          <cell r="H2665">
            <v>30.12</v>
          </cell>
        </row>
        <row r="2666">
          <cell r="A2666">
            <v>324498</v>
          </cell>
          <cell r="H2666">
            <v>34.51</v>
          </cell>
        </row>
        <row r="2667">
          <cell r="A2667">
            <v>324499</v>
          </cell>
          <cell r="H2667">
            <v>34.58</v>
          </cell>
        </row>
        <row r="2668">
          <cell r="A2668">
            <v>324500</v>
          </cell>
          <cell r="H2668">
            <v>38.4</v>
          </cell>
        </row>
        <row r="2669">
          <cell r="A2669">
            <v>324502</v>
          </cell>
          <cell r="H2669">
            <v>31.86</v>
          </cell>
        </row>
        <row r="2670">
          <cell r="A2670">
            <v>324503</v>
          </cell>
          <cell r="H2670">
            <v>38.03</v>
          </cell>
        </row>
        <row r="2671">
          <cell r="A2671">
            <v>324523</v>
          </cell>
          <cell r="H2671">
            <v>30.5</v>
          </cell>
        </row>
        <row r="2672">
          <cell r="A2672">
            <v>324527</v>
          </cell>
          <cell r="H2672">
            <v>37.57</v>
          </cell>
        </row>
        <row r="2673">
          <cell r="A2673">
            <v>324579</v>
          </cell>
          <cell r="H2673">
            <v>38.19</v>
          </cell>
        </row>
        <row r="2674">
          <cell r="A2674">
            <v>324588</v>
          </cell>
          <cell r="H2674">
            <v>37.76</v>
          </cell>
        </row>
        <row r="2675">
          <cell r="A2675">
            <v>324610</v>
          </cell>
          <cell r="H2675">
            <v>37.020000000000003</v>
          </cell>
        </row>
        <row r="2676">
          <cell r="A2676">
            <v>324611</v>
          </cell>
          <cell r="H2676">
            <v>36.47</v>
          </cell>
        </row>
        <row r="2677">
          <cell r="A2677">
            <v>324618</v>
          </cell>
          <cell r="H2677">
            <v>29.03</v>
          </cell>
        </row>
        <row r="2678">
          <cell r="A2678">
            <v>324619</v>
          </cell>
          <cell r="H2678">
            <v>37.75</v>
          </cell>
        </row>
        <row r="2679">
          <cell r="A2679">
            <v>324620</v>
          </cell>
          <cell r="H2679">
            <v>36.880000000000003</v>
          </cell>
        </row>
        <row r="2680">
          <cell r="A2680">
            <v>324623</v>
          </cell>
          <cell r="H2680">
            <v>28.39</v>
          </cell>
        </row>
        <row r="2681">
          <cell r="A2681">
            <v>324625</v>
          </cell>
          <cell r="H2681">
            <v>34.79</v>
          </cell>
        </row>
        <row r="2682">
          <cell r="A2682">
            <v>324628</v>
          </cell>
          <cell r="H2682">
            <v>36.76</v>
          </cell>
        </row>
        <row r="2683">
          <cell r="A2683">
            <v>324630</v>
          </cell>
          <cell r="H2683">
            <v>36.869999999999997</v>
          </cell>
        </row>
        <row r="2684">
          <cell r="A2684">
            <v>324631</v>
          </cell>
          <cell r="H2684">
            <v>35.340000000000003</v>
          </cell>
        </row>
        <row r="2685">
          <cell r="A2685">
            <v>324633</v>
          </cell>
          <cell r="H2685">
            <v>34.82</v>
          </cell>
        </row>
        <row r="2686">
          <cell r="A2686">
            <v>324651</v>
          </cell>
          <cell r="H2686">
            <v>26.86</v>
          </cell>
        </row>
        <row r="2687">
          <cell r="A2687">
            <v>324658</v>
          </cell>
          <cell r="H2687">
            <v>30.48</v>
          </cell>
        </row>
        <row r="2688">
          <cell r="A2688">
            <v>324947</v>
          </cell>
          <cell r="H2688">
            <v>34.56</v>
          </cell>
        </row>
        <row r="2689">
          <cell r="A2689">
            <v>324949</v>
          </cell>
          <cell r="H2689">
            <v>34.270000000000003</v>
          </cell>
        </row>
        <row r="2690">
          <cell r="A2690">
            <v>324961</v>
          </cell>
          <cell r="H2690">
            <v>40.880000000000003</v>
          </cell>
        </row>
        <row r="2691">
          <cell r="A2691">
            <v>324963</v>
          </cell>
          <cell r="H2691">
            <v>40.9</v>
          </cell>
        </row>
        <row r="2692">
          <cell r="A2692">
            <v>324967</v>
          </cell>
          <cell r="H2692">
            <v>36.659999999999997</v>
          </cell>
        </row>
        <row r="2693">
          <cell r="A2693">
            <v>324974</v>
          </cell>
          <cell r="H2693">
            <v>26.75</v>
          </cell>
        </row>
        <row r="2694">
          <cell r="A2694">
            <v>324975</v>
          </cell>
          <cell r="H2694">
            <v>38.75</v>
          </cell>
        </row>
        <row r="2695">
          <cell r="A2695">
            <v>324991</v>
          </cell>
          <cell r="H2695">
            <v>33.54</v>
          </cell>
        </row>
        <row r="2696">
          <cell r="A2696">
            <v>324997</v>
          </cell>
          <cell r="H2696">
            <v>32.15</v>
          </cell>
        </row>
        <row r="2697">
          <cell r="A2697">
            <v>325000</v>
          </cell>
          <cell r="H2697">
            <v>39.369999999999997</v>
          </cell>
        </row>
        <row r="2698">
          <cell r="A2698">
            <v>325001</v>
          </cell>
          <cell r="H2698">
            <v>41.93</v>
          </cell>
        </row>
        <row r="2699">
          <cell r="A2699">
            <v>325002</v>
          </cell>
          <cell r="H2699">
            <v>38</v>
          </cell>
        </row>
        <row r="2700">
          <cell r="A2700">
            <v>325003</v>
          </cell>
          <cell r="H2700">
            <v>30.84</v>
          </cell>
        </row>
        <row r="2701">
          <cell r="A2701">
            <v>325004</v>
          </cell>
          <cell r="H2701">
            <v>27.38</v>
          </cell>
        </row>
        <row r="2702">
          <cell r="A2702">
            <v>325006</v>
          </cell>
          <cell r="H2702">
            <v>34.11</v>
          </cell>
        </row>
        <row r="2703">
          <cell r="A2703">
            <v>325008</v>
          </cell>
          <cell r="H2703">
            <v>34.200000000000003</v>
          </cell>
        </row>
        <row r="2704">
          <cell r="A2704">
            <v>325010</v>
          </cell>
          <cell r="H2704">
            <v>30.26</v>
          </cell>
        </row>
        <row r="2705">
          <cell r="A2705">
            <v>325029</v>
          </cell>
          <cell r="H2705">
            <v>30</v>
          </cell>
        </row>
        <row r="2706">
          <cell r="A2706">
            <v>325074</v>
          </cell>
          <cell r="H2706">
            <v>34.119999999999997</v>
          </cell>
        </row>
        <row r="2707">
          <cell r="A2707">
            <v>325077</v>
          </cell>
          <cell r="H2707">
            <v>38.11</v>
          </cell>
        </row>
        <row r="2708">
          <cell r="A2708">
            <v>325080</v>
          </cell>
          <cell r="H2708">
            <v>26.95</v>
          </cell>
        </row>
        <row r="2709">
          <cell r="A2709">
            <v>325093</v>
          </cell>
          <cell r="H2709">
            <v>35.450000000000003</v>
          </cell>
        </row>
        <row r="2710">
          <cell r="A2710">
            <v>325107</v>
          </cell>
          <cell r="H2710">
            <v>34.49</v>
          </cell>
        </row>
        <row r="2711">
          <cell r="A2711">
            <v>325113</v>
          </cell>
          <cell r="H2711">
            <v>32.79</v>
          </cell>
        </row>
        <row r="2712">
          <cell r="A2712">
            <v>325124</v>
          </cell>
          <cell r="H2712">
            <v>41.04</v>
          </cell>
        </row>
        <row r="2713">
          <cell r="A2713">
            <v>325125</v>
          </cell>
          <cell r="H2713">
            <v>40.909999999999997</v>
          </cell>
        </row>
        <row r="2714">
          <cell r="A2714">
            <v>325132</v>
          </cell>
          <cell r="H2714">
            <v>37.64</v>
          </cell>
        </row>
        <row r="2715">
          <cell r="A2715">
            <v>325134</v>
          </cell>
          <cell r="H2715">
            <v>39.96</v>
          </cell>
        </row>
        <row r="2716">
          <cell r="A2716">
            <v>325135</v>
          </cell>
          <cell r="H2716">
            <v>26.48</v>
          </cell>
        </row>
        <row r="2717">
          <cell r="A2717">
            <v>325136</v>
          </cell>
          <cell r="H2717">
            <v>34.200000000000003</v>
          </cell>
        </row>
        <row r="2718">
          <cell r="A2718">
            <v>325147</v>
          </cell>
          <cell r="H2718">
            <v>42.78</v>
          </cell>
        </row>
        <row r="2719">
          <cell r="A2719">
            <v>325150</v>
          </cell>
          <cell r="H2719">
            <v>41.96</v>
          </cell>
        </row>
        <row r="2720">
          <cell r="A2720">
            <v>325152</v>
          </cell>
          <cell r="H2720">
            <v>32</v>
          </cell>
        </row>
        <row r="2721">
          <cell r="A2721">
            <v>325159</v>
          </cell>
          <cell r="H2721">
            <v>30.34</v>
          </cell>
        </row>
        <row r="2722">
          <cell r="A2722">
            <v>325163</v>
          </cell>
          <cell r="H2722">
            <v>39.42</v>
          </cell>
        </row>
        <row r="2723">
          <cell r="A2723">
            <v>325174</v>
          </cell>
          <cell r="H2723">
            <v>43.11</v>
          </cell>
        </row>
        <row r="2724">
          <cell r="A2724">
            <v>325175</v>
          </cell>
          <cell r="H2724">
            <v>41.4</v>
          </cell>
        </row>
        <row r="2725">
          <cell r="A2725">
            <v>325177</v>
          </cell>
          <cell r="H2725">
            <v>36.22</v>
          </cell>
        </row>
        <row r="2726">
          <cell r="A2726">
            <v>325178</v>
          </cell>
          <cell r="H2726">
            <v>27.24</v>
          </cell>
        </row>
        <row r="2727">
          <cell r="A2727">
            <v>325179</v>
          </cell>
          <cell r="H2727">
            <v>34.32</v>
          </cell>
        </row>
        <row r="2728">
          <cell r="A2728">
            <v>325180</v>
          </cell>
          <cell r="H2728">
            <v>36.56</v>
          </cell>
        </row>
        <row r="2729">
          <cell r="A2729">
            <v>325181</v>
          </cell>
          <cell r="H2729">
            <v>34.82</v>
          </cell>
        </row>
        <row r="2730">
          <cell r="A2730">
            <v>325182</v>
          </cell>
          <cell r="H2730">
            <v>38.18</v>
          </cell>
        </row>
        <row r="2731">
          <cell r="A2731">
            <v>325183</v>
          </cell>
          <cell r="H2731">
            <v>39.450000000000003</v>
          </cell>
        </row>
        <row r="2732">
          <cell r="A2732">
            <v>325188</v>
          </cell>
          <cell r="H2732">
            <v>30.34</v>
          </cell>
        </row>
        <row r="2733">
          <cell r="A2733">
            <v>325235</v>
          </cell>
          <cell r="H2733">
            <v>39.22</v>
          </cell>
        </row>
        <row r="2734">
          <cell r="A2734">
            <v>325241</v>
          </cell>
          <cell r="H2734">
            <v>33.85</v>
          </cell>
        </row>
        <row r="2735">
          <cell r="A2735">
            <v>325244</v>
          </cell>
          <cell r="H2735">
            <v>34.049999999999997</v>
          </cell>
        </row>
        <row r="2736">
          <cell r="A2736">
            <v>325259</v>
          </cell>
          <cell r="H2736">
            <v>27.14</v>
          </cell>
        </row>
        <row r="2737">
          <cell r="A2737">
            <v>325279</v>
          </cell>
          <cell r="H2737">
            <v>42.02</v>
          </cell>
        </row>
        <row r="2738">
          <cell r="A2738">
            <v>325294</v>
          </cell>
          <cell r="H2738">
            <v>37.83</v>
          </cell>
        </row>
        <row r="2739">
          <cell r="A2739">
            <v>325296</v>
          </cell>
          <cell r="H2739">
            <v>38.340000000000003</v>
          </cell>
        </row>
        <row r="2740">
          <cell r="A2740">
            <v>325297</v>
          </cell>
          <cell r="H2740">
            <v>36.979999999999997</v>
          </cell>
        </row>
        <row r="2741">
          <cell r="A2741">
            <v>325298</v>
          </cell>
          <cell r="H2741">
            <v>34.03</v>
          </cell>
        </row>
        <row r="2742">
          <cell r="A2742">
            <v>325299</v>
          </cell>
          <cell r="H2742">
            <v>34.42</v>
          </cell>
        </row>
        <row r="2743">
          <cell r="A2743">
            <v>325303</v>
          </cell>
          <cell r="H2743">
            <v>28.03</v>
          </cell>
        </row>
        <row r="2744">
          <cell r="A2744">
            <v>325309</v>
          </cell>
          <cell r="H2744">
            <v>34.33</v>
          </cell>
        </row>
        <row r="2745">
          <cell r="A2745">
            <v>325329</v>
          </cell>
          <cell r="H2745">
            <v>32.82</v>
          </cell>
        </row>
        <row r="2746">
          <cell r="A2746">
            <v>325334</v>
          </cell>
          <cell r="H2746">
            <v>40.479999999999997</v>
          </cell>
        </row>
        <row r="2747">
          <cell r="A2747">
            <v>325335</v>
          </cell>
          <cell r="H2747">
            <v>38.69</v>
          </cell>
        </row>
        <row r="2748">
          <cell r="A2748">
            <v>325337</v>
          </cell>
          <cell r="H2748">
            <v>38.33</v>
          </cell>
        </row>
        <row r="2749">
          <cell r="A2749">
            <v>325338</v>
          </cell>
          <cell r="H2749">
            <v>36.700000000000003</v>
          </cell>
        </row>
        <row r="2750">
          <cell r="A2750">
            <v>325339</v>
          </cell>
          <cell r="H2750">
            <v>27.29</v>
          </cell>
        </row>
        <row r="2751">
          <cell r="A2751">
            <v>325340</v>
          </cell>
          <cell r="H2751">
            <v>30.92</v>
          </cell>
        </row>
        <row r="2752">
          <cell r="A2752">
            <v>325341</v>
          </cell>
          <cell r="H2752">
            <v>34.35</v>
          </cell>
        </row>
        <row r="2753">
          <cell r="A2753">
            <v>325342</v>
          </cell>
          <cell r="H2753">
            <v>33.42</v>
          </cell>
        </row>
        <row r="2754">
          <cell r="A2754">
            <v>325343</v>
          </cell>
          <cell r="H2754">
            <v>33.92</v>
          </cell>
        </row>
        <row r="2755">
          <cell r="A2755">
            <v>325344</v>
          </cell>
          <cell r="H2755">
            <v>32.11</v>
          </cell>
        </row>
        <row r="2756">
          <cell r="A2756">
            <v>325345</v>
          </cell>
          <cell r="H2756">
            <v>39.94</v>
          </cell>
        </row>
        <row r="2757">
          <cell r="A2757">
            <v>325355</v>
          </cell>
          <cell r="H2757">
            <v>29.97</v>
          </cell>
        </row>
        <row r="2758">
          <cell r="A2758">
            <v>325356</v>
          </cell>
          <cell r="H2758">
            <v>30.45</v>
          </cell>
        </row>
        <row r="2759">
          <cell r="A2759">
            <v>325359</v>
          </cell>
          <cell r="H2759">
            <v>37.729999999999997</v>
          </cell>
        </row>
        <row r="2760">
          <cell r="A2760">
            <v>325361</v>
          </cell>
          <cell r="H2760">
            <v>40.880000000000003</v>
          </cell>
        </row>
        <row r="2761">
          <cell r="A2761">
            <v>325363</v>
          </cell>
          <cell r="H2761">
            <v>32.43</v>
          </cell>
        </row>
        <row r="2762">
          <cell r="A2762">
            <v>325413</v>
          </cell>
          <cell r="H2762">
            <v>34.119999999999997</v>
          </cell>
        </row>
        <row r="2763">
          <cell r="A2763">
            <v>325445</v>
          </cell>
          <cell r="H2763">
            <v>34.409999999999997</v>
          </cell>
        </row>
        <row r="2764">
          <cell r="A2764">
            <v>325449</v>
          </cell>
          <cell r="H2764">
            <v>40.880000000000003</v>
          </cell>
        </row>
        <row r="2765">
          <cell r="A2765">
            <v>325452</v>
          </cell>
          <cell r="H2765">
            <v>34.85</v>
          </cell>
        </row>
        <row r="2766">
          <cell r="A2766">
            <v>325453</v>
          </cell>
          <cell r="H2766">
            <v>34.270000000000003</v>
          </cell>
        </row>
        <row r="2767">
          <cell r="A2767">
            <v>325454</v>
          </cell>
          <cell r="H2767">
            <v>30.22</v>
          </cell>
        </row>
        <row r="2768">
          <cell r="A2768">
            <v>325455</v>
          </cell>
          <cell r="H2768">
            <v>27.8</v>
          </cell>
        </row>
        <row r="2769">
          <cell r="A2769">
            <v>325456</v>
          </cell>
          <cell r="H2769">
            <v>26.85</v>
          </cell>
        </row>
        <row r="2770">
          <cell r="A2770">
            <v>325457</v>
          </cell>
          <cell r="H2770">
            <v>34.21</v>
          </cell>
        </row>
        <row r="2771">
          <cell r="A2771">
            <v>325458</v>
          </cell>
          <cell r="H2771">
            <v>38.22</v>
          </cell>
        </row>
        <row r="2772">
          <cell r="A2772">
            <v>325467</v>
          </cell>
          <cell r="H2772">
            <v>38.96</v>
          </cell>
        </row>
        <row r="2773">
          <cell r="A2773">
            <v>325471</v>
          </cell>
          <cell r="H2773">
            <v>43.04</v>
          </cell>
        </row>
        <row r="2774">
          <cell r="A2774">
            <v>325473</v>
          </cell>
          <cell r="H2774">
            <v>33.07</v>
          </cell>
        </row>
        <row r="2775">
          <cell r="A2775">
            <v>325477</v>
          </cell>
          <cell r="H2775">
            <v>33.909999999999997</v>
          </cell>
        </row>
        <row r="2776">
          <cell r="A2776">
            <v>325479</v>
          </cell>
          <cell r="H2776">
            <v>37.909999999999997</v>
          </cell>
        </row>
        <row r="2777">
          <cell r="A2777">
            <v>325483</v>
          </cell>
          <cell r="H2777">
            <v>41.47</v>
          </cell>
        </row>
        <row r="2778">
          <cell r="A2778">
            <v>325498</v>
          </cell>
          <cell r="H2778">
            <v>38.82</v>
          </cell>
        </row>
        <row r="2779">
          <cell r="A2779">
            <v>325500</v>
          </cell>
          <cell r="H2779">
            <v>31.7</v>
          </cell>
        </row>
        <row r="2780">
          <cell r="A2780">
            <v>325502</v>
          </cell>
          <cell r="H2780">
            <v>45.45</v>
          </cell>
        </row>
        <row r="2781">
          <cell r="A2781">
            <v>325503</v>
          </cell>
          <cell r="H2781">
            <v>38.32</v>
          </cell>
        </row>
        <row r="2782">
          <cell r="A2782">
            <v>325505</v>
          </cell>
          <cell r="H2782">
            <v>34</v>
          </cell>
        </row>
        <row r="2783">
          <cell r="A2783">
            <v>325506</v>
          </cell>
          <cell r="H2783">
            <v>41.25</v>
          </cell>
        </row>
        <row r="2784">
          <cell r="A2784">
            <v>325507</v>
          </cell>
          <cell r="H2784">
            <v>36.64</v>
          </cell>
        </row>
        <row r="2785">
          <cell r="A2785">
            <v>325508</v>
          </cell>
          <cell r="H2785">
            <v>39.28</v>
          </cell>
        </row>
        <row r="2786">
          <cell r="A2786">
            <v>325509</v>
          </cell>
          <cell r="H2786">
            <v>36.65</v>
          </cell>
        </row>
        <row r="2787">
          <cell r="A2787">
            <v>325510</v>
          </cell>
          <cell r="H2787">
            <v>27.19</v>
          </cell>
        </row>
        <row r="2788">
          <cell r="A2788">
            <v>325518</v>
          </cell>
          <cell r="H2788">
            <v>40.619999999999997</v>
          </cell>
        </row>
        <row r="2789">
          <cell r="A2789">
            <v>325521</v>
          </cell>
          <cell r="H2789">
            <v>40.880000000000003</v>
          </cell>
        </row>
        <row r="2790">
          <cell r="A2790">
            <v>325523</v>
          </cell>
          <cell r="H2790">
            <v>32.86</v>
          </cell>
        </row>
        <row r="2791">
          <cell r="A2791">
            <v>325535</v>
          </cell>
          <cell r="H2791">
            <v>37.19</v>
          </cell>
        </row>
        <row r="2792">
          <cell r="A2792">
            <v>325566</v>
          </cell>
          <cell r="H2792">
            <v>33.07</v>
          </cell>
        </row>
        <row r="2793">
          <cell r="A2793">
            <v>325579</v>
          </cell>
          <cell r="H2793">
            <v>34.229999999999997</v>
          </cell>
        </row>
        <row r="2794">
          <cell r="A2794">
            <v>325584</v>
          </cell>
          <cell r="H2794">
            <v>38.25</v>
          </cell>
        </row>
        <row r="2795">
          <cell r="A2795">
            <v>325601</v>
          </cell>
          <cell r="H2795">
            <v>30.78</v>
          </cell>
        </row>
        <row r="2796">
          <cell r="A2796">
            <v>325602</v>
          </cell>
          <cell r="H2796">
            <v>27.26</v>
          </cell>
        </row>
        <row r="2797">
          <cell r="A2797">
            <v>325603</v>
          </cell>
          <cell r="H2797">
            <v>34.24</v>
          </cell>
        </row>
        <row r="2798">
          <cell r="A2798">
            <v>325604</v>
          </cell>
          <cell r="H2798">
            <v>34.369999999999997</v>
          </cell>
        </row>
        <row r="2799">
          <cell r="A2799">
            <v>325605</v>
          </cell>
          <cell r="H2799">
            <v>30.32</v>
          </cell>
        </row>
        <row r="2800">
          <cell r="A2800">
            <v>325607</v>
          </cell>
          <cell r="H2800">
            <v>33.25</v>
          </cell>
        </row>
        <row r="2801">
          <cell r="A2801">
            <v>325611</v>
          </cell>
          <cell r="H2801">
            <v>34.03</v>
          </cell>
        </row>
        <row r="2802">
          <cell r="A2802">
            <v>325614</v>
          </cell>
          <cell r="H2802">
            <v>32.89</v>
          </cell>
        </row>
        <row r="2803">
          <cell r="A2803">
            <v>325621</v>
          </cell>
          <cell r="H2803">
            <v>39.11</v>
          </cell>
        </row>
        <row r="2804">
          <cell r="A2804">
            <v>325640</v>
          </cell>
          <cell r="H2804">
            <v>26.77</v>
          </cell>
        </row>
        <row r="2805">
          <cell r="A2805">
            <v>325641</v>
          </cell>
          <cell r="H2805">
            <v>36.65</v>
          </cell>
        </row>
        <row r="2806">
          <cell r="A2806">
            <v>325653</v>
          </cell>
          <cell r="H2806">
            <v>34.049999999999997</v>
          </cell>
        </row>
        <row r="2807">
          <cell r="A2807">
            <v>323785</v>
          </cell>
          <cell r="H2807">
            <v>39.450000000000003</v>
          </cell>
        </row>
        <row r="2808">
          <cell r="A2808">
            <v>324098</v>
          </cell>
          <cell r="H2808">
            <v>42.24</v>
          </cell>
        </row>
        <row r="2809">
          <cell r="A2809">
            <v>324105</v>
          </cell>
          <cell r="H2809">
            <v>36.869999999999997</v>
          </cell>
        </row>
        <row r="2810">
          <cell r="A2810">
            <v>324108</v>
          </cell>
          <cell r="H2810">
            <v>30.44</v>
          </cell>
        </row>
        <row r="2811">
          <cell r="A2811">
            <v>324110</v>
          </cell>
          <cell r="H2811">
            <v>37.270000000000003</v>
          </cell>
        </row>
        <row r="2812">
          <cell r="A2812">
            <v>324122</v>
          </cell>
          <cell r="H2812">
            <v>35.799999999999997</v>
          </cell>
        </row>
        <row r="2813">
          <cell r="A2813">
            <v>324135</v>
          </cell>
          <cell r="H2813">
            <v>30.01</v>
          </cell>
        </row>
        <row r="2814">
          <cell r="A2814">
            <v>324139</v>
          </cell>
          <cell r="H2814">
            <v>32.75</v>
          </cell>
        </row>
        <row r="2815">
          <cell r="A2815">
            <v>324140</v>
          </cell>
          <cell r="H2815">
            <v>38.29</v>
          </cell>
        </row>
        <row r="2816">
          <cell r="A2816">
            <v>324145</v>
          </cell>
          <cell r="H2816">
            <v>34.619999999999997</v>
          </cell>
        </row>
        <row r="2817">
          <cell r="A2817">
            <v>324150</v>
          </cell>
          <cell r="H2817">
            <v>41.04</v>
          </cell>
        </row>
        <row r="2818">
          <cell r="A2818">
            <v>324152</v>
          </cell>
          <cell r="H2818">
            <v>34.57</v>
          </cell>
        </row>
        <row r="2819">
          <cell r="A2819">
            <v>324154</v>
          </cell>
          <cell r="H2819">
            <v>36.549999999999997</v>
          </cell>
        </row>
        <row r="2820">
          <cell r="A2820">
            <v>324661</v>
          </cell>
          <cell r="H2820">
            <v>34.15</v>
          </cell>
        </row>
        <row r="2821">
          <cell r="A2821">
            <v>324668</v>
          </cell>
          <cell r="H2821">
            <v>38.090000000000003</v>
          </cell>
        </row>
        <row r="2822">
          <cell r="A2822">
            <v>324669</v>
          </cell>
          <cell r="H2822">
            <v>39.909999999999997</v>
          </cell>
        </row>
        <row r="2823">
          <cell r="A2823">
            <v>324671</v>
          </cell>
          <cell r="H2823">
            <v>32.06</v>
          </cell>
        </row>
        <row r="2824">
          <cell r="A2824">
            <v>324672</v>
          </cell>
          <cell r="H2824">
            <v>37.92</v>
          </cell>
        </row>
        <row r="2825">
          <cell r="A2825">
            <v>324673</v>
          </cell>
          <cell r="H2825">
            <v>30.88</v>
          </cell>
        </row>
        <row r="2826">
          <cell r="A2826">
            <v>324685</v>
          </cell>
          <cell r="H2826">
            <v>41.22</v>
          </cell>
        </row>
        <row r="2827">
          <cell r="A2827">
            <v>324686</v>
          </cell>
          <cell r="H2827">
            <v>38.17</v>
          </cell>
        </row>
        <row r="2828">
          <cell r="A2828">
            <v>324725</v>
          </cell>
          <cell r="H2828">
            <v>38.19</v>
          </cell>
        </row>
        <row r="2829">
          <cell r="A2829">
            <v>324726</v>
          </cell>
          <cell r="H2829">
            <v>36.25</v>
          </cell>
        </row>
        <row r="2830">
          <cell r="A2830">
            <v>324737</v>
          </cell>
          <cell r="H2830">
            <v>36.75</v>
          </cell>
        </row>
        <row r="2831">
          <cell r="A2831">
            <v>324738</v>
          </cell>
          <cell r="H2831">
            <v>38.54</v>
          </cell>
        </row>
        <row r="2832">
          <cell r="A2832">
            <v>324739</v>
          </cell>
          <cell r="H2832">
            <v>36.79</v>
          </cell>
        </row>
        <row r="2833">
          <cell r="A2833">
            <v>324759</v>
          </cell>
          <cell r="H2833">
            <v>29.26</v>
          </cell>
        </row>
        <row r="2834">
          <cell r="A2834">
            <v>324773</v>
          </cell>
          <cell r="H2834">
            <v>34.51</v>
          </cell>
        </row>
        <row r="2835">
          <cell r="A2835">
            <v>324774</v>
          </cell>
          <cell r="H2835">
            <v>30.04</v>
          </cell>
        </row>
        <row r="2836">
          <cell r="A2836">
            <v>324783</v>
          </cell>
          <cell r="H2836">
            <v>34.43</v>
          </cell>
        </row>
        <row r="2837">
          <cell r="A2837">
            <v>324785</v>
          </cell>
          <cell r="H2837">
            <v>37.409999999999997</v>
          </cell>
        </row>
        <row r="2838">
          <cell r="A2838">
            <v>324787</v>
          </cell>
          <cell r="H2838">
            <v>37.28</v>
          </cell>
        </row>
        <row r="2839">
          <cell r="A2839">
            <v>324789</v>
          </cell>
          <cell r="H2839">
            <v>6.28</v>
          </cell>
        </row>
        <row r="2840">
          <cell r="A2840">
            <v>324793</v>
          </cell>
          <cell r="H2840">
            <v>0</v>
          </cell>
        </row>
        <row r="2841">
          <cell r="A2841">
            <v>324796</v>
          </cell>
          <cell r="H2841">
            <v>41.1</v>
          </cell>
        </row>
        <row r="2842">
          <cell r="A2842">
            <v>324797</v>
          </cell>
          <cell r="H2842">
            <v>26.93</v>
          </cell>
        </row>
        <row r="2843">
          <cell r="A2843">
            <v>324816</v>
          </cell>
          <cell r="H2843">
            <v>41.26</v>
          </cell>
        </row>
        <row r="2844">
          <cell r="A2844">
            <v>324817</v>
          </cell>
          <cell r="H2844">
            <v>27.26</v>
          </cell>
        </row>
        <row r="2845">
          <cell r="A2845">
            <v>324818</v>
          </cell>
          <cell r="H2845">
            <v>33.700000000000003</v>
          </cell>
        </row>
        <row r="2846">
          <cell r="A2846">
            <v>324820</v>
          </cell>
          <cell r="H2846">
            <v>34.36</v>
          </cell>
        </row>
        <row r="2847">
          <cell r="A2847">
            <v>324822</v>
          </cell>
          <cell r="H2847">
            <v>34.270000000000003</v>
          </cell>
        </row>
        <row r="2848">
          <cell r="A2848">
            <v>324824</v>
          </cell>
          <cell r="H2848">
            <v>36.5</v>
          </cell>
        </row>
        <row r="2849">
          <cell r="A2849">
            <v>324825</v>
          </cell>
          <cell r="H2849">
            <v>38.08</v>
          </cell>
        </row>
        <row r="2850">
          <cell r="A2850">
            <v>324905</v>
          </cell>
          <cell r="H2850">
            <v>34.39</v>
          </cell>
        </row>
        <row r="2851">
          <cell r="A2851">
            <v>324918</v>
          </cell>
          <cell r="H2851">
            <v>26.94</v>
          </cell>
        </row>
        <row r="2852">
          <cell r="A2852">
            <v>324923</v>
          </cell>
          <cell r="H2852">
            <v>29.12</v>
          </cell>
        </row>
        <row r="2853">
          <cell r="A2853">
            <v>324927</v>
          </cell>
          <cell r="H2853">
            <v>41.77</v>
          </cell>
        </row>
        <row r="2854">
          <cell r="A2854">
            <v>324930</v>
          </cell>
          <cell r="H2854">
            <v>34.020000000000003</v>
          </cell>
        </row>
        <row r="2855">
          <cell r="A2855">
            <v>324933</v>
          </cell>
          <cell r="H2855">
            <v>30.13</v>
          </cell>
        </row>
        <row r="2856">
          <cell r="A2856">
            <v>324935</v>
          </cell>
          <cell r="H2856">
            <v>42.12</v>
          </cell>
        </row>
        <row r="2857">
          <cell r="A2857">
            <v>324936</v>
          </cell>
          <cell r="H2857">
            <v>39.08</v>
          </cell>
        </row>
        <row r="2858">
          <cell r="A2858">
            <v>324937</v>
          </cell>
          <cell r="H2858">
            <v>37.29</v>
          </cell>
        </row>
        <row r="2859">
          <cell r="A2859">
            <v>325657</v>
          </cell>
          <cell r="H2859">
            <v>38.99</v>
          </cell>
        </row>
        <row r="2860">
          <cell r="A2860">
            <v>325659</v>
          </cell>
          <cell r="H2860">
            <v>33.9</v>
          </cell>
        </row>
        <row r="2861">
          <cell r="A2861">
            <v>325661</v>
          </cell>
          <cell r="H2861">
            <v>37.28</v>
          </cell>
        </row>
        <row r="2862">
          <cell r="A2862">
            <v>325662</v>
          </cell>
          <cell r="H2862">
            <v>33.53</v>
          </cell>
        </row>
        <row r="2863">
          <cell r="A2863">
            <v>325663</v>
          </cell>
          <cell r="H2863">
            <v>38.29</v>
          </cell>
        </row>
        <row r="2864">
          <cell r="A2864">
            <v>325664</v>
          </cell>
          <cell r="H2864">
            <v>31.9</v>
          </cell>
        </row>
        <row r="2865">
          <cell r="A2865">
            <v>325672</v>
          </cell>
          <cell r="H2865">
            <v>32.950000000000003</v>
          </cell>
        </row>
        <row r="2866">
          <cell r="A2866">
            <v>325673</v>
          </cell>
          <cell r="H2866">
            <v>40.130000000000003</v>
          </cell>
        </row>
        <row r="2867">
          <cell r="A2867">
            <v>325676</v>
          </cell>
          <cell r="H2867">
            <v>38.200000000000003</v>
          </cell>
        </row>
        <row r="2868">
          <cell r="A2868">
            <v>325679</v>
          </cell>
          <cell r="H2868">
            <v>32.96</v>
          </cell>
        </row>
        <row r="2869">
          <cell r="A2869">
            <v>325685</v>
          </cell>
          <cell r="H2869">
            <v>30.77</v>
          </cell>
        </row>
        <row r="2870">
          <cell r="A2870">
            <v>325735</v>
          </cell>
          <cell r="H2870">
            <v>27.06</v>
          </cell>
        </row>
        <row r="2871">
          <cell r="A2871">
            <v>325746</v>
          </cell>
          <cell r="H2871">
            <v>34.74</v>
          </cell>
        </row>
        <row r="2872">
          <cell r="A2872">
            <v>325747</v>
          </cell>
          <cell r="H2872">
            <v>38.159999999999997</v>
          </cell>
        </row>
        <row r="2873">
          <cell r="A2873">
            <v>325765</v>
          </cell>
          <cell r="H2873">
            <v>37.03</v>
          </cell>
        </row>
        <row r="2874">
          <cell r="A2874">
            <v>325769</v>
          </cell>
          <cell r="H2874">
            <v>27.72</v>
          </cell>
        </row>
        <row r="2875">
          <cell r="A2875">
            <v>325770</v>
          </cell>
          <cell r="H2875">
            <v>34.11</v>
          </cell>
        </row>
        <row r="2876">
          <cell r="A2876">
            <v>325771</v>
          </cell>
          <cell r="H2876">
            <v>35.07</v>
          </cell>
        </row>
        <row r="2877">
          <cell r="A2877">
            <v>325772</v>
          </cell>
          <cell r="H2877">
            <v>29.25</v>
          </cell>
        </row>
        <row r="2878">
          <cell r="A2878">
            <v>325773</v>
          </cell>
          <cell r="H2878">
            <v>34.409999999999997</v>
          </cell>
        </row>
        <row r="2879">
          <cell r="A2879">
            <v>325774</v>
          </cell>
          <cell r="H2879">
            <v>30.89</v>
          </cell>
        </row>
        <row r="2880">
          <cell r="A2880">
            <v>325782</v>
          </cell>
          <cell r="H2880">
            <v>38.54</v>
          </cell>
        </row>
        <row r="2881">
          <cell r="A2881">
            <v>325805</v>
          </cell>
          <cell r="H2881">
            <v>39.29</v>
          </cell>
        </row>
        <row r="2882">
          <cell r="A2882">
            <v>325817</v>
          </cell>
          <cell r="H2882">
            <v>37.79</v>
          </cell>
        </row>
        <row r="2883">
          <cell r="A2883">
            <v>325820</v>
          </cell>
          <cell r="H2883">
            <v>33.53</v>
          </cell>
        </row>
        <row r="2884">
          <cell r="A2884">
            <v>325825</v>
          </cell>
          <cell r="H2884">
            <v>39.200000000000003</v>
          </cell>
        </row>
        <row r="2885">
          <cell r="A2885">
            <v>325827</v>
          </cell>
          <cell r="H2885">
            <v>38.840000000000003</v>
          </cell>
        </row>
        <row r="2886">
          <cell r="A2886">
            <v>325829</v>
          </cell>
          <cell r="H2886">
            <v>37.35</v>
          </cell>
        </row>
        <row r="2887">
          <cell r="A2887">
            <v>325830</v>
          </cell>
          <cell r="H2887">
            <v>33.729999999999997</v>
          </cell>
        </row>
        <row r="2888">
          <cell r="A2888">
            <v>325831</v>
          </cell>
          <cell r="H2888">
            <v>27.34</v>
          </cell>
        </row>
        <row r="2889">
          <cell r="A2889">
            <v>325832</v>
          </cell>
          <cell r="H2889">
            <v>32.07</v>
          </cell>
        </row>
        <row r="2890">
          <cell r="A2890">
            <v>325833</v>
          </cell>
          <cell r="H2890">
            <v>38.119999999999997</v>
          </cell>
        </row>
        <row r="2891">
          <cell r="A2891">
            <v>325842</v>
          </cell>
          <cell r="H2891">
            <v>30.56</v>
          </cell>
        </row>
        <row r="2892">
          <cell r="A2892">
            <v>325843</v>
          </cell>
          <cell r="H2892">
            <v>33.03</v>
          </cell>
        </row>
        <row r="2893">
          <cell r="A2893">
            <v>325846</v>
          </cell>
          <cell r="H2893">
            <v>38.200000000000003</v>
          </cell>
        </row>
        <row r="2894">
          <cell r="A2894">
            <v>325847</v>
          </cell>
          <cell r="H2894">
            <v>37.700000000000003</v>
          </cell>
        </row>
        <row r="2895">
          <cell r="A2895">
            <v>325849</v>
          </cell>
          <cell r="H2895">
            <v>33.020000000000003</v>
          </cell>
        </row>
        <row r="2896">
          <cell r="A2896">
            <v>325866</v>
          </cell>
          <cell r="H2896">
            <v>36.770000000000003</v>
          </cell>
        </row>
        <row r="2897">
          <cell r="A2897">
            <v>325870</v>
          </cell>
          <cell r="H2897">
            <v>39.03</v>
          </cell>
        </row>
        <row r="2898">
          <cell r="A2898">
            <v>325881</v>
          </cell>
          <cell r="H2898">
            <v>27.21</v>
          </cell>
        </row>
        <row r="2899">
          <cell r="A2899">
            <v>325921</v>
          </cell>
          <cell r="H2899">
            <v>29.05</v>
          </cell>
        </row>
        <row r="2900">
          <cell r="A2900">
            <v>325925</v>
          </cell>
          <cell r="H2900">
            <v>35.9</v>
          </cell>
        </row>
        <row r="2901">
          <cell r="A2901">
            <v>325926</v>
          </cell>
          <cell r="H2901">
            <v>27.78</v>
          </cell>
        </row>
        <row r="2902">
          <cell r="A2902">
            <v>325927</v>
          </cell>
          <cell r="H2902">
            <v>34.15</v>
          </cell>
        </row>
        <row r="2903">
          <cell r="A2903">
            <v>325928</v>
          </cell>
          <cell r="H2903">
            <v>31.64</v>
          </cell>
        </row>
        <row r="2904">
          <cell r="A2904">
            <v>325934</v>
          </cell>
          <cell r="H2904">
            <v>34.590000000000003</v>
          </cell>
        </row>
        <row r="2905">
          <cell r="A2905">
            <v>325936</v>
          </cell>
          <cell r="H2905">
            <v>41.96</v>
          </cell>
        </row>
        <row r="2906">
          <cell r="A2906">
            <v>325938</v>
          </cell>
          <cell r="H2906">
            <v>29.82</v>
          </cell>
        </row>
        <row r="2907">
          <cell r="A2907">
            <v>325939</v>
          </cell>
          <cell r="H2907">
            <v>37.93</v>
          </cell>
        </row>
        <row r="2908">
          <cell r="A2908">
            <v>325942</v>
          </cell>
          <cell r="H2908">
            <v>40.9</v>
          </cell>
        </row>
        <row r="2909">
          <cell r="A2909">
            <v>325947</v>
          </cell>
          <cell r="H2909">
            <v>39.69</v>
          </cell>
        </row>
        <row r="2910">
          <cell r="A2910">
            <v>325956</v>
          </cell>
          <cell r="H2910">
            <v>36.619999999999997</v>
          </cell>
        </row>
        <row r="2911">
          <cell r="A2911">
            <v>325958</v>
          </cell>
          <cell r="H2911">
            <v>37.33</v>
          </cell>
        </row>
        <row r="2912">
          <cell r="A2912">
            <v>325971</v>
          </cell>
          <cell r="H2912">
            <v>41.88</v>
          </cell>
        </row>
        <row r="2913">
          <cell r="A2913">
            <v>325985</v>
          </cell>
          <cell r="H2913">
            <v>39.04</v>
          </cell>
        </row>
        <row r="2914">
          <cell r="A2914">
            <v>325986</v>
          </cell>
          <cell r="H2914">
            <v>34.28</v>
          </cell>
        </row>
        <row r="2915">
          <cell r="A2915">
            <v>325987</v>
          </cell>
          <cell r="H2915">
            <v>37.26</v>
          </cell>
        </row>
        <row r="2916">
          <cell r="A2916">
            <v>325995</v>
          </cell>
          <cell r="H2916">
            <v>34.01</v>
          </cell>
        </row>
        <row r="2917">
          <cell r="A2917">
            <v>325997</v>
          </cell>
          <cell r="H2917">
            <v>33.03</v>
          </cell>
        </row>
        <row r="2918">
          <cell r="A2918">
            <v>326013</v>
          </cell>
          <cell r="H2918">
            <v>30.21</v>
          </cell>
        </row>
        <row r="2919">
          <cell r="A2919">
            <v>326027</v>
          </cell>
          <cell r="H2919">
            <v>36.61</v>
          </cell>
        </row>
        <row r="2920">
          <cell r="A2920">
            <v>326030</v>
          </cell>
          <cell r="H2920">
            <v>36.76</v>
          </cell>
        </row>
        <row r="2921">
          <cell r="A2921">
            <v>326041</v>
          </cell>
          <cell r="H2921">
            <v>40.909999999999997</v>
          </cell>
        </row>
        <row r="2922">
          <cell r="A2922">
            <v>326077</v>
          </cell>
          <cell r="H2922">
            <v>29.27</v>
          </cell>
        </row>
        <row r="2923">
          <cell r="A2923">
            <v>326080</v>
          </cell>
          <cell r="H2923">
            <v>41.01</v>
          </cell>
        </row>
        <row r="2924">
          <cell r="A2924">
            <v>326096</v>
          </cell>
          <cell r="H2924">
            <v>40.130000000000003</v>
          </cell>
        </row>
        <row r="2925">
          <cell r="A2925">
            <v>326103</v>
          </cell>
          <cell r="H2925">
            <v>36.78</v>
          </cell>
        </row>
        <row r="2926">
          <cell r="A2926">
            <v>326119</v>
          </cell>
          <cell r="H2926">
            <v>35.18</v>
          </cell>
        </row>
        <row r="2927">
          <cell r="A2927">
            <v>326120</v>
          </cell>
          <cell r="H2927">
            <v>34.56</v>
          </cell>
        </row>
        <row r="2928">
          <cell r="A2928">
            <v>326121</v>
          </cell>
          <cell r="H2928">
            <v>34.46</v>
          </cell>
        </row>
        <row r="2929">
          <cell r="A2929">
            <v>326122</v>
          </cell>
          <cell r="H2929">
            <v>40.29</v>
          </cell>
        </row>
        <row r="2930">
          <cell r="A2930">
            <v>326123</v>
          </cell>
          <cell r="H2930">
            <v>37.619999999999997</v>
          </cell>
        </row>
        <row r="2931">
          <cell r="A2931">
            <v>326124</v>
          </cell>
          <cell r="H2931">
            <v>36.24</v>
          </cell>
        </row>
        <row r="2932">
          <cell r="A2932">
            <v>326125</v>
          </cell>
          <cell r="H2932">
            <v>34.29</v>
          </cell>
        </row>
        <row r="2933">
          <cell r="A2933">
            <v>326126</v>
          </cell>
          <cell r="H2933">
            <v>27.19</v>
          </cell>
        </row>
        <row r="2934">
          <cell r="A2934">
            <v>326127</v>
          </cell>
          <cell r="H2934">
            <v>31.14</v>
          </cell>
        </row>
        <row r="2935">
          <cell r="A2935">
            <v>326137</v>
          </cell>
          <cell r="H2935">
            <v>43.24</v>
          </cell>
        </row>
        <row r="2936">
          <cell r="A2936">
            <v>326140</v>
          </cell>
          <cell r="H2936">
            <v>34.68</v>
          </cell>
        </row>
        <row r="2937">
          <cell r="A2937">
            <v>326141</v>
          </cell>
          <cell r="H2937">
            <v>33.200000000000003</v>
          </cell>
        </row>
        <row r="2938">
          <cell r="A2938">
            <v>326143</v>
          </cell>
          <cell r="H2938">
            <v>42.49</v>
          </cell>
        </row>
        <row r="2939">
          <cell r="A2939">
            <v>326153</v>
          </cell>
          <cell r="H2939">
            <v>37.97</v>
          </cell>
        </row>
        <row r="2940">
          <cell r="A2940">
            <v>326156</v>
          </cell>
          <cell r="H2940">
            <v>40.299999999999997</v>
          </cell>
        </row>
        <row r="2941">
          <cell r="A2941">
            <v>326160</v>
          </cell>
          <cell r="H2941">
            <v>30.46</v>
          </cell>
        </row>
        <row r="2942">
          <cell r="A2942">
            <v>326168</v>
          </cell>
          <cell r="H2942">
            <v>38.18</v>
          </cell>
        </row>
        <row r="2943">
          <cell r="A2943">
            <v>326178</v>
          </cell>
          <cell r="H2943">
            <v>37.51</v>
          </cell>
        </row>
        <row r="2944">
          <cell r="A2944">
            <v>326220</v>
          </cell>
          <cell r="H2944">
            <v>40.74</v>
          </cell>
        </row>
        <row r="2945">
          <cell r="A2945">
            <v>326249</v>
          </cell>
          <cell r="H2945">
            <v>34.729999999999997</v>
          </cell>
        </row>
        <row r="2946">
          <cell r="A2946">
            <v>326250</v>
          </cell>
          <cell r="H2946">
            <v>34.24</v>
          </cell>
        </row>
        <row r="2947">
          <cell r="A2947">
            <v>326251</v>
          </cell>
          <cell r="H2947">
            <v>27.3</v>
          </cell>
        </row>
        <row r="2948">
          <cell r="A2948">
            <v>326252</v>
          </cell>
          <cell r="H2948">
            <v>29.29</v>
          </cell>
        </row>
        <row r="2949">
          <cell r="A2949">
            <v>326254</v>
          </cell>
          <cell r="H2949">
            <v>33.92</v>
          </cell>
        </row>
        <row r="2950">
          <cell r="A2950">
            <v>326277</v>
          </cell>
          <cell r="H2950">
            <v>31.11</v>
          </cell>
        </row>
        <row r="2951">
          <cell r="A2951">
            <v>326279</v>
          </cell>
          <cell r="H2951">
            <v>37.08</v>
          </cell>
        </row>
        <row r="2952">
          <cell r="A2952">
            <v>326280</v>
          </cell>
          <cell r="H2952">
            <v>40.83</v>
          </cell>
        </row>
        <row r="2953">
          <cell r="A2953">
            <v>326281</v>
          </cell>
          <cell r="H2953">
            <v>34.57</v>
          </cell>
        </row>
        <row r="2954">
          <cell r="A2954">
            <v>326282</v>
          </cell>
          <cell r="H2954">
            <v>40.880000000000003</v>
          </cell>
        </row>
        <row r="2955">
          <cell r="A2955">
            <v>326283</v>
          </cell>
          <cell r="H2955">
            <v>34.67</v>
          </cell>
        </row>
        <row r="2956">
          <cell r="A2956">
            <v>326284</v>
          </cell>
          <cell r="H2956">
            <v>28.96</v>
          </cell>
        </row>
        <row r="2957">
          <cell r="A2957">
            <v>326290</v>
          </cell>
          <cell r="H2957">
            <v>37.67</v>
          </cell>
        </row>
        <row r="2958">
          <cell r="A2958">
            <v>326291</v>
          </cell>
          <cell r="H2958">
            <v>43.36</v>
          </cell>
        </row>
        <row r="2959">
          <cell r="A2959">
            <v>326292</v>
          </cell>
          <cell r="H2959">
            <v>40.33</v>
          </cell>
        </row>
        <row r="2960">
          <cell r="A2960">
            <v>326299</v>
          </cell>
          <cell r="H2960">
            <v>38.090000000000003</v>
          </cell>
        </row>
        <row r="2961">
          <cell r="A2961">
            <v>326301</v>
          </cell>
          <cell r="H2961">
            <v>33.090000000000003</v>
          </cell>
        </row>
        <row r="2962">
          <cell r="A2962">
            <v>326302</v>
          </cell>
          <cell r="H2962">
            <v>30.19</v>
          </cell>
        </row>
        <row r="2963">
          <cell r="A2963">
            <v>326307</v>
          </cell>
          <cell r="H2963">
            <v>40.01</v>
          </cell>
        </row>
        <row r="2964">
          <cell r="A2964">
            <v>326316</v>
          </cell>
          <cell r="H2964">
            <v>40.880000000000003</v>
          </cell>
        </row>
        <row r="2965">
          <cell r="A2965">
            <v>326323</v>
          </cell>
          <cell r="H2965">
            <v>37.15</v>
          </cell>
        </row>
        <row r="2966">
          <cell r="A2966">
            <v>326351</v>
          </cell>
          <cell r="H2966">
            <v>38.08</v>
          </cell>
        </row>
        <row r="2967">
          <cell r="A2967">
            <v>326379</v>
          </cell>
          <cell r="H2967">
            <v>33.950000000000003</v>
          </cell>
        </row>
        <row r="2968">
          <cell r="A2968">
            <v>326384</v>
          </cell>
          <cell r="H2968">
            <v>34.28</v>
          </cell>
        </row>
        <row r="2969">
          <cell r="A2969">
            <v>326405</v>
          </cell>
          <cell r="H2969">
            <v>32.75</v>
          </cell>
        </row>
        <row r="2970">
          <cell r="A2970">
            <v>326406</v>
          </cell>
          <cell r="H2970">
            <v>45.98</v>
          </cell>
        </row>
        <row r="2971">
          <cell r="A2971">
            <v>326410</v>
          </cell>
          <cell r="H2971">
            <v>34.57</v>
          </cell>
        </row>
        <row r="2972">
          <cell r="A2972">
            <v>326413</v>
          </cell>
          <cell r="H2972">
            <v>40.33</v>
          </cell>
        </row>
        <row r="2973">
          <cell r="A2973">
            <v>326438</v>
          </cell>
          <cell r="H2973">
            <v>47.37</v>
          </cell>
        </row>
        <row r="2974">
          <cell r="A2974">
            <v>326452</v>
          </cell>
          <cell r="H2974">
            <v>33.49</v>
          </cell>
        </row>
        <row r="2975">
          <cell r="A2975">
            <v>326453</v>
          </cell>
          <cell r="H2975">
            <v>32.39</v>
          </cell>
        </row>
        <row r="2976">
          <cell r="A2976">
            <v>326454</v>
          </cell>
          <cell r="H2976">
            <v>41.73</v>
          </cell>
        </row>
        <row r="2977">
          <cell r="A2977">
            <v>326456</v>
          </cell>
          <cell r="H2977">
            <v>34.51</v>
          </cell>
        </row>
        <row r="2978">
          <cell r="A2978">
            <v>326457</v>
          </cell>
          <cell r="H2978">
            <v>32.15</v>
          </cell>
        </row>
        <row r="2979">
          <cell r="A2979">
            <v>326458</v>
          </cell>
          <cell r="H2979">
            <v>37.72</v>
          </cell>
        </row>
        <row r="2980">
          <cell r="A2980">
            <v>326464</v>
          </cell>
          <cell r="H2980">
            <v>27.25</v>
          </cell>
        </row>
        <row r="2981">
          <cell r="A2981">
            <v>326465</v>
          </cell>
          <cell r="H2981">
            <v>37.76</v>
          </cell>
        </row>
        <row r="2982">
          <cell r="A2982">
            <v>326467</v>
          </cell>
          <cell r="H2982">
            <v>30.35</v>
          </cell>
        </row>
        <row r="2983">
          <cell r="A2983">
            <v>326468</v>
          </cell>
          <cell r="H2983">
            <v>32.94</v>
          </cell>
        </row>
        <row r="2984">
          <cell r="A2984">
            <v>326480</v>
          </cell>
          <cell r="H2984">
            <v>39.35</v>
          </cell>
        </row>
        <row r="2985">
          <cell r="A2985">
            <v>326481</v>
          </cell>
          <cell r="H2985">
            <v>41.17</v>
          </cell>
        </row>
        <row r="2986">
          <cell r="A2986">
            <v>326488</v>
          </cell>
          <cell r="H2986">
            <v>40.9</v>
          </cell>
        </row>
        <row r="2987">
          <cell r="A2987">
            <v>326489</v>
          </cell>
          <cell r="H2987">
            <v>41.04</v>
          </cell>
        </row>
        <row r="2988">
          <cell r="A2988">
            <v>326523</v>
          </cell>
          <cell r="H2988">
            <v>41.67</v>
          </cell>
        </row>
        <row r="2989">
          <cell r="A2989">
            <v>326546</v>
          </cell>
          <cell r="H2989">
            <v>42.3</v>
          </cell>
        </row>
        <row r="2990">
          <cell r="A2990">
            <v>326554</v>
          </cell>
          <cell r="H2990">
            <v>33.880000000000003</v>
          </cell>
        </row>
        <row r="2991">
          <cell r="A2991">
            <v>326580</v>
          </cell>
          <cell r="H2991">
            <v>36.83</v>
          </cell>
        </row>
        <row r="2992">
          <cell r="A2992">
            <v>326581</v>
          </cell>
          <cell r="H2992">
            <v>30.36</v>
          </cell>
        </row>
        <row r="2993">
          <cell r="A2993">
            <v>326582</v>
          </cell>
          <cell r="H2993">
            <v>26.95</v>
          </cell>
        </row>
        <row r="2994">
          <cell r="A2994">
            <v>326583</v>
          </cell>
          <cell r="H2994">
            <v>34.17</v>
          </cell>
        </row>
        <row r="2995">
          <cell r="A2995">
            <v>326586</v>
          </cell>
          <cell r="H2995">
            <v>40.72</v>
          </cell>
        </row>
        <row r="2996">
          <cell r="A2996">
            <v>326589</v>
          </cell>
          <cell r="H2996">
            <v>33.21</v>
          </cell>
        </row>
        <row r="2997">
          <cell r="A2997">
            <v>326591</v>
          </cell>
          <cell r="H2997">
            <v>34.14</v>
          </cell>
        </row>
        <row r="2998">
          <cell r="A2998">
            <v>326593</v>
          </cell>
          <cell r="H2998">
            <v>32.79</v>
          </cell>
        </row>
        <row r="2999">
          <cell r="A2999">
            <v>326594</v>
          </cell>
          <cell r="H2999">
            <v>33.93</v>
          </cell>
        </row>
        <row r="3000">
          <cell r="A3000">
            <v>326595</v>
          </cell>
          <cell r="H3000">
            <v>33.76</v>
          </cell>
        </row>
        <row r="3001">
          <cell r="A3001">
            <v>326596</v>
          </cell>
          <cell r="H3001">
            <v>34.56</v>
          </cell>
        </row>
        <row r="3002">
          <cell r="A3002">
            <v>326599</v>
          </cell>
          <cell r="H3002">
            <v>40.880000000000003</v>
          </cell>
        </row>
        <row r="3003">
          <cell r="A3003">
            <v>326600</v>
          </cell>
          <cell r="H3003">
            <v>40.909999999999997</v>
          </cell>
        </row>
        <row r="3004">
          <cell r="A3004">
            <v>326614</v>
          </cell>
          <cell r="H3004">
            <v>33.229999999999997</v>
          </cell>
        </row>
        <row r="3005">
          <cell r="A3005">
            <v>326619</v>
          </cell>
          <cell r="H3005">
            <v>37.25</v>
          </cell>
        </row>
        <row r="3006">
          <cell r="A3006">
            <v>326620</v>
          </cell>
          <cell r="H3006">
            <v>36.93</v>
          </cell>
        </row>
        <row r="3007">
          <cell r="A3007">
            <v>326621</v>
          </cell>
          <cell r="H3007">
            <v>37.049999999999997</v>
          </cell>
        </row>
        <row r="3008">
          <cell r="A3008">
            <v>326622</v>
          </cell>
          <cell r="H3008">
            <v>32.75</v>
          </cell>
        </row>
        <row r="3009">
          <cell r="A3009">
            <v>326623</v>
          </cell>
          <cell r="H3009">
            <v>36.74</v>
          </cell>
        </row>
        <row r="3010">
          <cell r="A3010">
            <v>326630</v>
          </cell>
          <cell r="H3010">
            <v>38.1</v>
          </cell>
        </row>
        <row r="3011">
          <cell r="A3011">
            <v>326636</v>
          </cell>
          <cell r="H3011">
            <v>41.91</v>
          </cell>
        </row>
        <row r="3012">
          <cell r="A3012">
            <v>326678</v>
          </cell>
          <cell r="H3012">
            <v>37.51</v>
          </cell>
        </row>
        <row r="3013">
          <cell r="A3013">
            <v>326679</v>
          </cell>
          <cell r="H3013">
            <v>37.270000000000003</v>
          </cell>
        </row>
        <row r="3014">
          <cell r="A3014">
            <v>326690</v>
          </cell>
          <cell r="H3014">
            <v>34.1</v>
          </cell>
        </row>
        <row r="3015">
          <cell r="A3015">
            <v>326696</v>
          </cell>
          <cell r="H3015">
            <v>36.880000000000003</v>
          </cell>
        </row>
        <row r="3016">
          <cell r="A3016">
            <v>326712</v>
          </cell>
          <cell r="H3016">
            <v>42.43</v>
          </cell>
        </row>
        <row r="3017">
          <cell r="A3017">
            <v>326740</v>
          </cell>
          <cell r="H3017">
            <v>32.81</v>
          </cell>
        </row>
        <row r="3018">
          <cell r="A3018">
            <v>326748</v>
          </cell>
          <cell r="H3018">
            <v>33.86</v>
          </cell>
        </row>
        <row r="3019">
          <cell r="A3019">
            <v>326750</v>
          </cell>
          <cell r="H3019">
            <v>35.450000000000003</v>
          </cell>
        </row>
        <row r="3020">
          <cell r="A3020">
            <v>326751</v>
          </cell>
          <cell r="H3020">
            <v>34.340000000000003</v>
          </cell>
        </row>
        <row r="3021">
          <cell r="A3021">
            <v>326753</v>
          </cell>
          <cell r="H3021">
            <v>37.56</v>
          </cell>
        </row>
        <row r="3022">
          <cell r="A3022">
            <v>326763</v>
          </cell>
          <cell r="H3022">
            <v>38.71</v>
          </cell>
        </row>
        <row r="3023">
          <cell r="A3023">
            <v>326768</v>
          </cell>
          <cell r="H3023">
            <v>42.32</v>
          </cell>
        </row>
        <row r="3024">
          <cell r="A3024">
            <v>326775</v>
          </cell>
          <cell r="H3024">
            <v>40.380000000000003</v>
          </cell>
        </row>
        <row r="3025">
          <cell r="A3025">
            <v>326778</v>
          </cell>
          <cell r="H3025">
            <v>41.43</v>
          </cell>
        </row>
        <row r="3026">
          <cell r="A3026">
            <v>326779</v>
          </cell>
          <cell r="H3026">
            <v>36.97</v>
          </cell>
        </row>
        <row r="3027">
          <cell r="A3027">
            <v>326780</v>
          </cell>
          <cell r="H3027">
            <v>30.21</v>
          </cell>
        </row>
        <row r="3028">
          <cell r="A3028">
            <v>326781</v>
          </cell>
          <cell r="H3028">
            <v>37.5</v>
          </cell>
        </row>
        <row r="3029">
          <cell r="A3029">
            <v>326782</v>
          </cell>
          <cell r="H3029">
            <v>35.590000000000003</v>
          </cell>
        </row>
        <row r="3030">
          <cell r="A3030">
            <v>326789</v>
          </cell>
          <cell r="H3030">
            <v>38.159999999999997</v>
          </cell>
        </row>
        <row r="3031">
          <cell r="A3031">
            <v>326795</v>
          </cell>
          <cell r="H3031">
            <v>37.57</v>
          </cell>
        </row>
        <row r="3032">
          <cell r="A3032">
            <v>326808</v>
          </cell>
          <cell r="H3032">
            <v>38.18</v>
          </cell>
        </row>
        <row r="3033">
          <cell r="A3033">
            <v>326810</v>
          </cell>
          <cell r="H3033">
            <v>40.880000000000003</v>
          </cell>
        </row>
        <row r="3034">
          <cell r="A3034">
            <v>326817</v>
          </cell>
          <cell r="H3034">
            <v>43.25</v>
          </cell>
        </row>
        <row r="3035">
          <cell r="A3035">
            <v>326859</v>
          </cell>
          <cell r="H3035">
            <v>34.729999999999997</v>
          </cell>
        </row>
        <row r="3036">
          <cell r="A3036">
            <v>326996</v>
          </cell>
          <cell r="H3036">
            <v>38.51</v>
          </cell>
        </row>
        <row r="3037">
          <cell r="A3037">
            <v>327011</v>
          </cell>
          <cell r="H3037">
            <v>34.43</v>
          </cell>
        </row>
        <row r="3038">
          <cell r="A3038">
            <v>327026</v>
          </cell>
          <cell r="H3038">
            <v>34.28</v>
          </cell>
        </row>
        <row r="3039">
          <cell r="A3039">
            <v>327033</v>
          </cell>
          <cell r="H3039">
            <v>33.94</v>
          </cell>
        </row>
        <row r="3040">
          <cell r="A3040">
            <v>327035</v>
          </cell>
          <cell r="H3040">
            <v>41.07</v>
          </cell>
        </row>
        <row r="3041">
          <cell r="A3041">
            <v>327059</v>
          </cell>
          <cell r="H3041">
            <v>40.57</v>
          </cell>
        </row>
        <row r="3042">
          <cell r="A3042">
            <v>327075</v>
          </cell>
          <cell r="H3042">
            <v>40.01</v>
          </cell>
        </row>
        <row r="3043">
          <cell r="A3043">
            <v>327081</v>
          </cell>
          <cell r="H3043">
            <v>43.36</v>
          </cell>
        </row>
        <row r="3044">
          <cell r="A3044">
            <v>327092</v>
          </cell>
          <cell r="H3044">
            <v>38</v>
          </cell>
        </row>
        <row r="3045">
          <cell r="A3045">
            <v>327093</v>
          </cell>
          <cell r="H3045">
            <v>37.43</v>
          </cell>
        </row>
        <row r="3046">
          <cell r="A3046">
            <v>327095</v>
          </cell>
          <cell r="H3046">
            <v>34.99</v>
          </cell>
        </row>
        <row r="3047">
          <cell r="A3047">
            <v>327096</v>
          </cell>
          <cell r="H3047">
            <v>35.03</v>
          </cell>
        </row>
        <row r="3048">
          <cell r="A3048">
            <v>327097</v>
          </cell>
          <cell r="H3048">
            <v>34.07</v>
          </cell>
        </row>
        <row r="3049">
          <cell r="A3049">
            <v>327098</v>
          </cell>
          <cell r="H3049">
            <v>32.6</v>
          </cell>
        </row>
        <row r="3050">
          <cell r="A3050">
            <v>327100</v>
          </cell>
          <cell r="H3050">
            <v>28.48</v>
          </cell>
        </row>
        <row r="3051">
          <cell r="A3051">
            <v>327101</v>
          </cell>
          <cell r="H3051">
            <v>28.08</v>
          </cell>
        </row>
        <row r="3052">
          <cell r="A3052">
            <v>327104</v>
          </cell>
          <cell r="H3052">
            <v>38.17</v>
          </cell>
        </row>
        <row r="3053">
          <cell r="A3053">
            <v>327107</v>
          </cell>
          <cell r="H3053">
            <v>38.18</v>
          </cell>
        </row>
        <row r="3054">
          <cell r="A3054">
            <v>327108</v>
          </cell>
          <cell r="H3054">
            <v>37.700000000000003</v>
          </cell>
        </row>
        <row r="3055">
          <cell r="A3055">
            <v>327116</v>
          </cell>
          <cell r="H3055">
            <v>33.49</v>
          </cell>
        </row>
        <row r="3056">
          <cell r="A3056">
            <v>327158</v>
          </cell>
          <cell r="H3056">
            <v>34.46</v>
          </cell>
        </row>
        <row r="3057">
          <cell r="A3057">
            <v>327165</v>
          </cell>
          <cell r="H3057">
            <v>34.24</v>
          </cell>
        </row>
        <row r="3058">
          <cell r="A3058">
            <v>327178</v>
          </cell>
          <cell r="H3058">
            <v>28.83</v>
          </cell>
        </row>
        <row r="3059">
          <cell r="A3059">
            <v>327181</v>
          </cell>
          <cell r="H3059">
            <v>31.9</v>
          </cell>
        </row>
        <row r="3060">
          <cell r="A3060">
            <v>327182</v>
          </cell>
          <cell r="H3060">
            <v>27.69</v>
          </cell>
        </row>
        <row r="3061">
          <cell r="A3061">
            <v>327183</v>
          </cell>
          <cell r="H3061">
            <v>36.590000000000003</v>
          </cell>
        </row>
        <row r="3062">
          <cell r="A3062">
            <v>327184</v>
          </cell>
          <cell r="H3062">
            <v>26.72</v>
          </cell>
        </row>
        <row r="3063">
          <cell r="A3063">
            <v>327185</v>
          </cell>
          <cell r="H3063">
            <v>42.7</v>
          </cell>
        </row>
        <row r="3064">
          <cell r="A3064">
            <v>327189</v>
          </cell>
          <cell r="H3064">
            <v>33.020000000000003</v>
          </cell>
        </row>
        <row r="3065">
          <cell r="A3065">
            <v>327198</v>
          </cell>
          <cell r="H3065">
            <v>34.44</v>
          </cell>
        </row>
        <row r="3066">
          <cell r="A3066">
            <v>327200</v>
          </cell>
          <cell r="H3066">
            <v>33.450000000000003</v>
          </cell>
        </row>
        <row r="3067">
          <cell r="A3067">
            <v>327206</v>
          </cell>
          <cell r="H3067">
            <v>40.909999999999997</v>
          </cell>
        </row>
        <row r="3068">
          <cell r="A3068">
            <v>327211</v>
          </cell>
          <cell r="H3068">
            <v>35.909999999999997</v>
          </cell>
        </row>
        <row r="3069">
          <cell r="A3069">
            <v>327232</v>
          </cell>
          <cell r="H3069">
            <v>33.450000000000003</v>
          </cell>
        </row>
        <row r="3070">
          <cell r="A3070">
            <v>327237</v>
          </cell>
          <cell r="H3070">
            <v>37.94</v>
          </cell>
        </row>
        <row r="3071">
          <cell r="A3071">
            <v>327238</v>
          </cell>
          <cell r="H3071">
            <v>36.04</v>
          </cell>
        </row>
        <row r="3072">
          <cell r="A3072">
            <v>327239</v>
          </cell>
          <cell r="H3072">
            <v>36.049999999999997</v>
          </cell>
        </row>
        <row r="3073">
          <cell r="A3073">
            <v>327240</v>
          </cell>
          <cell r="H3073">
            <v>33.43</v>
          </cell>
        </row>
        <row r="3074">
          <cell r="A3074">
            <v>327241</v>
          </cell>
          <cell r="H3074">
            <v>33.58</v>
          </cell>
        </row>
        <row r="3075">
          <cell r="A3075">
            <v>327242</v>
          </cell>
          <cell r="H3075">
            <v>34.82</v>
          </cell>
        </row>
        <row r="3076">
          <cell r="A3076">
            <v>327243</v>
          </cell>
          <cell r="H3076">
            <v>33.71</v>
          </cell>
        </row>
        <row r="3077">
          <cell r="A3077">
            <v>327255</v>
          </cell>
          <cell r="H3077">
            <v>31</v>
          </cell>
        </row>
        <row r="3078">
          <cell r="A3078">
            <v>327258</v>
          </cell>
          <cell r="H3078">
            <v>38.18</v>
          </cell>
        </row>
        <row r="3079">
          <cell r="A3079">
            <v>327270</v>
          </cell>
          <cell r="H3079">
            <v>35.159999999999997</v>
          </cell>
        </row>
        <row r="3080">
          <cell r="A3080">
            <v>327307</v>
          </cell>
          <cell r="H3080">
            <v>34.369999999999997</v>
          </cell>
        </row>
        <row r="3081">
          <cell r="A3081">
            <v>327327</v>
          </cell>
          <cell r="H3081">
            <v>29.07</v>
          </cell>
        </row>
        <row r="3082">
          <cell r="A3082">
            <v>327330</v>
          </cell>
          <cell r="H3082">
            <v>34.49</v>
          </cell>
        </row>
        <row r="3083">
          <cell r="A3083">
            <v>327333</v>
          </cell>
          <cell r="H3083">
            <v>27.67</v>
          </cell>
        </row>
        <row r="3084">
          <cell r="A3084">
            <v>327334</v>
          </cell>
          <cell r="H3084">
            <v>27.24</v>
          </cell>
        </row>
        <row r="3085">
          <cell r="A3085">
            <v>327335</v>
          </cell>
          <cell r="H3085">
            <v>33.51</v>
          </cell>
        </row>
        <row r="3086">
          <cell r="A3086">
            <v>327353</v>
          </cell>
          <cell r="H3086">
            <v>41.04</v>
          </cell>
        </row>
        <row r="3087">
          <cell r="A3087">
            <v>327361</v>
          </cell>
          <cell r="H3087">
            <v>37.950000000000003</v>
          </cell>
        </row>
        <row r="3088">
          <cell r="A3088">
            <v>327372</v>
          </cell>
          <cell r="H3088">
            <v>37.729999999999997</v>
          </cell>
        </row>
        <row r="3089">
          <cell r="A3089">
            <v>327385</v>
          </cell>
          <cell r="H3089">
            <v>33.71</v>
          </cell>
        </row>
        <row r="3090">
          <cell r="A3090">
            <v>327386</v>
          </cell>
          <cell r="H3090">
            <v>35.11</v>
          </cell>
        </row>
        <row r="3091">
          <cell r="A3091">
            <v>327388</v>
          </cell>
          <cell r="H3091">
            <v>27.6</v>
          </cell>
        </row>
        <row r="3092">
          <cell r="A3092">
            <v>327393</v>
          </cell>
          <cell r="H3092">
            <v>33.22</v>
          </cell>
        </row>
        <row r="3093">
          <cell r="A3093">
            <v>327401</v>
          </cell>
          <cell r="H3093">
            <v>35.57</v>
          </cell>
        </row>
        <row r="3094">
          <cell r="A3094">
            <v>327403</v>
          </cell>
          <cell r="H3094">
            <v>38.1</v>
          </cell>
        </row>
        <row r="3095">
          <cell r="A3095">
            <v>327406</v>
          </cell>
          <cell r="H3095">
            <v>33.79</v>
          </cell>
        </row>
        <row r="3096">
          <cell r="A3096">
            <v>327407</v>
          </cell>
          <cell r="H3096">
            <v>36.04</v>
          </cell>
        </row>
        <row r="3097">
          <cell r="A3097">
            <v>327408</v>
          </cell>
          <cell r="H3097">
            <v>34.49</v>
          </cell>
        </row>
        <row r="3098">
          <cell r="A3098">
            <v>327409</v>
          </cell>
          <cell r="H3098">
            <v>39.01</v>
          </cell>
        </row>
        <row r="3099">
          <cell r="A3099">
            <v>327420</v>
          </cell>
          <cell r="H3099">
            <v>37.82</v>
          </cell>
        </row>
        <row r="3100">
          <cell r="A3100">
            <v>327422</v>
          </cell>
          <cell r="H3100">
            <v>30.02</v>
          </cell>
        </row>
        <row r="3101">
          <cell r="A3101">
            <v>327477</v>
          </cell>
          <cell r="H3101">
            <v>35.659999999999997</v>
          </cell>
        </row>
        <row r="3102">
          <cell r="A3102">
            <v>327494</v>
          </cell>
          <cell r="H3102">
            <v>29.15</v>
          </cell>
        </row>
        <row r="3103">
          <cell r="A3103">
            <v>327496</v>
          </cell>
          <cell r="H3103">
            <v>27.41</v>
          </cell>
        </row>
        <row r="3104">
          <cell r="A3104">
            <v>327514</v>
          </cell>
          <cell r="H3104">
            <v>34.880000000000003</v>
          </cell>
        </row>
        <row r="3105">
          <cell r="A3105">
            <v>327516</v>
          </cell>
          <cell r="H3105">
            <v>33.9</v>
          </cell>
        </row>
        <row r="3106">
          <cell r="A3106">
            <v>327517</v>
          </cell>
          <cell r="H3106">
            <v>27.67</v>
          </cell>
        </row>
        <row r="3107">
          <cell r="A3107">
            <v>327518</v>
          </cell>
          <cell r="H3107">
            <v>30.26</v>
          </cell>
        </row>
        <row r="3108">
          <cell r="A3108">
            <v>327524</v>
          </cell>
          <cell r="H3108">
            <v>29.92</v>
          </cell>
        </row>
        <row r="3109">
          <cell r="A3109">
            <v>327537</v>
          </cell>
          <cell r="H3109">
            <v>41.04</v>
          </cell>
        </row>
        <row r="3110">
          <cell r="A3110">
            <v>327547</v>
          </cell>
          <cell r="H3110">
            <v>38.61</v>
          </cell>
        </row>
        <row r="3111">
          <cell r="A3111">
            <v>327549</v>
          </cell>
          <cell r="H3111">
            <v>34.979999999999997</v>
          </cell>
        </row>
        <row r="3112">
          <cell r="A3112">
            <v>327567</v>
          </cell>
          <cell r="H3112">
            <v>33.36</v>
          </cell>
        </row>
        <row r="3113">
          <cell r="A3113">
            <v>327572</v>
          </cell>
          <cell r="H3113">
            <v>38</v>
          </cell>
        </row>
        <row r="3114">
          <cell r="A3114">
            <v>327574</v>
          </cell>
          <cell r="H3114">
            <v>33.65</v>
          </cell>
        </row>
        <row r="3115">
          <cell r="A3115">
            <v>327575</v>
          </cell>
          <cell r="H3115">
            <v>33.72</v>
          </cell>
        </row>
        <row r="3116">
          <cell r="A3116">
            <v>327576</v>
          </cell>
          <cell r="H3116">
            <v>35.94</v>
          </cell>
        </row>
        <row r="3117">
          <cell r="A3117">
            <v>327577</v>
          </cell>
          <cell r="H3117">
            <v>30.29</v>
          </cell>
        </row>
        <row r="3118">
          <cell r="A3118">
            <v>327578</v>
          </cell>
          <cell r="H3118">
            <v>40.68</v>
          </cell>
        </row>
        <row r="3119">
          <cell r="A3119">
            <v>327589</v>
          </cell>
          <cell r="H3119">
            <v>30.46</v>
          </cell>
        </row>
        <row r="3120">
          <cell r="A3120">
            <v>327593</v>
          </cell>
          <cell r="H3120">
            <v>41.06</v>
          </cell>
        </row>
        <row r="3121">
          <cell r="A3121">
            <v>327648</v>
          </cell>
          <cell r="H3121">
            <v>34.869999999999997</v>
          </cell>
        </row>
        <row r="3122">
          <cell r="A3122">
            <v>327649</v>
          </cell>
          <cell r="H3122">
            <v>36.770000000000003</v>
          </cell>
        </row>
        <row r="3123">
          <cell r="A3123">
            <v>327656</v>
          </cell>
          <cell r="H3123">
            <v>39.229999999999997</v>
          </cell>
        </row>
        <row r="3124">
          <cell r="A3124">
            <v>327679</v>
          </cell>
          <cell r="H3124">
            <v>35.020000000000003</v>
          </cell>
        </row>
        <row r="3125">
          <cell r="A3125">
            <v>327683</v>
          </cell>
          <cell r="H3125">
            <v>34.1</v>
          </cell>
        </row>
        <row r="3126">
          <cell r="A3126">
            <v>327686</v>
          </cell>
          <cell r="H3126">
            <v>27.37</v>
          </cell>
        </row>
        <row r="3127">
          <cell r="A3127">
            <v>327687</v>
          </cell>
          <cell r="H3127">
            <v>40.380000000000003</v>
          </cell>
        </row>
        <row r="3128">
          <cell r="A3128">
            <v>327688</v>
          </cell>
          <cell r="H3128">
            <v>34.21</v>
          </cell>
        </row>
        <row r="3129">
          <cell r="A3129">
            <v>327689</v>
          </cell>
          <cell r="H3129">
            <v>27.49</v>
          </cell>
        </row>
        <row r="3130">
          <cell r="A3130">
            <v>327691</v>
          </cell>
          <cell r="H3130">
            <v>34.68</v>
          </cell>
        </row>
        <row r="3131">
          <cell r="A3131">
            <v>327692</v>
          </cell>
          <cell r="H3131">
            <v>30.52</v>
          </cell>
        </row>
        <row r="3132">
          <cell r="A3132">
            <v>327693</v>
          </cell>
          <cell r="H3132">
            <v>40.909999999999997</v>
          </cell>
        </row>
        <row r="3133">
          <cell r="A3133">
            <v>327709</v>
          </cell>
          <cell r="H3133">
            <v>33.15</v>
          </cell>
        </row>
        <row r="3134">
          <cell r="A3134">
            <v>327712</v>
          </cell>
          <cell r="H3134">
            <v>35.659999999999997</v>
          </cell>
        </row>
        <row r="3135">
          <cell r="A3135">
            <v>327716</v>
          </cell>
          <cell r="H3135">
            <v>30.06</v>
          </cell>
        </row>
        <row r="3136">
          <cell r="A3136">
            <v>327727</v>
          </cell>
          <cell r="H3136">
            <v>41.21</v>
          </cell>
        </row>
        <row r="3137">
          <cell r="A3137">
            <v>327734</v>
          </cell>
          <cell r="H3137">
            <v>41.17</v>
          </cell>
        </row>
        <row r="3138">
          <cell r="A3138">
            <v>327736</v>
          </cell>
          <cell r="H3138">
            <v>33.31</v>
          </cell>
        </row>
        <row r="3139">
          <cell r="A3139">
            <v>327740</v>
          </cell>
          <cell r="H3139">
            <v>35.979999999999997</v>
          </cell>
        </row>
        <row r="3140">
          <cell r="A3140">
            <v>327742</v>
          </cell>
          <cell r="H3140">
            <v>33.770000000000003</v>
          </cell>
        </row>
        <row r="3141">
          <cell r="A3141">
            <v>327746</v>
          </cell>
          <cell r="H3141">
            <v>41.11</v>
          </cell>
        </row>
        <row r="3142">
          <cell r="A3142">
            <v>327756</v>
          </cell>
          <cell r="H3142">
            <v>30.27</v>
          </cell>
        </row>
        <row r="3143">
          <cell r="A3143">
            <v>327758</v>
          </cell>
          <cell r="H3143">
            <v>30.24</v>
          </cell>
        </row>
        <row r="3144">
          <cell r="A3144">
            <v>327808</v>
          </cell>
          <cell r="H3144">
            <v>41.76</v>
          </cell>
        </row>
        <row r="3145">
          <cell r="A3145">
            <v>327827</v>
          </cell>
          <cell r="H3145">
            <v>38.69</v>
          </cell>
        </row>
        <row r="3146">
          <cell r="A3146">
            <v>327829</v>
          </cell>
          <cell r="H3146">
            <v>30.25</v>
          </cell>
        </row>
        <row r="3147">
          <cell r="A3147">
            <v>327830</v>
          </cell>
          <cell r="H3147">
            <v>27.8</v>
          </cell>
        </row>
        <row r="3148">
          <cell r="A3148">
            <v>327831</v>
          </cell>
          <cell r="H3148">
            <v>33.770000000000003</v>
          </cell>
        </row>
        <row r="3149">
          <cell r="A3149">
            <v>327832</v>
          </cell>
          <cell r="H3149">
            <v>27.49</v>
          </cell>
        </row>
        <row r="3150">
          <cell r="A3150">
            <v>327833</v>
          </cell>
          <cell r="H3150">
            <v>34.24</v>
          </cell>
        </row>
        <row r="3151">
          <cell r="A3151">
            <v>327837</v>
          </cell>
          <cell r="H3151">
            <v>40.880000000000003</v>
          </cell>
        </row>
        <row r="3152">
          <cell r="A3152">
            <v>327846</v>
          </cell>
          <cell r="H3152">
            <v>36.67</v>
          </cell>
        </row>
        <row r="3153">
          <cell r="A3153">
            <v>327851</v>
          </cell>
          <cell r="H3153">
            <v>33.049999999999997</v>
          </cell>
        </row>
        <row r="3154">
          <cell r="A3154">
            <v>327865</v>
          </cell>
          <cell r="H3154">
            <v>41.26</v>
          </cell>
        </row>
        <row r="3155">
          <cell r="A3155">
            <v>327873</v>
          </cell>
          <cell r="H3155">
            <v>38.409999999999997</v>
          </cell>
        </row>
        <row r="3156">
          <cell r="A3156">
            <v>327874</v>
          </cell>
          <cell r="H3156">
            <v>35.25</v>
          </cell>
        </row>
        <row r="3157">
          <cell r="A3157">
            <v>327880</v>
          </cell>
          <cell r="H3157">
            <v>30</v>
          </cell>
        </row>
        <row r="3158">
          <cell r="A3158">
            <v>327887</v>
          </cell>
          <cell r="H3158">
            <v>38.9</v>
          </cell>
        </row>
        <row r="3159">
          <cell r="A3159">
            <v>327892</v>
          </cell>
          <cell r="H3159">
            <v>40.69</v>
          </cell>
        </row>
        <row r="3160">
          <cell r="A3160">
            <v>327896</v>
          </cell>
          <cell r="H3160">
            <v>33.479999999999997</v>
          </cell>
        </row>
        <row r="3161">
          <cell r="A3161">
            <v>327901</v>
          </cell>
          <cell r="H3161">
            <v>34.89</v>
          </cell>
        </row>
        <row r="3162">
          <cell r="A3162">
            <v>327903</v>
          </cell>
          <cell r="H3162">
            <v>34.15</v>
          </cell>
        </row>
        <row r="3163">
          <cell r="A3163">
            <v>327904</v>
          </cell>
          <cell r="H3163">
            <v>37.49</v>
          </cell>
        </row>
        <row r="3164">
          <cell r="A3164">
            <v>327906</v>
          </cell>
          <cell r="H3164">
            <v>34</v>
          </cell>
        </row>
        <row r="3165">
          <cell r="A3165">
            <v>327908</v>
          </cell>
          <cell r="H3165">
            <v>30.37</v>
          </cell>
        </row>
        <row r="3166">
          <cell r="A3166">
            <v>327919</v>
          </cell>
          <cell r="H3166">
            <v>30.21</v>
          </cell>
        </row>
        <row r="3167">
          <cell r="A3167">
            <v>327922</v>
          </cell>
          <cell r="H3167">
            <v>40.909999999999997</v>
          </cell>
        </row>
        <row r="3168">
          <cell r="A3168">
            <v>327923</v>
          </cell>
          <cell r="H3168">
            <v>29.82</v>
          </cell>
        </row>
        <row r="3169">
          <cell r="A3169">
            <v>326891</v>
          </cell>
          <cell r="H3169">
            <v>40.94</v>
          </cell>
        </row>
        <row r="3170">
          <cell r="A3170">
            <v>326897</v>
          </cell>
          <cell r="H3170">
            <v>32.74</v>
          </cell>
        </row>
        <row r="3171">
          <cell r="A3171">
            <v>326898</v>
          </cell>
          <cell r="H3171">
            <v>37.549999999999997</v>
          </cell>
        </row>
        <row r="3172">
          <cell r="A3172">
            <v>326901</v>
          </cell>
          <cell r="H3172">
            <v>38.04</v>
          </cell>
        </row>
        <row r="3173">
          <cell r="A3173">
            <v>326903</v>
          </cell>
          <cell r="H3173">
            <v>34.9</v>
          </cell>
        </row>
        <row r="3174">
          <cell r="A3174">
            <v>326904</v>
          </cell>
          <cell r="H3174">
            <v>38.17</v>
          </cell>
        </row>
        <row r="3175">
          <cell r="A3175">
            <v>326906</v>
          </cell>
          <cell r="H3175">
            <v>34.06</v>
          </cell>
        </row>
        <row r="3176">
          <cell r="A3176">
            <v>326907</v>
          </cell>
          <cell r="H3176">
            <v>34.32</v>
          </cell>
        </row>
        <row r="3177">
          <cell r="A3177">
            <v>326908</v>
          </cell>
          <cell r="H3177">
            <v>34.869999999999997</v>
          </cell>
        </row>
        <row r="3178">
          <cell r="A3178">
            <v>326927</v>
          </cell>
          <cell r="H3178">
            <v>29.79</v>
          </cell>
        </row>
        <row r="3179">
          <cell r="A3179">
            <v>326930</v>
          </cell>
          <cell r="H3179">
            <v>27.4</v>
          </cell>
        </row>
        <row r="3180">
          <cell r="A3180">
            <v>326933</v>
          </cell>
          <cell r="H3180">
            <v>33.159999999999997</v>
          </cell>
        </row>
        <row r="3181">
          <cell r="A3181">
            <v>326934</v>
          </cell>
          <cell r="H3181">
            <v>41.57</v>
          </cell>
        </row>
        <row r="3182">
          <cell r="A3182">
            <v>326935</v>
          </cell>
          <cell r="H3182">
            <v>37.25</v>
          </cell>
        </row>
        <row r="3183">
          <cell r="A3183">
            <v>326936</v>
          </cell>
          <cell r="H3183">
            <v>37.369999999999997</v>
          </cell>
        </row>
        <row r="3184">
          <cell r="A3184">
            <v>326937</v>
          </cell>
          <cell r="H3184">
            <v>33.81</v>
          </cell>
        </row>
        <row r="3185">
          <cell r="A3185">
            <v>326940</v>
          </cell>
          <cell r="H3185">
            <v>38.159999999999997</v>
          </cell>
        </row>
        <row r="3186">
          <cell r="A3186">
            <v>326954</v>
          </cell>
          <cell r="H3186">
            <v>41.08</v>
          </cell>
        </row>
        <row r="3187">
          <cell r="A3187">
            <v>326955</v>
          </cell>
          <cell r="H3187">
            <v>39.07</v>
          </cell>
        </row>
        <row r="3188">
          <cell r="A3188">
            <v>326961</v>
          </cell>
          <cell r="H3188">
            <v>38.19</v>
          </cell>
        </row>
        <row r="3189">
          <cell r="A3189">
            <v>327976</v>
          </cell>
          <cell r="H3189">
            <v>37.28</v>
          </cell>
        </row>
        <row r="3190">
          <cell r="A3190">
            <v>327977</v>
          </cell>
          <cell r="H3190">
            <v>39.78</v>
          </cell>
        </row>
        <row r="3191">
          <cell r="A3191">
            <v>328014</v>
          </cell>
          <cell r="H3191">
            <v>36.93</v>
          </cell>
        </row>
        <row r="3192">
          <cell r="A3192">
            <v>328017</v>
          </cell>
          <cell r="H3192">
            <v>27.34</v>
          </cell>
        </row>
        <row r="3193">
          <cell r="A3193">
            <v>328019</v>
          </cell>
          <cell r="H3193">
            <v>27.49</v>
          </cell>
        </row>
        <row r="3194">
          <cell r="A3194">
            <v>328020</v>
          </cell>
          <cell r="H3194">
            <v>40.880000000000003</v>
          </cell>
        </row>
        <row r="3195">
          <cell r="A3195">
            <v>328022</v>
          </cell>
          <cell r="H3195">
            <v>32.94</v>
          </cell>
        </row>
        <row r="3196">
          <cell r="A3196">
            <v>328023</v>
          </cell>
          <cell r="H3196">
            <v>36.92</v>
          </cell>
        </row>
        <row r="3197">
          <cell r="A3197">
            <v>328025</v>
          </cell>
          <cell r="H3197">
            <v>35.090000000000003</v>
          </cell>
        </row>
        <row r="3198">
          <cell r="A3198">
            <v>328031</v>
          </cell>
          <cell r="H3198">
            <v>38.1</v>
          </cell>
        </row>
        <row r="3199">
          <cell r="A3199">
            <v>328034</v>
          </cell>
          <cell r="H3199">
            <v>29.92</v>
          </cell>
        </row>
        <row r="3200">
          <cell r="A3200">
            <v>328062</v>
          </cell>
          <cell r="H3200">
            <v>36.409999999999997</v>
          </cell>
        </row>
        <row r="3201">
          <cell r="A3201">
            <v>328067</v>
          </cell>
          <cell r="H3201">
            <v>41.37</v>
          </cell>
        </row>
        <row r="3202">
          <cell r="A3202">
            <v>328068</v>
          </cell>
          <cell r="H3202">
            <v>38.880000000000003</v>
          </cell>
        </row>
        <row r="3203">
          <cell r="A3203">
            <v>328075</v>
          </cell>
          <cell r="H3203">
            <v>35.17</v>
          </cell>
        </row>
        <row r="3204">
          <cell r="A3204">
            <v>328076</v>
          </cell>
          <cell r="H3204">
            <v>33.9</v>
          </cell>
        </row>
        <row r="3205">
          <cell r="A3205">
            <v>328077</v>
          </cell>
          <cell r="H3205">
            <v>41.83</v>
          </cell>
        </row>
        <row r="3206">
          <cell r="A3206">
            <v>328078</v>
          </cell>
          <cell r="H3206">
            <v>33.770000000000003</v>
          </cell>
        </row>
        <row r="3207">
          <cell r="A3207">
            <v>328079</v>
          </cell>
          <cell r="H3207">
            <v>34.11</v>
          </cell>
        </row>
        <row r="3208">
          <cell r="A3208">
            <v>328081</v>
          </cell>
          <cell r="H3208">
            <v>30.54</v>
          </cell>
        </row>
        <row r="3209">
          <cell r="A3209">
            <v>328082</v>
          </cell>
          <cell r="H3209">
            <v>30.39</v>
          </cell>
        </row>
        <row r="3210">
          <cell r="A3210">
            <v>328104</v>
          </cell>
          <cell r="H3210">
            <v>36.1</v>
          </cell>
        </row>
        <row r="3211">
          <cell r="A3211">
            <v>328105</v>
          </cell>
          <cell r="H3211">
            <v>36.99</v>
          </cell>
        </row>
        <row r="3212">
          <cell r="A3212">
            <v>328106</v>
          </cell>
          <cell r="H3212">
            <v>34.56</v>
          </cell>
        </row>
        <row r="3213">
          <cell r="A3213">
            <v>328113</v>
          </cell>
          <cell r="H3213">
            <v>38.31</v>
          </cell>
        </row>
        <row r="3214">
          <cell r="A3214">
            <v>328164</v>
          </cell>
          <cell r="H3214">
            <v>29.95</v>
          </cell>
        </row>
        <row r="3215">
          <cell r="A3215">
            <v>328168</v>
          </cell>
          <cell r="H3215">
            <v>32.97</v>
          </cell>
        </row>
        <row r="3216">
          <cell r="A3216">
            <v>328180</v>
          </cell>
          <cell r="H3216">
            <v>35.6</v>
          </cell>
        </row>
        <row r="3217">
          <cell r="A3217">
            <v>328191</v>
          </cell>
          <cell r="H3217">
            <v>35.54</v>
          </cell>
        </row>
        <row r="3218">
          <cell r="A3218">
            <v>328199</v>
          </cell>
          <cell r="H3218">
            <v>34.450000000000003</v>
          </cell>
        </row>
        <row r="3219">
          <cell r="A3219">
            <v>328201</v>
          </cell>
          <cell r="H3219">
            <v>36.840000000000003</v>
          </cell>
        </row>
        <row r="3220">
          <cell r="A3220">
            <v>328220</v>
          </cell>
          <cell r="H3220">
            <v>34.39</v>
          </cell>
        </row>
        <row r="3221">
          <cell r="A3221">
            <v>328222</v>
          </cell>
          <cell r="H3221">
            <v>35.479999999999997</v>
          </cell>
        </row>
        <row r="3222">
          <cell r="A3222">
            <v>328225</v>
          </cell>
          <cell r="H3222">
            <v>27.34</v>
          </cell>
        </row>
        <row r="3223">
          <cell r="A3223">
            <v>328226</v>
          </cell>
          <cell r="H3223">
            <v>34.33</v>
          </cell>
        </row>
        <row r="3224">
          <cell r="A3224">
            <v>328227</v>
          </cell>
          <cell r="H3224">
            <v>30.52</v>
          </cell>
        </row>
        <row r="3225">
          <cell r="A3225">
            <v>328228</v>
          </cell>
          <cell r="H3225">
            <v>36.75</v>
          </cell>
        </row>
        <row r="3226">
          <cell r="A3226">
            <v>328229</v>
          </cell>
          <cell r="H3226">
            <v>31.83</v>
          </cell>
        </row>
        <row r="3227">
          <cell r="A3227">
            <v>328230</v>
          </cell>
          <cell r="H3227">
            <v>33.39</v>
          </cell>
        </row>
        <row r="3228">
          <cell r="A3228">
            <v>328231</v>
          </cell>
          <cell r="H3228">
            <v>37.57</v>
          </cell>
        </row>
        <row r="3229">
          <cell r="A3229">
            <v>328236</v>
          </cell>
          <cell r="H3229">
            <v>29.98</v>
          </cell>
        </row>
        <row r="3230">
          <cell r="A3230">
            <v>328237</v>
          </cell>
          <cell r="H3230">
            <v>40.58</v>
          </cell>
        </row>
        <row r="3231">
          <cell r="A3231">
            <v>328243</v>
          </cell>
          <cell r="H3231">
            <v>30.14</v>
          </cell>
        </row>
        <row r="3232">
          <cell r="A3232">
            <v>328244</v>
          </cell>
          <cell r="H3232">
            <v>33.07</v>
          </cell>
        </row>
        <row r="3233">
          <cell r="A3233">
            <v>328247</v>
          </cell>
          <cell r="H3233">
            <v>40.89</v>
          </cell>
        </row>
        <row r="3234">
          <cell r="A3234">
            <v>328248</v>
          </cell>
          <cell r="H3234">
            <v>38.21</v>
          </cell>
        </row>
        <row r="3235">
          <cell r="A3235">
            <v>328290</v>
          </cell>
          <cell r="H3235">
            <v>35.85</v>
          </cell>
        </row>
        <row r="3236">
          <cell r="A3236">
            <v>328295</v>
          </cell>
          <cell r="H3236">
            <v>34.42</v>
          </cell>
        </row>
        <row r="3237">
          <cell r="A3237">
            <v>328327</v>
          </cell>
          <cell r="H3237">
            <v>26.83</v>
          </cell>
        </row>
        <row r="3238">
          <cell r="A3238">
            <v>328331</v>
          </cell>
          <cell r="H3238">
            <v>27.33</v>
          </cell>
        </row>
        <row r="3239">
          <cell r="A3239">
            <v>328342</v>
          </cell>
          <cell r="H3239">
            <v>37.96</v>
          </cell>
        </row>
        <row r="3240">
          <cell r="A3240">
            <v>328343</v>
          </cell>
          <cell r="H3240">
            <v>37.450000000000003</v>
          </cell>
        </row>
        <row r="3241">
          <cell r="A3241">
            <v>328346</v>
          </cell>
          <cell r="H3241">
            <v>30.48</v>
          </cell>
        </row>
        <row r="3242">
          <cell r="A3242">
            <v>328347</v>
          </cell>
          <cell r="H3242">
            <v>29.26</v>
          </cell>
        </row>
        <row r="3243">
          <cell r="A3243">
            <v>328351</v>
          </cell>
          <cell r="H3243">
            <v>34.33</v>
          </cell>
        </row>
        <row r="3244">
          <cell r="A3244">
            <v>328366</v>
          </cell>
          <cell r="H3244">
            <v>38.35</v>
          </cell>
        </row>
        <row r="3245">
          <cell r="A3245">
            <v>328369</v>
          </cell>
          <cell r="H3245">
            <v>37.200000000000003</v>
          </cell>
        </row>
        <row r="3246">
          <cell r="A3246">
            <v>328376</v>
          </cell>
          <cell r="H3246">
            <v>33.58</v>
          </cell>
        </row>
        <row r="3247">
          <cell r="A3247">
            <v>328377</v>
          </cell>
          <cell r="H3247">
            <v>35.4</v>
          </cell>
        </row>
        <row r="3248">
          <cell r="A3248">
            <v>328383</v>
          </cell>
          <cell r="H3248">
            <v>33.17</v>
          </cell>
        </row>
        <row r="3249">
          <cell r="A3249">
            <v>328384</v>
          </cell>
          <cell r="H3249">
            <v>34.06</v>
          </cell>
        </row>
        <row r="3250">
          <cell r="A3250">
            <v>328386</v>
          </cell>
          <cell r="H3250">
            <v>36.17</v>
          </cell>
        </row>
        <row r="3251">
          <cell r="A3251">
            <v>328388</v>
          </cell>
          <cell r="H3251">
            <v>38.39</v>
          </cell>
        </row>
        <row r="3252">
          <cell r="A3252">
            <v>328389</v>
          </cell>
          <cell r="H3252">
            <v>33.340000000000003</v>
          </cell>
        </row>
        <row r="3253">
          <cell r="A3253">
            <v>328390</v>
          </cell>
          <cell r="H3253">
            <v>26.95</v>
          </cell>
        </row>
        <row r="3254">
          <cell r="A3254">
            <v>328391</v>
          </cell>
          <cell r="H3254">
            <v>28.78</v>
          </cell>
        </row>
        <row r="3255">
          <cell r="A3255">
            <v>328392</v>
          </cell>
          <cell r="H3255">
            <v>38.75</v>
          </cell>
        </row>
        <row r="3256">
          <cell r="A3256">
            <v>328393</v>
          </cell>
          <cell r="H3256">
            <v>30.78</v>
          </cell>
        </row>
        <row r="3257">
          <cell r="A3257">
            <v>328394</v>
          </cell>
          <cell r="H3257">
            <v>35.340000000000003</v>
          </cell>
        </row>
        <row r="3258">
          <cell r="A3258">
            <v>328395</v>
          </cell>
          <cell r="H3258">
            <v>30.24</v>
          </cell>
        </row>
        <row r="3259">
          <cell r="A3259">
            <v>328396</v>
          </cell>
          <cell r="H3259">
            <v>33.42</v>
          </cell>
        </row>
        <row r="3260">
          <cell r="A3260">
            <v>328397</v>
          </cell>
          <cell r="H3260">
            <v>34.369999999999997</v>
          </cell>
        </row>
        <row r="3261">
          <cell r="A3261">
            <v>328398</v>
          </cell>
          <cell r="H3261">
            <v>37.9</v>
          </cell>
        </row>
        <row r="3262">
          <cell r="A3262">
            <v>328405</v>
          </cell>
          <cell r="H3262">
            <v>30.09</v>
          </cell>
        </row>
        <row r="3263">
          <cell r="A3263">
            <v>328406</v>
          </cell>
          <cell r="H3263">
            <v>30.38</v>
          </cell>
        </row>
        <row r="3264">
          <cell r="A3264">
            <v>328416</v>
          </cell>
          <cell r="H3264">
            <v>38.19</v>
          </cell>
        </row>
        <row r="3265">
          <cell r="A3265">
            <v>328418</v>
          </cell>
          <cell r="H3265">
            <v>34.21</v>
          </cell>
        </row>
        <row r="3266">
          <cell r="A3266">
            <v>328436</v>
          </cell>
          <cell r="H3266">
            <v>36.130000000000003</v>
          </cell>
        </row>
        <row r="3267">
          <cell r="A3267">
            <v>328437</v>
          </cell>
          <cell r="H3267">
            <v>38.32</v>
          </cell>
        </row>
        <row r="3268">
          <cell r="A3268">
            <v>328456</v>
          </cell>
          <cell r="H3268">
            <v>37.06</v>
          </cell>
        </row>
        <row r="3269">
          <cell r="A3269">
            <v>328480</v>
          </cell>
          <cell r="H3269">
            <v>29.3</v>
          </cell>
        </row>
        <row r="3270">
          <cell r="A3270">
            <v>328483</v>
          </cell>
          <cell r="H3270">
            <v>27.68</v>
          </cell>
        </row>
        <row r="3271">
          <cell r="A3271">
            <v>324832</v>
          </cell>
          <cell r="H3271">
            <v>31.77</v>
          </cell>
        </row>
        <row r="3272">
          <cell r="A3272">
            <v>324850</v>
          </cell>
          <cell r="H3272">
            <v>38.14</v>
          </cell>
        </row>
        <row r="3273">
          <cell r="A3273">
            <v>324892</v>
          </cell>
          <cell r="H3273">
            <v>32.299999999999997</v>
          </cell>
        </row>
        <row r="3274">
          <cell r="A3274">
            <v>324893</v>
          </cell>
          <cell r="H3274">
            <v>37.03</v>
          </cell>
        </row>
        <row r="3275">
          <cell r="A3275">
            <v>325723</v>
          </cell>
          <cell r="H3275">
            <v>37.96</v>
          </cell>
        </row>
        <row r="3276">
          <cell r="A3276">
            <v>326460</v>
          </cell>
          <cell r="H3276">
            <v>44.02</v>
          </cell>
        </row>
        <row r="3277">
          <cell r="A3277">
            <v>326461</v>
          </cell>
          <cell r="H3277">
            <v>34.6</v>
          </cell>
        </row>
        <row r="3278">
          <cell r="A3278">
            <v>328489</v>
          </cell>
          <cell r="H3278">
            <v>33.28</v>
          </cell>
        </row>
        <row r="3279">
          <cell r="A3279">
            <v>328497</v>
          </cell>
          <cell r="H3279">
            <v>30.13</v>
          </cell>
        </row>
        <row r="3280">
          <cell r="A3280">
            <v>328500</v>
          </cell>
          <cell r="H3280">
            <v>33.65</v>
          </cell>
        </row>
        <row r="3281">
          <cell r="A3281">
            <v>328514</v>
          </cell>
          <cell r="H3281">
            <v>34.299999999999997</v>
          </cell>
        </row>
        <row r="3282">
          <cell r="A3282">
            <v>328516</v>
          </cell>
          <cell r="H3282">
            <v>35.86</v>
          </cell>
        </row>
        <row r="3283">
          <cell r="A3283">
            <v>328536</v>
          </cell>
          <cell r="H3283">
            <v>42.38</v>
          </cell>
        </row>
        <row r="3284">
          <cell r="A3284">
            <v>328542</v>
          </cell>
          <cell r="H3284">
            <v>28.97</v>
          </cell>
        </row>
        <row r="3285">
          <cell r="A3285">
            <v>328548</v>
          </cell>
          <cell r="H3285">
            <v>36.97</v>
          </cell>
        </row>
        <row r="3286">
          <cell r="A3286">
            <v>328549</v>
          </cell>
          <cell r="H3286">
            <v>27.34</v>
          </cell>
        </row>
        <row r="3287">
          <cell r="A3287">
            <v>328550</v>
          </cell>
          <cell r="H3287">
            <v>33.520000000000003</v>
          </cell>
        </row>
        <row r="3288">
          <cell r="A3288">
            <v>328551</v>
          </cell>
          <cell r="H3288">
            <v>30.4</v>
          </cell>
        </row>
        <row r="3289">
          <cell r="A3289">
            <v>328552</v>
          </cell>
          <cell r="H3289">
            <v>30.84</v>
          </cell>
        </row>
        <row r="3290">
          <cell r="A3290">
            <v>328553</v>
          </cell>
          <cell r="H3290">
            <v>28.48</v>
          </cell>
        </row>
        <row r="3291">
          <cell r="A3291">
            <v>328554</v>
          </cell>
          <cell r="H3291">
            <v>37.74</v>
          </cell>
        </row>
        <row r="3292">
          <cell r="A3292">
            <v>328555</v>
          </cell>
          <cell r="H3292">
            <v>39.590000000000003</v>
          </cell>
        </row>
        <row r="3293">
          <cell r="A3293">
            <v>328556</v>
          </cell>
          <cell r="H3293">
            <v>30.2</v>
          </cell>
        </row>
        <row r="3294">
          <cell r="A3294">
            <v>328557</v>
          </cell>
          <cell r="H3294">
            <v>30.25</v>
          </cell>
        </row>
        <row r="3295">
          <cell r="A3295">
            <v>328559</v>
          </cell>
          <cell r="H3295">
            <v>33.119999999999997</v>
          </cell>
        </row>
        <row r="3296">
          <cell r="A3296">
            <v>328566</v>
          </cell>
          <cell r="H3296">
            <v>38.19</v>
          </cell>
        </row>
        <row r="3297">
          <cell r="A3297">
            <v>328567</v>
          </cell>
          <cell r="H3297">
            <v>40.9</v>
          </cell>
        </row>
        <row r="3298">
          <cell r="A3298">
            <v>328603</v>
          </cell>
          <cell r="H3298">
            <v>35.06</v>
          </cell>
        </row>
        <row r="3299">
          <cell r="A3299">
            <v>328612</v>
          </cell>
          <cell r="H3299">
            <v>37.36</v>
          </cell>
        </row>
        <row r="3300">
          <cell r="A3300">
            <v>328616</v>
          </cell>
          <cell r="H3300">
            <v>36.78</v>
          </cell>
        </row>
        <row r="3301">
          <cell r="A3301">
            <v>328617</v>
          </cell>
          <cell r="H3301">
            <v>42.03</v>
          </cell>
        </row>
        <row r="3302">
          <cell r="A3302">
            <v>328636</v>
          </cell>
          <cell r="H3302">
            <v>34.49</v>
          </cell>
        </row>
        <row r="3303">
          <cell r="A3303">
            <v>328641</v>
          </cell>
          <cell r="H3303">
            <v>33.72</v>
          </cell>
        </row>
        <row r="3304">
          <cell r="A3304">
            <v>328656</v>
          </cell>
          <cell r="H3304">
            <v>39.58</v>
          </cell>
        </row>
        <row r="3305">
          <cell r="A3305">
            <v>328658</v>
          </cell>
          <cell r="H3305">
            <v>41.25</v>
          </cell>
        </row>
        <row r="3306">
          <cell r="A3306">
            <v>328661</v>
          </cell>
          <cell r="H3306">
            <v>28.63</v>
          </cell>
        </row>
        <row r="3307">
          <cell r="A3307">
            <v>328662</v>
          </cell>
          <cell r="H3307">
            <v>33.6</v>
          </cell>
        </row>
        <row r="3308">
          <cell r="A3308">
            <v>328663</v>
          </cell>
          <cell r="H3308">
            <v>29.8</v>
          </cell>
        </row>
        <row r="3309">
          <cell r="A3309">
            <v>328665</v>
          </cell>
          <cell r="H3309">
            <v>37.72</v>
          </cell>
        </row>
        <row r="3310">
          <cell r="A3310">
            <v>328668</v>
          </cell>
          <cell r="H3310">
            <v>38.26</v>
          </cell>
        </row>
        <row r="3311">
          <cell r="A3311">
            <v>328669</v>
          </cell>
          <cell r="H3311">
            <v>27.47</v>
          </cell>
        </row>
        <row r="3312">
          <cell r="A3312">
            <v>328670</v>
          </cell>
          <cell r="H3312">
            <v>27.23</v>
          </cell>
        </row>
        <row r="3313">
          <cell r="A3313">
            <v>328671</v>
          </cell>
          <cell r="H3313">
            <v>27.71</v>
          </cell>
        </row>
        <row r="3314">
          <cell r="A3314">
            <v>328689</v>
          </cell>
          <cell r="H3314">
            <v>45.24</v>
          </cell>
        </row>
        <row r="3315">
          <cell r="A3315">
            <v>328691</v>
          </cell>
          <cell r="H3315">
            <v>34.6</v>
          </cell>
        </row>
        <row r="3316">
          <cell r="A3316">
            <v>328692</v>
          </cell>
          <cell r="H3316">
            <v>36.32</v>
          </cell>
        </row>
        <row r="3317">
          <cell r="A3317">
            <v>328693</v>
          </cell>
          <cell r="H3317">
            <v>33.5</v>
          </cell>
        </row>
        <row r="3318">
          <cell r="A3318">
            <v>328694</v>
          </cell>
          <cell r="H3318">
            <v>42.29</v>
          </cell>
        </row>
        <row r="3319">
          <cell r="A3319">
            <v>328699</v>
          </cell>
          <cell r="H3319">
            <v>34.03</v>
          </cell>
        </row>
        <row r="3320">
          <cell r="A3320">
            <v>328702</v>
          </cell>
          <cell r="H3320">
            <v>40.6</v>
          </cell>
        </row>
        <row r="3321">
          <cell r="A3321">
            <v>328706</v>
          </cell>
          <cell r="H3321">
            <v>28.89</v>
          </cell>
        </row>
        <row r="3322">
          <cell r="A3322">
            <v>328707</v>
          </cell>
          <cell r="H3322">
            <v>30.2</v>
          </cell>
        </row>
        <row r="3323">
          <cell r="A3323">
            <v>328712</v>
          </cell>
          <cell r="H3323">
            <v>42.11</v>
          </cell>
        </row>
        <row r="3324">
          <cell r="A3324">
            <v>328713</v>
          </cell>
          <cell r="H3324">
            <v>27.63</v>
          </cell>
        </row>
        <row r="3325">
          <cell r="A3325">
            <v>328714</v>
          </cell>
          <cell r="H3325">
            <v>29.95</v>
          </cell>
        </row>
        <row r="3326">
          <cell r="A3326">
            <v>328715</v>
          </cell>
          <cell r="H3326">
            <v>36.909999999999997</v>
          </cell>
        </row>
        <row r="3327">
          <cell r="A3327">
            <v>328716</v>
          </cell>
          <cell r="H3327">
            <v>36.74</v>
          </cell>
        </row>
        <row r="3328">
          <cell r="A3328">
            <v>328721</v>
          </cell>
          <cell r="H3328">
            <v>30.31</v>
          </cell>
        </row>
        <row r="3329">
          <cell r="A3329">
            <v>328769</v>
          </cell>
          <cell r="H3329">
            <v>33.85</v>
          </cell>
        </row>
        <row r="3330">
          <cell r="A3330">
            <v>328775</v>
          </cell>
          <cell r="H3330">
            <v>26.96</v>
          </cell>
        </row>
        <row r="3331">
          <cell r="A3331">
            <v>328777</v>
          </cell>
          <cell r="H3331">
            <v>36.450000000000003</v>
          </cell>
        </row>
        <row r="3332">
          <cell r="A3332">
            <v>328778</v>
          </cell>
          <cell r="H3332">
            <v>29.45</v>
          </cell>
        </row>
        <row r="3333">
          <cell r="A3333">
            <v>328782</v>
          </cell>
          <cell r="H3333">
            <v>35.119999999999997</v>
          </cell>
        </row>
        <row r="3334">
          <cell r="A3334">
            <v>328801</v>
          </cell>
          <cell r="H3334">
            <v>36.25</v>
          </cell>
        </row>
        <row r="3335">
          <cell r="A3335">
            <v>328802</v>
          </cell>
          <cell r="H3335">
            <v>34.14</v>
          </cell>
        </row>
        <row r="3336">
          <cell r="A3336">
            <v>328804</v>
          </cell>
          <cell r="H3336">
            <v>36.78</v>
          </cell>
        </row>
        <row r="3337">
          <cell r="A3337">
            <v>328805</v>
          </cell>
          <cell r="H3337">
            <v>35.69</v>
          </cell>
        </row>
        <row r="3338">
          <cell r="A3338">
            <v>328810</v>
          </cell>
          <cell r="H3338">
            <v>27.93</v>
          </cell>
        </row>
        <row r="3339">
          <cell r="A3339">
            <v>328811</v>
          </cell>
          <cell r="H3339">
            <v>40.130000000000003</v>
          </cell>
        </row>
        <row r="3340">
          <cell r="A3340">
            <v>328828</v>
          </cell>
          <cell r="H3340">
            <v>40.43</v>
          </cell>
        </row>
        <row r="3341">
          <cell r="A3341">
            <v>328830</v>
          </cell>
          <cell r="H3341">
            <v>43.54</v>
          </cell>
        </row>
        <row r="3342">
          <cell r="A3342">
            <v>328832</v>
          </cell>
          <cell r="H3342">
            <v>38.700000000000003</v>
          </cell>
        </row>
        <row r="3343">
          <cell r="A3343">
            <v>328833</v>
          </cell>
          <cell r="H3343">
            <v>33.590000000000003</v>
          </cell>
        </row>
        <row r="3344">
          <cell r="A3344">
            <v>328834</v>
          </cell>
          <cell r="H3344">
            <v>33.840000000000003</v>
          </cell>
        </row>
        <row r="3345">
          <cell r="A3345">
            <v>328848</v>
          </cell>
          <cell r="H3345">
            <v>30.22</v>
          </cell>
        </row>
        <row r="3346">
          <cell r="A3346">
            <v>328852</v>
          </cell>
          <cell r="H3346">
            <v>36.57</v>
          </cell>
        </row>
        <row r="3347">
          <cell r="A3347">
            <v>328859</v>
          </cell>
          <cell r="H3347">
            <v>33.18</v>
          </cell>
        </row>
        <row r="3348">
          <cell r="A3348">
            <v>328861</v>
          </cell>
          <cell r="H3348">
            <v>33.96</v>
          </cell>
        </row>
        <row r="3349">
          <cell r="A3349">
            <v>328862</v>
          </cell>
          <cell r="H3349">
            <v>34.42</v>
          </cell>
        </row>
        <row r="3350">
          <cell r="A3350">
            <v>328863</v>
          </cell>
          <cell r="H3350">
            <v>28.76</v>
          </cell>
        </row>
        <row r="3351">
          <cell r="A3351">
            <v>328864</v>
          </cell>
          <cell r="H3351">
            <v>37</v>
          </cell>
        </row>
        <row r="3352">
          <cell r="A3352">
            <v>328865</v>
          </cell>
          <cell r="H3352">
            <v>27.98</v>
          </cell>
        </row>
        <row r="3353">
          <cell r="A3353">
            <v>328872</v>
          </cell>
          <cell r="H3353">
            <v>33.15</v>
          </cell>
        </row>
        <row r="3354">
          <cell r="A3354">
            <v>328888</v>
          </cell>
          <cell r="H3354">
            <v>40.25</v>
          </cell>
        </row>
        <row r="3355">
          <cell r="A3355">
            <v>328889</v>
          </cell>
          <cell r="H3355">
            <v>29.83</v>
          </cell>
        </row>
        <row r="3356">
          <cell r="A3356">
            <v>328918</v>
          </cell>
          <cell r="H3356">
            <v>35.15</v>
          </cell>
        </row>
        <row r="3357">
          <cell r="A3357">
            <v>328922</v>
          </cell>
          <cell r="H3357">
            <v>35.47</v>
          </cell>
        </row>
        <row r="3358">
          <cell r="A3358">
            <v>328932</v>
          </cell>
          <cell r="H3358">
            <v>38.61</v>
          </cell>
        </row>
        <row r="3359">
          <cell r="A3359">
            <v>328936</v>
          </cell>
          <cell r="H3359">
            <v>34.07</v>
          </cell>
        </row>
        <row r="3360">
          <cell r="A3360">
            <v>328943</v>
          </cell>
          <cell r="H3360">
            <v>28.38</v>
          </cell>
        </row>
        <row r="3361">
          <cell r="A3361">
            <v>328944</v>
          </cell>
          <cell r="H3361">
            <v>32.29</v>
          </cell>
        </row>
        <row r="3362">
          <cell r="A3362">
            <v>328945</v>
          </cell>
          <cell r="H3362">
            <v>27.6</v>
          </cell>
        </row>
        <row r="3363">
          <cell r="A3363">
            <v>328949</v>
          </cell>
          <cell r="H3363">
            <v>30.63</v>
          </cell>
        </row>
        <row r="3364">
          <cell r="A3364">
            <v>328950</v>
          </cell>
          <cell r="H3364">
            <v>32.39</v>
          </cell>
        </row>
        <row r="3365">
          <cell r="A3365">
            <v>328971</v>
          </cell>
          <cell r="H3365">
            <v>40.270000000000003</v>
          </cell>
        </row>
        <row r="3366">
          <cell r="A3366">
            <v>328976</v>
          </cell>
          <cell r="H3366">
            <v>33.08</v>
          </cell>
        </row>
        <row r="3367">
          <cell r="A3367">
            <v>328983</v>
          </cell>
          <cell r="H3367">
            <v>41.58</v>
          </cell>
        </row>
        <row r="3368">
          <cell r="A3368">
            <v>328991</v>
          </cell>
          <cell r="H3368">
            <v>42.43</v>
          </cell>
        </row>
        <row r="3369">
          <cell r="A3369">
            <v>328996</v>
          </cell>
          <cell r="H3369">
            <v>36.19</v>
          </cell>
        </row>
        <row r="3370">
          <cell r="A3370">
            <v>329000</v>
          </cell>
          <cell r="H3370">
            <v>41.91</v>
          </cell>
        </row>
        <row r="3371">
          <cell r="A3371">
            <v>329005</v>
          </cell>
          <cell r="H3371">
            <v>33.39</v>
          </cell>
        </row>
        <row r="3372">
          <cell r="A3372">
            <v>329007</v>
          </cell>
          <cell r="H3372">
            <v>36.799999999999997</v>
          </cell>
        </row>
        <row r="3373">
          <cell r="A3373">
            <v>329009</v>
          </cell>
          <cell r="H3373">
            <v>34.229999999999997</v>
          </cell>
        </row>
        <row r="3374">
          <cell r="A3374">
            <v>329011</v>
          </cell>
          <cell r="H3374">
            <v>34.69</v>
          </cell>
        </row>
        <row r="3375">
          <cell r="A3375">
            <v>329012</v>
          </cell>
          <cell r="H3375">
            <v>39.880000000000003</v>
          </cell>
        </row>
        <row r="3376">
          <cell r="A3376">
            <v>329014</v>
          </cell>
          <cell r="H3376">
            <v>27.4</v>
          </cell>
        </row>
        <row r="3377">
          <cell r="A3377">
            <v>329015</v>
          </cell>
          <cell r="H3377">
            <v>28.96</v>
          </cell>
        </row>
        <row r="3378">
          <cell r="A3378">
            <v>329016</v>
          </cell>
          <cell r="H3378">
            <v>37.25</v>
          </cell>
        </row>
        <row r="3379">
          <cell r="A3379">
            <v>329035</v>
          </cell>
          <cell r="H3379">
            <v>40.270000000000003</v>
          </cell>
        </row>
        <row r="3380">
          <cell r="A3380">
            <v>329056</v>
          </cell>
          <cell r="H3380">
            <v>33.18</v>
          </cell>
        </row>
        <row r="3381">
          <cell r="A3381">
            <v>329062</v>
          </cell>
          <cell r="H3381">
            <v>38.43</v>
          </cell>
        </row>
        <row r="3382">
          <cell r="A3382">
            <v>329063</v>
          </cell>
          <cell r="H3382">
            <v>36.770000000000003</v>
          </cell>
        </row>
        <row r="3383">
          <cell r="A3383">
            <v>329085</v>
          </cell>
          <cell r="H3383">
            <v>35.47</v>
          </cell>
        </row>
        <row r="3384">
          <cell r="A3384">
            <v>329091</v>
          </cell>
          <cell r="H3384">
            <v>27.02</v>
          </cell>
        </row>
        <row r="3385">
          <cell r="A3385">
            <v>329093</v>
          </cell>
          <cell r="H3385">
            <v>35.93</v>
          </cell>
        </row>
        <row r="3386">
          <cell r="A3386">
            <v>329098</v>
          </cell>
          <cell r="H3386">
            <v>36.18</v>
          </cell>
        </row>
        <row r="3387">
          <cell r="A3387">
            <v>329114</v>
          </cell>
          <cell r="H3387">
            <v>33.25</v>
          </cell>
        </row>
        <row r="3388">
          <cell r="A3388">
            <v>329117</v>
          </cell>
          <cell r="H3388">
            <v>40.47</v>
          </cell>
        </row>
        <row r="3389">
          <cell r="A3389">
            <v>329135</v>
          </cell>
          <cell r="H3389">
            <v>40.26</v>
          </cell>
        </row>
        <row r="3390">
          <cell r="A3390">
            <v>329153</v>
          </cell>
          <cell r="H3390">
            <v>41.37</v>
          </cell>
        </row>
        <row r="3391">
          <cell r="A3391">
            <v>329155</v>
          </cell>
          <cell r="H3391">
            <v>35.44</v>
          </cell>
        </row>
        <row r="3392">
          <cell r="A3392">
            <v>329157</v>
          </cell>
          <cell r="H3392">
            <v>41.69</v>
          </cell>
        </row>
        <row r="3393">
          <cell r="A3393">
            <v>329159</v>
          </cell>
          <cell r="H3393">
            <v>33.89</v>
          </cell>
        </row>
        <row r="3394">
          <cell r="A3394">
            <v>329160</v>
          </cell>
          <cell r="H3394">
            <v>34.64</v>
          </cell>
        </row>
        <row r="3395">
          <cell r="A3395">
            <v>329161</v>
          </cell>
          <cell r="H3395">
            <v>37.869999999999997</v>
          </cell>
        </row>
        <row r="3396">
          <cell r="A3396">
            <v>329162</v>
          </cell>
          <cell r="H3396">
            <v>30.48</v>
          </cell>
        </row>
        <row r="3397">
          <cell r="A3397">
            <v>329163</v>
          </cell>
          <cell r="H3397">
            <v>30.81</v>
          </cell>
        </row>
        <row r="3398">
          <cell r="A3398">
            <v>329164</v>
          </cell>
          <cell r="H3398">
            <v>31.6</v>
          </cell>
        </row>
        <row r="3399">
          <cell r="A3399">
            <v>329165</v>
          </cell>
          <cell r="H3399">
            <v>34.68</v>
          </cell>
        </row>
        <row r="3400">
          <cell r="A3400">
            <v>329166</v>
          </cell>
          <cell r="H3400">
            <v>33.590000000000003</v>
          </cell>
        </row>
        <row r="3401">
          <cell r="A3401">
            <v>329167</v>
          </cell>
          <cell r="H3401">
            <v>34.06</v>
          </cell>
        </row>
        <row r="3402">
          <cell r="A3402">
            <v>329168</v>
          </cell>
          <cell r="H3402">
            <v>34.61</v>
          </cell>
        </row>
        <row r="3403">
          <cell r="A3403">
            <v>329169</v>
          </cell>
          <cell r="H3403">
            <v>28.08</v>
          </cell>
        </row>
        <row r="3404">
          <cell r="A3404">
            <v>329171</v>
          </cell>
          <cell r="H3404">
            <v>33.979999999999997</v>
          </cell>
        </row>
        <row r="3405">
          <cell r="A3405">
            <v>329172</v>
          </cell>
          <cell r="H3405">
            <v>34.47</v>
          </cell>
        </row>
        <row r="3406">
          <cell r="A3406">
            <v>329173</v>
          </cell>
          <cell r="H3406">
            <v>32.65</v>
          </cell>
        </row>
        <row r="3407">
          <cell r="A3407">
            <v>329221</v>
          </cell>
          <cell r="H3407">
            <v>34.46</v>
          </cell>
        </row>
        <row r="3408">
          <cell r="A3408">
            <v>329223</v>
          </cell>
          <cell r="H3408">
            <v>38.520000000000003</v>
          </cell>
        </row>
        <row r="3409">
          <cell r="A3409">
            <v>329230</v>
          </cell>
          <cell r="H3409">
            <v>34.96</v>
          </cell>
        </row>
        <row r="3410">
          <cell r="A3410">
            <v>329236</v>
          </cell>
          <cell r="H3410">
            <v>34.090000000000003</v>
          </cell>
        </row>
        <row r="3411">
          <cell r="A3411">
            <v>329241</v>
          </cell>
          <cell r="H3411">
            <v>37.78</v>
          </cell>
        </row>
        <row r="3412">
          <cell r="A3412">
            <v>329250</v>
          </cell>
          <cell r="H3412">
            <v>33.85</v>
          </cell>
        </row>
        <row r="3413">
          <cell r="A3413">
            <v>329251</v>
          </cell>
          <cell r="H3413">
            <v>30.37</v>
          </cell>
        </row>
        <row r="3414">
          <cell r="A3414">
            <v>329252</v>
          </cell>
          <cell r="H3414">
            <v>34.14</v>
          </cell>
        </row>
        <row r="3415">
          <cell r="A3415">
            <v>329254</v>
          </cell>
          <cell r="H3415">
            <v>35.11</v>
          </cell>
        </row>
        <row r="3416">
          <cell r="A3416">
            <v>329256</v>
          </cell>
          <cell r="H3416">
            <v>41.06</v>
          </cell>
        </row>
        <row r="3417">
          <cell r="A3417">
            <v>329262</v>
          </cell>
          <cell r="H3417">
            <v>34.200000000000003</v>
          </cell>
        </row>
        <row r="3418">
          <cell r="A3418">
            <v>329267</v>
          </cell>
          <cell r="H3418">
            <v>33.1</v>
          </cell>
        </row>
        <row r="3419">
          <cell r="A3419">
            <v>329270</v>
          </cell>
          <cell r="H3419">
            <v>38.64</v>
          </cell>
        </row>
        <row r="3420">
          <cell r="A3420">
            <v>329277</v>
          </cell>
          <cell r="H3420">
            <v>40.4</v>
          </cell>
        </row>
        <row r="3421">
          <cell r="A3421">
            <v>329278</v>
          </cell>
          <cell r="H3421">
            <v>29.88</v>
          </cell>
        </row>
        <row r="3422">
          <cell r="A3422">
            <v>329294</v>
          </cell>
          <cell r="H3422">
            <v>39.35</v>
          </cell>
        </row>
        <row r="3423">
          <cell r="A3423">
            <v>329304</v>
          </cell>
          <cell r="H3423">
            <v>39.74</v>
          </cell>
        </row>
        <row r="3424">
          <cell r="A3424">
            <v>329311</v>
          </cell>
          <cell r="H3424">
            <v>33.200000000000003</v>
          </cell>
        </row>
        <row r="3425">
          <cell r="A3425">
            <v>329313</v>
          </cell>
          <cell r="H3425">
            <v>28.67</v>
          </cell>
        </row>
        <row r="3426">
          <cell r="A3426">
            <v>329314</v>
          </cell>
          <cell r="H3426">
            <v>34.06</v>
          </cell>
        </row>
        <row r="3427">
          <cell r="A3427">
            <v>329315</v>
          </cell>
          <cell r="H3427">
            <v>33.590000000000003</v>
          </cell>
        </row>
        <row r="3428">
          <cell r="A3428">
            <v>329316</v>
          </cell>
          <cell r="H3428">
            <v>34.04</v>
          </cell>
        </row>
        <row r="3429">
          <cell r="A3429">
            <v>329317</v>
          </cell>
          <cell r="H3429">
            <v>27.63</v>
          </cell>
        </row>
        <row r="3430">
          <cell r="A3430">
            <v>329318</v>
          </cell>
          <cell r="H3430">
            <v>31.04</v>
          </cell>
        </row>
        <row r="3431">
          <cell r="A3431">
            <v>329322</v>
          </cell>
          <cell r="H3431">
            <v>40.67</v>
          </cell>
        </row>
        <row r="3432">
          <cell r="A3432">
            <v>329332</v>
          </cell>
          <cell r="H3432">
            <v>38.21</v>
          </cell>
        </row>
        <row r="3433">
          <cell r="A3433">
            <v>329369</v>
          </cell>
          <cell r="H3433">
            <v>34.549999999999997</v>
          </cell>
        </row>
        <row r="3434">
          <cell r="A3434">
            <v>329370</v>
          </cell>
          <cell r="H3434">
            <v>36.57</v>
          </cell>
        </row>
        <row r="3435">
          <cell r="A3435">
            <v>329374</v>
          </cell>
          <cell r="H3435">
            <v>30.31</v>
          </cell>
        </row>
        <row r="3436">
          <cell r="A3436">
            <v>329395</v>
          </cell>
          <cell r="H3436">
            <v>35.57</v>
          </cell>
        </row>
        <row r="3437">
          <cell r="A3437">
            <v>329401</v>
          </cell>
          <cell r="H3437">
            <v>34.19</v>
          </cell>
        </row>
        <row r="3438">
          <cell r="A3438">
            <v>329404</v>
          </cell>
          <cell r="H3438">
            <v>30.03</v>
          </cell>
        </row>
        <row r="3439">
          <cell r="A3439">
            <v>329413</v>
          </cell>
          <cell r="H3439">
            <v>33.159999999999997</v>
          </cell>
        </row>
        <row r="3440">
          <cell r="A3440">
            <v>329415</v>
          </cell>
          <cell r="H3440">
            <v>38.880000000000003</v>
          </cell>
        </row>
        <row r="3441">
          <cell r="A3441">
            <v>329416</v>
          </cell>
          <cell r="H3441">
            <v>40.43</v>
          </cell>
        </row>
        <row r="3442">
          <cell r="A3442">
            <v>329422</v>
          </cell>
          <cell r="H3442">
            <v>33.57</v>
          </cell>
        </row>
        <row r="3443">
          <cell r="A3443">
            <v>329423</v>
          </cell>
          <cell r="H3443">
            <v>27.85</v>
          </cell>
        </row>
        <row r="3444">
          <cell r="A3444">
            <v>329424</v>
          </cell>
          <cell r="H3444">
            <v>34.549999999999997</v>
          </cell>
        </row>
        <row r="3445">
          <cell r="A3445">
            <v>329425</v>
          </cell>
          <cell r="H3445">
            <v>34.020000000000003</v>
          </cell>
        </row>
        <row r="3446">
          <cell r="A3446">
            <v>329427</v>
          </cell>
          <cell r="H3446">
            <v>31.41</v>
          </cell>
        </row>
        <row r="3447">
          <cell r="A3447">
            <v>329428</v>
          </cell>
          <cell r="H3447">
            <v>33.68</v>
          </cell>
        </row>
        <row r="3448">
          <cell r="A3448">
            <v>329434</v>
          </cell>
          <cell r="H3448">
            <v>38.520000000000003</v>
          </cell>
        </row>
        <row r="3449">
          <cell r="A3449">
            <v>329453</v>
          </cell>
          <cell r="H3449">
            <v>40.06</v>
          </cell>
        </row>
        <row r="3450">
          <cell r="A3450">
            <v>329455</v>
          </cell>
          <cell r="H3450">
            <v>38.049999999999997</v>
          </cell>
        </row>
        <row r="3451">
          <cell r="A3451">
            <v>329456</v>
          </cell>
          <cell r="H3451">
            <v>33.9</v>
          </cell>
        </row>
        <row r="3452">
          <cell r="A3452">
            <v>329457</v>
          </cell>
          <cell r="H3452">
            <v>33.5</v>
          </cell>
        </row>
        <row r="3453">
          <cell r="A3453">
            <v>329458</v>
          </cell>
          <cell r="H3453">
            <v>33.31</v>
          </cell>
        </row>
        <row r="3454">
          <cell r="A3454">
            <v>329459</v>
          </cell>
          <cell r="H3454">
            <v>34.72</v>
          </cell>
        </row>
        <row r="3455">
          <cell r="A3455">
            <v>329460</v>
          </cell>
          <cell r="H3455">
            <v>33.36</v>
          </cell>
        </row>
        <row r="3456">
          <cell r="A3456">
            <v>329461</v>
          </cell>
          <cell r="H3456">
            <v>27.52</v>
          </cell>
        </row>
        <row r="3457">
          <cell r="A3457">
            <v>329462</v>
          </cell>
          <cell r="H3457">
            <v>37.380000000000003</v>
          </cell>
        </row>
        <row r="3458">
          <cell r="A3458">
            <v>329465</v>
          </cell>
          <cell r="H3458">
            <v>41.12</v>
          </cell>
        </row>
        <row r="3459">
          <cell r="A3459">
            <v>329468</v>
          </cell>
          <cell r="H3459">
            <v>30.09</v>
          </cell>
        </row>
        <row r="3460">
          <cell r="A3460">
            <v>329471</v>
          </cell>
          <cell r="H3460">
            <v>29.98</v>
          </cell>
        </row>
        <row r="3461">
          <cell r="A3461">
            <v>329472</v>
          </cell>
          <cell r="H3461">
            <v>38.19</v>
          </cell>
        </row>
        <row r="3462">
          <cell r="A3462">
            <v>329477</v>
          </cell>
          <cell r="H3462">
            <v>38.51</v>
          </cell>
        </row>
        <row r="3463">
          <cell r="A3463">
            <v>329513</v>
          </cell>
          <cell r="H3463">
            <v>39.75</v>
          </cell>
        </row>
        <row r="3464">
          <cell r="A3464">
            <v>329514</v>
          </cell>
          <cell r="H3464">
            <v>34.659999999999997</v>
          </cell>
        </row>
        <row r="3465">
          <cell r="A3465">
            <v>329515</v>
          </cell>
          <cell r="H3465">
            <v>35.86</v>
          </cell>
        </row>
        <row r="3466">
          <cell r="A3466">
            <v>329525</v>
          </cell>
          <cell r="H3466">
            <v>33.979999999999997</v>
          </cell>
        </row>
        <row r="3467">
          <cell r="A3467">
            <v>329530</v>
          </cell>
          <cell r="H3467">
            <v>36.81</v>
          </cell>
        </row>
        <row r="3468">
          <cell r="A3468">
            <v>329562</v>
          </cell>
          <cell r="H3468">
            <v>34.51</v>
          </cell>
        </row>
        <row r="3469">
          <cell r="A3469">
            <v>329563</v>
          </cell>
          <cell r="H3469">
            <v>39.5</v>
          </cell>
        </row>
        <row r="3470">
          <cell r="A3470">
            <v>329564</v>
          </cell>
          <cell r="H3470">
            <v>38.21</v>
          </cell>
        </row>
        <row r="3471">
          <cell r="A3471">
            <v>329571</v>
          </cell>
          <cell r="H3471">
            <v>27.98</v>
          </cell>
        </row>
        <row r="3472">
          <cell r="A3472">
            <v>329572</v>
          </cell>
          <cell r="H3472">
            <v>34.86</v>
          </cell>
        </row>
        <row r="3473">
          <cell r="A3473">
            <v>329573</v>
          </cell>
          <cell r="H3473">
            <v>30.76</v>
          </cell>
        </row>
        <row r="3474">
          <cell r="A3474">
            <v>329574</v>
          </cell>
          <cell r="H3474">
            <v>27.04</v>
          </cell>
        </row>
        <row r="3475">
          <cell r="A3475">
            <v>329576</v>
          </cell>
          <cell r="H3475">
            <v>33.81</v>
          </cell>
        </row>
        <row r="3476">
          <cell r="A3476">
            <v>329577</v>
          </cell>
          <cell r="H3476">
            <v>36.85</v>
          </cell>
        </row>
        <row r="3477">
          <cell r="A3477">
            <v>329578</v>
          </cell>
          <cell r="H3477">
            <v>37.28</v>
          </cell>
        </row>
        <row r="3478">
          <cell r="A3478">
            <v>329580</v>
          </cell>
          <cell r="H3478">
            <v>30.12</v>
          </cell>
        </row>
        <row r="3479">
          <cell r="A3479">
            <v>329582</v>
          </cell>
          <cell r="H3479">
            <v>33.85</v>
          </cell>
        </row>
        <row r="3480">
          <cell r="A3480">
            <v>329587</v>
          </cell>
          <cell r="H3480">
            <v>39.630000000000003</v>
          </cell>
        </row>
        <row r="3481">
          <cell r="A3481">
            <v>329594</v>
          </cell>
          <cell r="H3481">
            <v>39.76</v>
          </cell>
        </row>
        <row r="3482">
          <cell r="A3482">
            <v>329595</v>
          </cell>
          <cell r="H3482">
            <v>43.12</v>
          </cell>
        </row>
        <row r="3483">
          <cell r="A3483">
            <v>329599</v>
          </cell>
          <cell r="H3483">
            <v>33.950000000000003</v>
          </cell>
        </row>
        <row r="3484">
          <cell r="A3484">
            <v>329600</v>
          </cell>
          <cell r="H3484">
            <v>34.42</v>
          </cell>
        </row>
        <row r="3485">
          <cell r="A3485">
            <v>329606</v>
          </cell>
          <cell r="H3485">
            <v>29.92</v>
          </cell>
        </row>
        <row r="3486">
          <cell r="A3486">
            <v>329607</v>
          </cell>
          <cell r="H3486">
            <v>30.05</v>
          </cell>
        </row>
        <row r="3487">
          <cell r="A3487">
            <v>329608</v>
          </cell>
          <cell r="H3487">
            <v>38.08</v>
          </cell>
        </row>
        <row r="3488">
          <cell r="A3488">
            <v>329655</v>
          </cell>
          <cell r="H3488">
            <v>34.450000000000003</v>
          </cell>
        </row>
        <row r="3489">
          <cell r="A3489">
            <v>329656</v>
          </cell>
          <cell r="H3489">
            <v>38.450000000000003</v>
          </cell>
        </row>
        <row r="3490">
          <cell r="A3490">
            <v>329671</v>
          </cell>
          <cell r="H3490">
            <v>36.26</v>
          </cell>
        </row>
        <row r="3491">
          <cell r="A3491">
            <v>329675</v>
          </cell>
          <cell r="H3491">
            <v>34.229999999999997</v>
          </cell>
        </row>
        <row r="3492">
          <cell r="A3492">
            <v>329683</v>
          </cell>
          <cell r="H3492">
            <v>40.26</v>
          </cell>
        </row>
        <row r="3493">
          <cell r="A3493">
            <v>329684</v>
          </cell>
          <cell r="H3493">
            <v>34.32</v>
          </cell>
        </row>
        <row r="3494">
          <cell r="A3494">
            <v>329686</v>
          </cell>
          <cell r="H3494">
            <v>38.53</v>
          </cell>
        </row>
        <row r="3495">
          <cell r="A3495">
            <v>329693</v>
          </cell>
          <cell r="H3495">
            <v>30.07</v>
          </cell>
        </row>
        <row r="3496">
          <cell r="A3496">
            <v>329695</v>
          </cell>
          <cell r="H3496">
            <v>38.18</v>
          </cell>
        </row>
        <row r="3497">
          <cell r="A3497">
            <v>329707</v>
          </cell>
          <cell r="H3497">
            <v>38.15</v>
          </cell>
        </row>
        <row r="3498">
          <cell r="A3498">
            <v>329714</v>
          </cell>
          <cell r="H3498">
            <v>37.1</v>
          </cell>
        </row>
        <row r="3499">
          <cell r="A3499">
            <v>329716</v>
          </cell>
          <cell r="H3499">
            <v>27.65</v>
          </cell>
        </row>
        <row r="3500">
          <cell r="A3500">
            <v>329717</v>
          </cell>
          <cell r="H3500">
            <v>30.86</v>
          </cell>
        </row>
        <row r="3501">
          <cell r="A3501">
            <v>329718</v>
          </cell>
          <cell r="H3501">
            <v>27.29</v>
          </cell>
        </row>
        <row r="3502">
          <cell r="A3502">
            <v>329730</v>
          </cell>
          <cell r="H3502">
            <v>29.31</v>
          </cell>
        </row>
        <row r="3503">
          <cell r="A3503">
            <v>329733</v>
          </cell>
          <cell r="H3503">
            <v>41.79</v>
          </cell>
        </row>
        <row r="3504">
          <cell r="A3504">
            <v>329737</v>
          </cell>
          <cell r="H3504">
            <v>28.1</v>
          </cell>
        </row>
        <row r="3505">
          <cell r="A3505">
            <v>329740</v>
          </cell>
          <cell r="H3505">
            <v>41.12</v>
          </cell>
        </row>
        <row r="3506">
          <cell r="A3506">
            <v>329755</v>
          </cell>
          <cell r="H3506">
            <v>29.94</v>
          </cell>
        </row>
        <row r="3507">
          <cell r="A3507">
            <v>329767</v>
          </cell>
          <cell r="H3507">
            <v>29.92</v>
          </cell>
        </row>
        <row r="3508">
          <cell r="A3508">
            <v>329810</v>
          </cell>
          <cell r="H3508">
            <v>34.03</v>
          </cell>
        </row>
        <row r="3509">
          <cell r="A3509">
            <v>329821</v>
          </cell>
          <cell r="H3509">
            <v>44.04</v>
          </cell>
        </row>
        <row r="3510">
          <cell r="A3510">
            <v>329826</v>
          </cell>
          <cell r="H3510">
            <v>34.24</v>
          </cell>
        </row>
        <row r="3511">
          <cell r="A3511">
            <v>329837</v>
          </cell>
          <cell r="H3511">
            <v>41.9</v>
          </cell>
        </row>
        <row r="3512">
          <cell r="A3512">
            <v>329843</v>
          </cell>
          <cell r="H3512">
            <v>38.200000000000003</v>
          </cell>
        </row>
        <row r="3513">
          <cell r="A3513">
            <v>329844</v>
          </cell>
          <cell r="H3513">
            <v>29.34</v>
          </cell>
        </row>
        <row r="3514">
          <cell r="A3514">
            <v>329846</v>
          </cell>
          <cell r="H3514">
            <v>40.270000000000003</v>
          </cell>
        </row>
        <row r="3515">
          <cell r="A3515">
            <v>329854</v>
          </cell>
          <cell r="H3515">
            <v>44.21</v>
          </cell>
        </row>
        <row r="3516">
          <cell r="A3516">
            <v>329858</v>
          </cell>
          <cell r="H3516">
            <v>27.47</v>
          </cell>
        </row>
        <row r="3517">
          <cell r="A3517">
            <v>329859</v>
          </cell>
          <cell r="H3517">
            <v>34.369999999999997</v>
          </cell>
        </row>
        <row r="3518">
          <cell r="A3518">
            <v>329861</v>
          </cell>
          <cell r="H3518">
            <v>27.75</v>
          </cell>
        </row>
        <row r="3519">
          <cell r="A3519">
            <v>329863</v>
          </cell>
          <cell r="H3519">
            <v>28.14</v>
          </cell>
        </row>
        <row r="3520">
          <cell r="A3520">
            <v>329865</v>
          </cell>
          <cell r="H3520">
            <v>38.28</v>
          </cell>
        </row>
        <row r="3521">
          <cell r="A3521">
            <v>329866</v>
          </cell>
          <cell r="H3521">
            <v>34.49</v>
          </cell>
        </row>
        <row r="3522">
          <cell r="A3522">
            <v>329870</v>
          </cell>
          <cell r="H3522">
            <v>30.18</v>
          </cell>
        </row>
        <row r="3523">
          <cell r="A3523">
            <v>329872</v>
          </cell>
          <cell r="H3523">
            <v>33.53</v>
          </cell>
        </row>
        <row r="3524">
          <cell r="A3524">
            <v>329874</v>
          </cell>
          <cell r="H3524">
            <v>29.98</v>
          </cell>
        </row>
        <row r="3525">
          <cell r="A3525">
            <v>329878</v>
          </cell>
          <cell r="H3525">
            <v>44.15</v>
          </cell>
        </row>
        <row r="3526">
          <cell r="A3526">
            <v>329883</v>
          </cell>
          <cell r="H3526">
            <v>27.13</v>
          </cell>
        </row>
        <row r="3527">
          <cell r="A3527">
            <v>329884</v>
          </cell>
          <cell r="H3527">
            <v>41.83</v>
          </cell>
        </row>
        <row r="3528">
          <cell r="A3528">
            <v>329885</v>
          </cell>
          <cell r="H3528">
            <v>45.89</v>
          </cell>
        </row>
        <row r="3529">
          <cell r="A3529">
            <v>329886</v>
          </cell>
          <cell r="H3529">
            <v>27.66</v>
          </cell>
        </row>
        <row r="3530">
          <cell r="A3530">
            <v>329889</v>
          </cell>
          <cell r="H3530">
            <v>43.03</v>
          </cell>
        </row>
        <row r="3531">
          <cell r="A3531">
            <v>329891</v>
          </cell>
          <cell r="H3531">
            <v>29.65</v>
          </cell>
        </row>
        <row r="3532">
          <cell r="A3532">
            <v>329893</v>
          </cell>
          <cell r="H3532">
            <v>27.04</v>
          </cell>
        </row>
        <row r="3533">
          <cell r="A3533">
            <v>329894</v>
          </cell>
          <cell r="H3533">
            <v>37.92</v>
          </cell>
        </row>
        <row r="3534">
          <cell r="A3534">
            <v>329895</v>
          </cell>
          <cell r="H3534">
            <v>29.89</v>
          </cell>
        </row>
        <row r="3535">
          <cell r="A3535">
            <v>329903</v>
          </cell>
          <cell r="H3535">
            <v>38.79</v>
          </cell>
        </row>
        <row r="3536">
          <cell r="A3536">
            <v>329949</v>
          </cell>
          <cell r="H3536">
            <v>37.92</v>
          </cell>
        </row>
        <row r="3537">
          <cell r="A3537">
            <v>329951</v>
          </cell>
          <cell r="H3537">
            <v>33.72</v>
          </cell>
        </row>
        <row r="3538">
          <cell r="A3538">
            <v>329952</v>
          </cell>
          <cell r="H3538">
            <v>41.23</v>
          </cell>
        </row>
        <row r="3539">
          <cell r="A3539">
            <v>329969</v>
          </cell>
          <cell r="H3539">
            <v>36.31</v>
          </cell>
        </row>
        <row r="3540">
          <cell r="A3540">
            <v>329972</v>
          </cell>
          <cell r="H3540">
            <v>29.43</v>
          </cell>
        </row>
        <row r="3541">
          <cell r="A3541">
            <v>329979</v>
          </cell>
          <cell r="H3541">
            <v>40.43</v>
          </cell>
        </row>
        <row r="3542">
          <cell r="A3542">
            <v>329985</v>
          </cell>
          <cell r="H3542">
            <v>40.409999999999997</v>
          </cell>
        </row>
        <row r="3543">
          <cell r="A3543">
            <v>329987</v>
          </cell>
          <cell r="H3543">
            <v>41.77</v>
          </cell>
        </row>
        <row r="3544">
          <cell r="A3544">
            <v>329988</v>
          </cell>
          <cell r="H3544">
            <v>30.07</v>
          </cell>
        </row>
        <row r="3545">
          <cell r="A3545">
            <v>329993</v>
          </cell>
          <cell r="H3545">
            <v>43.3</v>
          </cell>
        </row>
        <row r="3546">
          <cell r="A3546">
            <v>329995</v>
          </cell>
          <cell r="H3546">
            <v>34.68</v>
          </cell>
        </row>
        <row r="3547">
          <cell r="A3547">
            <v>329996</v>
          </cell>
          <cell r="H3547">
            <v>27.08</v>
          </cell>
        </row>
        <row r="3548">
          <cell r="A3548">
            <v>329997</v>
          </cell>
          <cell r="H3548">
            <v>30.85</v>
          </cell>
        </row>
        <row r="3549">
          <cell r="A3549">
            <v>329999</v>
          </cell>
          <cell r="H3549">
            <v>27.9</v>
          </cell>
        </row>
        <row r="3550">
          <cell r="A3550">
            <v>330009</v>
          </cell>
          <cell r="H3550">
            <v>42.54</v>
          </cell>
        </row>
        <row r="3551">
          <cell r="A3551">
            <v>330018</v>
          </cell>
          <cell r="H3551">
            <v>36.96</v>
          </cell>
        </row>
        <row r="3552">
          <cell r="A3552">
            <v>330020</v>
          </cell>
          <cell r="H3552">
            <v>42.39</v>
          </cell>
        </row>
        <row r="3553">
          <cell r="A3553">
            <v>330021</v>
          </cell>
          <cell r="H3553">
            <v>27.3</v>
          </cell>
        </row>
        <row r="3554">
          <cell r="A3554">
            <v>330022</v>
          </cell>
          <cell r="H3554">
            <v>28.06</v>
          </cell>
        </row>
        <row r="3555">
          <cell r="A3555">
            <v>330025</v>
          </cell>
          <cell r="H3555">
            <v>27.47</v>
          </cell>
        </row>
        <row r="3556">
          <cell r="A3556">
            <v>330039</v>
          </cell>
          <cell r="H3556">
            <v>30.06</v>
          </cell>
        </row>
        <row r="3557">
          <cell r="A3557">
            <v>330046</v>
          </cell>
          <cell r="H3557">
            <v>29.64</v>
          </cell>
        </row>
        <row r="3558">
          <cell r="A3558">
            <v>330084</v>
          </cell>
          <cell r="H3558">
            <v>40.33</v>
          </cell>
        </row>
        <row r="3559">
          <cell r="A3559">
            <v>330085</v>
          </cell>
          <cell r="H3559">
            <v>35.130000000000003</v>
          </cell>
        </row>
        <row r="3560">
          <cell r="A3560">
            <v>330086</v>
          </cell>
          <cell r="H3560">
            <v>35.700000000000003</v>
          </cell>
        </row>
        <row r="3561">
          <cell r="A3561">
            <v>330087</v>
          </cell>
          <cell r="H3561">
            <v>35.4</v>
          </cell>
        </row>
        <row r="3562">
          <cell r="A3562">
            <v>330091</v>
          </cell>
          <cell r="H3562">
            <v>35.33</v>
          </cell>
        </row>
        <row r="3563">
          <cell r="A3563">
            <v>330259</v>
          </cell>
          <cell r="H3563">
            <v>27.64</v>
          </cell>
        </row>
        <row r="3564">
          <cell r="A3564">
            <v>330260</v>
          </cell>
          <cell r="H3564">
            <v>27.56</v>
          </cell>
        </row>
        <row r="3565">
          <cell r="A3565">
            <v>330261</v>
          </cell>
          <cell r="H3565">
            <v>34.659999999999997</v>
          </cell>
        </row>
        <row r="3566">
          <cell r="A3566">
            <v>330262</v>
          </cell>
          <cell r="H3566">
            <v>40.43</v>
          </cell>
        </row>
        <row r="3567">
          <cell r="A3567">
            <v>330264</v>
          </cell>
          <cell r="H3567">
            <v>34.869999999999997</v>
          </cell>
        </row>
        <row r="3568">
          <cell r="A3568">
            <v>330266</v>
          </cell>
          <cell r="H3568">
            <v>40.270000000000003</v>
          </cell>
        </row>
        <row r="3569">
          <cell r="A3569">
            <v>330269</v>
          </cell>
          <cell r="H3569">
            <v>32.93</v>
          </cell>
        </row>
        <row r="3570">
          <cell r="A3570">
            <v>330282</v>
          </cell>
          <cell r="H3570">
            <v>40.65</v>
          </cell>
        </row>
        <row r="3571">
          <cell r="A3571">
            <v>330310</v>
          </cell>
          <cell r="H3571">
            <v>38.39</v>
          </cell>
        </row>
        <row r="3572">
          <cell r="A3572">
            <v>330311</v>
          </cell>
          <cell r="H3572">
            <v>33.9</v>
          </cell>
        </row>
        <row r="3573">
          <cell r="A3573">
            <v>330312</v>
          </cell>
          <cell r="H3573">
            <v>33.68</v>
          </cell>
        </row>
        <row r="3574">
          <cell r="A3574">
            <v>330313</v>
          </cell>
          <cell r="H3574">
            <v>33.4</v>
          </cell>
        </row>
        <row r="3575">
          <cell r="A3575">
            <v>330314</v>
          </cell>
          <cell r="H3575">
            <v>34.08</v>
          </cell>
        </row>
        <row r="3576">
          <cell r="A3576">
            <v>330319</v>
          </cell>
          <cell r="H3576">
            <v>33.82</v>
          </cell>
        </row>
        <row r="3577">
          <cell r="A3577">
            <v>330323</v>
          </cell>
          <cell r="H3577">
            <v>34.01</v>
          </cell>
        </row>
        <row r="3578">
          <cell r="A3578">
            <v>330328</v>
          </cell>
          <cell r="H3578">
            <v>27.46</v>
          </cell>
        </row>
        <row r="3579">
          <cell r="A3579">
            <v>330329</v>
          </cell>
          <cell r="H3579">
            <v>36.75</v>
          </cell>
        </row>
        <row r="3580">
          <cell r="A3580">
            <v>330331</v>
          </cell>
          <cell r="H3580">
            <v>35.32</v>
          </cell>
        </row>
        <row r="3581">
          <cell r="A3581">
            <v>330332</v>
          </cell>
          <cell r="H3581">
            <v>34</v>
          </cell>
        </row>
        <row r="3582">
          <cell r="A3582">
            <v>330333</v>
          </cell>
          <cell r="H3582">
            <v>35.71</v>
          </cell>
        </row>
        <row r="3583">
          <cell r="A3583">
            <v>330334</v>
          </cell>
          <cell r="H3583">
            <v>40.11</v>
          </cell>
        </row>
        <row r="3584">
          <cell r="A3584">
            <v>330335</v>
          </cell>
          <cell r="H3584">
            <v>34.68</v>
          </cell>
        </row>
        <row r="3585">
          <cell r="A3585">
            <v>330342</v>
          </cell>
          <cell r="H3585">
            <v>36.31</v>
          </cell>
        </row>
        <row r="3586">
          <cell r="A3586">
            <v>330343</v>
          </cell>
          <cell r="H3586">
            <v>35.840000000000003</v>
          </cell>
        </row>
        <row r="3587">
          <cell r="A3587">
            <v>330387</v>
          </cell>
          <cell r="H3587">
            <v>36.549999999999997</v>
          </cell>
        </row>
        <row r="3588">
          <cell r="A3588">
            <v>330388</v>
          </cell>
          <cell r="H3588">
            <v>35.11</v>
          </cell>
        </row>
        <row r="3589">
          <cell r="A3589">
            <v>330396</v>
          </cell>
          <cell r="H3589">
            <v>35.33</v>
          </cell>
        </row>
        <row r="3590">
          <cell r="A3590">
            <v>330400</v>
          </cell>
          <cell r="H3590">
            <v>39.07</v>
          </cell>
        </row>
        <row r="3591">
          <cell r="A3591">
            <v>330403</v>
          </cell>
          <cell r="H3591">
            <v>37.32</v>
          </cell>
        </row>
        <row r="3592">
          <cell r="A3592">
            <v>330121</v>
          </cell>
          <cell r="H3592">
            <v>40.42</v>
          </cell>
        </row>
        <row r="3593">
          <cell r="A3593">
            <v>330122</v>
          </cell>
          <cell r="H3593">
            <v>40.43</v>
          </cell>
        </row>
        <row r="3594">
          <cell r="A3594">
            <v>330162</v>
          </cell>
          <cell r="H3594">
            <v>33.68</v>
          </cell>
        </row>
        <row r="3595">
          <cell r="A3595">
            <v>330163</v>
          </cell>
          <cell r="H3595">
            <v>40.15</v>
          </cell>
        </row>
        <row r="3596">
          <cell r="A3596">
            <v>330166</v>
          </cell>
          <cell r="H3596">
            <v>38.299999999999997</v>
          </cell>
        </row>
        <row r="3597">
          <cell r="A3597">
            <v>330169</v>
          </cell>
          <cell r="H3597">
            <v>37.28</v>
          </cell>
        </row>
        <row r="3598">
          <cell r="A3598">
            <v>330170</v>
          </cell>
          <cell r="H3598">
            <v>27.47</v>
          </cell>
        </row>
        <row r="3599">
          <cell r="A3599">
            <v>330171</v>
          </cell>
          <cell r="H3599">
            <v>27.38</v>
          </cell>
        </row>
        <row r="3600">
          <cell r="A3600">
            <v>330172</v>
          </cell>
          <cell r="H3600">
            <v>34.549999999999997</v>
          </cell>
        </row>
        <row r="3601">
          <cell r="A3601">
            <v>330173</v>
          </cell>
          <cell r="H3601">
            <v>33.82</v>
          </cell>
        </row>
        <row r="3602">
          <cell r="A3602">
            <v>330174</v>
          </cell>
          <cell r="H3602">
            <v>33.36</v>
          </cell>
        </row>
        <row r="3603">
          <cell r="A3603">
            <v>330184</v>
          </cell>
          <cell r="H3603">
            <v>30.23</v>
          </cell>
        </row>
        <row r="3604">
          <cell r="A3604">
            <v>330185</v>
          </cell>
          <cell r="H3604">
            <v>37.520000000000003</v>
          </cell>
        </row>
        <row r="3605">
          <cell r="A3605">
            <v>330225</v>
          </cell>
          <cell r="H3605">
            <v>35.299999999999997</v>
          </cell>
        </row>
        <row r="3606">
          <cell r="A3606">
            <v>330228</v>
          </cell>
          <cell r="H3606">
            <v>33.880000000000003</v>
          </cell>
        </row>
        <row r="3607">
          <cell r="A3607">
            <v>330231</v>
          </cell>
          <cell r="H3607">
            <v>41.53</v>
          </cell>
        </row>
        <row r="3608">
          <cell r="A3608">
            <v>330108</v>
          </cell>
          <cell r="H3608">
            <v>34.130000000000003</v>
          </cell>
        </row>
        <row r="3609">
          <cell r="A3609">
            <v>330111</v>
          </cell>
          <cell r="H3609">
            <v>30.65</v>
          </cell>
        </row>
        <row r="3610">
          <cell r="A3610">
            <v>330112</v>
          </cell>
          <cell r="H3610">
            <v>34.770000000000003</v>
          </cell>
        </row>
        <row r="3611">
          <cell r="A3611">
            <v>330114</v>
          </cell>
          <cell r="H3611">
            <v>27.81</v>
          </cell>
        </row>
        <row r="3612">
          <cell r="A3612">
            <v>330116</v>
          </cell>
          <cell r="H3612">
            <v>37.71</v>
          </cell>
        </row>
        <row r="3613">
          <cell r="A3613">
            <v>330117</v>
          </cell>
          <cell r="H3613">
            <v>27.95</v>
          </cell>
        </row>
        <row r="3614">
          <cell r="A3614">
            <v>330445</v>
          </cell>
          <cell r="H3614">
            <v>38.04</v>
          </cell>
        </row>
        <row r="3615">
          <cell r="A3615">
            <v>330447</v>
          </cell>
          <cell r="H3615">
            <v>34.229999999999997</v>
          </cell>
        </row>
        <row r="3616">
          <cell r="A3616">
            <v>330450</v>
          </cell>
          <cell r="H3616">
            <v>43.91</v>
          </cell>
        </row>
        <row r="3617">
          <cell r="A3617">
            <v>330462</v>
          </cell>
          <cell r="H3617">
            <v>37.03</v>
          </cell>
        </row>
        <row r="3618">
          <cell r="A3618">
            <v>330467</v>
          </cell>
          <cell r="H3618">
            <v>38.39</v>
          </cell>
        </row>
        <row r="3619">
          <cell r="A3619">
            <v>330469</v>
          </cell>
          <cell r="H3619">
            <v>36.229999999999997</v>
          </cell>
        </row>
        <row r="3620">
          <cell r="A3620">
            <v>330470</v>
          </cell>
          <cell r="H3620">
            <v>37.700000000000003</v>
          </cell>
        </row>
        <row r="3621">
          <cell r="A3621">
            <v>330471</v>
          </cell>
          <cell r="H3621">
            <v>33.22</v>
          </cell>
        </row>
        <row r="3622">
          <cell r="A3622">
            <v>330472</v>
          </cell>
          <cell r="H3622">
            <v>40.53</v>
          </cell>
        </row>
        <row r="3623">
          <cell r="A3623">
            <v>330483</v>
          </cell>
          <cell r="H3623">
            <v>34.369999999999997</v>
          </cell>
        </row>
        <row r="3624">
          <cell r="A3624">
            <v>330585</v>
          </cell>
          <cell r="H3624">
            <v>39.520000000000003</v>
          </cell>
        </row>
        <row r="3625">
          <cell r="A3625">
            <v>330586</v>
          </cell>
          <cell r="H3625">
            <v>38.42</v>
          </cell>
        </row>
        <row r="3626">
          <cell r="A3626">
            <v>330592</v>
          </cell>
          <cell r="H3626">
            <v>39.119999999999997</v>
          </cell>
        </row>
        <row r="3627">
          <cell r="A3627">
            <v>330598</v>
          </cell>
          <cell r="H3627">
            <v>39.729999999999997</v>
          </cell>
        </row>
        <row r="3628">
          <cell r="A3628">
            <v>330599</v>
          </cell>
          <cell r="H3628">
            <v>36.049999999999997</v>
          </cell>
        </row>
        <row r="3629">
          <cell r="A3629">
            <v>330600</v>
          </cell>
          <cell r="H3629">
            <v>36.64</v>
          </cell>
        </row>
        <row r="3630">
          <cell r="A3630">
            <v>330602</v>
          </cell>
          <cell r="H3630">
            <v>40.04</v>
          </cell>
        </row>
        <row r="3631">
          <cell r="A3631">
            <v>330603</v>
          </cell>
          <cell r="H3631">
            <v>36.07</v>
          </cell>
        </row>
        <row r="3632">
          <cell r="A3632">
            <v>330605</v>
          </cell>
          <cell r="H3632">
            <v>39.47</v>
          </cell>
        </row>
        <row r="3633">
          <cell r="A3633">
            <v>330606</v>
          </cell>
          <cell r="H3633">
            <v>33.799999999999997</v>
          </cell>
        </row>
        <row r="3634">
          <cell r="A3634">
            <v>330608</v>
          </cell>
          <cell r="H3634">
            <v>38.76</v>
          </cell>
        </row>
        <row r="3635">
          <cell r="A3635">
            <v>330609</v>
          </cell>
          <cell r="H3635">
            <v>39.07</v>
          </cell>
        </row>
        <row r="3636">
          <cell r="A3636">
            <v>330610</v>
          </cell>
          <cell r="H3636">
            <v>33.46</v>
          </cell>
        </row>
        <row r="3637">
          <cell r="A3637">
            <v>330611</v>
          </cell>
          <cell r="H3637">
            <v>34.89</v>
          </cell>
        </row>
        <row r="3638">
          <cell r="A3638">
            <v>330620</v>
          </cell>
          <cell r="H3638">
            <v>36.67</v>
          </cell>
        </row>
        <row r="3639">
          <cell r="A3639">
            <v>330622</v>
          </cell>
          <cell r="H3639">
            <v>42.09</v>
          </cell>
        </row>
        <row r="3640">
          <cell r="A3640">
            <v>330632</v>
          </cell>
          <cell r="H3640">
            <v>33.54</v>
          </cell>
        </row>
        <row r="3641">
          <cell r="A3641">
            <v>330633</v>
          </cell>
          <cell r="H3641">
            <v>35.5</v>
          </cell>
        </row>
        <row r="3642">
          <cell r="A3642">
            <v>330634</v>
          </cell>
          <cell r="H3642">
            <v>36.200000000000003</v>
          </cell>
        </row>
        <row r="3643">
          <cell r="A3643">
            <v>330635</v>
          </cell>
          <cell r="H3643">
            <v>37.299999999999997</v>
          </cell>
        </row>
        <row r="3644">
          <cell r="A3644">
            <v>330640</v>
          </cell>
          <cell r="H3644">
            <v>36.450000000000003</v>
          </cell>
        </row>
        <row r="3645">
          <cell r="A3645">
            <v>330649</v>
          </cell>
          <cell r="H3645">
            <v>38.18</v>
          </cell>
        </row>
        <row r="3646">
          <cell r="A3646">
            <v>330690</v>
          </cell>
          <cell r="H3646">
            <v>35.9</v>
          </cell>
        </row>
        <row r="3647">
          <cell r="A3647">
            <v>330691</v>
          </cell>
          <cell r="H3647">
            <v>35.11</v>
          </cell>
        </row>
        <row r="3648">
          <cell r="A3648">
            <v>330720</v>
          </cell>
          <cell r="H3648">
            <v>39.119999999999997</v>
          </cell>
        </row>
        <row r="3649">
          <cell r="A3649">
            <v>330721</v>
          </cell>
          <cell r="H3649">
            <v>37.520000000000003</v>
          </cell>
        </row>
        <row r="3650">
          <cell r="A3650">
            <v>330722</v>
          </cell>
          <cell r="H3650">
            <v>38.18</v>
          </cell>
        </row>
        <row r="3651">
          <cell r="A3651">
            <v>330734</v>
          </cell>
          <cell r="H3651">
            <v>33.229999999999997</v>
          </cell>
        </row>
        <row r="3652">
          <cell r="A3652">
            <v>330737</v>
          </cell>
          <cell r="H3652">
            <v>34.97</v>
          </cell>
        </row>
        <row r="3653">
          <cell r="A3653">
            <v>330742</v>
          </cell>
          <cell r="H3653">
            <v>38.200000000000003</v>
          </cell>
        </row>
        <row r="3654">
          <cell r="A3654">
            <v>330743</v>
          </cell>
          <cell r="H3654">
            <v>38.200000000000003</v>
          </cell>
        </row>
        <row r="3655">
          <cell r="A3655">
            <v>330745</v>
          </cell>
          <cell r="H3655">
            <v>37.36</v>
          </cell>
        </row>
        <row r="3656">
          <cell r="A3656">
            <v>330757</v>
          </cell>
          <cell r="H3656">
            <v>35.21</v>
          </cell>
        </row>
        <row r="3657">
          <cell r="A3657">
            <v>330758</v>
          </cell>
          <cell r="H3657">
            <v>38.65</v>
          </cell>
        </row>
        <row r="3658">
          <cell r="A3658">
            <v>330759</v>
          </cell>
          <cell r="H3658">
            <v>33.33</v>
          </cell>
        </row>
        <row r="3659">
          <cell r="A3659">
            <v>330760</v>
          </cell>
          <cell r="H3659">
            <v>33.92</v>
          </cell>
        </row>
        <row r="3660">
          <cell r="A3660">
            <v>330766</v>
          </cell>
          <cell r="H3660">
            <v>40.54</v>
          </cell>
        </row>
        <row r="3661">
          <cell r="A3661">
            <v>330769</v>
          </cell>
          <cell r="H3661">
            <v>39.86</v>
          </cell>
        </row>
        <row r="3662">
          <cell r="A3662">
            <v>330770</v>
          </cell>
          <cell r="H3662">
            <v>39.869999999999997</v>
          </cell>
        </row>
        <row r="3663">
          <cell r="A3663">
            <v>330772</v>
          </cell>
          <cell r="H3663">
            <v>38.159999999999997</v>
          </cell>
        </row>
        <row r="3664">
          <cell r="A3664">
            <v>330775</v>
          </cell>
          <cell r="H3664">
            <v>35.64</v>
          </cell>
        </row>
        <row r="3665">
          <cell r="A3665">
            <v>330779</v>
          </cell>
          <cell r="H3665">
            <v>36.1</v>
          </cell>
        </row>
        <row r="3666">
          <cell r="A3666">
            <v>330780</v>
          </cell>
          <cell r="H3666">
            <v>33.450000000000003</v>
          </cell>
        </row>
        <row r="3667">
          <cell r="A3667">
            <v>330783</v>
          </cell>
          <cell r="H3667">
            <v>35.76</v>
          </cell>
        </row>
        <row r="3668">
          <cell r="A3668">
            <v>330836</v>
          </cell>
          <cell r="H3668">
            <v>39.28</v>
          </cell>
        </row>
        <row r="3669">
          <cell r="A3669">
            <v>330837</v>
          </cell>
          <cell r="H3669">
            <v>35.9</v>
          </cell>
        </row>
        <row r="3670">
          <cell r="A3670">
            <v>330851</v>
          </cell>
          <cell r="H3670">
            <v>33.92</v>
          </cell>
        </row>
        <row r="3671">
          <cell r="A3671">
            <v>330852</v>
          </cell>
          <cell r="H3671">
            <v>38.51</v>
          </cell>
        </row>
        <row r="3672">
          <cell r="A3672">
            <v>330853</v>
          </cell>
          <cell r="H3672">
            <v>38.159999999999997</v>
          </cell>
        </row>
        <row r="3673">
          <cell r="A3673">
            <v>330857</v>
          </cell>
          <cell r="H3673">
            <v>33.880000000000003</v>
          </cell>
        </row>
        <row r="3674">
          <cell r="A3674">
            <v>330869</v>
          </cell>
          <cell r="H3674">
            <v>34.090000000000003</v>
          </cell>
        </row>
        <row r="3675">
          <cell r="A3675">
            <v>330870</v>
          </cell>
          <cell r="H3675">
            <v>36.799999999999997</v>
          </cell>
        </row>
        <row r="3676">
          <cell r="A3676">
            <v>330878</v>
          </cell>
          <cell r="H3676">
            <v>38.200000000000003</v>
          </cell>
        </row>
        <row r="3677">
          <cell r="A3677">
            <v>330879</v>
          </cell>
          <cell r="H3677">
            <v>40.44</v>
          </cell>
        </row>
        <row r="3678">
          <cell r="A3678">
            <v>330880</v>
          </cell>
          <cell r="H3678">
            <v>33.92</v>
          </cell>
        </row>
        <row r="3679">
          <cell r="A3679">
            <v>330888</v>
          </cell>
          <cell r="H3679">
            <v>38.74</v>
          </cell>
        </row>
        <row r="3680">
          <cell r="A3680">
            <v>330897</v>
          </cell>
          <cell r="H3680">
            <v>41.01</v>
          </cell>
        </row>
        <row r="3681">
          <cell r="A3681">
            <v>330898</v>
          </cell>
          <cell r="H3681">
            <v>34.200000000000003</v>
          </cell>
        </row>
        <row r="3682">
          <cell r="A3682">
            <v>330901</v>
          </cell>
          <cell r="H3682">
            <v>38.47</v>
          </cell>
        </row>
        <row r="3683">
          <cell r="A3683">
            <v>330909</v>
          </cell>
          <cell r="H3683">
            <v>43.95</v>
          </cell>
        </row>
        <row r="3684">
          <cell r="A3684">
            <v>330912</v>
          </cell>
          <cell r="H3684">
            <v>36.32</v>
          </cell>
        </row>
        <row r="3685">
          <cell r="A3685">
            <v>330916</v>
          </cell>
          <cell r="H3685">
            <v>33.380000000000003</v>
          </cell>
        </row>
        <row r="3686">
          <cell r="A3686">
            <v>330923</v>
          </cell>
          <cell r="H3686">
            <v>40.700000000000003</v>
          </cell>
        </row>
        <row r="3687">
          <cell r="A3687">
            <v>330930</v>
          </cell>
          <cell r="H3687">
            <v>35.99</v>
          </cell>
        </row>
        <row r="3688">
          <cell r="A3688">
            <v>330931</v>
          </cell>
          <cell r="H3688">
            <v>36.93</v>
          </cell>
        </row>
        <row r="3689">
          <cell r="A3689">
            <v>330932</v>
          </cell>
          <cell r="H3689">
            <v>36.22</v>
          </cell>
        </row>
        <row r="3690">
          <cell r="A3690">
            <v>330955</v>
          </cell>
          <cell r="H3690">
            <v>36.9</v>
          </cell>
        </row>
        <row r="3691">
          <cell r="A3691">
            <v>330956</v>
          </cell>
          <cell r="H3691">
            <v>40.200000000000003</v>
          </cell>
        </row>
        <row r="3692">
          <cell r="A3692">
            <v>330963</v>
          </cell>
          <cell r="H3692">
            <v>35.82</v>
          </cell>
        </row>
        <row r="3693">
          <cell r="A3693">
            <v>331007</v>
          </cell>
          <cell r="H3693">
            <v>34.130000000000003</v>
          </cell>
        </row>
        <row r="3694">
          <cell r="A3694">
            <v>331010</v>
          </cell>
          <cell r="H3694">
            <v>34.049999999999997</v>
          </cell>
        </row>
        <row r="3695">
          <cell r="A3695">
            <v>331011</v>
          </cell>
          <cell r="H3695">
            <v>41.74</v>
          </cell>
        </row>
        <row r="3696">
          <cell r="A3696">
            <v>331012</v>
          </cell>
          <cell r="H3696">
            <v>39.130000000000003</v>
          </cell>
        </row>
        <row r="3697">
          <cell r="A3697">
            <v>331021</v>
          </cell>
          <cell r="H3697">
            <v>38.200000000000003</v>
          </cell>
        </row>
        <row r="3698">
          <cell r="A3698">
            <v>331025</v>
          </cell>
          <cell r="H3698">
            <v>38.74</v>
          </cell>
        </row>
        <row r="3699">
          <cell r="A3699">
            <v>331026</v>
          </cell>
          <cell r="H3699">
            <v>36.72</v>
          </cell>
        </row>
        <row r="3700">
          <cell r="A3700">
            <v>331027</v>
          </cell>
          <cell r="H3700">
            <v>34</v>
          </cell>
        </row>
        <row r="3701">
          <cell r="A3701">
            <v>331035</v>
          </cell>
          <cell r="H3701">
            <v>49.23</v>
          </cell>
        </row>
        <row r="3702">
          <cell r="A3702">
            <v>331036</v>
          </cell>
          <cell r="H3702">
            <v>38.64</v>
          </cell>
        </row>
        <row r="3703">
          <cell r="A3703">
            <v>331041</v>
          </cell>
          <cell r="H3703">
            <v>42.46</v>
          </cell>
        </row>
        <row r="3704">
          <cell r="A3704">
            <v>331043</v>
          </cell>
          <cell r="H3704">
            <v>36.32</v>
          </cell>
        </row>
        <row r="3705">
          <cell r="A3705">
            <v>331045</v>
          </cell>
          <cell r="H3705">
            <v>38.72</v>
          </cell>
        </row>
        <row r="3706">
          <cell r="A3706">
            <v>331048</v>
          </cell>
          <cell r="H3706">
            <v>42.1</v>
          </cell>
        </row>
        <row r="3707">
          <cell r="A3707">
            <v>331052</v>
          </cell>
          <cell r="H3707">
            <v>36.08</v>
          </cell>
        </row>
        <row r="3708">
          <cell r="A3708">
            <v>331053</v>
          </cell>
          <cell r="H3708">
            <v>36.72</v>
          </cell>
        </row>
        <row r="3709">
          <cell r="A3709">
            <v>331054</v>
          </cell>
          <cell r="H3709">
            <v>34.51</v>
          </cell>
        </row>
        <row r="3710">
          <cell r="A3710">
            <v>331055</v>
          </cell>
          <cell r="H3710">
            <v>34.08</v>
          </cell>
        </row>
        <row r="3711">
          <cell r="A3711">
            <v>331063</v>
          </cell>
          <cell r="H3711">
            <v>44.88</v>
          </cell>
        </row>
        <row r="3712">
          <cell r="A3712">
            <v>331081</v>
          </cell>
          <cell r="H3712">
            <v>37.04</v>
          </cell>
        </row>
        <row r="3713">
          <cell r="A3713">
            <v>331187</v>
          </cell>
          <cell r="H3713">
            <v>40.14</v>
          </cell>
        </row>
        <row r="3714">
          <cell r="A3714">
            <v>331196</v>
          </cell>
          <cell r="H3714">
            <v>45.2</v>
          </cell>
        </row>
        <row r="3715">
          <cell r="A3715">
            <v>331198</v>
          </cell>
          <cell r="H3715">
            <v>38.6</v>
          </cell>
        </row>
        <row r="3716">
          <cell r="A3716">
            <v>331200</v>
          </cell>
          <cell r="H3716">
            <v>37.130000000000003</v>
          </cell>
        </row>
        <row r="3717">
          <cell r="A3717">
            <v>331202</v>
          </cell>
          <cell r="H3717">
            <v>36.14</v>
          </cell>
        </row>
        <row r="3718">
          <cell r="A3718">
            <v>331203</v>
          </cell>
          <cell r="H3718">
            <v>41.85</v>
          </cell>
        </row>
        <row r="3719">
          <cell r="A3719">
            <v>331204</v>
          </cell>
          <cell r="H3719">
            <v>33.04</v>
          </cell>
        </row>
        <row r="3720">
          <cell r="A3720">
            <v>331208</v>
          </cell>
          <cell r="H3720">
            <v>42.29</v>
          </cell>
        </row>
        <row r="3721">
          <cell r="A3721">
            <v>331221</v>
          </cell>
          <cell r="H3721">
            <v>36.159999999999997</v>
          </cell>
        </row>
        <row r="3722">
          <cell r="A3722">
            <v>331222</v>
          </cell>
          <cell r="H3722">
            <v>36.39</v>
          </cell>
        </row>
        <row r="3723">
          <cell r="A3723">
            <v>331231</v>
          </cell>
          <cell r="H3723">
            <v>40.43</v>
          </cell>
        </row>
        <row r="3724">
          <cell r="A3724">
            <v>331265</v>
          </cell>
          <cell r="H3724">
            <v>36.61</v>
          </cell>
        </row>
        <row r="3725">
          <cell r="A3725">
            <v>331266</v>
          </cell>
          <cell r="H3725">
            <v>39.479999999999997</v>
          </cell>
        </row>
        <row r="3726">
          <cell r="A3726">
            <v>331275</v>
          </cell>
          <cell r="H3726">
            <v>35.29</v>
          </cell>
        </row>
        <row r="3727">
          <cell r="A3727">
            <v>331278</v>
          </cell>
          <cell r="H3727">
            <v>39.51</v>
          </cell>
        </row>
        <row r="3728">
          <cell r="A3728">
            <v>331280</v>
          </cell>
          <cell r="H3728">
            <v>35.04</v>
          </cell>
        </row>
        <row r="3729">
          <cell r="A3729">
            <v>331295</v>
          </cell>
          <cell r="H3729">
            <v>40.43</v>
          </cell>
        </row>
        <row r="3730">
          <cell r="A3730">
            <v>331296</v>
          </cell>
          <cell r="H3730">
            <v>34.26</v>
          </cell>
        </row>
        <row r="3731">
          <cell r="A3731">
            <v>331308</v>
          </cell>
          <cell r="H3731">
            <v>37.630000000000003</v>
          </cell>
        </row>
        <row r="3732">
          <cell r="A3732">
            <v>331317</v>
          </cell>
          <cell r="H3732">
            <v>45.72</v>
          </cell>
        </row>
        <row r="3733">
          <cell r="A3733">
            <v>331318</v>
          </cell>
          <cell r="H3733">
            <v>38.22</v>
          </cell>
        </row>
        <row r="3734">
          <cell r="A3734">
            <v>331321</v>
          </cell>
          <cell r="H3734">
            <v>40.43</v>
          </cell>
        </row>
        <row r="3735">
          <cell r="A3735">
            <v>331325</v>
          </cell>
          <cell r="H3735">
            <v>37.799999999999997</v>
          </cell>
        </row>
        <row r="3736">
          <cell r="A3736">
            <v>331327</v>
          </cell>
          <cell r="H3736">
            <v>37.340000000000003</v>
          </cell>
        </row>
        <row r="3737">
          <cell r="A3737">
            <v>331336</v>
          </cell>
          <cell r="H3737">
            <v>48.4</v>
          </cell>
        </row>
        <row r="3738">
          <cell r="A3738">
            <v>331340</v>
          </cell>
          <cell r="H3738">
            <v>35.42</v>
          </cell>
        </row>
        <row r="3739">
          <cell r="A3739">
            <v>331341</v>
          </cell>
          <cell r="H3739">
            <v>42.07</v>
          </cell>
        </row>
        <row r="3740">
          <cell r="A3740">
            <v>331343</v>
          </cell>
          <cell r="H3740">
            <v>38.75</v>
          </cell>
        </row>
        <row r="3741">
          <cell r="A3741">
            <v>331346</v>
          </cell>
          <cell r="H3741">
            <v>35.69</v>
          </cell>
        </row>
        <row r="3742">
          <cell r="A3742">
            <v>331349</v>
          </cell>
          <cell r="H3742">
            <v>36.15</v>
          </cell>
        </row>
        <row r="3743">
          <cell r="A3743">
            <v>331350</v>
          </cell>
          <cell r="H3743">
            <v>39.31</v>
          </cell>
        </row>
        <row r="3744">
          <cell r="A3744">
            <v>331358</v>
          </cell>
          <cell r="H3744">
            <v>35.28</v>
          </cell>
        </row>
        <row r="3745">
          <cell r="A3745">
            <v>331359</v>
          </cell>
          <cell r="H3745">
            <v>33.78</v>
          </cell>
        </row>
        <row r="3746">
          <cell r="A3746">
            <v>331360</v>
          </cell>
          <cell r="H3746">
            <v>42.43</v>
          </cell>
        </row>
        <row r="3747">
          <cell r="A3747">
            <v>330430</v>
          </cell>
          <cell r="H3747">
            <v>40.28</v>
          </cell>
        </row>
        <row r="3748">
          <cell r="A3748">
            <v>330434</v>
          </cell>
          <cell r="H3748">
            <v>32.54</v>
          </cell>
        </row>
        <row r="3749">
          <cell r="A3749">
            <v>330436</v>
          </cell>
          <cell r="H3749">
            <v>39.090000000000003</v>
          </cell>
        </row>
        <row r="3750">
          <cell r="A3750">
            <v>330437</v>
          </cell>
          <cell r="H3750">
            <v>34.950000000000003</v>
          </cell>
        </row>
        <row r="3751">
          <cell r="A3751">
            <v>330438</v>
          </cell>
          <cell r="H3751">
            <v>33.65</v>
          </cell>
        </row>
        <row r="3752">
          <cell r="A3752">
            <v>330439</v>
          </cell>
          <cell r="H3752">
            <v>33.729999999999997</v>
          </cell>
        </row>
        <row r="3753">
          <cell r="A3753">
            <v>330493</v>
          </cell>
          <cell r="H3753">
            <v>36.4</v>
          </cell>
        </row>
        <row r="3754">
          <cell r="A3754">
            <v>330494</v>
          </cell>
          <cell r="H3754">
            <v>40.36</v>
          </cell>
        </row>
        <row r="3755">
          <cell r="A3755">
            <v>330510</v>
          </cell>
          <cell r="H3755">
            <v>37.979999999999997</v>
          </cell>
        </row>
        <row r="3756">
          <cell r="A3756">
            <v>330511</v>
          </cell>
          <cell r="H3756">
            <v>39.520000000000003</v>
          </cell>
        </row>
        <row r="3757">
          <cell r="A3757">
            <v>330539</v>
          </cell>
          <cell r="H3757">
            <v>35.24</v>
          </cell>
        </row>
        <row r="3758">
          <cell r="A3758">
            <v>330543</v>
          </cell>
          <cell r="H3758">
            <v>39.43</v>
          </cell>
        </row>
        <row r="3759">
          <cell r="A3759">
            <v>331099</v>
          </cell>
          <cell r="H3759">
            <v>39.32</v>
          </cell>
        </row>
        <row r="3760">
          <cell r="A3760">
            <v>331101</v>
          </cell>
          <cell r="H3760">
            <v>35.79</v>
          </cell>
        </row>
        <row r="3761">
          <cell r="A3761">
            <v>331133</v>
          </cell>
          <cell r="H3761">
            <v>36.659999999999997</v>
          </cell>
        </row>
        <row r="3762">
          <cell r="A3762">
            <v>331138</v>
          </cell>
          <cell r="H3762">
            <v>35.630000000000003</v>
          </cell>
        </row>
        <row r="3763">
          <cell r="A3763">
            <v>331141</v>
          </cell>
          <cell r="H3763">
            <v>34.29</v>
          </cell>
        </row>
        <row r="3764">
          <cell r="A3764">
            <v>331155</v>
          </cell>
          <cell r="H3764">
            <v>36.76</v>
          </cell>
        </row>
        <row r="3765">
          <cell r="A3765">
            <v>331161</v>
          </cell>
          <cell r="H3765">
            <v>33.96</v>
          </cell>
        </row>
        <row r="3766">
          <cell r="A3766">
            <v>331162</v>
          </cell>
          <cell r="H3766">
            <v>33.79</v>
          </cell>
        </row>
        <row r="3767">
          <cell r="A3767">
            <v>331166</v>
          </cell>
          <cell r="H3767">
            <v>39.11</v>
          </cell>
        </row>
        <row r="3768">
          <cell r="A3768">
            <v>331167</v>
          </cell>
          <cell r="H3768">
            <v>33.590000000000003</v>
          </cell>
        </row>
        <row r="3769">
          <cell r="A3769">
            <v>331177</v>
          </cell>
          <cell r="H3769">
            <v>36.229999999999997</v>
          </cell>
        </row>
        <row r="3770">
          <cell r="A3770">
            <v>331178</v>
          </cell>
          <cell r="H3770">
            <v>42.19</v>
          </cell>
        </row>
        <row r="3771">
          <cell r="A3771">
            <v>331179</v>
          </cell>
          <cell r="H3771">
            <v>40.43</v>
          </cell>
        </row>
        <row r="3772">
          <cell r="A3772">
            <v>331185</v>
          </cell>
          <cell r="H3772">
            <v>38</v>
          </cell>
        </row>
        <row r="3773">
          <cell r="A3773">
            <v>323615</v>
          </cell>
          <cell r="H3773">
            <v>34.159999999999997</v>
          </cell>
        </row>
        <row r="3774">
          <cell r="A3774">
            <v>321434</v>
          </cell>
          <cell r="H3774">
            <v>35.770000000000003</v>
          </cell>
        </row>
        <row r="3775">
          <cell r="A3775">
            <v>321432</v>
          </cell>
          <cell r="H3775">
            <v>34.229999999999997</v>
          </cell>
        </row>
        <row r="3776">
          <cell r="A3776">
            <v>321435</v>
          </cell>
          <cell r="H3776">
            <v>35.75</v>
          </cell>
        </row>
        <row r="3777">
          <cell r="A3777">
            <v>321500</v>
          </cell>
          <cell r="H3777">
            <v>36.130000000000003</v>
          </cell>
        </row>
        <row r="3778">
          <cell r="A3778">
            <v>321847</v>
          </cell>
          <cell r="H3778">
            <v>34.83</v>
          </cell>
        </row>
        <row r="3779">
          <cell r="A3779">
            <v>323617</v>
          </cell>
          <cell r="H3779">
            <v>34.83</v>
          </cell>
        </row>
        <row r="3780">
          <cell r="A3780">
            <v>322180</v>
          </cell>
          <cell r="H3780">
            <v>42.09</v>
          </cell>
        </row>
        <row r="3781">
          <cell r="A3781">
            <v>322549</v>
          </cell>
          <cell r="H3781">
            <v>38.549999999999997</v>
          </cell>
        </row>
        <row r="3782">
          <cell r="A3782">
            <v>323618</v>
          </cell>
          <cell r="H3782">
            <v>40.64</v>
          </cell>
        </row>
        <row r="3783">
          <cell r="A3783">
            <v>322984</v>
          </cell>
          <cell r="H3783">
            <v>35.479999999999997</v>
          </cell>
        </row>
        <row r="3784">
          <cell r="A3784">
            <v>323059</v>
          </cell>
          <cell r="H3784">
            <v>40.229999999999997</v>
          </cell>
        </row>
        <row r="3785">
          <cell r="A3785">
            <v>323071</v>
          </cell>
          <cell r="H3785">
            <v>33.28</v>
          </cell>
        </row>
        <row r="3786">
          <cell r="A3786">
            <v>323096</v>
          </cell>
          <cell r="H3786">
            <v>32.64</v>
          </cell>
        </row>
        <row r="3787">
          <cell r="A3787">
            <v>323795</v>
          </cell>
          <cell r="H3787">
            <v>33.270000000000003</v>
          </cell>
        </row>
        <row r="3788">
          <cell r="A3788">
            <v>323781</v>
          </cell>
          <cell r="H3788">
            <v>38.299999999999997</v>
          </cell>
        </row>
        <row r="3789">
          <cell r="A3789">
            <v>323793</v>
          </cell>
          <cell r="H3789">
            <v>33.4</v>
          </cell>
        </row>
        <row r="3790">
          <cell r="A3790">
            <v>323783</v>
          </cell>
          <cell r="H3790">
            <v>40.909999999999997</v>
          </cell>
        </row>
        <row r="3791">
          <cell r="A3791">
            <v>323786</v>
          </cell>
          <cell r="H3791">
            <v>37.49</v>
          </cell>
        </row>
        <row r="3792">
          <cell r="A3792">
            <v>323796</v>
          </cell>
          <cell r="H3792">
            <v>33.21</v>
          </cell>
        </row>
        <row r="3793">
          <cell r="A3793">
            <v>323787</v>
          </cell>
          <cell r="H3793">
            <v>40.909999999999997</v>
          </cell>
        </row>
        <row r="3794">
          <cell r="A3794">
            <v>323543</v>
          </cell>
          <cell r="H3794">
            <v>32.03</v>
          </cell>
        </row>
        <row r="3795">
          <cell r="A3795">
            <v>323788</v>
          </cell>
          <cell r="H3795">
            <v>38.21</v>
          </cell>
        </row>
        <row r="3796">
          <cell r="A3796">
            <v>323798</v>
          </cell>
          <cell r="H3796">
            <v>33.4</v>
          </cell>
        </row>
        <row r="3797">
          <cell r="A3797">
            <v>323790</v>
          </cell>
          <cell r="H3797">
            <v>40.79</v>
          </cell>
        </row>
        <row r="3798">
          <cell r="A3798">
            <v>323791</v>
          </cell>
          <cell r="H3798">
            <v>36.01</v>
          </cell>
        </row>
        <row r="3799">
          <cell r="A3799">
            <v>323792</v>
          </cell>
          <cell r="H3799">
            <v>31.98</v>
          </cell>
        </row>
        <row r="3800">
          <cell r="A3800">
            <v>323799</v>
          </cell>
          <cell r="H3800">
            <v>32.5</v>
          </cell>
        </row>
        <row r="3801">
          <cell r="A3801">
            <v>323782</v>
          </cell>
          <cell r="H3801">
            <v>36.18</v>
          </cell>
        </row>
        <row r="3802">
          <cell r="A3802">
            <v>328142</v>
          </cell>
          <cell r="H3802">
            <v>31.13</v>
          </cell>
        </row>
        <row r="3803">
          <cell r="A3803">
            <v>324088</v>
          </cell>
          <cell r="H3803">
            <v>32.659999999999997</v>
          </cell>
        </row>
        <row r="3804">
          <cell r="A3804">
            <v>324090</v>
          </cell>
          <cell r="H3804">
            <v>32.92</v>
          </cell>
        </row>
        <row r="3805">
          <cell r="A3805">
            <v>323899</v>
          </cell>
          <cell r="H3805">
            <v>41.04</v>
          </cell>
        </row>
        <row r="3806">
          <cell r="A3806">
            <v>324156</v>
          </cell>
          <cell r="H3806">
            <v>27.6</v>
          </cell>
        </row>
        <row r="3807">
          <cell r="A3807">
            <v>324659</v>
          </cell>
          <cell r="H3807">
            <v>35.04</v>
          </cell>
        </row>
        <row r="3808">
          <cell r="A3808">
            <v>324945</v>
          </cell>
          <cell r="H3808">
            <v>33.03</v>
          </cell>
        </row>
        <row r="3809">
          <cell r="A3809">
            <v>324894</v>
          </cell>
          <cell r="H3809">
            <v>32.06</v>
          </cell>
        </row>
        <row r="3810">
          <cell r="A3810">
            <v>324896</v>
          </cell>
          <cell r="H3810">
            <v>33.49</v>
          </cell>
        </row>
        <row r="3811">
          <cell r="A3811">
            <v>324829</v>
          </cell>
          <cell r="H3811">
            <v>37.39</v>
          </cell>
        </row>
        <row r="3812">
          <cell r="A3812">
            <v>328140</v>
          </cell>
          <cell r="H3812">
            <v>38.28</v>
          </cell>
        </row>
        <row r="3813">
          <cell r="A3813">
            <v>326187</v>
          </cell>
          <cell r="H3813">
            <v>30.3</v>
          </cell>
        </row>
        <row r="3814">
          <cell r="A3814">
            <v>328120</v>
          </cell>
          <cell r="H3814">
            <v>37.880000000000003</v>
          </cell>
        </row>
        <row r="3815">
          <cell r="A3815">
            <v>326188</v>
          </cell>
          <cell r="H3815">
            <v>30.36</v>
          </cell>
        </row>
        <row r="3816">
          <cell r="A3816">
            <v>325721</v>
          </cell>
          <cell r="H3816">
            <v>33.81</v>
          </cell>
        </row>
        <row r="3817">
          <cell r="A3817">
            <v>325724</v>
          </cell>
          <cell r="H3817">
            <v>42.29</v>
          </cell>
        </row>
        <row r="3818">
          <cell r="A3818">
            <v>325730</v>
          </cell>
          <cell r="H3818">
            <v>35.75</v>
          </cell>
        </row>
        <row r="3819">
          <cell r="A3819">
            <v>328135</v>
          </cell>
          <cell r="H3819">
            <v>37.58</v>
          </cell>
        </row>
        <row r="3820">
          <cell r="A3820">
            <v>325654</v>
          </cell>
          <cell r="H3820">
            <v>36.700000000000003</v>
          </cell>
        </row>
        <row r="3821">
          <cell r="A3821">
            <v>325911</v>
          </cell>
          <cell r="H3821">
            <v>35.67</v>
          </cell>
        </row>
        <row r="3822">
          <cell r="A3822">
            <v>326189</v>
          </cell>
          <cell r="H3822">
            <v>30.32</v>
          </cell>
        </row>
        <row r="3823">
          <cell r="A3823">
            <v>325913</v>
          </cell>
          <cell r="H3823">
            <v>33.770000000000003</v>
          </cell>
        </row>
        <row r="3824">
          <cell r="A3824">
            <v>326184</v>
          </cell>
          <cell r="H3824">
            <v>30.69</v>
          </cell>
        </row>
        <row r="3825">
          <cell r="A3825">
            <v>326865</v>
          </cell>
          <cell r="H3825">
            <v>41.88</v>
          </cell>
        </row>
        <row r="3826">
          <cell r="A3826">
            <v>326459</v>
          </cell>
          <cell r="H3826">
            <v>36.82</v>
          </cell>
        </row>
        <row r="3827">
          <cell r="A3827">
            <v>326463</v>
          </cell>
          <cell r="H3827">
            <v>30.79</v>
          </cell>
        </row>
        <row r="3828">
          <cell r="A3828">
            <v>328119</v>
          </cell>
          <cell r="H3828">
            <v>33.46</v>
          </cell>
        </row>
        <row r="3829">
          <cell r="A3829">
            <v>326967</v>
          </cell>
          <cell r="H3829">
            <v>39.700000000000003</v>
          </cell>
        </row>
        <row r="3830">
          <cell r="A3830">
            <v>326971</v>
          </cell>
          <cell r="H3830">
            <v>32.729999999999997</v>
          </cell>
        </row>
        <row r="3831">
          <cell r="A3831">
            <v>327208</v>
          </cell>
          <cell r="H3831">
            <v>41.71</v>
          </cell>
        </row>
        <row r="3832">
          <cell r="A3832">
            <v>327209</v>
          </cell>
          <cell r="H3832">
            <v>29.34</v>
          </cell>
        </row>
        <row r="3833">
          <cell r="A3833">
            <v>328138</v>
          </cell>
          <cell r="H3833">
            <v>33.46</v>
          </cell>
        </row>
        <row r="3834">
          <cell r="A3834">
            <v>327930</v>
          </cell>
          <cell r="H3834">
            <v>29.88</v>
          </cell>
        </row>
        <row r="3835">
          <cell r="A3835">
            <v>327931</v>
          </cell>
          <cell r="H3835">
            <v>32.840000000000003</v>
          </cell>
        </row>
        <row r="3836">
          <cell r="A3836">
            <v>327744</v>
          </cell>
          <cell r="H3836">
            <v>38.74</v>
          </cell>
        </row>
        <row r="3837">
          <cell r="A3837">
            <v>327971</v>
          </cell>
          <cell r="H3837">
            <v>32.86</v>
          </cell>
        </row>
        <row r="3838">
          <cell r="A3838">
            <v>327973</v>
          </cell>
          <cell r="H3838">
            <v>33.57</v>
          </cell>
        </row>
        <row r="3839">
          <cell r="A3839">
            <v>327974</v>
          </cell>
          <cell r="H3839">
            <v>41.93</v>
          </cell>
        </row>
        <row r="3840">
          <cell r="A3840">
            <v>328651</v>
          </cell>
          <cell r="H3840">
            <v>33.020000000000003</v>
          </cell>
        </row>
        <row r="3841">
          <cell r="A3841">
            <v>328485</v>
          </cell>
          <cell r="H3841">
            <v>30.19</v>
          </cell>
        </row>
        <row r="3842">
          <cell r="A3842">
            <v>329122</v>
          </cell>
          <cell r="H3842">
            <v>33.6</v>
          </cell>
        </row>
        <row r="3843">
          <cell r="A3843">
            <v>328726</v>
          </cell>
          <cell r="H3843">
            <v>34.159999999999997</v>
          </cell>
        </row>
        <row r="3844">
          <cell r="A3844">
            <v>329120</v>
          </cell>
          <cell r="H3844">
            <v>34.54</v>
          </cell>
        </row>
        <row r="3845">
          <cell r="A3845">
            <v>328836</v>
          </cell>
          <cell r="H3845">
            <v>32.83</v>
          </cell>
        </row>
        <row r="3846">
          <cell r="A3846">
            <v>329123</v>
          </cell>
          <cell r="H3846">
            <v>27.73</v>
          </cell>
        </row>
        <row r="3847">
          <cell r="A3847">
            <v>329124</v>
          </cell>
          <cell r="H3847">
            <v>33.25</v>
          </cell>
        </row>
        <row r="3848">
          <cell r="A3848">
            <v>329258</v>
          </cell>
          <cell r="H3848">
            <v>34.58</v>
          </cell>
        </row>
        <row r="3849">
          <cell r="A3849">
            <v>329333</v>
          </cell>
          <cell r="H3849">
            <v>34.39</v>
          </cell>
        </row>
        <row r="3850">
          <cell r="A3850">
            <v>329554</v>
          </cell>
          <cell r="H3850">
            <v>34.31</v>
          </cell>
        </row>
        <row r="3851">
          <cell r="A3851">
            <v>329555</v>
          </cell>
          <cell r="H3851">
            <v>34.17</v>
          </cell>
        </row>
        <row r="3852">
          <cell r="A3852">
            <v>329663</v>
          </cell>
          <cell r="H3852">
            <v>34.11</v>
          </cell>
        </row>
        <row r="3853">
          <cell r="A3853">
            <v>329666</v>
          </cell>
          <cell r="H3853">
            <v>37.86</v>
          </cell>
        </row>
        <row r="3854">
          <cell r="A3854">
            <v>330118</v>
          </cell>
          <cell r="H3854">
            <v>34.17</v>
          </cell>
        </row>
        <row r="3855">
          <cell r="A3855">
            <v>329745</v>
          </cell>
          <cell r="H3855">
            <v>27.33</v>
          </cell>
        </row>
        <row r="3856">
          <cell r="A3856">
            <v>330107</v>
          </cell>
          <cell r="H3856">
            <v>33.99</v>
          </cell>
        </row>
        <row r="3857">
          <cell r="A3857">
            <v>329746</v>
          </cell>
          <cell r="H3857">
            <v>27.89</v>
          </cell>
        </row>
        <row r="3858">
          <cell r="A3858">
            <v>330110</v>
          </cell>
          <cell r="H3858">
            <v>37.89</v>
          </cell>
        </row>
        <row r="3859">
          <cell r="A3859">
            <v>330236</v>
          </cell>
          <cell r="H3859">
            <v>29.04</v>
          </cell>
        </row>
        <row r="3860">
          <cell r="A3860">
            <v>330239</v>
          </cell>
          <cell r="H3860">
            <v>34.14</v>
          </cell>
        </row>
        <row r="3861">
          <cell r="A3861">
            <v>330423</v>
          </cell>
          <cell r="H3861">
            <v>34.200000000000003</v>
          </cell>
        </row>
        <row r="3862">
          <cell r="A3862">
            <v>330427</v>
          </cell>
          <cell r="H3862">
            <v>40.369999999999997</v>
          </cell>
        </row>
        <row r="3863">
          <cell r="A3863">
            <v>330428</v>
          </cell>
          <cell r="H3863">
            <v>46.07</v>
          </cell>
        </row>
        <row r="3864">
          <cell r="A3864">
            <v>330442</v>
          </cell>
          <cell r="H3864">
            <v>48.56</v>
          </cell>
        </row>
        <row r="3865">
          <cell r="A3865">
            <v>330547</v>
          </cell>
          <cell r="H3865">
            <v>34.14</v>
          </cell>
        </row>
        <row r="3866">
          <cell r="A3866">
            <v>330492</v>
          </cell>
          <cell r="H3866">
            <v>38.200000000000003</v>
          </cell>
        </row>
        <row r="3867">
          <cell r="A3867">
            <v>331088</v>
          </cell>
          <cell r="H3867">
            <v>40.43</v>
          </cell>
        </row>
        <row r="3868">
          <cell r="A3868">
            <v>331361</v>
          </cell>
          <cell r="H3868">
            <v>33.72</v>
          </cell>
        </row>
        <row r="3869">
          <cell r="A3869">
            <v>331367</v>
          </cell>
          <cell r="H3869">
            <v>36.01</v>
          </cell>
        </row>
        <row r="3870">
          <cell r="A3870">
            <v>331407</v>
          </cell>
          <cell r="H3870">
            <v>37.31</v>
          </cell>
        </row>
        <row r="3871">
          <cell r="A3871">
            <v>331410</v>
          </cell>
          <cell r="H3871">
            <v>36.5</v>
          </cell>
        </row>
        <row r="3872">
          <cell r="A3872">
            <v>331412</v>
          </cell>
          <cell r="H3872">
            <v>37.520000000000003</v>
          </cell>
        </row>
        <row r="3873">
          <cell r="A3873">
            <v>331414</v>
          </cell>
          <cell r="H3873">
            <v>35.950000000000003</v>
          </cell>
        </row>
        <row r="3874">
          <cell r="A3874">
            <v>331417</v>
          </cell>
          <cell r="H3874">
            <v>35.25</v>
          </cell>
        </row>
        <row r="3875">
          <cell r="A3875">
            <v>331420</v>
          </cell>
          <cell r="H3875">
            <v>38.07</v>
          </cell>
        </row>
        <row r="3876">
          <cell r="A3876">
            <v>331422</v>
          </cell>
          <cell r="H3876">
            <v>39.64</v>
          </cell>
        </row>
        <row r="3877">
          <cell r="A3877">
            <v>331433</v>
          </cell>
          <cell r="H3877">
            <v>34.01</v>
          </cell>
        </row>
        <row r="3878">
          <cell r="A3878">
            <v>331436</v>
          </cell>
          <cell r="H3878">
            <v>37.82</v>
          </cell>
        </row>
        <row r="3879">
          <cell r="A3879">
            <v>331439</v>
          </cell>
          <cell r="H3879">
            <v>40.42</v>
          </cell>
        </row>
        <row r="3880">
          <cell r="A3880">
            <v>331440</v>
          </cell>
          <cell r="H3880">
            <v>40.42</v>
          </cell>
        </row>
        <row r="3881">
          <cell r="A3881">
            <v>331442</v>
          </cell>
          <cell r="H3881">
            <v>36.01</v>
          </cell>
        </row>
        <row r="3882">
          <cell r="A3882">
            <v>331449</v>
          </cell>
          <cell r="H3882">
            <v>37.92</v>
          </cell>
        </row>
        <row r="3883">
          <cell r="A3883">
            <v>331450</v>
          </cell>
          <cell r="H3883">
            <v>38.99</v>
          </cell>
        </row>
        <row r="3884">
          <cell r="A3884">
            <v>331464</v>
          </cell>
          <cell r="H3884">
            <v>32.92</v>
          </cell>
        </row>
        <row r="3885">
          <cell r="A3885">
            <v>331465</v>
          </cell>
          <cell r="H3885">
            <v>34.880000000000003</v>
          </cell>
        </row>
        <row r="3886">
          <cell r="A3886">
            <v>331466</v>
          </cell>
          <cell r="H3886">
            <v>42.18</v>
          </cell>
        </row>
        <row r="3887">
          <cell r="A3887">
            <v>331467</v>
          </cell>
          <cell r="H3887">
            <v>36.229999999999997</v>
          </cell>
        </row>
        <row r="3888">
          <cell r="A3888">
            <v>331471</v>
          </cell>
          <cell r="H3888">
            <v>37.93</v>
          </cell>
        </row>
        <row r="3889">
          <cell r="A3889">
            <v>331478</v>
          </cell>
          <cell r="H3889">
            <v>37.729999999999997</v>
          </cell>
        </row>
        <row r="3890">
          <cell r="A3890">
            <v>331484</v>
          </cell>
          <cell r="H3890">
            <v>42.64</v>
          </cell>
        </row>
        <row r="3891">
          <cell r="A3891">
            <v>331490</v>
          </cell>
          <cell r="H3891">
            <v>39.94</v>
          </cell>
        </row>
        <row r="3892">
          <cell r="A3892">
            <v>331492</v>
          </cell>
          <cell r="H3892">
            <v>42.36</v>
          </cell>
        </row>
        <row r="3893">
          <cell r="A3893">
            <v>331502</v>
          </cell>
          <cell r="H3893">
            <v>36.299999999999997</v>
          </cell>
        </row>
        <row r="3894">
          <cell r="A3894">
            <v>331505</v>
          </cell>
          <cell r="H3894">
            <v>33.909999999999997</v>
          </cell>
        </row>
        <row r="3895">
          <cell r="A3895">
            <v>331506</v>
          </cell>
          <cell r="H3895">
            <v>38.99</v>
          </cell>
        </row>
        <row r="3896">
          <cell r="A3896">
            <v>331514</v>
          </cell>
          <cell r="H3896">
            <v>33.270000000000003</v>
          </cell>
        </row>
        <row r="3897">
          <cell r="A3897">
            <v>331545</v>
          </cell>
          <cell r="H3897">
            <v>36.81</v>
          </cell>
        </row>
        <row r="3898">
          <cell r="A3898">
            <v>331555</v>
          </cell>
          <cell r="H3898">
            <v>37.69</v>
          </cell>
        </row>
        <row r="3899">
          <cell r="A3899">
            <v>331556</v>
          </cell>
          <cell r="H3899">
            <v>35.69</v>
          </cell>
        </row>
        <row r="3900">
          <cell r="A3900">
            <v>331559</v>
          </cell>
          <cell r="H3900">
            <v>38.130000000000003</v>
          </cell>
        </row>
        <row r="3901">
          <cell r="A3901">
            <v>331561</v>
          </cell>
          <cell r="H3901">
            <v>39.94</v>
          </cell>
        </row>
        <row r="3902">
          <cell r="A3902">
            <v>331571</v>
          </cell>
          <cell r="H3902">
            <v>37.85</v>
          </cell>
        </row>
        <row r="3903">
          <cell r="A3903">
            <v>331572</v>
          </cell>
          <cell r="H3903">
            <v>40.42</v>
          </cell>
        </row>
        <row r="3904">
          <cell r="A3904">
            <v>331582</v>
          </cell>
          <cell r="H3904">
            <v>39.61</v>
          </cell>
        </row>
        <row r="3905">
          <cell r="A3905">
            <v>331583</v>
          </cell>
          <cell r="H3905">
            <v>35.01</v>
          </cell>
        </row>
        <row r="3906">
          <cell r="A3906">
            <v>331584</v>
          </cell>
          <cell r="H3906">
            <v>38.33</v>
          </cell>
        </row>
        <row r="3907">
          <cell r="A3907">
            <v>331594</v>
          </cell>
          <cell r="H3907">
            <v>33.869999999999997</v>
          </cell>
        </row>
        <row r="3908">
          <cell r="A3908">
            <v>331603</v>
          </cell>
          <cell r="H3908">
            <v>36.22</v>
          </cell>
        </row>
        <row r="3909">
          <cell r="A3909">
            <v>331609</v>
          </cell>
          <cell r="H3909">
            <v>39.86</v>
          </cell>
        </row>
        <row r="3910">
          <cell r="A3910">
            <v>331616</v>
          </cell>
          <cell r="H3910">
            <v>42.12</v>
          </cell>
        </row>
        <row r="3911">
          <cell r="A3911">
            <v>331619</v>
          </cell>
          <cell r="H3911">
            <v>38.630000000000003</v>
          </cell>
        </row>
        <row r="3912">
          <cell r="A3912">
            <v>331621</v>
          </cell>
          <cell r="H3912">
            <v>43.03</v>
          </cell>
        </row>
        <row r="3913">
          <cell r="A3913">
            <v>331623</v>
          </cell>
          <cell r="H3913">
            <v>40.07</v>
          </cell>
        </row>
        <row r="3914">
          <cell r="A3914">
            <v>331624</v>
          </cell>
          <cell r="H3914">
            <v>34.94</v>
          </cell>
        </row>
        <row r="3915">
          <cell r="A3915">
            <v>331625</v>
          </cell>
          <cell r="H3915">
            <v>35.79</v>
          </cell>
        </row>
        <row r="3916">
          <cell r="A3916">
            <v>331626</v>
          </cell>
          <cell r="H3916">
            <v>37.01</v>
          </cell>
        </row>
        <row r="3917">
          <cell r="A3917">
            <v>331629</v>
          </cell>
          <cell r="H3917">
            <v>43.21</v>
          </cell>
        </row>
        <row r="3918">
          <cell r="A3918">
            <v>331634</v>
          </cell>
          <cell r="H3918">
            <v>36.049999999999997</v>
          </cell>
        </row>
        <row r="3919">
          <cell r="A3919">
            <v>331635</v>
          </cell>
          <cell r="H3919">
            <v>38.200000000000003</v>
          </cell>
        </row>
        <row r="3920">
          <cell r="A3920">
            <v>331637</v>
          </cell>
          <cell r="H3920">
            <v>35.630000000000003</v>
          </cell>
        </row>
        <row r="3921">
          <cell r="A3921">
            <v>331644</v>
          </cell>
          <cell r="H3921">
            <v>35.590000000000003</v>
          </cell>
        </row>
        <row r="3922">
          <cell r="A3922">
            <v>331676</v>
          </cell>
          <cell r="H3922">
            <v>38.03</v>
          </cell>
        </row>
        <row r="3923">
          <cell r="A3923">
            <v>331677</v>
          </cell>
          <cell r="H3923">
            <v>36.33</v>
          </cell>
        </row>
        <row r="3924">
          <cell r="A3924">
            <v>331678</v>
          </cell>
          <cell r="H3924">
            <v>39.31</v>
          </cell>
        </row>
        <row r="3925">
          <cell r="A3925">
            <v>331683</v>
          </cell>
          <cell r="H3925">
            <v>42.9</v>
          </cell>
        </row>
        <row r="3926">
          <cell r="A3926">
            <v>331702</v>
          </cell>
          <cell r="H3926">
            <v>40.42</v>
          </cell>
        </row>
        <row r="3927">
          <cell r="A3927">
            <v>331703</v>
          </cell>
          <cell r="H3927">
            <v>38.200000000000003</v>
          </cell>
        </row>
        <row r="3928">
          <cell r="A3928">
            <v>331712</v>
          </cell>
          <cell r="H3928">
            <v>40.35</v>
          </cell>
        </row>
        <row r="3929">
          <cell r="A3929">
            <v>331718</v>
          </cell>
          <cell r="H3929">
            <v>38.08</v>
          </cell>
        </row>
        <row r="3930">
          <cell r="A3930">
            <v>331730</v>
          </cell>
          <cell r="H3930">
            <v>35.909999999999997</v>
          </cell>
        </row>
        <row r="3931">
          <cell r="A3931">
            <v>331731</v>
          </cell>
          <cell r="H3931">
            <v>37.51</v>
          </cell>
        </row>
        <row r="3932">
          <cell r="A3932">
            <v>331732</v>
          </cell>
          <cell r="H3932">
            <v>34.89</v>
          </cell>
        </row>
        <row r="3933">
          <cell r="A3933">
            <v>331733</v>
          </cell>
          <cell r="H3933">
            <v>37.49</v>
          </cell>
        </row>
        <row r="3934">
          <cell r="A3934">
            <v>331734</v>
          </cell>
          <cell r="H3934">
            <v>38.67</v>
          </cell>
        </row>
        <row r="3935">
          <cell r="A3935">
            <v>331750</v>
          </cell>
          <cell r="H3935">
            <v>33.130000000000003</v>
          </cell>
        </row>
        <row r="3936">
          <cell r="A3936">
            <v>331751</v>
          </cell>
          <cell r="H3936">
            <v>33.369999999999997</v>
          </cell>
        </row>
        <row r="3937">
          <cell r="A3937">
            <v>331752</v>
          </cell>
          <cell r="H3937">
            <v>40.1</v>
          </cell>
        </row>
        <row r="3938">
          <cell r="A3938">
            <v>331758</v>
          </cell>
          <cell r="H3938">
            <v>39.07</v>
          </cell>
        </row>
        <row r="3939">
          <cell r="A3939">
            <v>331763</v>
          </cell>
          <cell r="H3939">
            <v>33.1</v>
          </cell>
        </row>
        <row r="3940">
          <cell r="A3940">
            <v>331765</v>
          </cell>
          <cell r="H3940">
            <v>41.37</v>
          </cell>
        </row>
        <row r="3941">
          <cell r="A3941">
            <v>331774</v>
          </cell>
          <cell r="H3941">
            <v>36.28</v>
          </cell>
        </row>
        <row r="3942">
          <cell r="A3942">
            <v>331821</v>
          </cell>
          <cell r="H3942">
            <v>36.39</v>
          </cell>
        </row>
        <row r="3943">
          <cell r="A3943">
            <v>331822</v>
          </cell>
          <cell r="H3943">
            <v>37.56</v>
          </cell>
        </row>
        <row r="3944">
          <cell r="A3944">
            <v>331824</v>
          </cell>
          <cell r="H3944">
            <v>35.380000000000003</v>
          </cell>
        </row>
        <row r="3945">
          <cell r="A3945">
            <v>331838</v>
          </cell>
          <cell r="H3945">
            <v>38.200000000000003</v>
          </cell>
        </row>
        <row r="3946">
          <cell r="A3946">
            <v>331842</v>
          </cell>
          <cell r="H3946">
            <v>39.83</v>
          </cell>
        </row>
        <row r="3947">
          <cell r="A3947">
            <v>331844</v>
          </cell>
          <cell r="H3947">
            <v>39.049999999999997</v>
          </cell>
        </row>
        <row r="3948">
          <cell r="A3948">
            <v>331854</v>
          </cell>
          <cell r="H3948">
            <v>37.71</v>
          </cell>
        </row>
        <row r="3949">
          <cell r="A3949">
            <v>331859</v>
          </cell>
          <cell r="H3949">
            <v>38.01</v>
          </cell>
        </row>
        <row r="3950">
          <cell r="A3950">
            <v>331863</v>
          </cell>
          <cell r="H3950">
            <v>40.25</v>
          </cell>
        </row>
        <row r="3951">
          <cell r="A3951">
            <v>331870</v>
          </cell>
          <cell r="H3951">
            <v>37.729999999999997</v>
          </cell>
        </row>
        <row r="3952">
          <cell r="A3952">
            <v>331871</v>
          </cell>
          <cell r="H3952">
            <v>33.090000000000003</v>
          </cell>
        </row>
        <row r="3953">
          <cell r="A3953">
            <v>331872</v>
          </cell>
          <cell r="H3953">
            <v>40.049999999999997</v>
          </cell>
        </row>
        <row r="3954">
          <cell r="A3954">
            <v>331873</v>
          </cell>
          <cell r="H3954">
            <v>33.869999999999997</v>
          </cell>
        </row>
        <row r="3955">
          <cell r="A3955">
            <v>331875</v>
          </cell>
          <cell r="H3955">
            <v>32.99</v>
          </cell>
        </row>
        <row r="3956">
          <cell r="A3956">
            <v>331888</v>
          </cell>
          <cell r="H3956">
            <v>35.909999999999997</v>
          </cell>
        </row>
        <row r="3957">
          <cell r="A3957">
            <v>331899</v>
          </cell>
          <cell r="H3957">
            <v>47.78</v>
          </cell>
        </row>
        <row r="3958">
          <cell r="A3958">
            <v>331901</v>
          </cell>
          <cell r="H3958">
            <v>40.57</v>
          </cell>
        </row>
        <row r="3959">
          <cell r="A3959">
            <v>331905</v>
          </cell>
          <cell r="H3959">
            <v>38.71</v>
          </cell>
        </row>
        <row r="3960">
          <cell r="A3960">
            <v>331912</v>
          </cell>
          <cell r="H3960">
            <v>38.840000000000003</v>
          </cell>
        </row>
        <row r="3961">
          <cell r="A3961">
            <v>331913</v>
          </cell>
          <cell r="H3961">
            <v>42.23</v>
          </cell>
        </row>
        <row r="3962">
          <cell r="A3962">
            <v>331914</v>
          </cell>
          <cell r="H3962">
            <v>40.98</v>
          </cell>
        </row>
        <row r="3963">
          <cell r="A3963">
            <v>331916</v>
          </cell>
          <cell r="H3963">
            <v>35.81</v>
          </cell>
        </row>
        <row r="3964">
          <cell r="A3964">
            <v>331933</v>
          </cell>
          <cell r="H3964">
            <v>36.07</v>
          </cell>
        </row>
        <row r="3965">
          <cell r="A3965">
            <v>331969</v>
          </cell>
          <cell r="H3965">
            <v>35.76</v>
          </cell>
        </row>
        <row r="3966">
          <cell r="A3966">
            <v>331970</v>
          </cell>
          <cell r="H3966">
            <v>42.78</v>
          </cell>
        </row>
        <row r="3967">
          <cell r="A3967">
            <v>331977</v>
          </cell>
          <cell r="H3967">
            <v>38.200000000000003</v>
          </cell>
        </row>
        <row r="3968">
          <cell r="A3968">
            <v>331979</v>
          </cell>
          <cell r="H3968">
            <v>44.43</v>
          </cell>
        </row>
        <row r="3969">
          <cell r="A3969">
            <v>331984</v>
          </cell>
          <cell r="H3969">
            <v>33.25</v>
          </cell>
        </row>
        <row r="3970">
          <cell r="A3970">
            <v>331986</v>
          </cell>
          <cell r="H3970">
            <v>40.270000000000003</v>
          </cell>
        </row>
        <row r="3971">
          <cell r="A3971">
            <v>331998</v>
          </cell>
          <cell r="H3971">
            <v>41.15</v>
          </cell>
        </row>
        <row r="3972">
          <cell r="A3972">
            <v>332001</v>
          </cell>
          <cell r="H3972">
            <v>39.14</v>
          </cell>
        </row>
        <row r="3973">
          <cell r="A3973">
            <v>332003</v>
          </cell>
          <cell r="H3973">
            <v>41.24</v>
          </cell>
        </row>
        <row r="3974">
          <cell r="A3974">
            <v>332006</v>
          </cell>
          <cell r="H3974">
            <v>36.36</v>
          </cell>
        </row>
        <row r="3975">
          <cell r="A3975">
            <v>332008</v>
          </cell>
          <cell r="H3975">
            <v>34.85</v>
          </cell>
        </row>
        <row r="3976">
          <cell r="A3976">
            <v>332009</v>
          </cell>
          <cell r="H3976">
            <v>34.01</v>
          </cell>
        </row>
        <row r="3977">
          <cell r="A3977">
            <v>332010</v>
          </cell>
          <cell r="H3977">
            <v>36.950000000000003</v>
          </cell>
        </row>
        <row r="3978">
          <cell r="A3978">
            <v>332012</v>
          </cell>
          <cell r="H3978">
            <v>39.31</v>
          </cell>
        </row>
        <row r="3979">
          <cell r="A3979">
            <v>332023</v>
          </cell>
          <cell r="H3979">
            <v>33.65</v>
          </cell>
        </row>
        <row r="3980">
          <cell r="A3980">
            <v>332024</v>
          </cell>
          <cell r="H3980">
            <v>36.33</v>
          </cell>
        </row>
        <row r="3981">
          <cell r="A3981">
            <v>332028</v>
          </cell>
          <cell r="H3981">
            <v>39.090000000000003</v>
          </cell>
        </row>
        <row r="3982">
          <cell r="A3982">
            <v>332033</v>
          </cell>
          <cell r="H3982">
            <v>37.29</v>
          </cell>
        </row>
        <row r="3983">
          <cell r="A3983">
            <v>332034</v>
          </cell>
          <cell r="H3983">
            <v>36.840000000000003</v>
          </cell>
        </row>
        <row r="3984">
          <cell r="A3984">
            <v>332035</v>
          </cell>
          <cell r="H3984">
            <v>38.200000000000003</v>
          </cell>
        </row>
        <row r="3985">
          <cell r="A3985">
            <v>332041</v>
          </cell>
          <cell r="H3985">
            <v>36.04</v>
          </cell>
        </row>
        <row r="3986">
          <cell r="A3986">
            <v>332042</v>
          </cell>
          <cell r="H3986">
            <v>35.96</v>
          </cell>
        </row>
        <row r="3987">
          <cell r="A3987">
            <v>332047</v>
          </cell>
          <cell r="H3987">
            <v>41.77</v>
          </cell>
        </row>
        <row r="3988">
          <cell r="A3988">
            <v>332090</v>
          </cell>
          <cell r="H3988">
            <v>35.83</v>
          </cell>
        </row>
        <row r="3989">
          <cell r="A3989">
            <v>332092</v>
          </cell>
          <cell r="H3989">
            <v>36.270000000000003</v>
          </cell>
        </row>
        <row r="3990">
          <cell r="A3990">
            <v>332093</v>
          </cell>
          <cell r="H3990">
            <v>40.51</v>
          </cell>
        </row>
        <row r="3991">
          <cell r="A3991">
            <v>332096</v>
          </cell>
          <cell r="H3991">
            <v>38.72</v>
          </cell>
        </row>
        <row r="3992">
          <cell r="A3992">
            <v>332101</v>
          </cell>
          <cell r="H3992">
            <v>35.49</v>
          </cell>
        </row>
        <row r="3993">
          <cell r="A3993">
            <v>332103</v>
          </cell>
          <cell r="H3993">
            <v>39.74</v>
          </cell>
        </row>
        <row r="3994">
          <cell r="A3994">
            <v>332104</v>
          </cell>
          <cell r="H3994">
            <v>36.130000000000003</v>
          </cell>
        </row>
        <row r="3995">
          <cell r="A3995">
            <v>332109</v>
          </cell>
          <cell r="H3995">
            <v>33.979999999999997</v>
          </cell>
        </row>
        <row r="3996">
          <cell r="A3996">
            <v>332110</v>
          </cell>
          <cell r="H3996">
            <v>38.39</v>
          </cell>
        </row>
        <row r="3997">
          <cell r="A3997">
            <v>332113</v>
          </cell>
          <cell r="H3997">
            <v>40.46</v>
          </cell>
        </row>
        <row r="3998">
          <cell r="A3998">
            <v>332122</v>
          </cell>
          <cell r="H3998">
            <v>37.49</v>
          </cell>
        </row>
        <row r="3999">
          <cell r="A3999">
            <v>332129</v>
          </cell>
          <cell r="H3999">
            <v>38.020000000000003</v>
          </cell>
        </row>
        <row r="4000">
          <cell r="A4000">
            <v>332226</v>
          </cell>
          <cell r="H4000">
            <v>38.69</v>
          </cell>
        </row>
        <row r="4001">
          <cell r="A4001">
            <v>332258</v>
          </cell>
          <cell r="H4001">
            <v>38.700000000000003</v>
          </cell>
        </row>
        <row r="4002">
          <cell r="A4002">
            <v>332260</v>
          </cell>
          <cell r="H4002">
            <v>36.17</v>
          </cell>
        </row>
        <row r="4003">
          <cell r="A4003">
            <v>332265</v>
          </cell>
          <cell r="H4003">
            <v>40.43</v>
          </cell>
        </row>
        <row r="4004">
          <cell r="A4004">
            <v>332274</v>
          </cell>
          <cell r="H4004">
            <v>40.42</v>
          </cell>
        </row>
        <row r="4005">
          <cell r="A4005">
            <v>332279</v>
          </cell>
          <cell r="H4005">
            <v>47.3</v>
          </cell>
        </row>
        <row r="4006">
          <cell r="A4006">
            <v>332287</v>
          </cell>
          <cell r="H4006">
            <v>39.67</v>
          </cell>
        </row>
        <row r="4007">
          <cell r="A4007">
            <v>332289</v>
          </cell>
          <cell r="H4007">
            <v>33.630000000000003</v>
          </cell>
        </row>
        <row r="4008">
          <cell r="A4008">
            <v>332290</v>
          </cell>
          <cell r="H4008">
            <v>37.53</v>
          </cell>
        </row>
        <row r="4009">
          <cell r="A4009">
            <v>332292</v>
          </cell>
          <cell r="H4009">
            <v>34.94</v>
          </cell>
        </row>
        <row r="4010">
          <cell r="A4010">
            <v>332293</v>
          </cell>
          <cell r="H4010">
            <v>38.6</v>
          </cell>
        </row>
        <row r="4011">
          <cell r="A4011">
            <v>332294</v>
          </cell>
          <cell r="H4011">
            <v>33.85</v>
          </cell>
        </row>
        <row r="4012">
          <cell r="A4012">
            <v>332306</v>
          </cell>
          <cell r="H4012">
            <v>45.09</v>
          </cell>
        </row>
        <row r="4013">
          <cell r="A4013">
            <v>332307</v>
          </cell>
          <cell r="H4013">
            <v>36.43</v>
          </cell>
        </row>
        <row r="4014">
          <cell r="A4014">
            <v>332316</v>
          </cell>
          <cell r="H4014">
            <v>43.81</v>
          </cell>
        </row>
        <row r="4015">
          <cell r="A4015">
            <v>332319</v>
          </cell>
          <cell r="H4015">
            <v>43.48</v>
          </cell>
        </row>
        <row r="4016">
          <cell r="A4016">
            <v>332322</v>
          </cell>
          <cell r="H4016">
            <v>37.049999999999997</v>
          </cell>
        </row>
        <row r="4017">
          <cell r="A4017">
            <v>332323</v>
          </cell>
          <cell r="H4017">
            <v>38.270000000000003</v>
          </cell>
        </row>
        <row r="4018">
          <cell r="A4018">
            <v>332324</v>
          </cell>
          <cell r="H4018">
            <v>37.22</v>
          </cell>
        </row>
        <row r="4019">
          <cell r="A4019">
            <v>332338</v>
          </cell>
          <cell r="H4019">
            <v>36.54</v>
          </cell>
        </row>
        <row r="4020">
          <cell r="A4020">
            <v>332351</v>
          </cell>
          <cell r="H4020">
            <v>36.19</v>
          </cell>
        </row>
        <row r="4021">
          <cell r="A4021">
            <v>332400</v>
          </cell>
          <cell r="H4021">
            <v>36.11</v>
          </cell>
        </row>
        <row r="4022">
          <cell r="A4022">
            <v>332411</v>
          </cell>
          <cell r="H4022">
            <v>33.83</v>
          </cell>
        </row>
        <row r="4023">
          <cell r="A4023">
            <v>332412</v>
          </cell>
          <cell r="H4023">
            <v>39.159999999999997</v>
          </cell>
        </row>
        <row r="4024">
          <cell r="A4024">
            <v>332414</v>
          </cell>
          <cell r="H4024">
            <v>35.229999999999997</v>
          </cell>
        </row>
        <row r="4025">
          <cell r="A4025">
            <v>332418</v>
          </cell>
          <cell r="H4025">
            <v>38.56</v>
          </cell>
        </row>
        <row r="4026">
          <cell r="A4026">
            <v>332423</v>
          </cell>
          <cell r="H4026">
            <v>37.369999999999997</v>
          </cell>
        </row>
        <row r="4027">
          <cell r="A4027">
            <v>332427</v>
          </cell>
          <cell r="H4027">
            <v>33.979999999999997</v>
          </cell>
        </row>
        <row r="4028">
          <cell r="A4028">
            <v>332432</v>
          </cell>
          <cell r="H4028">
            <v>39.71</v>
          </cell>
        </row>
        <row r="4029">
          <cell r="A4029">
            <v>332435</v>
          </cell>
          <cell r="H4029">
            <v>40.43</v>
          </cell>
        </row>
        <row r="4030">
          <cell r="A4030">
            <v>332438</v>
          </cell>
          <cell r="H4030">
            <v>38.17</v>
          </cell>
        </row>
        <row r="4031">
          <cell r="A4031">
            <v>332443</v>
          </cell>
          <cell r="H4031">
            <v>40.43</v>
          </cell>
        </row>
        <row r="4032">
          <cell r="A4032">
            <v>332452</v>
          </cell>
          <cell r="H4032">
            <v>33.880000000000003</v>
          </cell>
        </row>
        <row r="4033">
          <cell r="A4033">
            <v>332471</v>
          </cell>
          <cell r="H4033">
            <v>42.21</v>
          </cell>
        </row>
        <row r="4034">
          <cell r="A4034">
            <v>332475</v>
          </cell>
          <cell r="H4034">
            <v>38.200000000000003</v>
          </cell>
        </row>
        <row r="4035">
          <cell r="A4035">
            <v>332476</v>
          </cell>
          <cell r="H4035">
            <v>37.82</v>
          </cell>
        </row>
        <row r="4036">
          <cell r="A4036">
            <v>332477</v>
          </cell>
          <cell r="H4036">
            <v>37.47</v>
          </cell>
        </row>
        <row r="4037">
          <cell r="A4037">
            <v>332488</v>
          </cell>
          <cell r="H4037">
            <v>36.79</v>
          </cell>
        </row>
        <row r="4038">
          <cell r="A4038">
            <v>332489</v>
          </cell>
          <cell r="H4038">
            <v>43.39</v>
          </cell>
        </row>
        <row r="4039">
          <cell r="A4039">
            <v>332143</v>
          </cell>
          <cell r="H4039">
            <v>35.92</v>
          </cell>
        </row>
        <row r="4040">
          <cell r="A4040">
            <v>332150</v>
          </cell>
          <cell r="H4040">
            <v>41.95</v>
          </cell>
        </row>
        <row r="4041">
          <cell r="A4041">
            <v>332156</v>
          </cell>
          <cell r="H4041">
            <v>40.68</v>
          </cell>
        </row>
        <row r="4042">
          <cell r="A4042">
            <v>332157</v>
          </cell>
          <cell r="H4042">
            <v>33.72</v>
          </cell>
        </row>
        <row r="4043">
          <cell r="A4043">
            <v>332158</v>
          </cell>
          <cell r="H4043">
            <v>37.22</v>
          </cell>
        </row>
        <row r="4044">
          <cell r="A4044">
            <v>332169</v>
          </cell>
          <cell r="H4044">
            <v>40.770000000000003</v>
          </cell>
        </row>
        <row r="4045">
          <cell r="A4045">
            <v>332173</v>
          </cell>
          <cell r="H4045">
            <v>35.869999999999997</v>
          </cell>
        </row>
        <row r="4046">
          <cell r="A4046">
            <v>332175</v>
          </cell>
          <cell r="H4046">
            <v>36.14</v>
          </cell>
        </row>
        <row r="4047">
          <cell r="A4047">
            <v>332179</v>
          </cell>
          <cell r="H4047">
            <v>37.14</v>
          </cell>
        </row>
        <row r="4048">
          <cell r="A4048">
            <v>332197</v>
          </cell>
          <cell r="H4048">
            <v>35.89</v>
          </cell>
        </row>
        <row r="4049">
          <cell r="A4049">
            <v>332208</v>
          </cell>
          <cell r="H4049">
            <v>36.22</v>
          </cell>
        </row>
        <row r="4050">
          <cell r="A4050">
            <v>332384</v>
          </cell>
          <cell r="H4050">
            <v>36.39</v>
          </cell>
        </row>
        <row r="4051">
          <cell r="A4051">
            <v>332396</v>
          </cell>
          <cell r="H4051">
            <v>44.24</v>
          </cell>
        </row>
        <row r="4052">
          <cell r="A4052">
            <v>332397</v>
          </cell>
          <cell r="H4052">
            <v>36.299999999999997</v>
          </cell>
        </row>
        <row r="4053">
          <cell r="A4053">
            <v>332215</v>
          </cell>
          <cell r="H4053">
            <v>37.43</v>
          </cell>
        </row>
        <row r="4054">
          <cell r="A4054">
            <v>332216</v>
          </cell>
          <cell r="H4054">
            <v>36.450000000000003</v>
          </cell>
        </row>
        <row r="4055">
          <cell r="A4055">
            <v>332399</v>
          </cell>
          <cell r="H4055">
            <v>40.42</v>
          </cell>
        </row>
        <row r="4056">
          <cell r="A4056">
            <v>332218</v>
          </cell>
          <cell r="H4056">
            <v>37.74</v>
          </cell>
        </row>
        <row r="4057">
          <cell r="A4057">
            <v>332219</v>
          </cell>
          <cell r="H4057">
            <v>36.6</v>
          </cell>
        </row>
        <row r="4058">
          <cell r="A4058">
            <v>331186</v>
          </cell>
          <cell r="H4058">
            <v>38.270000000000003</v>
          </cell>
        </row>
        <row r="4059">
          <cell r="A4059">
            <v>332691</v>
          </cell>
          <cell r="H4059">
            <v>33.409999999999997</v>
          </cell>
        </row>
        <row r="4060">
          <cell r="A4060">
            <v>332139</v>
          </cell>
          <cell r="H4060">
            <v>38.4</v>
          </cell>
        </row>
        <row r="4061">
          <cell r="A4061">
            <v>332385</v>
          </cell>
          <cell r="H4061">
            <v>33.619999999999997</v>
          </cell>
        </row>
        <row r="4062">
          <cell r="A4062">
            <v>332352</v>
          </cell>
          <cell r="H4062">
            <v>35.72</v>
          </cell>
        </row>
        <row r="4063">
          <cell r="A4063">
            <v>332507</v>
          </cell>
          <cell r="H4063">
            <v>40.270000000000003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s"/>
      <sheetName val="Predictions"/>
      <sheetName val="Lookups"/>
      <sheetName val="VP Data"/>
      <sheetName val="VP Data Complete"/>
      <sheetName val="Weather Data Raw Input"/>
      <sheetName val="Weather Data Raw"/>
      <sheetName val="Weather Data"/>
      <sheetName val="VP Simulation"/>
      <sheetName val="KS - Test"/>
      <sheetName val="VP Simulation Prediction"/>
    </sheetNames>
    <sheetDataSet>
      <sheetData sheetId="0" refreshError="1"/>
      <sheetData sheetId="1" refreshError="1"/>
      <sheetData sheetId="2"/>
      <sheetData sheetId="3" refreshError="1"/>
      <sheetData sheetId="4"/>
      <sheetData sheetId="5"/>
      <sheetData sheetId="6" refreshError="1"/>
      <sheetData sheetId="7" refreshError="1"/>
      <sheetData sheetId="8"/>
      <sheetData sheetId="9" refreshError="1"/>
      <sheetData sheetId="10" refreshError="1"/>
    </sheetDataSet>
  </externalBook>
</externalLink>
</file>

<file path=xl/tables/table1.xml><?xml version="1.0" encoding="utf-8"?>
<table xmlns="http://schemas.openxmlformats.org/spreadsheetml/2006/main" id="2" name="vp.data" displayName="vp.data" ref="A1:AQ1733" totalsRowShown="0" dataDxfId="18" dataCellStyle="Comma">
  <autoFilter ref="A1:AQ1733"/>
  <tableColumns count="43">
    <tableColumn id="1" name="ID"/>
    <tableColumn id="2" name="Producer"/>
    <tableColumn id="3" name="Producer.1"/>
    <tableColumn id="4" name="Battery"/>
    <tableColumn id="5" name="Battery.1"/>
    <tableColumn id="6" name="SDate" dataDxfId="42"/>
    <tableColumn id="7" name="VP" dataDxfId="41"/>
    <tableColumn id="8" name="Sulf Input" dataDxfId="40"/>
    <tableColumn id="9" name="Sulf" dataDxfId="39">
      <calculatedColumnFormula array="1">_xlfn.IFNA(IF(vp.data[[#This Row],[Sulf Input]]="",INDEX([1]DATA!$Q$3:$Q$9826,MATCH(1,(vp.data[[#This Row],[Battery]]=[1]DATA!$L$3:$L$9826)*(EOMONTH(vp.data[[#This Row],[SDate]],-1)+1=[1]DATA!$G$3:$G$9826),0)),vp.data[[#This Row],[Sulf Input]]),"")</calculatedColumnFormula>
    </tableColumn>
    <tableColumn id="10" name="S.Temp" dataDxfId="38"/>
    <tableColumn id="11" name="A.Temp" dataDxfId="37"/>
    <tableColumn id="12" name="Dens Input" dataDxfId="36"/>
    <tableColumn id="13" name="Dens" dataDxfId="35">
      <calculatedColumnFormula array="1">_xlfn.IFNA(IF(vp.data[[#This Row],[Dens Input]]="",INDEX([1]DATA!$O$3:$O$9826,MATCH(1,(vp.data[[#This Row],[Battery]]=[1]DATA!$L$3:$L$9826)*(EOMONTH(vp.data[[#This Row],[SDate]],-1)+1=[1]DATA!$G$3:$G$9826),0)),vp.data[[#This Row],[Dens Input]]),"")</calculatedColumnFormula>
    </tableColumn>
    <tableColumn id="14" name="Temp.Mean" dataDxfId="34">
      <calculatedColumnFormula>INDEX(INDIRECT(_xlfn.CONCAT("weather.tbl[",N$1,"]")),MATCH(vp.data[[#This Row],[SDate]],weather.tbl[Date],0))</calculatedColumnFormula>
    </tableColumn>
    <tableColumn id="15" name="Temp.Roll" dataDxfId="33">
      <calculatedColumnFormula>INDEX(INDIRECT(_xlfn.CONCAT("weather.tbl[",O$1,"]")),MATCH(vp.data[[#This Row],[SDate]],weather.tbl[Date],0))</calculatedColumnFormula>
    </tableColumn>
    <tableColumn id="16" name="Estevan" dataDxfId="32">
      <calculatedColumnFormula>INDEX(INDIRECT(_xlfn.CONCAT("weather.tbl[",P$1,"]")),MATCH(vp.data[[#This Row],[SDate]],weather.tbl[Date],0))</calculatedColumnFormula>
    </tableColumn>
    <tableColumn id="17" name="Weyburn" dataDxfId="31">
      <calculatedColumnFormula>INDEX(INDIRECT(_xlfn.CONCAT("weather.tbl[",Q$1,"]")),MATCH(vp.data[[#This Row],[SDate]],weather.tbl[Date],0))</calculatedColumnFormula>
    </tableColumn>
    <tableColumn id="18" name="Oxbow" dataDxfId="30">
      <calculatedColumnFormula>INDEX(INDIRECT(_xlfn.CONCAT("weather.tbl[",R$1,"]")),MATCH(vp.data[[#This Row],[SDate]],weather.tbl[Date],0))</calculatedColumnFormula>
    </tableColumn>
    <tableColumn id="19" name="Yellow Grass North" dataDxfId="29">
      <calculatedColumnFormula>INDEX(INDIRECT(_xlfn.CONCAT("weather.tbl[",S$1,"]")),MATCH(vp.data[[#This Row],[SDate]],weather.tbl[Date],0))</calculatedColumnFormula>
    </tableColumn>
    <tableColumn id="20" name="Melita" dataDxfId="28">
      <calculatedColumnFormula>INDEX(INDIRECT(_xlfn.CONCAT("weather.tbl[",T$1,"]")),MATCH(vp.data[[#This Row],[SDate]],weather.tbl[Date],0))</calculatedColumnFormula>
    </tableColumn>
    <tableColumn id="21" name="Kipling" dataDxfId="27">
      <calculatedColumnFormula>INDEX(INDIRECT(_xlfn.CONCAT("weather.tbl[",U$1,"]")),MATCH(vp.data[[#This Row],[SDate]],weather.tbl[Date],0))</calculatedColumnFormula>
    </tableColumn>
    <tableColumn id="22" name="VolumeM3" dataDxfId="26">
      <calculatedColumnFormula array="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calculatedColumnFormula>
    </tableColumn>
    <tableColumn id="23" name="CrudeType"/>
    <tableColumn id="24" name="Unknown">
      <calculatedColumnFormula>IF(OR(vp.data[[#This Row],[Sulf]]="",vp.data[[#This Row],[Dens]]=""),1,0)</calculatedColumnFormula>
    </tableColumn>
    <tableColumn id="25" name="C5">
      <calculatedColumnFormula>IF(vp.data[[#This Row],[CrudeType]]="C5+",1,0)</calculatedColumnFormula>
    </tableColumn>
    <tableColumn id="26" name="Light_LSB">
      <calculatedColumnFormula>IF(AND(vp.data[[#This Row],[CrudeType]]="Crude",vp.data[[#This Row],[Dens]]&lt;=825,vp.data[[#This Row],[Sulf]]&gt;0.5,vp.data[[#This Row],[Unknown]]=0),1,0)</calculatedColumnFormula>
    </tableColumn>
    <tableColumn id="27" name="Light_SW">
      <calculatedColumnFormula>IF(AND(vp.data[[#This Row],[CrudeType]]="Crude",vp.data[[#This Row],[Dens]]&lt;=825,vp.data[[#This Row],[Sulf]]&lt;=0.5,vp.data[[#This Row],[Unknown]]=0),1,0)</calculatedColumnFormula>
    </tableColumn>
    <tableColumn id="28" name="Medium_LSB">
      <calculatedColumnFormula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calculatedColumnFormula>
    </tableColumn>
    <tableColumn id="29" name="Medium_SW">
      <calculatedColumnFormula>IF(AND(vp.data[[#This Row],[CrudeType]]="Crude",vp.data[[#This Row],[Dens]]&gt;825,vp.data[[#This Row],[Dens]]&lt;=900,vp.data[[#This Row],[Sulf]]&lt;=0.5,vp.data[[#This Row],[Unknown]]=0),1,0)</calculatedColumnFormula>
    </tableColumn>
    <tableColumn id="30" name="Midale">
      <calculatedColumnFormula>IF(AND(vp.data[[#This Row],[CrudeType]]="Crude",vp.data[[#This Row],[Dens]]&gt;865,vp.data[[#This Row],[Dens]]&lt;=900,vp.data[[#This Row],[Sulf]]&gt;2,vp.data[[#This Row],[Unknown]]=0),1,0)</calculatedColumnFormula>
    </tableColumn>
    <tableColumn id="31" name="Heavy_Sour">
      <calculatedColumnFormula>IF(AND(vp.data[[#This Row],[CrudeType]]="Crude",vp.data[[#This Row],[Dens]]&gt;900,vp.data[[#This Row],[Sulf]]&lt;=0.5,vp.data[[#This Row],[Unknown]]=0),1,0)</calculatedColumnFormula>
    </tableColumn>
    <tableColumn id="32" name="Heavy_SW">
      <calculatedColumnFormula>IF(AND(vp.data[[#This Row],[CrudeType]]="Crude",vp.data[[#This Row],[Dens]]&gt;900,vp.data[[#This Row],[Sulf]]&lt;=0.5,vp.data[[#This Row],[Unknown]]=0),1,0)</calculatedColumnFormula>
    </tableColumn>
    <tableColumn id="33" name="Crude_Breakdown">
      <calculatedColumnFormula>INDEX(vp.data[[#Headers],[Unknown]:[Heavy_SW]],MATCH(1,vp.data[[#This Row],[Unknown]:[Heavy_SW]],0))</calculatedColumnFormula>
    </tableColumn>
    <tableColumn id="34" name="Crude_Num" dataDxfId="17">
      <calculatedColumnFormula>INDEX([3]!crudeBD.lkup[Number],MATCH(vp.data[[#This Row],[Crude_Breakdown]],crudeBD.lkup[Crude Breakdown],0))</calculatedColumnFormula>
    </tableColumn>
    <tableColumn id="35" name="mth">
      <calculatedColumnFormula>MONTH(vp.data[[#This Row],[SDate]])</calculatedColumnFormula>
    </tableColumn>
    <tableColumn id="36" name="SS_VP" dataDxfId="25">
      <calculatedColumnFormula>(vp.data[[#This Row],[VP]]-INDEX([3]!crudeBD.lkup.complete[Mean_VP],MATCH(vp.data[[#This Row],[Crude_Breakdown]],[3]!crudeBD.lkup.complete[Crude Breakdown],0)))^2</calculatedColumnFormula>
    </tableColumn>
    <tableColumn id="37" name="SS_Dens" dataDxfId="24">
      <calculatedColumnFormula>(vp.data[[#This Row],[Dens]]-INDEX([3]!crudeBD.lkup.complete[Mean_Dens],MATCH(vp.data[[#This Row],[Crude_Breakdown]],[3]!crudeBD.lkup.complete[Crude Breakdown],0)))^2</calculatedColumnFormula>
    </tableColumn>
    <tableColumn id="38" name="SS_Sulf" dataDxfId="23">
      <calculatedColumnFormula>(vp.data[[#This Row],[Sulf]]-INDEX([3]!crudeBD.lkup.complete[Mean_Sulf],MATCH(vp.data[[#This Row],[Crude_Breakdown]],[3]!crudeBD.lkup.complete[Crude Breakdown],0)))^2</calculatedColumnFormula>
    </tableColumn>
    <tableColumn id="39" name="VP_95_Spec" dataDxfId="22" dataCellStyle="Comma">
      <calculatedColumnFormula>IF(AND(vp.data[[#This Row],[SDate]]&gt;=DATE(YEAR(vp.data[[#This Row],[SDate]]),5,1),vp.data[[#This Row],[SDate]]&lt;=DATE(YEAR(vp.data[[#This Row],[SDate]]),9,15)),1,0)</calculatedColumnFormula>
    </tableColumn>
    <tableColumn id="40" name="Post_Aquisition" dataDxfId="21" dataCellStyle="Comma">
      <calculatedColumnFormula>IF(vp.data[[#This Row],[SDate]]&lt;DATE(2016,12,1),0,1)</calculatedColumnFormula>
    </tableColumn>
    <tableColumn id="41" name="Net Sulf" dataDxfId="20" dataCellStyle="Comma">
      <calculatedColumnFormula>IFERROR(vp.data[[#This Row],[Sulf]]*vp.data[[#This Row],[Net Dens]],"")</calculatedColumnFormula>
    </tableColumn>
    <tableColumn id="42" name="Net Dens">
      <calculatedColumnFormula>IFERROR(vp.data[[#This Row],[Dens]]*vp.data[[#This Row],[VolumeM3]],"")</calculatedColumnFormula>
    </tableColumn>
    <tableColumn id="43" name="Net VP" dataDxfId="19" dataCellStyle="Comma">
      <calculatedColumnFormula>IFERROR(vp.data[[#This Row],[VP]]*vp.data[[#This Row],[VolumeM3]],"")</calculatedColumnFormula>
    </tableColumn>
  </tableColumns>
  <tableStyleInfo showFirstColumn="0" showLastColumn="0" showRowStripes="0" showColumnStripes="0"/>
</table>
</file>

<file path=xl/tables/table2.xml><?xml version="1.0" encoding="utf-8"?>
<table xmlns="http://schemas.openxmlformats.org/spreadsheetml/2006/main" id="1" name="weather.tbl" displayName="weather.tbl" ref="A1:M1281" totalsRowShown="0">
  <autoFilter ref="A1:M1281"/>
  <tableColumns count="13">
    <tableColumn id="1" name="Date" dataDxfId="110"/>
    <tableColumn id="2" name="Estevan" dataDxfId="109"/>
    <tableColumn id="3" name="Weyburn" dataDxfId="108"/>
    <tableColumn id="4" name="Oxbow" dataDxfId="107"/>
    <tableColumn id="5" name="Yellow Grass North" dataDxfId="106"/>
    <tableColumn id="6" name="Melita" dataDxfId="105"/>
    <tableColumn id="7" name="Kipling" dataDxfId="104"/>
    <tableColumn id="8" name="Temp.Mean" dataDxfId="103">
      <calculatedColumnFormula>AVERAGE(weather.tbl[[#This Row],[Estevan]:[Kipling]])</calculatedColumnFormula>
    </tableColumn>
    <tableColumn id="9" name="SD" dataDxfId="102">
      <calculatedColumnFormula>_xlfn.STDEV.S(weather.tbl[[#This Row],[Estevan]:[Kipling]])</calculatedColumnFormula>
    </tableColumn>
    <tableColumn id="10" name="Temp.Roll" dataDxfId="101"/>
    <tableColumn id="11" name="day" dataDxfId="100">
      <calculatedColumnFormula>DAY(weather.tbl[[#This Row],[Date]])</calculatedColumnFormula>
    </tableColumn>
    <tableColumn id="12" name="mth" dataDxfId="99">
      <calculatedColumnFormula>MONTH(weather.tbl[[#This Row],[Date]])</calculatedColumnFormula>
    </tableColumn>
    <tableColumn id="13" name="yr" dataDxfId="98">
      <calculatedColumnFormula>YEAR(weather.tbl[[#This Row],[Date]])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mthLkUp.tbl" displayName="mthLkUp.tbl" ref="A1:B13" totalsRowShown="0">
  <autoFilter ref="A1:B13"/>
  <tableColumns count="2">
    <tableColumn id="1" name="Month"/>
    <tableColumn id="2" name="Num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rudeBD.lkup" displayName="crudeBD.lkup" ref="D1:K11" totalsRowShown="0">
  <autoFilter ref="D1:K11"/>
  <tableColumns count="8">
    <tableColumn id="1" name="Crude Breakdown"/>
    <tableColumn id="2" name="Number"/>
    <tableColumn id="3" name="Mean_VP" dataDxfId="16">
      <calculatedColumnFormula>IFERROR(AVERAGEIFS(vp.data[VP],vp.data[Crude_Breakdown],_xlfn.CONCAT("=",crudeBD.lkup[[#This Row],[Crude Breakdown]])),"")</calculatedColumnFormula>
    </tableColumn>
    <tableColumn id="4" name="SD_VP" dataDxfId="13">
      <calculatedColumnFormula>SQRT(SUMIFS(vp.data[SS_VP],vp.data[Crude_Breakdown],_xlfn.CONCAT("=",crudeBD.lkup[[#This Row],[Crude Breakdown]]))/(COUNTIF(vp.data[Crude_Breakdown],crudeBD.lkup[[#This Row],[Crude Breakdown]])-1))</calculatedColumnFormula>
    </tableColumn>
    <tableColumn id="7" name="Mean_Dens" dataDxfId="15">
      <calculatedColumnFormula>IFERROR(AVERAGEIFS(vp.data[Dens],vp.data[Crude_Breakdown],_xlfn.CONCAT("=",crudeBD.lkup[[#This Row],[Crude Breakdown]])),"")</calculatedColumnFormula>
    </tableColumn>
    <tableColumn id="5" name="SD_Dens" dataDxfId="12">
      <calculatedColumnFormula>SQRT(SUMIFS(vp.data[SS_Dens],vp.data[Crude_Breakdown],_xlfn.CONCAT("=",crudeBD.lkup[[#This Row],[Crude Breakdown]]))/(COUNTIF(vp.data[Crude_Breakdown],crudeBD.lkup[[#This Row],[Crude Breakdown]])-1))</calculatedColumnFormula>
    </tableColumn>
    <tableColumn id="6" name="Mean_Sulf" dataDxfId="14">
      <calculatedColumnFormula>IFERROR(AVERAGEIFS(vp.data[Sulf],vp.data[Crude_Breakdown],_xlfn.CONCAT("=",crudeBD.lkup[[#This Row],[Crude Breakdown]])),"")</calculatedColumnFormula>
    </tableColumn>
    <tableColumn id="8" name="SD_Sulf" dataDxfId="11">
      <calculatedColumnFormula>SQRT(SUMIFS(vp.data[SS_Dens],vp.data[Crude_Breakdown],_xlfn.CONCAT("=",crudeBD.lkup[[#This Row],[Crude Breakdown]]))/(COUNTIF(vp.data[Crude_Breakdown],crudeBD.lkup[[#This Row],[Crude Breakdown]])-1))</calculatedColumnFormula>
    </tableColumn>
  </tableColumns>
  <tableStyleInfo showFirstColumn="0" showLastColumn="0" showRowStripes="0" showColumnStripes="0"/>
</table>
</file>

<file path=xl/tables/table5.xml><?xml version="1.0" encoding="utf-8"?>
<table xmlns="http://schemas.openxmlformats.org/spreadsheetml/2006/main" id="5" name="sim.tbl" displayName="sim.tbl" ref="D3:BQ40" totalsRowShown="0">
  <autoFilter ref="D3:BQ40"/>
  <tableColumns count="66">
    <tableColumn id="57" name="Predicted VP" dataDxfId="10">
      <calculatedColumnFormula>SUMPRODUCT($F$1:$BQ$1,sim.tbl[[#This Row],[(Intercept)]:[Post Aquisition:Heavy SW]])</calculatedColumnFormula>
    </tableColumn>
    <tableColumn id="1" name="SDate" dataDxfId="97">
      <calculatedColumnFormula>DATE(YEAR(TODAY()),INDEX(mthLkUp.tbl[Num],MATCH(mth.input,mthLkUp.tbl[Month],0)),1)</calculatedColumnFormula>
    </tableColumn>
    <tableColumn id="2" name="(Intercept)" dataDxfId="96">
      <calculatedColumnFormula>1</calculatedColumnFormula>
    </tableColumn>
    <tableColumn id="3" name="Sulfur" dataDxfId="95"/>
    <tableColumn id="4" name="Density" dataDxfId="94"/>
    <tableColumn id="5" name="Mean Temperature" dataDxfId="93"/>
    <tableColumn id="6" name="7 Day Rolling Temperature" dataDxfId="92"/>
    <tableColumn id="7" name="Estevan" dataDxfId="91"/>
    <tableColumn id="8" name="Weyburn" dataDxfId="90"/>
    <tableColumn id="9" name="Oxbow" dataDxfId="89"/>
    <tableColumn id="10" name="Yellow Grass" dataDxfId="88"/>
    <tableColumn id="11" name="Melita" dataDxfId="87"/>
    <tableColumn id="12" name="Kipling" dataDxfId="86"/>
    <tableColumn id="13" name="C5+" dataDxfId="85">
      <calculatedColumnFormula>IF(sim.tbl[[#This Row],[Density]]&lt;=770,1,0)</calculatedColumnFormula>
    </tableColumn>
    <tableColumn id="14" name="Light LSB" dataDxfId="84">
      <calculatedColumnFormula>IF(AND(sim.tbl[[#This Row],[Sulfur]]&gt;0.5,sim.tbl[[#This Row],[Density]]&gt;770,sim.tbl[[#This Row],[Density]]&lt;=825),1,0)</calculatedColumnFormula>
    </tableColumn>
    <tableColumn id="15" name="Light SW" dataDxfId="83">
      <calculatedColumnFormula>IF(AND(sim.tbl[[#This Row],[Sulfur]]&lt;=0.5,sim.tbl[[#This Row],[Density]]&gt;770,sim.tbl[[#This Row],[Density]]&lt;=825),1,0)</calculatedColumnFormula>
    </tableColumn>
    <tableColumn id="16" name="Medium LSB" dataDxfId="9">
      <calculatedColumnFormula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calculatedColumnFormula>
    </tableColumn>
    <tableColumn id="17" name="Medium SW" dataDxfId="82">
      <calculatedColumnFormula>IF(AND(sim.tbl[[#This Row],[Sulfur]]&lt;0.5,sim.tbl[[#This Row],[Density]]&gt;825,sim.tbl[[#This Row],[Density]]&lt;=900),1,0)</calculatedColumnFormula>
    </tableColumn>
    <tableColumn id="18" name="Midale" dataDxfId="8">
      <calculatedColumnFormula>IF(AND(sim.tbl[[#This Row],[Sulfur]]&gt;2,sim.tbl[[#This Row],[Density]]&gt;865,sim.tbl[[#This Row],[Density]]&lt;=900),1,0)</calculatedColumnFormula>
    </tableColumn>
    <tableColumn id="19" name="Heavy Sour" dataDxfId="81">
      <calculatedColumnFormula>IF(AND(sim.tbl[[#This Row],[Sulfur]]&gt;0.5,sim.tbl[[#This Row],[Density]]&gt;900),1,0)</calculatedColumnFormula>
    </tableColumn>
    <tableColumn id="20" name="Heavy SW" dataDxfId="80">
      <calculatedColumnFormula>IF(AND(sim.tbl[[#This Row],[Sulfur]]&lt;=0.5,sim.tbl[[#This Row],[Density]]&gt;900),1,0)</calculatedColumnFormula>
    </tableColumn>
    <tableColumn id="21" name="Jan" dataDxfId="79">
      <calculatedColumnFormula>IF(MONTH(sim.tbl[[#This Row],[SDate]])=INDEX(mthLkUp.tbl[Num],MATCH(Y$3,mthLkUp.tbl[Month],0)),1,0)</calculatedColumnFormula>
    </tableColumn>
    <tableColumn id="22" name="Feb" dataDxfId="78">
      <calculatedColumnFormula>IF(MONTH(sim.tbl[[#This Row],[SDate]])=INDEX(mthLkUp.tbl[Num],MATCH(Z$3,mthLkUp.tbl[Month],0)),1,0)</calculatedColumnFormula>
    </tableColumn>
    <tableColumn id="23" name="Mar" dataDxfId="77">
      <calculatedColumnFormula>IF(MONTH(sim.tbl[[#This Row],[SDate]])=INDEX(mthLkUp.tbl[Num],MATCH(AA$3,mthLkUp.tbl[Month],0)),1,0)</calculatedColumnFormula>
    </tableColumn>
    <tableColumn id="24" name="Apr" dataDxfId="76">
      <calculatedColumnFormula>IF(MONTH(sim.tbl[[#This Row],[SDate]])=INDEX(mthLkUp.tbl[Num],MATCH(AB$3,mthLkUp.tbl[Month],0)),1,0)</calculatedColumnFormula>
    </tableColumn>
    <tableColumn id="25" name="May" dataDxfId="75">
      <calculatedColumnFormula>IF(MONTH(sim.tbl[[#This Row],[SDate]])=INDEX(mthLkUp.tbl[Num],MATCH(AC$3,mthLkUp.tbl[Month],0)),1,0)</calculatedColumnFormula>
    </tableColumn>
    <tableColumn id="26" name="Jun" dataDxfId="74">
      <calculatedColumnFormula>IF(MONTH(sim.tbl[[#This Row],[SDate]])=INDEX(mthLkUp.tbl[Num],MATCH(AD$3,mthLkUp.tbl[Month],0)),1,0)</calculatedColumnFormula>
    </tableColumn>
    <tableColumn id="27" name="Jul" dataDxfId="73">
      <calculatedColumnFormula>IF(MONTH(sim.tbl[[#This Row],[SDate]])=INDEX(mthLkUp.tbl[Num],MATCH(AE$3,mthLkUp.tbl[Month],0)),1,0)</calculatedColumnFormula>
    </tableColumn>
    <tableColumn id="28" name="Aug" dataDxfId="72">
      <calculatedColumnFormula>IF(MONTH(sim.tbl[[#This Row],[SDate]])=INDEX(mthLkUp.tbl[Num],MATCH(AF$3,mthLkUp.tbl[Month],0)),1,0)</calculatedColumnFormula>
    </tableColumn>
    <tableColumn id="29" name="Sep" dataDxfId="71">
      <calculatedColumnFormula>IF(MONTH(sim.tbl[[#This Row],[SDate]])=INDEX(mthLkUp.tbl[Num],MATCH(AG$3,mthLkUp.tbl[Month],0)),1,0)</calculatedColumnFormula>
    </tableColumn>
    <tableColumn id="30" name="Oct" dataDxfId="70">
      <calculatedColumnFormula>IF(MONTH(sim.tbl[[#This Row],[SDate]])=INDEX(mthLkUp.tbl[Num],MATCH(AH$3,mthLkUp.tbl[Month],0)),1,0)</calculatedColumnFormula>
    </tableColumn>
    <tableColumn id="31" name="Nov" dataDxfId="69">
      <calculatedColumnFormula>IF(MONTH(sim.tbl[[#This Row],[SDate]])=INDEX(mthLkUp.tbl[Num],MATCH(AI$3,mthLkUp.tbl[Month],0)),1,0)</calculatedColumnFormula>
    </tableColumn>
    <tableColumn id="32" name="Dec" dataDxfId="68">
      <calculatedColumnFormula>IF(MONTH(sim.tbl[[#This Row],[SDate]])=INDEX(mthLkUp.tbl[Num],MATCH(AJ$3,mthLkUp.tbl[Month],0)),1,0)</calculatedColumnFormula>
    </tableColumn>
    <tableColumn id="58" name="Post Aquisition" dataDxfId="67"/>
    <tableColumn id="33" name="Sulfur:C5+" dataDxfId="66">
      <calculatedColumnFormula>sim.tbl[[#This Row],[Sulfur]]*sim.tbl[[#This Row],[C5+]]</calculatedColumnFormula>
    </tableColumn>
    <tableColumn id="34" name="Sulfur:Light LSB" dataDxfId="65">
      <calculatedColumnFormula>sim.tbl[[#This Row],[Sulfur]]*sim.tbl[[#This Row],[Light LSB]]</calculatedColumnFormula>
    </tableColumn>
    <tableColumn id="35" name="Sulfur:Light SW" dataDxfId="64">
      <calculatedColumnFormula>sim.tbl[[#This Row],[Sulfur]]*sim.tbl[[#This Row],[Light SW]]</calculatedColumnFormula>
    </tableColumn>
    <tableColumn id="36" name="Sulfur:Medium LSB" dataDxfId="63">
      <calculatedColumnFormula>sim.tbl[[#This Row],[Sulfur]]*sim.tbl[[#This Row],[Medium LSB]]</calculatedColumnFormula>
    </tableColumn>
    <tableColumn id="37" name="Sulfur:Medium SW" dataDxfId="62">
      <calculatedColumnFormula>sim.tbl[[#This Row],[Sulfur]]*sim.tbl[[#This Row],[Medium SW]]</calculatedColumnFormula>
    </tableColumn>
    <tableColumn id="38" name="Sulfur:Midale" dataDxfId="61">
      <calculatedColumnFormula>sim.tbl[[#This Row],[Sulfur]]*sim.tbl[[#This Row],[Midale]]</calculatedColumnFormula>
    </tableColumn>
    <tableColumn id="39" name="Sulfur:Heavy Sour" dataDxfId="60">
      <calculatedColumnFormula>sim.tbl[[#This Row],[Sulfur]]*sim.tbl[[#This Row],[Heavy Sour]]</calculatedColumnFormula>
    </tableColumn>
    <tableColumn id="40" name="Sulfur:Heavy SW" dataDxfId="59">
      <calculatedColumnFormula>sim.tbl[[#This Row],[Sulfur]]*sim.tbl[[#This Row],[Heavy SW]]</calculatedColumnFormula>
    </tableColumn>
    <tableColumn id="41" name="Density:C5+" dataDxfId="58">
      <calculatedColumnFormula>sim.tbl[[#This Row],[Density]]*sim.tbl[[#This Row],[C5+]]</calculatedColumnFormula>
    </tableColumn>
    <tableColumn id="42" name="Density:Light LSB" dataDxfId="57">
      <calculatedColumnFormula>sim.tbl[[#This Row],[Density]]*sim.tbl[[#This Row],[Light LSB]]</calculatedColumnFormula>
    </tableColumn>
    <tableColumn id="43" name="Density:Light SW" dataDxfId="56">
      <calculatedColumnFormula>sim.tbl[[#This Row],[Density]]*sim.tbl[[#This Row],[Light SW]]</calculatedColumnFormula>
    </tableColumn>
    <tableColumn id="44" name="Density:Medium LSB" dataDxfId="55">
      <calculatedColumnFormula>sim.tbl[[#This Row],[Density]]*sim.tbl[[#This Row],[Medium LSB]]</calculatedColumnFormula>
    </tableColumn>
    <tableColumn id="45" name="Density:Medium SW" dataDxfId="54">
      <calculatedColumnFormula>sim.tbl[[#This Row],[Density]]*sim.tbl[[#This Row],[Medium SW]]</calculatedColumnFormula>
    </tableColumn>
    <tableColumn id="46" name="Density:Midale" dataDxfId="53">
      <calculatedColumnFormula>sim.tbl[[#This Row],[Density]]*sim.tbl[[#This Row],[Midale]]</calculatedColumnFormula>
    </tableColumn>
    <tableColumn id="47" name="Density:Heavy Sour" dataDxfId="52">
      <calculatedColumnFormula>sim.tbl[[#This Row],[Density]]*sim.tbl[[#This Row],[Heavy Sour]]</calculatedColumnFormula>
    </tableColumn>
    <tableColumn id="48" name="Density:Heavy SW" dataDxfId="51">
      <calculatedColumnFormula>sim.tbl[[#This Row],[Density]]*sim.tbl[[#This Row],[Heavy SW]]</calculatedColumnFormula>
    </tableColumn>
    <tableColumn id="49" name="Temp.Roll:C5+" dataDxfId="50">
      <calculatedColumnFormula>sim.tbl[[#This Row],[7 Day Rolling Temperature]]*sim.tbl[[#This Row],[C5+]]</calculatedColumnFormula>
    </tableColumn>
    <tableColumn id="50" name="Temp.Roll:Light LSB" dataDxfId="49">
      <calculatedColumnFormula>sim.tbl[[#This Row],[7 Day Rolling Temperature]]*sim.tbl[[#This Row],[Light LSB]]</calculatedColumnFormula>
    </tableColumn>
    <tableColumn id="51" name="Temp.Roll:Light SW" dataDxfId="48">
      <calculatedColumnFormula>sim.tbl[[#This Row],[7 Day Rolling Temperature]]*sim.tbl[[#This Row],[Light SW]]</calculatedColumnFormula>
    </tableColumn>
    <tableColumn id="52" name="Temp.Roll:Medium LSB" dataDxfId="47">
      <calculatedColumnFormula>sim.tbl[[#This Row],[7 Day Rolling Temperature]]*sim.tbl[[#This Row],[Medium LSB]]</calculatedColumnFormula>
    </tableColumn>
    <tableColumn id="53" name="Temp.Roll:Medium SW" dataDxfId="46">
      <calculatedColumnFormula>sim.tbl[[#This Row],[7 Day Rolling Temperature]]*sim.tbl[[#This Row],[Medium SW]]</calculatedColumnFormula>
    </tableColumn>
    <tableColumn id="54" name="Temp.Roll:Midale" dataDxfId="45">
      <calculatedColumnFormula>sim.tbl[[#This Row],[7 Day Rolling Temperature]]*sim.tbl[[#This Row],[Midale]]</calculatedColumnFormula>
    </tableColumn>
    <tableColumn id="55" name="Temp.Roll:Heavy Sour" dataDxfId="44">
      <calculatedColumnFormula>sim.tbl[[#This Row],[7 Day Rolling Temperature]]*sim.tbl[[#This Row],[Heavy Sour]]</calculatedColumnFormula>
    </tableColumn>
    <tableColumn id="56" name="Temp.Roll:Heavy SW" dataDxfId="43">
      <calculatedColumnFormula>sim.tbl[[#This Row],[7 Day Rolling Temperature]]*sim.tbl[[#This Row],[Heavy SW]]</calculatedColumnFormula>
    </tableColumn>
    <tableColumn id="59" name="Post Aquisition:C5+" dataDxfId="7">
      <calculatedColumnFormula>sim.tbl[[#This Row],[Post Aquisition]]*sim.tbl[[#This Row],[C5+]]</calculatedColumnFormula>
    </tableColumn>
    <tableColumn id="60" name="Post Aquisition:Light LSB" dataDxfId="6">
      <calculatedColumnFormula>sim.tbl[[#This Row],[Post Aquisition]]*sim.tbl[[#This Row],[Light LSB]]</calculatedColumnFormula>
    </tableColumn>
    <tableColumn id="61" name="Post Aquisition:Light SW" dataDxfId="5">
      <calculatedColumnFormula>sim.tbl[[#This Row],[Post Aquisition]]*sim.tbl[[#This Row],[Light SW]]</calculatedColumnFormula>
    </tableColumn>
    <tableColumn id="62" name="Post Aquisition:Medium LSB" dataDxfId="4">
      <calculatedColumnFormula>sim.tbl[[#This Row],[Post Aquisition]]*sim.tbl[[#This Row],[Medium LSB]]</calculatedColumnFormula>
    </tableColumn>
    <tableColumn id="63" name="Post Aquisition:Medium SW" dataDxfId="3">
      <calculatedColumnFormula>sim.tbl[[#This Row],[Post Aquisition]]*sim.tbl[[#This Row],[Medium SW]]</calculatedColumnFormula>
    </tableColumn>
    <tableColumn id="64" name="Post Aquisition:Midale" dataDxfId="2">
      <calculatedColumnFormula>sim.tbl[[#This Row],[Post Aquisition]]*sim.tbl[[#This Row],[Midale]]</calculatedColumnFormula>
    </tableColumn>
    <tableColumn id="65" name="Post Aquisition:Heavy Sour" dataDxfId="1">
      <calculatedColumnFormula>sim.tbl[[#This Row],[Post Aquisition]]*sim.tbl[[#This Row],[Heavy Sour]]</calculatedColumnFormula>
    </tableColumn>
    <tableColumn id="66" name="Post Aquisition:Heavy SW" dataDxfId="0">
      <calculatedColumnFormula>sim.tbl[[#This Row],[Post Aquisition]]*sim.tbl[[#This Row],[Heavy SW]]</calculatedColumnFormula>
    </tableColumn>
  </tableColumns>
  <tableStyleInfo showFirstColumn="0" showLastColumn="0" showRowStripes="0" showColumnStripes="0"/>
</table>
</file>

<file path=xl/tables/table6.xml><?xml version="1.0" encoding="utf-8"?>
<table xmlns="http://schemas.openxmlformats.org/spreadsheetml/2006/main" id="6" name="results.tbl" displayName="results.tbl" ref="A2:M9" totalsRowShown="0">
  <autoFilter ref="A2:M9"/>
  <tableColumns count="13">
    <tableColumn id="1" name="Iteration"/>
    <tableColumn id="2" name="Month"/>
    <tableColumn id="3" name="Density"/>
    <tableColumn id="4" name="Sulfur"/>
    <tableColumn id="5" name="Crude Type"/>
    <tableColumn id="6" name="7 Day Temperature Average"/>
    <tableColumn id="7" name="Mean Historical VP"/>
    <tableColumn id="8" name="Mean Predicted VP"/>
    <tableColumn id="9" name="Median Predicted VP"/>
    <tableColumn id="10" name="SD Predicted VP"/>
    <tableColumn id="11" name="Min Predicted VP"/>
    <tableColumn id="12" name="Max Predicted VP"/>
    <tableColumn id="13" name="Data Points"/>
  </tableColumns>
  <tableStyleInfo name="TableStyleLight1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Set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66C2A5"/>
      </a:accent1>
      <a:accent2>
        <a:srgbClr val="FC8D62"/>
      </a:accent2>
      <a:accent3>
        <a:srgbClr val="8DA0CB"/>
      </a:accent3>
      <a:accent4>
        <a:srgbClr val="E78AC3"/>
      </a:accent4>
      <a:accent5>
        <a:srgbClr val="A6D854"/>
      </a:accent5>
      <a:accent6>
        <a:srgbClr val="FFD92F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733"/>
  <sheetViews>
    <sheetView topLeftCell="N1" workbookViewId="0">
      <selection activeCell="AR2" sqref="AR2"/>
    </sheetView>
  </sheetViews>
  <sheetFormatPr defaultRowHeight="15" x14ac:dyDescent="0.25"/>
  <cols>
    <col min="1" max="1" width="5" bestFit="1" customWidth="1"/>
    <col min="2" max="3" width="34.28515625" bestFit="1" customWidth="1"/>
    <col min="4" max="4" width="18.5703125" bestFit="1" customWidth="1"/>
    <col min="5" max="5" width="11.140625" customWidth="1"/>
    <col min="6" max="6" width="10.7109375" bestFit="1" customWidth="1"/>
    <col min="7" max="7" width="7" bestFit="1" customWidth="1"/>
    <col min="8" max="8" width="11.7109375" customWidth="1"/>
    <col min="9" max="9" width="9" bestFit="1" customWidth="1"/>
    <col min="10" max="10" width="9.7109375" customWidth="1"/>
    <col min="11" max="11" width="10" customWidth="1"/>
    <col min="12" max="12" width="12.7109375" customWidth="1"/>
    <col min="13" max="13" width="7.5703125" customWidth="1"/>
    <col min="14" max="14" width="13.85546875" customWidth="1"/>
    <col min="15" max="15" width="12.7109375" bestFit="1" customWidth="1"/>
    <col min="16" max="16" width="10" customWidth="1"/>
    <col min="17" max="17" width="11.42578125" customWidth="1"/>
    <col min="18" max="18" width="9.42578125" customWidth="1"/>
    <col min="19" max="19" width="20.140625" customWidth="1"/>
    <col min="20" max="20" width="9" customWidth="1"/>
    <col min="21" max="21" width="9.28515625" customWidth="1"/>
    <col min="22" max="22" width="13" customWidth="1"/>
    <col min="23" max="23" width="12.7109375" customWidth="1"/>
    <col min="24" max="24" width="11.7109375" customWidth="1"/>
    <col min="25" max="25" width="5.28515625" customWidth="1"/>
    <col min="26" max="27" width="11.42578125" customWidth="1"/>
    <col min="28" max="29" width="14.7109375" customWidth="1"/>
    <col min="30" max="30" width="9.42578125" customWidth="1"/>
    <col min="31" max="31" width="13.5703125" customWidth="1"/>
    <col min="32" max="32" width="12.5703125" customWidth="1"/>
    <col min="33" max="33" width="19.42578125" customWidth="1"/>
    <col min="34" max="34" width="13.7109375" customWidth="1"/>
    <col min="35" max="35" width="6.7109375" customWidth="1"/>
    <col min="36" max="37" width="13.85546875" bestFit="1" customWidth="1"/>
    <col min="38" max="38" width="12.7109375" bestFit="1" customWidth="1"/>
    <col min="39" max="39" width="13.7109375" customWidth="1"/>
    <col min="40" max="40" width="17.140625" customWidth="1"/>
    <col min="41" max="41" width="12" bestFit="1" customWidth="1"/>
    <col min="42" max="42" width="13.7109375" customWidth="1"/>
    <col min="43" max="43" width="17.42578125" bestFit="1" customWidth="1"/>
  </cols>
  <sheetData>
    <row r="1" spans="1:43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7</v>
      </c>
      <c r="O1" t="s">
        <v>9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11</v>
      </c>
      <c r="AJ1" t="s">
        <v>42</v>
      </c>
      <c r="AK1" t="s">
        <v>43</v>
      </c>
      <c r="AL1" t="s">
        <v>44</v>
      </c>
      <c r="AM1" t="s">
        <v>45</v>
      </c>
      <c r="AN1" t="s">
        <v>379</v>
      </c>
      <c r="AO1" t="s">
        <v>39</v>
      </c>
      <c r="AP1" t="s">
        <v>40</v>
      </c>
      <c r="AQ1" t="s">
        <v>41</v>
      </c>
    </row>
    <row r="2" spans="1:43" x14ac:dyDescent="0.25">
      <c r="A2">
        <v>1</v>
      </c>
      <c r="B2" t="s">
        <v>46</v>
      </c>
      <c r="C2" t="s">
        <v>46</v>
      </c>
      <c r="D2" t="s">
        <v>47</v>
      </c>
      <c r="F2" s="1">
        <v>42279</v>
      </c>
      <c r="G2" s="2">
        <v>53.1</v>
      </c>
      <c r="H2" s="2"/>
      <c r="I2" s="2">
        <f t="array" ref="I2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" s="2"/>
      <c r="K2" s="2"/>
      <c r="L2" s="2"/>
      <c r="M2" s="2">
        <f t="array" ref="M2">_xlfn.IFNA(IF(vp.data[[#This Row],[Dens Input]]="",INDEX([1]DATA!$O$3:$O$9826,MATCH(1,(vp.data[[#This Row],[Battery]]=[1]DATA!$L$3:$L$9826)*(EOMONTH(vp.data[[#This Row],[SDate]],-1)+1=[1]DATA!$G$3:$G$9826),0)),vp.data[[#This Row],[Dens Input]]),"")</f>
        <v>872.7</v>
      </c>
      <c r="N2" s="2">
        <f ca="1">INDEX(INDIRECT(_xlfn.CONCAT("weather.tbl[",N$1,"]")),MATCH(vp.data[[#This Row],[SDate]],weather.tbl[Date],0))</f>
        <v>11.733333333333334</v>
      </c>
      <c r="O2" s="2">
        <f ca="1">INDEX(INDIRECT(_xlfn.CONCAT("weather.tbl[",O$1,"]")),MATCH(vp.data[[#This Row],[SDate]],weather.tbl[Date],0))</f>
        <v>13.05</v>
      </c>
      <c r="P2" s="2">
        <f ca="1">INDEX(INDIRECT(_xlfn.CONCAT("weather.tbl[",P$1,"]")),MATCH(vp.data[[#This Row],[SDate]],weather.tbl[Date],0))</f>
        <v>10.9</v>
      </c>
      <c r="Q2" s="2">
        <f ca="1">INDEX(INDIRECT(_xlfn.CONCAT("weather.tbl[",Q$1,"]")),MATCH(vp.data[[#This Row],[SDate]],weather.tbl[Date],0))</f>
        <v>11.7</v>
      </c>
      <c r="R2" s="2">
        <f ca="1">INDEX(INDIRECT(_xlfn.CONCAT("weather.tbl[",R$1,"]")),MATCH(vp.data[[#This Row],[SDate]],weather.tbl[Date],0))</f>
        <v>11</v>
      </c>
      <c r="S2" s="2">
        <f ca="1">INDEX(INDIRECT(_xlfn.CONCAT("weather.tbl[",S$1,"]")),MATCH(vp.data[[#This Row],[SDate]],weather.tbl[Date],0))</f>
        <v>12.5</v>
      </c>
      <c r="T2" s="2">
        <f ca="1">INDEX(INDIRECT(_xlfn.CONCAT("weather.tbl[",T$1,"]")),MATCH(vp.data[[#This Row],[SDate]],weather.tbl[Date],0))</f>
        <v>13.5</v>
      </c>
      <c r="U2" s="2">
        <f ca="1">INDEX(INDIRECT(_xlfn.CONCAT("weather.tbl[",U$1,"]")),MATCH(vp.data[[#This Row],[SDate]],weather.tbl[Date],0))</f>
        <v>10.8</v>
      </c>
      <c r="V2" s="2">
        <f t="array" ref="V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115049.71</v>
      </c>
      <c r="W2" t="s">
        <v>48</v>
      </c>
      <c r="X2">
        <f>IF(OR(vp.data[[#This Row],[Sulf]]="",vp.data[[#This Row],[Dens]]=""),1,0)</f>
        <v>0</v>
      </c>
      <c r="Y2">
        <f>IF(vp.data[[#This Row],[CrudeType]]="C5+",1,0)</f>
        <v>0</v>
      </c>
      <c r="Z2">
        <f>IF(AND(vp.data[[#This Row],[CrudeType]]="Crude",vp.data[[#This Row],[Dens]]&lt;=825,vp.data[[#This Row],[Sulf]]&gt;0.5,vp.data[[#This Row],[Unknown]]=0),1,0)</f>
        <v>0</v>
      </c>
      <c r="AA2">
        <f>IF(AND(vp.data[[#This Row],[CrudeType]]="Crude",vp.data[[#This Row],[Dens]]&lt;=825,vp.data[[#This Row],[Sulf]]&lt;=0.5,vp.data[[#This Row],[Unknown]]=0),1,0)</f>
        <v>0</v>
      </c>
      <c r="AB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">
        <f>IF(AND(vp.data[[#This Row],[CrudeType]]="Crude",vp.data[[#This Row],[Dens]]&gt;825,vp.data[[#This Row],[Dens]]&lt;=900,vp.data[[#This Row],[Sulf]]&lt;=0.5,vp.data[[#This Row],[Unknown]]=0),1,0)</f>
        <v>0</v>
      </c>
      <c r="AD2">
        <f>IF(AND(vp.data[[#This Row],[CrudeType]]="Crude",vp.data[[#This Row],[Dens]]&gt;865,vp.data[[#This Row],[Dens]]&lt;=900,vp.data[[#This Row],[Sulf]]&gt;2,vp.data[[#This Row],[Unknown]]=0),1,0)</f>
        <v>1</v>
      </c>
      <c r="AE2">
        <f>IF(AND(vp.data[[#This Row],[CrudeType]]="Crude",vp.data[[#This Row],[Dens]]&gt;900,vp.data[[#This Row],[Sulf]]&lt;=0.5,vp.data[[#This Row],[Unknown]]=0),1,0)</f>
        <v>0</v>
      </c>
      <c r="AF2">
        <f>IF(AND(vp.data[[#This Row],[CrudeType]]="Crude",vp.data[[#This Row],[Dens]]&gt;900,vp.data[[#This Row],[Sulf]]&lt;=0.5,vp.data[[#This Row],[Unknown]]=0),1,0)</f>
        <v>0</v>
      </c>
      <c r="AG2" t="str">
        <f>INDEX(vp.data[[#Headers],[Unknown]:[Heavy_SW]],MATCH(1,vp.data[[#This Row],[Unknown]:[Heavy_SW]],0))</f>
        <v>Midale</v>
      </c>
      <c r="AH2">
        <f>INDEX([3]!crudeBD.lkup[Number],MATCH(vp.data[[#This Row],[Crude_Breakdown]],crudeBD.lkup[Crude Breakdown],0))</f>
        <v>5</v>
      </c>
      <c r="AI2">
        <f>MONTH(vp.data[[#This Row],[SDate]])</f>
        <v>10</v>
      </c>
      <c r="AJ2" s="5">
        <f>(vp.data[[#This Row],[VP]]-INDEX(crudeBD.lkup[Mean_VP],MATCH(vp.data[[#This Row],[Crude_Breakdown]],crudeBD.lkup[Crude Breakdown],0)))^2</f>
        <v>265.97574689127526</v>
      </c>
      <c r="AK2" s="5">
        <f>(vp.data[[#This Row],[Dens]]-INDEX(crudeBD.lkup[Mean_Dens],MATCH(vp.data[[#This Row],[Crude_Breakdown]],crudeBD.lkup[Crude Breakdown],0)))^2</f>
        <v>4.4817326495919252</v>
      </c>
      <c r="AL2" s="5">
        <f>(vp.data[[#This Row],[Sulf]]-INDEX(crudeBD.lkup[Mean_Sulf],MATCH(vp.data[[#This Row],[Crude_Breakdown]],crudeBD.lkup[Crude Breakdown],0)))^2</f>
        <v>1.130006345424492E-3</v>
      </c>
      <c r="AM2" s="4">
        <f>IF(AND(vp.data[[#This Row],[SDate]]&gt;=DATE(YEAR(vp.data[[#This Row],[SDate]]),5,1),vp.data[[#This Row],[SDate]]&lt;=DATE(YEAR(vp.data[[#This Row],[SDate]]),9,15)),1,0)</f>
        <v>0</v>
      </c>
      <c r="AN2" s="4">
        <f>IF(vp.data[[#This Row],[SDate]]&lt;DATE(2016,12,1),0,1)</f>
        <v>0</v>
      </c>
      <c r="AO2" s="4">
        <f>IFERROR(vp.data[[#This Row],[Sulf]]*vp.data[[#This Row],[Net Dens]],"")</f>
        <v>241973355.41997004</v>
      </c>
      <c r="AP2">
        <f>IFERROR(vp.data[[#This Row],[Dens]]*vp.data[[#This Row],[VolumeM3]],"")</f>
        <v>100403881.91700001</v>
      </c>
      <c r="AQ2" s="15">
        <f>IFERROR(vp.data[[#This Row],[VP]]*vp.data[[#This Row],[VolumeM3]],"")</f>
        <v>6109139.6010000007</v>
      </c>
    </row>
    <row r="3" spans="1:43" x14ac:dyDescent="0.25">
      <c r="A3">
        <v>2</v>
      </c>
      <c r="B3" t="s">
        <v>49</v>
      </c>
      <c r="C3" t="s">
        <v>49</v>
      </c>
      <c r="D3" t="s">
        <v>50</v>
      </c>
      <c r="F3" s="1">
        <v>42279</v>
      </c>
      <c r="G3" s="2">
        <v>72.099999999999994</v>
      </c>
      <c r="H3" s="2"/>
      <c r="I3" s="2">
        <f t="array" ref="I3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3" s="2"/>
      <c r="K3" s="2"/>
      <c r="L3" s="2"/>
      <c r="M3" s="2">
        <f t="array" ref="M3">_xlfn.IFNA(IF(vp.data[[#This Row],[Dens Input]]="",INDEX([1]DATA!$O$3:$O$9826,MATCH(1,(vp.data[[#This Row],[Battery]]=[1]DATA!$L$3:$L$9826)*(EOMONTH(vp.data[[#This Row],[SDate]],-1)+1=[1]DATA!$G$3:$G$9826),0)),vp.data[[#This Row],[Dens Input]]),"")</f>
        <v>876</v>
      </c>
      <c r="N3" s="2">
        <f ca="1">INDEX(INDIRECT(_xlfn.CONCAT("weather.tbl[",N$1,"]")),MATCH(vp.data[[#This Row],[SDate]],weather.tbl[Date],0))</f>
        <v>11.733333333333334</v>
      </c>
      <c r="O3" s="2">
        <f ca="1">INDEX(INDIRECT(_xlfn.CONCAT("weather.tbl[",O$1,"]")),MATCH(vp.data[[#This Row],[SDate]],weather.tbl[Date],0))</f>
        <v>13.05</v>
      </c>
      <c r="P3" s="2">
        <f ca="1">INDEX(INDIRECT(_xlfn.CONCAT("weather.tbl[",P$1,"]")),MATCH(vp.data[[#This Row],[SDate]],weather.tbl[Date],0))</f>
        <v>10.9</v>
      </c>
      <c r="Q3" s="2">
        <f ca="1">INDEX(INDIRECT(_xlfn.CONCAT("weather.tbl[",Q$1,"]")),MATCH(vp.data[[#This Row],[SDate]],weather.tbl[Date],0))</f>
        <v>11.7</v>
      </c>
      <c r="R3" s="2">
        <f ca="1">INDEX(INDIRECT(_xlfn.CONCAT("weather.tbl[",R$1,"]")),MATCH(vp.data[[#This Row],[SDate]],weather.tbl[Date],0))</f>
        <v>11</v>
      </c>
      <c r="S3" s="2">
        <f ca="1">INDEX(INDIRECT(_xlfn.CONCAT("weather.tbl[",S$1,"]")),MATCH(vp.data[[#This Row],[SDate]],weather.tbl[Date],0))</f>
        <v>12.5</v>
      </c>
      <c r="T3" s="2">
        <f ca="1">INDEX(INDIRECT(_xlfn.CONCAT("weather.tbl[",T$1,"]")),MATCH(vp.data[[#This Row],[SDate]],weather.tbl[Date],0))</f>
        <v>13.5</v>
      </c>
      <c r="U3" s="2">
        <f ca="1">INDEX(INDIRECT(_xlfn.CONCAT("weather.tbl[",U$1,"]")),MATCH(vp.data[[#This Row],[SDate]],weather.tbl[Date],0))</f>
        <v>10.8</v>
      </c>
      <c r="V3" s="2">
        <f t="array" ref="V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7328.8639999999996</v>
      </c>
      <c r="W3" t="s">
        <v>48</v>
      </c>
      <c r="X3">
        <f>IF(OR(vp.data[[#This Row],[Sulf]]="",vp.data[[#This Row],[Dens]]=""),1,0)</f>
        <v>0</v>
      </c>
      <c r="Y3">
        <f>IF(vp.data[[#This Row],[CrudeType]]="C5+",1,0)</f>
        <v>0</v>
      </c>
      <c r="Z3">
        <f>IF(AND(vp.data[[#This Row],[CrudeType]]="Crude",vp.data[[#This Row],[Dens]]&lt;=825,vp.data[[#This Row],[Sulf]]&gt;0.5,vp.data[[#This Row],[Unknown]]=0),1,0)</f>
        <v>0</v>
      </c>
      <c r="AA3">
        <f>IF(AND(vp.data[[#This Row],[CrudeType]]="Crude",vp.data[[#This Row],[Dens]]&lt;=825,vp.data[[#This Row],[Sulf]]&lt;=0.5,vp.data[[#This Row],[Unknown]]=0),1,0)</f>
        <v>0</v>
      </c>
      <c r="AB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">
        <f>IF(AND(vp.data[[#This Row],[CrudeType]]="Crude",vp.data[[#This Row],[Dens]]&gt;825,vp.data[[#This Row],[Dens]]&lt;=900,vp.data[[#This Row],[Sulf]]&lt;=0.5,vp.data[[#This Row],[Unknown]]=0),1,0)</f>
        <v>0</v>
      </c>
      <c r="AD3">
        <f>IF(AND(vp.data[[#This Row],[CrudeType]]="Crude",vp.data[[#This Row],[Dens]]&gt;865,vp.data[[#This Row],[Dens]]&lt;=900,vp.data[[#This Row],[Sulf]]&gt;2,vp.data[[#This Row],[Unknown]]=0),1,0)</f>
        <v>1</v>
      </c>
      <c r="AE3">
        <f>IF(AND(vp.data[[#This Row],[CrudeType]]="Crude",vp.data[[#This Row],[Dens]]&gt;900,vp.data[[#This Row],[Sulf]]&lt;=0.5,vp.data[[#This Row],[Unknown]]=0),1,0)</f>
        <v>0</v>
      </c>
      <c r="AF3">
        <f>IF(AND(vp.data[[#This Row],[CrudeType]]="Crude",vp.data[[#This Row],[Dens]]&gt;900,vp.data[[#This Row],[Sulf]]&lt;=0.5,vp.data[[#This Row],[Unknown]]=0),1,0)</f>
        <v>0</v>
      </c>
      <c r="AG3" t="str">
        <f>INDEX(vp.data[[#Headers],[Unknown]:[Heavy_SW]],MATCH(1,vp.data[[#This Row],[Unknown]:[Heavy_SW]],0))</f>
        <v>Midale</v>
      </c>
      <c r="AH3">
        <f>INDEX([3]!crudeBD.lkup[Number],MATCH(vp.data[[#This Row],[Crude_Breakdown]],crudeBD.lkup[Crude Breakdown],0))</f>
        <v>5</v>
      </c>
      <c r="AI3">
        <f>MONTH(vp.data[[#This Row],[SDate]])</f>
        <v>10</v>
      </c>
      <c r="AJ3" s="5">
        <f>(vp.data[[#This Row],[VP]]-INDEX(crudeBD.lkup[Mean_VP],MATCH(vp.data[[#This Row],[Crude_Breakdown]],crudeBD.lkup[Crude Breakdown],0)))^2</f>
        <v>7.2427572005524627</v>
      </c>
      <c r="AK3" s="5">
        <f>(vp.data[[#This Row],[Dens]]-INDEX(crudeBD.lkup[Mean_Dens],MATCH(vp.data[[#This Row],[Crude_Breakdown]],crudeBD.lkup[Crude Breakdown],0)))^2</f>
        <v>1.3994646083529774</v>
      </c>
      <c r="AL3" s="5">
        <f>(vp.data[[#This Row],[Sulf]]-INDEX(crudeBD.lkup[Mean_Sulf],MATCH(vp.data[[#This Row],[Crude_Breakdown]],crudeBD.lkup[Crude Breakdown],0)))^2</f>
        <v>2.1428402221713612E-2</v>
      </c>
      <c r="AM3" s="4">
        <f>IF(AND(vp.data[[#This Row],[SDate]]&gt;=DATE(YEAR(vp.data[[#This Row],[SDate]]),5,1),vp.data[[#This Row],[SDate]]&lt;=DATE(YEAR(vp.data[[#This Row],[SDate]]),9,15)),1,0)</f>
        <v>0</v>
      </c>
      <c r="AN3" s="4">
        <f>IF(vp.data[[#This Row],[SDate]]&lt;DATE(2016,12,1),0,1)</f>
        <v>0</v>
      </c>
      <c r="AO3" s="4">
        <f>IFERROR(vp.data[[#This Row],[Sulf]]*vp.data[[#This Row],[Net Dens]],"")</f>
        <v>16628019.797759999</v>
      </c>
      <c r="AP3">
        <f>IFERROR(vp.data[[#This Row],[Dens]]*vp.data[[#This Row],[VolumeM3]],"")</f>
        <v>6420084.8640000001</v>
      </c>
      <c r="AQ3" s="15">
        <f>IFERROR(vp.data[[#This Row],[VP]]*vp.data[[#This Row],[VolumeM3]],"")</f>
        <v>528411.09439999994</v>
      </c>
    </row>
    <row r="4" spans="1:43" x14ac:dyDescent="0.25">
      <c r="A4">
        <v>3</v>
      </c>
      <c r="B4" t="s">
        <v>51</v>
      </c>
      <c r="C4" t="s">
        <v>51</v>
      </c>
      <c r="D4" t="s">
        <v>52</v>
      </c>
      <c r="F4" s="1">
        <v>42279</v>
      </c>
      <c r="G4" s="2">
        <v>104.8</v>
      </c>
      <c r="H4" s="2"/>
      <c r="I4" s="2">
        <f t="array" ref="I4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4" s="2"/>
      <c r="K4" s="2"/>
      <c r="L4" s="2"/>
      <c r="M4" s="2">
        <f t="array" ref="M4">_xlfn.IFNA(IF(vp.data[[#This Row],[Dens Input]]="",INDEX([1]DATA!$O$3:$O$9826,MATCH(1,(vp.data[[#This Row],[Battery]]=[1]DATA!$L$3:$L$9826)*(EOMONTH(vp.data[[#This Row],[SDate]],-1)+1=[1]DATA!$G$3:$G$9826),0)),vp.data[[#This Row],[Dens Input]]),"")</f>
        <v>872</v>
      </c>
      <c r="N4" s="2">
        <f ca="1">INDEX(INDIRECT(_xlfn.CONCAT("weather.tbl[",N$1,"]")),MATCH(vp.data[[#This Row],[SDate]],weather.tbl[Date],0))</f>
        <v>11.733333333333334</v>
      </c>
      <c r="O4" s="2">
        <f ca="1">INDEX(INDIRECT(_xlfn.CONCAT("weather.tbl[",O$1,"]")),MATCH(vp.data[[#This Row],[SDate]],weather.tbl[Date],0))</f>
        <v>13.05</v>
      </c>
      <c r="P4" s="2">
        <f ca="1">INDEX(INDIRECT(_xlfn.CONCAT("weather.tbl[",P$1,"]")),MATCH(vp.data[[#This Row],[SDate]],weather.tbl[Date],0))</f>
        <v>10.9</v>
      </c>
      <c r="Q4" s="2">
        <f ca="1">INDEX(INDIRECT(_xlfn.CONCAT("weather.tbl[",Q$1,"]")),MATCH(vp.data[[#This Row],[SDate]],weather.tbl[Date],0))</f>
        <v>11.7</v>
      </c>
      <c r="R4" s="2">
        <f ca="1">INDEX(INDIRECT(_xlfn.CONCAT("weather.tbl[",R$1,"]")),MATCH(vp.data[[#This Row],[SDate]],weather.tbl[Date],0))</f>
        <v>11</v>
      </c>
      <c r="S4" s="2">
        <f ca="1">INDEX(INDIRECT(_xlfn.CONCAT("weather.tbl[",S$1,"]")),MATCH(vp.data[[#This Row],[SDate]],weather.tbl[Date],0))</f>
        <v>12.5</v>
      </c>
      <c r="T4" s="2">
        <f ca="1">INDEX(INDIRECT(_xlfn.CONCAT("weather.tbl[",T$1,"]")),MATCH(vp.data[[#This Row],[SDate]],weather.tbl[Date],0))</f>
        <v>13.5</v>
      </c>
      <c r="U4" s="2">
        <f ca="1">INDEX(INDIRECT(_xlfn.CONCAT("weather.tbl[",U$1,"]")),MATCH(vp.data[[#This Row],[SDate]],weather.tbl[Date],0))</f>
        <v>10.8</v>
      </c>
      <c r="V4" s="2">
        <f t="array" ref="V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8216.5169999999998</v>
      </c>
      <c r="W4" t="s">
        <v>48</v>
      </c>
      <c r="X4">
        <f>IF(OR(vp.data[[#This Row],[Sulf]]="",vp.data[[#This Row],[Dens]]=""),1,0)</f>
        <v>0</v>
      </c>
      <c r="Y4">
        <f>IF(vp.data[[#This Row],[CrudeType]]="C5+",1,0)</f>
        <v>0</v>
      </c>
      <c r="Z4">
        <f>IF(AND(vp.data[[#This Row],[CrudeType]]="Crude",vp.data[[#This Row],[Dens]]&lt;=825,vp.data[[#This Row],[Sulf]]&gt;0.5,vp.data[[#This Row],[Unknown]]=0),1,0)</f>
        <v>0</v>
      </c>
      <c r="AA4">
        <f>IF(AND(vp.data[[#This Row],[CrudeType]]="Crude",vp.data[[#This Row],[Dens]]&lt;=825,vp.data[[#This Row],[Sulf]]&lt;=0.5,vp.data[[#This Row],[Unknown]]=0),1,0)</f>
        <v>0</v>
      </c>
      <c r="AB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">
        <f>IF(AND(vp.data[[#This Row],[CrudeType]]="Crude",vp.data[[#This Row],[Dens]]&gt;825,vp.data[[#This Row],[Dens]]&lt;=900,vp.data[[#This Row],[Sulf]]&lt;=0.5,vp.data[[#This Row],[Unknown]]=0),1,0)</f>
        <v>0</v>
      </c>
      <c r="AD4">
        <f>IF(AND(vp.data[[#This Row],[CrudeType]]="Crude",vp.data[[#This Row],[Dens]]&gt;865,vp.data[[#This Row],[Dens]]&lt;=900,vp.data[[#This Row],[Sulf]]&gt;2,vp.data[[#This Row],[Unknown]]=0),1,0)</f>
        <v>1</v>
      </c>
      <c r="AE4">
        <f>IF(AND(vp.data[[#This Row],[CrudeType]]="Crude",vp.data[[#This Row],[Dens]]&gt;900,vp.data[[#This Row],[Sulf]]&lt;=0.5,vp.data[[#This Row],[Unknown]]=0),1,0)</f>
        <v>0</v>
      </c>
      <c r="AF4">
        <f>IF(AND(vp.data[[#This Row],[CrudeType]]="Crude",vp.data[[#This Row],[Dens]]&gt;900,vp.data[[#This Row],[Sulf]]&lt;=0.5,vp.data[[#This Row],[Unknown]]=0),1,0)</f>
        <v>0</v>
      </c>
      <c r="AG4" t="str">
        <f>INDEX(vp.data[[#Headers],[Unknown]:[Heavy_SW]],MATCH(1,vp.data[[#This Row],[Unknown]:[Heavy_SW]],0))</f>
        <v>Midale</v>
      </c>
      <c r="AH4">
        <f>INDEX([3]!crudeBD.lkup[Number],MATCH(vp.data[[#This Row],[Crude_Breakdown]],crudeBD.lkup[Crude Breakdown],0))</f>
        <v>5</v>
      </c>
      <c r="AI4">
        <f>MONTH(vp.data[[#This Row],[SDate]])</f>
        <v>10</v>
      </c>
      <c r="AJ4" s="5">
        <f>(vp.data[[#This Row],[VP]]-INDEX(crudeBD.lkup[Mean_VP],MATCH(vp.data[[#This Row],[Crude_Breakdown]],crudeBD.lkup[Crude Breakdown],0)))^2</f>
        <v>1252.5396644170451</v>
      </c>
      <c r="AK4" s="5">
        <f>(vp.data[[#This Row],[Dens]]-INDEX(crudeBD.lkup[Mean_Dens],MATCH(vp.data[[#This Row],[Crude_Breakdown]],crudeBD.lkup[Crude Breakdown],0)))^2</f>
        <v>7.9355470825822385</v>
      </c>
      <c r="AL4" s="5">
        <f>(vp.data[[#This Row],[Sulf]]-INDEX(crudeBD.lkup[Mean_Sulf],MATCH(vp.data[[#This Row],[Crude_Breakdown]],crudeBD.lkup[Crude Breakdown],0)))^2</f>
        <v>2.0625431087692294E-2</v>
      </c>
      <c r="AM4" s="4">
        <f>IF(AND(vp.data[[#This Row],[SDate]]&gt;=DATE(YEAR(vp.data[[#This Row],[SDate]]),5,1),vp.data[[#This Row],[SDate]]&lt;=DATE(YEAR(vp.data[[#This Row],[SDate]]),9,15)),1,0)</f>
        <v>0</v>
      </c>
      <c r="AN4" s="4">
        <f>IF(vp.data[[#This Row],[SDate]]&lt;DATE(2016,12,1),0,1)</f>
        <v>0</v>
      </c>
      <c r="AO4" s="4">
        <f>IFERROR(vp.data[[#This Row],[Sulf]]*vp.data[[#This Row],[Net Dens]],"")</f>
        <v>16479046.495199999</v>
      </c>
      <c r="AP4">
        <f>IFERROR(vp.data[[#This Row],[Dens]]*vp.data[[#This Row],[VolumeM3]],"")</f>
        <v>7164802.824</v>
      </c>
      <c r="AQ4" s="15">
        <f>IFERROR(vp.data[[#This Row],[VP]]*vp.data[[#This Row],[VolumeM3]],"")</f>
        <v>861090.98159999994</v>
      </c>
    </row>
    <row r="5" spans="1:43" x14ac:dyDescent="0.25">
      <c r="A5">
        <v>4</v>
      </c>
      <c r="B5" t="s">
        <v>49</v>
      </c>
      <c r="C5" t="s">
        <v>49</v>
      </c>
      <c r="D5" t="s">
        <v>50</v>
      </c>
      <c r="F5" s="1">
        <v>42286</v>
      </c>
      <c r="G5" s="2">
        <v>70.7</v>
      </c>
      <c r="H5" s="2"/>
      <c r="I5" s="2">
        <f t="array" ref="I5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5" s="2"/>
      <c r="K5" s="2"/>
      <c r="L5" s="2">
        <v>877.2</v>
      </c>
      <c r="M5" s="2">
        <f t="array" ref="M5">_xlfn.IFNA(IF(vp.data[[#This Row],[Dens Input]]="",INDEX([1]DATA!$O$3:$O$9826,MATCH(1,(vp.data[[#This Row],[Battery]]=[1]DATA!$L$3:$L$9826)*(EOMONTH(vp.data[[#This Row],[SDate]],-1)+1=[1]DATA!$G$3:$G$9826),0)),vp.data[[#This Row],[Dens Input]]),"")</f>
        <v>877.2</v>
      </c>
      <c r="N5" s="2">
        <f ca="1">INDEX(INDIRECT(_xlfn.CONCAT("weather.tbl[",N$1,"]")),MATCH(vp.data[[#This Row],[SDate]],weather.tbl[Date],0))</f>
        <v>11.4</v>
      </c>
      <c r="O5" s="2">
        <f ca="1">INDEX(INDIRECT(_xlfn.CONCAT("weather.tbl[",O$1,"]")),MATCH(vp.data[[#This Row],[SDate]],weather.tbl[Date],0))</f>
        <v>8.7190476190476183</v>
      </c>
      <c r="P5" s="2">
        <f ca="1">INDEX(INDIRECT(_xlfn.CONCAT("weather.tbl[",P$1,"]")),MATCH(vp.data[[#This Row],[SDate]],weather.tbl[Date],0))</f>
        <v>12.2</v>
      </c>
      <c r="Q5" s="2">
        <f ca="1">INDEX(INDIRECT(_xlfn.CONCAT("weather.tbl[",Q$1,"]")),MATCH(vp.data[[#This Row],[SDate]],weather.tbl[Date],0))</f>
        <v>12.3</v>
      </c>
      <c r="R5" s="2">
        <f ca="1">INDEX(INDIRECT(_xlfn.CONCAT("weather.tbl[",R$1,"]")),MATCH(vp.data[[#This Row],[SDate]],weather.tbl[Date],0))</f>
        <v>10.3</v>
      </c>
      <c r="S5" s="2">
        <f ca="1">INDEX(INDIRECT(_xlfn.CONCAT("weather.tbl[",S$1,"]")),MATCH(vp.data[[#This Row],[SDate]],weather.tbl[Date],0))</f>
        <v>13.5</v>
      </c>
      <c r="T5" s="2">
        <f ca="1">INDEX(INDIRECT(_xlfn.CONCAT("weather.tbl[",T$1,"]")),MATCH(vp.data[[#This Row],[SDate]],weather.tbl[Date],0))</f>
        <v>9.1</v>
      </c>
      <c r="U5" s="2">
        <f ca="1">INDEX(INDIRECT(_xlfn.CONCAT("weather.tbl[",U$1,"]")),MATCH(vp.data[[#This Row],[SDate]],weather.tbl[Date],0))</f>
        <v>11</v>
      </c>
      <c r="V5" s="2">
        <f t="array" ref="V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7328.8639999999996</v>
      </c>
      <c r="W5" t="s">
        <v>48</v>
      </c>
      <c r="X5">
        <f>IF(OR(vp.data[[#This Row],[Sulf]]="",vp.data[[#This Row],[Dens]]=""),1,0)</f>
        <v>0</v>
      </c>
      <c r="Y5">
        <f>IF(vp.data[[#This Row],[CrudeType]]="C5+",1,0)</f>
        <v>0</v>
      </c>
      <c r="Z5">
        <f>IF(AND(vp.data[[#This Row],[CrudeType]]="Crude",vp.data[[#This Row],[Dens]]&lt;=825,vp.data[[#This Row],[Sulf]]&gt;0.5,vp.data[[#This Row],[Unknown]]=0),1,0)</f>
        <v>0</v>
      </c>
      <c r="AA5">
        <f>IF(AND(vp.data[[#This Row],[CrudeType]]="Crude",vp.data[[#This Row],[Dens]]&lt;=825,vp.data[[#This Row],[Sulf]]&lt;=0.5,vp.data[[#This Row],[Unknown]]=0),1,0)</f>
        <v>0</v>
      </c>
      <c r="AB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">
        <f>IF(AND(vp.data[[#This Row],[CrudeType]]="Crude",vp.data[[#This Row],[Dens]]&gt;825,vp.data[[#This Row],[Dens]]&lt;=900,vp.data[[#This Row],[Sulf]]&lt;=0.5,vp.data[[#This Row],[Unknown]]=0),1,0)</f>
        <v>0</v>
      </c>
      <c r="AD5">
        <f>IF(AND(vp.data[[#This Row],[CrudeType]]="Crude",vp.data[[#This Row],[Dens]]&gt;865,vp.data[[#This Row],[Dens]]&lt;=900,vp.data[[#This Row],[Sulf]]&gt;2,vp.data[[#This Row],[Unknown]]=0),1,0)</f>
        <v>1</v>
      </c>
      <c r="AE5">
        <f>IF(AND(vp.data[[#This Row],[CrudeType]]="Crude",vp.data[[#This Row],[Dens]]&gt;900,vp.data[[#This Row],[Sulf]]&lt;=0.5,vp.data[[#This Row],[Unknown]]=0),1,0)</f>
        <v>0</v>
      </c>
      <c r="AF5">
        <f>IF(AND(vp.data[[#This Row],[CrudeType]]="Crude",vp.data[[#This Row],[Dens]]&gt;900,vp.data[[#This Row],[Sulf]]&lt;=0.5,vp.data[[#This Row],[Unknown]]=0),1,0)</f>
        <v>0</v>
      </c>
      <c r="AG5" t="str">
        <f>INDEX(vp.data[[#Headers],[Unknown]:[Heavy_SW]],MATCH(1,vp.data[[#This Row],[Unknown]:[Heavy_SW]],0))</f>
        <v>Midale</v>
      </c>
      <c r="AH5">
        <f>INDEX([3]!crudeBD.lkup[Number],MATCH(vp.data[[#This Row],[Crude_Breakdown]],crudeBD.lkup[Crude Breakdown],0))</f>
        <v>5</v>
      </c>
      <c r="AI5">
        <f>MONTH(vp.data[[#This Row],[SDate]])</f>
        <v>10</v>
      </c>
      <c r="AJ5" s="5">
        <f>(vp.data[[#This Row],[VP]]-INDEX(crudeBD.lkup[Mean_VP],MATCH(vp.data[[#This Row],[Crude_Breakdown]],crudeBD.lkup[Crude Breakdown],0)))^2</f>
        <v>1.6672932830268155</v>
      </c>
      <c r="AK5" s="5">
        <f>(vp.data[[#This Row],[Dens]]-INDEX(crudeBD.lkup[Mean_Dens],MATCH(vp.data[[#This Row],[Crude_Breakdown]],crudeBD.lkup[Crude Breakdown],0)))^2</f>
        <v>5.6786398660844162</v>
      </c>
      <c r="AL5" s="5">
        <f>(vp.data[[#This Row],[Sulf]]-INDEX(crudeBD.lkup[Mean_Sulf],MATCH(vp.data[[#This Row],[Crude_Breakdown]],crudeBD.lkup[Crude Breakdown],0)))^2</f>
        <v>2.1428402221713612E-2</v>
      </c>
      <c r="AM5" s="4">
        <f>IF(AND(vp.data[[#This Row],[SDate]]&gt;=DATE(YEAR(vp.data[[#This Row],[SDate]]),5,1),vp.data[[#This Row],[SDate]]&lt;=DATE(YEAR(vp.data[[#This Row],[SDate]]),9,15)),1,0)</f>
        <v>0</v>
      </c>
      <c r="AN5" s="4">
        <f>IF(vp.data[[#This Row],[SDate]]&lt;DATE(2016,12,1),0,1)</f>
        <v>0</v>
      </c>
      <c r="AO5" s="4">
        <f>IFERROR(vp.data[[#This Row],[Sulf]]*vp.data[[#This Row],[Net Dens]],"")</f>
        <v>16650797.907071998</v>
      </c>
      <c r="AP5">
        <f>IFERROR(vp.data[[#This Row],[Dens]]*vp.data[[#This Row],[VolumeM3]],"")</f>
        <v>6428879.5007999996</v>
      </c>
      <c r="AQ5" s="15">
        <f>IFERROR(vp.data[[#This Row],[VP]]*vp.data[[#This Row],[VolumeM3]],"")</f>
        <v>518150.68479999999</v>
      </c>
    </row>
    <row r="6" spans="1:43" x14ac:dyDescent="0.25">
      <c r="A6">
        <v>5</v>
      </c>
      <c r="B6" t="s">
        <v>46</v>
      </c>
      <c r="C6" t="s">
        <v>46</v>
      </c>
      <c r="D6" t="s">
        <v>47</v>
      </c>
      <c r="F6" s="1">
        <v>42286</v>
      </c>
      <c r="G6" s="2">
        <v>73.2</v>
      </c>
      <c r="H6" s="2"/>
      <c r="I6" s="2">
        <f t="array" ref="I6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6" s="2"/>
      <c r="K6" s="2"/>
      <c r="L6" s="2"/>
      <c r="M6" s="2">
        <f t="array" ref="M6">_xlfn.IFNA(IF(vp.data[[#This Row],[Dens Input]]="",INDEX([1]DATA!$O$3:$O$9826,MATCH(1,(vp.data[[#This Row],[Battery]]=[1]DATA!$L$3:$L$9826)*(EOMONTH(vp.data[[#This Row],[SDate]],-1)+1=[1]DATA!$G$3:$G$9826),0)),vp.data[[#This Row],[Dens Input]]),"")</f>
        <v>872.7</v>
      </c>
      <c r="N6" s="2">
        <f ca="1">INDEX(INDIRECT(_xlfn.CONCAT("weather.tbl[",N$1,"]")),MATCH(vp.data[[#This Row],[SDate]],weather.tbl[Date],0))</f>
        <v>11.4</v>
      </c>
      <c r="O6" s="2">
        <f ca="1">INDEX(INDIRECT(_xlfn.CONCAT("weather.tbl[",O$1,"]")),MATCH(vp.data[[#This Row],[SDate]],weather.tbl[Date],0))</f>
        <v>8.7190476190476183</v>
      </c>
      <c r="P6" s="2">
        <f ca="1">INDEX(INDIRECT(_xlfn.CONCAT("weather.tbl[",P$1,"]")),MATCH(vp.data[[#This Row],[SDate]],weather.tbl[Date],0))</f>
        <v>12.2</v>
      </c>
      <c r="Q6" s="2">
        <f ca="1">INDEX(INDIRECT(_xlfn.CONCAT("weather.tbl[",Q$1,"]")),MATCH(vp.data[[#This Row],[SDate]],weather.tbl[Date],0))</f>
        <v>12.3</v>
      </c>
      <c r="R6" s="2">
        <f ca="1">INDEX(INDIRECT(_xlfn.CONCAT("weather.tbl[",R$1,"]")),MATCH(vp.data[[#This Row],[SDate]],weather.tbl[Date],0))</f>
        <v>10.3</v>
      </c>
      <c r="S6" s="2">
        <f ca="1">INDEX(INDIRECT(_xlfn.CONCAT("weather.tbl[",S$1,"]")),MATCH(vp.data[[#This Row],[SDate]],weather.tbl[Date],0))</f>
        <v>13.5</v>
      </c>
      <c r="T6" s="2">
        <f ca="1">INDEX(INDIRECT(_xlfn.CONCAT("weather.tbl[",T$1,"]")),MATCH(vp.data[[#This Row],[SDate]],weather.tbl[Date],0))</f>
        <v>9.1</v>
      </c>
      <c r="U6" s="2">
        <f ca="1">INDEX(INDIRECT(_xlfn.CONCAT("weather.tbl[",U$1,"]")),MATCH(vp.data[[#This Row],[SDate]],weather.tbl[Date],0))</f>
        <v>11</v>
      </c>
      <c r="V6" s="2">
        <f t="array" ref="V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115049.71</v>
      </c>
      <c r="W6" t="s">
        <v>48</v>
      </c>
      <c r="X6">
        <f>IF(OR(vp.data[[#This Row],[Sulf]]="",vp.data[[#This Row],[Dens]]=""),1,0)</f>
        <v>0</v>
      </c>
      <c r="Y6">
        <f>IF(vp.data[[#This Row],[CrudeType]]="C5+",1,0)</f>
        <v>0</v>
      </c>
      <c r="Z6">
        <f>IF(AND(vp.data[[#This Row],[CrudeType]]="Crude",vp.data[[#This Row],[Dens]]&lt;=825,vp.data[[#This Row],[Sulf]]&gt;0.5,vp.data[[#This Row],[Unknown]]=0),1,0)</f>
        <v>0</v>
      </c>
      <c r="AA6">
        <f>IF(AND(vp.data[[#This Row],[CrudeType]]="Crude",vp.data[[#This Row],[Dens]]&lt;=825,vp.data[[#This Row],[Sulf]]&lt;=0.5,vp.data[[#This Row],[Unknown]]=0),1,0)</f>
        <v>0</v>
      </c>
      <c r="AB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">
        <f>IF(AND(vp.data[[#This Row],[CrudeType]]="Crude",vp.data[[#This Row],[Dens]]&gt;825,vp.data[[#This Row],[Dens]]&lt;=900,vp.data[[#This Row],[Sulf]]&lt;=0.5,vp.data[[#This Row],[Unknown]]=0),1,0)</f>
        <v>0</v>
      </c>
      <c r="AD6">
        <f>IF(AND(vp.data[[#This Row],[CrudeType]]="Crude",vp.data[[#This Row],[Dens]]&gt;865,vp.data[[#This Row],[Dens]]&lt;=900,vp.data[[#This Row],[Sulf]]&gt;2,vp.data[[#This Row],[Unknown]]=0),1,0)</f>
        <v>1</v>
      </c>
      <c r="AE6">
        <f>IF(AND(vp.data[[#This Row],[CrudeType]]="Crude",vp.data[[#This Row],[Dens]]&gt;900,vp.data[[#This Row],[Sulf]]&lt;=0.5,vp.data[[#This Row],[Unknown]]=0),1,0)</f>
        <v>0</v>
      </c>
      <c r="AF6">
        <f>IF(AND(vp.data[[#This Row],[CrudeType]]="Crude",vp.data[[#This Row],[Dens]]&gt;900,vp.data[[#This Row],[Sulf]]&lt;=0.5,vp.data[[#This Row],[Unknown]]=0),1,0)</f>
        <v>0</v>
      </c>
      <c r="AG6" t="str">
        <f>INDEX(vp.data[[#Headers],[Unknown]:[Heavy_SW]],MATCH(1,vp.data[[#This Row],[Unknown]:[Heavy_SW]],0))</f>
        <v>Midale</v>
      </c>
      <c r="AH6">
        <f>INDEX([3]!crudeBD.lkup[Number],MATCH(vp.data[[#This Row],[Crude_Breakdown]],crudeBD.lkup[Crude Breakdown],0))</f>
        <v>5</v>
      </c>
      <c r="AI6">
        <f>MONTH(vp.data[[#This Row],[SDate]])</f>
        <v>10</v>
      </c>
      <c r="AJ6" s="5">
        <f>(vp.data[[#This Row],[VP]]-INDEX(crudeBD.lkup[Mean_VP],MATCH(vp.data[[#This Row],[Crude_Breakdown]],crudeBD.lkup[Crude Breakdown],0)))^2</f>
        <v>14.373478850036982</v>
      </c>
      <c r="AK6" s="5">
        <f>(vp.data[[#This Row],[Dens]]-INDEX(crudeBD.lkup[Mean_Dens],MATCH(vp.data[[#This Row],[Crude_Breakdown]],crudeBD.lkup[Crude Breakdown],0)))^2</f>
        <v>4.4817326495919252</v>
      </c>
      <c r="AL6" s="5">
        <f>(vp.data[[#This Row],[Sulf]]-INDEX(crudeBD.lkup[Mean_Sulf],MATCH(vp.data[[#This Row],[Crude_Breakdown]],crudeBD.lkup[Crude Breakdown],0)))^2</f>
        <v>1.130006345424492E-3</v>
      </c>
      <c r="AM6" s="4">
        <f>IF(AND(vp.data[[#This Row],[SDate]]&gt;=DATE(YEAR(vp.data[[#This Row],[SDate]]),5,1),vp.data[[#This Row],[SDate]]&lt;=DATE(YEAR(vp.data[[#This Row],[SDate]]),9,15)),1,0)</f>
        <v>0</v>
      </c>
      <c r="AN6" s="4">
        <f>IF(vp.data[[#This Row],[SDate]]&lt;DATE(2016,12,1),0,1)</f>
        <v>0</v>
      </c>
      <c r="AO6" s="4">
        <f>IFERROR(vp.data[[#This Row],[Sulf]]*vp.data[[#This Row],[Net Dens]],"")</f>
        <v>241973355.41997004</v>
      </c>
      <c r="AP6">
        <f>IFERROR(vp.data[[#This Row],[Dens]]*vp.data[[#This Row],[VolumeM3]],"")</f>
        <v>100403881.91700001</v>
      </c>
      <c r="AQ6" s="15">
        <f>IFERROR(vp.data[[#This Row],[VP]]*vp.data[[#This Row],[VolumeM3]],"")</f>
        <v>8421638.7719999999</v>
      </c>
    </row>
    <row r="7" spans="1:43" x14ac:dyDescent="0.25">
      <c r="A7">
        <v>6</v>
      </c>
      <c r="B7" t="s">
        <v>51</v>
      </c>
      <c r="C7" t="s">
        <v>51</v>
      </c>
      <c r="D7" t="s">
        <v>52</v>
      </c>
      <c r="F7" s="1">
        <v>42286</v>
      </c>
      <c r="G7" s="2">
        <v>62.8</v>
      </c>
      <c r="H7" s="2"/>
      <c r="I7" s="2">
        <f t="array" ref="I7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7" s="2"/>
      <c r="K7" s="2"/>
      <c r="L7" s="2"/>
      <c r="M7" s="2">
        <f t="array" ref="M7">_xlfn.IFNA(IF(vp.data[[#This Row],[Dens Input]]="",INDEX([1]DATA!$O$3:$O$9826,MATCH(1,(vp.data[[#This Row],[Battery]]=[1]DATA!$L$3:$L$9826)*(EOMONTH(vp.data[[#This Row],[SDate]],-1)+1=[1]DATA!$G$3:$G$9826),0)),vp.data[[#This Row],[Dens Input]]),"")</f>
        <v>872</v>
      </c>
      <c r="N7" s="2">
        <f ca="1">INDEX(INDIRECT(_xlfn.CONCAT("weather.tbl[",N$1,"]")),MATCH(vp.data[[#This Row],[SDate]],weather.tbl[Date],0))</f>
        <v>11.4</v>
      </c>
      <c r="O7" s="2">
        <f ca="1">INDEX(INDIRECT(_xlfn.CONCAT("weather.tbl[",O$1,"]")),MATCH(vp.data[[#This Row],[SDate]],weather.tbl[Date],0))</f>
        <v>8.7190476190476183</v>
      </c>
      <c r="P7" s="2">
        <f ca="1">INDEX(INDIRECT(_xlfn.CONCAT("weather.tbl[",P$1,"]")),MATCH(vp.data[[#This Row],[SDate]],weather.tbl[Date],0))</f>
        <v>12.2</v>
      </c>
      <c r="Q7" s="2">
        <f ca="1">INDEX(INDIRECT(_xlfn.CONCAT("weather.tbl[",Q$1,"]")),MATCH(vp.data[[#This Row],[SDate]],weather.tbl[Date],0))</f>
        <v>12.3</v>
      </c>
      <c r="R7" s="2">
        <f ca="1">INDEX(INDIRECT(_xlfn.CONCAT("weather.tbl[",R$1,"]")),MATCH(vp.data[[#This Row],[SDate]],weather.tbl[Date],0))</f>
        <v>10.3</v>
      </c>
      <c r="S7" s="2">
        <f ca="1">INDEX(INDIRECT(_xlfn.CONCAT("weather.tbl[",S$1,"]")),MATCH(vp.data[[#This Row],[SDate]],weather.tbl[Date],0))</f>
        <v>13.5</v>
      </c>
      <c r="T7" s="2">
        <f ca="1">INDEX(INDIRECT(_xlfn.CONCAT("weather.tbl[",T$1,"]")),MATCH(vp.data[[#This Row],[SDate]],weather.tbl[Date],0))</f>
        <v>9.1</v>
      </c>
      <c r="U7" s="2">
        <f ca="1">INDEX(INDIRECT(_xlfn.CONCAT("weather.tbl[",U$1,"]")),MATCH(vp.data[[#This Row],[SDate]],weather.tbl[Date],0))</f>
        <v>11</v>
      </c>
      <c r="V7" s="2">
        <f t="array" ref="V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8216.5169999999998</v>
      </c>
      <c r="W7" t="s">
        <v>48</v>
      </c>
      <c r="X7">
        <f>IF(OR(vp.data[[#This Row],[Sulf]]="",vp.data[[#This Row],[Dens]]=""),1,0)</f>
        <v>0</v>
      </c>
      <c r="Y7">
        <f>IF(vp.data[[#This Row],[CrudeType]]="C5+",1,0)</f>
        <v>0</v>
      </c>
      <c r="Z7">
        <f>IF(AND(vp.data[[#This Row],[CrudeType]]="Crude",vp.data[[#This Row],[Dens]]&lt;=825,vp.data[[#This Row],[Sulf]]&gt;0.5,vp.data[[#This Row],[Unknown]]=0),1,0)</f>
        <v>0</v>
      </c>
      <c r="AA7">
        <f>IF(AND(vp.data[[#This Row],[CrudeType]]="Crude",vp.data[[#This Row],[Dens]]&lt;=825,vp.data[[#This Row],[Sulf]]&lt;=0.5,vp.data[[#This Row],[Unknown]]=0),1,0)</f>
        <v>0</v>
      </c>
      <c r="AB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">
        <f>IF(AND(vp.data[[#This Row],[CrudeType]]="Crude",vp.data[[#This Row],[Dens]]&gt;825,vp.data[[#This Row],[Dens]]&lt;=900,vp.data[[#This Row],[Sulf]]&lt;=0.5,vp.data[[#This Row],[Unknown]]=0),1,0)</f>
        <v>0</v>
      </c>
      <c r="AD7">
        <f>IF(AND(vp.data[[#This Row],[CrudeType]]="Crude",vp.data[[#This Row],[Dens]]&gt;865,vp.data[[#This Row],[Dens]]&lt;=900,vp.data[[#This Row],[Sulf]]&gt;2,vp.data[[#This Row],[Unknown]]=0),1,0)</f>
        <v>1</v>
      </c>
      <c r="AE7">
        <f>IF(AND(vp.data[[#This Row],[CrudeType]]="Crude",vp.data[[#This Row],[Dens]]&gt;900,vp.data[[#This Row],[Sulf]]&lt;=0.5,vp.data[[#This Row],[Unknown]]=0),1,0)</f>
        <v>0</v>
      </c>
      <c r="AF7">
        <f>IF(AND(vp.data[[#This Row],[CrudeType]]="Crude",vp.data[[#This Row],[Dens]]&gt;900,vp.data[[#This Row],[Sulf]]&lt;=0.5,vp.data[[#This Row],[Unknown]]=0),1,0)</f>
        <v>0</v>
      </c>
      <c r="AG7" t="str">
        <f>INDEX(vp.data[[#Headers],[Unknown]:[Heavy_SW]],MATCH(1,vp.data[[#This Row],[Unknown]:[Heavy_SW]],0))</f>
        <v>Midale</v>
      </c>
      <c r="AH7">
        <f>INDEX([3]!crudeBD.lkup[Number],MATCH(vp.data[[#This Row],[Crude_Breakdown]],crudeBD.lkup[Crude Breakdown],0))</f>
        <v>5</v>
      </c>
      <c r="AI7">
        <f>MONTH(vp.data[[#This Row],[SDate]])</f>
        <v>10</v>
      </c>
      <c r="AJ7" s="5">
        <f>(vp.data[[#This Row],[VP]]-INDEX(crudeBD.lkup[Mean_VP],MATCH(vp.data[[#This Row],[Crude_Breakdown]],crudeBD.lkup[Crude Breakdown],0)))^2</f>
        <v>43.675746891274763</v>
      </c>
      <c r="AK7" s="5">
        <f>(vp.data[[#This Row],[Dens]]-INDEX(crudeBD.lkup[Mean_Dens],MATCH(vp.data[[#This Row],[Crude_Breakdown]],crudeBD.lkup[Crude Breakdown],0)))^2</f>
        <v>7.9355470825822385</v>
      </c>
      <c r="AL7" s="5">
        <f>(vp.data[[#This Row],[Sulf]]-INDEX(crudeBD.lkup[Mean_Sulf],MATCH(vp.data[[#This Row],[Crude_Breakdown]],crudeBD.lkup[Crude Breakdown],0)))^2</f>
        <v>2.0625431087692294E-2</v>
      </c>
      <c r="AM7" s="4">
        <f>IF(AND(vp.data[[#This Row],[SDate]]&gt;=DATE(YEAR(vp.data[[#This Row],[SDate]]),5,1),vp.data[[#This Row],[SDate]]&lt;=DATE(YEAR(vp.data[[#This Row],[SDate]]),9,15)),1,0)</f>
        <v>0</v>
      </c>
      <c r="AN7" s="4">
        <f>IF(vp.data[[#This Row],[SDate]]&lt;DATE(2016,12,1),0,1)</f>
        <v>0</v>
      </c>
      <c r="AO7" s="4">
        <f>IFERROR(vp.data[[#This Row],[Sulf]]*vp.data[[#This Row],[Net Dens]],"")</f>
        <v>16479046.495199999</v>
      </c>
      <c r="AP7">
        <f>IFERROR(vp.data[[#This Row],[Dens]]*vp.data[[#This Row],[VolumeM3]],"")</f>
        <v>7164802.824</v>
      </c>
      <c r="AQ7" s="15">
        <f>IFERROR(vp.data[[#This Row],[VP]]*vp.data[[#This Row],[VolumeM3]],"")</f>
        <v>515997.26759999996</v>
      </c>
    </row>
    <row r="8" spans="1:43" x14ac:dyDescent="0.25">
      <c r="A8">
        <v>7</v>
      </c>
      <c r="B8" t="s">
        <v>53</v>
      </c>
      <c r="C8" t="s">
        <v>53</v>
      </c>
      <c r="D8" t="s">
        <v>54</v>
      </c>
      <c r="E8" t="s">
        <v>55</v>
      </c>
      <c r="F8" s="1">
        <v>42291</v>
      </c>
      <c r="G8" s="2">
        <v>112</v>
      </c>
      <c r="H8" s="2"/>
      <c r="I8" s="2">
        <f t="array" ref="I8">_xlfn.IFNA(IF(vp.data[[#This Row],[Sulf Input]]="",INDEX([1]DATA!$Q$3:$Q$9826,MATCH(1,(vp.data[[#This Row],[Battery]]=[1]DATA!$L$3:$L$9826)*(EOMONTH(vp.data[[#This Row],[SDate]],-1)+1=[1]DATA!$G$3:$G$9826),0)),vp.data[[#This Row],[Sulf Input]]),"")</f>
        <v>2.02</v>
      </c>
      <c r="J8" s="2"/>
      <c r="K8" s="2"/>
      <c r="L8" s="2">
        <v>848</v>
      </c>
      <c r="M8" s="2">
        <f t="array" ref="M8">_xlfn.IFNA(IF(vp.data[[#This Row],[Dens Input]]="",INDEX([1]DATA!$O$3:$O$9826,MATCH(1,(vp.data[[#This Row],[Battery]]=[1]DATA!$L$3:$L$9826)*(EOMONTH(vp.data[[#This Row],[SDate]],-1)+1=[1]DATA!$G$3:$G$9826),0)),vp.data[[#This Row],[Dens Input]]),"")</f>
        <v>848</v>
      </c>
      <c r="N8" s="2">
        <f ca="1">INDEX(INDIRECT(_xlfn.CONCAT("weather.tbl[",N$1,"]")),MATCH(vp.data[[#This Row],[SDate]],weather.tbl[Date],0))</f>
        <v>8.75</v>
      </c>
      <c r="O8" s="2">
        <f ca="1">INDEX(INDIRECT(_xlfn.CONCAT("weather.tbl[",O$1,"]")),MATCH(vp.data[[#This Row],[SDate]],weather.tbl[Date],0))</f>
        <v>11.204761904761906</v>
      </c>
      <c r="P8" s="2">
        <f ca="1">INDEX(INDIRECT(_xlfn.CONCAT("weather.tbl[",P$1,"]")),MATCH(vp.data[[#This Row],[SDate]],weather.tbl[Date],0))</f>
        <v>9.1</v>
      </c>
      <c r="Q8" s="2">
        <f ca="1">INDEX(INDIRECT(_xlfn.CONCAT("weather.tbl[",Q$1,"]")),MATCH(vp.data[[#This Row],[SDate]],weather.tbl[Date],0))</f>
        <v>7.7</v>
      </c>
      <c r="R8" s="2">
        <f ca="1">INDEX(INDIRECT(_xlfn.CONCAT("weather.tbl[",R$1,"]")),MATCH(vp.data[[#This Row],[SDate]],weather.tbl[Date],0))</f>
        <v>8.8000000000000007</v>
      </c>
      <c r="S8" s="2">
        <f ca="1">INDEX(INDIRECT(_xlfn.CONCAT("weather.tbl[",S$1,"]")),MATCH(vp.data[[#This Row],[SDate]],weather.tbl[Date],0))</f>
        <v>9</v>
      </c>
      <c r="T8" s="2">
        <f ca="1">INDEX(INDIRECT(_xlfn.CONCAT("weather.tbl[",T$1,"]")),MATCH(vp.data[[#This Row],[SDate]],weather.tbl[Date],0))</f>
        <v>10.1</v>
      </c>
      <c r="U8" s="2">
        <f ca="1">INDEX(INDIRECT(_xlfn.CONCAT("weather.tbl[",U$1,"]")),MATCH(vp.data[[#This Row],[SDate]],weather.tbl[Date],0))</f>
        <v>7.8</v>
      </c>
      <c r="V8" s="2">
        <f t="array" ref="V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65534.339</v>
      </c>
      <c r="W8" t="s">
        <v>48</v>
      </c>
      <c r="X8">
        <f>IF(OR(vp.data[[#This Row],[Sulf]]="",vp.data[[#This Row],[Dens]]=""),1,0)</f>
        <v>0</v>
      </c>
      <c r="Y8">
        <f>IF(vp.data[[#This Row],[CrudeType]]="C5+",1,0)</f>
        <v>0</v>
      </c>
      <c r="Z8">
        <f>IF(AND(vp.data[[#This Row],[CrudeType]]="Crude",vp.data[[#This Row],[Dens]]&lt;=825,vp.data[[#This Row],[Sulf]]&gt;0.5,vp.data[[#This Row],[Unknown]]=0),1,0)</f>
        <v>0</v>
      </c>
      <c r="AA8">
        <f>IF(AND(vp.data[[#This Row],[CrudeType]]="Crude",vp.data[[#This Row],[Dens]]&lt;=825,vp.data[[#This Row],[Sulf]]&lt;=0.5,vp.data[[#This Row],[Unknown]]=0),1,0)</f>
        <v>0</v>
      </c>
      <c r="AB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">
        <f>IF(AND(vp.data[[#This Row],[CrudeType]]="Crude",vp.data[[#This Row],[Dens]]&gt;825,vp.data[[#This Row],[Dens]]&lt;=900,vp.data[[#This Row],[Sulf]]&lt;=0.5,vp.data[[#This Row],[Unknown]]=0),1,0)</f>
        <v>0</v>
      </c>
      <c r="AD8">
        <f>IF(AND(vp.data[[#This Row],[CrudeType]]="Crude",vp.data[[#This Row],[Dens]]&gt;865,vp.data[[#This Row],[Dens]]&lt;=900,vp.data[[#This Row],[Sulf]]&gt;2,vp.data[[#This Row],[Unknown]]=0),1,0)</f>
        <v>0</v>
      </c>
      <c r="AE8">
        <f>IF(AND(vp.data[[#This Row],[CrudeType]]="Crude",vp.data[[#This Row],[Dens]]&gt;900,vp.data[[#This Row],[Sulf]]&lt;=0.5,vp.data[[#This Row],[Unknown]]=0),1,0)</f>
        <v>0</v>
      </c>
      <c r="AF8">
        <f>IF(AND(vp.data[[#This Row],[CrudeType]]="Crude",vp.data[[#This Row],[Dens]]&gt;900,vp.data[[#This Row],[Sulf]]&lt;=0.5,vp.data[[#This Row],[Unknown]]=0),1,0)</f>
        <v>0</v>
      </c>
      <c r="AG8" t="str">
        <f>INDEX(vp.data[[#Headers],[Unknown]:[Heavy_SW]],MATCH(1,vp.data[[#This Row],[Unknown]:[Heavy_SW]],0))</f>
        <v>Medium_LSB</v>
      </c>
      <c r="AH8">
        <f>INDEX([3]!crudeBD.lkup[Number],MATCH(vp.data[[#This Row],[Crude_Breakdown]],crudeBD.lkup[Crude Breakdown],0))</f>
        <v>3</v>
      </c>
      <c r="AI8">
        <f>MONTH(vp.data[[#This Row],[SDate]])</f>
        <v>10</v>
      </c>
      <c r="AJ8" s="5">
        <f>(vp.data[[#This Row],[VP]]-INDEX(crudeBD.lkup[Mean_VP],MATCH(vp.data[[#This Row],[Crude_Breakdown]],crudeBD.lkup[Crude Breakdown],0)))^2</f>
        <v>983.46988689707734</v>
      </c>
      <c r="AK8" s="5">
        <f>(vp.data[[#This Row],[Dens]]-INDEX(crudeBD.lkup[Mean_Dens],MATCH(vp.data[[#This Row],[Crude_Breakdown]],crudeBD.lkup[Crude Breakdown],0)))^2</f>
        <v>16.646400000004046</v>
      </c>
      <c r="AL8" s="5">
        <f>(vp.data[[#This Row],[Sulf]]-INDEX(crudeBD.lkup[Mean_Sulf],MATCH(vp.data[[#This Row],[Crude_Breakdown]],crudeBD.lkup[Crude Breakdown],0)))^2</f>
        <v>0.40270684567790094</v>
      </c>
      <c r="AM8" s="4">
        <f>IF(AND(vp.data[[#This Row],[SDate]]&gt;=DATE(YEAR(vp.data[[#This Row],[SDate]]),5,1),vp.data[[#This Row],[SDate]]&lt;=DATE(YEAR(vp.data[[#This Row],[SDate]]),9,15)),1,0)</f>
        <v>0</v>
      </c>
      <c r="AN8" s="4">
        <f>IF(vp.data[[#This Row],[SDate]]&lt;DATE(2016,12,1),0,1)</f>
        <v>0</v>
      </c>
      <c r="AO8" s="4">
        <f>IFERROR(vp.data[[#This Row],[Sulf]]*vp.data[[#This Row],[Net Dens]],"")</f>
        <v>112257701.33344001</v>
      </c>
      <c r="AP8">
        <f>IFERROR(vp.data[[#This Row],[Dens]]*vp.data[[#This Row],[VolumeM3]],"")</f>
        <v>55573119.472000003</v>
      </c>
      <c r="AQ8" s="15">
        <f>IFERROR(vp.data[[#This Row],[VP]]*vp.data[[#This Row],[VolumeM3]],"")</f>
        <v>7339845.9680000003</v>
      </c>
    </row>
    <row r="9" spans="1:43" x14ac:dyDescent="0.25">
      <c r="A9">
        <v>8</v>
      </c>
      <c r="B9" t="s">
        <v>56</v>
      </c>
      <c r="C9" t="s">
        <v>56</v>
      </c>
      <c r="D9" t="s">
        <v>57</v>
      </c>
      <c r="F9" s="1">
        <v>42291</v>
      </c>
      <c r="G9" s="2">
        <v>111.3</v>
      </c>
      <c r="H9" s="2"/>
      <c r="I9" s="2">
        <f t="array" ref="I9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9" s="2"/>
      <c r="K9" s="2"/>
      <c r="L9" s="2">
        <v>822.6</v>
      </c>
      <c r="M9" s="2">
        <f t="array" ref="M9">_xlfn.IFNA(IF(vp.data[[#This Row],[Dens Input]]="",INDEX([1]DATA!$O$3:$O$9826,MATCH(1,(vp.data[[#This Row],[Battery]]=[1]DATA!$L$3:$L$9826)*(EOMONTH(vp.data[[#This Row],[SDate]],-1)+1=[1]DATA!$G$3:$G$9826),0)),vp.data[[#This Row],[Dens Input]]),"")</f>
        <v>822.6</v>
      </c>
      <c r="N9" s="2">
        <f ca="1">INDEX(INDIRECT(_xlfn.CONCAT("weather.tbl[",N$1,"]")),MATCH(vp.data[[#This Row],[SDate]],weather.tbl[Date],0))</f>
        <v>8.75</v>
      </c>
      <c r="O9" s="2">
        <f ca="1">INDEX(INDIRECT(_xlfn.CONCAT("weather.tbl[",O$1,"]")),MATCH(vp.data[[#This Row],[SDate]],weather.tbl[Date],0))</f>
        <v>11.204761904761906</v>
      </c>
      <c r="P9" s="2">
        <f ca="1">INDEX(INDIRECT(_xlfn.CONCAT("weather.tbl[",P$1,"]")),MATCH(vp.data[[#This Row],[SDate]],weather.tbl[Date],0))</f>
        <v>9.1</v>
      </c>
      <c r="Q9" s="2">
        <f ca="1">INDEX(INDIRECT(_xlfn.CONCAT("weather.tbl[",Q$1,"]")),MATCH(vp.data[[#This Row],[SDate]],weather.tbl[Date],0))</f>
        <v>7.7</v>
      </c>
      <c r="R9" s="2">
        <f ca="1">INDEX(INDIRECT(_xlfn.CONCAT("weather.tbl[",R$1,"]")),MATCH(vp.data[[#This Row],[SDate]],weather.tbl[Date],0))</f>
        <v>8.8000000000000007</v>
      </c>
      <c r="S9" s="2">
        <f ca="1">INDEX(INDIRECT(_xlfn.CONCAT("weather.tbl[",S$1,"]")),MATCH(vp.data[[#This Row],[SDate]],weather.tbl[Date],0))</f>
        <v>9</v>
      </c>
      <c r="T9" s="2">
        <f ca="1">INDEX(INDIRECT(_xlfn.CONCAT("weather.tbl[",T$1,"]")),MATCH(vp.data[[#This Row],[SDate]],weather.tbl[Date],0))</f>
        <v>10.1</v>
      </c>
      <c r="U9" s="2">
        <f ca="1">INDEX(INDIRECT(_xlfn.CONCAT("weather.tbl[",U$1,"]")),MATCH(vp.data[[#This Row],[SDate]],weather.tbl[Date],0))</f>
        <v>7.8</v>
      </c>
      <c r="V9" s="2">
        <f t="array" ref="V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4182.07</v>
      </c>
      <c r="W9" t="s">
        <v>48</v>
      </c>
      <c r="X9">
        <f>IF(OR(vp.data[[#This Row],[Sulf]]="",vp.data[[#This Row],[Dens]]=""),1,0)</f>
        <v>0</v>
      </c>
      <c r="Y9">
        <f>IF(vp.data[[#This Row],[CrudeType]]="C5+",1,0)</f>
        <v>0</v>
      </c>
      <c r="Z9">
        <f>IF(AND(vp.data[[#This Row],[CrudeType]]="Crude",vp.data[[#This Row],[Dens]]&lt;=825,vp.data[[#This Row],[Sulf]]&gt;0.5,vp.data[[#This Row],[Unknown]]=0),1,0)</f>
        <v>1</v>
      </c>
      <c r="AA9">
        <f>IF(AND(vp.data[[#This Row],[CrudeType]]="Crude",vp.data[[#This Row],[Dens]]&lt;=825,vp.data[[#This Row],[Sulf]]&lt;=0.5,vp.data[[#This Row],[Unknown]]=0),1,0)</f>
        <v>0</v>
      </c>
      <c r="AB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">
        <f>IF(AND(vp.data[[#This Row],[CrudeType]]="Crude",vp.data[[#This Row],[Dens]]&gt;825,vp.data[[#This Row],[Dens]]&lt;=900,vp.data[[#This Row],[Sulf]]&lt;=0.5,vp.data[[#This Row],[Unknown]]=0),1,0)</f>
        <v>0</v>
      </c>
      <c r="AD9">
        <f>IF(AND(vp.data[[#This Row],[CrudeType]]="Crude",vp.data[[#This Row],[Dens]]&gt;865,vp.data[[#This Row],[Dens]]&lt;=900,vp.data[[#This Row],[Sulf]]&gt;2,vp.data[[#This Row],[Unknown]]=0),1,0)</f>
        <v>0</v>
      </c>
      <c r="AE9">
        <f>IF(AND(vp.data[[#This Row],[CrudeType]]="Crude",vp.data[[#This Row],[Dens]]&gt;900,vp.data[[#This Row],[Sulf]]&lt;=0.5,vp.data[[#This Row],[Unknown]]=0),1,0)</f>
        <v>0</v>
      </c>
      <c r="AF9">
        <f>IF(AND(vp.data[[#This Row],[CrudeType]]="Crude",vp.data[[#This Row],[Dens]]&gt;900,vp.data[[#This Row],[Sulf]]&lt;=0.5,vp.data[[#This Row],[Unknown]]=0),1,0)</f>
        <v>0</v>
      </c>
      <c r="AG9" t="str">
        <f>INDEX(vp.data[[#Headers],[Unknown]:[Heavy_SW]],MATCH(1,vp.data[[#This Row],[Unknown]:[Heavy_SW]],0))</f>
        <v>Light_LSB</v>
      </c>
      <c r="AH9">
        <f>INDEX([3]!crudeBD.lkup[Number],MATCH(vp.data[[#This Row],[Crude_Breakdown]],crudeBD.lkup[Crude Breakdown],0))</f>
        <v>1</v>
      </c>
      <c r="AI9">
        <f>MONTH(vp.data[[#This Row],[SDate]])</f>
        <v>10</v>
      </c>
      <c r="AJ9" s="5">
        <f>(vp.data[[#This Row],[VP]]-INDEX(crudeBD.lkup[Mean_VP],MATCH(vp.data[[#This Row],[Crude_Breakdown]],crudeBD.lkup[Crude Breakdown],0)))^2</f>
        <v>390.21318465299049</v>
      </c>
      <c r="AK9" s="5">
        <f>(vp.data[[#This Row],[Dens]]-INDEX(crudeBD.lkup[Mean_Dens],MATCH(vp.data[[#This Row],[Crude_Breakdown]],crudeBD.lkup[Crude Breakdown],0)))^2</f>
        <v>16.67276919734336</v>
      </c>
      <c r="AL9" s="5">
        <f>(vp.data[[#This Row],[Sulf]]-INDEX(crudeBD.lkup[Mean_Sulf],MATCH(vp.data[[#This Row],[Crude_Breakdown]],crudeBD.lkup[Crude Breakdown],0)))^2</f>
        <v>0.26731881272129659</v>
      </c>
      <c r="AM9" s="4">
        <f>IF(AND(vp.data[[#This Row],[SDate]]&gt;=DATE(YEAR(vp.data[[#This Row],[SDate]]),5,1),vp.data[[#This Row],[SDate]]&lt;=DATE(YEAR(vp.data[[#This Row],[SDate]]),9,15)),1,0)</f>
        <v>0</v>
      </c>
      <c r="AN9" s="4">
        <f>IF(vp.data[[#This Row],[SDate]]&lt;DATE(2016,12,1),0,1)</f>
        <v>0</v>
      </c>
      <c r="AO9" s="4">
        <f>IFERROR(vp.data[[#This Row],[Sulf]]*vp.data[[#This Row],[Net Dens]],"")</f>
        <v>4953845.9260799997</v>
      </c>
      <c r="AP9">
        <f>IFERROR(vp.data[[#This Row],[Dens]]*vp.data[[#This Row],[VolumeM3]],"")</f>
        <v>3440170.7819999997</v>
      </c>
      <c r="AQ9" s="15">
        <f>IFERROR(vp.data[[#This Row],[VP]]*vp.data[[#This Row],[VolumeM3]],"")</f>
        <v>465464.39099999995</v>
      </c>
    </row>
    <row r="10" spans="1:43" x14ac:dyDescent="0.25">
      <c r="A10">
        <v>9</v>
      </c>
      <c r="B10" t="s">
        <v>51</v>
      </c>
      <c r="C10" t="s">
        <v>51</v>
      </c>
      <c r="D10" t="s">
        <v>58</v>
      </c>
      <c r="F10" s="1">
        <v>42291</v>
      </c>
      <c r="G10" s="2">
        <v>91.2</v>
      </c>
      <c r="H10" s="2"/>
      <c r="I10" s="2">
        <f t="array" ref="I10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0" s="2"/>
      <c r="K10" s="2"/>
      <c r="L10" s="2">
        <v>823.1</v>
      </c>
      <c r="M10" s="2">
        <f t="array" ref="M10">_xlfn.IFNA(IF(vp.data[[#This Row],[Dens Input]]="",INDEX([1]DATA!$O$3:$O$9826,MATCH(1,(vp.data[[#This Row],[Battery]]=[1]DATA!$L$3:$L$9826)*(EOMONTH(vp.data[[#This Row],[SDate]],-1)+1=[1]DATA!$G$3:$G$9826),0)),vp.data[[#This Row],[Dens Input]]),"")</f>
        <v>823.1</v>
      </c>
      <c r="N10" s="2">
        <f ca="1">INDEX(INDIRECT(_xlfn.CONCAT("weather.tbl[",N$1,"]")),MATCH(vp.data[[#This Row],[SDate]],weather.tbl[Date],0))</f>
        <v>8.75</v>
      </c>
      <c r="O10" s="2">
        <f ca="1">INDEX(INDIRECT(_xlfn.CONCAT("weather.tbl[",O$1,"]")),MATCH(vp.data[[#This Row],[SDate]],weather.tbl[Date],0))</f>
        <v>11.204761904761906</v>
      </c>
      <c r="P10" s="2">
        <f ca="1">INDEX(INDIRECT(_xlfn.CONCAT("weather.tbl[",P$1,"]")),MATCH(vp.data[[#This Row],[SDate]],weather.tbl[Date],0))</f>
        <v>9.1</v>
      </c>
      <c r="Q10" s="2">
        <f ca="1">INDEX(INDIRECT(_xlfn.CONCAT("weather.tbl[",Q$1,"]")),MATCH(vp.data[[#This Row],[SDate]],weather.tbl[Date],0))</f>
        <v>7.7</v>
      </c>
      <c r="R10" s="2">
        <f ca="1">INDEX(INDIRECT(_xlfn.CONCAT("weather.tbl[",R$1,"]")),MATCH(vp.data[[#This Row],[SDate]],weather.tbl[Date],0))</f>
        <v>8.8000000000000007</v>
      </c>
      <c r="S10" s="2">
        <f ca="1">INDEX(INDIRECT(_xlfn.CONCAT("weather.tbl[",S$1,"]")),MATCH(vp.data[[#This Row],[SDate]],weather.tbl[Date],0))</f>
        <v>9</v>
      </c>
      <c r="T10" s="2">
        <f ca="1">INDEX(INDIRECT(_xlfn.CONCAT("weather.tbl[",T$1,"]")),MATCH(vp.data[[#This Row],[SDate]],weather.tbl[Date],0))</f>
        <v>10.1</v>
      </c>
      <c r="U10" s="2">
        <f ca="1">INDEX(INDIRECT(_xlfn.CONCAT("weather.tbl[",U$1,"]")),MATCH(vp.data[[#This Row],[SDate]],weather.tbl[Date],0))</f>
        <v>7.8</v>
      </c>
      <c r="V10" s="2">
        <f t="array" ref="V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6800.9520000000002</v>
      </c>
      <c r="W10" t="s">
        <v>48</v>
      </c>
      <c r="X10">
        <f>IF(OR(vp.data[[#This Row],[Sulf]]="",vp.data[[#This Row],[Dens]]=""),1,0)</f>
        <v>0</v>
      </c>
      <c r="Y10">
        <f>IF(vp.data[[#This Row],[CrudeType]]="C5+",1,0)</f>
        <v>0</v>
      </c>
      <c r="Z10">
        <f>IF(AND(vp.data[[#This Row],[CrudeType]]="Crude",vp.data[[#This Row],[Dens]]&lt;=825,vp.data[[#This Row],[Sulf]]&gt;0.5,vp.data[[#This Row],[Unknown]]=0),1,0)</f>
        <v>1</v>
      </c>
      <c r="AA10">
        <f>IF(AND(vp.data[[#This Row],[CrudeType]]="Crude",vp.data[[#This Row],[Dens]]&lt;=825,vp.data[[#This Row],[Sulf]]&lt;=0.5,vp.data[[#This Row],[Unknown]]=0),1,0)</f>
        <v>0</v>
      </c>
      <c r="AB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">
        <f>IF(AND(vp.data[[#This Row],[CrudeType]]="Crude",vp.data[[#This Row],[Dens]]&gt;825,vp.data[[#This Row],[Dens]]&lt;=900,vp.data[[#This Row],[Sulf]]&lt;=0.5,vp.data[[#This Row],[Unknown]]=0),1,0)</f>
        <v>0</v>
      </c>
      <c r="AD10">
        <f>IF(AND(vp.data[[#This Row],[CrudeType]]="Crude",vp.data[[#This Row],[Dens]]&gt;865,vp.data[[#This Row],[Dens]]&lt;=900,vp.data[[#This Row],[Sulf]]&gt;2,vp.data[[#This Row],[Unknown]]=0),1,0)</f>
        <v>0</v>
      </c>
      <c r="AE10">
        <f>IF(AND(vp.data[[#This Row],[CrudeType]]="Crude",vp.data[[#This Row],[Dens]]&gt;900,vp.data[[#This Row],[Sulf]]&lt;=0.5,vp.data[[#This Row],[Unknown]]=0),1,0)</f>
        <v>0</v>
      </c>
      <c r="AF10">
        <f>IF(AND(vp.data[[#This Row],[CrudeType]]="Crude",vp.data[[#This Row],[Dens]]&gt;900,vp.data[[#This Row],[Sulf]]&lt;=0.5,vp.data[[#This Row],[Unknown]]=0),1,0)</f>
        <v>0</v>
      </c>
      <c r="AG10" t="str">
        <f>INDEX(vp.data[[#Headers],[Unknown]:[Heavy_SW]],MATCH(1,vp.data[[#This Row],[Unknown]:[Heavy_SW]],0))</f>
        <v>Light_LSB</v>
      </c>
      <c r="AH10">
        <f>INDEX([3]!crudeBD.lkup[Number],MATCH(vp.data[[#This Row],[Crude_Breakdown]],crudeBD.lkup[Crude Breakdown],0))</f>
        <v>1</v>
      </c>
      <c r="AI10">
        <f>MONTH(vp.data[[#This Row],[SDate]])</f>
        <v>10</v>
      </c>
      <c r="AJ10" s="5">
        <f>(vp.data[[#This Row],[VP]]-INDEX(crudeBD.lkup[Mean_VP],MATCH(vp.data[[#This Row],[Crude_Breakdown]],crudeBD.lkup[Crude Breakdown],0)))^2</f>
        <v>0.11984444680626891</v>
      </c>
      <c r="AK10" s="5">
        <f>(vp.data[[#This Row],[Dens]]-INDEX(crudeBD.lkup[Mean_Dens],MATCH(vp.data[[#This Row],[Crude_Breakdown]],crudeBD.lkup[Crude Breakdown],0)))^2</f>
        <v>21.005999437893525</v>
      </c>
      <c r="AL10" s="5">
        <f>(vp.data[[#This Row],[Sulf]]-INDEX(crudeBD.lkup[Mean_Sulf],MATCH(vp.data[[#This Row],[Crude_Breakdown]],crudeBD.lkup[Crude Breakdown],0)))^2</f>
        <v>0.11358843333985327</v>
      </c>
      <c r="AM10" s="4">
        <f>IF(AND(vp.data[[#This Row],[SDate]]&gt;=DATE(YEAR(vp.data[[#This Row],[SDate]]),5,1),vp.data[[#This Row],[SDate]]&lt;=DATE(YEAR(vp.data[[#This Row],[SDate]]),9,15)),1,0)</f>
        <v>0</v>
      </c>
      <c r="AN10" s="4">
        <f>IF(vp.data[[#This Row],[SDate]]&lt;DATE(2016,12,1),0,1)</f>
        <v>0</v>
      </c>
      <c r="AO10" s="4">
        <f>IFERROR(vp.data[[#This Row],[Sulf]]*vp.data[[#This Row],[Net Dens]],"")</f>
        <v>7053308.1249120012</v>
      </c>
      <c r="AP10">
        <f>IFERROR(vp.data[[#This Row],[Dens]]*vp.data[[#This Row],[VolumeM3]],"")</f>
        <v>5597863.5912000006</v>
      </c>
      <c r="AQ10" s="15">
        <f>IFERROR(vp.data[[#This Row],[VP]]*vp.data[[#This Row],[VolumeM3]],"")</f>
        <v>620246.82240000006</v>
      </c>
    </row>
    <row r="11" spans="1:43" x14ac:dyDescent="0.25">
      <c r="A11">
        <v>10</v>
      </c>
      <c r="B11" t="s">
        <v>49</v>
      </c>
      <c r="C11" t="s">
        <v>49</v>
      </c>
      <c r="D11" t="s">
        <v>59</v>
      </c>
      <c r="F11" s="1">
        <v>42291</v>
      </c>
      <c r="G11" s="2">
        <v>72.900000000000006</v>
      </c>
      <c r="H11" s="2"/>
      <c r="I11" s="2">
        <f t="array" ref="I11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11" s="2"/>
      <c r="K11" s="2"/>
      <c r="L11" s="2">
        <v>843.3</v>
      </c>
      <c r="M11" s="2">
        <f t="array" ref="M11">_xlfn.IFNA(IF(vp.data[[#This Row],[Dens Input]]="",INDEX([1]DATA!$O$3:$O$9826,MATCH(1,(vp.data[[#This Row],[Battery]]=[1]DATA!$L$3:$L$9826)*(EOMONTH(vp.data[[#This Row],[SDate]],-1)+1=[1]DATA!$G$3:$G$9826),0)),vp.data[[#This Row],[Dens Input]]),"")</f>
        <v>843.3</v>
      </c>
      <c r="N11" s="2">
        <f ca="1">INDEX(INDIRECT(_xlfn.CONCAT("weather.tbl[",N$1,"]")),MATCH(vp.data[[#This Row],[SDate]],weather.tbl[Date],0))</f>
        <v>8.75</v>
      </c>
      <c r="O11" s="2">
        <f ca="1">INDEX(INDIRECT(_xlfn.CONCAT("weather.tbl[",O$1,"]")),MATCH(vp.data[[#This Row],[SDate]],weather.tbl[Date],0))</f>
        <v>11.204761904761906</v>
      </c>
      <c r="P11" s="2">
        <f ca="1">INDEX(INDIRECT(_xlfn.CONCAT("weather.tbl[",P$1,"]")),MATCH(vp.data[[#This Row],[SDate]],weather.tbl[Date],0))</f>
        <v>9.1</v>
      </c>
      <c r="Q11" s="2">
        <f ca="1">INDEX(INDIRECT(_xlfn.CONCAT("weather.tbl[",Q$1,"]")),MATCH(vp.data[[#This Row],[SDate]],weather.tbl[Date],0))</f>
        <v>7.7</v>
      </c>
      <c r="R11" s="2">
        <f ca="1">INDEX(INDIRECT(_xlfn.CONCAT("weather.tbl[",R$1,"]")),MATCH(vp.data[[#This Row],[SDate]],weather.tbl[Date],0))</f>
        <v>8.8000000000000007</v>
      </c>
      <c r="S11" s="2">
        <f ca="1">INDEX(INDIRECT(_xlfn.CONCAT("weather.tbl[",S$1,"]")),MATCH(vp.data[[#This Row],[SDate]],weather.tbl[Date],0))</f>
        <v>9</v>
      </c>
      <c r="T11" s="2">
        <f ca="1">INDEX(INDIRECT(_xlfn.CONCAT("weather.tbl[",T$1,"]")),MATCH(vp.data[[#This Row],[SDate]],weather.tbl[Date],0))</f>
        <v>10.1</v>
      </c>
      <c r="U11" s="2">
        <f ca="1">INDEX(INDIRECT(_xlfn.CONCAT("weather.tbl[",U$1,"]")),MATCH(vp.data[[#This Row],[SDate]],weather.tbl[Date],0))</f>
        <v>7.8</v>
      </c>
      <c r="V11" s="2">
        <f t="array" ref="V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1980.316</v>
      </c>
      <c r="W11" t="s">
        <v>48</v>
      </c>
      <c r="X11">
        <f>IF(OR(vp.data[[#This Row],[Sulf]]="",vp.data[[#This Row],[Dens]]=""),1,0)</f>
        <v>0</v>
      </c>
      <c r="Y11">
        <f>IF(vp.data[[#This Row],[CrudeType]]="C5+",1,0)</f>
        <v>0</v>
      </c>
      <c r="Z11">
        <f>IF(AND(vp.data[[#This Row],[CrudeType]]="Crude",vp.data[[#This Row],[Dens]]&lt;=825,vp.data[[#This Row],[Sulf]]&gt;0.5,vp.data[[#This Row],[Unknown]]=0),1,0)</f>
        <v>0</v>
      </c>
      <c r="AA11">
        <f>IF(AND(vp.data[[#This Row],[CrudeType]]="Crude",vp.data[[#This Row],[Dens]]&lt;=825,vp.data[[#This Row],[Sulf]]&lt;=0.5,vp.data[[#This Row],[Unknown]]=0),1,0)</f>
        <v>0</v>
      </c>
      <c r="AB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">
        <f>IF(AND(vp.data[[#This Row],[CrudeType]]="Crude",vp.data[[#This Row],[Dens]]&gt;825,vp.data[[#This Row],[Dens]]&lt;=900,vp.data[[#This Row],[Sulf]]&lt;=0.5,vp.data[[#This Row],[Unknown]]=0),1,0)</f>
        <v>0</v>
      </c>
      <c r="AD11">
        <f>IF(AND(vp.data[[#This Row],[CrudeType]]="Crude",vp.data[[#This Row],[Dens]]&gt;865,vp.data[[#This Row],[Dens]]&lt;=900,vp.data[[#This Row],[Sulf]]&gt;2,vp.data[[#This Row],[Unknown]]=0),1,0)</f>
        <v>0</v>
      </c>
      <c r="AE11">
        <f>IF(AND(vp.data[[#This Row],[CrudeType]]="Crude",vp.data[[#This Row],[Dens]]&gt;900,vp.data[[#This Row],[Sulf]]&lt;=0.5,vp.data[[#This Row],[Unknown]]=0),1,0)</f>
        <v>0</v>
      </c>
      <c r="AF11">
        <f>IF(AND(vp.data[[#This Row],[CrudeType]]="Crude",vp.data[[#This Row],[Dens]]&gt;900,vp.data[[#This Row],[Sulf]]&lt;=0.5,vp.data[[#This Row],[Unknown]]=0),1,0)</f>
        <v>0</v>
      </c>
      <c r="AG11" t="str">
        <f>INDEX(vp.data[[#Headers],[Unknown]:[Heavy_SW]],MATCH(1,vp.data[[#This Row],[Unknown]:[Heavy_SW]],0))</f>
        <v>Medium_LSB</v>
      </c>
      <c r="AH11">
        <f>INDEX([3]!crudeBD.lkup[Number],MATCH(vp.data[[#This Row],[Crude_Breakdown]],crudeBD.lkup[Crude Breakdown],0))</f>
        <v>3</v>
      </c>
      <c r="AI11">
        <f>MONTH(vp.data[[#This Row],[SDate]])</f>
        <v>10</v>
      </c>
      <c r="AJ11" s="5">
        <f>(vp.data[[#This Row],[VP]]-INDEX(crudeBD.lkup[Mean_VP],MATCH(vp.data[[#This Row],[Crude_Breakdown]],crudeBD.lkup[Crude Breakdown],0)))^2</f>
        <v>59.902593096532541</v>
      </c>
      <c r="AK11" s="5">
        <f>(vp.data[[#This Row],[Dens]]-INDEX(crudeBD.lkup[Mean_Dens],MATCH(vp.data[[#This Row],[Crude_Breakdown]],crudeBD.lkup[Crude Breakdown],0)))^2</f>
        <v>0.38439999999944174</v>
      </c>
      <c r="AL11" s="5">
        <f>(vp.data[[#This Row],[Sulf]]-INDEX(crudeBD.lkup[Mean_Sulf],MATCH(vp.data[[#This Row],[Crude_Breakdown]],crudeBD.lkup[Crude Breakdown],0)))^2</f>
        <v>2.0906809828845806E-2</v>
      </c>
      <c r="AM11" s="4">
        <f>IF(AND(vp.data[[#This Row],[SDate]]&gt;=DATE(YEAR(vp.data[[#This Row],[SDate]]),5,1),vp.data[[#This Row],[SDate]]&lt;=DATE(YEAR(vp.data[[#This Row],[SDate]]),9,15)),1,0)</f>
        <v>0</v>
      </c>
      <c r="AN11" s="4">
        <f>IF(vp.data[[#This Row],[SDate]]&lt;DATE(2016,12,1),0,1)</f>
        <v>0</v>
      </c>
      <c r="AO11" s="4">
        <f>IFERROR(vp.data[[#This Row],[Sulf]]*vp.data[[#This Row],[Net Dens]],"")</f>
        <v>2555100.738684</v>
      </c>
      <c r="AP11">
        <f>IFERROR(vp.data[[#This Row],[Dens]]*vp.data[[#This Row],[VolumeM3]],"")</f>
        <v>1670000.4827999999</v>
      </c>
      <c r="AQ11" s="15">
        <f>IFERROR(vp.data[[#This Row],[VP]]*vp.data[[#This Row],[VolumeM3]],"")</f>
        <v>144365.03640000001</v>
      </c>
    </row>
    <row r="12" spans="1:43" x14ac:dyDescent="0.25">
      <c r="A12">
        <v>11</v>
      </c>
      <c r="B12" t="s">
        <v>60</v>
      </c>
      <c r="C12" t="s">
        <v>60</v>
      </c>
      <c r="D12" t="s">
        <v>61</v>
      </c>
      <c r="E12" t="s">
        <v>55</v>
      </c>
      <c r="F12" s="1">
        <v>42291</v>
      </c>
      <c r="G12" s="2">
        <v>101.3</v>
      </c>
      <c r="H12" s="2"/>
      <c r="I12" s="2">
        <f t="array" ref="I12">_xlfn.IFNA(IF(vp.data[[#This Row],[Sulf Input]]="",INDEX([1]DATA!$Q$3:$Q$9826,MATCH(1,(vp.data[[#This Row],[Battery]]=[1]DATA!$L$3:$L$9826)*(EOMONTH(vp.data[[#This Row],[SDate]],-1)+1=[1]DATA!$G$3:$G$9826),0)),vp.data[[#This Row],[Sulf Input]]),"")</f>
        <v>1.03</v>
      </c>
      <c r="J12" s="2"/>
      <c r="K12" s="2"/>
      <c r="L12" s="2"/>
      <c r="M12" s="2">
        <f t="array" ref="M12">_xlfn.IFNA(IF(vp.data[[#This Row],[Dens Input]]="",INDEX([1]DATA!$O$3:$O$9826,MATCH(1,(vp.data[[#This Row],[Battery]]=[1]DATA!$L$3:$L$9826)*(EOMONTH(vp.data[[#This Row],[SDate]],-1)+1=[1]DATA!$G$3:$G$9826),0)),vp.data[[#This Row],[Dens Input]]),"")</f>
        <v>820.9</v>
      </c>
      <c r="N12" s="2">
        <f ca="1">INDEX(INDIRECT(_xlfn.CONCAT("weather.tbl[",N$1,"]")),MATCH(vp.data[[#This Row],[SDate]],weather.tbl[Date],0))</f>
        <v>8.75</v>
      </c>
      <c r="O12" s="2">
        <f ca="1">INDEX(INDIRECT(_xlfn.CONCAT("weather.tbl[",O$1,"]")),MATCH(vp.data[[#This Row],[SDate]],weather.tbl[Date],0))</f>
        <v>11.204761904761906</v>
      </c>
      <c r="P12" s="2">
        <f ca="1">INDEX(INDIRECT(_xlfn.CONCAT("weather.tbl[",P$1,"]")),MATCH(vp.data[[#This Row],[SDate]],weather.tbl[Date],0))</f>
        <v>9.1</v>
      </c>
      <c r="Q12" s="2">
        <f ca="1">INDEX(INDIRECT(_xlfn.CONCAT("weather.tbl[",Q$1,"]")),MATCH(vp.data[[#This Row],[SDate]],weather.tbl[Date],0))</f>
        <v>7.7</v>
      </c>
      <c r="R12" s="2">
        <f ca="1">INDEX(INDIRECT(_xlfn.CONCAT("weather.tbl[",R$1,"]")),MATCH(vp.data[[#This Row],[SDate]],weather.tbl[Date],0))</f>
        <v>8.8000000000000007</v>
      </c>
      <c r="S12" s="2">
        <f ca="1">INDEX(INDIRECT(_xlfn.CONCAT("weather.tbl[",S$1,"]")),MATCH(vp.data[[#This Row],[SDate]],weather.tbl[Date],0))</f>
        <v>9</v>
      </c>
      <c r="T12" s="2">
        <f ca="1">INDEX(INDIRECT(_xlfn.CONCAT("weather.tbl[",T$1,"]")),MATCH(vp.data[[#This Row],[SDate]],weather.tbl[Date],0))</f>
        <v>10.1</v>
      </c>
      <c r="U12" s="2">
        <f ca="1">INDEX(INDIRECT(_xlfn.CONCAT("weather.tbl[",U$1,"]")),MATCH(vp.data[[#This Row],[SDate]],weather.tbl[Date],0))</f>
        <v>7.8</v>
      </c>
      <c r="V12" s="2">
        <f t="array" ref="V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109960.599</v>
      </c>
      <c r="W12" t="s">
        <v>48</v>
      </c>
      <c r="X12">
        <f>IF(OR(vp.data[[#This Row],[Sulf]]="",vp.data[[#This Row],[Dens]]=""),1,0)</f>
        <v>0</v>
      </c>
      <c r="Y12">
        <f>IF(vp.data[[#This Row],[CrudeType]]="C5+",1,0)</f>
        <v>0</v>
      </c>
      <c r="Z12">
        <f>IF(AND(vp.data[[#This Row],[CrudeType]]="Crude",vp.data[[#This Row],[Dens]]&lt;=825,vp.data[[#This Row],[Sulf]]&gt;0.5,vp.data[[#This Row],[Unknown]]=0),1,0)</f>
        <v>1</v>
      </c>
      <c r="AA12">
        <f>IF(AND(vp.data[[#This Row],[CrudeType]]="Crude",vp.data[[#This Row],[Dens]]&lt;=825,vp.data[[#This Row],[Sulf]]&lt;=0.5,vp.data[[#This Row],[Unknown]]=0),1,0)</f>
        <v>0</v>
      </c>
      <c r="AB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">
        <f>IF(AND(vp.data[[#This Row],[CrudeType]]="Crude",vp.data[[#This Row],[Dens]]&gt;825,vp.data[[#This Row],[Dens]]&lt;=900,vp.data[[#This Row],[Sulf]]&lt;=0.5,vp.data[[#This Row],[Unknown]]=0),1,0)</f>
        <v>0</v>
      </c>
      <c r="AD12">
        <f>IF(AND(vp.data[[#This Row],[CrudeType]]="Crude",vp.data[[#This Row],[Dens]]&gt;865,vp.data[[#This Row],[Dens]]&lt;=900,vp.data[[#This Row],[Sulf]]&gt;2,vp.data[[#This Row],[Unknown]]=0),1,0)</f>
        <v>0</v>
      </c>
      <c r="AE12">
        <f>IF(AND(vp.data[[#This Row],[CrudeType]]="Crude",vp.data[[#This Row],[Dens]]&gt;900,vp.data[[#This Row],[Sulf]]&lt;=0.5,vp.data[[#This Row],[Unknown]]=0),1,0)</f>
        <v>0</v>
      </c>
      <c r="AF12">
        <f>IF(AND(vp.data[[#This Row],[CrudeType]]="Crude",vp.data[[#This Row],[Dens]]&gt;900,vp.data[[#This Row],[Sulf]]&lt;=0.5,vp.data[[#This Row],[Unknown]]=0),1,0)</f>
        <v>0</v>
      </c>
      <c r="AG12" t="str">
        <f>INDEX(vp.data[[#Headers],[Unknown]:[Heavy_SW]],MATCH(1,vp.data[[#This Row],[Unknown]:[Heavy_SW]],0))</f>
        <v>Light_LSB</v>
      </c>
      <c r="AH12">
        <f>INDEX([3]!crudeBD.lkup[Number],MATCH(vp.data[[#This Row],[Crude_Breakdown]],crudeBD.lkup[Crude Breakdown],0))</f>
        <v>1</v>
      </c>
      <c r="AI12">
        <f>MONTH(vp.data[[#This Row],[SDate]])</f>
        <v>10</v>
      </c>
      <c r="AJ12" s="5">
        <f>(vp.data[[#This Row],[VP]]-INDEX(crudeBD.lkup[Mean_VP],MATCH(vp.data[[#This Row],[Crude_Breakdown]],crudeBD.lkup[Crude Breakdown],0)))^2</f>
        <v>95.136895993197342</v>
      </c>
      <c r="AK12" s="5">
        <f>(vp.data[[#This Row],[Dens]]-INDEX(crudeBD.lkup[Mean_Dens],MATCH(vp.data[[#This Row],[Crude_Breakdown]],crudeBD.lkup[Crude Breakdown],0)))^2</f>
        <v>5.6797863794725805</v>
      </c>
      <c r="AL12" s="5">
        <f>(vp.data[[#This Row],[Sulf]]-INDEX(crudeBD.lkup[Mean_Sulf],MATCH(vp.data[[#This Row],[Crude_Breakdown]],crudeBD.lkup[Crude Breakdown],0)))^2</f>
        <v>1.145517079689783E-2</v>
      </c>
      <c r="AM12" s="4">
        <f>IF(AND(vp.data[[#This Row],[SDate]]&gt;=DATE(YEAR(vp.data[[#This Row],[SDate]]),5,1),vp.data[[#This Row],[SDate]]&lt;=DATE(YEAR(vp.data[[#This Row],[SDate]]),9,15)),1,0)</f>
        <v>0</v>
      </c>
      <c r="AN12" s="4">
        <f>IF(vp.data[[#This Row],[SDate]]&lt;DATE(2016,12,1),0,1)</f>
        <v>0</v>
      </c>
      <c r="AO12" s="4">
        <f>IFERROR(vp.data[[#This Row],[Sulf]]*vp.data[[#This Row],[Net Dens]],"")</f>
        <v>92974655.390672997</v>
      </c>
      <c r="AP12">
        <f>IFERROR(vp.data[[#This Row],[Dens]]*vp.data[[#This Row],[VolumeM3]],"")</f>
        <v>90266655.719099998</v>
      </c>
      <c r="AQ12" s="15">
        <f>IFERROR(vp.data[[#This Row],[VP]]*vp.data[[#This Row],[VolumeM3]],"")</f>
        <v>11139008.6787</v>
      </c>
    </row>
    <row r="13" spans="1:43" x14ac:dyDescent="0.25">
      <c r="A13">
        <v>12</v>
      </c>
      <c r="B13" t="s">
        <v>62</v>
      </c>
      <c r="C13" t="s">
        <v>62</v>
      </c>
      <c r="D13" t="s">
        <v>63</v>
      </c>
      <c r="F13" s="1">
        <v>42292</v>
      </c>
      <c r="G13" s="2">
        <v>90.5</v>
      </c>
      <c r="H13" s="2"/>
      <c r="I13" s="2">
        <f t="array" ref="I13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3" s="2"/>
      <c r="K13" s="2"/>
      <c r="L13" s="2"/>
      <c r="M13" s="2">
        <f t="array" ref="M13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13" s="2">
        <f ca="1">INDEX(INDIRECT(_xlfn.CONCAT("weather.tbl[",N$1,"]")),MATCH(vp.data[[#This Row],[SDate]],weather.tbl[Date],0))</f>
        <v>5.7</v>
      </c>
      <c r="O13" s="2">
        <f ca="1">INDEX(INDIRECT(_xlfn.CONCAT("weather.tbl[",O$1,"]")),MATCH(vp.data[[#This Row],[SDate]],weather.tbl[Date],0))</f>
        <v>10.652380952380954</v>
      </c>
      <c r="P13" s="2">
        <f ca="1">INDEX(INDIRECT(_xlfn.CONCAT("weather.tbl[",P$1,"]")),MATCH(vp.data[[#This Row],[SDate]],weather.tbl[Date],0))</f>
        <v>4.5</v>
      </c>
      <c r="Q13" s="2">
        <f ca="1">INDEX(INDIRECT(_xlfn.CONCAT("weather.tbl[",Q$1,"]")),MATCH(vp.data[[#This Row],[SDate]],weather.tbl[Date],0))</f>
        <v>4.8</v>
      </c>
      <c r="R13" s="2">
        <f ca="1">INDEX(INDIRECT(_xlfn.CONCAT("weather.tbl[",R$1,"]")),MATCH(vp.data[[#This Row],[SDate]],weather.tbl[Date],0))</f>
        <v>8.8000000000000007</v>
      </c>
      <c r="S13" s="2">
        <f ca="1">INDEX(INDIRECT(_xlfn.CONCAT("weather.tbl[",S$1,"]")),MATCH(vp.data[[#This Row],[SDate]],weather.tbl[Date],0))</f>
        <v>6.5</v>
      </c>
      <c r="T13" s="2">
        <f ca="1">INDEX(INDIRECT(_xlfn.CONCAT("weather.tbl[",T$1,"]")),MATCH(vp.data[[#This Row],[SDate]],weather.tbl[Date],0))</f>
        <v>4.7</v>
      </c>
      <c r="U13" s="2">
        <f ca="1">INDEX(INDIRECT(_xlfn.CONCAT("weather.tbl[",U$1,"]")),MATCH(vp.data[[#This Row],[SDate]],weather.tbl[Date],0))</f>
        <v>4.9000000000000004</v>
      </c>
      <c r="V13" s="2">
        <f t="array" ref="V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5481.71</v>
      </c>
      <c r="W13" t="s">
        <v>48</v>
      </c>
      <c r="X13">
        <f>IF(OR(vp.data[[#This Row],[Sulf]]="",vp.data[[#This Row],[Dens]]=""),1,0)</f>
        <v>0</v>
      </c>
      <c r="Y13">
        <f>IF(vp.data[[#This Row],[CrudeType]]="C5+",1,0)</f>
        <v>0</v>
      </c>
      <c r="Z13">
        <f>IF(AND(vp.data[[#This Row],[CrudeType]]="Crude",vp.data[[#This Row],[Dens]]&lt;=825,vp.data[[#This Row],[Sulf]]&gt;0.5,vp.data[[#This Row],[Unknown]]=0),1,0)</f>
        <v>1</v>
      </c>
      <c r="AA13">
        <f>IF(AND(vp.data[[#This Row],[CrudeType]]="Crude",vp.data[[#This Row],[Dens]]&lt;=825,vp.data[[#This Row],[Sulf]]&lt;=0.5,vp.data[[#This Row],[Unknown]]=0),1,0)</f>
        <v>0</v>
      </c>
      <c r="AB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">
        <f>IF(AND(vp.data[[#This Row],[CrudeType]]="Crude",vp.data[[#This Row],[Dens]]&gt;825,vp.data[[#This Row],[Dens]]&lt;=900,vp.data[[#This Row],[Sulf]]&lt;=0.5,vp.data[[#This Row],[Unknown]]=0),1,0)</f>
        <v>0</v>
      </c>
      <c r="AD13">
        <f>IF(AND(vp.data[[#This Row],[CrudeType]]="Crude",vp.data[[#This Row],[Dens]]&gt;865,vp.data[[#This Row],[Dens]]&lt;=900,vp.data[[#This Row],[Sulf]]&gt;2,vp.data[[#This Row],[Unknown]]=0),1,0)</f>
        <v>0</v>
      </c>
      <c r="AE13">
        <f>IF(AND(vp.data[[#This Row],[CrudeType]]="Crude",vp.data[[#This Row],[Dens]]&gt;900,vp.data[[#This Row],[Sulf]]&lt;=0.5,vp.data[[#This Row],[Unknown]]=0),1,0)</f>
        <v>0</v>
      </c>
      <c r="AF13">
        <f>IF(AND(vp.data[[#This Row],[CrudeType]]="Crude",vp.data[[#This Row],[Dens]]&gt;900,vp.data[[#This Row],[Sulf]]&lt;=0.5,vp.data[[#This Row],[Unknown]]=0),1,0)</f>
        <v>0</v>
      </c>
      <c r="AG13" t="str">
        <f>INDEX(vp.data[[#Headers],[Unknown]:[Heavy_SW]],MATCH(1,vp.data[[#This Row],[Unknown]:[Heavy_SW]],0))</f>
        <v>Light_LSB</v>
      </c>
      <c r="AH13">
        <f>INDEX([3]!crudeBD.lkup[Number],MATCH(vp.data[[#This Row],[Crude_Breakdown]],crudeBD.lkup[Crude Breakdown],0))</f>
        <v>1</v>
      </c>
      <c r="AI13">
        <f>MONTH(vp.data[[#This Row],[SDate]])</f>
        <v>10</v>
      </c>
      <c r="AJ13" s="5">
        <f>(vp.data[[#This Row],[VP]]-INDEX(crudeBD.lkup[Mean_VP],MATCH(vp.data[[#This Row],[Crude_Breakdown]],crudeBD.lkup[Crude Breakdown],0)))^2</f>
        <v>1.0945042406207475</v>
      </c>
      <c r="AK13" s="5">
        <f>(vp.data[[#This Row],[Dens]]-INDEX(crudeBD.lkup[Mean_Dens],MATCH(vp.data[[#This Row],[Crude_Breakdown]],crudeBD.lkup[Crude Breakdown],0)))^2</f>
        <v>42.032274351983858</v>
      </c>
      <c r="AL13" s="5">
        <f>(vp.data[[#This Row],[Sulf]]-INDEX(crudeBD.lkup[Mean_Sulf],MATCH(vp.data[[#This Row],[Crude_Breakdown]],crudeBD.lkup[Crude Breakdown],0)))^2</f>
        <v>0.11358843333985327</v>
      </c>
      <c r="AM13" s="4">
        <f>IF(AND(vp.data[[#This Row],[SDate]]&gt;=DATE(YEAR(vp.data[[#This Row],[SDate]]),5,1),vp.data[[#This Row],[SDate]]&lt;=DATE(YEAR(vp.data[[#This Row],[SDate]]),9,15)),1,0)</f>
        <v>0</v>
      </c>
      <c r="AN13" s="4">
        <f>IF(vp.data[[#This Row],[SDate]]&lt;DATE(2016,12,1),0,1)</f>
        <v>0</v>
      </c>
      <c r="AO13" s="4">
        <f>IFERROR(vp.data[[#This Row],[Sulf]]*vp.data[[#This Row],[Net Dens]],"")</f>
        <v>5698237.5449999999</v>
      </c>
      <c r="AP13">
        <f>IFERROR(vp.data[[#This Row],[Dens]]*vp.data[[#This Row],[VolumeM3]],"")</f>
        <v>4522410.75</v>
      </c>
      <c r="AQ13" s="15">
        <f>IFERROR(vp.data[[#This Row],[VP]]*vp.data[[#This Row],[VolumeM3]],"")</f>
        <v>496094.755</v>
      </c>
    </row>
    <row r="14" spans="1:43" x14ac:dyDescent="0.25">
      <c r="A14">
        <v>13</v>
      </c>
      <c r="B14" t="s">
        <v>56</v>
      </c>
      <c r="C14" t="s">
        <v>56</v>
      </c>
      <c r="D14" t="s">
        <v>57</v>
      </c>
      <c r="F14" s="1">
        <v>42293</v>
      </c>
      <c r="G14" s="2">
        <v>97.1</v>
      </c>
      <c r="H14" s="2"/>
      <c r="I14" s="2">
        <f t="array" ref="I14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14" s="2"/>
      <c r="K14" s="2"/>
      <c r="L14" s="2">
        <v>822.2</v>
      </c>
      <c r="M14" s="2">
        <f t="array" ref="M14">_xlfn.IFNA(IF(vp.data[[#This Row],[Dens Input]]="",INDEX([1]DATA!$O$3:$O$9826,MATCH(1,(vp.data[[#This Row],[Battery]]=[1]DATA!$L$3:$L$9826)*(EOMONTH(vp.data[[#This Row],[SDate]],-1)+1=[1]DATA!$G$3:$G$9826),0)),vp.data[[#This Row],[Dens Input]]),"")</f>
        <v>822.2</v>
      </c>
      <c r="N14" s="2">
        <f ca="1">INDEX(INDIRECT(_xlfn.CONCAT("weather.tbl[",N$1,"]")),MATCH(vp.data[[#This Row],[SDate]],weather.tbl[Date],0))</f>
        <v>6.0166666666666666</v>
      </c>
      <c r="O14" s="2">
        <f ca="1">INDEX(INDIRECT(_xlfn.CONCAT("weather.tbl[",O$1,"]")),MATCH(vp.data[[#This Row],[SDate]],weather.tbl[Date],0))</f>
        <v>9.8833333333333346</v>
      </c>
      <c r="P14" s="2">
        <f ca="1">INDEX(INDIRECT(_xlfn.CONCAT("weather.tbl[",P$1,"]")),MATCH(vp.data[[#This Row],[SDate]],weather.tbl[Date],0))</f>
        <v>5.2</v>
      </c>
      <c r="Q14" s="2">
        <f ca="1">INDEX(INDIRECT(_xlfn.CONCAT("weather.tbl[",Q$1,"]")),MATCH(vp.data[[#This Row],[SDate]],weather.tbl[Date],0))</f>
        <v>5.5</v>
      </c>
      <c r="R14" s="2">
        <f ca="1">INDEX(INDIRECT(_xlfn.CONCAT("weather.tbl[",R$1,"]")),MATCH(vp.data[[#This Row],[SDate]],weather.tbl[Date],0))</f>
        <v>8.8000000000000007</v>
      </c>
      <c r="S14" s="2">
        <f ca="1">INDEX(INDIRECT(_xlfn.CONCAT("weather.tbl[",S$1,"]")),MATCH(vp.data[[#This Row],[SDate]],weather.tbl[Date],0))</f>
        <v>7.5</v>
      </c>
      <c r="T14" s="2">
        <f ca="1">INDEX(INDIRECT(_xlfn.CONCAT("weather.tbl[",T$1,"]")),MATCH(vp.data[[#This Row],[SDate]],weather.tbl[Date],0))</f>
        <v>4.5</v>
      </c>
      <c r="U14" s="2">
        <f ca="1">INDEX(INDIRECT(_xlfn.CONCAT("weather.tbl[",U$1,"]")),MATCH(vp.data[[#This Row],[SDate]],weather.tbl[Date],0))</f>
        <v>4.5999999999999996</v>
      </c>
      <c r="V14" s="2">
        <f t="array" ref="V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4182.07</v>
      </c>
      <c r="W14" t="s">
        <v>48</v>
      </c>
      <c r="X14">
        <f>IF(OR(vp.data[[#This Row],[Sulf]]="",vp.data[[#This Row],[Dens]]=""),1,0)</f>
        <v>0</v>
      </c>
      <c r="Y14">
        <f>IF(vp.data[[#This Row],[CrudeType]]="C5+",1,0)</f>
        <v>0</v>
      </c>
      <c r="Z14">
        <f>IF(AND(vp.data[[#This Row],[CrudeType]]="Crude",vp.data[[#This Row],[Dens]]&lt;=825,vp.data[[#This Row],[Sulf]]&gt;0.5,vp.data[[#This Row],[Unknown]]=0),1,0)</f>
        <v>1</v>
      </c>
      <c r="AA14">
        <f>IF(AND(vp.data[[#This Row],[CrudeType]]="Crude",vp.data[[#This Row],[Dens]]&lt;=825,vp.data[[#This Row],[Sulf]]&lt;=0.5,vp.data[[#This Row],[Unknown]]=0),1,0)</f>
        <v>0</v>
      </c>
      <c r="AB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">
        <f>IF(AND(vp.data[[#This Row],[CrudeType]]="Crude",vp.data[[#This Row],[Dens]]&gt;825,vp.data[[#This Row],[Dens]]&lt;=900,vp.data[[#This Row],[Sulf]]&lt;=0.5,vp.data[[#This Row],[Unknown]]=0),1,0)</f>
        <v>0</v>
      </c>
      <c r="AD14">
        <f>IF(AND(vp.data[[#This Row],[CrudeType]]="Crude",vp.data[[#This Row],[Dens]]&gt;865,vp.data[[#This Row],[Dens]]&lt;=900,vp.data[[#This Row],[Sulf]]&gt;2,vp.data[[#This Row],[Unknown]]=0),1,0)</f>
        <v>0</v>
      </c>
      <c r="AE14">
        <f>IF(AND(vp.data[[#This Row],[CrudeType]]="Crude",vp.data[[#This Row],[Dens]]&gt;900,vp.data[[#This Row],[Sulf]]&lt;=0.5,vp.data[[#This Row],[Unknown]]=0),1,0)</f>
        <v>0</v>
      </c>
      <c r="AF14">
        <f>IF(AND(vp.data[[#This Row],[CrudeType]]="Crude",vp.data[[#This Row],[Dens]]&gt;900,vp.data[[#This Row],[Sulf]]&lt;=0.5,vp.data[[#This Row],[Unknown]]=0),1,0)</f>
        <v>0</v>
      </c>
      <c r="AG14" t="str">
        <f>INDEX(vp.data[[#Headers],[Unknown]:[Heavy_SW]],MATCH(1,vp.data[[#This Row],[Unknown]:[Heavy_SW]],0))</f>
        <v>Light_LSB</v>
      </c>
      <c r="AH14">
        <f>INDEX([3]!crudeBD.lkup[Number],MATCH(vp.data[[#This Row],[Crude_Breakdown]],crudeBD.lkup[Crude Breakdown],0))</f>
        <v>1</v>
      </c>
      <c r="AI14">
        <f>MONTH(vp.data[[#This Row],[SDate]])</f>
        <v>10</v>
      </c>
      <c r="AJ14" s="5">
        <f>(vp.data[[#This Row],[VP]]-INDEX(crudeBD.lkup[Mean_VP],MATCH(vp.data[[#This Row],[Crude_Breakdown]],crudeBD.lkup[Crude Breakdown],0)))^2</f>
        <v>30.844854756084192</v>
      </c>
      <c r="AK14" s="5">
        <f>(vp.data[[#This Row],[Dens]]-INDEX(crudeBD.lkup[Mean_Dens],MATCH(vp.data[[#This Row],[Crude_Breakdown]],crudeBD.lkup[Crude Breakdown],0)))^2</f>
        <v>13.566185004903394</v>
      </c>
      <c r="AL14" s="5">
        <f>(vp.data[[#This Row],[Sulf]]-INDEX(crudeBD.lkup[Mean_Sulf],MATCH(vp.data[[#This Row],[Crude_Breakdown]],crudeBD.lkup[Crude Breakdown],0)))^2</f>
        <v>0.26731881272129659</v>
      </c>
      <c r="AM14" s="4">
        <f>IF(AND(vp.data[[#This Row],[SDate]]&gt;=DATE(YEAR(vp.data[[#This Row],[SDate]]),5,1),vp.data[[#This Row],[SDate]]&lt;=DATE(YEAR(vp.data[[#This Row],[SDate]]),9,15)),1,0)</f>
        <v>0</v>
      </c>
      <c r="AN14" s="4">
        <f>IF(vp.data[[#This Row],[SDate]]&lt;DATE(2016,12,1),0,1)</f>
        <v>0</v>
      </c>
      <c r="AO14" s="4">
        <f>IFERROR(vp.data[[#This Row],[Sulf]]*vp.data[[#This Row],[Net Dens]],"")</f>
        <v>4951437.0537599996</v>
      </c>
      <c r="AP14">
        <f>IFERROR(vp.data[[#This Row],[Dens]]*vp.data[[#This Row],[VolumeM3]],"")</f>
        <v>3438497.9539999999</v>
      </c>
      <c r="AQ14" s="15">
        <f>IFERROR(vp.data[[#This Row],[VP]]*vp.data[[#This Row],[VolumeM3]],"")</f>
        <v>406078.99699999997</v>
      </c>
    </row>
    <row r="15" spans="1:43" x14ac:dyDescent="0.25">
      <c r="A15">
        <v>14</v>
      </c>
      <c r="B15" t="s">
        <v>51</v>
      </c>
      <c r="C15" t="s">
        <v>51</v>
      </c>
      <c r="D15" t="s">
        <v>52</v>
      </c>
      <c r="F15" s="1">
        <v>42293</v>
      </c>
      <c r="G15" s="2">
        <v>62.1</v>
      </c>
      <c r="H15" s="2"/>
      <c r="I15" s="2">
        <f t="array" ref="I15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5" s="2"/>
      <c r="K15" s="2"/>
      <c r="L15" s="2">
        <v>870.1</v>
      </c>
      <c r="M15" s="2">
        <f t="array" ref="M15">_xlfn.IFNA(IF(vp.data[[#This Row],[Dens Input]]="",INDEX([1]DATA!$O$3:$O$9826,MATCH(1,(vp.data[[#This Row],[Battery]]=[1]DATA!$L$3:$L$9826)*(EOMONTH(vp.data[[#This Row],[SDate]],-1)+1=[1]DATA!$G$3:$G$9826),0)),vp.data[[#This Row],[Dens Input]]),"")</f>
        <v>870.1</v>
      </c>
      <c r="N15" s="2">
        <f ca="1">INDEX(INDIRECT(_xlfn.CONCAT("weather.tbl[",N$1,"]")),MATCH(vp.data[[#This Row],[SDate]],weather.tbl[Date],0))</f>
        <v>6.0166666666666666</v>
      </c>
      <c r="O15" s="2">
        <f ca="1">INDEX(INDIRECT(_xlfn.CONCAT("weather.tbl[",O$1,"]")),MATCH(vp.data[[#This Row],[SDate]],weather.tbl[Date],0))</f>
        <v>9.8833333333333346</v>
      </c>
      <c r="P15" s="2">
        <f ca="1">INDEX(INDIRECT(_xlfn.CONCAT("weather.tbl[",P$1,"]")),MATCH(vp.data[[#This Row],[SDate]],weather.tbl[Date],0))</f>
        <v>5.2</v>
      </c>
      <c r="Q15" s="2">
        <f ca="1">INDEX(INDIRECT(_xlfn.CONCAT("weather.tbl[",Q$1,"]")),MATCH(vp.data[[#This Row],[SDate]],weather.tbl[Date],0))</f>
        <v>5.5</v>
      </c>
      <c r="R15" s="2">
        <f ca="1">INDEX(INDIRECT(_xlfn.CONCAT("weather.tbl[",R$1,"]")),MATCH(vp.data[[#This Row],[SDate]],weather.tbl[Date],0))</f>
        <v>8.8000000000000007</v>
      </c>
      <c r="S15" s="2">
        <f ca="1">INDEX(INDIRECT(_xlfn.CONCAT("weather.tbl[",S$1,"]")),MATCH(vp.data[[#This Row],[SDate]],weather.tbl[Date],0))</f>
        <v>7.5</v>
      </c>
      <c r="T15" s="2">
        <f ca="1">INDEX(INDIRECT(_xlfn.CONCAT("weather.tbl[",T$1,"]")),MATCH(vp.data[[#This Row],[SDate]],weather.tbl[Date],0))</f>
        <v>4.5</v>
      </c>
      <c r="U15" s="2">
        <f ca="1">INDEX(INDIRECT(_xlfn.CONCAT("weather.tbl[",U$1,"]")),MATCH(vp.data[[#This Row],[SDate]],weather.tbl[Date],0))</f>
        <v>4.5999999999999996</v>
      </c>
      <c r="V15" s="2">
        <f t="array" ref="V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8216.5169999999998</v>
      </c>
      <c r="W15" t="s">
        <v>48</v>
      </c>
      <c r="X15">
        <f>IF(OR(vp.data[[#This Row],[Sulf]]="",vp.data[[#This Row],[Dens]]=""),1,0)</f>
        <v>0</v>
      </c>
      <c r="Y15">
        <f>IF(vp.data[[#This Row],[CrudeType]]="C5+",1,0)</f>
        <v>0</v>
      </c>
      <c r="Z15">
        <f>IF(AND(vp.data[[#This Row],[CrudeType]]="Crude",vp.data[[#This Row],[Dens]]&lt;=825,vp.data[[#This Row],[Sulf]]&gt;0.5,vp.data[[#This Row],[Unknown]]=0),1,0)</f>
        <v>0</v>
      </c>
      <c r="AA15">
        <f>IF(AND(vp.data[[#This Row],[CrudeType]]="Crude",vp.data[[#This Row],[Dens]]&lt;=825,vp.data[[#This Row],[Sulf]]&lt;=0.5,vp.data[[#This Row],[Unknown]]=0),1,0)</f>
        <v>0</v>
      </c>
      <c r="AB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">
        <f>IF(AND(vp.data[[#This Row],[CrudeType]]="Crude",vp.data[[#This Row],[Dens]]&gt;825,vp.data[[#This Row],[Dens]]&lt;=900,vp.data[[#This Row],[Sulf]]&lt;=0.5,vp.data[[#This Row],[Unknown]]=0),1,0)</f>
        <v>0</v>
      </c>
      <c r="AD15">
        <f>IF(AND(vp.data[[#This Row],[CrudeType]]="Crude",vp.data[[#This Row],[Dens]]&gt;865,vp.data[[#This Row],[Dens]]&lt;=900,vp.data[[#This Row],[Sulf]]&gt;2,vp.data[[#This Row],[Unknown]]=0),1,0)</f>
        <v>1</v>
      </c>
      <c r="AE15">
        <f>IF(AND(vp.data[[#This Row],[CrudeType]]="Crude",vp.data[[#This Row],[Dens]]&gt;900,vp.data[[#This Row],[Sulf]]&lt;=0.5,vp.data[[#This Row],[Unknown]]=0),1,0)</f>
        <v>0</v>
      </c>
      <c r="AF15">
        <f>IF(AND(vp.data[[#This Row],[CrudeType]]="Crude",vp.data[[#This Row],[Dens]]&gt;900,vp.data[[#This Row],[Sulf]]&lt;=0.5,vp.data[[#This Row],[Unknown]]=0),1,0)</f>
        <v>0</v>
      </c>
      <c r="AG15" t="str">
        <f>INDEX(vp.data[[#Headers],[Unknown]:[Heavy_SW]],MATCH(1,vp.data[[#This Row],[Unknown]:[Heavy_SW]],0))</f>
        <v>Midale</v>
      </c>
      <c r="AH15">
        <f>INDEX([3]!crudeBD.lkup[Number],MATCH(vp.data[[#This Row],[Crude_Breakdown]],crudeBD.lkup[Crude Breakdown],0))</f>
        <v>5</v>
      </c>
      <c r="AI15">
        <f>MONTH(vp.data[[#This Row],[SDate]])</f>
        <v>10</v>
      </c>
      <c r="AJ15" s="5">
        <f>(vp.data[[#This Row],[VP]]-INDEX(crudeBD.lkup[Mean_VP],MATCH(vp.data[[#This Row],[Crude_Breakdown]],crudeBD.lkup[Crude Breakdown],0)))^2</f>
        <v>53.418014932511866</v>
      </c>
      <c r="AK15" s="5">
        <f>(vp.data[[#This Row],[Dens]]-INDEX(crudeBD.lkup[Mean_Dens],MATCH(vp.data[[#This Row],[Crude_Breakdown]],crudeBD.lkup[Crude Breakdown],0)))^2</f>
        <v>22.250186257840923</v>
      </c>
      <c r="AL15" s="5">
        <f>(vp.data[[#This Row],[Sulf]]-INDEX(crudeBD.lkup[Mean_Sulf],MATCH(vp.data[[#This Row],[Crude_Breakdown]],crudeBD.lkup[Crude Breakdown],0)))^2</f>
        <v>2.0625431087692294E-2</v>
      </c>
      <c r="AM15" s="4">
        <f>IF(AND(vp.data[[#This Row],[SDate]]&gt;=DATE(YEAR(vp.data[[#This Row],[SDate]]),5,1),vp.data[[#This Row],[SDate]]&lt;=DATE(YEAR(vp.data[[#This Row],[SDate]]),9,15)),1,0)</f>
        <v>0</v>
      </c>
      <c r="AN15" s="4">
        <f>IF(vp.data[[#This Row],[SDate]]&lt;DATE(2016,12,1),0,1)</f>
        <v>0</v>
      </c>
      <c r="AO15" s="4">
        <f>IFERROR(vp.data[[#This Row],[Sulf]]*vp.data[[#This Row],[Net Dens]],"")</f>
        <v>16443140.31591</v>
      </c>
      <c r="AP15">
        <f>IFERROR(vp.data[[#This Row],[Dens]]*vp.data[[#This Row],[VolumeM3]],"")</f>
        <v>7149191.4417000003</v>
      </c>
      <c r="AQ15" s="15">
        <f>IFERROR(vp.data[[#This Row],[VP]]*vp.data[[#This Row],[VolumeM3]],"")</f>
        <v>510245.70569999999</v>
      </c>
    </row>
    <row r="16" spans="1:43" x14ac:dyDescent="0.25">
      <c r="A16">
        <v>15</v>
      </c>
      <c r="B16" t="s">
        <v>46</v>
      </c>
      <c r="C16" t="s">
        <v>46</v>
      </c>
      <c r="D16" t="s">
        <v>47</v>
      </c>
      <c r="F16" s="1">
        <v>42293</v>
      </c>
      <c r="G16" s="2">
        <v>113.2</v>
      </c>
      <c r="H16" s="2"/>
      <c r="I16" s="2">
        <f t="array" ref="I16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16" s="2"/>
      <c r="K16" s="2"/>
      <c r="L16" s="2">
        <v>871.3</v>
      </c>
      <c r="M16" s="2">
        <f t="array" ref="M16">_xlfn.IFNA(IF(vp.data[[#This Row],[Dens Input]]="",INDEX([1]DATA!$O$3:$O$9826,MATCH(1,(vp.data[[#This Row],[Battery]]=[1]DATA!$L$3:$L$9826)*(EOMONTH(vp.data[[#This Row],[SDate]],-1)+1=[1]DATA!$G$3:$G$9826),0)),vp.data[[#This Row],[Dens Input]]),"")</f>
        <v>871.3</v>
      </c>
      <c r="N16" s="2">
        <f ca="1">INDEX(INDIRECT(_xlfn.CONCAT("weather.tbl[",N$1,"]")),MATCH(vp.data[[#This Row],[SDate]],weather.tbl[Date],0))</f>
        <v>6.0166666666666666</v>
      </c>
      <c r="O16" s="2">
        <f ca="1">INDEX(INDIRECT(_xlfn.CONCAT("weather.tbl[",O$1,"]")),MATCH(vp.data[[#This Row],[SDate]],weather.tbl[Date],0))</f>
        <v>9.8833333333333346</v>
      </c>
      <c r="P16" s="2">
        <f ca="1">INDEX(INDIRECT(_xlfn.CONCAT("weather.tbl[",P$1,"]")),MATCH(vp.data[[#This Row],[SDate]],weather.tbl[Date],0))</f>
        <v>5.2</v>
      </c>
      <c r="Q16" s="2">
        <f ca="1">INDEX(INDIRECT(_xlfn.CONCAT("weather.tbl[",Q$1,"]")),MATCH(vp.data[[#This Row],[SDate]],weather.tbl[Date],0))</f>
        <v>5.5</v>
      </c>
      <c r="R16" s="2">
        <f ca="1">INDEX(INDIRECT(_xlfn.CONCAT("weather.tbl[",R$1,"]")),MATCH(vp.data[[#This Row],[SDate]],weather.tbl[Date],0))</f>
        <v>8.8000000000000007</v>
      </c>
      <c r="S16" s="2">
        <f ca="1">INDEX(INDIRECT(_xlfn.CONCAT("weather.tbl[",S$1,"]")),MATCH(vp.data[[#This Row],[SDate]],weather.tbl[Date],0))</f>
        <v>7.5</v>
      </c>
      <c r="T16" s="2">
        <f ca="1">INDEX(INDIRECT(_xlfn.CONCAT("weather.tbl[",T$1,"]")),MATCH(vp.data[[#This Row],[SDate]],weather.tbl[Date],0))</f>
        <v>4.5</v>
      </c>
      <c r="U16" s="2">
        <f ca="1">INDEX(INDIRECT(_xlfn.CONCAT("weather.tbl[",U$1,"]")),MATCH(vp.data[[#This Row],[SDate]],weather.tbl[Date],0))</f>
        <v>4.5999999999999996</v>
      </c>
      <c r="V16" s="2">
        <f t="array" ref="V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115049.71</v>
      </c>
      <c r="W16" t="s">
        <v>48</v>
      </c>
      <c r="X16">
        <f>IF(OR(vp.data[[#This Row],[Sulf]]="",vp.data[[#This Row],[Dens]]=""),1,0)</f>
        <v>0</v>
      </c>
      <c r="Y16">
        <f>IF(vp.data[[#This Row],[CrudeType]]="C5+",1,0)</f>
        <v>0</v>
      </c>
      <c r="Z16">
        <f>IF(AND(vp.data[[#This Row],[CrudeType]]="Crude",vp.data[[#This Row],[Dens]]&lt;=825,vp.data[[#This Row],[Sulf]]&gt;0.5,vp.data[[#This Row],[Unknown]]=0),1,0)</f>
        <v>0</v>
      </c>
      <c r="AA16">
        <f>IF(AND(vp.data[[#This Row],[CrudeType]]="Crude",vp.data[[#This Row],[Dens]]&lt;=825,vp.data[[#This Row],[Sulf]]&lt;=0.5,vp.data[[#This Row],[Unknown]]=0),1,0)</f>
        <v>0</v>
      </c>
      <c r="AB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">
        <f>IF(AND(vp.data[[#This Row],[CrudeType]]="Crude",vp.data[[#This Row],[Dens]]&gt;825,vp.data[[#This Row],[Dens]]&lt;=900,vp.data[[#This Row],[Sulf]]&lt;=0.5,vp.data[[#This Row],[Unknown]]=0),1,0)</f>
        <v>0</v>
      </c>
      <c r="AD16">
        <f>IF(AND(vp.data[[#This Row],[CrudeType]]="Crude",vp.data[[#This Row],[Dens]]&gt;865,vp.data[[#This Row],[Dens]]&lt;=900,vp.data[[#This Row],[Sulf]]&gt;2,vp.data[[#This Row],[Unknown]]=0),1,0)</f>
        <v>1</v>
      </c>
      <c r="AE16">
        <f>IF(AND(vp.data[[#This Row],[CrudeType]]="Crude",vp.data[[#This Row],[Dens]]&gt;900,vp.data[[#This Row],[Sulf]]&lt;=0.5,vp.data[[#This Row],[Unknown]]=0),1,0)</f>
        <v>0</v>
      </c>
      <c r="AF16">
        <f>IF(AND(vp.data[[#This Row],[CrudeType]]="Crude",vp.data[[#This Row],[Dens]]&gt;900,vp.data[[#This Row],[Sulf]]&lt;=0.5,vp.data[[#This Row],[Unknown]]=0),1,0)</f>
        <v>0</v>
      </c>
      <c r="AG16" t="str">
        <f>INDEX(vp.data[[#Headers],[Unknown]:[Heavy_SW]],MATCH(1,vp.data[[#This Row],[Unknown]:[Heavy_SW]],0))</f>
        <v>Midale</v>
      </c>
      <c r="AH16">
        <f>INDEX([3]!crudeBD.lkup[Number],MATCH(vp.data[[#This Row],[Crude_Breakdown]],crudeBD.lkup[Crude Breakdown],0))</f>
        <v>5</v>
      </c>
      <c r="AI16">
        <f>MONTH(vp.data[[#This Row],[SDate]])</f>
        <v>10</v>
      </c>
      <c r="AJ16" s="5">
        <f>(vp.data[[#This Row],[VP]]-INDEX(crudeBD.lkup[Mean_VP],MATCH(vp.data[[#This Row],[Crude_Breakdown]],crudeBD.lkup[Crude Breakdown],0)))^2</f>
        <v>1917.6724479221996</v>
      </c>
      <c r="AK16" s="5">
        <f>(vp.data[[#This Row],[Dens]]-INDEX(crudeBD.lkup[Mean_Dens],MATCH(vp.data[[#This Row],[Crude_Breakdown]],crudeBD.lkup[Crude Breakdown],0)))^2</f>
        <v>12.369361515572679</v>
      </c>
      <c r="AL16" s="5">
        <f>(vp.data[[#This Row],[Sulf]]-INDEX(crudeBD.lkup[Mean_Sulf],MATCH(vp.data[[#This Row],[Crude_Breakdown]],crudeBD.lkup[Crude Breakdown],0)))^2</f>
        <v>1.130006345424492E-3</v>
      </c>
      <c r="AM16" s="4">
        <f>IF(AND(vp.data[[#This Row],[SDate]]&gt;=DATE(YEAR(vp.data[[#This Row],[SDate]]),5,1),vp.data[[#This Row],[SDate]]&lt;=DATE(YEAR(vp.data[[#This Row],[SDate]]),9,15)),1,0)</f>
        <v>0</v>
      </c>
      <c r="AN16" s="4">
        <f>IF(vp.data[[#This Row],[SDate]]&lt;DATE(2016,12,1),0,1)</f>
        <v>0</v>
      </c>
      <c r="AO16" s="4">
        <f>IFERROR(vp.data[[#This Row],[Sulf]]*vp.data[[#This Row],[Net Dens]],"")</f>
        <v>241585177.69843</v>
      </c>
      <c r="AP16">
        <f>IFERROR(vp.data[[#This Row],[Dens]]*vp.data[[#This Row],[VolumeM3]],"")</f>
        <v>100242812.323</v>
      </c>
      <c r="AQ16" s="15">
        <f>IFERROR(vp.data[[#This Row],[VP]]*vp.data[[#This Row],[VolumeM3]],"")</f>
        <v>13023627.172</v>
      </c>
    </row>
    <row r="17" spans="1:43" x14ac:dyDescent="0.25">
      <c r="A17">
        <v>16</v>
      </c>
      <c r="B17" t="s">
        <v>64</v>
      </c>
      <c r="C17" t="s">
        <v>64</v>
      </c>
      <c r="D17" t="s">
        <v>65</v>
      </c>
      <c r="F17" s="1">
        <v>42293</v>
      </c>
      <c r="G17" s="2">
        <v>105.1</v>
      </c>
      <c r="H17" s="2"/>
      <c r="I17" s="2">
        <f t="array" ref="I17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17" s="2"/>
      <c r="K17" s="2"/>
      <c r="L17" s="2">
        <v>875</v>
      </c>
      <c r="M17" s="2">
        <f t="array" ref="M17">_xlfn.IFNA(IF(vp.data[[#This Row],[Dens Input]]="",INDEX([1]DATA!$O$3:$O$9826,MATCH(1,(vp.data[[#This Row],[Battery]]=[1]DATA!$L$3:$L$9826)*(EOMONTH(vp.data[[#This Row],[SDate]],-1)+1=[1]DATA!$G$3:$G$9826),0)),vp.data[[#This Row],[Dens Input]]),"")</f>
        <v>875</v>
      </c>
      <c r="N17" s="2">
        <f ca="1">INDEX(INDIRECT(_xlfn.CONCAT("weather.tbl[",N$1,"]")),MATCH(vp.data[[#This Row],[SDate]],weather.tbl[Date],0))</f>
        <v>6.0166666666666666</v>
      </c>
      <c r="O17" s="2">
        <f ca="1">INDEX(INDIRECT(_xlfn.CONCAT("weather.tbl[",O$1,"]")),MATCH(vp.data[[#This Row],[SDate]],weather.tbl[Date],0))</f>
        <v>9.8833333333333346</v>
      </c>
      <c r="P17" s="2">
        <f ca="1">INDEX(INDIRECT(_xlfn.CONCAT("weather.tbl[",P$1,"]")),MATCH(vp.data[[#This Row],[SDate]],weather.tbl[Date],0))</f>
        <v>5.2</v>
      </c>
      <c r="Q17" s="2">
        <f ca="1">INDEX(INDIRECT(_xlfn.CONCAT("weather.tbl[",Q$1,"]")),MATCH(vp.data[[#This Row],[SDate]],weather.tbl[Date],0))</f>
        <v>5.5</v>
      </c>
      <c r="R17" s="2">
        <f ca="1">INDEX(INDIRECT(_xlfn.CONCAT("weather.tbl[",R$1,"]")),MATCH(vp.data[[#This Row],[SDate]],weather.tbl[Date],0))</f>
        <v>8.8000000000000007</v>
      </c>
      <c r="S17" s="2">
        <f ca="1">INDEX(INDIRECT(_xlfn.CONCAT("weather.tbl[",S$1,"]")),MATCH(vp.data[[#This Row],[SDate]],weather.tbl[Date],0))</f>
        <v>7.5</v>
      </c>
      <c r="T17" s="2">
        <f ca="1">INDEX(INDIRECT(_xlfn.CONCAT("weather.tbl[",T$1,"]")),MATCH(vp.data[[#This Row],[SDate]],weather.tbl[Date],0))</f>
        <v>4.5</v>
      </c>
      <c r="U17" s="2">
        <f ca="1">INDEX(INDIRECT(_xlfn.CONCAT("weather.tbl[",U$1,"]")),MATCH(vp.data[[#This Row],[SDate]],weather.tbl[Date],0))</f>
        <v>4.5999999999999996</v>
      </c>
      <c r="V17" s="2">
        <f t="array" ref="V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24012.701000000001</v>
      </c>
      <c r="W17" t="s">
        <v>48</v>
      </c>
      <c r="X17">
        <f>IF(OR(vp.data[[#This Row],[Sulf]]="",vp.data[[#This Row],[Dens]]=""),1,0)</f>
        <v>0</v>
      </c>
      <c r="Y17">
        <f>IF(vp.data[[#This Row],[CrudeType]]="C5+",1,0)</f>
        <v>0</v>
      </c>
      <c r="Z17">
        <f>IF(AND(vp.data[[#This Row],[CrudeType]]="Crude",vp.data[[#This Row],[Dens]]&lt;=825,vp.data[[#This Row],[Sulf]]&gt;0.5,vp.data[[#This Row],[Unknown]]=0),1,0)</f>
        <v>0</v>
      </c>
      <c r="AA17">
        <f>IF(AND(vp.data[[#This Row],[CrudeType]]="Crude",vp.data[[#This Row],[Dens]]&lt;=825,vp.data[[#This Row],[Sulf]]&lt;=0.5,vp.data[[#This Row],[Unknown]]=0),1,0)</f>
        <v>0</v>
      </c>
      <c r="AB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">
        <f>IF(AND(vp.data[[#This Row],[CrudeType]]="Crude",vp.data[[#This Row],[Dens]]&gt;825,vp.data[[#This Row],[Dens]]&lt;=900,vp.data[[#This Row],[Sulf]]&lt;=0.5,vp.data[[#This Row],[Unknown]]=0),1,0)</f>
        <v>0</v>
      </c>
      <c r="AD17">
        <f>IF(AND(vp.data[[#This Row],[CrudeType]]="Crude",vp.data[[#This Row],[Dens]]&gt;865,vp.data[[#This Row],[Dens]]&lt;=900,vp.data[[#This Row],[Sulf]]&gt;2,vp.data[[#This Row],[Unknown]]=0),1,0)</f>
        <v>1</v>
      </c>
      <c r="AE17">
        <f>IF(AND(vp.data[[#This Row],[CrudeType]]="Crude",vp.data[[#This Row],[Dens]]&gt;900,vp.data[[#This Row],[Sulf]]&lt;=0.5,vp.data[[#This Row],[Unknown]]=0),1,0)</f>
        <v>0</v>
      </c>
      <c r="AF17">
        <f>IF(AND(vp.data[[#This Row],[CrudeType]]="Crude",vp.data[[#This Row],[Dens]]&gt;900,vp.data[[#This Row],[Sulf]]&lt;=0.5,vp.data[[#This Row],[Unknown]]=0),1,0)</f>
        <v>0</v>
      </c>
      <c r="AG17" t="str">
        <f>INDEX(vp.data[[#Headers],[Unknown]:[Heavy_SW]],MATCH(1,vp.data[[#This Row],[Unknown]:[Heavy_SW]],0))</f>
        <v>Midale</v>
      </c>
      <c r="AH17">
        <f>INDEX([3]!crudeBD.lkup[Number],MATCH(vp.data[[#This Row],[Crude_Breakdown]],crudeBD.lkup[Crude Breakdown],0))</f>
        <v>5</v>
      </c>
      <c r="AI17">
        <f>MONTH(vp.data[[#This Row],[SDate]])</f>
        <v>10</v>
      </c>
      <c r="AJ17" s="5">
        <f>(vp.data[[#This Row],[VP]]-INDEX(crudeBD.lkup[Mean_VP],MATCH(vp.data[[#This Row],[Crude_Breakdown]],crudeBD.lkup[Crude Breakdown],0)))^2</f>
        <v>1273.8644066850861</v>
      </c>
      <c r="AK17" s="5">
        <f>(vp.data[[#This Row],[Dens]]-INDEX(crudeBD.lkup[Mean_Dens],MATCH(vp.data[[#This Row],[Crude_Breakdown]],crudeBD.lkup[Crude Breakdown],0)))^2</f>
        <v>3.348522691029255E-2</v>
      </c>
      <c r="AL17" s="5">
        <f>(vp.data[[#This Row],[Sulf]]-INDEX(crudeBD.lkup[Mean_Sulf],MATCH(vp.data[[#This Row],[Crude_Breakdown]],crudeBD.lkup[Crude Breakdown],0)))^2</f>
        <v>0.13221628057222767</v>
      </c>
      <c r="AM17" s="4">
        <f>IF(AND(vp.data[[#This Row],[SDate]]&gt;=DATE(YEAR(vp.data[[#This Row],[SDate]]),5,1),vp.data[[#This Row],[SDate]]&lt;=DATE(YEAR(vp.data[[#This Row],[SDate]]),9,15)),1,0)</f>
        <v>0</v>
      </c>
      <c r="AN17" s="4">
        <f>IF(vp.data[[#This Row],[SDate]]&lt;DATE(2016,12,1),0,1)</f>
        <v>0</v>
      </c>
      <c r="AO17" s="4">
        <f>IFERROR(vp.data[[#This Row],[Sulf]]*vp.data[[#This Row],[Net Dens]],"")</f>
        <v>43703115.82</v>
      </c>
      <c r="AP17">
        <f>IFERROR(vp.data[[#This Row],[Dens]]*vp.data[[#This Row],[VolumeM3]],"")</f>
        <v>21011113.375</v>
      </c>
      <c r="AQ17" s="15">
        <f>IFERROR(vp.data[[#This Row],[VP]]*vp.data[[#This Row],[VolumeM3]],"")</f>
        <v>2523734.8750999998</v>
      </c>
    </row>
    <row r="18" spans="1:43" x14ac:dyDescent="0.25">
      <c r="A18">
        <v>17</v>
      </c>
      <c r="B18" t="s">
        <v>49</v>
      </c>
      <c r="C18" t="s">
        <v>49</v>
      </c>
      <c r="D18" t="s">
        <v>50</v>
      </c>
      <c r="F18" s="1">
        <v>42293</v>
      </c>
      <c r="G18" s="2">
        <v>112.9</v>
      </c>
      <c r="H18" s="2"/>
      <c r="I18" s="2">
        <f t="array" ref="I18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8" s="2"/>
      <c r="K18" s="2"/>
      <c r="L18" s="2">
        <v>877.5</v>
      </c>
      <c r="M18" s="2">
        <f t="array" ref="M18">_xlfn.IFNA(IF(vp.data[[#This Row],[Dens Input]]="",INDEX([1]DATA!$O$3:$O$9826,MATCH(1,(vp.data[[#This Row],[Battery]]=[1]DATA!$L$3:$L$9826)*(EOMONTH(vp.data[[#This Row],[SDate]],-1)+1=[1]DATA!$G$3:$G$9826),0)),vp.data[[#This Row],[Dens Input]]),"")</f>
        <v>877.5</v>
      </c>
      <c r="N18" s="2">
        <f ca="1">INDEX(INDIRECT(_xlfn.CONCAT("weather.tbl[",N$1,"]")),MATCH(vp.data[[#This Row],[SDate]],weather.tbl[Date],0))</f>
        <v>6.0166666666666666</v>
      </c>
      <c r="O18" s="2">
        <f ca="1">INDEX(INDIRECT(_xlfn.CONCAT("weather.tbl[",O$1,"]")),MATCH(vp.data[[#This Row],[SDate]],weather.tbl[Date],0))</f>
        <v>9.8833333333333346</v>
      </c>
      <c r="P18" s="2">
        <f ca="1">INDEX(INDIRECT(_xlfn.CONCAT("weather.tbl[",P$1,"]")),MATCH(vp.data[[#This Row],[SDate]],weather.tbl[Date],0))</f>
        <v>5.2</v>
      </c>
      <c r="Q18" s="2">
        <f ca="1">INDEX(INDIRECT(_xlfn.CONCAT("weather.tbl[",Q$1,"]")),MATCH(vp.data[[#This Row],[SDate]],weather.tbl[Date],0))</f>
        <v>5.5</v>
      </c>
      <c r="R18" s="2">
        <f ca="1">INDEX(INDIRECT(_xlfn.CONCAT("weather.tbl[",R$1,"]")),MATCH(vp.data[[#This Row],[SDate]],weather.tbl[Date],0))</f>
        <v>8.8000000000000007</v>
      </c>
      <c r="S18" s="2">
        <f ca="1">INDEX(INDIRECT(_xlfn.CONCAT("weather.tbl[",S$1,"]")),MATCH(vp.data[[#This Row],[SDate]],weather.tbl[Date],0))</f>
        <v>7.5</v>
      </c>
      <c r="T18" s="2">
        <f ca="1">INDEX(INDIRECT(_xlfn.CONCAT("weather.tbl[",T$1,"]")),MATCH(vp.data[[#This Row],[SDate]],weather.tbl[Date],0))</f>
        <v>4.5</v>
      </c>
      <c r="U18" s="2">
        <f ca="1">INDEX(INDIRECT(_xlfn.CONCAT("weather.tbl[",U$1,"]")),MATCH(vp.data[[#This Row],[SDate]],weather.tbl[Date],0))</f>
        <v>4.5999999999999996</v>
      </c>
      <c r="V18" s="2">
        <f t="array" ref="V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7328.8639999999996</v>
      </c>
      <c r="W18" t="s">
        <v>48</v>
      </c>
      <c r="X18">
        <f>IF(OR(vp.data[[#This Row],[Sulf]]="",vp.data[[#This Row],[Dens]]=""),1,0)</f>
        <v>0</v>
      </c>
      <c r="Y18">
        <f>IF(vp.data[[#This Row],[CrudeType]]="C5+",1,0)</f>
        <v>0</v>
      </c>
      <c r="Z18">
        <f>IF(AND(vp.data[[#This Row],[CrudeType]]="Crude",vp.data[[#This Row],[Dens]]&lt;=825,vp.data[[#This Row],[Sulf]]&gt;0.5,vp.data[[#This Row],[Unknown]]=0),1,0)</f>
        <v>0</v>
      </c>
      <c r="AA18">
        <f>IF(AND(vp.data[[#This Row],[CrudeType]]="Crude",vp.data[[#This Row],[Dens]]&lt;=825,vp.data[[#This Row],[Sulf]]&lt;=0.5,vp.data[[#This Row],[Unknown]]=0),1,0)</f>
        <v>0</v>
      </c>
      <c r="AB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">
        <f>IF(AND(vp.data[[#This Row],[CrudeType]]="Crude",vp.data[[#This Row],[Dens]]&gt;825,vp.data[[#This Row],[Dens]]&lt;=900,vp.data[[#This Row],[Sulf]]&lt;=0.5,vp.data[[#This Row],[Unknown]]=0),1,0)</f>
        <v>0</v>
      </c>
      <c r="AD18">
        <f>IF(AND(vp.data[[#This Row],[CrudeType]]="Crude",vp.data[[#This Row],[Dens]]&gt;865,vp.data[[#This Row],[Dens]]&lt;=900,vp.data[[#This Row],[Sulf]]&gt;2,vp.data[[#This Row],[Unknown]]=0),1,0)</f>
        <v>1</v>
      </c>
      <c r="AE18">
        <f>IF(AND(vp.data[[#This Row],[CrudeType]]="Crude",vp.data[[#This Row],[Dens]]&gt;900,vp.data[[#This Row],[Sulf]]&lt;=0.5,vp.data[[#This Row],[Unknown]]=0),1,0)</f>
        <v>0</v>
      </c>
      <c r="AF18">
        <f>IF(AND(vp.data[[#This Row],[CrudeType]]="Crude",vp.data[[#This Row],[Dens]]&gt;900,vp.data[[#This Row],[Sulf]]&lt;=0.5,vp.data[[#This Row],[Unknown]]=0),1,0)</f>
        <v>0</v>
      </c>
      <c r="AG18" t="str">
        <f>INDEX(vp.data[[#Headers],[Unknown]:[Heavy_SW]],MATCH(1,vp.data[[#This Row],[Unknown]:[Heavy_SW]],0))</f>
        <v>Midale</v>
      </c>
      <c r="AH18">
        <f>INDEX([3]!crudeBD.lkup[Number],MATCH(vp.data[[#This Row],[Crude_Breakdown]],crudeBD.lkup[Crude Breakdown],0))</f>
        <v>5</v>
      </c>
      <c r="AI18">
        <f>MONTH(vp.data[[#This Row],[SDate]])</f>
        <v>10</v>
      </c>
      <c r="AJ18" s="5">
        <f>(vp.data[[#This Row],[VP]]-INDEX(crudeBD.lkup[Mean_VP],MATCH(vp.data[[#This Row],[Crude_Breakdown]],crudeBD.lkup[Crude Breakdown],0)))^2</f>
        <v>1891.4877056541586</v>
      </c>
      <c r="AK18" s="5">
        <f>(vp.data[[#This Row],[Dens]]-INDEX(crudeBD.lkup[Mean_Dens],MATCH(vp.data[[#This Row],[Crude_Breakdown]],crudeBD.lkup[Crude Breakdown],0)))^2</f>
        <v>7.1984336805170051</v>
      </c>
      <c r="AL18" s="5">
        <f>(vp.data[[#This Row],[Sulf]]-INDEX(crudeBD.lkup[Mean_Sulf],MATCH(vp.data[[#This Row],[Crude_Breakdown]],crudeBD.lkup[Crude Breakdown],0)))^2</f>
        <v>2.1428402221713612E-2</v>
      </c>
      <c r="AM18" s="4">
        <f>IF(AND(vp.data[[#This Row],[SDate]]&gt;=DATE(YEAR(vp.data[[#This Row],[SDate]]),5,1),vp.data[[#This Row],[SDate]]&lt;=DATE(YEAR(vp.data[[#This Row],[SDate]]),9,15)),1,0)</f>
        <v>0</v>
      </c>
      <c r="AN18" s="4">
        <f>IF(vp.data[[#This Row],[SDate]]&lt;DATE(2016,12,1),0,1)</f>
        <v>0</v>
      </c>
      <c r="AO18" s="4">
        <f>IFERROR(vp.data[[#This Row],[Sulf]]*vp.data[[#This Row],[Net Dens]],"")</f>
        <v>16656492.434399998</v>
      </c>
      <c r="AP18">
        <f>IFERROR(vp.data[[#This Row],[Dens]]*vp.data[[#This Row],[VolumeM3]],"")</f>
        <v>6431078.1599999992</v>
      </c>
      <c r="AQ18" s="15">
        <f>IFERROR(vp.data[[#This Row],[VP]]*vp.data[[#This Row],[VolumeM3]],"")</f>
        <v>827428.74560000002</v>
      </c>
    </row>
    <row r="19" spans="1:43" x14ac:dyDescent="0.25">
      <c r="A19">
        <v>18</v>
      </c>
      <c r="B19" t="s">
        <v>51</v>
      </c>
      <c r="C19" t="s">
        <v>51</v>
      </c>
      <c r="D19" t="s">
        <v>66</v>
      </c>
      <c r="F19" s="1">
        <v>42293</v>
      </c>
      <c r="G19" s="2">
        <v>96</v>
      </c>
      <c r="H19" s="2"/>
      <c r="I19" s="2">
        <f t="array" ref="I19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9" s="2"/>
      <c r="K19" s="2"/>
      <c r="L19" s="2"/>
      <c r="M19" s="2">
        <f t="array" ref="M19">_xlfn.IFNA(IF(vp.data[[#This Row],[Dens Input]]="",INDEX([1]DATA!$O$3:$O$9826,MATCH(1,(vp.data[[#This Row],[Battery]]=[1]DATA!$L$3:$L$9826)*(EOMONTH(vp.data[[#This Row],[SDate]],-1)+1=[1]DATA!$G$3:$G$9826),0)),vp.data[[#This Row],[Dens Input]]),"")</f>
        <v>823.8</v>
      </c>
      <c r="N19" s="2">
        <f ca="1">INDEX(INDIRECT(_xlfn.CONCAT("weather.tbl[",N$1,"]")),MATCH(vp.data[[#This Row],[SDate]],weather.tbl[Date],0))</f>
        <v>6.0166666666666666</v>
      </c>
      <c r="O19" s="2">
        <f ca="1">INDEX(INDIRECT(_xlfn.CONCAT("weather.tbl[",O$1,"]")),MATCH(vp.data[[#This Row],[SDate]],weather.tbl[Date],0))</f>
        <v>9.8833333333333346</v>
      </c>
      <c r="P19" s="2">
        <f ca="1">INDEX(INDIRECT(_xlfn.CONCAT("weather.tbl[",P$1,"]")),MATCH(vp.data[[#This Row],[SDate]],weather.tbl[Date],0))</f>
        <v>5.2</v>
      </c>
      <c r="Q19" s="2">
        <f ca="1">INDEX(INDIRECT(_xlfn.CONCAT("weather.tbl[",Q$1,"]")),MATCH(vp.data[[#This Row],[SDate]],weather.tbl[Date],0))</f>
        <v>5.5</v>
      </c>
      <c r="R19" s="2">
        <f ca="1">INDEX(INDIRECT(_xlfn.CONCAT("weather.tbl[",R$1,"]")),MATCH(vp.data[[#This Row],[SDate]],weather.tbl[Date],0))</f>
        <v>8.8000000000000007</v>
      </c>
      <c r="S19" s="2">
        <f ca="1">INDEX(INDIRECT(_xlfn.CONCAT("weather.tbl[",S$1,"]")),MATCH(vp.data[[#This Row],[SDate]],weather.tbl[Date],0))</f>
        <v>7.5</v>
      </c>
      <c r="T19" s="2">
        <f ca="1">INDEX(INDIRECT(_xlfn.CONCAT("weather.tbl[",T$1,"]")),MATCH(vp.data[[#This Row],[SDate]],weather.tbl[Date],0))</f>
        <v>4.5</v>
      </c>
      <c r="U19" s="2">
        <f ca="1">INDEX(INDIRECT(_xlfn.CONCAT("weather.tbl[",U$1,"]")),MATCH(vp.data[[#This Row],[SDate]],weather.tbl[Date],0))</f>
        <v>4.5999999999999996</v>
      </c>
      <c r="V19" s="2">
        <f t="array" ref="V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5226.393</v>
      </c>
      <c r="W19" t="s">
        <v>48</v>
      </c>
      <c r="X19">
        <f>IF(OR(vp.data[[#This Row],[Sulf]]="",vp.data[[#This Row],[Dens]]=""),1,0)</f>
        <v>0</v>
      </c>
      <c r="Y19">
        <f>IF(vp.data[[#This Row],[CrudeType]]="C5+",1,0)</f>
        <v>0</v>
      </c>
      <c r="Z19">
        <f>IF(AND(vp.data[[#This Row],[CrudeType]]="Crude",vp.data[[#This Row],[Dens]]&lt;=825,vp.data[[#This Row],[Sulf]]&gt;0.5,vp.data[[#This Row],[Unknown]]=0),1,0)</f>
        <v>1</v>
      </c>
      <c r="AA19">
        <f>IF(AND(vp.data[[#This Row],[CrudeType]]="Crude",vp.data[[#This Row],[Dens]]&lt;=825,vp.data[[#This Row],[Sulf]]&lt;=0.5,vp.data[[#This Row],[Unknown]]=0),1,0)</f>
        <v>0</v>
      </c>
      <c r="AB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">
        <f>IF(AND(vp.data[[#This Row],[CrudeType]]="Crude",vp.data[[#This Row],[Dens]]&gt;825,vp.data[[#This Row],[Dens]]&lt;=900,vp.data[[#This Row],[Sulf]]&lt;=0.5,vp.data[[#This Row],[Unknown]]=0),1,0)</f>
        <v>0</v>
      </c>
      <c r="AD19">
        <f>IF(AND(vp.data[[#This Row],[CrudeType]]="Crude",vp.data[[#This Row],[Dens]]&gt;865,vp.data[[#This Row],[Dens]]&lt;=900,vp.data[[#This Row],[Sulf]]&gt;2,vp.data[[#This Row],[Unknown]]=0),1,0)</f>
        <v>0</v>
      </c>
      <c r="AE19">
        <f>IF(AND(vp.data[[#This Row],[CrudeType]]="Crude",vp.data[[#This Row],[Dens]]&gt;900,vp.data[[#This Row],[Sulf]]&lt;=0.5,vp.data[[#This Row],[Unknown]]=0),1,0)</f>
        <v>0</v>
      </c>
      <c r="AF19">
        <f>IF(AND(vp.data[[#This Row],[CrudeType]]="Crude",vp.data[[#This Row],[Dens]]&gt;900,vp.data[[#This Row],[Sulf]]&lt;=0.5,vp.data[[#This Row],[Unknown]]=0),1,0)</f>
        <v>0</v>
      </c>
      <c r="AG19" t="str">
        <f>INDEX(vp.data[[#Headers],[Unknown]:[Heavy_SW]],MATCH(1,vp.data[[#This Row],[Unknown]:[Heavy_SW]],0))</f>
        <v>Light_LSB</v>
      </c>
      <c r="AH19">
        <f>INDEX([3]!crudeBD.lkup[Number],MATCH(vp.data[[#This Row],[Crude_Breakdown]],crudeBD.lkup[Crude Breakdown],0))</f>
        <v>1</v>
      </c>
      <c r="AI19">
        <f>MONTH(vp.data[[#This Row],[SDate]])</f>
        <v>10</v>
      </c>
      <c r="AJ19" s="5">
        <f>(vp.data[[#This Row],[VP]]-INDEX(crudeBD.lkup[Mean_VP],MATCH(vp.data[[#This Row],[Crude_Breakdown]],crudeBD.lkup[Crude Breakdown],0)))^2</f>
        <v>19.836463003507003</v>
      </c>
      <c r="AK19" s="5">
        <f>(vp.data[[#This Row],[Dens]]-INDEX(crudeBD.lkup[Mean_Dens],MATCH(vp.data[[#This Row],[Crude_Breakdown]],crudeBD.lkup[Crude Breakdown],0)))^2</f>
        <v>27.912521774663034</v>
      </c>
      <c r="AL19" s="5">
        <f>(vp.data[[#This Row],[Sulf]]-INDEX(crudeBD.lkup[Mean_Sulf],MATCH(vp.data[[#This Row],[Crude_Breakdown]],crudeBD.lkup[Crude Breakdown],0)))^2</f>
        <v>5.1542090384526708E-2</v>
      </c>
      <c r="AM19" s="4">
        <f>IF(AND(vp.data[[#This Row],[SDate]]&gt;=DATE(YEAR(vp.data[[#This Row],[SDate]]),5,1),vp.data[[#This Row],[SDate]]&lt;=DATE(YEAR(vp.data[[#This Row],[SDate]]),9,15)),1,0)</f>
        <v>0</v>
      </c>
      <c r="AN19" s="4">
        <f>IF(vp.data[[#This Row],[SDate]]&lt;DATE(2016,12,1),0,1)</f>
        <v>0</v>
      </c>
      <c r="AO19" s="4">
        <f>IFERROR(vp.data[[#This Row],[Sulf]]*vp.data[[#This Row],[Net Dens]],"")</f>
        <v>4951327.9364099996</v>
      </c>
      <c r="AP19">
        <f>IFERROR(vp.data[[#This Row],[Dens]]*vp.data[[#This Row],[VolumeM3]],"")</f>
        <v>4305502.5533999996</v>
      </c>
      <c r="AQ19" s="15">
        <f>IFERROR(vp.data[[#This Row],[VP]]*vp.data[[#This Row],[VolumeM3]],"")</f>
        <v>501733.728</v>
      </c>
    </row>
    <row r="20" spans="1:43" x14ac:dyDescent="0.25">
      <c r="A20">
        <v>19</v>
      </c>
      <c r="B20" t="s">
        <v>49</v>
      </c>
      <c r="C20" t="s">
        <v>49</v>
      </c>
      <c r="D20" t="s">
        <v>67</v>
      </c>
      <c r="F20" s="1">
        <v>42298</v>
      </c>
      <c r="G20" s="2">
        <v>95.4</v>
      </c>
      <c r="H20" s="2"/>
      <c r="I20" s="2">
        <f t="array" ref="I20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20" s="2"/>
      <c r="K20" s="2"/>
      <c r="L20" s="2">
        <v>801</v>
      </c>
      <c r="M20" s="2">
        <f t="array" ref="M20">_xlfn.IFNA(IF(vp.data[[#This Row],[Dens Input]]="",INDEX([1]DATA!$O$3:$O$9826,MATCH(1,(vp.data[[#This Row],[Battery]]=[1]DATA!$L$3:$L$9826)*(EOMONTH(vp.data[[#This Row],[SDate]],-1)+1=[1]DATA!$G$3:$G$9826),0)),vp.data[[#This Row],[Dens Input]]),"")</f>
        <v>801</v>
      </c>
      <c r="N20" s="2">
        <f ca="1">INDEX(INDIRECT(_xlfn.CONCAT("weather.tbl[",N$1,"]")),MATCH(vp.data[[#This Row],[SDate]],weather.tbl[Date],0))</f>
        <v>7.4666666666666677</v>
      </c>
      <c r="O20" s="2">
        <f ca="1">INDEX(INDIRECT(_xlfn.CONCAT("weather.tbl[",O$1,"]")),MATCH(vp.data[[#This Row],[SDate]],weather.tbl[Date],0))</f>
        <v>7.4714285714285706</v>
      </c>
      <c r="P20" s="2">
        <f ca="1">INDEX(INDIRECT(_xlfn.CONCAT("weather.tbl[",P$1,"]")),MATCH(vp.data[[#This Row],[SDate]],weather.tbl[Date],0))</f>
        <v>7.7</v>
      </c>
      <c r="Q20" s="2">
        <f ca="1">INDEX(INDIRECT(_xlfn.CONCAT("weather.tbl[",Q$1,"]")),MATCH(vp.data[[#This Row],[SDate]],weather.tbl[Date],0))</f>
        <v>7.6</v>
      </c>
      <c r="R20" s="2">
        <f ca="1">INDEX(INDIRECT(_xlfn.CONCAT("weather.tbl[",R$1,"]")),MATCH(vp.data[[#This Row],[SDate]],weather.tbl[Date],0))</f>
        <v>7</v>
      </c>
      <c r="S20" s="2">
        <f ca="1">INDEX(INDIRECT(_xlfn.CONCAT("weather.tbl[",S$1,"]")),MATCH(vp.data[[#This Row],[SDate]],weather.tbl[Date],0))</f>
        <v>8.8000000000000007</v>
      </c>
      <c r="T20" s="2">
        <f ca="1">INDEX(INDIRECT(_xlfn.CONCAT("weather.tbl[",T$1,"]")),MATCH(vp.data[[#This Row],[SDate]],weather.tbl[Date],0))</f>
        <v>7.2</v>
      </c>
      <c r="U20" s="2">
        <f ca="1">INDEX(INDIRECT(_xlfn.CONCAT("weather.tbl[",U$1,"]")),MATCH(vp.data[[#This Row],[SDate]],weather.tbl[Date],0))</f>
        <v>6.5</v>
      </c>
      <c r="V20" s="2">
        <f t="array" ref="V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34080.487999999998</v>
      </c>
      <c r="W20" t="s">
        <v>48</v>
      </c>
      <c r="X20">
        <f>IF(OR(vp.data[[#This Row],[Sulf]]="",vp.data[[#This Row],[Dens]]=""),1,0)</f>
        <v>0</v>
      </c>
      <c r="Y20">
        <f>IF(vp.data[[#This Row],[CrudeType]]="C5+",1,0)</f>
        <v>0</v>
      </c>
      <c r="Z20">
        <f>IF(AND(vp.data[[#This Row],[CrudeType]]="Crude",vp.data[[#This Row],[Dens]]&lt;=825,vp.data[[#This Row],[Sulf]]&gt;0.5,vp.data[[#This Row],[Unknown]]=0),1,0)</f>
        <v>0</v>
      </c>
      <c r="AA20">
        <f>IF(AND(vp.data[[#This Row],[CrudeType]]="Crude",vp.data[[#This Row],[Dens]]&lt;=825,vp.data[[#This Row],[Sulf]]&lt;=0.5,vp.data[[#This Row],[Unknown]]=0),1,0)</f>
        <v>1</v>
      </c>
      <c r="AB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">
        <f>IF(AND(vp.data[[#This Row],[CrudeType]]="Crude",vp.data[[#This Row],[Dens]]&gt;825,vp.data[[#This Row],[Dens]]&lt;=900,vp.data[[#This Row],[Sulf]]&lt;=0.5,vp.data[[#This Row],[Unknown]]=0),1,0)</f>
        <v>0</v>
      </c>
      <c r="AD20">
        <f>IF(AND(vp.data[[#This Row],[CrudeType]]="Crude",vp.data[[#This Row],[Dens]]&gt;865,vp.data[[#This Row],[Dens]]&lt;=900,vp.data[[#This Row],[Sulf]]&gt;2,vp.data[[#This Row],[Unknown]]=0),1,0)</f>
        <v>0</v>
      </c>
      <c r="AE20">
        <f>IF(AND(vp.data[[#This Row],[CrudeType]]="Crude",vp.data[[#This Row],[Dens]]&gt;900,vp.data[[#This Row],[Sulf]]&lt;=0.5,vp.data[[#This Row],[Unknown]]=0),1,0)</f>
        <v>0</v>
      </c>
      <c r="AF20">
        <f>IF(AND(vp.data[[#This Row],[CrudeType]]="Crude",vp.data[[#This Row],[Dens]]&gt;900,vp.data[[#This Row],[Sulf]]&lt;=0.5,vp.data[[#This Row],[Unknown]]=0),1,0)</f>
        <v>0</v>
      </c>
      <c r="AG20" t="str">
        <f>INDEX(vp.data[[#Headers],[Unknown]:[Heavy_SW]],MATCH(1,vp.data[[#This Row],[Unknown]:[Heavy_SW]],0))</f>
        <v>Light_SW</v>
      </c>
      <c r="AH20">
        <f>INDEX([3]!crudeBD.lkup[Number],MATCH(vp.data[[#This Row],[Crude_Breakdown]],crudeBD.lkup[Crude Breakdown],0))</f>
        <v>2</v>
      </c>
      <c r="AI20">
        <f>MONTH(vp.data[[#This Row],[SDate]])</f>
        <v>10</v>
      </c>
      <c r="AJ20" s="5">
        <f>(vp.data[[#This Row],[VP]]-INDEX(crudeBD.lkup[Mean_VP],MATCH(vp.data[[#This Row],[Crude_Breakdown]],crudeBD.lkup[Crude Breakdown],0)))^2</f>
        <v>8.1207126418921742</v>
      </c>
      <c r="AK20" s="5">
        <f>(vp.data[[#This Row],[Dens]]-INDEX(crudeBD.lkup[Mean_Dens],MATCH(vp.data[[#This Row],[Crude_Breakdown]],crudeBD.lkup[Crude Breakdown],0)))^2</f>
        <v>53.458006774390086</v>
      </c>
      <c r="AL20" s="5">
        <f>(vp.data[[#This Row],[Sulf]]-INDEX(crudeBD.lkup[Mean_Sulf],MATCH(vp.data[[#This Row],[Crude_Breakdown]],crudeBD.lkup[Crude Breakdown],0)))^2</f>
        <v>5.8128138736660397E-3</v>
      </c>
      <c r="AM20" s="4">
        <f>IF(AND(vp.data[[#This Row],[SDate]]&gt;=DATE(YEAR(vp.data[[#This Row],[SDate]]),5,1),vp.data[[#This Row],[SDate]]&lt;=DATE(YEAR(vp.data[[#This Row],[SDate]]),9,15)),1,0)</f>
        <v>0</v>
      </c>
      <c r="AN20" s="4">
        <f>IF(vp.data[[#This Row],[SDate]]&lt;DATE(2016,12,1),0,1)</f>
        <v>0</v>
      </c>
      <c r="AO20" s="4">
        <f>IFERROR(vp.data[[#This Row],[Sulf]]*vp.data[[#This Row],[Net Dens]],"")</f>
        <v>4367755.3420799999</v>
      </c>
      <c r="AP20">
        <f>IFERROR(vp.data[[#This Row],[Dens]]*vp.data[[#This Row],[VolumeM3]],"")</f>
        <v>27298470.887999997</v>
      </c>
      <c r="AQ20" s="15">
        <f>IFERROR(vp.data[[#This Row],[VP]]*vp.data[[#This Row],[VolumeM3]],"")</f>
        <v>3251278.5551999998</v>
      </c>
    </row>
    <row r="21" spans="1:43" x14ac:dyDescent="0.25">
      <c r="A21">
        <v>20</v>
      </c>
      <c r="B21" t="s">
        <v>56</v>
      </c>
      <c r="C21" t="s">
        <v>56</v>
      </c>
      <c r="D21" t="s">
        <v>57</v>
      </c>
      <c r="F21" s="1">
        <v>42298</v>
      </c>
      <c r="G21" s="2">
        <v>111.4</v>
      </c>
      <c r="H21" s="2"/>
      <c r="I21" s="2">
        <f t="array" ref="I21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21" s="2"/>
      <c r="K21" s="2"/>
      <c r="L21" s="2">
        <v>831</v>
      </c>
      <c r="M21" s="2">
        <f t="array" ref="M21">_xlfn.IFNA(IF(vp.data[[#This Row],[Dens Input]]="",INDEX([1]DATA!$O$3:$O$9826,MATCH(1,(vp.data[[#This Row],[Battery]]=[1]DATA!$L$3:$L$9826)*(EOMONTH(vp.data[[#This Row],[SDate]],-1)+1=[1]DATA!$G$3:$G$9826),0)),vp.data[[#This Row],[Dens Input]]),"")</f>
        <v>831</v>
      </c>
      <c r="N21" s="2">
        <f ca="1">INDEX(INDIRECT(_xlfn.CONCAT("weather.tbl[",N$1,"]")),MATCH(vp.data[[#This Row],[SDate]],weather.tbl[Date],0))</f>
        <v>7.4666666666666677</v>
      </c>
      <c r="O21" s="2">
        <f ca="1">INDEX(INDIRECT(_xlfn.CONCAT("weather.tbl[",O$1,"]")),MATCH(vp.data[[#This Row],[SDate]],weather.tbl[Date],0))</f>
        <v>7.4714285714285706</v>
      </c>
      <c r="P21" s="2">
        <f ca="1">INDEX(INDIRECT(_xlfn.CONCAT("weather.tbl[",P$1,"]")),MATCH(vp.data[[#This Row],[SDate]],weather.tbl[Date],0))</f>
        <v>7.7</v>
      </c>
      <c r="Q21" s="2">
        <f ca="1">INDEX(INDIRECT(_xlfn.CONCAT("weather.tbl[",Q$1,"]")),MATCH(vp.data[[#This Row],[SDate]],weather.tbl[Date],0))</f>
        <v>7.6</v>
      </c>
      <c r="R21" s="2">
        <f ca="1">INDEX(INDIRECT(_xlfn.CONCAT("weather.tbl[",R$1,"]")),MATCH(vp.data[[#This Row],[SDate]],weather.tbl[Date],0))</f>
        <v>7</v>
      </c>
      <c r="S21" s="2">
        <f ca="1">INDEX(INDIRECT(_xlfn.CONCAT("weather.tbl[",S$1,"]")),MATCH(vp.data[[#This Row],[SDate]],weather.tbl[Date],0))</f>
        <v>8.8000000000000007</v>
      </c>
      <c r="T21" s="2">
        <f ca="1">INDEX(INDIRECT(_xlfn.CONCAT("weather.tbl[",T$1,"]")),MATCH(vp.data[[#This Row],[SDate]],weather.tbl[Date],0))</f>
        <v>7.2</v>
      </c>
      <c r="U21" s="2">
        <f ca="1">INDEX(INDIRECT(_xlfn.CONCAT("weather.tbl[",U$1,"]")),MATCH(vp.data[[#This Row],[SDate]],weather.tbl[Date],0))</f>
        <v>6.5</v>
      </c>
      <c r="V21" s="2">
        <f t="array" ref="V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4182.07</v>
      </c>
      <c r="W21" t="s">
        <v>48</v>
      </c>
      <c r="X21">
        <f>IF(OR(vp.data[[#This Row],[Sulf]]="",vp.data[[#This Row],[Dens]]=""),1,0)</f>
        <v>0</v>
      </c>
      <c r="Y21">
        <f>IF(vp.data[[#This Row],[CrudeType]]="C5+",1,0)</f>
        <v>0</v>
      </c>
      <c r="Z21">
        <f>IF(AND(vp.data[[#This Row],[CrudeType]]="Crude",vp.data[[#This Row],[Dens]]&lt;=825,vp.data[[#This Row],[Sulf]]&gt;0.5,vp.data[[#This Row],[Unknown]]=0),1,0)</f>
        <v>0</v>
      </c>
      <c r="AA21">
        <f>IF(AND(vp.data[[#This Row],[CrudeType]]="Crude",vp.data[[#This Row],[Dens]]&lt;=825,vp.data[[#This Row],[Sulf]]&lt;=0.5,vp.data[[#This Row],[Unknown]]=0),1,0)</f>
        <v>0</v>
      </c>
      <c r="AB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">
        <f>IF(AND(vp.data[[#This Row],[CrudeType]]="Crude",vp.data[[#This Row],[Dens]]&gt;825,vp.data[[#This Row],[Dens]]&lt;=900,vp.data[[#This Row],[Sulf]]&lt;=0.5,vp.data[[#This Row],[Unknown]]=0),1,0)</f>
        <v>0</v>
      </c>
      <c r="AD21">
        <f>IF(AND(vp.data[[#This Row],[CrudeType]]="Crude",vp.data[[#This Row],[Dens]]&gt;865,vp.data[[#This Row],[Dens]]&lt;=900,vp.data[[#This Row],[Sulf]]&gt;2,vp.data[[#This Row],[Unknown]]=0),1,0)</f>
        <v>0</v>
      </c>
      <c r="AE21">
        <f>IF(AND(vp.data[[#This Row],[CrudeType]]="Crude",vp.data[[#This Row],[Dens]]&gt;900,vp.data[[#This Row],[Sulf]]&lt;=0.5,vp.data[[#This Row],[Unknown]]=0),1,0)</f>
        <v>0</v>
      </c>
      <c r="AF21">
        <f>IF(AND(vp.data[[#This Row],[CrudeType]]="Crude",vp.data[[#This Row],[Dens]]&gt;900,vp.data[[#This Row],[Sulf]]&lt;=0.5,vp.data[[#This Row],[Unknown]]=0),1,0)</f>
        <v>0</v>
      </c>
      <c r="AG21" t="str">
        <f>INDEX(vp.data[[#Headers],[Unknown]:[Heavy_SW]],MATCH(1,vp.data[[#This Row],[Unknown]:[Heavy_SW]],0))</f>
        <v>Medium_LSB</v>
      </c>
      <c r="AH21">
        <f>INDEX([3]!crudeBD.lkup[Number],MATCH(vp.data[[#This Row],[Crude_Breakdown]],crudeBD.lkup[Crude Breakdown],0))</f>
        <v>3</v>
      </c>
      <c r="AI21">
        <f>MONTH(vp.data[[#This Row],[SDate]])</f>
        <v>10</v>
      </c>
      <c r="AJ21" s="5">
        <f>(vp.data[[#This Row],[VP]]-INDEX(crudeBD.lkup[Mean_VP],MATCH(vp.data[[#This Row],[Crude_Breakdown]],crudeBD.lkup[Crude Breakdown],0)))^2</f>
        <v>946.19749875691582</v>
      </c>
      <c r="AK21" s="5">
        <f>(vp.data[[#This Row],[Dens]]-INDEX(crudeBD.lkup[Mean_Dens],MATCH(vp.data[[#This Row],[Crude_Breakdown]],crudeBD.lkup[Crude Breakdown],0)))^2</f>
        <v>166.92639999998718</v>
      </c>
      <c r="AL21" s="5">
        <f>(vp.data[[#This Row],[Sulf]]-INDEX(crudeBD.lkup[Mean_Sulf],MATCH(vp.data[[#This Row],[Crude_Breakdown]],crudeBD.lkup[Crude Breakdown],0)))^2</f>
        <v>2.9802726320805671E-3</v>
      </c>
      <c r="AM21" s="4">
        <f>IF(AND(vp.data[[#This Row],[SDate]]&gt;=DATE(YEAR(vp.data[[#This Row],[SDate]]),5,1),vp.data[[#This Row],[SDate]]&lt;=DATE(YEAR(vp.data[[#This Row],[SDate]]),9,15)),1,0)</f>
        <v>0</v>
      </c>
      <c r="AN21" s="4">
        <f>IF(vp.data[[#This Row],[SDate]]&lt;DATE(2016,12,1),0,1)</f>
        <v>0</v>
      </c>
      <c r="AO21" s="4">
        <f>IFERROR(vp.data[[#This Row],[Sulf]]*vp.data[[#This Row],[Net Dens]],"")</f>
        <v>5004432.2447999995</v>
      </c>
      <c r="AP21">
        <f>IFERROR(vp.data[[#This Row],[Dens]]*vp.data[[#This Row],[VolumeM3]],"")</f>
        <v>3475300.17</v>
      </c>
      <c r="AQ21" s="15">
        <f>IFERROR(vp.data[[#This Row],[VP]]*vp.data[[#This Row],[VolumeM3]],"")</f>
        <v>465882.598</v>
      </c>
    </row>
    <row r="22" spans="1:43" x14ac:dyDescent="0.25">
      <c r="A22">
        <v>21</v>
      </c>
      <c r="B22" t="s">
        <v>46</v>
      </c>
      <c r="C22" t="s">
        <v>46</v>
      </c>
      <c r="D22" t="s">
        <v>47</v>
      </c>
      <c r="F22" s="1">
        <v>42298</v>
      </c>
      <c r="G22" s="2">
        <v>83.3</v>
      </c>
      <c r="H22" s="2"/>
      <c r="I22" s="2">
        <f t="array" ref="I22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2" s="2"/>
      <c r="K22" s="2"/>
      <c r="L22" s="2">
        <v>875</v>
      </c>
      <c r="M22" s="2">
        <f t="array" ref="M22">_xlfn.IFNA(IF(vp.data[[#This Row],[Dens Input]]="",INDEX([1]DATA!$O$3:$O$9826,MATCH(1,(vp.data[[#This Row],[Battery]]=[1]DATA!$L$3:$L$9826)*(EOMONTH(vp.data[[#This Row],[SDate]],-1)+1=[1]DATA!$G$3:$G$9826),0)),vp.data[[#This Row],[Dens Input]]),"")</f>
        <v>875</v>
      </c>
      <c r="N22" s="2">
        <f ca="1">INDEX(INDIRECT(_xlfn.CONCAT("weather.tbl[",N$1,"]")),MATCH(vp.data[[#This Row],[SDate]],weather.tbl[Date],0))</f>
        <v>7.4666666666666677</v>
      </c>
      <c r="O22" s="2">
        <f ca="1">INDEX(INDIRECT(_xlfn.CONCAT("weather.tbl[",O$1,"]")),MATCH(vp.data[[#This Row],[SDate]],weather.tbl[Date],0))</f>
        <v>7.4714285714285706</v>
      </c>
      <c r="P22" s="2">
        <f ca="1">INDEX(INDIRECT(_xlfn.CONCAT("weather.tbl[",P$1,"]")),MATCH(vp.data[[#This Row],[SDate]],weather.tbl[Date],0))</f>
        <v>7.7</v>
      </c>
      <c r="Q22" s="2">
        <f ca="1">INDEX(INDIRECT(_xlfn.CONCAT("weather.tbl[",Q$1,"]")),MATCH(vp.data[[#This Row],[SDate]],weather.tbl[Date],0))</f>
        <v>7.6</v>
      </c>
      <c r="R22" s="2">
        <f ca="1">INDEX(INDIRECT(_xlfn.CONCAT("weather.tbl[",R$1,"]")),MATCH(vp.data[[#This Row],[SDate]],weather.tbl[Date],0))</f>
        <v>7</v>
      </c>
      <c r="S22" s="2">
        <f ca="1">INDEX(INDIRECT(_xlfn.CONCAT("weather.tbl[",S$1,"]")),MATCH(vp.data[[#This Row],[SDate]],weather.tbl[Date],0))</f>
        <v>8.8000000000000007</v>
      </c>
      <c r="T22" s="2">
        <f ca="1">INDEX(INDIRECT(_xlfn.CONCAT("weather.tbl[",T$1,"]")),MATCH(vp.data[[#This Row],[SDate]],weather.tbl[Date],0))</f>
        <v>7.2</v>
      </c>
      <c r="U22" s="2">
        <f ca="1">INDEX(INDIRECT(_xlfn.CONCAT("weather.tbl[",U$1,"]")),MATCH(vp.data[[#This Row],[SDate]],weather.tbl[Date],0))</f>
        <v>6.5</v>
      </c>
      <c r="V22" s="2">
        <f t="array" ref="V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115049.71</v>
      </c>
      <c r="W22" t="s">
        <v>48</v>
      </c>
      <c r="X22">
        <f>IF(OR(vp.data[[#This Row],[Sulf]]="",vp.data[[#This Row],[Dens]]=""),1,0)</f>
        <v>0</v>
      </c>
      <c r="Y22">
        <f>IF(vp.data[[#This Row],[CrudeType]]="C5+",1,0)</f>
        <v>0</v>
      </c>
      <c r="Z22">
        <f>IF(AND(vp.data[[#This Row],[CrudeType]]="Crude",vp.data[[#This Row],[Dens]]&lt;=825,vp.data[[#This Row],[Sulf]]&gt;0.5,vp.data[[#This Row],[Unknown]]=0),1,0)</f>
        <v>0</v>
      </c>
      <c r="AA22">
        <f>IF(AND(vp.data[[#This Row],[CrudeType]]="Crude",vp.data[[#This Row],[Dens]]&lt;=825,vp.data[[#This Row],[Sulf]]&lt;=0.5,vp.data[[#This Row],[Unknown]]=0),1,0)</f>
        <v>0</v>
      </c>
      <c r="AB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">
        <f>IF(AND(vp.data[[#This Row],[CrudeType]]="Crude",vp.data[[#This Row],[Dens]]&gt;825,vp.data[[#This Row],[Dens]]&lt;=900,vp.data[[#This Row],[Sulf]]&lt;=0.5,vp.data[[#This Row],[Unknown]]=0),1,0)</f>
        <v>0</v>
      </c>
      <c r="AD22">
        <f>IF(AND(vp.data[[#This Row],[CrudeType]]="Crude",vp.data[[#This Row],[Dens]]&gt;865,vp.data[[#This Row],[Dens]]&lt;=900,vp.data[[#This Row],[Sulf]]&gt;2,vp.data[[#This Row],[Unknown]]=0),1,0)</f>
        <v>1</v>
      </c>
      <c r="AE22">
        <f>IF(AND(vp.data[[#This Row],[CrudeType]]="Crude",vp.data[[#This Row],[Dens]]&gt;900,vp.data[[#This Row],[Sulf]]&lt;=0.5,vp.data[[#This Row],[Unknown]]=0),1,0)</f>
        <v>0</v>
      </c>
      <c r="AF22">
        <f>IF(AND(vp.data[[#This Row],[CrudeType]]="Crude",vp.data[[#This Row],[Dens]]&gt;900,vp.data[[#This Row],[Sulf]]&lt;=0.5,vp.data[[#This Row],[Unknown]]=0),1,0)</f>
        <v>0</v>
      </c>
      <c r="AG22" t="str">
        <f>INDEX(vp.data[[#Headers],[Unknown]:[Heavy_SW]],MATCH(1,vp.data[[#This Row],[Unknown]:[Heavy_SW]],0))</f>
        <v>Midale</v>
      </c>
      <c r="AH22">
        <f>INDEX([3]!crudeBD.lkup[Number],MATCH(vp.data[[#This Row],[Crude_Breakdown]],crudeBD.lkup[Crude Breakdown],0))</f>
        <v>5</v>
      </c>
      <c r="AI22">
        <f>MONTH(vp.data[[#This Row],[SDate]])</f>
        <v>10</v>
      </c>
      <c r="AJ22" s="5">
        <f>(vp.data[[#This Row],[VP]]-INDEX(crudeBD.lkup[Mean_VP],MATCH(vp.data[[#This Row],[Crude_Breakdown]],crudeBD.lkup[Crude Breakdown],0)))^2</f>
        <v>192.96646854075789</v>
      </c>
      <c r="AK22" s="5">
        <f>(vp.data[[#This Row],[Dens]]-INDEX(crudeBD.lkup[Mean_Dens],MATCH(vp.data[[#This Row],[Crude_Breakdown]],crudeBD.lkup[Crude Breakdown],0)))^2</f>
        <v>3.348522691029255E-2</v>
      </c>
      <c r="AL22" s="5">
        <f>(vp.data[[#This Row],[Sulf]]-INDEX(crudeBD.lkup[Mean_Sulf],MATCH(vp.data[[#This Row],[Crude_Breakdown]],crudeBD.lkup[Crude Breakdown],0)))^2</f>
        <v>1.130006345424492E-3</v>
      </c>
      <c r="AM22" s="4">
        <f>IF(AND(vp.data[[#This Row],[SDate]]&gt;=DATE(YEAR(vp.data[[#This Row],[SDate]]),5,1),vp.data[[#This Row],[SDate]]&lt;=DATE(YEAR(vp.data[[#This Row],[SDate]]),9,15)),1,0)</f>
        <v>0</v>
      </c>
      <c r="AN22" s="4">
        <f>IF(vp.data[[#This Row],[SDate]]&lt;DATE(2016,12,1),0,1)</f>
        <v>0</v>
      </c>
      <c r="AO22" s="4">
        <f>IFERROR(vp.data[[#This Row],[Sulf]]*vp.data[[#This Row],[Net Dens]],"")</f>
        <v>242611075.96250001</v>
      </c>
      <c r="AP22">
        <f>IFERROR(vp.data[[#This Row],[Dens]]*vp.data[[#This Row],[VolumeM3]],"")</f>
        <v>100668496.25</v>
      </c>
      <c r="AQ22" s="15">
        <f>IFERROR(vp.data[[#This Row],[VP]]*vp.data[[#This Row],[VolumeM3]],"")</f>
        <v>9583640.8430000003</v>
      </c>
    </row>
    <row r="23" spans="1:43" x14ac:dyDescent="0.25">
      <c r="A23">
        <v>22</v>
      </c>
      <c r="B23" t="s">
        <v>53</v>
      </c>
      <c r="C23" t="s">
        <v>53</v>
      </c>
      <c r="D23" t="s">
        <v>54</v>
      </c>
      <c r="E23" t="s">
        <v>55</v>
      </c>
      <c r="F23" s="1">
        <v>42299</v>
      </c>
      <c r="G23" s="2">
        <v>78.400000000000006</v>
      </c>
      <c r="H23" s="2"/>
      <c r="I23" s="2">
        <f t="array" ref="I23">_xlfn.IFNA(IF(vp.data[[#This Row],[Sulf Input]]="",INDEX([1]DATA!$Q$3:$Q$9826,MATCH(1,(vp.data[[#This Row],[Battery]]=[1]DATA!$L$3:$L$9826)*(EOMONTH(vp.data[[#This Row],[SDate]],-1)+1=[1]DATA!$G$3:$G$9826),0)),vp.data[[#This Row],[Sulf Input]]),"")</f>
        <v>2.02</v>
      </c>
      <c r="J23" s="2"/>
      <c r="K23" s="2"/>
      <c r="L23" s="2">
        <v>850</v>
      </c>
      <c r="M23" s="2">
        <f t="array" ref="M23">_xlfn.IFNA(IF(vp.data[[#This Row],[Dens Input]]="",INDEX([1]DATA!$O$3:$O$9826,MATCH(1,(vp.data[[#This Row],[Battery]]=[1]DATA!$L$3:$L$9826)*(EOMONTH(vp.data[[#This Row],[SDate]],-1)+1=[1]DATA!$G$3:$G$9826),0)),vp.data[[#This Row],[Dens Input]]),"")</f>
        <v>850</v>
      </c>
      <c r="N23" s="2">
        <f ca="1">INDEX(INDIRECT(_xlfn.CONCAT("weather.tbl[",N$1,"]")),MATCH(vp.data[[#This Row],[SDate]],weather.tbl[Date],0))</f>
        <v>9.3333333333333339</v>
      </c>
      <c r="O23" s="2">
        <f ca="1">INDEX(INDIRECT(_xlfn.CONCAT("weather.tbl[",O$1,"]")),MATCH(vp.data[[#This Row],[SDate]],weather.tbl[Date],0))</f>
        <v>7.9904761904761896</v>
      </c>
      <c r="P23" s="2">
        <f ca="1">INDEX(INDIRECT(_xlfn.CONCAT("weather.tbl[",P$1,"]")),MATCH(vp.data[[#This Row],[SDate]],weather.tbl[Date],0))</f>
        <v>10.1</v>
      </c>
      <c r="Q23" s="2">
        <f ca="1">INDEX(INDIRECT(_xlfn.CONCAT("weather.tbl[",Q$1,"]")),MATCH(vp.data[[#This Row],[SDate]],weather.tbl[Date],0))</f>
        <v>10.8</v>
      </c>
      <c r="R23" s="2">
        <f ca="1">INDEX(INDIRECT(_xlfn.CONCAT("weather.tbl[",R$1,"]")),MATCH(vp.data[[#This Row],[SDate]],weather.tbl[Date],0))</f>
        <v>7.5</v>
      </c>
      <c r="S23" s="2">
        <f ca="1">INDEX(INDIRECT(_xlfn.CONCAT("weather.tbl[",S$1,"]")),MATCH(vp.data[[#This Row],[SDate]],weather.tbl[Date],0))</f>
        <v>10</v>
      </c>
      <c r="T23" s="2">
        <f ca="1">INDEX(INDIRECT(_xlfn.CONCAT("weather.tbl[",T$1,"]")),MATCH(vp.data[[#This Row],[SDate]],weather.tbl[Date],0))</f>
        <v>7.4</v>
      </c>
      <c r="U23" s="2">
        <f ca="1">INDEX(INDIRECT(_xlfn.CONCAT("weather.tbl[",U$1,"]")),MATCH(vp.data[[#This Row],[SDate]],weather.tbl[Date],0))</f>
        <v>10.199999999999999</v>
      </c>
      <c r="V23" s="2">
        <f t="array" ref="V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65534.339</v>
      </c>
      <c r="W23" t="s">
        <v>48</v>
      </c>
      <c r="X23">
        <f>IF(OR(vp.data[[#This Row],[Sulf]]="",vp.data[[#This Row],[Dens]]=""),1,0)</f>
        <v>0</v>
      </c>
      <c r="Y23">
        <f>IF(vp.data[[#This Row],[CrudeType]]="C5+",1,0)</f>
        <v>0</v>
      </c>
      <c r="Z23">
        <f>IF(AND(vp.data[[#This Row],[CrudeType]]="Crude",vp.data[[#This Row],[Dens]]&lt;=825,vp.data[[#This Row],[Sulf]]&gt;0.5,vp.data[[#This Row],[Unknown]]=0),1,0)</f>
        <v>0</v>
      </c>
      <c r="AA23">
        <f>IF(AND(vp.data[[#This Row],[CrudeType]]="Crude",vp.data[[#This Row],[Dens]]&lt;=825,vp.data[[#This Row],[Sulf]]&lt;=0.5,vp.data[[#This Row],[Unknown]]=0),1,0)</f>
        <v>0</v>
      </c>
      <c r="AB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3">
        <f>IF(AND(vp.data[[#This Row],[CrudeType]]="Crude",vp.data[[#This Row],[Dens]]&gt;825,vp.data[[#This Row],[Dens]]&lt;=900,vp.data[[#This Row],[Sulf]]&lt;=0.5,vp.data[[#This Row],[Unknown]]=0),1,0)</f>
        <v>0</v>
      </c>
      <c r="AD23">
        <f>IF(AND(vp.data[[#This Row],[CrudeType]]="Crude",vp.data[[#This Row],[Dens]]&gt;865,vp.data[[#This Row],[Dens]]&lt;=900,vp.data[[#This Row],[Sulf]]&gt;2,vp.data[[#This Row],[Unknown]]=0),1,0)</f>
        <v>0</v>
      </c>
      <c r="AE23">
        <f>IF(AND(vp.data[[#This Row],[CrudeType]]="Crude",vp.data[[#This Row],[Dens]]&gt;900,vp.data[[#This Row],[Sulf]]&lt;=0.5,vp.data[[#This Row],[Unknown]]=0),1,0)</f>
        <v>0</v>
      </c>
      <c r="AF23">
        <f>IF(AND(vp.data[[#This Row],[CrudeType]]="Crude",vp.data[[#This Row],[Dens]]&gt;900,vp.data[[#This Row],[Sulf]]&lt;=0.5,vp.data[[#This Row],[Unknown]]=0),1,0)</f>
        <v>0</v>
      </c>
      <c r="AG23" t="str">
        <f>INDEX(vp.data[[#Headers],[Unknown]:[Heavy_SW]],MATCH(1,vp.data[[#This Row],[Unknown]:[Heavy_SW]],0))</f>
        <v>Medium_LSB</v>
      </c>
      <c r="AH23">
        <f>INDEX([3]!crudeBD.lkup[Number],MATCH(vp.data[[#This Row],[Crude_Breakdown]],crudeBD.lkup[Crude Breakdown],0))</f>
        <v>3</v>
      </c>
      <c r="AI23">
        <f>MONTH(vp.data[[#This Row],[SDate]])</f>
        <v>10</v>
      </c>
      <c r="AJ23" s="5">
        <f>(vp.data[[#This Row],[VP]]-INDEX(crudeBD.lkup[Mean_VP],MATCH(vp.data[[#This Row],[Crude_Breakdown]],crudeBD.lkup[Crude Breakdown],0)))^2</f>
        <v>5.0161510480158702</v>
      </c>
      <c r="AK23" s="5">
        <f>(vp.data[[#This Row],[Dens]]-INDEX(crudeBD.lkup[Mean_Dens],MATCH(vp.data[[#This Row],[Crude_Breakdown]],crudeBD.lkup[Crude Breakdown],0)))^2</f>
        <v>36.966400000006026</v>
      </c>
      <c r="AL23" s="5">
        <f>(vp.data[[#This Row],[Sulf]]-INDEX(crudeBD.lkup[Mean_Sulf],MATCH(vp.data[[#This Row],[Crude_Breakdown]],crudeBD.lkup[Crude Breakdown],0)))^2</f>
        <v>0.40270684567790094</v>
      </c>
      <c r="AM23" s="4">
        <f>IF(AND(vp.data[[#This Row],[SDate]]&gt;=DATE(YEAR(vp.data[[#This Row],[SDate]]),5,1),vp.data[[#This Row],[SDate]]&lt;=DATE(YEAR(vp.data[[#This Row],[SDate]]),9,15)),1,0)</f>
        <v>0</v>
      </c>
      <c r="AN23" s="4">
        <f>IF(vp.data[[#This Row],[SDate]]&lt;DATE(2016,12,1),0,1)</f>
        <v>0</v>
      </c>
      <c r="AO23" s="4">
        <f>IFERROR(vp.data[[#This Row],[Sulf]]*vp.data[[#This Row],[Net Dens]],"")</f>
        <v>112522460.06299999</v>
      </c>
      <c r="AP23">
        <f>IFERROR(vp.data[[#This Row],[Dens]]*vp.data[[#This Row],[VolumeM3]],"")</f>
        <v>55704188.149999999</v>
      </c>
      <c r="AQ23" s="15">
        <f>IFERROR(vp.data[[#This Row],[VP]]*vp.data[[#This Row],[VolumeM3]],"")</f>
        <v>5137892.1776000001</v>
      </c>
    </row>
    <row r="24" spans="1:43" x14ac:dyDescent="0.25">
      <c r="A24">
        <v>23</v>
      </c>
      <c r="B24" t="s">
        <v>49</v>
      </c>
      <c r="C24" t="s">
        <v>49</v>
      </c>
      <c r="D24" t="s">
        <v>50</v>
      </c>
      <c r="F24" s="1">
        <v>42299</v>
      </c>
      <c r="G24" s="2">
        <v>74.2</v>
      </c>
      <c r="H24" s="2"/>
      <c r="I24" s="2">
        <f t="array" ref="I24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24" s="2"/>
      <c r="K24" s="2"/>
      <c r="L24" s="2">
        <v>875.5</v>
      </c>
      <c r="M24" s="2">
        <f t="array" ref="M24">_xlfn.IFNA(IF(vp.data[[#This Row],[Dens Input]]="",INDEX([1]DATA!$O$3:$O$9826,MATCH(1,(vp.data[[#This Row],[Battery]]=[1]DATA!$L$3:$L$9826)*(EOMONTH(vp.data[[#This Row],[SDate]],-1)+1=[1]DATA!$G$3:$G$9826),0)),vp.data[[#This Row],[Dens Input]]),"")</f>
        <v>875.5</v>
      </c>
      <c r="N24" s="2">
        <f ca="1">INDEX(INDIRECT(_xlfn.CONCAT("weather.tbl[",N$1,"]")),MATCH(vp.data[[#This Row],[SDate]],weather.tbl[Date],0))</f>
        <v>9.3333333333333339</v>
      </c>
      <c r="O24" s="2">
        <f ca="1">INDEX(INDIRECT(_xlfn.CONCAT("weather.tbl[",O$1,"]")),MATCH(vp.data[[#This Row],[SDate]],weather.tbl[Date],0))</f>
        <v>7.9904761904761896</v>
      </c>
      <c r="P24" s="2">
        <f ca="1">INDEX(INDIRECT(_xlfn.CONCAT("weather.tbl[",P$1,"]")),MATCH(vp.data[[#This Row],[SDate]],weather.tbl[Date],0))</f>
        <v>10.1</v>
      </c>
      <c r="Q24" s="2">
        <f ca="1">INDEX(INDIRECT(_xlfn.CONCAT("weather.tbl[",Q$1,"]")),MATCH(vp.data[[#This Row],[SDate]],weather.tbl[Date],0))</f>
        <v>10.8</v>
      </c>
      <c r="R24" s="2">
        <f ca="1">INDEX(INDIRECT(_xlfn.CONCAT("weather.tbl[",R$1,"]")),MATCH(vp.data[[#This Row],[SDate]],weather.tbl[Date],0))</f>
        <v>7.5</v>
      </c>
      <c r="S24" s="2">
        <f ca="1">INDEX(INDIRECT(_xlfn.CONCAT("weather.tbl[",S$1,"]")),MATCH(vp.data[[#This Row],[SDate]],weather.tbl[Date],0))</f>
        <v>10</v>
      </c>
      <c r="T24" s="2">
        <f ca="1">INDEX(INDIRECT(_xlfn.CONCAT("weather.tbl[",T$1,"]")),MATCH(vp.data[[#This Row],[SDate]],weather.tbl[Date],0))</f>
        <v>7.4</v>
      </c>
      <c r="U24" s="2">
        <f ca="1">INDEX(INDIRECT(_xlfn.CONCAT("weather.tbl[",U$1,"]")),MATCH(vp.data[[#This Row],[SDate]],weather.tbl[Date],0))</f>
        <v>10.199999999999999</v>
      </c>
      <c r="V24" s="2">
        <f t="array" ref="V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7328.8639999999996</v>
      </c>
      <c r="W24" t="s">
        <v>48</v>
      </c>
      <c r="X24">
        <f>IF(OR(vp.data[[#This Row],[Sulf]]="",vp.data[[#This Row],[Dens]]=""),1,0)</f>
        <v>0</v>
      </c>
      <c r="Y24">
        <f>IF(vp.data[[#This Row],[CrudeType]]="C5+",1,0)</f>
        <v>0</v>
      </c>
      <c r="Z24">
        <f>IF(AND(vp.data[[#This Row],[CrudeType]]="Crude",vp.data[[#This Row],[Dens]]&lt;=825,vp.data[[#This Row],[Sulf]]&gt;0.5,vp.data[[#This Row],[Unknown]]=0),1,0)</f>
        <v>0</v>
      </c>
      <c r="AA24">
        <f>IF(AND(vp.data[[#This Row],[CrudeType]]="Crude",vp.data[[#This Row],[Dens]]&lt;=825,vp.data[[#This Row],[Sulf]]&lt;=0.5,vp.data[[#This Row],[Unknown]]=0),1,0)</f>
        <v>0</v>
      </c>
      <c r="AB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">
        <f>IF(AND(vp.data[[#This Row],[CrudeType]]="Crude",vp.data[[#This Row],[Dens]]&gt;825,vp.data[[#This Row],[Dens]]&lt;=900,vp.data[[#This Row],[Sulf]]&lt;=0.5,vp.data[[#This Row],[Unknown]]=0),1,0)</f>
        <v>0</v>
      </c>
      <c r="AD24">
        <f>IF(AND(vp.data[[#This Row],[CrudeType]]="Crude",vp.data[[#This Row],[Dens]]&gt;865,vp.data[[#This Row],[Dens]]&lt;=900,vp.data[[#This Row],[Sulf]]&gt;2,vp.data[[#This Row],[Unknown]]=0),1,0)</f>
        <v>1</v>
      </c>
      <c r="AE24">
        <f>IF(AND(vp.data[[#This Row],[CrudeType]]="Crude",vp.data[[#This Row],[Dens]]&gt;900,vp.data[[#This Row],[Sulf]]&lt;=0.5,vp.data[[#This Row],[Unknown]]=0),1,0)</f>
        <v>0</v>
      </c>
      <c r="AF24">
        <f>IF(AND(vp.data[[#This Row],[CrudeType]]="Crude",vp.data[[#This Row],[Dens]]&gt;900,vp.data[[#This Row],[Sulf]]&lt;=0.5,vp.data[[#This Row],[Unknown]]=0),1,0)</f>
        <v>0</v>
      </c>
      <c r="AG24" t="str">
        <f>INDEX(vp.data[[#Headers],[Unknown]:[Heavy_SW]],MATCH(1,vp.data[[#This Row],[Unknown]:[Heavy_SW]],0))</f>
        <v>Midale</v>
      </c>
      <c r="AH24">
        <f>INDEX([3]!crudeBD.lkup[Number],MATCH(vp.data[[#This Row],[Crude_Breakdown]],crudeBD.lkup[Crude Breakdown],0))</f>
        <v>5</v>
      </c>
      <c r="AI24">
        <f>MONTH(vp.data[[#This Row],[SDate]])</f>
        <v>10</v>
      </c>
      <c r="AJ24" s="5">
        <f>(vp.data[[#This Row],[VP]]-INDEX(crudeBD.lkup[Mean_VP],MATCH(vp.data[[#This Row],[Crude_Breakdown]],crudeBD.lkup[Crude Breakdown],0)))^2</f>
        <v>22.955953076841048</v>
      </c>
      <c r="AK24" s="5">
        <f>(vp.data[[#This Row],[Dens]]-INDEX(crudeBD.lkup[Mean_Dens],MATCH(vp.data[[#This Row],[Crude_Breakdown]],crudeBD.lkup[Crude Breakdown],0)))^2</f>
        <v>0.46647491763163496</v>
      </c>
      <c r="AL24" s="5">
        <f>(vp.data[[#This Row],[Sulf]]-INDEX(crudeBD.lkup[Mean_Sulf],MATCH(vp.data[[#This Row],[Crude_Breakdown]],crudeBD.lkup[Crude Breakdown],0)))^2</f>
        <v>2.1428402221713612E-2</v>
      </c>
      <c r="AM24" s="4">
        <f>IF(AND(vp.data[[#This Row],[SDate]]&gt;=DATE(YEAR(vp.data[[#This Row],[SDate]]),5,1),vp.data[[#This Row],[SDate]]&lt;=DATE(YEAR(vp.data[[#This Row],[SDate]]),9,15)),1,0)</f>
        <v>0</v>
      </c>
      <c r="AN24" s="4">
        <f>IF(vp.data[[#This Row],[SDate]]&lt;DATE(2016,12,1),0,1)</f>
        <v>0</v>
      </c>
      <c r="AO24" s="4">
        <f>IFERROR(vp.data[[#This Row],[Sulf]]*vp.data[[#This Row],[Net Dens]],"")</f>
        <v>16618528.918879999</v>
      </c>
      <c r="AP24">
        <f>IFERROR(vp.data[[#This Row],[Dens]]*vp.data[[#This Row],[VolumeM3]],"")</f>
        <v>6416420.432</v>
      </c>
      <c r="AQ24" s="15">
        <f>IFERROR(vp.data[[#This Row],[VP]]*vp.data[[#This Row],[VolumeM3]],"")</f>
        <v>543801.70880000002</v>
      </c>
    </row>
    <row r="25" spans="1:43" x14ac:dyDescent="0.25">
      <c r="A25">
        <v>24</v>
      </c>
      <c r="B25" t="s">
        <v>68</v>
      </c>
      <c r="C25" t="s">
        <v>68</v>
      </c>
      <c r="D25" t="s">
        <v>69</v>
      </c>
      <c r="F25" s="1">
        <v>42299</v>
      </c>
      <c r="G25" s="2">
        <v>72.8</v>
      </c>
      <c r="H25" s="2"/>
      <c r="I25" s="2">
        <f t="array" ref="I25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25" s="2"/>
      <c r="K25" s="2"/>
      <c r="L25" s="2"/>
      <c r="M25" s="2">
        <f t="array" ref="M25">_xlfn.IFNA(IF(vp.data[[#This Row],[Dens Input]]="",INDEX([1]DATA!$O$3:$O$9826,MATCH(1,(vp.data[[#This Row],[Battery]]=[1]DATA!$L$3:$L$9826)*(EOMONTH(vp.data[[#This Row],[SDate]],-1)+1=[1]DATA!$G$3:$G$9826),0)),vp.data[[#This Row],[Dens Input]]),"")</f>
        <v>862.9</v>
      </c>
      <c r="N25" s="2">
        <f ca="1">INDEX(INDIRECT(_xlfn.CONCAT("weather.tbl[",N$1,"]")),MATCH(vp.data[[#This Row],[SDate]],weather.tbl[Date],0))</f>
        <v>9.3333333333333339</v>
      </c>
      <c r="O25" s="2">
        <f ca="1">INDEX(INDIRECT(_xlfn.CONCAT("weather.tbl[",O$1,"]")),MATCH(vp.data[[#This Row],[SDate]],weather.tbl[Date],0))</f>
        <v>7.9904761904761896</v>
      </c>
      <c r="P25" s="2">
        <f ca="1">INDEX(INDIRECT(_xlfn.CONCAT("weather.tbl[",P$1,"]")),MATCH(vp.data[[#This Row],[SDate]],weather.tbl[Date],0))</f>
        <v>10.1</v>
      </c>
      <c r="Q25" s="2">
        <f ca="1">INDEX(INDIRECT(_xlfn.CONCAT("weather.tbl[",Q$1,"]")),MATCH(vp.data[[#This Row],[SDate]],weather.tbl[Date],0))</f>
        <v>10.8</v>
      </c>
      <c r="R25" s="2">
        <f ca="1">INDEX(INDIRECT(_xlfn.CONCAT("weather.tbl[",R$1,"]")),MATCH(vp.data[[#This Row],[SDate]],weather.tbl[Date],0))</f>
        <v>7.5</v>
      </c>
      <c r="S25" s="2">
        <f ca="1">INDEX(INDIRECT(_xlfn.CONCAT("weather.tbl[",S$1,"]")),MATCH(vp.data[[#This Row],[SDate]],weather.tbl[Date],0))</f>
        <v>10</v>
      </c>
      <c r="T25" s="2">
        <f ca="1">INDEX(INDIRECT(_xlfn.CONCAT("weather.tbl[",T$1,"]")),MATCH(vp.data[[#This Row],[SDate]],weather.tbl[Date],0))</f>
        <v>7.4</v>
      </c>
      <c r="U25" s="2">
        <f ca="1">INDEX(INDIRECT(_xlfn.CONCAT("weather.tbl[",U$1,"]")),MATCH(vp.data[[#This Row],[SDate]],weather.tbl[Date],0))</f>
        <v>10.199999999999999</v>
      </c>
      <c r="V25" s="2">
        <f t="array" ref="V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1620.019</v>
      </c>
      <c r="W25" t="s">
        <v>48</v>
      </c>
      <c r="X25">
        <f>IF(OR(vp.data[[#This Row],[Sulf]]="",vp.data[[#This Row],[Dens]]=""),1,0)</f>
        <v>0</v>
      </c>
      <c r="Y25">
        <f>IF(vp.data[[#This Row],[CrudeType]]="C5+",1,0)</f>
        <v>0</v>
      </c>
      <c r="Z25">
        <f>IF(AND(vp.data[[#This Row],[CrudeType]]="Crude",vp.data[[#This Row],[Dens]]&lt;=825,vp.data[[#This Row],[Sulf]]&gt;0.5,vp.data[[#This Row],[Unknown]]=0),1,0)</f>
        <v>0</v>
      </c>
      <c r="AA25">
        <f>IF(AND(vp.data[[#This Row],[CrudeType]]="Crude",vp.data[[#This Row],[Dens]]&lt;=825,vp.data[[#This Row],[Sulf]]&lt;=0.5,vp.data[[#This Row],[Unknown]]=0),1,0)</f>
        <v>0</v>
      </c>
      <c r="AB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5">
        <f>IF(AND(vp.data[[#This Row],[CrudeType]]="Crude",vp.data[[#This Row],[Dens]]&gt;825,vp.data[[#This Row],[Dens]]&lt;=900,vp.data[[#This Row],[Sulf]]&lt;=0.5,vp.data[[#This Row],[Unknown]]=0),1,0)</f>
        <v>0</v>
      </c>
      <c r="AD25">
        <f>IF(AND(vp.data[[#This Row],[CrudeType]]="Crude",vp.data[[#This Row],[Dens]]&gt;865,vp.data[[#This Row],[Dens]]&lt;=900,vp.data[[#This Row],[Sulf]]&gt;2,vp.data[[#This Row],[Unknown]]=0),1,0)</f>
        <v>0</v>
      </c>
      <c r="AE25">
        <f>IF(AND(vp.data[[#This Row],[CrudeType]]="Crude",vp.data[[#This Row],[Dens]]&gt;900,vp.data[[#This Row],[Sulf]]&lt;=0.5,vp.data[[#This Row],[Unknown]]=0),1,0)</f>
        <v>0</v>
      </c>
      <c r="AF25">
        <f>IF(AND(vp.data[[#This Row],[CrudeType]]="Crude",vp.data[[#This Row],[Dens]]&gt;900,vp.data[[#This Row],[Sulf]]&lt;=0.5,vp.data[[#This Row],[Unknown]]=0),1,0)</f>
        <v>0</v>
      </c>
      <c r="AG25" t="str">
        <f>INDEX(vp.data[[#Headers],[Unknown]:[Heavy_SW]],MATCH(1,vp.data[[#This Row],[Unknown]:[Heavy_SW]],0))</f>
        <v>Medium_LSB</v>
      </c>
      <c r="AH25">
        <f>INDEX([3]!crudeBD.lkup[Number],MATCH(vp.data[[#This Row],[Crude_Breakdown]],crudeBD.lkup[Crude Breakdown],0))</f>
        <v>3</v>
      </c>
      <c r="AI25">
        <f>MONTH(vp.data[[#This Row],[SDate]])</f>
        <v>10</v>
      </c>
      <c r="AJ25" s="5">
        <f>(vp.data[[#This Row],[VP]]-INDEX(crudeBD.lkup[Mean_VP],MATCH(vp.data[[#This Row],[Crude_Breakdown]],crudeBD.lkup[Crude Breakdown],0)))^2</f>
        <v>61.460528406505702</v>
      </c>
      <c r="AK25" s="5">
        <f>(vp.data[[#This Row],[Dens]]-INDEX(crudeBD.lkup[Mean_Dens],MATCH(vp.data[[#This Row],[Crude_Breakdown]],crudeBD.lkup[Crude Breakdown],0)))^2</f>
        <v>360.24040000001793</v>
      </c>
      <c r="AL25" s="5">
        <f>(vp.data[[#This Row],[Sulf]]-INDEX(crudeBD.lkup[Mean_Sulf],MATCH(vp.data[[#This Row],[Crude_Breakdown]],crudeBD.lkup[Crude Breakdown],0)))^2</f>
        <v>0.11874355915499073</v>
      </c>
      <c r="AM25" s="4">
        <f>IF(AND(vp.data[[#This Row],[SDate]]&gt;=DATE(YEAR(vp.data[[#This Row],[SDate]]),5,1),vp.data[[#This Row],[SDate]]&lt;=DATE(YEAR(vp.data[[#This Row],[SDate]]),9,15)),1,0)</f>
        <v>0</v>
      </c>
      <c r="AN25" s="4">
        <f>IF(vp.data[[#This Row],[SDate]]&lt;DATE(2016,12,1),0,1)</f>
        <v>0</v>
      </c>
      <c r="AO25" s="4">
        <f>IFERROR(vp.data[[#This Row],[Sulf]]*vp.data[[#This Row],[Net Dens]],"")</f>
        <v>2418391.903523</v>
      </c>
      <c r="AP25">
        <f>IFERROR(vp.data[[#This Row],[Dens]]*vp.data[[#This Row],[VolumeM3]],"")</f>
        <v>1397914.3951000001</v>
      </c>
      <c r="AQ25" s="15">
        <f>IFERROR(vp.data[[#This Row],[VP]]*vp.data[[#This Row],[VolumeM3]],"")</f>
        <v>117937.3832</v>
      </c>
    </row>
    <row r="26" spans="1:43" x14ac:dyDescent="0.25">
      <c r="A26">
        <v>25</v>
      </c>
      <c r="B26" t="s">
        <v>49</v>
      </c>
      <c r="C26" t="s">
        <v>49</v>
      </c>
      <c r="D26" t="s">
        <v>70</v>
      </c>
      <c r="F26" s="1">
        <v>42304</v>
      </c>
      <c r="G26" s="2">
        <v>82.7</v>
      </c>
      <c r="H26" s="2"/>
      <c r="I26" s="2">
        <f t="array" ref="I26">_xlfn.IFNA(IF(vp.data[[#This Row],[Sulf Input]]="",INDEX([1]DATA!$Q$3:$Q$9826,MATCH(1,(vp.data[[#This Row],[Battery]]=[1]DATA!$L$3:$L$9826)*(EOMONTH(vp.data[[#This Row],[SDate]],-1)+1=[1]DATA!$G$3:$G$9826),0)),vp.data[[#This Row],[Sulf Input]]),"")</f>
        <v>0.71</v>
      </c>
      <c r="J26" s="2"/>
      <c r="K26" s="2"/>
      <c r="L26" s="2"/>
      <c r="M26" s="2">
        <f t="array" ref="M26">_xlfn.IFNA(IF(vp.data[[#This Row],[Dens Input]]="",INDEX([1]DATA!$O$3:$O$9826,MATCH(1,(vp.data[[#This Row],[Battery]]=[1]DATA!$L$3:$L$9826)*(EOMONTH(vp.data[[#This Row],[SDate]],-1)+1=[1]DATA!$G$3:$G$9826),0)),vp.data[[#This Row],[Dens Input]]),"")</f>
        <v>819.3</v>
      </c>
      <c r="N26" s="2">
        <f ca="1">INDEX(INDIRECT(_xlfn.CONCAT("weather.tbl[",N$1,"]")),MATCH(vp.data[[#This Row],[SDate]],weather.tbl[Date],0))</f>
        <v>3.1500000000000004</v>
      </c>
      <c r="O26" s="2">
        <f ca="1">INDEX(INDIRECT(_xlfn.CONCAT("weather.tbl[",O$1,"]")),MATCH(vp.data[[#This Row],[SDate]],weather.tbl[Date],0))</f>
        <v>5.6119047619047624</v>
      </c>
      <c r="P26" s="2">
        <f ca="1">INDEX(INDIRECT(_xlfn.CONCAT("weather.tbl[",P$1,"]")),MATCH(vp.data[[#This Row],[SDate]],weather.tbl[Date],0))</f>
        <v>3.4</v>
      </c>
      <c r="Q26" s="2">
        <f ca="1">INDEX(INDIRECT(_xlfn.CONCAT("weather.tbl[",Q$1,"]")),MATCH(vp.data[[#This Row],[SDate]],weather.tbl[Date],0))</f>
        <v>1.9</v>
      </c>
      <c r="R26" s="2">
        <f ca="1">INDEX(INDIRECT(_xlfn.CONCAT("weather.tbl[",R$1,"]")),MATCH(vp.data[[#This Row],[SDate]],weather.tbl[Date],0))</f>
        <v>3</v>
      </c>
      <c r="S26" s="2">
        <f ca="1">INDEX(INDIRECT(_xlfn.CONCAT("weather.tbl[",S$1,"]")),MATCH(vp.data[[#This Row],[SDate]],weather.tbl[Date],0))</f>
        <v>3.8</v>
      </c>
      <c r="T26" s="2">
        <f ca="1">INDEX(INDIRECT(_xlfn.CONCAT("weather.tbl[",T$1,"]")),MATCH(vp.data[[#This Row],[SDate]],weather.tbl[Date],0))</f>
        <v>4</v>
      </c>
      <c r="U26" s="2">
        <f ca="1">INDEX(INDIRECT(_xlfn.CONCAT("weather.tbl[",U$1,"]")),MATCH(vp.data[[#This Row],[SDate]],weather.tbl[Date],0))</f>
        <v>2.8</v>
      </c>
      <c r="V26" s="2">
        <f t="array" ref="V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3798.73</v>
      </c>
      <c r="W26" t="s">
        <v>48</v>
      </c>
      <c r="X26">
        <f>IF(OR(vp.data[[#This Row],[Sulf]]="",vp.data[[#This Row],[Dens]]=""),1,0)</f>
        <v>0</v>
      </c>
      <c r="Y26">
        <f>IF(vp.data[[#This Row],[CrudeType]]="C5+",1,0)</f>
        <v>0</v>
      </c>
      <c r="Z26">
        <f>IF(AND(vp.data[[#This Row],[CrudeType]]="Crude",vp.data[[#This Row],[Dens]]&lt;=825,vp.data[[#This Row],[Sulf]]&gt;0.5,vp.data[[#This Row],[Unknown]]=0),1,0)</f>
        <v>1</v>
      </c>
      <c r="AA26">
        <f>IF(AND(vp.data[[#This Row],[CrudeType]]="Crude",vp.data[[#This Row],[Dens]]&lt;=825,vp.data[[#This Row],[Sulf]]&lt;=0.5,vp.data[[#This Row],[Unknown]]=0),1,0)</f>
        <v>0</v>
      </c>
      <c r="AB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6">
        <f>IF(AND(vp.data[[#This Row],[CrudeType]]="Crude",vp.data[[#This Row],[Dens]]&gt;825,vp.data[[#This Row],[Dens]]&lt;=900,vp.data[[#This Row],[Sulf]]&lt;=0.5,vp.data[[#This Row],[Unknown]]=0),1,0)</f>
        <v>0</v>
      </c>
      <c r="AD26">
        <f>IF(AND(vp.data[[#This Row],[CrudeType]]="Crude",vp.data[[#This Row],[Dens]]&gt;865,vp.data[[#This Row],[Dens]]&lt;=900,vp.data[[#This Row],[Sulf]]&gt;2,vp.data[[#This Row],[Unknown]]=0),1,0)</f>
        <v>0</v>
      </c>
      <c r="AE26">
        <f>IF(AND(vp.data[[#This Row],[CrudeType]]="Crude",vp.data[[#This Row],[Dens]]&gt;900,vp.data[[#This Row],[Sulf]]&lt;=0.5,vp.data[[#This Row],[Unknown]]=0),1,0)</f>
        <v>0</v>
      </c>
      <c r="AF26">
        <f>IF(AND(vp.data[[#This Row],[CrudeType]]="Crude",vp.data[[#This Row],[Dens]]&gt;900,vp.data[[#This Row],[Sulf]]&lt;=0.5,vp.data[[#This Row],[Unknown]]=0),1,0)</f>
        <v>0</v>
      </c>
      <c r="AG26" t="str">
        <f>INDEX(vp.data[[#Headers],[Unknown]:[Heavy_SW]],MATCH(1,vp.data[[#This Row],[Unknown]:[Heavy_SW]],0))</f>
        <v>Light_LSB</v>
      </c>
      <c r="AH26">
        <f>INDEX([3]!crudeBD.lkup[Number],MATCH(vp.data[[#This Row],[Crude_Breakdown]],crudeBD.lkup[Crude Breakdown],0))</f>
        <v>1</v>
      </c>
      <c r="AI26">
        <f>MONTH(vp.data[[#This Row],[SDate]])</f>
        <v>10</v>
      </c>
      <c r="AJ26" s="5">
        <f>(vp.data[[#This Row],[VP]]-INDEX(crudeBD.lkup[Mean_VP],MATCH(vp.data[[#This Row],[Crude_Breakdown]],crudeBD.lkup[Crude Breakdown],0)))^2</f>
        <v>78.254999085982007</v>
      </c>
      <c r="AK26" s="5">
        <f>(vp.data[[#This Row],[Dens]]-INDEX(crudeBD.lkup[Mean_Dens],MATCH(vp.data[[#This Row],[Crude_Breakdown]],crudeBD.lkup[Crude Breakdown],0)))^2</f>
        <v>0.61344960971216256</v>
      </c>
      <c r="AL26" s="5">
        <f>(vp.data[[#This Row],[Sulf]]-INDEX(crudeBD.lkup[Mean_Sulf],MATCH(vp.data[[#This Row],[Crude_Breakdown]],crudeBD.lkup[Crude Breakdown],0)))^2</f>
        <v>4.5356718563220697E-2</v>
      </c>
      <c r="AM26" s="4">
        <f>IF(AND(vp.data[[#This Row],[SDate]]&gt;=DATE(YEAR(vp.data[[#This Row],[SDate]]),5,1),vp.data[[#This Row],[SDate]]&lt;=DATE(YEAR(vp.data[[#This Row],[SDate]]),9,15)),1,0)</f>
        <v>0</v>
      </c>
      <c r="AN26" s="4">
        <f>IF(vp.data[[#This Row],[SDate]]&lt;DATE(2016,12,1),0,1)</f>
        <v>0</v>
      </c>
      <c r="AO26" s="4">
        <f>IFERROR(vp.data[[#This Row],[Sulf]]*vp.data[[#This Row],[Net Dens]],"")</f>
        <v>2209732.6371900002</v>
      </c>
      <c r="AP26">
        <f>IFERROR(vp.data[[#This Row],[Dens]]*vp.data[[#This Row],[VolumeM3]],"")</f>
        <v>3112299.4890000001</v>
      </c>
      <c r="AQ26" s="15">
        <f>IFERROR(vp.data[[#This Row],[VP]]*vp.data[[#This Row],[VolumeM3]],"")</f>
        <v>314154.97100000002</v>
      </c>
    </row>
    <row r="27" spans="1:43" x14ac:dyDescent="0.25">
      <c r="A27">
        <v>26</v>
      </c>
      <c r="B27" t="s">
        <v>56</v>
      </c>
      <c r="C27" t="s">
        <v>56</v>
      </c>
      <c r="D27" t="s">
        <v>57</v>
      </c>
      <c r="F27" s="1">
        <v>42305</v>
      </c>
      <c r="G27" s="2">
        <v>115.4</v>
      </c>
      <c r="H27" s="2"/>
      <c r="I27" s="2">
        <f t="array" ref="I27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27" s="2"/>
      <c r="K27" s="2"/>
      <c r="L27" s="2">
        <v>837.5</v>
      </c>
      <c r="M27" s="2">
        <f t="array" ref="M27">_xlfn.IFNA(IF(vp.data[[#This Row],[Dens Input]]="",INDEX([1]DATA!$O$3:$O$9826,MATCH(1,(vp.data[[#This Row],[Battery]]=[1]DATA!$L$3:$L$9826)*(EOMONTH(vp.data[[#This Row],[SDate]],-1)+1=[1]DATA!$G$3:$G$9826),0)),vp.data[[#This Row],[Dens Input]]),"")</f>
        <v>837.5</v>
      </c>
      <c r="N27" s="2">
        <f ca="1">INDEX(INDIRECT(_xlfn.CONCAT("weather.tbl[",N$1,"]")),MATCH(vp.data[[#This Row],[SDate]],weather.tbl[Date],0))</f>
        <v>0.83333333333333337</v>
      </c>
      <c r="O27" s="2">
        <f ca="1">INDEX(INDIRECT(_xlfn.CONCAT("weather.tbl[",O$1,"]")),MATCH(vp.data[[#This Row],[SDate]],weather.tbl[Date],0))</f>
        <v>4.6642857142857155</v>
      </c>
      <c r="P27" s="2">
        <f ca="1">INDEX(INDIRECT(_xlfn.CONCAT("weather.tbl[",P$1,"]")),MATCH(vp.data[[#This Row],[SDate]],weather.tbl[Date],0))</f>
        <v>0.8</v>
      </c>
      <c r="Q27" s="2">
        <f ca="1">INDEX(INDIRECT(_xlfn.CONCAT("weather.tbl[",Q$1,"]")),MATCH(vp.data[[#This Row],[SDate]],weather.tbl[Date],0))</f>
        <v>0.8</v>
      </c>
      <c r="R27" s="2">
        <f ca="1">INDEX(INDIRECT(_xlfn.CONCAT("weather.tbl[",R$1,"]")),MATCH(vp.data[[#This Row],[SDate]],weather.tbl[Date],0))</f>
        <v>3</v>
      </c>
      <c r="S27" s="2">
        <f ca="1">INDEX(INDIRECT(_xlfn.CONCAT("weather.tbl[",S$1,"]")),MATCH(vp.data[[#This Row],[SDate]],weather.tbl[Date],0))</f>
        <v>0.5</v>
      </c>
      <c r="T27" s="2">
        <f ca="1">INDEX(INDIRECT(_xlfn.CONCAT("weather.tbl[",T$1,"]")),MATCH(vp.data[[#This Row],[SDate]],weather.tbl[Date],0))</f>
        <v>1</v>
      </c>
      <c r="U27" s="2">
        <f ca="1">INDEX(INDIRECT(_xlfn.CONCAT("weather.tbl[",U$1,"]")),MATCH(vp.data[[#This Row],[SDate]],weather.tbl[Date],0))</f>
        <v>-1.1000000000000001</v>
      </c>
      <c r="V27" s="2">
        <f t="array" ref="V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4182.07</v>
      </c>
      <c r="W27" t="s">
        <v>48</v>
      </c>
      <c r="X27">
        <f>IF(OR(vp.data[[#This Row],[Sulf]]="",vp.data[[#This Row],[Dens]]=""),1,0)</f>
        <v>0</v>
      </c>
      <c r="Y27">
        <f>IF(vp.data[[#This Row],[CrudeType]]="C5+",1,0)</f>
        <v>0</v>
      </c>
      <c r="Z27">
        <f>IF(AND(vp.data[[#This Row],[CrudeType]]="Crude",vp.data[[#This Row],[Dens]]&lt;=825,vp.data[[#This Row],[Sulf]]&gt;0.5,vp.data[[#This Row],[Unknown]]=0),1,0)</f>
        <v>0</v>
      </c>
      <c r="AA27">
        <f>IF(AND(vp.data[[#This Row],[CrudeType]]="Crude",vp.data[[#This Row],[Dens]]&lt;=825,vp.data[[#This Row],[Sulf]]&lt;=0.5,vp.data[[#This Row],[Unknown]]=0),1,0)</f>
        <v>0</v>
      </c>
      <c r="AB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7">
        <f>IF(AND(vp.data[[#This Row],[CrudeType]]="Crude",vp.data[[#This Row],[Dens]]&gt;825,vp.data[[#This Row],[Dens]]&lt;=900,vp.data[[#This Row],[Sulf]]&lt;=0.5,vp.data[[#This Row],[Unknown]]=0),1,0)</f>
        <v>0</v>
      </c>
      <c r="AD27">
        <f>IF(AND(vp.data[[#This Row],[CrudeType]]="Crude",vp.data[[#This Row],[Dens]]&gt;865,vp.data[[#This Row],[Dens]]&lt;=900,vp.data[[#This Row],[Sulf]]&gt;2,vp.data[[#This Row],[Unknown]]=0),1,0)</f>
        <v>0</v>
      </c>
      <c r="AE27">
        <f>IF(AND(vp.data[[#This Row],[CrudeType]]="Crude",vp.data[[#This Row],[Dens]]&gt;900,vp.data[[#This Row],[Sulf]]&lt;=0.5,vp.data[[#This Row],[Unknown]]=0),1,0)</f>
        <v>0</v>
      </c>
      <c r="AF27">
        <f>IF(AND(vp.data[[#This Row],[CrudeType]]="Crude",vp.data[[#This Row],[Dens]]&gt;900,vp.data[[#This Row],[Sulf]]&lt;=0.5,vp.data[[#This Row],[Unknown]]=0),1,0)</f>
        <v>0</v>
      </c>
      <c r="AG27" t="str">
        <f>INDEX(vp.data[[#Headers],[Unknown]:[Heavy_SW]],MATCH(1,vp.data[[#This Row],[Unknown]:[Heavy_SW]],0))</f>
        <v>Medium_LSB</v>
      </c>
      <c r="AH27">
        <f>INDEX([3]!crudeBD.lkup[Number],MATCH(vp.data[[#This Row],[Crude_Breakdown]],crudeBD.lkup[Crude Breakdown],0))</f>
        <v>3</v>
      </c>
      <c r="AI27">
        <f>MONTH(vp.data[[#This Row],[SDate]])</f>
        <v>10</v>
      </c>
      <c r="AJ27" s="5">
        <f>(vp.data[[#This Row],[VP]]-INDEX(crudeBD.lkup[Mean_VP],MATCH(vp.data[[#This Row],[Crude_Breakdown]],crudeBD.lkup[Crude Breakdown],0)))^2</f>
        <v>1208.2800863579946</v>
      </c>
      <c r="AK27" s="5">
        <f>(vp.data[[#This Row],[Dens]]-INDEX(crudeBD.lkup[Mean_Dens],MATCH(vp.data[[#This Row],[Crude_Breakdown]],crudeBD.lkup[Crude Breakdown],0)))^2</f>
        <v>41.216399999993634</v>
      </c>
      <c r="AL27" s="5">
        <f>(vp.data[[#This Row],[Sulf]]-INDEX(crudeBD.lkup[Mean_Sulf],MATCH(vp.data[[#This Row],[Crude_Breakdown]],crudeBD.lkup[Crude Breakdown],0)))^2</f>
        <v>2.9802726320805671E-3</v>
      </c>
      <c r="AM27" s="4">
        <f>IF(AND(vp.data[[#This Row],[SDate]]&gt;=DATE(YEAR(vp.data[[#This Row],[SDate]]),5,1),vp.data[[#This Row],[SDate]]&lt;=DATE(YEAR(vp.data[[#This Row],[SDate]]),9,15)),1,0)</f>
        <v>0</v>
      </c>
      <c r="AN27" s="4">
        <f>IF(vp.data[[#This Row],[SDate]]&lt;DATE(2016,12,1),0,1)</f>
        <v>0</v>
      </c>
      <c r="AO27" s="4">
        <f>IFERROR(vp.data[[#This Row],[Sulf]]*vp.data[[#This Row],[Net Dens]],"")</f>
        <v>5043576.419999999</v>
      </c>
      <c r="AP27">
        <f>IFERROR(vp.data[[#This Row],[Dens]]*vp.data[[#This Row],[VolumeM3]],"")</f>
        <v>3502483.6249999995</v>
      </c>
      <c r="AQ27" s="15">
        <f>IFERROR(vp.data[[#This Row],[VP]]*vp.data[[#This Row],[VolumeM3]],"")</f>
        <v>482610.87799999997</v>
      </c>
    </row>
    <row r="28" spans="1:43" x14ac:dyDescent="0.25">
      <c r="A28">
        <v>27</v>
      </c>
      <c r="B28" t="s">
        <v>53</v>
      </c>
      <c r="C28" t="s">
        <v>53</v>
      </c>
      <c r="D28" t="s">
        <v>54</v>
      </c>
      <c r="E28" t="s">
        <v>55</v>
      </c>
      <c r="F28" s="1">
        <v>42306</v>
      </c>
      <c r="G28" s="2">
        <v>83.8</v>
      </c>
      <c r="H28" s="2"/>
      <c r="I28" s="2">
        <f t="array" ref="I28">_xlfn.IFNA(IF(vp.data[[#This Row],[Sulf Input]]="",INDEX([1]DATA!$Q$3:$Q$9826,MATCH(1,(vp.data[[#This Row],[Battery]]=[1]DATA!$L$3:$L$9826)*(EOMONTH(vp.data[[#This Row],[SDate]],-1)+1=[1]DATA!$G$3:$G$9826),0)),vp.data[[#This Row],[Sulf Input]]),"")</f>
        <v>2.02</v>
      </c>
      <c r="J28" s="2"/>
      <c r="K28" s="2"/>
      <c r="L28" s="2">
        <v>850.4</v>
      </c>
      <c r="M28" s="2">
        <f t="array" ref="M28">_xlfn.IFNA(IF(vp.data[[#This Row],[Dens Input]]="",INDEX([1]DATA!$O$3:$O$9826,MATCH(1,(vp.data[[#This Row],[Battery]]=[1]DATA!$L$3:$L$9826)*(EOMONTH(vp.data[[#This Row],[SDate]],-1)+1=[1]DATA!$G$3:$G$9826),0)),vp.data[[#This Row],[Dens Input]]),"")</f>
        <v>850.4</v>
      </c>
      <c r="N28" s="2">
        <f ca="1">INDEX(INDIRECT(_xlfn.CONCAT("weather.tbl[",N$1,"]")),MATCH(vp.data[[#This Row],[SDate]],weather.tbl[Date],0))</f>
        <v>0.33333333333333331</v>
      </c>
      <c r="O28" s="2">
        <f ca="1">INDEX(INDIRECT(_xlfn.CONCAT("weather.tbl[",O$1,"]")),MATCH(vp.data[[#This Row],[SDate]],weather.tbl[Date],0))</f>
        <v>3.3785714285714286</v>
      </c>
      <c r="P28" s="2">
        <f ca="1">INDEX(INDIRECT(_xlfn.CONCAT("weather.tbl[",P$1,"]")),MATCH(vp.data[[#This Row],[SDate]],weather.tbl[Date],0))</f>
        <v>-1.2</v>
      </c>
      <c r="Q28" s="2">
        <f ca="1">INDEX(INDIRECT(_xlfn.CONCAT("weather.tbl[",Q$1,"]")),MATCH(vp.data[[#This Row],[SDate]],weather.tbl[Date],0))</f>
        <v>-0.1</v>
      </c>
      <c r="R28" s="2">
        <f ca="1">INDEX(INDIRECT(_xlfn.CONCAT("weather.tbl[",R$1,"]")),MATCH(vp.data[[#This Row],[SDate]],weather.tbl[Date],0))</f>
        <v>3</v>
      </c>
      <c r="S28" s="2">
        <f ca="1">INDEX(INDIRECT(_xlfn.CONCAT("weather.tbl[",S$1,"]")),MATCH(vp.data[[#This Row],[SDate]],weather.tbl[Date],0))</f>
        <v>1.5</v>
      </c>
      <c r="T28" s="2">
        <f ca="1">INDEX(INDIRECT(_xlfn.CONCAT("weather.tbl[",T$1,"]")),MATCH(vp.data[[#This Row],[SDate]],weather.tbl[Date],0))</f>
        <v>-0.5</v>
      </c>
      <c r="U28" s="2">
        <f ca="1">INDEX(INDIRECT(_xlfn.CONCAT("weather.tbl[",U$1,"]")),MATCH(vp.data[[#This Row],[SDate]],weather.tbl[Date],0))</f>
        <v>-0.7</v>
      </c>
      <c r="V28" s="2">
        <f t="array" ref="V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65534.339</v>
      </c>
      <c r="W28" t="s">
        <v>48</v>
      </c>
      <c r="X28">
        <f>IF(OR(vp.data[[#This Row],[Sulf]]="",vp.data[[#This Row],[Dens]]=""),1,0)</f>
        <v>0</v>
      </c>
      <c r="Y28">
        <f>IF(vp.data[[#This Row],[CrudeType]]="C5+",1,0)</f>
        <v>0</v>
      </c>
      <c r="Z28">
        <f>IF(AND(vp.data[[#This Row],[CrudeType]]="Crude",vp.data[[#This Row],[Dens]]&lt;=825,vp.data[[#This Row],[Sulf]]&gt;0.5,vp.data[[#This Row],[Unknown]]=0),1,0)</f>
        <v>0</v>
      </c>
      <c r="AA28">
        <f>IF(AND(vp.data[[#This Row],[CrudeType]]="Crude",vp.data[[#This Row],[Dens]]&lt;=825,vp.data[[#This Row],[Sulf]]&lt;=0.5,vp.data[[#This Row],[Unknown]]=0),1,0)</f>
        <v>0</v>
      </c>
      <c r="AB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8">
        <f>IF(AND(vp.data[[#This Row],[CrudeType]]="Crude",vp.data[[#This Row],[Dens]]&gt;825,vp.data[[#This Row],[Dens]]&lt;=900,vp.data[[#This Row],[Sulf]]&lt;=0.5,vp.data[[#This Row],[Unknown]]=0),1,0)</f>
        <v>0</v>
      </c>
      <c r="AD28">
        <f>IF(AND(vp.data[[#This Row],[CrudeType]]="Crude",vp.data[[#This Row],[Dens]]&gt;865,vp.data[[#This Row],[Dens]]&lt;=900,vp.data[[#This Row],[Sulf]]&gt;2,vp.data[[#This Row],[Unknown]]=0),1,0)</f>
        <v>0</v>
      </c>
      <c r="AE28">
        <f>IF(AND(vp.data[[#This Row],[CrudeType]]="Crude",vp.data[[#This Row],[Dens]]&gt;900,vp.data[[#This Row],[Sulf]]&lt;=0.5,vp.data[[#This Row],[Unknown]]=0),1,0)</f>
        <v>0</v>
      </c>
      <c r="AF28">
        <f>IF(AND(vp.data[[#This Row],[CrudeType]]="Crude",vp.data[[#This Row],[Dens]]&gt;900,vp.data[[#This Row],[Sulf]]&lt;=0.5,vp.data[[#This Row],[Unknown]]=0),1,0)</f>
        <v>0</v>
      </c>
      <c r="AG28" t="str">
        <f>INDEX(vp.data[[#Headers],[Unknown]:[Heavy_SW]],MATCH(1,vp.data[[#This Row],[Unknown]:[Heavy_SW]],0))</f>
        <v>Medium_LSB</v>
      </c>
      <c r="AH28">
        <f>INDEX([3]!crudeBD.lkup[Number],MATCH(vp.data[[#This Row],[Crude_Breakdown]],crudeBD.lkup[Crude Breakdown],0))</f>
        <v>3</v>
      </c>
      <c r="AI28">
        <f>MONTH(vp.data[[#This Row],[SDate]])</f>
        <v>10</v>
      </c>
      <c r="AJ28" s="5">
        <f>(vp.data[[#This Row],[VP]]-INDEX(crudeBD.lkup[Mean_VP],MATCH(vp.data[[#This Row],[Crude_Breakdown]],crudeBD.lkup[Crude Breakdown],0)))^2</f>
        <v>9.9876443094721754</v>
      </c>
      <c r="AK28" s="5">
        <f>(vp.data[[#This Row],[Dens]]-INDEX(crudeBD.lkup[Mean_Dens],MATCH(vp.data[[#This Row],[Crude_Breakdown]],crudeBD.lkup[Crude Breakdown],0)))^2</f>
        <v>41.990400000006126</v>
      </c>
      <c r="AL28" s="5">
        <f>(vp.data[[#This Row],[Sulf]]-INDEX(crudeBD.lkup[Mean_Sulf],MATCH(vp.data[[#This Row],[Crude_Breakdown]],crudeBD.lkup[Crude Breakdown],0)))^2</f>
        <v>0.40270684567790094</v>
      </c>
      <c r="AM28" s="4">
        <f>IF(AND(vp.data[[#This Row],[SDate]]&gt;=DATE(YEAR(vp.data[[#This Row],[SDate]]),5,1),vp.data[[#This Row],[SDate]]&lt;=DATE(YEAR(vp.data[[#This Row],[SDate]]),9,15)),1,0)</f>
        <v>0</v>
      </c>
      <c r="AN28" s="4">
        <f>IF(vp.data[[#This Row],[SDate]]&lt;DATE(2016,12,1),0,1)</f>
        <v>0</v>
      </c>
      <c r="AO28" s="4">
        <f>IFERROR(vp.data[[#This Row],[Sulf]]*vp.data[[#This Row],[Net Dens]],"")</f>
        <v>112575411.80891201</v>
      </c>
      <c r="AP28">
        <f>IFERROR(vp.data[[#This Row],[Dens]]*vp.data[[#This Row],[VolumeM3]],"")</f>
        <v>55730401.885600001</v>
      </c>
      <c r="AQ28" s="15">
        <f>IFERROR(vp.data[[#This Row],[VP]]*vp.data[[#This Row],[VolumeM3]],"")</f>
        <v>5491777.6081999997</v>
      </c>
    </row>
    <row r="29" spans="1:43" x14ac:dyDescent="0.25">
      <c r="A29">
        <v>28</v>
      </c>
      <c r="B29" t="s">
        <v>49</v>
      </c>
      <c r="C29" t="s">
        <v>49</v>
      </c>
      <c r="D29" t="s">
        <v>50</v>
      </c>
      <c r="F29" s="1">
        <v>42306</v>
      </c>
      <c r="G29" s="2">
        <v>82.9</v>
      </c>
      <c r="H29" s="2"/>
      <c r="I29" s="2">
        <f t="array" ref="I29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29" s="2"/>
      <c r="K29" s="2"/>
      <c r="L29" s="2">
        <v>870.5</v>
      </c>
      <c r="M29" s="2">
        <f t="array" ref="M29">_xlfn.IFNA(IF(vp.data[[#This Row],[Dens Input]]="",INDEX([1]DATA!$O$3:$O$9826,MATCH(1,(vp.data[[#This Row],[Battery]]=[1]DATA!$L$3:$L$9826)*(EOMONTH(vp.data[[#This Row],[SDate]],-1)+1=[1]DATA!$G$3:$G$9826),0)),vp.data[[#This Row],[Dens Input]]),"")</f>
        <v>870.5</v>
      </c>
      <c r="N29" s="2">
        <f ca="1">INDEX(INDIRECT(_xlfn.CONCAT("weather.tbl[",N$1,"]")),MATCH(vp.data[[#This Row],[SDate]],weather.tbl[Date],0))</f>
        <v>0.33333333333333331</v>
      </c>
      <c r="O29" s="2">
        <f ca="1">INDEX(INDIRECT(_xlfn.CONCAT("weather.tbl[",O$1,"]")),MATCH(vp.data[[#This Row],[SDate]],weather.tbl[Date],0))</f>
        <v>3.3785714285714286</v>
      </c>
      <c r="P29" s="2">
        <f ca="1">INDEX(INDIRECT(_xlfn.CONCAT("weather.tbl[",P$1,"]")),MATCH(vp.data[[#This Row],[SDate]],weather.tbl[Date],0))</f>
        <v>-1.2</v>
      </c>
      <c r="Q29" s="2">
        <f ca="1">INDEX(INDIRECT(_xlfn.CONCAT("weather.tbl[",Q$1,"]")),MATCH(vp.data[[#This Row],[SDate]],weather.tbl[Date],0))</f>
        <v>-0.1</v>
      </c>
      <c r="R29" s="2">
        <f ca="1">INDEX(INDIRECT(_xlfn.CONCAT("weather.tbl[",R$1,"]")),MATCH(vp.data[[#This Row],[SDate]],weather.tbl[Date],0))</f>
        <v>3</v>
      </c>
      <c r="S29" s="2">
        <f ca="1">INDEX(INDIRECT(_xlfn.CONCAT("weather.tbl[",S$1,"]")),MATCH(vp.data[[#This Row],[SDate]],weather.tbl[Date],0))</f>
        <v>1.5</v>
      </c>
      <c r="T29" s="2">
        <f ca="1">INDEX(INDIRECT(_xlfn.CONCAT("weather.tbl[",T$1,"]")),MATCH(vp.data[[#This Row],[SDate]],weather.tbl[Date],0))</f>
        <v>-0.5</v>
      </c>
      <c r="U29" s="2">
        <f ca="1">INDEX(INDIRECT(_xlfn.CONCAT("weather.tbl[",U$1,"]")),MATCH(vp.data[[#This Row],[SDate]],weather.tbl[Date],0))</f>
        <v>-0.7</v>
      </c>
      <c r="V29" s="2">
        <f t="array" ref="V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7328.8639999999996</v>
      </c>
      <c r="W29" t="s">
        <v>48</v>
      </c>
      <c r="X29">
        <f>IF(OR(vp.data[[#This Row],[Sulf]]="",vp.data[[#This Row],[Dens]]=""),1,0)</f>
        <v>0</v>
      </c>
      <c r="Y29">
        <f>IF(vp.data[[#This Row],[CrudeType]]="C5+",1,0)</f>
        <v>0</v>
      </c>
      <c r="Z29">
        <f>IF(AND(vp.data[[#This Row],[CrudeType]]="Crude",vp.data[[#This Row],[Dens]]&lt;=825,vp.data[[#This Row],[Sulf]]&gt;0.5,vp.data[[#This Row],[Unknown]]=0),1,0)</f>
        <v>0</v>
      </c>
      <c r="AA29">
        <f>IF(AND(vp.data[[#This Row],[CrudeType]]="Crude",vp.data[[#This Row],[Dens]]&lt;=825,vp.data[[#This Row],[Sulf]]&lt;=0.5,vp.data[[#This Row],[Unknown]]=0),1,0)</f>
        <v>0</v>
      </c>
      <c r="AB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">
        <f>IF(AND(vp.data[[#This Row],[CrudeType]]="Crude",vp.data[[#This Row],[Dens]]&gt;825,vp.data[[#This Row],[Dens]]&lt;=900,vp.data[[#This Row],[Sulf]]&lt;=0.5,vp.data[[#This Row],[Unknown]]=0),1,0)</f>
        <v>0</v>
      </c>
      <c r="AD29">
        <f>IF(AND(vp.data[[#This Row],[CrudeType]]="Crude",vp.data[[#This Row],[Dens]]&gt;865,vp.data[[#This Row],[Dens]]&lt;=900,vp.data[[#This Row],[Sulf]]&gt;2,vp.data[[#This Row],[Unknown]]=0),1,0)</f>
        <v>1</v>
      </c>
      <c r="AE29">
        <f>IF(AND(vp.data[[#This Row],[CrudeType]]="Crude",vp.data[[#This Row],[Dens]]&gt;900,vp.data[[#This Row],[Sulf]]&lt;=0.5,vp.data[[#This Row],[Unknown]]=0),1,0)</f>
        <v>0</v>
      </c>
      <c r="AF29">
        <f>IF(AND(vp.data[[#This Row],[CrudeType]]="Crude",vp.data[[#This Row],[Dens]]&gt;900,vp.data[[#This Row],[Sulf]]&lt;=0.5,vp.data[[#This Row],[Unknown]]=0),1,0)</f>
        <v>0</v>
      </c>
      <c r="AG29" t="str">
        <f>INDEX(vp.data[[#Headers],[Unknown]:[Heavy_SW]],MATCH(1,vp.data[[#This Row],[Unknown]:[Heavy_SW]],0))</f>
        <v>Midale</v>
      </c>
      <c r="AH29">
        <f>INDEX([3]!crudeBD.lkup[Number],MATCH(vp.data[[#This Row],[Crude_Breakdown]],crudeBD.lkup[Crude Breakdown],0))</f>
        <v>5</v>
      </c>
      <c r="AI29">
        <f>MONTH(vp.data[[#This Row],[SDate]])</f>
        <v>10</v>
      </c>
      <c r="AJ29" s="5">
        <f>(vp.data[[#This Row],[VP]]-INDEX(crudeBD.lkup[Mean_VP],MATCH(vp.data[[#This Row],[Crude_Breakdown]],crudeBD.lkup[Crude Breakdown],0)))^2</f>
        <v>182.01347885003651</v>
      </c>
      <c r="AK29" s="5">
        <f>(vp.data[[#This Row],[Dens]]-INDEX(crudeBD.lkup[Mean_Dens],MATCH(vp.data[[#This Row],[Crude_Breakdown]],crudeBD.lkup[Crude Breakdown],0)))^2</f>
        <v>18.636578010418212</v>
      </c>
      <c r="AL29" s="5">
        <f>(vp.data[[#This Row],[Sulf]]-INDEX(crudeBD.lkup[Mean_Sulf],MATCH(vp.data[[#This Row],[Crude_Breakdown]],crudeBD.lkup[Crude Breakdown],0)))^2</f>
        <v>2.1428402221713612E-2</v>
      </c>
      <c r="AM29" s="4">
        <f>IF(AND(vp.data[[#This Row],[SDate]]&gt;=DATE(YEAR(vp.data[[#This Row],[SDate]]),5,1),vp.data[[#This Row],[SDate]]&lt;=DATE(YEAR(vp.data[[#This Row],[SDate]]),9,15)),1,0)</f>
        <v>0</v>
      </c>
      <c r="AN29" s="4">
        <f>IF(vp.data[[#This Row],[SDate]]&lt;DATE(2016,12,1),0,1)</f>
        <v>0</v>
      </c>
      <c r="AO29" s="4">
        <f>IFERROR(vp.data[[#This Row],[Sulf]]*vp.data[[#This Row],[Net Dens]],"")</f>
        <v>16523620.130079998</v>
      </c>
      <c r="AP29">
        <f>IFERROR(vp.data[[#This Row],[Dens]]*vp.data[[#This Row],[VolumeM3]],"")</f>
        <v>6379776.1119999997</v>
      </c>
      <c r="AQ29" s="15">
        <f>IFERROR(vp.data[[#This Row],[VP]]*vp.data[[#This Row],[VolumeM3]],"")</f>
        <v>607562.82559999998</v>
      </c>
    </row>
    <row r="30" spans="1:43" x14ac:dyDescent="0.25">
      <c r="A30">
        <v>29</v>
      </c>
      <c r="B30" t="s">
        <v>46</v>
      </c>
      <c r="C30" t="s">
        <v>46</v>
      </c>
      <c r="D30" t="s">
        <v>47</v>
      </c>
      <c r="F30" s="1">
        <v>42306</v>
      </c>
      <c r="G30" s="2">
        <v>80.8</v>
      </c>
      <c r="H30" s="2"/>
      <c r="I30" s="2">
        <f t="array" ref="I30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30" s="2"/>
      <c r="K30" s="2"/>
      <c r="L30" s="2">
        <v>872.5</v>
      </c>
      <c r="M30" s="2">
        <f t="array" ref="M30">_xlfn.IFNA(IF(vp.data[[#This Row],[Dens Input]]="",INDEX([1]DATA!$O$3:$O$9826,MATCH(1,(vp.data[[#This Row],[Battery]]=[1]DATA!$L$3:$L$9826)*(EOMONTH(vp.data[[#This Row],[SDate]],-1)+1=[1]DATA!$G$3:$G$9826),0)),vp.data[[#This Row],[Dens Input]]),"")</f>
        <v>872.5</v>
      </c>
      <c r="N30" s="2">
        <f ca="1">INDEX(INDIRECT(_xlfn.CONCAT("weather.tbl[",N$1,"]")),MATCH(vp.data[[#This Row],[SDate]],weather.tbl[Date],0))</f>
        <v>0.33333333333333331</v>
      </c>
      <c r="O30" s="2">
        <f ca="1">INDEX(INDIRECT(_xlfn.CONCAT("weather.tbl[",O$1,"]")),MATCH(vp.data[[#This Row],[SDate]],weather.tbl[Date],0))</f>
        <v>3.3785714285714286</v>
      </c>
      <c r="P30" s="2">
        <f ca="1">INDEX(INDIRECT(_xlfn.CONCAT("weather.tbl[",P$1,"]")),MATCH(vp.data[[#This Row],[SDate]],weather.tbl[Date],0))</f>
        <v>-1.2</v>
      </c>
      <c r="Q30" s="2">
        <f ca="1">INDEX(INDIRECT(_xlfn.CONCAT("weather.tbl[",Q$1,"]")),MATCH(vp.data[[#This Row],[SDate]],weather.tbl[Date],0))</f>
        <v>-0.1</v>
      </c>
      <c r="R30" s="2">
        <f ca="1">INDEX(INDIRECT(_xlfn.CONCAT("weather.tbl[",R$1,"]")),MATCH(vp.data[[#This Row],[SDate]],weather.tbl[Date],0))</f>
        <v>3</v>
      </c>
      <c r="S30" s="2">
        <f ca="1">INDEX(INDIRECT(_xlfn.CONCAT("weather.tbl[",S$1,"]")),MATCH(vp.data[[#This Row],[SDate]],weather.tbl[Date],0))</f>
        <v>1.5</v>
      </c>
      <c r="T30" s="2">
        <f ca="1">INDEX(INDIRECT(_xlfn.CONCAT("weather.tbl[",T$1,"]")),MATCH(vp.data[[#This Row],[SDate]],weather.tbl[Date],0))</f>
        <v>-0.5</v>
      </c>
      <c r="U30" s="2">
        <f ca="1">INDEX(INDIRECT(_xlfn.CONCAT("weather.tbl[",U$1,"]")),MATCH(vp.data[[#This Row],[SDate]],weather.tbl[Date],0))</f>
        <v>-0.7</v>
      </c>
      <c r="V30" s="2">
        <f t="array" ref="V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115049.71</v>
      </c>
      <c r="W30" t="s">
        <v>48</v>
      </c>
      <c r="X30">
        <f>IF(OR(vp.data[[#This Row],[Sulf]]="",vp.data[[#This Row],[Dens]]=""),1,0)</f>
        <v>0</v>
      </c>
      <c r="Y30">
        <f>IF(vp.data[[#This Row],[CrudeType]]="C5+",1,0)</f>
        <v>0</v>
      </c>
      <c r="Z30">
        <f>IF(AND(vp.data[[#This Row],[CrudeType]]="Crude",vp.data[[#This Row],[Dens]]&lt;=825,vp.data[[#This Row],[Sulf]]&gt;0.5,vp.data[[#This Row],[Unknown]]=0),1,0)</f>
        <v>0</v>
      </c>
      <c r="AA30">
        <f>IF(AND(vp.data[[#This Row],[CrudeType]]="Crude",vp.data[[#This Row],[Dens]]&lt;=825,vp.data[[#This Row],[Sulf]]&lt;=0.5,vp.data[[#This Row],[Unknown]]=0),1,0)</f>
        <v>0</v>
      </c>
      <c r="AB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">
        <f>IF(AND(vp.data[[#This Row],[CrudeType]]="Crude",vp.data[[#This Row],[Dens]]&gt;825,vp.data[[#This Row],[Dens]]&lt;=900,vp.data[[#This Row],[Sulf]]&lt;=0.5,vp.data[[#This Row],[Unknown]]=0),1,0)</f>
        <v>0</v>
      </c>
      <c r="AD30">
        <f>IF(AND(vp.data[[#This Row],[CrudeType]]="Crude",vp.data[[#This Row],[Dens]]&gt;865,vp.data[[#This Row],[Dens]]&lt;=900,vp.data[[#This Row],[Sulf]]&gt;2,vp.data[[#This Row],[Unknown]]=0),1,0)</f>
        <v>1</v>
      </c>
      <c r="AE30">
        <f>IF(AND(vp.data[[#This Row],[CrudeType]]="Crude",vp.data[[#This Row],[Dens]]&gt;900,vp.data[[#This Row],[Sulf]]&lt;=0.5,vp.data[[#This Row],[Unknown]]=0),1,0)</f>
        <v>0</v>
      </c>
      <c r="AF30">
        <f>IF(AND(vp.data[[#This Row],[CrudeType]]="Crude",vp.data[[#This Row],[Dens]]&gt;900,vp.data[[#This Row],[Sulf]]&lt;=0.5,vp.data[[#This Row],[Unknown]]=0),1,0)</f>
        <v>0</v>
      </c>
      <c r="AG30" t="str">
        <f>INDEX(vp.data[[#Headers],[Unknown]:[Heavy_SW]],MATCH(1,vp.data[[#This Row],[Unknown]:[Heavy_SW]],0))</f>
        <v>Midale</v>
      </c>
      <c r="AH30">
        <f>INDEX([3]!crudeBD.lkup[Number],MATCH(vp.data[[#This Row],[Crude_Breakdown]],crudeBD.lkup[Crude Breakdown],0))</f>
        <v>5</v>
      </c>
      <c r="AI30">
        <f>MONTH(vp.data[[#This Row],[SDate]])</f>
        <v>10</v>
      </c>
      <c r="AJ30" s="5">
        <f>(vp.data[[#This Row],[VP]]-INDEX(crudeBD.lkup[Mean_VP],MATCH(vp.data[[#This Row],[Crude_Breakdown]],crudeBD.lkup[Crude Breakdown],0)))^2</f>
        <v>129.76028297374776</v>
      </c>
      <c r="AK30" s="5">
        <f>(vp.data[[#This Row],[Dens]]-INDEX(crudeBD.lkup[Mean_Dens],MATCH(vp.data[[#This Row],[Crude_Breakdown]],crudeBD.lkup[Crude Breakdown],0)))^2</f>
        <v>5.3685367733035809</v>
      </c>
      <c r="AL30" s="5">
        <f>(vp.data[[#This Row],[Sulf]]-INDEX(crudeBD.lkup[Mean_Sulf],MATCH(vp.data[[#This Row],[Crude_Breakdown]],crudeBD.lkup[Crude Breakdown],0)))^2</f>
        <v>1.130006345424492E-3</v>
      </c>
      <c r="AM30" s="4">
        <f>IF(AND(vp.data[[#This Row],[SDate]]&gt;=DATE(YEAR(vp.data[[#This Row],[SDate]]),5,1),vp.data[[#This Row],[SDate]]&lt;=DATE(YEAR(vp.data[[#This Row],[SDate]]),9,15)),1,0)</f>
        <v>0</v>
      </c>
      <c r="AN30" s="4">
        <f>IF(vp.data[[#This Row],[SDate]]&lt;DATE(2016,12,1),0,1)</f>
        <v>0</v>
      </c>
      <c r="AO30" s="4">
        <f>IFERROR(vp.data[[#This Row],[Sulf]]*vp.data[[#This Row],[Net Dens]],"")</f>
        <v>241917901.45975003</v>
      </c>
      <c r="AP30">
        <f>IFERROR(vp.data[[#This Row],[Dens]]*vp.data[[#This Row],[VolumeM3]],"")</f>
        <v>100380871.97500001</v>
      </c>
      <c r="AQ30" s="15">
        <f>IFERROR(vp.data[[#This Row],[VP]]*vp.data[[#This Row],[VolumeM3]],"")</f>
        <v>9296016.568</v>
      </c>
    </row>
    <row r="31" spans="1:43" x14ac:dyDescent="0.25">
      <c r="A31">
        <v>30</v>
      </c>
      <c r="B31" t="s">
        <v>56</v>
      </c>
      <c r="C31" t="s">
        <v>56</v>
      </c>
      <c r="D31" t="s">
        <v>57</v>
      </c>
      <c r="F31" s="1">
        <v>42313</v>
      </c>
      <c r="G31" s="2">
        <v>62.5</v>
      </c>
      <c r="H31" s="2"/>
      <c r="I31" s="2">
        <f t="array" ref="I31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31" s="2"/>
      <c r="K31" s="2"/>
      <c r="L31" s="2">
        <v>865</v>
      </c>
      <c r="M31" s="2">
        <f t="array" ref="M31">_xlfn.IFNA(IF(vp.data[[#This Row],[Dens Input]]="",INDEX([1]DATA!$O$3:$O$9826,MATCH(1,(vp.data[[#This Row],[Battery]]=[1]DATA!$L$3:$L$9826)*(EOMONTH(vp.data[[#This Row],[SDate]],-1)+1=[1]DATA!$G$3:$G$9826),0)),vp.data[[#This Row],[Dens Input]]),"")</f>
        <v>865</v>
      </c>
      <c r="N31" s="2">
        <f ca="1">INDEX(INDIRECT(_xlfn.CONCAT("weather.tbl[",N$1,"]")),MATCH(vp.data[[#This Row],[SDate]],weather.tbl[Date],0))</f>
        <v>1.7666666666666668</v>
      </c>
      <c r="O31" s="2">
        <f ca="1">INDEX(INDIRECT(_xlfn.CONCAT("weather.tbl[",O$1,"]")),MATCH(vp.data[[#This Row],[SDate]],weather.tbl[Date],0))</f>
        <v>3.5214285714285714</v>
      </c>
      <c r="P31" s="2">
        <f ca="1">INDEX(INDIRECT(_xlfn.CONCAT("weather.tbl[",P$1,"]")),MATCH(vp.data[[#This Row],[SDate]],weather.tbl[Date],0))</f>
        <v>1.4</v>
      </c>
      <c r="Q31" s="2">
        <f ca="1">INDEX(INDIRECT(_xlfn.CONCAT("weather.tbl[",Q$1,"]")),MATCH(vp.data[[#This Row],[SDate]],weather.tbl[Date],0))</f>
        <v>1.5</v>
      </c>
      <c r="R31" s="2">
        <f ca="1">INDEX(INDIRECT(_xlfn.CONCAT("weather.tbl[",R$1,"]")),MATCH(vp.data[[#This Row],[SDate]],weather.tbl[Date],0))</f>
        <v>3</v>
      </c>
      <c r="S31" s="2">
        <f ca="1">INDEX(INDIRECT(_xlfn.CONCAT("weather.tbl[",S$1,"]")),MATCH(vp.data[[#This Row],[SDate]],weather.tbl[Date],0))</f>
        <v>2.5</v>
      </c>
      <c r="T31" s="2">
        <f ca="1">INDEX(INDIRECT(_xlfn.CONCAT("weather.tbl[",T$1,"]")),MATCH(vp.data[[#This Row],[SDate]],weather.tbl[Date],0))</f>
        <v>1.8</v>
      </c>
      <c r="U31" s="2">
        <f ca="1">INDEX(INDIRECT(_xlfn.CONCAT("weather.tbl[",U$1,"]")),MATCH(vp.data[[#This Row],[SDate]],weather.tbl[Date],0))</f>
        <v>0.4</v>
      </c>
      <c r="V31" s="2">
        <f t="array" ref="V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3565.95</v>
      </c>
      <c r="W31" t="s">
        <v>48</v>
      </c>
      <c r="X31">
        <f>IF(OR(vp.data[[#This Row],[Sulf]]="",vp.data[[#This Row],[Dens]]=""),1,0)</f>
        <v>0</v>
      </c>
      <c r="Y31">
        <f>IF(vp.data[[#This Row],[CrudeType]]="C5+",1,0)</f>
        <v>0</v>
      </c>
      <c r="Z31">
        <f>IF(AND(vp.data[[#This Row],[CrudeType]]="Crude",vp.data[[#This Row],[Dens]]&lt;=825,vp.data[[#This Row],[Sulf]]&gt;0.5,vp.data[[#This Row],[Unknown]]=0),1,0)</f>
        <v>0</v>
      </c>
      <c r="AA31">
        <f>IF(AND(vp.data[[#This Row],[CrudeType]]="Crude",vp.data[[#This Row],[Dens]]&lt;=825,vp.data[[#This Row],[Sulf]]&lt;=0.5,vp.data[[#This Row],[Unknown]]=0),1,0)</f>
        <v>0</v>
      </c>
      <c r="AB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1">
        <f>IF(AND(vp.data[[#This Row],[CrudeType]]="Crude",vp.data[[#This Row],[Dens]]&gt;825,vp.data[[#This Row],[Dens]]&lt;=900,vp.data[[#This Row],[Sulf]]&lt;=0.5,vp.data[[#This Row],[Unknown]]=0),1,0)</f>
        <v>0</v>
      </c>
      <c r="AD31">
        <f>IF(AND(vp.data[[#This Row],[CrudeType]]="Crude",vp.data[[#This Row],[Dens]]&gt;865,vp.data[[#This Row],[Dens]]&lt;=900,vp.data[[#This Row],[Sulf]]&gt;2,vp.data[[#This Row],[Unknown]]=0),1,0)</f>
        <v>0</v>
      </c>
      <c r="AE31">
        <f>IF(AND(vp.data[[#This Row],[CrudeType]]="Crude",vp.data[[#This Row],[Dens]]&gt;900,vp.data[[#This Row],[Sulf]]&lt;=0.5,vp.data[[#This Row],[Unknown]]=0),1,0)</f>
        <v>0</v>
      </c>
      <c r="AF31">
        <f>IF(AND(vp.data[[#This Row],[CrudeType]]="Crude",vp.data[[#This Row],[Dens]]&gt;900,vp.data[[#This Row],[Sulf]]&lt;=0.5,vp.data[[#This Row],[Unknown]]=0),1,0)</f>
        <v>0</v>
      </c>
      <c r="AG31" t="str">
        <f>INDEX(vp.data[[#Headers],[Unknown]:[Heavy_SW]],MATCH(1,vp.data[[#This Row],[Unknown]:[Heavy_SW]],0))</f>
        <v>Medium_LSB</v>
      </c>
      <c r="AH31">
        <f>INDEX([3]!crudeBD.lkup[Number],MATCH(vp.data[[#This Row],[Crude_Breakdown]],crudeBD.lkup[Crude Breakdown],0))</f>
        <v>3</v>
      </c>
      <c r="AI31">
        <f>MONTH(vp.data[[#This Row],[SDate]])</f>
        <v>11</v>
      </c>
      <c r="AJ31" s="5">
        <f>(vp.data[[#This Row],[VP]]-INDEX(crudeBD.lkup[Mean_VP],MATCH(vp.data[[#This Row],[Crude_Breakdown]],crudeBD.lkup[Crude Breakdown],0)))^2</f>
        <v>329.04786533372788</v>
      </c>
      <c r="AK31" s="5">
        <f>(vp.data[[#This Row],[Dens]]-INDEX(crudeBD.lkup[Mean_Dens],MATCH(vp.data[[#This Row],[Crude_Breakdown]],crudeBD.lkup[Crude Breakdown],0)))^2</f>
        <v>444.36640000002092</v>
      </c>
      <c r="AL31" s="5">
        <f>(vp.data[[#This Row],[Sulf]]-INDEX(crudeBD.lkup[Mean_Sulf],MATCH(vp.data[[#This Row],[Crude_Breakdown]],crudeBD.lkup[Crude Breakdown],0)))^2</f>
        <v>2.9802726320805671E-3</v>
      </c>
      <c r="AM31" s="4">
        <f>IF(AND(vp.data[[#This Row],[SDate]]&gt;=DATE(YEAR(vp.data[[#This Row],[SDate]]),5,1),vp.data[[#This Row],[SDate]]&lt;=DATE(YEAR(vp.data[[#This Row],[SDate]]),9,15)),1,0)</f>
        <v>0</v>
      </c>
      <c r="AN31" s="4">
        <f>IF(vp.data[[#This Row],[SDate]]&lt;DATE(2016,12,1),0,1)</f>
        <v>0</v>
      </c>
      <c r="AO31" s="4">
        <f>IFERROR(vp.data[[#This Row],[Sulf]]*vp.data[[#This Row],[Net Dens]],"")</f>
        <v>4441747.32</v>
      </c>
      <c r="AP31">
        <f>IFERROR(vp.data[[#This Row],[Dens]]*vp.data[[#This Row],[VolumeM3]],"")</f>
        <v>3084546.75</v>
      </c>
      <c r="AQ31" s="15">
        <f>IFERROR(vp.data[[#This Row],[VP]]*vp.data[[#This Row],[VolumeM3]],"")</f>
        <v>222871.875</v>
      </c>
    </row>
    <row r="32" spans="1:43" x14ac:dyDescent="0.25">
      <c r="A32">
        <v>31</v>
      </c>
      <c r="B32" t="s">
        <v>46</v>
      </c>
      <c r="C32" t="s">
        <v>46</v>
      </c>
      <c r="D32" t="s">
        <v>47</v>
      </c>
      <c r="F32" s="1">
        <v>42314</v>
      </c>
      <c r="G32" s="2">
        <v>63.6</v>
      </c>
      <c r="H32" s="2"/>
      <c r="I32" s="2">
        <f t="array" ref="I32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32" s="2"/>
      <c r="K32" s="2"/>
      <c r="L32" s="2">
        <v>871.1</v>
      </c>
      <c r="M32" s="2">
        <f t="array" ref="M32">_xlfn.IFNA(IF(vp.data[[#This Row],[Dens Input]]="",INDEX([1]DATA!$O$3:$O$9826,MATCH(1,(vp.data[[#This Row],[Battery]]=[1]DATA!$L$3:$L$9826)*(EOMONTH(vp.data[[#This Row],[SDate]],-1)+1=[1]DATA!$G$3:$G$9826),0)),vp.data[[#This Row],[Dens Input]]),"")</f>
        <v>871.1</v>
      </c>
      <c r="N32" s="2">
        <f ca="1">INDEX(INDIRECT(_xlfn.CONCAT("weather.tbl[",N$1,"]")),MATCH(vp.data[[#This Row],[SDate]],weather.tbl[Date],0))</f>
        <v>0.33333333333333326</v>
      </c>
      <c r="O32" s="2">
        <f ca="1">INDEX(INDIRECT(_xlfn.CONCAT("weather.tbl[",O$1,"]")),MATCH(vp.data[[#This Row],[SDate]],weather.tbl[Date],0))</f>
        <v>2.7642857142857147</v>
      </c>
      <c r="P32" s="2">
        <f ca="1">INDEX(INDIRECT(_xlfn.CONCAT("weather.tbl[",P$1,"]")),MATCH(vp.data[[#This Row],[SDate]],weather.tbl[Date],0))</f>
        <v>-0.3</v>
      </c>
      <c r="Q32" s="2">
        <f ca="1">INDEX(INDIRECT(_xlfn.CONCAT("weather.tbl[",Q$1,"]")),MATCH(vp.data[[#This Row],[SDate]],weather.tbl[Date],0))</f>
        <v>-1.1000000000000001</v>
      </c>
      <c r="R32" s="2">
        <f ca="1">INDEX(INDIRECT(_xlfn.CONCAT("weather.tbl[",R$1,"]")),MATCH(vp.data[[#This Row],[SDate]],weather.tbl[Date],0))</f>
        <v>3</v>
      </c>
      <c r="S32" s="2">
        <f ca="1">INDEX(INDIRECT(_xlfn.CONCAT("weather.tbl[",S$1,"]")),MATCH(vp.data[[#This Row],[SDate]],weather.tbl[Date],0))</f>
        <v>2</v>
      </c>
      <c r="T32" s="2">
        <f ca="1">INDEX(INDIRECT(_xlfn.CONCAT("weather.tbl[",T$1,"]")),MATCH(vp.data[[#This Row],[SDate]],weather.tbl[Date],0))</f>
        <v>-1.1000000000000001</v>
      </c>
      <c r="U32" s="2">
        <f ca="1">INDEX(INDIRECT(_xlfn.CONCAT("weather.tbl[",U$1,"]")),MATCH(vp.data[[#This Row],[SDate]],weather.tbl[Date],0))</f>
        <v>-0.5</v>
      </c>
      <c r="V32" s="2">
        <f t="array" ref="V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113621.71</v>
      </c>
      <c r="W32" t="s">
        <v>48</v>
      </c>
      <c r="X32">
        <f>IF(OR(vp.data[[#This Row],[Sulf]]="",vp.data[[#This Row],[Dens]]=""),1,0)</f>
        <v>0</v>
      </c>
      <c r="Y32">
        <f>IF(vp.data[[#This Row],[CrudeType]]="C5+",1,0)</f>
        <v>0</v>
      </c>
      <c r="Z32">
        <f>IF(AND(vp.data[[#This Row],[CrudeType]]="Crude",vp.data[[#This Row],[Dens]]&lt;=825,vp.data[[#This Row],[Sulf]]&gt;0.5,vp.data[[#This Row],[Unknown]]=0),1,0)</f>
        <v>0</v>
      </c>
      <c r="AA32">
        <f>IF(AND(vp.data[[#This Row],[CrudeType]]="Crude",vp.data[[#This Row],[Dens]]&lt;=825,vp.data[[#This Row],[Sulf]]&lt;=0.5,vp.data[[#This Row],[Unknown]]=0),1,0)</f>
        <v>0</v>
      </c>
      <c r="AB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2">
        <f>IF(AND(vp.data[[#This Row],[CrudeType]]="Crude",vp.data[[#This Row],[Dens]]&gt;825,vp.data[[#This Row],[Dens]]&lt;=900,vp.data[[#This Row],[Sulf]]&lt;=0.5,vp.data[[#This Row],[Unknown]]=0),1,0)</f>
        <v>0</v>
      </c>
      <c r="AD32">
        <f>IF(AND(vp.data[[#This Row],[CrudeType]]="Crude",vp.data[[#This Row],[Dens]]&gt;865,vp.data[[#This Row],[Dens]]&lt;=900,vp.data[[#This Row],[Sulf]]&gt;2,vp.data[[#This Row],[Unknown]]=0),1,0)</f>
        <v>1</v>
      </c>
      <c r="AE32">
        <f>IF(AND(vp.data[[#This Row],[CrudeType]]="Crude",vp.data[[#This Row],[Dens]]&gt;900,vp.data[[#This Row],[Sulf]]&lt;=0.5,vp.data[[#This Row],[Unknown]]=0),1,0)</f>
        <v>0</v>
      </c>
      <c r="AF32">
        <f>IF(AND(vp.data[[#This Row],[CrudeType]]="Crude",vp.data[[#This Row],[Dens]]&gt;900,vp.data[[#This Row],[Sulf]]&lt;=0.5,vp.data[[#This Row],[Unknown]]=0),1,0)</f>
        <v>0</v>
      </c>
      <c r="AG32" t="str">
        <f>INDEX(vp.data[[#Headers],[Unknown]:[Heavy_SW]],MATCH(1,vp.data[[#This Row],[Unknown]:[Heavy_SW]],0))</f>
        <v>Midale</v>
      </c>
      <c r="AH32">
        <f>INDEX([3]!crudeBD.lkup[Number],MATCH(vp.data[[#This Row],[Crude_Breakdown]],crudeBD.lkup[Crude Breakdown],0))</f>
        <v>5</v>
      </c>
      <c r="AI32">
        <f>MONTH(vp.data[[#This Row],[SDate]])</f>
        <v>11</v>
      </c>
      <c r="AJ32" s="5">
        <f>(vp.data[[#This Row],[VP]]-INDEX(crudeBD.lkup[Mean_VP],MATCH(vp.data[[#This Row],[Crude_Breakdown]],crudeBD.lkup[Crude Breakdown],0)))^2</f>
        <v>33.741726272717962</v>
      </c>
      <c r="AK32" s="5">
        <f>(vp.data[[#This Row],[Dens]]-INDEX(crudeBD.lkup[Mean_Dens],MATCH(vp.data[[#This Row],[Crude_Breakdown]],crudeBD.lkup[Crude Breakdown],0)))^2</f>
        <v>13.816165639283653</v>
      </c>
      <c r="AL32" s="5">
        <f>(vp.data[[#This Row],[Sulf]]-INDEX(crudeBD.lkup[Mean_Sulf],MATCH(vp.data[[#This Row],[Crude_Breakdown]],crudeBD.lkup[Crude Breakdown],0)))^2</f>
        <v>1.130006345424492E-3</v>
      </c>
      <c r="AM32" s="4">
        <f>IF(AND(vp.data[[#This Row],[SDate]]&gt;=DATE(YEAR(vp.data[[#This Row],[SDate]]),5,1),vp.data[[#This Row],[SDate]]&lt;=DATE(YEAR(vp.data[[#This Row],[SDate]]),9,15)),1,0)</f>
        <v>0</v>
      </c>
      <c r="AN32" s="4">
        <f>IF(vp.data[[#This Row],[SDate]]&lt;DATE(2016,12,1),0,1)</f>
        <v>0</v>
      </c>
      <c r="AO32" s="4">
        <f>IFERROR(vp.data[[#This Row],[Sulf]]*vp.data[[#This Row],[Net Dens]],"")</f>
        <v>238531850.51021004</v>
      </c>
      <c r="AP32">
        <f>IFERROR(vp.data[[#This Row],[Dens]]*vp.data[[#This Row],[VolumeM3]],"")</f>
        <v>98975871.581000015</v>
      </c>
      <c r="AQ32" s="15">
        <f>IFERROR(vp.data[[#This Row],[VP]]*vp.data[[#This Row],[VolumeM3]],"")</f>
        <v>7226340.756000001</v>
      </c>
    </row>
    <row r="33" spans="1:43" x14ac:dyDescent="0.25">
      <c r="A33">
        <v>32</v>
      </c>
      <c r="B33" t="s">
        <v>49</v>
      </c>
      <c r="C33" t="s">
        <v>49</v>
      </c>
      <c r="D33" t="s">
        <v>59</v>
      </c>
      <c r="F33" s="1">
        <v>42318</v>
      </c>
      <c r="G33" s="2">
        <v>75.2</v>
      </c>
      <c r="H33" s="2"/>
      <c r="I33" s="2">
        <f t="array" ref="I33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33" s="2"/>
      <c r="K33" s="2"/>
      <c r="L33" s="2">
        <v>848.6</v>
      </c>
      <c r="M33" s="2">
        <f t="array" ref="M33">_xlfn.IFNA(IF(vp.data[[#This Row],[Dens Input]]="",INDEX([1]DATA!$O$3:$O$9826,MATCH(1,(vp.data[[#This Row],[Battery]]=[1]DATA!$L$3:$L$9826)*(EOMONTH(vp.data[[#This Row],[SDate]],-1)+1=[1]DATA!$G$3:$G$9826),0)),vp.data[[#This Row],[Dens Input]]),"")</f>
        <v>848.6</v>
      </c>
      <c r="N33" s="2">
        <f ca="1">INDEX(INDIRECT(_xlfn.CONCAT("weather.tbl[",N$1,"]")),MATCH(vp.data[[#This Row],[SDate]],weather.tbl[Date],0))</f>
        <v>1.1500000000000001</v>
      </c>
      <c r="O33" s="2">
        <f ca="1">INDEX(INDIRECT(_xlfn.CONCAT("weather.tbl[",O$1,"]")),MATCH(vp.data[[#This Row],[SDate]],weather.tbl[Date],0))</f>
        <v>2.4023809523809523</v>
      </c>
      <c r="P33" s="2">
        <f ca="1">INDEX(INDIRECT(_xlfn.CONCAT("weather.tbl[",P$1,"]")),MATCH(vp.data[[#This Row],[SDate]],weather.tbl[Date],0))</f>
        <v>0.9</v>
      </c>
      <c r="Q33" s="2">
        <f ca="1">INDEX(INDIRECT(_xlfn.CONCAT("weather.tbl[",Q$1,"]")),MATCH(vp.data[[#This Row],[SDate]],weather.tbl[Date],0))</f>
        <v>0.6</v>
      </c>
      <c r="R33" s="2">
        <f ca="1">INDEX(INDIRECT(_xlfn.CONCAT("weather.tbl[",R$1,"]")),MATCH(vp.data[[#This Row],[SDate]],weather.tbl[Date],0))</f>
        <v>3</v>
      </c>
      <c r="S33" s="2">
        <f ca="1">INDEX(INDIRECT(_xlfn.CONCAT("weather.tbl[",S$1,"]")),MATCH(vp.data[[#This Row],[SDate]],weather.tbl[Date],0))</f>
        <v>0.8</v>
      </c>
      <c r="T33" s="2">
        <f ca="1">INDEX(INDIRECT(_xlfn.CONCAT("weather.tbl[",T$1,"]")),MATCH(vp.data[[#This Row],[SDate]],weather.tbl[Date],0))</f>
        <v>1.6</v>
      </c>
      <c r="U33" s="2">
        <f ca="1">INDEX(INDIRECT(_xlfn.CONCAT("weather.tbl[",U$1,"]")),MATCH(vp.data[[#This Row],[SDate]],weather.tbl[Date],0))</f>
        <v>0</v>
      </c>
      <c r="V33" s="2">
        <f t="array" ref="V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2083.98</v>
      </c>
      <c r="W33" t="s">
        <v>48</v>
      </c>
      <c r="X33">
        <f>IF(OR(vp.data[[#This Row],[Sulf]]="",vp.data[[#This Row],[Dens]]=""),1,0)</f>
        <v>0</v>
      </c>
      <c r="Y33">
        <f>IF(vp.data[[#This Row],[CrudeType]]="C5+",1,0)</f>
        <v>0</v>
      </c>
      <c r="Z33">
        <f>IF(AND(vp.data[[#This Row],[CrudeType]]="Crude",vp.data[[#This Row],[Dens]]&lt;=825,vp.data[[#This Row],[Sulf]]&gt;0.5,vp.data[[#This Row],[Unknown]]=0),1,0)</f>
        <v>0</v>
      </c>
      <c r="AA33">
        <f>IF(AND(vp.data[[#This Row],[CrudeType]]="Crude",vp.data[[#This Row],[Dens]]&lt;=825,vp.data[[#This Row],[Sulf]]&lt;=0.5,vp.data[[#This Row],[Unknown]]=0),1,0)</f>
        <v>0</v>
      </c>
      <c r="AB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3">
        <f>IF(AND(vp.data[[#This Row],[CrudeType]]="Crude",vp.data[[#This Row],[Dens]]&gt;825,vp.data[[#This Row],[Dens]]&lt;=900,vp.data[[#This Row],[Sulf]]&lt;=0.5,vp.data[[#This Row],[Unknown]]=0),1,0)</f>
        <v>0</v>
      </c>
      <c r="AD33">
        <f>IF(AND(vp.data[[#This Row],[CrudeType]]="Crude",vp.data[[#This Row],[Dens]]&gt;865,vp.data[[#This Row],[Dens]]&lt;=900,vp.data[[#This Row],[Sulf]]&gt;2,vp.data[[#This Row],[Unknown]]=0),1,0)</f>
        <v>0</v>
      </c>
      <c r="AE33">
        <f>IF(AND(vp.data[[#This Row],[CrudeType]]="Crude",vp.data[[#This Row],[Dens]]&gt;900,vp.data[[#This Row],[Sulf]]&lt;=0.5,vp.data[[#This Row],[Unknown]]=0),1,0)</f>
        <v>0</v>
      </c>
      <c r="AF33">
        <f>IF(AND(vp.data[[#This Row],[CrudeType]]="Crude",vp.data[[#This Row],[Dens]]&gt;900,vp.data[[#This Row],[Sulf]]&lt;=0.5,vp.data[[#This Row],[Unknown]]=0),1,0)</f>
        <v>0</v>
      </c>
      <c r="AG33" t="str">
        <f>INDEX(vp.data[[#Headers],[Unknown]:[Heavy_SW]],MATCH(1,vp.data[[#This Row],[Unknown]:[Heavy_SW]],0))</f>
        <v>Medium_LSB</v>
      </c>
      <c r="AH33">
        <f>INDEX([3]!crudeBD.lkup[Number],MATCH(vp.data[[#This Row],[Crude_Breakdown]],crudeBD.lkup[Crude Breakdown],0))</f>
        <v>3</v>
      </c>
      <c r="AI33">
        <f>MONTH(vp.data[[#This Row],[SDate]])</f>
        <v>11</v>
      </c>
      <c r="AJ33" s="5">
        <f>(vp.data[[#This Row],[VP]]-INDEX(crudeBD.lkup[Mean_VP],MATCH(vp.data[[#This Row],[Crude_Breakdown]],crudeBD.lkup[Crude Breakdown],0)))^2</f>
        <v>29.590080967152872</v>
      </c>
      <c r="AK33" s="5">
        <f>(vp.data[[#This Row],[Dens]]-INDEX(crudeBD.lkup[Mean_Dens],MATCH(vp.data[[#This Row],[Crude_Breakdown]],crudeBD.lkup[Crude Breakdown],0)))^2</f>
        <v>21.902400000004853</v>
      </c>
      <c r="AL33" s="5">
        <f>(vp.data[[#This Row],[Sulf]]-INDEX(crudeBD.lkup[Mean_Sulf],MATCH(vp.data[[#This Row],[Crude_Breakdown]],crudeBD.lkup[Crude Breakdown],0)))^2</f>
        <v>2.0906809828845806E-2</v>
      </c>
      <c r="AM33" s="4">
        <f>IF(AND(vp.data[[#This Row],[SDate]]&gt;=DATE(YEAR(vp.data[[#This Row],[SDate]]),5,1),vp.data[[#This Row],[SDate]]&lt;=DATE(YEAR(vp.data[[#This Row],[SDate]]),9,15)),1,0)</f>
        <v>0</v>
      </c>
      <c r="AN33" s="4">
        <f>IF(vp.data[[#This Row],[SDate]]&lt;DATE(2016,12,1),0,1)</f>
        <v>0</v>
      </c>
      <c r="AO33" s="4">
        <f>IFERROR(vp.data[[#This Row],[Sulf]]*vp.data[[#This Row],[Net Dens]],"")</f>
        <v>2705752.1048400002</v>
      </c>
      <c r="AP33">
        <f>IFERROR(vp.data[[#This Row],[Dens]]*vp.data[[#This Row],[VolumeM3]],"")</f>
        <v>1768465.4280000001</v>
      </c>
      <c r="AQ33" s="15">
        <f>IFERROR(vp.data[[#This Row],[VP]]*vp.data[[#This Row],[VolumeM3]],"")</f>
        <v>156715.296</v>
      </c>
    </row>
    <row r="34" spans="1:43" x14ac:dyDescent="0.25">
      <c r="A34">
        <v>33</v>
      </c>
      <c r="B34" t="s">
        <v>49</v>
      </c>
      <c r="C34" t="s">
        <v>49</v>
      </c>
      <c r="D34" t="s">
        <v>67</v>
      </c>
      <c r="F34" s="1">
        <v>42321</v>
      </c>
      <c r="G34" s="2">
        <v>84.5</v>
      </c>
      <c r="H34" s="2"/>
      <c r="I34" s="2">
        <f t="array" ref="I34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34" s="2"/>
      <c r="K34" s="2"/>
      <c r="L34" s="2">
        <v>803.6</v>
      </c>
      <c r="M34" s="2">
        <f t="array" ref="M34">_xlfn.IFNA(IF(vp.data[[#This Row],[Dens Input]]="",INDEX([1]DATA!$O$3:$O$9826,MATCH(1,(vp.data[[#This Row],[Battery]]=[1]DATA!$L$3:$L$9826)*(EOMONTH(vp.data[[#This Row],[SDate]],-1)+1=[1]DATA!$G$3:$G$9826),0)),vp.data[[#This Row],[Dens Input]]),"")</f>
        <v>803.6</v>
      </c>
      <c r="N34" s="2">
        <f ca="1">INDEX(INDIRECT(_xlfn.CONCAT("weather.tbl[",N$1,"]")),MATCH(vp.data[[#This Row],[SDate]],weather.tbl[Date],0))</f>
        <v>1.3666666666666665</v>
      </c>
      <c r="O34" s="2">
        <f ca="1">INDEX(INDIRECT(_xlfn.CONCAT("weather.tbl[",O$1,"]")),MATCH(vp.data[[#This Row],[SDate]],weather.tbl[Date],0))</f>
        <v>2.1714285714285717</v>
      </c>
      <c r="P34" s="2">
        <f ca="1">INDEX(INDIRECT(_xlfn.CONCAT("weather.tbl[",P$1,"]")),MATCH(vp.data[[#This Row],[SDate]],weather.tbl[Date],0))</f>
        <v>1.8</v>
      </c>
      <c r="Q34" s="2">
        <f ca="1">INDEX(INDIRECT(_xlfn.CONCAT("weather.tbl[",Q$1,"]")),MATCH(vp.data[[#This Row],[SDate]],weather.tbl[Date],0))</f>
        <v>1.5</v>
      </c>
      <c r="R34" s="2">
        <f ca="1">INDEX(INDIRECT(_xlfn.CONCAT("weather.tbl[",R$1,"]")),MATCH(vp.data[[#This Row],[SDate]],weather.tbl[Date],0))</f>
        <v>3</v>
      </c>
      <c r="S34" s="2">
        <f ca="1">INDEX(INDIRECT(_xlfn.CONCAT("weather.tbl[",S$1,"]")),MATCH(vp.data[[#This Row],[SDate]],weather.tbl[Date],0))</f>
        <v>1.3</v>
      </c>
      <c r="T34" s="2">
        <f ca="1">INDEX(INDIRECT(_xlfn.CONCAT("weather.tbl[",T$1,"]")),MATCH(vp.data[[#This Row],[SDate]],weather.tbl[Date],0))</f>
        <v>0.4</v>
      </c>
      <c r="U34" s="2">
        <f ca="1">INDEX(INDIRECT(_xlfn.CONCAT("weather.tbl[",U$1,"]")),MATCH(vp.data[[#This Row],[SDate]],weather.tbl[Date],0))</f>
        <v>0.2</v>
      </c>
      <c r="V34" s="2">
        <f t="array" ref="V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32357.971000000001</v>
      </c>
      <c r="W34" t="s">
        <v>48</v>
      </c>
      <c r="X34">
        <f>IF(OR(vp.data[[#This Row],[Sulf]]="",vp.data[[#This Row],[Dens]]=""),1,0)</f>
        <v>0</v>
      </c>
      <c r="Y34">
        <f>IF(vp.data[[#This Row],[CrudeType]]="C5+",1,0)</f>
        <v>0</v>
      </c>
      <c r="Z34">
        <f>IF(AND(vp.data[[#This Row],[CrudeType]]="Crude",vp.data[[#This Row],[Dens]]&lt;=825,vp.data[[#This Row],[Sulf]]&gt;0.5,vp.data[[#This Row],[Unknown]]=0),1,0)</f>
        <v>0</v>
      </c>
      <c r="AA34">
        <f>IF(AND(vp.data[[#This Row],[CrudeType]]="Crude",vp.data[[#This Row],[Dens]]&lt;=825,vp.data[[#This Row],[Sulf]]&lt;=0.5,vp.data[[#This Row],[Unknown]]=0),1,0)</f>
        <v>1</v>
      </c>
      <c r="AB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">
        <f>IF(AND(vp.data[[#This Row],[CrudeType]]="Crude",vp.data[[#This Row],[Dens]]&gt;825,vp.data[[#This Row],[Dens]]&lt;=900,vp.data[[#This Row],[Sulf]]&lt;=0.5,vp.data[[#This Row],[Unknown]]=0),1,0)</f>
        <v>0</v>
      </c>
      <c r="AD34">
        <f>IF(AND(vp.data[[#This Row],[CrudeType]]="Crude",vp.data[[#This Row],[Dens]]&gt;865,vp.data[[#This Row],[Dens]]&lt;=900,vp.data[[#This Row],[Sulf]]&gt;2,vp.data[[#This Row],[Unknown]]=0),1,0)</f>
        <v>0</v>
      </c>
      <c r="AE34">
        <f>IF(AND(vp.data[[#This Row],[CrudeType]]="Crude",vp.data[[#This Row],[Dens]]&gt;900,vp.data[[#This Row],[Sulf]]&lt;=0.5,vp.data[[#This Row],[Unknown]]=0),1,0)</f>
        <v>0</v>
      </c>
      <c r="AF34">
        <f>IF(AND(vp.data[[#This Row],[CrudeType]]="Crude",vp.data[[#This Row],[Dens]]&gt;900,vp.data[[#This Row],[Sulf]]&lt;=0.5,vp.data[[#This Row],[Unknown]]=0),1,0)</f>
        <v>0</v>
      </c>
      <c r="AG34" t="str">
        <f>INDEX(vp.data[[#Headers],[Unknown]:[Heavy_SW]],MATCH(1,vp.data[[#This Row],[Unknown]:[Heavy_SW]],0))</f>
        <v>Light_SW</v>
      </c>
      <c r="AH34">
        <f>INDEX([3]!crudeBD.lkup[Number],MATCH(vp.data[[#This Row],[Crude_Breakdown]],crudeBD.lkup[Crude Breakdown],0))</f>
        <v>2</v>
      </c>
      <c r="AI34">
        <f>MONTH(vp.data[[#This Row],[SDate]])</f>
        <v>11</v>
      </c>
      <c r="AJ34" s="5">
        <f>(vp.data[[#This Row],[VP]]-INDEX(crudeBD.lkup[Mean_VP],MATCH(vp.data[[#This Row],[Crude_Breakdown]],crudeBD.lkup[Crude Breakdown],0)))^2</f>
        <v>64.807548878825301</v>
      </c>
      <c r="AK34" s="5">
        <f>(vp.data[[#This Row],[Dens]]-INDEX(crudeBD.lkup[Mean_Dens],MATCH(vp.data[[#This Row],[Crude_Breakdown]],crudeBD.lkup[Crude Breakdown],0)))^2</f>
        <v>22.198215833624456</v>
      </c>
      <c r="AL34" s="5">
        <f>(vp.data[[#This Row],[Sulf]]-INDEX(crudeBD.lkup[Mean_Sulf],MATCH(vp.data[[#This Row],[Crude_Breakdown]],crudeBD.lkup[Crude Breakdown],0)))^2</f>
        <v>6.8863268899706654E-4</v>
      </c>
      <c r="AM34" s="4">
        <f>IF(AND(vp.data[[#This Row],[SDate]]&gt;=DATE(YEAR(vp.data[[#This Row],[SDate]]),5,1),vp.data[[#This Row],[SDate]]&lt;=DATE(YEAR(vp.data[[#This Row],[SDate]]),9,15)),1,0)</f>
        <v>0</v>
      </c>
      <c r="AN34" s="4">
        <f>IF(vp.data[[#This Row],[SDate]]&lt;DATE(2016,12,1),0,1)</f>
        <v>0</v>
      </c>
      <c r="AO34" s="4">
        <f>IFERROR(vp.data[[#This Row],[Sulf]]*vp.data[[#This Row],[Net Dens]],"")</f>
        <v>5460601.7540759994</v>
      </c>
      <c r="AP34">
        <f>IFERROR(vp.data[[#This Row],[Dens]]*vp.data[[#This Row],[VolumeM3]],"")</f>
        <v>26002865.4956</v>
      </c>
      <c r="AQ34" s="15">
        <f>IFERROR(vp.data[[#This Row],[VP]]*vp.data[[#This Row],[VolumeM3]],"")</f>
        <v>2734248.5495000002</v>
      </c>
    </row>
    <row r="35" spans="1:43" x14ac:dyDescent="0.25">
      <c r="A35">
        <v>34</v>
      </c>
      <c r="B35" t="s">
        <v>56</v>
      </c>
      <c r="C35" t="s">
        <v>56</v>
      </c>
      <c r="D35" t="s">
        <v>57</v>
      </c>
      <c r="F35" s="1">
        <v>42321</v>
      </c>
      <c r="G35" s="2">
        <v>94.7</v>
      </c>
      <c r="H35" s="2"/>
      <c r="I35" s="2">
        <f t="array" ref="I35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35" s="2"/>
      <c r="K35" s="2"/>
      <c r="L35" s="2">
        <v>841.4</v>
      </c>
      <c r="M35" s="2">
        <f t="array" ref="M35">_xlfn.IFNA(IF(vp.data[[#This Row],[Dens Input]]="",INDEX([1]DATA!$O$3:$O$9826,MATCH(1,(vp.data[[#This Row],[Battery]]=[1]DATA!$L$3:$L$9826)*(EOMONTH(vp.data[[#This Row],[SDate]],-1)+1=[1]DATA!$G$3:$G$9826),0)),vp.data[[#This Row],[Dens Input]]),"")</f>
        <v>841.4</v>
      </c>
      <c r="N35" s="2">
        <f ca="1">INDEX(INDIRECT(_xlfn.CONCAT("weather.tbl[",N$1,"]")),MATCH(vp.data[[#This Row],[SDate]],weather.tbl[Date],0))</f>
        <v>1.3666666666666665</v>
      </c>
      <c r="O35" s="2">
        <f ca="1">INDEX(INDIRECT(_xlfn.CONCAT("weather.tbl[",O$1,"]")),MATCH(vp.data[[#This Row],[SDate]],weather.tbl[Date],0))</f>
        <v>2.1714285714285717</v>
      </c>
      <c r="P35" s="2">
        <f ca="1">INDEX(INDIRECT(_xlfn.CONCAT("weather.tbl[",P$1,"]")),MATCH(vp.data[[#This Row],[SDate]],weather.tbl[Date],0))</f>
        <v>1.8</v>
      </c>
      <c r="Q35" s="2">
        <f ca="1">INDEX(INDIRECT(_xlfn.CONCAT("weather.tbl[",Q$1,"]")),MATCH(vp.data[[#This Row],[SDate]],weather.tbl[Date],0))</f>
        <v>1.5</v>
      </c>
      <c r="R35" s="2">
        <f ca="1">INDEX(INDIRECT(_xlfn.CONCAT("weather.tbl[",R$1,"]")),MATCH(vp.data[[#This Row],[SDate]],weather.tbl[Date],0))</f>
        <v>3</v>
      </c>
      <c r="S35" s="2">
        <f ca="1">INDEX(INDIRECT(_xlfn.CONCAT("weather.tbl[",S$1,"]")),MATCH(vp.data[[#This Row],[SDate]],weather.tbl[Date],0))</f>
        <v>1.3</v>
      </c>
      <c r="T35" s="2">
        <f ca="1">INDEX(INDIRECT(_xlfn.CONCAT("weather.tbl[",T$1,"]")),MATCH(vp.data[[#This Row],[SDate]],weather.tbl[Date],0))</f>
        <v>0.4</v>
      </c>
      <c r="U35" s="2">
        <f ca="1">INDEX(INDIRECT(_xlfn.CONCAT("weather.tbl[",U$1,"]")),MATCH(vp.data[[#This Row],[SDate]],weather.tbl[Date],0))</f>
        <v>0.2</v>
      </c>
      <c r="V35" s="2">
        <f t="array" ref="V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3565.95</v>
      </c>
      <c r="W35" t="s">
        <v>48</v>
      </c>
      <c r="X35">
        <f>IF(OR(vp.data[[#This Row],[Sulf]]="",vp.data[[#This Row],[Dens]]=""),1,0)</f>
        <v>0</v>
      </c>
      <c r="Y35">
        <f>IF(vp.data[[#This Row],[CrudeType]]="C5+",1,0)</f>
        <v>0</v>
      </c>
      <c r="Z35">
        <f>IF(AND(vp.data[[#This Row],[CrudeType]]="Crude",vp.data[[#This Row],[Dens]]&lt;=825,vp.data[[#This Row],[Sulf]]&gt;0.5,vp.data[[#This Row],[Unknown]]=0),1,0)</f>
        <v>0</v>
      </c>
      <c r="AA35">
        <f>IF(AND(vp.data[[#This Row],[CrudeType]]="Crude",vp.data[[#This Row],[Dens]]&lt;=825,vp.data[[#This Row],[Sulf]]&lt;=0.5,vp.data[[#This Row],[Unknown]]=0),1,0)</f>
        <v>0</v>
      </c>
      <c r="AB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">
        <f>IF(AND(vp.data[[#This Row],[CrudeType]]="Crude",vp.data[[#This Row],[Dens]]&gt;825,vp.data[[#This Row],[Dens]]&lt;=900,vp.data[[#This Row],[Sulf]]&lt;=0.5,vp.data[[#This Row],[Unknown]]=0),1,0)</f>
        <v>0</v>
      </c>
      <c r="AD35">
        <f>IF(AND(vp.data[[#This Row],[CrudeType]]="Crude",vp.data[[#This Row],[Dens]]&gt;865,vp.data[[#This Row],[Dens]]&lt;=900,vp.data[[#This Row],[Sulf]]&gt;2,vp.data[[#This Row],[Unknown]]=0),1,0)</f>
        <v>0</v>
      </c>
      <c r="AE35">
        <f>IF(AND(vp.data[[#This Row],[CrudeType]]="Crude",vp.data[[#This Row],[Dens]]&gt;900,vp.data[[#This Row],[Sulf]]&lt;=0.5,vp.data[[#This Row],[Unknown]]=0),1,0)</f>
        <v>0</v>
      </c>
      <c r="AF35">
        <f>IF(AND(vp.data[[#This Row],[CrudeType]]="Crude",vp.data[[#This Row],[Dens]]&gt;900,vp.data[[#This Row],[Sulf]]&lt;=0.5,vp.data[[#This Row],[Unknown]]=0),1,0)</f>
        <v>0</v>
      </c>
      <c r="AG35" t="str">
        <f>INDEX(vp.data[[#Headers],[Unknown]:[Heavy_SW]],MATCH(1,vp.data[[#This Row],[Unknown]:[Heavy_SW]],0))</f>
        <v>Medium_LSB</v>
      </c>
      <c r="AH35">
        <f>INDEX([3]!crudeBD.lkup[Number],MATCH(vp.data[[#This Row],[Crude_Breakdown]],crudeBD.lkup[Crude Breakdown],0))</f>
        <v>3</v>
      </c>
      <c r="AI35">
        <f>MONTH(vp.data[[#This Row],[SDate]])</f>
        <v>11</v>
      </c>
      <c r="AJ35" s="5">
        <f>(vp.data[[#This Row],[VP]]-INDEX(crudeBD.lkup[Mean_VP],MATCH(vp.data[[#This Row],[Crude_Breakdown]],crudeBD.lkup[Crude Breakdown],0)))^2</f>
        <v>197.69269552241184</v>
      </c>
      <c r="AK35" s="5">
        <f>(vp.data[[#This Row],[Dens]]-INDEX(crudeBD.lkup[Mean_Dens],MATCH(vp.data[[#This Row],[Crude_Breakdown]],crudeBD.lkup[Crude Breakdown],0)))^2</f>
        <v>6.3503999999976166</v>
      </c>
      <c r="AL35" s="5">
        <f>(vp.data[[#This Row],[Sulf]]-INDEX(crudeBD.lkup[Mean_Sulf],MATCH(vp.data[[#This Row],[Crude_Breakdown]],crudeBD.lkup[Crude Breakdown],0)))^2</f>
        <v>2.9802726320805671E-3</v>
      </c>
      <c r="AM35" s="4">
        <f>IF(AND(vp.data[[#This Row],[SDate]]&gt;=DATE(YEAR(vp.data[[#This Row],[SDate]]),5,1),vp.data[[#This Row],[SDate]]&lt;=DATE(YEAR(vp.data[[#This Row],[SDate]]),9,15)),1,0)</f>
        <v>0</v>
      </c>
      <c r="AN35" s="4">
        <f>IF(vp.data[[#This Row],[SDate]]&lt;DATE(2016,12,1),0,1)</f>
        <v>0</v>
      </c>
      <c r="AO35" s="4">
        <f>IFERROR(vp.data[[#This Row],[Sulf]]*vp.data[[#This Row],[Net Dens]],"")</f>
        <v>4320562.0751999989</v>
      </c>
      <c r="AP35">
        <f>IFERROR(vp.data[[#This Row],[Dens]]*vp.data[[#This Row],[VolumeM3]],"")</f>
        <v>3000390.3299999996</v>
      </c>
      <c r="AQ35" s="15">
        <f>IFERROR(vp.data[[#This Row],[VP]]*vp.data[[#This Row],[VolumeM3]],"")</f>
        <v>337695.46499999997</v>
      </c>
    </row>
    <row r="36" spans="1:43" x14ac:dyDescent="0.25">
      <c r="A36">
        <v>35</v>
      </c>
      <c r="B36" t="s">
        <v>51</v>
      </c>
      <c r="C36" t="s">
        <v>51</v>
      </c>
      <c r="D36" t="s">
        <v>52</v>
      </c>
      <c r="F36" s="1">
        <v>42321</v>
      </c>
      <c r="G36" s="2">
        <v>111.6</v>
      </c>
      <c r="H36" s="2"/>
      <c r="I36" s="2">
        <f t="array" ref="I36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36" s="2"/>
      <c r="K36" s="2"/>
      <c r="L36" s="2">
        <v>869</v>
      </c>
      <c r="M36" s="2">
        <f t="array" ref="M36">_xlfn.IFNA(IF(vp.data[[#This Row],[Dens Input]]="",INDEX([1]DATA!$O$3:$O$9826,MATCH(1,(vp.data[[#This Row],[Battery]]=[1]DATA!$L$3:$L$9826)*(EOMONTH(vp.data[[#This Row],[SDate]],-1)+1=[1]DATA!$G$3:$G$9826),0)),vp.data[[#This Row],[Dens Input]]),"")</f>
        <v>869</v>
      </c>
      <c r="N36" s="2">
        <f ca="1">INDEX(INDIRECT(_xlfn.CONCAT("weather.tbl[",N$1,"]")),MATCH(vp.data[[#This Row],[SDate]],weather.tbl[Date],0))</f>
        <v>1.3666666666666665</v>
      </c>
      <c r="O36" s="2">
        <f ca="1">INDEX(INDIRECT(_xlfn.CONCAT("weather.tbl[",O$1,"]")),MATCH(vp.data[[#This Row],[SDate]],weather.tbl[Date],0))</f>
        <v>2.1714285714285717</v>
      </c>
      <c r="P36" s="2">
        <f ca="1">INDEX(INDIRECT(_xlfn.CONCAT("weather.tbl[",P$1,"]")),MATCH(vp.data[[#This Row],[SDate]],weather.tbl[Date],0))</f>
        <v>1.8</v>
      </c>
      <c r="Q36" s="2">
        <f ca="1">INDEX(INDIRECT(_xlfn.CONCAT("weather.tbl[",Q$1,"]")),MATCH(vp.data[[#This Row],[SDate]],weather.tbl[Date],0))</f>
        <v>1.5</v>
      </c>
      <c r="R36" s="2">
        <f ca="1">INDEX(INDIRECT(_xlfn.CONCAT("weather.tbl[",R$1,"]")),MATCH(vp.data[[#This Row],[SDate]],weather.tbl[Date],0))</f>
        <v>3</v>
      </c>
      <c r="S36" s="2">
        <f ca="1">INDEX(INDIRECT(_xlfn.CONCAT("weather.tbl[",S$1,"]")),MATCH(vp.data[[#This Row],[SDate]],weather.tbl[Date],0))</f>
        <v>1.3</v>
      </c>
      <c r="T36" s="2">
        <f ca="1">INDEX(INDIRECT(_xlfn.CONCAT("weather.tbl[",T$1,"]")),MATCH(vp.data[[#This Row],[SDate]],weather.tbl[Date],0))</f>
        <v>0.4</v>
      </c>
      <c r="U36" s="2">
        <f ca="1">INDEX(INDIRECT(_xlfn.CONCAT("weather.tbl[",U$1,"]")),MATCH(vp.data[[#This Row],[SDate]],weather.tbl[Date],0))</f>
        <v>0.2</v>
      </c>
      <c r="V36" s="2">
        <f t="array" ref="V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7873.1390000000001</v>
      </c>
      <c r="W36" t="s">
        <v>48</v>
      </c>
      <c r="X36">
        <f>IF(OR(vp.data[[#This Row],[Sulf]]="",vp.data[[#This Row],[Dens]]=""),1,0)</f>
        <v>0</v>
      </c>
      <c r="Y36">
        <f>IF(vp.data[[#This Row],[CrudeType]]="C5+",1,0)</f>
        <v>0</v>
      </c>
      <c r="Z36">
        <f>IF(AND(vp.data[[#This Row],[CrudeType]]="Crude",vp.data[[#This Row],[Dens]]&lt;=825,vp.data[[#This Row],[Sulf]]&gt;0.5,vp.data[[#This Row],[Unknown]]=0),1,0)</f>
        <v>0</v>
      </c>
      <c r="AA36">
        <f>IF(AND(vp.data[[#This Row],[CrudeType]]="Crude",vp.data[[#This Row],[Dens]]&lt;=825,vp.data[[#This Row],[Sulf]]&lt;=0.5,vp.data[[#This Row],[Unknown]]=0),1,0)</f>
        <v>0</v>
      </c>
      <c r="AB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">
        <f>IF(AND(vp.data[[#This Row],[CrudeType]]="Crude",vp.data[[#This Row],[Dens]]&gt;825,vp.data[[#This Row],[Dens]]&lt;=900,vp.data[[#This Row],[Sulf]]&lt;=0.5,vp.data[[#This Row],[Unknown]]=0),1,0)</f>
        <v>0</v>
      </c>
      <c r="AD36">
        <f>IF(AND(vp.data[[#This Row],[CrudeType]]="Crude",vp.data[[#This Row],[Dens]]&gt;865,vp.data[[#This Row],[Dens]]&lt;=900,vp.data[[#This Row],[Sulf]]&gt;2,vp.data[[#This Row],[Unknown]]=0),1,0)</f>
        <v>1</v>
      </c>
      <c r="AE36">
        <f>IF(AND(vp.data[[#This Row],[CrudeType]]="Crude",vp.data[[#This Row],[Dens]]&gt;900,vp.data[[#This Row],[Sulf]]&lt;=0.5,vp.data[[#This Row],[Unknown]]=0),1,0)</f>
        <v>0</v>
      </c>
      <c r="AF36">
        <f>IF(AND(vp.data[[#This Row],[CrudeType]]="Crude",vp.data[[#This Row],[Dens]]&gt;900,vp.data[[#This Row],[Sulf]]&lt;=0.5,vp.data[[#This Row],[Unknown]]=0),1,0)</f>
        <v>0</v>
      </c>
      <c r="AG36" t="str">
        <f>INDEX(vp.data[[#Headers],[Unknown]:[Heavy_SW]],MATCH(1,vp.data[[#This Row],[Unknown]:[Heavy_SW]],0))</f>
        <v>Midale</v>
      </c>
      <c r="AH36">
        <f>INDEX([3]!crudeBD.lkup[Number],MATCH(vp.data[[#This Row],[Crude_Breakdown]],crudeBD.lkup[Crude Breakdown],0))</f>
        <v>5</v>
      </c>
      <c r="AI36">
        <f>MONTH(vp.data[[#This Row],[SDate]])</f>
        <v>11</v>
      </c>
      <c r="AJ36" s="5">
        <f>(vp.data[[#This Row],[VP]]-INDEX(crudeBD.lkup[Mean_VP],MATCH(vp.data[[#This Row],[Crude_Breakdown]],crudeBD.lkup[Crude Breakdown],0)))^2</f>
        <v>1780.1004891593125</v>
      </c>
      <c r="AK36" s="5">
        <f>(vp.data[[#This Row],[Dens]]-INDEX(crudeBD.lkup[Mean_Dens],MATCH(vp.data[[#This Row],[Crude_Breakdown]],crudeBD.lkup[Crude Breakdown],0)))^2</f>
        <v>33.837608938254185</v>
      </c>
      <c r="AL36" s="5">
        <f>(vp.data[[#This Row],[Sulf]]-INDEX(crudeBD.lkup[Mean_Sulf],MATCH(vp.data[[#This Row],[Crude_Breakdown]],crudeBD.lkup[Crude Breakdown],0)))^2</f>
        <v>2.0625431087692294E-2</v>
      </c>
      <c r="AM36" s="4">
        <f>IF(AND(vp.data[[#This Row],[SDate]]&gt;=DATE(YEAR(vp.data[[#This Row],[SDate]]),5,1),vp.data[[#This Row],[SDate]]&lt;=DATE(YEAR(vp.data[[#This Row],[SDate]]),9,15)),1,0)</f>
        <v>0</v>
      </c>
      <c r="AN36" s="4">
        <f>IF(vp.data[[#This Row],[SDate]]&lt;DATE(2016,12,1),0,1)</f>
        <v>0</v>
      </c>
      <c r="AO36" s="4">
        <f>IFERROR(vp.data[[#This Row],[Sulf]]*vp.data[[#This Row],[Net Dens]],"")</f>
        <v>15736042.919299999</v>
      </c>
      <c r="AP36">
        <f>IFERROR(vp.data[[#This Row],[Dens]]*vp.data[[#This Row],[VolumeM3]],"")</f>
        <v>6841757.7910000002</v>
      </c>
      <c r="AQ36" s="15">
        <f>IFERROR(vp.data[[#This Row],[VP]]*vp.data[[#This Row],[VolumeM3]],"")</f>
        <v>878642.31239999994</v>
      </c>
    </row>
    <row r="37" spans="1:43" x14ac:dyDescent="0.25">
      <c r="A37">
        <v>36</v>
      </c>
      <c r="B37" t="s">
        <v>46</v>
      </c>
      <c r="C37" t="s">
        <v>46</v>
      </c>
      <c r="D37" t="s">
        <v>47</v>
      </c>
      <c r="F37" s="1">
        <v>42321</v>
      </c>
      <c r="G37" s="2">
        <v>70.8</v>
      </c>
      <c r="H37" s="2"/>
      <c r="I37" s="2">
        <f t="array" ref="I37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37" s="2"/>
      <c r="K37" s="2"/>
      <c r="L37" s="2">
        <v>870.6</v>
      </c>
      <c r="M37" s="2">
        <f t="array" ref="M37">_xlfn.IFNA(IF(vp.data[[#This Row],[Dens Input]]="",INDEX([1]DATA!$O$3:$O$9826,MATCH(1,(vp.data[[#This Row],[Battery]]=[1]DATA!$L$3:$L$9826)*(EOMONTH(vp.data[[#This Row],[SDate]],-1)+1=[1]DATA!$G$3:$G$9826),0)),vp.data[[#This Row],[Dens Input]]),"")</f>
        <v>870.6</v>
      </c>
      <c r="N37" s="2">
        <f ca="1">INDEX(INDIRECT(_xlfn.CONCAT("weather.tbl[",N$1,"]")),MATCH(vp.data[[#This Row],[SDate]],weather.tbl[Date],0))</f>
        <v>1.3666666666666665</v>
      </c>
      <c r="O37" s="2">
        <f ca="1">INDEX(INDIRECT(_xlfn.CONCAT("weather.tbl[",O$1,"]")),MATCH(vp.data[[#This Row],[SDate]],weather.tbl[Date],0))</f>
        <v>2.1714285714285717</v>
      </c>
      <c r="P37" s="2">
        <f ca="1">INDEX(INDIRECT(_xlfn.CONCAT("weather.tbl[",P$1,"]")),MATCH(vp.data[[#This Row],[SDate]],weather.tbl[Date],0))</f>
        <v>1.8</v>
      </c>
      <c r="Q37" s="2">
        <f ca="1">INDEX(INDIRECT(_xlfn.CONCAT("weather.tbl[",Q$1,"]")),MATCH(vp.data[[#This Row],[SDate]],weather.tbl[Date],0))</f>
        <v>1.5</v>
      </c>
      <c r="R37" s="2">
        <f ca="1">INDEX(INDIRECT(_xlfn.CONCAT("weather.tbl[",R$1,"]")),MATCH(vp.data[[#This Row],[SDate]],weather.tbl[Date],0))</f>
        <v>3</v>
      </c>
      <c r="S37" s="2">
        <f ca="1">INDEX(INDIRECT(_xlfn.CONCAT("weather.tbl[",S$1,"]")),MATCH(vp.data[[#This Row],[SDate]],weather.tbl[Date],0))</f>
        <v>1.3</v>
      </c>
      <c r="T37" s="2">
        <f ca="1">INDEX(INDIRECT(_xlfn.CONCAT("weather.tbl[",T$1,"]")),MATCH(vp.data[[#This Row],[SDate]],weather.tbl[Date],0))</f>
        <v>0.4</v>
      </c>
      <c r="U37" s="2">
        <f ca="1">INDEX(INDIRECT(_xlfn.CONCAT("weather.tbl[",U$1,"]")),MATCH(vp.data[[#This Row],[SDate]],weather.tbl[Date],0))</f>
        <v>0.2</v>
      </c>
      <c r="V37" s="2">
        <f t="array" ref="V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113621.71</v>
      </c>
      <c r="W37" t="s">
        <v>48</v>
      </c>
      <c r="X37">
        <f>IF(OR(vp.data[[#This Row],[Sulf]]="",vp.data[[#This Row],[Dens]]=""),1,0)</f>
        <v>0</v>
      </c>
      <c r="Y37">
        <f>IF(vp.data[[#This Row],[CrudeType]]="C5+",1,0)</f>
        <v>0</v>
      </c>
      <c r="Z37">
        <f>IF(AND(vp.data[[#This Row],[CrudeType]]="Crude",vp.data[[#This Row],[Dens]]&lt;=825,vp.data[[#This Row],[Sulf]]&gt;0.5,vp.data[[#This Row],[Unknown]]=0),1,0)</f>
        <v>0</v>
      </c>
      <c r="AA37">
        <f>IF(AND(vp.data[[#This Row],[CrudeType]]="Crude",vp.data[[#This Row],[Dens]]&lt;=825,vp.data[[#This Row],[Sulf]]&lt;=0.5,vp.data[[#This Row],[Unknown]]=0),1,0)</f>
        <v>0</v>
      </c>
      <c r="AB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">
        <f>IF(AND(vp.data[[#This Row],[CrudeType]]="Crude",vp.data[[#This Row],[Dens]]&gt;825,vp.data[[#This Row],[Dens]]&lt;=900,vp.data[[#This Row],[Sulf]]&lt;=0.5,vp.data[[#This Row],[Unknown]]=0),1,0)</f>
        <v>0</v>
      </c>
      <c r="AD37">
        <f>IF(AND(vp.data[[#This Row],[CrudeType]]="Crude",vp.data[[#This Row],[Dens]]&gt;865,vp.data[[#This Row],[Dens]]&lt;=900,vp.data[[#This Row],[Sulf]]&gt;2,vp.data[[#This Row],[Unknown]]=0),1,0)</f>
        <v>1</v>
      </c>
      <c r="AE37">
        <f>IF(AND(vp.data[[#This Row],[CrudeType]]="Crude",vp.data[[#This Row],[Dens]]&gt;900,vp.data[[#This Row],[Sulf]]&lt;=0.5,vp.data[[#This Row],[Unknown]]=0),1,0)</f>
        <v>0</v>
      </c>
      <c r="AF37">
        <f>IF(AND(vp.data[[#This Row],[CrudeType]]="Crude",vp.data[[#This Row],[Dens]]&gt;900,vp.data[[#This Row],[Sulf]]&lt;=0.5,vp.data[[#This Row],[Unknown]]=0),1,0)</f>
        <v>0</v>
      </c>
      <c r="AG37" t="str">
        <f>INDEX(vp.data[[#Headers],[Unknown]:[Heavy_SW]],MATCH(1,vp.data[[#This Row],[Unknown]:[Heavy_SW]],0))</f>
        <v>Midale</v>
      </c>
      <c r="AH37">
        <f>INDEX([3]!crudeBD.lkup[Number],MATCH(vp.data[[#This Row],[Crude_Breakdown]],crudeBD.lkup[Crude Breakdown],0))</f>
        <v>5</v>
      </c>
      <c r="AI37">
        <f>MONTH(vp.data[[#This Row],[SDate]])</f>
        <v>11</v>
      </c>
      <c r="AJ37" s="5">
        <f>(vp.data[[#This Row],[VP]]-INDEX(crudeBD.lkup[Mean_VP],MATCH(vp.data[[#This Row],[Crude_Breakdown]],crudeBD.lkup[Crude Breakdown],0)))^2</f>
        <v>1.9355407057072063</v>
      </c>
      <c r="AK37" s="5">
        <f>(vp.data[[#This Row],[Dens]]-INDEX(crudeBD.lkup[Mean_Dens],MATCH(vp.data[[#This Row],[Crude_Breakdown]],crudeBD.lkup[Crude Breakdown],0)))^2</f>
        <v>17.783175948562288</v>
      </c>
      <c r="AL37" s="5">
        <f>(vp.data[[#This Row],[Sulf]]-INDEX(crudeBD.lkup[Mean_Sulf],MATCH(vp.data[[#This Row],[Crude_Breakdown]],crudeBD.lkup[Crude Breakdown],0)))^2</f>
        <v>1.130006345424492E-3</v>
      </c>
      <c r="AM37" s="4">
        <f>IF(AND(vp.data[[#This Row],[SDate]]&gt;=DATE(YEAR(vp.data[[#This Row],[SDate]]),5,1),vp.data[[#This Row],[SDate]]&lt;=DATE(YEAR(vp.data[[#This Row],[SDate]]),9,15)),1,0)</f>
        <v>0</v>
      </c>
      <c r="AN37" s="4">
        <f>IF(vp.data[[#This Row],[SDate]]&lt;DATE(2016,12,1),0,1)</f>
        <v>0</v>
      </c>
      <c r="AO37" s="4">
        <f>IFERROR(vp.data[[#This Row],[Sulf]]*vp.data[[#This Row],[Net Dens]],"")</f>
        <v>238394936.34966004</v>
      </c>
      <c r="AP37">
        <f>IFERROR(vp.data[[#This Row],[Dens]]*vp.data[[#This Row],[VolumeM3]],"")</f>
        <v>98919060.726000011</v>
      </c>
      <c r="AQ37" s="15">
        <f>IFERROR(vp.data[[#This Row],[VP]]*vp.data[[#This Row],[VolumeM3]],"")</f>
        <v>8044417.068</v>
      </c>
    </row>
    <row r="38" spans="1:43" x14ac:dyDescent="0.25">
      <c r="A38">
        <v>37</v>
      </c>
      <c r="B38" t="s">
        <v>49</v>
      </c>
      <c r="C38" t="s">
        <v>49</v>
      </c>
      <c r="D38" t="s">
        <v>50</v>
      </c>
      <c r="F38" s="1">
        <v>42321</v>
      </c>
      <c r="G38" s="2">
        <v>115.1</v>
      </c>
      <c r="H38" s="2"/>
      <c r="I38" s="2">
        <f t="array" ref="I38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38" s="2"/>
      <c r="K38" s="2"/>
      <c r="L38" s="2">
        <v>875.8</v>
      </c>
      <c r="M38" s="2">
        <f t="array" ref="M38">_xlfn.IFNA(IF(vp.data[[#This Row],[Dens Input]]="",INDEX([1]DATA!$O$3:$O$9826,MATCH(1,(vp.data[[#This Row],[Battery]]=[1]DATA!$L$3:$L$9826)*(EOMONTH(vp.data[[#This Row],[SDate]],-1)+1=[1]DATA!$G$3:$G$9826),0)),vp.data[[#This Row],[Dens Input]]),"")</f>
        <v>875.8</v>
      </c>
      <c r="N38" s="2">
        <f ca="1">INDEX(INDIRECT(_xlfn.CONCAT("weather.tbl[",N$1,"]")),MATCH(vp.data[[#This Row],[SDate]],weather.tbl[Date],0))</f>
        <v>1.3666666666666665</v>
      </c>
      <c r="O38" s="2">
        <f ca="1">INDEX(INDIRECT(_xlfn.CONCAT("weather.tbl[",O$1,"]")),MATCH(vp.data[[#This Row],[SDate]],weather.tbl[Date],0))</f>
        <v>2.1714285714285717</v>
      </c>
      <c r="P38" s="2">
        <f ca="1">INDEX(INDIRECT(_xlfn.CONCAT("weather.tbl[",P$1,"]")),MATCH(vp.data[[#This Row],[SDate]],weather.tbl[Date],0))</f>
        <v>1.8</v>
      </c>
      <c r="Q38" s="2">
        <f ca="1">INDEX(INDIRECT(_xlfn.CONCAT("weather.tbl[",Q$1,"]")),MATCH(vp.data[[#This Row],[SDate]],weather.tbl[Date],0))</f>
        <v>1.5</v>
      </c>
      <c r="R38" s="2">
        <f ca="1">INDEX(INDIRECT(_xlfn.CONCAT("weather.tbl[",R$1,"]")),MATCH(vp.data[[#This Row],[SDate]],weather.tbl[Date],0))</f>
        <v>3</v>
      </c>
      <c r="S38" s="2">
        <f ca="1">INDEX(INDIRECT(_xlfn.CONCAT("weather.tbl[",S$1,"]")),MATCH(vp.data[[#This Row],[SDate]],weather.tbl[Date],0))</f>
        <v>1.3</v>
      </c>
      <c r="T38" s="2">
        <f ca="1">INDEX(INDIRECT(_xlfn.CONCAT("weather.tbl[",T$1,"]")),MATCH(vp.data[[#This Row],[SDate]],weather.tbl[Date],0))</f>
        <v>0.4</v>
      </c>
      <c r="U38" s="2">
        <f ca="1">INDEX(INDIRECT(_xlfn.CONCAT("weather.tbl[",U$1,"]")),MATCH(vp.data[[#This Row],[SDate]],weather.tbl[Date],0))</f>
        <v>0.2</v>
      </c>
      <c r="V38" s="2">
        <f t="array" ref="V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7369.9489999999996</v>
      </c>
      <c r="W38" t="s">
        <v>48</v>
      </c>
      <c r="X38">
        <f>IF(OR(vp.data[[#This Row],[Sulf]]="",vp.data[[#This Row],[Dens]]=""),1,0)</f>
        <v>0</v>
      </c>
      <c r="Y38">
        <f>IF(vp.data[[#This Row],[CrudeType]]="C5+",1,0)</f>
        <v>0</v>
      </c>
      <c r="Z38">
        <f>IF(AND(vp.data[[#This Row],[CrudeType]]="Crude",vp.data[[#This Row],[Dens]]&lt;=825,vp.data[[#This Row],[Sulf]]&gt;0.5,vp.data[[#This Row],[Unknown]]=0),1,0)</f>
        <v>0</v>
      </c>
      <c r="AA38">
        <f>IF(AND(vp.data[[#This Row],[CrudeType]]="Crude",vp.data[[#This Row],[Dens]]&lt;=825,vp.data[[#This Row],[Sulf]]&lt;=0.5,vp.data[[#This Row],[Unknown]]=0),1,0)</f>
        <v>0</v>
      </c>
      <c r="AB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">
        <f>IF(AND(vp.data[[#This Row],[CrudeType]]="Crude",vp.data[[#This Row],[Dens]]&gt;825,vp.data[[#This Row],[Dens]]&lt;=900,vp.data[[#This Row],[Sulf]]&lt;=0.5,vp.data[[#This Row],[Unknown]]=0),1,0)</f>
        <v>0</v>
      </c>
      <c r="AD38">
        <f>IF(AND(vp.data[[#This Row],[CrudeType]]="Crude",vp.data[[#This Row],[Dens]]&gt;865,vp.data[[#This Row],[Dens]]&lt;=900,vp.data[[#This Row],[Sulf]]&gt;2,vp.data[[#This Row],[Unknown]]=0),1,0)</f>
        <v>1</v>
      </c>
      <c r="AE38">
        <f>IF(AND(vp.data[[#This Row],[CrudeType]]="Crude",vp.data[[#This Row],[Dens]]&gt;900,vp.data[[#This Row],[Sulf]]&lt;=0.5,vp.data[[#This Row],[Unknown]]=0),1,0)</f>
        <v>0</v>
      </c>
      <c r="AF38">
        <f>IF(AND(vp.data[[#This Row],[CrudeType]]="Crude",vp.data[[#This Row],[Dens]]&gt;900,vp.data[[#This Row],[Sulf]]&lt;=0.5,vp.data[[#This Row],[Unknown]]=0),1,0)</f>
        <v>0</v>
      </c>
      <c r="AG38" t="str">
        <f>INDEX(vp.data[[#Headers],[Unknown]:[Heavy_SW]],MATCH(1,vp.data[[#This Row],[Unknown]:[Heavy_SW]],0))</f>
        <v>Midale</v>
      </c>
      <c r="AH38">
        <f>INDEX([3]!crudeBD.lkup[Number],MATCH(vp.data[[#This Row],[Crude_Breakdown]],crudeBD.lkup[Crude Breakdown],0))</f>
        <v>5</v>
      </c>
      <c r="AI38">
        <f>MONTH(vp.data[[#This Row],[SDate]])</f>
        <v>11</v>
      </c>
      <c r="AJ38" s="5">
        <f>(vp.data[[#This Row],[VP]]-INDEX(crudeBD.lkup[Mean_VP],MATCH(vp.data[[#This Row],[Crude_Breakdown]],crudeBD.lkup[Crude Breakdown],0)))^2</f>
        <v>2087.6891489531267</v>
      </c>
      <c r="AK38" s="5">
        <f>(vp.data[[#This Row],[Dens]]-INDEX(crudeBD.lkup[Mean_Dens],MATCH(vp.data[[#This Row],[Crude_Breakdown]],crudeBD.lkup[Crude Breakdown],0)))^2</f>
        <v>0.96626873206435104</v>
      </c>
      <c r="AL38" s="5">
        <f>(vp.data[[#This Row],[Sulf]]-INDEX(crudeBD.lkup[Mean_Sulf],MATCH(vp.data[[#This Row],[Crude_Breakdown]],crudeBD.lkup[Crude Breakdown],0)))^2</f>
        <v>2.1428402221713612E-2</v>
      </c>
      <c r="AM38" s="4">
        <f>IF(AND(vp.data[[#This Row],[SDate]]&gt;=DATE(YEAR(vp.data[[#This Row],[SDate]]),5,1),vp.data[[#This Row],[SDate]]&lt;=DATE(YEAR(vp.data[[#This Row],[SDate]]),9,15)),1,0)</f>
        <v>0</v>
      </c>
      <c r="AN38" s="4">
        <f>IF(vp.data[[#This Row],[SDate]]&lt;DATE(2016,12,1),0,1)</f>
        <v>0</v>
      </c>
      <c r="AO38" s="4">
        <f>IFERROR(vp.data[[#This Row],[Sulf]]*vp.data[[#This Row],[Net Dens]],"")</f>
        <v>16717417.455577997</v>
      </c>
      <c r="AP38">
        <f>IFERROR(vp.data[[#This Row],[Dens]]*vp.data[[#This Row],[VolumeM3]],"")</f>
        <v>6454601.3341999995</v>
      </c>
      <c r="AQ38" s="15">
        <f>IFERROR(vp.data[[#This Row],[VP]]*vp.data[[#This Row],[VolumeM3]],"")</f>
        <v>848281.12989999994</v>
      </c>
    </row>
    <row r="39" spans="1:43" x14ac:dyDescent="0.25">
      <c r="A39">
        <v>38</v>
      </c>
      <c r="B39" t="s">
        <v>51</v>
      </c>
      <c r="C39" t="s">
        <v>51</v>
      </c>
      <c r="D39" t="s">
        <v>66</v>
      </c>
      <c r="F39" s="1">
        <v>42325</v>
      </c>
      <c r="G39" s="2">
        <v>120</v>
      </c>
      <c r="H39" s="2"/>
      <c r="I39" s="2">
        <f t="array" ref="I39">_xlfn.IFNA(IF(vp.data[[#This Row],[Sulf Input]]="",INDEX([1]DATA!$Q$3:$Q$9826,MATCH(1,(vp.data[[#This Row],[Battery]]=[1]DATA!$L$3:$L$9826)*(EOMONTH(vp.data[[#This Row],[SDate]],-1)+1=[1]DATA!$G$3:$G$9826),0)),vp.data[[#This Row],[Sulf Input]]),"")</f>
        <v>1.1200000000000001</v>
      </c>
      <c r="J39" s="2"/>
      <c r="K39" s="2"/>
      <c r="L39" s="2">
        <v>824</v>
      </c>
      <c r="M39" s="2">
        <f t="array" ref="M39">_xlfn.IFNA(IF(vp.data[[#This Row],[Dens Input]]="",INDEX([1]DATA!$O$3:$O$9826,MATCH(1,(vp.data[[#This Row],[Battery]]=[1]DATA!$L$3:$L$9826)*(EOMONTH(vp.data[[#This Row],[SDate]],-1)+1=[1]DATA!$G$3:$G$9826),0)),vp.data[[#This Row],[Dens Input]]),"")</f>
        <v>824</v>
      </c>
      <c r="N39" s="2">
        <f ca="1">INDEX(INDIRECT(_xlfn.CONCAT("weather.tbl[",N$1,"]")),MATCH(vp.data[[#This Row],[SDate]],weather.tbl[Date],0))</f>
        <v>-0.38333333333333336</v>
      </c>
      <c r="O39" s="2">
        <f ca="1">INDEX(INDIRECT(_xlfn.CONCAT("weather.tbl[",O$1,"]")),MATCH(vp.data[[#This Row],[SDate]],weather.tbl[Date],0))</f>
        <v>2.0904761904761906</v>
      </c>
      <c r="P39" s="2">
        <f ca="1">INDEX(INDIRECT(_xlfn.CONCAT("weather.tbl[",P$1,"]")),MATCH(vp.data[[#This Row],[SDate]],weather.tbl[Date],0))</f>
        <v>-1.5</v>
      </c>
      <c r="Q39" s="2">
        <f ca="1">INDEX(INDIRECT(_xlfn.CONCAT("weather.tbl[",Q$1,"]")),MATCH(vp.data[[#This Row],[SDate]],weather.tbl[Date],0))</f>
        <v>-1.2</v>
      </c>
      <c r="R39" s="2">
        <f ca="1">INDEX(INDIRECT(_xlfn.CONCAT("weather.tbl[",R$1,"]")),MATCH(vp.data[[#This Row],[SDate]],weather.tbl[Date],0))</f>
        <v>-1</v>
      </c>
      <c r="S39" s="2">
        <f ca="1">INDEX(INDIRECT(_xlfn.CONCAT("weather.tbl[",S$1,"]")),MATCH(vp.data[[#This Row],[SDate]],weather.tbl[Date],0))</f>
        <v>2.5</v>
      </c>
      <c r="T39" s="2">
        <f ca="1">INDEX(INDIRECT(_xlfn.CONCAT("weather.tbl[",T$1,"]")),MATCH(vp.data[[#This Row],[SDate]],weather.tbl[Date],0))</f>
        <v>0.4</v>
      </c>
      <c r="U39" s="2">
        <f ca="1">INDEX(INDIRECT(_xlfn.CONCAT("weather.tbl[",U$1,"]")),MATCH(vp.data[[#This Row],[SDate]],weather.tbl[Date],0))</f>
        <v>-1.5</v>
      </c>
      <c r="V39" s="2">
        <f t="array" ref="V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4727.3119999999999</v>
      </c>
      <c r="W39" t="s">
        <v>48</v>
      </c>
      <c r="X39">
        <f>IF(OR(vp.data[[#This Row],[Sulf]]="",vp.data[[#This Row],[Dens]]=""),1,0)</f>
        <v>0</v>
      </c>
      <c r="Y39">
        <f>IF(vp.data[[#This Row],[CrudeType]]="C5+",1,0)</f>
        <v>0</v>
      </c>
      <c r="Z39">
        <f>IF(AND(vp.data[[#This Row],[CrudeType]]="Crude",vp.data[[#This Row],[Dens]]&lt;=825,vp.data[[#This Row],[Sulf]]&gt;0.5,vp.data[[#This Row],[Unknown]]=0),1,0)</f>
        <v>1</v>
      </c>
      <c r="AA39">
        <f>IF(AND(vp.data[[#This Row],[CrudeType]]="Crude",vp.data[[#This Row],[Dens]]&lt;=825,vp.data[[#This Row],[Sulf]]&lt;=0.5,vp.data[[#This Row],[Unknown]]=0),1,0)</f>
        <v>0</v>
      </c>
      <c r="AB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">
        <f>IF(AND(vp.data[[#This Row],[CrudeType]]="Crude",vp.data[[#This Row],[Dens]]&gt;825,vp.data[[#This Row],[Dens]]&lt;=900,vp.data[[#This Row],[Sulf]]&lt;=0.5,vp.data[[#This Row],[Unknown]]=0),1,0)</f>
        <v>0</v>
      </c>
      <c r="AD39">
        <f>IF(AND(vp.data[[#This Row],[CrudeType]]="Crude",vp.data[[#This Row],[Dens]]&gt;865,vp.data[[#This Row],[Dens]]&lt;=900,vp.data[[#This Row],[Sulf]]&gt;2,vp.data[[#This Row],[Unknown]]=0),1,0)</f>
        <v>0</v>
      </c>
      <c r="AE39">
        <f>IF(AND(vp.data[[#This Row],[CrudeType]]="Crude",vp.data[[#This Row],[Dens]]&gt;900,vp.data[[#This Row],[Sulf]]&lt;=0.5,vp.data[[#This Row],[Unknown]]=0),1,0)</f>
        <v>0</v>
      </c>
      <c r="AF39">
        <f>IF(AND(vp.data[[#This Row],[CrudeType]]="Crude",vp.data[[#This Row],[Dens]]&gt;900,vp.data[[#This Row],[Sulf]]&lt;=0.5,vp.data[[#This Row],[Unknown]]=0),1,0)</f>
        <v>0</v>
      </c>
      <c r="AG39" t="str">
        <f>INDEX(vp.data[[#Headers],[Unknown]:[Heavy_SW]],MATCH(1,vp.data[[#This Row],[Unknown]:[Heavy_SW]],0))</f>
        <v>Light_LSB</v>
      </c>
      <c r="AH39">
        <f>INDEX([3]!crudeBD.lkup[Number],MATCH(vp.data[[#This Row],[Crude_Breakdown]],crudeBD.lkup[Crude Breakdown],0))</f>
        <v>1</v>
      </c>
      <c r="AI39">
        <f>MONTH(vp.data[[#This Row],[SDate]])</f>
        <v>11</v>
      </c>
      <c r="AJ39" s="5">
        <f>(vp.data[[#This Row],[VP]]-INDEX(crudeBD.lkup[Mean_VP],MATCH(vp.data[[#This Row],[Crude_Breakdown]],crudeBD.lkup[Crude Breakdown],0)))^2</f>
        <v>809.61955578701065</v>
      </c>
      <c r="AK39" s="5">
        <f>(vp.data[[#This Row],[Dens]]-INDEX(crudeBD.lkup[Mean_Dens],MATCH(vp.data[[#This Row],[Crude_Breakdown]],crudeBD.lkup[Crude Breakdown],0)))^2</f>
        <v>30.06581387088357</v>
      </c>
      <c r="AL39" s="5">
        <f>(vp.data[[#This Row],[Sulf]]-INDEX(crudeBD.lkup[Mean_Sulf],MATCH(vp.data[[#This Row],[Crude_Breakdown]],crudeBD.lkup[Crude Breakdown],0)))^2</f>
        <v>3.8820360487619561E-2</v>
      </c>
      <c r="AM39" s="4">
        <f>IF(AND(vp.data[[#This Row],[SDate]]&gt;=DATE(YEAR(vp.data[[#This Row],[SDate]]),5,1),vp.data[[#This Row],[SDate]]&lt;=DATE(YEAR(vp.data[[#This Row],[SDate]]),9,15)),1,0)</f>
        <v>0</v>
      </c>
      <c r="AN39" s="4">
        <f>IF(vp.data[[#This Row],[SDate]]&lt;DATE(2016,12,1),0,1)</f>
        <v>0</v>
      </c>
      <c r="AO39" s="4">
        <f>IFERROR(vp.data[[#This Row],[Sulf]]*vp.data[[#This Row],[Net Dens]],"")</f>
        <v>4362741.6985600004</v>
      </c>
      <c r="AP39">
        <f>IFERROR(vp.data[[#This Row],[Dens]]*vp.data[[#This Row],[VolumeM3]],"")</f>
        <v>3895305.088</v>
      </c>
      <c r="AQ39" s="15">
        <f>IFERROR(vp.data[[#This Row],[VP]]*vp.data[[#This Row],[VolumeM3]],"")</f>
        <v>567277.43999999994</v>
      </c>
    </row>
    <row r="40" spans="1:43" x14ac:dyDescent="0.25">
      <c r="A40">
        <v>39</v>
      </c>
      <c r="B40" t="s">
        <v>56</v>
      </c>
      <c r="C40" t="s">
        <v>56</v>
      </c>
      <c r="D40" t="s">
        <v>57</v>
      </c>
      <c r="F40" s="1">
        <v>42325</v>
      </c>
      <c r="G40" s="2">
        <v>91.1</v>
      </c>
      <c r="H40" s="2"/>
      <c r="I40" s="2">
        <f t="array" ref="I40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40" s="2"/>
      <c r="K40" s="2"/>
      <c r="L40" s="2">
        <v>840</v>
      </c>
      <c r="M40" s="2">
        <f t="array" ref="M40">_xlfn.IFNA(IF(vp.data[[#This Row],[Dens Input]]="",INDEX([1]DATA!$O$3:$O$9826,MATCH(1,(vp.data[[#This Row],[Battery]]=[1]DATA!$L$3:$L$9826)*(EOMONTH(vp.data[[#This Row],[SDate]],-1)+1=[1]DATA!$G$3:$G$9826),0)),vp.data[[#This Row],[Dens Input]]),"")</f>
        <v>840</v>
      </c>
      <c r="N40" s="2">
        <f ca="1">INDEX(INDIRECT(_xlfn.CONCAT("weather.tbl[",N$1,"]")),MATCH(vp.data[[#This Row],[SDate]],weather.tbl[Date],0))</f>
        <v>-0.38333333333333336</v>
      </c>
      <c r="O40" s="2">
        <f ca="1">INDEX(INDIRECT(_xlfn.CONCAT("weather.tbl[",O$1,"]")),MATCH(vp.data[[#This Row],[SDate]],weather.tbl[Date],0))</f>
        <v>2.0904761904761906</v>
      </c>
      <c r="P40" s="2">
        <f ca="1">INDEX(INDIRECT(_xlfn.CONCAT("weather.tbl[",P$1,"]")),MATCH(vp.data[[#This Row],[SDate]],weather.tbl[Date],0))</f>
        <v>-1.5</v>
      </c>
      <c r="Q40" s="2">
        <f ca="1">INDEX(INDIRECT(_xlfn.CONCAT("weather.tbl[",Q$1,"]")),MATCH(vp.data[[#This Row],[SDate]],weather.tbl[Date],0))</f>
        <v>-1.2</v>
      </c>
      <c r="R40" s="2">
        <f ca="1">INDEX(INDIRECT(_xlfn.CONCAT("weather.tbl[",R$1,"]")),MATCH(vp.data[[#This Row],[SDate]],weather.tbl[Date],0))</f>
        <v>-1</v>
      </c>
      <c r="S40" s="2">
        <f ca="1">INDEX(INDIRECT(_xlfn.CONCAT("weather.tbl[",S$1,"]")),MATCH(vp.data[[#This Row],[SDate]],weather.tbl[Date],0))</f>
        <v>2.5</v>
      </c>
      <c r="T40" s="2">
        <f ca="1">INDEX(INDIRECT(_xlfn.CONCAT("weather.tbl[",T$1,"]")),MATCH(vp.data[[#This Row],[SDate]],weather.tbl[Date],0))</f>
        <v>0.4</v>
      </c>
      <c r="U40" s="2">
        <f ca="1">INDEX(INDIRECT(_xlfn.CONCAT("weather.tbl[",U$1,"]")),MATCH(vp.data[[#This Row],[SDate]],weather.tbl[Date],0))</f>
        <v>-1.5</v>
      </c>
      <c r="V40" s="2">
        <f t="array" ref="V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3565.95</v>
      </c>
      <c r="W40" t="s">
        <v>48</v>
      </c>
      <c r="X40">
        <f>IF(OR(vp.data[[#This Row],[Sulf]]="",vp.data[[#This Row],[Dens]]=""),1,0)</f>
        <v>0</v>
      </c>
      <c r="Y40">
        <f>IF(vp.data[[#This Row],[CrudeType]]="C5+",1,0)</f>
        <v>0</v>
      </c>
      <c r="Z40">
        <f>IF(AND(vp.data[[#This Row],[CrudeType]]="Crude",vp.data[[#This Row],[Dens]]&lt;=825,vp.data[[#This Row],[Sulf]]&gt;0.5,vp.data[[#This Row],[Unknown]]=0),1,0)</f>
        <v>0</v>
      </c>
      <c r="AA40">
        <f>IF(AND(vp.data[[#This Row],[CrudeType]]="Crude",vp.data[[#This Row],[Dens]]&lt;=825,vp.data[[#This Row],[Sulf]]&lt;=0.5,vp.data[[#This Row],[Unknown]]=0),1,0)</f>
        <v>0</v>
      </c>
      <c r="AB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">
        <f>IF(AND(vp.data[[#This Row],[CrudeType]]="Crude",vp.data[[#This Row],[Dens]]&gt;825,vp.data[[#This Row],[Dens]]&lt;=900,vp.data[[#This Row],[Sulf]]&lt;=0.5,vp.data[[#This Row],[Unknown]]=0),1,0)</f>
        <v>0</v>
      </c>
      <c r="AD40">
        <f>IF(AND(vp.data[[#This Row],[CrudeType]]="Crude",vp.data[[#This Row],[Dens]]&gt;865,vp.data[[#This Row],[Dens]]&lt;=900,vp.data[[#This Row],[Sulf]]&gt;2,vp.data[[#This Row],[Unknown]]=0),1,0)</f>
        <v>0</v>
      </c>
      <c r="AE40">
        <f>IF(AND(vp.data[[#This Row],[CrudeType]]="Crude",vp.data[[#This Row],[Dens]]&gt;900,vp.data[[#This Row],[Sulf]]&lt;=0.5,vp.data[[#This Row],[Unknown]]=0),1,0)</f>
        <v>0</v>
      </c>
      <c r="AF40">
        <f>IF(AND(vp.data[[#This Row],[CrudeType]]="Crude",vp.data[[#This Row],[Dens]]&gt;900,vp.data[[#This Row],[Sulf]]&lt;=0.5,vp.data[[#This Row],[Unknown]]=0),1,0)</f>
        <v>0</v>
      </c>
      <c r="AG40" t="str">
        <f>INDEX(vp.data[[#Headers],[Unknown]:[Heavy_SW]],MATCH(1,vp.data[[#This Row],[Unknown]:[Heavy_SW]],0))</f>
        <v>Medium_LSB</v>
      </c>
      <c r="AH40">
        <f>INDEX([3]!crudeBD.lkup[Number],MATCH(vp.data[[#This Row],[Crude_Breakdown]],crudeBD.lkup[Crude Breakdown],0))</f>
        <v>3</v>
      </c>
      <c r="AI40">
        <f>MONTH(vp.data[[#This Row],[SDate]])</f>
        <v>11</v>
      </c>
      <c r="AJ40" s="5">
        <f>(vp.data[[#This Row],[VP]]-INDEX(crudeBD.lkup[Mean_VP],MATCH(vp.data[[#This Row],[Crude_Breakdown]],crudeBD.lkup[Crude Breakdown],0)))^2</f>
        <v>109.41836668144077</v>
      </c>
      <c r="AK40" s="5">
        <f>(vp.data[[#This Row],[Dens]]-INDEX(crudeBD.lkup[Mean_Dens],MATCH(vp.data[[#This Row],[Crude_Breakdown]],crudeBD.lkup[Crude Breakdown],0)))^2</f>
        <v>15.366399999996114</v>
      </c>
      <c r="AL40" s="5">
        <f>(vp.data[[#This Row],[Sulf]]-INDEX(crudeBD.lkup[Mean_Sulf],MATCH(vp.data[[#This Row],[Crude_Breakdown]],crudeBD.lkup[Crude Breakdown],0)))^2</f>
        <v>2.9802726320805671E-3</v>
      </c>
      <c r="AM40" s="4">
        <f>IF(AND(vp.data[[#This Row],[SDate]]&gt;=DATE(YEAR(vp.data[[#This Row],[SDate]]),5,1),vp.data[[#This Row],[SDate]]&lt;=DATE(YEAR(vp.data[[#This Row],[SDate]]),9,15)),1,0)</f>
        <v>0</v>
      </c>
      <c r="AN40" s="4">
        <f>IF(vp.data[[#This Row],[SDate]]&lt;DATE(2016,12,1),0,1)</f>
        <v>0</v>
      </c>
      <c r="AO40" s="4">
        <f>IFERROR(vp.data[[#This Row],[Sulf]]*vp.data[[#This Row],[Net Dens]],"")</f>
        <v>4313373.12</v>
      </c>
      <c r="AP40">
        <f>IFERROR(vp.data[[#This Row],[Dens]]*vp.data[[#This Row],[VolumeM3]],"")</f>
        <v>2995398</v>
      </c>
      <c r="AQ40" s="15">
        <f>IFERROR(vp.data[[#This Row],[VP]]*vp.data[[#This Row],[VolumeM3]],"")</f>
        <v>324858.04499999998</v>
      </c>
    </row>
    <row r="41" spans="1:43" x14ac:dyDescent="0.25">
      <c r="A41">
        <v>40</v>
      </c>
      <c r="B41" t="s">
        <v>51</v>
      </c>
      <c r="C41" t="s">
        <v>51</v>
      </c>
      <c r="D41" t="s">
        <v>58</v>
      </c>
      <c r="F41" s="1">
        <v>42325</v>
      </c>
      <c r="G41" s="2">
        <v>92</v>
      </c>
      <c r="H41" s="2"/>
      <c r="I41" s="2">
        <f t="array" ref="I41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41" s="2"/>
      <c r="K41" s="2"/>
      <c r="L41" s="2">
        <v>846.7</v>
      </c>
      <c r="M41" s="2">
        <f t="array" ref="M41">_xlfn.IFNA(IF(vp.data[[#This Row],[Dens Input]]="",INDEX([1]DATA!$O$3:$O$9826,MATCH(1,(vp.data[[#This Row],[Battery]]=[1]DATA!$L$3:$L$9826)*(EOMONTH(vp.data[[#This Row],[SDate]],-1)+1=[1]DATA!$G$3:$G$9826),0)),vp.data[[#This Row],[Dens Input]]),"")</f>
        <v>846.7</v>
      </c>
      <c r="N41" s="2">
        <f ca="1">INDEX(INDIRECT(_xlfn.CONCAT("weather.tbl[",N$1,"]")),MATCH(vp.data[[#This Row],[SDate]],weather.tbl[Date],0))</f>
        <v>-0.38333333333333336</v>
      </c>
      <c r="O41" s="2">
        <f ca="1">INDEX(INDIRECT(_xlfn.CONCAT("weather.tbl[",O$1,"]")),MATCH(vp.data[[#This Row],[SDate]],weather.tbl[Date],0))</f>
        <v>2.0904761904761906</v>
      </c>
      <c r="P41" s="2">
        <f ca="1">INDEX(INDIRECT(_xlfn.CONCAT("weather.tbl[",P$1,"]")),MATCH(vp.data[[#This Row],[SDate]],weather.tbl[Date],0))</f>
        <v>-1.5</v>
      </c>
      <c r="Q41" s="2">
        <f ca="1">INDEX(INDIRECT(_xlfn.CONCAT("weather.tbl[",Q$1,"]")),MATCH(vp.data[[#This Row],[SDate]],weather.tbl[Date],0))</f>
        <v>-1.2</v>
      </c>
      <c r="R41" s="2">
        <f ca="1">INDEX(INDIRECT(_xlfn.CONCAT("weather.tbl[",R$1,"]")),MATCH(vp.data[[#This Row],[SDate]],weather.tbl[Date],0))</f>
        <v>-1</v>
      </c>
      <c r="S41" s="2">
        <f ca="1">INDEX(INDIRECT(_xlfn.CONCAT("weather.tbl[",S$1,"]")),MATCH(vp.data[[#This Row],[SDate]],weather.tbl[Date],0))</f>
        <v>2.5</v>
      </c>
      <c r="T41" s="2">
        <f ca="1">INDEX(INDIRECT(_xlfn.CONCAT("weather.tbl[",T$1,"]")),MATCH(vp.data[[#This Row],[SDate]],weather.tbl[Date],0))</f>
        <v>0.4</v>
      </c>
      <c r="U41" s="2">
        <f ca="1">INDEX(INDIRECT(_xlfn.CONCAT("weather.tbl[",U$1,"]")),MATCH(vp.data[[#This Row],[SDate]],weather.tbl[Date],0))</f>
        <v>-1.5</v>
      </c>
      <c r="V41" s="2">
        <f t="array" ref="V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6226.3019999999997</v>
      </c>
      <c r="W41" t="s">
        <v>48</v>
      </c>
      <c r="X41">
        <f>IF(OR(vp.data[[#This Row],[Sulf]]="",vp.data[[#This Row],[Dens]]=""),1,0)</f>
        <v>0</v>
      </c>
      <c r="Y41">
        <f>IF(vp.data[[#This Row],[CrudeType]]="C5+",1,0)</f>
        <v>0</v>
      </c>
      <c r="Z41">
        <f>IF(AND(vp.data[[#This Row],[CrudeType]]="Crude",vp.data[[#This Row],[Dens]]&lt;=825,vp.data[[#This Row],[Sulf]]&gt;0.5,vp.data[[#This Row],[Unknown]]=0),1,0)</f>
        <v>0</v>
      </c>
      <c r="AA41">
        <f>IF(AND(vp.data[[#This Row],[CrudeType]]="Crude",vp.data[[#This Row],[Dens]]&lt;=825,vp.data[[#This Row],[Sulf]]&lt;=0.5,vp.data[[#This Row],[Unknown]]=0),1,0)</f>
        <v>0</v>
      </c>
      <c r="AB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1">
        <f>IF(AND(vp.data[[#This Row],[CrudeType]]="Crude",vp.data[[#This Row],[Dens]]&gt;825,vp.data[[#This Row],[Dens]]&lt;=900,vp.data[[#This Row],[Sulf]]&lt;=0.5,vp.data[[#This Row],[Unknown]]=0),1,0)</f>
        <v>0</v>
      </c>
      <c r="AD41">
        <f>IF(AND(vp.data[[#This Row],[CrudeType]]="Crude",vp.data[[#This Row],[Dens]]&gt;865,vp.data[[#This Row],[Dens]]&lt;=900,vp.data[[#This Row],[Sulf]]&gt;2,vp.data[[#This Row],[Unknown]]=0),1,0)</f>
        <v>0</v>
      </c>
      <c r="AE41">
        <f>IF(AND(vp.data[[#This Row],[CrudeType]]="Crude",vp.data[[#This Row],[Dens]]&gt;900,vp.data[[#This Row],[Sulf]]&lt;=0.5,vp.data[[#This Row],[Unknown]]=0),1,0)</f>
        <v>0</v>
      </c>
      <c r="AF41">
        <f>IF(AND(vp.data[[#This Row],[CrudeType]]="Crude",vp.data[[#This Row],[Dens]]&gt;900,vp.data[[#This Row],[Sulf]]&lt;=0.5,vp.data[[#This Row],[Unknown]]=0),1,0)</f>
        <v>0</v>
      </c>
      <c r="AG41" t="str">
        <f>INDEX(vp.data[[#Headers],[Unknown]:[Heavy_SW]],MATCH(1,vp.data[[#This Row],[Unknown]:[Heavy_SW]],0))</f>
        <v>Medium_LSB</v>
      </c>
      <c r="AH41">
        <f>INDEX([3]!crudeBD.lkup[Number],MATCH(vp.data[[#This Row],[Crude_Breakdown]],crudeBD.lkup[Crude Breakdown],0))</f>
        <v>3</v>
      </c>
      <c r="AI41">
        <f>MONTH(vp.data[[#This Row],[SDate]])</f>
        <v>11</v>
      </c>
      <c r="AJ41" s="5">
        <f>(vp.data[[#This Row],[VP]]-INDEX(crudeBD.lkup[Mean_VP],MATCH(vp.data[[#This Row],[Crude_Breakdown]],crudeBD.lkup[Crude Breakdown],0)))^2</f>
        <v>129.05694889168362</v>
      </c>
      <c r="AK41" s="5">
        <f>(vp.data[[#This Row],[Dens]]-INDEX(crudeBD.lkup[Mean_Dens],MATCH(vp.data[[#This Row],[Crude_Breakdown]],crudeBD.lkup[Crude Breakdown],0)))^2</f>
        <v>7.7284000000030089</v>
      </c>
      <c r="AL41" s="5">
        <f>(vp.data[[#This Row],[Sulf]]-INDEX(crudeBD.lkup[Mean_Sulf],MATCH(vp.data[[#This Row],[Crude_Breakdown]],crudeBD.lkup[Crude Breakdown],0)))^2</f>
        <v>1.1110873171164612E-2</v>
      </c>
      <c r="AM41" s="4">
        <f>IF(AND(vp.data[[#This Row],[SDate]]&gt;=DATE(YEAR(vp.data[[#This Row],[SDate]]),5,1),vp.data[[#This Row],[SDate]]&lt;=DATE(YEAR(vp.data[[#This Row],[SDate]]),9,15)),1,0)</f>
        <v>0</v>
      </c>
      <c r="AN41" s="4">
        <f>IF(vp.data[[#This Row],[SDate]]&lt;DATE(2016,12,1),0,1)</f>
        <v>0</v>
      </c>
      <c r="AO41" s="4">
        <f>IFERROR(vp.data[[#This Row],[Sulf]]*vp.data[[#This Row],[Net Dens]],"")</f>
        <v>6747916.6763520008</v>
      </c>
      <c r="AP41">
        <f>IFERROR(vp.data[[#This Row],[Dens]]*vp.data[[#This Row],[VolumeM3]],"")</f>
        <v>5271809.9034000002</v>
      </c>
      <c r="AQ41" s="15">
        <f>IFERROR(vp.data[[#This Row],[VP]]*vp.data[[#This Row],[VolumeM3]],"")</f>
        <v>572819.78399999999</v>
      </c>
    </row>
    <row r="42" spans="1:43" x14ac:dyDescent="0.25">
      <c r="A42">
        <v>41</v>
      </c>
      <c r="B42" t="s">
        <v>60</v>
      </c>
      <c r="C42" t="s">
        <v>60</v>
      </c>
      <c r="D42" t="s">
        <v>61</v>
      </c>
      <c r="E42" t="s">
        <v>55</v>
      </c>
      <c r="F42" s="1">
        <v>42325</v>
      </c>
      <c r="G42" s="2">
        <v>91.1</v>
      </c>
      <c r="H42" s="2"/>
      <c r="I42" s="2">
        <f t="array" ref="I42">_xlfn.IFNA(IF(vp.data[[#This Row],[Sulf Input]]="",INDEX([1]DATA!$Q$3:$Q$9826,MATCH(1,(vp.data[[#This Row],[Battery]]=[1]DATA!$L$3:$L$9826)*(EOMONTH(vp.data[[#This Row],[SDate]],-1)+1=[1]DATA!$G$3:$G$9826),0)),vp.data[[#This Row],[Sulf Input]]),"")</f>
        <v>1.02</v>
      </c>
      <c r="J42" s="2"/>
      <c r="K42" s="2"/>
      <c r="L42" s="2">
        <v>826</v>
      </c>
      <c r="M42" s="2">
        <f t="array" ref="M42">_xlfn.IFNA(IF(vp.data[[#This Row],[Dens Input]]="",INDEX([1]DATA!$O$3:$O$9826,MATCH(1,(vp.data[[#This Row],[Battery]]=[1]DATA!$L$3:$L$9826)*(EOMONTH(vp.data[[#This Row],[SDate]],-1)+1=[1]DATA!$G$3:$G$9826),0)),vp.data[[#This Row],[Dens Input]]),"")</f>
        <v>826</v>
      </c>
      <c r="N42" s="2">
        <f ca="1">INDEX(INDIRECT(_xlfn.CONCAT("weather.tbl[",N$1,"]")),MATCH(vp.data[[#This Row],[SDate]],weather.tbl[Date],0))</f>
        <v>-0.38333333333333336</v>
      </c>
      <c r="O42" s="2">
        <f ca="1">INDEX(INDIRECT(_xlfn.CONCAT("weather.tbl[",O$1,"]")),MATCH(vp.data[[#This Row],[SDate]],weather.tbl[Date],0))</f>
        <v>2.0904761904761906</v>
      </c>
      <c r="P42" s="2">
        <f ca="1">INDEX(INDIRECT(_xlfn.CONCAT("weather.tbl[",P$1,"]")),MATCH(vp.data[[#This Row],[SDate]],weather.tbl[Date],0))</f>
        <v>-1.5</v>
      </c>
      <c r="Q42" s="2">
        <f ca="1">INDEX(INDIRECT(_xlfn.CONCAT("weather.tbl[",Q$1,"]")),MATCH(vp.data[[#This Row],[SDate]],weather.tbl[Date],0))</f>
        <v>-1.2</v>
      </c>
      <c r="R42" s="2">
        <f ca="1">INDEX(INDIRECT(_xlfn.CONCAT("weather.tbl[",R$1,"]")),MATCH(vp.data[[#This Row],[SDate]],weather.tbl[Date],0))</f>
        <v>-1</v>
      </c>
      <c r="S42" s="2">
        <f ca="1">INDEX(INDIRECT(_xlfn.CONCAT("weather.tbl[",S$1,"]")),MATCH(vp.data[[#This Row],[SDate]],weather.tbl[Date],0))</f>
        <v>2.5</v>
      </c>
      <c r="T42" s="2">
        <f ca="1">INDEX(INDIRECT(_xlfn.CONCAT("weather.tbl[",T$1,"]")),MATCH(vp.data[[#This Row],[SDate]],weather.tbl[Date],0))</f>
        <v>0.4</v>
      </c>
      <c r="U42" s="2">
        <f ca="1">INDEX(INDIRECT(_xlfn.CONCAT("weather.tbl[",U$1,"]")),MATCH(vp.data[[#This Row],[SDate]],weather.tbl[Date],0))</f>
        <v>-1.5</v>
      </c>
      <c r="V42" s="2">
        <f t="array" ref="V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110681.443</v>
      </c>
      <c r="W42" t="s">
        <v>48</v>
      </c>
      <c r="X42">
        <f>IF(OR(vp.data[[#This Row],[Sulf]]="",vp.data[[#This Row],[Dens]]=""),1,0)</f>
        <v>0</v>
      </c>
      <c r="Y42">
        <f>IF(vp.data[[#This Row],[CrudeType]]="C5+",1,0)</f>
        <v>0</v>
      </c>
      <c r="Z42">
        <f>IF(AND(vp.data[[#This Row],[CrudeType]]="Crude",vp.data[[#This Row],[Dens]]&lt;=825,vp.data[[#This Row],[Sulf]]&gt;0.5,vp.data[[#This Row],[Unknown]]=0),1,0)</f>
        <v>0</v>
      </c>
      <c r="AA42">
        <f>IF(AND(vp.data[[#This Row],[CrudeType]]="Crude",vp.data[[#This Row],[Dens]]&lt;=825,vp.data[[#This Row],[Sulf]]&lt;=0.5,vp.data[[#This Row],[Unknown]]=0),1,0)</f>
        <v>0</v>
      </c>
      <c r="AB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2">
        <f>IF(AND(vp.data[[#This Row],[CrudeType]]="Crude",vp.data[[#This Row],[Dens]]&gt;825,vp.data[[#This Row],[Dens]]&lt;=900,vp.data[[#This Row],[Sulf]]&lt;=0.5,vp.data[[#This Row],[Unknown]]=0),1,0)</f>
        <v>0</v>
      </c>
      <c r="AD42">
        <f>IF(AND(vp.data[[#This Row],[CrudeType]]="Crude",vp.data[[#This Row],[Dens]]&gt;865,vp.data[[#This Row],[Dens]]&lt;=900,vp.data[[#This Row],[Sulf]]&gt;2,vp.data[[#This Row],[Unknown]]=0),1,0)</f>
        <v>0</v>
      </c>
      <c r="AE42">
        <f>IF(AND(vp.data[[#This Row],[CrudeType]]="Crude",vp.data[[#This Row],[Dens]]&gt;900,vp.data[[#This Row],[Sulf]]&lt;=0.5,vp.data[[#This Row],[Unknown]]=0),1,0)</f>
        <v>0</v>
      </c>
      <c r="AF42">
        <f>IF(AND(vp.data[[#This Row],[CrudeType]]="Crude",vp.data[[#This Row],[Dens]]&gt;900,vp.data[[#This Row],[Sulf]]&lt;=0.5,vp.data[[#This Row],[Unknown]]=0),1,0)</f>
        <v>0</v>
      </c>
      <c r="AG42" t="str">
        <f>INDEX(vp.data[[#Headers],[Unknown]:[Heavy_SW]],MATCH(1,vp.data[[#This Row],[Unknown]:[Heavy_SW]],0))</f>
        <v>Medium_LSB</v>
      </c>
      <c r="AH42">
        <f>INDEX([3]!crudeBD.lkup[Number],MATCH(vp.data[[#This Row],[Crude_Breakdown]],crudeBD.lkup[Crude Breakdown],0))</f>
        <v>3</v>
      </c>
      <c r="AI42">
        <f>MONTH(vp.data[[#This Row],[SDate]])</f>
        <v>11</v>
      </c>
      <c r="AJ42" s="5">
        <f>(vp.data[[#This Row],[VP]]-INDEX(crudeBD.lkup[Mean_VP],MATCH(vp.data[[#This Row],[Crude_Breakdown]],crudeBD.lkup[Crude Breakdown],0)))^2</f>
        <v>109.41836668144077</v>
      </c>
      <c r="AK42" s="5">
        <f>(vp.data[[#This Row],[Dens]]-INDEX(crudeBD.lkup[Mean_Dens],MATCH(vp.data[[#This Row],[Crude_Breakdown]],crudeBD.lkup[Crude Breakdown],0)))^2</f>
        <v>321.12639999998225</v>
      </c>
      <c r="AL42" s="5">
        <f>(vp.data[[#This Row],[Sulf]]-INDEX(crudeBD.lkup[Mean_Sulf],MATCH(vp.data[[#This Row],[Crude_Breakdown]],crudeBD.lkup[Crude Breakdown],0)))^2</f>
        <v>0.13352309904717619</v>
      </c>
      <c r="AM42" s="4">
        <f>IF(AND(vp.data[[#This Row],[SDate]]&gt;=DATE(YEAR(vp.data[[#This Row],[SDate]]),5,1),vp.data[[#This Row],[SDate]]&lt;=DATE(YEAR(vp.data[[#This Row],[SDate]]),9,15)),1,0)</f>
        <v>0</v>
      </c>
      <c r="AN42" s="4">
        <f>IF(vp.data[[#This Row],[SDate]]&lt;DATE(2016,12,1),0,1)</f>
        <v>0</v>
      </c>
      <c r="AO42" s="4">
        <f>IFERROR(vp.data[[#This Row],[Sulf]]*vp.data[[#This Row],[Net Dens]],"")</f>
        <v>93251329.356360003</v>
      </c>
      <c r="AP42">
        <f>IFERROR(vp.data[[#This Row],[Dens]]*vp.data[[#This Row],[VolumeM3]],"")</f>
        <v>91422871.917999998</v>
      </c>
      <c r="AQ42" s="15">
        <f>IFERROR(vp.data[[#This Row],[VP]]*vp.data[[#This Row],[VolumeM3]],"")</f>
        <v>10083079.4573</v>
      </c>
    </row>
    <row r="43" spans="1:43" x14ac:dyDescent="0.25">
      <c r="A43">
        <v>42</v>
      </c>
      <c r="B43" t="s">
        <v>51</v>
      </c>
      <c r="C43" t="s">
        <v>51</v>
      </c>
      <c r="D43" t="s">
        <v>52</v>
      </c>
      <c r="F43" s="1">
        <v>42327</v>
      </c>
      <c r="G43" s="2">
        <v>113.6</v>
      </c>
      <c r="H43" s="2"/>
      <c r="I43" s="2">
        <f t="array" ref="I43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43" s="2"/>
      <c r="K43" s="2"/>
      <c r="L43" s="2">
        <v>868</v>
      </c>
      <c r="M43" s="2">
        <f t="array" ref="M43">_xlfn.IFNA(IF(vp.data[[#This Row],[Dens Input]]="",INDEX([1]DATA!$O$3:$O$9826,MATCH(1,(vp.data[[#This Row],[Battery]]=[1]DATA!$L$3:$L$9826)*(EOMONTH(vp.data[[#This Row],[SDate]],-1)+1=[1]DATA!$G$3:$G$9826),0)),vp.data[[#This Row],[Dens Input]]),"")</f>
        <v>868</v>
      </c>
      <c r="N43" s="2">
        <f ca="1">INDEX(INDIRECT(_xlfn.CONCAT("weather.tbl[",N$1,"]")),MATCH(vp.data[[#This Row],[SDate]],weather.tbl[Date],0))</f>
        <v>-7.8333333333333321</v>
      </c>
      <c r="O43" s="2">
        <f ca="1">INDEX(INDIRECT(_xlfn.CONCAT("weather.tbl[",O$1,"]")),MATCH(vp.data[[#This Row],[SDate]],weather.tbl[Date],0))</f>
        <v>0.57857142857142863</v>
      </c>
      <c r="P43" s="2">
        <f ca="1">INDEX(INDIRECT(_xlfn.CONCAT("weather.tbl[",P$1,"]")),MATCH(vp.data[[#This Row],[SDate]],weather.tbl[Date],0))</f>
        <v>-7</v>
      </c>
      <c r="Q43" s="2">
        <f ca="1">INDEX(INDIRECT(_xlfn.CONCAT("weather.tbl[",Q$1,"]")),MATCH(vp.data[[#This Row],[SDate]],weather.tbl[Date],0))</f>
        <v>-7.6</v>
      </c>
      <c r="R43" s="2">
        <f ca="1">INDEX(INDIRECT(_xlfn.CONCAT("weather.tbl[",R$1,"]")),MATCH(vp.data[[#This Row],[SDate]],weather.tbl[Date],0))</f>
        <v>-6.8</v>
      </c>
      <c r="S43" s="2">
        <f ca="1">INDEX(INDIRECT(_xlfn.CONCAT("weather.tbl[",S$1,"]")),MATCH(vp.data[[#This Row],[SDate]],weather.tbl[Date],0))</f>
        <v>-7</v>
      </c>
      <c r="T43" s="2">
        <f ca="1">INDEX(INDIRECT(_xlfn.CONCAT("weather.tbl[",T$1,"]")),MATCH(vp.data[[#This Row],[SDate]],weather.tbl[Date],0))</f>
        <v>-8.1999999999999993</v>
      </c>
      <c r="U43" s="2">
        <f ca="1">INDEX(INDIRECT(_xlfn.CONCAT("weather.tbl[",U$1,"]")),MATCH(vp.data[[#This Row],[SDate]],weather.tbl[Date],0))</f>
        <v>-10.4</v>
      </c>
      <c r="V43" s="2">
        <f t="array" ref="V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7873.1390000000001</v>
      </c>
      <c r="W43" t="s">
        <v>48</v>
      </c>
      <c r="X43">
        <f>IF(OR(vp.data[[#This Row],[Sulf]]="",vp.data[[#This Row],[Dens]]=""),1,0)</f>
        <v>0</v>
      </c>
      <c r="Y43">
        <f>IF(vp.data[[#This Row],[CrudeType]]="C5+",1,0)</f>
        <v>0</v>
      </c>
      <c r="Z43">
        <f>IF(AND(vp.data[[#This Row],[CrudeType]]="Crude",vp.data[[#This Row],[Dens]]&lt;=825,vp.data[[#This Row],[Sulf]]&gt;0.5,vp.data[[#This Row],[Unknown]]=0),1,0)</f>
        <v>0</v>
      </c>
      <c r="AA43">
        <f>IF(AND(vp.data[[#This Row],[CrudeType]]="Crude",vp.data[[#This Row],[Dens]]&lt;=825,vp.data[[#This Row],[Sulf]]&lt;=0.5,vp.data[[#This Row],[Unknown]]=0),1,0)</f>
        <v>0</v>
      </c>
      <c r="AB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">
        <f>IF(AND(vp.data[[#This Row],[CrudeType]]="Crude",vp.data[[#This Row],[Dens]]&gt;825,vp.data[[#This Row],[Dens]]&lt;=900,vp.data[[#This Row],[Sulf]]&lt;=0.5,vp.data[[#This Row],[Unknown]]=0),1,0)</f>
        <v>0</v>
      </c>
      <c r="AD43">
        <f>IF(AND(vp.data[[#This Row],[CrudeType]]="Crude",vp.data[[#This Row],[Dens]]&gt;865,vp.data[[#This Row],[Dens]]&lt;=900,vp.data[[#This Row],[Sulf]]&gt;2,vp.data[[#This Row],[Unknown]]=0),1,0)</f>
        <v>1</v>
      </c>
      <c r="AE43">
        <f>IF(AND(vp.data[[#This Row],[CrudeType]]="Crude",vp.data[[#This Row],[Dens]]&gt;900,vp.data[[#This Row],[Sulf]]&lt;=0.5,vp.data[[#This Row],[Unknown]]=0),1,0)</f>
        <v>0</v>
      </c>
      <c r="AF43">
        <f>IF(AND(vp.data[[#This Row],[CrudeType]]="Crude",vp.data[[#This Row],[Dens]]&gt;900,vp.data[[#This Row],[Sulf]]&lt;=0.5,vp.data[[#This Row],[Unknown]]=0),1,0)</f>
        <v>0</v>
      </c>
      <c r="AG43" t="str">
        <f>INDEX(vp.data[[#Headers],[Unknown]:[Heavy_SW]],MATCH(1,vp.data[[#This Row],[Unknown]:[Heavy_SW]],0))</f>
        <v>Midale</v>
      </c>
      <c r="AH43">
        <f>INDEX([3]!crudeBD.lkup[Number],MATCH(vp.data[[#This Row],[Crude_Breakdown]],crudeBD.lkup[Crude Breakdown],0))</f>
        <v>5</v>
      </c>
      <c r="AI43">
        <f>MONTH(vp.data[[#This Row],[SDate]])</f>
        <v>11</v>
      </c>
      <c r="AJ43" s="5">
        <f>(vp.data[[#This Row],[VP]]-INDEX(crudeBD.lkup[Mean_VP],MATCH(vp.data[[#This Row],[Crude_Breakdown]],crudeBD.lkup[Crude Breakdown],0)))^2</f>
        <v>1952.8654376129205</v>
      </c>
      <c r="AK43" s="5">
        <f>(vp.data[[#This Row],[Dens]]-INDEX(crudeBD.lkup[Mean_Dens],MATCH(vp.data[[#This Row],[Crude_Breakdown]],crudeBD.lkup[Crude Breakdown],0)))^2</f>
        <v>46.4716295568115</v>
      </c>
      <c r="AL43" s="5">
        <f>(vp.data[[#This Row],[Sulf]]-INDEX(crudeBD.lkup[Mean_Sulf],MATCH(vp.data[[#This Row],[Crude_Breakdown]],crudeBD.lkup[Crude Breakdown],0)))^2</f>
        <v>2.0625431087692294E-2</v>
      </c>
      <c r="AM43" s="4">
        <f>IF(AND(vp.data[[#This Row],[SDate]]&gt;=DATE(YEAR(vp.data[[#This Row],[SDate]]),5,1),vp.data[[#This Row],[SDate]]&lt;=DATE(YEAR(vp.data[[#This Row],[SDate]]),9,15)),1,0)</f>
        <v>0</v>
      </c>
      <c r="AN43" s="4">
        <f>IF(vp.data[[#This Row],[SDate]]&lt;DATE(2016,12,1),0,1)</f>
        <v>0</v>
      </c>
      <c r="AO43" s="4">
        <f>IFERROR(vp.data[[#This Row],[Sulf]]*vp.data[[#This Row],[Net Dens]],"")</f>
        <v>15717934.699599998</v>
      </c>
      <c r="AP43">
        <f>IFERROR(vp.data[[#This Row],[Dens]]*vp.data[[#This Row],[VolumeM3]],"")</f>
        <v>6833884.6519999998</v>
      </c>
      <c r="AQ43" s="15">
        <f>IFERROR(vp.data[[#This Row],[VP]]*vp.data[[#This Row],[VolumeM3]],"")</f>
        <v>894388.59039999999</v>
      </c>
    </row>
    <row r="44" spans="1:43" x14ac:dyDescent="0.25">
      <c r="A44">
        <v>43</v>
      </c>
      <c r="B44" t="s">
        <v>46</v>
      </c>
      <c r="C44" t="s">
        <v>46</v>
      </c>
      <c r="D44" t="s">
        <v>47</v>
      </c>
      <c r="F44" s="1">
        <v>42327</v>
      </c>
      <c r="G44" s="2">
        <v>59.4</v>
      </c>
      <c r="H44" s="2"/>
      <c r="I44" s="2">
        <f t="array" ref="I44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44" s="2"/>
      <c r="K44" s="2"/>
      <c r="L44" s="2">
        <v>870.5</v>
      </c>
      <c r="M44" s="2">
        <f t="array" ref="M44">_xlfn.IFNA(IF(vp.data[[#This Row],[Dens Input]]="",INDEX([1]DATA!$O$3:$O$9826,MATCH(1,(vp.data[[#This Row],[Battery]]=[1]DATA!$L$3:$L$9826)*(EOMONTH(vp.data[[#This Row],[SDate]],-1)+1=[1]DATA!$G$3:$G$9826),0)),vp.data[[#This Row],[Dens Input]]),"")</f>
        <v>870.5</v>
      </c>
      <c r="N44" s="2">
        <f ca="1">INDEX(INDIRECT(_xlfn.CONCAT("weather.tbl[",N$1,"]")),MATCH(vp.data[[#This Row],[SDate]],weather.tbl[Date],0))</f>
        <v>-7.8333333333333321</v>
      </c>
      <c r="O44" s="2">
        <f ca="1">INDEX(INDIRECT(_xlfn.CONCAT("weather.tbl[",O$1,"]")),MATCH(vp.data[[#This Row],[SDate]],weather.tbl[Date],0))</f>
        <v>0.57857142857142863</v>
      </c>
      <c r="P44" s="2">
        <f ca="1">INDEX(INDIRECT(_xlfn.CONCAT("weather.tbl[",P$1,"]")),MATCH(vp.data[[#This Row],[SDate]],weather.tbl[Date],0))</f>
        <v>-7</v>
      </c>
      <c r="Q44" s="2">
        <f ca="1">INDEX(INDIRECT(_xlfn.CONCAT("weather.tbl[",Q$1,"]")),MATCH(vp.data[[#This Row],[SDate]],weather.tbl[Date],0))</f>
        <v>-7.6</v>
      </c>
      <c r="R44" s="2">
        <f ca="1">INDEX(INDIRECT(_xlfn.CONCAT("weather.tbl[",R$1,"]")),MATCH(vp.data[[#This Row],[SDate]],weather.tbl[Date],0))</f>
        <v>-6.8</v>
      </c>
      <c r="S44" s="2">
        <f ca="1">INDEX(INDIRECT(_xlfn.CONCAT("weather.tbl[",S$1,"]")),MATCH(vp.data[[#This Row],[SDate]],weather.tbl[Date],0))</f>
        <v>-7</v>
      </c>
      <c r="T44" s="2">
        <f ca="1">INDEX(INDIRECT(_xlfn.CONCAT("weather.tbl[",T$1,"]")),MATCH(vp.data[[#This Row],[SDate]],weather.tbl[Date],0))</f>
        <v>-8.1999999999999993</v>
      </c>
      <c r="U44" s="2">
        <f ca="1">INDEX(INDIRECT(_xlfn.CONCAT("weather.tbl[",U$1,"]")),MATCH(vp.data[[#This Row],[SDate]],weather.tbl[Date],0))</f>
        <v>-10.4</v>
      </c>
      <c r="V44" s="2">
        <f t="array" ref="V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113621.71</v>
      </c>
      <c r="W44" t="s">
        <v>48</v>
      </c>
      <c r="X44">
        <f>IF(OR(vp.data[[#This Row],[Sulf]]="",vp.data[[#This Row],[Dens]]=""),1,0)</f>
        <v>0</v>
      </c>
      <c r="Y44">
        <f>IF(vp.data[[#This Row],[CrudeType]]="C5+",1,0)</f>
        <v>0</v>
      </c>
      <c r="Z44">
        <f>IF(AND(vp.data[[#This Row],[CrudeType]]="Crude",vp.data[[#This Row],[Dens]]&lt;=825,vp.data[[#This Row],[Sulf]]&gt;0.5,vp.data[[#This Row],[Unknown]]=0),1,0)</f>
        <v>0</v>
      </c>
      <c r="AA44">
        <f>IF(AND(vp.data[[#This Row],[CrudeType]]="Crude",vp.data[[#This Row],[Dens]]&lt;=825,vp.data[[#This Row],[Sulf]]&lt;=0.5,vp.data[[#This Row],[Unknown]]=0),1,0)</f>
        <v>0</v>
      </c>
      <c r="AB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4">
        <f>IF(AND(vp.data[[#This Row],[CrudeType]]="Crude",vp.data[[#This Row],[Dens]]&gt;825,vp.data[[#This Row],[Dens]]&lt;=900,vp.data[[#This Row],[Sulf]]&lt;=0.5,vp.data[[#This Row],[Unknown]]=0),1,0)</f>
        <v>0</v>
      </c>
      <c r="AD44">
        <f>IF(AND(vp.data[[#This Row],[CrudeType]]="Crude",vp.data[[#This Row],[Dens]]&gt;865,vp.data[[#This Row],[Dens]]&lt;=900,vp.data[[#This Row],[Sulf]]&gt;2,vp.data[[#This Row],[Unknown]]=0),1,0)</f>
        <v>1</v>
      </c>
      <c r="AE44">
        <f>IF(AND(vp.data[[#This Row],[CrudeType]]="Crude",vp.data[[#This Row],[Dens]]&gt;900,vp.data[[#This Row],[Sulf]]&lt;=0.5,vp.data[[#This Row],[Unknown]]=0),1,0)</f>
        <v>0</v>
      </c>
      <c r="AF44">
        <f>IF(AND(vp.data[[#This Row],[CrudeType]]="Crude",vp.data[[#This Row],[Dens]]&gt;900,vp.data[[#This Row],[Sulf]]&lt;=0.5,vp.data[[#This Row],[Unknown]]=0),1,0)</f>
        <v>0</v>
      </c>
      <c r="AG44" t="str">
        <f>INDEX(vp.data[[#Headers],[Unknown]:[Heavy_SW]],MATCH(1,vp.data[[#This Row],[Unknown]:[Heavy_SW]],0))</f>
        <v>Midale</v>
      </c>
      <c r="AH44">
        <f>INDEX([3]!crudeBD.lkup[Number],MATCH(vp.data[[#This Row],[Crude_Breakdown]],crudeBD.lkup[Crude Breakdown],0))</f>
        <v>5</v>
      </c>
      <c r="AI44">
        <f>MONTH(vp.data[[#This Row],[SDate]])</f>
        <v>11</v>
      </c>
      <c r="AJ44" s="5">
        <f>(vp.data[[#This Row],[VP]]-INDEX(crudeBD.lkup[Mean_VP],MATCH(vp.data[[#This Row],[Crude_Breakdown]],crudeBD.lkup[Crude Breakdown],0)))^2</f>
        <v>100.17533452014095</v>
      </c>
      <c r="AK44" s="5">
        <f>(vp.data[[#This Row],[Dens]]-INDEX(crudeBD.lkup[Mean_Dens],MATCH(vp.data[[#This Row],[Crude_Breakdown]],crudeBD.lkup[Crude Breakdown],0)))^2</f>
        <v>18.636578010418212</v>
      </c>
      <c r="AL44" s="5">
        <f>(vp.data[[#This Row],[Sulf]]-INDEX(crudeBD.lkup[Mean_Sulf],MATCH(vp.data[[#This Row],[Crude_Breakdown]],crudeBD.lkup[Crude Breakdown],0)))^2</f>
        <v>1.130006345424492E-3</v>
      </c>
      <c r="AM44" s="4">
        <f>IF(AND(vp.data[[#This Row],[SDate]]&gt;=DATE(YEAR(vp.data[[#This Row],[SDate]]),5,1),vp.data[[#This Row],[SDate]]&lt;=DATE(YEAR(vp.data[[#This Row],[SDate]]),9,15)),1,0)</f>
        <v>0</v>
      </c>
      <c r="AN44" s="4">
        <f>IF(vp.data[[#This Row],[SDate]]&lt;DATE(2016,12,1),0,1)</f>
        <v>0</v>
      </c>
      <c r="AO44" s="4">
        <f>IFERROR(vp.data[[#This Row],[Sulf]]*vp.data[[#This Row],[Net Dens]],"")</f>
        <v>238367553.51755002</v>
      </c>
      <c r="AP44">
        <f>IFERROR(vp.data[[#This Row],[Dens]]*vp.data[[#This Row],[VolumeM3]],"")</f>
        <v>98907698.555000007</v>
      </c>
      <c r="AQ44" s="15">
        <f>IFERROR(vp.data[[#This Row],[VP]]*vp.data[[#This Row],[VolumeM3]],"")</f>
        <v>6749129.574</v>
      </c>
    </row>
    <row r="45" spans="1:43" x14ac:dyDescent="0.25">
      <c r="A45">
        <v>44</v>
      </c>
      <c r="B45" t="s">
        <v>68</v>
      </c>
      <c r="C45" t="s">
        <v>68</v>
      </c>
      <c r="D45" t="s">
        <v>69</v>
      </c>
      <c r="F45" s="1">
        <v>42327</v>
      </c>
      <c r="G45" s="2">
        <v>87.1</v>
      </c>
      <c r="H45" s="2"/>
      <c r="I45" s="2">
        <f t="array" ref="I45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45" s="2"/>
      <c r="K45" s="2"/>
      <c r="L45" s="2"/>
      <c r="M45" s="2">
        <f t="array" ref="M45">_xlfn.IFNA(IF(vp.data[[#This Row],[Dens Input]]="",INDEX([1]DATA!$O$3:$O$9826,MATCH(1,(vp.data[[#This Row],[Battery]]=[1]DATA!$L$3:$L$9826)*(EOMONTH(vp.data[[#This Row],[SDate]],-1)+1=[1]DATA!$G$3:$G$9826),0)),vp.data[[#This Row],[Dens Input]]),"")</f>
        <v>862.8</v>
      </c>
      <c r="N45" s="2">
        <f ca="1">INDEX(INDIRECT(_xlfn.CONCAT("weather.tbl[",N$1,"]")),MATCH(vp.data[[#This Row],[SDate]],weather.tbl[Date],0))</f>
        <v>-7.8333333333333321</v>
      </c>
      <c r="O45" s="2">
        <f ca="1">INDEX(INDIRECT(_xlfn.CONCAT("weather.tbl[",O$1,"]")),MATCH(vp.data[[#This Row],[SDate]],weather.tbl[Date],0))</f>
        <v>0.57857142857142863</v>
      </c>
      <c r="P45" s="2">
        <f ca="1">INDEX(INDIRECT(_xlfn.CONCAT("weather.tbl[",P$1,"]")),MATCH(vp.data[[#This Row],[SDate]],weather.tbl[Date],0))</f>
        <v>-7</v>
      </c>
      <c r="Q45" s="2">
        <f ca="1">INDEX(INDIRECT(_xlfn.CONCAT("weather.tbl[",Q$1,"]")),MATCH(vp.data[[#This Row],[SDate]],weather.tbl[Date],0))</f>
        <v>-7.6</v>
      </c>
      <c r="R45" s="2">
        <f ca="1">INDEX(INDIRECT(_xlfn.CONCAT("weather.tbl[",R$1,"]")),MATCH(vp.data[[#This Row],[SDate]],weather.tbl[Date],0))</f>
        <v>-6.8</v>
      </c>
      <c r="S45" s="2">
        <f ca="1">INDEX(INDIRECT(_xlfn.CONCAT("weather.tbl[",S$1,"]")),MATCH(vp.data[[#This Row],[SDate]],weather.tbl[Date],0))</f>
        <v>-7</v>
      </c>
      <c r="T45" s="2">
        <f ca="1">INDEX(INDIRECT(_xlfn.CONCAT("weather.tbl[",T$1,"]")),MATCH(vp.data[[#This Row],[SDate]],weather.tbl[Date],0))</f>
        <v>-8.1999999999999993</v>
      </c>
      <c r="U45" s="2">
        <f ca="1">INDEX(INDIRECT(_xlfn.CONCAT("weather.tbl[",U$1,"]")),MATCH(vp.data[[#This Row],[SDate]],weather.tbl[Date],0))</f>
        <v>-10.4</v>
      </c>
      <c r="V45" s="2">
        <f t="array" ref="V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1476.569</v>
      </c>
      <c r="W45" t="s">
        <v>48</v>
      </c>
      <c r="X45">
        <f>IF(OR(vp.data[[#This Row],[Sulf]]="",vp.data[[#This Row],[Dens]]=""),1,0)</f>
        <v>0</v>
      </c>
      <c r="Y45">
        <f>IF(vp.data[[#This Row],[CrudeType]]="C5+",1,0)</f>
        <v>0</v>
      </c>
      <c r="Z45">
        <f>IF(AND(vp.data[[#This Row],[CrudeType]]="Crude",vp.data[[#This Row],[Dens]]&lt;=825,vp.data[[#This Row],[Sulf]]&gt;0.5,vp.data[[#This Row],[Unknown]]=0),1,0)</f>
        <v>0</v>
      </c>
      <c r="AA45">
        <f>IF(AND(vp.data[[#This Row],[CrudeType]]="Crude",vp.data[[#This Row],[Dens]]&lt;=825,vp.data[[#This Row],[Sulf]]&lt;=0.5,vp.data[[#This Row],[Unknown]]=0),1,0)</f>
        <v>0</v>
      </c>
      <c r="AB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5">
        <f>IF(AND(vp.data[[#This Row],[CrudeType]]="Crude",vp.data[[#This Row],[Dens]]&gt;825,vp.data[[#This Row],[Dens]]&lt;=900,vp.data[[#This Row],[Sulf]]&lt;=0.5,vp.data[[#This Row],[Unknown]]=0),1,0)</f>
        <v>0</v>
      </c>
      <c r="AD45">
        <f>IF(AND(vp.data[[#This Row],[CrudeType]]="Crude",vp.data[[#This Row],[Dens]]&gt;865,vp.data[[#This Row],[Dens]]&lt;=900,vp.data[[#This Row],[Sulf]]&gt;2,vp.data[[#This Row],[Unknown]]=0),1,0)</f>
        <v>0</v>
      </c>
      <c r="AE45">
        <f>IF(AND(vp.data[[#This Row],[CrudeType]]="Crude",vp.data[[#This Row],[Dens]]&gt;900,vp.data[[#This Row],[Sulf]]&lt;=0.5,vp.data[[#This Row],[Unknown]]=0),1,0)</f>
        <v>0</v>
      </c>
      <c r="AF45">
        <f>IF(AND(vp.data[[#This Row],[CrudeType]]="Crude",vp.data[[#This Row],[Dens]]&gt;900,vp.data[[#This Row],[Sulf]]&lt;=0.5,vp.data[[#This Row],[Unknown]]=0),1,0)</f>
        <v>0</v>
      </c>
      <c r="AG45" t="str">
        <f>INDEX(vp.data[[#Headers],[Unknown]:[Heavy_SW]],MATCH(1,vp.data[[#This Row],[Unknown]:[Heavy_SW]],0))</f>
        <v>Medium_LSB</v>
      </c>
      <c r="AH45">
        <f>INDEX([3]!crudeBD.lkup[Number],MATCH(vp.data[[#This Row],[Crude_Breakdown]],crudeBD.lkup[Crude Breakdown],0))</f>
        <v>3</v>
      </c>
      <c r="AI45">
        <f>MONTH(vp.data[[#This Row],[SDate]])</f>
        <v>11</v>
      </c>
      <c r="AJ45" s="5">
        <f>(vp.data[[#This Row],[VP]]-INDEX(crudeBD.lkup[Mean_VP],MATCH(vp.data[[#This Row],[Crude_Breakdown]],crudeBD.lkup[Crude Breakdown],0)))^2</f>
        <v>41.735779080362079</v>
      </c>
      <c r="AK45" s="5">
        <f>(vp.data[[#This Row],[Dens]]-INDEX(crudeBD.lkup[Mean_Dens],MATCH(vp.data[[#This Row],[Crude_Breakdown]],crudeBD.lkup[Crude Breakdown],0)))^2</f>
        <v>356.45440000001702</v>
      </c>
      <c r="AL45" s="5">
        <f>(vp.data[[#This Row],[Sulf]]-INDEX(crudeBD.lkup[Mean_Sulf],MATCH(vp.data[[#This Row],[Crude_Breakdown]],crudeBD.lkup[Crude Breakdown],0)))^2</f>
        <v>0.11874355915499073</v>
      </c>
      <c r="AM45" s="4">
        <f>IF(AND(vp.data[[#This Row],[SDate]]&gt;=DATE(YEAR(vp.data[[#This Row],[SDate]]),5,1),vp.data[[#This Row],[SDate]]&lt;=DATE(YEAR(vp.data[[#This Row],[SDate]]),9,15)),1,0)</f>
        <v>0</v>
      </c>
      <c r="AN45" s="4">
        <f>IF(vp.data[[#This Row],[SDate]]&lt;DATE(2016,12,1),0,1)</f>
        <v>0</v>
      </c>
      <c r="AO45" s="4">
        <f>IFERROR(vp.data[[#This Row],[Sulf]]*vp.data[[#This Row],[Net Dens]],"")</f>
        <v>2203991.8584359996</v>
      </c>
      <c r="AP45">
        <f>IFERROR(vp.data[[#This Row],[Dens]]*vp.data[[#This Row],[VolumeM3]],"")</f>
        <v>1273983.7331999999</v>
      </c>
      <c r="AQ45" s="15">
        <f>IFERROR(vp.data[[#This Row],[VP]]*vp.data[[#This Row],[VolumeM3]],"")</f>
        <v>128609.15989999998</v>
      </c>
    </row>
    <row r="46" spans="1:43" x14ac:dyDescent="0.25">
      <c r="A46">
        <v>45</v>
      </c>
      <c r="B46" t="s">
        <v>49</v>
      </c>
      <c r="C46" t="s">
        <v>49</v>
      </c>
      <c r="D46" t="s">
        <v>50</v>
      </c>
      <c r="F46" s="1">
        <v>42327</v>
      </c>
      <c r="G46" s="2">
        <v>72.099999999999994</v>
      </c>
      <c r="H46" s="2"/>
      <c r="I46" s="2">
        <f t="array" ref="I46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46" s="2"/>
      <c r="K46" s="2"/>
      <c r="L46" s="2"/>
      <c r="M46" s="2">
        <f t="array" ref="M46">_xlfn.IFNA(IF(vp.data[[#This Row],[Dens Input]]="",INDEX([1]DATA!$O$3:$O$9826,MATCH(1,(vp.data[[#This Row],[Battery]]=[1]DATA!$L$3:$L$9826)*(EOMONTH(vp.data[[#This Row],[SDate]],-1)+1=[1]DATA!$G$3:$G$9826),0)),vp.data[[#This Row],[Dens Input]]),"")</f>
        <v>873.1</v>
      </c>
      <c r="N46" s="2">
        <f ca="1">INDEX(INDIRECT(_xlfn.CONCAT("weather.tbl[",N$1,"]")),MATCH(vp.data[[#This Row],[SDate]],weather.tbl[Date],0))</f>
        <v>-7.8333333333333321</v>
      </c>
      <c r="O46" s="2">
        <f ca="1">INDEX(INDIRECT(_xlfn.CONCAT("weather.tbl[",O$1,"]")),MATCH(vp.data[[#This Row],[SDate]],weather.tbl[Date],0))</f>
        <v>0.57857142857142863</v>
      </c>
      <c r="P46" s="2">
        <f ca="1">INDEX(INDIRECT(_xlfn.CONCAT("weather.tbl[",P$1,"]")),MATCH(vp.data[[#This Row],[SDate]],weather.tbl[Date],0))</f>
        <v>-7</v>
      </c>
      <c r="Q46" s="2">
        <f ca="1">INDEX(INDIRECT(_xlfn.CONCAT("weather.tbl[",Q$1,"]")),MATCH(vp.data[[#This Row],[SDate]],weather.tbl[Date],0))</f>
        <v>-7.6</v>
      </c>
      <c r="R46" s="2">
        <f ca="1">INDEX(INDIRECT(_xlfn.CONCAT("weather.tbl[",R$1,"]")),MATCH(vp.data[[#This Row],[SDate]],weather.tbl[Date],0))</f>
        <v>-6.8</v>
      </c>
      <c r="S46" s="2">
        <f ca="1">INDEX(INDIRECT(_xlfn.CONCAT("weather.tbl[",S$1,"]")),MATCH(vp.data[[#This Row],[SDate]],weather.tbl[Date],0))</f>
        <v>-7</v>
      </c>
      <c r="T46" s="2">
        <f ca="1">INDEX(INDIRECT(_xlfn.CONCAT("weather.tbl[",T$1,"]")),MATCH(vp.data[[#This Row],[SDate]],weather.tbl[Date],0))</f>
        <v>-8.1999999999999993</v>
      </c>
      <c r="U46" s="2">
        <f ca="1">INDEX(INDIRECT(_xlfn.CONCAT("weather.tbl[",U$1,"]")),MATCH(vp.data[[#This Row],[SDate]],weather.tbl[Date],0))</f>
        <v>-10.4</v>
      </c>
      <c r="V46" s="2">
        <f t="array" ref="V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7369.9489999999996</v>
      </c>
      <c r="W46" t="s">
        <v>48</v>
      </c>
      <c r="X46">
        <f>IF(OR(vp.data[[#This Row],[Sulf]]="",vp.data[[#This Row],[Dens]]=""),1,0)</f>
        <v>0</v>
      </c>
      <c r="Y46">
        <f>IF(vp.data[[#This Row],[CrudeType]]="C5+",1,0)</f>
        <v>0</v>
      </c>
      <c r="Z46">
        <f>IF(AND(vp.data[[#This Row],[CrudeType]]="Crude",vp.data[[#This Row],[Dens]]&lt;=825,vp.data[[#This Row],[Sulf]]&gt;0.5,vp.data[[#This Row],[Unknown]]=0),1,0)</f>
        <v>0</v>
      </c>
      <c r="AA46">
        <f>IF(AND(vp.data[[#This Row],[CrudeType]]="Crude",vp.data[[#This Row],[Dens]]&lt;=825,vp.data[[#This Row],[Sulf]]&lt;=0.5,vp.data[[#This Row],[Unknown]]=0),1,0)</f>
        <v>0</v>
      </c>
      <c r="AB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6">
        <f>IF(AND(vp.data[[#This Row],[CrudeType]]="Crude",vp.data[[#This Row],[Dens]]&gt;825,vp.data[[#This Row],[Dens]]&lt;=900,vp.data[[#This Row],[Sulf]]&lt;=0.5,vp.data[[#This Row],[Unknown]]=0),1,0)</f>
        <v>0</v>
      </c>
      <c r="AD46">
        <f>IF(AND(vp.data[[#This Row],[CrudeType]]="Crude",vp.data[[#This Row],[Dens]]&gt;865,vp.data[[#This Row],[Dens]]&lt;=900,vp.data[[#This Row],[Sulf]]&gt;2,vp.data[[#This Row],[Unknown]]=0),1,0)</f>
        <v>1</v>
      </c>
      <c r="AE46">
        <f>IF(AND(vp.data[[#This Row],[CrudeType]]="Crude",vp.data[[#This Row],[Dens]]&gt;900,vp.data[[#This Row],[Sulf]]&lt;=0.5,vp.data[[#This Row],[Unknown]]=0),1,0)</f>
        <v>0</v>
      </c>
      <c r="AF46">
        <f>IF(AND(vp.data[[#This Row],[CrudeType]]="Crude",vp.data[[#This Row],[Dens]]&gt;900,vp.data[[#This Row],[Sulf]]&lt;=0.5,vp.data[[#This Row],[Unknown]]=0),1,0)</f>
        <v>0</v>
      </c>
      <c r="AG46" t="str">
        <f>INDEX(vp.data[[#Headers],[Unknown]:[Heavy_SW]],MATCH(1,vp.data[[#This Row],[Unknown]:[Heavy_SW]],0))</f>
        <v>Midale</v>
      </c>
      <c r="AH46">
        <f>INDEX([3]!crudeBD.lkup[Number],MATCH(vp.data[[#This Row],[Crude_Breakdown]],crudeBD.lkup[Crude Breakdown],0))</f>
        <v>5</v>
      </c>
      <c r="AI46">
        <f>MONTH(vp.data[[#This Row],[SDate]])</f>
        <v>11</v>
      </c>
      <c r="AJ46" s="5">
        <f>(vp.data[[#This Row],[VP]]-INDEX(crudeBD.lkup[Mean_VP],MATCH(vp.data[[#This Row],[Crude_Breakdown]],crudeBD.lkup[Crude Breakdown],0)))^2</f>
        <v>7.2427572005524627</v>
      </c>
      <c r="AK46" s="5">
        <f>(vp.data[[#This Row],[Dens]]-INDEX(crudeBD.lkup[Mean_Dens],MATCH(vp.data[[#This Row],[Crude_Breakdown]],crudeBD.lkup[Crude Breakdown],0)))^2</f>
        <v>2.9481244021691131</v>
      </c>
      <c r="AL46" s="5">
        <f>(vp.data[[#This Row],[Sulf]]-INDEX(crudeBD.lkup[Mean_Sulf],MATCH(vp.data[[#This Row],[Crude_Breakdown]],crudeBD.lkup[Crude Breakdown],0)))^2</f>
        <v>2.1428402221713612E-2</v>
      </c>
      <c r="AM46" s="4">
        <f>IF(AND(vp.data[[#This Row],[SDate]]&gt;=DATE(YEAR(vp.data[[#This Row],[SDate]]),5,1),vp.data[[#This Row],[SDate]]&lt;=DATE(YEAR(vp.data[[#This Row],[SDate]]),9,15)),1,0)</f>
        <v>0</v>
      </c>
      <c r="AN46" s="4">
        <f>IF(vp.data[[#This Row],[SDate]]&lt;DATE(2016,12,1),0,1)</f>
        <v>0</v>
      </c>
      <c r="AO46" s="4">
        <f>IFERROR(vp.data[[#This Row],[Sulf]]*vp.data[[#This Row],[Net Dens]],"")</f>
        <v>16665879.402221</v>
      </c>
      <c r="AP46">
        <f>IFERROR(vp.data[[#This Row],[Dens]]*vp.data[[#This Row],[VolumeM3]],"")</f>
        <v>6434702.4719000002</v>
      </c>
      <c r="AQ46" s="15">
        <f>IFERROR(vp.data[[#This Row],[VP]]*vp.data[[#This Row],[VolumeM3]],"")</f>
        <v>531373.32289999991</v>
      </c>
    </row>
    <row r="47" spans="1:43" x14ac:dyDescent="0.25">
      <c r="A47">
        <v>46</v>
      </c>
      <c r="B47" t="s">
        <v>51</v>
      </c>
      <c r="C47" t="s">
        <v>51</v>
      </c>
      <c r="D47" t="s">
        <v>66</v>
      </c>
      <c r="F47" s="1">
        <v>42328</v>
      </c>
      <c r="G47" s="2">
        <v>113.4</v>
      </c>
      <c r="H47" s="2"/>
      <c r="I47" s="2">
        <f t="array" ref="I47">_xlfn.IFNA(IF(vp.data[[#This Row],[Sulf Input]]="",INDEX([1]DATA!$Q$3:$Q$9826,MATCH(1,(vp.data[[#This Row],[Battery]]=[1]DATA!$L$3:$L$9826)*(EOMONTH(vp.data[[#This Row],[SDate]],-1)+1=[1]DATA!$G$3:$G$9826),0)),vp.data[[#This Row],[Sulf Input]]),"")</f>
        <v>1.1200000000000001</v>
      </c>
      <c r="J47" s="2"/>
      <c r="K47" s="2"/>
      <c r="L47" s="2">
        <v>827</v>
      </c>
      <c r="M47" s="2">
        <f t="array" ref="M47">_xlfn.IFNA(IF(vp.data[[#This Row],[Dens Input]]="",INDEX([1]DATA!$O$3:$O$9826,MATCH(1,(vp.data[[#This Row],[Battery]]=[1]DATA!$L$3:$L$9826)*(EOMONTH(vp.data[[#This Row],[SDate]],-1)+1=[1]DATA!$G$3:$G$9826),0)),vp.data[[#This Row],[Dens Input]]),"")</f>
        <v>827</v>
      </c>
      <c r="N47" s="2">
        <f ca="1">INDEX(INDIRECT(_xlfn.CONCAT("weather.tbl[",N$1,"]")),MATCH(vp.data[[#This Row],[SDate]],weather.tbl[Date],0))</f>
        <v>-9.4666666666666668</v>
      </c>
      <c r="O47" s="2">
        <f ca="1">INDEX(INDIRECT(_xlfn.CONCAT("weather.tbl[",O$1,"]")),MATCH(vp.data[[#This Row],[SDate]],weather.tbl[Date],0))</f>
        <v>-0.96904761904761882</v>
      </c>
      <c r="P47" s="2">
        <f ca="1">INDEX(INDIRECT(_xlfn.CONCAT("weather.tbl[",P$1,"]")),MATCH(vp.data[[#This Row],[SDate]],weather.tbl[Date],0))</f>
        <v>-9</v>
      </c>
      <c r="Q47" s="2">
        <f ca="1">INDEX(INDIRECT(_xlfn.CONCAT("weather.tbl[",Q$1,"]")),MATCH(vp.data[[#This Row],[SDate]],weather.tbl[Date],0))</f>
        <v>-9.6999999999999993</v>
      </c>
      <c r="R47" s="2">
        <f ca="1">INDEX(INDIRECT(_xlfn.CONCAT("weather.tbl[",R$1,"]")),MATCH(vp.data[[#This Row],[SDate]],weather.tbl[Date],0))</f>
        <v>-9.3000000000000007</v>
      </c>
      <c r="S47" s="2">
        <f ca="1">INDEX(INDIRECT(_xlfn.CONCAT("weather.tbl[",S$1,"]")),MATCH(vp.data[[#This Row],[SDate]],weather.tbl[Date],0))</f>
        <v>-8.5</v>
      </c>
      <c r="T47" s="2">
        <f ca="1">INDEX(INDIRECT(_xlfn.CONCAT("weather.tbl[",T$1,"]")),MATCH(vp.data[[#This Row],[SDate]],weather.tbl[Date],0))</f>
        <v>-9</v>
      </c>
      <c r="U47" s="2">
        <f ca="1">INDEX(INDIRECT(_xlfn.CONCAT("weather.tbl[",U$1,"]")),MATCH(vp.data[[#This Row],[SDate]],weather.tbl[Date],0))</f>
        <v>-11.3</v>
      </c>
      <c r="V47" s="2">
        <f t="array" ref="V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4727.3119999999999</v>
      </c>
      <c r="W47" t="s">
        <v>48</v>
      </c>
      <c r="X47">
        <f>IF(OR(vp.data[[#This Row],[Sulf]]="",vp.data[[#This Row],[Dens]]=""),1,0)</f>
        <v>0</v>
      </c>
      <c r="Y47">
        <f>IF(vp.data[[#This Row],[CrudeType]]="C5+",1,0)</f>
        <v>0</v>
      </c>
      <c r="Z47">
        <f>IF(AND(vp.data[[#This Row],[CrudeType]]="Crude",vp.data[[#This Row],[Dens]]&lt;=825,vp.data[[#This Row],[Sulf]]&gt;0.5,vp.data[[#This Row],[Unknown]]=0),1,0)</f>
        <v>0</v>
      </c>
      <c r="AA47">
        <f>IF(AND(vp.data[[#This Row],[CrudeType]]="Crude",vp.data[[#This Row],[Dens]]&lt;=825,vp.data[[#This Row],[Sulf]]&lt;=0.5,vp.data[[#This Row],[Unknown]]=0),1,0)</f>
        <v>0</v>
      </c>
      <c r="AB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7">
        <f>IF(AND(vp.data[[#This Row],[CrudeType]]="Crude",vp.data[[#This Row],[Dens]]&gt;825,vp.data[[#This Row],[Dens]]&lt;=900,vp.data[[#This Row],[Sulf]]&lt;=0.5,vp.data[[#This Row],[Unknown]]=0),1,0)</f>
        <v>0</v>
      </c>
      <c r="AD47">
        <f>IF(AND(vp.data[[#This Row],[CrudeType]]="Crude",vp.data[[#This Row],[Dens]]&gt;865,vp.data[[#This Row],[Dens]]&lt;=900,vp.data[[#This Row],[Sulf]]&gt;2,vp.data[[#This Row],[Unknown]]=0),1,0)</f>
        <v>0</v>
      </c>
      <c r="AE47">
        <f>IF(AND(vp.data[[#This Row],[CrudeType]]="Crude",vp.data[[#This Row],[Dens]]&gt;900,vp.data[[#This Row],[Sulf]]&lt;=0.5,vp.data[[#This Row],[Unknown]]=0),1,0)</f>
        <v>0</v>
      </c>
      <c r="AF47">
        <f>IF(AND(vp.data[[#This Row],[CrudeType]]="Crude",vp.data[[#This Row],[Dens]]&gt;900,vp.data[[#This Row],[Sulf]]&lt;=0.5,vp.data[[#This Row],[Unknown]]=0),1,0)</f>
        <v>0</v>
      </c>
      <c r="AG47" t="str">
        <f>INDEX(vp.data[[#Headers],[Unknown]:[Heavy_SW]],MATCH(1,vp.data[[#This Row],[Unknown]:[Heavy_SW]],0))</f>
        <v>Medium_LSB</v>
      </c>
      <c r="AH47">
        <f>INDEX([3]!crudeBD.lkup[Number],MATCH(vp.data[[#This Row],[Crude_Breakdown]],crudeBD.lkup[Crude Breakdown],0))</f>
        <v>3</v>
      </c>
      <c r="AI47">
        <f>MONTH(vp.data[[#This Row],[SDate]])</f>
        <v>11</v>
      </c>
      <c r="AJ47" s="5">
        <f>(vp.data[[#This Row],[VP]]-INDEX(crudeBD.lkup[Mean_VP],MATCH(vp.data[[#This Row],[Crude_Breakdown]],crudeBD.lkup[Crude Breakdown],0)))^2</f>
        <v>1073.2387925574553</v>
      </c>
      <c r="AK47" s="5">
        <f>(vp.data[[#This Row],[Dens]]-INDEX(crudeBD.lkup[Mean_Dens],MATCH(vp.data[[#This Row],[Crude_Breakdown]],crudeBD.lkup[Crude Breakdown],0)))^2</f>
        <v>286.28639999998325</v>
      </c>
      <c r="AL47" s="5">
        <f>(vp.data[[#This Row],[Sulf]]-INDEX(crudeBD.lkup[Mean_Sulf],MATCH(vp.data[[#This Row],[Crude_Breakdown]],crudeBD.lkup[Crude Breakdown],0)))^2</f>
        <v>7.04414737102486E-2</v>
      </c>
      <c r="AM47" s="4">
        <f>IF(AND(vp.data[[#This Row],[SDate]]&gt;=DATE(YEAR(vp.data[[#This Row],[SDate]]),5,1),vp.data[[#This Row],[SDate]]&lt;=DATE(YEAR(vp.data[[#This Row],[SDate]]),9,15)),1,0)</f>
        <v>0</v>
      </c>
      <c r="AN47" s="4">
        <f>IF(vp.data[[#This Row],[SDate]]&lt;DATE(2016,12,1),0,1)</f>
        <v>0</v>
      </c>
      <c r="AO47" s="4">
        <f>IFERROR(vp.data[[#This Row],[Sulf]]*vp.data[[#This Row],[Net Dens]],"")</f>
        <v>4378625.4668800002</v>
      </c>
      <c r="AP47">
        <f>IFERROR(vp.data[[#This Row],[Dens]]*vp.data[[#This Row],[VolumeM3]],"")</f>
        <v>3909487.0239999997</v>
      </c>
      <c r="AQ47" s="15">
        <f>IFERROR(vp.data[[#This Row],[VP]]*vp.data[[#This Row],[VolumeM3]],"")</f>
        <v>536077.18079999997</v>
      </c>
    </row>
    <row r="48" spans="1:43" x14ac:dyDescent="0.25">
      <c r="A48">
        <v>47</v>
      </c>
      <c r="B48" t="s">
        <v>56</v>
      </c>
      <c r="C48" t="s">
        <v>56</v>
      </c>
      <c r="D48" t="s">
        <v>57</v>
      </c>
      <c r="F48" s="1">
        <v>42332</v>
      </c>
      <c r="G48" s="2">
        <v>89.8</v>
      </c>
      <c r="H48" s="2"/>
      <c r="I48" s="2">
        <f t="array" ref="I48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48" s="2"/>
      <c r="K48" s="2"/>
      <c r="L48" s="2">
        <v>837</v>
      </c>
      <c r="M48" s="2">
        <f t="array" ref="M48">_xlfn.IFNA(IF(vp.data[[#This Row],[Dens Input]]="",INDEX([1]DATA!$O$3:$O$9826,MATCH(1,(vp.data[[#This Row],[Battery]]=[1]DATA!$L$3:$L$9826)*(EOMONTH(vp.data[[#This Row],[SDate]],-1)+1=[1]DATA!$G$3:$G$9826),0)),vp.data[[#This Row],[Dens Input]]),"")</f>
        <v>837</v>
      </c>
      <c r="N48" s="2">
        <f ca="1">INDEX(INDIRECT(_xlfn.CONCAT("weather.tbl[",N$1,"]")),MATCH(vp.data[[#This Row],[SDate]],weather.tbl[Date],0))</f>
        <v>-1.3</v>
      </c>
      <c r="O48" s="2">
        <f ca="1">INDEX(INDIRECT(_xlfn.CONCAT("weather.tbl[",O$1,"]")),MATCH(vp.data[[#This Row],[SDate]],weather.tbl[Date],0))</f>
        <v>-4.1357142857142852</v>
      </c>
      <c r="P48" s="2">
        <f ca="1">INDEX(INDIRECT(_xlfn.CONCAT("weather.tbl[",P$1,"]")),MATCH(vp.data[[#This Row],[SDate]],weather.tbl[Date],0))</f>
        <v>-1.5</v>
      </c>
      <c r="Q48" s="2">
        <f ca="1">INDEX(INDIRECT(_xlfn.CONCAT("weather.tbl[",Q$1,"]")),MATCH(vp.data[[#This Row],[SDate]],weather.tbl[Date],0))</f>
        <v>-0.7</v>
      </c>
      <c r="R48" s="2">
        <f ca="1">INDEX(INDIRECT(_xlfn.CONCAT("weather.tbl[",R$1,"]")),MATCH(vp.data[[#This Row],[SDate]],weather.tbl[Date],0))</f>
        <v>-2.5</v>
      </c>
      <c r="S48" s="2">
        <f ca="1">INDEX(INDIRECT(_xlfn.CONCAT("weather.tbl[",S$1,"]")),MATCH(vp.data[[#This Row],[SDate]],weather.tbl[Date],0))</f>
        <v>-1.5</v>
      </c>
      <c r="T48" s="2">
        <f ca="1">INDEX(INDIRECT(_xlfn.CONCAT("weather.tbl[",T$1,"]")),MATCH(vp.data[[#This Row],[SDate]],weather.tbl[Date],0))</f>
        <v>0</v>
      </c>
      <c r="U48" s="2">
        <f ca="1">INDEX(INDIRECT(_xlfn.CONCAT("weather.tbl[",U$1,"]")),MATCH(vp.data[[#This Row],[SDate]],weather.tbl[Date],0))</f>
        <v>-1.6</v>
      </c>
      <c r="V48" s="2">
        <f t="array" ref="V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3565.95</v>
      </c>
      <c r="W48" t="s">
        <v>48</v>
      </c>
      <c r="X48">
        <f>IF(OR(vp.data[[#This Row],[Sulf]]="",vp.data[[#This Row],[Dens]]=""),1,0)</f>
        <v>0</v>
      </c>
      <c r="Y48">
        <f>IF(vp.data[[#This Row],[CrudeType]]="C5+",1,0)</f>
        <v>0</v>
      </c>
      <c r="Z48">
        <f>IF(AND(vp.data[[#This Row],[CrudeType]]="Crude",vp.data[[#This Row],[Dens]]&lt;=825,vp.data[[#This Row],[Sulf]]&gt;0.5,vp.data[[#This Row],[Unknown]]=0),1,0)</f>
        <v>0</v>
      </c>
      <c r="AA48">
        <f>IF(AND(vp.data[[#This Row],[CrudeType]]="Crude",vp.data[[#This Row],[Dens]]&lt;=825,vp.data[[#This Row],[Sulf]]&lt;=0.5,vp.data[[#This Row],[Unknown]]=0),1,0)</f>
        <v>0</v>
      </c>
      <c r="AB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8">
        <f>IF(AND(vp.data[[#This Row],[CrudeType]]="Crude",vp.data[[#This Row],[Dens]]&gt;825,vp.data[[#This Row],[Dens]]&lt;=900,vp.data[[#This Row],[Sulf]]&lt;=0.5,vp.data[[#This Row],[Unknown]]=0),1,0)</f>
        <v>0</v>
      </c>
      <c r="AD48">
        <f>IF(AND(vp.data[[#This Row],[CrudeType]]="Crude",vp.data[[#This Row],[Dens]]&gt;865,vp.data[[#This Row],[Dens]]&lt;=900,vp.data[[#This Row],[Sulf]]&gt;2,vp.data[[#This Row],[Unknown]]=0),1,0)</f>
        <v>0</v>
      </c>
      <c r="AE48">
        <f>IF(AND(vp.data[[#This Row],[CrudeType]]="Crude",vp.data[[#This Row],[Dens]]&gt;900,vp.data[[#This Row],[Sulf]]&lt;=0.5,vp.data[[#This Row],[Unknown]]=0),1,0)</f>
        <v>0</v>
      </c>
      <c r="AF48">
        <f>IF(AND(vp.data[[#This Row],[CrudeType]]="Crude",vp.data[[#This Row],[Dens]]&gt;900,vp.data[[#This Row],[Sulf]]&lt;=0.5,vp.data[[#This Row],[Unknown]]=0),1,0)</f>
        <v>0</v>
      </c>
      <c r="AG48" t="str">
        <f>INDEX(vp.data[[#Headers],[Unknown]:[Heavy_SW]],MATCH(1,vp.data[[#This Row],[Unknown]:[Heavy_SW]],0))</f>
        <v>Medium_LSB</v>
      </c>
      <c r="AH48">
        <f>INDEX([3]!crudeBD.lkup[Number],MATCH(vp.data[[#This Row],[Crude_Breakdown]],crudeBD.lkup[Crude Breakdown],0))</f>
        <v>3</v>
      </c>
      <c r="AI48">
        <f>MONTH(vp.data[[#This Row],[SDate]])</f>
        <v>11</v>
      </c>
      <c r="AJ48" s="5">
        <f>(vp.data[[#This Row],[VP]]-INDEX(crudeBD.lkup[Mean_VP],MATCH(vp.data[[#This Row],[Crude_Breakdown]],crudeBD.lkup[Crude Breakdown],0)))^2</f>
        <v>83.911525711090249</v>
      </c>
      <c r="AK48" s="5">
        <f>(vp.data[[#This Row],[Dens]]-INDEX(crudeBD.lkup[Mean_Dens],MATCH(vp.data[[#This Row],[Crude_Breakdown]],crudeBD.lkup[Crude Breakdown],0)))^2</f>
        <v>47.886399999993138</v>
      </c>
      <c r="AL48" s="5">
        <f>(vp.data[[#This Row],[Sulf]]-INDEX(crudeBD.lkup[Mean_Sulf],MATCH(vp.data[[#This Row],[Crude_Breakdown]],crudeBD.lkup[Crude Breakdown],0)))^2</f>
        <v>2.9802726320805671E-3</v>
      </c>
      <c r="AM48" s="4">
        <f>IF(AND(vp.data[[#This Row],[SDate]]&gt;=DATE(YEAR(vp.data[[#This Row],[SDate]]),5,1),vp.data[[#This Row],[SDate]]&lt;=DATE(YEAR(vp.data[[#This Row],[SDate]]),9,15)),1,0)</f>
        <v>0</v>
      </c>
      <c r="AN48" s="4">
        <f>IF(vp.data[[#This Row],[SDate]]&lt;DATE(2016,12,1),0,1)</f>
        <v>0</v>
      </c>
      <c r="AO48" s="4">
        <f>IFERROR(vp.data[[#This Row],[Sulf]]*vp.data[[#This Row],[Net Dens]],"")</f>
        <v>4297968.216</v>
      </c>
      <c r="AP48">
        <f>IFERROR(vp.data[[#This Row],[Dens]]*vp.data[[#This Row],[VolumeM3]],"")</f>
        <v>2984700.15</v>
      </c>
      <c r="AQ48" s="15">
        <f>IFERROR(vp.data[[#This Row],[VP]]*vp.data[[#This Row],[VolumeM3]],"")</f>
        <v>320222.31</v>
      </c>
    </row>
    <row r="49" spans="1:43" x14ac:dyDescent="0.25">
      <c r="A49">
        <v>48</v>
      </c>
      <c r="B49" t="s">
        <v>51</v>
      </c>
      <c r="C49" t="s">
        <v>51</v>
      </c>
      <c r="D49" t="s">
        <v>71</v>
      </c>
      <c r="F49" s="1">
        <v>42332</v>
      </c>
      <c r="G49" s="2">
        <v>99.4</v>
      </c>
      <c r="H49" s="2"/>
      <c r="I49" s="2">
        <f t="array" ref="I49">_xlfn.IFNA(IF(vp.data[[#This Row],[Sulf Input]]="",INDEX([1]DATA!$Q$3:$Q$9826,MATCH(1,(vp.data[[#This Row],[Battery]]=[1]DATA!$L$3:$L$9826)*(EOMONTH(vp.data[[#This Row],[SDate]],-1)+1=[1]DATA!$G$3:$G$9826),0)),vp.data[[#This Row],[Sulf Input]]),"")</f>
        <v>1.37</v>
      </c>
      <c r="J49" s="2"/>
      <c r="K49" s="2"/>
      <c r="L49" s="2"/>
      <c r="M49" s="2">
        <f t="array" ref="M49">_xlfn.IFNA(IF(vp.data[[#This Row],[Dens Input]]="",INDEX([1]DATA!$O$3:$O$9826,MATCH(1,(vp.data[[#This Row],[Battery]]=[1]DATA!$L$3:$L$9826)*(EOMONTH(vp.data[[#This Row],[SDate]],-1)+1=[1]DATA!$G$3:$G$9826),0)),vp.data[[#This Row],[Dens Input]]),"")</f>
        <v>815.1</v>
      </c>
      <c r="N49" s="2">
        <f ca="1">INDEX(INDIRECT(_xlfn.CONCAT("weather.tbl[",N$1,"]")),MATCH(vp.data[[#This Row],[SDate]],weather.tbl[Date],0))</f>
        <v>-1.3</v>
      </c>
      <c r="O49" s="2">
        <f ca="1">INDEX(INDIRECT(_xlfn.CONCAT("weather.tbl[",O$1,"]")),MATCH(vp.data[[#This Row],[SDate]],weather.tbl[Date],0))</f>
        <v>-4.1357142857142852</v>
      </c>
      <c r="P49" s="2">
        <f ca="1">INDEX(INDIRECT(_xlfn.CONCAT("weather.tbl[",P$1,"]")),MATCH(vp.data[[#This Row],[SDate]],weather.tbl[Date],0))</f>
        <v>-1.5</v>
      </c>
      <c r="Q49" s="2">
        <f ca="1">INDEX(INDIRECT(_xlfn.CONCAT("weather.tbl[",Q$1,"]")),MATCH(vp.data[[#This Row],[SDate]],weather.tbl[Date],0))</f>
        <v>-0.7</v>
      </c>
      <c r="R49" s="2">
        <f ca="1">INDEX(INDIRECT(_xlfn.CONCAT("weather.tbl[",R$1,"]")),MATCH(vp.data[[#This Row],[SDate]],weather.tbl[Date],0))</f>
        <v>-2.5</v>
      </c>
      <c r="S49" s="2">
        <f ca="1">INDEX(INDIRECT(_xlfn.CONCAT("weather.tbl[",S$1,"]")),MATCH(vp.data[[#This Row],[SDate]],weather.tbl[Date],0))</f>
        <v>-1.5</v>
      </c>
      <c r="T49" s="2">
        <f ca="1">INDEX(INDIRECT(_xlfn.CONCAT("weather.tbl[",T$1,"]")),MATCH(vp.data[[#This Row],[SDate]],weather.tbl[Date],0))</f>
        <v>0</v>
      </c>
      <c r="U49" s="2">
        <f ca="1">INDEX(INDIRECT(_xlfn.CONCAT("weather.tbl[",U$1,"]")),MATCH(vp.data[[#This Row],[SDate]],weather.tbl[Date],0))</f>
        <v>-1.6</v>
      </c>
      <c r="V49" s="2">
        <f t="array" ref="V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5890.66</v>
      </c>
      <c r="W49" t="s">
        <v>48</v>
      </c>
      <c r="X49">
        <f>IF(OR(vp.data[[#This Row],[Sulf]]="",vp.data[[#This Row],[Dens]]=""),1,0)</f>
        <v>0</v>
      </c>
      <c r="Y49">
        <f>IF(vp.data[[#This Row],[CrudeType]]="C5+",1,0)</f>
        <v>0</v>
      </c>
      <c r="Z49">
        <f>IF(AND(vp.data[[#This Row],[CrudeType]]="Crude",vp.data[[#This Row],[Dens]]&lt;=825,vp.data[[#This Row],[Sulf]]&gt;0.5,vp.data[[#This Row],[Unknown]]=0),1,0)</f>
        <v>1</v>
      </c>
      <c r="AA49">
        <f>IF(AND(vp.data[[#This Row],[CrudeType]]="Crude",vp.data[[#This Row],[Dens]]&lt;=825,vp.data[[#This Row],[Sulf]]&lt;=0.5,vp.data[[#This Row],[Unknown]]=0),1,0)</f>
        <v>0</v>
      </c>
      <c r="AB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">
        <f>IF(AND(vp.data[[#This Row],[CrudeType]]="Crude",vp.data[[#This Row],[Dens]]&gt;825,vp.data[[#This Row],[Dens]]&lt;=900,vp.data[[#This Row],[Sulf]]&lt;=0.5,vp.data[[#This Row],[Unknown]]=0),1,0)</f>
        <v>0</v>
      </c>
      <c r="AD49">
        <f>IF(AND(vp.data[[#This Row],[CrudeType]]="Crude",vp.data[[#This Row],[Dens]]&gt;865,vp.data[[#This Row],[Dens]]&lt;=900,vp.data[[#This Row],[Sulf]]&gt;2,vp.data[[#This Row],[Unknown]]=0),1,0)</f>
        <v>0</v>
      </c>
      <c r="AE49">
        <f>IF(AND(vp.data[[#This Row],[CrudeType]]="Crude",vp.data[[#This Row],[Dens]]&gt;900,vp.data[[#This Row],[Sulf]]&lt;=0.5,vp.data[[#This Row],[Unknown]]=0),1,0)</f>
        <v>0</v>
      </c>
      <c r="AF49">
        <f>IF(AND(vp.data[[#This Row],[CrudeType]]="Crude",vp.data[[#This Row],[Dens]]&gt;900,vp.data[[#This Row],[Sulf]]&lt;=0.5,vp.data[[#This Row],[Unknown]]=0),1,0)</f>
        <v>0</v>
      </c>
      <c r="AG49" t="str">
        <f>INDEX(vp.data[[#Headers],[Unknown]:[Heavy_SW]],MATCH(1,vp.data[[#This Row],[Unknown]:[Heavy_SW]],0))</f>
        <v>Light_LSB</v>
      </c>
      <c r="AH49">
        <f>INDEX([3]!crudeBD.lkup[Number],MATCH(vp.data[[#This Row],[Crude_Breakdown]],crudeBD.lkup[Crude Breakdown],0))</f>
        <v>1</v>
      </c>
      <c r="AI49">
        <f>MONTH(vp.data[[#This Row],[SDate]])</f>
        <v>11</v>
      </c>
      <c r="AJ49" s="5">
        <f>(vp.data[[#This Row],[VP]]-INDEX(crudeBD.lkup[Mean_VP],MATCH(vp.data[[#This Row],[Crude_Breakdown]],crudeBD.lkup[Crude Breakdown],0)))^2</f>
        <v>61.682401147836778</v>
      </c>
      <c r="AK49" s="5">
        <f>(vp.data[[#This Row],[Dens]]-INDEX(crudeBD.lkup[Mean_Dens],MATCH(vp.data[[#This Row],[Crude_Breakdown]],crudeBD.lkup[Crude Breakdown],0)))^2</f>
        <v>11.674315589090883</v>
      </c>
      <c r="AL49" s="5">
        <f>(vp.data[[#This Row],[Sulf]]-INDEX(crudeBD.lkup[Mean_Sulf],MATCH(vp.data[[#This Row],[Crude_Breakdown]],crudeBD.lkup[Crude Breakdown],0)))^2</f>
        <v>0.19983477629517987</v>
      </c>
      <c r="AM49" s="4">
        <f>IF(AND(vp.data[[#This Row],[SDate]]&gt;=DATE(YEAR(vp.data[[#This Row],[SDate]]),5,1),vp.data[[#This Row],[SDate]]&lt;=DATE(YEAR(vp.data[[#This Row],[SDate]]),9,15)),1,0)</f>
        <v>0</v>
      </c>
      <c r="AN49" s="4">
        <f>IF(vp.data[[#This Row],[SDate]]&lt;DATE(2016,12,1),0,1)</f>
        <v>0</v>
      </c>
      <c r="AO49" s="4">
        <f>IFERROR(vp.data[[#This Row],[Sulf]]*vp.data[[#This Row],[Net Dens]],"")</f>
        <v>6578023.4434200004</v>
      </c>
      <c r="AP49">
        <f>IFERROR(vp.data[[#This Row],[Dens]]*vp.data[[#This Row],[VolumeM3]],"")</f>
        <v>4801476.966</v>
      </c>
      <c r="AQ49" s="15">
        <f>IFERROR(vp.data[[#This Row],[VP]]*vp.data[[#This Row],[VolumeM3]],"")</f>
        <v>585531.60400000005</v>
      </c>
    </row>
    <row r="50" spans="1:43" x14ac:dyDescent="0.25">
      <c r="A50">
        <v>49</v>
      </c>
      <c r="B50" t="s">
        <v>62</v>
      </c>
      <c r="C50" t="s">
        <v>62</v>
      </c>
      <c r="D50" t="s">
        <v>63</v>
      </c>
      <c r="F50" s="1">
        <v>42334</v>
      </c>
      <c r="G50" s="2">
        <v>154.4</v>
      </c>
      <c r="H50" s="2"/>
      <c r="I50" s="2">
        <f t="array" ref="I50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50" s="2"/>
      <c r="K50" s="2"/>
      <c r="L50" s="2">
        <v>833.3</v>
      </c>
      <c r="M50" s="2">
        <f t="array" ref="M50">_xlfn.IFNA(IF(vp.data[[#This Row],[Dens Input]]="",INDEX([1]DATA!$O$3:$O$9826,MATCH(1,(vp.data[[#This Row],[Battery]]=[1]DATA!$L$3:$L$9826)*(EOMONTH(vp.data[[#This Row],[SDate]],-1)+1=[1]DATA!$G$3:$G$9826),0)),vp.data[[#This Row],[Dens Input]]),"")</f>
        <v>833.3</v>
      </c>
      <c r="N50" s="2">
        <f ca="1">INDEX(INDIRECT(_xlfn.CONCAT("weather.tbl[",N$1,"]")),MATCH(vp.data[[#This Row],[SDate]],weather.tbl[Date],0))</f>
        <v>-12</v>
      </c>
      <c r="O50" s="2">
        <f ca="1">INDEX(INDIRECT(_xlfn.CONCAT("weather.tbl[",O$1,"]")),MATCH(vp.data[[#This Row],[SDate]],weather.tbl[Date],0))</f>
        <v>-5.7071428571428573</v>
      </c>
      <c r="P50" s="2">
        <f ca="1">INDEX(INDIRECT(_xlfn.CONCAT("weather.tbl[",P$1,"]")),MATCH(vp.data[[#This Row],[SDate]],weather.tbl[Date],0))</f>
        <v>-14.3</v>
      </c>
      <c r="Q50" s="2">
        <f ca="1">INDEX(INDIRECT(_xlfn.CONCAT("weather.tbl[",Q$1,"]")),MATCH(vp.data[[#This Row],[SDate]],weather.tbl[Date],0))</f>
        <v>-15.3</v>
      </c>
      <c r="R50" s="2">
        <f ca="1">INDEX(INDIRECT(_xlfn.CONCAT("weather.tbl[",R$1,"]")),MATCH(vp.data[[#This Row],[SDate]],weather.tbl[Date],0))</f>
        <v>-14</v>
      </c>
      <c r="S50" s="2">
        <f ca="1">INDEX(INDIRECT(_xlfn.CONCAT("weather.tbl[",S$1,"]")),MATCH(vp.data[[#This Row],[SDate]],weather.tbl[Date],0))</f>
        <v>-5.5</v>
      </c>
      <c r="T50" s="2">
        <f ca="1">INDEX(INDIRECT(_xlfn.CONCAT("weather.tbl[",T$1,"]")),MATCH(vp.data[[#This Row],[SDate]],weather.tbl[Date],0))</f>
        <v>-9.6</v>
      </c>
      <c r="U50" s="2">
        <f ca="1">INDEX(INDIRECT(_xlfn.CONCAT("weather.tbl[",U$1,"]")),MATCH(vp.data[[#This Row],[SDate]],weather.tbl[Date],0))</f>
        <v>-13.3</v>
      </c>
      <c r="V50" s="2">
        <f t="array" ref="V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5377.1509999999998</v>
      </c>
      <c r="W50" t="s">
        <v>48</v>
      </c>
      <c r="X50">
        <f>IF(OR(vp.data[[#This Row],[Sulf]]="",vp.data[[#This Row],[Dens]]=""),1,0)</f>
        <v>0</v>
      </c>
      <c r="Y50">
        <f>IF(vp.data[[#This Row],[CrudeType]]="C5+",1,0)</f>
        <v>0</v>
      </c>
      <c r="Z50">
        <f>IF(AND(vp.data[[#This Row],[CrudeType]]="Crude",vp.data[[#This Row],[Dens]]&lt;=825,vp.data[[#This Row],[Sulf]]&gt;0.5,vp.data[[#This Row],[Unknown]]=0),1,0)</f>
        <v>0</v>
      </c>
      <c r="AA50">
        <f>IF(AND(vp.data[[#This Row],[CrudeType]]="Crude",vp.data[[#This Row],[Dens]]&lt;=825,vp.data[[#This Row],[Sulf]]&lt;=0.5,vp.data[[#This Row],[Unknown]]=0),1,0)</f>
        <v>0</v>
      </c>
      <c r="AB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">
        <f>IF(AND(vp.data[[#This Row],[CrudeType]]="Crude",vp.data[[#This Row],[Dens]]&gt;825,vp.data[[#This Row],[Dens]]&lt;=900,vp.data[[#This Row],[Sulf]]&lt;=0.5,vp.data[[#This Row],[Unknown]]=0),1,0)</f>
        <v>0</v>
      </c>
      <c r="AD50">
        <f>IF(AND(vp.data[[#This Row],[CrudeType]]="Crude",vp.data[[#This Row],[Dens]]&gt;865,vp.data[[#This Row],[Dens]]&lt;=900,vp.data[[#This Row],[Sulf]]&gt;2,vp.data[[#This Row],[Unknown]]=0),1,0)</f>
        <v>0</v>
      </c>
      <c r="AE50">
        <f>IF(AND(vp.data[[#This Row],[CrudeType]]="Crude",vp.data[[#This Row],[Dens]]&gt;900,vp.data[[#This Row],[Sulf]]&lt;=0.5,vp.data[[#This Row],[Unknown]]=0),1,0)</f>
        <v>0</v>
      </c>
      <c r="AF50">
        <f>IF(AND(vp.data[[#This Row],[CrudeType]]="Crude",vp.data[[#This Row],[Dens]]&gt;900,vp.data[[#This Row],[Sulf]]&lt;=0.5,vp.data[[#This Row],[Unknown]]=0),1,0)</f>
        <v>0</v>
      </c>
      <c r="AG50" t="str">
        <f>INDEX(vp.data[[#Headers],[Unknown]:[Heavy_SW]],MATCH(1,vp.data[[#This Row],[Unknown]:[Heavy_SW]],0))</f>
        <v>Medium_LSB</v>
      </c>
      <c r="AH50">
        <f>INDEX([3]!crudeBD.lkup[Number],MATCH(vp.data[[#This Row],[Crude_Breakdown]],crudeBD.lkup[Crude Breakdown],0))</f>
        <v>3</v>
      </c>
      <c r="AI50">
        <f>MONTH(vp.data[[#This Row],[SDate]])</f>
        <v>11</v>
      </c>
      <c r="AJ50" s="5">
        <f>(vp.data[[#This Row],[VP]]-INDEX(crudeBD.lkup[Mean_VP],MATCH(vp.data[[#This Row],[Crude_Breakdown]],crudeBD.lkup[Crude Breakdown],0)))^2</f>
        <v>5440.5853154685128</v>
      </c>
      <c r="AK50" s="5">
        <f>(vp.data[[#This Row],[Dens]]-INDEX(crudeBD.lkup[Mean_Dens],MATCH(vp.data[[#This Row],[Crude_Breakdown]],crudeBD.lkup[Crude Breakdown],0)))^2</f>
        <v>112.78439999999044</v>
      </c>
      <c r="AL50" s="5">
        <f>(vp.data[[#This Row],[Sulf]]-INDEX(crudeBD.lkup[Mean_Sulf],MATCH(vp.data[[#This Row],[Crude_Breakdown]],crudeBD.lkup[Crude Breakdown],0)))^2</f>
        <v>1.5727198238550122E-2</v>
      </c>
      <c r="AM50" s="4">
        <f>IF(AND(vp.data[[#This Row],[SDate]]&gt;=DATE(YEAR(vp.data[[#This Row],[SDate]]),5,1),vp.data[[#This Row],[SDate]]&lt;=DATE(YEAR(vp.data[[#This Row],[SDate]]),9,15)),1,0)</f>
        <v>0</v>
      </c>
      <c r="AN50" s="4">
        <f>IF(vp.data[[#This Row],[SDate]]&lt;DATE(2016,12,1),0,1)</f>
        <v>0</v>
      </c>
      <c r="AO50" s="4">
        <f>IFERROR(vp.data[[#This Row],[Sulf]]*vp.data[[#This Row],[Net Dens]],"")</f>
        <v>5645782.7096579997</v>
      </c>
      <c r="AP50">
        <f>IFERROR(vp.data[[#This Row],[Dens]]*vp.data[[#This Row],[VolumeM3]],"")</f>
        <v>4480779.9282999998</v>
      </c>
      <c r="AQ50" s="15">
        <f>IFERROR(vp.data[[#This Row],[VP]]*vp.data[[#This Row],[VolumeM3]],"")</f>
        <v>830232.11439999996</v>
      </c>
    </row>
    <row r="51" spans="1:43" x14ac:dyDescent="0.25">
      <c r="A51">
        <v>50</v>
      </c>
      <c r="B51" t="s">
        <v>46</v>
      </c>
      <c r="C51" t="s">
        <v>46</v>
      </c>
      <c r="D51" t="s">
        <v>47</v>
      </c>
      <c r="F51" s="1">
        <v>42339</v>
      </c>
      <c r="G51" s="2">
        <v>112.1</v>
      </c>
      <c r="H51" s="2"/>
      <c r="I51" s="2">
        <f t="array" ref="I51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51" s="2"/>
      <c r="K51" s="2"/>
      <c r="L51" s="2">
        <v>871</v>
      </c>
      <c r="M51" s="2">
        <f t="array" ref="M51">_xlfn.IFNA(IF(vp.data[[#This Row],[Dens Input]]="",INDEX([1]DATA!$O$3:$O$9826,MATCH(1,(vp.data[[#This Row],[Battery]]=[1]DATA!$L$3:$L$9826)*(EOMONTH(vp.data[[#This Row],[SDate]],-1)+1=[1]DATA!$G$3:$G$9826),0)),vp.data[[#This Row],[Dens Input]]),"")</f>
        <v>871</v>
      </c>
      <c r="N51" s="2">
        <f ca="1">INDEX(INDIRECT(_xlfn.CONCAT("weather.tbl[",N$1,"]")),MATCH(vp.data[[#This Row],[SDate]],weather.tbl[Date],0))</f>
        <v>-5.4666666666666659</v>
      </c>
      <c r="O51" s="2">
        <f ca="1">INDEX(INDIRECT(_xlfn.CONCAT("weather.tbl[",O$1,"]")),MATCH(vp.data[[#This Row],[SDate]],weather.tbl[Date],0))</f>
        <v>-8.0857142857142872</v>
      </c>
      <c r="P51" s="2">
        <f ca="1">INDEX(INDIRECT(_xlfn.CONCAT("weather.tbl[",P$1,"]")),MATCH(vp.data[[#This Row],[SDate]],weather.tbl[Date],0))</f>
        <v>-6.2</v>
      </c>
      <c r="Q51" s="2">
        <f ca="1">INDEX(INDIRECT(_xlfn.CONCAT("weather.tbl[",Q$1,"]")),MATCH(vp.data[[#This Row],[SDate]],weather.tbl[Date],0))</f>
        <v>-6.7</v>
      </c>
      <c r="R51" s="2">
        <f ca="1">INDEX(INDIRECT(_xlfn.CONCAT("weather.tbl[",R$1,"]")),MATCH(vp.data[[#This Row],[SDate]],weather.tbl[Date],0))</f>
        <v>-5.5</v>
      </c>
      <c r="S51" s="2">
        <f ca="1">INDEX(INDIRECT(_xlfn.CONCAT("weather.tbl[",S$1,"]")),MATCH(vp.data[[#This Row],[SDate]],weather.tbl[Date],0))</f>
        <v>-5.5</v>
      </c>
      <c r="T51" s="2">
        <f ca="1">INDEX(INDIRECT(_xlfn.CONCAT("weather.tbl[",T$1,"]")),MATCH(vp.data[[#This Row],[SDate]],weather.tbl[Date],0))</f>
        <v>-5.3</v>
      </c>
      <c r="U51" s="2">
        <f ca="1">INDEX(INDIRECT(_xlfn.CONCAT("weather.tbl[",U$1,"]")),MATCH(vp.data[[#This Row],[SDate]],weather.tbl[Date],0))</f>
        <v>-3.6</v>
      </c>
      <c r="V51" s="2">
        <f t="array" ref="V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118241.302</v>
      </c>
      <c r="W51" t="s">
        <v>48</v>
      </c>
      <c r="X51">
        <f>IF(OR(vp.data[[#This Row],[Sulf]]="",vp.data[[#This Row],[Dens]]=""),1,0)</f>
        <v>0</v>
      </c>
      <c r="Y51">
        <f>IF(vp.data[[#This Row],[CrudeType]]="C5+",1,0)</f>
        <v>0</v>
      </c>
      <c r="Z51">
        <f>IF(AND(vp.data[[#This Row],[CrudeType]]="Crude",vp.data[[#This Row],[Dens]]&lt;=825,vp.data[[#This Row],[Sulf]]&gt;0.5,vp.data[[#This Row],[Unknown]]=0),1,0)</f>
        <v>0</v>
      </c>
      <c r="AA51">
        <f>IF(AND(vp.data[[#This Row],[CrudeType]]="Crude",vp.data[[#This Row],[Dens]]&lt;=825,vp.data[[#This Row],[Sulf]]&lt;=0.5,vp.data[[#This Row],[Unknown]]=0),1,0)</f>
        <v>0</v>
      </c>
      <c r="AB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">
        <f>IF(AND(vp.data[[#This Row],[CrudeType]]="Crude",vp.data[[#This Row],[Dens]]&gt;825,vp.data[[#This Row],[Dens]]&lt;=900,vp.data[[#This Row],[Sulf]]&lt;=0.5,vp.data[[#This Row],[Unknown]]=0),1,0)</f>
        <v>0</v>
      </c>
      <c r="AD51">
        <f>IF(AND(vp.data[[#This Row],[CrudeType]]="Crude",vp.data[[#This Row],[Dens]]&gt;865,vp.data[[#This Row],[Dens]]&lt;=900,vp.data[[#This Row],[Sulf]]&gt;2,vp.data[[#This Row],[Unknown]]=0),1,0)</f>
        <v>1</v>
      </c>
      <c r="AE51">
        <f>IF(AND(vp.data[[#This Row],[CrudeType]]="Crude",vp.data[[#This Row],[Dens]]&gt;900,vp.data[[#This Row],[Sulf]]&lt;=0.5,vp.data[[#This Row],[Unknown]]=0),1,0)</f>
        <v>0</v>
      </c>
      <c r="AF51">
        <f>IF(AND(vp.data[[#This Row],[CrudeType]]="Crude",vp.data[[#This Row],[Dens]]&gt;900,vp.data[[#This Row],[Sulf]]&lt;=0.5,vp.data[[#This Row],[Unknown]]=0),1,0)</f>
        <v>0</v>
      </c>
      <c r="AG51" t="str">
        <f>INDEX(vp.data[[#Headers],[Unknown]:[Heavy_SW]],MATCH(1,vp.data[[#This Row],[Unknown]:[Heavy_SW]],0))</f>
        <v>Midale</v>
      </c>
      <c r="AH51">
        <f>INDEX([3]!crudeBD.lkup[Number],MATCH(vp.data[[#This Row],[Crude_Breakdown]],crudeBD.lkup[Crude Breakdown],0))</f>
        <v>5</v>
      </c>
      <c r="AI51">
        <f>MONTH(vp.data[[#This Row],[SDate]])</f>
        <v>12</v>
      </c>
      <c r="AJ51" s="5">
        <f>(vp.data[[#This Row],[VP]]-INDEX(crudeBD.lkup[Mean_VP],MATCH(vp.data[[#This Row],[Crude_Breakdown]],crudeBD.lkup[Crude Breakdown],0)))^2</f>
        <v>1822.5417262727144</v>
      </c>
      <c r="AK51" s="5">
        <f>(vp.data[[#This Row],[Dens]]-INDEX(crudeBD.lkup[Mean_Dens],MATCH(vp.data[[#This Row],[Crude_Breakdown]],crudeBD.lkup[Crude Breakdown],0)))^2</f>
        <v>14.569567701139553</v>
      </c>
      <c r="AL51" s="5">
        <f>(vp.data[[#This Row],[Sulf]]-INDEX(crudeBD.lkup[Mean_Sulf],MATCH(vp.data[[#This Row],[Crude_Breakdown]],crudeBD.lkup[Crude Breakdown],0)))^2</f>
        <v>1.130006345424492E-3</v>
      </c>
      <c r="AM51" s="4">
        <f>IF(AND(vp.data[[#This Row],[SDate]]&gt;=DATE(YEAR(vp.data[[#This Row],[SDate]]),5,1),vp.data[[#This Row],[SDate]]&lt;=DATE(YEAR(vp.data[[#This Row],[SDate]]),9,15)),1,0)</f>
        <v>0</v>
      </c>
      <c r="AN51" s="4">
        <f>IF(vp.data[[#This Row],[SDate]]&lt;DATE(2016,12,1),0,1)</f>
        <v>0</v>
      </c>
      <c r="AO51" s="4">
        <f>IFERROR(vp.data[[#This Row],[Sulf]]*vp.data[[#This Row],[Net Dens]],"")</f>
        <v>248201499.44122002</v>
      </c>
      <c r="AP51">
        <f>IFERROR(vp.data[[#This Row],[Dens]]*vp.data[[#This Row],[VolumeM3]],"")</f>
        <v>102988174.042</v>
      </c>
      <c r="AQ51" s="15">
        <f>IFERROR(vp.data[[#This Row],[VP]]*vp.data[[#This Row],[VolumeM3]],"")</f>
        <v>13254849.9542</v>
      </c>
    </row>
    <row r="52" spans="1:43" x14ac:dyDescent="0.25">
      <c r="A52">
        <v>51</v>
      </c>
      <c r="B52" t="s">
        <v>64</v>
      </c>
      <c r="C52" t="s">
        <v>64</v>
      </c>
      <c r="D52" t="s">
        <v>65</v>
      </c>
      <c r="F52" s="1">
        <v>42339</v>
      </c>
      <c r="G52" s="2">
        <v>111.7</v>
      </c>
      <c r="H52" s="2"/>
      <c r="I52" s="2">
        <f t="array" ref="I52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52" s="2"/>
      <c r="K52" s="2"/>
      <c r="L52" s="2">
        <v>872.8</v>
      </c>
      <c r="M52" s="2">
        <f t="array" ref="M52">_xlfn.IFNA(IF(vp.data[[#This Row],[Dens Input]]="",INDEX([1]DATA!$O$3:$O$9826,MATCH(1,(vp.data[[#This Row],[Battery]]=[1]DATA!$L$3:$L$9826)*(EOMONTH(vp.data[[#This Row],[SDate]],-1)+1=[1]DATA!$G$3:$G$9826),0)),vp.data[[#This Row],[Dens Input]]),"")</f>
        <v>872.8</v>
      </c>
      <c r="N52" s="2">
        <f ca="1">INDEX(INDIRECT(_xlfn.CONCAT("weather.tbl[",N$1,"]")),MATCH(vp.data[[#This Row],[SDate]],weather.tbl[Date],0))</f>
        <v>-5.4666666666666659</v>
      </c>
      <c r="O52" s="2">
        <f ca="1">INDEX(INDIRECT(_xlfn.CONCAT("weather.tbl[",O$1,"]")),MATCH(vp.data[[#This Row],[SDate]],weather.tbl[Date],0))</f>
        <v>-8.0857142857142872</v>
      </c>
      <c r="P52" s="2">
        <f ca="1">INDEX(INDIRECT(_xlfn.CONCAT("weather.tbl[",P$1,"]")),MATCH(vp.data[[#This Row],[SDate]],weather.tbl[Date],0))</f>
        <v>-6.2</v>
      </c>
      <c r="Q52" s="2">
        <f ca="1">INDEX(INDIRECT(_xlfn.CONCAT("weather.tbl[",Q$1,"]")),MATCH(vp.data[[#This Row],[SDate]],weather.tbl[Date],0))</f>
        <v>-6.7</v>
      </c>
      <c r="R52" s="2">
        <f ca="1">INDEX(INDIRECT(_xlfn.CONCAT("weather.tbl[",R$1,"]")),MATCH(vp.data[[#This Row],[SDate]],weather.tbl[Date],0))</f>
        <v>-5.5</v>
      </c>
      <c r="S52" s="2">
        <f ca="1">INDEX(INDIRECT(_xlfn.CONCAT("weather.tbl[",S$1,"]")),MATCH(vp.data[[#This Row],[SDate]],weather.tbl[Date],0))</f>
        <v>-5.5</v>
      </c>
      <c r="T52" s="2">
        <f ca="1">INDEX(INDIRECT(_xlfn.CONCAT("weather.tbl[",T$1,"]")),MATCH(vp.data[[#This Row],[SDate]],weather.tbl[Date],0))</f>
        <v>-5.3</v>
      </c>
      <c r="U52" s="2">
        <f ca="1">INDEX(INDIRECT(_xlfn.CONCAT("weather.tbl[",U$1,"]")),MATCH(vp.data[[#This Row],[SDate]],weather.tbl[Date],0))</f>
        <v>-3.6</v>
      </c>
      <c r="V52" s="2">
        <f t="array" ref="V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24480.578000000001</v>
      </c>
      <c r="W52" t="s">
        <v>48</v>
      </c>
      <c r="X52">
        <f>IF(OR(vp.data[[#This Row],[Sulf]]="",vp.data[[#This Row],[Dens]]=""),1,0)</f>
        <v>0</v>
      </c>
      <c r="Y52">
        <f>IF(vp.data[[#This Row],[CrudeType]]="C5+",1,0)</f>
        <v>0</v>
      </c>
      <c r="Z52">
        <f>IF(AND(vp.data[[#This Row],[CrudeType]]="Crude",vp.data[[#This Row],[Dens]]&lt;=825,vp.data[[#This Row],[Sulf]]&gt;0.5,vp.data[[#This Row],[Unknown]]=0),1,0)</f>
        <v>0</v>
      </c>
      <c r="AA52">
        <f>IF(AND(vp.data[[#This Row],[CrudeType]]="Crude",vp.data[[#This Row],[Dens]]&lt;=825,vp.data[[#This Row],[Sulf]]&lt;=0.5,vp.data[[#This Row],[Unknown]]=0),1,0)</f>
        <v>0</v>
      </c>
      <c r="AB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">
        <f>IF(AND(vp.data[[#This Row],[CrudeType]]="Crude",vp.data[[#This Row],[Dens]]&gt;825,vp.data[[#This Row],[Dens]]&lt;=900,vp.data[[#This Row],[Sulf]]&lt;=0.5,vp.data[[#This Row],[Unknown]]=0),1,0)</f>
        <v>0</v>
      </c>
      <c r="AD52">
        <f>IF(AND(vp.data[[#This Row],[CrudeType]]="Crude",vp.data[[#This Row],[Dens]]&gt;865,vp.data[[#This Row],[Dens]]&lt;=900,vp.data[[#This Row],[Sulf]]&gt;2,vp.data[[#This Row],[Unknown]]=0),1,0)</f>
        <v>1</v>
      </c>
      <c r="AE52">
        <f>IF(AND(vp.data[[#This Row],[CrudeType]]="Crude",vp.data[[#This Row],[Dens]]&gt;900,vp.data[[#This Row],[Sulf]]&lt;=0.5,vp.data[[#This Row],[Unknown]]=0),1,0)</f>
        <v>0</v>
      </c>
      <c r="AF52">
        <f>IF(AND(vp.data[[#This Row],[CrudeType]]="Crude",vp.data[[#This Row],[Dens]]&gt;900,vp.data[[#This Row],[Sulf]]&lt;=0.5,vp.data[[#This Row],[Unknown]]=0),1,0)</f>
        <v>0</v>
      </c>
      <c r="AG52" t="str">
        <f>INDEX(vp.data[[#Headers],[Unknown]:[Heavy_SW]],MATCH(1,vp.data[[#This Row],[Unknown]:[Heavy_SW]],0))</f>
        <v>Midale</v>
      </c>
      <c r="AH52">
        <f>INDEX([3]!crudeBD.lkup[Number],MATCH(vp.data[[#This Row],[Crude_Breakdown]],crudeBD.lkup[Crude Breakdown],0))</f>
        <v>5</v>
      </c>
      <c r="AI52">
        <f>MONTH(vp.data[[#This Row],[SDate]])</f>
        <v>12</v>
      </c>
      <c r="AJ52" s="5">
        <f>(vp.data[[#This Row],[VP]]-INDEX(crudeBD.lkup[Mean_VP],MATCH(vp.data[[#This Row],[Crude_Breakdown]],crudeBD.lkup[Crude Breakdown],0)))^2</f>
        <v>1788.5487365819936</v>
      </c>
      <c r="AK52" s="5">
        <f>(vp.data[[#This Row],[Dens]]-INDEX(crudeBD.lkup[Mean_Dens],MATCH(vp.data[[#This Row],[Crude_Breakdown]],crudeBD.lkup[Crude Breakdown],0)))^2</f>
        <v>4.0683305877365692</v>
      </c>
      <c r="AL52" s="5">
        <f>(vp.data[[#This Row],[Sulf]]-INDEX(crudeBD.lkup[Mean_Sulf],MATCH(vp.data[[#This Row],[Crude_Breakdown]],crudeBD.lkup[Crude Breakdown],0)))^2</f>
        <v>0.13221628057222767</v>
      </c>
      <c r="AM52" s="4">
        <f>IF(AND(vp.data[[#This Row],[SDate]]&gt;=DATE(YEAR(vp.data[[#This Row],[SDate]]),5,1),vp.data[[#This Row],[SDate]]&lt;=DATE(YEAR(vp.data[[#This Row],[SDate]]),9,15)),1,0)</f>
        <v>0</v>
      </c>
      <c r="AN52" s="4">
        <f>IF(vp.data[[#This Row],[SDate]]&lt;DATE(2016,12,1),0,1)</f>
        <v>0</v>
      </c>
      <c r="AO52" s="4">
        <f>IFERROR(vp.data[[#This Row],[Sulf]]*vp.data[[#This Row],[Net Dens]],"")</f>
        <v>44442628.835072003</v>
      </c>
      <c r="AP52">
        <f>IFERROR(vp.data[[#This Row],[Dens]]*vp.data[[#This Row],[VolumeM3]],"")</f>
        <v>21366648.478399999</v>
      </c>
      <c r="AQ52" s="15">
        <f>IFERROR(vp.data[[#This Row],[VP]]*vp.data[[#This Row],[VolumeM3]],"")</f>
        <v>2734480.5626000003</v>
      </c>
    </row>
    <row r="53" spans="1:43" x14ac:dyDescent="0.25">
      <c r="A53">
        <v>52</v>
      </c>
      <c r="B53" t="s">
        <v>51</v>
      </c>
      <c r="C53" t="s">
        <v>51</v>
      </c>
      <c r="D53" t="s">
        <v>52</v>
      </c>
      <c r="F53" s="1">
        <v>42339</v>
      </c>
      <c r="G53" s="2">
        <v>112.2</v>
      </c>
      <c r="H53" s="2"/>
      <c r="I53" s="2">
        <f t="array" ref="I53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53" s="2"/>
      <c r="K53" s="2"/>
      <c r="L53" s="2">
        <v>876</v>
      </c>
      <c r="M53" s="2">
        <f t="array" ref="M53">_xlfn.IFNA(IF(vp.data[[#This Row],[Dens Input]]="",INDEX([1]DATA!$O$3:$O$9826,MATCH(1,(vp.data[[#This Row],[Battery]]=[1]DATA!$L$3:$L$9826)*(EOMONTH(vp.data[[#This Row],[SDate]],-1)+1=[1]DATA!$G$3:$G$9826),0)),vp.data[[#This Row],[Dens Input]]),"")</f>
        <v>876</v>
      </c>
      <c r="N53" s="2">
        <f ca="1">INDEX(INDIRECT(_xlfn.CONCAT("weather.tbl[",N$1,"]")),MATCH(vp.data[[#This Row],[SDate]],weather.tbl[Date],0))</f>
        <v>-5.4666666666666659</v>
      </c>
      <c r="O53" s="2">
        <f ca="1">INDEX(INDIRECT(_xlfn.CONCAT("weather.tbl[",O$1,"]")),MATCH(vp.data[[#This Row],[SDate]],weather.tbl[Date],0))</f>
        <v>-8.0857142857142872</v>
      </c>
      <c r="P53" s="2">
        <f ca="1">INDEX(INDIRECT(_xlfn.CONCAT("weather.tbl[",P$1,"]")),MATCH(vp.data[[#This Row],[SDate]],weather.tbl[Date],0))</f>
        <v>-6.2</v>
      </c>
      <c r="Q53" s="2">
        <f ca="1">INDEX(INDIRECT(_xlfn.CONCAT("weather.tbl[",Q$1,"]")),MATCH(vp.data[[#This Row],[SDate]],weather.tbl[Date],0))</f>
        <v>-6.7</v>
      </c>
      <c r="R53" s="2">
        <f ca="1">INDEX(INDIRECT(_xlfn.CONCAT("weather.tbl[",R$1,"]")),MATCH(vp.data[[#This Row],[SDate]],weather.tbl[Date],0))</f>
        <v>-5.5</v>
      </c>
      <c r="S53" s="2">
        <f ca="1">INDEX(INDIRECT(_xlfn.CONCAT("weather.tbl[",S$1,"]")),MATCH(vp.data[[#This Row],[SDate]],weather.tbl[Date],0))</f>
        <v>-5.5</v>
      </c>
      <c r="T53" s="2">
        <f ca="1">INDEX(INDIRECT(_xlfn.CONCAT("weather.tbl[",T$1,"]")),MATCH(vp.data[[#This Row],[SDate]],weather.tbl[Date],0))</f>
        <v>-5.3</v>
      </c>
      <c r="U53" s="2">
        <f ca="1">INDEX(INDIRECT(_xlfn.CONCAT("weather.tbl[",U$1,"]")),MATCH(vp.data[[#This Row],[SDate]],weather.tbl[Date],0))</f>
        <v>-3.6</v>
      </c>
      <c r="V53" s="2">
        <f t="array" ref="V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7916.5720000000001</v>
      </c>
      <c r="W53" t="s">
        <v>48</v>
      </c>
      <c r="X53">
        <f>IF(OR(vp.data[[#This Row],[Sulf]]="",vp.data[[#This Row],[Dens]]=""),1,0)</f>
        <v>0</v>
      </c>
      <c r="Y53">
        <f>IF(vp.data[[#This Row],[CrudeType]]="C5+",1,0)</f>
        <v>0</v>
      </c>
      <c r="Z53">
        <f>IF(AND(vp.data[[#This Row],[CrudeType]]="Crude",vp.data[[#This Row],[Dens]]&lt;=825,vp.data[[#This Row],[Sulf]]&gt;0.5,vp.data[[#This Row],[Unknown]]=0),1,0)</f>
        <v>0</v>
      </c>
      <c r="AA53">
        <f>IF(AND(vp.data[[#This Row],[CrudeType]]="Crude",vp.data[[#This Row],[Dens]]&lt;=825,vp.data[[#This Row],[Sulf]]&lt;=0.5,vp.data[[#This Row],[Unknown]]=0),1,0)</f>
        <v>0</v>
      </c>
      <c r="AB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">
        <f>IF(AND(vp.data[[#This Row],[CrudeType]]="Crude",vp.data[[#This Row],[Dens]]&gt;825,vp.data[[#This Row],[Dens]]&lt;=900,vp.data[[#This Row],[Sulf]]&lt;=0.5,vp.data[[#This Row],[Unknown]]=0),1,0)</f>
        <v>0</v>
      </c>
      <c r="AD53">
        <f>IF(AND(vp.data[[#This Row],[CrudeType]]="Crude",vp.data[[#This Row],[Dens]]&gt;865,vp.data[[#This Row],[Dens]]&lt;=900,vp.data[[#This Row],[Sulf]]&gt;2,vp.data[[#This Row],[Unknown]]=0),1,0)</f>
        <v>1</v>
      </c>
      <c r="AE53">
        <f>IF(AND(vp.data[[#This Row],[CrudeType]]="Crude",vp.data[[#This Row],[Dens]]&gt;900,vp.data[[#This Row],[Sulf]]&lt;=0.5,vp.data[[#This Row],[Unknown]]=0),1,0)</f>
        <v>0</v>
      </c>
      <c r="AF53">
        <f>IF(AND(vp.data[[#This Row],[CrudeType]]="Crude",vp.data[[#This Row],[Dens]]&gt;900,vp.data[[#This Row],[Sulf]]&lt;=0.5,vp.data[[#This Row],[Unknown]]=0),1,0)</f>
        <v>0</v>
      </c>
      <c r="AG53" t="str">
        <f>INDEX(vp.data[[#Headers],[Unknown]:[Heavy_SW]],MATCH(1,vp.data[[#This Row],[Unknown]:[Heavy_SW]],0))</f>
        <v>Midale</v>
      </c>
      <c r="AH53">
        <f>INDEX([3]!crudeBD.lkup[Number],MATCH(vp.data[[#This Row],[Crude_Breakdown]],crudeBD.lkup[Crude Breakdown],0))</f>
        <v>5</v>
      </c>
      <c r="AI53">
        <f>MONTH(vp.data[[#This Row],[SDate]])</f>
        <v>12</v>
      </c>
      <c r="AJ53" s="5">
        <f>(vp.data[[#This Row],[VP]]-INDEX(crudeBD.lkup[Mean_VP],MATCH(vp.data[[#This Row],[Crude_Breakdown]],crudeBD.lkup[Crude Breakdown],0)))^2</f>
        <v>1831.0899736953957</v>
      </c>
      <c r="AK53" s="5">
        <f>(vp.data[[#This Row],[Dens]]-INDEX(crudeBD.lkup[Mean_Dens],MATCH(vp.data[[#This Row],[Crude_Breakdown]],crudeBD.lkup[Crude Breakdown],0)))^2</f>
        <v>1.3994646083529774</v>
      </c>
      <c r="AL53" s="5">
        <f>(vp.data[[#This Row],[Sulf]]-INDEX(crudeBD.lkup[Mean_Sulf],MATCH(vp.data[[#This Row],[Crude_Breakdown]],crudeBD.lkup[Crude Breakdown],0)))^2</f>
        <v>2.0625431087692294E-2</v>
      </c>
      <c r="AM53" s="4">
        <f>IF(AND(vp.data[[#This Row],[SDate]]&gt;=DATE(YEAR(vp.data[[#This Row],[SDate]]),5,1),vp.data[[#This Row],[SDate]]&lt;=DATE(YEAR(vp.data[[#This Row],[SDate]]),9,15)),1,0)</f>
        <v>0</v>
      </c>
      <c r="AN53" s="4">
        <f>IF(vp.data[[#This Row],[SDate]]&lt;DATE(2016,12,1),0,1)</f>
        <v>0</v>
      </c>
      <c r="AO53" s="4">
        <f>IFERROR(vp.data[[#This Row],[Sulf]]*vp.data[[#This Row],[Net Dens]],"")</f>
        <v>15950309.265599998</v>
      </c>
      <c r="AP53">
        <f>IFERROR(vp.data[[#This Row],[Dens]]*vp.data[[#This Row],[VolumeM3]],"")</f>
        <v>6934917.0719999997</v>
      </c>
      <c r="AQ53" s="15">
        <f>IFERROR(vp.data[[#This Row],[VP]]*vp.data[[#This Row],[VolumeM3]],"")</f>
        <v>888239.37840000005</v>
      </c>
    </row>
    <row r="54" spans="1:43" x14ac:dyDescent="0.25">
      <c r="A54">
        <v>53</v>
      </c>
      <c r="B54" t="s">
        <v>49</v>
      </c>
      <c r="C54" t="s">
        <v>49</v>
      </c>
      <c r="D54" t="s">
        <v>50</v>
      </c>
      <c r="F54" s="1">
        <v>42339</v>
      </c>
      <c r="G54" s="2">
        <v>112.9</v>
      </c>
      <c r="H54" s="2"/>
      <c r="I54" s="2">
        <f t="array" ref="I54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54" s="2"/>
      <c r="K54" s="2"/>
      <c r="L54" s="2">
        <v>878</v>
      </c>
      <c r="M54" s="2">
        <f t="array" ref="M54">_xlfn.IFNA(IF(vp.data[[#This Row],[Dens Input]]="",INDEX([1]DATA!$O$3:$O$9826,MATCH(1,(vp.data[[#This Row],[Battery]]=[1]DATA!$L$3:$L$9826)*(EOMONTH(vp.data[[#This Row],[SDate]],-1)+1=[1]DATA!$G$3:$G$9826),0)),vp.data[[#This Row],[Dens Input]]),"")</f>
        <v>878</v>
      </c>
      <c r="N54" s="2">
        <f ca="1">INDEX(INDIRECT(_xlfn.CONCAT("weather.tbl[",N$1,"]")),MATCH(vp.data[[#This Row],[SDate]],weather.tbl[Date],0))</f>
        <v>-5.4666666666666659</v>
      </c>
      <c r="O54" s="2">
        <f ca="1">INDEX(INDIRECT(_xlfn.CONCAT("weather.tbl[",O$1,"]")),MATCH(vp.data[[#This Row],[SDate]],weather.tbl[Date],0))</f>
        <v>-8.0857142857142872</v>
      </c>
      <c r="P54" s="2">
        <f ca="1">INDEX(INDIRECT(_xlfn.CONCAT("weather.tbl[",P$1,"]")),MATCH(vp.data[[#This Row],[SDate]],weather.tbl[Date],0))</f>
        <v>-6.2</v>
      </c>
      <c r="Q54" s="2">
        <f ca="1">INDEX(INDIRECT(_xlfn.CONCAT("weather.tbl[",Q$1,"]")),MATCH(vp.data[[#This Row],[SDate]],weather.tbl[Date],0))</f>
        <v>-6.7</v>
      </c>
      <c r="R54" s="2">
        <f ca="1">INDEX(INDIRECT(_xlfn.CONCAT("weather.tbl[",R$1,"]")),MATCH(vp.data[[#This Row],[SDate]],weather.tbl[Date],0))</f>
        <v>-5.5</v>
      </c>
      <c r="S54" s="2">
        <f ca="1">INDEX(INDIRECT(_xlfn.CONCAT("weather.tbl[",S$1,"]")),MATCH(vp.data[[#This Row],[SDate]],weather.tbl[Date],0))</f>
        <v>-5.5</v>
      </c>
      <c r="T54" s="2">
        <f ca="1">INDEX(INDIRECT(_xlfn.CONCAT("weather.tbl[",T$1,"]")),MATCH(vp.data[[#This Row],[SDate]],weather.tbl[Date],0))</f>
        <v>-5.3</v>
      </c>
      <c r="U54" s="2">
        <f ca="1">INDEX(INDIRECT(_xlfn.CONCAT("weather.tbl[",U$1,"]")),MATCH(vp.data[[#This Row],[SDate]],weather.tbl[Date],0))</f>
        <v>-3.6</v>
      </c>
      <c r="V54" s="2">
        <f t="array" ref="V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6021.2470000000003</v>
      </c>
      <c r="W54" t="s">
        <v>48</v>
      </c>
      <c r="X54">
        <f>IF(OR(vp.data[[#This Row],[Sulf]]="",vp.data[[#This Row],[Dens]]=""),1,0)</f>
        <v>0</v>
      </c>
      <c r="Y54">
        <f>IF(vp.data[[#This Row],[CrudeType]]="C5+",1,0)</f>
        <v>0</v>
      </c>
      <c r="Z54">
        <f>IF(AND(vp.data[[#This Row],[CrudeType]]="Crude",vp.data[[#This Row],[Dens]]&lt;=825,vp.data[[#This Row],[Sulf]]&gt;0.5,vp.data[[#This Row],[Unknown]]=0),1,0)</f>
        <v>0</v>
      </c>
      <c r="AA54">
        <f>IF(AND(vp.data[[#This Row],[CrudeType]]="Crude",vp.data[[#This Row],[Dens]]&lt;=825,vp.data[[#This Row],[Sulf]]&lt;=0.5,vp.data[[#This Row],[Unknown]]=0),1,0)</f>
        <v>0</v>
      </c>
      <c r="AB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">
        <f>IF(AND(vp.data[[#This Row],[CrudeType]]="Crude",vp.data[[#This Row],[Dens]]&gt;825,vp.data[[#This Row],[Dens]]&lt;=900,vp.data[[#This Row],[Sulf]]&lt;=0.5,vp.data[[#This Row],[Unknown]]=0),1,0)</f>
        <v>0</v>
      </c>
      <c r="AD54">
        <f>IF(AND(vp.data[[#This Row],[CrudeType]]="Crude",vp.data[[#This Row],[Dens]]&gt;865,vp.data[[#This Row],[Dens]]&lt;=900,vp.data[[#This Row],[Sulf]]&gt;2,vp.data[[#This Row],[Unknown]]=0),1,0)</f>
        <v>1</v>
      </c>
      <c r="AE54">
        <f>IF(AND(vp.data[[#This Row],[CrudeType]]="Crude",vp.data[[#This Row],[Dens]]&gt;900,vp.data[[#This Row],[Sulf]]&lt;=0.5,vp.data[[#This Row],[Unknown]]=0),1,0)</f>
        <v>0</v>
      </c>
      <c r="AF54">
        <f>IF(AND(vp.data[[#This Row],[CrudeType]]="Crude",vp.data[[#This Row],[Dens]]&gt;900,vp.data[[#This Row],[Sulf]]&lt;=0.5,vp.data[[#This Row],[Unknown]]=0),1,0)</f>
        <v>0</v>
      </c>
      <c r="AG54" t="str">
        <f>INDEX(vp.data[[#Headers],[Unknown]:[Heavy_SW]],MATCH(1,vp.data[[#This Row],[Unknown]:[Heavy_SW]],0))</f>
        <v>Midale</v>
      </c>
      <c r="AH54">
        <f>INDEX([3]!crudeBD.lkup[Number],MATCH(vp.data[[#This Row],[Crude_Breakdown]],crudeBD.lkup[Crude Breakdown],0))</f>
        <v>5</v>
      </c>
      <c r="AI54">
        <f>MONTH(vp.data[[#This Row],[SDate]])</f>
        <v>12</v>
      </c>
      <c r="AJ54" s="5">
        <f>(vp.data[[#This Row],[VP]]-INDEX(crudeBD.lkup[Mean_VP],MATCH(vp.data[[#This Row],[Crude_Breakdown]],crudeBD.lkup[Crude Breakdown],0)))^2</f>
        <v>1891.4877056541586</v>
      </c>
      <c r="AK54" s="5">
        <f>(vp.data[[#This Row],[Dens]]-INDEX(crudeBD.lkup[Mean_Dens],MATCH(vp.data[[#This Row],[Crude_Breakdown]],crudeBD.lkup[Crude Breakdown],0)))^2</f>
        <v>10.131423371238347</v>
      </c>
      <c r="AL54" s="5">
        <f>(vp.data[[#This Row],[Sulf]]-INDEX(crudeBD.lkup[Mean_Sulf],MATCH(vp.data[[#This Row],[Crude_Breakdown]],crudeBD.lkup[Crude Breakdown],0)))^2</f>
        <v>2.1428402221713612E-2</v>
      </c>
      <c r="AM54" s="4">
        <f>IF(AND(vp.data[[#This Row],[SDate]]&gt;=DATE(YEAR(vp.data[[#This Row],[SDate]]),5,1),vp.data[[#This Row],[SDate]]&lt;=DATE(YEAR(vp.data[[#This Row],[SDate]]),9,15)),1,0)</f>
        <v>0</v>
      </c>
      <c r="AN54" s="4">
        <f>IF(vp.data[[#This Row],[SDate]]&lt;DATE(2016,12,1),0,1)</f>
        <v>0</v>
      </c>
      <c r="AO54" s="4">
        <f>IFERROR(vp.data[[#This Row],[Sulf]]*vp.data[[#This Row],[Net Dens]],"")</f>
        <v>13692436.102940001</v>
      </c>
      <c r="AP54">
        <f>IFERROR(vp.data[[#This Row],[Dens]]*vp.data[[#This Row],[VolumeM3]],"")</f>
        <v>5286654.8660000004</v>
      </c>
      <c r="AQ54" s="15">
        <f>IFERROR(vp.data[[#This Row],[VP]]*vp.data[[#This Row],[VolumeM3]],"")</f>
        <v>679798.78630000004</v>
      </c>
    </row>
    <row r="55" spans="1:43" x14ac:dyDescent="0.25">
      <c r="A55">
        <v>54</v>
      </c>
      <c r="B55" t="s">
        <v>56</v>
      </c>
      <c r="C55" t="s">
        <v>56</v>
      </c>
      <c r="D55" t="s">
        <v>57</v>
      </c>
      <c r="F55" s="1">
        <v>42345</v>
      </c>
      <c r="G55" s="2">
        <v>98.5</v>
      </c>
      <c r="H55" s="2"/>
      <c r="I55" s="2">
        <f t="array" ref="I55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55" s="2"/>
      <c r="K55" s="2"/>
      <c r="L55" s="2">
        <v>842.7</v>
      </c>
      <c r="M55" s="2">
        <f t="array" ref="M55">_xlfn.IFNA(IF(vp.data[[#This Row],[Dens Input]]="",INDEX([1]DATA!$O$3:$O$9826,MATCH(1,(vp.data[[#This Row],[Battery]]=[1]DATA!$L$3:$L$9826)*(EOMONTH(vp.data[[#This Row],[SDate]],-1)+1=[1]DATA!$G$3:$G$9826),0)),vp.data[[#This Row],[Dens Input]]),"")</f>
        <v>842.7</v>
      </c>
      <c r="N55" s="2">
        <f ca="1">INDEX(INDIRECT(_xlfn.CONCAT("weather.tbl[",N$1,"]")),MATCH(vp.data[[#This Row],[SDate]],weather.tbl[Date],0))</f>
        <v>4.2</v>
      </c>
      <c r="O55" s="2">
        <f ca="1">INDEX(INDIRECT(_xlfn.CONCAT("weather.tbl[",O$1,"]")),MATCH(vp.data[[#This Row],[SDate]],weather.tbl[Date],0))</f>
        <v>-0.11428571428571413</v>
      </c>
      <c r="P55" s="2">
        <f ca="1">INDEX(INDIRECT(_xlfn.CONCAT("weather.tbl[",P$1,"]")),MATCH(vp.data[[#This Row],[SDate]],weather.tbl[Date],0))</f>
        <v>3.9</v>
      </c>
      <c r="Q55" s="2">
        <f ca="1">INDEX(INDIRECT(_xlfn.CONCAT("weather.tbl[",Q$1,"]")),MATCH(vp.data[[#This Row],[SDate]],weather.tbl[Date],0))</f>
        <v>5.5</v>
      </c>
      <c r="R55" s="2">
        <f ca="1">INDEX(INDIRECT(_xlfn.CONCAT("weather.tbl[",R$1,"]")),MATCH(vp.data[[#This Row],[SDate]],weather.tbl[Date],0))</f>
        <v>3.3</v>
      </c>
      <c r="S55" s="2">
        <f ca="1">INDEX(INDIRECT(_xlfn.CONCAT("weather.tbl[",S$1,"]")),MATCH(vp.data[[#This Row],[SDate]],weather.tbl[Date],0))</f>
        <v>6.5</v>
      </c>
      <c r="T55" s="2">
        <f ca="1">INDEX(INDIRECT(_xlfn.CONCAT("weather.tbl[",T$1,"]")),MATCH(vp.data[[#This Row],[SDate]],weather.tbl[Date],0))</f>
        <v>3.2</v>
      </c>
      <c r="U55" s="2">
        <f ca="1">INDEX(INDIRECT(_xlfn.CONCAT("weather.tbl[",U$1,"]")),MATCH(vp.data[[#This Row],[SDate]],weather.tbl[Date],0))</f>
        <v>2.8</v>
      </c>
      <c r="V55" s="2">
        <f t="array" ref="V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3686.4169999999999</v>
      </c>
      <c r="W55" t="s">
        <v>48</v>
      </c>
      <c r="X55">
        <f>IF(OR(vp.data[[#This Row],[Sulf]]="",vp.data[[#This Row],[Dens]]=""),1,0)</f>
        <v>0</v>
      </c>
      <c r="Y55">
        <f>IF(vp.data[[#This Row],[CrudeType]]="C5+",1,0)</f>
        <v>0</v>
      </c>
      <c r="Z55">
        <f>IF(AND(vp.data[[#This Row],[CrudeType]]="Crude",vp.data[[#This Row],[Dens]]&lt;=825,vp.data[[#This Row],[Sulf]]&gt;0.5,vp.data[[#This Row],[Unknown]]=0),1,0)</f>
        <v>0</v>
      </c>
      <c r="AA55">
        <f>IF(AND(vp.data[[#This Row],[CrudeType]]="Crude",vp.data[[#This Row],[Dens]]&lt;=825,vp.data[[#This Row],[Sulf]]&lt;=0.5,vp.data[[#This Row],[Unknown]]=0),1,0)</f>
        <v>0</v>
      </c>
      <c r="AB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">
        <f>IF(AND(vp.data[[#This Row],[CrudeType]]="Crude",vp.data[[#This Row],[Dens]]&gt;825,vp.data[[#This Row],[Dens]]&lt;=900,vp.data[[#This Row],[Sulf]]&lt;=0.5,vp.data[[#This Row],[Unknown]]=0),1,0)</f>
        <v>0</v>
      </c>
      <c r="AD55">
        <f>IF(AND(vp.data[[#This Row],[CrudeType]]="Crude",vp.data[[#This Row],[Dens]]&gt;865,vp.data[[#This Row],[Dens]]&lt;=900,vp.data[[#This Row],[Sulf]]&gt;2,vp.data[[#This Row],[Unknown]]=0),1,0)</f>
        <v>0</v>
      </c>
      <c r="AE55">
        <f>IF(AND(vp.data[[#This Row],[CrudeType]]="Crude",vp.data[[#This Row],[Dens]]&gt;900,vp.data[[#This Row],[Sulf]]&lt;=0.5,vp.data[[#This Row],[Unknown]]=0),1,0)</f>
        <v>0</v>
      </c>
      <c r="AF55">
        <f>IF(AND(vp.data[[#This Row],[CrudeType]]="Crude",vp.data[[#This Row],[Dens]]&gt;900,vp.data[[#This Row],[Sulf]]&lt;=0.5,vp.data[[#This Row],[Unknown]]=0),1,0)</f>
        <v>0</v>
      </c>
      <c r="AG55" t="str">
        <f>INDEX(vp.data[[#Headers],[Unknown]:[Heavy_SW]],MATCH(1,vp.data[[#This Row],[Unknown]:[Heavy_SW]],0))</f>
        <v>Medium_LSB</v>
      </c>
      <c r="AH55">
        <f>INDEX([3]!crudeBD.lkup[Number],MATCH(vp.data[[#This Row],[Crude_Breakdown]],crudeBD.lkup[Crude Breakdown],0))</f>
        <v>3</v>
      </c>
      <c r="AI55">
        <f>MONTH(vp.data[[#This Row],[SDate]])</f>
        <v>12</v>
      </c>
      <c r="AJ55" s="5">
        <f>(vp.data[[#This Row],[VP]]-INDEX(crudeBD.lkup[Mean_VP],MATCH(vp.data[[#This Row],[Crude_Breakdown]],crudeBD.lkup[Crude Breakdown],0)))^2</f>
        <v>318.99115374343654</v>
      </c>
      <c r="AK55" s="5">
        <f>(vp.data[[#This Row],[Dens]]-INDEX(crudeBD.lkup[Mean_Dens],MATCH(vp.data[[#This Row],[Crude_Breakdown]],crudeBD.lkup[Crude Breakdown],0)))^2</f>
        <v>1.4883999999986797</v>
      </c>
      <c r="AL55" s="5">
        <f>(vp.data[[#This Row],[Sulf]]-INDEX(crudeBD.lkup[Mean_Sulf],MATCH(vp.data[[#This Row],[Crude_Breakdown]],crudeBD.lkup[Crude Breakdown],0)))^2</f>
        <v>2.9802726320805671E-3</v>
      </c>
      <c r="AM55" s="4">
        <f>IF(AND(vp.data[[#This Row],[SDate]]&gt;=DATE(YEAR(vp.data[[#This Row],[SDate]]),5,1),vp.data[[#This Row],[SDate]]&lt;=DATE(YEAR(vp.data[[#This Row],[SDate]]),9,15)),1,0)</f>
        <v>0</v>
      </c>
      <c r="AN55" s="4">
        <f>IF(vp.data[[#This Row],[SDate]]&lt;DATE(2016,12,1),0,1)</f>
        <v>0</v>
      </c>
      <c r="AO55" s="4">
        <f>IFERROR(vp.data[[#This Row],[Sulf]]*vp.data[[#This Row],[Net Dens]],"")</f>
        <v>4473422.7924960004</v>
      </c>
      <c r="AP55">
        <f>IFERROR(vp.data[[#This Row],[Dens]]*vp.data[[#This Row],[VolumeM3]],"")</f>
        <v>3106543.6059000003</v>
      </c>
      <c r="AQ55" s="15">
        <f>IFERROR(vp.data[[#This Row],[VP]]*vp.data[[#This Row],[VolumeM3]],"")</f>
        <v>363112.07449999999</v>
      </c>
    </row>
    <row r="56" spans="1:43" x14ac:dyDescent="0.25">
      <c r="A56">
        <v>55</v>
      </c>
      <c r="B56" t="s">
        <v>51</v>
      </c>
      <c r="C56" t="s">
        <v>51</v>
      </c>
      <c r="D56" t="s">
        <v>66</v>
      </c>
      <c r="F56" s="1">
        <v>42347</v>
      </c>
      <c r="G56" s="2">
        <v>91.8</v>
      </c>
      <c r="H56" s="2"/>
      <c r="I56" s="2">
        <f t="array" ref="I56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56" s="2"/>
      <c r="K56" s="2"/>
      <c r="L56" s="2">
        <v>825</v>
      </c>
      <c r="M56" s="2">
        <f t="array" ref="M56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56" s="2">
        <f ca="1">INDEX(INDIRECT(_xlfn.CONCAT("weather.tbl[",N$1,"]")),MATCH(vp.data[[#This Row],[SDate]],weather.tbl[Date],0))</f>
        <v>4.4833333333333334</v>
      </c>
      <c r="O56" s="2">
        <f ca="1">INDEX(INDIRECT(_xlfn.CONCAT("weather.tbl[",O$1,"]")),MATCH(vp.data[[#This Row],[SDate]],weather.tbl[Date],0))</f>
        <v>2.166666666666667</v>
      </c>
      <c r="P56" s="2">
        <f ca="1">INDEX(INDIRECT(_xlfn.CONCAT("weather.tbl[",P$1,"]")),MATCH(vp.data[[#This Row],[SDate]],weather.tbl[Date],0))</f>
        <v>6.5</v>
      </c>
      <c r="Q56" s="2">
        <f ca="1">INDEX(INDIRECT(_xlfn.CONCAT("weather.tbl[",Q$1,"]")),MATCH(vp.data[[#This Row],[SDate]],weather.tbl[Date],0))</f>
        <v>4.4000000000000004</v>
      </c>
      <c r="R56" s="2">
        <f ca="1">INDEX(INDIRECT(_xlfn.CONCAT("weather.tbl[",R$1,"]")),MATCH(vp.data[[#This Row],[SDate]],weather.tbl[Date],0))</f>
        <v>3.8</v>
      </c>
      <c r="S56" s="2">
        <f ca="1">INDEX(INDIRECT(_xlfn.CONCAT("weather.tbl[",S$1,"]")),MATCH(vp.data[[#This Row],[SDate]],weather.tbl[Date],0))</f>
        <v>3.5</v>
      </c>
      <c r="T56" s="2">
        <f ca="1">INDEX(INDIRECT(_xlfn.CONCAT("weather.tbl[",T$1,"]")),MATCH(vp.data[[#This Row],[SDate]],weather.tbl[Date],0))</f>
        <v>4.7</v>
      </c>
      <c r="U56" s="2">
        <f ca="1">INDEX(INDIRECT(_xlfn.CONCAT("weather.tbl[",U$1,"]")),MATCH(vp.data[[#This Row],[SDate]],weather.tbl[Date],0))</f>
        <v>4</v>
      </c>
      <c r="V56" s="2">
        <f t="array" ref="V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6181.3109999999997</v>
      </c>
      <c r="W56" t="s">
        <v>48</v>
      </c>
      <c r="X56">
        <f>IF(OR(vp.data[[#This Row],[Sulf]]="",vp.data[[#This Row],[Dens]]=""),1,0)</f>
        <v>0</v>
      </c>
      <c r="Y56">
        <f>IF(vp.data[[#This Row],[CrudeType]]="C5+",1,0)</f>
        <v>0</v>
      </c>
      <c r="Z56">
        <f>IF(AND(vp.data[[#This Row],[CrudeType]]="Crude",vp.data[[#This Row],[Dens]]&lt;=825,vp.data[[#This Row],[Sulf]]&gt;0.5,vp.data[[#This Row],[Unknown]]=0),1,0)</f>
        <v>1</v>
      </c>
      <c r="AA56">
        <f>IF(AND(vp.data[[#This Row],[CrudeType]]="Crude",vp.data[[#This Row],[Dens]]&lt;=825,vp.data[[#This Row],[Sulf]]&lt;=0.5,vp.data[[#This Row],[Unknown]]=0),1,0)</f>
        <v>0</v>
      </c>
      <c r="AB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6">
        <f>IF(AND(vp.data[[#This Row],[CrudeType]]="Crude",vp.data[[#This Row],[Dens]]&gt;825,vp.data[[#This Row],[Dens]]&lt;=900,vp.data[[#This Row],[Sulf]]&lt;=0.5,vp.data[[#This Row],[Unknown]]=0),1,0)</f>
        <v>0</v>
      </c>
      <c r="AD56">
        <f>IF(AND(vp.data[[#This Row],[CrudeType]]="Crude",vp.data[[#This Row],[Dens]]&gt;865,vp.data[[#This Row],[Dens]]&lt;=900,vp.data[[#This Row],[Sulf]]&gt;2,vp.data[[#This Row],[Unknown]]=0),1,0)</f>
        <v>0</v>
      </c>
      <c r="AE56">
        <f>IF(AND(vp.data[[#This Row],[CrudeType]]="Crude",vp.data[[#This Row],[Dens]]&gt;900,vp.data[[#This Row],[Sulf]]&lt;=0.5,vp.data[[#This Row],[Unknown]]=0),1,0)</f>
        <v>0</v>
      </c>
      <c r="AF56">
        <f>IF(AND(vp.data[[#This Row],[CrudeType]]="Crude",vp.data[[#This Row],[Dens]]&gt;900,vp.data[[#This Row],[Sulf]]&lt;=0.5,vp.data[[#This Row],[Unknown]]=0),1,0)</f>
        <v>0</v>
      </c>
      <c r="AG56" t="str">
        <f>INDEX(vp.data[[#Headers],[Unknown]:[Heavy_SW]],MATCH(1,vp.data[[#This Row],[Unknown]:[Heavy_SW]],0))</f>
        <v>Light_LSB</v>
      </c>
      <c r="AH56">
        <f>INDEX([3]!crudeBD.lkup[Number],MATCH(vp.data[[#This Row],[Crude_Breakdown]],crudeBD.lkup[Crude Breakdown],0))</f>
        <v>1</v>
      </c>
      <c r="AI56">
        <f>MONTH(vp.data[[#This Row],[SDate]])</f>
        <v>12</v>
      </c>
      <c r="AJ56" s="5">
        <f>(vp.data[[#This Row],[VP]]-INDEX(crudeBD.lkup[Mean_VP],MATCH(vp.data[[#This Row],[Crude_Breakdown]],crudeBD.lkup[Crude Breakdown],0)))^2</f>
        <v>6.4421766393860977E-2</v>
      </c>
      <c r="AK56" s="5">
        <f>(vp.data[[#This Row],[Dens]]-INDEX(crudeBD.lkup[Mean_Dens],MATCH(vp.data[[#This Row],[Crude_Breakdown]],crudeBD.lkup[Crude Breakdown],0)))^2</f>
        <v>42.032274351983858</v>
      </c>
      <c r="AL56" s="5">
        <f>(vp.data[[#This Row],[Sulf]]-INDEX(crudeBD.lkup[Mean_Sulf],MATCH(vp.data[[#This Row],[Crude_Breakdown]],crudeBD.lkup[Crude Breakdown],0)))^2</f>
        <v>8.822612681064361E-2</v>
      </c>
      <c r="AM56" s="4">
        <f>IF(AND(vp.data[[#This Row],[SDate]]&gt;=DATE(YEAR(vp.data[[#This Row],[SDate]]),5,1),vp.data[[#This Row],[SDate]]&lt;=DATE(YEAR(vp.data[[#This Row],[SDate]]),9,15)),1,0)</f>
        <v>0</v>
      </c>
      <c r="AN56" s="4">
        <f>IF(vp.data[[#This Row],[SDate]]&lt;DATE(2016,12,1),0,1)</f>
        <v>0</v>
      </c>
      <c r="AO56" s="4">
        <f>IFERROR(vp.data[[#This Row],[Sulf]]*vp.data[[#This Row],[Net Dens]],"")</f>
        <v>6221489.5214999998</v>
      </c>
      <c r="AP56">
        <f>IFERROR(vp.data[[#This Row],[Dens]]*vp.data[[#This Row],[VolumeM3]],"")</f>
        <v>5099581.5750000002</v>
      </c>
      <c r="AQ56" s="15">
        <f>IFERROR(vp.data[[#This Row],[VP]]*vp.data[[#This Row],[VolumeM3]],"")</f>
        <v>567444.34979999997</v>
      </c>
    </row>
    <row r="57" spans="1:43" x14ac:dyDescent="0.25">
      <c r="A57">
        <v>56</v>
      </c>
      <c r="B57" t="s">
        <v>62</v>
      </c>
      <c r="C57" t="s">
        <v>62</v>
      </c>
      <c r="D57" t="s">
        <v>63</v>
      </c>
      <c r="F57" s="1">
        <v>42348</v>
      </c>
      <c r="G57" s="2">
        <v>97.9</v>
      </c>
      <c r="H57" s="2"/>
      <c r="I57" s="2">
        <f t="array" ref="I57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57" s="2"/>
      <c r="K57" s="2"/>
      <c r="L57" s="2">
        <v>829.8</v>
      </c>
      <c r="M57" s="2">
        <f t="array" ref="M57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57" s="2">
        <f ca="1">INDEX(INDIRECT(_xlfn.CONCAT("weather.tbl[",N$1,"]")),MATCH(vp.data[[#This Row],[SDate]],weather.tbl[Date],0))</f>
        <v>-0.75</v>
      </c>
      <c r="O57" s="2">
        <f ca="1">INDEX(INDIRECT(_xlfn.CONCAT("weather.tbl[",O$1,"]")),MATCH(vp.data[[#This Row],[SDate]],weather.tbl[Date],0))</f>
        <v>1.9595238095238092</v>
      </c>
      <c r="P57" s="2">
        <f ca="1">INDEX(INDIRECT(_xlfn.CONCAT("weather.tbl[",P$1,"]")),MATCH(vp.data[[#This Row],[SDate]],weather.tbl[Date],0))</f>
        <v>-0.2</v>
      </c>
      <c r="Q57" s="2">
        <f ca="1">INDEX(INDIRECT(_xlfn.CONCAT("weather.tbl[",Q$1,"]")),MATCH(vp.data[[#This Row],[SDate]],weather.tbl[Date],0))</f>
        <v>-0.6</v>
      </c>
      <c r="R57" s="2">
        <f ca="1">INDEX(INDIRECT(_xlfn.CONCAT("weather.tbl[",R$1,"]")),MATCH(vp.data[[#This Row],[SDate]],weather.tbl[Date],0))</f>
        <v>3.8</v>
      </c>
      <c r="S57" s="2">
        <f ca="1">INDEX(INDIRECT(_xlfn.CONCAT("weather.tbl[",S$1,"]")),MATCH(vp.data[[#This Row],[SDate]],weather.tbl[Date],0))</f>
        <v>-1.5</v>
      </c>
      <c r="T57" s="2">
        <f ca="1">INDEX(INDIRECT(_xlfn.CONCAT("weather.tbl[",T$1,"]")),MATCH(vp.data[[#This Row],[SDate]],weather.tbl[Date],0))</f>
        <v>-1.9</v>
      </c>
      <c r="U57" s="2">
        <f ca="1">INDEX(INDIRECT(_xlfn.CONCAT("weather.tbl[",U$1,"]")),MATCH(vp.data[[#This Row],[SDate]],weather.tbl[Date],0))</f>
        <v>-4.0999999999999996</v>
      </c>
      <c r="V57" s="2">
        <f t="array" ref="V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5694.4459999999999</v>
      </c>
      <c r="W57" t="s">
        <v>48</v>
      </c>
      <c r="X57">
        <f>IF(OR(vp.data[[#This Row],[Sulf]]="",vp.data[[#This Row],[Dens]]=""),1,0)</f>
        <v>0</v>
      </c>
      <c r="Y57">
        <f>IF(vp.data[[#This Row],[CrudeType]]="C5+",1,0)</f>
        <v>0</v>
      </c>
      <c r="Z57">
        <f>IF(AND(vp.data[[#This Row],[CrudeType]]="Crude",vp.data[[#This Row],[Dens]]&lt;=825,vp.data[[#This Row],[Sulf]]&gt;0.5,vp.data[[#This Row],[Unknown]]=0),1,0)</f>
        <v>0</v>
      </c>
      <c r="AA57">
        <f>IF(AND(vp.data[[#This Row],[CrudeType]]="Crude",vp.data[[#This Row],[Dens]]&lt;=825,vp.data[[#This Row],[Sulf]]&lt;=0.5,vp.data[[#This Row],[Unknown]]=0),1,0)</f>
        <v>0</v>
      </c>
      <c r="AB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">
        <f>IF(AND(vp.data[[#This Row],[CrudeType]]="Crude",vp.data[[#This Row],[Dens]]&gt;825,vp.data[[#This Row],[Dens]]&lt;=900,vp.data[[#This Row],[Sulf]]&lt;=0.5,vp.data[[#This Row],[Unknown]]=0),1,0)</f>
        <v>0</v>
      </c>
      <c r="AD57">
        <f>IF(AND(vp.data[[#This Row],[CrudeType]]="Crude",vp.data[[#This Row],[Dens]]&gt;865,vp.data[[#This Row],[Dens]]&lt;=900,vp.data[[#This Row],[Sulf]]&gt;2,vp.data[[#This Row],[Unknown]]=0),1,0)</f>
        <v>0</v>
      </c>
      <c r="AE57">
        <f>IF(AND(vp.data[[#This Row],[CrudeType]]="Crude",vp.data[[#This Row],[Dens]]&gt;900,vp.data[[#This Row],[Sulf]]&lt;=0.5,vp.data[[#This Row],[Unknown]]=0),1,0)</f>
        <v>0</v>
      </c>
      <c r="AF57">
        <f>IF(AND(vp.data[[#This Row],[CrudeType]]="Crude",vp.data[[#This Row],[Dens]]&gt;900,vp.data[[#This Row],[Sulf]]&lt;=0.5,vp.data[[#This Row],[Unknown]]=0),1,0)</f>
        <v>0</v>
      </c>
      <c r="AG57" t="str">
        <f>INDEX(vp.data[[#Headers],[Unknown]:[Heavy_SW]],MATCH(1,vp.data[[#This Row],[Unknown]:[Heavy_SW]],0))</f>
        <v>Medium_LSB</v>
      </c>
      <c r="AH57">
        <f>INDEX([3]!crudeBD.lkup[Number],MATCH(vp.data[[#This Row],[Crude_Breakdown]],crudeBD.lkup[Crude Breakdown],0))</f>
        <v>3</v>
      </c>
      <c r="AI57">
        <f>MONTH(vp.data[[#This Row],[SDate]])</f>
        <v>12</v>
      </c>
      <c r="AJ57" s="5">
        <f>(vp.data[[#This Row],[VP]]-INDEX(crudeBD.lkup[Mean_VP],MATCH(vp.data[[#This Row],[Crude_Breakdown]],crudeBD.lkup[Crude Breakdown],0)))^2</f>
        <v>297.91876560327495</v>
      </c>
      <c r="AK57" s="5">
        <f>(vp.data[[#This Row],[Dens]]-INDEX(crudeBD.lkup[Mean_Dens],MATCH(vp.data[[#This Row],[Crude_Breakdown]],crudeBD.lkup[Crude Breakdown],0)))^2</f>
        <v>199.37439999998728</v>
      </c>
      <c r="AL57" s="5">
        <f>(vp.data[[#This Row],[Sulf]]-INDEX(crudeBD.lkup[Mean_Sulf],MATCH(vp.data[[#This Row],[Crude_Breakdown]],crudeBD.lkup[Crude Breakdown],0)))^2</f>
        <v>1.5727198238550122E-2</v>
      </c>
      <c r="AM57" s="4">
        <f>IF(AND(vp.data[[#This Row],[SDate]]&gt;=DATE(YEAR(vp.data[[#This Row],[SDate]]),5,1),vp.data[[#This Row],[SDate]]&lt;=DATE(YEAR(vp.data[[#This Row],[SDate]]),9,15)),1,0)</f>
        <v>0</v>
      </c>
      <c r="AN57" s="4">
        <f>IF(vp.data[[#This Row],[SDate]]&lt;DATE(2016,12,1),0,1)</f>
        <v>0</v>
      </c>
      <c r="AO57" s="4">
        <f>IFERROR(vp.data[[#This Row],[Sulf]]*vp.data[[#This Row],[Net Dens]],"")</f>
        <v>5953816.6264079995</v>
      </c>
      <c r="AP57">
        <f>IFERROR(vp.data[[#This Row],[Dens]]*vp.data[[#This Row],[VolumeM3]],"")</f>
        <v>4725251.2907999996</v>
      </c>
      <c r="AQ57" s="15">
        <f>IFERROR(vp.data[[#This Row],[VP]]*vp.data[[#This Row],[VolumeM3]],"")</f>
        <v>557486.26340000005</v>
      </c>
    </row>
    <row r="58" spans="1:43" x14ac:dyDescent="0.25">
      <c r="A58">
        <v>57</v>
      </c>
      <c r="B58" t="s">
        <v>46</v>
      </c>
      <c r="C58" t="s">
        <v>46</v>
      </c>
      <c r="D58" t="s">
        <v>47</v>
      </c>
      <c r="F58" s="1">
        <v>42349</v>
      </c>
      <c r="G58" s="2">
        <v>112.7</v>
      </c>
      <c r="H58" s="2"/>
      <c r="I58" s="2">
        <f t="array" ref="I58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58" s="2"/>
      <c r="K58" s="2"/>
      <c r="L58" s="2">
        <v>871.5</v>
      </c>
      <c r="M58" s="2">
        <f t="array" ref="M58">_xlfn.IFNA(IF(vp.data[[#This Row],[Dens Input]]="",INDEX([1]DATA!$O$3:$O$9826,MATCH(1,(vp.data[[#This Row],[Battery]]=[1]DATA!$L$3:$L$9826)*(EOMONTH(vp.data[[#This Row],[SDate]],-1)+1=[1]DATA!$G$3:$G$9826),0)),vp.data[[#This Row],[Dens Input]]),"")</f>
        <v>871.5</v>
      </c>
      <c r="N58" s="2">
        <f ca="1">INDEX(INDIRECT(_xlfn.CONCAT("weather.tbl[",N$1,"]")),MATCH(vp.data[[#This Row],[SDate]],weather.tbl[Date],0))</f>
        <v>-3.85</v>
      </c>
      <c r="O58" s="2">
        <f ca="1">INDEX(INDIRECT(_xlfn.CONCAT("weather.tbl[",O$1,"]")),MATCH(vp.data[[#This Row],[SDate]],weather.tbl[Date],0))</f>
        <v>1.0714285714285716</v>
      </c>
      <c r="P58" s="2">
        <f ca="1">INDEX(INDIRECT(_xlfn.CONCAT("weather.tbl[",P$1,"]")),MATCH(vp.data[[#This Row],[SDate]],weather.tbl[Date],0))</f>
        <v>-5.7</v>
      </c>
      <c r="Q58" s="2">
        <f ca="1">INDEX(INDIRECT(_xlfn.CONCAT("weather.tbl[",Q$1,"]")),MATCH(vp.data[[#This Row],[SDate]],weather.tbl[Date],0))</f>
        <v>-5.2</v>
      </c>
      <c r="R58" s="2">
        <f ca="1">INDEX(INDIRECT(_xlfn.CONCAT("weather.tbl[",R$1,"]")),MATCH(vp.data[[#This Row],[SDate]],weather.tbl[Date],0))</f>
        <v>3.8</v>
      </c>
      <c r="S58" s="2">
        <f ca="1">INDEX(INDIRECT(_xlfn.CONCAT("weather.tbl[",S$1,"]")),MATCH(vp.data[[#This Row],[SDate]],weather.tbl[Date],0))</f>
        <v>-4</v>
      </c>
      <c r="T58" s="2">
        <f ca="1">INDEX(INDIRECT(_xlfn.CONCAT("weather.tbl[",T$1,"]")),MATCH(vp.data[[#This Row],[SDate]],weather.tbl[Date],0))</f>
        <v>-5.3</v>
      </c>
      <c r="U58" s="2">
        <f ca="1">INDEX(INDIRECT(_xlfn.CONCAT("weather.tbl[",U$1,"]")),MATCH(vp.data[[#This Row],[SDate]],weather.tbl[Date],0))</f>
        <v>-6.7</v>
      </c>
      <c r="V58" s="2">
        <f t="array" ref="V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118241.302</v>
      </c>
      <c r="W58" t="s">
        <v>48</v>
      </c>
      <c r="X58">
        <f>IF(OR(vp.data[[#This Row],[Sulf]]="",vp.data[[#This Row],[Dens]]=""),1,0)</f>
        <v>0</v>
      </c>
      <c r="Y58">
        <f>IF(vp.data[[#This Row],[CrudeType]]="C5+",1,0)</f>
        <v>0</v>
      </c>
      <c r="Z58">
        <f>IF(AND(vp.data[[#This Row],[CrudeType]]="Crude",vp.data[[#This Row],[Dens]]&lt;=825,vp.data[[#This Row],[Sulf]]&gt;0.5,vp.data[[#This Row],[Unknown]]=0),1,0)</f>
        <v>0</v>
      </c>
      <c r="AA58">
        <f>IF(AND(vp.data[[#This Row],[CrudeType]]="Crude",vp.data[[#This Row],[Dens]]&lt;=825,vp.data[[#This Row],[Sulf]]&lt;=0.5,vp.data[[#This Row],[Unknown]]=0),1,0)</f>
        <v>0</v>
      </c>
      <c r="AB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8">
        <f>IF(AND(vp.data[[#This Row],[CrudeType]]="Crude",vp.data[[#This Row],[Dens]]&gt;825,vp.data[[#This Row],[Dens]]&lt;=900,vp.data[[#This Row],[Sulf]]&lt;=0.5,vp.data[[#This Row],[Unknown]]=0),1,0)</f>
        <v>0</v>
      </c>
      <c r="AD58">
        <f>IF(AND(vp.data[[#This Row],[CrudeType]]="Crude",vp.data[[#This Row],[Dens]]&gt;865,vp.data[[#This Row],[Dens]]&lt;=900,vp.data[[#This Row],[Sulf]]&gt;2,vp.data[[#This Row],[Unknown]]=0),1,0)</f>
        <v>1</v>
      </c>
      <c r="AE58">
        <f>IF(AND(vp.data[[#This Row],[CrudeType]]="Crude",vp.data[[#This Row],[Dens]]&gt;900,vp.data[[#This Row],[Sulf]]&lt;=0.5,vp.data[[#This Row],[Unknown]]=0),1,0)</f>
        <v>0</v>
      </c>
      <c r="AF58">
        <f>IF(AND(vp.data[[#This Row],[CrudeType]]="Crude",vp.data[[#This Row],[Dens]]&gt;900,vp.data[[#This Row],[Sulf]]&lt;=0.5,vp.data[[#This Row],[Unknown]]=0),1,0)</f>
        <v>0</v>
      </c>
      <c r="AG58" t="str">
        <f>INDEX(vp.data[[#Headers],[Unknown]:[Heavy_SW]],MATCH(1,vp.data[[#This Row],[Unknown]:[Heavy_SW]],0))</f>
        <v>Midale</v>
      </c>
      <c r="AH58">
        <f>INDEX([3]!crudeBD.lkup[Number],MATCH(vp.data[[#This Row],[Crude_Breakdown]],crudeBD.lkup[Crude Breakdown],0))</f>
        <v>5</v>
      </c>
      <c r="AI58">
        <f>MONTH(vp.data[[#This Row],[SDate]])</f>
        <v>12</v>
      </c>
      <c r="AJ58" s="5">
        <f>(vp.data[[#This Row],[VP]]-INDEX(crudeBD.lkup[Mean_VP],MATCH(vp.data[[#This Row],[Crude_Breakdown]],crudeBD.lkup[Crude Breakdown],0)))^2</f>
        <v>1874.1312108087975</v>
      </c>
      <c r="AK58" s="5">
        <f>(vp.data[[#This Row],[Dens]]-INDEX(crudeBD.lkup[Mean_Dens],MATCH(vp.data[[#This Row],[Crude_Breakdown]],crudeBD.lkup[Crude Breakdown],0)))^2</f>
        <v>11.002557391860895</v>
      </c>
      <c r="AL58" s="5">
        <f>(vp.data[[#This Row],[Sulf]]-INDEX(crudeBD.lkup[Mean_Sulf],MATCH(vp.data[[#This Row],[Crude_Breakdown]],crudeBD.lkup[Crude Breakdown],0)))^2</f>
        <v>1.130006345424492E-3</v>
      </c>
      <c r="AM58" s="4">
        <f>IF(AND(vp.data[[#This Row],[SDate]]&gt;=DATE(YEAR(vp.data[[#This Row],[SDate]]),5,1),vp.data[[#This Row],[SDate]]&lt;=DATE(YEAR(vp.data[[#This Row],[SDate]]),9,15)),1,0)</f>
        <v>0</v>
      </c>
      <c r="AN58" s="4">
        <f>IF(vp.data[[#This Row],[SDate]]&lt;DATE(2016,12,1),0,1)</f>
        <v>0</v>
      </c>
      <c r="AO58" s="4">
        <f>IFERROR(vp.data[[#This Row],[Sulf]]*vp.data[[#This Row],[Net Dens]],"")</f>
        <v>248343980.21013004</v>
      </c>
      <c r="AP58">
        <f>IFERROR(vp.data[[#This Row],[Dens]]*vp.data[[#This Row],[VolumeM3]],"")</f>
        <v>103047294.693</v>
      </c>
      <c r="AQ58" s="15">
        <f>IFERROR(vp.data[[#This Row],[VP]]*vp.data[[#This Row],[VolumeM3]],"")</f>
        <v>13325794.735400001</v>
      </c>
    </row>
    <row r="59" spans="1:43" x14ac:dyDescent="0.25">
      <c r="A59">
        <v>58</v>
      </c>
      <c r="B59" t="s">
        <v>62</v>
      </c>
      <c r="C59" t="s">
        <v>62</v>
      </c>
      <c r="D59" t="s">
        <v>63</v>
      </c>
      <c r="F59" s="1">
        <v>42349</v>
      </c>
      <c r="G59" s="2">
        <v>116.3</v>
      </c>
      <c r="H59" s="2"/>
      <c r="I59" s="2">
        <f t="array" ref="I5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59" s="2"/>
      <c r="K59" s="2"/>
      <c r="L59" s="2"/>
      <c r="M59" s="2">
        <f t="array" ref="M59">_xlfn.IFNA(IF(vp.data[[#This Row],[Dens Input]]="",INDEX([1]DATA!$O$3:$O$9826,MATCH(1,(vp.data[[#This Row],[Battery]]=[1]DATA!$L$3:$L$9826)*(EOMONTH(vp.data[[#This Row],[SDate]],-1)+1=[1]DATA!$G$3:$G$9826),0)),vp.data[[#This Row],[Dens Input]]),"")</f>
        <v>801.6</v>
      </c>
      <c r="N59" s="2">
        <f ca="1">INDEX(INDIRECT(_xlfn.CONCAT("weather.tbl[",N$1,"]")),MATCH(vp.data[[#This Row],[SDate]],weather.tbl[Date],0))</f>
        <v>-3.85</v>
      </c>
      <c r="O59" s="2">
        <f ca="1">INDEX(INDIRECT(_xlfn.CONCAT("weather.tbl[",O$1,"]")),MATCH(vp.data[[#This Row],[SDate]],weather.tbl[Date],0))</f>
        <v>1.0714285714285716</v>
      </c>
      <c r="P59" s="2">
        <f ca="1">INDEX(INDIRECT(_xlfn.CONCAT("weather.tbl[",P$1,"]")),MATCH(vp.data[[#This Row],[SDate]],weather.tbl[Date],0))</f>
        <v>-5.7</v>
      </c>
      <c r="Q59" s="2">
        <f ca="1">INDEX(INDIRECT(_xlfn.CONCAT("weather.tbl[",Q$1,"]")),MATCH(vp.data[[#This Row],[SDate]],weather.tbl[Date],0))</f>
        <v>-5.2</v>
      </c>
      <c r="R59" s="2">
        <f ca="1">INDEX(INDIRECT(_xlfn.CONCAT("weather.tbl[",R$1,"]")),MATCH(vp.data[[#This Row],[SDate]],weather.tbl[Date],0))</f>
        <v>3.8</v>
      </c>
      <c r="S59" s="2">
        <f ca="1">INDEX(INDIRECT(_xlfn.CONCAT("weather.tbl[",S$1,"]")),MATCH(vp.data[[#This Row],[SDate]],weather.tbl[Date],0))</f>
        <v>-4</v>
      </c>
      <c r="T59" s="2">
        <f ca="1">INDEX(INDIRECT(_xlfn.CONCAT("weather.tbl[",T$1,"]")),MATCH(vp.data[[#This Row],[SDate]],weather.tbl[Date],0))</f>
        <v>-5.3</v>
      </c>
      <c r="U59" s="2">
        <f ca="1">INDEX(INDIRECT(_xlfn.CONCAT("weather.tbl[",U$1,"]")),MATCH(vp.data[[#This Row],[SDate]],weather.tbl[Date],0))</f>
        <v>-6.7</v>
      </c>
      <c r="V59" s="2">
        <f t="array" ref="V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5694.4459999999999</v>
      </c>
      <c r="W59" t="s">
        <v>48</v>
      </c>
      <c r="X59">
        <f>IF(OR(vp.data[[#This Row],[Sulf]]="",vp.data[[#This Row],[Dens]]=""),1,0)</f>
        <v>0</v>
      </c>
      <c r="Y59">
        <f>IF(vp.data[[#This Row],[CrudeType]]="C5+",1,0)</f>
        <v>0</v>
      </c>
      <c r="Z59">
        <f>IF(AND(vp.data[[#This Row],[CrudeType]]="Crude",vp.data[[#This Row],[Dens]]&lt;=825,vp.data[[#This Row],[Sulf]]&gt;0.5,vp.data[[#This Row],[Unknown]]=0),1,0)</f>
        <v>1</v>
      </c>
      <c r="AA59">
        <f>IF(AND(vp.data[[#This Row],[CrudeType]]="Crude",vp.data[[#This Row],[Dens]]&lt;=825,vp.data[[#This Row],[Sulf]]&lt;=0.5,vp.data[[#This Row],[Unknown]]=0),1,0)</f>
        <v>0</v>
      </c>
      <c r="AB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">
        <f>IF(AND(vp.data[[#This Row],[CrudeType]]="Crude",vp.data[[#This Row],[Dens]]&gt;825,vp.data[[#This Row],[Dens]]&lt;=900,vp.data[[#This Row],[Sulf]]&lt;=0.5,vp.data[[#This Row],[Unknown]]=0),1,0)</f>
        <v>0</v>
      </c>
      <c r="AD59">
        <f>IF(AND(vp.data[[#This Row],[CrudeType]]="Crude",vp.data[[#This Row],[Dens]]&gt;865,vp.data[[#This Row],[Dens]]&lt;=900,vp.data[[#This Row],[Sulf]]&gt;2,vp.data[[#This Row],[Unknown]]=0),1,0)</f>
        <v>0</v>
      </c>
      <c r="AE59">
        <f>IF(AND(vp.data[[#This Row],[CrudeType]]="Crude",vp.data[[#This Row],[Dens]]&gt;900,vp.data[[#This Row],[Sulf]]&lt;=0.5,vp.data[[#This Row],[Unknown]]=0),1,0)</f>
        <v>0</v>
      </c>
      <c r="AF59">
        <f>IF(AND(vp.data[[#This Row],[CrudeType]]="Crude",vp.data[[#This Row],[Dens]]&gt;900,vp.data[[#This Row],[Sulf]]&lt;=0.5,vp.data[[#This Row],[Unknown]]=0),1,0)</f>
        <v>0</v>
      </c>
      <c r="AG59" t="str">
        <f>INDEX(vp.data[[#Headers],[Unknown]:[Heavy_SW]],MATCH(1,vp.data[[#This Row],[Unknown]:[Heavy_SW]],0))</f>
        <v>Light_LSB</v>
      </c>
      <c r="AH59">
        <f>INDEX([3]!crudeBD.lkup[Number],MATCH(vp.data[[#This Row],[Crude_Breakdown]],crudeBD.lkup[Crude Breakdown],0))</f>
        <v>1</v>
      </c>
      <c r="AI59">
        <f>MONTH(vp.data[[#This Row],[SDate]])</f>
        <v>12</v>
      </c>
      <c r="AJ59" s="5">
        <f>(vp.data[[#This Row],[VP]]-INDEX(crudeBD.lkup[Mean_VP],MATCH(vp.data[[#This Row],[Crude_Breakdown]],crudeBD.lkup[Crude Breakdown],0)))^2</f>
        <v>612.751328982887</v>
      </c>
      <c r="AK59" s="5">
        <f>(vp.data[[#This Row],[Dens]]-INDEX(crudeBD.lkup[Mean_Dens],MATCH(vp.data[[#This Row],[Crude_Breakdown]],crudeBD.lkup[Crude Breakdown],0)))^2</f>
        <v>286.17709909423644</v>
      </c>
      <c r="AL59" s="5">
        <f>(vp.data[[#This Row],[Sulf]]-INDEX(crudeBD.lkup[Mean_Sulf],MATCH(vp.data[[#This Row],[Crude_Breakdown]],crudeBD.lkup[Crude Breakdown],0)))^2</f>
        <v>0.11358843333985327</v>
      </c>
      <c r="AM59" s="4">
        <f>IF(AND(vp.data[[#This Row],[SDate]]&gt;=DATE(YEAR(vp.data[[#This Row],[SDate]]),5,1),vp.data[[#This Row],[SDate]]&lt;=DATE(YEAR(vp.data[[#This Row],[SDate]]),9,15)),1,0)</f>
        <v>0</v>
      </c>
      <c r="AN59" s="4">
        <f>IF(vp.data[[#This Row],[SDate]]&lt;DATE(2016,12,1),0,1)</f>
        <v>0</v>
      </c>
      <c r="AO59" s="4">
        <f>IFERROR(vp.data[[#This Row],[Sulf]]*vp.data[[#This Row],[Net Dens]],"")</f>
        <v>5751481.5711359996</v>
      </c>
      <c r="AP59">
        <f>IFERROR(vp.data[[#This Row],[Dens]]*vp.data[[#This Row],[VolumeM3]],"")</f>
        <v>4564667.9135999996</v>
      </c>
      <c r="AQ59" s="15">
        <f>IFERROR(vp.data[[#This Row],[VP]]*vp.data[[#This Row],[VolumeM3]],"")</f>
        <v>662264.06979999994</v>
      </c>
    </row>
    <row r="60" spans="1:43" x14ac:dyDescent="0.25">
      <c r="A60">
        <v>59</v>
      </c>
      <c r="B60" t="s">
        <v>51</v>
      </c>
      <c r="C60" t="s">
        <v>51</v>
      </c>
      <c r="D60" t="s">
        <v>52</v>
      </c>
      <c r="F60" s="1">
        <v>42352</v>
      </c>
      <c r="G60" s="2">
        <v>79.7</v>
      </c>
      <c r="H60" s="2"/>
      <c r="I60" s="2">
        <f t="array" ref="I60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60" s="2"/>
      <c r="K60" s="2"/>
      <c r="L60" s="2">
        <v>872.2</v>
      </c>
      <c r="M60" s="2">
        <f t="array" ref="M60">_xlfn.IFNA(IF(vp.data[[#This Row],[Dens Input]]="",INDEX([1]DATA!$O$3:$O$9826,MATCH(1,(vp.data[[#This Row],[Battery]]=[1]DATA!$L$3:$L$9826)*(EOMONTH(vp.data[[#This Row],[SDate]],-1)+1=[1]DATA!$G$3:$G$9826),0)),vp.data[[#This Row],[Dens Input]]),"")</f>
        <v>872.2</v>
      </c>
      <c r="N60" s="2">
        <f ca="1">INDEX(INDIRECT(_xlfn.CONCAT("weather.tbl[",N$1,"]")),MATCH(vp.data[[#This Row],[SDate]],weather.tbl[Date],0))</f>
        <v>-5.9666666666666677</v>
      </c>
      <c r="O60" s="2">
        <f ca="1">INDEX(INDIRECT(_xlfn.CONCAT("weather.tbl[",O$1,"]")),MATCH(vp.data[[#This Row],[SDate]],weather.tbl[Date],0))</f>
        <v>-1.7928571428571429</v>
      </c>
      <c r="P60" s="2">
        <f ca="1">INDEX(INDIRECT(_xlfn.CONCAT("weather.tbl[",P$1,"]")),MATCH(vp.data[[#This Row],[SDate]],weather.tbl[Date],0))</f>
        <v>-5.3</v>
      </c>
      <c r="Q60" s="2">
        <f ca="1">INDEX(INDIRECT(_xlfn.CONCAT("weather.tbl[",Q$1,"]")),MATCH(vp.data[[#This Row],[SDate]],weather.tbl[Date],0))</f>
        <v>-4.4000000000000004</v>
      </c>
      <c r="R60" s="2">
        <f ca="1">INDEX(INDIRECT(_xlfn.CONCAT("weather.tbl[",R$1,"]")),MATCH(vp.data[[#This Row],[SDate]],weather.tbl[Date],0))</f>
        <v>-7.8</v>
      </c>
      <c r="S60" s="2">
        <f ca="1">INDEX(INDIRECT(_xlfn.CONCAT("weather.tbl[",S$1,"]")),MATCH(vp.data[[#This Row],[SDate]],weather.tbl[Date],0))</f>
        <v>-3.8</v>
      </c>
      <c r="T60" s="2">
        <f ca="1">INDEX(INDIRECT(_xlfn.CONCAT("weather.tbl[",T$1,"]")),MATCH(vp.data[[#This Row],[SDate]],weather.tbl[Date],0))</f>
        <v>-6.8</v>
      </c>
      <c r="U60" s="2">
        <f ca="1">INDEX(INDIRECT(_xlfn.CONCAT("weather.tbl[",U$1,"]")),MATCH(vp.data[[#This Row],[SDate]],weather.tbl[Date],0))</f>
        <v>-7.7</v>
      </c>
      <c r="V60" s="2">
        <f t="array" ref="V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7916.5720000000001</v>
      </c>
      <c r="W60" t="s">
        <v>48</v>
      </c>
      <c r="X60">
        <f>IF(OR(vp.data[[#This Row],[Sulf]]="",vp.data[[#This Row],[Dens]]=""),1,0)</f>
        <v>0</v>
      </c>
      <c r="Y60">
        <f>IF(vp.data[[#This Row],[CrudeType]]="C5+",1,0)</f>
        <v>0</v>
      </c>
      <c r="Z60">
        <f>IF(AND(vp.data[[#This Row],[CrudeType]]="Crude",vp.data[[#This Row],[Dens]]&lt;=825,vp.data[[#This Row],[Sulf]]&gt;0.5,vp.data[[#This Row],[Unknown]]=0),1,0)</f>
        <v>0</v>
      </c>
      <c r="AA60">
        <f>IF(AND(vp.data[[#This Row],[CrudeType]]="Crude",vp.data[[#This Row],[Dens]]&lt;=825,vp.data[[#This Row],[Sulf]]&lt;=0.5,vp.data[[#This Row],[Unknown]]=0),1,0)</f>
        <v>0</v>
      </c>
      <c r="AB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0">
        <f>IF(AND(vp.data[[#This Row],[CrudeType]]="Crude",vp.data[[#This Row],[Dens]]&gt;825,vp.data[[#This Row],[Dens]]&lt;=900,vp.data[[#This Row],[Sulf]]&lt;=0.5,vp.data[[#This Row],[Unknown]]=0),1,0)</f>
        <v>0</v>
      </c>
      <c r="AD60">
        <f>IF(AND(vp.data[[#This Row],[CrudeType]]="Crude",vp.data[[#This Row],[Dens]]&gt;865,vp.data[[#This Row],[Dens]]&lt;=900,vp.data[[#This Row],[Sulf]]&gt;2,vp.data[[#This Row],[Unknown]]=0),1,0)</f>
        <v>1</v>
      </c>
      <c r="AE60">
        <f>IF(AND(vp.data[[#This Row],[CrudeType]]="Crude",vp.data[[#This Row],[Dens]]&gt;900,vp.data[[#This Row],[Sulf]]&lt;=0.5,vp.data[[#This Row],[Unknown]]=0),1,0)</f>
        <v>0</v>
      </c>
      <c r="AF60">
        <f>IF(AND(vp.data[[#This Row],[CrudeType]]="Crude",vp.data[[#This Row],[Dens]]&gt;900,vp.data[[#This Row],[Sulf]]&lt;=0.5,vp.data[[#This Row],[Unknown]]=0),1,0)</f>
        <v>0</v>
      </c>
      <c r="AG60" t="str">
        <f>INDEX(vp.data[[#Headers],[Unknown]:[Heavy_SW]],MATCH(1,vp.data[[#This Row],[Unknown]:[Heavy_SW]],0))</f>
        <v>Midale</v>
      </c>
      <c r="AH60">
        <f>INDEX([3]!crudeBD.lkup[Number],MATCH(vp.data[[#This Row],[Crude_Breakdown]],crudeBD.lkup[Crude Breakdown],0))</f>
        <v>5</v>
      </c>
      <c r="AI60">
        <f>MONTH(vp.data[[#This Row],[SDate]])</f>
        <v>12</v>
      </c>
      <c r="AJ60" s="5">
        <f>(vp.data[[#This Row],[VP]]-INDEX(crudeBD.lkup[Mean_VP],MATCH(vp.data[[#This Row],[Crude_Breakdown]],crudeBD.lkup[Crude Breakdown],0)))^2</f>
        <v>105.90956132426342</v>
      </c>
      <c r="AK60" s="5">
        <f>(vp.data[[#This Row],[Dens]]-INDEX(crudeBD.lkup[Mean_Dens],MATCH(vp.data[[#This Row],[Crude_Breakdown]],crudeBD.lkup[Crude Breakdown],0)))^2</f>
        <v>6.8487429588705373</v>
      </c>
      <c r="AL60" s="5">
        <f>(vp.data[[#This Row],[Sulf]]-INDEX(crudeBD.lkup[Mean_Sulf],MATCH(vp.data[[#This Row],[Crude_Breakdown]],crudeBD.lkup[Crude Breakdown],0)))^2</f>
        <v>2.0625431087692294E-2</v>
      </c>
      <c r="AM60" s="4">
        <f>IF(AND(vp.data[[#This Row],[SDate]]&gt;=DATE(YEAR(vp.data[[#This Row],[SDate]]),5,1),vp.data[[#This Row],[SDate]]&lt;=DATE(YEAR(vp.data[[#This Row],[SDate]]),9,15)),1,0)</f>
        <v>0</v>
      </c>
      <c r="AN60" s="4">
        <f>IF(vp.data[[#This Row],[SDate]]&lt;DATE(2016,12,1),0,1)</f>
        <v>0</v>
      </c>
      <c r="AO60" s="4">
        <f>IFERROR(vp.data[[#This Row],[Sulf]]*vp.data[[#This Row],[Net Dens]],"")</f>
        <v>15881118.42632</v>
      </c>
      <c r="AP60">
        <f>IFERROR(vp.data[[#This Row],[Dens]]*vp.data[[#This Row],[VolumeM3]],"")</f>
        <v>6904834.0984000005</v>
      </c>
      <c r="AQ60" s="15">
        <f>IFERROR(vp.data[[#This Row],[VP]]*vp.data[[#This Row],[VolumeM3]],"")</f>
        <v>630950.78840000008</v>
      </c>
    </row>
    <row r="61" spans="1:43" x14ac:dyDescent="0.25">
      <c r="A61">
        <v>60</v>
      </c>
      <c r="B61" t="s">
        <v>49</v>
      </c>
      <c r="C61" t="s">
        <v>49</v>
      </c>
      <c r="D61" t="s">
        <v>50</v>
      </c>
      <c r="F61" s="1">
        <v>42352</v>
      </c>
      <c r="G61" s="2">
        <v>111.4</v>
      </c>
      <c r="H61" s="2"/>
      <c r="I61" s="2">
        <f t="array" ref="I61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61" s="2"/>
      <c r="K61" s="2"/>
      <c r="L61" s="2">
        <v>873.7</v>
      </c>
      <c r="M61" s="2">
        <f t="array" ref="M61">_xlfn.IFNA(IF(vp.data[[#This Row],[Dens Input]]="",INDEX([1]DATA!$O$3:$O$9826,MATCH(1,(vp.data[[#This Row],[Battery]]=[1]DATA!$L$3:$L$9826)*(EOMONTH(vp.data[[#This Row],[SDate]],-1)+1=[1]DATA!$G$3:$G$9826),0)),vp.data[[#This Row],[Dens Input]]),"")</f>
        <v>873.7</v>
      </c>
      <c r="N61" s="2">
        <f ca="1">INDEX(INDIRECT(_xlfn.CONCAT("weather.tbl[",N$1,"]")),MATCH(vp.data[[#This Row],[SDate]],weather.tbl[Date],0))</f>
        <v>-5.9666666666666677</v>
      </c>
      <c r="O61" s="2">
        <f ca="1">INDEX(INDIRECT(_xlfn.CONCAT("weather.tbl[",O$1,"]")),MATCH(vp.data[[#This Row],[SDate]],weather.tbl[Date],0))</f>
        <v>-1.7928571428571429</v>
      </c>
      <c r="P61" s="2">
        <f ca="1">INDEX(INDIRECT(_xlfn.CONCAT("weather.tbl[",P$1,"]")),MATCH(vp.data[[#This Row],[SDate]],weather.tbl[Date],0))</f>
        <v>-5.3</v>
      </c>
      <c r="Q61" s="2">
        <f ca="1">INDEX(INDIRECT(_xlfn.CONCAT("weather.tbl[",Q$1,"]")),MATCH(vp.data[[#This Row],[SDate]],weather.tbl[Date],0))</f>
        <v>-4.4000000000000004</v>
      </c>
      <c r="R61" s="2">
        <f ca="1">INDEX(INDIRECT(_xlfn.CONCAT("weather.tbl[",R$1,"]")),MATCH(vp.data[[#This Row],[SDate]],weather.tbl[Date],0))</f>
        <v>-7.8</v>
      </c>
      <c r="S61" s="2">
        <f ca="1">INDEX(INDIRECT(_xlfn.CONCAT("weather.tbl[",S$1,"]")),MATCH(vp.data[[#This Row],[SDate]],weather.tbl[Date],0))</f>
        <v>-3.8</v>
      </c>
      <c r="T61" s="2">
        <f ca="1">INDEX(INDIRECT(_xlfn.CONCAT("weather.tbl[",T$1,"]")),MATCH(vp.data[[#This Row],[SDate]],weather.tbl[Date],0))</f>
        <v>-6.8</v>
      </c>
      <c r="U61" s="2">
        <f ca="1">INDEX(INDIRECT(_xlfn.CONCAT("weather.tbl[",U$1,"]")),MATCH(vp.data[[#This Row],[SDate]],weather.tbl[Date],0))</f>
        <v>-7.7</v>
      </c>
      <c r="V61" s="2">
        <f t="array" ref="V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6021.2470000000003</v>
      </c>
      <c r="W61" t="s">
        <v>48</v>
      </c>
      <c r="X61">
        <f>IF(OR(vp.data[[#This Row],[Sulf]]="",vp.data[[#This Row],[Dens]]=""),1,0)</f>
        <v>0</v>
      </c>
      <c r="Y61">
        <f>IF(vp.data[[#This Row],[CrudeType]]="C5+",1,0)</f>
        <v>0</v>
      </c>
      <c r="Z61">
        <f>IF(AND(vp.data[[#This Row],[CrudeType]]="Crude",vp.data[[#This Row],[Dens]]&lt;=825,vp.data[[#This Row],[Sulf]]&gt;0.5,vp.data[[#This Row],[Unknown]]=0),1,0)</f>
        <v>0</v>
      </c>
      <c r="AA61">
        <f>IF(AND(vp.data[[#This Row],[CrudeType]]="Crude",vp.data[[#This Row],[Dens]]&lt;=825,vp.data[[#This Row],[Sulf]]&lt;=0.5,vp.data[[#This Row],[Unknown]]=0),1,0)</f>
        <v>0</v>
      </c>
      <c r="AB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1">
        <f>IF(AND(vp.data[[#This Row],[CrudeType]]="Crude",vp.data[[#This Row],[Dens]]&gt;825,vp.data[[#This Row],[Dens]]&lt;=900,vp.data[[#This Row],[Sulf]]&lt;=0.5,vp.data[[#This Row],[Unknown]]=0),1,0)</f>
        <v>0</v>
      </c>
      <c r="AD61">
        <f>IF(AND(vp.data[[#This Row],[CrudeType]]="Crude",vp.data[[#This Row],[Dens]]&gt;865,vp.data[[#This Row],[Dens]]&lt;=900,vp.data[[#This Row],[Sulf]]&gt;2,vp.data[[#This Row],[Unknown]]=0),1,0)</f>
        <v>1</v>
      </c>
      <c r="AE61">
        <f>IF(AND(vp.data[[#This Row],[CrudeType]]="Crude",vp.data[[#This Row],[Dens]]&gt;900,vp.data[[#This Row],[Sulf]]&lt;=0.5,vp.data[[#This Row],[Unknown]]=0),1,0)</f>
        <v>0</v>
      </c>
      <c r="AF61">
        <f>IF(AND(vp.data[[#This Row],[CrudeType]]="Crude",vp.data[[#This Row],[Dens]]&gt;900,vp.data[[#This Row],[Sulf]]&lt;=0.5,vp.data[[#This Row],[Unknown]]=0),1,0)</f>
        <v>0</v>
      </c>
      <c r="AG61" t="str">
        <f>INDEX(vp.data[[#Headers],[Unknown]:[Heavy_SW]],MATCH(1,vp.data[[#This Row],[Unknown]:[Heavy_SW]],0))</f>
        <v>Midale</v>
      </c>
      <c r="AH61">
        <f>INDEX([3]!crudeBD.lkup[Number],MATCH(vp.data[[#This Row],[Crude_Breakdown]],crudeBD.lkup[Crude Breakdown],0))</f>
        <v>5</v>
      </c>
      <c r="AI61">
        <f>MONTH(vp.data[[#This Row],[SDate]])</f>
        <v>12</v>
      </c>
      <c r="AJ61" s="5">
        <f>(vp.data[[#This Row],[VP]]-INDEX(crudeBD.lkup[Mean_VP],MATCH(vp.data[[#This Row],[Crude_Breakdown]],crudeBD.lkup[Crude Breakdown],0)))^2</f>
        <v>1763.2639943139525</v>
      </c>
      <c r="AK61" s="5">
        <f>(vp.data[[#This Row],[Dens]]-INDEX(crudeBD.lkup[Mean_Dens],MATCH(vp.data[[#This Row],[Crude_Breakdown]],crudeBD.lkup[Crude Breakdown],0)))^2</f>
        <v>1.2477120310347007</v>
      </c>
      <c r="AL61" s="5">
        <f>(vp.data[[#This Row],[Sulf]]-INDEX(crudeBD.lkup[Mean_Sulf],MATCH(vp.data[[#This Row],[Crude_Breakdown]],crudeBD.lkup[Crude Breakdown],0)))^2</f>
        <v>2.1428402221713612E-2</v>
      </c>
      <c r="AM61" s="4">
        <f>IF(AND(vp.data[[#This Row],[SDate]]&gt;=DATE(YEAR(vp.data[[#This Row],[SDate]]),5,1),vp.data[[#This Row],[SDate]]&lt;=DATE(YEAR(vp.data[[#This Row],[SDate]]),9,15)),1,0)</f>
        <v>0</v>
      </c>
      <c r="AN61" s="4">
        <f>IF(vp.data[[#This Row],[SDate]]&lt;DATE(2016,12,1),0,1)</f>
        <v>0</v>
      </c>
      <c r="AO61" s="4">
        <f>IFERROR(vp.data[[#This Row],[Sulf]]*vp.data[[#This Row],[Net Dens]],"")</f>
        <v>13625377.475101002</v>
      </c>
      <c r="AP61">
        <f>IFERROR(vp.data[[#This Row],[Dens]]*vp.data[[#This Row],[VolumeM3]],"")</f>
        <v>5260763.5039000008</v>
      </c>
      <c r="AQ61" s="15">
        <f>IFERROR(vp.data[[#This Row],[VP]]*vp.data[[#This Row],[VolumeM3]],"")</f>
        <v>670766.91580000008</v>
      </c>
    </row>
    <row r="62" spans="1:43" x14ac:dyDescent="0.25">
      <c r="A62">
        <v>61</v>
      </c>
      <c r="B62" t="s">
        <v>51</v>
      </c>
      <c r="C62" t="s">
        <v>51</v>
      </c>
      <c r="D62" t="s">
        <v>71</v>
      </c>
      <c r="F62" s="1">
        <v>42352</v>
      </c>
      <c r="G62" s="2">
        <v>96.2</v>
      </c>
      <c r="H62" s="2"/>
      <c r="I62" s="2">
        <f t="array" ref="I62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62" s="2"/>
      <c r="K62" s="2"/>
      <c r="L62" s="2"/>
      <c r="M62" s="2">
        <f t="array" ref="M62">_xlfn.IFNA(IF(vp.data[[#This Row],[Dens Input]]="",INDEX([1]DATA!$O$3:$O$9826,MATCH(1,(vp.data[[#This Row],[Battery]]=[1]DATA!$L$3:$L$9826)*(EOMONTH(vp.data[[#This Row],[SDate]],-1)+1=[1]DATA!$G$3:$G$9826),0)),vp.data[[#This Row],[Dens Input]]),"")</f>
        <v>813.7</v>
      </c>
      <c r="N62" s="2">
        <f ca="1">INDEX(INDIRECT(_xlfn.CONCAT("weather.tbl[",N$1,"]")),MATCH(vp.data[[#This Row],[SDate]],weather.tbl[Date],0))</f>
        <v>-5.9666666666666677</v>
      </c>
      <c r="O62" s="2">
        <f ca="1">INDEX(INDIRECT(_xlfn.CONCAT("weather.tbl[",O$1,"]")),MATCH(vp.data[[#This Row],[SDate]],weather.tbl[Date],0))</f>
        <v>-1.7928571428571429</v>
      </c>
      <c r="P62" s="2">
        <f ca="1">INDEX(INDIRECT(_xlfn.CONCAT("weather.tbl[",P$1,"]")),MATCH(vp.data[[#This Row],[SDate]],weather.tbl[Date],0))</f>
        <v>-5.3</v>
      </c>
      <c r="Q62" s="2">
        <f ca="1">INDEX(INDIRECT(_xlfn.CONCAT("weather.tbl[",Q$1,"]")),MATCH(vp.data[[#This Row],[SDate]],weather.tbl[Date],0))</f>
        <v>-4.4000000000000004</v>
      </c>
      <c r="R62" s="2">
        <f ca="1">INDEX(INDIRECT(_xlfn.CONCAT("weather.tbl[",R$1,"]")),MATCH(vp.data[[#This Row],[SDate]],weather.tbl[Date],0))</f>
        <v>-7.8</v>
      </c>
      <c r="S62" s="2">
        <f ca="1">INDEX(INDIRECT(_xlfn.CONCAT("weather.tbl[",S$1,"]")),MATCH(vp.data[[#This Row],[SDate]],weather.tbl[Date],0))</f>
        <v>-3.8</v>
      </c>
      <c r="T62" s="2">
        <f ca="1">INDEX(INDIRECT(_xlfn.CONCAT("weather.tbl[",T$1,"]")),MATCH(vp.data[[#This Row],[SDate]],weather.tbl[Date],0))</f>
        <v>-6.8</v>
      </c>
      <c r="U62" s="2">
        <f ca="1">INDEX(INDIRECT(_xlfn.CONCAT("weather.tbl[",U$1,"]")),MATCH(vp.data[[#This Row],[SDate]],weather.tbl[Date],0))</f>
        <v>-7.7</v>
      </c>
      <c r="V62" s="2">
        <f t="array" ref="V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5847.0219999999999</v>
      </c>
      <c r="W62" t="s">
        <v>48</v>
      </c>
      <c r="X62">
        <f>IF(OR(vp.data[[#This Row],[Sulf]]="",vp.data[[#This Row],[Dens]]=""),1,0)</f>
        <v>0</v>
      </c>
      <c r="Y62">
        <f>IF(vp.data[[#This Row],[CrudeType]]="C5+",1,0)</f>
        <v>0</v>
      </c>
      <c r="Z62">
        <f>IF(AND(vp.data[[#This Row],[CrudeType]]="Crude",vp.data[[#This Row],[Dens]]&lt;=825,vp.data[[#This Row],[Sulf]]&gt;0.5,vp.data[[#This Row],[Unknown]]=0),1,0)</f>
        <v>1</v>
      </c>
      <c r="AA62">
        <f>IF(AND(vp.data[[#This Row],[CrudeType]]="Crude",vp.data[[#This Row],[Dens]]&lt;=825,vp.data[[#This Row],[Sulf]]&lt;=0.5,vp.data[[#This Row],[Unknown]]=0),1,0)</f>
        <v>0</v>
      </c>
      <c r="AB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2">
        <f>IF(AND(vp.data[[#This Row],[CrudeType]]="Crude",vp.data[[#This Row],[Dens]]&gt;825,vp.data[[#This Row],[Dens]]&lt;=900,vp.data[[#This Row],[Sulf]]&lt;=0.5,vp.data[[#This Row],[Unknown]]=0),1,0)</f>
        <v>0</v>
      </c>
      <c r="AD62">
        <f>IF(AND(vp.data[[#This Row],[CrudeType]]="Crude",vp.data[[#This Row],[Dens]]&gt;865,vp.data[[#This Row],[Dens]]&lt;=900,vp.data[[#This Row],[Sulf]]&gt;2,vp.data[[#This Row],[Unknown]]=0),1,0)</f>
        <v>0</v>
      </c>
      <c r="AE62">
        <f>IF(AND(vp.data[[#This Row],[CrudeType]]="Crude",vp.data[[#This Row],[Dens]]&gt;900,vp.data[[#This Row],[Sulf]]&lt;=0.5,vp.data[[#This Row],[Unknown]]=0),1,0)</f>
        <v>0</v>
      </c>
      <c r="AF62">
        <f>IF(AND(vp.data[[#This Row],[CrudeType]]="Crude",vp.data[[#This Row],[Dens]]&gt;900,vp.data[[#This Row],[Sulf]]&lt;=0.5,vp.data[[#This Row],[Unknown]]=0),1,0)</f>
        <v>0</v>
      </c>
      <c r="AG62" t="str">
        <f>INDEX(vp.data[[#Headers],[Unknown]:[Heavy_SW]],MATCH(1,vp.data[[#This Row],[Unknown]:[Heavy_SW]],0))</f>
        <v>Light_LSB</v>
      </c>
      <c r="AH62">
        <f>INDEX([3]!crudeBD.lkup[Number],MATCH(vp.data[[#This Row],[Crude_Breakdown]],crudeBD.lkup[Crude Breakdown],0))</f>
        <v>1</v>
      </c>
      <c r="AI62">
        <f>MONTH(vp.data[[#This Row],[SDate]])</f>
        <v>12</v>
      </c>
      <c r="AJ62" s="5">
        <f>(vp.data[[#This Row],[VP]]-INDEX(crudeBD.lkup[Mean_VP],MATCH(vp.data[[#This Row],[Crude_Breakdown]],crudeBD.lkup[Crude Breakdown],0)))^2</f>
        <v>21.657988776702894</v>
      </c>
      <c r="AK62" s="5">
        <f>(vp.data[[#This Row],[Dens]]-INDEX(crudeBD.lkup[Mean_Dens],MATCH(vp.data[[#This Row],[Crude_Breakdown]],crudeBD.lkup[Crude Breakdown],0)))^2</f>
        <v>23.201270915550204</v>
      </c>
      <c r="AL62" s="5">
        <f>(vp.data[[#This Row],[Sulf]]-INDEX(crudeBD.lkup[Mean_Sulf],MATCH(vp.data[[#This Row],[Crude_Breakdown]],crudeBD.lkup[Crude Breakdown],0)))^2</f>
        <v>0.19099419966287745</v>
      </c>
      <c r="AM62" s="4">
        <f>IF(AND(vp.data[[#This Row],[SDate]]&gt;=DATE(YEAR(vp.data[[#This Row],[SDate]]),5,1),vp.data[[#This Row],[SDate]]&lt;=DATE(YEAR(vp.data[[#This Row],[SDate]]),9,15)),1,0)</f>
        <v>0</v>
      </c>
      <c r="AN62" s="4">
        <f>IF(vp.data[[#This Row],[SDate]]&lt;DATE(2016,12,1),0,1)</f>
        <v>0</v>
      </c>
      <c r="AO62" s="4">
        <f>IFERROR(vp.data[[#This Row],[Sulf]]*vp.data[[#This Row],[Net Dens]],"")</f>
        <v>6470501.6499040006</v>
      </c>
      <c r="AP62">
        <f>IFERROR(vp.data[[#This Row],[Dens]]*vp.data[[#This Row],[VolumeM3]],"")</f>
        <v>4757721.8014000002</v>
      </c>
      <c r="AQ62" s="15">
        <f>IFERROR(vp.data[[#This Row],[VP]]*vp.data[[#This Row],[VolumeM3]],"")</f>
        <v>562483.51639999996</v>
      </c>
    </row>
    <row r="63" spans="1:43" x14ac:dyDescent="0.25">
      <c r="A63">
        <v>62</v>
      </c>
      <c r="B63" t="s">
        <v>64</v>
      </c>
      <c r="C63" t="s">
        <v>64</v>
      </c>
      <c r="D63" t="s">
        <v>65</v>
      </c>
      <c r="F63" s="1">
        <v>42353</v>
      </c>
      <c r="G63" s="2">
        <v>93.9</v>
      </c>
      <c r="H63" s="2"/>
      <c r="I63" s="2">
        <f t="array" ref="I63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63" s="2"/>
      <c r="K63" s="2"/>
      <c r="L63" s="2">
        <v>829.3</v>
      </c>
      <c r="M63" s="2">
        <f t="array" ref="M63">_xlfn.IFNA(IF(vp.data[[#This Row],[Dens Input]]="",INDEX([1]DATA!$O$3:$O$9826,MATCH(1,(vp.data[[#This Row],[Battery]]=[1]DATA!$L$3:$L$9826)*(EOMONTH(vp.data[[#This Row],[SDate]],-1)+1=[1]DATA!$G$3:$G$9826),0)),vp.data[[#This Row],[Dens Input]]),"")</f>
        <v>829.3</v>
      </c>
      <c r="N63" s="2">
        <f ca="1">INDEX(INDIRECT(_xlfn.CONCAT("weather.tbl[",N$1,"]")),MATCH(vp.data[[#This Row],[SDate]],weather.tbl[Date],0))</f>
        <v>-5.1000000000000005</v>
      </c>
      <c r="O63" s="2">
        <f ca="1">INDEX(INDIRECT(_xlfn.CONCAT("weather.tbl[",O$1,"]")),MATCH(vp.data[[#This Row],[SDate]],weather.tbl[Date],0))</f>
        <v>-2.8071428571428574</v>
      </c>
      <c r="P63" s="2">
        <f ca="1">INDEX(INDIRECT(_xlfn.CONCAT("weather.tbl[",P$1,"]")),MATCH(vp.data[[#This Row],[SDate]],weather.tbl[Date],0))</f>
        <v>-4.3</v>
      </c>
      <c r="Q63" s="2">
        <f ca="1">INDEX(INDIRECT(_xlfn.CONCAT("weather.tbl[",Q$1,"]")),MATCH(vp.data[[#This Row],[SDate]],weather.tbl[Date],0))</f>
        <v>-4</v>
      </c>
      <c r="R63" s="2">
        <f ca="1">INDEX(INDIRECT(_xlfn.CONCAT("weather.tbl[",R$1,"]")),MATCH(vp.data[[#This Row],[SDate]],weather.tbl[Date],0))</f>
        <v>-6</v>
      </c>
      <c r="S63" s="2">
        <f ca="1">INDEX(INDIRECT(_xlfn.CONCAT("weather.tbl[",S$1,"]")),MATCH(vp.data[[#This Row],[SDate]],weather.tbl[Date],0))</f>
        <v>-4.5</v>
      </c>
      <c r="T63" s="2">
        <f ca="1">INDEX(INDIRECT(_xlfn.CONCAT("weather.tbl[",T$1,"]")),MATCH(vp.data[[#This Row],[SDate]],weather.tbl[Date],0))</f>
        <v>-6.2</v>
      </c>
      <c r="U63" s="2">
        <f ca="1">INDEX(INDIRECT(_xlfn.CONCAT("weather.tbl[",U$1,"]")),MATCH(vp.data[[#This Row],[SDate]],weather.tbl[Date],0))</f>
        <v>-5.6</v>
      </c>
      <c r="V63" s="2">
        <f t="array" ref="V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24480.578000000001</v>
      </c>
      <c r="W63" t="s">
        <v>48</v>
      </c>
      <c r="X63">
        <f>IF(OR(vp.data[[#This Row],[Sulf]]="",vp.data[[#This Row],[Dens]]=""),1,0)</f>
        <v>0</v>
      </c>
      <c r="Y63">
        <f>IF(vp.data[[#This Row],[CrudeType]]="C5+",1,0)</f>
        <v>0</v>
      </c>
      <c r="Z63">
        <f>IF(AND(vp.data[[#This Row],[CrudeType]]="Crude",vp.data[[#This Row],[Dens]]&lt;=825,vp.data[[#This Row],[Sulf]]&gt;0.5,vp.data[[#This Row],[Unknown]]=0),1,0)</f>
        <v>0</v>
      </c>
      <c r="AA63">
        <f>IF(AND(vp.data[[#This Row],[CrudeType]]="Crude",vp.data[[#This Row],[Dens]]&lt;=825,vp.data[[#This Row],[Sulf]]&lt;=0.5,vp.data[[#This Row],[Unknown]]=0),1,0)</f>
        <v>0</v>
      </c>
      <c r="AB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">
        <f>IF(AND(vp.data[[#This Row],[CrudeType]]="Crude",vp.data[[#This Row],[Dens]]&gt;825,vp.data[[#This Row],[Dens]]&lt;=900,vp.data[[#This Row],[Sulf]]&lt;=0.5,vp.data[[#This Row],[Unknown]]=0),1,0)</f>
        <v>0</v>
      </c>
      <c r="AD63">
        <f>IF(AND(vp.data[[#This Row],[CrudeType]]="Crude",vp.data[[#This Row],[Dens]]&gt;865,vp.data[[#This Row],[Dens]]&lt;=900,vp.data[[#This Row],[Sulf]]&gt;2,vp.data[[#This Row],[Unknown]]=0),1,0)</f>
        <v>0</v>
      </c>
      <c r="AE63">
        <f>IF(AND(vp.data[[#This Row],[CrudeType]]="Crude",vp.data[[#This Row],[Dens]]&gt;900,vp.data[[#This Row],[Sulf]]&lt;=0.5,vp.data[[#This Row],[Unknown]]=0),1,0)</f>
        <v>0</v>
      </c>
      <c r="AF63">
        <f>IF(AND(vp.data[[#This Row],[CrudeType]]="Crude",vp.data[[#This Row],[Dens]]&gt;900,vp.data[[#This Row],[Sulf]]&lt;=0.5,vp.data[[#This Row],[Unknown]]=0),1,0)</f>
        <v>0</v>
      </c>
      <c r="AG63" t="str">
        <f>INDEX(vp.data[[#Headers],[Unknown]:[Heavy_SW]],MATCH(1,vp.data[[#This Row],[Unknown]:[Heavy_SW]],0))</f>
        <v>Medium_LSB</v>
      </c>
      <c r="AH63">
        <f>INDEX([3]!crudeBD.lkup[Number],MATCH(vp.data[[#This Row],[Crude_Breakdown]],crudeBD.lkup[Crude Breakdown],0))</f>
        <v>3</v>
      </c>
      <c r="AI63">
        <f>MONTH(vp.data[[#This Row],[SDate]])</f>
        <v>12</v>
      </c>
      <c r="AJ63" s="5">
        <f>(vp.data[[#This Row],[VP]]-INDEX(crudeBD.lkup[Mean_VP],MATCH(vp.data[[#This Row],[Crude_Breakdown]],crudeBD.lkup[Crude Breakdown],0)))^2</f>
        <v>175.83617800219616</v>
      </c>
      <c r="AK63" s="5">
        <f>(vp.data[[#This Row],[Dens]]-INDEX(crudeBD.lkup[Mean_Dens],MATCH(vp.data[[#This Row],[Crude_Breakdown]],crudeBD.lkup[Crude Breakdown],0)))^2</f>
        <v>213.74439999998683</v>
      </c>
      <c r="AL63" s="5">
        <f>(vp.data[[#This Row],[Sulf]]-INDEX(crudeBD.lkup[Mean_Sulf],MATCH(vp.data[[#This Row],[Crude_Breakdown]],crudeBD.lkup[Crude Breakdown],0)))^2</f>
        <v>0.48245787047574451</v>
      </c>
      <c r="AM63" s="4">
        <f>IF(AND(vp.data[[#This Row],[SDate]]&gt;=DATE(YEAR(vp.data[[#This Row],[SDate]]),5,1),vp.data[[#This Row],[SDate]]&lt;=DATE(YEAR(vp.data[[#This Row],[SDate]]),9,15)),1,0)</f>
        <v>0</v>
      </c>
      <c r="AN63" s="4">
        <f>IF(vp.data[[#This Row],[SDate]]&lt;DATE(2016,12,1),0,1)</f>
        <v>0</v>
      </c>
      <c r="AO63" s="4">
        <f>IFERROR(vp.data[[#This Row],[Sulf]]*vp.data[[#This Row],[Net Dens]],"")</f>
        <v>42227626.137632005</v>
      </c>
      <c r="AP63">
        <f>IFERROR(vp.data[[#This Row],[Dens]]*vp.data[[#This Row],[VolumeM3]],"")</f>
        <v>20301743.3354</v>
      </c>
      <c r="AQ63" s="15">
        <f>IFERROR(vp.data[[#This Row],[VP]]*vp.data[[#This Row],[VolumeM3]],"")</f>
        <v>2298726.2742000003</v>
      </c>
    </row>
    <row r="64" spans="1:43" x14ac:dyDescent="0.25">
      <c r="A64">
        <v>63</v>
      </c>
      <c r="B64" t="s">
        <v>56</v>
      </c>
      <c r="C64" t="s">
        <v>56</v>
      </c>
      <c r="D64" t="s">
        <v>57</v>
      </c>
      <c r="F64" s="1">
        <v>42353</v>
      </c>
      <c r="G64" s="2">
        <v>88.7</v>
      </c>
      <c r="H64" s="2"/>
      <c r="I64" s="2">
        <f t="array" ref="I64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64" s="2"/>
      <c r="K64" s="2"/>
      <c r="L64" s="2">
        <v>833.9</v>
      </c>
      <c r="M64" s="2">
        <f t="array" ref="M64">_xlfn.IFNA(IF(vp.data[[#This Row],[Dens Input]]="",INDEX([1]DATA!$O$3:$O$9826,MATCH(1,(vp.data[[#This Row],[Battery]]=[1]DATA!$L$3:$L$9826)*(EOMONTH(vp.data[[#This Row],[SDate]],-1)+1=[1]DATA!$G$3:$G$9826),0)),vp.data[[#This Row],[Dens Input]]),"")</f>
        <v>833.9</v>
      </c>
      <c r="N64" s="2">
        <f ca="1">INDEX(INDIRECT(_xlfn.CONCAT("weather.tbl[",N$1,"]")),MATCH(vp.data[[#This Row],[SDate]],weather.tbl[Date],0))</f>
        <v>-5.1000000000000005</v>
      </c>
      <c r="O64" s="2">
        <f ca="1">INDEX(INDIRECT(_xlfn.CONCAT("weather.tbl[",O$1,"]")),MATCH(vp.data[[#This Row],[SDate]],weather.tbl[Date],0))</f>
        <v>-2.8071428571428574</v>
      </c>
      <c r="P64" s="2">
        <f ca="1">INDEX(INDIRECT(_xlfn.CONCAT("weather.tbl[",P$1,"]")),MATCH(vp.data[[#This Row],[SDate]],weather.tbl[Date],0))</f>
        <v>-4.3</v>
      </c>
      <c r="Q64" s="2">
        <f ca="1">INDEX(INDIRECT(_xlfn.CONCAT("weather.tbl[",Q$1,"]")),MATCH(vp.data[[#This Row],[SDate]],weather.tbl[Date],0))</f>
        <v>-4</v>
      </c>
      <c r="R64" s="2">
        <f ca="1">INDEX(INDIRECT(_xlfn.CONCAT("weather.tbl[",R$1,"]")),MATCH(vp.data[[#This Row],[SDate]],weather.tbl[Date],0))</f>
        <v>-6</v>
      </c>
      <c r="S64" s="2">
        <f ca="1">INDEX(INDIRECT(_xlfn.CONCAT("weather.tbl[",S$1,"]")),MATCH(vp.data[[#This Row],[SDate]],weather.tbl[Date],0))</f>
        <v>-4.5</v>
      </c>
      <c r="T64" s="2">
        <f ca="1">INDEX(INDIRECT(_xlfn.CONCAT("weather.tbl[",T$1,"]")),MATCH(vp.data[[#This Row],[SDate]],weather.tbl[Date],0))</f>
        <v>-6.2</v>
      </c>
      <c r="U64" s="2">
        <f ca="1">INDEX(INDIRECT(_xlfn.CONCAT("weather.tbl[",U$1,"]")),MATCH(vp.data[[#This Row],[SDate]],weather.tbl[Date],0))</f>
        <v>-5.6</v>
      </c>
      <c r="V64" s="2">
        <f t="array" ref="V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3686.4169999999999</v>
      </c>
      <c r="W64" t="s">
        <v>48</v>
      </c>
      <c r="X64">
        <f>IF(OR(vp.data[[#This Row],[Sulf]]="",vp.data[[#This Row],[Dens]]=""),1,0)</f>
        <v>0</v>
      </c>
      <c r="Y64">
        <f>IF(vp.data[[#This Row],[CrudeType]]="C5+",1,0)</f>
        <v>0</v>
      </c>
      <c r="Z64">
        <f>IF(AND(vp.data[[#This Row],[CrudeType]]="Crude",vp.data[[#This Row],[Dens]]&lt;=825,vp.data[[#This Row],[Sulf]]&gt;0.5,vp.data[[#This Row],[Unknown]]=0),1,0)</f>
        <v>0</v>
      </c>
      <c r="AA64">
        <f>IF(AND(vp.data[[#This Row],[CrudeType]]="Crude",vp.data[[#This Row],[Dens]]&lt;=825,vp.data[[#This Row],[Sulf]]&lt;=0.5,vp.data[[#This Row],[Unknown]]=0),1,0)</f>
        <v>0</v>
      </c>
      <c r="AB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4">
        <f>IF(AND(vp.data[[#This Row],[CrudeType]]="Crude",vp.data[[#This Row],[Dens]]&gt;825,vp.data[[#This Row],[Dens]]&lt;=900,vp.data[[#This Row],[Sulf]]&lt;=0.5,vp.data[[#This Row],[Unknown]]=0),1,0)</f>
        <v>0</v>
      </c>
      <c r="AD64">
        <f>IF(AND(vp.data[[#This Row],[CrudeType]]="Crude",vp.data[[#This Row],[Dens]]&gt;865,vp.data[[#This Row],[Dens]]&lt;=900,vp.data[[#This Row],[Sulf]]&gt;2,vp.data[[#This Row],[Unknown]]=0),1,0)</f>
        <v>0</v>
      </c>
      <c r="AE64">
        <f>IF(AND(vp.data[[#This Row],[CrudeType]]="Crude",vp.data[[#This Row],[Dens]]&gt;900,vp.data[[#This Row],[Sulf]]&lt;=0.5,vp.data[[#This Row],[Unknown]]=0),1,0)</f>
        <v>0</v>
      </c>
      <c r="AF64">
        <f>IF(AND(vp.data[[#This Row],[CrudeType]]="Crude",vp.data[[#This Row],[Dens]]&gt;900,vp.data[[#This Row],[Sulf]]&lt;=0.5,vp.data[[#This Row],[Unknown]]=0),1,0)</f>
        <v>0</v>
      </c>
      <c r="AG64" t="str">
        <f>INDEX(vp.data[[#Headers],[Unknown]:[Heavy_SW]],MATCH(1,vp.data[[#This Row],[Unknown]:[Heavy_SW]],0))</f>
        <v>Medium_LSB</v>
      </c>
      <c r="AH64">
        <f>INDEX([3]!crudeBD.lkup[Number],MATCH(vp.data[[#This Row],[Crude_Breakdown]],crudeBD.lkup[Crude Breakdown],0))</f>
        <v>3</v>
      </c>
      <c r="AI64">
        <f>MONTH(vp.data[[#This Row],[SDate]])</f>
        <v>12</v>
      </c>
      <c r="AJ64" s="5">
        <f>(vp.data[[#This Row],[VP]]-INDEX(crudeBD.lkup[Mean_VP],MATCH(vp.data[[#This Row],[Crude_Breakdown]],crudeBD.lkup[Crude Breakdown],0)))^2</f>
        <v>64.968814120793695</v>
      </c>
      <c r="AK64" s="5">
        <f>(vp.data[[#This Row],[Dens]]-INDEX(crudeBD.lkup[Mean_Dens],MATCH(vp.data[[#This Row],[Crude_Breakdown]],crudeBD.lkup[Crude Breakdown],0)))^2</f>
        <v>100.40039999999053</v>
      </c>
      <c r="AL64" s="5">
        <f>(vp.data[[#This Row],[Sulf]]-INDEX(crudeBD.lkup[Mean_Sulf],MATCH(vp.data[[#This Row],[Crude_Breakdown]],crudeBD.lkup[Crude Breakdown],0)))^2</f>
        <v>2.9802726320805671E-3</v>
      </c>
      <c r="AM64" s="4">
        <f>IF(AND(vp.data[[#This Row],[SDate]]&gt;=DATE(YEAR(vp.data[[#This Row],[SDate]]),5,1),vp.data[[#This Row],[SDate]]&lt;=DATE(YEAR(vp.data[[#This Row],[SDate]]),9,15)),1,0)</f>
        <v>0</v>
      </c>
      <c r="AN64" s="4">
        <f>IF(vp.data[[#This Row],[SDate]]&lt;DATE(2016,12,1),0,1)</f>
        <v>0</v>
      </c>
      <c r="AO64" s="4">
        <f>IFERROR(vp.data[[#This Row],[Sulf]]*vp.data[[#This Row],[Net Dens]],"")</f>
        <v>4426708.516272</v>
      </c>
      <c r="AP64">
        <f>IFERROR(vp.data[[#This Row],[Dens]]*vp.data[[#This Row],[VolumeM3]],"")</f>
        <v>3074103.1362999999</v>
      </c>
      <c r="AQ64" s="15">
        <f>IFERROR(vp.data[[#This Row],[VP]]*vp.data[[#This Row],[VolumeM3]],"")</f>
        <v>326985.18790000002</v>
      </c>
    </row>
    <row r="65" spans="1:43" x14ac:dyDescent="0.25">
      <c r="A65">
        <v>64</v>
      </c>
      <c r="B65" t="s">
        <v>51</v>
      </c>
      <c r="C65" t="s">
        <v>51</v>
      </c>
      <c r="D65" t="s">
        <v>58</v>
      </c>
      <c r="F65" s="1">
        <v>42353</v>
      </c>
      <c r="G65" s="2">
        <v>89.6</v>
      </c>
      <c r="H65" s="2"/>
      <c r="I65" s="2">
        <f t="array" ref="I65">_xlfn.IFNA(IF(vp.data[[#This Row],[Sulf Input]]="",INDEX([1]DATA!$Q$3:$Q$9826,MATCH(1,(vp.data[[#This Row],[Battery]]=[1]DATA!$L$3:$L$9826)*(EOMONTH(vp.data[[#This Row],[SDate]],-1)+1=[1]DATA!$G$3:$G$9826),0)),vp.data[[#This Row],[Sulf Input]]),"")</f>
        <v>1.38</v>
      </c>
      <c r="J65" s="2"/>
      <c r="K65" s="2"/>
      <c r="L65" s="2">
        <v>835.9</v>
      </c>
      <c r="M65" s="2">
        <f t="array" ref="M65">_xlfn.IFNA(IF(vp.data[[#This Row],[Dens Input]]="",INDEX([1]DATA!$O$3:$O$9826,MATCH(1,(vp.data[[#This Row],[Battery]]=[1]DATA!$L$3:$L$9826)*(EOMONTH(vp.data[[#This Row],[SDate]],-1)+1=[1]DATA!$G$3:$G$9826),0)),vp.data[[#This Row],[Dens Input]]),"")</f>
        <v>835.9</v>
      </c>
      <c r="N65" s="2">
        <f ca="1">INDEX(INDIRECT(_xlfn.CONCAT("weather.tbl[",N$1,"]")),MATCH(vp.data[[#This Row],[SDate]],weather.tbl[Date],0))</f>
        <v>-5.1000000000000005</v>
      </c>
      <c r="O65" s="2">
        <f ca="1">INDEX(INDIRECT(_xlfn.CONCAT("weather.tbl[",O$1,"]")),MATCH(vp.data[[#This Row],[SDate]],weather.tbl[Date],0))</f>
        <v>-2.8071428571428574</v>
      </c>
      <c r="P65" s="2">
        <f ca="1">INDEX(INDIRECT(_xlfn.CONCAT("weather.tbl[",P$1,"]")),MATCH(vp.data[[#This Row],[SDate]],weather.tbl[Date],0))</f>
        <v>-4.3</v>
      </c>
      <c r="Q65" s="2">
        <f ca="1">INDEX(INDIRECT(_xlfn.CONCAT("weather.tbl[",Q$1,"]")),MATCH(vp.data[[#This Row],[SDate]],weather.tbl[Date],0))</f>
        <v>-4</v>
      </c>
      <c r="R65" s="2">
        <f ca="1">INDEX(INDIRECT(_xlfn.CONCAT("weather.tbl[",R$1,"]")),MATCH(vp.data[[#This Row],[SDate]],weather.tbl[Date],0))</f>
        <v>-6</v>
      </c>
      <c r="S65" s="2">
        <f ca="1">INDEX(INDIRECT(_xlfn.CONCAT("weather.tbl[",S$1,"]")),MATCH(vp.data[[#This Row],[SDate]],weather.tbl[Date],0))</f>
        <v>-4.5</v>
      </c>
      <c r="T65" s="2">
        <f ca="1">INDEX(INDIRECT(_xlfn.CONCAT("weather.tbl[",T$1,"]")),MATCH(vp.data[[#This Row],[SDate]],weather.tbl[Date],0))</f>
        <v>-6.2</v>
      </c>
      <c r="U65" s="2">
        <f ca="1">INDEX(INDIRECT(_xlfn.CONCAT("weather.tbl[",U$1,"]")),MATCH(vp.data[[#This Row],[SDate]],weather.tbl[Date],0))</f>
        <v>-5.6</v>
      </c>
      <c r="V65" s="2">
        <f t="array" ref="V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6260.2569999999996</v>
      </c>
      <c r="W65" t="s">
        <v>48</v>
      </c>
      <c r="X65">
        <f>IF(OR(vp.data[[#This Row],[Sulf]]="",vp.data[[#This Row],[Dens]]=""),1,0)</f>
        <v>0</v>
      </c>
      <c r="Y65">
        <f>IF(vp.data[[#This Row],[CrudeType]]="C5+",1,0)</f>
        <v>0</v>
      </c>
      <c r="Z65">
        <f>IF(AND(vp.data[[#This Row],[CrudeType]]="Crude",vp.data[[#This Row],[Dens]]&lt;=825,vp.data[[#This Row],[Sulf]]&gt;0.5,vp.data[[#This Row],[Unknown]]=0),1,0)</f>
        <v>0</v>
      </c>
      <c r="AA65">
        <f>IF(AND(vp.data[[#This Row],[CrudeType]]="Crude",vp.data[[#This Row],[Dens]]&lt;=825,vp.data[[#This Row],[Sulf]]&lt;=0.5,vp.data[[#This Row],[Unknown]]=0),1,0)</f>
        <v>0</v>
      </c>
      <c r="AB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5">
        <f>IF(AND(vp.data[[#This Row],[CrudeType]]="Crude",vp.data[[#This Row],[Dens]]&gt;825,vp.data[[#This Row],[Dens]]&lt;=900,vp.data[[#This Row],[Sulf]]&lt;=0.5,vp.data[[#This Row],[Unknown]]=0),1,0)</f>
        <v>0</v>
      </c>
      <c r="AD65">
        <f>IF(AND(vp.data[[#This Row],[CrudeType]]="Crude",vp.data[[#This Row],[Dens]]&gt;865,vp.data[[#This Row],[Dens]]&lt;=900,vp.data[[#This Row],[Sulf]]&gt;2,vp.data[[#This Row],[Unknown]]=0),1,0)</f>
        <v>0</v>
      </c>
      <c r="AE65">
        <f>IF(AND(vp.data[[#This Row],[CrudeType]]="Crude",vp.data[[#This Row],[Dens]]&gt;900,vp.data[[#This Row],[Sulf]]&lt;=0.5,vp.data[[#This Row],[Unknown]]=0),1,0)</f>
        <v>0</v>
      </c>
      <c r="AF65">
        <f>IF(AND(vp.data[[#This Row],[CrudeType]]="Crude",vp.data[[#This Row],[Dens]]&gt;900,vp.data[[#This Row],[Sulf]]&lt;=0.5,vp.data[[#This Row],[Unknown]]=0),1,0)</f>
        <v>0</v>
      </c>
      <c r="AG65" t="str">
        <f>INDEX(vp.data[[#Headers],[Unknown]:[Heavy_SW]],MATCH(1,vp.data[[#This Row],[Unknown]:[Heavy_SW]],0))</f>
        <v>Medium_LSB</v>
      </c>
      <c r="AH65">
        <f>INDEX([3]!crudeBD.lkup[Number],MATCH(vp.data[[#This Row],[Crude_Breakdown]],crudeBD.lkup[Crude Breakdown],0))</f>
        <v>3</v>
      </c>
      <c r="AI65">
        <f>MONTH(vp.data[[#This Row],[SDate]])</f>
        <v>12</v>
      </c>
      <c r="AJ65" s="5">
        <f>(vp.data[[#This Row],[VP]]-INDEX(crudeBD.lkup[Mean_VP],MATCH(vp.data[[#This Row],[Crude_Breakdown]],crudeBD.lkup[Crude Breakdown],0)))^2</f>
        <v>80.287396331036263</v>
      </c>
      <c r="AK65" s="5">
        <f>(vp.data[[#This Row],[Dens]]-INDEX(crudeBD.lkup[Mean_Dens],MATCH(vp.data[[#This Row],[Crude_Breakdown]],crudeBD.lkup[Crude Breakdown],0)))^2</f>
        <v>64.320399999992418</v>
      </c>
      <c r="AL65" s="5">
        <f>(vp.data[[#This Row],[Sulf]]-INDEX(crudeBD.lkup[Mean_Sulf],MATCH(vp.data[[#This Row],[Crude_Breakdown]],crudeBD.lkup[Crude Breakdown],0)))^2</f>
        <v>2.9247834237090886E-5</v>
      </c>
      <c r="AM65" s="4">
        <f>IF(AND(vp.data[[#This Row],[SDate]]&gt;=DATE(YEAR(vp.data[[#This Row],[SDate]]),5,1),vp.data[[#This Row],[SDate]]&lt;=DATE(YEAR(vp.data[[#This Row],[SDate]]),9,15)),1,0)</f>
        <v>0</v>
      </c>
      <c r="AN65" s="4">
        <f>IF(vp.data[[#This Row],[SDate]]&lt;DATE(2016,12,1),0,1)</f>
        <v>0</v>
      </c>
      <c r="AO65" s="4">
        <f>IFERROR(vp.data[[#This Row],[Sulf]]*vp.data[[#This Row],[Net Dens]],"")</f>
        <v>7221469.3802939989</v>
      </c>
      <c r="AP65">
        <f>IFERROR(vp.data[[#This Row],[Dens]]*vp.data[[#This Row],[VolumeM3]],"")</f>
        <v>5232948.8262999998</v>
      </c>
      <c r="AQ65" s="15">
        <f>IFERROR(vp.data[[#This Row],[VP]]*vp.data[[#This Row],[VolumeM3]],"")</f>
        <v>560919.02719999989</v>
      </c>
    </row>
    <row r="66" spans="1:43" x14ac:dyDescent="0.25">
      <c r="A66">
        <v>65</v>
      </c>
      <c r="B66" t="s">
        <v>68</v>
      </c>
      <c r="C66" t="s">
        <v>68</v>
      </c>
      <c r="D66" t="s">
        <v>69</v>
      </c>
      <c r="F66" s="1">
        <v>42353</v>
      </c>
      <c r="G66" s="2">
        <v>85.7</v>
      </c>
      <c r="H66" s="2"/>
      <c r="I66" s="2">
        <f t="array" ref="I66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66" s="2"/>
      <c r="K66" s="2"/>
      <c r="L66" s="2"/>
      <c r="M66" s="2">
        <f t="array" ref="M66">_xlfn.IFNA(IF(vp.data[[#This Row],[Dens Input]]="",INDEX([1]DATA!$O$3:$O$9826,MATCH(1,(vp.data[[#This Row],[Battery]]=[1]DATA!$L$3:$L$9826)*(EOMONTH(vp.data[[#This Row],[SDate]],-1)+1=[1]DATA!$G$3:$G$9826),0)),vp.data[[#This Row],[Dens Input]]),"")</f>
        <v>865.1</v>
      </c>
      <c r="N66" s="2">
        <f ca="1">INDEX(INDIRECT(_xlfn.CONCAT("weather.tbl[",N$1,"]")),MATCH(vp.data[[#This Row],[SDate]],weather.tbl[Date],0))</f>
        <v>-5.1000000000000005</v>
      </c>
      <c r="O66" s="2">
        <f ca="1">INDEX(INDIRECT(_xlfn.CONCAT("weather.tbl[",O$1,"]")),MATCH(vp.data[[#This Row],[SDate]],weather.tbl[Date],0))</f>
        <v>-2.8071428571428574</v>
      </c>
      <c r="P66" s="2">
        <f ca="1">INDEX(INDIRECT(_xlfn.CONCAT("weather.tbl[",P$1,"]")),MATCH(vp.data[[#This Row],[SDate]],weather.tbl[Date],0))</f>
        <v>-4.3</v>
      </c>
      <c r="Q66" s="2">
        <f ca="1">INDEX(INDIRECT(_xlfn.CONCAT("weather.tbl[",Q$1,"]")),MATCH(vp.data[[#This Row],[SDate]],weather.tbl[Date],0))</f>
        <v>-4</v>
      </c>
      <c r="R66" s="2">
        <f ca="1">INDEX(INDIRECT(_xlfn.CONCAT("weather.tbl[",R$1,"]")),MATCH(vp.data[[#This Row],[SDate]],weather.tbl[Date],0))</f>
        <v>-6</v>
      </c>
      <c r="S66" s="2">
        <f ca="1">INDEX(INDIRECT(_xlfn.CONCAT("weather.tbl[",S$1,"]")),MATCH(vp.data[[#This Row],[SDate]],weather.tbl[Date],0))</f>
        <v>-4.5</v>
      </c>
      <c r="T66" s="2">
        <f ca="1">INDEX(INDIRECT(_xlfn.CONCAT("weather.tbl[",T$1,"]")),MATCH(vp.data[[#This Row],[SDate]],weather.tbl[Date],0))</f>
        <v>-6.2</v>
      </c>
      <c r="U66" s="2">
        <f ca="1">INDEX(INDIRECT(_xlfn.CONCAT("weather.tbl[",U$1,"]")),MATCH(vp.data[[#This Row],[SDate]],weather.tbl[Date],0))</f>
        <v>-5.6</v>
      </c>
      <c r="V66" s="2">
        <f t="array" ref="V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1524.914</v>
      </c>
      <c r="W66" t="s">
        <v>48</v>
      </c>
      <c r="X66">
        <f>IF(OR(vp.data[[#This Row],[Sulf]]="",vp.data[[#This Row],[Dens]]=""),1,0)</f>
        <v>0</v>
      </c>
      <c r="Y66">
        <f>IF(vp.data[[#This Row],[CrudeType]]="C5+",1,0)</f>
        <v>0</v>
      </c>
      <c r="Z66">
        <f>IF(AND(vp.data[[#This Row],[CrudeType]]="Crude",vp.data[[#This Row],[Dens]]&lt;=825,vp.data[[#This Row],[Sulf]]&gt;0.5,vp.data[[#This Row],[Unknown]]=0),1,0)</f>
        <v>0</v>
      </c>
      <c r="AA66">
        <f>IF(AND(vp.data[[#This Row],[CrudeType]]="Crude",vp.data[[#This Row],[Dens]]&lt;=825,vp.data[[#This Row],[Sulf]]&lt;=0.5,vp.data[[#This Row],[Unknown]]=0),1,0)</f>
        <v>0</v>
      </c>
      <c r="AB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">
        <f>IF(AND(vp.data[[#This Row],[CrudeType]]="Crude",vp.data[[#This Row],[Dens]]&gt;825,vp.data[[#This Row],[Dens]]&lt;=900,vp.data[[#This Row],[Sulf]]&lt;=0.5,vp.data[[#This Row],[Unknown]]=0),1,0)</f>
        <v>0</v>
      </c>
      <c r="AD66">
        <f>IF(AND(vp.data[[#This Row],[CrudeType]]="Crude",vp.data[[#This Row],[Dens]]&gt;865,vp.data[[#This Row],[Dens]]&lt;=900,vp.data[[#This Row],[Sulf]]&gt;2,vp.data[[#This Row],[Unknown]]=0),1,0)</f>
        <v>0</v>
      </c>
      <c r="AE66">
        <f>IF(AND(vp.data[[#This Row],[CrudeType]]="Crude",vp.data[[#This Row],[Dens]]&gt;900,vp.data[[#This Row],[Sulf]]&lt;=0.5,vp.data[[#This Row],[Unknown]]=0),1,0)</f>
        <v>0</v>
      </c>
      <c r="AF66">
        <f>IF(AND(vp.data[[#This Row],[CrudeType]]="Crude",vp.data[[#This Row],[Dens]]&gt;900,vp.data[[#This Row],[Sulf]]&lt;=0.5,vp.data[[#This Row],[Unknown]]=0),1,0)</f>
        <v>0</v>
      </c>
      <c r="AG66" t="str">
        <f>INDEX(vp.data[[#Headers],[Unknown]:[Heavy_SW]],MATCH(1,vp.data[[#This Row],[Unknown]:[Heavy_SW]],0))</f>
        <v>Medium_LSB</v>
      </c>
      <c r="AH66">
        <f>INDEX([3]!crudeBD.lkup[Number],MATCH(vp.data[[#This Row],[Crude_Breakdown]],crudeBD.lkup[Crude Breakdown],0))</f>
        <v>3</v>
      </c>
      <c r="AI66">
        <f>MONTH(vp.data[[#This Row],[SDate]])</f>
        <v>12</v>
      </c>
      <c r="AJ66" s="5">
        <f>(vp.data[[#This Row],[VP]]-INDEX(crudeBD.lkup[Mean_VP],MATCH(vp.data[[#This Row],[Crude_Breakdown]],crudeBD.lkup[Crude Breakdown],0)))^2</f>
        <v>25.606873419984623</v>
      </c>
      <c r="AK66" s="5">
        <f>(vp.data[[#This Row],[Dens]]-INDEX(crudeBD.lkup[Mean_Dens],MATCH(vp.data[[#This Row],[Crude_Breakdown]],crudeBD.lkup[Crude Breakdown],0)))^2</f>
        <v>448.59240000002194</v>
      </c>
      <c r="AL66" s="5">
        <f>(vp.data[[#This Row],[Sulf]]-INDEX(crudeBD.lkup[Mean_Sulf],MATCH(vp.data[[#This Row],[Crude_Breakdown]],crudeBD.lkup[Crude Breakdown],0)))^2</f>
        <v>0.11874355915499073</v>
      </c>
      <c r="AM66" s="4">
        <f>IF(AND(vp.data[[#This Row],[SDate]]&gt;=DATE(YEAR(vp.data[[#This Row],[SDate]]),5,1),vp.data[[#This Row],[SDate]]&lt;=DATE(YEAR(vp.data[[#This Row],[SDate]]),9,15)),1,0)</f>
        <v>0</v>
      </c>
      <c r="AN66" s="4">
        <f>IF(vp.data[[#This Row],[SDate]]&lt;DATE(2016,12,1),0,1)</f>
        <v>0</v>
      </c>
      <c r="AO66" s="4">
        <f>IFERROR(vp.data[[#This Row],[Sulf]]*vp.data[[#This Row],[Net Dens]],"")</f>
        <v>2282221.3654220002</v>
      </c>
      <c r="AP66">
        <f>IFERROR(vp.data[[#This Row],[Dens]]*vp.data[[#This Row],[VolumeM3]],"")</f>
        <v>1319203.1014</v>
      </c>
      <c r="AQ66" s="15">
        <f>IFERROR(vp.data[[#This Row],[VP]]*vp.data[[#This Row],[VolumeM3]],"")</f>
        <v>130685.12980000001</v>
      </c>
    </row>
    <row r="67" spans="1:43" x14ac:dyDescent="0.25">
      <c r="A67">
        <v>66</v>
      </c>
      <c r="B67" t="s">
        <v>49</v>
      </c>
      <c r="C67" t="s">
        <v>49</v>
      </c>
      <c r="D67" t="s">
        <v>59</v>
      </c>
      <c r="F67" s="1">
        <v>42355</v>
      </c>
      <c r="G67" s="2">
        <v>70.599999999999994</v>
      </c>
      <c r="H67" s="2"/>
      <c r="I67" s="2">
        <f t="array" ref="I67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67" s="2"/>
      <c r="K67" s="2"/>
      <c r="L67" s="2">
        <v>847.3</v>
      </c>
      <c r="M67" s="2">
        <f t="array" ref="M67">_xlfn.IFNA(IF(vp.data[[#This Row],[Dens Input]]="",INDEX([1]DATA!$O$3:$O$9826,MATCH(1,(vp.data[[#This Row],[Battery]]=[1]DATA!$L$3:$L$9826)*(EOMONTH(vp.data[[#This Row],[SDate]],-1)+1=[1]DATA!$G$3:$G$9826),0)),vp.data[[#This Row],[Dens Input]]),"")</f>
        <v>847.3</v>
      </c>
      <c r="N67" s="2">
        <f ca="1">INDEX(INDIRECT(_xlfn.CONCAT("weather.tbl[",N$1,"]")),MATCH(vp.data[[#This Row],[SDate]],weather.tbl[Date],0))</f>
        <v>-11.533333333333331</v>
      </c>
      <c r="O67" s="2">
        <f ca="1">INDEX(INDIRECT(_xlfn.CONCAT("weather.tbl[",O$1,"]")),MATCH(vp.data[[#This Row],[SDate]],weather.tbl[Date],0))</f>
        <v>-5.8500000000000005</v>
      </c>
      <c r="P67" s="2">
        <f ca="1">INDEX(INDIRECT(_xlfn.CONCAT("weather.tbl[",P$1,"]")),MATCH(vp.data[[#This Row],[SDate]],weather.tbl[Date],0))</f>
        <v>-11.3</v>
      </c>
      <c r="Q67" s="2">
        <f ca="1">INDEX(INDIRECT(_xlfn.CONCAT("weather.tbl[",Q$1,"]")),MATCH(vp.data[[#This Row],[SDate]],weather.tbl[Date],0))</f>
        <v>-12.1</v>
      </c>
      <c r="R67" s="2">
        <f ca="1">INDEX(INDIRECT(_xlfn.CONCAT("weather.tbl[",R$1,"]")),MATCH(vp.data[[#This Row],[SDate]],weather.tbl[Date],0))</f>
        <v>-11.5</v>
      </c>
      <c r="S67" s="2">
        <f ca="1">INDEX(INDIRECT(_xlfn.CONCAT("weather.tbl[",S$1,"]")),MATCH(vp.data[[#This Row],[SDate]],weather.tbl[Date],0))</f>
        <v>-12</v>
      </c>
      <c r="T67" s="2">
        <f ca="1">INDEX(INDIRECT(_xlfn.CONCAT("weather.tbl[",T$1,"]")),MATCH(vp.data[[#This Row],[SDate]],weather.tbl[Date],0))</f>
        <v>-9.1999999999999993</v>
      </c>
      <c r="U67" s="2">
        <f ca="1">INDEX(INDIRECT(_xlfn.CONCAT("weather.tbl[",U$1,"]")),MATCH(vp.data[[#This Row],[SDate]],weather.tbl[Date],0))</f>
        <v>-13.1</v>
      </c>
      <c r="V67" s="2">
        <f t="array" ref="V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2173.7730000000001</v>
      </c>
      <c r="W67" t="s">
        <v>48</v>
      </c>
      <c r="X67">
        <f>IF(OR(vp.data[[#This Row],[Sulf]]="",vp.data[[#This Row],[Dens]]=""),1,0)</f>
        <v>0</v>
      </c>
      <c r="Y67">
        <f>IF(vp.data[[#This Row],[CrudeType]]="C5+",1,0)</f>
        <v>0</v>
      </c>
      <c r="Z67">
        <f>IF(AND(vp.data[[#This Row],[CrudeType]]="Crude",vp.data[[#This Row],[Dens]]&lt;=825,vp.data[[#This Row],[Sulf]]&gt;0.5,vp.data[[#This Row],[Unknown]]=0),1,0)</f>
        <v>0</v>
      </c>
      <c r="AA67">
        <f>IF(AND(vp.data[[#This Row],[CrudeType]]="Crude",vp.data[[#This Row],[Dens]]&lt;=825,vp.data[[#This Row],[Sulf]]&lt;=0.5,vp.data[[#This Row],[Unknown]]=0),1,0)</f>
        <v>0</v>
      </c>
      <c r="AB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">
        <f>IF(AND(vp.data[[#This Row],[CrudeType]]="Crude",vp.data[[#This Row],[Dens]]&gt;825,vp.data[[#This Row],[Dens]]&lt;=900,vp.data[[#This Row],[Sulf]]&lt;=0.5,vp.data[[#This Row],[Unknown]]=0),1,0)</f>
        <v>0</v>
      </c>
      <c r="AD67">
        <f>IF(AND(vp.data[[#This Row],[CrudeType]]="Crude",vp.data[[#This Row],[Dens]]&gt;865,vp.data[[#This Row],[Dens]]&lt;=900,vp.data[[#This Row],[Sulf]]&gt;2,vp.data[[#This Row],[Unknown]]=0),1,0)</f>
        <v>0</v>
      </c>
      <c r="AE67">
        <f>IF(AND(vp.data[[#This Row],[CrudeType]]="Crude",vp.data[[#This Row],[Dens]]&gt;900,vp.data[[#This Row],[Sulf]]&lt;=0.5,vp.data[[#This Row],[Unknown]]=0),1,0)</f>
        <v>0</v>
      </c>
      <c r="AF67">
        <f>IF(AND(vp.data[[#This Row],[CrudeType]]="Crude",vp.data[[#This Row],[Dens]]&gt;900,vp.data[[#This Row],[Sulf]]&lt;=0.5,vp.data[[#This Row],[Unknown]]=0),1,0)</f>
        <v>0</v>
      </c>
      <c r="AG67" t="str">
        <f>INDEX(vp.data[[#Headers],[Unknown]:[Heavy_SW]],MATCH(1,vp.data[[#This Row],[Unknown]:[Heavy_SW]],0))</f>
        <v>Medium_LSB</v>
      </c>
      <c r="AH67">
        <f>INDEX([3]!crudeBD.lkup[Number],MATCH(vp.data[[#This Row],[Crude_Breakdown]],crudeBD.lkup[Crude Breakdown],0))</f>
        <v>3</v>
      </c>
      <c r="AI67">
        <f>MONTH(vp.data[[#This Row],[SDate]])</f>
        <v>12</v>
      </c>
      <c r="AJ67" s="5">
        <f>(vp.data[[#This Row],[VP]]-INDEX(crudeBD.lkup[Mean_VP],MATCH(vp.data[[#This Row],[Crude_Breakdown]],crudeBD.lkup[Crude Breakdown],0)))^2</f>
        <v>100.79510522591247</v>
      </c>
      <c r="AK67" s="5">
        <f>(vp.data[[#This Row],[Dens]]-INDEX(crudeBD.lkup[Mean_Dens],MATCH(vp.data[[#This Row],[Crude_Breakdown]],crudeBD.lkup[Crude Breakdown],0)))^2</f>
        <v>11.424400000003043</v>
      </c>
      <c r="AL67" s="5">
        <f>(vp.data[[#This Row],[Sulf]]-INDEX(crudeBD.lkup[Mean_Sulf],MATCH(vp.data[[#This Row],[Crude_Breakdown]],crudeBD.lkup[Crude Breakdown],0)))^2</f>
        <v>2.0906809828845806E-2</v>
      </c>
      <c r="AM67" s="4">
        <f>IF(AND(vp.data[[#This Row],[SDate]]&gt;=DATE(YEAR(vp.data[[#This Row],[SDate]]),5,1),vp.data[[#This Row],[SDate]]&lt;=DATE(YEAR(vp.data[[#This Row],[SDate]]),9,15)),1,0)</f>
        <v>0</v>
      </c>
      <c r="AN67" s="4">
        <f>IF(vp.data[[#This Row],[SDate]]&lt;DATE(2016,12,1),0,1)</f>
        <v>0</v>
      </c>
      <c r="AO67" s="4">
        <f>IFERROR(vp.data[[#This Row],[Sulf]]*vp.data[[#This Row],[Net Dens]],"")</f>
        <v>2818011.9302370003</v>
      </c>
      <c r="AP67">
        <f>IFERROR(vp.data[[#This Row],[Dens]]*vp.data[[#This Row],[VolumeM3]],"")</f>
        <v>1841837.8629000001</v>
      </c>
      <c r="AQ67" s="15">
        <f>IFERROR(vp.data[[#This Row],[VP]]*vp.data[[#This Row],[VolumeM3]],"")</f>
        <v>153468.3738</v>
      </c>
    </row>
    <row r="68" spans="1:43" x14ac:dyDescent="0.25">
      <c r="A68">
        <v>67</v>
      </c>
      <c r="B68" t="s">
        <v>46</v>
      </c>
      <c r="C68" t="s">
        <v>46</v>
      </c>
      <c r="D68" t="s">
        <v>47</v>
      </c>
      <c r="F68" s="1">
        <v>42380</v>
      </c>
      <c r="G68" s="2">
        <v>93.3</v>
      </c>
      <c r="H68" s="2"/>
      <c r="I68" s="2">
        <f t="array" ref="I68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68" s="2"/>
      <c r="K68" s="2"/>
      <c r="L68" s="2"/>
      <c r="M68" s="2">
        <f t="array" ref="M68">_xlfn.IFNA(IF(vp.data[[#This Row],[Dens Input]]="",INDEX([1]DATA!$O$3:$O$9826,MATCH(1,(vp.data[[#This Row],[Battery]]=[1]DATA!$L$3:$L$9826)*(EOMONTH(vp.data[[#This Row],[SDate]],-1)+1=[1]DATA!$G$3:$G$9826),0)),vp.data[[#This Row],[Dens Input]]),"")</f>
        <v>869.4</v>
      </c>
      <c r="N68" s="2">
        <f ca="1">INDEX(INDIRECT(_xlfn.CONCAT("weather.tbl[",N$1,"]")),MATCH(vp.data[[#This Row],[SDate]],weather.tbl[Date],0))</f>
        <v>-17.45</v>
      </c>
      <c r="O68" s="2">
        <f ca="1">INDEX(INDIRECT(_xlfn.CONCAT("weather.tbl[",O$1,"]")),MATCH(vp.data[[#This Row],[SDate]],weather.tbl[Date],0))</f>
        <v>-14.769047619047621</v>
      </c>
      <c r="P68" s="2">
        <f ca="1">INDEX(INDIRECT(_xlfn.CONCAT("weather.tbl[",P$1,"]")),MATCH(vp.data[[#This Row],[SDate]],weather.tbl[Date],0))</f>
        <v>-17.2</v>
      </c>
      <c r="Q68" s="2">
        <f ca="1">INDEX(INDIRECT(_xlfn.CONCAT("weather.tbl[",Q$1,"]")),MATCH(vp.data[[#This Row],[SDate]],weather.tbl[Date],0))</f>
        <v>-18.3</v>
      </c>
      <c r="R68" s="2">
        <f ca="1">INDEX(INDIRECT(_xlfn.CONCAT("weather.tbl[",R$1,"]")),MATCH(vp.data[[#This Row],[SDate]],weather.tbl[Date],0))</f>
        <v>-17</v>
      </c>
      <c r="S68" s="2">
        <f ca="1">INDEX(INDIRECT(_xlfn.CONCAT("weather.tbl[",S$1,"]")),MATCH(vp.data[[#This Row],[SDate]],weather.tbl[Date],0))</f>
        <v>-14.3</v>
      </c>
      <c r="T68" s="2">
        <f ca="1">INDEX(INDIRECT(_xlfn.CONCAT("weather.tbl[",T$1,"]")),MATCH(vp.data[[#This Row],[SDate]],weather.tbl[Date],0))</f>
        <v>-19.2</v>
      </c>
      <c r="U68" s="2">
        <f ca="1">INDEX(INDIRECT(_xlfn.CONCAT("weather.tbl[",U$1,"]")),MATCH(vp.data[[#This Row],[SDate]],weather.tbl[Date],0))</f>
        <v>-18.7</v>
      </c>
      <c r="V68" s="2">
        <f t="array" ref="V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121535.349</v>
      </c>
      <c r="W68" t="s">
        <v>48</v>
      </c>
      <c r="X68">
        <f>IF(OR(vp.data[[#This Row],[Sulf]]="",vp.data[[#This Row],[Dens]]=""),1,0)</f>
        <v>0</v>
      </c>
      <c r="Y68">
        <f>IF(vp.data[[#This Row],[CrudeType]]="C5+",1,0)</f>
        <v>0</v>
      </c>
      <c r="Z68">
        <f>IF(AND(vp.data[[#This Row],[CrudeType]]="Crude",vp.data[[#This Row],[Dens]]&lt;=825,vp.data[[#This Row],[Sulf]]&gt;0.5,vp.data[[#This Row],[Unknown]]=0),1,0)</f>
        <v>0</v>
      </c>
      <c r="AA68">
        <f>IF(AND(vp.data[[#This Row],[CrudeType]]="Crude",vp.data[[#This Row],[Dens]]&lt;=825,vp.data[[#This Row],[Sulf]]&lt;=0.5,vp.data[[#This Row],[Unknown]]=0),1,0)</f>
        <v>0</v>
      </c>
      <c r="AB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">
        <f>IF(AND(vp.data[[#This Row],[CrudeType]]="Crude",vp.data[[#This Row],[Dens]]&gt;825,vp.data[[#This Row],[Dens]]&lt;=900,vp.data[[#This Row],[Sulf]]&lt;=0.5,vp.data[[#This Row],[Unknown]]=0),1,0)</f>
        <v>0</v>
      </c>
      <c r="AD68">
        <f>IF(AND(vp.data[[#This Row],[CrudeType]]="Crude",vp.data[[#This Row],[Dens]]&gt;865,vp.data[[#This Row],[Dens]]&lt;=900,vp.data[[#This Row],[Sulf]]&gt;2,vp.data[[#This Row],[Unknown]]=0),1,0)</f>
        <v>1</v>
      </c>
      <c r="AE68">
        <f>IF(AND(vp.data[[#This Row],[CrudeType]]="Crude",vp.data[[#This Row],[Dens]]&gt;900,vp.data[[#This Row],[Sulf]]&lt;=0.5,vp.data[[#This Row],[Unknown]]=0),1,0)</f>
        <v>0</v>
      </c>
      <c r="AF68">
        <f>IF(AND(vp.data[[#This Row],[CrudeType]]="Crude",vp.data[[#This Row],[Dens]]&gt;900,vp.data[[#This Row],[Sulf]]&lt;=0.5,vp.data[[#This Row],[Unknown]]=0),1,0)</f>
        <v>0</v>
      </c>
      <c r="AG68" t="str">
        <f>INDEX(vp.data[[#Headers],[Unknown]:[Heavy_SW]],MATCH(1,vp.data[[#This Row],[Unknown]:[Heavy_SW]],0))</f>
        <v>Midale</v>
      </c>
      <c r="AH68">
        <f>INDEX([3]!crudeBD.lkup[Number],MATCH(vp.data[[#This Row],[Crude_Breakdown]],crudeBD.lkup[Crude Breakdown],0))</f>
        <v>5</v>
      </c>
      <c r="AI68">
        <f>MONTH(vp.data[[#This Row],[SDate]])</f>
        <v>1</v>
      </c>
      <c r="AJ68" s="5">
        <f>(vp.data[[#This Row],[VP]]-INDEX(crudeBD.lkup[Mean_VP],MATCH(vp.data[[#This Row],[Crude_Breakdown]],crudeBD.lkup[Crude Breakdown],0)))^2</f>
        <v>570.7912108087985</v>
      </c>
      <c r="AK68" s="5">
        <f>(vp.data[[#This Row],[Dens]]-INDEX(crudeBD.lkup[Mean_Dens],MATCH(vp.data[[#This Row],[Crude_Breakdown]],crudeBD.lkup[Crude Breakdown],0)))^2</f>
        <v>29.344000690831503</v>
      </c>
      <c r="AL68" s="5">
        <f>(vp.data[[#This Row],[Sulf]]-INDEX(crudeBD.lkup[Mean_Sulf],MATCH(vp.data[[#This Row],[Crude_Breakdown]],crudeBD.lkup[Crude Breakdown],0)))^2</f>
        <v>1.130006345424492E-3</v>
      </c>
      <c r="AM68" s="4">
        <f>IF(AND(vp.data[[#This Row],[SDate]]&gt;=DATE(YEAR(vp.data[[#This Row],[SDate]]),5,1),vp.data[[#This Row],[SDate]]&lt;=DATE(YEAR(vp.data[[#This Row],[SDate]]),9,15)),1,0)</f>
        <v>0</v>
      </c>
      <c r="AN68" s="4">
        <f>IF(vp.data[[#This Row],[SDate]]&lt;DATE(2016,12,1),0,1)</f>
        <v>0</v>
      </c>
      <c r="AO68" s="4">
        <f>IFERROR(vp.data[[#This Row],[Sulf]]*vp.data[[#This Row],[Net Dens]],"")</f>
        <v>254647426.13364601</v>
      </c>
      <c r="AP68">
        <f>IFERROR(vp.data[[#This Row],[Dens]]*vp.data[[#This Row],[VolumeM3]],"")</f>
        <v>105662832.4206</v>
      </c>
      <c r="AQ68" s="15">
        <f>IFERROR(vp.data[[#This Row],[VP]]*vp.data[[#This Row],[VolumeM3]],"")</f>
        <v>11339248.061699999</v>
      </c>
    </row>
    <row r="69" spans="1:43" x14ac:dyDescent="0.25">
      <c r="A69">
        <v>68</v>
      </c>
      <c r="B69" t="s">
        <v>53</v>
      </c>
      <c r="C69" t="s">
        <v>53</v>
      </c>
      <c r="D69" t="s">
        <v>54</v>
      </c>
      <c r="E69" t="s">
        <v>55</v>
      </c>
      <c r="F69" s="1">
        <v>42384</v>
      </c>
      <c r="G69" s="2">
        <v>77.7</v>
      </c>
      <c r="H69" s="2"/>
      <c r="I69" s="2">
        <f t="array" ref="I69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69" s="2"/>
      <c r="K69" s="2"/>
      <c r="L69" s="2">
        <v>830</v>
      </c>
      <c r="M69" s="2">
        <f t="array" ref="M69">_xlfn.IFNA(IF(vp.data[[#This Row],[Dens Input]]="",INDEX([1]DATA!$O$3:$O$9826,MATCH(1,(vp.data[[#This Row],[Battery]]=[1]DATA!$L$3:$L$9826)*(EOMONTH(vp.data[[#This Row],[SDate]],-1)+1=[1]DATA!$G$3:$G$9826),0)),vp.data[[#This Row],[Dens Input]]),"")</f>
        <v>830</v>
      </c>
      <c r="N69" s="2">
        <f ca="1">INDEX(INDIRECT(_xlfn.CONCAT("weather.tbl[",N$1,"]")),MATCH(vp.data[[#This Row],[SDate]],weather.tbl[Date],0))</f>
        <v>-19.116666666666667</v>
      </c>
      <c r="O69" s="2">
        <f ca="1">INDEX(INDIRECT(_xlfn.CONCAT("weather.tbl[",O$1,"]")),MATCH(vp.data[[#This Row],[SDate]],weather.tbl[Date],0))</f>
        <v>-16.861904761904761</v>
      </c>
      <c r="P69" s="2">
        <f ca="1">INDEX(INDIRECT(_xlfn.CONCAT("weather.tbl[",P$1,"]")),MATCH(vp.data[[#This Row],[SDate]],weather.tbl[Date],0))</f>
        <v>-16.3</v>
      </c>
      <c r="Q69" s="2">
        <f ca="1">INDEX(INDIRECT(_xlfn.CONCAT("weather.tbl[",Q$1,"]")),MATCH(vp.data[[#This Row],[SDate]],weather.tbl[Date],0))</f>
        <v>-18.8</v>
      </c>
      <c r="R69" s="2">
        <f ca="1">INDEX(INDIRECT(_xlfn.CONCAT("weather.tbl[",R$1,"]")),MATCH(vp.data[[#This Row],[SDate]],weather.tbl[Date],0))</f>
        <v>-17.3</v>
      </c>
      <c r="S69" s="2">
        <f ca="1">INDEX(INDIRECT(_xlfn.CONCAT("weather.tbl[",S$1,"]")),MATCH(vp.data[[#This Row],[SDate]],weather.tbl[Date],0))</f>
        <v>-21</v>
      </c>
      <c r="T69" s="2">
        <f ca="1">INDEX(INDIRECT(_xlfn.CONCAT("weather.tbl[",T$1,"]")),MATCH(vp.data[[#This Row],[SDate]],weather.tbl[Date],0))</f>
        <v>-20.6</v>
      </c>
      <c r="U69" s="2">
        <f ca="1">INDEX(INDIRECT(_xlfn.CONCAT("weather.tbl[",U$1,"]")),MATCH(vp.data[[#This Row],[SDate]],weather.tbl[Date],0))</f>
        <v>-20.7</v>
      </c>
      <c r="V69" s="2">
        <f t="array" ref="V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60205.728999999999</v>
      </c>
      <c r="W69" t="s">
        <v>48</v>
      </c>
      <c r="X69">
        <f>IF(OR(vp.data[[#This Row],[Sulf]]="",vp.data[[#This Row],[Dens]]=""),1,0)</f>
        <v>0</v>
      </c>
      <c r="Y69">
        <f>IF(vp.data[[#This Row],[CrudeType]]="C5+",1,0)</f>
        <v>0</v>
      </c>
      <c r="Z69">
        <f>IF(AND(vp.data[[#This Row],[CrudeType]]="Crude",vp.data[[#This Row],[Dens]]&lt;=825,vp.data[[#This Row],[Sulf]]&gt;0.5,vp.data[[#This Row],[Unknown]]=0),1,0)</f>
        <v>0</v>
      </c>
      <c r="AA69">
        <f>IF(AND(vp.data[[#This Row],[CrudeType]]="Crude",vp.data[[#This Row],[Dens]]&lt;=825,vp.data[[#This Row],[Sulf]]&lt;=0.5,vp.data[[#This Row],[Unknown]]=0),1,0)</f>
        <v>0</v>
      </c>
      <c r="AB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">
        <f>IF(AND(vp.data[[#This Row],[CrudeType]]="Crude",vp.data[[#This Row],[Dens]]&gt;825,vp.data[[#This Row],[Dens]]&lt;=900,vp.data[[#This Row],[Sulf]]&lt;=0.5,vp.data[[#This Row],[Unknown]]=0),1,0)</f>
        <v>0</v>
      </c>
      <c r="AD69">
        <f>IF(AND(vp.data[[#This Row],[CrudeType]]="Crude",vp.data[[#This Row],[Dens]]&gt;865,vp.data[[#This Row],[Dens]]&lt;=900,vp.data[[#This Row],[Sulf]]&gt;2,vp.data[[#This Row],[Unknown]]=0),1,0)</f>
        <v>0</v>
      </c>
      <c r="AE69">
        <f>IF(AND(vp.data[[#This Row],[CrudeType]]="Crude",vp.data[[#This Row],[Dens]]&gt;900,vp.data[[#This Row],[Sulf]]&lt;=0.5,vp.data[[#This Row],[Unknown]]=0),1,0)</f>
        <v>0</v>
      </c>
      <c r="AF69">
        <f>IF(AND(vp.data[[#This Row],[CrudeType]]="Crude",vp.data[[#This Row],[Dens]]&gt;900,vp.data[[#This Row],[Sulf]]&lt;=0.5,vp.data[[#This Row],[Unknown]]=0),1,0)</f>
        <v>0</v>
      </c>
      <c r="AG69" t="str">
        <f>INDEX(vp.data[[#Headers],[Unknown]:[Heavy_SW]],MATCH(1,vp.data[[#This Row],[Unknown]:[Heavy_SW]],0))</f>
        <v>Medium_LSB</v>
      </c>
      <c r="AH69">
        <f>INDEX([3]!crudeBD.lkup[Number],MATCH(vp.data[[#This Row],[Crude_Breakdown]],crudeBD.lkup[Crude Breakdown],0))</f>
        <v>3</v>
      </c>
      <c r="AI69">
        <f>MONTH(vp.data[[#This Row],[SDate]])</f>
        <v>1</v>
      </c>
      <c r="AJ69" s="5">
        <f>(vp.data[[#This Row],[VP]]-INDEX(crudeBD.lkup[Mean_VP],MATCH(vp.data[[#This Row],[Crude_Breakdown]],crudeBD.lkup[Crude Breakdown],0)))^2</f>
        <v>8.6416982178271002</v>
      </c>
      <c r="AK69" s="5">
        <f>(vp.data[[#This Row],[Dens]]-INDEX(crudeBD.lkup[Mean_Dens],MATCH(vp.data[[#This Row],[Crude_Breakdown]],crudeBD.lkup[Crude Breakdown],0)))^2</f>
        <v>193.76639999998619</v>
      </c>
      <c r="AL69" s="5">
        <f>(vp.data[[#This Row],[Sulf]]-INDEX(crudeBD.lkup[Mean_Sulf],MATCH(vp.data[[#This Row],[Crude_Breakdown]],crudeBD.lkup[Crude Breakdown],0)))^2</f>
        <v>9.2776209289761713E-2</v>
      </c>
      <c r="AM69" s="4">
        <f>IF(AND(vp.data[[#This Row],[SDate]]&gt;=DATE(YEAR(vp.data[[#This Row],[SDate]]),5,1),vp.data[[#This Row],[SDate]]&lt;=DATE(YEAR(vp.data[[#This Row],[SDate]]),9,15)),1,0)</f>
        <v>0</v>
      </c>
      <c r="AN69" s="4">
        <f>IF(vp.data[[#This Row],[SDate]]&lt;DATE(2016,12,1),0,1)</f>
        <v>0</v>
      </c>
      <c r="AO69" s="4">
        <f>IFERROR(vp.data[[#This Row],[Sulf]]*vp.data[[#This Row],[Net Dens]],"")</f>
        <v>84450576.068299994</v>
      </c>
      <c r="AP69">
        <f>IFERROR(vp.data[[#This Row],[Dens]]*vp.data[[#This Row],[VolumeM3]],"")</f>
        <v>49970755.07</v>
      </c>
      <c r="AQ69" s="15">
        <f>IFERROR(vp.data[[#This Row],[VP]]*vp.data[[#This Row],[VolumeM3]],"")</f>
        <v>4677985.1433000006</v>
      </c>
    </row>
    <row r="70" spans="1:43" x14ac:dyDescent="0.25">
      <c r="A70">
        <v>69</v>
      </c>
      <c r="B70" t="s">
        <v>51</v>
      </c>
      <c r="C70" t="s">
        <v>51</v>
      </c>
      <c r="D70" t="s">
        <v>58</v>
      </c>
      <c r="F70" s="1">
        <v>42384</v>
      </c>
      <c r="G70" s="2">
        <v>76.8</v>
      </c>
      <c r="H70" s="2"/>
      <c r="I70" s="2">
        <f t="array" ref="I70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70" s="2"/>
      <c r="K70" s="2"/>
      <c r="L70" s="2">
        <v>839.2</v>
      </c>
      <c r="M70" s="2">
        <f t="array" ref="M70">_xlfn.IFNA(IF(vp.data[[#This Row],[Dens Input]]="",INDEX([1]DATA!$O$3:$O$9826,MATCH(1,(vp.data[[#This Row],[Battery]]=[1]DATA!$L$3:$L$9826)*(EOMONTH(vp.data[[#This Row],[SDate]],-1)+1=[1]DATA!$G$3:$G$9826),0)),vp.data[[#This Row],[Dens Input]]),"")</f>
        <v>839.2</v>
      </c>
      <c r="N70" s="2">
        <f ca="1">INDEX(INDIRECT(_xlfn.CONCAT("weather.tbl[",N$1,"]")),MATCH(vp.data[[#This Row],[SDate]],weather.tbl[Date],0))</f>
        <v>-19.116666666666667</v>
      </c>
      <c r="O70" s="2">
        <f ca="1">INDEX(INDIRECT(_xlfn.CONCAT("weather.tbl[",O$1,"]")),MATCH(vp.data[[#This Row],[SDate]],weather.tbl[Date],0))</f>
        <v>-16.861904761904761</v>
      </c>
      <c r="P70" s="2">
        <f ca="1">INDEX(INDIRECT(_xlfn.CONCAT("weather.tbl[",P$1,"]")),MATCH(vp.data[[#This Row],[SDate]],weather.tbl[Date],0))</f>
        <v>-16.3</v>
      </c>
      <c r="Q70" s="2">
        <f ca="1">INDEX(INDIRECT(_xlfn.CONCAT("weather.tbl[",Q$1,"]")),MATCH(vp.data[[#This Row],[SDate]],weather.tbl[Date],0))</f>
        <v>-18.8</v>
      </c>
      <c r="R70" s="2">
        <f ca="1">INDEX(INDIRECT(_xlfn.CONCAT("weather.tbl[",R$1,"]")),MATCH(vp.data[[#This Row],[SDate]],weather.tbl[Date],0))</f>
        <v>-17.3</v>
      </c>
      <c r="S70" s="2">
        <f ca="1">INDEX(INDIRECT(_xlfn.CONCAT("weather.tbl[",S$1,"]")),MATCH(vp.data[[#This Row],[SDate]],weather.tbl[Date],0))</f>
        <v>-21</v>
      </c>
      <c r="T70" s="2">
        <f ca="1">INDEX(INDIRECT(_xlfn.CONCAT("weather.tbl[",T$1,"]")),MATCH(vp.data[[#This Row],[SDate]],weather.tbl[Date],0))</f>
        <v>-20.6</v>
      </c>
      <c r="U70" s="2">
        <f ca="1">INDEX(INDIRECT(_xlfn.CONCAT("weather.tbl[",U$1,"]")),MATCH(vp.data[[#This Row],[SDate]],weather.tbl[Date],0))</f>
        <v>-20.7</v>
      </c>
      <c r="V70" s="2">
        <f t="array" ref="V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6571.7129999999997</v>
      </c>
      <c r="W70" t="s">
        <v>48</v>
      </c>
      <c r="X70">
        <f>IF(OR(vp.data[[#This Row],[Sulf]]="",vp.data[[#This Row],[Dens]]=""),1,0)</f>
        <v>0</v>
      </c>
      <c r="Y70">
        <f>IF(vp.data[[#This Row],[CrudeType]]="C5+",1,0)</f>
        <v>0</v>
      </c>
      <c r="Z70">
        <f>IF(AND(vp.data[[#This Row],[CrudeType]]="Crude",vp.data[[#This Row],[Dens]]&lt;=825,vp.data[[#This Row],[Sulf]]&gt;0.5,vp.data[[#This Row],[Unknown]]=0),1,0)</f>
        <v>0</v>
      </c>
      <c r="AA70">
        <f>IF(AND(vp.data[[#This Row],[CrudeType]]="Crude",vp.data[[#This Row],[Dens]]&lt;=825,vp.data[[#This Row],[Sulf]]&lt;=0.5,vp.data[[#This Row],[Unknown]]=0),1,0)</f>
        <v>0</v>
      </c>
      <c r="AB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0">
        <f>IF(AND(vp.data[[#This Row],[CrudeType]]="Crude",vp.data[[#This Row],[Dens]]&gt;825,vp.data[[#This Row],[Dens]]&lt;=900,vp.data[[#This Row],[Sulf]]&lt;=0.5,vp.data[[#This Row],[Unknown]]=0),1,0)</f>
        <v>0</v>
      </c>
      <c r="AD70">
        <f>IF(AND(vp.data[[#This Row],[CrudeType]]="Crude",vp.data[[#This Row],[Dens]]&gt;865,vp.data[[#This Row],[Dens]]&lt;=900,vp.data[[#This Row],[Sulf]]&gt;2,vp.data[[#This Row],[Unknown]]=0),1,0)</f>
        <v>0</v>
      </c>
      <c r="AE70">
        <f>IF(AND(vp.data[[#This Row],[CrudeType]]="Crude",vp.data[[#This Row],[Dens]]&gt;900,vp.data[[#This Row],[Sulf]]&lt;=0.5,vp.data[[#This Row],[Unknown]]=0),1,0)</f>
        <v>0</v>
      </c>
      <c r="AF70">
        <f>IF(AND(vp.data[[#This Row],[CrudeType]]="Crude",vp.data[[#This Row],[Dens]]&gt;900,vp.data[[#This Row],[Sulf]]&lt;=0.5,vp.data[[#This Row],[Unknown]]=0),1,0)</f>
        <v>0</v>
      </c>
      <c r="AG70" t="str">
        <f>INDEX(vp.data[[#Headers],[Unknown]:[Heavy_SW]],MATCH(1,vp.data[[#This Row],[Unknown]:[Heavy_SW]],0))</f>
        <v>Medium_LSB</v>
      </c>
      <c r="AH70">
        <f>INDEX([3]!crudeBD.lkup[Number],MATCH(vp.data[[#This Row],[Crude_Breakdown]],crudeBD.lkup[Crude Breakdown],0))</f>
        <v>3</v>
      </c>
      <c r="AI70">
        <f>MONTH(vp.data[[#This Row],[SDate]])</f>
        <v>1</v>
      </c>
      <c r="AJ70" s="5">
        <f>(vp.data[[#This Row],[VP]]-INDEX(crudeBD.lkup[Mean_VP],MATCH(vp.data[[#This Row],[Crude_Breakdown]],crudeBD.lkup[Crude Breakdown],0)))^2</f>
        <v>14.743116007584421</v>
      </c>
      <c r="AK70" s="5">
        <f>(vp.data[[#This Row],[Dens]]-INDEX(crudeBD.lkup[Mean_Dens],MATCH(vp.data[[#This Row],[Crude_Breakdown]],crudeBD.lkup[Crude Breakdown],0)))^2</f>
        <v>22.278399999994893</v>
      </c>
      <c r="AL70" s="5">
        <f>(vp.data[[#This Row],[Sulf]]-INDEX(crudeBD.lkup[Mean_Sulf],MATCH(vp.data[[#This Row],[Crude_Breakdown]],crudeBD.lkup[Crude Breakdown],0)))^2</f>
        <v>6.4557290162259046E-4</v>
      </c>
      <c r="AM70" s="4">
        <f>IF(AND(vp.data[[#This Row],[SDate]]&gt;=DATE(YEAR(vp.data[[#This Row],[SDate]]),5,1),vp.data[[#This Row],[SDate]]&lt;=DATE(YEAR(vp.data[[#This Row],[SDate]]),9,15)),1,0)</f>
        <v>0</v>
      </c>
      <c r="AN70" s="4">
        <f>IF(vp.data[[#This Row],[SDate]]&lt;DATE(2016,12,1),0,1)</f>
        <v>0</v>
      </c>
      <c r="AO70" s="4">
        <f>IFERROR(vp.data[[#This Row],[Sulf]]*vp.data[[#This Row],[Net Dens]],"")</f>
        <v>7500374.9074560013</v>
      </c>
      <c r="AP70">
        <f>IFERROR(vp.data[[#This Row],[Dens]]*vp.data[[#This Row],[VolumeM3]],"")</f>
        <v>5514981.5496000005</v>
      </c>
      <c r="AQ70" s="15">
        <f>IFERROR(vp.data[[#This Row],[VP]]*vp.data[[#This Row],[VolumeM3]],"")</f>
        <v>504707.55839999998</v>
      </c>
    </row>
    <row r="71" spans="1:43" x14ac:dyDescent="0.25">
      <c r="A71">
        <v>70</v>
      </c>
      <c r="B71" t="s">
        <v>64</v>
      </c>
      <c r="C71" t="s">
        <v>64</v>
      </c>
      <c r="D71" t="s">
        <v>65</v>
      </c>
      <c r="F71" s="1">
        <v>42384</v>
      </c>
      <c r="G71" s="2">
        <v>70.900000000000006</v>
      </c>
      <c r="H71" s="2"/>
      <c r="I71" s="2">
        <f t="array" ref="I71">_xlfn.IFNA(IF(vp.data[[#This Row],[Sulf Input]]="",INDEX([1]DATA!$Q$3:$Q$9826,MATCH(1,(vp.data[[#This Row],[Battery]]=[1]DATA!$L$3:$L$9826)*(EOMONTH(vp.data[[#This Row],[SDate]],-1)+1=[1]DATA!$G$3:$G$9826),0)),vp.data[[#This Row],[Sulf Input]]),"")</f>
        <v>1.99</v>
      </c>
      <c r="J71" s="2"/>
      <c r="K71" s="2"/>
      <c r="L71" s="2">
        <v>873.1</v>
      </c>
      <c r="M71" s="2">
        <f t="array" ref="M71">_xlfn.IFNA(IF(vp.data[[#This Row],[Dens Input]]="",INDEX([1]DATA!$O$3:$O$9826,MATCH(1,(vp.data[[#This Row],[Battery]]=[1]DATA!$L$3:$L$9826)*(EOMONTH(vp.data[[#This Row],[SDate]],-1)+1=[1]DATA!$G$3:$G$9826),0)),vp.data[[#This Row],[Dens Input]]),"")</f>
        <v>873.1</v>
      </c>
      <c r="N71" s="2">
        <f ca="1">INDEX(INDIRECT(_xlfn.CONCAT("weather.tbl[",N$1,"]")),MATCH(vp.data[[#This Row],[SDate]],weather.tbl[Date],0))</f>
        <v>-19.116666666666667</v>
      </c>
      <c r="O71" s="2">
        <f ca="1">INDEX(INDIRECT(_xlfn.CONCAT("weather.tbl[",O$1,"]")),MATCH(vp.data[[#This Row],[SDate]],weather.tbl[Date],0))</f>
        <v>-16.861904761904761</v>
      </c>
      <c r="P71" s="2">
        <f ca="1">INDEX(INDIRECT(_xlfn.CONCAT("weather.tbl[",P$1,"]")),MATCH(vp.data[[#This Row],[SDate]],weather.tbl[Date],0))</f>
        <v>-16.3</v>
      </c>
      <c r="Q71" s="2">
        <f ca="1">INDEX(INDIRECT(_xlfn.CONCAT("weather.tbl[",Q$1,"]")),MATCH(vp.data[[#This Row],[SDate]],weather.tbl[Date],0))</f>
        <v>-18.8</v>
      </c>
      <c r="R71" s="2">
        <f ca="1">INDEX(INDIRECT(_xlfn.CONCAT("weather.tbl[",R$1,"]")),MATCH(vp.data[[#This Row],[SDate]],weather.tbl[Date],0))</f>
        <v>-17.3</v>
      </c>
      <c r="S71" s="2">
        <f ca="1">INDEX(INDIRECT(_xlfn.CONCAT("weather.tbl[",S$1,"]")),MATCH(vp.data[[#This Row],[SDate]],weather.tbl[Date],0))</f>
        <v>-21</v>
      </c>
      <c r="T71" s="2">
        <f ca="1">INDEX(INDIRECT(_xlfn.CONCAT("weather.tbl[",T$1,"]")),MATCH(vp.data[[#This Row],[SDate]],weather.tbl[Date],0))</f>
        <v>-20.6</v>
      </c>
      <c r="U71" s="2">
        <f ca="1">INDEX(INDIRECT(_xlfn.CONCAT("weather.tbl[",U$1,"]")),MATCH(vp.data[[#This Row],[SDate]],weather.tbl[Date],0))</f>
        <v>-20.7</v>
      </c>
      <c r="V71" s="2">
        <f t="array" ref="V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24188.976999999999</v>
      </c>
      <c r="W71" t="s">
        <v>48</v>
      </c>
      <c r="X71">
        <f>IF(OR(vp.data[[#This Row],[Sulf]]="",vp.data[[#This Row],[Dens]]=""),1,0)</f>
        <v>0</v>
      </c>
      <c r="Y71">
        <f>IF(vp.data[[#This Row],[CrudeType]]="C5+",1,0)</f>
        <v>0</v>
      </c>
      <c r="Z71">
        <f>IF(AND(vp.data[[#This Row],[CrudeType]]="Crude",vp.data[[#This Row],[Dens]]&lt;=825,vp.data[[#This Row],[Sulf]]&gt;0.5,vp.data[[#This Row],[Unknown]]=0),1,0)</f>
        <v>0</v>
      </c>
      <c r="AA71">
        <f>IF(AND(vp.data[[#This Row],[CrudeType]]="Crude",vp.data[[#This Row],[Dens]]&lt;=825,vp.data[[#This Row],[Sulf]]&lt;=0.5,vp.data[[#This Row],[Unknown]]=0),1,0)</f>
        <v>0</v>
      </c>
      <c r="AB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">
        <f>IF(AND(vp.data[[#This Row],[CrudeType]]="Crude",vp.data[[#This Row],[Dens]]&gt;825,vp.data[[#This Row],[Dens]]&lt;=900,vp.data[[#This Row],[Sulf]]&lt;=0.5,vp.data[[#This Row],[Unknown]]=0),1,0)</f>
        <v>0</v>
      </c>
      <c r="AD71">
        <f>IF(AND(vp.data[[#This Row],[CrudeType]]="Crude",vp.data[[#This Row],[Dens]]&gt;865,vp.data[[#This Row],[Dens]]&lt;=900,vp.data[[#This Row],[Sulf]]&gt;2,vp.data[[#This Row],[Unknown]]=0),1,0)</f>
        <v>0</v>
      </c>
      <c r="AE71">
        <f>IF(AND(vp.data[[#This Row],[CrudeType]]="Crude",vp.data[[#This Row],[Dens]]&gt;900,vp.data[[#This Row],[Sulf]]&lt;=0.5,vp.data[[#This Row],[Unknown]]=0),1,0)</f>
        <v>0</v>
      </c>
      <c r="AF71">
        <f>IF(AND(vp.data[[#This Row],[CrudeType]]="Crude",vp.data[[#This Row],[Dens]]&gt;900,vp.data[[#This Row],[Sulf]]&lt;=0.5,vp.data[[#This Row],[Unknown]]=0),1,0)</f>
        <v>0</v>
      </c>
      <c r="AG71" t="str">
        <f>INDEX(vp.data[[#Headers],[Unknown]:[Heavy_SW]],MATCH(1,vp.data[[#This Row],[Unknown]:[Heavy_SW]],0))</f>
        <v>Medium_LSB</v>
      </c>
      <c r="AH71">
        <f>INDEX([3]!crudeBD.lkup[Number],MATCH(vp.data[[#This Row],[Crude_Breakdown]],crudeBD.lkup[Crude Breakdown],0))</f>
        <v>3</v>
      </c>
      <c r="AI71">
        <f>MONTH(vp.data[[#This Row],[SDate]])</f>
        <v>1</v>
      </c>
      <c r="AJ71" s="5">
        <f>(vp.data[[#This Row],[VP]]-INDEX(crudeBD.lkup[Mean_VP],MATCH(vp.data[[#This Row],[Crude_Breakdown]],crudeBD.lkup[Crude Breakdown],0)))^2</f>
        <v>94.861299295993149</v>
      </c>
      <c r="AK71" s="5">
        <f>(vp.data[[#This Row],[Dens]]-INDEX(crudeBD.lkup[Mean_Dens],MATCH(vp.data[[#This Row],[Crude_Breakdown]],crudeBD.lkup[Crude Breakdown],0)))^2</f>
        <v>851.47240000003023</v>
      </c>
      <c r="AL71" s="5">
        <f>(vp.data[[#This Row],[Sulf]]-INDEX(crudeBD.lkup[Mean_Sulf],MATCH(vp.data[[#This Row],[Crude_Breakdown]],crudeBD.lkup[Crude Breakdown],0)))^2</f>
        <v>0.36553133327897913</v>
      </c>
      <c r="AM71" s="4">
        <f>IF(AND(vp.data[[#This Row],[SDate]]&gt;=DATE(YEAR(vp.data[[#This Row],[SDate]]),5,1),vp.data[[#This Row],[SDate]]&lt;=DATE(YEAR(vp.data[[#This Row],[SDate]]),9,15)),1,0)</f>
        <v>0</v>
      </c>
      <c r="AN71" s="4">
        <f>IF(vp.data[[#This Row],[SDate]]&lt;DATE(2016,12,1),0,1)</f>
        <v>0</v>
      </c>
      <c r="AO71" s="4">
        <f>IFERROR(vp.data[[#This Row],[Sulf]]*vp.data[[#This Row],[Net Dens]],"")</f>
        <v>42027597.679213002</v>
      </c>
      <c r="AP71">
        <f>IFERROR(vp.data[[#This Row],[Dens]]*vp.data[[#This Row],[VolumeM3]],"")</f>
        <v>21119395.818700001</v>
      </c>
      <c r="AQ71" s="15">
        <f>IFERROR(vp.data[[#This Row],[VP]]*vp.data[[#This Row],[VolumeM3]],"")</f>
        <v>1714998.4693</v>
      </c>
    </row>
    <row r="72" spans="1:43" x14ac:dyDescent="0.25">
      <c r="A72">
        <v>71</v>
      </c>
      <c r="B72" t="s">
        <v>68</v>
      </c>
      <c r="C72" t="s">
        <v>68</v>
      </c>
      <c r="D72" t="s">
        <v>69</v>
      </c>
      <c r="F72" s="1">
        <v>42387</v>
      </c>
      <c r="G72" s="2">
        <v>94.7</v>
      </c>
      <c r="H72" s="2"/>
      <c r="I72" s="2">
        <f t="array" ref="I72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72" s="2"/>
      <c r="K72" s="2"/>
      <c r="L72" s="2">
        <v>827.8</v>
      </c>
      <c r="M72" s="2">
        <f t="array" ref="M72">_xlfn.IFNA(IF(vp.data[[#This Row],[Dens Input]]="",INDEX([1]DATA!$O$3:$O$9826,MATCH(1,(vp.data[[#This Row],[Battery]]=[1]DATA!$L$3:$L$9826)*(EOMONTH(vp.data[[#This Row],[SDate]],-1)+1=[1]DATA!$G$3:$G$9826),0)),vp.data[[#This Row],[Dens Input]]),"")</f>
        <v>827.8</v>
      </c>
      <c r="N72" s="2">
        <f ca="1">INDEX(INDIRECT(_xlfn.CONCAT("weather.tbl[",N$1,"]")),MATCH(vp.data[[#This Row],[SDate]],weather.tbl[Date],0))</f>
        <v>-19.399999999999999</v>
      </c>
      <c r="O72" s="2">
        <f ca="1">INDEX(INDIRECT(_xlfn.CONCAT("weather.tbl[",O$1,"]")),MATCH(vp.data[[#This Row],[SDate]],weather.tbl[Date],0))</f>
        <v>-18.133333333333333</v>
      </c>
      <c r="P72" s="2">
        <f ca="1">INDEX(INDIRECT(_xlfn.CONCAT("weather.tbl[",P$1,"]")),MATCH(vp.data[[#This Row],[SDate]],weather.tbl[Date],0))</f>
        <v>-21.2</v>
      </c>
      <c r="Q72" s="2">
        <f ca="1">INDEX(INDIRECT(_xlfn.CONCAT("weather.tbl[",Q$1,"]")),MATCH(vp.data[[#This Row],[SDate]],weather.tbl[Date],0))</f>
        <v>-21.1</v>
      </c>
      <c r="R72" s="2">
        <f ca="1">INDEX(INDIRECT(_xlfn.CONCAT("weather.tbl[",R$1,"]")),MATCH(vp.data[[#This Row],[SDate]],weather.tbl[Date],0))</f>
        <v>-20.3</v>
      </c>
      <c r="S72" s="2">
        <f ca="1">INDEX(INDIRECT(_xlfn.CONCAT("weather.tbl[",S$1,"]")),MATCH(vp.data[[#This Row],[SDate]],weather.tbl[Date],0))</f>
        <v>-18</v>
      </c>
      <c r="T72" s="2">
        <f ca="1">INDEX(INDIRECT(_xlfn.CONCAT("weather.tbl[",T$1,"]")),MATCH(vp.data[[#This Row],[SDate]],weather.tbl[Date],0))</f>
        <v>-19.100000000000001</v>
      </c>
      <c r="U72" s="2">
        <f ca="1">INDEX(INDIRECT(_xlfn.CONCAT("weather.tbl[",U$1,"]")),MATCH(vp.data[[#This Row],[SDate]],weather.tbl[Date],0))</f>
        <v>-16.7</v>
      </c>
      <c r="V72" s="2">
        <f t="array" ref="V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1516.463</v>
      </c>
      <c r="W72" t="s">
        <v>48</v>
      </c>
      <c r="X72">
        <f>IF(OR(vp.data[[#This Row],[Sulf]]="",vp.data[[#This Row],[Dens]]=""),1,0)</f>
        <v>0</v>
      </c>
      <c r="Y72">
        <f>IF(vp.data[[#This Row],[CrudeType]]="C5+",1,0)</f>
        <v>0</v>
      </c>
      <c r="Z72">
        <f>IF(AND(vp.data[[#This Row],[CrudeType]]="Crude",vp.data[[#This Row],[Dens]]&lt;=825,vp.data[[#This Row],[Sulf]]&gt;0.5,vp.data[[#This Row],[Unknown]]=0),1,0)</f>
        <v>0</v>
      </c>
      <c r="AA72">
        <f>IF(AND(vp.data[[#This Row],[CrudeType]]="Crude",vp.data[[#This Row],[Dens]]&lt;=825,vp.data[[#This Row],[Sulf]]&lt;=0.5,vp.data[[#This Row],[Unknown]]=0),1,0)</f>
        <v>0</v>
      </c>
      <c r="AB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">
        <f>IF(AND(vp.data[[#This Row],[CrudeType]]="Crude",vp.data[[#This Row],[Dens]]&gt;825,vp.data[[#This Row],[Dens]]&lt;=900,vp.data[[#This Row],[Sulf]]&lt;=0.5,vp.data[[#This Row],[Unknown]]=0),1,0)</f>
        <v>0</v>
      </c>
      <c r="AD72">
        <f>IF(AND(vp.data[[#This Row],[CrudeType]]="Crude",vp.data[[#This Row],[Dens]]&gt;865,vp.data[[#This Row],[Dens]]&lt;=900,vp.data[[#This Row],[Sulf]]&gt;2,vp.data[[#This Row],[Unknown]]=0),1,0)</f>
        <v>0</v>
      </c>
      <c r="AE72">
        <f>IF(AND(vp.data[[#This Row],[CrudeType]]="Crude",vp.data[[#This Row],[Dens]]&gt;900,vp.data[[#This Row],[Sulf]]&lt;=0.5,vp.data[[#This Row],[Unknown]]=0),1,0)</f>
        <v>0</v>
      </c>
      <c r="AF72">
        <f>IF(AND(vp.data[[#This Row],[CrudeType]]="Crude",vp.data[[#This Row],[Dens]]&gt;900,vp.data[[#This Row],[Sulf]]&lt;=0.5,vp.data[[#This Row],[Unknown]]=0),1,0)</f>
        <v>0</v>
      </c>
      <c r="AG72" t="str">
        <f>INDEX(vp.data[[#Headers],[Unknown]:[Heavy_SW]],MATCH(1,vp.data[[#This Row],[Unknown]:[Heavy_SW]],0))</f>
        <v>Medium_LSB</v>
      </c>
      <c r="AH72">
        <f>INDEX([3]!crudeBD.lkup[Number],MATCH(vp.data[[#This Row],[Crude_Breakdown]],crudeBD.lkup[Crude Breakdown],0))</f>
        <v>3</v>
      </c>
      <c r="AI72">
        <f>MONTH(vp.data[[#This Row],[SDate]])</f>
        <v>1</v>
      </c>
      <c r="AJ72" s="5">
        <f>(vp.data[[#This Row],[VP]]-INDEX(crudeBD.lkup[Mean_VP],MATCH(vp.data[[#This Row],[Crude_Breakdown]],crudeBD.lkup[Crude Breakdown],0)))^2</f>
        <v>197.69269552241184</v>
      </c>
      <c r="AK72" s="5">
        <f>(vp.data[[#This Row],[Dens]]-INDEX(crudeBD.lkup[Mean_Dens],MATCH(vp.data[[#This Row],[Crude_Breakdown]],crudeBD.lkup[Crude Breakdown],0)))^2</f>
        <v>259.8543999999855</v>
      </c>
      <c r="AL72" s="5">
        <f>(vp.data[[#This Row],[Sulf]]-INDEX(crudeBD.lkup[Mean_Sulf],MATCH(vp.data[[#This Row],[Crude_Breakdown]],crudeBD.lkup[Crude Breakdown],0)))^2</f>
        <v>0.11874355915499073</v>
      </c>
      <c r="AM72" s="4">
        <f>IF(AND(vp.data[[#This Row],[SDate]]&gt;=DATE(YEAR(vp.data[[#This Row],[SDate]]),5,1),vp.data[[#This Row],[SDate]]&lt;=DATE(YEAR(vp.data[[#This Row],[SDate]]),9,15)),1,0)</f>
        <v>0</v>
      </c>
      <c r="AN72" s="4">
        <f>IF(vp.data[[#This Row],[SDate]]&lt;DATE(2016,12,1),0,1)</f>
        <v>0</v>
      </c>
      <c r="AO72" s="4">
        <f>IFERROR(vp.data[[#This Row],[Sulf]]*vp.data[[#This Row],[Net Dens]],"")</f>
        <v>2171717.5635219999</v>
      </c>
      <c r="AP72">
        <f>IFERROR(vp.data[[#This Row],[Dens]]*vp.data[[#This Row],[VolumeM3]],"")</f>
        <v>1255328.0714</v>
      </c>
      <c r="AQ72" s="15">
        <f>IFERROR(vp.data[[#This Row],[VP]]*vp.data[[#This Row],[VolumeM3]],"")</f>
        <v>143609.04610000001</v>
      </c>
    </row>
    <row r="73" spans="1:43" x14ac:dyDescent="0.25">
      <c r="A73">
        <v>72</v>
      </c>
      <c r="B73" t="s">
        <v>49</v>
      </c>
      <c r="C73" t="s">
        <v>49</v>
      </c>
      <c r="D73" t="s">
        <v>59</v>
      </c>
      <c r="F73" s="1">
        <v>42388</v>
      </c>
      <c r="G73" s="2">
        <v>111</v>
      </c>
      <c r="H73" s="2"/>
      <c r="I73" s="2">
        <f t="array" ref="I73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3" s="2"/>
      <c r="K73" s="2"/>
      <c r="L73" s="2">
        <v>845.3</v>
      </c>
      <c r="M73" s="2">
        <f t="array" ref="M73">_xlfn.IFNA(IF(vp.data[[#This Row],[Dens Input]]="",INDEX([1]DATA!$O$3:$O$9826,MATCH(1,(vp.data[[#This Row],[Battery]]=[1]DATA!$L$3:$L$9826)*(EOMONTH(vp.data[[#This Row],[SDate]],-1)+1=[1]DATA!$G$3:$G$9826),0)),vp.data[[#This Row],[Dens Input]]),"")</f>
        <v>845.3</v>
      </c>
      <c r="N73" s="2">
        <f ca="1">INDEX(INDIRECT(_xlfn.CONCAT("weather.tbl[",N$1,"]")),MATCH(vp.data[[#This Row],[SDate]],weather.tbl[Date],0))</f>
        <v>-10.433333333333335</v>
      </c>
      <c r="O73" s="2">
        <f ca="1">INDEX(INDIRECT(_xlfn.CONCAT("weather.tbl[",O$1,"]")),MATCH(vp.data[[#This Row],[SDate]],weather.tbl[Date],0))</f>
        <v>-17.276190476190475</v>
      </c>
      <c r="P73" s="2">
        <f ca="1">INDEX(INDIRECT(_xlfn.CONCAT("weather.tbl[",P$1,"]")),MATCH(vp.data[[#This Row],[SDate]],weather.tbl[Date],0))</f>
        <v>-9.8000000000000007</v>
      </c>
      <c r="Q73" s="2">
        <f ca="1">INDEX(INDIRECT(_xlfn.CONCAT("weather.tbl[",Q$1,"]")),MATCH(vp.data[[#This Row],[SDate]],weather.tbl[Date],0))</f>
        <v>-9.3000000000000007</v>
      </c>
      <c r="R73" s="2">
        <f ca="1">INDEX(INDIRECT(_xlfn.CONCAT("weather.tbl[",R$1,"]")),MATCH(vp.data[[#This Row],[SDate]],weather.tbl[Date],0))</f>
        <v>-11.5</v>
      </c>
      <c r="S73" s="2">
        <f ca="1">INDEX(INDIRECT(_xlfn.CONCAT("weather.tbl[",S$1,"]")),MATCH(vp.data[[#This Row],[SDate]],weather.tbl[Date],0))</f>
        <v>-9.3000000000000007</v>
      </c>
      <c r="T73" s="2">
        <f ca="1">INDEX(INDIRECT(_xlfn.CONCAT("weather.tbl[",T$1,"]")),MATCH(vp.data[[#This Row],[SDate]],weather.tbl[Date],0))</f>
        <v>-11.5</v>
      </c>
      <c r="U73" s="2">
        <f ca="1">INDEX(INDIRECT(_xlfn.CONCAT("weather.tbl[",U$1,"]")),MATCH(vp.data[[#This Row],[SDate]],weather.tbl[Date],0))</f>
        <v>-11.2</v>
      </c>
      <c r="V73" s="2">
        <f t="array" ref="V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2204.2890000000002</v>
      </c>
      <c r="W73" t="s">
        <v>48</v>
      </c>
      <c r="X73">
        <f>IF(OR(vp.data[[#This Row],[Sulf]]="",vp.data[[#This Row],[Dens]]=""),1,0)</f>
        <v>0</v>
      </c>
      <c r="Y73">
        <f>IF(vp.data[[#This Row],[CrudeType]]="C5+",1,0)</f>
        <v>0</v>
      </c>
      <c r="Z73">
        <f>IF(AND(vp.data[[#This Row],[CrudeType]]="Crude",vp.data[[#This Row],[Dens]]&lt;=825,vp.data[[#This Row],[Sulf]]&gt;0.5,vp.data[[#This Row],[Unknown]]=0),1,0)</f>
        <v>0</v>
      </c>
      <c r="AA73">
        <f>IF(AND(vp.data[[#This Row],[CrudeType]]="Crude",vp.data[[#This Row],[Dens]]&lt;=825,vp.data[[#This Row],[Sulf]]&lt;=0.5,vp.data[[#This Row],[Unknown]]=0),1,0)</f>
        <v>0</v>
      </c>
      <c r="AB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">
        <f>IF(AND(vp.data[[#This Row],[CrudeType]]="Crude",vp.data[[#This Row],[Dens]]&gt;825,vp.data[[#This Row],[Dens]]&lt;=900,vp.data[[#This Row],[Sulf]]&lt;=0.5,vp.data[[#This Row],[Unknown]]=0),1,0)</f>
        <v>0</v>
      </c>
      <c r="AD73">
        <f>IF(AND(vp.data[[#This Row],[CrudeType]]="Crude",vp.data[[#This Row],[Dens]]&gt;865,vp.data[[#This Row],[Dens]]&lt;=900,vp.data[[#This Row],[Sulf]]&gt;2,vp.data[[#This Row],[Unknown]]=0),1,0)</f>
        <v>0</v>
      </c>
      <c r="AE73">
        <f>IF(AND(vp.data[[#This Row],[CrudeType]]="Crude",vp.data[[#This Row],[Dens]]&gt;900,vp.data[[#This Row],[Sulf]]&lt;=0.5,vp.data[[#This Row],[Unknown]]=0),1,0)</f>
        <v>0</v>
      </c>
      <c r="AF73">
        <f>IF(AND(vp.data[[#This Row],[CrudeType]]="Crude",vp.data[[#This Row],[Dens]]&gt;900,vp.data[[#This Row],[Sulf]]&lt;=0.5,vp.data[[#This Row],[Unknown]]=0),1,0)</f>
        <v>0</v>
      </c>
      <c r="AG73" t="str">
        <f>INDEX(vp.data[[#Headers],[Unknown]:[Heavy_SW]],MATCH(1,vp.data[[#This Row],[Unknown]:[Heavy_SW]],0))</f>
        <v>Medium_LSB</v>
      </c>
      <c r="AH73">
        <f>INDEX([3]!crudeBD.lkup[Number],MATCH(vp.data[[#This Row],[Crude_Breakdown]],crudeBD.lkup[Crude Breakdown],0))</f>
        <v>3</v>
      </c>
      <c r="AI73">
        <f>MONTH(vp.data[[#This Row],[SDate]])</f>
        <v>1</v>
      </c>
      <c r="AJ73" s="5">
        <f>(vp.data[[#This Row],[VP]]-INDEX(crudeBD.lkup[Mean_VP],MATCH(vp.data[[#This Row],[Crude_Breakdown]],crudeBD.lkup[Crude Breakdown],0)))^2</f>
        <v>921.74923999680766</v>
      </c>
      <c r="AK73" s="5">
        <f>(vp.data[[#This Row],[Dens]]-INDEX(crudeBD.lkup[Mean_Dens],MATCH(vp.data[[#This Row],[Crude_Breakdown]],crudeBD.lkup[Crude Breakdown],0)))^2</f>
        <v>1.9044000000012427</v>
      </c>
      <c r="AL73" s="5">
        <f>(vp.data[[#This Row],[Sulf]]-INDEX(crudeBD.lkup[Mean_Sulf],MATCH(vp.data[[#This Row],[Crude_Breakdown]],crudeBD.lkup[Crude Breakdown],0)))^2</f>
        <v>2.0906809828845806E-2</v>
      </c>
      <c r="AM73" s="4">
        <f>IF(AND(vp.data[[#This Row],[SDate]]&gt;=DATE(YEAR(vp.data[[#This Row],[SDate]]),5,1),vp.data[[#This Row],[SDate]]&lt;=DATE(YEAR(vp.data[[#This Row],[SDate]]),9,15)),1,0)</f>
        <v>0</v>
      </c>
      <c r="AN73" s="4">
        <f>IF(vp.data[[#This Row],[SDate]]&lt;DATE(2016,12,1),0,1)</f>
        <v>0</v>
      </c>
      <c r="AO73" s="4">
        <f>IFERROR(vp.data[[#This Row],[Sulf]]*vp.data[[#This Row],[Net Dens]],"")</f>
        <v>2850826.8023010003</v>
      </c>
      <c r="AP73">
        <f>IFERROR(vp.data[[#This Row],[Dens]]*vp.data[[#This Row],[VolumeM3]],"")</f>
        <v>1863285.4917000001</v>
      </c>
      <c r="AQ73" s="15">
        <f>IFERROR(vp.data[[#This Row],[VP]]*vp.data[[#This Row],[VolumeM3]],"")</f>
        <v>244676.07900000003</v>
      </c>
    </row>
    <row r="74" spans="1:43" x14ac:dyDescent="0.25">
      <c r="A74">
        <v>73</v>
      </c>
      <c r="B74" t="s">
        <v>51</v>
      </c>
      <c r="C74" t="s">
        <v>51</v>
      </c>
      <c r="D74" t="s">
        <v>52</v>
      </c>
      <c r="F74" s="1">
        <v>42388</v>
      </c>
      <c r="G74" s="2">
        <v>110.6</v>
      </c>
      <c r="H74" s="2"/>
      <c r="I74" s="2">
        <f t="array" ref="I74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74" s="2"/>
      <c r="K74" s="2"/>
      <c r="L74" s="2">
        <v>870</v>
      </c>
      <c r="M74" s="2">
        <f t="array" ref="M74">_xlfn.IFNA(IF(vp.data[[#This Row],[Dens Input]]="",INDEX([1]DATA!$O$3:$O$9826,MATCH(1,(vp.data[[#This Row],[Battery]]=[1]DATA!$L$3:$L$9826)*(EOMONTH(vp.data[[#This Row],[SDate]],-1)+1=[1]DATA!$G$3:$G$9826),0)),vp.data[[#This Row],[Dens Input]]),"")</f>
        <v>870</v>
      </c>
      <c r="N74" s="2">
        <f ca="1">INDEX(INDIRECT(_xlfn.CONCAT("weather.tbl[",N$1,"]")),MATCH(vp.data[[#This Row],[SDate]],weather.tbl[Date],0))</f>
        <v>-10.433333333333335</v>
      </c>
      <c r="O74" s="2">
        <f ca="1">INDEX(INDIRECT(_xlfn.CONCAT("weather.tbl[",O$1,"]")),MATCH(vp.data[[#This Row],[SDate]],weather.tbl[Date],0))</f>
        <v>-17.276190476190475</v>
      </c>
      <c r="P74" s="2">
        <f ca="1">INDEX(INDIRECT(_xlfn.CONCAT("weather.tbl[",P$1,"]")),MATCH(vp.data[[#This Row],[SDate]],weather.tbl[Date],0))</f>
        <v>-9.8000000000000007</v>
      </c>
      <c r="Q74" s="2">
        <f ca="1">INDEX(INDIRECT(_xlfn.CONCAT("weather.tbl[",Q$1,"]")),MATCH(vp.data[[#This Row],[SDate]],weather.tbl[Date],0))</f>
        <v>-9.3000000000000007</v>
      </c>
      <c r="R74" s="2">
        <f ca="1">INDEX(INDIRECT(_xlfn.CONCAT("weather.tbl[",R$1,"]")),MATCH(vp.data[[#This Row],[SDate]],weather.tbl[Date],0))</f>
        <v>-11.5</v>
      </c>
      <c r="S74" s="2">
        <f ca="1">INDEX(INDIRECT(_xlfn.CONCAT("weather.tbl[",S$1,"]")),MATCH(vp.data[[#This Row],[SDate]],weather.tbl[Date],0))</f>
        <v>-9.3000000000000007</v>
      </c>
      <c r="T74" s="2">
        <f ca="1">INDEX(INDIRECT(_xlfn.CONCAT("weather.tbl[",T$1,"]")),MATCH(vp.data[[#This Row],[SDate]],weather.tbl[Date],0))</f>
        <v>-11.5</v>
      </c>
      <c r="U74" s="2">
        <f ca="1">INDEX(INDIRECT(_xlfn.CONCAT("weather.tbl[",U$1,"]")),MATCH(vp.data[[#This Row],[SDate]],weather.tbl[Date],0))</f>
        <v>-11.2</v>
      </c>
      <c r="V74" s="2">
        <f t="array" ref="V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7935.4639999999999</v>
      </c>
      <c r="W74" t="s">
        <v>48</v>
      </c>
      <c r="X74">
        <f>IF(OR(vp.data[[#This Row],[Sulf]]="",vp.data[[#This Row],[Dens]]=""),1,0)</f>
        <v>0</v>
      </c>
      <c r="Y74">
        <f>IF(vp.data[[#This Row],[CrudeType]]="C5+",1,0)</f>
        <v>0</v>
      </c>
      <c r="Z74">
        <f>IF(AND(vp.data[[#This Row],[CrudeType]]="Crude",vp.data[[#This Row],[Dens]]&lt;=825,vp.data[[#This Row],[Sulf]]&gt;0.5,vp.data[[#This Row],[Unknown]]=0),1,0)</f>
        <v>0</v>
      </c>
      <c r="AA74">
        <f>IF(AND(vp.data[[#This Row],[CrudeType]]="Crude",vp.data[[#This Row],[Dens]]&lt;=825,vp.data[[#This Row],[Sulf]]&lt;=0.5,vp.data[[#This Row],[Unknown]]=0),1,0)</f>
        <v>0</v>
      </c>
      <c r="AB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4">
        <f>IF(AND(vp.data[[#This Row],[CrudeType]]="Crude",vp.data[[#This Row],[Dens]]&gt;825,vp.data[[#This Row],[Dens]]&lt;=900,vp.data[[#This Row],[Sulf]]&lt;=0.5,vp.data[[#This Row],[Unknown]]=0),1,0)</f>
        <v>0</v>
      </c>
      <c r="AD74">
        <f>IF(AND(vp.data[[#This Row],[CrudeType]]="Crude",vp.data[[#This Row],[Dens]]&gt;865,vp.data[[#This Row],[Dens]]&lt;=900,vp.data[[#This Row],[Sulf]]&gt;2,vp.data[[#This Row],[Unknown]]=0),1,0)</f>
        <v>1</v>
      </c>
      <c r="AE74">
        <f>IF(AND(vp.data[[#This Row],[CrudeType]]="Crude",vp.data[[#This Row],[Dens]]&gt;900,vp.data[[#This Row],[Sulf]]&lt;=0.5,vp.data[[#This Row],[Unknown]]=0),1,0)</f>
        <v>0</v>
      </c>
      <c r="AF74">
        <f>IF(AND(vp.data[[#This Row],[CrudeType]]="Crude",vp.data[[#This Row],[Dens]]&gt;900,vp.data[[#This Row],[Sulf]]&lt;=0.5,vp.data[[#This Row],[Unknown]]=0),1,0)</f>
        <v>0</v>
      </c>
      <c r="AG74" t="str">
        <f>INDEX(vp.data[[#Headers],[Unknown]:[Heavy_SW]],MATCH(1,vp.data[[#This Row],[Unknown]:[Heavy_SW]],0))</f>
        <v>Midale</v>
      </c>
      <c r="AH74">
        <f>INDEX([3]!crudeBD.lkup[Number],MATCH(vp.data[[#This Row],[Crude_Breakdown]],crudeBD.lkup[Crude Breakdown],0))</f>
        <v>5</v>
      </c>
      <c r="AI74">
        <f>MONTH(vp.data[[#This Row],[SDate]])</f>
        <v>1</v>
      </c>
      <c r="AJ74" s="5">
        <f>(vp.data[[#This Row],[VP]]-INDEX(crudeBD.lkup[Mean_VP],MATCH(vp.data[[#This Row],[Crude_Breakdown]],crudeBD.lkup[Crude Breakdown],0)))^2</f>
        <v>1696.7180149325084</v>
      </c>
      <c r="AK74" s="5">
        <f>(vp.data[[#This Row],[Dens]]-INDEX(crudeBD.lkup[Mean_Dens],MATCH(vp.data[[#This Row],[Crude_Breakdown]],crudeBD.lkup[Crude Breakdown],0)))^2</f>
        <v>23.20358831969687</v>
      </c>
      <c r="AL74" s="5">
        <f>(vp.data[[#This Row],[Sulf]]-INDEX(crudeBD.lkup[Mean_Sulf],MATCH(vp.data[[#This Row],[Crude_Breakdown]],crudeBD.lkup[Crude Breakdown],0)))^2</f>
        <v>2.0625431087692294E-2</v>
      </c>
      <c r="AM74" s="4">
        <f>IF(AND(vp.data[[#This Row],[SDate]]&gt;=DATE(YEAR(vp.data[[#This Row],[SDate]]),5,1),vp.data[[#This Row],[SDate]]&lt;=DATE(YEAR(vp.data[[#This Row],[SDate]]),9,15)),1,0)</f>
        <v>0</v>
      </c>
      <c r="AN74" s="4">
        <f>IF(vp.data[[#This Row],[SDate]]&lt;DATE(2016,12,1),0,1)</f>
        <v>0</v>
      </c>
      <c r="AO74" s="4">
        <f>IFERROR(vp.data[[#This Row],[Sulf]]*vp.data[[#This Row],[Net Dens]],"")</f>
        <v>15878863.463999998</v>
      </c>
      <c r="AP74">
        <f>IFERROR(vp.data[[#This Row],[Dens]]*vp.data[[#This Row],[VolumeM3]],"")</f>
        <v>6903853.6799999997</v>
      </c>
      <c r="AQ74" s="15">
        <f>IFERROR(vp.data[[#This Row],[VP]]*vp.data[[#This Row],[VolumeM3]],"")</f>
        <v>877662.31839999999</v>
      </c>
    </row>
    <row r="75" spans="1:43" x14ac:dyDescent="0.25">
      <c r="A75">
        <v>74</v>
      </c>
      <c r="B75" t="s">
        <v>49</v>
      </c>
      <c r="C75" t="s">
        <v>49</v>
      </c>
      <c r="D75" t="s">
        <v>50</v>
      </c>
      <c r="F75" s="1">
        <v>42388</v>
      </c>
      <c r="G75" s="2">
        <v>69.5</v>
      </c>
      <c r="H75" s="2"/>
      <c r="I75" s="2">
        <f t="array" ref="I75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75" s="2"/>
      <c r="K75" s="2"/>
      <c r="L75" s="2">
        <v>873.2</v>
      </c>
      <c r="M75" s="2">
        <f t="array" ref="M75">_xlfn.IFNA(IF(vp.data[[#This Row],[Dens Input]]="",INDEX([1]DATA!$O$3:$O$9826,MATCH(1,(vp.data[[#This Row],[Battery]]=[1]DATA!$L$3:$L$9826)*(EOMONTH(vp.data[[#This Row],[SDate]],-1)+1=[1]DATA!$G$3:$G$9826),0)),vp.data[[#This Row],[Dens Input]]),"")</f>
        <v>873.2</v>
      </c>
      <c r="N75" s="2">
        <f ca="1">INDEX(INDIRECT(_xlfn.CONCAT("weather.tbl[",N$1,"]")),MATCH(vp.data[[#This Row],[SDate]],weather.tbl[Date],0))</f>
        <v>-10.433333333333335</v>
      </c>
      <c r="O75" s="2">
        <f ca="1">INDEX(INDIRECT(_xlfn.CONCAT("weather.tbl[",O$1,"]")),MATCH(vp.data[[#This Row],[SDate]],weather.tbl[Date],0))</f>
        <v>-17.276190476190475</v>
      </c>
      <c r="P75" s="2">
        <f ca="1">INDEX(INDIRECT(_xlfn.CONCAT("weather.tbl[",P$1,"]")),MATCH(vp.data[[#This Row],[SDate]],weather.tbl[Date],0))</f>
        <v>-9.8000000000000007</v>
      </c>
      <c r="Q75" s="2">
        <f ca="1">INDEX(INDIRECT(_xlfn.CONCAT("weather.tbl[",Q$1,"]")),MATCH(vp.data[[#This Row],[SDate]],weather.tbl[Date],0))</f>
        <v>-9.3000000000000007</v>
      </c>
      <c r="R75" s="2">
        <f ca="1">INDEX(INDIRECT(_xlfn.CONCAT("weather.tbl[",R$1,"]")),MATCH(vp.data[[#This Row],[SDate]],weather.tbl[Date],0))</f>
        <v>-11.5</v>
      </c>
      <c r="S75" s="2">
        <f ca="1">INDEX(INDIRECT(_xlfn.CONCAT("weather.tbl[",S$1,"]")),MATCH(vp.data[[#This Row],[SDate]],weather.tbl[Date],0))</f>
        <v>-9.3000000000000007</v>
      </c>
      <c r="T75" s="2">
        <f ca="1">INDEX(INDIRECT(_xlfn.CONCAT("weather.tbl[",T$1,"]")),MATCH(vp.data[[#This Row],[SDate]],weather.tbl[Date],0))</f>
        <v>-11.5</v>
      </c>
      <c r="U75" s="2">
        <f ca="1">INDEX(INDIRECT(_xlfn.CONCAT("weather.tbl[",U$1,"]")),MATCH(vp.data[[#This Row],[SDate]],weather.tbl[Date],0))</f>
        <v>-11.2</v>
      </c>
      <c r="V75" s="2">
        <f t="array" ref="V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8594.3690000000006</v>
      </c>
      <c r="W75" t="s">
        <v>48</v>
      </c>
      <c r="X75">
        <f>IF(OR(vp.data[[#This Row],[Sulf]]="",vp.data[[#This Row],[Dens]]=""),1,0)</f>
        <v>0</v>
      </c>
      <c r="Y75">
        <f>IF(vp.data[[#This Row],[CrudeType]]="C5+",1,0)</f>
        <v>0</v>
      </c>
      <c r="Z75">
        <f>IF(AND(vp.data[[#This Row],[CrudeType]]="Crude",vp.data[[#This Row],[Dens]]&lt;=825,vp.data[[#This Row],[Sulf]]&gt;0.5,vp.data[[#This Row],[Unknown]]=0),1,0)</f>
        <v>0</v>
      </c>
      <c r="AA75">
        <f>IF(AND(vp.data[[#This Row],[CrudeType]]="Crude",vp.data[[#This Row],[Dens]]&lt;=825,vp.data[[#This Row],[Sulf]]&lt;=0.5,vp.data[[#This Row],[Unknown]]=0),1,0)</f>
        <v>0</v>
      </c>
      <c r="AB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">
        <f>IF(AND(vp.data[[#This Row],[CrudeType]]="Crude",vp.data[[#This Row],[Dens]]&gt;825,vp.data[[#This Row],[Dens]]&lt;=900,vp.data[[#This Row],[Sulf]]&lt;=0.5,vp.data[[#This Row],[Unknown]]=0),1,0)</f>
        <v>0</v>
      </c>
      <c r="AD75">
        <f>IF(AND(vp.data[[#This Row],[CrudeType]]="Crude",vp.data[[#This Row],[Dens]]&gt;865,vp.data[[#This Row],[Dens]]&lt;=900,vp.data[[#This Row],[Sulf]]&gt;2,vp.data[[#This Row],[Unknown]]=0),1,0)</f>
        <v>1</v>
      </c>
      <c r="AE75">
        <f>IF(AND(vp.data[[#This Row],[CrudeType]]="Crude",vp.data[[#This Row],[Dens]]&gt;900,vp.data[[#This Row],[Sulf]]&lt;=0.5,vp.data[[#This Row],[Unknown]]=0),1,0)</f>
        <v>0</v>
      </c>
      <c r="AF75">
        <f>IF(AND(vp.data[[#This Row],[CrudeType]]="Crude",vp.data[[#This Row],[Dens]]&gt;900,vp.data[[#This Row],[Sulf]]&lt;=0.5,vp.data[[#This Row],[Unknown]]=0),1,0)</f>
        <v>0</v>
      </c>
      <c r="AG75" t="str">
        <f>INDEX(vp.data[[#Headers],[Unknown]:[Heavy_SW]],MATCH(1,vp.data[[#This Row],[Unknown]:[Heavy_SW]],0))</f>
        <v>Midale</v>
      </c>
      <c r="AH75">
        <f>INDEX([3]!crudeBD.lkup[Number],MATCH(vp.data[[#This Row],[Crude_Breakdown]],crudeBD.lkup[Crude Breakdown],0))</f>
        <v>5</v>
      </c>
      <c r="AI75">
        <f>MONTH(vp.data[[#This Row],[SDate]])</f>
        <v>1</v>
      </c>
      <c r="AJ75" s="5">
        <f>(vp.data[[#This Row],[VP]]-INDEX(crudeBD.lkup[Mean_VP],MATCH(vp.data[[#This Row],[Crude_Breakdown]],crudeBD.lkup[Crude Breakdown],0)))^2</f>
        <v>8.3242108619349629E-3</v>
      </c>
      <c r="AK75" s="5">
        <f>(vp.data[[#This Row],[Dens]]-INDEX(crudeBD.lkup[Mean_Dens],MATCH(vp.data[[#This Row],[Crude_Breakdown]],crudeBD.lkup[Crude Breakdown],0)))^2</f>
        <v>2.6147223403133126</v>
      </c>
      <c r="AL75" s="5">
        <f>(vp.data[[#This Row],[Sulf]]-INDEX(crudeBD.lkup[Mean_Sulf],MATCH(vp.data[[#This Row],[Crude_Breakdown]],crudeBD.lkup[Crude Breakdown],0)))^2</f>
        <v>2.1428402221713612E-2</v>
      </c>
      <c r="AM75" s="4">
        <f>IF(AND(vp.data[[#This Row],[SDate]]&gt;=DATE(YEAR(vp.data[[#This Row],[SDate]]),5,1),vp.data[[#This Row],[SDate]]&lt;=DATE(YEAR(vp.data[[#This Row],[SDate]]),9,15)),1,0)</f>
        <v>0</v>
      </c>
      <c r="AN75" s="4">
        <f>IF(vp.data[[#This Row],[SDate]]&lt;DATE(2016,12,1),0,1)</f>
        <v>0</v>
      </c>
      <c r="AO75" s="4">
        <f>IFERROR(vp.data[[#This Row],[Sulf]]*vp.data[[#This Row],[Net Dens]],"")</f>
        <v>19436921.797972001</v>
      </c>
      <c r="AP75">
        <f>IFERROR(vp.data[[#This Row],[Dens]]*vp.data[[#This Row],[VolumeM3]],"")</f>
        <v>7504603.0108000012</v>
      </c>
      <c r="AQ75" s="15">
        <f>IFERROR(vp.data[[#This Row],[VP]]*vp.data[[#This Row],[VolumeM3]],"")</f>
        <v>597308.64549999998</v>
      </c>
    </row>
    <row r="76" spans="1:43" x14ac:dyDescent="0.25">
      <c r="A76">
        <v>75</v>
      </c>
      <c r="B76" t="s">
        <v>56</v>
      </c>
      <c r="C76" t="s">
        <v>56</v>
      </c>
      <c r="D76" t="s">
        <v>57</v>
      </c>
      <c r="F76" s="1">
        <v>42389</v>
      </c>
      <c r="G76" s="2">
        <v>106.2</v>
      </c>
      <c r="H76" s="2"/>
      <c r="I76" s="2">
        <f t="array" ref="I76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76" s="2"/>
      <c r="K76" s="2"/>
      <c r="L76" s="2">
        <v>844.5</v>
      </c>
      <c r="M76" s="2">
        <f t="array" ref="M76">_xlfn.IFNA(IF(vp.data[[#This Row],[Dens Input]]="",INDEX([1]DATA!$O$3:$O$9826,MATCH(1,(vp.data[[#This Row],[Battery]]=[1]DATA!$L$3:$L$9826)*(EOMONTH(vp.data[[#This Row],[SDate]],-1)+1=[1]DATA!$G$3:$G$9826),0)),vp.data[[#This Row],[Dens Input]]),"")</f>
        <v>844.5</v>
      </c>
      <c r="N76" s="2">
        <f ca="1">INDEX(INDIRECT(_xlfn.CONCAT("weather.tbl[",N$1,"]")),MATCH(vp.data[[#This Row],[SDate]],weather.tbl[Date],0))</f>
        <v>-9.1666666666666679</v>
      </c>
      <c r="O76" s="2">
        <f ca="1">INDEX(INDIRECT(_xlfn.CONCAT("weather.tbl[",O$1,"]")),MATCH(vp.data[[#This Row],[SDate]],weather.tbl[Date],0))</f>
        <v>-17.064285714285713</v>
      </c>
      <c r="P76" s="2">
        <f ca="1">INDEX(INDIRECT(_xlfn.CONCAT("weather.tbl[",P$1,"]")),MATCH(vp.data[[#This Row],[SDate]],weather.tbl[Date],0))</f>
        <v>-9.5</v>
      </c>
      <c r="Q76" s="2">
        <f ca="1">INDEX(INDIRECT(_xlfn.CONCAT("weather.tbl[",Q$1,"]")),MATCH(vp.data[[#This Row],[SDate]],weather.tbl[Date],0))</f>
        <v>-10.1</v>
      </c>
      <c r="R76" s="2">
        <f ca="1">INDEX(INDIRECT(_xlfn.CONCAT("weather.tbl[",R$1,"]")),MATCH(vp.data[[#This Row],[SDate]],weather.tbl[Date],0))</f>
        <v>-7.3</v>
      </c>
      <c r="S76" s="2">
        <f ca="1">INDEX(INDIRECT(_xlfn.CONCAT("weather.tbl[",S$1,"]")),MATCH(vp.data[[#This Row],[SDate]],weather.tbl[Date],0))</f>
        <v>-9.3000000000000007</v>
      </c>
      <c r="T76" s="2">
        <f ca="1">INDEX(INDIRECT(_xlfn.CONCAT("weather.tbl[",T$1,"]")),MATCH(vp.data[[#This Row],[SDate]],weather.tbl[Date],0))</f>
        <v>-8.6999999999999993</v>
      </c>
      <c r="U76" s="2">
        <f ca="1">INDEX(INDIRECT(_xlfn.CONCAT("weather.tbl[",U$1,"]")),MATCH(vp.data[[#This Row],[SDate]],weather.tbl[Date],0))</f>
        <v>-10.1</v>
      </c>
      <c r="V76" s="2">
        <f t="array" ref="V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3677.3530000000001</v>
      </c>
      <c r="W76" t="s">
        <v>48</v>
      </c>
      <c r="X76">
        <f>IF(OR(vp.data[[#This Row],[Sulf]]="",vp.data[[#This Row],[Dens]]=""),1,0)</f>
        <v>0</v>
      </c>
      <c r="Y76">
        <f>IF(vp.data[[#This Row],[CrudeType]]="C5+",1,0)</f>
        <v>0</v>
      </c>
      <c r="Z76">
        <f>IF(AND(vp.data[[#This Row],[CrudeType]]="Crude",vp.data[[#This Row],[Dens]]&lt;=825,vp.data[[#This Row],[Sulf]]&gt;0.5,vp.data[[#This Row],[Unknown]]=0),1,0)</f>
        <v>0</v>
      </c>
      <c r="AA76">
        <f>IF(AND(vp.data[[#This Row],[CrudeType]]="Crude",vp.data[[#This Row],[Dens]]&lt;=825,vp.data[[#This Row],[Sulf]]&lt;=0.5,vp.data[[#This Row],[Unknown]]=0),1,0)</f>
        <v>0</v>
      </c>
      <c r="AB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6">
        <f>IF(AND(vp.data[[#This Row],[CrudeType]]="Crude",vp.data[[#This Row],[Dens]]&gt;825,vp.data[[#This Row],[Dens]]&lt;=900,vp.data[[#This Row],[Sulf]]&lt;=0.5,vp.data[[#This Row],[Unknown]]=0),1,0)</f>
        <v>0</v>
      </c>
      <c r="AD76">
        <f>IF(AND(vp.data[[#This Row],[CrudeType]]="Crude",vp.data[[#This Row],[Dens]]&gt;865,vp.data[[#This Row],[Dens]]&lt;=900,vp.data[[#This Row],[Sulf]]&gt;2,vp.data[[#This Row],[Unknown]]=0),1,0)</f>
        <v>0</v>
      </c>
      <c r="AE76">
        <f>IF(AND(vp.data[[#This Row],[CrudeType]]="Crude",vp.data[[#This Row],[Dens]]&gt;900,vp.data[[#This Row],[Sulf]]&lt;=0.5,vp.data[[#This Row],[Unknown]]=0),1,0)</f>
        <v>0</v>
      </c>
      <c r="AF76">
        <f>IF(AND(vp.data[[#This Row],[CrudeType]]="Crude",vp.data[[#This Row],[Dens]]&gt;900,vp.data[[#This Row],[Sulf]]&lt;=0.5,vp.data[[#This Row],[Unknown]]=0),1,0)</f>
        <v>0</v>
      </c>
      <c r="AG76" t="str">
        <f>INDEX(vp.data[[#Headers],[Unknown]:[Heavy_SW]],MATCH(1,vp.data[[#This Row],[Unknown]:[Heavy_SW]],0))</f>
        <v>Medium_LSB</v>
      </c>
      <c r="AH76">
        <f>INDEX([3]!crudeBD.lkup[Number],MATCH(vp.data[[#This Row],[Crude_Breakdown]],crudeBD.lkup[Crude Breakdown],0))</f>
        <v>3</v>
      </c>
      <c r="AI76">
        <f>MONTH(vp.data[[#This Row],[SDate]])</f>
        <v>1</v>
      </c>
      <c r="AJ76" s="5">
        <f>(vp.data[[#This Row],[VP]]-INDEX(crudeBD.lkup[Mean_VP],MATCH(vp.data[[#This Row],[Crude_Breakdown]],crudeBD.lkup[Crude Breakdown],0)))^2</f>
        <v>653.33013487551329</v>
      </c>
      <c r="AK76" s="5">
        <f>(vp.data[[#This Row],[Dens]]-INDEX(crudeBD.lkup[Mean_Dens],MATCH(vp.data[[#This Row],[Crude_Breakdown]],crudeBD.lkup[Crude Breakdown],0)))^2</f>
        <v>0.33640000000057496</v>
      </c>
      <c r="AL76" s="5">
        <f>(vp.data[[#This Row],[Sulf]]-INDEX(crudeBD.lkup[Mean_Sulf],MATCH(vp.data[[#This Row],[Crude_Breakdown]],crudeBD.lkup[Crude Breakdown],0)))^2</f>
        <v>2.9802726320805671E-3</v>
      </c>
      <c r="AM76" s="4">
        <f>IF(AND(vp.data[[#This Row],[SDate]]&gt;=DATE(YEAR(vp.data[[#This Row],[SDate]]),5,1),vp.data[[#This Row],[SDate]]&lt;=DATE(YEAR(vp.data[[#This Row],[SDate]]),9,15)),1,0)</f>
        <v>0</v>
      </c>
      <c r="AN76" s="4">
        <f>IF(vp.data[[#This Row],[SDate]]&lt;DATE(2016,12,1),0,1)</f>
        <v>0</v>
      </c>
      <c r="AO76" s="4">
        <f>IFERROR(vp.data[[#This Row],[Sulf]]*vp.data[[#This Row],[Net Dens]],"")</f>
        <v>4471955.4362399997</v>
      </c>
      <c r="AP76">
        <f>IFERROR(vp.data[[#This Row],[Dens]]*vp.data[[#This Row],[VolumeM3]],"")</f>
        <v>3105524.6085000001</v>
      </c>
      <c r="AQ76" s="15">
        <f>IFERROR(vp.data[[#This Row],[VP]]*vp.data[[#This Row],[VolumeM3]],"")</f>
        <v>390534.88860000001</v>
      </c>
    </row>
    <row r="77" spans="1:43" x14ac:dyDescent="0.25">
      <c r="A77">
        <v>76</v>
      </c>
      <c r="B77" t="s">
        <v>62</v>
      </c>
      <c r="C77" t="s">
        <v>62</v>
      </c>
      <c r="D77" t="s">
        <v>63</v>
      </c>
      <c r="F77" s="1">
        <v>42389</v>
      </c>
      <c r="G77" s="2">
        <v>103.5</v>
      </c>
      <c r="H77" s="2"/>
      <c r="I77" s="2">
        <f t="array" ref="I77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77" s="2"/>
      <c r="K77" s="2"/>
      <c r="L77" s="2"/>
      <c r="M77" s="2">
        <f t="array" ref="M77">_xlfn.IFNA(IF(vp.data[[#This Row],[Dens Input]]="",INDEX([1]DATA!$O$3:$O$9826,MATCH(1,(vp.data[[#This Row],[Battery]]=[1]DATA!$L$3:$L$9826)*(EOMONTH(vp.data[[#This Row],[SDate]],-1)+1=[1]DATA!$G$3:$G$9826),0)),vp.data[[#This Row],[Dens Input]]),"")</f>
        <v>814.6</v>
      </c>
      <c r="N77" s="2">
        <f ca="1">INDEX(INDIRECT(_xlfn.CONCAT("weather.tbl[",N$1,"]")),MATCH(vp.data[[#This Row],[SDate]],weather.tbl[Date],0))</f>
        <v>-9.1666666666666679</v>
      </c>
      <c r="O77" s="2">
        <f ca="1">INDEX(INDIRECT(_xlfn.CONCAT("weather.tbl[",O$1,"]")),MATCH(vp.data[[#This Row],[SDate]],weather.tbl[Date],0))</f>
        <v>-17.064285714285713</v>
      </c>
      <c r="P77" s="2">
        <f ca="1">INDEX(INDIRECT(_xlfn.CONCAT("weather.tbl[",P$1,"]")),MATCH(vp.data[[#This Row],[SDate]],weather.tbl[Date],0))</f>
        <v>-9.5</v>
      </c>
      <c r="Q77" s="2">
        <f ca="1">INDEX(INDIRECT(_xlfn.CONCAT("weather.tbl[",Q$1,"]")),MATCH(vp.data[[#This Row],[SDate]],weather.tbl[Date],0))</f>
        <v>-10.1</v>
      </c>
      <c r="R77" s="2">
        <f ca="1">INDEX(INDIRECT(_xlfn.CONCAT("weather.tbl[",R$1,"]")),MATCH(vp.data[[#This Row],[SDate]],weather.tbl[Date],0))</f>
        <v>-7.3</v>
      </c>
      <c r="S77" s="2">
        <f ca="1">INDEX(INDIRECT(_xlfn.CONCAT("weather.tbl[",S$1,"]")),MATCH(vp.data[[#This Row],[SDate]],weather.tbl[Date],0))</f>
        <v>-9.3000000000000007</v>
      </c>
      <c r="T77" s="2">
        <f ca="1">INDEX(INDIRECT(_xlfn.CONCAT("weather.tbl[",T$1,"]")),MATCH(vp.data[[#This Row],[SDate]],weather.tbl[Date],0))</f>
        <v>-8.6999999999999993</v>
      </c>
      <c r="U77" s="2">
        <f ca="1">INDEX(INDIRECT(_xlfn.CONCAT("weather.tbl[",U$1,"]")),MATCH(vp.data[[#This Row],[SDate]],weather.tbl[Date],0))</f>
        <v>-10.1</v>
      </c>
      <c r="V77" s="2">
        <f t="array" ref="V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5725.6790000000001</v>
      </c>
      <c r="W77" t="s">
        <v>48</v>
      </c>
      <c r="X77">
        <f>IF(OR(vp.data[[#This Row],[Sulf]]="",vp.data[[#This Row],[Dens]]=""),1,0)</f>
        <v>0</v>
      </c>
      <c r="Y77">
        <f>IF(vp.data[[#This Row],[CrudeType]]="C5+",1,0)</f>
        <v>0</v>
      </c>
      <c r="Z77">
        <f>IF(AND(vp.data[[#This Row],[CrudeType]]="Crude",vp.data[[#This Row],[Dens]]&lt;=825,vp.data[[#This Row],[Sulf]]&gt;0.5,vp.data[[#This Row],[Unknown]]=0),1,0)</f>
        <v>1</v>
      </c>
      <c r="AA77">
        <f>IF(AND(vp.data[[#This Row],[CrudeType]]="Crude",vp.data[[#This Row],[Dens]]&lt;=825,vp.data[[#This Row],[Sulf]]&lt;=0.5,vp.data[[#This Row],[Unknown]]=0),1,0)</f>
        <v>0</v>
      </c>
      <c r="AB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">
        <f>IF(AND(vp.data[[#This Row],[CrudeType]]="Crude",vp.data[[#This Row],[Dens]]&gt;825,vp.data[[#This Row],[Dens]]&lt;=900,vp.data[[#This Row],[Sulf]]&lt;=0.5,vp.data[[#This Row],[Unknown]]=0),1,0)</f>
        <v>0</v>
      </c>
      <c r="AD77">
        <f>IF(AND(vp.data[[#This Row],[CrudeType]]="Crude",vp.data[[#This Row],[Dens]]&gt;865,vp.data[[#This Row],[Dens]]&lt;=900,vp.data[[#This Row],[Sulf]]&gt;2,vp.data[[#This Row],[Unknown]]=0),1,0)</f>
        <v>0</v>
      </c>
      <c r="AE77">
        <f>IF(AND(vp.data[[#This Row],[CrudeType]]="Crude",vp.data[[#This Row],[Dens]]&gt;900,vp.data[[#This Row],[Sulf]]&lt;=0.5,vp.data[[#This Row],[Unknown]]=0),1,0)</f>
        <v>0</v>
      </c>
      <c r="AF77">
        <f>IF(AND(vp.data[[#This Row],[CrudeType]]="Crude",vp.data[[#This Row],[Dens]]&gt;900,vp.data[[#This Row],[Sulf]]&lt;=0.5,vp.data[[#This Row],[Unknown]]=0),1,0)</f>
        <v>0</v>
      </c>
      <c r="AG77" t="str">
        <f>INDEX(vp.data[[#Headers],[Unknown]:[Heavy_SW]],MATCH(1,vp.data[[#This Row],[Unknown]:[Heavy_SW]],0))</f>
        <v>Light_LSB</v>
      </c>
      <c r="AH77">
        <f>INDEX([3]!crudeBD.lkup[Number],MATCH(vp.data[[#This Row],[Crude_Breakdown]],crudeBD.lkup[Crude Breakdown],0))</f>
        <v>1</v>
      </c>
      <c r="AI77">
        <f>MONTH(vp.data[[#This Row],[SDate]])</f>
        <v>1</v>
      </c>
      <c r="AJ77" s="5">
        <f>(vp.data[[#This Row],[VP]]-INDEX(crudeBD.lkup[Mean_VP],MATCH(vp.data[[#This Row],[Crude_Breakdown]],crudeBD.lkup[Crude Breakdown],0)))^2</f>
        <v>142.8936794983519</v>
      </c>
      <c r="AK77" s="5">
        <f>(vp.data[[#This Row],[Dens]]-INDEX(crudeBD.lkup[Mean_Dens],MATCH(vp.data[[#This Row],[Crude_Breakdown]],crudeBD.lkup[Crude Breakdown],0)))^2</f>
        <v>15.341085348540718</v>
      </c>
      <c r="AL77" s="5">
        <f>(vp.data[[#This Row],[Sulf]]-INDEX(crudeBD.lkup[Mean_Sulf],MATCH(vp.data[[#This Row],[Crude_Breakdown]],crudeBD.lkup[Crude Breakdown],0)))^2</f>
        <v>0.11358843333985327</v>
      </c>
      <c r="AM77" s="4">
        <f>IF(AND(vp.data[[#This Row],[SDate]]&gt;=DATE(YEAR(vp.data[[#This Row],[SDate]]),5,1),vp.data[[#This Row],[SDate]]&lt;=DATE(YEAR(vp.data[[#This Row],[SDate]]),9,15)),1,0)</f>
        <v>0</v>
      </c>
      <c r="AN77" s="4">
        <f>IF(vp.data[[#This Row],[SDate]]&lt;DATE(2016,12,1),0,1)</f>
        <v>0</v>
      </c>
      <c r="AO77" s="4">
        <f>IFERROR(vp.data[[#This Row],[Sulf]]*vp.data[[#This Row],[Net Dens]],"")</f>
        <v>5876814.0228840001</v>
      </c>
      <c r="AP77">
        <f>IFERROR(vp.data[[#This Row],[Dens]]*vp.data[[#This Row],[VolumeM3]],"")</f>
        <v>4664138.1134000001</v>
      </c>
      <c r="AQ77" s="15">
        <f>IFERROR(vp.data[[#This Row],[VP]]*vp.data[[#This Row],[VolumeM3]],"")</f>
        <v>592607.77650000004</v>
      </c>
    </row>
    <row r="78" spans="1:43" x14ac:dyDescent="0.25">
      <c r="A78">
        <v>77</v>
      </c>
      <c r="B78" t="s">
        <v>49</v>
      </c>
      <c r="C78" t="s">
        <v>49</v>
      </c>
      <c r="D78" t="s">
        <v>67</v>
      </c>
      <c r="F78" s="1">
        <v>42391</v>
      </c>
      <c r="G78" s="2">
        <v>75.400000000000006</v>
      </c>
      <c r="H78" s="2"/>
      <c r="I78" s="2">
        <f t="array" ref="I78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78" s="2"/>
      <c r="K78" s="2"/>
      <c r="L78" s="2">
        <v>800.5</v>
      </c>
      <c r="M78" s="2">
        <f t="array" ref="M78">_xlfn.IFNA(IF(vp.data[[#This Row],[Dens Input]]="",INDEX([1]DATA!$O$3:$O$9826,MATCH(1,(vp.data[[#This Row],[Battery]]=[1]DATA!$L$3:$L$9826)*(EOMONTH(vp.data[[#This Row],[SDate]],-1)+1=[1]DATA!$G$3:$G$9826),0)),vp.data[[#This Row],[Dens Input]]),"")</f>
        <v>800.5</v>
      </c>
      <c r="N78" s="2">
        <f ca="1">INDEX(INDIRECT(_xlfn.CONCAT("weather.tbl[",N$1,"]")),MATCH(vp.data[[#This Row],[SDate]],weather.tbl[Date],0))</f>
        <v>-8.9</v>
      </c>
      <c r="O78" s="2">
        <f ca="1">INDEX(INDIRECT(_xlfn.CONCAT("weather.tbl[",O$1,"]")),MATCH(vp.data[[#This Row],[SDate]],weather.tbl[Date],0))</f>
        <v>-16.076190476190479</v>
      </c>
      <c r="P78" s="2">
        <f ca="1">INDEX(INDIRECT(_xlfn.CONCAT("weather.tbl[",P$1,"]")),MATCH(vp.data[[#This Row],[SDate]],weather.tbl[Date],0))</f>
        <v>-7.9</v>
      </c>
      <c r="Q78" s="2">
        <f ca="1">INDEX(INDIRECT(_xlfn.CONCAT("weather.tbl[",Q$1,"]")),MATCH(vp.data[[#This Row],[SDate]],weather.tbl[Date],0))</f>
        <v>-7.3</v>
      </c>
      <c r="R78" s="2">
        <f ca="1">INDEX(INDIRECT(_xlfn.CONCAT("weather.tbl[",R$1,"]")),MATCH(vp.data[[#This Row],[SDate]],weather.tbl[Date],0))</f>
        <v>-11</v>
      </c>
      <c r="S78" s="2">
        <f ca="1">INDEX(INDIRECT(_xlfn.CONCAT("weather.tbl[",S$1,"]")),MATCH(vp.data[[#This Row],[SDate]],weather.tbl[Date],0))</f>
        <v>-6.8</v>
      </c>
      <c r="T78" s="2">
        <f ca="1">INDEX(INDIRECT(_xlfn.CONCAT("weather.tbl[",T$1,"]")),MATCH(vp.data[[#This Row],[SDate]],weather.tbl[Date],0))</f>
        <v>-11.7</v>
      </c>
      <c r="U78" s="2">
        <f ca="1">INDEX(INDIRECT(_xlfn.CONCAT("weather.tbl[",U$1,"]")),MATCH(vp.data[[#This Row],[SDate]],weather.tbl[Date],0))</f>
        <v>-8.6999999999999993</v>
      </c>
      <c r="V78" s="2">
        <f t="array" ref="V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51755.012999999999</v>
      </c>
      <c r="W78" t="s">
        <v>48</v>
      </c>
      <c r="X78">
        <f>IF(OR(vp.data[[#This Row],[Sulf]]="",vp.data[[#This Row],[Dens]]=""),1,0)</f>
        <v>0</v>
      </c>
      <c r="Y78">
        <f>IF(vp.data[[#This Row],[CrudeType]]="C5+",1,0)</f>
        <v>0</v>
      </c>
      <c r="Z78">
        <f>IF(AND(vp.data[[#This Row],[CrudeType]]="Crude",vp.data[[#This Row],[Dens]]&lt;=825,vp.data[[#This Row],[Sulf]]&gt;0.5,vp.data[[#This Row],[Unknown]]=0),1,0)</f>
        <v>0</v>
      </c>
      <c r="AA78">
        <f>IF(AND(vp.data[[#This Row],[CrudeType]]="Crude",vp.data[[#This Row],[Dens]]&lt;=825,vp.data[[#This Row],[Sulf]]&lt;=0.5,vp.data[[#This Row],[Unknown]]=0),1,0)</f>
        <v>1</v>
      </c>
      <c r="AB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">
        <f>IF(AND(vp.data[[#This Row],[CrudeType]]="Crude",vp.data[[#This Row],[Dens]]&gt;825,vp.data[[#This Row],[Dens]]&lt;=900,vp.data[[#This Row],[Sulf]]&lt;=0.5,vp.data[[#This Row],[Unknown]]=0),1,0)</f>
        <v>0</v>
      </c>
      <c r="AD78">
        <f>IF(AND(vp.data[[#This Row],[CrudeType]]="Crude",vp.data[[#This Row],[Dens]]&gt;865,vp.data[[#This Row],[Dens]]&lt;=900,vp.data[[#This Row],[Sulf]]&gt;2,vp.data[[#This Row],[Unknown]]=0),1,0)</f>
        <v>0</v>
      </c>
      <c r="AE78">
        <f>IF(AND(vp.data[[#This Row],[CrudeType]]="Crude",vp.data[[#This Row],[Dens]]&gt;900,vp.data[[#This Row],[Sulf]]&lt;=0.5,vp.data[[#This Row],[Unknown]]=0),1,0)</f>
        <v>0</v>
      </c>
      <c r="AF78">
        <f>IF(AND(vp.data[[#This Row],[CrudeType]]="Crude",vp.data[[#This Row],[Dens]]&gt;900,vp.data[[#This Row],[Sulf]]&lt;=0.5,vp.data[[#This Row],[Unknown]]=0),1,0)</f>
        <v>0</v>
      </c>
      <c r="AG78" t="str">
        <f>INDEX(vp.data[[#Headers],[Unknown]:[Heavy_SW]],MATCH(1,vp.data[[#This Row],[Unknown]:[Heavy_SW]],0))</f>
        <v>Light_SW</v>
      </c>
      <c r="AH78">
        <f>INDEX([3]!crudeBD.lkup[Number],MATCH(vp.data[[#This Row],[Crude_Breakdown]],crudeBD.lkup[Crude Breakdown],0))</f>
        <v>2</v>
      </c>
      <c r="AI78">
        <f>MONTH(vp.data[[#This Row],[SDate]])</f>
        <v>1</v>
      </c>
      <c r="AJ78" s="5">
        <f>(vp.data[[#This Row],[VP]]-INDEX(crudeBD.lkup[Mean_VP],MATCH(vp.data[[#This Row],[Crude_Breakdown]],crudeBD.lkup[Crude Breakdown],0)))^2</f>
        <v>294.13325619589773</v>
      </c>
      <c r="AK78" s="5">
        <f>(vp.data[[#This Row],[Dens]]-INDEX(crudeBD.lkup[Mean_Dens],MATCH(vp.data[[#This Row],[Crude_Breakdown]],crudeBD.lkup[Crude Breakdown],0)))^2</f>
        <v>61.019505032229588</v>
      </c>
      <c r="AL78" s="5">
        <f>(vp.data[[#This Row],[Sulf]]-INDEX(crudeBD.lkup[Mean_Sulf],MATCH(vp.data[[#This Row],[Crude_Breakdown]],crudeBD.lkup[Crude Breakdown],0)))^2</f>
        <v>6.8863268899706654E-4</v>
      </c>
      <c r="AM78" s="4">
        <f>IF(AND(vp.data[[#This Row],[SDate]]&gt;=DATE(YEAR(vp.data[[#This Row],[SDate]]),5,1),vp.data[[#This Row],[SDate]]&lt;=DATE(YEAR(vp.data[[#This Row],[SDate]]),9,15)),1,0)</f>
        <v>0</v>
      </c>
      <c r="AN78" s="4">
        <f>IF(vp.data[[#This Row],[SDate]]&lt;DATE(2016,12,1),0,1)</f>
        <v>0</v>
      </c>
      <c r="AO78" s="4">
        <f>IFERROR(vp.data[[#This Row],[Sulf]]*vp.data[[#This Row],[Net Dens]],"")</f>
        <v>8700276.4603649992</v>
      </c>
      <c r="AP78">
        <f>IFERROR(vp.data[[#This Row],[Dens]]*vp.data[[#This Row],[VolumeM3]],"")</f>
        <v>41429887.906499997</v>
      </c>
      <c r="AQ78" s="15">
        <f>IFERROR(vp.data[[#This Row],[VP]]*vp.data[[#This Row],[VolumeM3]],"")</f>
        <v>3902327.9802000001</v>
      </c>
    </row>
    <row r="79" spans="1:43" x14ac:dyDescent="0.25">
      <c r="A79">
        <v>78</v>
      </c>
      <c r="B79" t="s">
        <v>51</v>
      </c>
      <c r="C79" t="s">
        <v>51</v>
      </c>
      <c r="D79" t="s">
        <v>71</v>
      </c>
      <c r="F79" s="1">
        <v>42391</v>
      </c>
      <c r="G79" s="2">
        <v>93.7</v>
      </c>
      <c r="H79" s="2"/>
      <c r="I79" s="2">
        <f t="array" ref="I79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79" s="2"/>
      <c r="K79" s="2"/>
      <c r="L79" s="2">
        <v>844</v>
      </c>
      <c r="M79" s="2">
        <f t="array" ref="M79">_xlfn.IFNA(IF(vp.data[[#This Row],[Dens Input]]="",INDEX([1]DATA!$O$3:$O$9826,MATCH(1,(vp.data[[#This Row],[Battery]]=[1]DATA!$L$3:$L$9826)*(EOMONTH(vp.data[[#This Row],[SDate]],-1)+1=[1]DATA!$G$3:$G$9826),0)),vp.data[[#This Row],[Dens Input]]),"")</f>
        <v>844</v>
      </c>
      <c r="N79" s="2">
        <f ca="1">INDEX(INDIRECT(_xlfn.CONCAT("weather.tbl[",N$1,"]")),MATCH(vp.data[[#This Row],[SDate]],weather.tbl[Date],0))</f>
        <v>-8.9</v>
      </c>
      <c r="O79" s="2">
        <f ca="1">INDEX(INDIRECT(_xlfn.CONCAT("weather.tbl[",O$1,"]")),MATCH(vp.data[[#This Row],[SDate]],weather.tbl[Date],0))</f>
        <v>-16.076190476190479</v>
      </c>
      <c r="P79" s="2">
        <f ca="1">INDEX(INDIRECT(_xlfn.CONCAT("weather.tbl[",P$1,"]")),MATCH(vp.data[[#This Row],[SDate]],weather.tbl[Date],0))</f>
        <v>-7.9</v>
      </c>
      <c r="Q79" s="2">
        <f ca="1">INDEX(INDIRECT(_xlfn.CONCAT("weather.tbl[",Q$1,"]")),MATCH(vp.data[[#This Row],[SDate]],weather.tbl[Date],0))</f>
        <v>-7.3</v>
      </c>
      <c r="R79" s="2">
        <f ca="1">INDEX(INDIRECT(_xlfn.CONCAT("weather.tbl[",R$1,"]")),MATCH(vp.data[[#This Row],[SDate]],weather.tbl[Date],0))</f>
        <v>-11</v>
      </c>
      <c r="S79" s="2">
        <f ca="1">INDEX(INDIRECT(_xlfn.CONCAT("weather.tbl[",S$1,"]")),MATCH(vp.data[[#This Row],[SDate]],weather.tbl[Date],0))</f>
        <v>-6.8</v>
      </c>
      <c r="T79" s="2">
        <f ca="1">INDEX(INDIRECT(_xlfn.CONCAT("weather.tbl[",T$1,"]")),MATCH(vp.data[[#This Row],[SDate]],weather.tbl[Date],0))</f>
        <v>-11.7</v>
      </c>
      <c r="U79" s="2">
        <f ca="1">INDEX(INDIRECT(_xlfn.CONCAT("weather.tbl[",U$1,"]")),MATCH(vp.data[[#This Row],[SDate]],weather.tbl[Date],0))</f>
        <v>-8.6999999999999993</v>
      </c>
      <c r="V79" s="2">
        <f t="array" ref="V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5078.8159999999998</v>
      </c>
      <c r="W79" t="s">
        <v>48</v>
      </c>
      <c r="X79">
        <f>IF(OR(vp.data[[#This Row],[Sulf]]="",vp.data[[#This Row],[Dens]]=""),1,0)</f>
        <v>0</v>
      </c>
      <c r="Y79">
        <f>IF(vp.data[[#This Row],[CrudeType]]="C5+",1,0)</f>
        <v>0</v>
      </c>
      <c r="Z79">
        <f>IF(AND(vp.data[[#This Row],[CrudeType]]="Crude",vp.data[[#This Row],[Dens]]&lt;=825,vp.data[[#This Row],[Sulf]]&gt;0.5,vp.data[[#This Row],[Unknown]]=0),1,0)</f>
        <v>0</v>
      </c>
      <c r="AA79">
        <f>IF(AND(vp.data[[#This Row],[CrudeType]]="Crude",vp.data[[#This Row],[Dens]]&lt;=825,vp.data[[#This Row],[Sulf]]&lt;=0.5,vp.data[[#This Row],[Unknown]]=0),1,0)</f>
        <v>0</v>
      </c>
      <c r="AB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">
        <f>IF(AND(vp.data[[#This Row],[CrudeType]]="Crude",vp.data[[#This Row],[Dens]]&gt;825,vp.data[[#This Row],[Dens]]&lt;=900,vp.data[[#This Row],[Sulf]]&lt;=0.5,vp.data[[#This Row],[Unknown]]=0),1,0)</f>
        <v>0</v>
      </c>
      <c r="AD79">
        <f>IF(AND(vp.data[[#This Row],[CrudeType]]="Crude",vp.data[[#This Row],[Dens]]&gt;865,vp.data[[#This Row],[Dens]]&lt;=900,vp.data[[#This Row],[Sulf]]&gt;2,vp.data[[#This Row],[Unknown]]=0),1,0)</f>
        <v>0</v>
      </c>
      <c r="AE79">
        <f>IF(AND(vp.data[[#This Row],[CrudeType]]="Crude",vp.data[[#This Row],[Dens]]&gt;900,vp.data[[#This Row],[Sulf]]&lt;=0.5,vp.data[[#This Row],[Unknown]]=0),1,0)</f>
        <v>0</v>
      </c>
      <c r="AF79">
        <f>IF(AND(vp.data[[#This Row],[CrudeType]]="Crude",vp.data[[#This Row],[Dens]]&gt;900,vp.data[[#This Row],[Sulf]]&lt;=0.5,vp.data[[#This Row],[Unknown]]=0),1,0)</f>
        <v>0</v>
      </c>
      <c r="AG79" t="str">
        <f>INDEX(vp.data[[#Headers],[Unknown]:[Heavy_SW]],MATCH(1,vp.data[[#This Row],[Unknown]:[Heavy_SW]],0))</f>
        <v>Medium_LSB</v>
      </c>
      <c r="AH79">
        <f>INDEX([3]!crudeBD.lkup[Number],MATCH(vp.data[[#This Row],[Crude_Breakdown]],crudeBD.lkup[Crude Breakdown],0))</f>
        <v>3</v>
      </c>
      <c r="AI79">
        <f>MONTH(vp.data[[#This Row],[SDate]])</f>
        <v>1</v>
      </c>
      <c r="AJ79" s="5">
        <f>(vp.data[[#This Row],[VP]]-INDEX(crudeBD.lkup[Mean_VP],MATCH(vp.data[[#This Row],[Crude_Breakdown]],crudeBD.lkup[Crude Breakdown],0)))^2</f>
        <v>170.57204862214215</v>
      </c>
      <c r="AK79" s="5">
        <f>(vp.data[[#This Row],[Dens]]-INDEX(crudeBD.lkup[Mean_Dens],MATCH(vp.data[[#This Row],[Crude_Breakdown]],crudeBD.lkup[Crude Breakdown],0)))^2</f>
        <v>6.4000000000793075E-3</v>
      </c>
      <c r="AL79" s="5">
        <f>(vp.data[[#This Row],[Sulf]]-INDEX(crudeBD.lkup[Mean_Sulf],MATCH(vp.data[[#This Row],[Crude_Breakdown]],crudeBD.lkup[Crude Breakdown],0)))^2</f>
        <v>1.0939459963616806E-2</v>
      </c>
      <c r="AM79" s="4">
        <f>IF(AND(vp.data[[#This Row],[SDate]]&gt;=DATE(YEAR(vp.data[[#This Row],[SDate]]),5,1),vp.data[[#This Row],[SDate]]&lt;=DATE(YEAR(vp.data[[#This Row],[SDate]]),9,15)),1,0)</f>
        <v>0</v>
      </c>
      <c r="AN79" s="4">
        <f>IF(vp.data[[#This Row],[SDate]]&lt;DATE(2016,12,1),0,1)</f>
        <v>0</v>
      </c>
      <c r="AO79" s="4">
        <f>IFERROR(vp.data[[#This Row],[Sulf]]*vp.data[[#This Row],[Net Dens]],"")</f>
        <v>6386915.8489600001</v>
      </c>
      <c r="AP79">
        <f>IFERROR(vp.data[[#This Row],[Dens]]*vp.data[[#This Row],[VolumeM3]],"")</f>
        <v>4286520.7039999999</v>
      </c>
      <c r="AQ79" s="15">
        <f>IFERROR(vp.data[[#This Row],[VP]]*vp.data[[#This Row],[VolumeM3]],"")</f>
        <v>475885.05920000002</v>
      </c>
    </row>
    <row r="80" spans="1:43" x14ac:dyDescent="0.25">
      <c r="A80">
        <v>79</v>
      </c>
      <c r="B80" t="s">
        <v>51</v>
      </c>
      <c r="C80" t="s">
        <v>51</v>
      </c>
      <c r="D80" t="s">
        <v>72</v>
      </c>
      <c r="F80" s="1">
        <v>42397</v>
      </c>
      <c r="G80" s="2">
        <v>75.400000000000006</v>
      </c>
      <c r="H80" s="2"/>
      <c r="I80" s="2">
        <f t="array" ref="I80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80" s="2"/>
      <c r="K80" s="2"/>
      <c r="L80" s="2">
        <v>834</v>
      </c>
      <c r="M80" s="2">
        <f t="array" ref="M80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80" s="2">
        <f ca="1">INDEX(INDIRECT(_xlfn.CONCAT("weather.tbl[",N$1,"]")),MATCH(vp.data[[#This Row],[SDate]],weather.tbl[Date],0))</f>
        <v>-3.7333333333333329</v>
      </c>
      <c r="O80" s="2">
        <f ca="1">INDEX(INDIRECT(_xlfn.CONCAT("weather.tbl[",O$1,"]")),MATCH(vp.data[[#This Row],[SDate]],weather.tbl[Date],0))</f>
        <v>-4.6976190476190478</v>
      </c>
      <c r="P80" s="2">
        <f ca="1">INDEX(INDIRECT(_xlfn.CONCAT("weather.tbl[",P$1,"]")),MATCH(vp.data[[#This Row],[SDate]],weather.tbl[Date],0))</f>
        <v>-3.5</v>
      </c>
      <c r="Q80" s="2">
        <f ca="1">INDEX(INDIRECT(_xlfn.CONCAT("weather.tbl[",Q$1,"]")),MATCH(vp.data[[#This Row],[SDate]],weather.tbl[Date],0))</f>
        <v>-4.2</v>
      </c>
      <c r="R80" s="2">
        <f ca="1">INDEX(INDIRECT(_xlfn.CONCAT("weather.tbl[",R$1,"]")),MATCH(vp.data[[#This Row],[SDate]],weather.tbl[Date],0))</f>
        <v>-3.8</v>
      </c>
      <c r="S80" s="2">
        <f ca="1">INDEX(INDIRECT(_xlfn.CONCAT("weather.tbl[",S$1,"]")),MATCH(vp.data[[#This Row],[SDate]],weather.tbl[Date],0))</f>
        <v>-5.5</v>
      </c>
      <c r="T80" s="2">
        <f ca="1">INDEX(INDIRECT(_xlfn.CONCAT("weather.tbl[",T$1,"]")),MATCH(vp.data[[#This Row],[SDate]],weather.tbl[Date],0))</f>
        <v>-1.7</v>
      </c>
      <c r="U80" s="2">
        <f ca="1">INDEX(INDIRECT(_xlfn.CONCAT("weather.tbl[",U$1,"]")),MATCH(vp.data[[#This Row],[SDate]],weather.tbl[Date],0))</f>
        <v>-3.7</v>
      </c>
      <c r="V80" s="2">
        <f t="array" ref="V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4911.7619999999997</v>
      </c>
      <c r="W80" t="s">
        <v>48</v>
      </c>
      <c r="X80">
        <f>IF(OR(vp.data[[#This Row],[Sulf]]="",vp.data[[#This Row],[Dens]]=""),1,0)</f>
        <v>0</v>
      </c>
      <c r="Y80">
        <f>IF(vp.data[[#This Row],[CrudeType]]="C5+",1,0)</f>
        <v>0</v>
      </c>
      <c r="Z80">
        <f>IF(AND(vp.data[[#This Row],[CrudeType]]="Crude",vp.data[[#This Row],[Dens]]&lt;=825,vp.data[[#This Row],[Sulf]]&gt;0.5,vp.data[[#This Row],[Unknown]]=0),1,0)</f>
        <v>0</v>
      </c>
      <c r="AA80">
        <f>IF(AND(vp.data[[#This Row],[CrudeType]]="Crude",vp.data[[#This Row],[Dens]]&lt;=825,vp.data[[#This Row],[Sulf]]&lt;=0.5,vp.data[[#This Row],[Unknown]]=0),1,0)</f>
        <v>0</v>
      </c>
      <c r="AB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">
        <f>IF(AND(vp.data[[#This Row],[CrudeType]]="Crude",vp.data[[#This Row],[Dens]]&gt;825,vp.data[[#This Row],[Dens]]&lt;=900,vp.data[[#This Row],[Sulf]]&lt;=0.5,vp.data[[#This Row],[Unknown]]=0),1,0)</f>
        <v>0</v>
      </c>
      <c r="AD80">
        <f>IF(AND(vp.data[[#This Row],[CrudeType]]="Crude",vp.data[[#This Row],[Dens]]&gt;865,vp.data[[#This Row],[Dens]]&lt;=900,vp.data[[#This Row],[Sulf]]&gt;2,vp.data[[#This Row],[Unknown]]=0),1,0)</f>
        <v>0</v>
      </c>
      <c r="AE80">
        <f>IF(AND(vp.data[[#This Row],[CrudeType]]="Crude",vp.data[[#This Row],[Dens]]&gt;900,vp.data[[#This Row],[Sulf]]&lt;=0.5,vp.data[[#This Row],[Unknown]]=0),1,0)</f>
        <v>0</v>
      </c>
      <c r="AF80">
        <f>IF(AND(vp.data[[#This Row],[CrudeType]]="Crude",vp.data[[#This Row],[Dens]]&gt;900,vp.data[[#This Row],[Sulf]]&lt;=0.5,vp.data[[#This Row],[Unknown]]=0),1,0)</f>
        <v>0</v>
      </c>
      <c r="AG80" t="str">
        <f>INDEX(vp.data[[#Headers],[Unknown]:[Heavy_SW]],MATCH(1,vp.data[[#This Row],[Unknown]:[Heavy_SW]],0))</f>
        <v>Medium_LSB</v>
      </c>
      <c r="AH80">
        <f>INDEX([3]!crudeBD.lkup[Number],MATCH(vp.data[[#This Row],[Crude_Breakdown]],crudeBD.lkup[Crude Breakdown],0))</f>
        <v>3</v>
      </c>
      <c r="AI80">
        <f>MONTH(vp.data[[#This Row],[SDate]])</f>
        <v>1</v>
      </c>
      <c r="AJ80" s="5">
        <f>(vp.data[[#This Row],[VP]]-INDEX(crudeBD.lkup[Mean_VP],MATCH(vp.data[[#This Row],[Crude_Breakdown]],crudeBD.lkup[Crude Breakdown],0)))^2</f>
        <v>27.454210347206782</v>
      </c>
      <c r="AK80" s="5">
        <f>(vp.data[[#This Row],[Dens]]-INDEX(crudeBD.lkup[Mean_Dens],MATCH(vp.data[[#This Row],[Crude_Breakdown]],crudeBD.lkup[Crude Breakdown],0)))^2</f>
        <v>98.406399999990171</v>
      </c>
      <c r="AL80" s="5">
        <f>(vp.data[[#This Row],[Sulf]]-INDEX(crudeBD.lkup[Mean_Sulf],MATCH(vp.data[[#This Row],[Crude_Breakdown]],crudeBD.lkup[Crude Breakdown],0)))^2</f>
        <v>9.3274123845019638E-2</v>
      </c>
      <c r="AM80" s="4">
        <f>IF(AND(vp.data[[#This Row],[SDate]]&gt;=DATE(YEAR(vp.data[[#This Row],[SDate]]),5,1),vp.data[[#This Row],[SDate]]&lt;=DATE(YEAR(vp.data[[#This Row],[SDate]]),9,15)),1,0)</f>
        <v>0</v>
      </c>
      <c r="AN80" s="4">
        <f>IF(vp.data[[#This Row],[SDate]]&lt;DATE(2016,12,1),0,1)</f>
        <v>0</v>
      </c>
      <c r="AO80" s="4">
        <f>IFERROR(vp.data[[#This Row],[Sulf]]*vp.data[[#This Row],[Net Dens]],"")</f>
        <v>4424122.2686400004</v>
      </c>
      <c r="AP80">
        <f>IFERROR(vp.data[[#This Row],[Dens]]*vp.data[[#This Row],[VolumeM3]],"")</f>
        <v>4096409.5079999999</v>
      </c>
      <c r="AQ80" s="15">
        <f>IFERROR(vp.data[[#This Row],[VP]]*vp.data[[#This Row],[VolumeM3]],"")</f>
        <v>370346.85480000003</v>
      </c>
    </row>
    <row r="81" spans="1:43" x14ac:dyDescent="0.25">
      <c r="A81">
        <v>80</v>
      </c>
      <c r="B81" t="s">
        <v>51</v>
      </c>
      <c r="C81" t="s">
        <v>51</v>
      </c>
      <c r="D81" t="s">
        <v>66</v>
      </c>
      <c r="F81" s="1">
        <v>42398</v>
      </c>
      <c r="G81" s="2">
        <v>113.9</v>
      </c>
      <c r="H81" s="2"/>
      <c r="I81" s="2">
        <f t="array" ref="I81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81" s="2"/>
      <c r="K81" s="2"/>
      <c r="L81" s="2">
        <v>827.8</v>
      </c>
      <c r="M81" s="2">
        <f t="array" ref="M81">_xlfn.IFNA(IF(vp.data[[#This Row],[Dens Input]]="",INDEX([1]DATA!$O$3:$O$9826,MATCH(1,(vp.data[[#This Row],[Battery]]=[1]DATA!$L$3:$L$9826)*(EOMONTH(vp.data[[#This Row],[SDate]],-1)+1=[1]DATA!$G$3:$G$9826),0)),vp.data[[#This Row],[Dens Input]]),"")</f>
        <v>827.8</v>
      </c>
      <c r="N81" s="2">
        <f ca="1">INDEX(INDIRECT(_xlfn.CONCAT("weather.tbl[",N$1,"]")),MATCH(vp.data[[#This Row],[SDate]],weather.tbl[Date],0))</f>
        <v>0.46666666666666662</v>
      </c>
      <c r="O81" s="2">
        <f ca="1">INDEX(INDIRECT(_xlfn.CONCAT("weather.tbl[",O$1,"]")),MATCH(vp.data[[#This Row],[SDate]],weather.tbl[Date],0))</f>
        <v>-3.3595238095238096</v>
      </c>
      <c r="P81" s="2">
        <f ca="1">INDEX(INDIRECT(_xlfn.CONCAT("weather.tbl[",P$1,"]")),MATCH(vp.data[[#This Row],[SDate]],weather.tbl[Date],0))</f>
        <v>1.8</v>
      </c>
      <c r="Q81" s="2">
        <f ca="1">INDEX(INDIRECT(_xlfn.CONCAT("weather.tbl[",Q$1,"]")),MATCH(vp.data[[#This Row],[SDate]],weather.tbl[Date],0))</f>
        <v>2.2000000000000002</v>
      </c>
      <c r="R81" s="2">
        <f ca="1">INDEX(INDIRECT(_xlfn.CONCAT("weather.tbl[",R$1,"]")),MATCH(vp.data[[#This Row],[SDate]],weather.tbl[Date],0))</f>
        <v>0.3</v>
      </c>
      <c r="S81" s="2">
        <f ca="1">INDEX(INDIRECT(_xlfn.CONCAT("weather.tbl[",S$1,"]")),MATCH(vp.data[[#This Row],[SDate]],weather.tbl[Date],0))</f>
        <v>-5.5</v>
      </c>
      <c r="T81" s="2">
        <f ca="1">INDEX(INDIRECT(_xlfn.CONCAT("weather.tbl[",T$1,"]")),MATCH(vp.data[[#This Row],[SDate]],weather.tbl[Date],0))</f>
        <v>1.9</v>
      </c>
      <c r="U81" s="2">
        <f ca="1">INDEX(INDIRECT(_xlfn.CONCAT("weather.tbl[",U$1,"]")),MATCH(vp.data[[#This Row],[SDate]],weather.tbl[Date],0))</f>
        <v>2.1</v>
      </c>
      <c r="V81" s="2">
        <f t="array" ref="V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5160.3289999999997</v>
      </c>
      <c r="W81" t="s">
        <v>48</v>
      </c>
      <c r="X81">
        <f>IF(OR(vp.data[[#This Row],[Sulf]]="",vp.data[[#This Row],[Dens]]=""),1,0)</f>
        <v>0</v>
      </c>
      <c r="Y81">
        <f>IF(vp.data[[#This Row],[CrudeType]]="C5+",1,0)</f>
        <v>0</v>
      </c>
      <c r="Z81">
        <f>IF(AND(vp.data[[#This Row],[CrudeType]]="Crude",vp.data[[#This Row],[Dens]]&lt;=825,vp.data[[#This Row],[Sulf]]&gt;0.5,vp.data[[#This Row],[Unknown]]=0),1,0)</f>
        <v>0</v>
      </c>
      <c r="AA81">
        <f>IF(AND(vp.data[[#This Row],[CrudeType]]="Crude",vp.data[[#This Row],[Dens]]&lt;=825,vp.data[[#This Row],[Sulf]]&lt;=0.5,vp.data[[#This Row],[Unknown]]=0),1,0)</f>
        <v>0</v>
      </c>
      <c r="AB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">
        <f>IF(AND(vp.data[[#This Row],[CrudeType]]="Crude",vp.data[[#This Row],[Dens]]&gt;825,vp.data[[#This Row],[Dens]]&lt;=900,vp.data[[#This Row],[Sulf]]&lt;=0.5,vp.data[[#This Row],[Unknown]]=0),1,0)</f>
        <v>0</v>
      </c>
      <c r="AD81">
        <f>IF(AND(vp.data[[#This Row],[CrudeType]]="Crude",vp.data[[#This Row],[Dens]]&gt;865,vp.data[[#This Row],[Dens]]&lt;=900,vp.data[[#This Row],[Sulf]]&gt;2,vp.data[[#This Row],[Unknown]]=0),1,0)</f>
        <v>0</v>
      </c>
      <c r="AE81">
        <f>IF(AND(vp.data[[#This Row],[CrudeType]]="Crude",vp.data[[#This Row],[Dens]]&gt;900,vp.data[[#This Row],[Sulf]]&lt;=0.5,vp.data[[#This Row],[Unknown]]=0),1,0)</f>
        <v>0</v>
      </c>
      <c r="AF81">
        <f>IF(AND(vp.data[[#This Row],[CrudeType]]="Crude",vp.data[[#This Row],[Dens]]&gt;900,vp.data[[#This Row],[Sulf]]&lt;=0.5,vp.data[[#This Row],[Unknown]]=0),1,0)</f>
        <v>0</v>
      </c>
      <c r="AG81" t="str">
        <f>INDEX(vp.data[[#Headers],[Unknown]:[Heavy_SW]],MATCH(1,vp.data[[#This Row],[Unknown]:[Heavy_SW]],0))</f>
        <v>Medium_LSB</v>
      </c>
      <c r="AH81">
        <f>INDEX([3]!crudeBD.lkup[Number],MATCH(vp.data[[#This Row],[Crude_Breakdown]],crudeBD.lkup[Crude Breakdown],0))</f>
        <v>3</v>
      </c>
      <c r="AI81">
        <f>MONTH(vp.data[[#This Row],[SDate]])</f>
        <v>1</v>
      </c>
      <c r="AJ81" s="5">
        <f>(vp.data[[#This Row],[VP]]-INDEX(crudeBD.lkup[Mean_VP],MATCH(vp.data[[#This Row],[Crude_Breakdown]],crudeBD.lkup[Crude Breakdown],0)))^2</f>
        <v>1106.2491160075901</v>
      </c>
      <c r="AK81" s="5">
        <f>(vp.data[[#This Row],[Dens]]-INDEX(crudeBD.lkup[Mean_Dens],MATCH(vp.data[[#This Row],[Crude_Breakdown]],crudeBD.lkup[Crude Breakdown],0)))^2</f>
        <v>259.8543999999855</v>
      </c>
      <c r="AL81" s="5">
        <f>(vp.data[[#This Row],[Sulf]]-INDEX(crudeBD.lkup[Mean_Sulf],MATCH(vp.data[[#This Row],[Crude_Breakdown]],crudeBD.lkup[Crude Breakdown],0)))^2</f>
        <v>0.18958023678302549</v>
      </c>
      <c r="AM81" s="4">
        <f>IF(AND(vp.data[[#This Row],[SDate]]&gt;=DATE(YEAR(vp.data[[#This Row],[SDate]]),5,1),vp.data[[#This Row],[SDate]]&lt;=DATE(YEAR(vp.data[[#This Row],[SDate]]),9,15)),1,0)</f>
        <v>0</v>
      </c>
      <c r="AN81" s="4">
        <f>IF(vp.data[[#This Row],[SDate]]&lt;DATE(2016,12,1),0,1)</f>
        <v>0</v>
      </c>
      <c r="AO81" s="4">
        <f>IFERROR(vp.data[[#This Row],[Sulf]]*vp.data[[#This Row],[Net Dens]],"")</f>
        <v>4058134.3288899995</v>
      </c>
      <c r="AP81">
        <f>IFERROR(vp.data[[#This Row],[Dens]]*vp.data[[#This Row],[VolumeM3]],"")</f>
        <v>4271720.3461999996</v>
      </c>
      <c r="AQ81" s="15">
        <f>IFERROR(vp.data[[#This Row],[VP]]*vp.data[[#This Row],[VolumeM3]],"")</f>
        <v>587761.47309999994</v>
      </c>
    </row>
    <row r="82" spans="1:43" x14ac:dyDescent="0.25">
      <c r="A82">
        <v>81</v>
      </c>
      <c r="B82" t="s">
        <v>51</v>
      </c>
      <c r="C82" t="s">
        <v>51</v>
      </c>
      <c r="D82" t="s">
        <v>72</v>
      </c>
      <c r="F82" s="1">
        <v>42401</v>
      </c>
      <c r="G82" s="2">
        <v>113.5</v>
      </c>
      <c r="H82" s="2"/>
      <c r="I82" s="2">
        <f t="array" ref="I82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82" s="2"/>
      <c r="K82" s="2"/>
      <c r="L82" s="2">
        <v>834.8</v>
      </c>
      <c r="M82" s="2">
        <f t="array" ref="M82">_xlfn.IFNA(IF(vp.data[[#This Row],[Dens Input]]="",INDEX([1]DATA!$O$3:$O$9826,MATCH(1,(vp.data[[#This Row],[Battery]]=[1]DATA!$L$3:$L$9826)*(EOMONTH(vp.data[[#This Row],[SDate]],-1)+1=[1]DATA!$G$3:$G$9826),0)),vp.data[[#This Row],[Dens Input]]),"")</f>
        <v>834.8</v>
      </c>
      <c r="N82" s="2">
        <f ca="1">INDEX(INDIRECT(_xlfn.CONCAT("weather.tbl[",N$1,"]")),MATCH(vp.data[[#This Row],[SDate]],weather.tbl[Date],0))</f>
        <v>-6.5</v>
      </c>
      <c r="O82" s="2">
        <f ca="1">INDEX(INDIRECT(_xlfn.CONCAT("weather.tbl[",O$1,"]")),MATCH(vp.data[[#This Row],[SDate]],weather.tbl[Date],0))</f>
        <v>-3.4119047619047618</v>
      </c>
      <c r="P82" s="2">
        <f ca="1">INDEX(INDIRECT(_xlfn.CONCAT("weather.tbl[",P$1,"]")),MATCH(vp.data[[#This Row],[SDate]],weather.tbl[Date],0))</f>
        <v>-7.1</v>
      </c>
      <c r="Q82" s="2">
        <f ca="1">INDEX(INDIRECT(_xlfn.CONCAT("weather.tbl[",Q$1,"]")),MATCH(vp.data[[#This Row],[SDate]],weather.tbl[Date],0))</f>
        <v>-7.4</v>
      </c>
      <c r="R82" s="2">
        <f ca="1">INDEX(INDIRECT(_xlfn.CONCAT("weather.tbl[",R$1,"]")),MATCH(vp.data[[#This Row],[SDate]],weather.tbl[Date],0))</f>
        <v>-7.3</v>
      </c>
      <c r="S82" s="2">
        <f ca="1">INDEX(INDIRECT(_xlfn.CONCAT("weather.tbl[",S$1,"]")),MATCH(vp.data[[#This Row],[SDate]],weather.tbl[Date],0))</f>
        <v>-5.5</v>
      </c>
      <c r="T82" s="2">
        <f ca="1">INDEX(INDIRECT(_xlfn.CONCAT("weather.tbl[",T$1,"]")),MATCH(vp.data[[#This Row],[SDate]],weather.tbl[Date],0))</f>
        <v>-5.2</v>
      </c>
      <c r="U82" s="2">
        <f ca="1">INDEX(INDIRECT(_xlfn.CONCAT("weather.tbl[",U$1,"]")),MATCH(vp.data[[#This Row],[SDate]],weather.tbl[Date],0))</f>
        <v>-6.5</v>
      </c>
      <c r="V82" s="2">
        <f t="array" ref="V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4509.8549999999996</v>
      </c>
      <c r="W82" t="s">
        <v>48</v>
      </c>
      <c r="X82">
        <f>IF(OR(vp.data[[#This Row],[Sulf]]="",vp.data[[#This Row],[Dens]]=""),1,0)</f>
        <v>0</v>
      </c>
      <c r="Y82">
        <f>IF(vp.data[[#This Row],[CrudeType]]="C5+",1,0)</f>
        <v>0</v>
      </c>
      <c r="Z82">
        <f>IF(AND(vp.data[[#This Row],[CrudeType]]="Crude",vp.data[[#This Row],[Dens]]&lt;=825,vp.data[[#This Row],[Sulf]]&gt;0.5,vp.data[[#This Row],[Unknown]]=0),1,0)</f>
        <v>0</v>
      </c>
      <c r="AA82">
        <f>IF(AND(vp.data[[#This Row],[CrudeType]]="Crude",vp.data[[#This Row],[Dens]]&lt;=825,vp.data[[#This Row],[Sulf]]&lt;=0.5,vp.data[[#This Row],[Unknown]]=0),1,0)</f>
        <v>0</v>
      </c>
      <c r="AB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">
        <f>IF(AND(vp.data[[#This Row],[CrudeType]]="Crude",vp.data[[#This Row],[Dens]]&gt;825,vp.data[[#This Row],[Dens]]&lt;=900,vp.data[[#This Row],[Sulf]]&lt;=0.5,vp.data[[#This Row],[Unknown]]=0),1,0)</f>
        <v>0</v>
      </c>
      <c r="AD82">
        <f>IF(AND(vp.data[[#This Row],[CrudeType]]="Crude",vp.data[[#This Row],[Dens]]&gt;865,vp.data[[#This Row],[Dens]]&lt;=900,vp.data[[#This Row],[Sulf]]&gt;2,vp.data[[#This Row],[Unknown]]=0),1,0)</f>
        <v>0</v>
      </c>
      <c r="AE82">
        <f>IF(AND(vp.data[[#This Row],[CrudeType]]="Crude",vp.data[[#This Row],[Dens]]&gt;900,vp.data[[#This Row],[Sulf]]&lt;=0.5,vp.data[[#This Row],[Unknown]]=0),1,0)</f>
        <v>0</v>
      </c>
      <c r="AF82">
        <f>IF(AND(vp.data[[#This Row],[CrudeType]]="Crude",vp.data[[#This Row],[Dens]]&gt;900,vp.data[[#This Row],[Sulf]]&lt;=0.5,vp.data[[#This Row],[Unknown]]=0),1,0)</f>
        <v>0</v>
      </c>
      <c r="AG82" t="str">
        <f>INDEX(vp.data[[#Headers],[Unknown]:[Heavy_SW]],MATCH(1,vp.data[[#This Row],[Unknown]:[Heavy_SW]],0))</f>
        <v>Medium_LSB</v>
      </c>
      <c r="AH82">
        <f>INDEX([3]!crudeBD.lkup[Number],MATCH(vp.data[[#This Row],[Crude_Breakdown]],crudeBD.lkup[Crude Breakdown],0))</f>
        <v>3</v>
      </c>
      <c r="AI82">
        <f>MONTH(vp.data[[#This Row],[SDate]])</f>
        <v>2</v>
      </c>
      <c r="AJ82" s="5">
        <f>(vp.data[[#This Row],[VP]]-INDEX(crudeBD.lkup[Mean_VP],MATCH(vp.data[[#This Row],[Crude_Breakdown]],crudeBD.lkup[Crude Breakdown],0)))^2</f>
        <v>1079.8008572474819</v>
      </c>
      <c r="AK82" s="5">
        <f>(vp.data[[#This Row],[Dens]]-INDEX(crudeBD.lkup[Mean_Dens],MATCH(vp.data[[#This Row],[Crude_Breakdown]],crudeBD.lkup[Crude Breakdown],0)))^2</f>
        <v>83.174399999991792</v>
      </c>
      <c r="AL82" s="5">
        <f>(vp.data[[#This Row],[Sulf]]-INDEX(crudeBD.lkup[Mean_Sulf],MATCH(vp.data[[#This Row],[Crude_Breakdown]],crudeBD.lkup[Crude Breakdown],0)))^2</f>
        <v>9.3274123845019638E-2</v>
      </c>
      <c r="AM82" s="4">
        <f>IF(AND(vp.data[[#This Row],[SDate]]&gt;=DATE(YEAR(vp.data[[#This Row],[SDate]]),5,1),vp.data[[#This Row],[SDate]]&lt;=DATE(YEAR(vp.data[[#This Row],[SDate]]),9,15)),1,0)</f>
        <v>0</v>
      </c>
      <c r="AN82" s="4">
        <f>IF(vp.data[[#This Row],[SDate]]&lt;DATE(2016,12,1),0,1)</f>
        <v>0</v>
      </c>
      <c r="AO82" s="4">
        <f>IFERROR(vp.data[[#This Row],[Sulf]]*vp.data[[#This Row],[Net Dens]],"")</f>
        <v>4066013.1103199995</v>
      </c>
      <c r="AP82">
        <f>IFERROR(vp.data[[#This Row],[Dens]]*vp.data[[#This Row],[VolumeM3]],"")</f>
        <v>3764826.9539999994</v>
      </c>
      <c r="AQ82" s="15">
        <f>IFERROR(vp.data[[#This Row],[VP]]*vp.data[[#This Row],[VolumeM3]],"")</f>
        <v>511868.54249999992</v>
      </c>
    </row>
    <row r="83" spans="1:43" x14ac:dyDescent="0.25">
      <c r="A83">
        <v>82</v>
      </c>
      <c r="B83" t="s">
        <v>51</v>
      </c>
      <c r="C83" t="s">
        <v>51</v>
      </c>
      <c r="D83" t="s">
        <v>66</v>
      </c>
      <c r="F83" s="1">
        <v>42403</v>
      </c>
      <c r="G83" s="2">
        <v>116.1</v>
      </c>
      <c r="H83" s="2"/>
      <c r="I83" s="2">
        <f t="array" ref="I83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83" s="2"/>
      <c r="K83" s="2"/>
      <c r="L83" s="2">
        <v>828.3</v>
      </c>
      <c r="M83" s="2">
        <f t="array" ref="M83">_xlfn.IFNA(IF(vp.data[[#This Row],[Dens Input]]="",INDEX([1]DATA!$O$3:$O$9826,MATCH(1,(vp.data[[#This Row],[Battery]]=[1]DATA!$L$3:$L$9826)*(EOMONTH(vp.data[[#This Row],[SDate]],-1)+1=[1]DATA!$G$3:$G$9826),0)),vp.data[[#This Row],[Dens Input]]),"")</f>
        <v>828.3</v>
      </c>
      <c r="N83" s="2">
        <f ca="1">INDEX(INDIRECT(_xlfn.CONCAT("weather.tbl[",N$1,"]")),MATCH(vp.data[[#This Row],[SDate]],weather.tbl[Date],0))</f>
        <v>-7.75</v>
      </c>
      <c r="O83" s="2">
        <f ca="1">INDEX(INDIRECT(_xlfn.CONCAT("weather.tbl[",O$1,"]")),MATCH(vp.data[[#This Row],[SDate]],weather.tbl[Date],0))</f>
        <v>-4.7285714285714286</v>
      </c>
      <c r="P83" s="2">
        <f ca="1">INDEX(INDIRECT(_xlfn.CONCAT("weather.tbl[",P$1,"]")),MATCH(vp.data[[#This Row],[SDate]],weather.tbl[Date],0))</f>
        <v>-7.1</v>
      </c>
      <c r="Q83" s="2">
        <f ca="1">INDEX(INDIRECT(_xlfn.CONCAT("weather.tbl[",Q$1,"]")),MATCH(vp.data[[#This Row],[SDate]],weather.tbl[Date],0))</f>
        <v>-7.5</v>
      </c>
      <c r="R83" s="2">
        <f ca="1">INDEX(INDIRECT(_xlfn.CONCAT("weather.tbl[",R$1,"]")),MATCH(vp.data[[#This Row],[SDate]],weather.tbl[Date],0))</f>
        <v>-9.5</v>
      </c>
      <c r="S83" s="2">
        <f ca="1">INDEX(INDIRECT(_xlfn.CONCAT("weather.tbl[",S$1,"]")),MATCH(vp.data[[#This Row],[SDate]],weather.tbl[Date],0))</f>
        <v>-4.8</v>
      </c>
      <c r="T83" s="2">
        <f ca="1">INDEX(INDIRECT(_xlfn.CONCAT("weather.tbl[",T$1,"]")),MATCH(vp.data[[#This Row],[SDate]],weather.tbl[Date],0))</f>
        <v>-8.3000000000000007</v>
      </c>
      <c r="U83" s="2">
        <f ca="1">INDEX(INDIRECT(_xlfn.CONCAT("weather.tbl[",U$1,"]")),MATCH(vp.data[[#This Row],[SDate]],weather.tbl[Date],0))</f>
        <v>-9.3000000000000007</v>
      </c>
      <c r="V83" s="2">
        <f t="array" ref="V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5006.799</v>
      </c>
      <c r="W83" t="s">
        <v>48</v>
      </c>
      <c r="X83">
        <f>IF(OR(vp.data[[#This Row],[Sulf]]="",vp.data[[#This Row],[Dens]]=""),1,0)</f>
        <v>0</v>
      </c>
      <c r="Y83">
        <f>IF(vp.data[[#This Row],[CrudeType]]="C5+",1,0)</f>
        <v>0</v>
      </c>
      <c r="Z83">
        <f>IF(AND(vp.data[[#This Row],[CrudeType]]="Crude",vp.data[[#This Row],[Dens]]&lt;=825,vp.data[[#This Row],[Sulf]]&gt;0.5,vp.data[[#This Row],[Unknown]]=0),1,0)</f>
        <v>0</v>
      </c>
      <c r="AA83">
        <f>IF(AND(vp.data[[#This Row],[CrudeType]]="Crude",vp.data[[#This Row],[Dens]]&lt;=825,vp.data[[#This Row],[Sulf]]&lt;=0.5,vp.data[[#This Row],[Unknown]]=0),1,0)</f>
        <v>0</v>
      </c>
      <c r="AB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3">
        <f>IF(AND(vp.data[[#This Row],[CrudeType]]="Crude",vp.data[[#This Row],[Dens]]&gt;825,vp.data[[#This Row],[Dens]]&lt;=900,vp.data[[#This Row],[Sulf]]&lt;=0.5,vp.data[[#This Row],[Unknown]]=0),1,0)</f>
        <v>0</v>
      </c>
      <c r="AD83">
        <f>IF(AND(vp.data[[#This Row],[CrudeType]]="Crude",vp.data[[#This Row],[Dens]]&gt;865,vp.data[[#This Row],[Dens]]&lt;=900,vp.data[[#This Row],[Sulf]]&gt;2,vp.data[[#This Row],[Unknown]]=0),1,0)</f>
        <v>0</v>
      </c>
      <c r="AE83">
        <f>IF(AND(vp.data[[#This Row],[CrudeType]]="Crude",vp.data[[#This Row],[Dens]]&gt;900,vp.data[[#This Row],[Sulf]]&lt;=0.5,vp.data[[#This Row],[Unknown]]=0),1,0)</f>
        <v>0</v>
      </c>
      <c r="AF83">
        <f>IF(AND(vp.data[[#This Row],[CrudeType]]="Crude",vp.data[[#This Row],[Dens]]&gt;900,vp.data[[#This Row],[Sulf]]&lt;=0.5,vp.data[[#This Row],[Unknown]]=0),1,0)</f>
        <v>0</v>
      </c>
      <c r="AG83" t="str">
        <f>INDEX(vp.data[[#Headers],[Unknown]:[Heavy_SW]],MATCH(1,vp.data[[#This Row],[Unknown]:[Heavy_SW]],0))</f>
        <v>Medium_LSB</v>
      </c>
      <c r="AH83">
        <f>INDEX([3]!crudeBD.lkup[Number],MATCH(vp.data[[#This Row],[Crude_Breakdown]],crudeBD.lkup[Crude Breakdown],0))</f>
        <v>3</v>
      </c>
      <c r="AI83">
        <f>MONTH(vp.data[[#This Row],[SDate]])</f>
        <v>2</v>
      </c>
      <c r="AJ83" s="5">
        <f>(vp.data[[#This Row],[VP]]-INDEX(crudeBD.lkup[Mean_VP],MATCH(vp.data[[#This Row],[Crude_Breakdown]],crudeBD.lkup[Crude Breakdown],0)))^2</f>
        <v>1257.4345391881827</v>
      </c>
      <c r="AK83" s="5">
        <f>(vp.data[[#This Row],[Dens]]-INDEX(crudeBD.lkup[Mean_Dens],MATCH(vp.data[[#This Row],[Crude_Breakdown]],crudeBD.lkup[Crude Breakdown],0)))^2</f>
        <v>243.98439999998592</v>
      </c>
      <c r="AL83" s="5">
        <f>(vp.data[[#This Row],[Sulf]]-INDEX(crudeBD.lkup[Mean_Sulf],MATCH(vp.data[[#This Row],[Crude_Breakdown]],crudeBD.lkup[Crude Breakdown],0)))^2</f>
        <v>0.18958023678302549</v>
      </c>
      <c r="AM83" s="4">
        <f>IF(AND(vp.data[[#This Row],[SDate]]&gt;=DATE(YEAR(vp.data[[#This Row],[SDate]]),5,1),vp.data[[#This Row],[SDate]]&lt;=DATE(YEAR(vp.data[[#This Row],[SDate]]),9,15)),1,0)</f>
        <v>0</v>
      </c>
      <c r="AN83" s="4">
        <f>IF(vp.data[[#This Row],[SDate]]&lt;DATE(2016,12,1),0,1)</f>
        <v>0</v>
      </c>
      <c r="AO83" s="4">
        <f>IFERROR(vp.data[[#This Row],[Sulf]]*vp.data[[#This Row],[Net Dens]],"")</f>
        <v>3939775.0311149997</v>
      </c>
      <c r="AP83">
        <f>IFERROR(vp.data[[#This Row],[Dens]]*vp.data[[#This Row],[VolumeM3]],"")</f>
        <v>4147131.6116999998</v>
      </c>
      <c r="AQ83" s="15">
        <f>IFERROR(vp.data[[#This Row],[VP]]*vp.data[[#This Row],[VolumeM3]],"")</f>
        <v>581289.3639</v>
      </c>
    </row>
    <row r="84" spans="1:43" x14ac:dyDescent="0.25">
      <c r="A84">
        <v>83</v>
      </c>
      <c r="B84" t="s">
        <v>56</v>
      </c>
      <c r="C84" t="s">
        <v>56</v>
      </c>
      <c r="D84" t="s">
        <v>57</v>
      </c>
      <c r="F84" s="1">
        <v>42403</v>
      </c>
      <c r="G84" s="2">
        <v>92.1</v>
      </c>
      <c r="H84" s="2"/>
      <c r="I84" s="2">
        <f t="array" ref="I84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84" s="2"/>
      <c r="K84" s="2"/>
      <c r="L84" s="2">
        <v>845.5</v>
      </c>
      <c r="M84" s="2">
        <f t="array" ref="M84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84" s="2">
        <f ca="1">INDEX(INDIRECT(_xlfn.CONCAT("weather.tbl[",N$1,"]")),MATCH(vp.data[[#This Row],[SDate]],weather.tbl[Date],0))</f>
        <v>-7.75</v>
      </c>
      <c r="O84" s="2">
        <f ca="1">INDEX(INDIRECT(_xlfn.CONCAT("weather.tbl[",O$1,"]")),MATCH(vp.data[[#This Row],[SDate]],weather.tbl[Date],0))</f>
        <v>-4.7285714285714286</v>
      </c>
      <c r="P84" s="2">
        <f ca="1">INDEX(INDIRECT(_xlfn.CONCAT("weather.tbl[",P$1,"]")),MATCH(vp.data[[#This Row],[SDate]],weather.tbl[Date],0))</f>
        <v>-7.1</v>
      </c>
      <c r="Q84" s="2">
        <f ca="1">INDEX(INDIRECT(_xlfn.CONCAT("weather.tbl[",Q$1,"]")),MATCH(vp.data[[#This Row],[SDate]],weather.tbl[Date],0))</f>
        <v>-7.5</v>
      </c>
      <c r="R84" s="2">
        <f ca="1">INDEX(INDIRECT(_xlfn.CONCAT("weather.tbl[",R$1,"]")),MATCH(vp.data[[#This Row],[SDate]],weather.tbl[Date],0))</f>
        <v>-9.5</v>
      </c>
      <c r="S84" s="2">
        <f ca="1">INDEX(INDIRECT(_xlfn.CONCAT("weather.tbl[",S$1,"]")),MATCH(vp.data[[#This Row],[SDate]],weather.tbl[Date],0))</f>
        <v>-4.8</v>
      </c>
      <c r="T84" s="2">
        <f ca="1">INDEX(INDIRECT(_xlfn.CONCAT("weather.tbl[",T$1,"]")),MATCH(vp.data[[#This Row],[SDate]],weather.tbl[Date],0))</f>
        <v>-8.3000000000000007</v>
      </c>
      <c r="U84" s="2">
        <f ca="1">INDEX(INDIRECT(_xlfn.CONCAT("weather.tbl[",U$1,"]")),MATCH(vp.data[[#This Row],[SDate]],weather.tbl[Date],0))</f>
        <v>-9.3000000000000007</v>
      </c>
      <c r="V84" s="2">
        <f t="array" ref="V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3507.4290000000001</v>
      </c>
      <c r="W84" t="s">
        <v>48</v>
      </c>
      <c r="X84">
        <f>IF(OR(vp.data[[#This Row],[Sulf]]="",vp.data[[#This Row],[Dens]]=""),1,0)</f>
        <v>0</v>
      </c>
      <c r="Y84">
        <f>IF(vp.data[[#This Row],[CrudeType]]="C5+",1,0)</f>
        <v>0</v>
      </c>
      <c r="Z84">
        <f>IF(AND(vp.data[[#This Row],[CrudeType]]="Crude",vp.data[[#This Row],[Dens]]&lt;=825,vp.data[[#This Row],[Sulf]]&gt;0.5,vp.data[[#This Row],[Unknown]]=0),1,0)</f>
        <v>0</v>
      </c>
      <c r="AA84">
        <f>IF(AND(vp.data[[#This Row],[CrudeType]]="Crude",vp.data[[#This Row],[Dens]]&lt;=825,vp.data[[#This Row],[Sulf]]&lt;=0.5,vp.data[[#This Row],[Unknown]]=0),1,0)</f>
        <v>0</v>
      </c>
      <c r="AB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">
        <f>IF(AND(vp.data[[#This Row],[CrudeType]]="Crude",vp.data[[#This Row],[Dens]]&gt;825,vp.data[[#This Row],[Dens]]&lt;=900,vp.data[[#This Row],[Sulf]]&lt;=0.5,vp.data[[#This Row],[Unknown]]=0),1,0)</f>
        <v>0</v>
      </c>
      <c r="AD84">
        <f>IF(AND(vp.data[[#This Row],[CrudeType]]="Crude",vp.data[[#This Row],[Dens]]&gt;865,vp.data[[#This Row],[Dens]]&lt;=900,vp.data[[#This Row],[Sulf]]&gt;2,vp.data[[#This Row],[Unknown]]=0),1,0)</f>
        <v>0</v>
      </c>
      <c r="AE84">
        <f>IF(AND(vp.data[[#This Row],[CrudeType]]="Crude",vp.data[[#This Row],[Dens]]&gt;900,vp.data[[#This Row],[Sulf]]&lt;=0.5,vp.data[[#This Row],[Unknown]]=0),1,0)</f>
        <v>0</v>
      </c>
      <c r="AF84">
        <f>IF(AND(vp.data[[#This Row],[CrudeType]]="Crude",vp.data[[#This Row],[Dens]]&gt;900,vp.data[[#This Row],[Sulf]]&lt;=0.5,vp.data[[#This Row],[Unknown]]=0),1,0)</f>
        <v>0</v>
      </c>
      <c r="AG84" t="str">
        <f>INDEX(vp.data[[#Headers],[Unknown]:[Heavy_SW]],MATCH(1,vp.data[[#This Row],[Unknown]:[Heavy_SW]],0))</f>
        <v>Medium_LSB</v>
      </c>
      <c r="AH84">
        <f>INDEX([3]!crudeBD.lkup[Number],MATCH(vp.data[[#This Row],[Crude_Breakdown]],crudeBD.lkup[Crude Breakdown],0))</f>
        <v>3</v>
      </c>
      <c r="AI84">
        <f>MONTH(vp.data[[#This Row],[SDate]])</f>
        <v>2</v>
      </c>
      <c r="AJ84" s="5">
        <f>(vp.data[[#This Row],[VP]]-INDEX(crudeBD.lkup[Mean_VP],MATCH(vp.data[[#This Row],[Crude_Breakdown]],crudeBD.lkup[Crude Breakdown],0)))^2</f>
        <v>131.33901358171045</v>
      </c>
      <c r="AK84" s="5">
        <f>(vp.data[[#This Row],[Dens]]-INDEX(crudeBD.lkup[Mean_Dens],MATCH(vp.data[[#This Row],[Crude_Breakdown]],crudeBD.lkup[Crude Breakdown],0)))^2</f>
        <v>2.4964000000015663</v>
      </c>
      <c r="AL84" s="5">
        <f>(vp.data[[#This Row],[Sulf]]-INDEX(crudeBD.lkup[Mean_Sulf],MATCH(vp.data[[#This Row],[Crude_Breakdown]],crudeBD.lkup[Crude Breakdown],0)))^2</f>
        <v>2.9802726320805671E-3</v>
      </c>
      <c r="AM84" s="4">
        <f>IF(AND(vp.data[[#This Row],[SDate]]&gt;=DATE(YEAR(vp.data[[#This Row],[SDate]]),5,1),vp.data[[#This Row],[SDate]]&lt;=DATE(YEAR(vp.data[[#This Row],[SDate]]),9,15)),1,0)</f>
        <v>0</v>
      </c>
      <c r="AN84" s="4">
        <f>IF(vp.data[[#This Row],[SDate]]&lt;DATE(2016,12,1),0,1)</f>
        <v>0</v>
      </c>
      <c r="AO84" s="4">
        <f>IFERROR(vp.data[[#This Row],[Sulf]]*vp.data[[#This Row],[Net Dens]],"")</f>
        <v>4270364.9560799999</v>
      </c>
      <c r="AP84">
        <f>IFERROR(vp.data[[#This Row],[Dens]]*vp.data[[#This Row],[VolumeM3]],"")</f>
        <v>2965531.2195000001</v>
      </c>
      <c r="AQ84" s="15">
        <f>IFERROR(vp.data[[#This Row],[VP]]*vp.data[[#This Row],[VolumeM3]],"")</f>
        <v>323034.21090000001</v>
      </c>
    </row>
    <row r="85" spans="1:43" x14ac:dyDescent="0.25">
      <c r="A85">
        <v>84</v>
      </c>
      <c r="B85" t="s">
        <v>60</v>
      </c>
      <c r="C85" t="s">
        <v>60</v>
      </c>
      <c r="D85" t="s">
        <v>61</v>
      </c>
      <c r="E85" t="s">
        <v>73</v>
      </c>
      <c r="F85" s="1">
        <v>42408</v>
      </c>
      <c r="G85" s="2">
        <v>52.5</v>
      </c>
      <c r="H85" s="2"/>
      <c r="I85" s="2">
        <f t="array" ref="I85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85" s="2"/>
      <c r="K85" s="2"/>
      <c r="L85" s="2">
        <v>824</v>
      </c>
      <c r="M85" s="2">
        <f t="array" ref="M85">_xlfn.IFNA(IF(vp.data[[#This Row],[Dens Input]]="",INDEX([1]DATA!$O$3:$O$9826,MATCH(1,(vp.data[[#This Row],[Battery]]=[1]DATA!$L$3:$L$9826)*(EOMONTH(vp.data[[#This Row],[SDate]],-1)+1=[1]DATA!$G$3:$G$9826),0)),vp.data[[#This Row],[Dens Input]]),"")</f>
        <v>824</v>
      </c>
      <c r="N85" s="2">
        <f ca="1">INDEX(INDIRECT(_xlfn.CONCAT("weather.tbl[",N$1,"]")),MATCH(vp.data[[#This Row],[SDate]],weather.tbl[Date],0))</f>
        <v>-5.8166666666666664</v>
      </c>
      <c r="O85" s="2">
        <f ca="1">INDEX(INDIRECT(_xlfn.CONCAT("weather.tbl[",O$1,"]")),MATCH(vp.data[[#This Row],[SDate]],weather.tbl[Date],0))</f>
        <v>-5.4190476190476193</v>
      </c>
      <c r="P85" s="2">
        <f ca="1">INDEX(INDIRECT(_xlfn.CONCAT("weather.tbl[",P$1,"]")),MATCH(vp.data[[#This Row],[SDate]],weather.tbl[Date],0))</f>
        <v>-5.0999999999999996</v>
      </c>
      <c r="Q85" s="2">
        <f ca="1">INDEX(INDIRECT(_xlfn.CONCAT("weather.tbl[",Q$1,"]")),MATCH(vp.data[[#This Row],[SDate]],weather.tbl[Date],0))</f>
        <v>-5.2</v>
      </c>
      <c r="R85" s="2">
        <f ca="1">INDEX(INDIRECT(_xlfn.CONCAT("weather.tbl[",R$1,"]")),MATCH(vp.data[[#This Row],[SDate]],weather.tbl[Date],0))</f>
        <v>-6.5</v>
      </c>
      <c r="S85" s="2">
        <f ca="1">INDEX(INDIRECT(_xlfn.CONCAT("weather.tbl[",S$1,"]")),MATCH(vp.data[[#This Row],[SDate]],weather.tbl[Date],0))</f>
        <v>-3.5</v>
      </c>
      <c r="T85" s="2">
        <f ca="1">INDEX(INDIRECT(_xlfn.CONCAT("weather.tbl[",T$1,"]")),MATCH(vp.data[[#This Row],[SDate]],weather.tbl[Date],0))</f>
        <v>-7.1</v>
      </c>
      <c r="U85" s="2">
        <f ca="1">INDEX(INDIRECT(_xlfn.CONCAT("weather.tbl[",U$1,"]")),MATCH(vp.data[[#This Row],[SDate]],weather.tbl[Date],0))</f>
        <v>-7.5</v>
      </c>
      <c r="V85" s="2">
        <f t="array" ref="V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106551.844</v>
      </c>
      <c r="W85" t="s">
        <v>48</v>
      </c>
      <c r="X85">
        <f>IF(OR(vp.data[[#This Row],[Sulf]]="",vp.data[[#This Row],[Dens]]=""),1,0)</f>
        <v>0</v>
      </c>
      <c r="Y85">
        <f>IF(vp.data[[#This Row],[CrudeType]]="C5+",1,0)</f>
        <v>0</v>
      </c>
      <c r="Z85">
        <f>IF(AND(vp.data[[#This Row],[CrudeType]]="Crude",vp.data[[#This Row],[Dens]]&lt;=825,vp.data[[#This Row],[Sulf]]&gt;0.5,vp.data[[#This Row],[Unknown]]=0),1,0)</f>
        <v>1</v>
      </c>
      <c r="AA85">
        <f>IF(AND(vp.data[[#This Row],[CrudeType]]="Crude",vp.data[[#This Row],[Dens]]&lt;=825,vp.data[[#This Row],[Sulf]]&lt;=0.5,vp.data[[#This Row],[Unknown]]=0),1,0)</f>
        <v>0</v>
      </c>
      <c r="AB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">
        <f>IF(AND(vp.data[[#This Row],[CrudeType]]="Crude",vp.data[[#This Row],[Dens]]&gt;825,vp.data[[#This Row],[Dens]]&lt;=900,vp.data[[#This Row],[Sulf]]&lt;=0.5,vp.data[[#This Row],[Unknown]]=0),1,0)</f>
        <v>0</v>
      </c>
      <c r="AD85">
        <f>IF(AND(vp.data[[#This Row],[CrudeType]]="Crude",vp.data[[#This Row],[Dens]]&gt;865,vp.data[[#This Row],[Dens]]&lt;=900,vp.data[[#This Row],[Sulf]]&gt;2,vp.data[[#This Row],[Unknown]]=0),1,0)</f>
        <v>0</v>
      </c>
      <c r="AE85">
        <f>IF(AND(vp.data[[#This Row],[CrudeType]]="Crude",vp.data[[#This Row],[Dens]]&gt;900,vp.data[[#This Row],[Sulf]]&lt;=0.5,vp.data[[#This Row],[Unknown]]=0),1,0)</f>
        <v>0</v>
      </c>
      <c r="AF85">
        <f>IF(AND(vp.data[[#This Row],[CrudeType]]="Crude",vp.data[[#This Row],[Dens]]&gt;900,vp.data[[#This Row],[Sulf]]&lt;=0.5,vp.data[[#This Row],[Unknown]]=0),1,0)</f>
        <v>0</v>
      </c>
      <c r="AG85" t="str">
        <f>INDEX(vp.data[[#Headers],[Unknown]:[Heavy_SW]],MATCH(1,vp.data[[#This Row],[Unknown]:[Heavy_SW]],0))</f>
        <v>Light_LSB</v>
      </c>
      <c r="AH85">
        <f>INDEX([3]!crudeBD.lkup[Number],MATCH(vp.data[[#This Row],[Crude_Breakdown]],crudeBD.lkup[Crude Breakdown],0))</f>
        <v>1</v>
      </c>
      <c r="AI85">
        <f>MONTH(vp.data[[#This Row],[SDate]])</f>
        <v>2</v>
      </c>
      <c r="AJ85" s="5">
        <f>(vp.data[[#This Row],[VP]]-INDEX(crudeBD.lkup[Mean_VP],MATCH(vp.data[[#This Row],[Crude_Breakdown]],crudeBD.lkup[Crude Breakdown],0)))^2</f>
        <v>1524.6046073334066</v>
      </c>
      <c r="AK85" s="5">
        <f>(vp.data[[#This Row],[Dens]]-INDEX(crudeBD.lkup[Mean_Dens],MATCH(vp.data[[#This Row],[Crude_Breakdown]],crudeBD.lkup[Crude Breakdown],0)))^2</f>
        <v>30.06581387088357</v>
      </c>
      <c r="AL85" s="5">
        <f>(vp.data[[#This Row],[Sulf]]-INDEX(crudeBD.lkup[Mean_Sulf],MATCH(vp.data[[#This Row],[Crude_Breakdown]],crudeBD.lkup[Crude Breakdown],0)))^2</f>
        <v>1.3711343707809469E-3</v>
      </c>
      <c r="AM85" s="4">
        <f>IF(AND(vp.data[[#This Row],[SDate]]&gt;=DATE(YEAR(vp.data[[#This Row],[SDate]]),5,1),vp.data[[#This Row],[SDate]]&lt;=DATE(YEAR(vp.data[[#This Row],[SDate]]),9,15)),1,0)</f>
        <v>0</v>
      </c>
      <c r="AN85" s="4">
        <f>IF(vp.data[[#This Row],[SDate]]&lt;DATE(2016,12,1),0,1)</f>
        <v>0</v>
      </c>
      <c r="AO85" s="4">
        <f>IFERROR(vp.data[[#This Row],[Sulf]]*vp.data[[#This Row],[Net Dens]],"")</f>
        <v>84286770.67775999</v>
      </c>
      <c r="AP85">
        <f>IFERROR(vp.data[[#This Row],[Dens]]*vp.data[[#This Row],[VolumeM3]],"")</f>
        <v>87798719.456</v>
      </c>
      <c r="AQ85" s="15">
        <f>IFERROR(vp.data[[#This Row],[VP]]*vp.data[[#This Row],[VolumeM3]],"")</f>
        <v>5593971.8099999996</v>
      </c>
    </row>
    <row r="86" spans="1:43" x14ac:dyDescent="0.25">
      <c r="A86">
        <v>85</v>
      </c>
      <c r="B86" t="s">
        <v>60</v>
      </c>
      <c r="C86" t="s">
        <v>60</v>
      </c>
      <c r="D86" t="s">
        <v>61</v>
      </c>
      <c r="E86" t="s">
        <v>55</v>
      </c>
      <c r="F86" s="1">
        <v>42408</v>
      </c>
      <c r="G86" s="2">
        <v>99.2</v>
      </c>
      <c r="H86" s="2"/>
      <c r="I86" s="2">
        <f t="array" ref="I86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86" s="2"/>
      <c r="K86" s="2"/>
      <c r="L86" s="2">
        <v>833</v>
      </c>
      <c r="M86" s="2">
        <f t="array" ref="M86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86" s="2">
        <f ca="1">INDEX(INDIRECT(_xlfn.CONCAT("weather.tbl[",N$1,"]")),MATCH(vp.data[[#This Row],[SDate]],weather.tbl[Date],0))</f>
        <v>-5.8166666666666664</v>
      </c>
      <c r="O86" s="2">
        <f ca="1">INDEX(INDIRECT(_xlfn.CONCAT("weather.tbl[",O$1,"]")),MATCH(vp.data[[#This Row],[SDate]],weather.tbl[Date],0))</f>
        <v>-5.4190476190476193</v>
      </c>
      <c r="P86" s="2">
        <f ca="1">INDEX(INDIRECT(_xlfn.CONCAT("weather.tbl[",P$1,"]")),MATCH(vp.data[[#This Row],[SDate]],weather.tbl[Date],0))</f>
        <v>-5.0999999999999996</v>
      </c>
      <c r="Q86" s="2">
        <f ca="1">INDEX(INDIRECT(_xlfn.CONCAT("weather.tbl[",Q$1,"]")),MATCH(vp.data[[#This Row],[SDate]],weather.tbl[Date],0))</f>
        <v>-5.2</v>
      </c>
      <c r="R86" s="2">
        <f ca="1">INDEX(INDIRECT(_xlfn.CONCAT("weather.tbl[",R$1,"]")),MATCH(vp.data[[#This Row],[SDate]],weather.tbl[Date],0))</f>
        <v>-6.5</v>
      </c>
      <c r="S86" s="2">
        <f ca="1">INDEX(INDIRECT(_xlfn.CONCAT("weather.tbl[",S$1,"]")),MATCH(vp.data[[#This Row],[SDate]],weather.tbl[Date],0))</f>
        <v>-3.5</v>
      </c>
      <c r="T86" s="2">
        <f ca="1">INDEX(INDIRECT(_xlfn.CONCAT("weather.tbl[",T$1,"]")),MATCH(vp.data[[#This Row],[SDate]],weather.tbl[Date],0))</f>
        <v>-7.1</v>
      </c>
      <c r="U86" s="2">
        <f ca="1">INDEX(INDIRECT(_xlfn.CONCAT("weather.tbl[",U$1,"]")),MATCH(vp.data[[#This Row],[SDate]],weather.tbl[Date],0))</f>
        <v>-7.5</v>
      </c>
      <c r="V86" s="2">
        <f t="array" ref="V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106551.844</v>
      </c>
      <c r="W86" t="s">
        <v>48</v>
      </c>
      <c r="X86">
        <f>IF(OR(vp.data[[#This Row],[Sulf]]="",vp.data[[#This Row],[Dens]]=""),1,0)</f>
        <v>0</v>
      </c>
      <c r="Y86">
        <f>IF(vp.data[[#This Row],[CrudeType]]="C5+",1,0)</f>
        <v>0</v>
      </c>
      <c r="Z86">
        <f>IF(AND(vp.data[[#This Row],[CrudeType]]="Crude",vp.data[[#This Row],[Dens]]&lt;=825,vp.data[[#This Row],[Sulf]]&gt;0.5,vp.data[[#This Row],[Unknown]]=0),1,0)</f>
        <v>0</v>
      </c>
      <c r="AA86">
        <f>IF(AND(vp.data[[#This Row],[CrudeType]]="Crude",vp.data[[#This Row],[Dens]]&lt;=825,vp.data[[#This Row],[Sulf]]&lt;=0.5,vp.data[[#This Row],[Unknown]]=0),1,0)</f>
        <v>0</v>
      </c>
      <c r="AB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">
        <f>IF(AND(vp.data[[#This Row],[CrudeType]]="Crude",vp.data[[#This Row],[Dens]]&gt;825,vp.data[[#This Row],[Dens]]&lt;=900,vp.data[[#This Row],[Sulf]]&lt;=0.5,vp.data[[#This Row],[Unknown]]=0),1,0)</f>
        <v>0</v>
      </c>
      <c r="AD86">
        <f>IF(AND(vp.data[[#This Row],[CrudeType]]="Crude",vp.data[[#This Row],[Dens]]&gt;865,vp.data[[#This Row],[Dens]]&lt;=900,vp.data[[#This Row],[Sulf]]&gt;2,vp.data[[#This Row],[Unknown]]=0),1,0)</f>
        <v>0</v>
      </c>
      <c r="AE86">
        <f>IF(AND(vp.data[[#This Row],[CrudeType]]="Crude",vp.data[[#This Row],[Dens]]&gt;900,vp.data[[#This Row],[Sulf]]&lt;=0.5,vp.data[[#This Row],[Unknown]]=0),1,0)</f>
        <v>0</v>
      </c>
      <c r="AF86">
        <f>IF(AND(vp.data[[#This Row],[CrudeType]]="Crude",vp.data[[#This Row],[Dens]]&gt;900,vp.data[[#This Row],[Sulf]]&lt;=0.5,vp.data[[#This Row],[Unknown]]=0),1,0)</f>
        <v>0</v>
      </c>
      <c r="AG86" t="str">
        <f>INDEX(vp.data[[#Headers],[Unknown]:[Heavy_SW]],MATCH(1,vp.data[[#This Row],[Unknown]:[Heavy_SW]],0))</f>
        <v>Medium_LSB</v>
      </c>
      <c r="AH86">
        <f>INDEX([3]!crudeBD.lkup[Number],MATCH(vp.data[[#This Row],[Crude_Breakdown]],crudeBD.lkup[Crude Breakdown],0))</f>
        <v>3</v>
      </c>
      <c r="AI86">
        <f>MONTH(vp.data[[#This Row],[SDate]])</f>
        <v>2</v>
      </c>
      <c r="AJ86" s="5">
        <f>(vp.data[[#This Row],[VP]]-INDEX(crudeBD.lkup[Mean_VP],MATCH(vp.data[[#This Row],[Crude_Breakdown]],crudeBD.lkup[Crude Breakdown],0)))^2</f>
        <v>344.48560657362543</v>
      </c>
      <c r="AK86" s="5">
        <f>(vp.data[[#This Row],[Dens]]-INDEX(crudeBD.lkup[Mean_Dens],MATCH(vp.data[[#This Row],[Crude_Breakdown]],crudeBD.lkup[Crude Breakdown],0)))^2</f>
        <v>119.24639999998918</v>
      </c>
      <c r="AL86" s="5">
        <f>(vp.data[[#This Row],[Sulf]]-INDEX(crudeBD.lkup[Mean_Sulf],MATCH(vp.data[[#This Row],[Crude_Breakdown]],crudeBD.lkup[Crude Breakdown],0)))^2</f>
        <v>0.18097207424933273</v>
      </c>
      <c r="AM86" s="4">
        <f>IF(AND(vp.data[[#This Row],[SDate]]&gt;=DATE(YEAR(vp.data[[#This Row],[SDate]]),5,1),vp.data[[#This Row],[SDate]]&lt;=DATE(YEAR(vp.data[[#This Row],[SDate]]),9,15)),1,0)</f>
        <v>0</v>
      </c>
      <c r="AN86" s="4">
        <f>IF(vp.data[[#This Row],[SDate]]&lt;DATE(2016,12,1),0,1)</f>
        <v>0</v>
      </c>
      <c r="AO86" s="4">
        <f>IFERROR(vp.data[[#This Row],[Sulf]]*vp.data[[#This Row],[Net Dens]],"")</f>
        <v>85207378.609919995</v>
      </c>
      <c r="AP86">
        <f>IFERROR(vp.data[[#This Row],[Dens]]*vp.data[[#This Row],[VolumeM3]],"")</f>
        <v>88757686.052000001</v>
      </c>
      <c r="AQ86" s="15">
        <f>IFERROR(vp.data[[#This Row],[VP]]*vp.data[[#This Row],[VolumeM3]],"")</f>
        <v>10569942.924799999</v>
      </c>
    </row>
    <row r="87" spans="1:43" x14ac:dyDescent="0.25">
      <c r="A87">
        <v>86</v>
      </c>
      <c r="B87" t="s">
        <v>49</v>
      </c>
      <c r="C87" t="s">
        <v>49</v>
      </c>
      <c r="D87" t="s">
        <v>67</v>
      </c>
      <c r="F87" s="1">
        <v>42437</v>
      </c>
      <c r="G87" s="2">
        <v>113.5</v>
      </c>
      <c r="H87" s="2"/>
      <c r="I87" s="2">
        <f t="array" ref="I8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87" s="2"/>
      <c r="K87" s="2"/>
      <c r="L87" s="2">
        <v>801.9</v>
      </c>
      <c r="M87" s="2">
        <f t="array" ref="M87">_xlfn.IFNA(IF(vp.data[[#This Row],[Dens Input]]="",INDEX([1]DATA!$O$3:$O$9826,MATCH(1,(vp.data[[#This Row],[Battery]]=[1]DATA!$L$3:$L$9826)*(EOMONTH(vp.data[[#This Row],[SDate]],-1)+1=[1]DATA!$G$3:$G$9826),0)),vp.data[[#This Row],[Dens Input]]),"")</f>
        <v>801.9</v>
      </c>
      <c r="N87" s="2">
        <f ca="1">INDEX(INDIRECT(_xlfn.CONCAT("weather.tbl[",N$1,"]")),MATCH(vp.data[[#This Row],[SDate]],weather.tbl[Date],0))</f>
        <v>-0.83333333333333337</v>
      </c>
      <c r="O87" s="2">
        <f ca="1">INDEX(INDIRECT(_xlfn.CONCAT("weather.tbl[",O$1,"]")),MATCH(vp.data[[#This Row],[SDate]],weather.tbl[Date],0))</f>
        <v>0.56904761904761902</v>
      </c>
      <c r="P87" s="2">
        <f ca="1">INDEX(INDIRECT(_xlfn.CONCAT("weather.tbl[",P$1,"]")),MATCH(vp.data[[#This Row],[SDate]],weather.tbl[Date],0))</f>
        <v>-1.9</v>
      </c>
      <c r="Q87" s="2">
        <f ca="1">INDEX(INDIRECT(_xlfn.CONCAT("weather.tbl[",Q$1,"]")),MATCH(vp.data[[#This Row],[SDate]],weather.tbl[Date],0))</f>
        <v>-1.5</v>
      </c>
      <c r="R87" s="2">
        <f ca="1">INDEX(INDIRECT(_xlfn.CONCAT("weather.tbl[",R$1,"]")),MATCH(vp.data[[#This Row],[SDate]],weather.tbl[Date],0))</f>
        <v>3.3</v>
      </c>
      <c r="S87" s="2">
        <f ca="1">INDEX(INDIRECT(_xlfn.CONCAT("weather.tbl[",S$1,"]")),MATCH(vp.data[[#This Row],[SDate]],weather.tbl[Date],0))</f>
        <v>-0.3</v>
      </c>
      <c r="T87" s="2">
        <f ca="1">INDEX(INDIRECT(_xlfn.CONCAT("weather.tbl[",T$1,"]")),MATCH(vp.data[[#This Row],[SDate]],weather.tbl[Date],0))</f>
        <v>-0.4</v>
      </c>
      <c r="U87" s="2">
        <f ca="1">INDEX(INDIRECT(_xlfn.CONCAT("weather.tbl[",U$1,"]")),MATCH(vp.data[[#This Row],[SDate]],weather.tbl[Date],0))</f>
        <v>-4.2</v>
      </c>
      <c r="V87" s="2">
        <f t="array" ref="V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49014.500999999997</v>
      </c>
      <c r="W87" t="s">
        <v>48</v>
      </c>
      <c r="X87">
        <f>IF(OR(vp.data[[#This Row],[Sulf]]="",vp.data[[#This Row],[Dens]]=""),1,0)</f>
        <v>0</v>
      </c>
      <c r="Y87">
        <f>IF(vp.data[[#This Row],[CrudeType]]="C5+",1,0)</f>
        <v>0</v>
      </c>
      <c r="Z87">
        <f>IF(AND(vp.data[[#This Row],[CrudeType]]="Crude",vp.data[[#This Row],[Dens]]&lt;=825,vp.data[[#This Row],[Sulf]]&gt;0.5,vp.data[[#This Row],[Unknown]]=0),1,0)</f>
        <v>0</v>
      </c>
      <c r="AA87">
        <f>IF(AND(vp.data[[#This Row],[CrudeType]]="Crude",vp.data[[#This Row],[Dens]]&lt;=825,vp.data[[#This Row],[Sulf]]&lt;=0.5,vp.data[[#This Row],[Unknown]]=0),1,0)</f>
        <v>1</v>
      </c>
      <c r="AB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7">
        <f>IF(AND(vp.data[[#This Row],[CrudeType]]="Crude",vp.data[[#This Row],[Dens]]&gt;825,vp.data[[#This Row],[Dens]]&lt;=900,vp.data[[#This Row],[Sulf]]&lt;=0.5,vp.data[[#This Row],[Unknown]]=0),1,0)</f>
        <v>0</v>
      </c>
      <c r="AD87">
        <f>IF(AND(vp.data[[#This Row],[CrudeType]]="Crude",vp.data[[#This Row],[Dens]]&gt;865,vp.data[[#This Row],[Dens]]&lt;=900,vp.data[[#This Row],[Sulf]]&gt;2,vp.data[[#This Row],[Unknown]]=0),1,0)</f>
        <v>0</v>
      </c>
      <c r="AE87">
        <f>IF(AND(vp.data[[#This Row],[CrudeType]]="Crude",vp.data[[#This Row],[Dens]]&gt;900,vp.data[[#This Row],[Sulf]]&lt;=0.5,vp.data[[#This Row],[Unknown]]=0),1,0)</f>
        <v>0</v>
      </c>
      <c r="AF87">
        <f>IF(AND(vp.data[[#This Row],[CrudeType]]="Crude",vp.data[[#This Row],[Dens]]&gt;900,vp.data[[#This Row],[Sulf]]&lt;=0.5,vp.data[[#This Row],[Unknown]]=0),1,0)</f>
        <v>0</v>
      </c>
      <c r="AG87" t="str">
        <f>INDEX(vp.data[[#Headers],[Unknown]:[Heavy_SW]],MATCH(1,vp.data[[#This Row],[Unknown]:[Heavy_SW]],0))</f>
        <v>Light_SW</v>
      </c>
      <c r="AH87">
        <f>INDEX([3]!crudeBD.lkup[Number],MATCH(vp.data[[#This Row],[Crude_Breakdown]],crudeBD.lkup[Crude Breakdown],0))</f>
        <v>2</v>
      </c>
      <c r="AI87">
        <f>MONTH(vp.data[[#This Row],[SDate]])</f>
        <v>3</v>
      </c>
      <c r="AJ87" s="5">
        <f>(vp.data[[#This Row],[VP]]-INDEX(crudeBD.lkup[Mean_VP],MATCH(vp.data[[#This Row],[Crude_Breakdown]],crudeBD.lkup[Crude Breakdown],0)))^2</f>
        <v>438.88936072551689</v>
      </c>
      <c r="AK87" s="5">
        <f>(vp.data[[#This Row],[Dens]]-INDEX(crudeBD.lkup[Mean_Dens],MATCH(vp.data[[#This Row],[Crude_Breakdown]],crudeBD.lkup[Crude Breakdown],0)))^2</f>
        <v>41.10730991027927</v>
      </c>
      <c r="AL87" s="5">
        <f>(vp.data[[#This Row],[Sulf]]-INDEX(crudeBD.lkup[Mean_Sulf],MATCH(vp.data[[#This Row],[Crude_Breakdown]],crudeBD.lkup[Crude Breakdown],0)))^2</f>
        <v>6.8863268899706654E-4</v>
      </c>
      <c r="AM87" s="4">
        <f>IF(AND(vp.data[[#This Row],[SDate]]&gt;=DATE(YEAR(vp.data[[#This Row],[SDate]]),5,1),vp.data[[#This Row],[SDate]]&lt;=DATE(YEAR(vp.data[[#This Row],[SDate]]),9,15)),1,0)</f>
        <v>0</v>
      </c>
      <c r="AN87" s="4">
        <f>IF(vp.data[[#This Row],[SDate]]&lt;DATE(2016,12,1),0,1)</f>
        <v>0</v>
      </c>
      <c r="AO87" s="4">
        <f>IFERROR(vp.data[[#This Row],[Sulf]]*vp.data[[#This Row],[Net Dens]],"")</f>
        <v>8253992.9538989989</v>
      </c>
      <c r="AP87">
        <f>IFERROR(vp.data[[#This Row],[Dens]]*vp.data[[#This Row],[VolumeM3]],"")</f>
        <v>39304728.351899996</v>
      </c>
      <c r="AQ87" s="15">
        <f>IFERROR(vp.data[[#This Row],[VP]]*vp.data[[#This Row],[VolumeM3]],"")</f>
        <v>5563145.8635</v>
      </c>
    </row>
    <row r="88" spans="1:43" x14ac:dyDescent="0.25">
      <c r="A88">
        <v>87</v>
      </c>
      <c r="B88" t="s">
        <v>51</v>
      </c>
      <c r="C88" t="s">
        <v>51</v>
      </c>
      <c r="D88" t="s">
        <v>66</v>
      </c>
      <c r="F88" s="1">
        <v>42437</v>
      </c>
      <c r="G88" s="2">
        <v>122.7</v>
      </c>
      <c r="H88" s="2"/>
      <c r="I88" s="2">
        <f t="array" ref="I88">_xlfn.IFNA(IF(vp.data[[#This Row],[Sulf Input]]="",INDEX([1]DATA!$Q$3:$Q$9826,MATCH(1,(vp.data[[#This Row],[Battery]]=[1]DATA!$L$3:$L$9826)*(EOMONTH(vp.data[[#This Row],[SDate]],-1)+1=[1]DATA!$G$3:$G$9826),0)),vp.data[[#This Row],[Sulf Input]]),"")</f>
        <v>0.91</v>
      </c>
      <c r="J88" s="2"/>
      <c r="K88" s="2"/>
      <c r="L88" s="2">
        <v>828.4</v>
      </c>
      <c r="M88" s="2">
        <f t="array" ref="M88">_xlfn.IFNA(IF(vp.data[[#This Row],[Dens Input]]="",INDEX([1]DATA!$O$3:$O$9826,MATCH(1,(vp.data[[#This Row],[Battery]]=[1]DATA!$L$3:$L$9826)*(EOMONTH(vp.data[[#This Row],[SDate]],-1)+1=[1]DATA!$G$3:$G$9826),0)),vp.data[[#This Row],[Dens Input]]),"")</f>
        <v>828.4</v>
      </c>
      <c r="N88" s="2">
        <f ca="1">INDEX(INDIRECT(_xlfn.CONCAT("weather.tbl[",N$1,"]")),MATCH(vp.data[[#This Row],[SDate]],weather.tbl[Date],0))</f>
        <v>-0.83333333333333337</v>
      </c>
      <c r="O88" s="2">
        <f ca="1">INDEX(INDIRECT(_xlfn.CONCAT("weather.tbl[",O$1,"]")),MATCH(vp.data[[#This Row],[SDate]],weather.tbl[Date],0))</f>
        <v>0.56904761904761902</v>
      </c>
      <c r="P88" s="2">
        <f ca="1">INDEX(INDIRECT(_xlfn.CONCAT("weather.tbl[",P$1,"]")),MATCH(vp.data[[#This Row],[SDate]],weather.tbl[Date],0))</f>
        <v>-1.9</v>
      </c>
      <c r="Q88" s="2">
        <f ca="1">INDEX(INDIRECT(_xlfn.CONCAT("weather.tbl[",Q$1,"]")),MATCH(vp.data[[#This Row],[SDate]],weather.tbl[Date],0))</f>
        <v>-1.5</v>
      </c>
      <c r="R88" s="2">
        <f ca="1">INDEX(INDIRECT(_xlfn.CONCAT("weather.tbl[",R$1,"]")),MATCH(vp.data[[#This Row],[SDate]],weather.tbl[Date],0))</f>
        <v>3.3</v>
      </c>
      <c r="S88" s="2">
        <f ca="1">INDEX(INDIRECT(_xlfn.CONCAT("weather.tbl[",S$1,"]")),MATCH(vp.data[[#This Row],[SDate]],weather.tbl[Date],0))</f>
        <v>-0.3</v>
      </c>
      <c r="T88" s="2">
        <f ca="1">INDEX(INDIRECT(_xlfn.CONCAT("weather.tbl[",T$1,"]")),MATCH(vp.data[[#This Row],[SDate]],weather.tbl[Date],0))</f>
        <v>-0.4</v>
      </c>
      <c r="U88" s="2">
        <f ca="1">INDEX(INDIRECT(_xlfn.CONCAT("weather.tbl[",U$1,"]")),MATCH(vp.data[[#This Row],[SDate]],weather.tbl[Date],0))</f>
        <v>-4.2</v>
      </c>
      <c r="V88" s="2">
        <f t="array" ref="V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4604.1419999999998</v>
      </c>
      <c r="W88" t="s">
        <v>48</v>
      </c>
      <c r="X88">
        <f>IF(OR(vp.data[[#This Row],[Sulf]]="",vp.data[[#This Row],[Dens]]=""),1,0)</f>
        <v>0</v>
      </c>
      <c r="Y88">
        <f>IF(vp.data[[#This Row],[CrudeType]]="C5+",1,0)</f>
        <v>0</v>
      </c>
      <c r="Z88">
        <f>IF(AND(vp.data[[#This Row],[CrudeType]]="Crude",vp.data[[#This Row],[Dens]]&lt;=825,vp.data[[#This Row],[Sulf]]&gt;0.5,vp.data[[#This Row],[Unknown]]=0),1,0)</f>
        <v>0</v>
      </c>
      <c r="AA88">
        <f>IF(AND(vp.data[[#This Row],[CrudeType]]="Crude",vp.data[[#This Row],[Dens]]&lt;=825,vp.data[[#This Row],[Sulf]]&lt;=0.5,vp.data[[#This Row],[Unknown]]=0),1,0)</f>
        <v>0</v>
      </c>
      <c r="AB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">
        <f>IF(AND(vp.data[[#This Row],[CrudeType]]="Crude",vp.data[[#This Row],[Dens]]&gt;825,vp.data[[#This Row],[Dens]]&lt;=900,vp.data[[#This Row],[Sulf]]&lt;=0.5,vp.data[[#This Row],[Unknown]]=0),1,0)</f>
        <v>0</v>
      </c>
      <c r="AD88">
        <f>IF(AND(vp.data[[#This Row],[CrudeType]]="Crude",vp.data[[#This Row],[Dens]]&gt;865,vp.data[[#This Row],[Dens]]&lt;=900,vp.data[[#This Row],[Sulf]]&gt;2,vp.data[[#This Row],[Unknown]]=0),1,0)</f>
        <v>0</v>
      </c>
      <c r="AE88">
        <f>IF(AND(vp.data[[#This Row],[CrudeType]]="Crude",vp.data[[#This Row],[Dens]]&gt;900,vp.data[[#This Row],[Sulf]]&lt;=0.5,vp.data[[#This Row],[Unknown]]=0),1,0)</f>
        <v>0</v>
      </c>
      <c r="AF88">
        <f>IF(AND(vp.data[[#This Row],[CrudeType]]="Crude",vp.data[[#This Row],[Dens]]&gt;900,vp.data[[#This Row],[Sulf]]&lt;=0.5,vp.data[[#This Row],[Unknown]]=0),1,0)</f>
        <v>0</v>
      </c>
      <c r="AG88" t="str">
        <f>INDEX(vp.data[[#Headers],[Unknown]:[Heavy_SW]],MATCH(1,vp.data[[#This Row],[Unknown]:[Heavy_SW]],0))</f>
        <v>Medium_LSB</v>
      </c>
      <c r="AH88">
        <f>INDEX([3]!crudeBD.lkup[Number],MATCH(vp.data[[#This Row],[Crude_Breakdown]],crudeBD.lkup[Crude Breakdown],0))</f>
        <v>3</v>
      </c>
      <c r="AI88">
        <f>MONTH(vp.data[[#This Row],[SDate]])</f>
        <v>3</v>
      </c>
      <c r="AJ88" s="5">
        <f>(vp.data[[#This Row],[VP]]-INDEX(crudeBD.lkup[Mean_VP],MATCH(vp.data[[#This Row],[Crude_Breakdown]],crudeBD.lkup[Crude Breakdown],0)))^2</f>
        <v>1769.0708087299631</v>
      </c>
      <c r="AK88" s="5">
        <f>(vp.data[[#This Row],[Dens]]-INDEX(crudeBD.lkup[Mean_Dens],MATCH(vp.data[[#This Row],[Crude_Breakdown]],crudeBD.lkup[Crude Breakdown],0)))^2</f>
        <v>240.87039999998532</v>
      </c>
      <c r="AL88" s="5">
        <f>(vp.data[[#This Row],[Sulf]]-INDEX(crudeBD.lkup[Mean_Sulf],MATCH(vp.data[[#This Row],[Crude_Breakdown]],crudeBD.lkup[Crude Breakdown],0)))^2</f>
        <v>0.22601288691779645</v>
      </c>
      <c r="AM88" s="4">
        <f>IF(AND(vp.data[[#This Row],[SDate]]&gt;=DATE(YEAR(vp.data[[#This Row],[SDate]]),5,1),vp.data[[#This Row],[SDate]]&lt;=DATE(YEAR(vp.data[[#This Row],[SDate]]),9,15)),1,0)</f>
        <v>0</v>
      </c>
      <c r="AN88" s="4">
        <f>IF(vp.data[[#This Row],[SDate]]&lt;DATE(2016,12,1),0,1)</f>
        <v>0</v>
      </c>
      <c r="AO88" s="4">
        <f>IFERROR(vp.data[[#This Row],[Sulf]]*vp.data[[#This Row],[Net Dens]],"")</f>
        <v>3470804.8218479999</v>
      </c>
      <c r="AP88">
        <f>IFERROR(vp.data[[#This Row],[Dens]]*vp.data[[#This Row],[VolumeM3]],"")</f>
        <v>3814071.2327999999</v>
      </c>
      <c r="AQ88" s="15">
        <f>IFERROR(vp.data[[#This Row],[VP]]*vp.data[[#This Row],[VolumeM3]],"")</f>
        <v>564928.22340000002</v>
      </c>
    </row>
    <row r="89" spans="1:43" x14ac:dyDescent="0.25">
      <c r="A89">
        <v>88</v>
      </c>
      <c r="B89" t="s">
        <v>49</v>
      </c>
      <c r="C89" t="s">
        <v>49</v>
      </c>
      <c r="D89" t="s">
        <v>74</v>
      </c>
      <c r="F89" s="1">
        <v>42438</v>
      </c>
      <c r="G89" s="2">
        <v>127</v>
      </c>
      <c r="H89" s="2"/>
      <c r="I89" s="2">
        <f t="array" ref="I89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89" s="2"/>
      <c r="K89" s="2"/>
      <c r="L89" s="2">
        <v>796.4</v>
      </c>
      <c r="M89" s="2">
        <f t="array" ref="M89">_xlfn.IFNA(IF(vp.data[[#This Row],[Dens Input]]="",INDEX([1]DATA!$O$3:$O$9826,MATCH(1,(vp.data[[#This Row],[Battery]]=[1]DATA!$L$3:$L$9826)*(EOMONTH(vp.data[[#This Row],[SDate]],-1)+1=[1]DATA!$G$3:$G$9826),0)),vp.data[[#This Row],[Dens Input]]),"")</f>
        <v>796.4</v>
      </c>
      <c r="N89" s="2">
        <f ca="1">INDEX(INDIRECT(_xlfn.CONCAT("weather.tbl[",N$1,"]")),MATCH(vp.data[[#This Row],[SDate]],weather.tbl[Date],0))</f>
        <v>1.6666666666666646E-2</v>
      </c>
      <c r="O89" s="2">
        <f ca="1">INDEX(INDIRECT(_xlfn.CONCAT("weather.tbl[",O$1,"]")),MATCH(vp.data[[#This Row],[SDate]],weather.tbl[Date],0))</f>
        <v>1.1666666666666667</v>
      </c>
      <c r="P89" s="2">
        <f ca="1">INDEX(INDIRECT(_xlfn.CONCAT("weather.tbl[",P$1,"]")),MATCH(vp.data[[#This Row],[SDate]],weather.tbl[Date],0))</f>
        <v>0.3</v>
      </c>
      <c r="Q89" s="2">
        <f ca="1">INDEX(INDIRECT(_xlfn.CONCAT("weather.tbl[",Q$1,"]")),MATCH(vp.data[[#This Row],[SDate]],weather.tbl[Date],0))</f>
        <v>-0.8</v>
      </c>
      <c r="R89" s="2">
        <f ca="1">INDEX(INDIRECT(_xlfn.CONCAT("weather.tbl[",R$1,"]")),MATCH(vp.data[[#This Row],[SDate]],weather.tbl[Date],0))</f>
        <v>0.3</v>
      </c>
      <c r="S89" s="2">
        <f ca="1">INDEX(INDIRECT(_xlfn.CONCAT("weather.tbl[",S$1,"]")),MATCH(vp.data[[#This Row],[SDate]],weather.tbl[Date],0))</f>
        <v>0</v>
      </c>
      <c r="T89" s="2">
        <f ca="1">INDEX(INDIRECT(_xlfn.CONCAT("weather.tbl[",T$1,"]")),MATCH(vp.data[[#This Row],[SDate]],weather.tbl[Date],0))</f>
        <v>1.9</v>
      </c>
      <c r="U89" s="2">
        <f ca="1">INDEX(INDIRECT(_xlfn.CONCAT("weather.tbl[",U$1,"]")),MATCH(vp.data[[#This Row],[SDate]],weather.tbl[Date],0))</f>
        <v>-1.6</v>
      </c>
      <c r="V89" s="2">
        <f t="array" ref="V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46024.504999999997</v>
      </c>
      <c r="W89" t="s">
        <v>48</v>
      </c>
      <c r="X89">
        <f>IF(OR(vp.data[[#This Row],[Sulf]]="",vp.data[[#This Row],[Dens]]=""),1,0)</f>
        <v>0</v>
      </c>
      <c r="Y89">
        <f>IF(vp.data[[#This Row],[CrudeType]]="C5+",1,0)</f>
        <v>0</v>
      </c>
      <c r="Z89">
        <f>IF(AND(vp.data[[#This Row],[CrudeType]]="Crude",vp.data[[#This Row],[Dens]]&lt;=825,vp.data[[#This Row],[Sulf]]&gt;0.5,vp.data[[#This Row],[Unknown]]=0),1,0)</f>
        <v>0</v>
      </c>
      <c r="AA89">
        <f>IF(AND(vp.data[[#This Row],[CrudeType]]="Crude",vp.data[[#This Row],[Dens]]&lt;=825,vp.data[[#This Row],[Sulf]]&lt;=0.5,vp.data[[#This Row],[Unknown]]=0),1,0)</f>
        <v>1</v>
      </c>
      <c r="AB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9">
        <f>IF(AND(vp.data[[#This Row],[CrudeType]]="Crude",vp.data[[#This Row],[Dens]]&gt;825,vp.data[[#This Row],[Dens]]&lt;=900,vp.data[[#This Row],[Sulf]]&lt;=0.5,vp.data[[#This Row],[Unknown]]=0),1,0)</f>
        <v>0</v>
      </c>
      <c r="AD89">
        <f>IF(AND(vp.data[[#This Row],[CrudeType]]="Crude",vp.data[[#This Row],[Dens]]&gt;865,vp.data[[#This Row],[Dens]]&lt;=900,vp.data[[#This Row],[Sulf]]&gt;2,vp.data[[#This Row],[Unknown]]=0),1,0)</f>
        <v>0</v>
      </c>
      <c r="AE89">
        <f>IF(AND(vp.data[[#This Row],[CrudeType]]="Crude",vp.data[[#This Row],[Dens]]&gt;900,vp.data[[#This Row],[Sulf]]&lt;=0.5,vp.data[[#This Row],[Unknown]]=0),1,0)</f>
        <v>0</v>
      </c>
      <c r="AF89">
        <f>IF(AND(vp.data[[#This Row],[CrudeType]]="Crude",vp.data[[#This Row],[Dens]]&gt;900,vp.data[[#This Row],[Sulf]]&lt;=0.5,vp.data[[#This Row],[Unknown]]=0),1,0)</f>
        <v>0</v>
      </c>
      <c r="AG89" t="str">
        <f>INDEX(vp.data[[#Headers],[Unknown]:[Heavy_SW]],MATCH(1,vp.data[[#This Row],[Unknown]:[Heavy_SW]],0))</f>
        <v>Light_SW</v>
      </c>
      <c r="AH89">
        <f>INDEX([3]!crudeBD.lkup[Number],MATCH(vp.data[[#This Row],[Crude_Breakdown]],crudeBD.lkup[Crude Breakdown],0))</f>
        <v>2</v>
      </c>
      <c r="AI89">
        <f>MONTH(vp.data[[#This Row],[SDate]])</f>
        <v>3</v>
      </c>
      <c r="AJ89" s="5">
        <f>(vp.data[[#This Row],[VP]]-INDEX(crudeBD.lkup[Mean_VP],MATCH(vp.data[[#This Row],[Crude_Breakdown]],crudeBD.lkup[Crude Breakdown],0)))^2</f>
        <v>1186.780893826563</v>
      </c>
      <c r="AK89" s="5">
        <f>(vp.data[[#This Row],[Dens]]-INDEX(crudeBD.lkup[Mean_Dens],MATCH(vp.data[[#This Row],[Crude_Breakdown]],crudeBD.lkup[Crude Breakdown],0)))^2</f>
        <v>141.88379074651405</v>
      </c>
      <c r="AL89" s="5">
        <f>(vp.data[[#This Row],[Sulf]]-INDEX(crudeBD.lkup[Mean_Sulf],MATCH(vp.data[[#This Row],[Crude_Breakdown]],crudeBD.lkup[Crude Breakdown],0)))^2</f>
        <v>9.2624863475336272E-3</v>
      </c>
      <c r="AM89" s="4">
        <f>IF(AND(vp.data[[#This Row],[SDate]]&gt;=DATE(YEAR(vp.data[[#This Row],[SDate]]),5,1),vp.data[[#This Row],[SDate]]&lt;=DATE(YEAR(vp.data[[#This Row],[SDate]]),9,15)),1,0)</f>
        <v>0</v>
      </c>
      <c r="AN89" s="4">
        <f>IF(vp.data[[#This Row],[SDate]]&lt;DATE(2016,12,1),0,1)</f>
        <v>0</v>
      </c>
      <c r="AO89" s="4">
        <f>IFERROR(vp.data[[#This Row],[Sulf]]*vp.data[[#This Row],[Net Dens]],"")</f>
        <v>5131548.2094799997</v>
      </c>
      <c r="AP89">
        <f>IFERROR(vp.data[[#This Row],[Dens]]*vp.data[[#This Row],[VolumeM3]],"")</f>
        <v>36653915.781999998</v>
      </c>
      <c r="AQ89" s="15">
        <f>IFERROR(vp.data[[#This Row],[VP]]*vp.data[[#This Row],[VolumeM3]],"")</f>
        <v>5845112.1349999998</v>
      </c>
    </row>
    <row r="90" spans="1:43" x14ac:dyDescent="0.25">
      <c r="A90">
        <v>89</v>
      </c>
      <c r="B90" t="s">
        <v>49</v>
      </c>
      <c r="C90" t="s">
        <v>49</v>
      </c>
      <c r="D90" t="s">
        <v>75</v>
      </c>
      <c r="F90" s="1">
        <v>42438</v>
      </c>
      <c r="G90" s="2">
        <v>118.3</v>
      </c>
      <c r="H90" s="2"/>
      <c r="I90" s="2">
        <f t="array" ref="I90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90" s="2"/>
      <c r="K90" s="2"/>
      <c r="L90" s="2">
        <v>798.4</v>
      </c>
      <c r="M90" s="2">
        <f t="array" ref="M90">_xlfn.IFNA(IF(vp.data[[#This Row],[Dens Input]]="",INDEX([1]DATA!$O$3:$O$9826,MATCH(1,(vp.data[[#This Row],[Battery]]=[1]DATA!$L$3:$L$9826)*(EOMONTH(vp.data[[#This Row],[SDate]],-1)+1=[1]DATA!$G$3:$G$9826),0)),vp.data[[#This Row],[Dens Input]]),"")</f>
        <v>798.4</v>
      </c>
      <c r="N90" s="2">
        <f ca="1">INDEX(INDIRECT(_xlfn.CONCAT("weather.tbl[",N$1,"]")),MATCH(vp.data[[#This Row],[SDate]],weather.tbl[Date],0))</f>
        <v>1.6666666666666646E-2</v>
      </c>
      <c r="O90" s="2">
        <f ca="1">INDEX(INDIRECT(_xlfn.CONCAT("weather.tbl[",O$1,"]")),MATCH(vp.data[[#This Row],[SDate]],weather.tbl[Date],0))</f>
        <v>1.1666666666666667</v>
      </c>
      <c r="P90" s="2">
        <f ca="1">INDEX(INDIRECT(_xlfn.CONCAT("weather.tbl[",P$1,"]")),MATCH(vp.data[[#This Row],[SDate]],weather.tbl[Date],0))</f>
        <v>0.3</v>
      </c>
      <c r="Q90" s="2">
        <f ca="1">INDEX(INDIRECT(_xlfn.CONCAT("weather.tbl[",Q$1,"]")),MATCH(vp.data[[#This Row],[SDate]],weather.tbl[Date],0))</f>
        <v>-0.8</v>
      </c>
      <c r="R90" s="2">
        <f ca="1">INDEX(INDIRECT(_xlfn.CONCAT("weather.tbl[",R$1,"]")),MATCH(vp.data[[#This Row],[SDate]],weather.tbl[Date],0))</f>
        <v>0.3</v>
      </c>
      <c r="S90" s="2">
        <f ca="1">INDEX(INDIRECT(_xlfn.CONCAT("weather.tbl[",S$1,"]")),MATCH(vp.data[[#This Row],[SDate]],weather.tbl[Date],0))</f>
        <v>0</v>
      </c>
      <c r="T90" s="2">
        <f ca="1">INDEX(INDIRECT(_xlfn.CONCAT("weather.tbl[",T$1,"]")),MATCH(vp.data[[#This Row],[SDate]],weather.tbl[Date],0))</f>
        <v>1.9</v>
      </c>
      <c r="U90" s="2">
        <f ca="1">INDEX(INDIRECT(_xlfn.CONCAT("weather.tbl[",U$1,"]")),MATCH(vp.data[[#This Row],[SDate]],weather.tbl[Date],0))</f>
        <v>-1.6</v>
      </c>
      <c r="V90" s="2">
        <f t="array" ref="V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15704.973</v>
      </c>
      <c r="W90" t="s">
        <v>48</v>
      </c>
      <c r="X90">
        <f>IF(OR(vp.data[[#This Row],[Sulf]]="",vp.data[[#This Row],[Dens]]=""),1,0)</f>
        <v>0</v>
      </c>
      <c r="Y90">
        <f>IF(vp.data[[#This Row],[CrudeType]]="C5+",1,0)</f>
        <v>0</v>
      </c>
      <c r="Z90">
        <f>IF(AND(vp.data[[#This Row],[CrudeType]]="Crude",vp.data[[#This Row],[Dens]]&lt;=825,vp.data[[#This Row],[Sulf]]&gt;0.5,vp.data[[#This Row],[Unknown]]=0),1,0)</f>
        <v>0</v>
      </c>
      <c r="AA90">
        <f>IF(AND(vp.data[[#This Row],[CrudeType]]="Crude",vp.data[[#This Row],[Dens]]&lt;=825,vp.data[[#This Row],[Sulf]]&lt;=0.5,vp.data[[#This Row],[Unknown]]=0),1,0)</f>
        <v>1</v>
      </c>
      <c r="AB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0">
        <f>IF(AND(vp.data[[#This Row],[CrudeType]]="Crude",vp.data[[#This Row],[Dens]]&gt;825,vp.data[[#This Row],[Dens]]&lt;=900,vp.data[[#This Row],[Sulf]]&lt;=0.5,vp.data[[#This Row],[Unknown]]=0),1,0)</f>
        <v>0</v>
      </c>
      <c r="AD90">
        <f>IF(AND(vp.data[[#This Row],[CrudeType]]="Crude",vp.data[[#This Row],[Dens]]&gt;865,vp.data[[#This Row],[Dens]]&lt;=900,vp.data[[#This Row],[Sulf]]&gt;2,vp.data[[#This Row],[Unknown]]=0),1,0)</f>
        <v>0</v>
      </c>
      <c r="AE90">
        <f>IF(AND(vp.data[[#This Row],[CrudeType]]="Crude",vp.data[[#This Row],[Dens]]&gt;900,vp.data[[#This Row],[Sulf]]&lt;=0.5,vp.data[[#This Row],[Unknown]]=0),1,0)</f>
        <v>0</v>
      </c>
      <c r="AF90">
        <f>IF(AND(vp.data[[#This Row],[CrudeType]]="Crude",vp.data[[#This Row],[Dens]]&gt;900,vp.data[[#This Row],[Sulf]]&lt;=0.5,vp.data[[#This Row],[Unknown]]=0),1,0)</f>
        <v>0</v>
      </c>
      <c r="AG90" t="str">
        <f>INDEX(vp.data[[#Headers],[Unknown]:[Heavy_SW]],MATCH(1,vp.data[[#This Row],[Unknown]:[Heavy_SW]],0))</f>
        <v>Light_SW</v>
      </c>
      <c r="AH90">
        <f>INDEX([3]!crudeBD.lkup[Number],MATCH(vp.data[[#This Row],[Crude_Breakdown]],crudeBD.lkup[Crude Breakdown],0))</f>
        <v>2</v>
      </c>
      <c r="AI90">
        <f>MONTH(vp.data[[#This Row],[SDate]])</f>
        <v>3</v>
      </c>
      <c r="AJ90" s="5">
        <f>(vp.data[[#This Row],[VP]]-INDEX(crudeBD.lkup[Mean_VP],MATCH(vp.data[[#This Row],[Crude_Breakdown]],crudeBD.lkup[Crude Breakdown],0)))^2</f>
        <v>663.0463502725554</v>
      </c>
      <c r="AK90" s="5">
        <f>(vp.data[[#This Row],[Dens]]-INDEX(crudeBD.lkup[Mean_Dens],MATCH(vp.data[[#This Row],[Crude_Breakdown]],crudeBD.lkup[Crude Breakdown],0)))^2</f>
        <v>98.237797715155949</v>
      </c>
      <c r="AL90" s="5">
        <f>(vp.data[[#This Row],[Sulf]]-INDEX(crudeBD.lkup[Mean_Sulf],MATCH(vp.data[[#This Row],[Crude_Breakdown]],crudeBD.lkup[Crude Breakdown],0)))^2</f>
        <v>7.4376501105998362E-3</v>
      </c>
      <c r="AM90" s="4">
        <f>IF(AND(vp.data[[#This Row],[SDate]]&gt;=DATE(YEAR(vp.data[[#This Row],[SDate]]),5,1),vp.data[[#This Row],[SDate]]&lt;=DATE(YEAR(vp.data[[#This Row],[SDate]]),9,15)),1,0)</f>
        <v>0</v>
      </c>
      <c r="AN90" s="4">
        <f>IF(vp.data[[#This Row],[SDate]]&lt;DATE(2016,12,1),0,1)</f>
        <v>0</v>
      </c>
      <c r="AO90" s="4">
        <f>IFERROR(vp.data[[#This Row],[Sulf]]*vp.data[[#This Row],[Net Dens]],"")</f>
        <v>1880827.5664799998</v>
      </c>
      <c r="AP90">
        <f>IFERROR(vp.data[[#This Row],[Dens]]*vp.data[[#This Row],[VolumeM3]],"")</f>
        <v>12538850.4432</v>
      </c>
      <c r="AQ90" s="15">
        <f>IFERROR(vp.data[[#This Row],[VP]]*vp.data[[#This Row],[VolumeM3]],"")</f>
        <v>1857898.3059</v>
      </c>
    </row>
    <row r="91" spans="1:43" x14ac:dyDescent="0.25">
      <c r="A91">
        <v>90</v>
      </c>
      <c r="B91" t="s">
        <v>51</v>
      </c>
      <c r="C91" t="s">
        <v>51</v>
      </c>
      <c r="D91" t="s">
        <v>71</v>
      </c>
      <c r="F91" s="1">
        <v>42438</v>
      </c>
      <c r="G91" s="2">
        <v>89.7</v>
      </c>
      <c r="H91" s="2"/>
      <c r="I91" s="2">
        <f t="array" ref="I91">_xlfn.IFNA(IF(vp.data[[#This Row],[Sulf Input]]="",INDEX([1]DATA!$Q$3:$Q$9826,MATCH(1,(vp.data[[#This Row],[Battery]]=[1]DATA!$L$3:$L$9826)*(EOMONTH(vp.data[[#This Row],[SDate]],-1)+1=[1]DATA!$G$3:$G$9826),0)),vp.data[[#This Row],[Sulf Input]]),"")</f>
        <v>1.46</v>
      </c>
      <c r="J91" s="2"/>
      <c r="K91" s="2"/>
      <c r="L91" s="2">
        <v>827.3</v>
      </c>
      <c r="M91" s="2">
        <f t="array" ref="M91">_xlfn.IFNA(IF(vp.data[[#This Row],[Dens Input]]="",INDEX([1]DATA!$O$3:$O$9826,MATCH(1,(vp.data[[#This Row],[Battery]]=[1]DATA!$L$3:$L$9826)*(EOMONTH(vp.data[[#This Row],[SDate]],-1)+1=[1]DATA!$G$3:$G$9826),0)),vp.data[[#This Row],[Dens Input]]),"")</f>
        <v>827.3</v>
      </c>
      <c r="N91" s="2">
        <f ca="1">INDEX(INDIRECT(_xlfn.CONCAT("weather.tbl[",N$1,"]")),MATCH(vp.data[[#This Row],[SDate]],weather.tbl[Date],0))</f>
        <v>1.6666666666666646E-2</v>
      </c>
      <c r="O91" s="2">
        <f ca="1">INDEX(INDIRECT(_xlfn.CONCAT("weather.tbl[",O$1,"]")),MATCH(vp.data[[#This Row],[SDate]],weather.tbl[Date],0))</f>
        <v>1.1666666666666667</v>
      </c>
      <c r="P91" s="2">
        <f ca="1">INDEX(INDIRECT(_xlfn.CONCAT("weather.tbl[",P$1,"]")),MATCH(vp.data[[#This Row],[SDate]],weather.tbl[Date],0))</f>
        <v>0.3</v>
      </c>
      <c r="Q91" s="2">
        <f ca="1">INDEX(INDIRECT(_xlfn.CONCAT("weather.tbl[",Q$1,"]")),MATCH(vp.data[[#This Row],[SDate]],weather.tbl[Date],0))</f>
        <v>-0.8</v>
      </c>
      <c r="R91" s="2">
        <f ca="1">INDEX(INDIRECT(_xlfn.CONCAT("weather.tbl[",R$1,"]")),MATCH(vp.data[[#This Row],[SDate]],weather.tbl[Date],0))</f>
        <v>0.3</v>
      </c>
      <c r="S91" s="2">
        <f ca="1">INDEX(INDIRECT(_xlfn.CONCAT("weather.tbl[",S$1,"]")),MATCH(vp.data[[#This Row],[SDate]],weather.tbl[Date],0))</f>
        <v>0</v>
      </c>
      <c r="T91" s="2">
        <f ca="1">INDEX(INDIRECT(_xlfn.CONCAT("weather.tbl[",T$1,"]")),MATCH(vp.data[[#This Row],[SDate]],weather.tbl[Date],0))</f>
        <v>1.9</v>
      </c>
      <c r="U91" s="2">
        <f ca="1">INDEX(INDIRECT(_xlfn.CONCAT("weather.tbl[",U$1,"]")),MATCH(vp.data[[#This Row],[SDate]],weather.tbl[Date],0))</f>
        <v>-1.6</v>
      </c>
      <c r="V91" s="2">
        <f t="array" ref="V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5677.48</v>
      </c>
      <c r="W91" t="s">
        <v>48</v>
      </c>
      <c r="X91">
        <f>IF(OR(vp.data[[#This Row],[Sulf]]="",vp.data[[#This Row],[Dens]]=""),1,0)</f>
        <v>0</v>
      </c>
      <c r="Y91">
        <f>IF(vp.data[[#This Row],[CrudeType]]="C5+",1,0)</f>
        <v>0</v>
      </c>
      <c r="Z91">
        <f>IF(AND(vp.data[[#This Row],[CrudeType]]="Crude",vp.data[[#This Row],[Dens]]&lt;=825,vp.data[[#This Row],[Sulf]]&gt;0.5,vp.data[[#This Row],[Unknown]]=0),1,0)</f>
        <v>0</v>
      </c>
      <c r="AA91">
        <f>IF(AND(vp.data[[#This Row],[CrudeType]]="Crude",vp.data[[#This Row],[Dens]]&lt;=825,vp.data[[#This Row],[Sulf]]&lt;=0.5,vp.data[[#This Row],[Unknown]]=0),1,0)</f>
        <v>0</v>
      </c>
      <c r="AB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1">
        <f>IF(AND(vp.data[[#This Row],[CrudeType]]="Crude",vp.data[[#This Row],[Dens]]&gt;825,vp.data[[#This Row],[Dens]]&lt;=900,vp.data[[#This Row],[Sulf]]&lt;=0.5,vp.data[[#This Row],[Unknown]]=0),1,0)</f>
        <v>0</v>
      </c>
      <c r="AD91">
        <f>IF(AND(vp.data[[#This Row],[CrudeType]]="Crude",vp.data[[#This Row],[Dens]]&gt;865,vp.data[[#This Row],[Dens]]&lt;=900,vp.data[[#This Row],[Sulf]]&gt;2,vp.data[[#This Row],[Unknown]]=0),1,0)</f>
        <v>0</v>
      </c>
      <c r="AE91">
        <f>IF(AND(vp.data[[#This Row],[CrudeType]]="Crude",vp.data[[#This Row],[Dens]]&gt;900,vp.data[[#This Row],[Sulf]]&lt;=0.5,vp.data[[#This Row],[Unknown]]=0),1,0)</f>
        <v>0</v>
      </c>
      <c r="AF91">
        <f>IF(AND(vp.data[[#This Row],[CrudeType]]="Crude",vp.data[[#This Row],[Dens]]&gt;900,vp.data[[#This Row],[Sulf]]&lt;=0.5,vp.data[[#This Row],[Unknown]]=0),1,0)</f>
        <v>0</v>
      </c>
      <c r="AG91" t="str">
        <f>INDEX(vp.data[[#Headers],[Unknown]:[Heavy_SW]],MATCH(1,vp.data[[#This Row],[Unknown]:[Heavy_SW]],0))</f>
        <v>Medium_LSB</v>
      </c>
      <c r="AH91">
        <f>INDEX([3]!crudeBD.lkup[Number],MATCH(vp.data[[#This Row],[Crude_Breakdown]],crudeBD.lkup[Crude Breakdown],0))</f>
        <v>3</v>
      </c>
      <c r="AI91">
        <f>MONTH(vp.data[[#This Row],[SDate]])</f>
        <v>3</v>
      </c>
      <c r="AJ91" s="5">
        <f>(vp.data[[#This Row],[VP]]-INDEX(crudeBD.lkup[Mean_VP],MATCH(vp.data[[#This Row],[Crude_Breakdown]],crudeBD.lkup[Crude Breakdown],0)))^2</f>
        <v>82.089461021063386</v>
      </c>
      <c r="AK91" s="5">
        <f>(vp.data[[#This Row],[Dens]]-INDEX(crudeBD.lkup[Mean_Dens],MATCH(vp.data[[#This Row],[Crude_Breakdown]],crudeBD.lkup[Crude Breakdown],0)))^2</f>
        <v>276.22439999998505</v>
      </c>
      <c r="AL91" s="5">
        <f>(vp.data[[#This Row],[Sulf]]-INDEX(crudeBD.lkup[Mean_Sulf],MATCH(vp.data[[#This Row],[Crude_Breakdown]],crudeBD.lkup[Crude Breakdown],0)))^2</f>
        <v>5.5639475646950621E-3</v>
      </c>
      <c r="AM91" s="4">
        <f>IF(AND(vp.data[[#This Row],[SDate]]&gt;=DATE(YEAR(vp.data[[#This Row],[SDate]]),5,1),vp.data[[#This Row],[SDate]]&lt;=DATE(YEAR(vp.data[[#This Row],[SDate]]),9,15)),1,0)</f>
        <v>0</v>
      </c>
      <c r="AN91" s="4">
        <f>IF(vp.data[[#This Row],[SDate]]&lt;DATE(2016,12,1),0,1)</f>
        <v>0</v>
      </c>
      <c r="AO91" s="4">
        <f>IFERROR(vp.data[[#This Row],[Sulf]]*vp.data[[#This Row],[Net Dens]],"")</f>
        <v>6857589.6378399981</v>
      </c>
      <c r="AP91">
        <f>IFERROR(vp.data[[#This Row],[Dens]]*vp.data[[#This Row],[VolumeM3]],"")</f>
        <v>4696979.203999999</v>
      </c>
      <c r="AQ91" s="15">
        <f>IFERROR(vp.data[[#This Row],[VP]]*vp.data[[#This Row],[VolumeM3]],"")</f>
        <v>509269.95600000001</v>
      </c>
    </row>
    <row r="92" spans="1:43" x14ac:dyDescent="0.25">
      <c r="A92">
        <v>91</v>
      </c>
      <c r="B92" t="s">
        <v>60</v>
      </c>
      <c r="C92" t="s">
        <v>60</v>
      </c>
      <c r="D92" t="s">
        <v>61</v>
      </c>
      <c r="E92" t="s">
        <v>55</v>
      </c>
      <c r="F92" s="1">
        <v>42438</v>
      </c>
      <c r="G92" s="2">
        <v>111.1</v>
      </c>
      <c r="H92" s="2"/>
      <c r="I92" s="2">
        <f t="array" ref="I92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92" s="2"/>
      <c r="K92" s="2"/>
      <c r="L92" s="2">
        <v>835.3</v>
      </c>
      <c r="M92" s="2">
        <f t="array" ref="M92">_xlfn.IFNA(IF(vp.data[[#This Row],[Dens Input]]="",INDEX([1]DATA!$O$3:$O$9826,MATCH(1,(vp.data[[#This Row],[Battery]]=[1]DATA!$L$3:$L$9826)*(EOMONTH(vp.data[[#This Row],[SDate]],-1)+1=[1]DATA!$G$3:$G$9826),0)),vp.data[[#This Row],[Dens Input]]),"")</f>
        <v>835.3</v>
      </c>
      <c r="N92" s="2">
        <f ca="1">INDEX(INDIRECT(_xlfn.CONCAT("weather.tbl[",N$1,"]")),MATCH(vp.data[[#This Row],[SDate]],weather.tbl[Date],0))</f>
        <v>1.6666666666666646E-2</v>
      </c>
      <c r="O92" s="2">
        <f ca="1">INDEX(INDIRECT(_xlfn.CONCAT("weather.tbl[",O$1,"]")),MATCH(vp.data[[#This Row],[SDate]],weather.tbl[Date],0))</f>
        <v>1.1666666666666667</v>
      </c>
      <c r="P92" s="2">
        <f ca="1">INDEX(INDIRECT(_xlfn.CONCAT("weather.tbl[",P$1,"]")),MATCH(vp.data[[#This Row],[SDate]],weather.tbl[Date],0))</f>
        <v>0.3</v>
      </c>
      <c r="Q92" s="2">
        <f ca="1">INDEX(INDIRECT(_xlfn.CONCAT("weather.tbl[",Q$1,"]")),MATCH(vp.data[[#This Row],[SDate]],weather.tbl[Date],0))</f>
        <v>-0.8</v>
      </c>
      <c r="R92" s="2">
        <f ca="1">INDEX(INDIRECT(_xlfn.CONCAT("weather.tbl[",R$1,"]")),MATCH(vp.data[[#This Row],[SDate]],weather.tbl[Date],0))</f>
        <v>0.3</v>
      </c>
      <c r="S92" s="2">
        <f ca="1">INDEX(INDIRECT(_xlfn.CONCAT("weather.tbl[",S$1,"]")),MATCH(vp.data[[#This Row],[SDate]],weather.tbl[Date],0))</f>
        <v>0</v>
      </c>
      <c r="T92" s="2">
        <f ca="1">INDEX(INDIRECT(_xlfn.CONCAT("weather.tbl[",T$1,"]")),MATCH(vp.data[[#This Row],[SDate]],weather.tbl[Date],0))</f>
        <v>1.9</v>
      </c>
      <c r="U92" s="2">
        <f ca="1">INDEX(INDIRECT(_xlfn.CONCAT("weather.tbl[",U$1,"]")),MATCH(vp.data[[#This Row],[SDate]],weather.tbl[Date],0))</f>
        <v>-1.6</v>
      </c>
      <c r="V92" s="2">
        <f t="array" ref="V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109333.743</v>
      </c>
      <c r="W92" t="s">
        <v>48</v>
      </c>
      <c r="X92">
        <f>IF(OR(vp.data[[#This Row],[Sulf]]="",vp.data[[#This Row],[Dens]]=""),1,0)</f>
        <v>0</v>
      </c>
      <c r="Y92">
        <f>IF(vp.data[[#This Row],[CrudeType]]="C5+",1,0)</f>
        <v>0</v>
      </c>
      <c r="Z92">
        <f>IF(AND(vp.data[[#This Row],[CrudeType]]="Crude",vp.data[[#This Row],[Dens]]&lt;=825,vp.data[[#This Row],[Sulf]]&gt;0.5,vp.data[[#This Row],[Unknown]]=0),1,0)</f>
        <v>0</v>
      </c>
      <c r="AA92">
        <f>IF(AND(vp.data[[#This Row],[CrudeType]]="Crude",vp.data[[#This Row],[Dens]]&lt;=825,vp.data[[#This Row],[Sulf]]&lt;=0.5,vp.data[[#This Row],[Unknown]]=0),1,0)</f>
        <v>0</v>
      </c>
      <c r="AB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">
        <f>IF(AND(vp.data[[#This Row],[CrudeType]]="Crude",vp.data[[#This Row],[Dens]]&gt;825,vp.data[[#This Row],[Dens]]&lt;=900,vp.data[[#This Row],[Sulf]]&lt;=0.5,vp.data[[#This Row],[Unknown]]=0),1,0)</f>
        <v>0</v>
      </c>
      <c r="AD92">
        <f>IF(AND(vp.data[[#This Row],[CrudeType]]="Crude",vp.data[[#This Row],[Dens]]&gt;865,vp.data[[#This Row],[Dens]]&lt;=900,vp.data[[#This Row],[Sulf]]&gt;2,vp.data[[#This Row],[Unknown]]=0),1,0)</f>
        <v>0</v>
      </c>
      <c r="AE92">
        <f>IF(AND(vp.data[[#This Row],[CrudeType]]="Crude",vp.data[[#This Row],[Dens]]&gt;900,vp.data[[#This Row],[Sulf]]&lt;=0.5,vp.data[[#This Row],[Unknown]]=0),1,0)</f>
        <v>0</v>
      </c>
      <c r="AF92">
        <f>IF(AND(vp.data[[#This Row],[CrudeType]]="Crude",vp.data[[#This Row],[Dens]]&gt;900,vp.data[[#This Row],[Sulf]]&lt;=0.5,vp.data[[#This Row],[Unknown]]=0),1,0)</f>
        <v>0</v>
      </c>
      <c r="AG92" t="str">
        <f>INDEX(vp.data[[#Headers],[Unknown]:[Heavy_SW]],MATCH(1,vp.data[[#This Row],[Unknown]:[Heavy_SW]],0))</f>
        <v>Medium_LSB</v>
      </c>
      <c r="AH92">
        <f>INDEX([3]!crudeBD.lkup[Number],MATCH(vp.data[[#This Row],[Crude_Breakdown]],crudeBD.lkup[Crude Breakdown],0))</f>
        <v>3</v>
      </c>
      <c r="AI92">
        <f>MONTH(vp.data[[#This Row],[SDate]])</f>
        <v>3</v>
      </c>
      <c r="AJ92" s="5">
        <f>(vp.data[[#This Row],[VP]]-INDEX(crudeBD.lkup[Mean_VP],MATCH(vp.data[[#This Row],[Crude_Breakdown]],crudeBD.lkup[Crude Breakdown],0)))^2</f>
        <v>927.8313046868343</v>
      </c>
      <c r="AK92" s="5">
        <f>(vp.data[[#This Row],[Dens]]-INDEX(crudeBD.lkup[Mean_Dens],MATCH(vp.data[[#This Row],[Crude_Breakdown]],crudeBD.lkup[Crude Breakdown],0)))^2</f>
        <v>74.304399999992242</v>
      </c>
      <c r="AL92" s="5">
        <f>(vp.data[[#This Row],[Sulf]]-INDEX(crudeBD.lkup[Mean_Sulf],MATCH(vp.data[[#This Row],[Crude_Breakdown]],crudeBD.lkup[Crude Breakdown],0)))^2</f>
        <v>0.17256391171563998</v>
      </c>
      <c r="AM92" s="4">
        <f>IF(AND(vp.data[[#This Row],[SDate]]&gt;=DATE(YEAR(vp.data[[#This Row],[SDate]]),5,1),vp.data[[#This Row],[SDate]]&lt;=DATE(YEAR(vp.data[[#This Row],[SDate]]),9,15)),1,0)</f>
        <v>0</v>
      </c>
      <c r="AN92" s="4">
        <f>IF(vp.data[[#This Row],[SDate]]&lt;DATE(2016,12,1),0,1)</f>
        <v>0</v>
      </c>
      <c r="AO92" s="4">
        <f>IFERROR(vp.data[[#This Row],[Sulf]]*vp.data[[#This Row],[Net Dens]],"")</f>
        <v>88586681.262062997</v>
      </c>
      <c r="AP92">
        <f>IFERROR(vp.data[[#This Row],[Dens]]*vp.data[[#This Row],[VolumeM3]],"")</f>
        <v>91326475.527899995</v>
      </c>
      <c r="AQ92" s="15">
        <f>IFERROR(vp.data[[#This Row],[VP]]*vp.data[[#This Row],[VolumeM3]],"")</f>
        <v>12146978.8473</v>
      </c>
    </row>
    <row r="93" spans="1:43" x14ac:dyDescent="0.25">
      <c r="A93">
        <v>92</v>
      </c>
      <c r="B93" t="s">
        <v>76</v>
      </c>
      <c r="C93" t="s">
        <v>76</v>
      </c>
      <c r="D93" t="s">
        <v>77</v>
      </c>
      <c r="F93" s="1">
        <v>42439</v>
      </c>
      <c r="G93" s="2">
        <v>109.3</v>
      </c>
      <c r="H93" s="2"/>
      <c r="I93" s="2">
        <f t="array" ref="I93">_xlfn.IFNA(IF(vp.data[[#This Row],[Sulf Input]]="",INDEX([1]DATA!$Q$3:$Q$9826,MATCH(1,(vp.data[[#This Row],[Battery]]=[1]DATA!$L$3:$L$9826)*(EOMONTH(vp.data[[#This Row],[SDate]],-1)+1=[1]DATA!$G$3:$G$9826),0)),vp.data[[#This Row],[Sulf Input]]),"")</f>
        <v>0.12</v>
      </c>
      <c r="J93" s="2"/>
      <c r="K93" s="2"/>
      <c r="L93" s="2">
        <v>797</v>
      </c>
      <c r="M93" s="2">
        <f t="array" ref="M93">_xlfn.IFNA(IF(vp.data[[#This Row],[Dens Input]]="",INDEX([1]DATA!$O$3:$O$9826,MATCH(1,(vp.data[[#This Row],[Battery]]=[1]DATA!$L$3:$L$9826)*(EOMONTH(vp.data[[#This Row],[SDate]],-1)+1=[1]DATA!$G$3:$G$9826),0)),vp.data[[#This Row],[Dens Input]]),"")</f>
        <v>797</v>
      </c>
      <c r="N93" s="2">
        <f ca="1">INDEX(INDIRECT(_xlfn.CONCAT("weather.tbl[",N$1,"]")),MATCH(vp.data[[#This Row],[SDate]],weather.tbl[Date],0))</f>
        <v>5.0000000000000009</v>
      </c>
      <c r="O93" s="2">
        <f ca="1">INDEX(INDIRECT(_xlfn.CONCAT("weather.tbl[",O$1,"]")),MATCH(vp.data[[#This Row],[SDate]],weather.tbl[Date],0))</f>
        <v>2.1619047619047622</v>
      </c>
      <c r="P93" s="2">
        <f ca="1">INDEX(INDIRECT(_xlfn.CONCAT("weather.tbl[",P$1,"]")),MATCH(vp.data[[#This Row],[SDate]],weather.tbl[Date],0))</f>
        <v>5.0999999999999996</v>
      </c>
      <c r="Q93" s="2">
        <f ca="1">INDEX(INDIRECT(_xlfn.CONCAT("weather.tbl[",Q$1,"]")),MATCH(vp.data[[#This Row],[SDate]],weather.tbl[Date],0))</f>
        <v>5.4</v>
      </c>
      <c r="R93" s="2">
        <f ca="1">INDEX(INDIRECT(_xlfn.CONCAT("weather.tbl[",R$1,"]")),MATCH(vp.data[[#This Row],[SDate]],weather.tbl[Date],0))</f>
        <v>5.8</v>
      </c>
      <c r="S93" s="2">
        <f ca="1">INDEX(INDIRECT(_xlfn.CONCAT("weather.tbl[",S$1,"]")),MATCH(vp.data[[#This Row],[SDate]],weather.tbl[Date],0))</f>
        <v>5.3</v>
      </c>
      <c r="T93" s="2">
        <f ca="1">INDEX(INDIRECT(_xlfn.CONCAT("weather.tbl[",T$1,"]")),MATCH(vp.data[[#This Row],[SDate]],weather.tbl[Date],0))</f>
        <v>4.8</v>
      </c>
      <c r="U93" s="2">
        <f ca="1">INDEX(INDIRECT(_xlfn.CONCAT("weather.tbl[",U$1,"]")),MATCH(vp.data[[#This Row],[SDate]],weather.tbl[Date],0))</f>
        <v>3.6</v>
      </c>
      <c r="V93" s="2">
        <f t="array" ref="V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139.453</v>
      </c>
      <c r="W93" t="s">
        <v>48</v>
      </c>
      <c r="X93">
        <f>IF(OR(vp.data[[#This Row],[Sulf]]="",vp.data[[#This Row],[Dens]]=""),1,0)</f>
        <v>0</v>
      </c>
      <c r="Y93">
        <f>IF(vp.data[[#This Row],[CrudeType]]="C5+",1,0)</f>
        <v>0</v>
      </c>
      <c r="Z93">
        <f>IF(AND(vp.data[[#This Row],[CrudeType]]="Crude",vp.data[[#This Row],[Dens]]&lt;=825,vp.data[[#This Row],[Sulf]]&gt;0.5,vp.data[[#This Row],[Unknown]]=0),1,0)</f>
        <v>0</v>
      </c>
      <c r="AA93">
        <f>IF(AND(vp.data[[#This Row],[CrudeType]]="Crude",vp.data[[#This Row],[Dens]]&lt;=825,vp.data[[#This Row],[Sulf]]&lt;=0.5,vp.data[[#This Row],[Unknown]]=0),1,0)</f>
        <v>1</v>
      </c>
      <c r="AB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">
        <f>IF(AND(vp.data[[#This Row],[CrudeType]]="Crude",vp.data[[#This Row],[Dens]]&gt;825,vp.data[[#This Row],[Dens]]&lt;=900,vp.data[[#This Row],[Sulf]]&lt;=0.5,vp.data[[#This Row],[Unknown]]=0),1,0)</f>
        <v>0</v>
      </c>
      <c r="AD93">
        <f>IF(AND(vp.data[[#This Row],[CrudeType]]="Crude",vp.data[[#This Row],[Dens]]&gt;865,vp.data[[#This Row],[Dens]]&lt;=900,vp.data[[#This Row],[Sulf]]&gt;2,vp.data[[#This Row],[Unknown]]=0),1,0)</f>
        <v>0</v>
      </c>
      <c r="AE93">
        <f>IF(AND(vp.data[[#This Row],[CrudeType]]="Crude",vp.data[[#This Row],[Dens]]&gt;900,vp.data[[#This Row],[Sulf]]&lt;=0.5,vp.data[[#This Row],[Unknown]]=0),1,0)</f>
        <v>0</v>
      </c>
      <c r="AF93">
        <f>IF(AND(vp.data[[#This Row],[CrudeType]]="Crude",vp.data[[#This Row],[Dens]]&gt;900,vp.data[[#This Row],[Sulf]]&lt;=0.5,vp.data[[#This Row],[Unknown]]=0),1,0)</f>
        <v>0</v>
      </c>
      <c r="AG93" t="str">
        <f>INDEX(vp.data[[#Headers],[Unknown]:[Heavy_SW]],MATCH(1,vp.data[[#This Row],[Unknown]:[Heavy_SW]],0))</f>
        <v>Light_SW</v>
      </c>
      <c r="AH93">
        <f>INDEX([3]!crudeBD.lkup[Number],MATCH(vp.data[[#This Row],[Crude_Breakdown]],crudeBD.lkup[Crude Breakdown],0))</f>
        <v>2</v>
      </c>
      <c r="AI93">
        <f>MONTH(vp.data[[#This Row],[SDate]])</f>
        <v>3</v>
      </c>
      <c r="AJ93" s="5">
        <f>(vp.data[[#This Row],[VP]]-INDEX(crudeBD.lkup[Mean_VP],MATCH(vp.data[[#This Row],[Crude_Breakdown]],crudeBD.lkup[Crude Breakdown],0)))^2</f>
        <v>280.55199487185803</v>
      </c>
      <c r="AK93" s="5">
        <f>(vp.data[[#This Row],[Dens]]-INDEX(crudeBD.lkup[Mean_Dens],MATCH(vp.data[[#This Row],[Crude_Breakdown]],crudeBD.lkup[Crude Breakdown],0)))^2</f>
        <v>127.94999283710611</v>
      </c>
      <c r="AL93" s="5">
        <f>(vp.data[[#This Row],[Sulf]]-INDEX(crudeBD.lkup[Mean_Sulf],MATCH(vp.data[[#This Row],[Crude_Breakdown]],crudeBD.lkup[Crude Breakdown],0)))^2</f>
        <v>1.3512158821401221E-2</v>
      </c>
      <c r="AM93" s="4">
        <f>IF(AND(vp.data[[#This Row],[SDate]]&gt;=DATE(YEAR(vp.data[[#This Row],[SDate]]),5,1),vp.data[[#This Row],[SDate]]&lt;=DATE(YEAR(vp.data[[#This Row],[SDate]]),9,15)),1,0)</f>
        <v>0</v>
      </c>
      <c r="AN93" s="4">
        <f>IF(vp.data[[#This Row],[SDate]]&lt;DATE(2016,12,1),0,1)</f>
        <v>0</v>
      </c>
      <c r="AO93" s="4">
        <f>IFERROR(vp.data[[#This Row],[Sulf]]*vp.data[[#This Row],[Net Dens]],"")</f>
        <v>13337.28492</v>
      </c>
      <c r="AP93">
        <f>IFERROR(vp.data[[#This Row],[Dens]]*vp.data[[#This Row],[VolumeM3]],"")</f>
        <v>111144.041</v>
      </c>
      <c r="AQ93" s="15">
        <f>IFERROR(vp.data[[#This Row],[VP]]*vp.data[[#This Row],[VolumeM3]],"")</f>
        <v>15242.2129</v>
      </c>
    </row>
    <row r="94" spans="1:43" x14ac:dyDescent="0.25">
      <c r="A94">
        <v>93</v>
      </c>
      <c r="B94" t="s">
        <v>49</v>
      </c>
      <c r="C94" t="s">
        <v>49</v>
      </c>
      <c r="D94" t="s">
        <v>78</v>
      </c>
      <c r="F94" s="1">
        <v>42439</v>
      </c>
      <c r="G94" s="2">
        <v>84</v>
      </c>
      <c r="H94" s="2"/>
      <c r="I94" s="2">
        <f t="array" ref="I94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94" s="2"/>
      <c r="K94" s="2"/>
      <c r="L94" s="2">
        <v>807.1</v>
      </c>
      <c r="M94" s="2">
        <f t="array" ref="M94">_xlfn.IFNA(IF(vp.data[[#This Row],[Dens Input]]="",INDEX([1]DATA!$O$3:$O$9826,MATCH(1,(vp.data[[#This Row],[Battery]]=[1]DATA!$L$3:$L$9826)*(EOMONTH(vp.data[[#This Row],[SDate]],-1)+1=[1]DATA!$G$3:$G$9826),0)),vp.data[[#This Row],[Dens Input]]),"")</f>
        <v>807.1</v>
      </c>
      <c r="N94" s="2">
        <f ca="1">INDEX(INDIRECT(_xlfn.CONCAT("weather.tbl[",N$1,"]")),MATCH(vp.data[[#This Row],[SDate]],weather.tbl[Date],0))</f>
        <v>5.0000000000000009</v>
      </c>
      <c r="O94" s="2">
        <f ca="1">INDEX(INDIRECT(_xlfn.CONCAT("weather.tbl[",O$1,"]")),MATCH(vp.data[[#This Row],[SDate]],weather.tbl[Date],0))</f>
        <v>2.1619047619047622</v>
      </c>
      <c r="P94" s="2">
        <f ca="1">INDEX(INDIRECT(_xlfn.CONCAT("weather.tbl[",P$1,"]")),MATCH(vp.data[[#This Row],[SDate]],weather.tbl[Date],0))</f>
        <v>5.0999999999999996</v>
      </c>
      <c r="Q94" s="2">
        <f ca="1">INDEX(INDIRECT(_xlfn.CONCAT("weather.tbl[",Q$1,"]")),MATCH(vp.data[[#This Row],[SDate]],weather.tbl[Date],0))</f>
        <v>5.4</v>
      </c>
      <c r="R94" s="2">
        <f ca="1">INDEX(INDIRECT(_xlfn.CONCAT("weather.tbl[",R$1,"]")),MATCH(vp.data[[#This Row],[SDate]],weather.tbl[Date],0))</f>
        <v>5.8</v>
      </c>
      <c r="S94" s="2">
        <f ca="1">INDEX(INDIRECT(_xlfn.CONCAT("weather.tbl[",S$1,"]")),MATCH(vp.data[[#This Row],[SDate]],weather.tbl[Date],0))</f>
        <v>5.3</v>
      </c>
      <c r="T94" s="2">
        <f ca="1">INDEX(INDIRECT(_xlfn.CONCAT("weather.tbl[",T$1,"]")),MATCH(vp.data[[#This Row],[SDate]],weather.tbl[Date],0))</f>
        <v>4.8</v>
      </c>
      <c r="U94" s="2">
        <f ca="1">INDEX(INDIRECT(_xlfn.CONCAT("weather.tbl[",U$1,"]")),MATCH(vp.data[[#This Row],[SDate]],weather.tbl[Date],0))</f>
        <v>3.6</v>
      </c>
      <c r="V94" s="2">
        <f t="array" ref="V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38104.936999999998</v>
      </c>
      <c r="W94" t="s">
        <v>48</v>
      </c>
      <c r="X94">
        <f>IF(OR(vp.data[[#This Row],[Sulf]]="",vp.data[[#This Row],[Dens]]=""),1,0)</f>
        <v>0</v>
      </c>
      <c r="Y94">
        <f>IF(vp.data[[#This Row],[CrudeType]]="C5+",1,0)</f>
        <v>0</v>
      </c>
      <c r="Z94">
        <f>IF(AND(vp.data[[#This Row],[CrudeType]]="Crude",vp.data[[#This Row],[Dens]]&lt;=825,vp.data[[#This Row],[Sulf]]&gt;0.5,vp.data[[#This Row],[Unknown]]=0),1,0)</f>
        <v>0</v>
      </c>
      <c r="AA94">
        <f>IF(AND(vp.data[[#This Row],[CrudeType]]="Crude",vp.data[[#This Row],[Dens]]&lt;=825,vp.data[[#This Row],[Sulf]]&lt;=0.5,vp.data[[#This Row],[Unknown]]=0),1,0)</f>
        <v>1</v>
      </c>
      <c r="AB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">
        <f>IF(AND(vp.data[[#This Row],[CrudeType]]="Crude",vp.data[[#This Row],[Dens]]&gt;825,vp.data[[#This Row],[Dens]]&lt;=900,vp.data[[#This Row],[Sulf]]&lt;=0.5,vp.data[[#This Row],[Unknown]]=0),1,0)</f>
        <v>0</v>
      </c>
      <c r="AD94">
        <f>IF(AND(vp.data[[#This Row],[CrudeType]]="Crude",vp.data[[#This Row],[Dens]]&gt;865,vp.data[[#This Row],[Dens]]&lt;=900,vp.data[[#This Row],[Sulf]]&gt;2,vp.data[[#This Row],[Unknown]]=0),1,0)</f>
        <v>0</v>
      </c>
      <c r="AE94">
        <f>IF(AND(vp.data[[#This Row],[CrudeType]]="Crude",vp.data[[#This Row],[Dens]]&gt;900,vp.data[[#This Row],[Sulf]]&lt;=0.5,vp.data[[#This Row],[Unknown]]=0),1,0)</f>
        <v>0</v>
      </c>
      <c r="AF94">
        <f>IF(AND(vp.data[[#This Row],[CrudeType]]="Crude",vp.data[[#This Row],[Dens]]&gt;900,vp.data[[#This Row],[Sulf]]&lt;=0.5,vp.data[[#This Row],[Unknown]]=0),1,0)</f>
        <v>0</v>
      </c>
      <c r="AG94" t="str">
        <f>INDEX(vp.data[[#Headers],[Unknown]:[Heavy_SW]],MATCH(1,vp.data[[#This Row],[Unknown]:[Heavy_SW]],0))</f>
        <v>Light_SW</v>
      </c>
      <c r="AH94">
        <f>INDEX([3]!crudeBD.lkup[Number],MATCH(vp.data[[#This Row],[Crude_Breakdown]],crudeBD.lkup[Crude Breakdown],0))</f>
        <v>2</v>
      </c>
      <c r="AI94">
        <f>MONTH(vp.data[[#This Row],[SDate]])</f>
        <v>3</v>
      </c>
      <c r="AJ94" s="5">
        <f>(vp.data[[#This Row],[VP]]-INDEX(crudeBD.lkup[Mean_VP],MATCH(vp.data[[#This Row],[Crude_Breakdown]],crudeBD.lkup[Crude Breakdown],0)))^2</f>
        <v>73.107862467675446</v>
      </c>
      <c r="AK94" s="5">
        <f>(vp.data[[#This Row],[Dens]]-INDEX(crudeBD.lkup[Mean_Dens],MATCH(vp.data[[#This Row],[Crude_Breakdown]],crudeBD.lkup[Crude Breakdown],0)))^2</f>
        <v>1.4677280287480956</v>
      </c>
      <c r="AL94" s="5">
        <f>(vp.data[[#This Row],[Sulf]]-INDEX(crudeBD.lkup[Mean_Sulf],MATCH(vp.data[[#This Row],[Crude_Breakdown]],crudeBD.lkup[Crude Breakdown],0)))^2</f>
        <v>7.4376501105998362E-3</v>
      </c>
      <c r="AM94" s="4">
        <f>IF(AND(vp.data[[#This Row],[SDate]]&gt;=DATE(YEAR(vp.data[[#This Row],[SDate]]),5,1),vp.data[[#This Row],[SDate]]&lt;=DATE(YEAR(vp.data[[#This Row],[SDate]]),9,15)),1,0)</f>
        <v>0</v>
      </c>
      <c r="AN94" s="4">
        <f>IF(vp.data[[#This Row],[SDate]]&lt;DATE(2016,12,1),0,1)</f>
        <v>0</v>
      </c>
      <c r="AO94" s="4">
        <f>IFERROR(vp.data[[#This Row],[Sulf]]*vp.data[[#This Row],[Net Dens]],"")</f>
        <v>4613174.1979049994</v>
      </c>
      <c r="AP94">
        <f>IFERROR(vp.data[[#This Row],[Dens]]*vp.data[[#This Row],[VolumeM3]],"")</f>
        <v>30754494.6527</v>
      </c>
      <c r="AQ94" s="15">
        <f>IFERROR(vp.data[[#This Row],[VP]]*vp.data[[#This Row],[VolumeM3]],"")</f>
        <v>3200814.7079999996</v>
      </c>
    </row>
    <row r="95" spans="1:43" x14ac:dyDescent="0.25">
      <c r="A95">
        <v>94</v>
      </c>
      <c r="B95" t="s">
        <v>62</v>
      </c>
      <c r="C95" t="s">
        <v>62</v>
      </c>
      <c r="D95" t="s">
        <v>79</v>
      </c>
      <c r="F95" s="1">
        <v>42439</v>
      </c>
      <c r="G95" s="2">
        <v>101</v>
      </c>
      <c r="H95" s="2"/>
      <c r="I95" s="2">
        <f t="array" ref="I95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95" s="2"/>
      <c r="K95" s="2"/>
      <c r="L95" s="2">
        <v>813</v>
      </c>
      <c r="M95" s="2">
        <f t="array" ref="M95">_xlfn.IFNA(IF(vp.data[[#This Row],[Dens Input]]="",INDEX([1]DATA!$O$3:$O$9826,MATCH(1,(vp.data[[#This Row],[Battery]]=[1]DATA!$L$3:$L$9826)*(EOMONTH(vp.data[[#This Row],[SDate]],-1)+1=[1]DATA!$G$3:$G$9826),0)),vp.data[[#This Row],[Dens Input]]),"")</f>
        <v>813</v>
      </c>
      <c r="N95" s="2">
        <f ca="1">INDEX(INDIRECT(_xlfn.CONCAT("weather.tbl[",N$1,"]")),MATCH(vp.data[[#This Row],[SDate]],weather.tbl[Date],0))</f>
        <v>5.0000000000000009</v>
      </c>
      <c r="O95" s="2">
        <f ca="1">INDEX(INDIRECT(_xlfn.CONCAT("weather.tbl[",O$1,"]")),MATCH(vp.data[[#This Row],[SDate]],weather.tbl[Date],0))</f>
        <v>2.1619047619047622</v>
      </c>
      <c r="P95" s="2">
        <f ca="1">INDEX(INDIRECT(_xlfn.CONCAT("weather.tbl[",P$1,"]")),MATCH(vp.data[[#This Row],[SDate]],weather.tbl[Date],0))</f>
        <v>5.0999999999999996</v>
      </c>
      <c r="Q95" s="2">
        <f ca="1">INDEX(INDIRECT(_xlfn.CONCAT("weather.tbl[",Q$1,"]")),MATCH(vp.data[[#This Row],[SDate]],weather.tbl[Date],0))</f>
        <v>5.4</v>
      </c>
      <c r="R95" s="2">
        <f ca="1">INDEX(INDIRECT(_xlfn.CONCAT("weather.tbl[",R$1,"]")),MATCH(vp.data[[#This Row],[SDate]],weather.tbl[Date],0))</f>
        <v>5.8</v>
      </c>
      <c r="S95" s="2">
        <f ca="1">INDEX(INDIRECT(_xlfn.CONCAT("weather.tbl[",S$1,"]")),MATCH(vp.data[[#This Row],[SDate]],weather.tbl[Date],0))</f>
        <v>5.3</v>
      </c>
      <c r="T95" s="2">
        <f ca="1">INDEX(INDIRECT(_xlfn.CONCAT("weather.tbl[",T$1,"]")),MATCH(vp.data[[#This Row],[SDate]],weather.tbl[Date],0))</f>
        <v>4.8</v>
      </c>
      <c r="U95" s="2">
        <f ca="1">INDEX(INDIRECT(_xlfn.CONCAT("weather.tbl[",U$1,"]")),MATCH(vp.data[[#This Row],[SDate]],weather.tbl[Date],0))</f>
        <v>3.6</v>
      </c>
      <c r="V95" s="2">
        <f t="array" ref="V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15865.705</v>
      </c>
      <c r="W95" t="s">
        <v>48</v>
      </c>
      <c r="X95">
        <f>IF(OR(vp.data[[#This Row],[Sulf]]="",vp.data[[#This Row],[Dens]]=""),1,0)</f>
        <v>0</v>
      </c>
      <c r="Y95">
        <f>IF(vp.data[[#This Row],[CrudeType]]="C5+",1,0)</f>
        <v>0</v>
      </c>
      <c r="Z95">
        <f>IF(AND(vp.data[[#This Row],[CrudeType]]="Crude",vp.data[[#This Row],[Dens]]&lt;=825,vp.data[[#This Row],[Sulf]]&gt;0.5,vp.data[[#This Row],[Unknown]]=0),1,0)</f>
        <v>0</v>
      </c>
      <c r="AA95">
        <f>IF(AND(vp.data[[#This Row],[CrudeType]]="Crude",vp.data[[#This Row],[Dens]]&lt;=825,vp.data[[#This Row],[Sulf]]&lt;=0.5,vp.data[[#This Row],[Unknown]]=0),1,0)</f>
        <v>1</v>
      </c>
      <c r="AB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5">
        <f>IF(AND(vp.data[[#This Row],[CrudeType]]="Crude",vp.data[[#This Row],[Dens]]&gt;825,vp.data[[#This Row],[Dens]]&lt;=900,vp.data[[#This Row],[Sulf]]&lt;=0.5,vp.data[[#This Row],[Unknown]]=0),1,0)</f>
        <v>0</v>
      </c>
      <c r="AD95">
        <f>IF(AND(vp.data[[#This Row],[CrudeType]]="Crude",vp.data[[#This Row],[Dens]]&gt;865,vp.data[[#This Row],[Dens]]&lt;=900,vp.data[[#This Row],[Sulf]]&gt;2,vp.data[[#This Row],[Unknown]]=0),1,0)</f>
        <v>0</v>
      </c>
      <c r="AE95">
        <f>IF(AND(vp.data[[#This Row],[CrudeType]]="Crude",vp.data[[#This Row],[Dens]]&gt;900,vp.data[[#This Row],[Sulf]]&lt;=0.5,vp.data[[#This Row],[Unknown]]=0),1,0)</f>
        <v>0</v>
      </c>
      <c r="AF95">
        <f>IF(AND(vp.data[[#This Row],[CrudeType]]="Crude",vp.data[[#This Row],[Dens]]&gt;900,vp.data[[#This Row],[Sulf]]&lt;=0.5,vp.data[[#This Row],[Unknown]]=0),1,0)</f>
        <v>0</v>
      </c>
      <c r="AG95" t="str">
        <f>INDEX(vp.data[[#Headers],[Unknown]:[Heavy_SW]],MATCH(1,vp.data[[#This Row],[Unknown]:[Heavy_SW]],0))</f>
        <v>Light_SW</v>
      </c>
      <c r="AH95">
        <f>INDEX([3]!crudeBD.lkup[Number],MATCH(vp.data[[#This Row],[Crude_Breakdown]],crudeBD.lkup[Crude Breakdown],0))</f>
        <v>2</v>
      </c>
      <c r="AI95">
        <f>MONTH(vp.data[[#This Row],[SDate]])</f>
        <v>3</v>
      </c>
      <c r="AJ95" s="5">
        <f>(vp.data[[#This Row],[VP]]-INDEX(crudeBD.lkup[Mean_VP],MATCH(vp.data[[#This Row],[Crude_Breakdown]],crudeBD.lkup[Crude Breakdown],0)))^2</f>
        <v>71.397200446770526</v>
      </c>
      <c r="AK95" s="5">
        <f>(vp.data[[#This Row],[Dens]]-INDEX(crudeBD.lkup[Mean_Dens],MATCH(vp.data[[#This Row],[Crude_Breakdown]],crudeBD.lkup[Crude Breakdown],0)))^2</f>
        <v>21.982048586242016</v>
      </c>
      <c r="AL95" s="5">
        <f>(vp.data[[#This Row],[Sulf]]-INDEX(crudeBD.lkup[Mean_Sulf],MATCH(vp.data[[#This Row],[Crude_Breakdown]],crudeBD.lkup[Crude Breakdown],0)))^2</f>
        <v>5.644515043280923E-4</v>
      </c>
      <c r="AM95" s="4">
        <f>IF(AND(vp.data[[#This Row],[SDate]]&gt;=DATE(YEAR(vp.data[[#This Row],[SDate]]),5,1),vp.data[[#This Row],[SDate]]&lt;=DATE(YEAR(vp.data[[#This Row],[SDate]]),9,15)),1,0)</f>
        <v>0</v>
      </c>
      <c r="AN95" s="4">
        <f>IF(vp.data[[#This Row],[SDate]]&lt;DATE(2016,12,1),0,1)</f>
        <v>0</v>
      </c>
      <c r="AO95" s="4">
        <f>IFERROR(vp.data[[#This Row],[Sulf]]*vp.data[[#This Row],[Net Dens]],"")</f>
        <v>3353692.7228999999</v>
      </c>
      <c r="AP95">
        <f>IFERROR(vp.data[[#This Row],[Dens]]*vp.data[[#This Row],[VolumeM3]],"")</f>
        <v>12898818.164999999</v>
      </c>
      <c r="AQ95" s="15">
        <f>IFERROR(vp.data[[#This Row],[VP]]*vp.data[[#This Row],[VolumeM3]],"")</f>
        <v>1602436.2050000001</v>
      </c>
    </row>
    <row r="96" spans="1:43" x14ac:dyDescent="0.25">
      <c r="A96">
        <v>95</v>
      </c>
      <c r="B96" t="s">
        <v>68</v>
      </c>
      <c r="C96" t="s">
        <v>68</v>
      </c>
      <c r="D96" t="s">
        <v>69</v>
      </c>
      <c r="F96" s="1">
        <v>42439</v>
      </c>
      <c r="G96" s="2">
        <v>113.6</v>
      </c>
      <c r="H96" s="2"/>
      <c r="I96" s="2">
        <f t="array" ref="I96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96" s="2"/>
      <c r="K96" s="2"/>
      <c r="L96" s="2">
        <v>828.3</v>
      </c>
      <c r="M96" s="2">
        <f t="array" ref="M96">_xlfn.IFNA(IF(vp.data[[#This Row],[Dens Input]]="",INDEX([1]DATA!$O$3:$O$9826,MATCH(1,(vp.data[[#This Row],[Battery]]=[1]DATA!$L$3:$L$9826)*(EOMONTH(vp.data[[#This Row],[SDate]],-1)+1=[1]DATA!$G$3:$G$9826),0)),vp.data[[#This Row],[Dens Input]]),"")</f>
        <v>828.3</v>
      </c>
      <c r="N96" s="2">
        <f ca="1">INDEX(INDIRECT(_xlfn.CONCAT("weather.tbl[",N$1,"]")),MATCH(vp.data[[#This Row],[SDate]],weather.tbl[Date],0))</f>
        <v>5.0000000000000009</v>
      </c>
      <c r="O96" s="2">
        <f ca="1">INDEX(INDIRECT(_xlfn.CONCAT("weather.tbl[",O$1,"]")),MATCH(vp.data[[#This Row],[SDate]],weather.tbl[Date],0))</f>
        <v>2.1619047619047622</v>
      </c>
      <c r="P96" s="2">
        <f ca="1">INDEX(INDIRECT(_xlfn.CONCAT("weather.tbl[",P$1,"]")),MATCH(vp.data[[#This Row],[SDate]],weather.tbl[Date],0))</f>
        <v>5.0999999999999996</v>
      </c>
      <c r="Q96" s="2">
        <f ca="1">INDEX(INDIRECT(_xlfn.CONCAT("weather.tbl[",Q$1,"]")),MATCH(vp.data[[#This Row],[SDate]],weather.tbl[Date],0))</f>
        <v>5.4</v>
      </c>
      <c r="R96" s="2">
        <f ca="1">INDEX(INDIRECT(_xlfn.CONCAT("weather.tbl[",R$1,"]")),MATCH(vp.data[[#This Row],[SDate]],weather.tbl[Date],0))</f>
        <v>5.8</v>
      </c>
      <c r="S96" s="2">
        <f ca="1">INDEX(INDIRECT(_xlfn.CONCAT("weather.tbl[",S$1,"]")),MATCH(vp.data[[#This Row],[SDate]],weather.tbl[Date],0))</f>
        <v>5.3</v>
      </c>
      <c r="T96" s="2">
        <f ca="1">INDEX(INDIRECT(_xlfn.CONCAT("weather.tbl[",T$1,"]")),MATCH(vp.data[[#This Row],[SDate]],weather.tbl[Date],0))</f>
        <v>4.8</v>
      </c>
      <c r="U96" s="2">
        <f ca="1">INDEX(INDIRECT(_xlfn.CONCAT("weather.tbl[",U$1,"]")),MATCH(vp.data[[#This Row],[SDate]],weather.tbl[Date],0))</f>
        <v>3.6</v>
      </c>
      <c r="V96" s="2">
        <f t="array" ref="V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1459.7629999999999</v>
      </c>
      <c r="W96" t="s">
        <v>48</v>
      </c>
      <c r="X96">
        <f>IF(OR(vp.data[[#This Row],[Sulf]]="",vp.data[[#This Row],[Dens]]=""),1,0)</f>
        <v>0</v>
      </c>
      <c r="Y96">
        <f>IF(vp.data[[#This Row],[CrudeType]]="C5+",1,0)</f>
        <v>0</v>
      </c>
      <c r="Z96">
        <f>IF(AND(vp.data[[#This Row],[CrudeType]]="Crude",vp.data[[#This Row],[Dens]]&lt;=825,vp.data[[#This Row],[Sulf]]&gt;0.5,vp.data[[#This Row],[Unknown]]=0),1,0)</f>
        <v>0</v>
      </c>
      <c r="AA96">
        <f>IF(AND(vp.data[[#This Row],[CrudeType]]="Crude",vp.data[[#This Row],[Dens]]&lt;=825,vp.data[[#This Row],[Sulf]]&lt;=0.5,vp.data[[#This Row],[Unknown]]=0),1,0)</f>
        <v>0</v>
      </c>
      <c r="AB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">
        <f>IF(AND(vp.data[[#This Row],[CrudeType]]="Crude",vp.data[[#This Row],[Dens]]&gt;825,vp.data[[#This Row],[Dens]]&lt;=900,vp.data[[#This Row],[Sulf]]&lt;=0.5,vp.data[[#This Row],[Unknown]]=0),1,0)</f>
        <v>0</v>
      </c>
      <c r="AD96">
        <f>IF(AND(vp.data[[#This Row],[CrudeType]]="Crude",vp.data[[#This Row],[Dens]]&gt;865,vp.data[[#This Row],[Dens]]&lt;=900,vp.data[[#This Row],[Sulf]]&gt;2,vp.data[[#This Row],[Unknown]]=0),1,0)</f>
        <v>0</v>
      </c>
      <c r="AE96">
        <f>IF(AND(vp.data[[#This Row],[CrudeType]]="Crude",vp.data[[#This Row],[Dens]]&gt;900,vp.data[[#This Row],[Sulf]]&lt;=0.5,vp.data[[#This Row],[Unknown]]=0),1,0)</f>
        <v>0</v>
      </c>
      <c r="AF96">
        <f>IF(AND(vp.data[[#This Row],[CrudeType]]="Crude",vp.data[[#This Row],[Dens]]&gt;900,vp.data[[#This Row],[Sulf]]&lt;=0.5,vp.data[[#This Row],[Unknown]]=0),1,0)</f>
        <v>0</v>
      </c>
      <c r="AG96" t="str">
        <f>INDEX(vp.data[[#Headers],[Unknown]:[Heavy_SW]],MATCH(1,vp.data[[#This Row],[Unknown]:[Heavy_SW]],0))</f>
        <v>Medium_LSB</v>
      </c>
      <c r="AH96">
        <f>INDEX([3]!crudeBD.lkup[Number],MATCH(vp.data[[#This Row],[Crude_Breakdown]],crudeBD.lkup[Crude Breakdown],0))</f>
        <v>3</v>
      </c>
      <c r="AI96">
        <f>MONTH(vp.data[[#This Row],[SDate]])</f>
        <v>3</v>
      </c>
      <c r="AJ96" s="5">
        <f>(vp.data[[#This Row],[VP]]-INDEX(crudeBD.lkup[Mean_VP],MATCH(vp.data[[#This Row],[Crude_Breakdown]],crudeBD.lkup[Crude Breakdown],0)))^2</f>
        <v>1086.3829219375084</v>
      </c>
      <c r="AK96" s="5">
        <f>(vp.data[[#This Row],[Dens]]-INDEX(crudeBD.lkup[Mean_Dens],MATCH(vp.data[[#This Row],[Crude_Breakdown]],crudeBD.lkup[Crude Breakdown],0)))^2</f>
        <v>243.98439999998592</v>
      </c>
      <c r="AL96" s="5">
        <f>(vp.data[[#This Row],[Sulf]]-INDEX(crudeBD.lkup[Mean_Sulf],MATCH(vp.data[[#This Row],[Crude_Breakdown]],crudeBD.lkup[Crude Breakdown],0)))^2</f>
        <v>0.11874355915499073</v>
      </c>
      <c r="AM96" s="4">
        <f>IF(AND(vp.data[[#This Row],[SDate]]&gt;=DATE(YEAR(vp.data[[#This Row],[SDate]]),5,1),vp.data[[#This Row],[SDate]]&lt;=DATE(YEAR(vp.data[[#This Row],[SDate]]),9,15)),1,0)</f>
        <v>0</v>
      </c>
      <c r="AN96" s="4">
        <f>IF(vp.data[[#This Row],[SDate]]&lt;DATE(2016,12,1),0,1)</f>
        <v>0</v>
      </c>
      <c r="AO96" s="4">
        <f>IFERROR(vp.data[[#This Row],[Sulf]]*vp.data[[#This Row],[Net Dens]],"")</f>
        <v>2091780.5287169998</v>
      </c>
      <c r="AP96">
        <f>IFERROR(vp.data[[#This Row],[Dens]]*vp.data[[#This Row],[VolumeM3]],"")</f>
        <v>1209121.6928999999</v>
      </c>
      <c r="AQ96" s="15">
        <f>IFERROR(vp.data[[#This Row],[VP]]*vp.data[[#This Row],[VolumeM3]],"")</f>
        <v>165829.07679999998</v>
      </c>
    </row>
    <row r="97" spans="1:43" x14ac:dyDescent="0.25">
      <c r="A97">
        <v>96</v>
      </c>
      <c r="B97" t="s">
        <v>46</v>
      </c>
      <c r="C97" t="s">
        <v>46</v>
      </c>
      <c r="D97" t="s">
        <v>47</v>
      </c>
      <c r="F97" s="1">
        <v>42439</v>
      </c>
      <c r="G97" s="2">
        <v>119.4</v>
      </c>
      <c r="H97" s="2"/>
      <c r="I97" s="2">
        <f t="array" ref="I97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97" s="2"/>
      <c r="K97" s="2"/>
      <c r="L97" s="2">
        <v>869.5</v>
      </c>
      <c r="M97" s="2">
        <f t="array" ref="M97">_xlfn.IFNA(IF(vp.data[[#This Row],[Dens Input]]="",INDEX([1]DATA!$O$3:$O$9826,MATCH(1,(vp.data[[#This Row],[Battery]]=[1]DATA!$L$3:$L$9826)*(EOMONTH(vp.data[[#This Row],[SDate]],-1)+1=[1]DATA!$G$3:$G$9826),0)),vp.data[[#This Row],[Dens Input]]),"")</f>
        <v>869.5</v>
      </c>
      <c r="N97" s="2">
        <f ca="1">INDEX(INDIRECT(_xlfn.CONCAT("weather.tbl[",N$1,"]")),MATCH(vp.data[[#This Row],[SDate]],weather.tbl[Date],0))</f>
        <v>5.0000000000000009</v>
      </c>
      <c r="O97" s="2">
        <f ca="1">INDEX(INDIRECT(_xlfn.CONCAT("weather.tbl[",O$1,"]")),MATCH(vp.data[[#This Row],[SDate]],weather.tbl[Date],0))</f>
        <v>2.1619047619047622</v>
      </c>
      <c r="P97" s="2">
        <f ca="1">INDEX(INDIRECT(_xlfn.CONCAT("weather.tbl[",P$1,"]")),MATCH(vp.data[[#This Row],[SDate]],weather.tbl[Date],0))</f>
        <v>5.0999999999999996</v>
      </c>
      <c r="Q97" s="2">
        <f ca="1">INDEX(INDIRECT(_xlfn.CONCAT("weather.tbl[",Q$1,"]")),MATCH(vp.data[[#This Row],[SDate]],weather.tbl[Date],0))</f>
        <v>5.4</v>
      </c>
      <c r="R97" s="2">
        <f ca="1">INDEX(INDIRECT(_xlfn.CONCAT("weather.tbl[",R$1,"]")),MATCH(vp.data[[#This Row],[SDate]],weather.tbl[Date],0))</f>
        <v>5.8</v>
      </c>
      <c r="S97" s="2">
        <f ca="1">INDEX(INDIRECT(_xlfn.CONCAT("weather.tbl[",S$1,"]")),MATCH(vp.data[[#This Row],[SDate]],weather.tbl[Date],0))</f>
        <v>5.3</v>
      </c>
      <c r="T97" s="2">
        <f ca="1">INDEX(INDIRECT(_xlfn.CONCAT("weather.tbl[",T$1,"]")),MATCH(vp.data[[#This Row],[SDate]],weather.tbl[Date],0))</f>
        <v>4.8</v>
      </c>
      <c r="U97" s="2">
        <f ca="1">INDEX(INDIRECT(_xlfn.CONCAT("weather.tbl[",U$1,"]")),MATCH(vp.data[[#This Row],[SDate]],weather.tbl[Date],0))</f>
        <v>3.6</v>
      </c>
      <c r="V97" s="2">
        <f t="array" ref="V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116985.039</v>
      </c>
      <c r="W97" t="s">
        <v>48</v>
      </c>
      <c r="X97">
        <f>IF(OR(vp.data[[#This Row],[Sulf]]="",vp.data[[#This Row],[Dens]]=""),1,0)</f>
        <v>0</v>
      </c>
      <c r="Y97">
        <f>IF(vp.data[[#This Row],[CrudeType]]="C5+",1,0)</f>
        <v>0</v>
      </c>
      <c r="Z97">
        <f>IF(AND(vp.data[[#This Row],[CrudeType]]="Crude",vp.data[[#This Row],[Dens]]&lt;=825,vp.data[[#This Row],[Sulf]]&gt;0.5,vp.data[[#This Row],[Unknown]]=0),1,0)</f>
        <v>0</v>
      </c>
      <c r="AA97">
        <f>IF(AND(vp.data[[#This Row],[CrudeType]]="Crude",vp.data[[#This Row],[Dens]]&lt;=825,vp.data[[#This Row],[Sulf]]&lt;=0.5,vp.data[[#This Row],[Unknown]]=0),1,0)</f>
        <v>0</v>
      </c>
      <c r="AB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">
        <f>IF(AND(vp.data[[#This Row],[CrudeType]]="Crude",vp.data[[#This Row],[Dens]]&gt;825,vp.data[[#This Row],[Dens]]&lt;=900,vp.data[[#This Row],[Sulf]]&lt;=0.5,vp.data[[#This Row],[Unknown]]=0),1,0)</f>
        <v>0</v>
      </c>
      <c r="AD97">
        <f>IF(AND(vp.data[[#This Row],[CrudeType]]="Crude",vp.data[[#This Row],[Dens]]&gt;865,vp.data[[#This Row],[Dens]]&lt;=900,vp.data[[#This Row],[Sulf]]&gt;2,vp.data[[#This Row],[Unknown]]=0),1,0)</f>
        <v>1</v>
      </c>
      <c r="AE97">
        <f>IF(AND(vp.data[[#This Row],[CrudeType]]="Crude",vp.data[[#This Row],[Dens]]&gt;900,vp.data[[#This Row],[Sulf]]&lt;=0.5,vp.data[[#This Row],[Unknown]]=0),1,0)</f>
        <v>0</v>
      </c>
      <c r="AF97">
        <f>IF(AND(vp.data[[#This Row],[CrudeType]]="Crude",vp.data[[#This Row],[Dens]]&gt;900,vp.data[[#This Row],[Sulf]]&lt;=0.5,vp.data[[#This Row],[Unknown]]=0),1,0)</f>
        <v>0</v>
      </c>
      <c r="AG97" t="str">
        <f>INDEX(vp.data[[#Headers],[Unknown]:[Heavy_SW]],MATCH(1,vp.data[[#This Row],[Unknown]:[Heavy_SW]],0))</f>
        <v>Midale</v>
      </c>
      <c r="AH97">
        <f>INDEX([3]!crudeBD.lkup[Number],MATCH(vp.data[[#This Row],[Crude_Breakdown]],crudeBD.lkup[Crude Breakdown],0))</f>
        <v>5</v>
      </c>
      <c r="AI97">
        <f>MONTH(vp.data[[#This Row],[SDate]])</f>
        <v>3</v>
      </c>
      <c r="AJ97" s="5">
        <f>(vp.data[[#This Row],[VP]]-INDEX(crudeBD.lkup[Mean_VP],MATCH(vp.data[[#This Row],[Crude_Breakdown]],crudeBD.lkup[Crude Breakdown],0)))^2</f>
        <v>2499.1237881283851</v>
      </c>
      <c r="AK97" s="5">
        <f>(vp.data[[#This Row],[Dens]]-INDEX(crudeBD.lkup[Mean_Dens],MATCH(vp.data[[#This Row],[Crude_Breakdown]],crudeBD.lkup[Crude Breakdown],0)))^2</f>
        <v>28.270598628975527</v>
      </c>
      <c r="AL97" s="5">
        <f>(vp.data[[#This Row],[Sulf]]-INDEX(crudeBD.lkup[Mean_Sulf],MATCH(vp.data[[#This Row],[Crude_Breakdown]],crudeBD.lkup[Crude Breakdown],0)))^2</f>
        <v>1.130006345424492E-3</v>
      </c>
      <c r="AM97" s="4">
        <f>IF(AND(vp.data[[#This Row],[SDate]]&gt;=DATE(YEAR(vp.data[[#This Row],[SDate]]),5,1),vp.data[[#This Row],[SDate]]&lt;=DATE(YEAR(vp.data[[#This Row],[SDate]]),9,15)),1,0)</f>
        <v>0</v>
      </c>
      <c r="AN97" s="4">
        <f>IF(vp.data[[#This Row],[SDate]]&lt;DATE(2016,12,1),0,1)</f>
        <v>0</v>
      </c>
      <c r="AO97" s="4">
        <f>IFERROR(vp.data[[#This Row],[Sulf]]*vp.data[[#This Row],[Net Dens]],"")</f>
        <v>245141564.29930502</v>
      </c>
      <c r="AP97">
        <f>IFERROR(vp.data[[#This Row],[Dens]]*vp.data[[#This Row],[VolumeM3]],"")</f>
        <v>101718491.4105</v>
      </c>
      <c r="AQ97" s="15">
        <f>IFERROR(vp.data[[#This Row],[VP]]*vp.data[[#This Row],[VolumeM3]],"")</f>
        <v>13968013.6566</v>
      </c>
    </row>
    <row r="98" spans="1:43" x14ac:dyDescent="0.25">
      <c r="A98">
        <v>97</v>
      </c>
      <c r="B98" t="s">
        <v>49</v>
      </c>
      <c r="C98" t="s">
        <v>49</v>
      </c>
      <c r="D98" t="s">
        <v>75</v>
      </c>
      <c r="F98" s="1">
        <v>42440</v>
      </c>
      <c r="G98" s="2">
        <v>98.1</v>
      </c>
      <c r="H98" s="2"/>
      <c r="I98" s="2">
        <f t="array" ref="I98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98" s="2"/>
      <c r="K98" s="2"/>
      <c r="L98" s="2">
        <v>799.3</v>
      </c>
      <c r="M98" s="2">
        <f t="array" ref="M98">_xlfn.IFNA(IF(vp.data[[#This Row],[Dens Input]]="",INDEX([1]DATA!$O$3:$O$9826,MATCH(1,(vp.data[[#This Row],[Battery]]=[1]DATA!$L$3:$L$9826)*(EOMONTH(vp.data[[#This Row],[SDate]],-1)+1=[1]DATA!$G$3:$G$9826),0)),vp.data[[#This Row],[Dens Input]]),"")</f>
        <v>799.3</v>
      </c>
      <c r="N98" s="2">
        <f ca="1">INDEX(INDIRECT(_xlfn.CONCAT("weather.tbl[",N$1,"]")),MATCH(vp.data[[#This Row],[SDate]],weather.tbl[Date],0))</f>
        <v>8.2333333333333325</v>
      </c>
      <c r="O98" s="2">
        <f ca="1">INDEX(INDIRECT(_xlfn.CONCAT("weather.tbl[",O$1,"]")),MATCH(vp.data[[#This Row],[SDate]],weather.tbl[Date],0))</f>
        <v>3.5571428571428569</v>
      </c>
      <c r="P98" s="2">
        <f ca="1">INDEX(INDIRECT(_xlfn.CONCAT("weather.tbl[",P$1,"]")),MATCH(vp.data[[#This Row],[SDate]],weather.tbl[Date],0))</f>
        <v>9.1999999999999993</v>
      </c>
      <c r="Q98" s="2">
        <f ca="1">INDEX(INDIRECT(_xlfn.CONCAT("weather.tbl[",Q$1,"]")),MATCH(vp.data[[#This Row],[SDate]],weather.tbl[Date],0))</f>
        <v>7.6</v>
      </c>
      <c r="R98" s="2">
        <f ca="1">INDEX(INDIRECT(_xlfn.CONCAT("weather.tbl[",R$1,"]")),MATCH(vp.data[[#This Row],[SDate]],weather.tbl[Date],0))</f>
        <v>8.8000000000000007</v>
      </c>
      <c r="S98" s="2">
        <f ca="1">INDEX(INDIRECT(_xlfn.CONCAT("weather.tbl[",S$1,"]")),MATCH(vp.data[[#This Row],[SDate]],weather.tbl[Date],0))</f>
        <v>8</v>
      </c>
      <c r="T98" s="2">
        <f ca="1">INDEX(INDIRECT(_xlfn.CONCAT("weather.tbl[",T$1,"]")),MATCH(vp.data[[#This Row],[SDate]],weather.tbl[Date],0))</f>
        <v>7.5</v>
      </c>
      <c r="U98" s="2">
        <f ca="1">INDEX(INDIRECT(_xlfn.CONCAT("weather.tbl[",U$1,"]")),MATCH(vp.data[[#This Row],[SDate]],weather.tbl[Date],0))</f>
        <v>8.3000000000000007</v>
      </c>
      <c r="V98" s="2">
        <f t="array" ref="V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15704.973</v>
      </c>
      <c r="W98" t="s">
        <v>48</v>
      </c>
      <c r="X98">
        <f>IF(OR(vp.data[[#This Row],[Sulf]]="",vp.data[[#This Row],[Dens]]=""),1,0)</f>
        <v>0</v>
      </c>
      <c r="Y98">
        <f>IF(vp.data[[#This Row],[CrudeType]]="C5+",1,0)</f>
        <v>0</v>
      </c>
      <c r="Z98">
        <f>IF(AND(vp.data[[#This Row],[CrudeType]]="Crude",vp.data[[#This Row],[Dens]]&lt;=825,vp.data[[#This Row],[Sulf]]&gt;0.5,vp.data[[#This Row],[Unknown]]=0),1,0)</f>
        <v>0</v>
      </c>
      <c r="AA98">
        <f>IF(AND(vp.data[[#This Row],[CrudeType]]="Crude",vp.data[[#This Row],[Dens]]&lt;=825,vp.data[[#This Row],[Sulf]]&lt;=0.5,vp.data[[#This Row],[Unknown]]=0),1,0)</f>
        <v>1</v>
      </c>
      <c r="AB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8">
        <f>IF(AND(vp.data[[#This Row],[CrudeType]]="Crude",vp.data[[#This Row],[Dens]]&gt;825,vp.data[[#This Row],[Dens]]&lt;=900,vp.data[[#This Row],[Sulf]]&lt;=0.5,vp.data[[#This Row],[Unknown]]=0),1,0)</f>
        <v>0</v>
      </c>
      <c r="AD98">
        <f>IF(AND(vp.data[[#This Row],[CrudeType]]="Crude",vp.data[[#This Row],[Dens]]&gt;865,vp.data[[#This Row],[Dens]]&lt;=900,vp.data[[#This Row],[Sulf]]&gt;2,vp.data[[#This Row],[Unknown]]=0),1,0)</f>
        <v>0</v>
      </c>
      <c r="AE98">
        <f>IF(AND(vp.data[[#This Row],[CrudeType]]="Crude",vp.data[[#This Row],[Dens]]&gt;900,vp.data[[#This Row],[Sulf]]&lt;=0.5,vp.data[[#This Row],[Unknown]]=0),1,0)</f>
        <v>0</v>
      </c>
      <c r="AF98">
        <f>IF(AND(vp.data[[#This Row],[CrudeType]]="Crude",vp.data[[#This Row],[Dens]]&gt;900,vp.data[[#This Row],[Sulf]]&lt;=0.5,vp.data[[#This Row],[Unknown]]=0),1,0)</f>
        <v>0</v>
      </c>
      <c r="AG98" t="str">
        <f>INDEX(vp.data[[#Headers],[Unknown]:[Heavy_SW]],MATCH(1,vp.data[[#This Row],[Unknown]:[Heavy_SW]],0))</f>
        <v>Light_SW</v>
      </c>
      <c r="AH98">
        <f>INDEX([3]!crudeBD.lkup[Number],MATCH(vp.data[[#This Row],[Crude_Breakdown]],crudeBD.lkup[Crude Breakdown],0))</f>
        <v>2</v>
      </c>
      <c r="AI98">
        <f>MONTH(vp.data[[#This Row],[SDate]])</f>
        <v>3</v>
      </c>
      <c r="AJ98" s="5">
        <f>(vp.data[[#This Row],[VP]]-INDEX(crudeBD.lkup[Mean_VP],MATCH(vp.data[[#This Row],[Crude_Breakdown]],crudeBD.lkup[Crude Breakdown],0)))^2</f>
        <v>30.799019262101297</v>
      </c>
      <c r="AK98" s="5">
        <f>(vp.data[[#This Row],[Dens]]-INDEX(crudeBD.lkup[Mean_Dens],MATCH(vp.data[[#This Row],[Crude_Breakdown]],crudeBD.lkup[Crude Breakdown],0)))^2</f>
        <v>81.207100851045212</v>
      </c>
      <c r="AL98" s="5">
        <f>(vp.data[[#This Row],[Sulf]]-INDEX(crudeBD.lkup[Mean_Sulf],MATCH(vp.data[[#This Row],[Crude_Breakdown]],crudeBD.lkup[Crude Breakdown],0)))^2</f>
        <v>7.4376501105998362E-3</v>
      </c>
      <c r="AM98" s="4">
        <f>IF(AND(vp.data[[#This Row],[SDate]]&gt;=DATE(YEAR(vp.data[[#This Row],[SDate]]),5,1),vp.data[[#This Row],[SDate]]&lt;=DATE(YEAR(vp.data[[#This Row],[SDate]]),9,15)),1,0)</f>
        <v>0</v>
      </c>
      <c r="AN98" s="4">
        <f>IF(vp.data[[#This Row],[SDate]]&lt;DATE(2016,12,1),0,1)</f>
        <v>0</v>
      </c>
      <c r="AO98" s="4">
        <f>IFERROR(vp.data[[#This Row],[Sulf]]*vp.data[[#This Row],[Net Dens]],"")</f>
        <v>1882947.737835</v>
      </c>
      <c r="AP98">
        <f>IFERROR(vp.data[[#This Row],[Dens]]*vp.data[[#This Row],[VolumeM3]],"")</f>
        <v>12552984.9189</v>
      </c>
      <c r="AQ98" s="15">
        <f>IFERROR(vp.data[[#This Row],[VP]]*vp.data[[#This Row],[VolumeM3]],"")</f>
        <v>1540657.8513</v>
      </c>
    </row>
    <row r="99" spans="1:43" x14ac:dyDescent="0.25">
      <c r="A99">
        <v>98</v>
      </c>
      <c r="B99" t="s">
        <v>49</v>
      </c>
      <c r="C99" t="s">
        <v>49</v>
      </c>
      <c r="D99" t="s">
        <v>74</v>
      </c>
      <c r="F99" s="1">
        <v>42440</v>
      </c>
      <c r="G99" s="2">
        <v>120.6</v>
      </c>
      <c r="H99" s="2"/>
      <c r="I99" s="2">
        <f t="array" ref="I99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99" s="2"/>
      <c r="K99" s="2"/>
      <c r="L99" s="2">
        <v>802.2</v>
      </c>
      <c r="M99" s="2">
        <f t="array" ref="M99">_xlfn.IFNA(IF(vp.data[[#This Row],[Dens Input]]="",INDEX([1]DATA!$O$3:$O$9826,MATCH(1,(vp.data[[#This Row],[Battery]]=[1]DATA!$L$3:$L$9826)*(EOMONTH(vp.data[[#This Row],[SDate]],-1)+1=[1]DATA!$G$3:$G$9826),0)),vp.data[[#This Row],[Dens Input]]),"")</f>
        <v>802.2</v>
      </c>
      <c r="N99" s="2">
        <f ca="1">INDEX(INDIRECT(_xlfn.CONCAT("weather.tbl[",N$1,"]")),MATCH(vp.data[[#This Row],[SDate]],weather.tbl[Date],0))</f>
        <v>8.2333333333333325</v>
      </c>
      <c r="O99" s="2">
        <f ca="1">INDEX(INDIRECT(_xlfn.CONCAT("weather.tbl[",O$1,"]")),MATCH(vp.data[[#This Row],[SDate]],weather.tbl[Date],0))</f>
        <v>3.5571428571428569</v>
      </c>
      <c r="P99" s="2">
        <f ca="1">INDEX(INDIRECT(_xlfn.CONCAT("weather.tbl[",P$1,"]")),MATCH(vp.data[[#This Row],[SDate]],weather.tbl[Date],0))</f>
        <v>9.1999999999999993</v>
      </c>
      <c r="Q99" s="2">
        <f ca="1">INDEX(INDIRECT(_xlfn.CONCAT("weather.tbl[",Q$1,"]")),MATCH(vp.data[[#This Row],[SDate]],weather.tbl[Date],0))</f>
        <v>7.6</v>
      </c>
      <c r="R99" s="2">
        <f ca="1">INDEX(INDIRECT(_xlfn.CONCAT("weather.tbl[",R$1,"]")),MATCH(vp.data[[#This Row],[SDate]],weather.tbl[Date],0))</f>
        <v>8.8000000000000007</v>
      </c>
      <c r="S99" s="2">
        <f ca="1">INDEX(INDIRECT(_xlfn.CONCAT("weather.tbl[",S$1,"]")),MATCH(vp.data[[#This Row],[SDate]],weather.tbl[Date],0))</f>
        <v>8</v>
      </c>
      <c r="T99" s="2">
        <f ca="1">INDEX(INDIRECT(_xlfn.CONCAT("weather.tbl[",T$1,"]")),MATCH(vp.data[[#This Row],[SDate]],weather.tbl[Date],0))</f>
        <v>7.5</v>
      </c>
      <c r="U99" s="2">
        <f ca="1">INDEX(INDIRECT(_xlfn.CONCAT("weather.tbl[",U$1,"]")),MATCH(vp.data[[#This Row],[SDate]],weather.tbl[Date],0))</f>
        <v>8.3000000000000007</v>
      </c>
      <c r="V99" s="2">
        <f t="array" ref="V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46024.504999999997</v>
      </c>
      <c r="W99" t="s">
        <v>48</v>
      </c>
      <c r="X99">
        <f>IF(OR(vp.data[[#This Row],[Sulf]]="",vp.data[[#This Row],[Dens]]=""),1,0)</f>
        <v>0</v>
      </c>
      <c r="Y99">
        <f>IF(vp.data[[#This Row],[CrudeType]]="C5+",1,0)</f>
        <v>0</v>
      </c>
      <c r="Z99">
        <f>IF(AND(vp.data[[#This Row],[CrudeType]]="Crude",vp.data[[#This Row],[Dens]]&lt;=825,vp.data[[#This Row],[Sulf]]&gt;0.5,vp.data[[#This Row],[Unknown]]=0),1,0)</f>
        <v>0</v>
      </c>
      <c r="AA99">
        <f>IF(AND(vp.data[[#This Row],[CrudeType]]="Crude",vp.data[[#This Row],[Dens]]&lt;=825,vp.data[[#This Row],[Sulf]]&lt;=0.5,vp.data[[#This Row],[Unknown]]=0),1,0)</f>
        <v>1</v>
      </c>
      <c r="AB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">
        <f>IF(AND(vp.data[[#This Row],[CrudeType]]="Crude",vp.data[[#This Row],[Dens]]&gt;825,vp.data[[#This Row],[Dens]]&lt;=900,vp.data[[#This Row],[Sulf]]&lt;=0.5,vp.data[[#This Row],[Unknown]]=0),1,0)</f>
        <v>0</v>
      </c>
      <c r="AD99">
        <f>IF(AND(vp.data[[#This Row],[CrudeType]]="Crude",vp.data[[#This Row],[Dens]]&gt;865,vp.data[[#This Row],[Dens]]&lt;=900,vp.data[[#This Row],[Sulf]]&gt;2,vp.data[[#This Row],[Unknown]]=0),1,0)</f>
        <v>0</v>
      </c>
      <c r="AE99">
        <f>IF(AND(vp.data[[#This Row],[CrudeType]]="Crude",vp.data[[#This Row],[Dens]]&gt;900,vp.data[[#This Row],[Sulf]]&lt;=0.5,vp.data[[#This Row],[Unknown]]=0),1,0)</f>
        <v>0</v>
      </c>
      <c r="AF99">
        <f>IF(AND(vp.data[[#This Row],[CrudeType]]="Crude",vp.data[[#This Row],[Dens]]&gt;900,vp.data[[#This Row],[Sulf]]&lt;=0.5,vp.data[[#This Row],[Unknown]]=0),1,0)</f>
        <v>0</v>
      </c>
      <c r="AG99" t="str">
        <f>INDEX(vp.data[[#Headers],[Unknown]:[Heavy_SW]],MATCH(1,vp.data[[#This Row],[Unknown]:[Heavy_SW]],0))</f>
        <v>Light_SW</v>
      </c>
      <c r="AH99">
        <f>INDEX([3]!crudeBD.lkup[Number],MATCH(vp.data[[#This Row],[Crude_Breakdown]],crudeBD.lkup[Crude Breakdown],0))</f>
        <v>2</v>
      </c>
      <c r="AI99">
        <f>MONTH(vp.data[[#This Row],[SDate]])</f>
        <v>3</v>
      </c>
      <c r="AJ99" s="5">
        <f>(vp.data[[#This Row],[VP]]-INDEX(crudeBD.lkup[Mean_VP],MATCH(vp.data[[#This Row],[Crude_Breakdown]],crudeBD.lkup[Crude Breakdown],0)))^2</f>
        <v>786.78490776384456</v>
      </c>
      <c r="AK99" s="5">
        <f>(vp.data[[#This Row],[Dens]]-INDEX(crudeBD.lkup[Mean_Dens],MATCH(vp.data[[#This Row],[Crude_Breakdown]],crudeBD.lkup[Crude Breakdown],0)))^2</f>
        <v>37.350410955574723</v>
      </c>
      <c r="AL99" s="5">
        <f>(vp.data[[#This Row],[Sulf]]-INDEX(crudeBD.lkup[Mean_Sulf],MATCH(vp.data[[#This Row],[Crude_Breakdown]],crudeBD.lkup[Crude Breakdown],0)))^2</f>
        <v>9.2624863475336272E-3</v>
      </c>
      <c r="AM99" s="4">
        <f>IF(AND(vp.data[[#This Row],[SDate]]&gt;=DATE(YEAR(vp.data[[#This Row],[SDate]]),5,1),vp.data[[#This Row],[SDate]]&lt;=DATE(YEAR(vp.data[[#This Row],[SDate]]),9,15)),1,0)</f>
        <v>0</v>
      </c>
      <c r="AN99" s="4">
        <f>IF(vp.data[[#This Row],[SDate]]&lt;DATE(2016,12,1),0,1)</f>
        <v>0</v>
      </c>
      <c r="AO99" s="4">
        <f>IFERROR(vp.data[[#This Row],[Sulf]]*vp.data[[#This Row],[Net Dens]],"")</f>
        <v>5168920.1075400002</v>
      </c>
      <c r="AP99">
        <f>IFERROR(vp.data[[#This Row],[Dens]]*vp.data[[#This Row],[VolumeM3]],"")</f>
        <v>36920857.910999998</v>
      </c>
      <c r="AQ99" s="15">
        <f>IFERROR(vp.data[[#This Row],[VP]]*vp.data[[#This Row],[VolumeM3]],"")</f>
        <v>5550555.3029999994</v>
      </c>
    </row>
    <row r="100" spans="1:43" x14ac:dyDescent="0.25">
      <c r="A100">
        <v>99</v>
      </c>
      <c r="B100" t="s">
        <v>49</v>
      </c>
      <c r="C100" t="s">
        <v>49</v>
      </c>
      <c r="D100" t="s">
        <v>80</v>
      </c>
      <c r="F100" s="1">
        <v>42440</v>
      </c>
      <c r="G100" s="2">
        <v>116.4</v>
      </c>
      <c r="H100" s="2"/>
      <c r="I100" s="2">
        <f t="array" ref="I100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100" s="2"/>
      <c r="K100" s="2"/>
      <c r="L100" s="2">
        <v>813.2</v>
      </c>
      <c r="M100" s="2">
        <f t="array" ref="M100">_xlfn.IFNA(IF(vp.data[[#This Row],[Dens Input]]="",INDEX([1]DATA!$O$3:$O$9826,MATCH(1,(vp.data[[#This Row],[Battery]]=[1]DATA!$L$3:$L$9826)*(EOMONTH(vp.data[[#This Row],[SDate]],-1)+1=[1]DATA!$G$3:$G$9826),0)),vp.data[[#This Row],[Dens Input]]),"")</f>
        <v>813.2</v>
      </c>
      <c r="N100" s="2">
        <f ca="1">INDEX(INDIRECT(_xlfn.CONCAT("weather.tbl[",N$1,"]")),MATCH(vp.data[[#This Row],[SDate]],weather.tbl[Date],0))</f>
        <v>8.2333333333333325</v>
      </c>
      <c r="O100" s="2">
        <f ca="1">INDEX(INDIRECT(_xlfn.CONCAT("weather.tbl[",O$1,"]")),MATCH(vp.data[[#This Row],[SDate]],weather.tbl[Date],0))</f>
        <v>3.5571428571428569</v>
      </c>
      <c r="P100" s="2">
        <f ca="1">INDEX(INDIRECT(_xlfn.CONCAT("weather.tbl[",P$1,"]")),MATCH(vp.data[[#This Row],[SDate]],weather.tbl[Date],0))</f>
        <v>9.1999999999999993</v>
      </c>
      <c r="Q100" s="2">
        <f ca="1">INDEX(INDIRECT(_xlfn.CONCAT("weather.tbl[",Q$1,"]")),MATCH(vp.data[[#This Row],[SDate]],weather.tbl[Date],0))</f>
        <v>7.6</v>
      </c>
      <c r="R100" s="2">
        <f ca="1">INDEX(INDIRECT(_xlfn.CONCAT("weather.tbl[",R$1,"]")),MATCH(vp.data[[#This Row],[SDate]],weather.tbl[Date],0))</f>
        <v>8.8000000000000007</v>
      </c>
      <c r="S100" s="2">
        <f ca="1">INDEX(INDIRECT(_xlfn.CONCAT("weather.tbl[",S$1,"]")),MATCH(vp.data[[#This Row],[SDate]],weather.tbl[Date],0))</f>
        <v>8</v>
      </c>
      <c r="T100" s="2">
        <f ca="1">INDEX(INDIRECT(_xlfn.CONCAT("weather.tbl[",T$1,"]")),MATCH(vp.data[[#This Row],[SDate]],weather.tbl[Date],0))</f>
        <v>7.5</v>
      </c>
      <c r="U100" s="2">
        <f ca="1">INDEX(INDIRECT(_xlfn.CONCAT("weather.tbl[",U$1,"]")),MATCH(vp.data[[#This Row],[SDate]],weather.tbl[Date],0))</f>
        <v>8.3000000000000007</v>
      </c>
      <c r="V100" s="2">
        <f t="array" ref="V1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22800.579000000002</v>
      </c>
      <c r="W100" t="s">
        <v>48</v>
      </c>
      <c r="X100">
        <f>IF(OR(vp.data[[#This Row],[Sulf]]="",vp.data[[#This Row],[Dens]]=""),1,0)</f>
        <v>0</v>
      </c>
      <c r="Y100">
        <f>IF(vp.data[[#This Row],[CrudeType]]="C5+",1,0)</f>
        <v>0</v>
      </c>
      <c r="Z100">
        <f>IF(AND(vp.data[[#This Row],[CrudeType]]="Crude",vp.data[[#This Row],[Dens]]&lt;=825,vp.data[[#This Row],[Sulf]]&gt;0.5,vp.data[[#This Row],[Unknown]]=0),1,0)</f>
        <v>0</v>
      </c>
      <c r="AA100">
        <f>IF(AND(vp.data[[#This Row],[CrudeType]]="Crude",vp.data[[#This Row],[Dens]]&lt;=825,vp.data[[#This Row],[Sulf]]&lt;=0.5,vp.data[[#This Row],[Unknown]]=0),1,0)</f>
        <v>1</v>
      </c>
      <c r="AB1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0">
        <f>IF(AND(vp.data[[#This Row],[CrudeType]]="Crude",vp.data[[#This Row],[Dens]]&gt;825,vp.data[[#This Row],[Dens]]&lt;=900,vp.data[[#This Row],[Sulf]]&lt;=0.5,vp.data[[#This Row],[Unknown]]=0),1,0)</f>
        <v>0</v>
      </c>
      <c r="AD100">
        <f>IF(AND(vp.data[[#This Row],[CrudeType]]="Crude",vp.data[[#This Row],[Dens]]&gt;865,vp.data[[#This Row],[Dens]]&lt;=900,vp.data[[#This Row],[Sulf]]&gt;2,vp.data[[#This Row],[Unknown]]=0),1,0)</f>
        <v>0</v>
      </c>
      <c r="AE100">
        <f>IF(AND(vp.data[[#This Row],[CrudeType]]="Crude",vp.data[[#This Row],[Dens]]&gt;900,vp.data[[#This Row],[Sulf]]&lt;=0.5,vp.data[[#This Row],[Unknown]]=0),1,0)</f>
        <v>0</v>
      </c>
      <c r="AF100">
        <f>IF(AND(vp.data[[#This Row],[CrudeType]]="Crude",vp.data[[#This Row],[Dens]]&gt;900,vp.data[[#This Row],[Sulf]]&lt;=0.5,vp.data[[#This Row],[Unknown]]=0),1,0)</f>
        <v>0</v>
      </c>
      <c r="AG100" t="str">
        <f>INDEX(vp.data[[#Headers],[Unknown]:[Heavy_SW]],MATCH(1,vp.data[[#This Row],[Unknown]:[Heavy_SW]],0))</f>
        <v>Light_SW</v>
      </c>
      <c r="AH100">
        <f>INDEX([3]!crudeBD.lkup[Number],MATCH(vp.data[[#This Row],[Crude_Breakdown]],crudeBD.lkup[Crude Breakdown],0))</f>
        <v>2</v>
      </c>
      <c r="AI100">
        <f>MONTH(vp.data[[#This Row],[SDate]])</f>
        <v>3</v>
      </c>
      <c r="AJ100" s="5">
        <f>(vp.data[[#This Row],[VP]]-INDEX(crudeBD.lkup[Mean_VP],MATCH(vp.data[[#This Row],[Crude_Breakdown]],crudeBD.lkup[Crude Breakdown],0)))^2</f>
        <v>568.80754191018639</v>
      </c>
      <c r="AK100" s="5">
        <f>(vp.data[[#This Row],[Dens]]-INDEX(crudeBD.lkup[Mean_Dens],MATCH(vp.data[[#This Row],[Crude_Breakdown]],crudeBD.lkup[Crude Breakdown],0)))^2</f>
        <v>23.89744928310666</v>
      </c>
      <c r="AL100" s="5">
        <f>(vp.data[[#This Row],[Sulf]]-INDEX(crudeBD.lkup[Mean_Sulf],MATCH(vp.data[[#This Row],[Crude_Breakdown]],crudeBD.lkup[Crude Breakdown],0)))^2</f>
        <v>1.7891252898056348E-2</v>
      </c>
      <c r="AM100" s="4">
        <f>IF(AND(vp.data[[#This Row],[SDate]]&gt;=DATE(YEAR(vp.data[[#This Row],[SDate]]),5,1),vp.data[[#This Row],[SDate]]&lt;=DATE(YEAR(vp.data[[#This Row],[SDate]]),9,15)),1,0)</f>
        <v>0</v>
      </c>
      <c r="AN100" s="4">
        <f>IF(vp.data[[#This Row],[SDate]]&lt;DATE(2016,12,1),0,1)</f>
        <v>0</v>
      </c>
      <c r="AO100" s="4">
        <f>IFERROR(vp.data[[#This Row],[Sulf]]*vp.data[[#This Row],[Net Dens]],"")</f>
        <v>6860329.4118360011</v>
      </c>
      <c r="AP100">
        <f>IFERROR(vp.data[[#This Row],[Dens]]*vp.data[[#This Row],[VolumeM3]],"")</f>
        <v>18541430.842800003</v>
      </c>
      <c r="AQ100" s="15">
        <f>IFERROR(vp.data[[#This Row],[VP]]*vp.data[[#This Row],[VolumeM3]],"")</f>
        <v>2653987.3956000004</v>
      </c>
    </row>
    <row r="101" spans="1:43" x14ac:dyDescent="0.25">
      <c r="A101">
        <v>100</v>
      </c>
      <c r="B101" t="s">
        <v>62</v>
      </c>
      <c r="C101" t="s">
        <v>62</v>
      </c>
      <c r="D101" t="s">
        <v>63</v>
      </c>
      <c r="F101" s="1">
        <v>42440</v>
      </c>
      <c r="G101" s="2">
        <v>100.6</v>
      </c>
      <c r="H101" s="2"/>
      <c r="I101" s="2">
        <f t="array" ref="I101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01" s="2"/>
      <c r="K101" s="2"/>
      <c r="L101" s="2">
        <v>821</v>
      </c>
      <c r="M101" s="2">
        <f t="array" ref="M101">_xlfn.IFNA(IF(vp.data[[#This Row],[Dens Input]]="",INDEX([1]DATA!$O$3:$O$9826,MATCH(1,(vp.data[[#This Row],[Battery]]=[1]DATA!$L$3:$L$9826)*(EOMONTH(vp.data[[#This Row],[SDate]],-1)+1=[1]DATA!$G$3:$G$9826),0)),vp.data[[#This Row],[Dens Input]]),"")</f>
        <v>821</v>
      </c>
      <c r="N101" s="2">
        <f ca="1">INDEX(INDIRECT(_xlfn.CONCAT("weather.tbl[",N$1,"]")),MATCH(vp.data[[#This Row],[SDate]],weather.tbl[Date],0))</f>
        <v>8.2333333333333325</v>
      </c>
      <c r="O101" s="2">
        <f ca="1">INDEX(INDIRECT(_xlfn.CONCAT("weather.tbl[",O$1,"]")),MATCH(vp.data[[#This Row],[SDate]],weather.tbl[Date],0))</f>
        <v>3.5571428571428569</v>
      </c>
      <c r="P101" s="2">
        <f ca="1">INDEX(INDIRECT(_xlfn.CONCAT("weather.tbl[",P$1,"]")),MATCH(vp.data[[#This Row],[SDate]],weather.tbl[Date],0))</f>
        <v>9.1999999999999993</v>
      </c>
      <c r="Q101" s="2">
        <f ca="1">INDEX(INDIRECT(_xlfn.CONCAT("weather.tbl[",Q$1,"]")),MATCH(vp.data[[#This Row],[SDate]],weather.tbl[Date],0))</f>
        <v>7.6</v>
      </c>
      <c r="R101" s="2">
        <f ca="1">INDEX(INDIRECT(_xlfn.CONCAT("weather.tbl[",R$1,"]")),MATCH(vp.data[[#This Row],[SDate]],weather.tbl[Date],0))</f>
        <v>8.8000000000000007</v>
      </c>
      <c r="S101" s="2">
        <f ca="1">INDEX(INDIRECT(_xlfn.CONCAT("weather.tbl[",S$1,"]")),MATCH(vp.data[[#This Row],[SDate]],weather.tbl[Date],0))</f>
        <v>8</v>
      </c>
      <c r="T101" s="2">
        <f ca="1">INDEX(INDIRECT(_xlfn.CONCAT("weather.tbl[",T$1,"]")),MATCH(vp.data[[#This Row],[SDate]],weather.tbl[Date],0))</f>
        <v>7.5</v>
      </c>
      <c r="U101" s="2">
        <f ca="1">INDEX(INDIRECT(_xlfn.CONCAT("weather.tbl[",U$1,"]")),MATCH(vp.data[[#This Row],[SDate]],weather.tbl[Date],0))</f>
        <v>8.3000000000000007</v>
      </c>
      <c r="V101" s="2">
        <f t="array" ref="V1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5938.7809999999999</v>
      </c>
      <c r="W101" t="s">
        <v>48</v>
      </c>
      <c r="X101">
        <f>IF(OR(vp.data[[#This Row],[Sulf]]="",vp.data[[#This Row],[Dens]]=""),1,0)</f>
        <v>0</v>
      </c>
      <c r="Y101">
        <f>IF(vp.data[[#This Row],[CrudeType]]="C5+",1,0)</f>
        <v>0</v>
      </c>
      <c r="Z101">
        <f>IF(AND(vp.data[[#This Row],[CrudeType]]="Crude",vp.data[[#This Row],[Dens]]&lt;=825,vp.data[[#This Row],[Sulf]]&gt;0.5,vp.data[[#This Row],[Unknown]]=0),1,0)</f>
        <v>1</v>
      </c>
      <c r="AA101">
        <f>IF(AND(vp.data[[#This Row],[CrudeType]]="Crude",vp.data[[#This Row],[Dens]]&lt;=825,vp.data[[#This Row],[Sulf]]&lt;=0.5,vp.data[[#This Row],[Unknown]]=0),1,0)</f>
        <v>0</v>
      </c>
      <c r="AB1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1">
        <f>IF(AND(vp.data[[#This Row],[CrudeType]]="Crude",vp.data[[#This Row],[Dens]]&gt;825,vp.data[[#This Row],[Dens]]&lt;=900,vp.data[[#This Row],[Sulf]]&lt;=0.5,vp.data[[#This Row],[Unknown]]=0),1,0)</f>
        <v>0</v>
      </c>
      <c r="AD101">
        <f>IF(AND(vp.data[[#This Row],[CrudeType]]="Crude",vp.data[[#This Row],[Dens]]&gt;865,vp.data[[#This Row],[Dens]]&lt;=900,vp.data[[#This Row],[Sulf]]&gt;2,vp.data[[#This Row],[Unknown]]=0),1,0)</f>
        <v>0</v>
      </c>
      <c r="AE101">
        <f>IF(AND(vp.data[[#This Row],[CrudeType]]="Crude",vp.data[[#This Row],[Dens]]&gt;900,vp.data[[#This Row],[Sulf]]&lt;=0.5,vp.data[[#This Row],[Unknown]]=0),1,0)</f>
        <v>0</v>
      </c>
      <c r="AF101">
        <f>IF(AND(vp.data[[#This Row],[CrudeType]]="Crude",vp.data[[#This Row],[Dens]]&gt;900,vp.data[[#This Row],[Sulf]]&lt;=0.5,vp.data[[#This Row],[Unknown]]=0),1,0)</f>
        <v>0</v>
      </c>
      <c r="AG101" t="str">
        <f>INDEX(vp.data[[#Headers],[Unknown]:[Heavy_SW]],MATCH(1,vp.data[[#This Row],[Unknown]:[Heavy_SW]],0))</f>
        <v>Light_LSB</v>
      </c>
      <c r="AH101">
        <f>INDEX([3]!crudeBD.lkup[Number],MATCH(vp.data[[#This Row],[Crude_Breakdown]],crudeBD.lkup[Crude Breakdown],0))</f>
        <v>1</v>
      </c>
      <c r="AI101">
        <f>MONTH(vp.data[[#This Row],[SDate]])</f>
        <v>3</v>
      </c>
      <c r="AJ101" s="5">
        <f>(vp.data[[#This Row],[VP]]-INDEX(crudeBD.lkup[Mean_VP],MATCH(vp.data[[#This Row],[Crude_Breakdown]],crudeBD.lkup[Crude Breakdown],0)))^2</f>
        <v>81.971555787011766</v>
      </c>
      <c r="AK101" s="5">
        <f>(vp.data[[#This Row],[Dens]]-INDEX(crudeBD.lkup[Mean_Dens],MATCH(vp.data[[#This Row],[Crude_Breakdown]],crudeBD.lkup[Crude Breakdown],0)))^2</f>
        <v>6.1664324275827171</v>
      </c>
      <c r="AL101" s="5">
        <f>(vp.data[[#This Row],[Sulf]]-INDEX(crudeBD.lkup[Mean_Sulf],MATCH(vp.data[[#This Row],[Crude_Breakdown]],crudeBD.lkup[Crude Breakdown],0)))^2</f>
        <v>0.11358843333985327</v>
      </c>
      <c r="AM101" s="4">
        <f>IF(AND(vp.data[[#This Row],[SDate]]&gt;=DATE(YEAR(vp.data[[#This Row],[SDate]]),5,1),vp.data[[#This Row],[SDate]]&lt;=DATE(YEAR(vp.data[[#This Row],[SDate]]),9,15)),1,0)</f>
        <v>0</v>
      </c>
      <c r="AN101" s="4">
        <f>IF(vp.data[[#This Row],[SDate]]&lt;DATE(2016,12,1),0,1)</f>
        <v>0</v>
      </c>
      <c r="AO101" s="4">
        <f>IFERROR(vp.data[[#This Row],[Sulf]]*vp.data[[#This Row],[Net Dens]],"")</f>
        <v>6143431.3932600003</v>
      </c>
      <c r="AP101">
        <f>IFERROR(vp.data[[#This Row],[Dens]]*vp.data[[#This Row],[VolumeM3]],"")</f>
        <v>4875739.2010000004</v>
      </c>
      <c r="AQ101" s="15">
        <f>IFERROR(vp.data[[#This Row],[VP]]*vp.data[[#This Row],[VolumeM3]],"")</f>
        <v>597441.36859999993</v>
      </c>
    </row>
    <row r="102" spans="1:43" x14ac:dyDescent="0.25">
      <c r="A102">
        <v>101</v>
      </c>
      <c r="B102" t="s">
        <v>51</v>
      </c>
      <c r="C102" t="s">
        <v>51</v>
      </c>
      <c r="D102" t="s">
        <v>66</v>
      </c>
      <c r="F102" s="1">
        <v>42440</v>
      </c>
      <c r="G102" s="2">
        <v>126.3</v>
      </c>
      <c r="H102" s="2"/>
      <c r="I102" s="2">
        <f t="array" ref="I102">_xlfn.IFNA(IF(vp.data[[#This Row],[Sulf Input]]="",INDEX([1]DATA!$Q$3:$Q$9826,MATCH(1,(vp.data[[#This Row],[Battery]]=[1]DATA!$L$3:$L$9826)*(EOMONTH(vp.data[[#This Row],[SDate]],-1)+1=[1]DATA!$G$3:$G$9826),0)),vp.data[[#This Row],[Sulf Input]]),"")</f>
        <v>0.91</v>
      </c>
      <c r="J102" s="2"/>
      <c r="K102" s="2"/>
      <c r="L102" s="2">
        <v>827.3</v>
      </c>
      <c r="M102" s="2">
        <f t="array" ref="M102">_xlfn.IFNA(IF(vp.data[[#This Row],[Dens Input]]="",INDEX([1]DATA!$O$3:$O$9826,MATCH(1,(vp.data[[#This Row],[Battery]]=[1]DATA!$L$3:$L$9826)*(EOMONTH(vp.data[[#This Row],[SDate]],-1)+1=[1]DATA!$G$3:$G$9826),0)),vp.data[[#This Row],[Dens Input]]),"")</f>
        <v>827.3</v>
      </c>
      <c r="N102" s="2">
        <f ca="1">INDEX(INDIRECT(_xlfn.CONCAT("weather.tbl[",N$1,"]")),MATCH(vp.data[[#This Row],[SDate]],weather.tbl[Date],0))</f>
        <v>8.2333333333333325</v>
      </c>
      <c r="O102" s="2">
        <f ca="1">INDEX(INDIRECT(_xlfn.CONCAT("weather.tbl[",O$1,"]")),MATCH(vp.data[[#This Row],[SDate]],weather.tbl[Date],0))</f>
        <v>3.5571428571428569</v>
      </c>
      <c r="P102" s="2">
        <f ca="1">INDEX(INDIRECT(_xlfn.CONCAT("weather.tbl[",P$1,"]")),MATCH(vp.data[[#This Row],[SDate]],weather.tbl[Date],0))</f>
        <v>9.1999999999999993</v>
      </c>
      <c r="Q102" s="2">
        <f ca="1">INDEX(INDIRECT(_xlfn.CONCAT("weather.tbl[",Q$1,"]")),MATCH(vp.data[[#This Row],[SDate]],weather.tbl[Date],0))</f>
        <v>7.6</v>
      </c>
      <c r="R102" s="2">
        <f ca="1">INDEX(INDIRECT(_xlfn.CONCAT("weather.tbl[",R$1,"]")),MATCH(vp.data[[#This Row],[SDate]],weather.tbl[Date],0))</f>
        <v>8.8000000000000007</v>
      </c>
      <c r="S102" s="2">
        <f ca="1">INDEX(INDIRECT(_xlfn.CONCAT("weather.tbl[",S$1,"]")),MATCH(vp.data[[#This Row],[SDate]],weather.tbl[Date],0))</f>
        <v>8</v>
      </c>
      <c r="T102" s="2">
        <f ca="1">INDEX(INDIRECT(_xlfn.CONCAT("weather.tbl[",T$1,"]")),MATCH(vp.data[[#This Row],[SDate]],weather.tbl[Date],0))</f>
        <v>7.5</v>
      </c>
      <c r="U102" s="2">
        <f ca="1">INDEX(INDIRECT(_xlfn.CONCAT("weather.tbl[",U$1,"]")),MATCH(vp.data[[#This Row],[SDate]],weather.tbl[Date],0))</f>
        <v>8.3000000000000007</v>
      </c>
      <c r="V102" s="2">
        <f t="array" ref="V1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4604.1419999999998</v>
      </c>
      <c r="W102" t="s">
        <v>48</v>
      </c>
      <c r="X102">
        <f>IF(OR(vp.data[[#This Row],[Sulf]]="",vp.data[[#This Row],[Dens]]=""),1,0)</f>
        <v>0</v>
      </c>
      <c r="Y102">
        <f>IF(vp.data[[#This Row],[CrudeType]]="C5+",1,0)</f>
        <v>0</v>
      </c>
      <c r="Z102">
        <f>IF(AND(vp.data[[#This Row],[CrudeType]]="Crude",vp.data[[#This Row],[Dens]]&lt;=825,vp.data[[#This Row],[Sulf]]&gt;0.5,vp.data[[#This Row],[Unknown]]=0),1,0)</f>
        <v>0</v>
      </c>
      <c r="AA102">
        <f>IF(AND(vp.data[[#This Row],[CrudeType]]="Crude",vp.data[[#This Row],[Dens]]&lt;=825,vp.data[[#This Row],[Sulf]]&lt;=0.5,vp.data[[#This Row],[Unknown]]=0),1,0)</f>
        <v>0</v>
      </c>
      <c r="AB1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">
        <f>IF(AND(vp.data[[#This Row],[CrudeType]]="Crude",vp.data[[#This Row],[Dens]]&gt;825,vp.data[[#This Row],[Dens]]&lt;=900,vp.data[[#This Row],[Sulf]]&lt;=0.5,vp.data[[#This Row],[Unknown]]=0),1,0)</f>
        <v>0</v>
      </c>
      <c r="AD102">
        <f>IF(AND(vp.data[[#This Row],[CrudeType]]="Crude",vp.data[[#This Row],[Dens]]&gt;865,vp.data[[#This Row],[Dens]]&lt;=900,vp.data[[#This Row],[Sulf]]&gt;2,vp.data[[#This Row],[Unknown]]=0),1,0)</f>
        <v>0</v>
      </c>
      <c r="AE102">
        <f>IF(AND(vp.data[[#This Row],[CrudeType]]="Crude",vp.data[[#This Row],[Dens]]&gt;900,vp.data[[#This Row],[Sulf]]&lt;=0.5,vp.data[[#This Row],[Unknown]]=0),1,0)</f>
        <v>0</v>
      </c>
      <c r="AF102">
        <f>IF(AND(vp.data[[#This Row],[CrudeType]]="Crude",vp.data[[#This Row],[Dens]]&gt;900,vp.data[[#This Row],[Sulf]]&lt;=0.5,vp.data[[#This Row],[Unknown]]=0),1,0)</f>
        <v>0</v>
      </c>
      <c r="AG102" t="str">
        <f>INDEX(vp.data[[#Headers],[Unknown]:[Heavy_SW]],MATCH(1,vp.data[[#This Row],[Unknown]:[Heavy_SW]],0))</f>
        <v>Medium_LSB</v>
      </c>
      <c r="AH102">
        <f>INDEX([3]!crudeBD.lkup[Number],MATCH(vp.data[[#This Row],[Crude_Breakdown]],crudeBD.lkup[Crude Breakdown],0))</f>
        <v>3</v>
      </c>
      <c r="AI102">
        <f>MONTH(vp.data[[#This Row],[SDate]])</f>
        <v>3</v>
      </c>
      <c r="AJ102" s="5">
        <f>(vp.data[[#This Row],[VP]]-INDEX(crudeBD.lkup[Mean_VP],MATCH(vp.data[[#This Row],[Crude_Breakdown]],crudeBD.lkup[Crude Breakdown],0)))^2</f>
        <v>2084.8651375709337</v>
      </c>
      <c r="AK102" s="5">
        <f>(vp.data[[#This Row],[Dens]]-INDEX(crudeBD.lkup[Mean_Dens],MATCH(vp.data[[#This Row],[Crude_Breakdown]],crudeBD.lkup[Crude Breakdown],0)))^2</f>
        <v>276.22439999998505</v>
      </c>
      <c r="AL102" s="5">
        <f>(vp.data[[#This Row],[Sulf]]-INDEX(crudeBD.lkup[Mean_Sulf],MATCH(vp.data[[#This Row],[Crude_Breakdown]],crudeBD.lkup[Crude Breakdown],0)))^2</f>
        <v>0.22601288691779645</v>
      </c>
      <c r="AM102" s="4">
        <f>IF(AND(vp.data[[#This Row],[SDate]]&gt;=DATE(YEAR(vp.data[[#This Row],[SDate]]),5,1),vp.data[[#This Row],[SDate]]&lt;=DATE(YEAR(vp.data[[#This Row],[SDate]]),9,15)),1,0)</f>
        <v>0</v>
      </c>
      <c r="AN102" s="4">
        <f>IF(vp.data[[#This Row],[SDate]]&lt;DATE(2016,12,1),0,1)</f>
        <v>0</v>
      </c>
      <c r="AO102" s="4">
        <f>IFERROR(vp.data[[#This Row],[Sulf]]*vp.data[[#This Row],[Net Dens]],"")</f>
        <v>3466196.0757059995</v>
      </c>
      <c r="AP102">
        <f>IFERROR(vp.data[[#This Row],[Dens]]*vp.data[[#This Row],[VolumeM3]],"")</f>
        <v>3809006.6765999994</v>
      </c>
      <c r="AQ102" s="15">
        <f>IFERROR(vp.data[[#This Row],[VP]]*vp.data[[#This Row],[VolumeM3]],"")</f>
        <v>581503.13459999999</v>
      </c>
    </row>
    <row r="103" spans="1:43" x14ac:dyDescent="0.25">
      <c r="A103">
        <v>102</v>
      </c>
      <c r="B103" t="s">
        <v>51</v>
      </c>
      <c r="C103" t="s">
        <v>51</v>
      </c>
      <c r="D103" t="s">
        <v>72</v>
      </c>
      <c r="F103" s="1">
        <v>42440</v>
      </c>
      <c r="G103" s="2">
        <v>65.3</v>
      </c>
      <c r="H103" s="2"/>
      <c r="I103" s="2">
        <f t="array" ref="I103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03" s="2"/>
      <c r="K103" s="2"/>
      <c r="L103" s="2">
        <v>836.8</v>
      </c>
      <c r="M103" s="2">
        <f t="array" ref="M103">_xlfn.IFNA(IF(vp.data[[#This Row],[Dens Input]]="",INDEX([1]DATA!$O$3:$O$9826,MATCH(1,(vp.data[[#This Row],[Battery]]=[1]DATA!$L$3:$L$9826)*(EOMONTH(vp.data[[#This Row],[SDate]],-1)+1=[1]DATA!$G$3:$G$9826),0)),vp.data[[#This Row],[Dens Input]]),"")</f>
        <v>836.8</v>
      </c>
      <c r="N103" s="2">
        <f ca="1">INDEX(INDIRECT(_xlfn.CONCAT("weather.tbl[",N$1,"]")),MATCH(vp.data[[#This Row],[SDate]],weather.tbl[Date],0))</f>
        <v>8.2333333333333325</v>
      </c>
      <c r="O103" s="2">
        <f ca="1">INDEX(INDIRECT(_xlfn.CONCAT("weather.tbl[",O$1,"]")),MATCH(vp.data[[#This Row],[SDate]],weather.tbl[Date],0))</f>
        <v>3.5571428571428569</v>
      </c>
      <c r="P103" s="2">
        <f ca="1">INDEX(INDIRECT(_xlfn.CONCAT("weather.tbl[",P$1,"]")),MATCH(vp.data[[#This Row],[SDate]],weather.tbl[Date],0))</f>
        <v>9.1999999999999993</v>
      </c>
      <c r="Q103" s="2">
        <f ca="1">INDEX(INDIRECT(_xlfn.CONCAT("weather.tbl[",Q$1,"]")),MATCH(vp.data[[#This Row],[SDate]],weather.tbl[Date],0))</f>
        <v>7.6</v>
      </c>
      <c r="R103" s="2">
        <f ca="1">INDEX(INDIRECT(_xlfn.CONCAT("weather.tbl[",R$1,"]")),MATCH(vp.data[[#This Row],[SDate]],weather.tbl[Date],0))</f>
        <v>8.8000000000000007</v>
      </c>
      <c r="S103" s="2">
        <f ca="1">INDEX(INDIRECT(_xlfn.CONCAT("weather.tbl[",S$1,"]")),MATCH(vp.data[[#This Row],[SDate]],weather.tbl[Date],0))</f>
        <v>8</v>
      </c>
      <c r="T103" s="2">
        <f ca="1">INDEX(INDIRECT(_xlfn.CONCAT("weather.tbl[",T$1,"]")),MATCH(vp.data[[#This Row],[SDate]],weather.tbl[Date],0))</f>
        <v>7.5</v>
      </c>
      <c r="U103" s="2">
        <f ca="1">INDEX(INDIRECT(_xlfn.CONCAT("weather.tbl[",U$1,"]")),MATCH(vp.data[[#This Row],[SDate]],weather.tbl[Date],0))</f>
        <v>8.3000000000000007</v>
      </c>
      <c r="V103" s="2">
        <f t="array" ref="V1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4074.2649999999999</v>
      </c>
      <c r="W103" t="s">
        <v>48</v>
      </c>
      <c r="X103">
        <f>IF(OR(vp.data[[#This Row],[Sulf]]="",vp.data[[#This Row],[Dens]]=""),1,0)</f>
        <v>0</v>
      </c>
      <c r="Y103">
        <f>IF(vp.data[[#This Row],[CrudeType]]="C5+",1,0)</f>
        <v>0</v>
      </c>
      <c r="Z103">
        <f>IF(AND(vp.data[[#This Row],[CrudeType]]="Crude",vp.data[[#This Row],[Dens]]&lt;=825,vp.data[[#This Row],[Sulf]]&gt;0.5,vp.data[[#This Row],[Unknown]]=0),1,0)</f>
        <v>0</v>
      </c>
      <c r="AA103">
        <f>IF(AND(vp.data[[#This Row],[CrudeType]]="Crude",vp.data[[#This Row],[Dens]]&lt;=825,vp.data[[#This Row],[Sulf]]&lt;=0.5,vp.data[[#This Row],[Unknown]]=0),1,0)</f>
        <v>0</v>
      </c>
      <c r="AB1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">
        <f>IF(AND(vp.data[[#This Row],[CrudeType]]="Crude",vp.data[[#This Row],[Dens]]&gt;825,vp.data[[#This Row],[Dens]]&lt;=900,vp.data[[#This Row],[Sulf]]&lt;=0.5,vp.data[[#This Row],[Unknown]]=0),1,0)</f>
        <v>0</v>
      </c>
      <c r="AD103">
        <f>IF(AND(vp.data[[#This Row],[CrudeType]]="Crude",vp.data[[#This Row],[Dens]]&gt;865,vp.data[[#This Row],[Dens]]&lt;=900,vp.data[[#This Row],[Sulf]]&gt;2,vp.data[[#This Row],[Unknown]]=0),1,0)</f>
        <v>0</v>
      </c>
      <c r="AE103">
        <f>IF(AND(vp.data[[#This Row],[CrudeType]]="Crude",vp.data[[#This Row],[Dens]]&gt;900,vp.data[[#This Row],[Sulf]]&lt;=0.5,vp.data[[#This Row],[Unknown]]=0),1,0)</f>
        <v>0</v>
      </c>
      <c r="AF103">
        <f>IF(AND(vp.data[[#This Row],[CrudeType]]="Crude",vp.data[[#This Row],[Dens]]&gt;900,vp.data[[#This Row],[Sulf]]&lt;=0.5,vp.data[[#This Row],[Unknown]]=0),1,0)</f>
        <v>0</v>
      </c>
      <c r="AG103" t="str">
        <f>INDEX(vp.data[[#Headers],[Unknown]:[Heavy_SW]],MATCH(1,vp.data[[#This Row],[Unknown]:[Heavy_SW]],0))</f>
        <v>Medium_LSB</v>
      </c>
      <c r="AH103">
        <f>INDEX([3]!crudeBD.lkup[Number],MATCH(vp.data[[#This Row],[Crude_Breakdown]],crudeBD.lkup[Crude Breakdown],0))</f>
        <v>3</v>
      </c>
      <c r="AI103">
        <f>MONTH(vp.data[[#This Row],[SDate]])</f>
        <v>3</v>
      </c>
      <c r="AJ103" s="5">
        <f>(vp.data[[#This Row],[VP]]-INDEX(crudeBD.lkup[Mean_VP],MATCH(vp.data[[#This Row],[Crude_Breakdown]],crudeBD.lkup[Crude Breakdown],0)))^2</f>
        <v>235.30567665448311</v>
      </c>
      <c r="AK103" s="5">
        <f>(vp.data[[#This Row],[Dens]]-INDEX(crudeBD.lkup[Mean_Dens],MATCH(vp.data[[#This Row],[Crude_Breakdown]],crudeBD.lkup[Crude Breakdown],0)))^2</f>
        <v>50.694399999993593</v>
      </c>
      <c r="AL103" s="5">
        <f>(vp.data[[#This Row],[Sulf]]-INDEX(crudeBD.lkup[Mean_Sulf],MATCH(vp.data[[#This Row],[Crude_Breakdown]],crudeBD.lkup[Crude Breakdown],0)))^2</f>
        <v>9.3274123845019638E-2</v>
      </c>
      <c r="AM103" s="4">
        <f>IF(AND(vp.data[[#This Row],[SDate]]&gt;=DATE(YEAR(vp.data[[#This Row],[SDate]]),5,1),vp.data[[#This Row],[SDate]]&lt;=DATE(YEAR(vp.data[[#This Row],[SDate]]),9,15)),1,0)</f>
        <v>0</v>
      </c>
      <c r="AN103" s="4">
        <f>IF(vp.data[[#This Row],[SDate]]&lt;DATE(2016,12,1),0,1)</f>
        <v>0</v>
      </c>
      <c r="AO103" s="4">
        <f>IFERROR(vp.data[[#This Row],[Sulf]]*vp.data[[#This Row],[Net Dens]],"")</f>
        <v>3682092.5481599998</v>
      </c>
      <c r="AP103">
        <f>IFERROR(vp.data[[#This Row],[Dens]]*vp.data[[#This Row],[VolumeM3]],"")</f>
        <v>3409344.9519999996</v>
      </c>
      <c r="AQ103" s="15">
        <f>IFERROR(vp.data[[#This Row],[VP]]*vp.data[[#This Row],[VolumeM3]],"")</f>
        <v>266049.50449999998</v>
      </c>
    </row>
    <row r="104" spans="1:43" x14ac:dyDescent="0.25">
      <c r="A104">
        <v>103</v>
      </c>
      <c r="B104" t="s">
        <v>60</v>
      </c>
      <c r="C104" t="s">
        <v>60</v>
      </c>
      <c r="D104" t="s">
        <v>61</v>
      </c>
      <c r="E104" t="s">
        <v>55</v>
      </c>
      <c r="F104" s="1">
        <v>42440</v>
      </c>
      <c r="G104" s="2">
        <v>108.5</v>
      </c>
      <c r="H104" s="2"/>
      <c r="I104" s="2">
        <f t="array" ref="I104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104" s="2"/>
      <c r="K104" s="2"/>
      <c r="L104" s="2">
        <v>832</v>
      </c>
      <c r="M104" s="2">
        <f t="array" ref="M104">_xlfn.IFNA(IF(vp.data[[#This Row],[Dens Input]]="",INDEX([1]DATA!$O$3:$O$9826,MATCH(1,(vp.data[[#This Row],[Battery]]=[1]DATA!$L$3:$L$9826)*(EOMONTH(vp.data[[#This Row],[SDate]],-1)+1=[1]DATA!$G$3:$G$9826),0)),vp.data[[#This Row],[Dens Input]]),"")</f>
        <v>832</v>
      </c>
      <c r="N104" s="2">
        <f ca="1">INDEX(INDIRECT(_xlfn.CONCAT("weather.tbl[",N$1,"]")),MATCH(vp.data[[#This Row],[SDate]],weather.tbl[Date],0))</f>
        <v>8.2333333333333325</v>
      </c>
      <c r="O104" s="2">
        <f ca="1">INDEX(INDIRECT(_xlfn.CONCAT("weather.tbl[",O$1,"]")),MATCH(vp.data[[#This Row],[SDate]],weather.tbl[Date],0))</f>
        <v>3.5571428571428569</v>
      </c>
      <c r="P104" s="2">
        <f ca="1">INDEX(INDIRECT(_xlfn.CONCAT("weather.tbl[",P$1,"]")),MATCH(vp.data[[#This Row],[SDate]],weather.tbl[Date],0))</f>
        <v>9.1999999999999993</v>
      </c>
      <c r="Q104" s="2">
        <f ca="1">INDEX(INDIRECT(_xlfn.CONCAT("weather.tbl[",Q$1,"]")),MATCH(vp.data[[#This Row],[SDate]],weather.tbl[Date],0))</f>
        <v>7.6</v>
      </c>
      <c r="R104" s="2">
        <f ca="1">INDEX(INDIRECT(_xlfn.CONCAT("weather.tbl[",R$1,"]")),MATCH(vp.data[[#This Row],[SDate]],weather.tbl[Date],0))</f>
        <v>8.8000000000000007</v>
      </c>
      <c r="S104" s="2">
        <f ca="1">INDEX(INDIRECT(_xlfn.CONCAT("weather.tbl[",S$1,"]")),MATCH(vp.data[[#This Row],[SDate]],weather.tbl[Date],0))</f>
        <v>8</v>
      </c>
      <c r="T104" s="2">
        <f ca="1">INDEX(INDIRECT(_xlfn.CONCAT("weather.tbl[",T$1,"]")),MATCH(vp.data[[#This Row],[SDate]],weather.tbl[Date],0))</f>
        <v>7.5</v>
      </c>
      <c r="U104" s="2">
        <f ca="1">INDEX(INDIRECT(_xlfn.CONCAT("weather.tbl[",U$1,"]")),MATCH(vp.data[[#This Row],[SDate]],weather.tbl[Date],0))</f>
        <v>8.3000000000000007</v>
      </c>
      <c r="V104" s="2">
        <f t="array" ref="V1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109333.743</v>
      </c>
      <c r="W104" t="s">
        <v>48</v>
      </c>
      <c r="X104">
        <f>IF(OR(vp.data[[#This Row],[Sulf]]="",vp.data[[#This Row],[Dens]]=""),1,0)</f>
        <v>0</v>
      </c>
      <c r="Y104">
        <f>IF(vp.data[[#This Row],[CrudeType]]="C5+",1,0)</f>
        <v>0</v>
      </c>
      <c r="Z104">
        <f>IF(AND(vp.data[[#This Row],[CrudeType]]="Crude",vp.data[[#This Row],[Dens]]&lt;=825,vp.data[[#This Row],[Sulf]]&gt;0.5,vp.data[[#This Row],[Unknown]]=0),1,0)</f>
        <v>0</v>
      </c>
      <c r="AA104">
        <f>IF(AND(vp.data[[#This Row],[CrudeType]]="Crude",vp.data[[#This Row],[Dens]]&lt;=825,vp.data[[#This Row],[Sulf]]&lt;=0.5,vp.data[[#This Row],[Unknown]]=0),1,0)</f>
        <v>0</v>
      </c>
      <c r="AB1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">
        <f>IF(AND(vp.data[[#This Row],[CrudeType]]="Crude",vp.data[[#This Row],[Dens]]&gt;825,vp.data[[#This Row],[Dens]]&lt;=900,vp.data[[#This Row],[Sulf]]&lt;=0.5,vp.data[[#This Row],[Unknown]]=0),1,0)</f>
        <v>0</v>
      </c>
      <c r="AD104">
        <f>IF(AND(vp.data[[#This Row],[CrudeType]]="Crude",vp.data[[#This Row],[Dens]]&gt;865,vp.data[[#This Row],[Dens]]&lt;=900,vp.data[[#This Row],[Sulf]]&gt;2,vp.data[[#This Row],[Unknown]]=0),1,0)</f>
        <v>0</v>
      </c>
      <c r="AE104">
        <f>IF(AND(vp.data[[#This Row],[CrudeType]]="Crude",vp.data[[#This Row],[Dens]]&gt;900,vp.data[[#This Row],[Sulf]]&lt;=0.5,vp.data[[#This Row],[Unknown]]=0),1,0)</f>
        <v>0</v>
      </c>
      <c r="AF104">
        <f>IF(AND(vp.data[[#This Row],[CrudeType]]="Crude",vp.data[[#This Row],[Dens]]&gt;900,vp.data[[#This Row],[Sulf]]&lt;=0.5,vp.data[[#This Row],[Unknown]]=0),1,0)</f>
        <v>0</v>
      </c>
      <c r="AG104" t="str">
        <f>INDEX(vp.data[[#Headers],[Unknown]:[Heavy_SW]],MATCH(1,vp.data[[#This Row],[Unknown]:[Heavy_SW]],0))</f>
        <v>Medium_LSB</v>
      </c>
      <c r="AH104">
        <f>INDEX([3]!crudeBD.lkup[Number],MATCH(vp.data[[#This Row],[Crude_Breakdown]],crudeBD.lkup[Crude Breakdown],0))</f>
        <v>3</v>
      </c>
      <c r="AI104">
        <f>MONTH(vp.data[[#This Row],[SDate]])</f>
        <v>3</v>
      </c>
      <c r="AJ104" s="5">
        <f>(vp.data[[#This Row],[VP]]-INDEX(crudeBD.lkup[Mean_VP],MATCH(vp.data[[#This Row],[Crude_Breakdown]],crudeBD.lkup[Crude Breakdown],0)))^2</f>
        <v>776.19762274613345</v>
      </c>
      <c r="AK104" s="5">
        <f>(vp.data[[#This Row],[Dens]]-INDEX(crudeBD.lkup[Mean_Dens],MATCH(vp.data[[#This Row],[Crude_Breakdown]],crudeBD.lkup[Crude Breakdown],0)))^2</f>
        <v>142.08639999998817</v>
      </c>
      <c r="AL104" s="5">
        <f>(vp.data[[#This Row],[Sulf]]-INDEX(crudeBD.lkup[Mean_Sulf],MATCH(vp.data[[#This Row],[Crude_Breakdown]],crudeBD.lkup[Crude Breakdown],0)))^2</f>
        <v>0.17256391171563998</v>
      </c>
      <c r="AM104" s="4">
        <f>IF(AND(vp.data[[#This Row],[SDate]]&gt;=DATE(YEAR(vp.data[[#This Row],[SDate]]),5,1),vp.data[[#This Row],[SDate]]&lt;=DATE(YEAR(vp.data[[#This Row],[SDate]]),9,15)),1,0)</f>
        <v>0</v>
      </c>
      <c r="AN104" s="4">
        <f>IF(vp.data[[#This Row],[SDate]]&lt;DATE(2016,12,1),0,1)</f>
        <v>0</v>
      </c>
      <c r="AO104" s="4">
        <f>IFERROR(vp.data[[#This Row],[Sulf]]*vp.data[[#This Row],[Net Dens]],"")</f>
        <v>88236703.950719997</v>
      </c>
      <c r="AP104">
        <f>IFERROR(vp.data[[#This Row],[Dens]]*vp.data[[#This Row],[VolumeM3]],"")</f>
        <v>90965674.175999999</v>
      </c>
      <c r="AQ104" s="15">
        <f>IFERROR(vp.data[[#This Row],[VP]]*vp.data[[#This Row],[VolumeM3]],"")</f>
        <v>11862711.115499999</v>
      </c>
    </row>
    <row r="105" spans="1:43" x14ac:dyDescent="0.25">
      <c r="A105">
        <v>104</v>
      </c>
      <c r="B105" t="s">
        <v>53</v>
      </c>
      <c r="C105" t="s">
        <v>53</v>
      </c>
      <c r="D105" t="s">
        <v>54</v>
      </c>
      <c r="E105" t="s">
        <v>55</v>
      </c>
      <c r="F105" s="1">
        <v>42444</v>
      </c>
      <c r="G105" s="2">
        <v>86.1</v>
      </c>
      <c r="H105" s="2"/>
      <c r="I105" s="2">
        <f t="array" ref="I105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105" s="2"/>
      <c r="K105" s="2"/>
      <c r="L105" s="2">
        <v>825.1</v>
      </c>
      <c r="M105" s="2">
        <f t="array" ref="M105">_xlfn.IFNA(IF(vp.data[[#This Row],[Dens Input]]="",INDEX([1]DATA!$O$3:$O$9826,MATCH(1,(vp.data[[#This Row],[Battery]]=[1]DATA!$L$3:$L$9826)*(EOMONTH(vp.data[[#This Row],[SDate]],-1)+1=[1]DATA!$G$3:$G$9826),0)),vp.data[[#This Row],[Dens Input]]),"")</f>
        <v>825.1</v>
      </c>
      <c r="N105" s="2">
        <f ca="1">INDEX(INDIRECT(_xlfn.CONCAT("weather.tbl[",N$1,"]")),MATCH(vp.data[[#This Row],[SDate]],weather.tbl[Date],0))</f>
        <v>0.66666666666666663</v>
      </c>
      <c r="O105" s="2">
        <f ca="1">INDEX(INDIRECT(_xlfn.CONCAT("weather.tbl[",O$1,"]")),MATCH(vp.data[[#This Row],[SDate]],weather.tbl[Date],0))</f>
        <v>5.0785714285714283</v>
      </c>
      <c r="P105" s="2">
        <f ca="1">INDEX(INDIRECT(_xlfn.CONCAT("weather.tbl[",P$1,"]")),MATCH(vp.data[[#This Row],[SDate]],weather.tbl[Date],0))</f>
        <v>-0.2</v>
      </c>
      <c r="Q105" s="2">
        <f ca="1">INDEX(INDIRECT(_xlfn.CONCAT("weather.tbl[",Q$1,"]")),MATCH(vp.data[[#This Row],[SDate]],weather.tbl[Date],0))</f>
        <v>0.5</v>
      </c>
      <c r="R105" s="2">
        <f ca="1">INDEX(INDIRECT(_xlfn.CONCAT("weather.tbl[",R$1,"]")),MATCH(vp.data[[#This Row],[SDate]],weather.tbl[Date],0))</f>
        <v>0.3</v>
      </c>
      <c r="S105" s="2">
        <f ca="1">INDEX(INDIRECT(_xlfn.CONCAT("weather.tbl[",S$1,"]")),MATCH(vp.data[[#This Row],[SDate]],weather.tbl[Date],0))</f>
        <v>0</v>
      </c>
      <c r="T105" s="2">
        <f ca="1">INDEX(INDIRECT(_xlfn.CONCAT("weather.tbl[",T$1,"]")),MATCH(vp.data[[#This Row],[SDate]],weather.tbl[Date],0))</f>
        <v>2.9</v>
      </c>
      <c r="U105" s="2">
        <f ca="1">INDEX(INDIRECT(_xlfn.CONCAT("weather.tbl[",U$1,"]")),MATCH(vp.data[[#This Row],[SDate]],weather.tbl[Date],0))</f>
        <v>0.5</v>
      </c>
      <c r="V105" s="2">
        <f t="array" ref="V1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66459.384000000005</v>
      </c>
      <c r="W105" t="s">
        <v>48</v>
      </c>
      <c r="X105">
        <f>IF(OR(vp.data[[#This Row],[Sulf]]="",vp.data[[#This Row],[Dens]]=""),1,0)</f>
        <v>0</v>
      </c>
      <c r="Y105">
        <f>IF(vp.data[[#This Row],[CrudeType]]="C5+",1,0)</f>
        <v>0</v>
      </c>
      <c r="Z105">
        <f>IF(AND(vp.data[[#This Row],[CrudeType]]="Crude",vp.data[[#This Row],[Dens]]&lt;=825,vp.data[[#This Row],[Sulf]]&gt;0.5,vp.data[[#This Row],[Unknown]]=0),1,0)</f>
        <v>0</v>
      </c>
      <c r="AA105">
        <f>IF(AND(vp.data[[#This Row],[CrudeType]]="Crude",vp.data[[#This Row],[Dens]]&lt;=825,vp.data[[#This Row],[Sulf]]&lt;=0.5,vp.data[[#This Row],[Unknown]]=0),1,0)</f>
        <v>0</v>
      </c>
      <c r="AB1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">
        <f>IF(AND(vp.data[[#This Row],[CrudeType]]="Crude",vp.data[[#This Row],[Dens]]&gt;825,vp.data[[#This Row],[Dens]]&lt;=900,vp.data[[#This Row],[Sulf]]&lt;=0.5,vp.data[[#This Row],[Unknown]]=0),1,0)</f>
        <v>0</v>
      </c>
      <c r="AD105">
        <f>IF(AND(vp.data[[#This Row],[CrudeType]]="Crude",vp.data[[#This Row],[Dens]]&gt;865,vp.data[[#This Row],[Dens]]&lt;=900,vp.data[[#This Row],[Sulf]]&gt;2,vp.data[[#This Row],[Unknown]]=0),1,0)</f>
        <v>0</v>
      </c>
      <c r="AE105">
        <f>IF(AND(vp.data[[#This Row],[CrudeType]]="Crude",vp.data[[#This Row],[Dens]]&gt;900,vp.data[[#This Row],[Sulf]]&lt;=0.5,vp.data[[#This Row],[Unknown]]=0),1,0)</f>
        <v>0</v>
      </c>
      <c r="AF105">
        <f>IF(AND(vp.data[[#This Row],[CrudeType]]="Crude",vp.data[[#This Row],[Dens]]&gt;900,vp.data[[#This Row],[Sulf]]&lt;=0.5,vp.data[[#This Row],[Unknown]]=0),1,0)</f>
        <v>0</v>
      </c>
      <c r="AG105" t="str">
        <f>INDEX(vp.data[[#Headers],[Unknown]:[Heavy_SW]],MATCH(1,vp.data[[#This Row],[Unknown]:[Heavy_SW]],0))</f>
        <v>Medium_LSB</v>
      </c>
      <c r="AH105">
        <f>INDEX([3]!crudeBD.lkup[Number],MATCH(vp.data[[#This Row],[Crude_Breakdown]],crudeBD.lkup[Crude Breakdown],0))</f>
        <v>3</v>
      </c>
      <c r="AI105">
        <f>MONTH(vp.data[[#This Row],[SDate]])</f>
        <v>3</v>
      </c>
      <c r="AJ105" s="5">
        <f>(vp.data[[#This Row],[VP]]-INDEX(crudeBD.lkup[Mean_VP],MATCH(vp.data[[#This Row],[Crude_Breakdown]],crudeBD.lkup[Crude Breakdown],0)))^2</f>
        <v>29.815132180092409</v>
      </c>
      <c r="AK105" s="5">
        <f>(vp.data[[#This Row],[Dens]]-INDEX(crudeBD.lkup[Mean_Dens],MATCH(vp.data[[#This Row],[Crude_Breakdown]],crudeBD.lkup[Crude Breakdown],0)))^2</f>
        <v>354.19239999998047</v>
      </c>
      <c r="AL105" s="5">
        <f>(vp.data[[#This Row],[Sulf]]-INDEX(crudeBD.lkup[Mean_Sulf],MATCH(vp.data[[#This Row],[Crude_Breakdown]],crudeBD.lkup[Crude Breakdown],0)))^2</f>
        <v>8.678437182345447E-2</v>
      </c>
      <c r="AM105" s="4">
        <f>IF(AND(vp.data[[#This Row],[SDate]]&gt;=DATE(YEAR(vp.data[[#This Row],[SDate]]),5,1),vp.data[[#This Row],[SDate]]&lt;=DATE(YEAR(vp.data[[#This Row],[SDate]]),9,15)),1,0)</f>
        <v>0</v>
      </c>
      <c r="AN105" s="4">
        <f>IF(vp.data[[#This Row],[SDate]]&lt;DATE(2016,12,1),0,1)</f>
        <v>0</v>
      </c>
      <c r="AO105" s="4">
        <f>IFERROR(vp.data[[#This Row],[Sulf]]*vp.data[[#This Row],[Net Dens]],"")</f>
        <v>92123871.40051201</v>
      </c>
      <c r="AP105">
        <f>IFERROR(vp.data[[#This Row],[Dens]]*vp.data[[#This Row],[VolumeM3]],"")</f>
        <v>54835637.738400005</v>
      </c>
      <c r="AQ105" s="15">
        <f>IFERROR(vp.data[[#This Row],[VP]]*vp.data[[#This Row],[VolumeM3]],"")</f>
        <v>5722152.9624000005</v>
      </c>
    </row>
    <row r="106" spans="1:43" x14ac:dyDescent="0.25">
      <c r="A106">
        <v>105</v>
      </c>
      <c r="B106" t="s">
        <v>51</v>
      </c>
      <c r="C106" t="s">
        <v>51</v>
      </c>
      <c r="D106" t="s">
        <v>58</v>
      </c>
      <c r="F106" s="1">
        <v>42444</v>
      </c>
      <c r="G106" s="2">
        <v>76.900000000000006</v>
      </c>
      <c r="H106" s="2"/>
      <c r="I106" s="2">
        <f t="array" ref="I106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106" s="2"/>
      <c r="K106" s="2"/>
      <c r="L106" s="2">
        <v>827.8</v>
      </c>
      <c r="M106" s="2">
        <f t="array" ref="M106">_xlfn.IFNA(IF(vp.data[[#This Row],[Dens Input]]="",INDEX([1]DATA!$O$3:$O$9826,MATCH(1,(vp.data[[#This Row],[Battery]]=[1]DATA!$L$3:$L$9826)*(EOMONTH(vp.data[[#This Row],[SDate]],-1)+1=[1]DATA!$G$3:$G$9826),0)),vp.data[[#This Row],[Dens Input]]),"")</f>
        <v>827.8</v>
      </c>
      <c r="N106" s="2">
        <f ca="1">INDEX(INDIRECT(_xlfn.CONCAT("weather.tbl[",N$1,"]")),MATCH(vp.data[[#This Row],[SDate]],weather.tbl[Date],0))</f>
        <v>0.66666666666666663</v>
      </c>
      <c r="O106" s="2">
        <f ca="1">INDEX(INDIRECT(_xlfn.CONCAT("weather.tbl[",O$1,"]")),MATCH(vp.data[[#This Row],[SDate]],weather.tbl[Date],0))</f>
        <v>5.0785714285714283</v>
      </c>
      <c r="P106" s="2">
        <f ca="1">INDEX(INDIRECT(_xlfn.CONCAT("weather.tbl[",P$1,"]")),MATCH(vp.data[[#This Row],[SDate]],weather.tbl[Date],0))</f>
        <v>-0.2</v>
      </c>
      <c r="Q106" s="2">
        <f ca="1">INDEX(INDIRECT(_xlfn.CONCAT("weather.tbl[",Q$1,"]")),MATCH(vp.data[[#This Row],[SDate]],weather.tbl[Date],0))</f>
        <v>0.5</v>
      </c>
      <c r="R106" s="2">
        <f ca="1">INDEX(INDIRECT(_xlfn.CONCAT("weather.tbl[",R$1,"]")),MATCH(vp.data[[#This Row],[SDate]],weather.tbl[Date],0))</f>
        <v>0.3</v>
      </c>
      <c r="S106" s="2">
        <f ca="1">INDEX(INDIRECT(_xlfn.CONCAT("weather.tbl[",S$1,"]")),MATCH(vp.data[[#This Row],[SDate]],weather.tbl[Date],0))</f>
        <v>0</v>
      </c>
      <c r="T106" s="2">
        <f ca="1">INDEX(INDIRECT(_xlfn.CONCAT("weather.tbl[",T$1,"]")),MATCH(vp.data[[#This Row],[SDate]],weather.tbl[Date],0))</f>
        <v>2.9</v>
      </c>
      <c r="U106" s="2">
        <f ca="1">INDEX(INDIRECT(_xlfn.CONCAT("weather.tbl[",U$1,"]")),MATCH(vp.data[[#This Row],[SDate]],weather.tbl[Date],0))</f>
        <v>0.5</v>
      </c>
      <c r="V106" s="2">
        <f t="array" ref="V1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6831.9229999999998</v>
      </c>
      <c r="W106" t="s">
        <v>48</v>
      </c>
      <c r="X106">
        <f>IF(OR(vp.data[[#This Row],[Sulf]]="",vp.data[[#This Row],[Dens]]=""),1,0)</f>
        <v>0</v>
      </c>
      <c r="Y106">
        <f>IF(vp.data[[#This Row],[CrudeType]]="C5+",1,0)</f>
        <v>0</v>
      </c>
      <c r="Z106">
        <f>IF(AND(vp.data[[#This Row],[CrudeType]]="Crude",vp.data[[#This Row],[Dens]]&lt;=825,vp.data[[#This Row],[Sulf]]&gt;0.5,vp.data[[#This Row],[Unknown]]=0),1,0)</f>
        <v>0</v>
      </c>
      <c r="AA106">
        <f>IF(AND(vp.data[[#This Row],[CrudeType]]="Crude",vp.data[[#This Row],[Dens]]&lt;=825,vp.data[[#This Row],[Sulf]]&lt;=0.5,vp.data[[#This Row],[Unknown]]=0),1,0)</f>
        <v>0</v>
      </c>
      <c r="AB1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">
        <f>IF(AND(vp.data[[#This Row],[CrudeType]]="Crude",vp.data[[#This Row],[Dens]]&gt;825,vp.data[[#This Row],[Dens]]&lt;=900,vp.data[[#This Row],[Sulf]]&lt;=0.5,vp.data[[#This Row],[Unknown]]=0),1,0)</f>
        <v>0</v>
      </c>
      <c r="AD106">
        <f>IF(AND(vp.data[[#This Row],[CrudeType]]="Crude",vp.data[[#This Row],[Dens]]&gt;865,vp.data[[#This Row],[Dens]]&lt;=900,vp.data[[#This Row],[Sulf]]&gt;2,vp.data[[#This Row],[Unknown]]=0),1,0)</f>
        <v>0</v>
      </c>
      <c r="AE106">
        <f>IF(AND(vp.data[[#This Row],[CrudeType]]="Crude",vp.data[[#This Row],[Dens]]&gt;900,vp.data[[#This Row],[Sulf]]&lt;=0.5,vp.data[[#This Row],[Unknown]]=0),1,0)</f>
        <v>0</v>
      </c>
      <c r="AF106">
        <f>IF(AND(vp.data[[#This Row],[CrudeType]]="Crude",vp.data[[#This Row],[Dens]]&gt;900,vp.data[[#This Row],[Sulf]]&lt;=0.5,vp.data[[#This Row],[Unknown]]=0),1,0)</f>
        <v>0</v>
      </c>
      <c r="AG106" t="str">
        <f>INDEX(vp.data[[#Headers],[Unknown]:[Heavy_SW]],MATCH(1,vp.data[[#This Row],[Unknown]:[Heavy_SW]],0))</f>
        <v>Medium_LSB</v>
      </c>
      <c r="AH106">
        <f>INDEX([3]!crudeBD.lkup[Number],MATCH(vp.data[[#This Row],[Crude_Breakdown]],crudeBD.lkup[Crude Breakdown],0))</f>
        <v>3</v>
      </c>
      <c r="AI106">
        <f>MONTH(vp.data[[#This Row],[SDate]])</f>
        <v>3</v>
      </c>
      <c r="AJ106" s="5">
        <f>(vp.data[[#This Row],[VP]]-INDEX(crudeBD.lkup[Mean_VP],MATCH(vp.data[[#This Row],[Crude_Breakdown]],crudeBD.lkup[Crude Breakdown],0)))^2</f>
        <v>13.985180697611325</v>
      </c>
      <c r="AK106" s="5">
        <f>(vp.data[[#This Row],[Dens]]-INDEX(crudeBD.lkup[Mean_Dens],MATCH(vp.data[[#This Row],[Crude_Breakdown]],crudeBD.lkup[Crude Breakdown],0)))^2</f>
        <v>259.8543999999855</v>
      </c>
      <c r="AL106" s="5">
        <f>(vp.data[[#This Row],[Sulf]]-INDEX(crudeBD.lkup[Mean_Sulf],MATCH(vp.data[[#This Row],[Crude_Breakdown]],crudeBD.lkup[Crude Breakdown],0)))^2</f>
        <v>2.7359848373321144E-2</v>
      </c>
      <c r="AM106" s="4">
        <f>IF(AND(vp.data[[#This Row],[SDate]]&gt;=DATE(YEAR(vp.data[[#This Row],[SDate]]),5,1),vp.data[[#This Row],[SDate]]&lt;=DATE(YEAR(vp.data[[#This Row],[SDate]]),9,15)),1,0)</f>
        <v>0</v>
      </c>
      <c r="AN106" s="4">
        <f>IF(vp.data[[#This Row],[SDate]]&lt;DATE(2016,12,1),0,1)</f>
        <v>0</v>
      </c>
      <c r="AO106" s="4">
        <f>IFERROR(vp.data[[#This Row],[Sulf]]*vp.data[[#This Row],[Net Dens]],"")</f>
        <v>6899668.3484679991</v>
      </c>
      <c r="AP106">
        <f>IFERROR(vp.data[[#This Row],[Dens]]*vp.data[[#This Row],[VolumeM3]],"")</f>
        <v>5655465.8593999995</v>
      </c>
      <c r="AQ106" s="15">
        <f>IFERROR(vp.data[[#This Row],[VP]]*vp.data[[#This Row],[VolumeM3]],"")</f>
        <v>525374.8787</v>
      </c>
    </row>
    <row r="107" spans="1:43" x14ac:dyDescent="0.25">
      <c r="A107">
        <v>106</v>
      </c>
      <c r="B107" t="s">
        <v>56</v>
      </c>
      <c r="C107" t="s">
        <v>56</v>
      </c>
      <c r="D107" t="s">
        <v>57</v>
      </c>
      <c r="F107" s="1">
        <v>42444</v>
      </c>
      <c r="G107" s="2">
        <v>64.5</v>
      </c>
      <c r="H107" s="2"/>
      <c r="I107" s="2">
        <f t="array" ref="I107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107" s="2"/>
      <c r="K107" s="2"/>
      <c r="L107" s="2">
        <v>837.1</v>
      </c>
      <c r="M107" s="2">
        <f t="array" ref="M107">_xlfn.IFNA(IF(vp.data[[#This Row],[Dens Input]]="",INDEX([1]DATA!$O$3:$O$9826,MATCH(1,(vp.data[[#This Row],[Battery]]=[1]DATA!$L$3:$L$9826)*(EOMONTH(vp.data[[#This Row],[SDate]],-1)+1=[1]DATA!$G$3:$G$9826),0)),vp.data[[#This Row],[Dens Input]]),"")</f>
        <v>837.1</v>
      </c>
      <c r="N107" s="2">
        <f ca="1">INDEX(INDIRECT(_xlfn.CONCAT("weather.tbl[",N$1,"]")),MATCH(vp.data[[#This Row],[SDate]],weather.tbl[Date],0))</f>
        <v>0.66666666666666663</v>
      </c>
      <c r="O107" s="2">
        <f ca="1">INDEX(INDIRECT(_xlfn.CONCAT("weather.tbl[",O$1,"]")),MATCH(vp.data[[#This Row],[SDate]],weather.tbl[Date],0))</f>
        <v>5.0785714285714283</v>
      </c>
      <c r="P107" s="2">
        <f ca="1">INDEX(INDIRECT(_xlfn.CONCAT("weather.tbl[",P$1,"]")),MATCH(vp.data[[#This Row],[SDate]],weather.tbl[Date],0))</f>
        <v>-0.2</v>
      </c>
      <c r="Q107" s="2">
        <f ca="1">INDEX(INDIRECT(_xlfn.CONCAT("weather.tbl[",Q$1,"]")),MATCH(vp.data[[#This Row],[SDate]],weather.tbl[Date],0))</f>
        <v>0.5</v>
      </c>
      <c r="R107" s="2">
        <f ca="1">INDEX(INDIRECT(_xlfn.CONCAT("weather.tbl[",R$1,"]")),MATCH(vp.data[[#This Row],[SDate]],weather.tbl[Date],0))</f>
        <v>0.3</v>
      </c>
      <c r="S107" s="2">
        <f ca="1">INDEX(INDIRECT(_xlfn.CONCAT("weather.tbl[",S$1,"]")),MATCH(vp.data[[#This Row],[SDate]],weather.tbl[Date],0))</f>
        <v>0</v>
      </c>
      <c r="T107" s="2">
        <f ca="1">INDEX(INDIRECT(_xlfn.CONCAT("weather.tbl[",T$1,"]")),MATCH(vp.data[[#This Row],[SDate]],weather.tbl[Date],0))</f>
        <v>2.9</v>
      </c>
      <c r="U107" s="2">
        <f ca="1">INDEX(INDIRECT(_xlfn.CONCAT("weather.tbl[",U$1,"]")),MATCH(vp.data[[#This Row],[SDate]],weather.tbl[Date],0))</f>
        <v>0.5</v>
      </c>
      <c r="V107" s="2">
        <f t="array" ref="V1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3624.09</v>
      </c>
      <c r="W107" t="s">
        <v>48</v>
      </c>
      <c r="X107">
        <f>IF(OR(vp.data[[#This Row],[Sulf]]="",vp.data[[#This Row],[Dens]]=""),1,0)</f>
        <v>0</v>
      </c>
      <c r="Y107">
        <f>IF(vp.data[[#This Row],[CrudeType]]="C5+",1,0)</f>
        <v>0</v>
      </c>
      <c r="Z107">
        <f>IF(AND(vp.data[[#This Row],[CrudeType]]="Crude",vp.data[[#This Row],[Dens]]&lt;=825,vp.data[[#This Row],[Sulf]]&gt;0.5,vp.data[[#This Row],[Unknown]]=0),1,0)</f>
        <v>0</v>
      </c>
      <c r="AA107">
        <f>IF(AND(vp.data[[#This Row],[CrudeType]]="Crude",vp.data[[#This Row],[Dens]]&lt;=825,vp.data[[#This Row],[Sulf]]&lt;=0.5,vp.data[[#This Row],[Unknown]]=0),1,0)</f>
        <v>0</v>
      </c>
      <c r="AB1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7">
        <f>IF(AND(vp.data[[#This Row],[CrudeType]]="Crude",vp.data[[#This Row],[Dens]]&gt;825,vp.data[[#This Row],[Dens]]&lt;=900,vp.data[[#This Row],[Sulf]]&lt;=0.5,vp.data[[#This Row],[Unknown]]=0),1,0)</f>
        <v>0</v>
      </c>
      <c r="AD107">
        <f>IF(AND(vp.data[[#This Row],[CrudeType]]="Crude",vp.data[[#This Row],[Dens]]&gt;865,vp.data[[#This Row],[Dens]]&lt;=900,vp.data[[#This Row],[Sulf]]&gt;2,vp.data[[#This Row],[Unknown]]=0),1,0)</f>
        <v>0</v>
      </c>
      <c r="AE107">
        <f>IF(AND(vp.data[[#This Row],[CrudeType]]="Crude",vp.data[[#This Row],[Dens]]&gt;900,vp.data[[#This Row],[Sulf]]&lt;=0.5,vp.data[[#This Row],[Unknown]]=0),1,0)</f>
        <v>0</v>
      </c>
      <c r="AF107">
        <f>IF(AND(vp.data[[#This Row],[CrudeType]]="Crude",vp.data[[#This Row],[Dens]]&gt;900,vp.data[[#This Row],[Sulf]]&lt;=0.5,vp.data[[#This Row],[Unknown]]=0),1,0)</f>
        <v>0</v>
      </c>
      <c r="AG107" t="str">
        <f>INDEX(vp.data[[#Headers],[Unknown]:[Heavy_SW]],MATCH(1,vp.data[[#This Row],[Unknown]:[Heavy_SW]],0))</f>
        <v>Medium_LSB</v>
      </c>
      <c r="AH107">
        <f>INDEX([3]!crudeBD.lkup[Number],MATCH(vp.data[[#This Row],[Crude_Breakdown]],crudeBD.lkup[Crude Breakdown],0))</f>
        <v>3</v>
      </c>
      <c r="AI107">
        <f>MONTH(vp.data[[#This Row],[SDate]])</f>
        <v>3</v>
      </c>
      <c r="AJ107" s="5">
        <f>(vp.data[[#This Row],[VP]]-INDEX(crudeBD.lkup[Mean_VP],MATCH(vp.data[[#This Row],[Crude_Breakdown]],crudeBD.lkup[Crude Breakdown],0)))^2</f>
        <v>260.48915913426725</v>
      </c>
      <c r="AK107" s="5">
        <f>(vp.data[[#This Row],[Dens]]-INDEX(crudeBD.lkup[Mean_Dens],MATCH(vp.data[[#This Row],[Crude_Breakdown]],crudeBD.lkup[Crude Breakdown],0)))^2</f>
        <v>46.51239999999293</v>
      </c>
      <c r="AL107" s="5">
        <f>(vp.data[[#This Row],[Sulf]]-INDEX(crudeBD.lkup[Mean_Sulf],MATCH(vp.data[[#This Row],[Crude_Breakdown]],crudeBD.lkup[Crude Breakdown],0)))^2</f>
        <v>2.9802726320805671E-3</v>
      </c>
      <c r="AM107" s="4">
        <f>IF(AND(vp.data[[#This Row],[SDate]]&gt;=DATE(YEAR(vp.data[[#This Row],[SDate]]),5,1),vp.data[[#This Row],[SDate]]&lt;=DATE(YEAR(vp.data[[#This Row],[SDate]]),9,15)),1,0)</f>
        <v>0</v>
      </c>
      <c r="AN107" s="4">
        <f>IF(vp.data[[#This Row],[SDate]]&lt;DATE(2016,12,1),0,1)</f>
        <v>0</v>
      </c>
      <c r="AO107" s="4">
        <f>IFERROR(vp.data[[#This Row],[Sulf]]*vp.data[[#This Row],[Net Dens]],"")</f>
        <v>4368565.0641599996</v>
      </c>
      <c r="AP107">
        <f>IFERROR(vp.data[[#This Row],[Dens]]*vp.data[[#This Row],[VolumeM3]],"")</f>
        <v>3033725.7390000001</v>
      </c>
      <c r="AQ107" s="15">
        <f>IFERROR(vp.data[[#This Row],[VP]]*vp.data[[#This Row],[VolumeM3]],"")</f>
        <v>233753.80500000002</v>
      </c>
    </row>
    <row r="108" spans="1:43" x14ac:dyDescent="0.25">
      <c r="A108">
        <v>107</v>
      </c>
      <c r="B108" t="s">
        <v>64</v>
      </c>
      <c r="C108" t="s">
        <v>64</v>
      </c>
      <c r="D108" t="s">
        <v>65</v>
      </c>
      <c r="F108" s="1">
        <v>42444</v>
      </c>
      <c r="G108" s="2">
        <v>80.599999999999994</v>
      </c>
      <c r="H108" s="2"/>
      <c r="I108" s="2">
        <f t="array" ref="I108">_xlfn.IFNA(IF(vp.data[[#This Row],[Sulf Input]]="",INDEX([1]DATA!$Q$3:$Q$9826,MATCH(1,(vp.data[[#This Row],[Battery]]=[1]DATA!$L$3:$L$9826)*(EOMONTH(vp.data[[#This Row],[SDate]],-1)+1=[1]DATA!$G$3:$G$9826),0)),vp.data[[#This Row],[Sulf Input]]),"")</f>
        <v>1.99</v>
      </c>
      <c r="J108" s="2"/>
      <c r="K108" s="2"/>
      <c r="L108" s="2"/>
      <c r="M108" s="2">
        <f t="array" ref="M108">_xlfn.IFNA(IF(vp.data[[#This Row],[Dens Input]]="",INDEX([1]DATA!$O$3:$O$9826,MATCH(1,(vp.data[[#This Row],[Battery]]=[1]DATA!$L$3:$L$9826)*(EOMONTH(vp.data[[#This Row],[SDate]],-1)+1=[1]DATA!$G$3:$G$9826),0)),vp.data[[#This Row],[Dens Input]]),"")</f>
        <v>876.4</v>
      </c>
      <c r="N108" s="2">
        <f ca="1">INDEX(INDIRECT(_xlfn.CONCAT("weather.tbl[",N$1,"]")),MATCH(vp.data[[#This Row],[SDate]],weather.tbl[Date],0))</f>
        <v>0.66666666666666663</v>
      </c>
      <c r="O108" s="2">
        <f ca="1">INDEX(INDIRECT(_xlfn.CONCAT("weather.tbl[",O$1,"]")),MATCH(vp.data[[#This Row],[SDate]],weather.tbl[Date],0))</f>
        <v>5.0785714285714283</v>
      </c>
      <c r="P108" s="2">
        <f ca="1">INDEX(INDIRECT(_xlfn.CONCAT("weather.tbl[",P$1,"]")),MATCH(vp.data[[#This Row],[SDate]],weather.tbl[Date],0))</f>
        <v>-0.2</v>
      </c>
      <c r="Q108" s="2">
        <f ca="1">INDEX(INDIRECT(_xlfn.CONCAT("weather.tbl[",Q$1,"]")),MATCH(vp.data[[#This Row],[SDate]],weather.tbl[Date],0))</f>
        <v>0.5</v>
      </c>
      <c r="R108" s="2">
        <f ca="1">INDEX(INDIRECT(_xlfn.CONCAT("weather.tbl[",R$1,"]")),MATCH(vp.data[[#This Row],[SDate]],weather.tbl[Date],0))</f>
        <v>0.3</v>
      </c>
      <c r="S108" s="2">
        <f ca="1">INDEX(INDIRECT(_xlfn.CONCAT("weather.tbl[",S$1,"]")),MATCH(vp.data[[#This Row],[SDate]],weather.tbl[Date],0))</f>
        <v>0</v>
      </c>
      <c r="T108" s="2">
        <f ca="1">INDEX(INDIRECT(_xlfn.CONCAT("weather.tbl[",T$1,"]")),MATCH(vp.data[[#This Row],[SDate]],weather.tbl[Date],0))</f>
        <v>2.9</v>
      </c>
      <c r="U108" s="2">
        <f ca="1">INDEX(INDIRECT(_xlfn.CONCAT("weather.tbl[",U$1,"]")),MATCH(vp.data[[#This Row],[SDate]],weather.tbl[Date],0))</f>
        <v>0.5</v>
      </c>
      <c r="V108" s="2">
        <f t="array" ref="V1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23577.241000000002</v>
      </c>
      <c r="W108" t="s">
        <v>48</v>
      </c>
      <c r="X108">
        <f>IF(OR(vp.data[[#This Row],[Sulf]]="",vp.data[[#This Row],[Dens]]=""),1,0)</f>
        <v>0</v>
      </c>
      <c r="Y108">
        <f>IF(vp.data[[#This Row],[CrudeType]]="C5+",1,0)</f>
        <v>0</v>
      </c>
      <c r="Z108">
        <f>IF(AND(vp.data[[#This Row],[CrudeType]]="Crude",vp.data[[#This Row],[Dens]]&lt;=825,vp.data[[#This Row],[Sulf]]&gt;0.5,vp.data[[#This Row],[Unknown]]=0),1,0)</f>
        <v>0</v>
      </c>
      <c r="AA108">
        <f>IF(AND(vp.data[[#This Row],[CrudeType]]="Crude",vp.data[[#This Row],[Dens]]&lt;=825,vp.data[[#This Row],[Sulf]]&lt;=0.5,vp.data[[#This Row],[Unknown]]=0),1,0)</f>
        <v>0</v>
      </c>
      <c r="AB1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">
        <f>IF(AND(vp.data[[#This Row],[CrudeType]]="Crude",vp.data[[#This Row],[Dens]]&gt;825,vp.data[[#This Row],[Dens]]&lt;=900,vp.data[[#This Row],[Sulf]]&lt;=0.5,vp.data[[#This Row],[Unknown]]=0),1,0)</f>
        <v>0</v>
      </c>
      <c r="AD108">
        <f>IF(AND(vp.data[[#This Row],[CrudeType]]="Crude",vp.data[[#This Row],[Dens]]&gt;865,vp.data[[#This Row],[Dens]]&lt;=900,vp.data[[#This Row],[Sulf]]&gt;2,vp.data[[#This Row],[Unknown]]=0),1,0)</f>
        <v>0</v>
      </c>
      <c r="AE108">
        <f>IF(AND(vp.data[[#This Row],[CrudeType]]="Crude",vp.data[[#This Row],[Dens]]&gt;900,vp.data[[#This Row],[Sulf]]&lt;=0.5,vp.data[[#This Row],[Unknown]]=0),1,0)</f>
        <v>0</v>
      </c>
      <c r="AF108">
        <f>IF(AND(vp.data[[#This Row],[CrudeType]]="Crude",vp.data[[#This Row],[Dens]]&gt;900,vp.data[[#This Row],[Sulf]]&lt;=0.5,vp.data[[#This Row],[Unknown]]=0),1,0)</f>
        <v>0</v>
      </c>
      <c r="AG108" t="str">
        <f>INDEX(vp.data[[#Headers],[Unknown]:[Heavy_SW]],MATCH(1,vp.data[[#This Row],[Unknown]:[Heavy_SW]],0))</f>
        <v>Medium_LSB</v>
      </c>
      <c r="AH108">
        <f>INDEX([3]!crudeBD.lkup[Number],MATCH(vp.data[[#This Row],[Crude_Breakdown]],crudeBD.lkup[Crude Breakdown],0))</f>
        <v>3</v>
      </c>
      <c r="AI108">
        <f>MONTH(vp.data[[#This Row],[SDate]])</f>
        <v>3</v>
      </c>
      <c r="AJ108" s="5">
        <f>(vp.data[[#This Row],[VP]]-INDEX(crudeBD.lkup[Mean_VP],MATCH(vp.data[[#This Row],[Crude_Breakdown]],crudeBD.lkup[Crude Breakdown],0)))^2</f>
        <v>1.5742286092027839E-3</v>
      </c>
      <c r="AK108" s="5">
        <f>(vp.data[[#This Row],[Dens]]-INDEX(crudeBD.lkup[Mean_Dens],MATCH(vp.data[[#This Row],[Crude_Breakdown]],crudeBD.lkup[Crude Breakdown],0)))^2</f>
        <v>1054.9504000000306</v>
      </c>
      <c r="AL108" s="5">
        <f>(vp.data[[#This Row],[Sulf]]-INDEX(crudeBD.lkup[Mean_Sulf],MATCH(vp.data[[#This Row],[Crude_Breakdown]],crudeBD.lkup[Crude Breakdown],0)))^2</f>
        <v>0.36553133327897913</v>
      </c>
      <c r="AM108" s="4">
        <f>IF(AND(vp.data[[#This Row],[SDate]]&gt;=DATE(YEAR(vp.data[[#This Row],[SDate]]),5,1),vp.data[[#This Row],[SDate]]&lt;=DATE(YEAR(vp.data[[#This Row],[SDate]]),9,15)),1,0)</f>
        <v>0</v>
      </c>
      <c r="AN108" s="4">
        <f>IF(vp.data[[#This Row],[SDate]]&lt;DATE(2016,12,1),0,1)</f>
        <v>0</v>
      </c>
      <c r="AO108" s="4">
        <f>IFERROR(vp.data[[#This Row],[Sulf]]*vp.data[[#This Row],[Net Dens]],"")</f>
        <v>41119557.084676005</v>
      </c>
      <c r="AP108">
        <f>IFERROR(vp.data[[#This Row],[Dens]]*vp.data[[#This Row],[VolumeM3]],"")</f>
        <v>20663094.012400001</v>
      </c>
      <c r="AQ108" s="15">
        <f>IFERROR(vp.data[[#This Row],[VP]]*vp.data[[#This Row],[VolumeM3]],"")</f>
        <v>1900325.6246</v>
      </c>
    </row>
    <row r="109" spans="1:43" x14ac:dyDescent="0.25">
      <c r="A109">
        <v>108</v>
      </c>
      <c r="B109" t="s">
        <v>51</v>
      </c>
      <c r="C109" t="s">
        <v>51</v>
      </c>
      <c r="D109" t="s">
        <v>66</v>
      </c>
      <c r="F109" s="1">
        <v>42445</v>
      </c>
      <c r="G109" s="2">
        <v>84.5</v>
      </c>
      <c r="H109" s="2"/>
      <c r="I109" s="2">
        <f t="array" ref="I109">_xlfn.IFNA(IF(vp.data[[#This Row],[Sulf Input]]="",INDEX([1]DATA!$Q$3:$Q$9826,MATCH(1,(vp.data[[#This Row],[Battery]]=[1]DATA!$L$3:$L$9826)*(EOMONTH(vp.data[[#This Row],[SDate]],-1)+1=[1]DATA!$G$3:$G$9826),0)),vp.data[[#This Row],[Sulf Input]]),"")</f>
        <v>0.91</v>
      </c>
      <c r="J109" s="2"/>
      <c r="K109" s="2"/>
      <c r="L109" s="2">
        <v>827.4</v>
      </c>
      <c r="M109" s="2">
        <f t="array" ref="M109">_xlfn.IFNA(IF(vp.data[[#This Row],[Dens Input]]="",INDEX([1]DATA!$O$3:$O$9826,MATCH(1,(vp.data[[#This Row],[Battery]]=[1]DATA!$L$3:$L$9826)*(EOMONTH(vp.data[[#This Row],[SDate]],-1)+1=[1]DATA!$G$3:$G$9826),0)),vp.data[[#This Row],[Dens Input]]),"")</f>
        <v>827.4</v>
      </c>
      <c r="N109" s="2">
        <f ca="1">INDEX(INDIRECT(_xlfn.CONCAT("weather.tbl[",N$1,"]")),MATCH(vp.data[[#This Row],[SDate]],weather.tbl[Date],0))</f>
        <v>-0.45</v>
      </c>
      <c r="O109" s="2">
        <f ca="1">INDEX(INDIRECT(_xlfn.CONCAT("weather.tbl[",O$1,"]")),MATCH(vp.data[[#This Row],[SDate]],weather.tbl[Date],0))</f>
        <v>5.011904761904761</v>
      </c>
      <c r="P109" s="2">
        <f ca="1">INDEX(INDIRECT(_xlfn.CONCAT("weather.tbl[",P$1,"]")),MATCH(vp.data[[#This Row],[SDate]],weather.tbl[Date],0))</f>
        <v>-1.7</v>
      </c>
      <c r="Q109" s="2">
        <f ca="1">INDEX(INDIRECT(_xlfn.CONCAT("weather.tbl[",Q$1,"]")),MATCH(vp.data[[#This Row],[SDate]],weather.tbl[Date],0))</f>
        <v>-2.2999999999999998</v>
      </c>
      <c r="R109" s="2">
        <f ca="1">INDEX(INDIRECT(_xlfn.CONCAT("weather.tbl[",R$1,"]")),MATCH(vp.data[[#This Row],[SDate]],weather.tbl[Date],0))</f>
        <v>0.8</v>
      </c>
      <c r="S109" s="2">
        <f ca="1">INDEX(INDIRECT(_xlfn.CONCAT("weather.tbl[",S$1,"]")),MATCH(vp.data[[#This Row],[SDate]],weather.tbl[Date],0))</f>
        <v>0.5</v>
      </c>
      <c r="T109" s="2">
        <f ca="1">INDEX(INDIRECT(_xlfn.CONCAT("weather.tbl[",T$1,"]")),MATCH(vp.data[[#This Row],[SDate]],weather.tbl[Date],0))</f>
        <v>1</v>
      </c>
      <c r="U109" s="2">
        <f ca="1">INDEX(INDIRECT(_xlfn.CONCAT("weather.tbl[",U$1,"]")),MATCH(vp.data[[#This Row],[SDate]],weather.tbl[Date],0))</f>
        <v>-1</v>
      </c>
      <c r="V109" s="2">
        <f t="array" ref="V1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4604.1419999999998</v>
      </c>
      <c r="W109" t="s">
        <v>48</v>
      </c>
      <c r="X109">
        <f>IF(OR(vp.data[[#This Row],[Sulf]]="",vp.data[[#This Row],[Dens]]=""),1,0)</f>
        <v>0</v>
      </c>
      <c r="Y109">
        <f>IF(vp.data[[#This Row],[CrudeType]]="C5+",1,0)</f>
        <v>0</v>
      </c>
      <c r="Z109">
        <f>IF(AND(vp.data[[#This Row],[CrudeType]]="Crude",vp.data[[#This Row],[Dens]]&lt;=825,vp.data[[#This Row],[Sulf]]&gt;0.5,vp.data[[#This Row],[Unknown]]=0),1,0)</f>
        <v>0</v>
      </c>
      <c r="AA109">
        <f>IF(AND(vp.data[[#This Row],[CrudeType]]="Crude",vp.data[[#This Row],[Dens]]&lt;=825,vp.data[[#This Row],[Sulf]]&lt;=0.5,vp.data[[#This Row],[Unknown]]=0),1,0)</f>
        <v>0</v>
      </c>
      <c r="AB1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">
        <f>IF(AND(vp.data[[#This Row],[CrudeType]]="Crude",vp.data[[#This Row],[Dens]]&gt;825,vp.data[[#This Row],[Dens]]&lt;=900,vp.data[[#This Row],[Sulf]]&lt;=0.5,vp.data[[#This Row],[Unknown]]=0),1,0)</f>
        <v>0</v>
      </c>
      <c r="AD109">
        <f>IF(AND(vp.data[[#This Row],[CrudeType]]="Crude",vp.data[[#This Row],[Dens]]&gt;865,vp.data[[#This Row],[Dens]]&lt;=900,vp.data[[#This Row],[Sulf]]&gt;2,vp.data[[#This Row],[Unknown]]=0),1,0)</f>
        <v>0</v>
      </c>
      <c r="AE109">
        <f>IF(AND(vp.data[[#This Row],[CrudeType]]="Crude",vp.data[[#This Row],[Dens]]&gt;900,vp.data[[#This Row],[Sulf]]&lt;=0.5,vp.data[[#This Row],[Unknown]]=0),1,0)</f>
        <v>0</v>
      </c>
      <c r="AF109">
        <f>IF(AND(vp.data[[#This Row],[CrudeType]]="Crude",vp.data[[#This Row],[Dens]]&gt;900,vp.data[[#This Row],[Sulf]]&lt;=0.5,vp.data[[#This Row],[Unknown]]=0),1,0)</f>
        <v>0</v>
      </c>
      <c r="AG109" t="str">
        <f>INDEX(vp.data[[#Headers],[Unknown]:[Heavy_SW]],MATCH(1,vp.data[[#This Row],[Unknown]:[Heavy_SW]],0))</f>
        <v>Medium_LSB</v>
      </c>
      <c r="AH109">
        <f>INDEX([3]!crudeBD.lkup[Number],MATCH(vp.data[[#This Row],[Crude_Breakdown]],crudeBD.lkup[Crude Breakdown],0))</f>
        <v>3</v>
      </c>
      <c r="AI109">
        <f>MONTH(vp.data[[#This Row],[SDate]])</f>
        <v>3</v>
      </c>
      <c r="AJ109" s="5">
        <f>(vp.data[[#This Row],[VP]]-INDEX(crudeBD.lkup[Mean_VP],MATCH(vp.data[[#This Row],[Crude_Breakdown]],crudeBD.lkup[Crude Breakdown],0)))^2</f>
        <v>14.902097139660974</v>
      </c>
      <c r="AK109" s="5">
        <f>(vp.data[[#This Row],[Dens]]-INDEX(crudeBD.lkup[Mean_Dens],MATCH(vp.data[[#This Row],[Crude_Breakdown]],crudeBD.lkup[Crude Breakdown],0)))^2</f>
        <v>272.91039999998435</v>
      </c>
      <c r="AL109" s="5">
        <f>(vp.data[[#This Row],[Sulf]]-INDEX(crudeBD.lkup[Mean_Sulf],MATCH(vp.data[[#This Row],[Crude_Breakdown]],crudeBD.lkup[Crude Breakdown],0)))^2</f>
        <v>0.22601288691779645</v>
      </c>
      <c r="AM109" s="4">
        <f>IF(AND(vp.data[[#This Row],[SDate]]&gt;=DATE(YEAR(vp.data[[#This Row],[SDate]]),5,1),vp.data[[#This Row],[SDate]]&lt;=DATE(YEAR(vp.data[[#This Row],[SDate]]),9,15)),1,0)</f>
        <v>0</v>
      </c>
      <c r="AN109" s="4">
        <f>IF(vp.data[[#This Row],[SDate]]&lt;DATE(2016,12,1),0,1)</f>
        <v>0</v>
      </c>
      <c r="AO109" s="4">
        <f>IFERROR(vp.data[[#This Row],[Sulf]]*vp.data[[#This Row],[Net Dens]],"")</f>
        <v>3466615.0526279998</v>
      </c>
      <c r="AP109">
        <f>IFERROR(vp.data[[#This Row],[Dens]]*vp.data[[#This Row],[VolumeM3]],"")</f>
        <v>3809467.0907999999</v>
      </c>
      <c r="AQ109" s="15">
        <f>IFERROR(vp.data[[#This Row],[VP]]*vp.data[[#This Row],[VolumeM3]],"")</f>
        <v>389049.99900000001</v>
      </c>
    </row>
    <row r="110" spans="1:43" x14ac:dyDescent="0.25">
      <c r="A110">
        <v>109</v>
      </c>
      <c r="B110" t="s">
        <v>46</v>
      </c>
      <c r="C110" t="s">
        <v>46</v>
      </c>
      <c r="D110" t="s">
        <v>47</v>
      </c>
      <c r="F110" s="1">
        <v>42445</v>
      </c>
      <c r="G110" s="2">
        <v>67</v>
      </c>
      <c r="H110" s="2"/>
      <c r="I110" s="2">
        <f t="array" ref="I110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110" s="2"/>
      <c r="K110" s="2"/>
      <c r="L110" s="2">
        <v>870.1</v>
      </c>
      <c r="M110" s="2">
        <f t="array" ref="M110">_xlfn.IFNA(IF(vp.data[[#This Row],[Dens Input]]="",INDEX([1]DATA!$O$3:$O$9826,MATCH(1,(vp.data[[#This Row],[Battery]]=[1]DATA!$L$3:$L$9826)*(EOMONTH(vp.data[[#This Row],[SDate]],-1)+1=[1]DATA!$G$3:$G$9826),0)),vp.data[[#This Row],[Dens Input]]),"")</f>
        <v>870.1</v>
      </c>
      <c r="N110" s="2">
        <f ca="1">INDEX(INDIRECT(_xlfn.CONCAT("weather.tbl[",N$1,"]")),MATCH(vp.data[[#This Row],[SDate]],weather.tbl[Date],0))</f>
        <v>-0.45</v>
      </c>
      <c r="O110" s="2">
        <f ca="1">INDEX(INDIRECT(_xlfn.CONCAT("weather.tbl[",O$1,"]")),MATCH(vp.data[[#This Row],[SDate]],weather.tbl[Date],0))</f>
        <v>5.011904761904761</v>
      </c>
      <c r="P110" s="2">
        <f ca="1">INDEX(INDIRECT(_xlfn.CONCAT("weather.tbl[",P$1,"]")),MATCH(vp.data[[#This Row],[SDate]],weather.tbl[Date],0))</f>
        <v>-1.7</v>
      </c>
      <c r="Q110" s="2">
        <f ca="1">INDEX(INDIRECT(_xlfn.CONCAT("weather.tbl[",Q$1,"]")),MATCH(vp.data[[#This Row],[SDate]],weather.tbl[Date],0))</f>
        <v>-2.2999999999999998</v>
      </c>
      <c r="R110" s="2">
        <f ca="1">INDEX(INDIRECT(_xlfn.CONCAT("weather.tbl[",R$1,"]")),MATCH(vp.data[[#This Row],[SDate]],weather.tbl[Date],0))</f>
        <v>0.8</v>
      </c>
      <c r="S110" s="2">
        <f ca="1">INDEX(INDIRECT(_xlfn.CONCAT("weather.tbl[",S$1,"]")),MATCH(vp.data[[#This Row],[SDate]],weather.tbl[Date],0))</f>
        <v>0.5</v>
      </c>
      <c r="T110" s="2">
        <f ca="1">INDEX(INDIRECT(_xlfn.CONCAT("weather.tbl[",T$1,"]")),MATCH(vp.data[[#This Row],[SDate]],weather.tbl[Date],0))</f>
        <v>1</v>
      </c>
      <c r="U110" s="2">
        <f ca="1">INDEX(INDIRECT(_xlfn.CONCAT("weather.tbl[",U$1,"]")),MATCH(vp.data[[#This Row],[SDate]],weather.tbl[Date],0))</f>
        <v>-1</v>
      </c>
      <c r="V110" s="2">
        <f t="array" ref="V1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116985.039</v>
      </c>
      <c r="W110" t="s">
        <v>48</v>
      </c>
      <c r="X110">
        <f>IF(OR(vp.data[[#This Row],[Sulf]]="",vp.data[[#This Row],[Dens]]=""),1,0)</f>
        <v>0</v>
      </c>
      <c r="Y110">
        <f>IF(vp.data[[#This Row],[CrudeType]]="C5+",1,0)</f>
        <v>0</v>
      </c>
      <c r="Z110">
        <f>IF(AND(vp.data[[#This Row],[CrudeType]]="Crude",vp.data[[#This Row],[Dens]]&lt;=825,vp.data[[#This Row],[Sulf]]&gt;0.5,vp.data[[#This Row],[Unknown]]=0),1,0)</f>
        <v>0</v>
      </c>
      <c r="AA110">
        <f>IF(AND(vp.data[[#This Row],[CrudeType]]="Crude",vp.data[[#This Row],[Dens]]&lt;=825,vp.data[[#This Row],[Sulf]]&lt;=0.5,vp.data[[#This Row],[Unknown]]=0),1,0)</f>
        <v>0</v>
      </c>
      <c r="AB1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">
        <f>IF(AND(vp.data[[#This Row],[CrudeType]]="Crude",vp.data[[#This Row],[Dens]]&gt;825,vp.data[[#This Row],[Dens]]&lt;=900,vp.data[[#This Row],[Sulf]]&lt;=0.5,vp.data[[#This Row],[Unknown]]=0),1,0)</f>
        <v>0</v>
      </c>
      <c r="AD110">
        <f>IF(AND(vp.data[[#This Row],[CrudeType]]="Crude",vp.data[[#This Row],[Dens]]&gt;865,vp.data[[#This Row],[Dens]]&lt;=900,vp.data[[#This Row],[Sulf]]&gt;2,vp.data[[#This Row],[Unknown]]=0),1,0)</f>
        <v>1</v>
      </c>
      <c r="AE110">
        <f>IF(AND(vp.data[[#This Row],[CrudeType]]="Crude",vp.data[[#This Row],[Dens]]&gt;900,vp.data[[#This Row],[Sulf]]&lt;=0.5,vp.data[[#This Row],[Unknown]]=0),1,0)</f>
        <v>0</v>
      </c>
      <c r="AF110">
        <f>IF(AND(vp.data[[#This Row],[CrudeType]]="Crude",vp.data[[#This Row],[Dens]]&gt;900,vp.data[[#This Row],[Sulf]]&lt;=0.5,vp.data[[#This Row],[Unknown]]=0),1,0)</f>
        <v>0</v>
      </c>
      <c r="AG110" t="str">
        <f>INDEX(vp.data[[#Headers],[Unknown]:[Heavy_SW]],MATCH(1,vp.data[[#This Row],[Unknown]:[Heavy_SW]],0))</f>
        <v>Midale</v>
      </c>
      <c r="AH110">
        <f>INDEX([3]!crudeBD.lkup[Number],MATCH(vp.data[[#This Row],[Crude_Breakdown]],crudeBD.lkup[Crude Breakdown],0))</f>
        <v>5</v>
      </c>
      <c r="AI110">
        <f>MONTH(vp.data[[#This Row],[SDate]])</f>
        <v>3</v>
      </c>
      <c r="AJ110" s="5">
        <f>(vp.data[[#This Row],[VP]]-INDEX(crudeBD.lkup[Mean_VP],MATCH(vp.data[[#This Row],[Crude_Breakdown]],crudeBD.lkup[Crude Breakdown],0)))^2</f>
        <v>5.8021386438517828</v>
      </c>
      <c r="AK110" s="5">
        <f>(vp.data[[#This Row],[Dens]]-INDEX(crudeBD.lkup[Mean_Dens],MATCH(vp.data[[#This Row],[Crude_Breakdown]],crudeBD.lkup[Crude Breakdown],0)))^2</f>
        <v>22.250186257840923</v>
      </c>
      <c r="AL110" s="5">
        <f>(vp.data[[#This Row],[Sulf]]-INDEX(crudeBD.lkup[Mean_Sulf],MATCH(vp.data[[#This Row],[Crude_Breakdown]],crudeBD.lkup[Crude Breakdown],0)))^2</f>
        <v>1.130006345424492E-3</v>
      </c>
      <c r="AM110" s="4">
        <f>IF(AND(vp.data[[#This Row],[SDate]]&gt;=DATE(YEAR(vp.data[[#This Row],[SDate]]),5,1),vp.data[[#This Row],[SDate]]&lt;=DATE(YEAR(vp.data[[#This Row],[SDate]]),9,15)),1,0)</f>
        <v>0</v>
      </c>
      <c r="AN110" s="4">
        <f>IF(vp.data[[#This Row],[SDate]]&lt;DATE(2016,12,1),0,1)</f>
        <v>0</v>
      </c>
      <c r="AO110" s="4">
        <f>IFERROR(vp.data[[#This Row],[Sulf]]*vp.data[[#This Row],[Net Dens]],"")</f>
        <v>245310724.66569903</v>
      </c>
      <c r="AP110">
        <f>IFERROR(vp.data[[#This Row],[Dens]]*vp.data[[#This Row],[VolumeM3]],"")</f>
        <v>101788682.43390001</v>
      </c>
      <c r="AQ110" s="15">
        <f>IFERROR(vp.data[[#This Row],[VP]]*vp.data[[#This Row],[VolumeM3]],"")</f>
        <v>7837997.6129999999</v>
      </c>
    </row>
    <row r="111" spans="1:43" x14ac:dyDescent="0.25">
      <c r="A111">
        <v>110</v>
      </c>
      <c r="B111" t="s">
        <v>68</v>
      </c>
      <c r="C111" t="s">
        <v>68</v>
      </c>
      <c r="D111" t="s">
        <v>69</v>
      </c>
      <c r="F111" s="1">
        <v>42446</v>
      </c>
      <c r="G111" s="2">
        <v>67.7</v>
      </c>
      <c r="H111" s="2"/>
      <c r="I111" s="2">
        <f t="array" ref="I111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111" s="2"/>
      <c r="K111" s="2"/>
      <c r="L111" s="2">
        <v>828.4</v>
      </c>
      <c r="M111" s="2">
        <f t="array" ref="M111">_xlfn.IFNA(IF(vp.data[[#This Row],[Dens Input]]="",INDEX([1]DATA!$O$3:$O$9826,MATCH(1,(vp.data[[#This Row],[Battery]]=[1]DATA!$L$3:$L$9826)*(EOMONTH(vp.data[[#This Row],[SDate]],-1)+1=[1]DATA!$G$3:$G$9826),0)),vp.data[[#This Row],[Dens Input]]),"")</f>
        <v>828.4</v>
      </c>
      <c r="N111" s="2">
        <f ca="1">INDEX(INDIRECT(_xlfn.CONCAT("weather.tbl[",N$1,"]")),MATCH(vp.data[[#This Row],[SDate]],weather.tbl[Date],0))</f>
        <v>-4.3166666666666664</v>
      </c>
      <c r="O111" s="2">
        <f ca="1">INDEX(INDIRECT(_xlfn.CONCAT("weather.tbl[",O$1,"]")),MATCH(vp.data[[#This Row],[SDate]],weather.tbl[Date],0))</f>
        <v>3.6809523809523812</v>
      </c>
      <c r="P111" s="2">
        <f ca="1">INDEX(INDIRECT(_xlfn.CONCAT("weather.tbl[",P$1,"]")),MATCH(vp.data[[#This Row],[SDate]],weather.tbl[Date],0))</f>
        <v>-4.2</v>
      </c>
      <c r="Q111" s="2">
        <f ca="1">INDEX(INDIRECT(_xlfn.CONCAT("weather.tbl[",Q$1,"]")),MATCH(vp.data[[#This Row],[SDate]],weather.tbl[Date],0))</f>
        <v>-5</v>
      </c>
      <c r="R111" s="2">
        <f ca="1">INDEX(INDIRECT(_xlfn.CONCAT("weather.tbl[",R$1,"]")),MATCH(vp.data[[#This Row],[SDate]],weather.tbl[Date],0))</f>
        <v>-4.5</v>
      </c>
      <c r="S111" s="2">
        <f ca="1">INDEX(INDIRECT(_xlfn.CONCAT("weather.tbl[",S$1,"]")),MATCH(vp.data[[#This Row],[SDate]],weather.tbl[Date],0))</f>
        <v>-4.5</v>
      </c>
      <c r="T111" s="2">
        <f ca="1">INDEX(INDIRECT(_xlfn.CONCAT("weather.tbl[",T$1,"]")),MATCH(vp.data[[#This Row],[SDate]],weather.tbl[Date],0))</f>
        <v>-2.4</v>
      </c>
      <c r="U111" s="2">
        <f ca="1">INDEX(INDIRECT(_xlfn.CONCAT("weather.tbl[",U$1,"]")),MATCH(vp.data[[#This Row],[SDate]],weather.tbl[Date],0))</f>
        <v>-5.3</v>
      </c>
      <c r="V111" s="2">
        <f t="array" ref="V1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1459.7629999999999</v>
      </c>
      <c r="W111" t="s">
        <v>48</v>
      </c>
      <c r="X111">
        <f>IF(OR(vp.data[[#This Row],[Sulf]]="",vp.data[[#This Row],[Dens]]=""),1,0)</f>
        <v>0</v>
      </c>
      <c r="Y111">
        <f>IF(vp.data[[#This Row],[CrudeType]]="C5+",1,0)</f>
        <v>0</v>
      </c>
      <c r="Z111">
        <f>IF(AND(vp.data[[#This Row],[CrudeType]]="Crude",vp.data[[#This Row],[Dens]]&lt;=825,vp.data[[#This Row],[Sulf]]&gt;0.5,vp.data[[#This Row],[Unknown]]=0),1,0)</f>
        <v>0</v>
      </c>
      <c r="AA111">
        <f>IF(AND(vp.data[[#This Row],[CrudeType]]="Crude",vp.data[[#This Row],[Dens]]&lt;=825,vp.data[[#This Row],[Sulf]]&lt;=0.5,vp.data[[#This Row],[Unknown]]=0),1,0)</f>
        <v>0</v>
      </c>
      <c r="AB1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">
        <f>IF(AND(vp.data[[#This Row],[CrudeType]]="Crude",vp.data[[#This Row],[Dens]]&gt;825,vp.data[[#This Row],[Dens]]&lt;=900,vp.data[[#This Row],[Sulf]]&lt;=0.5,vp.data[[#This Row],[Unknown]]=0),1,0)</f>
        <v>0</v>
      </c>
      <c r="AD111">
        <f>IF(AND(vp.data[[#This Row],[CrudeType]]="Crude",vp.data[[#This Row],[Dens]]&gt;865,vp.data[[#This Row],[Dens]]&lt;=900,vp.data[[#This Row],[Sulf]]&gt;2,vp.data[[#This Row],[Unknown]]=0),1,0)</f>
        <v>0</v>
      </c>
      <c r="AE111">
        <f>IF(AND(vp.data[[#This Row],[CrudeType]]="Crude",vp.data[[#This Row],[Dens]]&gt;900,vp.data[[#This Row],[Sulf]]&lt;=0.5,vp.data[[#This Row],[Unknown]]=0),1,0)</f>
        <v>0</v>
      </c>
      <c r="AF111">
        <f>IF(AND(vp.data[[#This Row],[CrudeType]]="Crude",vp.data[[#This Row],[Dens]]&gt;900,vp.data[[#This Row],[Sulf]]&lt;=0.5,vp.data[[#This Row],[Unknown]]=0),1,0)</f>
        <v>0</v>
      </c>
      <c r="AG111" t="str">
        <f>INDEX(vp.data[[#Headers],[Unknown]:[Heavy_SW]],MATCH(1,vp.data[[#This Row],[Unknown]:[Heavy_SW]],0))</f>
        <v>Medium_LSB</v>
      </c>
      <c r="AH111">
        <f>INDEX([3]!crudeBD.lkup[Number],MATCH(vp.data[[#This Row],[Crude_Breakdown]],crudeBD.lkup[Crude Breakdown],0))</f>
        <v>3</v>
      </c>
      <c r="AI111">
        <f>MONTH(vp.data[[#This Row],[SDate]])</f>
        <v>3</v>
      </c>
      <c r="AJ111" s="5">
        <f>(vp.data[[#This Row],[VP]]-INDEX(crudeBD.lkup[Mean_VP],MATCH(vp.data[[#This Row],[Crude_Breakdown]],crudeBD.lkup[Crude Breakdown],0)))^2</f>
        <v>167.43522921513019</v>
      </c>
      <c r="AK111" s="5">
        <f>(vp.data[[#This Row],[Dens]]-INDEX(crudeBD.lkup[Mean_Dens],MATCH(vp.data[[#This Row],[Crude_Breakdown]],crudeBD.lkup[Crude Breakdown],0)))^2</f>
        <v>240.87039999998532</v>
      </c>
      <c r="AL111" s="5">
        <f>(vp.data[[#This Row],[Sulf]]-INDEX(crudeBD.lkup[Mean_Sulf],MATCH(vp.data[[#This Row],[Crude_Breakdown]],crudeBD.lkup[Crude Breakdown],0)))^2</f>
        <v>0.11874355915499073</v>
      </c>
      <c r="AM111" s="4">
        <f>IF(AND(vp.data[[#This Row],[SDate]]&gt;=DATE(YEAR(vp.data[[#This Row],[SDate]]),5,1),vp.data[[#This Row],[SDate]]&lt;=DATE(YEAR(vp.data[[#This Row],[SDate]]),9,15)),1,0)</f>
        <v>0</v>
      </c>
      <c r="AN111" s="4">
        <f>IF(vp.data[[#This Row],[SDate]]&lt;DATE(2016,12,1),0,1)</f>
        <v>0</v>
      </c>
      <c r="AO111" s="4">
        <f>IFERROR(vp.data[[#This Row],[Sulf]]*vp.data[[#This Row],[Net Dens]],"")</f>
        <v>2092033.0677159997</v>
      </c>
      <c r="AP111">
        <f>IFERROR(vp.data[[#This Row],[Dens]]*vp.data[[#This Row],[VolumeM3]],"")</f>
        <v>1209267.6691999999</v>
      </c>
      <c r="AQ111" s="15">
        <f>IFERROR(vp.data[[#This Row],[VP]]*vp.data[[#This Row],[VolumeM3]],"")</f>
        <v>98825.955099999992</v>
      </c>
    </row>
    <row r="112" spans="1:43" x14ac:dyDescent="0.25">
      <c r="A112">
        <v>111</v>
      </c>
      <c r="B112" t="s">
        <v>51</v>
      </c>
      <c r="C112" t="s">
        <v>51</v>
      </c>
      <c r="D112" t="s">
        <v>52</v>
      </c>
      <c r="F112" s="1">
        <v>42446</v>
      </c>
      <c r="G112" s="2">
        <v>66.599999999999994</v>
      </c>
      <c r="H112" s="2"/>
      <c r="I112" s="2">
        <f t="array" ref="I112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12" s="2"/>
      <c r="K112" s="2"/>
      <c r="L112" s="2">
        <v>875.1</v>
      </c>
      <c r="M112" s="2">
        <f t="array" ref="M112">_xlfn.IFNA(IF(vp.data[[#This Row],[Dens Input]]="",INDEX([1]DATA!$O$3:$O$9826,MATCH(1,(vp.data[[#This Row],[Battery]]=[1]DATA!$L$3:$L$9826)*(EOMONTH(vp.data[[#This Row],[SDate]],-1)+1=[1]DATA!$G$3:$G$9826),0)),vp.data[[#This Row],[Dens Input]]),"")</f>
        <v>875.1</v>
      </c>
      <c r="N112" s="2">
        <f ca="1">INDEX(INDIRECT(_xlfn.CONCAT("weather.tbl[",N$1,"]")),MATCH(vp.data[[#This Row],[SDate]],weather.tbl[Date],0))</f>
        <v>-4.3166666666666664</v>
      </c>
      <c r="O112" s="2">
        <f ca="1">INDEX(INDIRECT(_xlfn.CONCAT("weather.tbl[",O$1,"]")),MATCH(vp.data[[#This Row],[SDate]],weather.tbl[Date],0))</f>
        <v>3.6809523809523812</v>
      </c>
      <c r="P112" s="2">
        <f ca="1">INDEX(INDIRECT(_xlfn.CONCAT("weather.tbl[",P$1,"]")),MATCH(vp.data[[#This Row],[SDate]],weather.tbl[Date],0))</f>
        <v>-4.2</v>
      </c>
      <c r="Q112" s="2">
        <f ca="1">INDEX(INDIRECT(_xlfn.CONCAT("weather.tbl[",Q$1,"]")),MATCH(vp.data[[#This Row],[SDate]],weather.tbl[Date],0))</f>
        <v>-5</v>
      </c>
      <c r="R112" s="2">
        <f ca="1">INDEX(INDIRECT(_xlfn.CONCAT("weather.tbl[",R$1,"]")),MATCH(vp.data[[#This Row],[SDate]],weather.tbl[Date],0))</f>
        <v>-4.5</v>
      </c>
      <c r="S112" s="2">
        <f ca="1">INDEX(INDIRECT(_xlfn.CONCAT("weather.tbl[",S$1,"]")),MATCH(vp.data[[#This Row],[SDate]],weather.tbl[Date],0))</f>
        <v>-4.5</v>
      </c>
      <c r="T112" s="2">
        <f ca="1">INDEX(INDIRECT(_xlfn.CONCAT("weather.tbl[",T$1,"]")),MATCH(vp.data[[#This Row],[SDate]],weather.tbl[Date],0))</f>
        <v>-2.4</v>
      </c>
      <c r="U112" s="2">
        <f ca="1">INDEX(INDIRECT(_xlfn.CONCAT("weather.tbl[",U$1,"]")),MATCH(vp.data[[#This Row],[SDate]],weather.tbl[Date],0))</f>
        <v>-5.3</v>
      </c>
      <c r="V112" s="2">
        <f t="array" ref="V1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7936.5209999999997</v>
      </c>
      <c r="W112" t="s">
        <v>48</v>
      </c>
      <c r="X112">
        <f>IF(OR(vp.data[[#This Row],[Sulf]]="",vp.data[[#This Row],[Dens]]=""),1,0)</f>
        <v>0</v>
      </c>
      <c r="Y112">
        <f>IF(vp.data[[#This Row],[CrudeType]]="C5+",1,0)</f>
        <v>0</v>
      </c>
      <c r="Z112">
        <f>IF(AND(vp.data[[#This Row],[CrudeType]]="Crude",vp.data[[#This Row],[Dens]]&lt;=825,vp.data[[#This Row],[Sulf]]&gt;0.5,vp.data[[#This Row],[Unknown]]=0),1,0)</f>
        <v>0</v>
      </c>
      <c r="AA112">
        <f>IF(AND(vp.data[[#This Row],[CrudeType]]="Crude",vp.data[[#This Row],[Dens]]&lt;=825,vp.data[[#This Row],[Sulf]]&lt;=0.5,vp.data[[#This Row],[Unknown]]=0),1,0)</f>
        <v>0</v>
      </c>
      <c r="AB1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2">
        <f>IF(AND(vp.data[[#This Row],[CrudeType]]="Crude",vp.data[[#This Row],[Dens]]&gt;825,vp.data[[#This Row],[Dens]]&lt;=900,vp.data[[#This Row],[Sulf]]&lt;=0.5,vp.data[[#This Row],[Unknown]]=0),1,0)</f>
        <v>0</v>
      </c>
      <c r="AD112">
        <f>IF(AND(vp.data[[#This Row],[CrudeType]]="Crude",vp.data[[#This Row],[Dens]]&gt;865,vp.data[[#This Row],[Dens]]&lt;=900,vp.data[[#This Row],[Sulf]]&gt;2,vp.data[[#This Row],[Unknown]]=0),1,0)</f>
        <v>1</v>
      </c>
      <c r="AE112">
        <f>IF(AND(vp.data[[#This Row],[CrudeType]]="Crude",vp.data[[#This Row],[Dens]]&gt;900,vp.data[[#This Row],[Sulf]]&lt;=0.5,vp.data[[#This Row],[Unknown]]=0),1,0)</f>
        <v>0</v>
      </c>
      <c r="AF112">
        <f>IF(AND(vp.data[[#This Row],[CrudeType]]="Crude",vp.data[[#This Row],[Dens]]&gt;900,vp.data[[#This Row],[Sulf]]&lt;=0.5,vp.data[[#This Row],[Unknown]]=0),1,0)</f>
        <v>0</v>
      </c>
      <c r="AG112" t="str">
        <f>INDEX(vp.data[[#Headers],[Unknown]:[Heavy_SW]],MATCH(1,vp.data[[#This Row],[Unknown]:[Heavy_SW]],0))</f>
        <v>Midale</v>
      </c>
      <c r="AH112">
        <f>INDEX([3]!crudeBD.lkup[Number],MATCH(vp.data[[#This Row],[Crude_Breakdown]],crudeBD.lkup[Crude Breakdown],0))</f>
        <v>5</v>
      </c>
      <c r="AI112">
        <f>MONTH(vp.data[[#This Row],[SDate]])</f>
        <v>3</v>
      </c>
      <c r="AJ112" s="5">
        <f>(vp.data[[#This Row],[VP]]-INDEX(crudeBD.lkup[Mean_VP],MATCH(vp.data[[#This Row],[Crude_Breakdown]],crudeBD.lkup[Crude Breakdown],0)))^2</f>
        <v>7.8891489531301904</v>
      </c>
      <c r="AK112" s="5">
        <f>(vp.data[[#This Row],[Dens]]-INDEX(crudeBD.lkup[Mean_Dens],MATCH(vp.data[[#This Row],[Crude_Breakdown]],crudeBD.lkup[Crude Breakdown],0)))^2</f>
        <v>8.0083165054573899E-2</v>
      </c>
      <c r="AL112" s="5">
        <f>(vp.data[[#This Row],[Sulf]]-INDEX(crudeBD.lkup[Mean_Sulf],MATCH(vp.data[[#This Row],[Crude_Breakdown]],crudeBD.lkup[Crude Breakdown],0)))^2</f>
        <v>2.0625431087692294E-2</v>
      </c>
      <c r="AM112" s="4">
        <f>IF(AND(vp.data[[#This Row],[SDate]]&gt;=DATE(YEAR(vp.data[[#This Row],[SDate]]),5,1),vp.data[[#This Row],[SDate]]&lt;=DATE(YEAR(vp.data[[#This Row],[SDate]]),9,15)),1,0)</f>
        <v>0</v>
      </c>
      <c r="AN112" s="4">
        <f>IF(vp.data[[#This Row],[SDate]]&lt;DATE(2016,12,1),0,1)</f>
        <v>0</v>
      </c>
      <c r="AO112" s="4">
        <f>IFERROR(vp.data[[#This Row],[Sulf]]*vp.data[[#This Row],[Net Dens]],"")</f>
        <v>15974073.912329998</v>
      </c>
      <c r="AP112">
        <f>IFERROR(vp.data[[#This Row],[Dens]]*vp.data[[#This Row],[VolumeM3]],"")</f>
        <v>6945249.5270999996</v>
      </c>
      <c r="AQ112" s="15">
        <f>IFERROR(vp.data[[#This Row],[VP]]*vp.data[[#This Row],[VolumeM3]],"")</f>
        <v>528572.29859999998</v>
      </c>
    </row>
    <row r="113" spans="1:43" x14ac:dyDescent="0.25">
      <c r="A113">
        <v>112</v>
      </c>
      <c r="B113" t="s">
        <v>49</v>
      </c>
      <c r="C113" t="s">
        <v>49</v>
      </c>
      <c r="D113" t="s">
        <v>50</v>
      </c>
      <c r="F113" s="1">
        <v>42446</v>
      </c>
      <c r="G113" s="2">
        <v>55.3</v>
      </c>
      <c r="H113" s="2"/>
      <c r="I113" s="2">
        <f t="array" ref="I113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13" s="2"/>
      <c r="K113" s="2"/>
      <c r="L113" s="2">
        <v>878.5</v>
      </c>
      <c r="M113" s="2">
        <f t="array" ref="M113">_xlfn.IFNA(IF(vp.data[[#This Row],[Dens Input]]="",INDEX([1]DATA!$O$3:$O$9826,MATCH(1,(vp.data[[#This Row],[Battery]]=[1]DATA!$L$3:$L$9826)*(EOMONTH(vp.data[[#This Row],[SDate]],-1)+1=[1]DATA!$G$3:$G$9826),0)),vp.data[[#This Row],[Dens Input]]),"")</f>
        <v>878.5</v>
      </c>
      <c r="N113" s="2">
        <f ca="1">INDEX(INDIRECT(_xlfn.CONCAT("weather.tbl[",N$1,"]")),MATCH(vp.data[[#This Row],[SDate]],weather.tbl[Date],0))</f>
        <v>-4.3166666666666664</v>
      </c>
      <c r="O113" s="2">
        <f ca="1">INDEX(INDIRECT(_xlfn.CONCAT("weather.tbl[",O$1,"]")),MATCH(vp.data[[#This Row],[SDate]],weather.tbl[Date],0))</f>
        <v>3.6809523809523812</v>
      </c>
      <c r="P113" s="2">
        <f ca="1">INDEX(INDIRECT(_xlfn.CONCAT("weather.tbl[",P$1,"]")),MATCH(vp.data[[#This Row],[SDate]],weather.tbl[Date],0))</f>
        <v>-4.2</v>
      </c>
      <c r="Q113" s="2">
        <f ca="1">INDEX(INDIRECT(_xlfn.CONCAT("weather.tbl[",Q$1,"]")),MATCH(vp.data[[#This Row],[SDate]],weather.tbl[Date],0))</f>
        <v>-5</v>
      </c>
      <c r="R113" s="2">
        <f ca="1">INDEX(INDIRECT(_xlfn.CONCAT("weather.tbl[",R$1,"]")),MATCH(vp.data[[#This Row],[SDate]],weather.tbl[Date],0))</f>
        <v>-4.5</v>
      </c>
      <c r="S113" s="2">
        <f ca="1">INDEX(INDIRECT(_xlfn.CONCAT("weather.tbl[",S$1,"]")),MATCH(vp.data[[#This Row],[SDate]],weather.tbl[Date],0))</f>
        <v>-4.5</v>
      </c>
      <c r="T113" s="2">
        <f ca="1">INDEX(INDIRECT(_xlfn.CONCAT("weather.tbl[",T$1,"]")),MATCH(vp.data[[#This Row],[SDate]],weather.tbl[Date],0))</f>
        <v>-2.4</v>
      </c>
      <c r="U113" s="2">
        <f ca="1">INDEX(INDIRECT(_xlfn.CONCAT("weather.tbl[",U$1,"]")),MATCH(vp.data[[#This Row],[SDate]],weather.tbl[Date],0))</f>
        <v>-5.3</v>
      </c>
      <c r="V113" s="2">
        <f t="array" ref="V1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8372.2510000000002</v>
      </c>
      <c r="W113" t="s">
        <v>48</v>
      </c>
      <c r="X113">
        <f>IF(OR(vp.data[[#This Row],[Sulf]]="",vp.data[[#This Row],[Dens]]=""),1,0)</f>
        <v>0</v>
      </c>
      <c r="Y113">
        <f>IF(vp.data[[#This Row],[CrudeType]]="C5+",1,0)</f>
        <v>0</v>
      </c>
      <c r="Z113">
        <f>IF(AND(vp.data[[#This Row],[CrudeType]]="Crude",vp.data[[#This Row],[Dens]]&lt;=825,vp.data[[#This Row],[Sulf]]&gt;0.5,vp.data[[#This Row],[Unknown]]=0),1,0)</f>
        <v>0</v>
      </c>
      <c r="AA113">
        <f>IF(AND(vp.data[[#This Row],[CrudeType]]="Crude",vp.data[[#This Row],[Dens]]&lt;=825,vp.data[[#This Row],[Sulf]]&lt;=0.5,vp.data[[#This Row],[Unknown]]=0),1,0)</f>
        <v>0</v>
      </c>
      <c r="AB1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">
        <f>IF(AND(vp.data[[#This Row],[CrudeType]]="Crude",vp.data[[#This Row],[Dens]]&gt;825,vp.data[[#This Row],[Dens]]&lt;=900,vp.data[[#This Row],[Sulf]]&lt;=0.5,vp.data[[#This Row],[Unknown]]=0),1,0)</f>
        <v>0</v>
      </c>
      <c r="AD113">
        <f>IF(AND(vp.data[[#This Row],[CrudeType]]="Crude",vp.data[[#This Row],[Dens]]&gt;865,vp.data[[#This Row],[Dens]]&lt;=900,vp.data[[#This Row],[Sulf]]&gt;2,vp.data[[#This Row],[Unknown]]=0),1,0)</f>
        <v>1</v>
      </c>
      <c r="AE113">
        <f>IF(AND(vp.data[[#This Row],[CrudeType]]="Crude",vp.data[[#This Row],[Dens]]&gt;900,vp.data[[#This Row],[Sulf]]&lt;=0.5,vp.data[[#This Row],[Unknown]]=0),1,0)</f>
        <v>0</v>
      </c>
      <c r="AF113">
        <f>IF(AND(vp.data[[#This Row],[CrudeType]]="Crude",vp.data[[#This Row],[Dens]]&gt;900,vp.data[[#This Row],[Sulf]]&lt;=0.5,vp.data[[#This Row],[Unknown]]=0),1,0)</f>
        <v>0</v>
      </c>
      <c r="AG113" t="str">
        <f>INDEX(vp.data[[#Headers],[Unknown]:[Heavy_SW]],MATCH(1,vp.data[[#This Row],[Unknown]:[Heavy_SW]],0))</f>
        <v>Midale</v>
      </c>
      <c r="AH113">
        <f>INDEX([3]!crudeBD.lkup[Number],MATCH(vp.data[[#This Row],[Crude_Breakdown]],crudeBD.lkup[Crude Breakdown],0))</f>
        <v>5</v>
      </c>
      <c r="AI113">
        <f>MONTH(vp.data[[#This Row],[SDate]])</f>
        <v>3</v>
      </c>
      <c r="AJ113" s="5">
        <f>(vp.data[[#This Row],[VP]]-INDEX(crudeBD.lkup[Mean_VP],MATCH(vp.data[[#This Row],[Crude_Breakdown]],crudeBD.lkup[Crude Breakdown],0)))^2</f>
        <v>199.05719019024434</v>
      </c>
      <c r="AK113" s="5">
        <f>(vp.data[[#This Row],[Dens]]-INDEX(crudeBD.lkup[Mean_Dens],MATCH(vp.data[[#This Row],[Crude_Breakdown]],crudeBD.lkup[Crude Breakdown],0)))^2</f>
        <v>13.564413061959689</v>
      </c>
      <c r="AL113" s="5">
        <f>(vp.data[[#This Row],[Sulf]]-INDEX(crudeBD.lkup[Mean_Sulf],MATCH(vp.data[[#This Row],[Crude_Breakdown]],crudeBD.lkup[Crude Breakdown],0)))^2</f>
        <v>2.1428402221713612E-2</v>
      </c>
      <c r="AM113" s="4">
        <f>IF(AND(vp.data[[#This Row],[SDate]]&gt;=DATE(YEAR(vp.data[[#This Row],[SDate]]),5,1),vp.data[[#This Row],[SDate]]&lt;=DATE(YEAR(vp.data[[#This Row],[SDate]]),9,15)),1,0)</f>
        <v>0</v>
      </c>
      <c r="AN113" s="4">
        <f>IF(vp.data[[#This Row],[SDate]]&lt;DATE(2016,12,1),0,1)</f>
        <v>0</v>
      </c>
      <c r="AO113" s="4">
        <f>IFERROR(vp.data[[#This Row],[Sulf]]*vp.data[[#This Row],[Net Dens]],"")</f>
        <v>19049508.284065001</v>
      </c>
      <c r="AP113">
        <f>IFERROR(vp.data[[#This Row],[Dens]]*vp.data[[#This Row],[VolumeM3]],"")</f>
        <v>7355022.5035000006</v>
      </c>
      <c r="AQ113" s="15">
        <f>IFERROR(vp.data[[#This Row],[VP]]*vp.data[[#This Row],[VolumeM3]],"")</f>
        <v>462985.4803</v>
      </c>
    </row>
    <row r="114" spans="1:43" x14ac:dyDescent="0.25">
      <c r="A114">
        <v>113</v>
      </c>
      <c r="B114" t="s">
        <v>49</v>
      </c>
      <c r="C114" t="s">
        <v>49</v>
      </c>
      <c r="D114" t="s">
        <v>67</v>
      </c>
      <c r="F114" s="1">
        <v>42447</v>
      </c>
      <c r="G114" s="2">
        <v>117.3</v>
      </c>
      <c r="H114" s="2"/>
      <c r="I114" s="2">
        <f t="array" ref="I114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14" s="2"/>
      <c r="K114" s="2"/>
      <c r="L114" s="2">
        <v>801.1</v>
      </c>
      <c r="M114" s="2">
        <f t="array" ref="M114">_xlfn.IFNA(IF(vp.data[[#This Row],[Dens Input]]="",INDEX([1]DATA!$O$3:$O$9826,MATCH(1,(vp.data[[#This Row],[Battery]]=[1]DATA!$L$3:$L$9826)*(EOMONTH(vp.data[[#This Row],[SDate]],-1)+1=[1]DATA!$G$3:$G$9826),0)),vp.data[[#This Row],[Dens Input]]),"")</f>
        <v>801.1</v>
      </c>
      <c r="N114" s="2">
        <f ca="1">INDEX(INDIRECT(_xlfn.CONCAT("weather.tbl[",N$1,"]")),MATCH(vp.data[[#This Row],[SDate]],weather.tbl[Date],0))</f>
        <v>-3.5333333333333337</v>
      </c>
      <c r="O114" s="2">
        <f ca="1">INDEX(INDIRECT(_xlfn.CONCAT("weather.tbl[",O$1,"]")),MATCH(vp.data[[#This Row],[SDate]],weather.tbl[Date],0))</f>
        <v>2.0000000000000004</v>
      </c>
      <c r="P114" s="2">
        <f ca="1">INDEX(INDIRECT(_xlfn.CONCAT("weather.tbl[",P$1,"]")),MATCH(vp.data[[#This Row],[SDate]],weather.tbl[Date],0))</f>
        <v>-4.0999999999999996</v>
      </c>
      <c r="Q114" s="2">
        <f ca="1">INDEX(INDIRECT(_xlfn.CONCAT("weather.tbl[",Q$1,"]")),MATCH(vp.data[[#This Row],[SDate]],weather.tbl[Date],0))</f>
        <v>-4.2</v>
      </c>
      <c r="R114" s="2">
        <f ca="1">INDEX(INDIRECT(_xlfn.CONCAT("weather.tbl[",R$1,"]")),MATCH(vp.data[[#This Row],[SDate]],weather.tbl[Date],0))</f>
        <v>-3.3</v>
      </c>
      <c r="S114" s="2">
        <f ca="1">INDEX(INDIRECT(_xlfn.CONCAT("weather.tbl[",S$1,"]")),MATCH(vp.data[[#This Row],[SDate]],weather.tbl[Date],0))</f>
        <v>-3.5</v>
      </c>
      <c r="T114" s="2">
        <f ca="1">INDEX(INDIRECT(_xlfn.CONCAT("weather.tbl[",T$1,"]")),MATCH(vp.data[[#This Row],[SDate]],weather.tbl[Date],0))</f>
        <v>-0.8</v>
      </c>
      <c r="U114" s="2">
        <f ca="1">INDEX(INDIRECT(_xlfn.CONCAT("weather.tbl[",U$1,"]")),MATCH(vp.data[[#This Row],[SDate]],weather.tbl[Date],0))</f>
        <v>-5.3</v>
      </c>
      <c r="V114" s="2">
        <f t="array" ref="V1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49014.500999999997</v>
      </c>
      <c r="W114" t="s">
        <v>48</v>
      </c>
      <c r="X114">
        <f>IF(OR(vp.data[[#This Row],[Sulf]]="",vp.data[[#This Row],[Dens]]=""),1,0)</f>
        <v>0</v>
      </c>
      <c r="Y114">
        <f>IF(vp.data[[#This Row],[CrudeType]]="C5+",1,0)</f>
        <v>0</v>
      </c>
      <c r="Z114">
        <f>IF(AND(vp.data[[#This Row],[CrudeType]]="Crude",vp.data[[#This Row],[Dens]]&lt;=825,vp.data[[#This Row],[Sulf]]&gt;0.5,vp.data[[#This Row],[Unknown]]=0),1,0)</f>
        <v>0</v>
      </c>
      <c r="AA114">
        <f>IF(AND(vp.data[[#This Row],[CrudeType]]="Crude",vp.data[[#This Row],[Dens]]&lt;=825,vp.data[[#This Row],[Sulf]]&lt;=0.5,vp.data[[#This Row],[Unknown]]=0),1,0)</f>
        <v>1</v>
      </c>
      <c r="AB1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4">
        <f>IF(AND(vp.data[[#This Row],[CrudeType]]="Crude",vp.data[[#This Row],[Dens]]&gt;825,vp.data[[#This Row],[Dens]]&lt;=900,vp.data[[#This Row],[Sulf]]&lt;=0.5,vp.data[[#This Row],[Unknown]]=0),1,0)</f>
        <v>0</v>
      </c>
      <c r="AD114">
        <f>IF(AND(vp.data[[#This Row],[CrudeType]]="Crude",vp.data[[#This Row],[Dens]]&gt;865,vp.data[[#This Row],[Dens]]&lt;=900,vp.data[[#This Row],[Sulf]]&gt;2,vp.data[[#This Row],[Unknown]]=0),1,0)</f>
        <v>0</v>
      </c>
      <c r="AE114">
        <f>IF(AND(vp.data[[#This Row],[CrudeType]]="Crude",vp.data[[#This Row],[Dens]]&gt;900,vp.data[[#This Row],[Sulf]]&lt;=0.5,vp.data[[#This Row],[Unknown]]=0),1,0)</f>
        <v>0</v>
      </c>
      <c r="AF114">
        <f>IF(AND(vp.data[[#This Row],[CrudeType]]="Crude",vp.data[[#This Row],[Dens]]&gt;900,vp.data[[#This Row],[Sulf]]&lt;=0.5,vp.data[[#This Row],[Unknown]]=0),1,0)</f>
        <v>0</v>
      </c>
      <c r="AG114" t="str">
        <f>INDEX(vp.data[[#Headers],[Unknown]:[Heavy_SW]],MATCH(1,vp.data[[#This Row],[Unknown]:[Heavy_SW]],0))</f>
        <v>Light_SW</v>
      </c>
      <c r="AH114">
        <f>INDEX([3]!crudeBD.lkup[Number],MATCH(vp.data[[#This Row],[Crude_Breakdown]],crudeBD.lkup[Crude Breakdown],0))</f>
        <v>2</v>
      </c>
      <c r="AI114">
        <f>MONTH(vp.data[[#This Row],[SDate]])</f>
        <v>3</v>
      </c>
      <c r="AJ114" s="5">
        <f>(vp.data[[#This Row],[VP]]-INDEX(crudeBD.lkup[Mean_VP],MATCH(vp.data[[#This Row],[Crude_Breakdown]],crudeBD.lkup[Crude Breakdown],0)))^2</f>
        <v>612.54697745025567</v>
      </c>
      <c r="AK114" s="5">
        <f>(vp.data[[#This Row],[Dens]]-INDEX(crudeBD.lkup[Mean_Dens],MATCH(vp.data[[#This Row],[Crude_Breakdown]],crudeBD.lkup[Crude Breakdown],0)))^2</f>
        <v>52.00570712282186</v>
      </c>
      <c r="AL114" s="5">
        <f>(vp.data[[#This Row],[Sulf]]-INDEX(crudeBD.lkup[Mean_Sulf],MATCH(vp.data[[#This Row],[Crude_Breakdown]],crudeBD.lkup[Crude Breakdown],0)))^2</f>
        <v>6.8863268899706654E-4</v>
      </c>
      <c r="AM114" s="4">
        <f>IF(AND(vp.data[[#This Row],[SDate]]&gt;=DATE(YEAR(vp.data[[#This Row],[SDate]]),5,1),vp.data[[#This Row],[SDate]]&lt;=DATE(YEAR(vp.data[[#This Row],[SDate]]),9,15)),1,0)</f>
        <v>0</v>
      </c>
      <c r="AN114" s="4">
        <f>IF(vp.data[[#This Row],[SDate]]&lt;DATE(2016,12,1),0,1)</f>
        <v>0</v>
      </c>
      <c r="AO114" s="4">
        <f>IFERROR(vp.data[[#This Row],[Sulf]]*vp.data[[#This Row],[Net Dens]],"")</f>
        <v>8245758.5177309988</v>
      </c>
      <c r="AP114">
        <f>IFERROR(vp.data[[#This Row],[Dens]]*vp.data[[#This Row],[VolumeM3]],"")</f>
        <v>39265516.751099996</v>
      </c>
      <c r="AQ114" s="15">
        <f>IFERROR(vp.data[[#This Row],[VP]]*vp.data[[#This Row],[VolumeM3]],"")</f>
        <v>5749400.9672999997</v>
      </c>
    </row>
    <row r="115" spans="1:43" x14ac:dyDescent="0.25">
      <c r="A115">
        <v>114</v>
      </c>
      <c r="B115" t="s">
        <v>49</v>
      </c>
      <c r="C115" t="s">
        <v>49</v>
      </c>
      <c r="D115" t="s">
        <v>81</v>
      </c>
      <c r="F115" s="1">
        <v>42450</v>
      </c>
      <c r="G115" s="2">
        <v>82</v>
      </c>
      <c r="H115" s="2"/>
      <c r="I115" s="2">
        <f t="array" ref="I115">_xlfn.IFNA(IF(vp.data[[#This Row],[Sulf Input]]="",INDEX([1]DATA!$Q$3:$Q$9826,MATCH(1,(vp.data[[#This Row],[Battery]]=[1]DATA!$L$3:$L$9826)*(EOMONTH(vp.data[[#This Row],[SDate]],-1)+1=[1]DATA!$G$3:$G$9826),0)),vp.data[[#This Row],[Sulf Input]]),"")</f>
        <v>0.48</v>
      </c>
      <c r="J115" s="2"/>
      <c r="K115" s="2"/>
      <c r="L115" s="2">
        <v>818.9</v>
      </c>
      <c r="M115" s="2">
        <f t="array" ref="M115">_xlfn.IFNA(IF(vp.data[[#This Row],[Dens Input]]="",INDEX([1]DATA!$O$3:$O$9826,MATCH(1,(vp.data[[#This Row],[Battery]]=[1]DATA!$L$3:$L$9826)*(EOMONTH(vp.data[[#This Row],[SDate]],-1)+1=[1]DATA!$G$3:$G$9826),0)),vp.data[[#This Row],[Dens Input]]),"")</f>
        <v>818.9</v>
      </c>
      <c r="N115" s="2">
        <f ca="1">INDEX(INDIRECT(_xlfn.CONCAT("weather.tbl[",N$1,"]")),MATCH(vp.data[[#This Row],[SDate]],weather.tbl[Date],0))</f>
        <v>1.05</v>
      </c>
      <c r="O115" s="2">
        <f ca="1">INDEX(INDIRECT(_xlfn.CONCAT("weather.tbl[",O$1,"]")),MATCH(vp.data[[#This Row],[SDate]],weather.tbl[Date],0))</f>
        <v>-1.5738095238095238</v>
      </c>
      <c r="P115" s="2">
        <f ca="1">INDEX(INDIRECT(_xlfn.CONCAT("weather.tbl[",P$1,"]")),MATCH(vp.data[[#This Row],[SDate]],weather.tbl[Date],0))</f>
        <v>0.5</v>
      </c>
      <c r="Q115" s="2">
        <f ca="1">INDEX(INDIRECT(_xlfn.CONCAT("weather.tbl[",Q$1,"]")),MATCH(vp.data[[#This Row],[SDate]],weather.tbl[Date],0))</f>
        <v>2.1</v>
      </c>
      <c r="R115" s="2">
        <f ca="1">INDEX(INDIRECT(_xlfn.CONCAT("weather.tbl[",R$1,"]")),MATCH(vp.data[[#This Row],[SDate]],weather.tbl[Date],0))</f>
        <v>0.8</v>
      </c>
      <c r="S115" s="2">
        <f ca="1">INDEX(INDIRECT(_xlfn.CONCAT("weather.tbl[",S$1,"]")),MATCH(vp.data[[#This Row],[SDate]],weather.tbl[Date],0))</f>
        <v>1.5</v>
      </c>
      <c r="T115" s="2">
        <f ca="1">INDEX(INDIRECT(_xlfn.CONCAT("weather.tbl[",T$1,"]")),MATCH(vp.data[[#This Row],[SDate]],weather.tbl[Date],0))</f>
        <v>1.5</v>
      </c>
      <c r="U115" s="2">
        <f ca="1">INDEX(INDIRECT(_xlfn.CONCAT("weather.tbl[",U$1,"]")),MATCH(vp.data[[#This Row],[SDate]],weather.tbl[Date],0))</f>
        <v>-0.1</v>
      </c>
      <c r="V115" s="2">
        <f t="array" ref="V1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24646.315999999999</v>
      </c>
      <c r="W115" t="s">
        <v>48</v>
      </c>
      <c r="X115">
        <f>IF(OR(vp.data[[#This Row],[Sulf]]="",vp.data[[#This Row],[Dens]]=""),1,0)</f>
        <v>0</v>
      </c>
      <c r="Y115">
        <f>IF(vp.data[[#This Row],[CrudeType]]="C5+",1,0)</f>
        <v>0</v>
      </c>
      <c r="Z115">
        <f>IF(AND(vp.data[[#This Row],[CrudeType]]="Crude",vp.data[[#This Row],[Dens]]&lt;=825,vp.data[[#This Row],[Sulf]]&gt;0.5,vp.data[[#This Row],[Unknown]]=0),1,0)</f>
        <v>0</v>
      </c>
      <c r="AA115">
        <f>IF(AND(vp.data[[#This Row],[CrudeType]]="Crude",vp.data[[#This Row],[Dens]]&lt;=825,vp.data[[#This Row],[Sulf]]&lt;=0.5,vp.data[[#This Row],[Unknown]]=0),1,0)</f>
        <v>1</v>
      </c>
      <c r="AB1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5">
        <f>IF(AND(vp.data[[#This Row],[CrudeType]]="Crude",vp.data[[#This Row],[Dens]]&gt;825,vp.data[[#This Row],[Dens]]&lt;=900,vp.data[[#This Row],[Sulf]]&lt;=0.5,vp.data[[#This Row],[Unknown]]=0),1,0)</f>
        <v>0</v>
      </c>
      <c r="AD115">
        <f>IF(AND(vp.data[[#This Row],[CrudeType]]="Crude",vp.data[[#This Row],[Dens]]&gt;865,vp.data[[#This Row],[Dens]]&lt;=900,vp.data[[#This Row],[Sulf]]&gt;2,vp.data[[#This Row],[Unknown]]=0),1,0)</f>
        <v>0</v>
      </c>
      <c r="AE115">
        <f>IF(AND(vp.data[[#This Row],[CrudeType]]="Crude",vp.data[[#This Row],[Dens]]&gt;900,vp.data[[#This Row],[Sulf]]&lt;=0.5,vp.data[[#This Row],[Unknown]]=0),1,0)</f>
        <v>0</v>
      </c>
      <c r="AF115">
        <f>IF(AND(vp.data[[#This Row],[CrudeType]]="Crude",vp.data[[#This Row],[Dens]]&gt;900,vp.data[[#This Row],[Sulf]]&lt;=0.5,vp.data[[#This Row],[Unknown]]=0),1,0)</f>
        <v>0</v>
      </c>
      <c r="AG115" t="str">
        <f>INDEX(vp.data[[#Headers],[Unknown]:[Heavy_SW]],MATCH(1,vp.data[[#This Row],[Unknown]:[Heavy_SW]],0))</f>
        <v>Light_SW</v>
      </c>
      <c r="AH115">
        <f>INDEX([3]!crudeBD.lkup[Number],MATCH(vp.data[[#This Row],[Crude_Breakdown]],crudeBD.lkup[Crude Breakdown],0))</f>
        <v>2</v>
      </c>
      <c r="AI115">
        <f>MONTH(vp.data[[#This Row],[SDate]])</f>
        <v>3</v>
      </c>
      <c r="AJ115" s="5">
        <f>(vp.data[[#This Row],[VP]]-INDEX(crudeBD.lkup[Mean_VP],MATCH(vp.data[[#This Row],[Crude_Breakdown]],crudeBD.lkup[Crude Breakdown],0)))^2</f>
        <v>111.30911682307602</v>
      </c>
      <c r="AK115" s="5">
        <f>(vp.data[[#This Row],[Dens]]-INDEX(crudeBD.lkup[Mean_Dens],MATCH(vp.data[[#This Row],[Crude_Breakdown]],crudeBD.lkup[Crude Breakdown],0)))^2</f>
        <v>112.1163691437354</v>
      </c>
      <c r="AL115" s="5">
        <f>(vp.data[[#This Row],[Sulf]]-INDEX(crudeBD.lkup[Mean_Sulf],MATCH(vp.data[[#This Row],[Crude_Breakdown]],crudeBD.lkup[Crude Breakdown],0)))^2</f>
        <v>5.9418054291784594E-2</v>
      </c>
      <c r="AM115" s="4">
        <f>IF(AND(vp.data[[#This Row],[SDate]]&gt;=DATE(YEAR(vp.data[[#This Row],[SDate]]),5,1),vp.data[[#This Row],[SDate]]&lt;=DATE(YEAR(vp.data[[#This Row],[SDate]]),9,15)),1,0)</f>
        <v>0</v>
      </c>
      <c r="AN115" s="4">
        <f>IF(vp.data[[#This Row],[SDate]]&lt;DATE(2016,12,1),0,1)</f>
        <v>0</v>
      </c>
      <c r="AO115" s="4">
        <f>IFERROR(vp.data[[#This Row],[Sulf]]*vp.data[[#This Row],[Net Dens]],"")</f>
        <v>9687776.7227519993</v>
      </c>
      <c r="AP115">
        <f>IFERROR(vp.data[[#This Row],[Dens]]*vp.data[[#This Row],[VolumeM3]],"")</f>
        <v>20182868.172399998</v>
      </c>
      <c r="AQ115" s="15">
        <f>IFERROR(vp.data[[#This Row],[VP]]*vp.data[[#This Row],[VolumeM3]],"")</f>
        <v>2020997.912</v>
      </c>
    </row>
    <row r="116" spans="1:43" x14ac:dyDescent="0.25">
      <c r="A116">
        <v>115</v>
      </c>
      <c r="B116" t="s">
        <v>49</v>
      </c>
      <c r="C116" t="s">
        <v>49</v>
      </c>
      <c r="D116" t="s">
        <v>74</v>
      </c>
      <c r="F116" s="1">
        <v>42451</v>
      </c>
      <c r="G116" s="2">
        <v>103.5</v>
      </c>
      <c r="H116" s="2"/>
      <c r="I116" s="2">
        <f t="array" ref="I116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116" s="2"/>
      <c r="K116" s="2"/>
      <c r="L116" s="2">
        <v>799.4</v>
      </c>
      <c r="M116" s="2">
        <f t="array" ref="M116">_xlfn.IFNA(IF(vp.data[[#This Row],[Dens Input]]="",INDEX([1]DATA!$O$3:$O$9826,MATCH(1,(vp.data[[#This Row],[Battery]]=[1]DATA!$L$3:$L$9826)*(EOMONTH(vp.data[[#This Row],[SDate]],-1)+1=[1]DATA!$G$3:$G$9826),0)),vp.data[[#This Row],[Dens Input]]),"")</f>
        <v>799.4</v>
      </c>
      <c r="N116" s="2">
        <f ca="1">INDEX(INDIRECT(_xlfn.CONCAT("weather.tbl[",N$1,"]")),MATCH(vp.data[[#This Row],[SDate]],weather.tbl[Date],0))</f>
        <v>-4.7333333333333334</v>
      </c>
      <c r="O116" s="2">
        <f ca="1">INDEX(INDIRECT(_xlfn.CONCAT("weather.tbl[",O$1,"]")),MATCH(vp.data[[#This Row],[SDate]],weather.tbl[Date],0))</f>
        <v>-2.3452380952380953</v>
      </c>
      <c r="P116" s="2">
        <f ca="1">INDEX(INDIRECT(_xlfn.CONCAT("weather.tbl[",P$1,"]")),MATCH(vp.data[[#This Row],[SDate]],weather.tbl[Date],0))</f>
        <v>-3.1</v>
      </c>
      <c r="Q116" s="2">
        <f ca="1">INDEX(INDIRECT(_xlfn.CONCAT("weather.tbl[",Q$1,"]")),MATCH(vp.data[[#This Row],[SDate]],weather.tbl[Date],0))</f>
        <v>-3.7</v>
      </c>
      <c r="R116" s="2">
        <f ca="1">INDEX(INDIRECT(_xlfn.CONCAT("weather.tbl[",R$1,"]")),MATCH(vp.data[[#This Row],[SDate]],weather.tbl[Date],0))</f>
        <v>-6</v>
      </c>
      <c r="S116" s="2">
        <f ca="1">INDEX(INDIRECT(_xlfn.CONCAT("weather.tbl[",S$1,"]")),MATCH(vp.data[[#This Row],[SDate]],weather.tbl[Date],0))</f>
        <v>-3.3</v>
      </c>
      <c r="T116" s="2">
        <f ca="1">INDEX(INDIRECT(_xlfn.CONCAT("weather.tbl[",T$1,"]")),MATCH(vp.data[[#This Row],[SDate]],weather.tbl[Date],0))</f>
        <v>-6.5</v>
      </c>
      <c r="U116" s="2">
        <f ca="1">INDEX(INDIRECT(_xlfn.CONCAT("weather.tbl[",U$1,"]")),MATCH(vp.data[[#This Row],[SDate]],weather.tbl[Date],0))</f>
        <v>-5.8</v>
      </c>
      <c r="V116" s="2">
        <f t="array" ref="V1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46024.504999999997</v>
      </c>
      <c r="W116" t="s">
        <v>48</v>
      </c>
      <c r="X116">
        <f>IF(OR(vp.data[[#This Row],[Sulf]]="",vp.data[[#This Row],[Dens]]=""),1,0)</f>
        <v>0</v>
      </c>
      <c r="Y116">
        <f>IF(vp.data[[#This Row],[CrudeType]]="C5+",1,0)</f>
        <v>0</v>
      </c>
      <c r="Z116">
        <f>IF(AND(vp.data[[#This Row],[CrudeType]]="Crude",vp.data[[#This Row],[Dens]]&lt;=825,vp.data[[#This Row],[Sulf]]&gt;0.5,vp.data[[#This Row],[Unknown]]=0),1,0)</f>
        <v>0</v>
      </c>
      <c r="AA116">
        <f>IF(AND(vp.data[[#This Row],[CrudeType]]="Crude",vp.data[[#This Row],[Dens]]&lt;=825,vp.data[[#This Row],[Sulf]]&lt;=0.5,vp.data[[#This Row],[Unknown]]=0),1,0)</f>
        <v>1</v>
      </c>
      <c r="AB1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">
        <f>IF(AND(vp.data[[#This Row],[CrudeType]]="Crude",vp.data[[#This Row],[Dens]]&gt;825,vp.data[[#This Row],[Dens]]&lt;=900,vp.data[[#This Row],[Sulf]]&lt;=0.5,vp.data[[#This Row],[Unknown]]=0),1,0)</f>
        <v>0</v>
      </c>
      <c r="AD116">
        <f>IF(AND(vp.data[[#This Row],[CrudeType]]="Crude",vp.data[[#This Row],[Dens]]&gt;865,vp.data[[#This Row],[Dens]]&lt;=900,vp.data[[#This Row],[Sulf]]&gt;2,vp.data[[#This Row],[Unknown]]=0),1,0)</f>
        <v>0</v>
      </c>
      <c r="AE116">
        <f>IF(AND(vp.data[[#This Row],[CrudeType]]="Crude",vp.data[[#This Row],[Dens]]&gt;900,vp.data[[#This Row],[Sulf]]&lt;=0.5,vp.data[[#This Row],[Unknown]]=0),1,0)</f>
        <v>0</v>
      </c>
      <c r="AF116">
        <f>IF(AND(vp.data[[#This Row],[CrudeType]]="Crude",vp.data[[#This Row],[Dens]]&gt;900,vp.data[[#This Row],[Sulf]]&lt;=0.5,vp.data[[#This Row],[Unknown]]=0),1,0)</f>
        <v>0</v>
      </c>
      <c r="AG116" t="str">
        <f>INDEX(vp.data[[#Headers],[Unknown]:[Heavy_SW]],MATCH(1,vp.data[[#This Row],[Unknown]:[Heavy_SW]],0))</f>
        <v>Light_SW</v>
      </c>
      <c r="AH116">
        <f>INDEX([3]!crudeBD.lkup[Number],MATCH(vp.data[[#This Row],[Crude_Breakdown]],crudeBD.lkup[Crude Breakdown],0))</f>
        <v>2</v>
      </c>
      <c r="AI116">
        <f>MONTH(vp.data[[#This Row],[SDate]])</f>
        <v>3</v>
      </c>
      <c r="AJ116" s="5">
        <f>(vp.data[[#This Row],[VP]]-INDEX(crudeBD.lkup[Mean_VP],MATCH(vp.data[[#This Row],[Crude_Breakdown]],crudeBD.lkup[Crude Breakdown],0)))^2</f>
        <v>119.8956325025198</v>
      </c>
      <c r="AK116" s="5">
        <f>(vp.data[[#This Row],[Dens]]-INDEX(crudeBD.lkup[Mean_Dens],MATCH(vp.data[[#This Row],[Crude_Breakdown]],crudeBD.lkup[Crude Breakdown],0)))^2</f>
        <v>79.414801199476898</v>
      </c>
      <c r="AL116" s="5">
        <f>(vp.data[[#This Row],[Sulf]]-INDEX(crudeBD.lkup[Mean_Sulf],MATCH(vp.data[[#This Row],[Crude_Breakdown]],crudeBD.lkup[Crude Breakdown],0)))^2</f>
        <v>9.2624863475336272E-3</v>
      </c>
      <c r="AM116" s="4">
        <f>IF(AND(vp.data[[#This Row],[SDate]]&gt;=DATE(YEAR(vp.data[[#This Row],[SDate]]),5,1),vp.data[[#This Row],[SDate]]&lt;=DATE(YEAR(vp.data[[#This Row],[SDate]]),9,15)),1,0)</f>
        <v>0</v>
      </c>
      <c r="AN116" s="4">
        <f>IF(vp.data[[#This Row],[SDate]]&lt;DATE(2016,12,1),0,1)</f>
        <v>0</v>
      </c>
      <c r="AO116" s="4">
        <f>IFERROR(vp.data[[#This Row],[Sulf]]*vp.data[[#This Row],[Net Dens]],"")</f>
        <v>5150878.5015799999</v>
      </c>
      <c r="AP116">
        <f>IFERROR(vp.data[[#This Row],[Dens]]*vp.data[[#This Row],[VolumeM3]],"")</f>
        <v>36791989.296999998</v>
      </c>
      <c r="AQ116" s="15">
        <f>IFERROR(vp.data[[#This Row],[VP]]*vp.data[[#This Row],[VolumeM3]],"")</f>
        <v>4763536.2675000001</v>
      </c>
    </row>
    <row r="117" spans="1:43" x14ac:dyDescent="0.25">
      <c r="A117">
        <v>116</v>
      </c>
      <c r="B117" t="s">
        <v>62</v>
      </c>
      <c r="C117" t="s">
        <v>62</v>
      </c>
      <c r="D117" t="s">
        <v>79</v>
      </c>
      <c r="F117" s="1">
        <v>42451</v>
      </c>
      <c r="G117" s="2">
        <v>82</v>
      </c>
      <c r="H117" s="2"/>
      <c r="I117" s="2">
        <f t="array" ref="I117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17" s="2"/>
      <c r="K117" s="2"/>
      <c r="L117" s="2">
        <v>806.6</v>
      </c>
      <c r="M117" s="2">
        <f t="array" ref="M117">_xlfn.IFNA(IF(vp.data[[#This Row],[Dens Input]]="",INDEX([1]DATA!$O$3:$O$9826,MATCH(1,(vp.data[[#This Row],[Battery]]=[1]DATA!$L$3:$L$9826)*(EOMONTH(vp.data[[#This Row],[SDate]],-1)+1=[1]DATA!$G$3:$G$9826),0)),vp.data[[#This Row],[Dens Input]]),"")</f>
        <v>806.6</v>
      </c>
      <c r="N117" s="2">
        <f ca="1">INDEX(INDIRECT(_xlfn.CONCAT("weather.tbl[",N$1,"]")),MATCH(vp.data[[#This Row],[SDate]],weather.tbl[Date],0))</f>
        <v>-4.7333333333333334</v>
      </c>
      <c r="O117" s="2">
        <f ca="1">INDEX(INDIRECT(_xlfn.CONCAT("weather.tbl[",O$1,"]")),MATCH(vp.data[[#This Row],[SDate]],weather.tbl[Date],0))</f>
        <v>-2.3452380952380953</v>
      </c>
      <c r="P117" s="2">
        <f ca="1">INDEX(INDIRECT(_xlfn.CONCAT("weather.tbl[",P$1,"]")),MATCH(vp.data[[#This Row],[SDate]],weather.tbl[Date],0))</f>
        <v>-3.1</v>
      </c>
      <c r="Q117" s="2">
        <f ca="1">INDEX(INDIRECT(_xlfn.CONCAT("weather.tbl[",Q$1,"]")),MATCH(vp.data[[#This Row],[SDate]],weather.tbl[Date],0))</f>
        <v>-3.7</v>
      </c>
      <c r="R117" s="2">
        <f ca="1">INDEX(INDIRECT(_xlfn.CONCAT("weather.tbl[",R$1,"]")),MATCH(vp.data[[#This Row],[SDate]],weather.tbl[Date],0))</f>
        <v>-6</v>
      </c>
      <c r="S117" s="2">
        <f ca="1">INDEX(INDIRECT(_xlfn.CONCAT("weather.tbl[",S$1,"]")),MATCH(vp.data[[#This Row],[SDate]],weather.tbl[Date],0))</f>
        <v>-3.3</v>
      </c>
      <c r="T117" s="2">
        <f ca="1">INDEX(INDIRECT(_xlfn.CONCAT("weather.tbl[",T$1,"]")),MATCH(vp.data[[#This Row],[SDate]],weather.tbl[Date],0))</f>
        <v>-6.5</v>
      </c>
      <c r="U117" s="2">
        <f ca="1">INDEX(INDIRECT(_xlfn.CONCAT("weather.tbl[",U$1,"]")),MATCH(vp.data[[#This Row],[SDate]],weather.tbl[Date],0))</f>
        <v>-5.8</v>
      </c>
      <c r="V117" s="2">
        <f t="array" ref="V1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15865.705</v>
      </c>
      <c r="W117" t="s">
        <v>48</v>
      </c>
      <c r="X117">
        <f>IF(OR(vp.data[[#This Row],[Sulf]]="",vp.data[[#This Row],[Dens]]=""),1,0)</f>
        <v>0</v>
      </c>
      <c r="Y117">
        <f>IF(vp.data[[#This Row],[CrudeType]]="C5+",1,0)</f>
        <v>0</v>
      </c>
      <c r="Z117">
        <f>IF(AND(vp.data[[#This Row],[CrudeType]]="Crude",vp.data[[#This Row],[Dens]]&lt;=825,vp.data[[#This Row],[Sulf]]&gt;0.5,vp.data[[#This Row],[Unknown]]=0),1,0)</f>
        <v>0</v>
      </c>
      <c r="AA117">
        <f>IF(AND(vp.data[[#This Row],[CrudeType]]="Crude",vp.data[[#This Row],[Dens]]&lt;=825,vp.data[[#This Row],[Sulf]]&lt;=0.5,vp.data[[#This Row],[Unknown]]=0),1,0)</f>
        <v>1</v>
      </c>
      <c r="AB1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">
        <f>IF(AND(vp.data[[#This Row],[CrudeType]]="Crude",vp.data[[#This Row],[Dens]]&gt;825,vp.data[[#This Row],[Dens]]&lt;=900,vp.data[[#This Row],[Sulf]]&lt;=0.5,vp.data[[#This Row],[Unknown]]=0),1,0)</f>
        <v>0</v>
      </c>
      <c r="AD117">
        <f>IF(AND(vp.data[[#This Row],[CrudeType]]="Crude",vp.data[[#This Row],[Dens]]&gt;865,vp.data[[#This Row],[Dens]]&lt;=900,vp.data[[#This Row],[Sulf]]&gt;2,vp.data[[#This Row],[Unknown]]=0),1,0)</f>
        <v>0</v>
      </c>
      <c r="AE117">
        <f>IF(AND(vp.data[[#This Row],[CrudeType]]="Crude",vp.data[[#This Row],[Dens]]&gt;900,vp.data[[#This Row],[Sulf]]&lt;=0.5,vp.data[[#This Row],[Unknown]]=0),1,0)</f>
        <v>0</v>
      </c>
      <c r="AF117">
        <f>IF(AND(vp.data[[#This Row],[CrudeType]]="Crude",vp.data[[#This Row],[Dens]]&gt;900,vp.data[[#This Row],[Sulf]]&lt;=0.5,vp.data[[#This Row],[Unknown]]=0),1,0)</f>
        <v>0</v>
      </c>
      <c r="AG117" t="str">
        <f>INDEX(vp.data[[#Headers],[Unknown]:[Heavy_SW]],MATCH(1,vp.data[[#This Row],[Unknown]:[Heavy_SW]],0))</f>
        <v>Light_SW</v>
      </c>
      <c r="AH117">
        <f>INDEX([3]!crudeBD.lkup[Number],MATCH(vp.data[[#This Row],[Crude_Breakdown]],crudeBD.lkup[Crude Breakdown],0))</f>
        <v>2</v>
      </c>
      <c r="AI117">
        <f>MONTH(vp.data[[#This Row],[SDate]])</f>
        <v>3</v>
      </c>
      <c r="AJ117" s="5">
        <f>(vp.data[[#This Row],[VP]]-INDEX(crudeBD.lkup[Mean_VP],MATCH(vp.data[[#This Row],[Crude_Breakdown]],crudeBD.lkup[Crude Breakdown],0)))^2</f>
        <v>111.30911682307602</v>
      </c>
      <c r="AK117" s="5">
        <f>(vp.data[[#This Row],[Dens]]-INDEX(crudeBD.lkup[Mean_Dens],MATCH(vp.data[[#This Row],[Crude_Breakdown]],crudeBD.lkup[Crude Breakdown],0)))^2</f>
        <v>2.9292262865875758</v>
      </c>
      <c r="AL117" s="5">
        <f>(vp.data[[#This Row],[Sulf]]-INDEX(crudeBD.lkup[Mean_Sulf],MATCH(vp.data[[#This Row],[Crude_Breakdown]],crudeBD.lkup[Crude Breakdown],0)))^2</f>
        <v>5.644515043280923E-4</v>
      </c>
      <c r="AM117" s="4">
        <f>IF(AND(vp.data[[#This Row],[SDate]]&gt;=DATE(YEAR(vp.data[[#This Row],[SDate]]),5,1),vp.data[[#This Row],[SDate]]&lt;=DATE(YEAR(vp.data[[#This Row],[SDate]]),9,15)),1,0)</f>
        <v>0</v>
      </c>
      <c r="AN117" s="4">
        <f>IF(vp.data[[#This Row],[SDate]]&lt;DATE(2016,12,1),0,1)</f>
        <v>0</v>
      </c>
      <c r="AO117" s="4">
        <f>IFERROR(vp.data[[#This Row],[Sulf]]*vp.data[[#This Row],[Net Dens]],"")</f>
        <v>3327292.1897800001</v>
      </c>
      <c r="AP117">
        <f>IFERROR(vp.data[[#This Row],[Dens]]*vp.data[[#This Row],[VolumeM3]],"")</f>
        <v>12797277.653000001</v>
      </c>
      <c r="AQ117" s="15">
        <f>IFERROR(vp.data[[#This Row],[VP]]*vp.data[[#This Row],[VolumeM3]],"")</f>
        <v>1300987.81</v>
      </c>
    </row>
    <row r="118" spans="1:43" x14ac:dyDescent="0.25">
      <c r="A118">
        <v>117</v>
      </c>
      <c r="B118" t="s">
        <v>51</v>
      </c>
      <c r="C118" t="s">
        <v>51</v>
      </c>
      <c r="D118" t="s">
        <v>58</v>
      </c>
      <c r="F118" s="1">
        <v>42452</v>
      </c>
      <c r="G118" s="2">
        <v>96.6</v>
      </c>
      <c r="H118" s="2"/>
      <c r="I118" s="2">
        <f t="array" ref="I118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118" s="2"/>
      <c r="K118" s="2"/>
      <c r="L118" s="2">
        <v>813.4</v>
      </c>
      <c r="M118" s="2">
        <f t="array" ref="M118">_xlfn.IFNA(IF(vp.data[[#This Row],[Dens Input]]="",INDEX([1]DATA!$O$3:$O$9826,MATCH(1,(vp.data[[#This Row],[Battery]]=[1]DATA!$L$3:$L$9826)*(EOMONTH(vp.data[[#This Row],[SDate]],-1)+1=[1]DATA!$G$3:$G$9826),0)),vp.data[[#This Row],[Dens Input]]),"")</f>
        <v>813.4</v>
      </c>
      <c r="N118" s="2">
        <f ca="1">INDEX(INDIRECT(_xlfn.CONCAT("weather.tbl[",N$1,"]")),MATCH(vp.data[[#This Row],[SDate]],weather.tbl[Date],0))</f>
        <v>-5.9000000000000012</v>
      </c>
      <c r="O118" s="2">
        <f ca="1">INDEX(INDIRECT(_xlfn.CONCAT("weather.tbl[",O$1,"]")),MATCH(vp.data[[#This Row],[SDate]],weather.tbl[Date],0))</f>
        <v>-3.1238095238095238</v>
      </c>
      <c r="P118" s="2">
        <f ca="1">INDEX(INDIRECT(_xlfn.CONCAT("weather.tbl[",P$1,"]")),MATCH(vp.data[[#This Row],[SDate]],weather.tbl[Date],0))</f>
        <v>-2.2999999999999998</v>
      </c>
      <c r="Q118" s="2">
        <f ca="1">INDEX(INDIRECT(_xlfn.CONCAT("weather.tbl[",Q$1,"]")),MATCH(vp.data[[#This Row],[SDate]],weather.tbl[Date],0))</f>
        <v>-5.4</v>
      </c>
      <c r="R118" s="2">
        <f ca="1">INDEX(INDIRECT(_xlfn.CONCAT("weather.tbl[",R$1,"]")),MATCH(vp.data[[#This Row],[SDate]],weather.tbl[Date],0))</f>
        <v>-5.3</v>
      </c>
      <c r="S118" s="2">
        <f ca="1">INDEX(INDIRECT(_xlfn.CONCAT("weather.tbl[",S$1,"]")),MATCH(vp.data[[#This Row],[SDate]],weather.tbl[Date],0))</f>
        <v>-3.3</v>
      </c>
      <c r="T118" s="2">
        <f ca="1">INDEX(INDIRECT(_xlfn.CONCAT("weather.tbl[",T$1,"]")),MATCH(vp.data[[#This Row],[SDate]],weather.tbl[Date],0))</f>
        <v>-9.3000000000000007</v>
      </c>
      <c r="U118" s="2">
        <f ca="1">INDEX(INDIRECT(_xlfn.CONCAT("weather.tbl[",U$1,"]")),MATCH(vp.data[[#This Row],[SDate]],weather.tbl[Date],0))</f>
        <v>-9.8000000000000007</v>
      </c>
      <c r="V118" s="2">
        <f t="array" ref="V1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6831.9229999999998</v>
      </c>
      <c r="W118" t="s">
        <v>48</v>
      </c>
      <c r="X118">
        <f>IF(OR(vp.data[[#This Row],[Sulf]]="",vp.data[[#This Row],[Dens]]=""),1,0)</f>
        <v>0</v>
      </c>
      <c r="Y118">
        <f>IF(vp.data[[#This Row],[CrudeType]]="C5+",1,0)</f>
        <v>0</v>
      </c>
      <c r="Z118">
        <f>IF(AND(vp.data[[#This Row],[CrudeType]]="Crude",vp.data[[#This Row],[Dens]]&lt;=825,vp.data[[#This Row],[Sulf]]&gt;0.5,vp.data[[#This Row],[Unknown]]=0),1,0)</f>
        <v>1</v>
      </c>
      <c r="AA118">
        <f>IF(AND(vp.data[[#This Row],[CrudeType]]="Crude",vp.data[[#This Row],[Dens]]&lt;=825,vp.data[[#This Row],[Sulf]]&lt;=0.5,vp.data[[#This Row],[Unknown]]=0),1,0)</f>
        <v>0</v>
      </c>
      <c r="AB1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">
        <f>IF(AND(vp.data[[#This Row],[CrudeType]]="Crude",vp.data[[#This Row],[Dens]]&gt;825,vp.data[[#This Row],[Dens]]&lt;=900,vp.data[[#This Row],[Sulf]]&lt;=0.5,vp.data[[#This Row],[Unknown]]=0),1,0)</f>
        <v>0</v>
      </c>
      <c r="AD118">
        <f>IF(AND(vp.data[[#This Row],[CrudeType]]="Crude",vp.data[[#This Row],[Dens]]&gt;865,vp.data[[#This Row],[Dens]]&lt;=900,vp.data[[#This Row],[Sulf]]&gt;2,vp.data[[#This Row],[Unknown]]=0),1,0)</f>
        <v>0</v>
      </c>
      <c r="AE118">
        <f>IF(AND(vp.data[[#This Row],[CrudeType]]="Crude",vp.data[[#This Row],[Dens]]&gt;900,vp.data[[#This Row],[Sulf]]&lt;=0.5,vp.data[[#This Row],[Unknown]]=0),1,0)</f>
        <v>0</v>
      </c>
      <c r="AF118">
        <f>IF(AND(vp.data[[#This Row],[CrudeType]]="Crude",vp.data[[#This Row],[Dens]]&gt;900,vp.data[[#This Row],[Sulf]]&lt;=0.5,vp.data[[#This Row],[Unknown]]=0),1,0)</f>
        <v>0</v>
      </c>
      <c r="AG118" t="str">
        <f>INDEX(vp.data[[#Headers],[Unknown]:[Heavy_SW]],MATCH(1,vp.data[[#This Row],[Unknown]:[Heavy_SW]],0))</f>
        <v>Light_LSB</v>
      </c>
      <c r="AH118">
        <f>INDEX([3]!crudeBD.lkup[Number],MATCH(vp.data[[#This Row],[Crude_Breakdown]],crudeBD.lkup[Crude Breakdown],0))</f>
        <v>1</v>
      </c>
      <c r="AI118">
        <f>MONTH(vp.data[[#This Row],[SDate]])</f>
        <v>3</v>
      </c>
      <c r="AJ118" s="5">
        <f>(vp.data[[#This Row],[VP]]-INDEX(crudeBD.lkup[Mean_VP],MATCH(vp.data[[#This Row],[Crude_Breakdown]],crudeBD.lkup[Crude Breakdown],0)))^2</f>
        <v>25.541040323094538</v>
      </c>
      <c r="AK118" s="5">
        <f>(vp.data[[#This Row],[Dens]]-INDEX(crudeBD.lkup[Mean_Dens],MATCH(vp.data[[#This Row],[Crude_Breakdown]],crudeBD.lkup[Crude Breakdown],0)))^2</f>
        <v>26.181332771220788</v>
      </c>
      <c r="AL118" s="5">
        <f>(vp.data[[#This Row],[Sulf]]-INDEX(crudeBD.lkup[Mean_Sulf],MATCH(vp.data[[#This Row],[Crude_Breakdown]],crudeBD.lkup[Crude Breakdown],0)))^2</f>
        <v>8.822612681064361E-2</v>
      </c>
      <c r="AM118" s="4">
        <f>IF(AND(vp.data[[#This Row],[SDate]]&gt;=DATE(YEAR(vp.data[[#This Row],[SDate]]),5,1),vp.data[[#This Row],[SDate]]&lt;=DATE(YEAR(vp.data[[#This Row],[SDate]]),9,15)),1,0)</f>
        <v>0</v>
      </c>
      <c r="AN118" s="4">
        <f>IF(vp.data[[#This Row],[SDate]]&lt;DATE(2016,12,1),0,1)</f>
        <v>0</v>
      </c>
      <c r="AO118" s="4">
        <f>IFERROR(vp.data[[#This Row],[Sulf]]*vp.data[[#This Row],[Net Dens]],"")</f>
        <v>6779645.1252039988</v>
      </c>
      <c r="AP118">
        <f>IFERROR(vp.data[[#This Row],[Dens]]*vp.data[[#This Row],[VolumeM3]],"")</f>
        <v>5557086.1681999993</v>
      </c>
      <c r="AQ118" s="15">
        <f>IFERROR(vp.data[[#This Row],[VP]]*vp.data[[#This Row],[VolumeM3]],"")</f>
        <v>659963.76179999998</v>
      </c>
    </row>
    <row r="119" spans="1:43" x14ac:dyDescent="0.25">
      <c r="A119">
        <v>118</v>
      </c>
      <c r="B119" t="s">
        <v>49</v>
      </c>
      <c r="C119" t="s">
        <v>49</v>
      </c>
      <c r="D119" t="s">
        <v>82</v>
      </c>
      <c r="F119" s="1">
        <v>42453</v>
      </c>
      <c r="G119" s="2">
        <v>90.6</v>
      </c>
      <c r="H119" s="2"/>
      <c r="I119" s="2">
        <f t="array" ref="I119">_xlfn.IFNA(IF(vp.data[[#This Row],[Sulf Input]]="",INDEX([1]DATA!$Q$3:$Q$9826,MATCH(1,(vp.data[[#This Row],[Battery]]=[1]DATA!$L$3:$L$9826)*(EOMONTH(vp.data[[#This Row],[SDate]],-1)+1=[1]DATA!$G$3:$G$9826),0)),vp.data[[#This Row],[Sulf Input]]),"")</f>
        <v>2.2799999999999998</v>
      </c>
      <c r="J119" s="2"/>
      <c r="K119" s="2"/>
      <c r="L119" s="2">
        <v>868.8</v>
      </c>
      <c r="M119" s="2">
        <f t="array" ref="M119">_xlfn.IFNA(IF(vp.data[[#This Row],[Dens Input]]="",INDEX([1]DATA!$O$3:$O$9826,MATCH(1,(vp.data[[#This Row],[Battery]]=[1]DATA!$L$3:$L$9826)*(EOMONTH(vp.data[[#This Row],[SDate]],-1)+1=[1]DATA!$G$3:$G$9826),0)),vp.data[[#This Row],[Dens Input]]),"")</f>
        <v>868.8</v>
      </c>
      <c r="N119" s="2">
        <f ca="1">INDEX(INDIRECT(_xlfn.CONCAT("weather.tbl[",N$1,"]")),MATCH(vp.data[[#This Row],[SDate]],weather.tbl[Date],0))</f>
        <v>2</v>
      </c>
      <c r="O119" s="2">
        <f ca="1">INDEX(INDIRECT(_xlfn.CONCAT("weather.tbl[",O$1,"]")),MATCH(vp.data[[#This Row],[SDate]],weather.tbl[Date],0))</f>
        <v>-2.2214285714285715</v>
      </c>
      <c r="P119" s="2">
        <f ca="1">INDEX(INDIRECT(_xlfn.CONCAT("weather.tbl[",P$1,"]")),MATCH(vp.data[[#This Row],[SDate]],weather.tbl[Date],0))</f>
        <v>3.1</v>
      </c>
      <c r="Q119" s="2">
        <f ca="1">INDEX(INDIRECT(_xlfn.CONCAT("weather.tbl[",Q$1,"]")),MATCH(vp.data[[#This Row],[SDate]],weather.tbl[Date],0))</f>
        <v>2.6</v>
      </c>
      <c r="R119" s="2">
        <f ca="1">INDEX(INDIRECT(_xlfn.CONCAT("weather.tbl[",R$1,"]")),MATCH(vp.data[[#This Row],[SDate]],weather.tbl[Date],0))</f>
        <v>1</v>
      </c>
      <c r="S119" s="2">
        <f ca="1">INDEX(INDIRECT(_xlfn.CONCAT("weather.tbl[",S$1,"]")),MATCH(vp.data[[#This Row],[SDate]],weather.tbl[Date],0))</f>
        <v>2.2999999999999998</v>
      </c>
      <c r="T119" s="2">
        <f ca="1">INDEX(INDIRECT(_xlfn.CONCAT("weather.tbl[",T$1,"]")),MATCH(vp.data[[#This Row],[SDate]],weather.tbl[Date],0))</f>
        <v>3</v>
      </c>
      <c r="U119" s="2">
        <f ca="1">INDEX(INDIRECT(_xlfn.CONCAT("weather.tbl[",U$1,"]")),MATCH(vp.data[[#This Row],[SDate]],weather.tbl[Date],0))</f>
        <v>0</v>
      </c>
      <c r="V119" s="2">
        <f t="array" ref="V1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1596.855</v>
      </c>
      <c r="W119" t="s">
        <v>48</v>
      </c>
      <c r="X119">
        <f>IF(OR(vp.data[[#This Row],[Sulf]]="",vp.data[[#This Row],[Dens]]=""),1,0)</f>
        <v>0</v>
      </c>
      <c r="Y119">
        <f>IF(vp.data[[#This Row],[CrudeType]]="C5+",1,0)</f>
        <v>0</v>
      </c>
      <c r="Z119">
        <f>IF(AND(vp.data[[#This Row],[CrudeType]]="Crude",vp.data[[#This Row],[Dens]]&lt;=825,vp.data[[#This Row],[Sulf]]&gt;0.5,vp.data[[#This Row],[Unknown]]=0),1,0)</f>
        <v>0</v>
      </c>
      <c r="AA119">
        <f>IF(AND(vp.data[[#This Row],[CrudeType]]="Crude",vp.data[[#This Row],[Dens]]&lt;=825,vp.data[[#This Row],[Sulf]]&lt;=0.5,vp.data[[#This Row],[Unknown]]=0),1,0)</f>
        <v>0</v>
      </c>
      <c r="AB1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">
        <f>IF(AND(vp.data[[#This Row],[CrudeType]]="Crude",vp.data[[#This Row],[Dens]]&gt;825,vp.data[[#This Row],[Dens]]&lt;=900,vp.data[[#This Row],[Sulf]]&lt;=0.5,vp.data[[#This Row],[Unknown]]=0),1,0)</f>
        <v>0</v>
      </c>
      <c r="AD119">
        <f>IF(AND(vp.data[[#This Row],[CrudeType]]="Crude",vp.data[[#This Row],[Dens]]&gt;865,vp.data[[#This Row],[Dens]]&lt;=900,vp.data[[#This Row],[Sulf]]&gt;2,vp.data[[#This Row],[Unknown]]=0),1,0)</f>
        <v>1</v>
      </c>
      <c r="AE119">
        <f>IF(AND(vp.data[[#This Row],[CrudeType]]="Crude",vp.data[[#This Row],[Dens]]&gt;900,vp.data[[#This Row],[Sulf]]&lt;=0.5,vp.data[[#This Row],[Unknown]]=0),1,0)</f>
        <v>0</v>
      </c>
      <c r="AF119">
        <f>IF(AND(vp.data[[#This Row],[CrudeType]]="Crude",vp.data[[#This Row],[Dens]]&gt;900,vp.data[[#This Row],[Sulf]]&lt;=0.5,vp.data[[#This Row],[Unknown]]=0),1,0)</f>
        <v>0</v>
      </c>
      <c r="AG119" t="str">
        <f>INDEX(vp.data[[#Headers],[Unknown]:[Heavy_SW]],MATCH(1,vp.data[[#This Row],[Unknown]:[Heavy_SW]],0))</f>
        <v>Midale</v>
      </c>
      <c r="AH119">
        <f>INDEX([3]!crudeBD.lkup[Number],MATCH(vp.data[[#This Row],[Crude_Breakdown]],crudeBD.lkup[Crude Breakdown],0))</f>
        <v>5</v>
      </c>
      <c r="AI119">
        <f>MONTH(vp.data[[#This Row],[SDate]])</f>
        <v>3</v>
      </c>
      <c r="AJ119" s="5">
        <f>(vp.data[[#This Row],[VP]]-INDEX(crudeBD.lkup[Mean_VP],MATCH(vp.data[[#This Row],[Crude_Breakdown]],crudeBD.lkup[Crude Breakdown],0)))^2</f>
        <v>449.06853039642738</v>
      </c>
      <c r="AK119" s="5">
        <f>(vp.data[[#This Row],[Dens]]-INDEX(crudeBD.lkup[Mean_Dens],MATCH(vp.data[[#This Row],[Crude_Breakdown]],crudeBD.lkup[Crude Breakdown],0)))^2</f>
        <v>36.204413061966193</v>
      </c>
      <c r="AL119" s="5">
        <f>(vp.data[[#This Row],[Sulf]]-INDEX(crudeBD.lkup[Mean_Sulf],MATCH(vp.data[[#This Row],[Crude_Breakdown]],crudeBD.lkup[Crude Breakdown],0)))^2</f>
        <v>2.6770053768104624E-2</v>
      </c>
      <c r="AM119" s="4">
        <f>IF(AND(vp.data[[#This Row],[SDate]]&gt;=DATE(YEAR(vp.data[[#This Row],[SDate]]),5,1),vp.data[[#This Row],[SDate]]&lt;=DATE(YEAR(vp.data[[#This Row],[SDate]]),9,15)),1,0)</f>
        <v>0</v>
      </c>
      <c r="AN119" s="4">
        <f>IF(vp.data[[#This Row],[SDate]]&lt;DATE(2016,12,1),0,1)</f>
        <v>0</v>
      </c>
      <c r="AO119" s="4">
        <f>IFERROR(vp.data[[#This Row],[Sulf]]*vp.data[[#This Row],[Net Dens]],"")</f>
        <v>3163152.5827199994</v>
      </c>
      <c r="AP119">
        <f>IFERROR(vp.data[[#This Row],[Dens]]*vp.data[[#This Row],[VolumeM3]],"")</f>
        <v>1387347.6239999998</v>
      </c>
      <c r="AQ119" s="15">
        <f>IFERROR(vp.data[[#This Row],[VP]]*vp.data[[#This Row],[VolumeM3]],"")</f>
        <v>144675.06299999999</v>
      </c>
    </row>
    <row r="120" spans="1:43" x14ac:dyDescent="0.25">
      <c r="A120">
        <v>119</v>
      </c>
      <c r="B120" t="s">
        <v>51</v>
      </c>
      <c r="C120" t="s">
        <v>51</v>
      </c>
      <c r="D120" t="s">
        <v>66</v>
      </c>
      <c r="F120" s="1">
        <v>42458</v>
      </c>
      <c r="G120" s="2">
        <v>84.4</v>
      </c>
      <c r="H120" s="2"/>
      <c r="I120" s="2">
        <f t="array" ref="I120">_xlfn.IFNA(IF(vp.data[[#This Row],[Sulf Input]]="",INDEX([1]DATA!$Q$3:$Q$9826,MATCH(1,(vp.data[[#This Row],[Battery]]=[1]DATA!$L$3:$L$9826)*(EOMONTH(vp.data[[#This Row],[SDate]],-1)+1=[1]DATA!$G$3:$G$9826),0)),vp.data[[#This Row],[Sulf Input]]),"")</f>
        <v>0.91</v>
      </c>
      <c r="J120" s="2"/>
      <c r="K120" s="2"/>
      <c r="L120" s="2">
        <v>827.5</v>
      </c>
      <c r="M120" s="2">
        <f t="array" ref="M120">_xlfn.IFNA(IF(vp.data[[#This Row],[Dens Input]]="",INDEX([1]DATA!$O$3:$O$9826,MATCH(1,(vp.data[[#This Row],[Battery]]=[1]DATA!$L$3:$L$9826)*(EOMONTH(vp.data[[#This Row],[SDate]],-1)+1=[1]DATA!$G$3:$G$9826),0)),vp.data[[#This Row],[Dens Input]]),"")</f>
        <v>827.5</v>
      </c>
      <c r="N120" s="2">
        <f ca="1">INDEX(INDIRECT(_xlfn.CONCAT("weather.tbl[",N$1,"]")),MATCH(vp.data[[#This Row],[SDate]],weather.tbl[Date],0))</f>
        <v>5.05</v>
      </c>
      <c r="O120" s="2">
        <f ca="1">INDEX(INDIRECT(_xlfn.CONCAT("weather.tbl[",O$1,"]")),MATCH(vp.data[[#This Row],[SDate]],weather.tbl[Date],0))</f>
        <v>0.52857142857142825</v>
      </c>
      <c r="P120" s="2">
        <f ca="1">INDEX(INDIRECT(_xlfn.CONCAT("weather.tbl[",P$1,"]")),MATCH(vp.data[[#This Row],[SDate]],weather.tbl[Date],0))</f>
        <v>4.5999999999999996</v>
      </c>
      <c r="Q120" s="2">
        <f ca="1">INDEX(INDIRECT(_xlfn.CONCAT("weather.tbl[",Q$1,"]")),MATCH(vp.data[[#This Row],[SDate]],weather.tbl[Date],0))</f>
        <v>5.9</v>
      </c>
      <c r="R120" s="2">
        <f ca="1">INDEX(INDIRECT(_xlfn.CONCAT("weather.tbl[",R$1,"]")),MATCH(vp.data[[#This Row],[SDate]],weather.tbl[Date],0))</f>
        <v>4</v>
      </c>
      <c r="S120" s="2">
        <f ca="1">INDEX(INDIRECT(_xlfn.CONCAT("weather.tbl[",S$1,"]")),MATCH(vp.data[[#This Row],[SDate]],weather.tbl[Date],0))</f>
        <v>6.5</v>
      </c>
      <c r="T120" s="2">
        <f ca="1">INDEX(INDIRECT(_xlfn.CONCAT("weather.tbl[",T$1,"]")),MATCH(vp.data[[#This Row],[SDate]],weather.tbl[Date],0))</f>
        <v>4.3</v>
      </c>
      <c r="U120" s="2">
        <f ca="1">INDEX(INDIRECT(_xlfn.CONCAT("weather.tbl[",U$1,"]")),MATCH(vp.data[[#This Row],[SDate]],weather.tbl[Date],0))</f>
        <v>5</v>
      </c>
      <c r="V120" s="2">
        <f t="array" ref="V1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4604.1419999999998</v>
      </c>
      <c r="W120" t="s">
        <v>48</v>
      </c>
      <c r="X120">
        <f>IF(OR(vp.data[[#This Row],[Sulf]]="",vp.data[[#This Row],[Dens]]=""),1,0)</f>
        <v>0</v>
      </c>
      <c r="Y120">
        <f>IF(vp.data[[#This Row],[CrudeType]]="C5+",1,0)</f>
        <v>0</v>
      </c>
      <c r="Z120">
        <f>IF(AND(vp.data[[#This Row],[CrudeType]]="Crude",vp.data[[#This Row],[Dens]]&lt;=825,vp.data[[#This Row],[Sulf]]&gt;0.5,vp.data[[#This Row],[Unknown]]=0),1,0)</f>
        <v>0</v>
      </c>
      <c r="AA120">
        <f>IF(AND(vp.data[[#This Row],[CrudeType]]="Crude",vp.data[[#This Row],[Dens]]&lt;=825,vp.data[[#This Row],[Sulf]]&lt;=0.5,vp.data[[#This Row],[Unknown]]=0),1,0)</f>
        <v>0</v>
      </c>
      <c r="AB1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0">
        <f>IF(AND(vp.data[[#This Row],[CrudeType]]="Crude",vp.data[[#This Row],[Dens]]&gt;825,vp.data[[#This Row],[Dens]]&lt;=900,vp.data[[#This Row],[Sulf]]&lt;=0.5,vp.data[[#This Row],[Unknown]]=0),1,0)</f>
        <v>0</v>
      </c>
      <c r="AD120">
        <f>IF(AND(vp.data[[#This Row],[CrudeType]]="Crude",vp.data[[#This Row],[Dens]]&gt;865,vp.data[[#This Row],[Dens]]&lt;=900,vp.data[[#This Row],[Sulf]]&gt;2,vp.data[[#This Row],[Unknown]]=0),1,0)</f>
        <v>0</v>
      </c>
      <c r="AE120">
        <f>IF(AND(vp.data[[#This Row],[CrudeType]]="Crude",vp.data[[#This Row],[Dens]]&gt;900,vp.data[[#This Row],[Sulf]]&lt;=0.5,vp.data[[#This Row],[Unknown]]=0),1,0)</f>
        <v>0</v>
      </c>
      <c r="AF120">
        <f>IF(AND(vp.data[[#This Row],[CrudeType]]="Crude",vp.data[[#This Row],[Dens]]&gt;900,vp.data[[#This Row],[Sulf]]&lt;=0.5,vp.data[[#This Row],[Unknown]]=0),1,0)</f>
        <v>0</v>
      </c>
      <c r="AG120" t="str">
        <f>INDEX(vp.data[[#Headers],[Unknown]:[Heavy_SW]],MATCH(1,vp.data[[#This Row],[Unknown]:[Heavy_SW]],0))</f>
        <v>Medium_LSB</v>
      </c>
      <c r="AH120">
        <f>INDEX([3]!crudeBD.lkup[Number],MATCH(vp.data[[#This Row],[Crude_Breakdown]],crudeBD.lkup[Crude Breakdown],0))</f>
        <v>3</v>
      </c>
      <c r="AI120">
        <f>MONTH(vp.data[[#This Row],[SDate]])</f>
        <v>3</v>
      </c>
      <c r="AJ120" s="5">
        <f>(vp.data[[#This Row],[VP]]-INDEX(crudeBD.lkup[Mean_VP],MATCH(vp.data[[#This Row],[Crude_Breakdown]],crudeBD.lkup[Crude Breakdown],0)))^2</f>
        <v>14.140032449634047</v>
      </c>
      <c r="AK120" s="5">
        <f>(vp.data[[#This Row],[Dens]]-INDEX(crudeBD.lkup[Mean_Dens],MATCH(vp.data[[#This Row],[Crude_Breakdown]],crudeBD.lkup[Crude Breakdown],0)))^2</f>
        <v>269.61639999998374</v>
      </c>
      <c r="AL120" s="5">
        <f>(vp.data[[#This Row],[Sulf]]-INDEX(crudeBD.lkup[Mean_Sulf],MATCH(vp.data[[#This Row],[Crude_Breakdown]],crudeBD.lkup[Crude Breakdown],0)))^2</f>
        <v>0.22601288691779645</v>
      </c>
      <c r="AM120" s="4">
        <f>IF(AND(vp.data[[#This Row],[SDate]]&gt;=DATE(YEAR(vp.data[[#This Row],[SDate]]),5,1),vp.data[[#This Row],[SDate]]&lt;=DATE(YEAR(vp.data[[#This Row],[SDate]]),9,15)),1,0)</f>
        <v>0</v>
      </c>
      <c r="AN120" s="4">
        <f>IF(vp.data[[#This Row],[SDate]]&lt;DATE(2016,12,1),0,1)</f>
        <v>0</v>
      </c>
      <c r="AO120" s="4">
        <f>IFERROR(vp.data[[#This Row],[Sulf]]*vp.data[[#This Row],[Net Dens]],"")</f>
        <v>3467034.0295500001</v>
      </c>
      <c r="AP120">
        <f>IFERROR(vp.data[[#This Row],[Dens]]*vp.data[[#This Row],[VolumeM3]],"")</f>
        <v>3809927.5049999999</v>
      </c>
      <c r="AQ120" s="15">
        <f>IFERROR(vp.data[[#This Row],[VP]]*vp.data[[#This Row],[VolumeM3]],"")</f>
        <v>388589.58480000001</v>
      </c>
    </row>
    <row r="121" spans="1:43" x14ac:dyDescent="0.25">
      <c r="A121">
        <v>120</v>
      </c>
      <c r="B121" t="s">
        <v>60</v>
      </c>
      <c r="C121" t="s">
        <v>60</v>
      </c>
      <c r="D121" t="s">
        <v>61</v>
      </c>
      <c r="E121" t="s">
        <v>73</v>
      </c>
      <c r="F121" s="1">
        <v>42461</v>
      </c>
      <c r="G121" s="2">
        <v>68.900000000000006</v>
      </c>
      <c r="H121" s="2"/>
      <c r="I121" s="2">
        <f t="array" ref="I121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21" s="2"/>
      <c r="K121" s="2"/>
      <c r="L121" s="2"/>
      <c r="M121" s="2">
        <f t="array" ref="M121">_xlfn.IFNA(IF(vp.data[[#This Row],[Dens Input]]="",INDEX([1]DATA!$O$3:$O$9826,MATCH(1,(vp.data[[#This Row],[Battery]]=[1]DATA!$L$3:$L$9826)*(EOMONTH(vp.data[[#This Row],[SDate]],-1)+1=[1]DATA!$G$3:$G$9826),0)),vp.data[[#This Row],[Dens Input]]),"")</f>
        <v>822.6</v>
      </c>
      <c r="N121" s="2">
        <f ca="1">INDEX(INDIRECT(_xlfn.CONCAT("weather.tbl[",N$1,"]")),MATCH(vp.data[[#This Row],[SDate]],weather.tbl[Date],0))</f>
        <v>0.46666666666666662</v>
      </c>
      <c r="O121" s="2">
        <f ca="1">INDEX(INDIRECT(_xlfn.CONCAT("weather.tbl[",O$1,"]")),MATCH(vp.data[[#This Row],[SDate]],weather.tbl[Date],0))</f>
        <v>2.1190476190476191</v>
      </c>
      <c r="P121" s="2">
        <f ca="1">INDEX(INDIRECT(_xlfn.CONCAT("weather.tbl[",P$1,"]")),MATCH(vp.data[[#This Row],[SDate]],weather.tbl[Date],0))</f>
        <v>0.7</v>
      </c>
      <c r="Q121" s="2">
        <f ca="1">INDEX(INDIRECT(_xlfn.CONCAT("weather.tbl[",Q$1,"]")),MATCH(vp.data[[#This Row],[SDate]],weather.tbl[Date],0))</f>
        <v>0.8</v>
      </c>
      <c r="R121" s="2">
        <f ca="1">INDEX(INDIRECT(_xlfn.CONCAT("weather.tbl[",R$1,"]")),MATCH(vp.data[[#This Row],[SDate]],weather.tbl[Date],0))</f>
        <v>0.3</v>
      </c>
      <c r="S121" s="2">
        <f ca="1">INDEX(INDIRECT(_xlfn.CONCAT("weather.tbl[",S$1,"]")),MATCH(vp.data[[#This Row],[SDate]],weather.tbl[Date],0))</f>
        <v>2</v>
      </c>
      <c r="T121" s="2">
        <f ca="1">INDEX(INDIRECT(_xlfn.CONCAT("weather.tbl[",T$1,"]")),MATCH(vp.data[[#This Row],[SDate]],weather.tbl[Date],0))</f>
        <v>-0.2</v>
      </c>
      <c r="U121" s="2">
        <f ca="1">INDEX(INDIRECT(_xlfn.CONCAT("weather.tbl[",U$1,"]")),MATCH(vp.data[[#This Row],[SDate]],weather.tbl[Date],0))</f>
        <v>-0.8</v>
      </c>
      <c r="V121" s="2">
        <f t="array" ref="V1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104990.086</v>
      </c>
      <c r="W121" t="s">
        <v>48</v>
      </c>
      <c r="X121">
        <f>IF(OR(vp.data[[#This Row],[Sulf]]="",vp.data[[#This Row],[Dens]]=""),1,0)</f>
        <v>0</v>
      </c>
      <c r="Y121">
        <f>IF(vp.data[[#This Row],[CrudeType]]="C5+",1,0)</f>
        <v>0</v>
      </c>
      <c r="Z121">
        <f>IF(AND(vp.data[[#This Row],[CrudeType]]="Crude",vp.data[[#This Row],[Dens]]&lt;=825,vp.data[[#This Row],[Sulf]]&gt;0.5,vp.data[[#This Row],[Unknown]]=0),1,0)</f>
        <v>1</v>
      </c>
      <c r="AA121">
        <f>IF(AND(vp.data[[#This Row],[CrudeType]]="Crude",vp.data[[#This Row],[Dens]]&lt;=825,vp.data[[#This Row],[Sulf]]&lt;=0.5,vp.data[[#This Row],[Unknown]]=0),1,0)</f>
        <v>0</v>
      </c>
      <c r="AB1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1">
        <f>IF(AND(vp.data[[#This Row],[CrudeType]]="Crude",vp.data[[#This Row],[Dens]]&gt;825,vp.data[[#This Row],[Dens]]&lt;=900,vp.data[[#This Row],[Sulf]]&lt;=0.5,vp.data[[#This Row],[Unknown]]=0),1,0)</f>
        <v>0</v>
      </c>
      <c r="AD121">
        <f>IF(AND(vp.data[[#This Row],[CrudeType]]="Crude",vp.data[[#This Row],[Dens]]&gt;865,vp.data[[#This Row],[Dens]]&lt;=900,vp.data[[#This Row],[Sulf]]&gt;2,vp.data[[#This Row],[Unknown]]=0),1,0)</f>
        <v>0</v>
      </c>
      <c r="AE121">
        <f>IF(AND(vp.data[[#This Row],[CrudeType]]="Crude",vp.data[[#This Row],[Dens]]&gt;900,vp.data[[#This Row],[Sulf]]&lt;=0.5,vp.data[[#This Row],[Unknown]]=0),1,0)</f>
        <v>0</v>
      </c>
      <c r="AF121">
        <f>IF(AND(vp.data[[#This Row],[CrudeType]]="Crude",vp.data[[#This Row],[Dens]]&gt;900,vp.data[[#This Row],[Sulf]]&lt;=0.5,vp.data[[#This Row],[Unknown]]=0),1,0)</f>
        <v>0</v>
      </c>
      <c r="AG121" t="str">
        <f>INDEX(vp.data[[#Headers],[Unknown]:[Heavy_SW]],MATCH(1,vp.data[[#This Row],[Unknown]:[Heavy_SW]],0))</f>
        <v>Light_LSB</v>
      </c>
      <c r="AH121">
        <f>INDEX([3]!crudeBD.lkup[Number],MATCH(vp.data[[#This Row],[Crude_Breakdown]],crudeBD.lkup[Crude Breakdown],0))</f>
        <v>1</v>
      </c>
      <c r="AI121">
        <f>MONTH(vp.data[[#This Row],[SDate]])</f>
        <v>4</v>
      </c>
      <c r="AJ121" s="5">
        <f>(vp.data[[#This Row],[VP]]-INDEX(crudeBD.lkup[Mean_VP],MATCH(vp.data[[#This Row],[Crude_Breakdown]],crudeBD.lkup[Crude Breakdown],0)))^2</f>
        <v>512.84972073546714</v>
      </c>
      <c r="AK121" s="5">
        <f>(vp.data[[#This Row],[Dens]]-INDEX(crudeBD.lkup[Mean_Dens],MATCH(vp.data[[#This Row],[Crude_Breakdown]],crudeBD.lkup[Crude Breakdown],0)))^2</f>
        <v>16.67276919734336</v>
      </c>
      <c r="AL121" s="5">
        <f>(vp.data[[#This Row],[Sulf]]-INDEX(crudeBD.lkup[Mean_Sulf],MATCH(vp.data[[#This Row],[Crude_Breakdown]],crudeBD.lkup[Crude Breakdown],0)))^2</f>
        <v>5.1542090384526708E-2</v>
      </c>
      <c r="AM121" s="4">
        <f>IF(AND(vp.data[[#This Row],[SDate]]&gt;=DATE(YEAR(vp.data[[#This Row],[SDate]]),5,1),vp.data[[#This Row],[SDate]]&lt;=DATE(YEAR(vp.data[[#This Row],[SDate]]),9,15)),1,0)</f>
        <v>0</v>
      </c>
      <c r="AN121" s="4">
        <f>IF(vp.data[[#This Row],[SDate]]&lt;DATE(2016,12,1),0,1)</f>
        <v>0</v>
      </c>
      <c r="AO121" s="4">
        <f>IFERROR(vp.data[[#This Row],[Sulf]]*vp.data[[#This Row],[Net Dens]],"")</f>
        <v>99319571.455139995</v>
      </c>
      <c r="AP121">
        <f>IFERROR(vp.data[[#This Row],[Dens]]*vp.data[[#This Row],[VolumeM3]],"")</f>
        <v>86364844.743599996</v>
      </c>
      <c r="AQ121" s="15">
        <f>IFERROR(vp.data[[#This Row],[VP]]*vp.data[[#This Row],[VolumeM3]],"")</f>
        <v>7233816.9254000001</v>
      </c>
    </row>
    <row r="122" spans="1:43" x14ac:dyDescent="0.25">
      <c r="A122">
        <v>121</v>
      </c>
      <c r="B122" t="s">
        <v>60</v>
      </c>
      <c r="C122" t="s">
        <v>60</v>
      </c>
      <c r="D122" t="s">
        <v>61</v>
      </c>
      <c r="E122" t="s">
        <v>55</v>
      </c>
      <c r="F122" s="1">
        <v>42461</v>
      </c>
      <c r="G122" s="2">
        <v>86.9</v>
      </c>
      <c r="H122" s="2"/>
      <c r="I122" s="2">
        <f t="array" ref="I122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22" s="2"/>
      <c r="K122" s="2"/>
      <c r="L122" s="2">
        <v>833.3</v>
      </c>
      <c r="M122" s="2">
        <f t="array" ref="M122">_xlfn.IFNA(IF(vp.data[[#This Row],[Dens Input]]="",INDEX([1]DATA!$O$3:$O$9826,MATCH(1,(vp.data[[#This Row],[Battery]]=[1]DATA!$L$3:$L$9826)*(EOMONTH(vp.data[[#This Row],[SDate]],-1)+1=[1]DATA!$G$3:$G$9826),0)),vp.data[[#This Row],[Dens Input]]),"")</f>
        <v>833.3</v>
      </c>
      <c r="N122" s="2">
        <f ca="1">INDEX(INDIRECT(_xlfn.CONCAT("weather.tbl[",N$1,"]")),MATCH(vp.data[[#This Row],[SDate]],weather.tbl[Date],0))</f>
        <v>0.46666666666666662</v>
      </c>
      <c r="O122" s="2">
        <f ca="1">INDEX(INDIRECT(_xlfn.CONCAT("weather.tbl[",O$1,"]")),MATCH(vp.data[[#This Row],[SDate]],weather.tbl[Date],0))</f>
        <v>2.1190476190476191</v>
      </c>
      <c r="P122" s="2">
        <f ca="1">INDEX(INDIRECT(_xlfn.CONCAT("weather.tbl[",P$1,"]")),MATCH(vp.data[[#This Row],[SDate]],weather.tbl[Date],0))</f>
        <v>0.7</v>
      </c>
      <c r="Q122" s="2">
        <f ca="1">INDEX(INDIRECT(_xlfn.CONCAT("weather.tbl[",Q$1,"]")),MATCH(vp.data[[#This Row],[SDate]],weather.tbl[Date],0))</f>
        <v>0.8</v>
      </c>
      <c r="R122" s="2">
        <f ca="1">INDEX(INDIRECT(_xlfn.CONCAT("weather.tbl[",R$1,"]")),MATCH(vp.data[[#This Row],[SDate]],weather.tbl[Date],0))</f>
        <v>0.3</v>
      </c>
      <c r="S122" s="2">
        <f ca="1">INDEX(INDIRECT(_xlfn.CONCAT("weather.tbl[",S$1,"]")),MATCH(vp.data[[#This Row],[SDate]],weather.tbl[Date],0))</f>
        <v>2</v>
      </c>
      <c r="T122" s="2">
        <f ca="1">INDEX(INDIRECT(_xlfn.CONCAT("weather.tbl[",T$1,"]")),MATCH(vp.data[[#This Row],[SDate]],weather.tbl[Date],0))</f>
        <v>-0.2</v>
      </c>
      <c r="U122" s="2">
        <f ca="1">INDEX(INDIRECT(_xlfn.CONCAT("weather.tbl[",U$1,"]")),MATCH(vp.data[[#This Row],[SDate]],weather.tbl[Date],0))</f>
        <v>-0.8</v>
      </c>
      <c r="V122" s="2">
        <f t="array" ref="V1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104990.086</v>
      </c>
      <c r="W122" t="s">
        <v>48</v>
      </c>
      <c r="X122">
        <f>IF(OR(vp.data[[#This Row],[Sulf]]="",vp.data[[#This Row],[Dens]]=""),1,0)</f>
        <v>0</v>
      </c>
      <c r="Y122">
        <f>IF(vp.data[[#This Row],[CrudeType]]="C5+",1,0)</f>
        <v>0</v>
      </c>
      <c r="Z122">
        <f>IF(AND(vp.data[[#This Row],[CrudeType]]="Crude",vp.data[[#This Row],[Dens]]&lt;=825,vp.data[[#This Row],[Sulf]]&gt;0.5,vp.data[[#This Row],[Unknown]]=0),1,0)</f>
        <v>0</v>
      </c>
      <c r="AA122">
        <f>IF(AND(vp.data[[#This Row],[CrudeType]]="Crude",vp.data[[#This Row],[Dens]]&lt;=825,vp.data[[#This Row],[Sulf]]&lt;=0.5,vp.data[[#This Row],[Unknown]]=0),1,0)</f>
        <v>0</v>
      </c>
      <c r="AB1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">
        <f>IF(AND(vp.data[[#This Row],[CrudeType]]="Crude",vp.data[[#This Row],[Dens]]&gt;825,vp.data[[#This Row],[Dens]]&lt;=900,vp.data[[#This Row],[Sulf]]&lt;=0.5,vp.data[[#This Row],[Unknown]]=0),1,0)</f>
        <v>0</v>
      </c>
      <c r="AD122">
        <f>IF(AND(vp.data[[#This Row],[CrudeType]]="Crude",vp.data[[#This Row],[Dens]]&gt;865,vp.data[[#This Row],[Dens]]&lt;=900,vp.data[[#This Row],[Sulf]]&gt;2,vp.data[[#This Row],[Unknown]]=0),1,0)</f>
        <v>0</v>
      </c>
      <c r="AE122">
        <f>IF(AND(vp.data[[#This Row],[CrudeType]]="Crude",vp.data[[#This Row],[Dens]]&gt;900,vp.data[[#This Row],[Sulf]]&lt;=0.5,vp.data[[#This Row],[Unknown]]=0),1,0)</f>
        <v>0</v>
      </c>
      <c r="AF122">
        <f>IF(AND(vp.data[[#This Row],[CrudeType]]="Crude",vp.data[[#This Row],[Dens]]&gt;900,vp.data[[#This Row],[Sulf]]&lt;=0.5,vp.data[[#This Row],[Unknown]]=0),1,0)</f>
        <v>0</v>
      </c>
      <c r="AG122" t="str">
        <f>INDEX(vp.data[[#Headers],[Unknown]:[Heavy_SW]],MATCH(1,vp.data[[#This Row],[Unknown]:[Heavy_SW]],0))</f>
        <v>Medium_LSB</v>
      </c>
      <c r="AH122">
        <f>INDEX([3]!crudeBD.lkup[Number],MATCH(vp.data[[#This Row],[Crude_Breakdown]],crudeBD.lkup[Crude Breakdown],0))</f>
        <v>3</v>
      </c>
      <c r="AI122">
        <f>MONTH(vp.data[[#This Row],[SDate]])</f>
        <v>4</v>
      </c>
      <c r="AJ122" s="5">
        <f>(vp.data[[#This Row],[VP]]-INDEX(crudeBD.lkup[Mean_VP],MATCH(vp.data[[#This Row],[Crude_Breakdown]],crudeBD.lkup[Crude Breakdown],0)))^2</f>
        <v>39.19164970030829</v>
      </c>
      <c r="AK122" s="5">
        <f>(vp.data[[#This Row],[Dens]]-INDEX(crudeBD.lkup[Mean_Dens],MATCH(vp.data[[#This Row],[Crude_Breakdown]],crudeBD.lkup[Crude Breakdown],0)))^2</f>
        <v>112.78439999999044</v>
      </c>
      <c r="AL122" s="5">
        <f>(vp.data[[#This Row],[Sulf]]-INDEX(crudeBD.lkup[Mean_Sulf],MATCH(vp.data[[#This Row],[Crude_Breakdown]],crudeBD.lkup[Crude Breakdown],0)))^2</f>
        <v>5.5416986109170445E-2</v>
      </c>
      <c r="AM122" s="4">
        <f>IF(AND(vp.data[[#This Row],[SDate]]&gt;=DATE(YEAR(vp.data[[#This Row],[SDate]]),5,1),vp.data[[#This Row],[SDate]]&lt;=DATE(YEAR(vp.data[[#This Row],[SDate]]),9,15)),1,0)</f>
        <v>0</v>
      </c>
      <c r="AN122" s="4">
        <f>IF(vp.data[[#This Row],[SDate]]&lt;DATE(2016,12,1),0,1)</f>
        <v>0</v>
      </c>
      <c r="AO122" s="4">
        <f>IFERROR(vp.data[[#This Row],[Sulf]]*vp.data[[#This Row],[Net Dens]],"")</f>
        <v>100611474.46336998</v>
      </c>
      <c r="AP122">
        <f>IFERROR(vp.data[[#This Row],[Dens]]*vp.data[[#This Row],[VolumeM3]],"")</f>
        <v>87488238.663799986</v>
      </c>
      <c r="AQ122" s="15">
        <f>IFERROR(vp.data[[#This Row],[VP]]*vp.data[[#This Row],[VolumeM3]],"")</f>
        <v>9123638.4734000005</v>
      </c>
    </row>
    <row r="123" spans="1:43" x14ac:dyDescent="0.25">
      <c r="A123">
        <v>122</v>
      </c>
      <c r="B123" t="s">
        <v>62</v>
      </c>
      <c r="C123" t="s">
        <v>62</v>
      </c>
      <c r="D123" t="s">
        <v>63</v>
      </c>
      <c r="F123" s="1">
        <v>42468</v>
      </c>
      <c r="G123" s="2">
        <v>140</v>
      </c>
      <c r="H123" s="2"/>
      <c r="I123" s="2">
        <f t="array" ref="I123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3" s="2"/>
      <c r="K123" s="2"/>
      <c r="L123" s="2">
        <v>801.7</v>
      </c>
      <c r="M123" s="2">
        <f t="array" ref="M123">_xlfn.IFNA(IF(vp.data[[#This Row],[Dens Input]]="",INDEX([1]DATA!$O$3:$O$9826,MATCH(1,(vp.data[[#This Row],[Battery]]=[1]DATA!$L$3:$L$9826)*(EOMONTH(vp.data[[#This Row],[SDate]],-1)+1=[1]DATA!$G$3:$G$9826),0)),vp.data[[#This Row],[Dens Input]]),"")</f>
        <v>801.7</v>
      </c>
      <c r="N123" s="2">
        <f ca="1">INDEX(INDIRECT(_xlfn.CONCAT("weather.tbl[",N$1,"]")),MATCH(vp.data[[#This Row],[SDate]],weather.tbl[Date],0))</f>
        <v>-1.45</v>
      </c>
      <c r="O123" s="2">
        <f ca="1">INDEX(INDIRECT(_xlfn.CONCAT("weather.tbl[",O$1,"]")),MATCH(vp.data[[#This Row],[SDate]],weather.tbl[Date],0))</f>
        <v>2.3500000000000005</v>
      </c>
      <c r="P123" s="2">
        <f ca="1">INDEX(INDIRECT(_xlfn.CONCAT("weather.tbl[",P$1,"]")),MATCH(vp.data[[#This Row],[SDate]],weather.tbl[Date],0))</f>
        <v>-1.2</v>
      </c>
      <c r="Q123" s="2">
        <f ca="1">INDEX(INDIRECT(_xlfn.CONCAT("weather.tbl[",Q$1,"]")),MATCH(vp.data[[#This Row],[SDate]],weather.tbl[Date],0))</f>
        <v>-0.2</v>
      </c>
      <c r="R123" s="2">
        <f ca="1">INDEX(INDIRECT(_xlfn.CONCAT("weather.tbl[",R$1,"]")),MATCH(vp.data[[#This Row],[SDate]],weather.tbl[Date],0))</f>
        <v>-1.3</v>
      </c>
      <c r="S123" s="2">
        <f ca="1">INDEX(INDIRECT(_xlfn.CONCAT("weather.tbl[",S$1,"]")),MATCH(vp.data[[#This Row],[SDate]],weather.tbl[Date],0))</f>
        <v>0</v>
      </c>
      <c r="T123" s="2">
        <f ca="1">INDEX(INDIRECT(_xlfn.CONCAT("weather.tbl[",T$1,"]")),MATCH(vp.data[[#This Row],[SDate]],weather.tbl[Date],0))</f>
        <v>-3.5</v>
      </c>
      <c r="U123" s="2">
        <f ca="1">INDEX(INDIRECT(_xlfn.CONCAT("weather.tbl[",U$1,"]")),MATCH(vp.data[[#This Row],[SDate]],weather.tbl[Date],0))</f>
        <v>-2.5</v>
      </c>
      <c r="V123" s="2">
        <f t="array" ref="V1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3" t="s">
        <v>48</v>
      </c>
      <c r="X123">
        <f>IF(OR(vp.data[[#This Row],[Sulf]]="",vp.data[[#This Row],[Dens]]=""),1,0)</f>
        <v>0</v>
      </c>
      <c r="Y123">
        <f>IF(vp.data[[#This Row],[CrudeType]]="C5+",1,0)</f>
        <v>0</v>
      </c>
      <c r="Z123">
        <f>IF(AND(vp.data[[#This Row],[CrudeType]]="Crude",vp.data[[#This Row],[Dens]]&lt;=825,vp.data[[#This Row],[Sulf]]&gt;0.5,vp.data[[#This Row],[Unknown]]=0),1,0)</f>
        <v>1</v>
      </c>
      <c r="AA123">
        <f>IF(AND(vp.data[[#This Row],[CrudeType]]="Crude",vp.data[[#This Row],[Dens]]&lt;=825,vp.data[[#This Row],[Sulf]]&lt;=0.5,vp.data[[#This Row],[Unknown]]=0),1,0)</f>
        <v>0</v>
      </c>
      <c r="AB1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">
        <f>IF(AND(vp.data[[#This Row],[CrudeType]]="Crude",vp.data[[#This Row],[Dens]]&gt;825,vp.data[[#This Row],[Dens]]&lt;=900,vp.data[[#This Row],[Sulf]]&lt;=0.5,vp.data[[#This Row],[Unknown]]=0),1,0)</f>
        <v>0</v>
      </c>
      <c r="AD123">
        <f>IF(AND(vp.data[[#This Row],[CrudeType]]="Crude",vp.data[[#This Row],[Dens]]&gt;865,vp.data[[#This Row],[Dens]]&lt;=900,vp.data[[#This Row],[Sulf]]&gt;2,vp.data[[#This Row],[Unknown]]=0),1,0)</f>
        <v>0</v>
      </c>
      <c r="AE123">
        <f>IF(AND(vp.data[[#This Row],[CrudeType]]="Crude",vp.data[[#This Row],[Dens]]&gt;900,vp.data[[#This Row],[Sulf]]&lt;=0.5,vp.data[[#This Row],[Unknown]]=0),1,0)</f>
        <v>0</v>
      </c>
      <c r="AF123">
        <f>IF(AND(vp.data[[#This Row],[CrudeType]]="Crude",vp.data[[#This Row],[Dens]]&gt;900,vp.data[[#This Row],[Sulf]]&lt;=0.5,vp.data[[#This Row],[Unknown]]=0),1,0)</f>
        <v>0</v>
      </c>
      <c r="AG123" t="str">
        <f>INDEX(vp.data[[#Headers],[Unknown]:[Heavy_SW]],MATCH(1,vp.data[[#This Row],[Unknown]:[Heavy_SW]],0))</f>
        <v>Light_LSB</v>
      </c>
      <c r="AH123">
        <f>INDEX([3]!crudeBD.lkup[Number],MATCH(vp.data[[#This Row],[Crude_Breakdown]],crudeBD.lkup[Crude Breakdown],0))</f>
        <v>1</v>
      </c>
      <c r="AI123">
        <f>MONTH(vp.data[[#This Row],[SDate]])</f>
        <v>4</v>
      </c>
      <c r="AJ123" s="5">
        <f>(vp.data[[#This Row],[VP]]-INDEX(crudeBD.lkup[Mean_VP],MATCH(vp.data[[#This Row],[Crude_Breakdown]],crudeBD.lkup[Crude Breakdown],0)))^2</f>
        <v>2347.7721331065973</v>
      </c>
      <c r="AK123" s="5">
        <f>(vp.data[[#This Row],[Dens]]-INDEX(crudeBD.lkup[Mean_Dens],MATCH(vp.data[[#This Row],[Crude_Breakdown]],crudeBD.lkup[Crude Breakdown],0)))^2</f>
        <v>282.80374514234569</v>
      </c>
      <c r="AL123" s="5">
        <f>(vp.data[[#This Row],[Sulf]]-INDEX(crudeBD.lkup[Mean_Sulf],MATCH(vp.data[[#This Row],[Crude_Breakdown]],crudeBD.lkup[Crude Breakdown],0)))^2</f>
        <v>0.11358843333985327</v>
      </c>
      <c r="AM123" s="4">
        <f>IF(AND(vp.data[[#This Row],[SDate]]&gt;=DATE(YEAR(vp.data[[#This Row],[SDate]]),5,1),vp.data[[#This Row],[SDate]]&lt;=DATE(YEAR(vp.data[[#This Row],[SDate]]),9,15)),1,0)</f>
        <v>0</v>
      </c>
      <c r="AN123" s="4">
        <f>IF(vp.data[[#This Row],[SDate]]&lt;DATE(2016,12,1),0,1)</f>
        <v>0</v>
      </c>
      <c r="AO123" s="4">
        <f>IFERROR(vp.data[[#This Row],[Sulf]]*vp.data[[#This Row],[Net Dens]],"")</f>
        <v>6198736.3829999994</v>
      </c>
      <c r="AP123">
        <f>IFERROR(vp.data[[#This Row],[Dens]]*vp.data[[#This Row],[VolumeM3]],"")</f>
        <v>4919632.05</v>
      </c>
      <c r="AQ123" s="15">
        <f>IFERROR(vp.data[[#This Row],[VP]]*vp.data[[#This Row],[VolumeM3]],"")</f>
        <v>859110</v>
      </c>
    </row>
    <row r="124" spans="1:43" x14ac:dyDescent="0.25">
      <c r="A124">
        <v>123</v>
      </c>
      <c r="B124" t="s">
        <v>62</v>
      </c>
      <c r="C124" t="s">
        <v>62</v>
      </c>
      <c r="D124" t="s">
        <v>63</v>
      </c>
      <c r="F124" s="1">
        <v>42469</v>
      </c>
      <c r="G124" s="2">
        <v>121.3</v>
      </c>
      <c r="H124" s="2"/>
      <c r="I124" s="2">
        <f t="array" ref="I124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4" s="2"/>
      <c r="K124" s="2"/>
      <c r="L124" s="2">
        <v>796.4</v>
      </c>
      <c r="M124" s="2">
        <f t="array" ref="M124">_xlfn.IFNA(IF(vp.data[[#This Row],[Dens Input]]="",INDEX([1]DATA!$O$3:$O$9826,MATCH(1,(vp.data[[#This Row],[Battery]]=[1]DATA!$L$3:$L$9826)*(EOMONTH(vp.data[[#This Row],[SDate]],-1)+1=[1]DATA!$G$3:$G$9826),0)),vp.data[[#This Row],[Dens Input]]),"")</f>
        <v>796.4</v>
      </c>
      <c r="N124" s="2">
        <f ca="1">INDEX(INDIRECT(_xlfn.CONCAT("weather.tbl[",N$1,"]")),MATCH(vp.data[[#This Row],[SDate]],weather.tbl[Date],0))</f>
        <v>5.7666666666666657</v>
      </c>
      <c r="O124" s="2">
        <f ca="1">INDEX(INDIRECT(_xlfn.CONCAT("weather.tbl[",O$1,"]")),MATCH(vp.data[[#This Row],[SDate]],weather.tbl[Date],0))</f>
        <v>2.2476190476190476</v>
      </c>
      <c r="P124" s="2">
        <f ca="1">INDEX(INDIRECT(_xlfn.CONCAT("weather.tbl[",P$1,"]")),MATCH(vp.data[[#This Row],[SDate]],weather.tbl[Date],0))</f>
        <v>8.6999999999999993</v>
      </c>
      <c r="Q124" s="2">
        <f ca="1">INDEX(INDIRECT(_xlfn.CONCAT("weather.tbl[",Q$1,"]")),MATCH(vp.data[[#This Row],[SDate]],weather.tbl[Date],0))</f>
        <v>7.6</v>
      </c>
      <c r="R124" s="2">
        <f ca="1">INDEX(INDIRECT(_xlfn.CONCAT("weather.tbl[",R$1,"]")),MATCH(vp.data[[#This Row],[SDate]],weather.tbl[Date],0))</f>
        <v>-1.3</v>
      </c>
      <c r="S124" s="2">
        <f ca="1">INDEX(INDIRECT(_xlfn.CONCAT("weather.tbl[",S$1,"]")),MATCH(vp.data[[#This Row],[SDate]],weather.tbl[Date],0))</f>
        <v>8.8000000000000007</v>
      </c>
      <c r="T124" s="2">
        <f ca="1">INDEX(INDIRECT(_xlfn.CONCAT("weather.tbl[",T$1,"]")),MATCH(vp.data[[#This Row],[SDate]],weather.tbl[Date],0))</f>
        <v>5.8</v>
      </c>
      <c r="U124" s="2">
        <f ca="1">INDEX(INDIRECT(_xlfn.CONCAT("weather.tbl[",U$1,"]")),MATCH(vp.data[[#This Row],[SDate]],weather.tbl[Date],0))</f>
        <v>5</v>
      </c>
      <c r="V124" s="2">
        <f t="array" ref="V1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4" t="s">
        <v>48</v>
      </c>
      <c r="X124">
        <f>IF(OR(vp.data[[#This Row],[Sulf]]="",vp.data[[#This Row],[Dens]]=""),1,0)</f>
        <v>0</v>
      </c>
      <c r="Y124">
        <f>IF(vp.data[[#This Row],[CrudeType]]="C5+",1,0)</f>
        <v>0</v>
      </c>
      <c r="Z124">
        <f>IF(AND(vp.data[[#This Row],[CrudeType]]="Crude",vp.data[[#This Row],[Dens]]&lt;=825,vp.data[[#This Row],[Sulf]]&gt;0.5,vp.data[[#This Row],[Unknown]]=0),1,0)</f>
        <v>1</v>
      </c>
      <c r="AA124">
        <f>IF(AND(vp.data[[#This Row],[CrudeType]]="Crude",vp.data[[#This Row],[Dens]]&lt;=825,vp.data[[#This Row],[Sulf]]&lt;=0.5,vp.data[[#This Row],[Unknown]]=0),1,0)</f>
        <v>0</v>
      </c>
      <c r="AB1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">
        <f>IF(AND(vp.data[[#This Row],[CrudeType]]="Crude",vp.data[[#This Row],[Dens]]&gt;825,vp.data[[#This Row],[Dens]]&lt;=900,vp.data[[#This Row],[Sulf]]&lt;=0.5,vp.data[[#This Row],[Unknown]]=0),1,0)</f>
        <v>0</v>
      </c>
      <c r="AD124">
        <f>IF(AND(vp.data[[#This Row],[CrudeType]]="Crude",vp.data[[#This Row],[Dens]]&gt;865,vp.data[[#This Row],[Dens]]&lt;=900,vp.data[[#This Row],[Sulf]]&gt;2,vp.data[[#This Row],[Unknown]]=0),1,0)</f>
        <v>0</v>
      </c>
      <c r="AE124">
        <f>IF(AND(vp.data[[#This Row],[CrudeType]]="Crude",vp.data[[#This Row],[Dens]]&gt;900,vp.data[[#This Row],[Sulf]]&lt;=0.5,vp.data[[#This Row],[Unknown]]=0),1,0)</f>
        <v>0</v>
      </c>
      <c r="AF124">
        <f>IF(AND(vp.data[[#This Row],[CrudeType]]="Crude",vp.data[[#This Row],[Dens]]&gt;900,vp.data[[#This Row],[Sulf]]&lt;=0.5,vp.data[[#This Row],[Unknown]]=0),1,0)</f>
        <v>0</v>
      </c>
      <c r="AG124" t="str">
        <f>INDEX(vp.data[[#Headers],[Unknown]:[Heavy_SW]],MATCH(1,vp.data[[#This Row],[Unknown]:[Heavy_SW]],0))</f>
        <v>Light_LSB</v>
      </c>
      <c r="AH124">
        <f>INDEX([3]!crudeBD.lkup[Number],MATCH(vp.data[[#This Row],[Crude_Breakdown]],crudeBD.lkup[Crude Breakdown],0))</f>
        <v>1</v>
      </c>
      <c r="AI124">
        <f>MONTH(vp.data[[#This Row],[SDate]])</f>
        <v>4</v>
      </c>
      <c r="AJ124" s="5">
        <f>(vp.data[[#This Row],[VP]]-INDEX(crudeBD.lkup[Mean_VP],MATCH(vp.data[[#This Row],[Crude_Breakdown]],crudeBD.lkup[Crude Breakdown],0)))^2</f>
        <v>885.28947331278357</v>
      </c>
      <c r="AK124" s="5">
        <f>(vp.data[[#This Row],[Dens]]-INDEX(crudeBD.lkup[Mean_Dens],MATCH(vp.data[[#This Row],[Crude_Breakdown]],crudeBD.lkup[Crude Breakdown],0)))^2</f>
        <v>489.15150459251674</v>
      </c>
      <c r="AL124" s="5">
        <f>(vp.data[[#This Row],[Sulf]]-INDEX(crudeBD.lkup[Mean_Sulf],MATCH(vp.data[[#This Row],[Crude_Breakdown]],crudeBD.lkup[Crude Breakdown],0)))^2</f>
        <v>0.11358843333985327</v>
      </c>
      <c r="AM124" s="4">
        <f>IF(AND(vp.data[[#This Row],[SDate]]&gt;=DATE(YEAR(vp.data[[#This Row],[SDate]]),5,1),vp.data[[#This Row],[SDate]]&lt;=DATE(YEAR(vp.data[[#This Row],[SDate]]),9,15)),1,0)</f>
        <v>0</v>
      </c>
      <c r="AN124" s="4">
        <f>IF(vp.data[[#This Row],[SDate]]&lt;DATE(2016,12,1),0,1)</f>
        <v>0</v>
      </c>
      <c r="AO124" s="4">
        <f>IFERROR(vp.data[[#This Row],[Sulf]]*vp.data[[#This Row],[Net Dens]],"")</f>
        <v>6157756.8359999992</v>
      </c>
      <c r="AP124">
        <f>IFERROR(vp.data[[#This Row],[Dens]]*vp.data[[#This Row],[VolumeM3]],"")</f>
        <v>4887108.5999999996</v>
      </c>
      <c r="AQ124" s="15">
        <f>IFERROR(vp.data[[#This Row],[VP]]*vp.data[[#This Row],[VolumeM3]],"")</f>
        <v>744357.45</v>
      </c>
    </row>
    <row r="125" spans="1:43" x14ac:dyDescent="0.25">
      <c r="A125">
        <v>124</v>
      </c>
      <c r="B125" t="s">
        <v>62</v>
      </c>
      <c r="C125" t="s">
        <v>62</v>
      </c>
      <c r="D125" t="s">
        <v>63</v>
      </c>
      <c r="F125" s="1">
        <v>42469</v>
      </c>
      <c r="G125" s="2">
        <v>121.3</v>
      </c>
      <c r="H125" s="2"/>
      <c r="I125" s="2">
        <f t="array" ref="I125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5" s="2"/>
      <c r="K125" s="2"/>
      <c r="L125" s="2">
        <v>807.7</v>
      </c>
      <c r="M125" s="2">
        <f t="array" ref="M125">_xlfn.IFNA(IF(vp.data[[#This Row],[Dens Input]]="",INDEX([1]DATA!$O$3:$O$9826,MATCH(1,(vp.data[[#This Row],[Battery]]=[1]DATA!$L$3:$L$9826)*(EOMONTH(vp.data[[#This Row],[SDate]],-1)+1=[1]DATA!$G$3:$G$9826),0)),vp.data[[#This Row],[Dens Input]]),"")</f>
        <v>807.7</v>
      </c>
      <c r="N125" s="2">
        <f ca="1">INDEX(INDIRECT(_xlfn.CONCAT("weather.tbl[",N$1,"]")),MATCH(vp.data[[#This Row],[SDate]],weather.tbl[Date],0))</f>
        <v>5.7666666666666657</v>
      </c>
      <c r="O125" s="2">
        <f ca="1">INDEX(INDIRECT(_xlfn.CONCAT("weather.tbl[",O$1,"]")),MATCH(vp.data[[#This Row],[SDate]],weather.tbl[Date],0))</f>
        <v>2.2476190476190476</v>
      </c>
      <c r="P125" s="2">
        <f ca="1">INDEX(INDIRECT(_xlfn.CONCAT("weather.tbl[",P$1,"]")),MATCH(vp.data[[#This Row],[SDate]],weather.tbl[Date],0))</f>
        <v>8.6999999999999993</v>
      </c>
      <c r="Q125" s="2">
        <f ca="1">INDEX(INDIRECT(_xlfn.CONCAT("weather.tbl[",Q$1,"]")),MATCH(vp.data[[#This Row],[SDate]],weather.tbl[Date],0))</f>
        <v>7.6</v>
      </c>
      <c r="R125" s="2">
        <f ca="1">INDEX(INDIRECT(_xlfn.CONCAT("weather.tbl[",R$1,"]")),MATCH(vp.data[[#This Row],[SDate]],weather.tbl[Date],0))</f>
        <v>-1.3</v>
      </c>
      <c r="S125" s="2">
        <f ca="1">INDEX(INDIRECT(_xlfn.CONCAT("weather.tbl[",S$1,"]")),MATCH(vp.data[[#This Row],[SDate]],weather.tbl[Date],0))</f>
        <v>8.8000000000000007</v>
      </c>
      <c r="T125" s="2">
        <f ca="1">INDEX(INDIRECT(_xlfn.CONCAT("weather.tbl[",T$1,"]")),MATCH(vp.data[[#This Row],[SDate]],weather.tbl[Date],0))</f>
        <v>5.8</v>
      </c>
      <c r="U125" s="2">
        <f ca="1">INDEX(INDIRECT(_xlfn.CONCAT("weather.tbl[",U$1,"]")),MATCH(vp.data[[#This Row],[SDate]],weather.tbl[Date],0))</f>
        <v>5</v>
      </c>
      <c r="V125" s="2">
        <f t="array" ref="V1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5" t="s">
        <v>48</v>
      </c>
      <c r="X125">
        <f>IF(OR(vp.data[[#This Row],[Sulf]]="",vp.data[[#This Row],[Dens]]=""),1,0)</f>
        <v>0</v>
      </c>
      <c r="Y125">
        <f>IF(vp.data[[#This Row],[CrudeType]]="C5+",1,0)</f>
        <v>0</v>
      </c>
      <c r="Z125">
        <f>IF(AND(vp.data[[#This Row],[CrudeType]]="Crude",vp.data[[#This Row],[Dens]]&lt;=825,vp.data[[#This Row],[Sulf]]&gt;0.5,vp.data[[#This Row],[Unknown]]=0),1,0)</f>
        <v>1</v>
      </c>
      <c r="AA125">
        <f>IF(AND(vp.data[[#This Row],[CrudeType]]="Crude",vp.data[[#This Row],[Dens]]&lt;=825,vp.data[[#This Row],[Sulf]]&lt;=0.5,vp.data[[#This Row],[Unknown]]=0),1,0)</f>
        <v>0</v>
      </c>
      <c r="AB1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">
        <f>IF(AND(vp.data[[#This Row],[CrudeType]]="Crude",vp.data[[#This Row],[Dens]]&gt;825,vp.data[[#This Row],[Dens]]&lt;=900,vp.data[[#This Row],[Sulf]]&lt;=0.5,vp.data[[#This Row],[Unknown]]=0),1,0)</f>
        <v>0</v>
      </c>
      <c r="AD125">
        <f>IF(AND(vp.data[[#This Row],[CrudeType]]="Crude",vp.data[[#This Row],[Dens]]&gt;865,vp.data[[#This Row],[Dens]]&lt;=900,vp.data[[#This Row],[Sulf]]&gt;2,vp.data[[#This Row],[Unknown]]=0),1,0)</f>
        <v>0</v>
      </c>
      <c r="AE125">
        <f>IF(AND(vp.data[[#This Row],[CrudeType]]="Crude",vp.data[[#This Row],[Dens]]&gt;900,vp.data[[#This Row],[Sulf]]&lt;=0.5,vp.data[[#This Row],[Unknown]]=0),1,0)</f>
        <v>0</v>
      </c>
      <c r="AF125">
        <f>IF(AND(vp.data[[#This Row],[CrudeType]]="Crude",vp.data[[#This Row],[Dens]]&gt;900,vp.data[[#This Row],[Sulf]]&lt;=0.5,vp.data[[#This Row],[Unknown]]=0),1,0)</f>
        <v>0</v>
      </c>
      <c r="AG125" t="str">
        <f>INDEX(vp.data[[#Headers],[Unknown]:[Heavy_SW]],MATCH(1,vp.data[[#This Row],[Unknown]:[Heavy_SW]],0))</f>
        <v>Light_LSB</v>
      </c>
      <c r="AH125">
        <f>INDEX([3]!crudeBD.lkup[Number],MATCH(vp.data[[#This Row],[Crude_Breakdown]],crudeBD.lkup[Crude Breakdown],0))</f>
        <v>1</v>
      </c>
      <c r="AI125">
        <f>MONTH(vp.data[[#This Row],[SDate]])</f>
        <v>4</v>
      </c>
      <c r="AJ125" s="5">
        <f>(vp.data[[#This Row],[VP]]-INDEX(crudeBD.lkup[Mean_VP],MATCH(vp.data[[#This Row],[Crude_Breakdown]],crudeBD.lkup[Crude Breakdown],0)))^2</f>
        <v>885.28947331278357</v>
      </c>
      <c r="AK125" s="5">
        <f>(vp.data[[#This Row],[Dens]]-INDEX(crudeBD.lkup[Mean_Dens],MATCH(vp.data[[#This Row],[Crude_Breakdown]],crudeBD.lkup[Crude Breakdown],0)))^2</f>
        <v>117.00250802894794</v>
      </c>
      <c r="AL125" s="5">
        <f>(vp.data[[#This Row],[Sulf]]-INDEX(crudeBD.lkup[Mean_Sulf],MATCH(vp.data[[#This Row],[Crude_Breakdown]],crudeBD.lkup[Crude Breakdown],0)))^2</f>
        <v>0.11358843333985327</v>
      </c>
      <c r="AM125" s="4">
        <f>IF(AND(vp.data[[#This Row],[SDate]]&gt;=DATE(YEAR(vp.data[[#This Row],[SDate]]),5,1),vp.data[[#This Row],[SDate]]&lt;=DATE(YEAR(vp.data[[#This Row],[SDate]]),9,15)),1,0)</f>
        <v>0</v>
      </c>
      <c r="AN125" s="4">
        <f>IF(vp.data[[#This Row],[SDate]]&lt;DATE(2016,12,1),0,1)</f>
        <v>0</v>
      </c>
      <c r="AO125" s="4">
        <f>IFERROR(vp.data[[#This Row],[Sulf]]*vp.data[[#This Row],[Net Dens]],"")</f>
        <v>6245128.3229999999</v>
      </c>
      <c r="AP125">
        <f>IFERROR(vp.data[[#This Row],[Dens]]*vp.data[[#This Row],[VolumeM3]],"")</f>
        <v>4956451.05</v>
      </c>
      <c r="AQ125" s="15">
        <f>IFERROR(vp.data[[#This Row],[VP]]*vp.data[[#This Row],[VolumeM3]],"")</f>
        <v>744357.45</v>
      </c>
    </row>
    <row r="126" spans="1:43" x14ac:dyDescent="0.25">
      <c r="A126">
        <v>125</v>
      </c>
      <c r="B126" t="s">
        <v>62</v>
      </c>
      <c r="C126" t="s">
        <v>62</v>
      </c>
      <c r="D126" t="s">
        <v>63</v>
      </c>
      <c r="F126" s="1">
        <v>42471</v>
      </c>
      <c r="G126" s="2">
        <v>141.69999999999999</v>
      </c>
      <c r="H126" s="2"/>
      <c r="I126" s="2">
        <f t="array" ref="I126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6" s="2"/>
      <c r="K126" s="2"/>
      <c r="L126" s="2">
        <v>807.7</v>
      </c>
      <c r="M126" s="2">
        <f t="array" ref="M126">_xlfn.IFNA(IF(vp.data[[#This Row],[Dens Input]]="",INDEX([1]DATA!$O$3:$O$9826,MATCH(1,(vp.data[[#This Row],[Battery]]=[1]DATA!$L$3:$L$9826)*(EOMONTH(vp.data[[#This Row],[SDate]],-1)+1=[1]DATA!$G$3:$G$9826),0)),vp.data[[#This Row],[Dens Input]]),"")</f>
        <v>807.7</v>
      </c>
      <c r="N126" s="2">
        <f ca="1">INDEX(INDIRECT(_xlfn.CONCAT("weather.tbl[",N$1,"]")),MATCH(vp.data[[#This Row],[SDate]],weather.tbl[Date],0))</f>
        <v>-3.1833333333333336</v>
      </c>
      <c r="O126" s="2">
        <f ca="1">INDEX(INDIRECT(_xlfn.CONCAT("weather.tbl[",O$1,"]")),MATCH(vp.data[[#This Row],[SDate]],weather.tbl[Date],0))</f>
        <v>1.0809523809523809</v>
      </c>
      <c r="P126" s="2">
        <f ca="1">INDEX(INDIRECT(_xlfn.CONCAT("weather.tbl[",P$1,"]")),MATCH(vp.data[[#This Row],[SDate]],weather.tbl[Date],0))</f>
        <v>-3.5</v>
      </c>
      <c r="Q126" s="2">
        <f ca="1">INDEX(INDIRECT(_xlfn.CONCAT("weather.tbl[",Q$1,"]")),MATCH(vp.data[[#This Row],[SDate]],weather.tbl[Date],0))</f>
        <v>-3.8</v>
      </c>
      <c r="R126" s="2">
        <f ca="1">INDEX(INDIRECT(_xlfn.CONCAT("weather.tbl[",R$1,"]")),MATCH(vp.data[[#This Row],[SDate]],weather.tbl[Date],0))</f>
        <v>-3</v>
      </c>
      <c r="S126" s="2">
        <f ca="1">INDEX(INDIRECT(_xlfn.CONCAT("weather.tbl[",S$1,"]")),MATCH(vp.data[[#This Row],[SDate]],weather.tbl[Date],0))</f>
        <v>-3</v>
      </c>
      <c r="T126" s="2">
        <f ca="1">INDEX(INDIRECT(_xlfn.CONCAT("weather.tbl[",T$1,"]")),MATCH(vp.data[[#This Row],[SDate]],weather.tbl[Date],0))</f>
        <v>-2.5</v>
      </c>
      <c r="U126" s="2">
        <f ca="1">INDEX(INDIRECT(_xlfn.CONCAT("weather.tbl[",U$1,"]")),MATCH(vp.data[[#This Row],[SDate]],weather.tbl[Date],0))</f>
        <v>-3.3</v>
      </c>
      <c r="V126" s="2">
        <f t="array" ref="V1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6" t="s">
        <v>48</v>
      </c>
      <c r="X126">
        <f>IF(OR(vp.data[[#This Row],[Sulf]]="",vp.data[[#This Row],[Dens]]=""),1,0)</f>
        <v>0</v>
      </c>
      <c r="Y126">
        <f>IF(vp.data[[#This Row],[CrudeType]]="C5+",1,0)</f>
        <v>0</v>
      </c>
      <c r="Z126">
        <f>IF(AND(vp.data[[#This Row],[CrudeType]]="Crude",vp.data[[#This Row],[Dens]]&lt;=825,vp.data[[#This Row],[Sulf]]&gt;0.5,vp.data[[#This Row],[Unknown]]=0),1,0)</f>
        <v>1</v>
      </c>
      <c r="AA126">
        <f>IF(AND(vp.data[[#This Row],[CrudeType]]="Crude",vp.data[[#This Row],[Dens]]&lt;=825,vp.data[[#This Row],[Sulf]]&lt;=0.5,vp.data[[#This Row],[Unknown]]=0),1,0)</f>
        <v>0</v>
      </c>
      <c r="AB1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">
        <f>IF(AND(vp.data[[#This Row],[CrudeType]]="Crude",vp.data[[#This Row],[Dens]]&gt;825,vp.data[[#This Row],[Dens]]&lt;=900,vp.data[[#This Row],[Sulf]]&lt;=0.5,vp.data[[#This Row],[Unknown]]=0),1,0)</f>
        <v>0</v>
      </c>
      <c r="AD126">
        <f>IF(AND(vp.data[[#This Row],[CrudeType]]="Crude",vp.data[[#This Row],[Dens]]&gt;865,vp.data[[#This Row],[Dens]]&lt;=900,vp.data[[#This Row],[Sulf]]&gt;2,vp.data[[#This Row],[Unknown]]=0),1,0)</f>
        <v>0</v>
      </c>
      <c r="AE126">
        <f>IF(AND(vp.data[[#This Row],[CrudeType]]="Crude",vp.data[[#This Row],[Dens]]&gt;900,vp.data[[#This Row],[Sulf]]&lt;=0.5,vp.data[[#This Row],[Unknown]]=0),1,0)</f>
        <v>0</v>
      </c>
      <c r="AF126">
        <f>IF(AND(vp.data[[#This Row],[CrudeType]]="Crude",vp.data[[#This Row],[Dens]]&gt;900,vp.data[[#This Row],[Sulf]]&lt;=0.5,vp.data[[#This Row],[Unknown]]=0),1,0)</f>
        <v>0</v>
      </c>
      <c r="AG126" t="str">
        <f>INDEX(vp.data[[#Headers],[Unknown]:[Heavy_SW]],MATCH(1,vp.data[[#This Row],[Unknown]:[Heavy_SW]],0))</f>
        <v>Light_LSB</v>
      </c>
      <c r="AH126">
        <f>INDEX([3]!crudeBD.lkup[Number],MATCH(vp.data[[#This Row],[Crude_Breakdown]],crudeBD.lkup[Crude Breakdown],0))</f>
        <v>1</v>
      </c>
      <c r="AI126">
        <f>MONTH(vp.data[[#This Row],[SDate]])</f>
        <v>4</v>
      </c>
      <c r="AJ126" s="5">
        <f>(vp.data[[#This Row],[VP]]-INDEX(crudeBD.lkup[Mean_VP],MATCH(vp.data[[#This Row],[Crude_Breakdown]],crudeBD.lkup[Crude Breakdown],0)))^2</f>
        <v>2515.4051021787609</v>
      </c>
      <c r="AK126" s="5">
        <f>(vp.data[[#This Row],[Dens]]-INDEX(crudeBD.lkup[Mean_Dens],MATCH(vp.data[[#This Row],[Crude_Breakdown]],crudeBD.lkup[Crude Breakdown],0)))^2</f>
        <v>117.00250802894794</v>
      </c>
      <c r="AL126" s="5">
        <f>(vp.data[[#This Row],[Sulf]]-INDEX(crudeBD.lkup[Mean_Sulf],MATCH(vp.data[[#This Row],[Crude_Breakdown]],crudeBD.lkup[Crude Breakdown],0)))^2</f>
        <v>0.11358843333985327</v>
      </c>
      <c r="AM126" s="4">
        <f>IF(AND(vp.data[[#This Row],[SDate]]&gt;=DATE(YEAR(vp.data[[#This Row],[SDate]]),5,1),vp.data[[#This Row],[SDate]]&lt;=DATE(YEAR(vp.data[[#This Row],[SDate]]),9,15)),1,0)</f>
        <v>0</v>
      </c>
      <c r="AN126" s="4">
        <f>IF(vp.data[[#This Row],[SDate]]&lt;DATE(2016,12,1),0,1)</f>
        <v>0</v>
      </c>
      <c r="AO126" s="4">
        <f>IFERROR(vp.data[[#This Row],[Sulf]]*vp.data[[#This Row],[Net Dens]],"")</f>
        <v>6245128.3229999999</v>
      </c>
      <c r="AP126">
        <f>IFERROR(vp.data[[#This Row],[Dens]]*vp.data[[#This Row],[VolumeM3]],"")</f>
        <v>4956451.05</v>
      </c>
      <c r="AQ126" s="15">
        <f>IFERROR(vp.data[[#This Row],[VP]]*vp.data[[#This Row],[VolumeM3]],"")</f>
        <v>869542.04999999993</v>
      </c>
    </row>
    <row r="127" spans="1:43" x14ac:dyDescent="0.25">
      <c r="A127">
        <v>126</v>
      </c>
      <c r="B127" t="s">
        <v>62</v>
      </c>
      <c r="C127" t="s">
        <v>62</v>
      </c>
      <c r="D127" t="s">
        <v>63</v>
      </c>
      <c r="F127" s="1">
        <v>42471</v>
      </c>
      <c r="G127" s="2">
        <v>140.4</v>
      </c>
      <c r="H127" s="2"/>
      <c r="I127" s="2">
        <f t="array" ref="I127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7" s="2"/>
      <c r="K127" s="2"/>
      <c r="L127" s="2">
        <v>807.7</v>
      </c>
      <c r="M127" s="2">
        <f t="array" ref="M127">_xlfn.IFNA(IF(vp.data[[#This Row],[Dens Input]]="",INDEX([1]DATA!$O$3:$O$9826,MATCH(1,(vp.data[[#This Row],[Battery]]=[1]DATA!$L$3:$L$9826)*(EOMONTH(vp.data[[#This Row],[SDate]],-1)+1=[1]DATA!$G$3:$G$9826),0)),vp.data[[#This Row],[Dens Input]]),"")</f>
        <v>807.7</v>
      </c>
      <c r="N127" s="2">
        <f ca="1">INDEX(INDIRECT(_xlfn.CONCAT("weather.tbl[",N$1,"]")),MATCH(vp.data[[#This Row],[SDate]],weather.tbl[Date],0))</f>
        <v>-3.1833333333333336</v>
      </c>
      <c r="O127" s="2">
        <f ca="1">INDEX(INDIRECT(_xlfn.CONCAT("weather.tbl[",O$1,"]")),MATCH(vp.data[[#This Row],[SDate]],weather.tbl[Date],0))</f>
        <v>1.0809523809523809</v>
      </c>
      <c r="P127" s="2">
        <f ca="1">INDEX(INDIRECT(_xlfn.CONCAT("weather.tbl[",P$1,"]")),MATCH(vp.data[[#This Row],[SDate]],weather.tbl[Date],0))</f>
        <v>-3.5</v>
      </c>
      <c r="Q127" s="2">
        <f ca="1">INDEX(INDIRECT(_xlfn.CONCAT("weather.tbl[",Q$1,"]")),MATCH(vp.data[[#This Row],[SDate]],weather.tbl[Date],0))</f>
        <v>-3.8</v>
      </c>
      <c r="R127" s="2">
        <f ca="1">INDEX(INDIRECT(_xlfn.CONCAT("weather.tbl[",R$1,"]")),MATCH(vp.data[[#This Row],[SDate]],weather.tbl[Date],0))</f>
        <v>-3</v>
      </c>
      <c r="S127" s="2">
        <f ca="1">INDEX(INDIRECT(_xlfn.CONCAT("weather.tbl[",S$1,"]")),MATCH(vp.data[[#This Row],[SDate]],weather.tbl[Date],0))</f>
        <v>-3</v>
      </c>
      <c r="T127" s="2">
        <f ca="1">INDEX(INDIRECT(_xlfn.CONCAT("weather.tbl[",T$1,"]")),MATCH(vp.data[[#This Row],[SDate]],weather.tbl[Date],0))</f>
        <v>-2.5</v>
      </c>
      <c r="U127" s="2">
        <f ca="1">INDEX(INDIRECT(_xlfn.CONCAT("weather.tbl[",U$1,"]")),MATCH(vp.data[[#This Row],[SDate]],weather.tbl[Date],0))</f>
        <v>-3.3</v>
      </c>
      <c r="V127" s="2">
        <f t="array" ref="V1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7" t="s">
        <v>48</v>
      </c>
      <c r="X127">
        <f>IF(OR(vp.data[[#This Row],[Sulf]]="",vp.data[[#This Row],[Dens]]=""),1,0)</f>
        <v>0</v>
      </c>
      <c r="Y127">
        <f>IF(vp.data[[#This Row],[CrudeType]]="C5+",1,0)</f>
        <v>0</v>
      </c>
      <c r="Z127">
        <f>IF(AND(vp.data[[#This Row],[CrudeType]]="Crude",vp.data[[#This Row],[Dens]]&lt;=825,vp.data[[#This Row],[Sulf]]&gt;0.5,vp.data[[#This Row],[Unknown]]=0),1,0)</f>
        <v>1</v>
      </c>
      <c r="AA127">
        <f>IF(AND(vp.data[[#This Row],[CrudeType]]="Crude",vp.data[[#This Row],[Dens]]&lt;=825,vp.data[[#This Row],[Sulf]]&lt;=0.5,vp.data[[#This Row],[Unknown]]=0),1,0)</f>
        <v>0</v>
      </c>
      <c r="AB1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7">
        <f>IF(AND(vp.data[[#This Row],[CrudeType]]="Crude",vp.data[[#This Row],[Dens]]&gt;825,vp.data[[#This Row],[Dens]]&lt;=900,vp.data[[#This Row],[Sulf]]&lt;=0.5,vp.data[[#This Row],[Unknown]]=0),1,0)</f>
        <v>0</v>
      </c>
      <c r="AD127">
        <f>IF(AND(vp.data[[#This Row],[CrudeType]]="Crude",vp.data[[#This Row],[Dens]]&gt;865,vp.data[[#This Row],[Dens]]&lt;=900,vp.data[[#This Row],[Sulf]]&gt;2,vp.data[[#This Row],[Unknown]]=0),1,0)</f>
        <v>0</v>
      </c>
      <c r="AE127">
        <f>IF(AND(vp.data[[#This Row],[CrudeType]]="Crude",vp.data[[#This Row],[Dens]]&gt;900,vp.data[[#This Row],[Sulf]]&lt;=0.5,vp.data[[#This Row],[Unknown]]=0),1,0)</f>
        <v>0</v>
      </c>
      <c r="AF127">
        <f>IF(AND(vp.data[[#This Row],[CrudeType]]="Crude",vp.data[[#This Row],[Dens]]&gt;900,vp.data[[#This Row],[Sulf]]&lt;=0.5,vp.data[[#This Row],[Unknown]]=0),1,0)</f>
        <v>0</v>
      </c>
      <c r="AG127" t="str">
        <f>INDEX(vp.data[[#Headers],[Unknown]:[Heavy_SW]],MATCH(1,vp.data[[#This Row],[Unknown]:[Heavy_SW]],0))</f>
        <v>Light_LSB</v>
      </c>
      <c r="AH127">
        <f>INDEX([3]!crudeBD.lkup[Number],MATCH(vp.data[[#This Row],[Crude_Breakdown]],crudeBD.lkup[Crude Breakdown],0))</f>
        <v>1</v>
      </c>
      <c r="AI127">
        <f>MONTH(vp.data[[#This Row],[SDate]])</f>
        <v>4</v>
      </c>
      <c r="AJ127" s="5">
        <f>(vp.data[[#This Row],[VP]]-INDEX(crudeBD.lkup[Mean_VP],MATCH(vp.data[[#This Row],[Crude_Breakdown]],crudeBD.lkup[Crude Breakdown],0)))^2</f>
        <v>2386.6951846529892</v>
      </c>
      <c r="AK127" s="5">
        <f>(vp.data[[#This Row],[Dens]]-INDEX(crudeBD.lkup[Mean_Dens],MATCH(vp.data[[#This Row],[Crude_Breakdown]],crudeBD.lkup[Crude Breakdown],0)))^2</f>
        <v>117.00250802894794</v>
      </c>
      <c r="AL127" s="5">
        <f>(vp.data[[#This Row],[Sulf]]-INDEX(crudeBD.lkup[Mean_Sulf],MATCH(vp.data[[#This Row],[Crude_Breakdown]],crudeBD.lkup[Crude Breakdown],0)))^2</f>
        <v>0.11358843333985327</v>
      </c>
      <c r="AM127" s="4">
        <f>IF(AND(vp.data[[#This Row],[SDate]]&gt;=DATE(YEAR(vp.data[[#This Row],[SDate]]),5,1),vp.data[[#This Row],[SDate]]&lt;=DATE(YEAR(vp.data[[#This Row],[SDate]]),9,15)),1,0)</f>
        <v>0</v>
      </c>
      <c r="AN127" s="4">
        <f>IF(vp.data[[#This Row],[SDate]]&lt;DATE(2016,12,1),0,1)</f>
        <v>0</v>
      </c>
      <c r="AO127" s="4">
        <f>IFERROR(vp.data[[#This Row],[Sulf]]*vp.data[[#This Row],[Net Dens]],"")</f>
        <v>6245128.3229999999</v>
      </c>
      <c r="AP127">
        <f>IFERROR(vp.data[[#This Row],[Dens]]*vp.data[[#This Row],[VolumeM3]],"")</f>
        <v>4956451.05</v>
      </c>
      <c r="AQ127" s="15">
        <f>IFERROR(vp.data[[#This Row],[VP]]*vp.data[[#This Row],[VolumeM3]],"")</f>
        <v>861564.6</v>
      </c>
    </row>
    <row r="128" spans="1:43" x14ac:dyDescent="0.25">
      <c r="A128">
        <v>127</v>
      </c>
      <c r="B128" t="s">
        <v>62</v>
      </c>
      <c r="C128" t="s">
        <v>62</v>
      </c>
      <c r="D128" t="s">
        <v>63</v>
      </c>
      <c r="F128" s="1">
        <v>42472</v>
      </c>
      <c r="G128" s="2">
        <v>127.3</v>
      </c>
      <c r="H128" s="2"/>
      <c r="I128" s="2">
        <f t="array" ref="I128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8" s="2"/>
      <c r="K128" s="2"/>
      <c r="L128" s="2">
        <v>797</v>
      </c>
      <c r="M128" s="2">
        <f t="array" ref="M128">_xlfn.IFNA(IF(vp.data[[#This Row],[Dens Input]]="",INDEX([1]DATA!$O$3:$O$9826,MATCH(1,(vp.data[[#This Row],[Battery]]=[1]DATA!$L$3:$L$9826)*(EOMONTH(vp.data[[#This Row],[SDate]],-1)+1=[1]DATA!$G$3:$G$9826),0)),vp.data[[#This Row],[Dens Input]]),"")</f>
        <v>797</v>
      </c>
      <c r="N128" s="2">
        <f ca="1">INDEX(INDIRECT(_xlfn.CONCAT("weather.tbl[",N$1,"]")),MATCH(vp.data[[#This Row],[SDate]],weather.tbl[Date],0))</f>
        <v>7.3166666666666664</v>
      </c>
      <c r="O128" s="2">
        <f ca="1">INDEX(INDIRECT(_xlfn.CONCAT("weather.tbl[",O$1,"]")),MATCH(vp.data[[#This Row],[SDate]],weather.tbl[Date],0))</f>
        <v>1.5047619047619045</v>
      </c>
      <c r="P128" s="2">
        <f ca="1">INDEX(INDIRECT(_xlfn.CONCAT("weather.tbl[",P$1,"]")),MATCH(vp.data[[#This Row],[SDate]],weather.tbl[Date],0))</f>
        <v>7.9</v>
      </c>
      <c r="Q128" s="2">
        <f ca="1">INDEX(INDIRECT(_xlfn.CONCAT("weather.tbl[",Q$1,"]")),MATCH(vp.data[[#This Row],[SDate]],weather.tbl[Date],0))</f>
        <v>9.1</v>
      </c>
      <c r="R128" s="2">
        <f ca="1">INDEX(INDIRECT(_xlfn.CONCAT("weather.tbl[",R$1,"]")),MATCH(vp.data[[#This Row],[SDate]],weather.tbl[Date],0))</f>
        <v>5.5</v>
      </c>
      <c r="S128" s="2">
        <f ca="1">INDEX(INDIRECT(_xlfn.CONCAT("weather.tbl[",S$1,"]")),MATCH(vp.data[[#This Row],[SDate]],weather.tbl[Date],0))</f>
        <v>10</v>
      </c>
      <c r="T128" s="2">
        <f ca="1">INDEX(INDIRECT(_xlfn.CONCAT("weather.tbl[",T$1,"]")),MATCH(vp.data[[#This Row],[SDate]],weather.tbl[Date],0))</f>
        <v>4.0999999999999996</v>
      </c>
      <c r="U128" s="2">
        <f ca="1">INDEX(INDIRECT(_xlfn.CONCAT("weather.tbl[",U$1,"]")),MATCH(vp.data[[#This Row],[SDate]],weather.tbl[Date],0))</f>
        <v>7.3</v>
      </c>
      <c r="V128" s="2">
        <f t="array" ref="V1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8" t="s">
        <v>48</v>
      </c>
      <c r="X128">
        <f>IF(OR(vp.data[[#This Row],[Sulf]]="",vp.data[[#This Row],[Dens]]=""),1,0)</f>
        <v>0</v>
      </c>
      <c r="Y128">
        <f>IF(vp.data[[#This Row],[CrudeType]]="C5+",1,0)</f>
        <v>0</v>
      </c>
      <c r="Z128">
        <f>IF(AND(vp.data[[#This Row],[CrudeType]]="Crude",vp.data[[#This Row],[Dens]]&lt;=825,vp.data[[#This Row],[Sulf]]&gt;0.5,vp.data[[#This Row],[Unknown]]=0),1,0)</f>
        <v>1</v>
      </c>
      <c r="AA128">
        <f>IF(AND(vp.data[[#This Row],[CrudeType]]="Crude",vp.data[[#This Row],[Dens]]&lt;=825,vp.data[[#This Row],[Sulf]]&lt;=0.5,vp.data[[#This Row],[Unknown]]=0),1,0)</f>
        <v>0</v>
      </c>
      <c r="AB1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">
        <f>IF(AND(vp.data[[#This Row],[CrudeType]]="Crude",vp.data[[#This Row],[Dens]]&gt;825,vp.data[[#This Row],[Dens]]&lt;=900,vp.data[[#This Row],[Sulf]]&lt;=0.5,vp.data[[#This Row],[Unknown]]=0),1,0)</f>
        <v>0</v>
      </c>
      <c r="AD128">
        <f>IF(AND(vp.data[[#This Row],[CrudeType]]="Crude",vp.data[[#This Row],[Dens]]&gt;865,vp.data[[#This Row],[Dens]]&lt;=900,vp.data[[#This Row],[Sulf]]&gt;2,vp.data[[#This Row],[Unknown]]=0),1,0)</f>
        <v>0</v>
      </c>
      <c r="AE128">
        <f>IF(AND(vp.data[[#This Row],[CrudeType]]="Crude",vp.data[[#This Row],[Dens]]&gt;900,vp.data[[#This Row],[Sulf]]&lt;=0.5,vp.data[[#This Row],[Unknown]]=0),1,0)</f>
        <v>0</v>
      </c>
      <c r="AF128">
        <f>IF(AND(vp.data[[#This Row],[CrudeType]]="Crude",vp.data[[#This Row],[Dens]]&gt;900,vp.data[[#This Row],[Sulf]]&lt;=0.5,vp.data[[#This Row],[Unknown]]=0),1,0)</f>
        <v>0</v>
      </c>
      <c r="AG128" t="str">
        <f>INDEX(vp.data[[#Headers],[Unknown]:[Heavy_SW]],MATCH(1,vp.data[[#This Row],[Unknown]:[Heavy_SW]],0))</f>
        <v>Light_LSB</v>
      </c>
      <c r="AH128">
        <f>INDEX([3]!crudeBD.lkup[Number],MATCH(vp.data[[#This Row],[Crude_Breakdown]],crudeBD.lkup[Crude Breakdown],0))</f>
        <v>1</v>
      </c>
      <c r="AI128">
        <f>MONTH(vp.data[[#This Row],[SDate]])</f>
        <v>4</v>
      </c>
      <c r="AJ128" s="5">
        <f>(vp.data[[#This Row],[VP]]-INDEX(crudeBD.lkup[Mean_VP],MATCH(vp.data[[#This Row],[Crude_Breakdown]],crudeBD.lkup[Crude Breakdown],0)))^2</f>
        <v>1278.3352465086596</v>
      </c>
      <c r="AK128" s="5">
        <f>(vp.data[[#This Row],[Dens]]-INDEX(crudeBD.lkup[Mean_Dens],MATCH(vp.data[[#This Row],[Crude_Breakdown]],crudeBD.lkup[Crude Breakdown],0)))^2</f>
        <v>462.97138088117589</v>
      </c>
      <c r="AL128" s="5">
        <f>(vp.data[[#This Row],[Sulf]]-INDEX(crudeBD.lkup[Mean_Sulf],MATCH(vp.data[[#This Row],[Crude_Breakdown]],crudeBD.lkup[Crude Breakdown],0)))^2</f>
        <v>0.11358843333985327</v>
      </c>
      <c r="AM128" s="4">
        <f>IF(AND(vp.data[[#This Row],[SDate]]&gt;=DATE(YEAR(vp.data[[#This Row],[SDate]]),5,1),vp.data[[#This Row],[SDate]]&lt;=DATE(YEAR(vp.data[[#This Row],[SDate]]),9,15)),1,0)</f>
        <v>0</v>
      </c>
      <c r="AN128" s="4">
        <f>IF(vp.data[[#This Row],[SDate]]&lt;DATE(2016,12,1),0,1)</f>
        <v>0</v>
      </c>
      <c r="AO128" s="4">
        <f>IFERROR(vp.data[[#This Row],[Sulf]]*vp.data[[#This Row],[Net Dens]],"")</f>
        <v>6162396.0300000003</v>
      </c>
      <c r="AP128">
        <f>IFERROR(vp.data[[#This Row],[Dens]]*vp.data[[#This Row],[VolumeM3]],"")</f>
        <v>4890790.5</v>
      </c>
      <c r="AQ128" s="15">
        <f>IFERROR(vp.data[[#This Row],[VP]]*vp.data[[#This Row],[VolumeM3]],"")</f>
        <v>781176.45</v>
      </c>
    </row>
    <row r="129" spans="1:43" x14ac:dyDescent="0.25">
      <c r="A129">
        <v>128</v>
      </c>
      <c r="B129" t="s">
        <v>62</v>
      </c>
      <c r="C129" t="s">
        <v>62</v>
      </c>
      <c r="D129" t="s">
        <v>63</v>
      </c>
      <c r="F129" s="1">
        <v>42472</v>
      </c>
      <c r="G129" s="2">
        <v>127.6</v>
      </c>
      <c r="H129" s="2"/>
      <c r="I129" s="2">
        <f t="array" ref="I12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29" s="2"/>
      <c r="K129" s="2"/>
      <c r="L129" s="2">
        <v>797</v>
      </c>
      <c r="M129" s="2">
        <f t="array" ref="M129">_xlfn.IFNA(IF(vp.data[[#This Row],[Dens Input]]="",INDEX([1]DATA!$O$3:$O$9826,MATCH(1,(vp.data[[#This Row],[Battery]]=[1]DATA!$L$3:$L$9826)*(EOMONTH(vp.data[[#This Row],[SDate]],-1)+1=[1]DATA!$G$3:$G$9826),0)),vp.data[[#This Row],[Dens Input]]),"")</f>
        <v>797</v>
      </c>
      <c r="N129" s="2">
        <f ca="1">INDEX(INDIRECT(_xlfn.CONCAT("weather.tbl[",N$1,"]")),MATCH(vp.data[[#This Row],[SDate]],weather.tbl[Date],0))</f>
        <v>7.3166666666666664</v>
      </c>
      <c r="O129" s="2">
        <f ca="1">INDEX(INDIRECT(_xlfn.CONCAT("weather.tbl[",O$1,"]")),MATCH(vp.data[[#This Row],[SDate]],weather.tbl[Date],0))</f>
        <v>1.5047619047619045</v>
      </c>
      <c r="P129" s="2">
        <f ca="1">INDEX(INDIRECT(_xlfn.CONCAT("weather.tbl[",P$1,"]")),MATCH(vp.data[[#This Row],[SDate]],weather.tbl[Date],0))</f>
        <v>7.9</v>
      </c>
      <c r="Q129" s="2">
        <f ca="1">INDEX(INDIRECT(_xlfn.CONCAT("weather.tbl[",Q$1,"]")),MATCH(vp.data[[#This Row],[SDate]],weather.tbl[Date],0))</f>
        <v>9.1</v>
      </c>
      <c r="R129" s="2">
        <f ca="1">INDEX(INDIRECT(_xlfn.CONCAT("weather.tbl[",R$1,"]")),MATCH(vp.data[[#This Row],[SDate]],weather.tbl[Date],0))</f>
        <v>5.5</v>
      </c>
      <c r="S129" s="2">
        <f ca="1">INDEX(INDIRECT(_xlfn.CONCAT("weather.tbl[",S$1,"]")),MATCH(vp.data[[#This Row],[SDate]],weather.tbl[Date],0))</f>
        <v>10</v>
      </c>
      <c r="T129" s="2">
        <f ca="1">INDEX(INDIRECT(_xlfn.CONCAT("weather.tbl[",T$1,"]")),MATCH(vp.data[[#This Row],[SDate]],weather.tbl[Date],0))</f>
        <v>4.0999999999999996</v>
      </c>
      <c r="U129" s="2">
        <f ca="1">INDEX(INDIRECT(_xlfn.CONCAT("weather.tbl[",U$1,"]")),MATCH(vp.data[[#This Row],[SDate]],weather.tbl[Date],0))</f>
        <v>7.3</v>
      </c>
      <c r="V129" s="2">
        <f t="array" ref="V1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29" t="s">
        <v>48</v>
      </c>
      <c r="X129">
        <f>IF(OR(vp.data[[#This Row],[Sulf]]="",vp.data[[#This Row],[Dens]]=""),1,0)</f>
        <v>0</v>
      </c>
      <c r="Y129">
        <f>IF(vp.data[[#This Row],[CrudeType]]="C5+",1,0)</f>
        <v>0</v>
      </c>
      <c r="Z129">
        <f>IF(AND(vp.data[[#This Row],[CrudeType]]="Crude",vp.data[[#This Row],[Dens]]&lt;=825,vp.data[[#This Row],[Sulf]]&gt;0.5,vp.data[[#This Row],[Unknown]]=0),1,0)</f>
        <v>1</v>
      </c>
      <c r="AA129">
        <f>IF(AND(vp.data[[#This Row],[CrudeType]]="Crude",vp.data[[#This Row],[Dens]]&lt;=825,vp.data[[#This Row],[Sulf]]&lt;=0.5,vp.data[[#This Row],[Unknown]]=0),1,0)</f>
        <v>0</v>
      </c>
      <c r="AB1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">
        <f>IF(AND(vp.data[[#This Row],[CrudeType]]="Crude",vp.data[[#This Row],[Dens]]&gt;825,vp.data[[#This Row],[Dens]]&lt;=900,vp.data[[#This Row],[Sulf]]&lt;=0.5,vp.data[[#This Row],[Unknown]]=0),1,0)</f>
        <v>0</v>
      </c>
      <c r="AD129">
        <f>IF(AND(vp.data[[#This Row],[CrudeType]]="Crude",vp.data[[#This Row],[Dens]]&gt;865,vp.data[[#This Row],[Dens]]&lt;=900,vp.data[[#This Row],[Sulf]]&gt;2,vp.data[[#This Row],[Unknown]]=0),1,0)</f>
        <v>0</v>
      </c>
      <c r="AE129">
        <f>IF(AND(vp.data[[#This Row],[CrudeType]]="Crude",vp.data[[#This Row],[Dens]]&gt;900,vp.data[[#This Row],[Sulf]]&lt;=0.5,vp.data[[#This Row],[Unknown]]=0),1,0)</f>
        <v>0</v>
      </c>
      <c r="AF129">
        <f>IF(AND(vp.data[[#This Row],[CrudeType]]="Crude",vp.data[[#This Row],[Dens]]&gt;900,vp.data[[#This Row],[Sulf]]&lt;=0.5,vp.data[[#This Row],[Unknown]]=0),1,0)</f>
        <v>0</v>
      </c>
      <c r="AG129" t="str">
        <f>INDEX(vp.data[[#Headers],[Unknown]:[Heavy_SW]],MATCH(1,vp.data[[#This Row],[Unknown]:[Heavy_SW]],0))</f>
        <v>Light_LSB</v>
      </c>
      <c r="AH129">
        <f>INDEX([3]!crudeBD.lkup[Number],MATCH(vp.data[[#This Row],[Crude_Breakdown]],crudeBD.lkup[Crude Breakdown],0))</f>
        <v>1</v>
      </c>
      <c r="AI129">
        <f>MONTH(vp.data[[#This Row],[SDate]])</f>
        <v>4</v>
      </c>
      <c r="AJ129" s="5">
        <f>(vp.data[[#This Row],[VP]]-INDEX(crudeBD.lkup[Mean_VP],MATCH(vp.data[[#This Row],[Crude_Breakdown]],crudeBD.lkup[Crude Breakdown],0)))^2</f>
        <v>1299.8775351684531</v>
      </c>
      <c r="AK129" s="5">
        <f>(vp.data[[#This Row],[Dens]]-INDEX(crudeBD.lkup[Mean_Dens],MATCH(vp.data[[#This Row],[Crude_Breakdown]],crudeBD.lkup[Crude Breakdown],0)))^2</f>
        <v>462.97138088117589</v>
      </c>
      <c r="AL129" s="5">
        <f>(vp.data[[#This Row],[Sulf]]-INDEX(crudeBD.lkup[Mean_Sulf],MATCH(vp.data[[#This Row],[Crude_Breakdown]],crudeBD.lkup[Crude Breakdown],0)))^2</f>
        <v>0.11358843333985327</v>
      </c>
      <c r="AM129" s="4">
        <f>IF(AND(vp.data[[#This Row],[SDate]]&gt;=DATE(YEAR(vp.data[[#This Row],[SDate]]),5,1),vp.data[[#This Row],[SDate]]&lt;=DATE(YEAR(vp.data[[#This Row],[SDate]]),9,15)),1,0)</f>
        <v>0</v>
      </c>
      <c r="AN129" s="4">
        <f>IF(vp.data[[#This Row],[SDate]]&lt;DATE(2016,12,1),0,1)</f>
        <v>0</v>
      </c>
      <c r="AO129" s="4">
        <f>IFERROR(vp.data[[#This Row],[Sulf]]*vp.data[[#This Row],[Net Dens]],"")</f>
        <v>6162396.0300000003</v>
      </c>
      <c r="AP129">
        <f>IFERROR(vp.data[[#This Row],[Dens]]*vp.data[[#This Row],[VolumeM3]],"")</f>
        <v>4890790.5</v>
      </c>
      <c r="AQ129" s="15">
        <f>IFERROR(vp.data[[#This Row],[VP]]*vp.data[[#This Row],[VolumeM3]],"")</f>
        <v>783017.4</v>
      </c>
    </row>
    <row r="130" spans="1:43" x14ac:dyDescent="0.25">
      <c r="A130">
        <v>129</v>
      </c>
      <c r="B130" t="s">
        <v>51</v>
      </c>
      <c r="C130" t="s">
        <v>51</v>
      </c>
      <c r="D130" t="s">
        <v>58</v>
      </c>
      <c r="F130" s="1">
        <v>42473</v>
      </c>
      <c r="G130" s="2">
        <v>108.8</v>
      </c>
      <c r="H130" s="2"/>
      <c r="I130" s="2">
        <f t="array" ref="I130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30" s="2"/>
      <c r="K130" s="2"/>
      <c r="L130" s="2">
        <v>824.7</v>
      </c>
      <c r="M130" s="2">
        <f t="array" ref="M130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30" s="2">
        <f ca="1">INDEX(INDIRECT(_xlfn.CONCAT("weather.tbl[",N$1,"]")),MATCH(vp.data[[#This Row],[SDate]],weather.tbl[Date],0))</f>
        <v>10.483333333333333</v>
      </c>
      <c r="O130" s="2">
        <f ca="1">INDEX(INDIRECT(_xlfn.CONCAT("weather.tbl[",O$1,"]")),MATCH(vp.data[[#This Row],[SDate]],weather.tbl[Date],0))</f>
        <v>2.5333333333333328</v>
      </c>
      <c r="P130" s="2">
        <f ca="1">INDEX(INDIRECT(_xlfn.CONCAT("weather.tbl[",P$1,"]")),MATCH(vp.data[[#This Row],[SDate]],weather.tbl[Date],0))</f>
        <v>10.199999999999999</v>
      </c>
      <c r="Q130" s="2">
        <f ca="1">INDEX(INDIRECT(_xlfn.CONCAT("weather.tbl[",Q$1,"]")),MATCH(vp.data[[#This Row],[SDate]],weather.tbl[Date],0))</f>
        <v>11.5</v>
      </c>
      <c r="R130" s="2">
        <f ca="1">INDEX(INDIRECT(_xlfn.CONCAT("weather.tbl[",R$1,"]")),MATCH(vp.data[[#This Row],[SDate]],weather.tbl[Date],0))</f>
        <v>9</v>
      </c>
      <c r="S130" s="2">
        <f ca="1">INDEX(INDIRECT(_xlfn.CONCAT("weather.tbl[",S$1,"]")),MATCH(vp.data[[#This Row],[SDate]],weather.tbl[Date],0))</f>
        <v>10.8</v>
      </c>
      <c r="T130" s="2">
        <f ca="1">INDEX(INDIRECT(_xlfn.CONCAT("weather.tbl[",T$1,"]")),MATCH(vp.data[[#This Row],[SDate]],weather.tbl[Date],0))</f>
        <v>9.9</v>
      </c>
      <c r="U130" s="2">
        <f ca="1">INDEX(INDIRECT(_xlfn.CONCAT("weather.tbl[",U$1,"]")),MATCH(vp.data[[#This Row],[SDate]],weather.tbl[Date],0))</f>
        <v>11.5</v>
      </c>
      <c r="V130" s="2">
        <f t="array" ref="V1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6872.53</v>
      </c>
      <c r="W130" t="s">
        <v>48</v>
      </c>
      <c r="X130">
        <f>IF(OR(vp.data[[#This Row],[Sulf]]="",vp.data[[#This Row],[Dens]]=""),1,0)</f>
        <v>0</v>
      </c>
      <c r="Y130">
        <f>IF(vp.data[[#This Row],[CrudeType]]="C5+",1,0)</f>
        <v>0</v>
      </c>
      <c r="Z130">
        <f>IF(AND(vp.data[[#This Row],[CrudeType]]="Crude",vp.data[[#This Row],[Dens]]&lt;=825,vp.data[[#This Row],[Sulf]]&gt;0.5,vp.data[[#This Row],[Unknown]]=0),1,0)</f>
        <v>1</v>
      </c>
      <c r="AA130">
        <f>IF(AND(vp.data[[#This Row],[CrudeType]]="Crude",vp.data[[#This Row],[Dens]]&lt;=825,vp.data[[#This Row],[Sulf]]&lt;=0.5,vp.data[[#This Row],[Unknown]]=0),1,0)</f>
        <v>0</v>
      </c>
      <c r="AB1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">
        <f>IF(AND(vp.data[[#This Row],[CrudeType]]="Crude",vp.data[[#This Row],[Dens]]&gt;825,vp.data[[#This Row],[Dens]]&lt;=900,vp.data[[#This Row],[Sulf]]&lt;=0.5,vp.data[[#This Row],[Unknown]]=0),1,0)</f>
        <v>0</v>
      </c>
      <c r="AD130">
        <f>IF(AND(vp.data[[#This Row],[CrudeType]]="Crude",vp.data[[#This Row],[Dens]]&gt;865,vp.data[[#This Row],[Dens]]&lt;=900,vp.data[[#This Row],[Sulf]]&gt;2,vp.data[[#This Row],[Unknown]]=0),1,0)</f>
        <v>0</v>
      </c>
      <c r="AE130">
        <f>IF(AND(vp.data[[#This Row],[CrudeType]]="Crude",vp.data[[#This Row],[Dens]]&gt;900,vp.data[[#This Row],[Sulf]]&lt;=0.5,vp.data[[#This Row],[Unknown]]=0),1,0)</f>
        <v>0</v>
      </c>
      <c r="AF130">
        <f>IF(AND(vp.data[[#This Row],[CrudeType]]="Crude",vp.data[[#This Row],[Dens]]&gt;900,vp.data[[#This Row],[Sulf]]&lt;=0.5,vp.data[[#This Row],[Unknown]]=0),1,0)</f>
        <v>0</v>
      </c>
      <c r="AG130" t="str">
        <f>INDEX(vp.data[[#Headers],[Unknown]:[Heavy_SW]],MATCH(1,vp.data[[#This Row],[Unknown]:[Heavy_SW]],0))</f>
        <v>Light_LSB</v>
      </c>
      <c r="AH130">
        <f>INDEX([3]!crudeBD.lkup[Number],MATCH(vp.data[[#This Row],[Crude_Breakdown]],crudeBD.lkup[Crude Breakdown],0))</f>
        <v>1</v>
      </c>
      <c r="AI130">
        <f>MONTH(vp.data[[#This Row],[SDate]])</f>
        <v>4</v>
      </c>
      <c r="AJ130" s="5">
        <f>(vp.data[[#This Row],[VP]]-INDEX(crudeBD.lkup[Mean_VP],MATCH(vp.data[[#This Row],[Crude_Breakdown]],crudeBD.lkup[Crude Breakdown],0)))^2</f>
        <v>297.69411248804221</v>
      </c>
      <c r="AK130" s="5">
        <f>(vp.data[[#This Row],[Dens]]-INDEX(crudeBD.lkup[Mean_Dens],MATCH(vp.data[[#This Row],[Crude_Breakdown]],crudeBD.lkup[Crude Breakdown],0)))^2</f>
        <v>38.232336207654335</v>
      </c>
      <c r="AL130" s="5">
        <f>(vp.data[[#This Row],[Sulf]]-INDEX(crudeBD.lkup[Mean_Sulf],MATCH(vp.data[[#This Row],[Crude_Breakdown]],crudeBD.lkup[Crude Breakdown],0)))^2</f>
        <v>7.6744973546038778E-2</v>
      </c>
      <c r="AM130" s="4">
        <f>IF(AND(vp.data[[#This Row],[SDate]]&gt;=DATE(YEAR(vp.data[[#This Row],[SDate]]),5,1),vp.data[[#This Row],[SDate]]&lt;=DATE(YEAR(vp.data[[#This Row],[SDate]]),9,15)),1,0)</f>
        <v>0</v>
      </c>
      <c r="AN130" s="4">
        <f>IF(vp.data[[#This Row],[SDate]]&lt;DATE(2016,12,1),0,1)</f>
        <v>0</v>
      </c>
      <c r="AO130" s="4">
        <f>IFERROR(vp.data[[#This Row],[Sulf]]*vp.data[[#This Row],[Net Dens]],"")</f>
        <v>6801330.5892000003</v>
      </c>
      <c r="AP130">
        <f>IFERROR(vp.data[[#This Row],[Dens]]*vp.data[[#This Row],[VolumeM3]],"")</f>
        <v>5667775.4910000004</v>
      </c>
      <c r="AQ130" s="15">
        <f>IFERROR(vp.data[[#This Row],[VP]]*vp.data[[#This Row],[VolumeM3]],"")</f>
        <v>747731.26399999997</v>
      </c>
    </row>
    <row r="131" spans="1:43" x14ac:dyDescent="0.25">
      <c r="A131">
        <v>130</v>
      </c>
      <c r="B131" t="s">
        <v>49</v>
      </c>
      <c r="C131" t="s">
        <v>49</v>
      </c>
      <c r="D131" t="s">
        <v>74</v>
      </c>
      <c r="F131" s="1">
        <v>42475</v>
      </c>
      <c r="G131" s="2">
        <v>114.4</v>
      </c>
      <c r="H131" s="2"/>
      <c r="I131" s="2">
        <f t="array" ref="I131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131" s="2"/>
      <c r="K131" s="2"/>
      <c r="L131" s="2">
        <v>802.2</v>
      </c>
      <c r="M131" s="2">
        <f t="array" ref="M131">_xlfn.IFNA(IF(vp.data[[#This Row],[Dens Input]]="",INDEX([1]DATA!$O$3:$O$9826,MATCH(1,(vp.data[[#This Row],[Battery]]=[1]DATA!$L$3:$L$9826)*(EOMONTH(vp.data[[#This Row],[SDate]],-1)+1=[1]DATA!$G$3:$G$9826),0)),vp.data[[#This Row],[Dens Input]]),"")</f>
        <v>802.2</v>
      </c>
      <c r="N131" s="2">
        <f ca="1">INDEX(INDIRECT(_xlfn.CONCAT("weather.tbl[",N$1,"]")),MATCH(vp.data[[#This Row],[SDate]],weather.tbl[Date],0))</f>
        <v>3.9666666666666668</v>
      </c>
      <c r="O131" s="2">
        <f ca="1">INDEX(INDIRECT(_xlfn.CONCAT("weather.tbl[",O$1,"]")),MATCH(vp.data[[#This Row],[SDate]],weather.tbl[Date],0))</f>
        <v>4.5571428571428569</v>
      </c>
      <c r="P131" s="2">
        <f ca="1">INDEX(INDIRECT(_xlfn.CONCAT("weather.tbl[",P$1,"]")),MATCH(vp.data[[#This Row],[SDate]],weather.tbl[Date],0))</f>
        <v>4.8</v>
      </c>
      <c r="Q131" s="2">
        <f ca="1">INDEX(INDIRECT(_xlfn.CONCAT("weather.tbl[",Q$1,"]")),MATCH(vp.data[[#This Row],[SDate]],weather.tbl[Date],0))</f>
        <v>4.7</v>
      </c>
      <c r="R131" s="2">
        <f ca="1">INDEX(INDIRECT(_xlfn.CONCAT("weather.tbl[",R$1,"]")),MATCH(vp.data[[#This Row],[SDate]],weather.tbl[Date],0))</f>
        <v>3</v>
      </c>
      <c r="S131" s="2">
        <f ca="1">INDEX(INDIRECT(_xlfn.CONCAT("weather.tbl[",S$1,"]")),MATCH(vp.data[[#This Row],[SDate]],weather.tbl[Date],0))</f>
        <v>4</v>
      </c>
      <c r="T131" s="2">
        <f ca="1">INDEX(INDIRECT(_xlfn.CONCAT("weather.tbl[",T$1,"]")),MATCH(vp.data[[#This Row],[SDate]],weather.tbl[Date],0))</f>
        <v>5</v>
      </c>
      <c r="U131" s="2">
        <f ca="1">INDEX(INDIRECT(_xlfn.CONCAT("weather.tbl[",U$1,"]")),MATCH(vp.data[[#This Row],[SDate]],weather.tbl[Date],0))</f>
        <v>2.2999999999999998</v>
      </c>
      <c r="V131" s="2">
        <f t="array" ref="V1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47572.436999999998</v>
      </c>
      <c r="W131" t="s">
        <v>48</v>
      </c>
      <c r="X131">
        <f>IF(OR(vp.data[[#This Row],[Sulf]]="",vp.data[[#This Row],[Dens]]=""),1,0)</f>
        <v>0</v>
      </c>
      <c r="Y131">
        <f>IF(vp.data[[#This Row],[CrudeType]]="C5+",1,0)</f>
        <v>0</v>
      </c>
      <c r="Z131">
        <f>IF(AND(vp.data[[#This Row],[CrudeType]]="Crude",vp.data[[#This Row],[Dens]]&lt;=825,vp.data[[#This Row],[Sulf]]&gt;0.5,vp.data[[#This Row],[Unknown]]=0),1,0)</f>
        <v>0</v>
      </c>
      <c r="AA131">
        <f>IF(AND(vp.data[[#This Row],[CrudeType]]="Crude",vp.data[[#This Row],[Dens]]&lt;=825,vp.data[[#This Row],[Sulf]]&lt;=0.5,vp.data[[#This Row],[Unknown]]=0),1,0)</f>
        <v>1</v>
      </c>
      <c r="AB1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">
        <f>IF(AND(vp.data[[#This Row],[CrudeType]]="Crude",vp.data[[#This Row],[Dens]]&gt;825,vp.data[[#This Row],[Dens]]&lt;=900,vp.data[[#This Row],[Sulf]]&lt;=0.5,vp.data[[#This Row],[Unknown]]=0),1,0)</f>
        <v>0</v>
      </c>
      <c r="AD131">
        <f>IF(AND(vp.data[[#This Row],[CrudeType]]="Crude",vp.data[[#This Row],[Dens]]&gt;865,vp.data[[#This Row],[Dens]]&lt;=900,vp.data[[#This Row],[Sulf]]&gt;2,vp.data[[#This Row],[Unknown]]=0),1,0)</f>
        <v>0</v>
      </c>
      <c r="AE131">
        <f>IF(AND(vp.data[[#This Row],[CrudeType]]="Crude",vp.data[[#This Row],[Dens]]&gt;900,vp.data[[#This Row],[Sulf]]&lt;=0.5,vp.data[[#This Row],[Unknown]]=0),1,0)</f>
        <v>0</v>
      </c>
      <c r="AF131">
        <f>IF(AND(vp.data[[#This Row],[CrudeType]]="Crude",vp.data[[#This Row],[Dens]]&gt;900,vp.data[[#This Row],[Sulf]]&lt;=0.5,vp.data[[#This Row],[Unknown]]=0),1,0)</f>
        <v>0</v>
      </c>
      <c r="AG131" t="str">
        <f>INDEX(vp.data[[#Headers],[Unknown]:[Heavy_SW]],MATCH(1,vp.data[[#This Row],[Unknown]:[Heavy_SW]],0))</f>
        <v>Light_SW</v>
      </c>
      <c r="AH131">
        <f>INDEX([3]!crudeBD.lkup[Number],MATCH(vp.data[[#This Row],[Crude_Breakdown]],crudeBD.lkup[Crude Breakdown],0))</f>
        <v>2</v>
      </c>
      <c r="AI131">
        <f>MONTH(vp.data[[#This Row],[SDate]])</f>
        <v>4</v>
      </c>
      <c r="AJ131" s="5">
        <f>(vp.data[[#This Row],[VP]]-INDEX(crudeBD.lkup[Mean_VP],MATCH(vp.data[[#This Row],[Crude_Breakdown]],crudeBD.lkup[Crude Breakdown],0)))^2</f>
        <v>477.40879626558689</v>
      </c>
      <c r="AK131" s="5">
        <f>(vp.data[[#This Row],[Dens]]-INDEX(crudeBD.lkup[Mean_Dens],MATCH(vp.data[[#This Row],[Crude_Breakdown]],crudeBD.lkup[Crude Breakdown],0)))^2</f>
        <v>37.350410955574723</v>
      </c>
      <c r="AL131" s="5">
        <f>(vp.data[[#This Row],[Sulf]]-INDEX(crudeBD.lkup[Mean_Sulf],MATCH(vp.data[[#This Row],[Crude_Breakdown]],crudeBD.lkup[Crude Breakdown],0)))^2</f>
        <v>9.2624863475336272E-3</v>
      </c>
      <c r="AM131" s="4">
        <f>IF(AND(vp.data[[#This Row],[SDate]]&gt;=DATE(YEAR(vp.data[[#This Row],[SDate]]),5,1),vp.data[[#This Row],[SDate]]&lt;=DATE(YEAR(vp.data[[#This Row],[SDate]]),9,15)),1,0)</f>
        <v>0</v>
      </c>
      <c r="AN131" s="4">
        <f>IF(vp.data[[#This Row],[SDate]]&lt;DATE(2016,12,1),0,1)</f>
        <v>0</v>
      </c>
      <c r="AO131" s="4">
        <f>IFERROR(vp.data[[#This Row],[Sulf]]*vp.data[[#This Row],[Net Dens]],"")</f>
        <v>5342765.2545960005</v>
      </c>
      <c r="AP131">
        <f>IFERROR(vp.data[[#This Row],[Dens]]*vp.data[[#This Row],[VolumeM3]],"")</f>
        <v>38162608.961400002</v>
      </c>
      <c r="AQ131" s="15">
        <f>IFERROR(vp.data[[#This Row],[VP]]*vp.data[[#This Row],[VolumeM3]],"")</f>
        <v>5442286.7927999999</v>
      </c>
    </row>
    <row r="132" spans="1:43" x14ac:dyDescent="0.25">
      <c r="A132">
        <v>131</v>
      </c>
      <c r="B132" t="s">
        <v>49</v>
      </c>
      <c r="C132" t="s">
        <v>49</v>
      </c>
      <c r="D132" t="s">
        <v>67</v>
      </c>
      <c r="F132" s="1">
        <v>42475</v>
      </c>
      <c r="G132" s="2">
        <v>115.7</v>
      </c>
      <c r="H132" s="2"/>
      <c r="I132" s="2">
        <f t="array" ref="I132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32" s="2"/>
      <c r="K132" s="2"/>
      <c r="L132" s="2">
        <v>804.4</v>
      </c>
      <c r="M132" s="2">
        <f t="array" ref="M132">_xlfn.IFNA(IF(vp.data[[#This Row],[Dens Input]]="",INDEX([1]DATA!$O$3:$O$9826,MATCH(1,(vp.data[[#This Row],[Battery]]=[1]DATA!$L$3:$L$9826)*(EOMONTH(vp.data[[#This Row],[SDate]],-1)+1=[1]DATA!$G$3:$G$9826),0)),vp.data[[#This Row],[Dens Input]]),"")</f>
        <v>804.4</v>
      </c>
      <c r="N132" s="2">
        <f ca="1">INDEX(INDIRECT(_xlfn.CONCAT("weather.tbl[",N$1,"]")),MATCH(vp.data[[#This Row],[SDate]],weather.tbl[Date],0))</f>
        <v>3.9666666666666668</v>
      </c>
      <c r="O132" s="2">
        <f ca="1">INDEX(INDIRECT(_xlfn.CONCAT("weather.tbl[",O$1,"]")),MATCH(vp.data[[#This Row],[SDate]],weather.tbl[Date],0))</f>
        <v>4.5571428571428569</v>
      </c>
      <c r="P132" s="2">
        <f ca="1">INDEX(INDIRECT(_xlfn.CONCAT("weather.tbl[",P$1,"]")),MATCH(vp.data[[#This Row],[SDate]],weather.tbl[Date],0))</f>
        <v>4.8</v>
      </c>
      <c r="Q132" s="2">
        <f ca="1">INDEX(INDIRECT(_xlfn.CONCAT("weather.tbl[",Q$1,"]")),MATCH(vp.data[[#This Row],[SDate]],weather.tbl[Date],0))</f>
        <v>4.7</v>
      </c>
      <c r="R132" s="2">
        <f ca="1">INDEX(INDIRECT(_xlfn.CONCAT("weather.tbl[",R$1,"]")),MATCH(vp.data[[#This Row],[SDate]],weather.tbl[Date],0))</f>
        <v>3</v>
      </c>
      <c r="S132" s="2">
        <f ca="1">INDEX(INDIRECT(_xlfn.CONCAT("weather.tbl[",S$1,"]")),MATCH(vp.data[[#This Row],[SDate]],weather.tbl[Date],0))</f>
        <v>4</v>
      </c>
      <c r="T132" s="2">
        <f ca="1">INDEX(INDIRECT(_xlfn.CONCAT("weather.tbl[",T$1,"]")),MATCH(vp.data[[#This Row],[SDate]],weather.tbl[Date],0))</f>
        <v>5</v>
      </c>
      <c r="U132" s="2">
        <f ca="1">INDEX(INDIRECT(_xlfn.CONCAT("weather.tbl[",U$1,"]")),MATCH(vp.data[[#This Row],[SDate]],weather.tbl[Date],0))</f>
        <v>2.2999999999999998</v>
      </c>
      <c r="V132" s="2">
        <f t="array" ref="V1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57873.212</v>
      </c>
      <c r="W132" t="s">
        <v>48</v>
      </c>
      <c r="X132">
        <f>IF(OR(vp.data[[#This Row],[Sulf]]="",vp.data[[#This Row],[Dens]]=""),1,0)</f>
        <v>0</v>
      </c>
      <c r="Y132">
        <f>IF(vp.data[[#This Row],[CrudeType]]="C5+",1,0)</f>
        <v>0</v>
      </c>
      <c r="Z132">
        <f>IF(AND(vp.data[[#This Row],[CrudeType]]="Crude",vp.data[[#This Row],[Dens]]&lt;=825,vp.data[[#This Row],[Sulf]]&gt;0.5,vp.data[[#This Row],[Unknown]]=0),1,0)</f>
        <v>0</v>
      </c>
      <c r="AA132">
        <f>IF(AND(vp.data[[#This Row],[CrudeType]]="Crude",vp.data[[#This Row],[Dens]]&lt;=825,vp.data[[#This Row],[Sulf]]&lt;=0.5,vp.data[[#This Row],[Unknown]]=0),1,0)</f>
        <v>1</v>
      </c>
      <c r="AB1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">
        <f>IF(AND(vp.data[[#This Row],[CrudeType]]="Crude",vp.data[[#This Row],[Dens]]&gt;825,vp.data[[#This Row],[Dens]]&lt;=900,vp.data[[#This Row],[Sulf]]&lt;=0.5,vp.data[[#This Row],[Unknown]]=0),1,0)</f>
        <v>0</v>
      </c>
      <c r="AD132">
        <f>IF(AND(vp.data[[#This Row],[CrudeType]]="Crude",vp.data[[#This Row],[Dens]]&gt;865,vp.data[[#This Row],[Dens]]&lt;=900,vp.data[[#This Row],[Sulf]]&gt;2,vp.data[[#This Row],[Unknown]]=0),1,0)</f>
        <v>0</v>
      </c>
      <c r="AE132">
        <f>IF(AND(vp.data[[#This Row],[CrudeType]]="Crude",vp.data[[#This Row],[Dens]]&gt;900,vp.data[[#This Row],[Sulf]]&lt;=0.5,vp.data[[#This Row],[Unknown]]=0),1,0)</f>
        <v>0</v>
      </c>
      <c r="AF132">
        <f>IF(AND(vp.data[[#This Row],[CrudeType]]="Crude",vp.data[[#This Row],[Dens]]&gt;900,vp.data[[#This Row],[Sulf]]&lt;=0.5,vp.data[[#This Row],[Unknown]]=0),1,0)</f>
        <v>0</v>
      </c>
      <c r="AG132" t="str">
        <f>INDEX(vp.data[[#Headers],[Unknown]:[Heavy_SW]],MATCH(1,vp.data[[#This Row],[Unknown]:[Heavy_SW]],0))</f>
        <v>Light_SW</v>
      </c>
      <c r="AH132">
        <f>INDEX([3]!crudeBD.lkup[Number],MATCH(vp.data[[#This Row],[Crude_Breakdown]],crudeBD.lkup[Crude Breakdown],0))</f>
        <v>2</v>
      </c>
      <c r="AI132">
        <f>MONTH(vp.data[[#This Row],[SDate]])</f>
        <v>4</v>
      </c>
      <c r="AJ132" s="5">
        <f>(vp.data[[#This Row],[VP]]-INDEX(crudeBD.lkup[Mean_VP],MATCH(vp.data[[#This Row],[Crude_Breakdown]],crudeBD.lkup[Crude Breakdown],0)))^2</f>
        <v>535.90798093457636</v>
      </c>
      <c r="AK132" s="5">
        <f>(vp.data[[#This Row],[Dens]]-INDEX(crudeBD.lkup[Mean_Dens],MATCH(vp.data[[#This Row],[Crude_Breakdown]],crudeBD.lkup[Crude Breakdown],0)))^2</f>
        <v>15.299818621081645</v>
      </c>
      <c r="AL132" s="5">
        <f>(vp.data[[#This Row],[Sulf]]-INDEX(crudeBD.lkup[Mean_Sulf],MATCH(vp.data[[#This Row],[Crude_Breakdown]],crudeBD.lkup[Crude Breakdown],0)))^2</f>
        <v>6.8863268899706654E-4</v>
      </c>
      <c r="AM132" s="4">
        <f>IF(AND(vp.data[[#This Row],[SDate]]&gt;=DATE(YEAR(vp.data[[#This Row],[SDate]]),5,1),vp.data[[#This Row],[SDate]]&lt;=DATE(YEAR(vp.data[[#This Row],[SDate]]),9,15)),1,0)</f>
        <v>0</v>
      </c>
      <c r="AN132" s="4">
        <f>IF(vp.data[[#This Row],[SDate]]&lt;DATE(2016,12,1),0,1)</f>
        <v>0</v>
      </c>
      <c r="AO132" s="4">
        <f>IFERROR(vp.data[[#This Row],[Sulf]]*vp.data[[#This Row],[Net Dens]],"")</f>
        <v>9776174.4638879988</v>
      </c>
      <c r="AP132">
        <f>IFERROR(vp.data[[#This Row],[Dens]]*vp.data[[#This Row],[VolumeM3]],"")</f>
        <v>46553211.732799999</v>
      </c>
      <c r="AQ132" s="15">
        <f>IFERROR(vp.data[[#This Row],[VP]]*vp.data[[#This Row],[VolumeM3]],"")</f>
        <v>6695930.6283999998</v>
      </c>
    </row>
    <row r="133" spans="1:43" x14ac:dyDescent="0.25">
      <c r="A133">
        <v>132</v>
      </c>
      <c r="B133" t="s">
        <v>62</v>
      </c>
      <c r="C133" t="s">
        <v>62</v>
      </c>
      <c r="D133" t="s">
        <v>63</v>
      </c>
      <c r="F133" s="1">
        <v>42475</v>
      </c>
      <c r="G133" s="2">
        <v>106.3</v>
      </c>
      <c r="H133" s="2"/>
      <c r="I133" s="2">
        <f t="array" ref="I133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33" s="2"/>
      <c r="K133" s="2"/>
      <c r="L133" s="2">
        <v>813</v>
      </c>
      <c r="M133" s="2">
        <f t="array" ref="M133">_xlfn.IFNA(IF(vp.data[[#This Row],[Dens Input]]="",INDEX([1]DATA!$O$3:$O$9826,MATCH(1,(vp.data[[#This Row],[Battery]]=[1]DATA!$L$3:$L$9826)*(EOMONTH(vp.data[[#This Row],[SDate]],-1)+1=[1]DATA!$G$3:$G$9826),0)),vp.data[[#This Row],[Dens Input]]),"")</f>
        <v>813</v>
      </c>
      <c r="N133" s="2">
        <f ca="1">INDEX(INDIRECT(_xlfn.CONCAT("weather.tbl[",N$1,"]")),MATCH(vp.data[[#This Row],[SDate]],weather.tbl[Date],0))</f>
        <v>3.9666666666666668</v>
      </c>
      <c r="O133" s="2">
        <f ca="1">INDEX(INDIRECT(_xlfn.CONCAT("weather.tbl[",O$1,"]")),MATCH(vp.data[[#This Row],[SDate]],weather.tbl[Date],0))</f>
        <v>4.5571428571428569</v>
      </c>
      <c r="P133" s="2">
        <f ca="1">INDEX(INDIRECT(_xlfn.CONCAT("weather.tbl[",P$1,"]")),MATCH(vp.data[[#This Row],[SDate]],weather.tbl[Date],0))</f>
        <v>4.8</v>
      </c>
      <c r="Q133" s="2">
        <f ca="1">INDEX(INDIRECT(_xlfn.CONCAT("weather.tbl[",Q$1,"]")),MATCH(vp.data[[#This Row],[SDate]],weather.tbl[Date],0))</f>
        <v>4.7</v>
      </c>
      <c r="R133" s="2">
        <f ca="1">INDEX(INDIRECT(_xlfn.CONCAT("weather.tbl[",R$1,"]")),MATCH(vp.data[[#This Row],[SDate]],weather.tbl[Date],0))</f>
        <v>3</v>
      </c>
      <c r="S133" s="2">
        <f ca="1">INDEX(INDIRECT(_xlfn.CONCAT("weather.tbl[",S$1,"]")),MATCH(vp.data[[#This Row],[SDate]],weather.tbl[Date],0))</f>
        <v>4</v>
      </c>
      <c r="T133" s="2">
        <f ca="1">INDEX(INDIRECT(_xlfn.CONCAT("weather.tbl[",T$1,"]")),MATCH(vp.data[[#This Row],[SDate]],weather.tbl[Date],0))</f>
        <v>5</v>
      </c>
      <c r="U133" s="2">
        <f ca="1">INDEX(INDIRECT(_xlfn.CONCAT("weather.tbl[",U$1,"]")),MATCH(vp.data[[#This Row],[SDate]],weather.tbl[Date],0))</f>
        <v>2.2999999999999998</v>
      </c>
      <c r="V133" s="2">
        <f t="array" ref="V1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33" t="s">
        <v>48</v>
      </c>
      <c r="X133">
        <f>IF(OR(vp.data[[#This Row],[Sulf]]="",vp.data[[#This Row],[Dens]]=""),1,0)</f>
        <v>0</v>
      </c>
      <c r="Y133">
        <f>IF(vp.data[[#This Row],[CrudeType]]="C5+",1,0)</f>
        <v>0</v>
      </c>
      <c r="Z133">
        <f>IF(AND(vp.data[[#This Row],[CrudeType]]="Crude",vp.data[[#This Row],[Dens]]&lt;=825,vp.data[[#This Row],[Sulf]]&gt;0.5,vp.data[[#This Row],[Unknown]]=0),1,0)</f>
        <v>1</v>
      </c>
      <c r="AA133">
        <f>IF(AND(vp.data[[#This Row],[CrudeType]]="Crude",vp.data[[#This Row],[Dens]]&lt;=825,vp.data[[#This Row],[Sulf]]&lt;=0.5,vp.data[[#This Row],[Unknown]]=0),1,0)</f>
        <v>0</v>
      </c>
      <c r="AB1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">
        <f>IF(AND(vp.data[[#This Row],[CrudeType]]="Crude",vp.data[[#This Row],[Dens]]&gt;825,vp.data[[#This Row],[Dens]]&lt;=900,vp.data[[#This Row],[Sulf]]&lt;=0.5,vp.data[[#This Row],[Unknown]]=0),1,0)</f>
        <v>0</v>
      </c>
      <c r="AD133">
        <f>IF(AND(vp.data[[#This Row],[CrudeType]]="Crude",vp.data[[#This Row],[Dens]]&gt;865,vp.data[[#This Row],[Dens]]&lt;=900,vp.data[[#This Row],[Sulf]]&gt;2,vp.data[[#This Row],[Unknown]]=0),1,0)</f>
        <v>0</v>
      </c>
      <c r="AE133">
        <f>IF(AND(vp.data[[#This Row],[CrudeType]]="Crude",vp.data[[#This Row],[Dens]]&gt;900,vp.data[[#This Row],[Sulf]]&lt;=0.5,vp.data[[#This Row],[Unknown]]=0),1,0)</f>
        <v>0</v>
      </c>
      <c r="AF133">
        <f>IF(AND(vp.data[[#This Row],[CrudeType]]="Crude",vp.data[[#This Row],[Dens]]&gt;900,vp.data[[#This Row],[Sulf]]&lt;=0.5,vp.data[[#This Row],[Unknown]]=0),1,0)</f>
        <v>0</v>
      </c>
      <c r="AG133" t="str">
        <f>INDEX(vp.data[[#Headers],[Unknown]:[Heavy_SW]],MATCH(1,vp.data[[#This Row],[Unknown]:[Heavy_SW]],0))</f>
        <v>Light_LSB</v>
      </c>
      <c r="AH133">
        <f>INDEX([3]!crudeBD.lkup[Number],MATCH(vp.data[[#This Row],[Crude_Breakdown]],crudeBD.lkup[Crude Breakdown],0))</f>
        <v>1</v>
      </c>
      <c r="AI133">
        <f>MONTH(vp.data[[#This Row],[SDate]])</f>
        <v>4</v>
      </c>
      <c r="AJ133" s="5">
        <f>(vp.data[[#This Row],[VP]]-INDEX(crudeBD.lkup[Mean_VP],MATCH(vp.data[[#This Row],[Crude_Breakdown]],crudeBD.lkup[Crude Breakdown],0)))^2</f>
        <v>217.6750403230939</v>
      </c>
      <c r="AK133" s="5">
        <f>(vp.data[[#This Row],[Dens]]-INDEX(crudeBD.lkup[Mean_Dens],MATCH(vp.data[[#This Row],[Crude_Breakdown]],crudeBD.lkup[Crude Breakdown],0)))^2</f>
        <v>30.434748578780439</v>
      </c>
      <c r="AL133" s="5">
        <f>(vp.data[[#This Row],[Sulf]]-INDEX(crudeBD.lkup[Mean_Sulf],MATCH(vp.data[[#This Row],[Crude_Breakdown]],crudeBD.lkup[Crude Breakdown],0)))^2</f>
        <v>0.11358843333985327</v>
      </c>
      <c r="AM133" s="4">
        <f>IF(AND(vp.data[[#This Row],[SDate]]&gt;=DATE(YEAR(vp.data[[#This Row],[SDate]]),5,1),vp.data[[#This Row],[SDate]]&lt;=DATE(YEAR(vp.data[[#This Row],[SDate]]),9,15)),1,0)</f>
        <v>0</v>
      </c>
      <c r="AN133" s="4">
        <f>IF(vp.data[[#This Row],[SDate]]&lt;DATE(2016,12,1),0,1)</f>
        <v>0</v>
      </c>
      <c r="AO133" s="4">
        <f>IFERROR(vp.data[[#This Row],[Sulf]]*vp.data[[#This Row],[Net Dens]],"")</f>
        <v>6286107.8700000001</v>
      </c>
      <c r="AP133">
        <f>IFERROR(vp.data[[#This Row],[Dens]]*vp.data[[#This Row],[VolumeM3]],"")</f>
        <v>4988974.5</v>
      </c>
      <c r="AQ133" s="15">
        <f>IFERROR(vp.data[[#This Row],[VP]]*vp.data[[#This Row],[VolumeM3]],"")</f>
        <v>652309.94999999995</v>
      </c>
    </row>
    <row r="134" spans="1:43" x14ac:dyDescent="0.25">
      <c r="A134">
        <v>133</v>
      </c>
      <c r="B134" t="s">
        <v>60</v>
      </c>
      <c r="C134" t="s">
        <v>60</v>
      </c>
      <c r="D134" t="s">
        <v>61</v>
      </c>
      <c r="E134" t="s">
        <v>73</v>
      </c>
      <c r="F134" s="1">
        <v>42478</v>
      </c>
      <c r="G134" s="2">
        <v>95.1</v>
      </c>
      <c r="H134" s="2"/>
      <c r="I134" s="2">
        <f t="array" ref="I134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34" s="2"/>
      <c r="K134" s="2"/>
      <c r="L134" s="2"/>
      <c r="M134" s="2">
        <f t="array" ref="M134">_xlfn.IFNA(IF(vp.data[[#This Row],[Dens Input]]="",INDEX([1]DATA!$O$3:$O$9826,MATCH(1,(vp.data[[#This Row],[Battery]]=[1]DATA!$L$3:$L$9826)*(EOMONTH(vp.data[[#This Row],[SDate]],-1)+1=[1]DATA!$G$3:$G$9826),0)),vp.data[[#This Row],[Dens Input]]),"")</f>
        <v>822.6</v>
      </c>
      <c r="N134" s="2">
        <f ca="1">INDEX(INDIRECT(_xlfn.CONCAT("weather.tbl[",N$1,"]")),MATCH(vp.data[[#This Row],[SDate]],weather.tbl[Date],0))</f>
        <v>8.0499999999999989</v>
      </c>
      <c r="O134" s="2">
        <f ca="1">INDEX(INDIRECT(_xlfn.CONCAT("weather.tbl[",O$1,"]")),MATCH(vp.data[[#This Row],[SDate]],weather.tbl[Date],0))</f>
        <v>6.8285714285714283</v>
      </c>
      <c r="P134" s="2">
        <f ca="1">INDEX(INDIRECT(_xlfn.CONCAT("weather.tbl[",P$1,"]")),MATCH(vp.data[[#This Row],[SDate]],weather.tbl[Date],0))</f>
        <v>7.7</v>
      </c>
      <c r="Q134" s="2">
        <f ca="1">INDEX(INDIRECT(_xlfn.CONCAT("weather.tbl[",Q$1,"]")),MATCH(vp.data[[#This Row],[SDate]],weather.tbl[Date],0))</f>
        <v>7.7</v>
      </c>
      <c r="R134" s="2">
        <f ca="1">INDEX(INDIRECT(_xlfn.CONCAT("weather.tbl[",R$1,"]")),MATCH(vp.data[[#This Row],[SDate]],weather.tbl[Date],0))</f>
        <v>7.8</v>
      </c>
      <c r="S134" s="2">
        <f ca="1">INDEX(INDIRECT(_xlfn.CONCAT("weather.tbl[",S$1,"]")),MATCH(vp.data[[#This Row],[SDate]],weather.tbl[Date],0))</f>
        <v>8.5</v>
      </c>
      <c r="T134" s="2">
        <f ca="1">INDEX(INDIRECT(_xlfn.CONCAT("weather.tbl[",T$1,"]")),MATCH(vp.data[[#This Row],[SDate]],weather.tbl[Date],0))</f>
        <v>8.8000000000000007</v>
      </c>
      <c r="U134" s="2">
        <f ca="1">INDEX(INDIRECT(_xlfn.CONCAT("weather.tbl[",U$1,"]")),MATCH(vp.data[[#This Row],[SDate]],weather.tbl[Date],0))</f>
        <v>7.8</v>
      </c>
      <c r="V134" s="2">
        <f t="array" ref="V1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104990.086</v>
      </c>
      <c r="W134" t="s">
        <v>48</v>
      </c>
      <c r="X134">
        <f>IF(OR(vp.data[[#This Row],[Sulf]]="",vp.data[[#This Row],[Dens]]=""),1,0)</f>
        <v>0</v>
      </c>
      <c r="Y134">
        <f>IF(vp.data[[#This Row],[CrudeType]]="C5+",1,0)</f>
        <v>0</v>
      </c>
      <c r="Z134">
        <f>IF(AND(vp.data[[#This Row],[CrudeType]]="Crude",vp.data[[#This Row],[Dens]]&lt;=825,vp.data[[#This Row],[Sulf]]&gt;0.5,vp.data[[#This Row],[Unknown]]=0),1,0)</f>
        <v>1</v>
      </c>
      <c r="AA134">
        <f>IF(AND(vp.data[[#This Row],[CrudeType]]="Crude",vp.data[[#This Row],[Dens]]&lt;=825,vp.data[[#This Row],[Sulf]]&lt;=0.5,vp.data[[#This Row],[Unknown]]=0),1,0)</f>
        <v>0</v>
      </c>
      <c r="AB1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">
        <f>IF(AND(vp.data[[#This Row],[CrudeType]]="Crude",vp.data[[#This Row],[Dens]]&gt;825,vp.data[[#This Row],[Dens]]&lt;=900,vp.data[[#This Row],[Sulf]]&lt;=0.5,vp.data[[#This Row],[Unknown]]=0),1,0)</f>
        <v>0</v>
      </c>
      <c r="AD134">
        <f>IF(AND(vp.data[[#This Row],[CrudeType]]="Crude",vp.data[[#This Row],[Dens]]&gt;865,vp.data[[#This Row],[Dens]]&lt;=900,vp.data[[#This Row],[Sulf]]&gt;2,vp.data[[#This Row],[Unknown]]=0),1,0)</f>
        <v>0</v>
      </c>
      <c r="AE134">
        <f>IF(AND(vp.data[[#This Row],[CrudeType]]="Crude",vp.data[[#This Row],[Dens]]&gt;900,vp.data[[#This Row],[Sulf]]&lt;=0.5,vp.data[[#This Row],[Unknown]]=0),1,0)</f>
        <v>0</v>
      </c>
      <c r="AF134">
        <f>IF(AND(vp.data[[#This Row],[CrudeType]]="Crude",vp.data[[#This Row],[Dens]]&gt;900,vp.data[[#This Row],[Sulf]]&lt;=0.5,vp.data[[#This Row],[Unknown]]=0),1,0)</f>
        <v>0</v>
      </c>
      <c r="AG134" t="str">
        <f>INDEX(vp.data[[#Headers],[Unknown]:[Heavy_SW]],MATCH(1,vp.data[[#This Row],[Unknown]:[Heavy_SW]],0))</f>
        <v>Light_LSB</v>
      </c>
      <c r="AH134">
        <f>INDEX([3]!crudeBD.lkup[Number],MATCH(vp.data[[#This Row],[Crude_Breakdown]],crudeBD.lkup[Crude Breakdown],0))</f>
        <v>1</v>
      </c>
      <c r="AI134">
        <f>MONTH(vp.data[[#This Row],[SDate]])</f>
        <v>4</v>
      </c>
      <c r="AJ134" s="5">
        <f>(vp.data[[#This Row],[VP]]-INDEX(crudeBD.lkup[Mean_VP],MATCH(vp.data[[#This Row],[Crude_Breakdown]],crudeBD.lkup[Crude Breakdown],0)))^2</f>
        <v>12.629597024125575</v>
      </c>
      <c r="AK134" s="5">
        <f>(vp.data[[#This Row],[Dens]]-INDEX(crudeBD.lkup[Mean_Dens],MATCH(vp.data[[#This Row],[Crude_Breakdown]],crudeBD.lkup[Crude Breakdown],0)))^2</f>
        <v>16.67276919734336</v>
      </c>
      <c r="AL134" s="5">
        <f>(vp.data[[#This Row],[Sulf]]-INDEX(crudeBD.lkup[Mean_Sulf],MATCH(vp.data[[#This Row],[Crude_Breakdown]],crudeBD.lkup[Crude Breakdown],0)))^2</f>
        <v>5.1542090384526708E-2</v>
      </c>
      <c r="AM134" s="4">
        <f>IF(AND(vp.data[[#This Row],[SDate]]&gt;=DATE(YEAR(vp.data[[#This Row],[SDate]]),5,1),vp.data[[#This Row],[SDate]]&lt;=DATE(YEAR(vp.data[[#This Row],[SDate]]),9,15)),1,0)</f>
        <v>0</v>
      </c>
      <c r="AN134" s="4">
        <f>IF(vp.data[[#This Row],[SDate]]&lt;DATE(2016,12,1),0,1)</f>
        <v>0</v>
      </c>
      <c r="AO134" s="4">
        <f>IFERROR(vp.data[[#This Row],[Sulf]]*vp.data[[#This Row],[Net Dens]],"")</f>
        <v>99319571.455139995</v>
      </c>
      <c r="AP134">
        <f>IFERROR(vp.data[[#This Row],[Dens]]*vp.data[[#This Row],[VolumeM3]],"")</f>
        <v>86364844.743599996</v>
      </c>
      <c r="AQ134" s="15">
        <f>IFERROR(vp.data[[#This Row],[VP]]*vp.data[[#This Row],[VolumeM3]],"")</f>
        <v>9984557.1785999984</v>
      </c>
    </row>
    <row r="135" spans="1:43" x14ac:dyDescent="0.25">
      <c r="A135">
        <v>134</v>
      </c>
      <c r="B135" t="s">
        <v>49</v>
      </c>
      <c r="C135" t="s">
        <v>49</v>
      </c>
      <c r="D135" t="s">
        <v>75</v>
      </c>
      <c r="F135" s="1">
        <v>42478</v>
      </c>
      <c r="G135" s="2">
        <v>99.8</v>
      </c>
      <c r="H135" s="2"/>
      <c r="I135" s="2">
        <f t="array" ref="I135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135" s="2"/>
      <c r="K135" s="2"/>
      <c r="L135" s="2">
        <v>800.6</v>
      </c>
      <c r="M135" s="2">
        <f t="array" ref="M135">_xlfn.IFNA(IF(vp.data[[#This Row],[Dens Input]]="",INDEX([1]DATA!$O$3:$O$9826,MATCH(1,(vp.data[[#This Row],[Battery]]=[1]DATA!$L$3:$L$9826)*(EOMONTH(vp.data[[#This Row],[SDate]],-1)+1=[1]DATA!$G$3:$G$9826),0)),vp.data[[#This Row],[Dens Input]]),"")</f>
        <v>800.6</v>
      </c>
      <c r="N135" s="2">
        <f ca="1">INDEX(INDIRECT(_xlfn.CONCAT("weather.tbl[",N$1,"]")),MATCH(vp.data[[#This Row],[SDate]],weather.tbl[Date],0))</f>
        <v>8.0499999999999989</v>
      </c>
      <c r="O135" s="2">
        <f ca="1">INDEX(INDIRECT(_xlfn.CONCAT("weather.tbl[",O$1,"]")),MATCH(vp.data[[#This Row],[SDate]],weather.tbl[Date],0))</f>
        <v>6.8285714285714283</v>
      </c>
      <c r="P135" s="2">
        <f ca="1">INDEX(INDIRECT(_xlfn.CONCAT("weather.tbl[",P$1,"]")),MATCH(vp.data[[#This Row],[SDate]],weather.tbl[Date],0))</f>
        <v>7.7</v>
      </c>
      <c r="Q135" s="2">
        <f ca="1">INDEX(INDIRECT(_xlfn.CONCAT("weather.tbl[",Q$1,"]")),MATCH(vp.data[[#This Row],[SDate]],weather.tbl[Date],0))</f>
        <v>7.7</v>
      </c>
      <c r="R135" s="2">
        <f ca="1">INDEX(INDIRECT(_xlfn.CONCAT("weather.tbl[",R$1,"]")),MATCH(vp.data[[#This Row],[SDate]],weather.tbl[Date],0))</f>
        <v>7.8</v>
      </c>
      <c r="S135" s="2">
        <f ca="1">INDEX(INDIRECT(_xlfn.CONCAT("weather.tbl[",S$1,"]")),MATCH(vp.data[[#This Row],[SDate]],weather.tbl[Date],0))</f>
        <v>8.5</v>
      </c>
      <c r="T135" s="2">
        <f ca="1">INDEX(INDIRECT(_xlfn.CONCAT("weather.tbl[",T$1,"]")),MATCH(vp.data[[#This Row],[SDate]],weather.tbl[Date],0))</f>
        <v>8.8000000000000007</v>
      </c>
      <c r="U135" s="2">
        <f ca="1">INDEX(INDIRECT(_xlfn.CONCAT("weather.tbl[",U$1,"]")),MATCH(vp.data[[#This Row],[SDate]],weather.tbl[Date],0))</f>
        <v>7.8</v>
      </c>
      <c r="V135" s="2">
        <f t="array" ref="V1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20795.141</v>
      </c>
      <c r="W135" t="s">
        <v>48</v>
      </c>
      <c r="X135">
        <f>IF(OR(vp.data[[#This Row],[Sulf]]="",vp.data[[#This Row],[Dens]]=""),1,0)</f>
        <v>0</v>
      </c>
      <c r="Y135">
        <f>IF(vp.data[[#This Row],[CrudeType]]="C5+",1,0)</f>
        <v>0</v>
      </c>
      <c r="Z135">
        <f>IF(AND(vp.data[[#This Row],[CrudeType]]="Crude",vp.data[[#This Row],[Dens]]&lt;=825,vp.data[[#This Row],[Sulf]]&gt;0.5,vp.data[[#This Row],[Unknown]]=0),1,0)</f>
        <v>0</v>
      </c>
      <c r="AA135">
        <f>IF(AND(vp.data[[#This Row],[CrudeType]]="Crude",vp.data[[#This Row],[Dens]]&lt;=825,vp.data[[#This Row],[Sulf]]&lt;=0.5,vp.data[[#This Row],[Unknown]]=0),1,0)</f>
        <v>1</v>
      </c>
      <c r="AB1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">
        <f>IF(AND(vp.data[[#This Row],[CrudeType]]="Crude",vp.data[[#This Row],[Dens]]&gt;825,vp.data[[#This Row],[Dens]]&lt;=900,vp.data[[#This Row],[Sulf]]&lt;=0.5,vp.data[[#This Row],[Unknown]]=0),1,0)</f>
        <v>0</v>
      </c>
      <c r="AD135">
        <f>IF(AND(vp.data[[#This Row],[CrudeType]]="Crude",vp.data[[#This Row],[Dens]]&gt;865,vp.data[[#This Row],[Dens]]&lt;=900,vp.data[[#This Row],[Sulf]]&gt;2,vp.data[[#This Row],[Unknown]]=0),1,0)</f>
        <v>0</v>
      </c>
      <c r="AE135">
        <f>IF(AND(vp.data[[#This Row],[CrudeType]]="Crude",vp.data[[#This Row],[Dens]]&gt;900,vp.data[[#This Row],[Sulf]]&lt;=0.5,vp.data[[#This Row],[Unknown]]=0),1,0)</f>
        <v>0</v>
      </c>
      <c r="AF135">
        <f>IF(AND(vp.data[[#This Row],[CrudeType]]="Crude",vp.data[[#This Row],[Dens]]&gt;900,vp.data[[#This Row],[Sulf]]&lt;=0.5,vp.data[[#This Row],[Unknown]]=0),1,0)</f>
        <v>0</v>
      </c>
      <c r="AG135" t="str">
        <f>INDEX(vp.data[[#Headers],[Unknown]:[Heavy_SW]],MATCH(1,vp.data[[#This Row],[Unknown]:[Heavy_SW]],0))</f>
        <v>Light_SW</v>
      </c>
      <c r="AH135">
        <f>INDEX([3]!crudeBD.lkup[Number],MATCH(vp.data[[#This Row],[Crude_Breakdown]],crudeBD.lkup[Crude Breakdown],0))</f>
        <v>2</v>
      </c>
      <c r="AI135">
        <f>MONTH(vp.data[[#This Row],[SDate]])</f>
        <v>4</v>
      </c>
      <c r="AJ135" s="5">
        <f>(vp.data[[#This Row],[VP]]-INDEX(crudeBD.lkup[Mean_VP],MATCH(vp.data[[#This Row],[Crude_Breakdown]],crudeBD.lkup[Crude Breakdown],0)))^2</f>
        <v>52.557953060010824</v>
      </c>
      <c r="AK135" s="5">
        <f>(vp.data[[#This Row],[Dens]]-INDEX(crudeBD.lkup[Mean_Dens],MATCH(vp.data[[#This Row],[Crude_Breakdown]],crudeBD.lkup[Crude Breakdown],0)))^2</f>
        <v>59.467205380661341</v>
      </c>
      <c r="AL135" s="5">
        <f>(vp.data[[#This Row],[Sulf]]-INDEX(crudeBD.lkup[Mean_Sulf],MATCH(vp.data[[#This Row],[Crude_Breakdown]],crudeBD.lkup[Crude Breakdown],0)))^2</f>
        <v>7.4376501105998362E-3</v>
      </c>
      <c r="AM135" s="4">
        <f>IF(AND(vp.data[[#This Row],[SDate]]&gt;=DATE(YEAR(vp.data[[#This Row],[SDate]]),5,1),vp.data[[#This Row],[SDate]]&lt;=DATE(YEAR(vp.data[[#This Row],[SDate]]),9,15)),1,0)</f>
        <v>0</v>
      </c>
      <c r="AN135" s="4">
        <f>IF(vp.data[[#This Row],[SDate]]&lt;DATE(2016,12,1),0,1)</f>
        <v>0</v>
      </c>
      <c r="AO135" s="4">
        <f>IFERROR(vp.data[[#This Row],[Sulf]]*vp.data[[#This Row],[Net Dens]],"")</f>
        <v>2497288.48269</v>
      </c>
      <c r="AP135">
        <f>IFERROR(vp.data[[#This Row],[Dens]]*vp.data[[#This Row],[VolumeM3]],"")</f>
        <v>16648589.8846</v>
      </c>
      <c r="AQ135" s="15">
        <f>IFERROR(vp.data[[#This Row],[VP]]*vp.data[[#This Row],[VolumeM3]],"")</f>
        <v>2075355.0717999998</v>
      </c>
    </row>
    <row r="136" spans="1:43" x14ac:dyDescent="0.25">
      <c r="A136">
        <v>135</v>
      </c>
      <c r="B136" t="s">
        <v>51</v>
      </c>
      <c r="C136" t="s">
        <v>51</v>
      </c>
      <c r="D136" t="s">
        <v>58</v>
      </c>
      <c r="F136" s="1">
        <v>42478</v>
      </c>
      <c r="G136" s="2">
        <v>89.3</v>
      </c>
      <c r="H136" s="2"/>
      <c r="I136" s="2">
        <f t="array" ref="I136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36" s="2"/>
      <c r="K136" s="2"/>
      <c r="L136" s="2">
        <v>806.5</v>
      </c>
      <c r="M136" s="2">
        <f t="array" ref="M136">_xlfn.IFNA(IF(vp.data[[#This Row],[Dens Input]]="",INDEX([1]DATA!$O$3:$O$9826,MATCH(1,(vp.data[[#This Row],[Battery]]=[1]DATA!$L$3:$L$9826)*(EOMONTH(vp.data[[#This Row],[SDate]],-1)+1=[1]DATA!$G$3:$G$9826),0)),vp.data[[#This Row],[Dens Input]]),"")</f>
        <v>806.5</v>
      </c>
      <c r="N136" s="2">
        <f ca="1">INDEX(INDIRECT(_xlfn.CONCAT("weather.tbl[",N$1,"]")),MATCH(vp.data[[#This Row],[SDate]],weather.tbl[Date],0))</f>
        <v>8.0499999999999989</v>
      </c>
      <c r="O136" s="2">
        <f ca="1">INDEX(INDIRECT(_xlfn.CONCAT("weather.tbl[",O$1,"]")),MATCH(vp.data[[#This Row],[SDate]],weather.tbl[Date],0))</f>
        <v>6.8285714285714283</v>
      </c>
      <c r="P136" s="2">
        <f ca="1">INDEX(INDIRECT(_xlfn.CONCAT("weather.tbl[",P$1,"]")),MATCH(vp.data[[#This Row],[SDate]],weather.tbl[Date],0))</f>
        <v>7.7</v>
      </c>
      <c r="Q136" s="2">
        <f ca="1">INDEX(INDIRECT(_xlfn.CONCAT("weather.tbl[",Q$1,"]")),MATCH(vp.data[[#This Row],[SDate]],weather.tbl[Date],0))</f>
        <v>7.7</v>
      </c>
      <c r="R136" s="2">
        <f ca="1">INDEX(INDIRECT(_xlfn.CONCAT("weather.tbl[",R$1,"]")),MATCH(vp.data[[#This Row],[SDate]],weather.tbl[Date],0))</f>
        <v>7.8</v>
      </c>
      <c r="S136" s="2">
        <f ca="1">INDEX(INDIRECT(_xlfn.CONCAT("weather.tbl[",S$1,"]")),MATCH(vp.data[[#This Row],[SDate]],weather.tbl[Date],0))</f>
        <v>8.5</v>
      </c>
      <c r="T136" s="2">
        <f ca="1">INDEX(INDIRECT(_xlfn.CONCAT("weather.tbl[",T$1,"]")),MATCH(vp.data[[#This Row],[SDate]],weather.tbl[Date],0))</f>
        <v>8.8000000000000007</v>
      </c>
      <c r="U136" s="2">
        <f ca="1">INDEX(INDIRECT(_xlfn.CONCAT("weather.tbl[",U$1,"]")),MATCH(vp.data[[#This Row],[SDate]],weather.tbl[Date],0))</f>
        <v>7.8</v>
      </c>
      <c r="V136" s="2">
        <f t="array" ref="V1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6872.53</v>
      </c>
      <c r="W136" t="s">
        <v>48</v>
      </c>
      <c r="X136">
        <f>IF(OR(vp.data[[#This Row],[Sulf]]="",vp.data[[#This Row],[Dens]]=""),1,0)</f>
        <v>0</v>
      </c>
      <c r="Y136">
        <f>IF(vp.data[[#This Row],[CrudeType]]="C5+",1,0)</f>
        <v>0</v>
      </c>
      <c r="Z136">
        <f>IF(AND(vp.data[[#This Row],[CrudeType]]="Crude",vp.data[[#This Row],[Dens]]&lt;=825,vp.data[[#This Row],[Sulf]]&gt;0.5,vp.data[[#This Row],[Unknown]]=0),1,0)</f>
        <v>1</v>
      </c>
      <c r="AA136">
        <f>IF(AND(vp.data[[#This Row],[CrudeType]]="Crude",vp.data[[#This Row],[Dens]]&lt;=825,vp.data[[#This Row],[Sulf]]&lt;=0.5,vp.data[[#This Row],[Unknown]]=0),1,0)</f>
        <v>0</v>
      </c>
      <c r="AB1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6">
        <f>IF(AND(vp.data[[#This Row],[CrudeType]]="Crude",vp.data[[#This Row],[Dens]]&gt;825,vp.data[[#This Row],[Dens]]&lt;=900,vp.data[[#This Row],[Sulf]]&lt;=0.5,vp.data[[#This Row],[Unknown]]=0),1,0)</f>
        <v>0</v>
      </c>
      <c r="AD136">
        <f>IF(AND(vp.data[[#This Row],[CrudeType]]="Crude",vp.data[[#This Row],[Dens]]&gt;865,vp.data[[#This Row],[Dens]]&lt;=900,vp.data[[#This Row],[Sulf]]&gt;2,vp.data[[#This Row],[Unknown]]=0),1,0)</f>
        <v>0</v>
      </c>
      <c r="AE136">
        <f>IF(AND(vp.data[[#This Row],[CrudeType]]="Crude",vp.data[[#This Row],[Dens]]&gt;900,vp.data[[#This Row],[Sulf]]&lt;=0.5,vp.data[[#This Row],[Unknown]]=0),1,0)</f>
        <v>0</v>
      </c>
      <c r="AF136">
        <f>IF(AND(vp.data[[#This Row],[CrudeType]]="Crude",vp.data[[#This Row],[Dens]]&gt;900,vp.data[[#This Row],[Sulf]]&lt;=0.5,vp.data[[#This Row],[Unknown]]=0),1,0)</f>
        <v>0</v>
      </c>
      <c r="AG136" t="str">
        <f>INDEX(vp.data[[#Headers],[Unknown]:[Heavy_SW]],MATCH(1,vp.data[[#This Row],[Unknown]:[Heavy_SW]],0))</f>
        <v>Light_LSB</v>
      </c>
      <c r="AH136">
        <f>INDEX([3]!crudeBD.lkup[Number],MATCH(vp.data[[#This Row],[Crude_Breakdown]],crudeBD.lkup[Crude Breakdown],0))</f>
        <v>1</v>
      </c>
      <c r="AI136">
        <f>MONTH(vp.data[[#This Row],[SDate]])</f>
        <v>4</v>
      </c>
      <c r="AJ136" s="5">
        <f>(vp.data[[#This Row],[VP]]-INDEX(crudeBD.lkup[Mean_VP],MATCH(vp.data[[#This Row],[Crude_Breakdown]],crudeBD.lkup[Crude Breakdown],0)))^2</f>
        <v>5.0453496014455768</v>
      </c>
      <c r="AK136" s="5">
        <f>(vp.data[[#This Row],[Dens]]-INDEX(crudeBD.lkup[Mean_Dens],MATCH(vp.data[[#This Row],[Crude_Breakdown]],crudeBD.lkup[Crude Breakdown],0)))^2</f>
        <v>144.40275545162859</v>
      </c>
      <c r="AL136" s="5">
        <f>(vp.data[[#This Row],[Sulf]]-INDEX(crudeBD.lkup[Mean_Sulf],MATCH(vp.data[[#This Row],[Crude_Breakdown]],crudeBD.lkup[Crude Breakdown],0)))^2</f>
        <v>7.6744973546038778E-2</v>
      </c>
      <c r="AM136" s="4">
        <f>IF(AND(vp.data[[#This Row],[SDate]]&gt;=DATE(YEAR(vp.data[[#This Row],[SDate]]),5,1),vp.data[[#This Row],[SDate]]&lt;=DATE(YEAR(vp.data[[#This Row],[SDate]]),9,15)),1,0)</f>
        <v>0</v>
      </c>
      <c r="AN136" s="4">
        <f>IF(vp.data[[#This Row],[SDate]]&lt;DATE(2016,12,1),0,1)</f>
        <v>0</v>
      </c>
      <c r="AO136" s="4">
        <f>IFERROR(vp.data[[#This Row],[Sulf]]*vp.data[[#This Row],[Net Dens]],"")</f>
        <v>6651234.5339999991</v>
      </c>
      <c r="AP136">
        <f>IFERROR(vp.data[[#This Row],[Dens]]*vp.data[[#This Row],[VolumeM3]],"")</f>
        <v>5542695.4449999994</v>
      </c>
      <c r="AQ136" s="15">
        <f>IFERROR(vp.data[[#This Row],[VP]]*vp.data[[#This Row],[VolumeM3]],"")</f>
        <v>613716.929</v>
      </c>
    </row>
    <row r="137" spans="1:43" x14ac:dyDescent="0.25">
      <c r="A137">
        <v>136</v>
      </c>
      <c r="B137" t="s">
        <v>51</v>
      </c>
      <c r="C137" t="s">
        <v>51</v>
      </c>
      <c r="D137" t="s">
        <v>58</v>
      </c>
      <c r="F137" s="1">
        <v>42478</v>
      </c>
      <c r="G137" s="2">
        <v>88.9</v>
      </c>
      <c r="H137" s="2"/>
      <c r="I137" s="2">
        <f t="array" ref="I137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37" s="2"/>
      <c r="K137" s="2"/>
      <c r="L137" s="2">
        <v>806.5</v>
      </c>
      <c r="M137" s="2">
        <f t="array" ref="M137">_xlfn.IFNA(IF(vp.data[[#This Row],[Dens Input]]="",INDEX([1]DATA!$O$3:$O$9826,MATCH(1,(vp.data[[#This Row],[Battery]]=[1]DATA!$L$3:$L$9826)*(EOMONTH(vp.data[[#This Row],[SDate]],-1)+1=[1]DATA!$G$3:$G$9826),0)),vp.data[[#This Row],[Dens Input]]),"")</f>
        <v>806.5</v>
      </c>
      <c r="N137" s="2">
        <f ca="1">INDEX(INDIRECT(_xlfn.CONCAT("weather.tbl[",N$1,"]")),MATCH(vp.data[[#This Row],[SDate]],weather.tbl[Date],0))</f>
        <v>8.0499999999999989</v>
      </c>
      <c r="O137" s="2">
        <f ca="1">INDEX(INDIRECT(_xlfn.CONCAT("weather.tbl[",O$1,"]")),MATCH(vp.data[[#This Row],[SDate]],weather.tbl[Date],0))</f>
        <v>6.8285714285714283</v>
      </c>
      <c r="P137" s="2">
        <f ca="1">INDEX(INDIRECT(_xlfn.CONCAT("weather.tbl[",P$1,"]")),MATCH(vp.data[[#This Row],[SDate]],weather.tbl[Date],0))</f>
        <v>7.7</v>
      </c>
      <c r="Q137" s="2">
        <f ca="1">INDEX(INDIRECT(_xlfn.CONCAT("weather.tbl[",Q$1,"]")),MATCH(vp.data[[#This Row],[SDate]],weather.tbl[Date],0))</f>
        <v>7.7</v>
      </c>
      <c r="R137" s="2">
        <f ca="1">INDEX(INDIRECT(_xlfn.CONCAT("weather.tbl[",R$1,"]")),MATCH(vp.data[[#This Row],[SDate]],weather.tbl[Date],0))</f>
        <v>7.8</v>
      </c>
      <c r="S137" s="2">
        <f ca="1">INDEX(INDIRECT(_xlfn.CONCAT("weather.tbl[",S$1,"]")),MATCH(vp.data[[#This Row],[SDate]],weather.tbl[Date],0))</f>
        <v>8.5</v>
      </c>
      <c r="T137" s="2">
        <f ca="1">INDEX(INDIRECT(_xlfn.CONCAT("weather.tbl[",T$1,"]")),MATCH(vp.data[[#This Row],[SDate]],weather.tbl[Date],0))</f>
        <v>8.8000000000000007</v>
      </c>
      <c r="U137" s="2">
        <f ca="1">INDEX(INDIRECT(_xlfn.CONCAT("weather.tbl[",U$1,"]")),MATCH(vp.data[[#This Row],[SDate]],weather.tbl[Date],0))</f>
        <v>7.8</v>
      </c>
      <c r="V137" s="2">
        <f t="array" ref="V1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6872.53</v>
      </c>
      <c r="W137" t="s">
        <v>48</v>
      </c>
      <c r="X137">
        <f>IF(OR(vp.data[[#This Row],[Sulf]]="",vp.data[[#This Row],[Dens]]=""),1,0)</f>
        <v>0</v>
      </c>
      <c r="Y137">
        <f>IF(vp.data[[#This Row],[CrudeType]]="C5+",1,0)</f>
        <v>0</v>
      </c>
      <c r="Z137">
        <f>IF(AND(vp.data[[#This Row],[CrudeType]]="Crude",vp.data[[#This Row],[Dens]]&lt;=825,vp.data[[#This Row],[Sulf]]&gt;0.5,vp.data[[#This Row],[Unknown]]=0),1,0)</f>
        <v>1</v>
      </c>
      <c r="AA137">
        <f>IF(AND(vp.data[[#This Row],[CrudeType]]="Crude",vp.data[[#This Row],[Dens]]&lt;=825,vp.data[[#This Row],[Sulf]]&lt;=0.5,vp.data[[#This Row],[Unknown]]=0),1,0)</f>
        <v>0</v>
      </c>
      <c r="AB1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">
        <f>IF(AND(vp.data[[#This Row],[CrudeType]]="Crude",vp.data[[#This Row],[Dens]]&gt;825,vp.data[[#This Row],[Dens]]&lt;=900,vp.data[[#This Row],[Sulf]]&lt;=0.5,vp.data[[#This Row],[Unknown]]=0),1,0)</f>
        <v>0</v>
      </c>
      <c r="AD137">
        <f>IF(AND(vp.data[[#This Row],[CrudeType]]="Crude",vp.data[[#This Row],[Dens]]&gt;865,vp.data[[#This Row],[Dens]]&lt;=900,vp.data[[#This Row],[Sulf]]&gt;2,vp.data[[#This Row],[Unknown]]=0),1,0)</f>
        <v>0</v>
      </c>
      <c r="AE137">
        <f>IF(AND(vp.data[[#This Row],[CrudeType]]="Crude",vp.data[[#This Row],[Dens]]&gt;900,vp.data[[#This Row],[Sulf]]&lt;=0.5,vp.data[[#This Row],[Unknown]]=0),1,0)</f>
        <v>0</v>
      </c>
      <c r="AF137">
        <f>IF(AND(vp.data[[#This Row],[CrudeType]]="Crude",vp.data[[#This Row],[Dens]]&gt;900,vp.data[[#This Row],[Sulf]]&lt;=0.5,vp.data[[#This Row],[Unknown]]=0),1,0)</f>
        <v>0</v>
      </c>
      <c r="AG137" t="str">
        <f>INDEX(vp.data[[#Headers],[Unknown]:[Heavy_SW]],MATCH(1,vp.data[[#This Row],[Unknown]:[Heavy_SW]],0))</f>
        <v>Light_LSB</v>
      </c>
      <c r="AH137">
        <f>INDEX([3]!crudeBD.lkup[Number],MATCH(vp.data[[#This Row],[Crude_Breakdown]],crudeBD.lkup[Crude Breakdown],0))</f>
        <v>1</v>
      </c>
      <c r="AI137">
        <f>MONTH(vp.data[[#This Row],[SDate]])</f>
        <v>4</v>
      </c>
      <c r="AJ137" s="5">
        <f>(vp.data[[#This Row],[VP]]-INDEX(crudeBD.lkup[Mean_VP],MATCH(vp.data[[#This Row],[Crude_Breakdown]],crudeBD.lkup[Crude Breakdown],0)))^2</f>
        <v>7.0022980550538065</v>
      </c>
      <c r="AK137" s="5">
        <f>(vp.data[[#This Row],[Dens]]-INDEX(crudeBD.lkup[Mean_Dens],MATCH(vp.data[[#This Row],[Crude_Breakdown]],crudeBD.lkup[Crude Breakdown],0)))^2</f>
        <v>144.40275545162859</v>
      </c>
      <c r="AL137" s="5">
        <f>(vp.data[[#This Row],[Sulf]]-INDEX(crudeBD.lkup[Mean_Sulf],MATCH(vp.data[[#This Row],[Crude_Breakdown]],crudeBD.lkup[Crude Breakdown],0)))^2</f>
        <v>7.6744973546038778E-2</v>
      </c>
      <c r="AM137" s="4">
        <f>IF(AND(vp.data[[#This Row],[SDate]]&gt;=DATE(YEAR(vp.data[[#This Row],[SDate]]),5,1),vp.data[[#This Row],[SDate]]&lt;=DATE(YEAR(vp.data[[#This Row],[SDate]]),9,15)),1,0)</f>
        <v>0</v>
      </c>
      <c r="AN137" s="4">
        <f>IF(vp.data[[#This Row],[SDate]]&lt;DATE(2016,12,1),0,1)</f>
        <v>0</v>
      </c>
      <c r="AO137" s="4">
        <f>IFERROR(vp.data[[#This Row],[Sulf]]*vp.data[[#This Row],[Net Dens]],"")</f>
        <v>6651234.5339999991</v>
      </c>
      <c r="AP137">
        <f>IFERROR(vp.data[[#This Row],[Dens]]*vp.data[[#This Row],[VolumeM3]],"")</f>
        <v>5542695.4449999994</v>
      </c>
      <c r="AQ137" s="15">
        <f>IFERROR(vp.data[[#This Row],[VP]]*vp.data[[#This Row],[VolumeM3]],"")</f>
        <v>610967.91700000002</v>
      </c>
    </row>
    <row r="138" spans="1:43" x14ac:dyDescent="0.25">
      <c r="A138">
        <v>137</v>
      </c>
      <c r="B138" t="s">
        <v>62</v>
      </c>
      <c r="C138" t="s">
        <v>62</v>
      </c>
      <c r="D138" t="s">
        <v>83</v>
      </c>
      <c r="F138" s="1">
        <v>42478</v>
      </c>
      <c r="G138" s="2">
        <v>93.6</v>
      </c>
      <c r="H138" s="2"/>
      <c r="I138" s="2">
        <f t="array" ref="I138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38" s="2"/>
      <c r="K138" s="2"/>
      <c r="L138" s="2">
        <v>811.3</v>
      </c>
      <c r="M138" s="2">
        <f t="array" ref="M138">_xlfn.IFNA(IF(vp.data[[#This Row],[Dens Input]]="",INDEX([1]DATA!$O$3:$O$9826,MATCH(1,(vp.data[[#This Row],[Battery]]=[1]DATA!$L$3:$L$9826)*(EOMONTH(vp.data[[#This Row],[SDate]],-1)+1=[1]DATA!$G$3:$G$9826),0)),vp.data[[#This Row],[Dens Input]]),"")</f>
        <v>811.3</v>
      </c>
      <c r="N138" s="2">
        <f ca="1">INDEX(INDIRECT(_xlfn.CONCAT("weather.tbl[",N$1,"]")),MATCH(vp.data[[#This Row],[SDate]],weather.tbl[Date],0))</f>
        <v>8.0499999999999989</v>
      </c>
      <c r="O138" s="2">
        <f ca="1">INDEX(INDIRECT(_xlfn.CONCAT("weather.tbl[",O$1,"]")),MATCH(vp.data[[#This Row],[SDate]],weather.tbl[Date],0))</f>
        <v>6.8285714285714283</v>
      </c>
      <c r="P138" s="2">
        <f ca="1">INDEX(INDIRECT(_xlfn.CONCAT("weather.tbl[",P$1,"]")),MATCH(vp.data[[#This Row],[SDate]],weather.tbl[Date],0))</f>
        <v>7.7</v>
      </c>
      <c r="Q138" s="2">
        <f ca="1">INDEX(INDIRECT(_xlfn.CONCAT("weather.tbl[",Q$1,"]")),MATCH(vp.data[[#This Row],[SDate]],weather.tbl[Date],0))</f>
        <v>7.7</v>
      </c>
      <c r="R138" s="2">
        <f ca="1">INDEX(INDIRECT(_xlfn.CONCAT("weather.tbl[",R$1,"]")),MATCH(vp.data[[#This Row],[SDate]],weather.tbl[Date],0))</f>
        <v>7.8</v>
      </c>
      <c r="S138" s="2">
        <f ca="1">INDEX(INDIRECT(_xlfn.CONCAT("weather.tbl[",S$1,"]")),MATCH(vp.data[[#This Row],[SDate]],weather.tbl[Date],0))</f>
        <v>8.5</v>
      </c>
      <c r="T138" s="2">
        <f ca="1">INDEX(INDIRECT(_xlfn.CONCAT("weather.tbl[",T$1,"]")),MATCH(vp.data[[#This Row],[SDate]],weather.tbl[Date],0))</f>
        <v>8.8000000000000007</v>
      </c>
      <c r="U138" s="2">
        <f ca="1">INDEX(INDIRECT(_xlfn.CONCAT("weather.tbl[",U$1,"]")),MATCH(vp.data[[#This Row],[SDate]],weather.tbl[Date],0))</f>
        <v>7.8</v>
      </c>
      <c r="V138" s="2">
        <f t="array" ref="V1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9948.65</v>
      </c>
      <c r="W138" t="s">
        <v>48</v>
      </c>
      <c r="X138">
        <f>IF(OR(vp.data[[#This Row],[Sulf]]="",vp.data[[#This Row],[Dens]]=""),1,0)</f>
        <v>0</v>
      </c>
      <c r="Y138">
        <f>IF(vp.data[[#This Row],[CrudeType]]="C5+",1,0)</f>
        <v>0</v>
      </c>
      <c r="Z138">
        <f>IF(AND(vp.data[[#This Row],[CrudeType]]="Crude",vp.data[[#This Row],[Dens]]&lt;=825,vp.data[[#This Row],[Sulf]]&gt;0.5,vp.data[[#This Row],[Unknown]]=0),1,0)</f>
        <v>0</v>
      </c>
      <c r="AA138">
        <f>IF(AND(vp.data[[#This Row],[CrudeType]]="Crude",vp.data[[#This Row],[Dens]]&lt;=825,vp.data[[#This Row],[Sulf]]&lt;=0.5,vp.data[[#This Row],[Unknown]]=0),1,0)</f>
        <v>1</v>
      </c>
      <c r="AB1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">
        <f>IF(AND(vp.data[[#This Row],[CrudeType]]="Crude",vp.data[[#This Row],[Dens]]&gt;825,vp.data[[#This Row],[Dens]]&lt;=900,vp.data[[#This Row],[Sulf]]&lt;=0.5,vp.data[[#This Row],[Unknown]]=0),1,0)</f>
        <v>0</v>
      </c>
      <c r="AD138">
        <f>IF(AND(vp.data[[#This Row],[CrudeType]]="Crude",vp.data[[#This Row],[Dens]]&gt;865,vp.data[[#This Row],[Dens]]&lt;=900,vp.data[[#This Row],[Sulf]]&gt;2,vp.data[[#This Row],[Unknown]]=0),1,0)</f>
        <v>0</v>
      </c>
      <c r="AE138">
        <f>IF(AND(vp.data[[#This Row],[CrudeType]]="Crude",vp.data[[#This Row],[Dens]]&gt;900,vp.data[[#This Row],[Sulf]]&lt;=0.5,vp.data[[#This Row],[Unknown]]=0),1,0)</f>
        <v>0</v>
      </c>
      <c r="AF138">
        <f>IF(AND(vp.data[[#This Row],[CrudeType]]="Crude",vp.data[[#This Row],[Dens]]&gt;900,vp.data[[#This Row],[Sulf]]&lt;=0.5,vp.data[[#This Row],[Unknown]]=0),1,0)</f>
        <v>0</v>
      </c>
      <c r="AG138" t="str">
        <f>INDEX(vp.data[[#Headers],[Unknown]:[Heavy_SW]],MATCH(1,vp.data[[#This Row],[Unknown]:[Heavy_SW]],0))</f>
        <v>Light_SW</v>
      </c>
      <c r="AH138">
        <f>INDEX([3]!crudeBD.lkup[Number],MATCH(vp.data[[#This Row],[Crude_Breakdown]],crudeBD.lkup[Crude Breakdown],0))</f>
        <v>2</v>
      </c>
      <c r="AI138">
        <f>MONTH(vp.data[[#This Row],[SDate]])</f>
        <v>4</v>
      </c>
      <c r="AJ138" s="5">
        <f>(vp.data[[#This Row],[VP]]-INDEX(crudeBD.lkup[Mean_VP],MATCH(vp.data[[#This Row],[Crude_Breakdown]],crudeBD.lkup[Crude Breakdown],0)))^2</f>
        <v>1.1018415617526511</v>
      </c>
      <c r="AK138" s="5">
        <f>(vp.data[[#This Row],[Dens]]-INDEX(crudeBD.lkup[Mean_Dens],MATCH(vp.data[[#This Row],[Crude_Breakdown]],crudeBD.lkup[Crude Breakdown],0)))^2</f>
        <v>8.931142662896054</v>
      </c>
      <c r="AL138" s="5">
        <f>(vp.data[[#This Row],[Sulf]]-INDEX(crudeBD.lkup[Mean_Sulf],MATCH(vp.data[[#This Row],[Crude_Breakdown]],crudeBD.lkup[Crude Breakdown],0)))^2</f>
        <v>2.1383051628646554E-3</v>
      </c>
      <c r="AM138" s="4">
        <f>IF(AND(vp.data[[#This Row],[SDate]]&gt;=DATE(YEAR(vp.data[[#This Row],[SDate]]),5,1),vp.data[[#This Row],[SDate]]&lt;=DATE(YEAR(vp.data[[#This Row],[SDate]]),9,15)),1,0)</f>
        <v>0</v>
      </c>
      <c r="AN138" s="4">
        <f>IF(vp.data[[#This Row],[SDate]]&lt;DATE(2016,12,1),0,1)</f>
        <v>0</v>
      </c>
      <c r="AO138" s="4">
        <f>IFERROR(vp.data[[#This Row],[Sulf]]*vp.data[[#This Row],[Net Dens]],"")</f>
        <v>1533554.55155</v>
      </c>
      <c r="AP138">
        <f>IFERROR(vp.data[[#This Row],[Dens]]*vp.data[[#This Row],[VolumeM3]],"")</f>
        <v>8071339.7449999992</v>
      </c>
      <c r="AQ138" s="15">
        <f>IFERROR(vp.data[[#This Row],[VP]]*vp.data[[#This Row],[VolumeM3]],"")</f>
        <v>931193.6399999999</v>
      </c>
    </row>
    <row r="139" spans="1:43" x14ac:dyDescent="0.25">
      <c r="A139">
        <v>138</v>
      </c>
      <c r="B139" t="s">
        <v>62</v>
      </c>
      <c r="C139" t="s">
        <v>62</v>
      </c>
      <c r="D139" t="s">
        <v>79</v>
      </c>
      <c r="F139" s="1">
        <v>42478</v>
      </c>
      <c r="G139" s="2">
        <v>61.4</v>
      </c>
      <c r="H139" s="2"/>
      <c r="I139" s="2">
        <f t="array" ref="I139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39" s="2"/>
      <c r="K139" s="2"/>
      <c r="L139" s="2">
        <v>818.9</v>
      </c>
      <c r="M139" s="2">
        <f t="array" ref="M139">_xlfn.IFNA(IF(vp.data[[#This Row],[Dens Input]]="",INDEX([1]DATA!$O$3:$O$9826,MATCH(1,(vp.data[[#This Row],[Battery]]=[1]DATA!$L$3:$L$9826)*(EOMONTH(vp.data[[#This Row],[SDate]],-1)+1=[1]DATA!$G$3:$G$9826),0)),vp.data[[#This Row],[Dens Input]]),"")</f>
        <v>818.9</v>
      </c>
      <c r="N139" s="2">
        <f ca="1">INDEX(INDIRECT(_xlfn.CONCAT("weather.tbl[",N$1,"]")),MATCH(vp.data[[#This Row],[SDate]],weather.tbl[Date],0))</f>
        <v>8.0499999999999989</v>
      </c>
      <c r="O139" s="2">
        <f ca="1">INDEX(INDIRECT(_xlfn.CONCAT("weather.tbl[",O$1,"]")),MATCH(vp.data[[#This Row],[SDate]],weather.tbl[Date],0))</f>
        <v>6.8285714285714283</v>
      </c>
      <c r="P139" s="2">
        <f ca="1">INDEX(INDIRECT(_xlfn.CONCAT("weather.tbl[",P$1,"]")),MATCH(vp.data[[#This Row],[SDate]],weather.tbl[Date],0))</f>
        <v>7.7</v>
      </c>
      <c r="Q139" s="2">
        <f ca="1">INDEX(INDIRECT(_xlfn.CONCAT("weather.tbl[",Q$1,"]")),MATCH(vp.data[[#This Row],[SDate]],weather.tbl[Date],0))</f>
        <v>7.7</v>
      </c>
      <c r="R139" s="2">
        <f ca="1">INDEX(INDIRECT(_xlfn.CONCAT("weather.tbl[",R$1,"]")),MATCH(vp.data[[#This Row],[SDate]],weather.tbl[Date],0))</f>
        <v>7.8</v>
      </c>
      <c r="S139" s="2">
        <f ca="1">INDEX(INDIRECT(_xlfn.CONCAT("weather.tbl[",S$1,"]")),MATCH(vp.data[[#This Row],[SDate]],weather.tbl[Date],0))</f>
        <v>8.5</v>
      </c>
      <c r="T139" s="2">
        <f ca="1">INDEX(INDIRECT(_xlfn.CONCAT("weather.tbl[",T$1,"]")),MATCH(vp.data[[#This Row],[SDate]],weather.tbl[Date],0))</f>
        <v>8.8000000000000007</v>
      </c>
      <c r="U139" s="2">
        <f ca="1">INDEX(INDIRECT(_xlfn.CONCAT("weather.tbl[",U$1,"]")),MATCH(vp.data[[#This Row],[SDate]],weather.tbl[Date],0))</f>
        <v>7.8</v>
      </c>
      <c r="V139" s="2">
        <f t="array" ref="V1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14130.948</v>
      </c>
      <c r="W139" t="s">
        <v>48</v>
      </c>
      <c r="X139">
        <f>IF(OR(vp.data[[#This Row],[Sulf]]="",vp.data[[#This Row],[Dens]]=""),1,0)</f>
        <v>0</v>
      </c>
      <c r="Y139">
        <f>IF(vp.data[[#This Row],[CrudeType]]="C5+",1,0)</f>
        <v>0</v>
      </c>
      <c r="Z139">
        <f>IF(AND(vp.data[[#This Row],[CrudeType]]="Crude",vp.data[[#This Row],[Dens]]&lt;=825,vp.data[[#This Row],[Sulf]]&gt;0.5,vp.data[[#This Row],[Unknown]]=0),1,0)</f>
        <v>0</v>
      </c>
      <c r="AA139">
        <f>IF(AND(vp.data[[#This Row],[CrudeType]]="Crude",vp.data[[#This Row],[Dens]]&lt;=825,vp.data[[#This Row],[Sulf]]&lt;=0.5,vp.data[[#This Row],[Unknown]]=0),1,0)</f>
        <v>1</v>
      </c>
      <c r="AB1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9">
        <f>IF(AND(vp.data[[#This Row],[CrudeType]]="Crude",vp.data[[#This Row],[Dens]]&gt;825,vp.data[[#This Row],[Dens]]&lt;=900,vp.data[[#This Row],[Sulf]]&lt;=0.5,vp.data[[#This Row],[Unknown]]=0),1,0)</f>
        <v>0</v>
      </c>
      <c r="AD139">
        <f>IF(AND(vp.data[[#This Row],[CrudeType]]="Crude",vp.data[[#This Row],[Dens]]&gt;865,vp.data[[#This Row],[Dens]]&lt;=900,vp.data[[#This Row],[Sulf]]&gt;2,vp.data[[#This Row],[Unknown]]=0),1,0)</f>
        <v>0</v>
      </c>
      <c r="AE139">
        <f>IF(AND(vp.data[[#This Row],[CrudeType]]="Crude",vp.data[[#This Row],[Dens]]&gt;900,vp.data[[#This Row],[Sulf]]&lt;=0.5,vp.data[[#This Row],[Unknown]]=0),1,0)</f>
        <v>0</v>
      </c>
      <c r="AF139">
        <f>IF(AND(vp.data[[#This Row],[CrudeType]]="Crude",vp.data[[#This Row],[Dens]]&gt;900,vp.data[[#This Row],[Sulf]]&lt;=0.5,vp.data[[#This Row],[Unknown]]=0),1,0)</f>
        <v>0</v>
      </c>
      <c r="AG139" t="str">
        <f>INDEX(vp.data[[#Headers],[Unknown]:[Heavy_SW]],MATCH(1,vp.data[[#This Row],[Unknown]:[Heavy_SW]],0))</f>
        <v>Light_SW</v>
      </c>
      <c r="AH139">
        <f>INDEX([3]!crudeBD.lkup[Number],MATCH(vp.data[[#This Row],[Crude_Breakdown]],crudeBD.lkup[Crude Breakdown],0))</f>
        <v>2</v>
      </c>
      <c r="AI139">
        <f>MONTH(vp.data[[#This Row],[SDate]])</f>
        <v>4</v>
      </c>
      <c r="AJ139" s="5">
        <f>(vp.data[[#This Row],[VP]]-INDEX(crudeBD.lkup[Mean_VP],MATCH(vp.data[[#This Row],[Crude_Breakdown]],crudeBD.lkup[Crude Breakdown],0)))^2</f>
        <v>970.34203668370208</v>
      </c>
      <c r="AK139" s="5">
        <f>(vp.data[[#This Row],[Dens]]-INDEX(crudeBD.lkup[Mean_Dens],MATCH(vp.data[[#This Row],[Crude_Breakdown]],crudeBD.lkup[Crude Breakdown],0)))^2</f>
        <v>112.1163691437354</v>
      </c>
      <c r="AL139" s="5">
        <f>(vp.data[[#This Row],[Sulf]]-INDEX(crudeBD.lkup[Mean_Sulf],MATCH(vp.data[[#This Row],[Crude_Breakdown]],crudeBD.lkup[Crude Breakdown],0)))^2</f>
        <v>5.644515043280923E-4</v>
      </c>
      <c r="AM139" s="4">
        <f>IF(AND(vp.data[[#This Row],[SDate]]&gt;=DATE(YEAR(vp.data[[#This Row],[SDate]]),5,1),vp.data[[#This Row],[SDate]]&lt;=DATE(YEAR(vp.data[[#This Row],[SDate]]),9,15)),1,0)</f>
        <v>0</v>
      </c>
      <c r="AN139" s="4">
        <f>IF(vp.data[[#This Row],[SDate]]&lt;DATE(2016,12,1),0,1)</f>
        <v>0</v>
      </c>
      <c r="AO139" s="4">
        <f>IFERROR(vp.data[[#This Row],[Sulf]]*vp.data[[#This Row],[Net Dens]],"")</f>
        <v>3008676.6624719999</v>
      </c>
      <c r="AP139">
        <f>IFERROR(vp.data[[#This Row],[Dens]]*vp.data[[#This Row],[VolumeM3]],"")</f>
        <v>11571833.317199999</v>
      </c>
      <c r="AQ139" s="15">
        <f>IFERROR(vp.data[[#This Row],[VP]]*vp.data[[#This Row],[VolumeM3]],"")</f>
        <v>867640.20719999995</v>
      </c>
    </row>
    <row r="140" spans="1:43" x14ac:dyDescent="0.25">
      <c r="A140">
        <v>139</v>
      </c>
      <c r="B140" t="s">
        <v>49</v>
      </c>
      <c r="C140" t="s">
        <v>49</v>
      </c>
      <c r="D140" t="s">
        <v>81</v>
      </c>
      <c r="F140" s="1">
        <v>42478</v>
      </c>
      <c r="G140" s="2">
        <v>92.1</v>
      </c>
      <c r="H140" s="2"/>
      <c r="I140" s="2">
        <f t="array" ref="I140">_xlfn.IFNA(IF(vp.data[[#This Row],[Sulf Input]]="",INDEX([1]DATA!$Q$3:$Q$9826,MATCH(1,(vp.data[[#This Row],[Battery]]=[1]DATA!$L$3:$L$9826)*(EOMONTH(vp.data[[#This Row],[SDate]],-1)+1=[1]DATA!$G$3:$G$9826),0)),vp.data[[#This Row],[Sulf Input]]),"")</f>
        <v>0.48</v>
      </c>
      <c r="J140" s="2"/>
      <c r="K140" s="2"/>
      <c r="L140" s="2">
        <v>819.1</v>
      </c>
      <c r="M140" s="2">
        <f t="array" ref="M140">_xlfn.IFNA(IF(vp.data[[#This Row],[Dens Input]]="",INDEX([1]DATA!$O$3:$O$9826,MATCH(1,(vp.data[[#This Row],[Battery]]=[1]DATA!$L$3:$L$9826)*(EOMONTH(vp.data[[#This Row],[SDate]],-1)+1=[1]DATA!$G$3:$G$9826),0)),vp.data[[#This Row],[Dens Input]]),"")</f>
        <v>819.1</v>
      </c>
      <c r="N140" s="2">
        <f ca="1">INDEX(INDIRECT(_xlfn.CONCAT("weather.tbl[",N$1,"]")),MATCH(vp.data[[#This Row],[SDate]],weather.tbl[Date],0))</f>
        <v>8.0499999999999989</v>
      </c>
      <c r="O140" s="2">
        <f ca="1">INDEX(INDIRECT(_xlfn.CONCAT("weather.tbl[",O$1,"]")),MATCH(vp.data[[#This Row],[SDate]],weather.tbl[Date],0))</f>
        <v>6.8285714285714283</v>
      </c>
      <c r="P140" s="2">
        <f ca="1">INDEX(INDIRECT(_xlfn.CONCAT("weather.tbl[",P$1,"]")),MATCH(vp.data[[#This Row],[SDate]],weather.tbl[Date],0))</f>
        <v>7.7</v>
      </c>
      <c r="Q140" s="2">
        <f ca="1">INDEX(INDIRECT(_xlfn.CONCAT("weather.tbl[",Q$1,"]")),MATCH(vp.data[[#This Row],[SDate]],weather.tbl[Date],0))</f>
        <v>7.7</v>
      </c>
      <c r="R140" s="2">
        <f ca="1">INDEX(INDIRECT(_xlfn.CONCAT("weather.tbl[",R$1,"]")),MATCH(vp.data[[#This Row],[SDate]],weather.tbl[Date],0))</f>
        <v>7.8</v>
      </c>
      <c r="S140" s="2">
        <f ca="1">INDEX(INDIRECT(_xlfn.CONCAT("weather.tbl[",S$1,"]")),MATCH(vp.data[[#This Row],[SDate]],weather.tbl[Date],0))</f>
        <v>8.5</v>
      </c>
      <c r="T140" s="2">
        <f ca="1">INDEX(INDIRECT(_xlfn.CONCAT("weather.tbl[",T$1,"]")),MATCH(vp.data[[#This Row],[SDate]],weather.tbl[Date],0))</f>
        <v>8.8000000000000007</v>
      </c>
      <c r="U140" s="2">
        <f ca="1">INDEX(INDIRECT(_xlfn.CONCAT("weather.tbl[",U$1,"]")),MATCH(vp.data[[#This Row],[SDate]],weather.tbl[Date],0))</f>
        <v>7.8</v>
      </c>
      <c r="V140" s="2">
        <f t="array" ref="V1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26331.701000000001</v>
      </c>
      <c r="W140" t="s">
        <v>48</v>
      </c>
      <c r="X140">
        <f>IF(OR(vp.data[[#This Row],[Sulf]]="",vp.data[[#This Row],[Dens]]=""),1,0)</f>
        <v>0</v>
      </c>
      <c r="Y140">
        <f>IF(vp.data[[#This Row],[CrudeType]]="C5+",1,0)</f>
        <v>0</v>
      </c>
      <c r="Z140">
        <f>IF(AND(vp.data[[#This Row],[CrudeType]]="Crude",vp.data[[#This Row],[Dens]]&lt;=825,vp.data[[#This Row],[Sulf]]&gt;0.5,vp.data[[#This Row],[Unknown]]=0),1,0)</f>
        <v>0</v>
      </c>
      <c r="AA140">
        <f>IF(AND(vp.data[[#This Row],[CrudeType]]="Crude",vp.data[[#This Row],[Dens]]&lt;=825,vp.data[[#This Row],[Sulf]]&lt;=0.5,vp.data[[#This Row],[Unknown]]=0),1,0)</f>
        <v>1</v>
      </c>
      <c r="AB1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0">
        <f>IF(AND(vp.data[[#This Row],[CrudeType]]="Crude",vp.data[[#This Row],[Dens]]&gt;825,vp.data[[#This Row],[Dens]]&lt;=900,vp.data[[#This Row],[Sulf]]&lt;=0.5,vp.data[[#This Row],[Unknown]]=0),1,0)</f>
        <v>0</v>
      </c>
      <c r="AD140">
        <f>IF(AND(vp.data[[#This Row],[CrudeType]]="Crude",vp.data[[#This Row],[Dens]]&gt;865,vp.data[[#This Row],[Dens]]&lt;=900,vp.data[[#This Row],[Sulf]]&gt;2,vp.data[[#This Row],[Unknown]]=0),1,0)</f>
        <v>0</v>
      </c>
      <c r="AE140">
        <f>IF(AND(vp.data[[#This Row],[CrudeType]]="Crude",vp.data[[#This Row],[Dens]]&gt;900,vp.data[[#This Row],[Sulf]]&lt;=0.5,vp.data[[#This Row],[Unknown]]=0),1,0)</f>
        <v>0</v>
      </c>
      <c r="AF140">
        <f>IF(AND(vp.data[[#This Row],[CrudeType]]="Crude",vp.data[[#This Row],[Dens]]&gt;900,vp.data[[#This Row],[Sulf]]&lt;=0.5,vp.data[[#This Row],[Unknown]]=0),1,0)</f>
        <v>0</v>
      </c>
      <c r="AG140" t="str">
        <f>INDEX(vp.data[[#Headers],[Unknown]:[Heavy_SW]],MATCH(1,vp.data[[#This Row],[Unknown]:[Heavy_SW]],0))</f>
        <v>Light_SW</v>
      </c>
      <c r="AH140">
        <f>INDEX([3]!crudeBD.lkup[Number],MATCH(vp.data[[#This Row],[Crude_Breakdown]],crudeBD.lkup[Crude Breakdown],0))</f>
        <v>2</v>
      </c>
      <c r="AI140">
        <f>MONTH(vp.data[[#This Row],[SDate]])</f>
        <v>4</v>
      </c>
      <c r="AJ140" s="5">
        <f>(vp.data[[#This Row],[VP]]-INDEX(crudeBD.lkup[Mean_VP],MATCH(vp.data[[#This Row],[Crude_Breakdown]],crudeBD.lkup[Crude Breakdown],0)))^2</f>
        <v>0.20278232830310228</v>
      </c>
      <c r="AK140" s="5">
        <f>(vp.data[[#This Row],[Dens]]-INDEX(crudeBD.lkup[Mean_Dens],MATCH(vp.data[[#This Row],[Crude_Breakdown]],crudeBD.lkup[Crude Breakdown],0)))^2</f>
        <v>116.39176984060057</v>
      </c>
      <c r="AL140" s="5">
        <f>(vp.data[[#This Row],[Sulf]]-INDEX(crudeBD.lkup[Mean_Sulf],MATCH(vp.data[[#This Row],[Crude_Breakdown]],crudeBD.lkup[Crude Breakdown],0)))^2</f>
        <v>5.9418054291784594E-2</v>
      </c>
      <c r="AM140" s="4">
        <f>IF(AND(vp.data[[#This Row],[SDate]]&gt;=DATE(YEAR(vp.data[[#This Row],[SDate]]),5,1),vp.data[[#This Row],[SDate]]&lt;=DATE(YEAR(vp.data[[#This Row],[SDate]]),9,15)),1,0)</f>
        <v>0</v>
      </c>
      <c r="AN140" s="4">
        <f>IF(vp.data[[#This Row],[SDate]]&lt;DATE(2016,12,1),0,1)</f>
        <v>0</v>
      </c>
      <c r="AO140" s="4">
        <f>IFERROR(vp.data[[#This Row],[Sulf]]*vp.data[[#This Row],[Net Dens]],"")</f>
        <v>10352782.218768001</v>
      </c>
      <c r="AP140">
        <f>IFERROR(vp.data[[#This Row],[Dens]]*vp.data[[#This Row],[VolumeM3]],"")</f>
        <v>21568296.289100002</v>
      </c>
      <c r="AQ140" s="15">
        <f>IFERROR(vp.data[[#This Row],[VP]]*vp.data[[#This Row],[VolumeM3]],"")</f>
        <v>2425149.6620999998</v>
      </c>
    </row>
    <row r="141" spans="1:43" x14ac:dyDescent="0.25">
      <c r="A141">
        <v>140</v>
      </c>
      <c r="B141" t="s">
        <v>62</v>
      </c>
      <c r="C141" t="s">
        <v>62</v>
      </c>
      <c r="D141" t="s">
        <v>63</v>
      </c>
      <c r="F141" s="1">
        <v>42478</v>
      </c>
      <c r="G141" s="2">
        <v>92.9</v>
      </c>
      <c r="H141" s="2"/>
      <c r="I141" s="2">
        <f t="array" ref="I141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41" s="2"/>
      <c r="K141" s="2"/>
      <c r="L141" s="2">
        <v>824.7</v>
      </c>
      <c r="M141" s="2">
        <f t="array" ref="M141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41" s="2">
        <f ca="1">INDEX(INDIRECT(_xlfn.CONCAT("weather.tbl[",N$1,"]")),MATCH(vp.data[[#This Row],[SDate]],weather.tbl[Date],0))</f>
        <v>8.0499999999999989</v>
      </c>
      <c r="O141" s="2">
        <f ca="1">INDEX(INDIRECT(_xlfn.CONCAT("weather.tbl[",O$1,"]")),MATCH(vp.data[[#This Row],[SDate]],weather.tbl[Date],0))</f>
        <v>6.8285714285714283</v>
      </c>
      <c r="P141" s="2">
        <f ca="1">INDEX(INDIRECT(_xlfn.CONCAT("weather.tbl[",P$1,"]")),MATCH(vp.data[[#This Row],[SDate]],weather.tbl[Date],0))</f>
        <v>7.7</v>
      </c>
      <c r="Q141" s="2">
        <f ca="1">INDEX(INDIRECT(_xlfn.CONCAT("weather.tbl[",Q$1,"]")),MATCH(vp.data[[#This Row],[SDate]],weather.tbl[Date],0))</f>
        <v>7.7</v>
      </c>
      <c r="R141" s="2">
        <f ca="1">INDEX(INDIRECT(_xlfn.CONCAT("weather.tbl[",R$1,"]")),MATCH(vp.data[[#This Row],[SDate]],weather.tbl[Date],0))</f>
        <v>7.8</v>
      </c>
      <c r="S141" s="2">
        <f ca="1">INDEX(INDIRECT(_xlfn.CONCAT("weather.tbl[",S$1,"]")),MATCH(vp.data[[#This Row],[SDate]],weather.tbl[Date],0))</f>
        <v>8.5</v>
      </c>
      <c r="T141" s="2">
        <f ca="1">INDEX(INDIRECT(_xlfn.CONCAT("weather.tbl[",T$1,"]")),MATCH(vp.data[[#This Row],[SDate]],weather.tbl[Date],0))</f>
        <v>8.8000000000000007</v>
      </c>
      <c r="U141" s="2">
        <f ca="1">INDEX(INDIRECT(_xlfn.CONCAT("weather.tbl[",U$1,"]")),MATCH(vp.data[[#This Row],[SDate]],weather.tbl[Date],0))</f>
        <v>7.8</v>
      </c>
      <c r="V141" s="2">
        <f t="array" ref="V1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41" t="s">
        <v>48</v>
      </c>
      <c r="X141">
        <f>IF(OR(vp.data[[#This Row],[Sulf]]="",vp.data[[#This Row],[Dens]]=""),1,0)</f>
        <v>0</v>
      </c>
      <c r="Y141">
        <f>IF(vp.data[[#This Row],[CrudeType]]="C5+",1,0)</f>
        <v>0</v>
      </c>
      <c r="Z141">
        <f>IF(AND(vp.data[[#This Row],[CrudeType]]="Crude",vp.data[[#This Row],[Dens]]&lt;=825,vp.data[[#This Row],[Sulf]]&gt;0.5,vp.data[[#This Row],[Unknown]]=0),1,0)</f>
        <v>1</v>
      </c>
      <c r="AA141">
        <f>IF(AND(vp.data[[#This Row],[CrudeType]]="Crude",vp.data[[#This Row],[Dens]]&lt;=825,vp.data[[#This Row],[Sulf]]&lt;=0.5,vp.data[[#This Row],[Unknown]]=0),1,0)</f>
        <v>0</v>
      </c>
      <c r="AB1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1">
        <f>IF(AND(vp.data[[#This Row],[CrudeType]]="Crude",vp.data[[#This Row],[Dens]]&gt;825,vp.data[[#This Row],[Dens]]&lt;=900,vp.data[[#This Row],[Sulf]]&lt;=0.5,vp.data[[#This Row],[Unknown]]=0),1,0)</f>
        <v>0</v>
      </c>
      <c r="AD141">
        <f>IF(AND(vp.data[[#This Row],[CrudeType]]="Crude",vp.data[[#This Row],[Dens]]&gt;865,vp.data[[#This Row],[Dens]]&lt;=900,vp.data[[#This Row],[Sulf]]&gt;2,vp.data[[#This Row],[Unknown]]=0),1,0)</f>
        <v>0</v>
      </c>
      <c r="AE141">
        <f>IF(AND(vp.data[[#This Row],[CrudeType]]="Crude",vp.data[[#This Row],[Dens]]&gt;900,vp.data[[#This Row],[Sulf]]&lt;=0.5,vp.data[[#This Row],[Unknown]]=0),1,0)</f>
        <v>0</v>
      </c>
      <c r="AF141">
        <f>IF(AND(vp.data[[#This Row],[CrudeType]]="Crude",vp.data[[#This Row],[Dens]]&gt;900,vp.data[[#This Row],[Sulf]]&lt;=0.5,vp.data[[#This Row],[Unknown]]=0),1,0)</f>
        <v>0</v>
      </c>
      <c r="AG141" t="str">
        <f>INDEX(vp.data[[#Headers],[Unknown]:[Heavy_SW]],MATCH(1,vp.data[[#This Row],[Unknown]:[Heavy_SW]],0))</f>
        <v>Light_LSB</v>
      </c>
      <c r="AH141">
        <f>INDEX([3]!crudeBD.lkup[Number],MATCH(vp.data[[#This Row],[Crude_Breakdown]],crudeBD.lkup[Crude Breakdown],0))</f>
        <v>1</v>
      </c>
      <c r="AI141">
        <f>MONTH(vp.data[[#This Row],[SDate]])</f>
        <v>4</v>
      </c>
      <c r="AJ141" s="5">
        <f>(vp.data[[#This Row],[VP]]-INDEX(crudeBD.lkup[Mean_VP],MATCH(vp.data[[#This Row],[Crude_Breakdown]],crudeBD.lkup[Crude Breakdown],0)))^2</f>
        <v>1.832813518971129</v>
      </c>
      <c r="AK141" s="5">
        <f>(vp.data[[#This Row],[Dens]]-INDEX(crudeBD.lkup[Mean_Dens],MATCH(vp.data[[#This Row],[Crude_Breakdown]],crudeBD.lkup[Crude Breakdown],0)))^2</f>
        <v>38.232336207654335</v>
      </c>
      <c r="AL141" s="5">
        <f>(vp.data[[#This Row],[Sulf]]-INDEX(crudeBD.lkup[Mean_Sulf],MATCH(vp.data[[#This Row],[Crude_Breakdown]],crudeBD.lkup[Crude Breakdown],0)))^2</f>
        <v>0.11358843333985327</v>
      </c>
      <c r="AM141" s="4">
        <f>IF(AND(vp.data[[#This Row],[SDate]]&gt;=DATE(YEAR(vp.data[[#This Row],[SDate]]),5,1),vp.data[[#This Row],[SDate]]&lt;=DATE(YEAR(vp.data[[#This Row],[SDate]]),9,15)),1,0)</f>
        <v>0</v>
      </c>
      <c r="AN141" s="4">
        <f>IF(vp.data[[#This Row],[SDate]]&lt;DATE(2016,12,1),0,1)</f>
        <v>0</v>
      </c>
      <c r="AO141" s="4">
        <f>IFERROR(vp.data[[#This Row],[Sulf]]*vp.data[[#This Row],[Net Dens]],"")</f>
        <v>6376572.1529999999</v>
      </c>
      <c r="AP141">
        <f>IFERROR(vp.data[[#This Row],[Dens]]*vp.data[[#This Row],[VolumeM3]],"")</f>
        <v>5060771.55</v>
      </c>
      <c r="AQ141" s="15">
        <f>IFERROR(vp.data[[#This Row],[VP]]*vp.data[[#This Row],[VolumeM3]],"")</f>
        <v>570080.85</v>
      </c>
    </row>
    <row r="142" spans="1:43" x14ac:dyDescent="0.25">
      <c r="A142">
        <v>141</v>
      </c>
      <c r="B142" t="s">
        <v>62</v>
      </c>
      <c r="C142" t="s">
        <v>62</v>
      </c>
      <c r="D142" t="s">
        <v>63</v>
      </c>
      <c r="F142" s="1">
        <v>42478</v>
      </c>
      <c r="G142" s="2">
        <v>95.7</v>
      </c>
      <c r="H142" s="2"/>
      <c r="I142" s="2">
        <f t="array" ref="I142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42" s="2"/>
      <c r="K142" s="2"/>
      <c r="L142" s="2">
        <v>824.7</v>
      </c>
      <c r="M142" s="2">
        <f t="array" ref="M142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42" s="2">
        <f ca="1">INDEX(INDIRECT(_xlfn.CONCAT("weather.tbl[",N$1,"]")),MATCH(vp.data[[#This Row],[SDate]],weather.tbl[Date],0))</f>
        <v>8.0499999999999989</v>
      </c>
      <c r="O142" s="2">
        <f ca="1">INDEX(INDIRECT(_xlfn.CONCAT("weather.tbl[",O$1,"]")),MATCH(vp.data[[#This Row],[SDate]],weather.tbl[Date],0))</f>
        <v>6.8285714285714283</v>
      </c>
      <c r="P142" s="2">
        <f ca="1">INDEX(INDIRECT(_xlfn.CONCAT("weather.tbl[",P$1,"]")),MATCH(vp.data[[#This Row],[SDate]],weather.tbl[Date],0))</f>
        <v>7.7</v>
      </c>
      <c r="Q142" s="2">
        <f ca="1">INDEX(INDIRECT(_xlfn.CONCAT("weather.tbl[",Q$1,"]")),MATCH(vp.data[[#This Row],[SDate]],weather.tbl[Date],0))</f>
        <v>7.7</v>
      </c>
      <c r="R142" s="2">
        <f ca="1">INDEX(INDIRECT(_xlfn.CONCAT("weather.tbl[",R$1,"]")),MATCH(vp.data[[#This Row],[SDate]],weather.tbl[Date],0))</f>
        <v>7.8</v>
      </c>
      <c r="S142" s="2">
        <f ca="1">INDEX(INDIRECT(_xlfn.CONCAT("weather.tbl[",S$1,"]")),MATCH(vp.data[[#This Row],[SDate]],weather.tbl[Date],0))</f>
        <v>8.5</v>
      </c>
      <c r="T142" s="2">
        <f ca="1">INDEX(INDIRECT(_xlfn.CONCAT("weather.tbl[",T$1,"]")),MATCH(vp.data[[#This Row],[SDate]],weather.tbl[Date],0))</f>
        <v>8.8000000000000007</v>
      </c>
      <c r="U142" s="2">
        <f ca="1">INDEX(INDIRECT(_xlfn.CONCAT("weather.tbl[",U$1,"]")),MATCH(vp.data[[#This Row],[SDate]],weather.tbl[Date],0))</f>
        <v>7.8</v>
      </c>
      <c r="V142" s="2">
        <f t="array" ref="V1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42" t="s">
        <v>48</v>
      </c>
      <c r="X142">
        <f>IF(OR(vp.data[[#This Row],[Sulf]]="",vp.data[[#This Row],[Dens]]=""),1,0)</f>
        <v>0</v>
      </c>
      <c r="Y142">
        <f>IF(vp.data[[#This Row],[CrudeType]]="C5+",1,0)</f>
        <v>0</v>
      </c>
      <c r="Z142">
        <f>IF(AND(vp.data[[#This Row],[CrudeType]]="Crude",vp.data[[#This Row],[Dens]]&lt;=825,vp.data[[#This Row],[Sulf]]&gt;0.5,vp.data[[#This Row],[Unknown]]=0),1,0)</f>
        <v>1</v>
      </c>
      <c r="AA142">
        <f>IF(AND(vp.data[[#This Row],[CrudeType]]="Crude",vp.data[[#This Row],[Dens]]&lt;=825,vp.data[[#This Row],[Sulf]]&lt;=0.5,vp.data[[#This Row],[Unknown]]=0),1,0)</f>
        <v>0</v>
      </c>
      <c r="AB1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2">
        <f>IF(AND(vp.data[[#This Row],[CrudeType]]="Crude",vp.data[[#This Row],[Dens]]&gt;825,vp.data[[#This Row],[Dens]]&lt;=900,vp.data[[#This Row],[Sulf]]&lt;=0.5,vp.data[[#This Row],[Unknown]]=0),1,0)</f>
        <v>0</v>
      </c>
      <c r="AD142">
        <f>IF(AND(vp.data[[#This Row],[CrudeType]]="Crude",vp.data[[#This Row],[Dens]]&gt;865,vp.data[[#This Row],[Dens]]&lt;=900,vp.data[[#This Row],[Sulf]]&gt;2,vp.data[[#This Row],[Unknown]]=0),1,0)</f>
        <v>0</v>
      </c>
      <c r="AE142">
        <f>IF(AND(vp.data[[#This Row],[CrudeType]]="Crude",vp.data[[#This Row],[Dens]]&gt;900,vp.data[[#This Row],[Sulf]]&lt;=0.5,vp.data[[#This Row],[Unknown]]=0),1,0)</f>
        <v>0</v>
      </c>
      <c r="AF142">
        <f>IF(AND(vp.data[[#This Row],[CrudeType]]="Crude",vp.data[[#This Row],[Dens]]&gt;900,vp.data[[#This Row],[Sulf]]&lt;=0.5,vp.data[[#This Row],[Unknown]]=0),1,0)</f>
        <v>0</v>
      </c>
      <c r="AG142" t="str">
        <f>INDEX(vp.data[[#Headers],[Unknown]:[Heavy_SW]],MATCH(1,vp.data[[#This Row],[Unknown]:[Heavy_SW]],0))</f>
        <v>Light_LSB</v>
      </c>
      <c r="AH142">
        <f>INDEX([3]!crudeBD.lkup[Number],MATCH(vp.data[[#This Row],[Crude_Breakdown]],crudeBD.lkup[Crude Breakdown],0))</f>
        <v>1</v>
      </c>
      <c r="AI142">
        <f>MONTH(vp.data[[#This Row],[SDate]])</f>
        <v>4</v>
      </c>
      <c r="AJ142" s="5">
        <f>(vp.data[[#This Row],[VP]]-INDEX(crudeBD.lkup[Mean_VP],MATCH(vp.data[[#This Row],[Crude_Breakdown]],crudeBD.lkup[Crude Breakdown],0)))^2</f>
        <v>17.254174343713231</v>
      </c>
      <c r="AK142" s="5">
        <f>(vp.data[[#This Row],[Dens]]-INDEX(crudeBD.lkup[Mean_Dens],MATCH(vp.data[[#This Row],[Crude_Breakdown]],crudeBD.lkup[Crude Breakdown],0)))^2</f>
        <v>38.232336207654335</v>
      </c>
      <c r="AL142" s="5">
        <f>(vp.data[[#This Row],[Sulf]]-INDEX(crudeBD.lkup[Mean_Sulf],MATCH(vp.data[[#This Row],[Crude_Breakdown]],crudeBD.lkup[Crude Breakdown],0)))^2</f>
        <v>0.11358843333985327</v>
      </c>
      <c r="AM142" s="4">
        <f>IF(AND(vp.data[[#This Row],[SDate]]&gt;=DATE(YEAR(vp.data[[#This Row],[SDate]]),5,1),vp.data[[#This Row],[SDate]]&lt;=DATE(YEAR(vp.data[[#This Row],[SDate]]),9,15)),1,0)</f>
        <v>0</v>
      </c>
      <c r="AN142" s="4">
        <f>IF(vp.data[[#This Row],[SDate]]&lt;DATE(2016,12,1),0,1)</f>
        <v>0</v>
      </c>
      <c r="AO142" s="4">
        <f>IFERROR(vp.data[[#This Row],[Sulf]]*vp.data[[#This Row],[Net Dens]],"")</f>
        <v>6376572.1529999999</v>
      </c>
      <c r="AP142">
        <f>IFERROR(vp.data[[#This Row],[Dens]]*vp.data[[#This Row],[VolumeM3]],"")</f>
        <v>5060771.55</v>
      </c>
      <c r="AQ142" s="15">
        <f>IFERROR(vp.data[[#This Row],[VP]]*vp.data[[#This Row],[VolumeM3]],"")</f>
        <v>587263.05000000005</v>
      </c>
    </row>
    <row r="143" spans="1:43" x14ac:dyDescent="0.25">
      <c r="A143">
        <v>142</v>
      </c>
      <c r="B143" t="s">
        <v>68</v>
      </c>
      <c r="C143" t="s">
        <v>68</v>
      </c>
      <c r="D143" t="s">
        <v>69</v>
      </c>
      <c r="F143" s="1">
        <v>42478</v>
      </c>
      <c r="G143" s="2">
        <v>43.3</v>
      </c>
      <c r="H143" s="2"/>
      <c r="I143" s="2">
        <f t="array" ref="I143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143" s="2"/>
      <c r="K143" s="2"/>
      <c r="L143" s="2">
        <v>827.3</v>
      </c>
      <c r="M143" s="2">
        <f t="array" ref="M143">_xlfn.IFNA(IF(vp.data[[#This Row],[Dens Input]]="",INDEX([1]DATA!$O$3:$O$9826,MATCH(1,(vp.data[[#This Row],[Battery]]=[1]DATA!$L$3:$L$9826)*(EOMONTH(vp.data[[#This Row],[SDate]],-1)+1=[1]DATA!$G$3:$G$9826),0)),vp.data[[#This Row],[Dens Input]]),"")</f>
        <v>827.3</v>
      </c>
      <c r="N143" s="2">
        <f ca="1">INDEX(INDIRECT(_xlfn.CONCAT("weather.tbl[",N$1,"]")),MATCH(vp.data[[#This Row],[SDate]],weather.tbl[Date],0))</f>
        <v>8.0499999999999989</v>
      </c>
      <c r="O143" s="2">
        <f ca="1">INDEX(INDIRECT(_xlfn.CONCAT("weather.tbl[",O$1,"]")),MATCH(vp.data[[#This Row],[SDate]],weather.tbl[Date],0))</f>
        <v>6.8285714285714283</v>
      </c>
      <c r="P143" s="2">
        <f ca="1">INDEX(INDIRECT(_xlfn.CONCAT("weather.tbl[",P$1,"]")),MATCH(vp.data[[#This Row],[SDate]],weather.tbl[Date],0))</f>
        <v>7.7</v>
      </c>
      <c r="Q143" s="2">
        <f ca="1">INDEX(INDIRECT(_xlfn.CONCAT("weather.tbl[",Q$1,"]")),MATCH(vp.data[[#This Row],[SDate]],weather.tbl[Date],0))</f>
        <v>7.7</v>
      </c>
      <c r="R143" s="2">
        <f ca="1">INDEX(INDIRECT(_xlfn.CONCAT("weather.tbl[",R$1,"]")),MATCH(vp.data[[#This Row],[SDate]],weather.tbl[Date],0))</f>
        <v>7.8</v>
      </c>
      <c r="S143" s="2">
        <f ca="1">INDEX(INDIRECT(_xlfn.CONCAT("weather.tbl[",S$1,"]")),MATCH(vp.data[[#This Row],[SDate]],weather.tbl[Date],0))</f>
        <v>8.5</v>
      </c>
      <c r="T143" s="2">
        <f ca="1">INDEX(INDIRECT(_xlfn.CONCAT("weather.tbl[",T$1,"]")),MATCH(vp.data[[#This Row],[SDate]],weather.tbl[Date],0))</f>
        <v>8.8000000000000007</v>
      </c>
      <c r="U143" s="2">
        <f ca="1">INDEX(INDIRECT(_xlfn.CONCAT("weather.tbl[",U$1,"]")),MATCH(vp.data[[#This Row],[SDate]],weather.tbl[Date],0))</f>
        <v>7.8</v>
      </c>
      <c r="V143" s="2">
        <f t="array" ref="V1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1385.557</v>
      </c>
      <c r="W143" t="s">
        <v>48</v>
      </c>
      <c r="X143">
        <f>IF(OR(vp.data[[#This Row],[Sulf]]="",vp.data[[#This Row],[Dens]]=""),1,0)</f>
        <v>0</v>
      </c>
      <c r="Y143">
        <f>IF(vp.data[[#This Row],[CrudeType]]="C5+",1,0)</f>
        <v>0</v>
      </c>
      <c r="Z143">
        <f>IF(AND(vp.data[[#This Row],[CrudeType]]="Crude",vp.data[[#This Row],[Dens]]&lt;=825,vp.data[[#This Row],[Sulf]]&gt;0.5,vp.data[[#This Row],[Unknown]]=0),1,0)</f>
        <v>0</v>
      </c>
      <c r="AA143">
        <f>IF(AND(vp.data[[#This Row],[CrudeType]]="Crude",vp.data[[#This Row],[Dens]]&lt;=825,vp.data[[#This Row],[Sulf]]&lt;=0.5,vp.data[[#This Row],[Unknown]]=0),1,0)</f>
        <v>0</v>
      </c>
      <c r="AB1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">
        <f>IF(AND(vp.data[[#This Row],[CrudeType]]="Crude",vp.data[[#This Row],[Dens]]&gt;825,vp.data[[#This Row],[Dens]]&lt;=900,vp.data[[#This Row],[Sulf]]&lt;=0.5,vp.data[[#This Row],[Unknown]]=0),1,0)</f>
        <v>0</v>
      </c>
      <c r="AD143">
        <f>IF(AND(vp.data[[#This Row],[CrudeType]]="Crude",vp.data[[#This Row],[Dens]]&gt;865,vp.data[[#This Row],[Dens]]&lt;=900,vp.data[[#This Row],[Sulf]]&gt;2,vp.data[[#This Row],[Unknown]]=0),1,0)</f>
        <v>0</v>
      </c>
      <c r="AE143">
        <f>IF(AND(vp.data[[#This Row],[CrudeType]]="Crude",vp.data[[#This Row],[Dens]]&gt;900,vp.data[[#This Row],[Sulf]]&lt;=0.5,vp.data[[#This Row],[Unknown]]=0),1,0)</f>
        <v>0</v>
      </c>
      <c r="AF143">
        <f>IF(AND(vp.data[[#This Row],[CrudeType]]="Crude",vp.data[[#This Row],[Dens]]&gt;900,vp.data[[#This Row],[Sulf]]&lt;=0.5,vp.data[[#This Row],[Unknown]]=0),1,0)</f>
        <v>0</v>
      </c>
      <c r="AG143" t="str">
        <f>INDEX(vp.data[[#Headers],[Unknown]:[Heavy_SW]],MATCH(1,vp.data[[#This Row],[Unknown]:[Heavy_SW]],0))</f>
        <v>Medium_LSB</v>
      </c>
      <c r="AH143">
        <f>INDEX([3]!crudeBD.lkup[Number],MATCH(vp.data[[#This Row],[Crude_Breakdown]],crudeBD.lkup[Crude Breakdown],0))</f>
        <v>3</v>
      </c>
      <c r="AI143">
        <f>MONTH(vp.data[[#This Row],[SDate]])</f>
        <v>4</v>
      </c>
      <c r="AJ143" s="5">
        <f>(vp.data[[#This Row],[VP]]-INDEX(crudeBD.lkup[Mean_VP],MATCH(vp.data[[#This Row],[Crude_Breakdown]],crudeBD.lkup[Crude Breakdown],0)))^2</f>
        <v>1394.2514448485501</v>
      </c>
      <c r="AK143" s="5">
        <f>(vp.data[[#This Row],[Dens]]-INDEX(crudeBD.lkup[Mean_Dens],MATCH(vp.data[[#This Row],[Crude_Breakdown]],crudeBD.lkup[Crude Breakdown],0)))^2</f>
        <v>276.22439999998505</v>
      </c>
      <c r="AL143" s="5">
        <f>(vp.data[[#This Row],[Sulf]]-INDEX(crudeBD.lkup[Mean_Sulf],MATCH(vp.data[[#This Row],[Crude_Breakdown]],crudeBD.lkup[Crude Breakdown],0)))^2</f>
        <v>0.11874355915499073</v>
      </c>
      <c r="AM143" s="4">
        <f>IF(AND(vp.data[[#This Row],[SDate]]&gt;=DATE(YEAR(vp.data[[#This Row],[SDate]]),5,1),vp.data[[#This Row],[SDate]]&lt;=DATE(YEAR(vp.data[[#This Row],[SDate]]),9,15)),1,0)</f>
        <v>0</v>
      </c>
      <c r="AN143" s="4">
        <f>IF(vp.data[[#This Row],[SDate]]&lt;DATE(2016,12,1),0,1)</f>
        <v>0</v>
      </c>
      <c r="AO143" s="4">
        <f>IFERROR(vp.data[[#This Row],[Sulf]]*vp.data[[#This Row],[Net Dens]],"")</f>
        <v>1983049.359553</v>
      </c>
      <c r="AP143">
        <f>IFERROR(vp.data[[#This Row],[Dens]]*vp.data[[#This Row],[VolumeM3]],"")</f>
        <v>1146271.3060999999</v>
      </c>
      <c r="AQ143" s="15">
        <f>IFERROR(vp.data[[#This Row],[VP]]*vp.data[[#This Row],[VolumeM3]],"")</f>
        <v>59994.6181</v>
      </c>
    </row>
    <row r="144" spans="1:43" x14ac:dyDescent="0.25">
      <c r="A144">
        <v>143</v>
      </c>
      <c r="B144" t="s">
        <v>51</v>
      </c>
      <c r="C144" t="s">
        <v>51</v>
      </c>
      <c r="D144" t="s">
        <v>71</v>
      </c>
      <c r="F144" s="1">
        <v>42478</v>
      </c>
      <c r="G144" s="2">
        <v>90.9</v>
      </c>
      <c r="H144" s="2"/>
      <c r="I144" s="2">
        <f t="array" ref="I144">_xlfn.IFNA(IF(vp.data[[#This Row],[Sulf Input]]="",INDEX([1]DATA!$Q$3:$Q$9826,MATCH(1,(vp.data[[#This Row],[Battery]]=[1]DATA!$L$3:$L$9826)*(EOMONTH(vp.data[[#This Row],[SDate]],-1)+1=[1]DATA!$G$3:$G$9826),0)),vp.data[[#This Row],[Sulf Input]]),"")</f>
        <v>1.37</v>
      </c>
      <c r="J144" s="2"/>
      <c r="K144" s="2"/>
      <c r="L144" s="2">
        <v>833.1</v>
      </c>
      <c r="M144" s="2">
        <f t="array" ref="M144">_xlfn.IFNA(IF(vp.data[[#This Row],[Dens Input]]="",INDEX([1]DATA!$O$3:$O$9826,MATCH(1,(vp.data[[#This Row],[Battery]]=[1]DATA!$L$3:$L$9826)*(EOMONTH(vp.data[[#This Row],[SDate]],-1)+1=[1]DATA!$G$3:$G$9826),0)),vp.data[[#This Row],[Dens Input]]),"")</f>
        <v>833.1</v>
      </c>
      <c r="N144" s="2">
        <f ca="1">INDEX(INDIRECT(_xlfn.CONCAT("weather.tbl[",N$1,"]")),MATCH(vp.data[[#This Row],[SDate]],weather.tbl[Date],0))</f>
        <v>8.0499999999999989</v>
      </c>
      <c r="O144" s="2">
        <f ca="1">INDEX(INDIRECT(_xlfn.CONCAT("weather.tbl[",O$1,"]")),MATCH(vp.data[[#This Row],[SDate]],weather.tbl[Date],0))</f>
        <v>6.8285714285714283</v>
      </c>
      <c r="P144" s="2">
        <f ca="1">INDEX(INDIRECT(_xlfn.CONCAT("weather.tbl[",P$1,"]")),MATCH(vp.data[[#This Row],[SDate]],weather.tbl[Date],0))</f>
        <v>7.7</v>
      </c>
      <c r="Q144" s="2">
        <f ca="1">INDEX(INDIRECT(_xlfn.CONCAT("weather.tbl[",Q$1,"]")),MATCH(vp.data[[#This Row],[SDate]],weather.tbl[Date],0))</f>
        <v>7.7</v>
      </c>
      <c r="R144" s="2">
        <f ca="1">INDEX(INDIRECT(_xlfn.CONCAT("weather.tbl[",R$1,"]")),MATCH(vp.data[[#This Row],[SDate]],weather.tbl[Date],0))</f>
        <v>7.8</v>
      </c>
      <c r="S144" s="2">
        <f ca="1">INDEX(INDIRECT(_xlfn.CONCAT("weather.tbl[",S$1,"]")),MATCH(vp.data[[#This Row],[SDate]],weather.tbl[Date],0))</f>
        <v>8.5</v>
      </c>
      <c r="T144" s="2">
        <f ca="1">INDEX(INDIRECT(_xlfn.CONCAT("weather.tbl[",T$1,"]")),MATCH(vp.data[[#This Row],[SDate]],weather.tbl[Date],0))</f>
        <v>8.8000000000000007</v>
      </c>
      <c r="U144" s="2">
        <f ca="1">INDEX(INDIRECT(_xlfn.CONCAT("weather.tbl[",U$1,"]")),MATCH(vp.data[[#This Row],[SDate]],weather.tbl[Date],0))</f>
        <v>7.8</v>
      </c>
      <c r="V144" s="2">
        <f t="array" ref="V1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4963.1080000000002</v>
      </c>
      <c r="W144" t="s">
        <v>48</v>
      </c>
      <c r="X144">
        <f>IF(OR(vp.data[[#This Row],[Sulf]]="",vp.data[[#This Row],[Dens]]=""),1,0)</f>
        <v>0</v>
      </c>
      <c r="Y144">
        <f>IF(vp.data[[#This Row],[CrudeType]]="C5+",1,0)</f>
        <v>0</v>
      </c>
      <c r="Z144">
        <f>IF(AND(vp.data[[#This Row],[CrudeType]]="Crude",vp.data[[#This Row],[Dens]]&lt;=825,vp.data[[#This Row],[Sulf]]&gt;0.5,vp.data[[#This Row],[Unknown]]=0),1,0)</f>
        <v>0</v>
      </c>
      <c r="AA144">
        <f>IF(AND(vp.data[[#This Row],[CrudeType]]="Crude",vp.data[[#This Row],[Dens]]&lt;=825,vp.data[[#This Row],[Sulf]]&lt;=0.5,vp.data[[#This Row],[Unknown]]=0),1,0)</f>
        <v>0</v>
      </c>
      <c r="AB1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">
        <f>IF(AND(vp.data[[#This Row],[CrudeType]]="Crude",vp.data[[#This Row],[Dens]]&gt;825,vp.data[[#This Row],[Dens]]&lt;=900,vp.data[[#This Row],[Sulf]]&lt;=0.5,vp.data[[#This Row],[Unknown]]=0),1,0)</f>
        <v>0</v>
      </c>
      <c r="AD144">
        <f>IF(AND(vp.data[[#This Row],[CrudeType]]="Crude",vp.data[[#This Row],[Dens]]&gt;865,vp.data[[#This Row],[Dens]]&lt;=900,vp.data[[#This Row],[Sulf]]&gt;2,vp.data[[#This Row],[Unknown]]=0),1,0)</f>
        <v>0</v>
      </c>
      <c r="AE144">
        <f>IF(AND(vp.data[[#This Row],[CrudeType]]="Crude",vp.data[[#This Row],[Dens]]&gt;900,vp.data[[#This Row],[Sulf]]&lt;=0.5,vp.data[[#This Row],[Unknown]]=0),1,0)</f>
        <v>0</v>
      </c>
      <c r="AF144">
        <f>IF(AND(vp.data[[#This Row],[CrudeType]]="Crude",vp.data[[#This Row],[Dens]]&gt;900,vp.data[[#This Row],[Sulf]]&lt;=0.5,vp.data[[#This Row],[Unknown]]=0),1,0)</f>
        <v>0</v>
      </c>
      <c r="AG144" t="str">
        <f>INDEX(vp.data[[#Headers],[Unknown]:[Heavy_SW]],MATCH(1,vp.data[[#This Row],[Unknown]:[Heavy_SW]],0))</f>
        <v>Medium_LSB</v>
      </c>
      <c r="AH144">
        <f>INDEX([3]!crudeBD.lkup[Number],MATCH(vp.data[[#This Row],[Crude_Breakdown]],crudeBD.lkup[Crude Breakdown],0))</f>
        <v>3</v>
      </c>
      <c r="AI144">
        <f>MONTH(vp.data[[#This Row],[SDate]])</f>
        <v>4</v>
      </c>
      <c r="AJ144" s="5">
        <f>(vp.data[[#This Row],[VP]]-INDEX(crudeBD.lkup[Mean_VP],MATCH(vp.data[[#This Row],[Crude_Breakdown]],crudeBD.lkup[Crude Breakdown],0)))^2</f>
        <v>105.27423730138707</v>
      </c>
      <c r="AK144" s="5">
        <f>(vp.data[[#This Row],[Dens]]-INDEX(crudeBD.lkup[Mean_Dens],MATCH(vp.data[[#This Row],[Crude_Breakdown]],crudeBD.lkup[Crude Breakdown],0)))^2</f>
        <v>117.07239999998878</v>
      </c>
      <c r="AL144" s="5">
        <f>(vp.data[[#This Row],[Sulf]]-INDEX(crudeBD.lkup[Mean_Sulf],MATCH(vp.data[[#This Row],[Crude_Breakdown]],crudeBD.lkup[Crude Breakdown],0)))^2</f>
        <v>2.3741036792983928E-4</v>
      </c>
      <c r="AM144" s="4">
        <f>IF(AND(vp.data[[#This Row],[SDate]]&gt;=DATE(YEAR(vp.data[[#This Row],[SDate]]),5,1),vp.data[[#This Row],[SDate]]&lt;=DATE(YEAR(vp.data[[#This Row],[SDate]]),9,15)),1,0)</f>
        <v>0</v>
      </c>
      <c r="AN144" s="4">
        <f>IF(vp.data[[#This Row],[SDate]]&lt;DATE(2016,12,1),0,1)</f>
        <v>0</v>
      </c>
      <c r="AO144" s="4">
        <f>IFERROR(vp.data[[#This Row],[Sulf]]*vp.data[[#This Row],[Net Dens]],"")</f>
        <v>5664628.4264760008</v>
      </c>
      <c r="AP144">
        <f>IFERROR(vp.data[[#This Row],[Dens]]*vp.data[[#This Row],[VolumeM3]],"")</f>
        <v>4134765.2748000002</v>
      </c>
      <c r="AQ144" s="15">
        <f>IFERROR(vp.data[[#This Row],[VP]]*vp.data[[#This Row],[VolumeM3]],"")</f>
        <v>451146.51720000006</v>
      </c>
    </row>
    <row r="145" spans="1:43" x14ac:dyDescent="0.25">
      <c r="A145">
        <v>144</v>
      </c>
      <c r="B145" t="s">
        <v>84</v>
      </c>
      <c r="C145" t="s">
        <v>84</v>
      </c>
      <c r="D145" t="s">
        <v>85</v>
      </c>
      <c r="F145" s="1">
        <v>42478</v>
      </c>
      <c r="G145" s="2">
        <v>78.8</v>
      </c>
      <c r="H145" s="2"/>
      <c r="I145" s="2">
        <f t="array" ref="I145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45" s="2"/>
      <c r="K145" s="2"/>
      <c r="L145" s="2">
        <v>848</v>
      </c>
      <c r="M145" s="2">
        <f t="array" ref="M145">_xlfn.IFNA(IF(vp.data[[#This Row],[Dens Input]]="",INDEX([1]DATA!$O$3:$O$9826,MATCH(1,(vp.data[[#This Row],[Battery]]=[1]DATA!$L$3:$L$9826)*(EOMONTH(vp.data[[#This Row],[SDate]],-1)+1=[1]DATA!$G$3:$G$9826),0)),vp.data[[#This Row],[Dens Input]]),"")</f>
        <v>848</v>
      </c>
      <c r="N145" s="2">
        <f ca="1">INDEX(INDIRECT(_xlfn.CONCAT("weather.tbl[",N$1,"]")),MATCH(vp.data[[#This Row],[SDate]],weather.tbl[Date],0))</f>
        <v>8.0499999999999989</v>
      </c>
      <c r="O145" s="2">
        <f ca="1">INDEX(INDIRECT(_xlfn.CONCAT("weather.tbl[",O$1,"]")),MATCH(vp.data[[#This Row],[SDate]],weather.tbl[Date],0))</f>
        <v>6.8285714285714283</v>
      </c>
      <c r="P145" s="2">
        <f ca="1">INDEX(INDIRECT(_xlfn.CONCAT("weather.tbl[",P$1,"]")),MATCH(vp.data[[#This Row],[SDate]],weather.tbl[Date],0))</f>
        <v>7.7</v>
      </c>
      <c r="Q145" s="2">
        <f ca="1">INDEX(INDIRECT(_xlfn.CONCAT("weather.tbl[",Q$1,"]")),MATCH(vp.data[[#This Row],[SDate]],weather.tbl[Date],0))</f>
        <v>7.7</v>
      </c>
      <c r="R145" s="2">
        <f ca="1">INDEX(INDIRECT(_xlfn.CONCAT("weather.tbl[",R$1,"]")),MATCH(vp.data[[#This Row],[SDate]],weather.tbl[Date],0))</f>
        <v>7.8</v>
      </c>
      <c r="S145" s="2">
        <f ca="1">INDEX(INDIRECT(_xlfn.CONCAT("weather.tbl[",S$1,"]")),MATCH(vp.data[[#This Row],[SDate]],weather.tbl[Date],0))</f>
        <v>8.5</v>
      </c>
      <c r="T145" s="2">
        <f ca="1">INDEX(INDIRECT(_xlfn.CONCAT("weather.tbl[",T$1,"]")),MATCH(vp.data[[#This Row],[SDate]],weather.tbl[Date],0))</f>
        <v>8.8000000000000007</v>
      </c>
      <c r="U145" s="2">
        <f ca="1">INDEX(INDIRECT(_xlfn.CONCAT("weather.tbl[",U$1,"]")),MATCH(vp.data[[#This Row],[SDate]],weather.tbl[Date],0))</f>
        <v>7.8</v>
      </c>
      <c r="V145" s="2">
        <f t="array" ref="V1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2463.5520000000001</v>
      </c>
      <c r="W145" t="s">
        <v>48</v>
      </c>
      <c r="X145">
        <f>IF(OR(vp.data[[#This Row],[Sulf]]="",vp.data[[#This Row],[Dens]]=""),1,0)</f>
        <v>0</v>
      </c>
      <c r="Y145">
        <f>IF(vp.data[[#This Row],[CrudeType]]="C5+",1,0)</f>
        <v>0</v>
      </c>
      <c r="Z145">
        <f>IF(AND(vp.data[[#This Row],[CrudeType]]="Crude",vp.data[[#This Row],[Dens]]&lt;=825,vp.data[[#This Row],[Sulf]]&gt;0.5,vp.data[[#This Row],[Unknown]]=0),1,0)</f>
        <v>0</v>
      </c>
      <c r="AA145">
        <f>IF(AND(vp.data[[#This Row],[CrudeType]]="Crude",vp.data[[#This Row],[Dens]]&lt;=825,vp.data[[#This Row],[Sulf]]&lt;=0.5,vp.data[[#This Row],[Unknown]]=0),1,0)</f>
        <v>0</v>
      </c>
      <c r="AB1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">
        <f>IF(AND(vp.data[[#This Row],[CrudeType]]="Crude",vp.data[[#This Row],[Dens]]&gt;825,vp.data[[#This Row],[Dens]]&lt;=900,vp.data[[#This Row],[Sulf]]&lt;=0.5,vp.data[[#This Row],[Unknown]]=0),1,0)</f>
        <v>0</v>
      </c>
      <c r="AD145">
        <f>IF(AND(vp.data[[#This Row],[CrudeType]]="Crude",vp.data[[#This Row],[Dens]]&gt;865,vp.data[[#This Row],[Dens]]&lt;=900,vp.data[[#This Row],[Sulf]]&gt;2,vp.data[[#This Row],[Unknown]]=0),1,0)</f>
        <v>0</v>
      </c>
      <c r="AE145">
        <f>IF(AND(vp.data[[#This Row],[CrudeType]]="Crude",vp.data[[#This Row],[Dens]]&gt;900,vp.data[[#This Row],[Sulf]]&lt;=0.5,vp.data[[#This Row],[Unknown]]=0),1,0)</f>
        <v>0</v>
      </c>
      <c r="AF145">
        <f>IF(AND(vp.data[[#This Row],[CrudeType]]="Crude",vp.data[[#This Row],[Dens]]&gt;900,vp.data[[#This Row],[Sulf]]&lt;=0.5,vp.data[[#This Row],[Unknown]]=0),1,0)</f>
        <v>0</v>
      </c>
      <c r="AG145" t="str">
        <f>INDEX(vp.data[[#Headers],[Unknown]:[Heavy_SW]],MATCH(1,vp.data[[#This Row],[Unknown]:[Heavy_SW]],0))</f>
        <v>Medium_LSB</v>
      </c>
      <c r="AH145">
        <f>INDEX([3]!crudeBD.lkup[Number],MATCH(vp.data[[#This Row],[Crude_Breakdown]],crudeBD.lkup[Crude Breakdown],0))</f>
        <v>3</v>
      </c>
      <c r="AI145">
        <f>MONTH(vp.data[[#This Row],[SDate]])</f>
        <v>4</v>
      </c>
      <c r="AJ145" s="5">
        <f>(vp.data[[#This Row],[VP]]-INDEX(crudeBD.lkup[Mean_VP],MATCH(vp.data[[#This Row],[Crude_Breakdown]],crudeBD.lkup[Crude Breakdown],0)))^2</f>
        <v>3.3844098081237801</v>
      </c>
      <c r="AK145" s="5">
        <f>(vp.data[[#This Row],[Dens]]-INDEX(crudeBD.lkup[Mean_Dens],MATCH(vp.data[[#This Row],[Crude_Breakdown]],crudeBD.lkup[Crude Breakdown],0)))^2</f>
        <v>16.646400000004046</v>
      </c>
      <c r="AL145" s="5">
        <f>(vp.data[[#This Row],[Sulf]]-INDEX(crudeBD.lkup[Mean_Sulf],MATCH(vp.data[[#This Row],[Crude_Breakdown]],crudeBD.lkup[Crude Breakdown],0)))^2</f>
        <v>4.2782230363935985E-3</v>
      </c>
      <c r="AM145" s="4">
        <f>IF(AND(vp.data[[#This Row],[SDate]]&gt;=DATE(YEAR(vp.data[[#This Row],[SDate]]),5,1),vp.data[[#This Row],[SDate]]&lt;=DATE(YEAR(vp.data[[#This Row],[SDate]]),9,15)),1,0)</f>
        <v>0</v>
      </c>
      <c r="AN145" s="4">
        <f>IF(vp.data[[#This Row],[SDate]]&lt;DATE(2016,12,1),0,1)</f>
        <v>0</v>
      </c>
      <c r="AO145" s="4">
        <f>IFERROR(vp.data[[#This Row],[Sulf]]*vp.data[[#This Row],[Net Dens]],"")</f>
        <v>2757601.5667200005</v>
      </c>
      <c r="AP145">
        <f>IFERROR(vp.data[[#This Row],[Dens]]*vp.data[[#This Row],[VolumeM3]],"")</f>
        <v>2089092.0960000001</v>
      </c>
      <c r="AQ145" s="15">
        <f>IFERROR(vp.data[[#This Row],[VP]]*vp.data[[#This Row],[VolumeM3]],"")</f>
        <v>194127.8976</v>
      </c>
    </row>
    <row r="146" spans="1:43" x14ac:dyDescent="0.25">
      <c r="A146">
        <v>145</v>
      </c>
      <c r="B146" t="s">
        <v>60</v>
      </c>
      <c r="C146" t="s">
        <v>60</v>
      </c>
      <c r="D146" t="s">
        <v>61</v>
      </c>
      <c r="E146" t="s">
        <v>55</v>
      </c>
      <c r="F146" s="1">
        <v>42478</v>
      </c>
      <c r="G146" s="2">
        <v>93.4</v>
      </c>
      <c r="H146" s="2"/>
      <c r="I146" s="2">
        <f t="array" ref="I146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46" s="2"/>
      <c r="K146" s="2"/>
      <c r="L146" s="2">
        <v>831</v>
      </c>
      <c r="M146" s="2">
        <f t="array" ref="M146">_xlfn.IFNA(IF(vp.data[[#This Row],[Dens Input]]="",INDEX([1]DATA!$O$3:$O$9826,MATCH(1,(vp.data[[#This Row],[Battery]]=[1]DATA!$L$3:$L$9826)*(EOMONTH(vp.data[[#This Row],[SDate]],-1)+1=[1]DATA!$G$3:$G$9826),0)),vp.data[[#This Row],[Dens Input]]),"")</f>
        <v>831</v>
      </c>
      <c r="N146" s="2">
        <f ca="1">INDEX(INDIRECT(_xlfn.CONCAT("weather.tbl[",N$1,"]")),MATCH(vp.data[[#This Row],[SDate]],weather.tbl[Date],0))</f>
        <v>8.0499999999999989</v>
      </c>
      <c r="O146" s="2">
        <f ca="1">INDEX(INDIRECT(_xlfn.CONCAT("weather.tbl[",O$1,"]")),MATCH(vp.data[[#This Row],[SDate]],weather.tbl[Date],0))</f>
        <v>6.8285714285714283</v>
      </c>
      <c r="P146" s="2">
        <f ca="1">INDEX(INDIRECT(_xlfn.CONCAT("weather.tbl[",P$1,"]")),MATCH(vp.data[[#This Row],[SDate]],weather.tbl[Date],0))</f>
        <v>7.7</v>
      </c>
      <c r="Q146" s="2">
        <f ca="1">INDEX(INDIRECT(_xlfn.CONCAT("weather.tbl[",Q$1,"]")),MATCH(vp.data[[#This Row],[SDate]],weather.tbl[Date],0))</f>
        <v>7.7</v>
      </c>
      <c r="R146" s="2">
        <f ca="1">INDEX(INDIRECT(_xlfn.CONCAT("weather.tbl[",R$1,"]")),MATCH(vp.data[[#This Row],[SDate]],weather.tbl[Date],0))</f>
        <v>7.8</v>
      </c>
      <c r="S146" s="2">
        <f ca="1">INDEX(INDIRECT(_xlfn.CONCAT("weather.tbl[",S$1,"]")),MATCH(vp.data[[#This Row],[SDate]],weather.tbl[Date],0))</f>
        <v>8.5</v>
      </c>
      <c r="T146" s="2">
        <f ca="1">INDEX(INDIRECT(_xlfn.CONCAT("weather.tbl[",T$1,"]")),MATCH(vp.data[[#This Row],[SDate]],weather.tbl[Date],0))</f>
        <v>8.8000000000000007</v>
      </c>
      <c r="U146" s="2">
        <f ca="1">INDEX(INDIRECT(_xlfn.CONCAT("weather.tbl[",U$1,"]")),MATCH(vp.data[[#This Row],[SDate]],weather.tbl[Date],0))</f>
        <v>7.8</v>
      </c>
      <c r="V146" s="2">
        <f t="array" ref="V1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104990.086</v>
      </c>
      <c r="W146" t="s">
        <v>48</v>
      </c>
      <c r="X146">
        <f>IF(OR(vp.data[[#This Row],[Sulf]]="",vp.data[[#This Row],[Dens]]=""),1,0)</f>
        <v>0</v>
      </c>
      <c r="Y146">
        <f>IF(vp.data[[#This Row],[CrudeType]]="C5+",1,0)</f>
        <v>0</v>
      </c>
      <c r="Z146">
        <f>IF(AND(vp.data[[#This Row],[CrudeType]]="Crude",vp.data[[#This Row],[Dens]]&lt;=825,vp.data[[#This Row],[Sulf]]&gt;0.5,vp.data[[#This Row],[Unknown]]=0),1,0)</f>
        <v>0</v>
      </c>
      <c r="AA146">
        <f>IF(AND(vp.data[[#This Row],[CrudeType]]="Crude",vp.data[[#This Row],[Dens]]&lt;=825,vp.data[[#This Row],[Sulf]]&lt;=0.5,vp.data[[#This Row],[Unknown]]=0),1,0)</f>
        <v>0</v>
      </c>
      <c r="AB1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">
        <f>IF(AND(vp.data[[#This Row],[CrudeType]]="Crude",vp.data[[#This Row],[Dens]]&gt;825,vp.data[[#This Row],[Dens]]&lt;=900,vp.data[[#This Row],[Sulf]]&lt;=0.5,vp.data[[#This Row],[Unknown]]=0),1,0)</f>
        <v>0</v>
      </c>
      <c r="AD146">
        <f>IF(AND(vp.data[[#This Row],[CrudeType]]="Crude",vp.data[[#This Row],[Dens]]&gt;865,vp.data[[#This Row],[Dens]]&lt;=900,vp.data[[#This Row],[Sulf]]&gt;2,vp.data[[#This Row],[Unknown]]=0),1,0)</f>
        <v>0</v>
      </c>
      <c r="AE146">
        <f>IF(AND(vp.data[[#This Row],[CrudeType]]="Crude",vp.data[[#This Row],[Dens]]&gt;900,vp.data[[#This Row],[Sulf]]&lt;=0.5,vp.data[[#This Row],[Unknown]]=0),1,0)</f>
        <v>0</v>
      </c>
      <c r="AF146">
        <f>IF(AND(vp.data[[#This Row],[CrudeType]]="Crude",vp.data[[#This Row],[Dens]]&gt;900,vp.data[[#This Row],[Sulf]]&lt;=0.5,vp.data[[#This Row],[Unknown]]=0),1,0)</f>
        <v>0</v>
      </c>
      <c r="AG146" t="str">
        <f>INDEX(vp.data[[#Headers],[Unknown]:[Heavy_SW]],MATCH(1,vp.data[[#This Row],[Unknown]:[Heavy_SW]],0))</f>
        <v>Medium_LSB</v>
      </c>
      <c r="AH146">
        <f>INDEX([3]!crudeBD.lkup[Number],MATCH(vp.data[[#This Row],[Crude_Breakdown]],crudeBD.lkup[Crude Breakdown],0))</f>
        <v>3</v>
      </c>
      <c r="AI146">
        <f>MONTH(vp.data[[#This Row],[SDate]])</f>
        <v>4</v>
      </c>
      <c r="AJ146" s="5">
        <f>(vp.data[[#This Row],[VP]]-INDEX(crudeBD.lkup[Mean_VP],MATCH(vp.data[[#This Row],[Crude_Breakdown]],crudeBD.lkup[Crude Breakdown],0)))^2</f>
        <v>162.82585455206132</v>
      </c>
      <c r="AK146" s="5">
        <f>(vp.data[[#This Row],[Dens]]-INDEX(crudeBD.lkup[Mean_Dens],MATCH(vp.data[[#This Row],[Crude_Breakdown]],crudeBD.lkup[Crude Breakdown],0)))^2</f>
        <v>166.92639999998718</v>
      </c>
      <c r="AL146" s="5">
        <f>(vp.data[[#This Row],[Sulf]]-INDEX(crudeBD.lkup[Mean_Sulf],MATCH(vp.data[[#This Row],[Crude_Breakdown]],crudeBD.lkup[Crude Breakdown],0)))^2</f>
        <v>5.5416986109170445E-2</v>
      </c>
      <c r="AM146" s="4">
        <f>IF(AND(vp.data[[#This Row],[SDate]]&gt;=DATE(YEAR(vp.data[[#This Row],[SDate]]),5,1),vp.data[[#This Row],[SDate]]&lt;=DATE(YEAR(vp.data[[#This Row],[SDate]]),9,15)),1,0)</f>
        <v>0</v>
      </c>
      <c r="AN146" s="4">
        <f>IF(vp.data[[#This Row],[SDate]]&lt;DATE(2016,12,1),0,1)</f>
        <v>0</v>
      </c>
      <c r="AO146" s="4">
        <f>IFERROR(vp.data[[#This Row],[Sulf]]*vp.data[[#This Row],[Net Dens]],"")</f>
        <v>100333775.68589999</v>
      </c>
      <c r="AP146">
        <f>IFERROR(vp.data[[#This Row],[Dens]]*vp.data[[#This Row],[VolumeM3]],"")</f>
        <v>87246761.465999991</v>
      </c>
      <c r="AQ146" s="15">
        <f>IFERROR(vp.data[[#This Row],[VP]]*vp.data[[#This Row],[VolumeM3]],"")</f>
        <v>9806074.0324000008</v>
      </c>
    </row>
    <row r="147" spans="1:43" x14ac:dyDescent="0.25">
      <c r="A147">
        <v>146</v>
      </c>
      <c r="B147" t="s">
        <v>49</v>
      </c>
      <c r="C147" t="s">
        <v>49</v>
      </c>
      <c r="D147" t="s">
        <v>67</v>
      </c>
      <c r="F147" s="1">
        <v>42479</v>
      </c>
      <c r="G147" s="2">
        <v>107.7</v>
      </c>
      <c r="H147" s="2"/>
      <c r="I147" s="2">
        <f t="array" ref="I14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47" s="2"/>
      <c r="K147" s="2"/>
      <c r="L147" s="2">
        <v>799.3</v>
      </c>
      <c r="M147" s="2">
        <f t="array" ref="M147">_xlfn.IFNA(IF(vp.data[[#This Row],[Dens Input]]="",INDEX([1]DATA!$O$3:$O$9826,MATCH(1,(vp.data[[#This Row],[Battery]]=[1]DATA!$L$3:$L$9826)*(EOMONTH(vp.data[[#This Row],[SDate]],-1)+1=[1]DATA!$G$3:$G$9826),0)),vp.data[[#This Row],[Dens Input]]),"")</f>
        <v>799.3</v>
      </c>
      <c r="N147" s="2">
        <f ca="1">INDEX(INDIRECT(_xlfn.CONCAT("weather.tbl[",N$1,"]")),MATCH(vp.data[[#This Row],[SDate]],weather.tbl[Date],0))</f>
        <v>9.4666666666666668</v>
      </c>
      <c r="O147" s="2">
        <f ca="1">INDEX(INDIRECT(_xlfn.CONCAT("weather.tbl[",O$1,"]")),MATCH(vp.data[[#This Row],[SDate]],weather.tbl[Date],0))</f>
        <v>7.1357142857142861</v>
      </c>
      <c r="P147" s="2">
        <f ca="1">INDEX(INDIRECT(_xlfn.CONCAT("weather.tbl[",P$1,"]")),MATCH(vp.data[[#This Row],[SDate]],weather.tbl[Date],0))</f>
        <v>9</v>
      </c>
      <c r="Q147" s="2">
        <f ca="1">INDEX(INDIRECT(_xlfn.CONCAT("weather.tbl[",Q$1,"]")),MATCH(vp.data[[#This Row],[SDate]],weather.tbl[Date],0))</f>
        <v>9</v>
      </c>
      <c r="R147" s="2">
        <f ca="1">INDEX(INDIRECT(_xlfn.CONCAT("weather.tbl[",R$1,"]")),MATCH(vp.data[[#This Row],[SDate]],weather.tbl[Date],0))</f>
        <v>7.8</v>
      </c>
      <c r="S147" s="2">
        <f ca="1">INDEX(INDIRECT(_xlfn.CONCAT("weather.tbl[",S$1,"]")),MATCH(vp.data[[#This Row],[SDate]],weather.tbl[Date],0))</f>
        <v>11.5</v>
      </c>
      <c r="T147" s="2">
        <f ca="1">INDEX(INDIRECT(_xlfn.CONCAT("weather.tbl[",T$1,"]")),MATCH(vp.data[[#This Row],[SDate]],weather.tbl[Date],0))</f>
        <v>9</v>
      </c>
      <c r="U147" s="2">
        <f ca="1">INDEX(INDIRECT(_xlfn.CONCAT("weather.tbl[",U$1,"]")),MATCH(vp.data[[#This Row],[SDate]],weather.tbl[Date],0))</f>
        <v>10.5</v>
      </c>
      <c r="V147" s="2">
        <f t="array" ref="V1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57873.212</v>
      </c>
      <c r="W147" t="s">
        <v>48</v>
      </c>
      <c r="X147">
        <f>IF(OR(vp.data[[#This Row],[Sulf]]="",vp.data[[#This Row],[Dens]]=""),1,0)</f>
        <v>0</v>
      </c>
      <c r="Y147">
        <f>IF(vp.data[[#This Row],[CrudeType]]="C5+",1,0)</f>
        <v>0</v>
      </c>
      <c r="Z147">
        <f>IF(AND(vp.data[[#This Row],[CrudeType]]="Crude",vp.data[[#This Row],[Dens]]&lt;=825,vp.data[[#This Row],[Sulf]]&gt;0.5,vp.data[[#This Row],[Unknown]]=0),1,0)</f>
        <v>0</v>
      </c>
      <c r="AA147">
        <f>IF(AND(vp.data[[#This Row],[CrudeType]]="Crude",vp.data[[#This Row],[Dens]]&lt;=825,vp.data[[#This Row],[Sulf]]&lt;=0.5,vp.data[[#This Row],[Unknown]]=0),1,0)</f>
        <v>1</v>
      </c>
      <c r="AB1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7">
        <f>IF(AND(vp.data[[#This Row],[CrudeType]]="Crude",vp.data[[#This Row],[Dens]]&gt;825,vp.data[[#This Row],[Dens]]&lt;=900,vp.data[[#This Row],[Sulf]]&lt;=0.5,vp.data[[#This Row],[Unknown]]=0),1,0)</f>
        <v>0</v>
      </c>
      <c r="AD147">
        <f>IF(AND(vp.data[[#This Row],[CrudeType]]="Crude",vp.data[[#This Row],[Dens]]&gt;865,vp.data[[#This Row],[Dens]]&lt;=900,vp.data[[#This Row],[Sulf]]&gt;2,vp.data[[#This Row],[Unknown]]=0),1,0)</f>
        <v>0</v>
      </c>
      <c r="AE147">
        <f>IF(AND(vp.data[[#This Row],[CrudeType]]="Crude",vp.data[[#This Row],[Dens]]&gt;900,vp.data[[#This Row],[Sulf]]&lt;=0.5,vp.data[[#This Row],[Unknown]]=0),1,0)</f>
        <v>0</v>
      </c>
      <c r="AF147">
        <f>IF(AND(vp.data[[#This Row],[CrudeType]]="Crude",vp.data[[#This Row],[Dens]]&gt;900,vp.data[[#This Row],[Sulf]]&lt;=0.5,vp.data[[#This Row],[Unknown]]=0),1,0)</f>
        <v>0</v>
      </c>
      <c r="AG147" t="str">
        <f>INDEX(vp.data[[#Headers],[Unknown]:[Heavy_SW]],MATCH(1,vp.data[[#This Row],[Unknown]:[Heavy_SW]],0))</f>
        <v>Light_SW</v>
      </c>
      <c r="AH147">
        <f>INDEX([3]!crudeBD.lkup[Number],MATCH(vp.data[[#This Row],[Crude_Breakdown]],crudeBD.lkup[Crude Breakdown],0))</f>
        <v>2</v>
      </c>
      <c r="AI147">
        <f>MONTH(vp.data[[#This Row],[SDate]])</f>
        <v>4</v>
      </c>
      <c r="AJ147" s="5">
        <f>(vp.data[[#This Row],[VP]]-INDEX(crudeBD.lkup[Mean_VP],MATCH(vp.data[[#This Row],[Crude_Breakdown]],crudeBD.lkup[Crude Breakdown],0)))^2</f>
        <v>229.51299835617866</v>
      </c>
      <c r="AK147" s="5">
        <f>(vp.data[[#This Row],[Dens]]-INDEX(crudeBD.lkup[Mean_Dens],MATCH(vp.data[[#This Row],[Crude_Breakdown]],crudeBD.lkup[Crude Breakdown],0)))^2</f>
        <v>81.207100851045212</v>
      </c>
      <c r="AL147" s="5">
        <f>(vp.data[[#This Row],[Sulf]]-INDEX(crudeBD.lkup[Mean_Sulf],MATCH(vp.data[[#This Row],[Crude_Breakdown]],crudeBD.lkup[Crude Breakdown],0)))^2</f>
        <v>6.8863268899706654E-4</v>
      </c>
      <c r="AM147" s="4">
        <f>IF(AND(vp.data[[#This Row],[SDate]]&gt;=DATE(YEAR(vp.data[[#This Row],[SDate]]),5,1),vp.data[[#This Row],[SDate]]&lt;=DATE(YEAR(vp.data[[#This Row],[SDate]]),9,15)),1,0)</f>
        <v>0</v>
      </c>
      <c r="AN147" s="4">
        <f>IF(vp.data[[#This Row],[SDate]]&lt;DATE(2016,12,1),0,1)</f>
        <v>0</v>
      </c>
      <c r="AO147" s="4">
        <f>IFERROR(vp.data[[#This Row],[Sulf]]*vp.data[[#This Row],[Net Dens]],"")</f>
        <v>9714192.2538359985</v>
      </c>
      <c r="AP147">
        <f>IFERROR(vp.data[[#This Row],[Dens]]*vp.data[[#This Row],[VolumeM3]],"")</f>
        <v>46258058.351599999</v>
      </c>
      <c r="AQ147" s="15">
        <f>IFERROR(vp.data[[#This Row],[VP]]*vp.data[[#This Row],[VolumeM3]],"")</f>
        <v>6232944.9324000003</v>
      </c>
    </row>
    <row r="148" spans="1:43" x14ac:dyDescent="0.25">
      <c r="A148">
        <v>147</v>
      </c>
      <c r="B148" t="s">
        <v>46</v>
      </c>
      <c r="C148" t="s">
        <v>46</v>
      </c>
      <c r="D148" t="s">
        <v>47</v>
      </c>
      <c r="F148" s="1">
        <v>42479</v>
      </c>
      <c r="G148" s="2">
        <v>87.9</v>
      </c>
      <c r="H148" s="2"/>
      <c r="I148" s="2">
        <f t="array" ref="I148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148" s="2"/>
      <c r="K148" s="2"/>
      <c r="L148" s="2">
        <v>868.7</v>
      </c>
      <c r="M148" s="2">
        <f t="array" ref="M148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48" s="2">
        <f ca="1">INDEX(INDIRECT(_xlfn.CONCAT("weather.tbl[",N$1,"]")),MATCH(vp.data[[#This Row],[SDate]],weather.tbl[Date],0))</f>
        <v>9.4666666666666668</v>
      </c>
      <c r="O148" s="2">
        <f ca="1">INDEX(INDIRECT(_xlfn.CONCAT("weather.tbl[",O$1,"]")),MATCH(vp.data[[#This Row],[SDate]],weather.tbl[Date],0))</f>
        <v>7.1357142857142861</v>
      </c>
      <c r="P148" s="2">
        <f ca="1">INDEX(INDIRECT(_xlfn.CONCAT("weather.tbl[",P$1,"]")),MATCH(vp.data[[#This Row],[SDate]],weather.tbl[Date],0))</f>
        <v>9</v>
      </c>
      <c r="Q148" s="2">
        <f ca="1">INDEX(INDIRECT(_xlfn.CONCAT("weather.tbl[",Q$1,"]")),MATCH(vp.data[[#This Row],[SDate]],weather.tbl[Date],0))</f>
        <v>9</v>
      </c>
      <c r="R148" s="2">
        <f ca="1">INDEX(INDIRECT(_xlfn.CONCAT("weather.tbl[",R$1,"]")),MATCH(vp.data[[#This Row],[SDate]],weather.tbl[Date],0))</f>
        <v>7.8</v>
      </c>
      <c r="S148" s="2">
        <f ca="1">INDEX(INDIRECT(_xlfn.CONCAT("weather.tbl[",S$1,"]")),MATCH(vp.data[[#This Row],[SDate]],weather.tbl[Date],0))</f>
        <v>11.5</v>
      </c>
      <c r="T148" s="2">
        <f ca="1">INDEX(INDIRECT(_xlfn.CONCAT("weather.tbl[",T$1,"]")),MATCH(vp.data[[#This Row],[SDate]],weather.tbl[Date],0))</f>
        <v>9</v>
      </c>
      <c r="U148" s="2">
        <f ca="1">INDEX(INDIRECT(_xlfn.CONCAT("weather.tbl[",U$1,"]")),MATCH(vp.data[[#This Row],[SDate]],weather.tbl[Date],0))</f>
        <v>10.5</v>
      </c>
      <c r="V148" s="2">
        <f t="array" ref="V1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113007.879</v>
      </c>
      <c r="W148" t="s">
        <v>48</v>
      </c>
      <c r="X148">
        <f>IF(OR(vp.data[[#This Row],[Sulf]]="",vp.data[[#This Row],[Dens]]=""),1,0)</f>
        <v>0</v>
      </c>
      <c r="Y148">
        <f>IF(vp.data[[#This Row],[CrudeType]]="C5+",1,0)</f>
        <v>0</v>
      </c>
      <c r="Z148">
        <f>IF(AND(vp.data[[#This Row],[CrudeType]]="Crude",vp.data[[#This Row],[Dens]]&lt;=825,vp.data[[#This Row],[Sulf]]&gt;0.5,vp.data[[#This Row],[Unknown]]=0),1,0)</f>
        <v>0</v>
      </c>
      <c r="AA148">
        <f>IF(AND(vp.data[[#This Row],[CrudeType]]="Crude",vp.data[[#This Row],[Dens]]&lt;=825,vp.data[[#This Row],[Sulf]]&lt;=0.5,vp.data[[#This Row],[Unknown]]=0),1,0)</f>
        <v>0</v>
      </c>
      <c r="AB1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">
        <f>IF(AND(vp.data[[#This Row],[CrudeType]]="Crude",vp.data[[#This Row],[Dens]]&gt;825,vp.data[[#This Row],[Dens]]&lt;=900,vp.data[[#This Row],[Sulf]]&lt;=0.5,vp.data[[#This Row],[Unknown]]=0),1,0)</f>
        <v>0</v>
      </c>
      <c r="AD148">
        <f>IF(AND(vp.data[[#This Row],[CrudeType]]="Crude",vp.data[[#This Row],[Dens]]&gt;865,vp.data[[#This Row],[Dens]]&lt;=900,vp.data[[#This Row],[Sulf]]&gt;2,vp.data[[#This Row],[Unknown]]=0),1,0)</f>
        <v>1</v>
      </c>
      <c r="AE148">
        <f>IF(AND(vp.data[[#This Row],[CrudeType]]="Crude",vp.data[[#This Row],[Dens]]&gt;900,vp.data[[#This Row],[Sulf]]&lt;=0.5,vp.data[[#This Row],[Unknown]]=0),1,0)</f>
        <v>0</v>
      </c>
      <c r="AF148">
        <f>IF(AND(vp.data[[#This Row],[CrudeType]]="Crude",vp.data[[#This Row],[Dens]]&gt;900,vp.data[[#This Row],[Sulf]]&lt;=0.5,vp.data[[#This Row],[Unknown]]=0),1,0)</f>
        <v>0</v>
      </c>
      <c r="AG148" t="str">
        <f>INDEX(vp.data[[#Headers],[Unknown]:[Heavy_SW]],MATCH(1,vp.data[[#This Row],[Unknown]:[Heavy_SW]],0))</f>
        <v>Midale</v>
      </c>
      <c r="AH148">
        <f>INDEX([3]!crudeBD.lkup[Number],MATCH(vp.data[[#This Row],[Crude_Breakdown]],crudeBD.lkup[Crude Breakdown],0))</f>
        <v>5</v>
      </c>
      <c r="AI148">
        <f>MONTH(vp.data[[#This Row],[SDate]])</f>
        <v>4</v>
      </c>
      <c r="AJ148" s="5">
        <f>(vp.data[[#This Row],[VP]]-INDEX(crudeBD.lkup[Mean_VP],MATCH(vp.data[[#This Row],[Crude_Breakdown]],crudeBD.lkup[Crude Breakdown],0)))^2</f>
        <v>341.92584998405687</v>
      </c>
      <c r="AK148" s="5">
        <f>(vp.data[[#This Row],[Dens]]-INDEX(crudeBD.lkup[Mean_Dens],MATCH(vp.data[[#This Row],[Crude_Breakdown]],crudeBD.lkup[Crude Breakdown],0)))^2</f>
        <v>37.417815123820823</v>
      </c>
      <c r="AL148" s="5">
        <f>(vp.data[[#This Row],[Sulf]]-INDEX(crudeBD.lkup[Mean_Sulf],MATCH(vp.data[[#This Row],[Crude_Breakdown]],crudeBD.lkup[Crude Breakdown],0)))^2</f>
        <v>1.130006345424492E-3</v>
      </c>
      <c r="AM148" s="4">
        <f>IF(AND(vp.data[[#This Row],[SDate]]&gt;=DATE(YEAR(vp.data[[#This Row],[SDate]]),5,1),vp.data[[#This Row],[SDate]]&lt;=DATE(YEAR(vp.data[[#This Row],[SDate]]),9,15)),1,0)</f>
        <v>0</v>
      </c>
      <c r="AN148" s="4">
        <f>IF(vp.data[[#This Row],[SDate]]&lt;DATE(2016,12,1),0,1)</f>
        <v>0</v>
      </c>
      <c r="AO148" s="4">
        <f>IFERROR(vp.data[[#This Row],[Sulf]]*vp.data[[#This Row],[Net Dens]],"")</f>
        <v>236589566.21439302</v>
      </c>
      <c r="AP148">
        <f>IFERROR(vp.data[[#This Row],[Dens]]*vp.data[[#This Row],[VolumeM3]],"")</f>
        <v>98169944.487300009</v>
      </c>
      <c r="AQ148" s="15">
        <f>IFERROR(vp.data[[#This Row],[VP]]*vp.data[[#This Row],[VolumeM3]],"")</f>
        <v>9933392.564100001</v>
      </c>
    </row>
    <row r="149" spans="1:43" x14ac:dyDescent="0.25">
      <c r="A149">
        <v>148</v>
      </c>
      <c r="B149" t="s">
        <v>51</v>
      </c>
      <c r="C149" t="s">
        <v>51</v>
      </c>
      <c r="D149" t="s">
        <v>52</v>
      </c>
      <c r="F149" s="1">
        <v>42479</v>
      </c>
      <c r="G149" s="2">
        <v>78.900000000000006</v>
      </c>
      <c r="H149" s="2"/>
      <c r="I149" s="2">
        <f t="array" ref="I149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49" s="2"/>
      <c r="K149" s="2"/>
      <c r="L149" s="2">
        <v>871.1</v>
      </c>
      <c r="M149" s="2">
        <f t="array" ref="M149">_xlfn.IFNA(IF(vp.data[[#This Row],[Dens Input]]="",INDEX([1]DATA!$O$3:$O$9826,MATCH(1,(vp.data[[#This Row],[Battery]]=[1]DATA!$L$3:$L$9826)*(EOMONTH(vp.data[[#This Row],[SDate]],-1)+1=[1]DATA!$G$3:$G$9826),0)),vp.data[[#This Row],[Dens Input]]),"")</f>
        <v>871.1</v>
      </c>
      <c r="N149" s="2">
        <f ca="1">INDEX(INDIRECT(_xlfn.CONCAT("weather.tbl[",N$1,"]")),MATCH(vp.data[[#This Row],[SDate]],weather.tbl[Date],0))</f>
        <v>9.4666666666666668</v>
      </c>
      <c r="O149" s="2">
        <f ca="1">INDEX(INDIRECT(_xlfn.CONCAT("weather.tbl[",O$1,"]")),MATCH(vp.data[[#This Row],[SDate]],weather.tbl[Date],0))</f>
        <v>7.1357142857142861</v>
      </c>
      <c r="P149" s="2">
        <f ca="1">INDEX(INDIRECT(_xlfn.CONCAT("weather.tbl[",P$1,"]")),MATCH(vp.data[[#This Row],[SDate]],weather.tbl[Date],0))</f>
        <v>9</v>
      </c>
      <c r="Q149" s="2">
        <f ca="1">INDEX(INDIRECT(_xlfn.CONCAT("weather.tbl[",Q$1,"]")),MATCH(vp.data[[#This Row],[SDate]],weather.tbl[Date],0))</f>
        <v>9</v>
      </c>
      <c r="R149" s="2">
        <f ca="1">INDEX(INDIRECT(_xlfn.CONCAT("weather.tbl[",R$1,"]")),MATCH(vp.data[[#This Row],[SDate]],weather.tbl[Date],0))</f>
        <v>7.8</v>
      </c>
      <c r="S149" s="2">
        <f ca="1">INDEX(INDIRECT(_xlfn.CONCAT("weather.tbl[",S$1,"]")),MATCH(vp.data[[#This Row],[SDate]],weather.tbl[Date],0))</f>
        <v>11.5</v>
      </c>
      <c r="T149" s="2">
        <f ca="1">INDEX(INDIRECT(_xlfn.CONCAT("weather.tbl[",T$1,"]")),MATCH(vp.data[[#This Row],[SDate]],weather.tbl[Date],0))</f>
        <v>9</v>
      </c>
      <c r="U149" s="2">
        <f ca="1">INDEX(INDIRECT(_xlfn.CONCAT("weather.tbl[",U$1,"]")),MATCH(vp.data[[#This Row],[SDate]],weather.tbl[Date],0))</f>
        <v>10.5</v>
      </c>
      <c r="V149" s="2">
        <f t="array" ref="V1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7709.2969999999996</v>
      </c>
      <c r="W149" t="s">
        <v>48</v>
      </c>
      <c r="X149">
        <f>IF(OR(vp.data[[#This Row],[Sulf]]="",vp.data[[#This Row],[Dens]]=""),1,0)</f>
        <v>0</v>
      </c>
      <c r="Y149">
        <f>IF(vp.data[[#This Row],[CrudeType]]="C5+",1,0)</f>
        <v>0</v>
      </c>
      <c r="Z149">
        <f>IF(AND(vp.data[[#This Row],[CrudeType]]="Crude",vp.data[[#This Row],[Dens]]&lt;=825,vp.data[[#This Row],[Sulf]]&gt;0.5,vp.data[[#This Row],[Unknown]]=0),1,0)</f>
        <v>0</v>
      </c>
      <c r="AA149">
        <f>IF(AND(vp.data[[#This Row],[CrudeType]]="Crude",vp.data[[#This Row],[Dens]]&lt;=825,vp.data[[#This Row],[Sulf]]&lt;=0.5,vp.data[[#This Row],[Unknown]]=0),1,0)</f>
        <v>0</v>
      </c>
      <c r="AB1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9">
        <f>IF(AND(vp.data[[#This Row],[CrudeType]]="Crude",vp.data[[#This Row],[Dens]]&gt;825,vp.data[[#This Row],[Dens]]&lt;=900,vp.data[[#This Row],[Sulf]]&lt;=0.5,vp.data[[#This Row],[Unknown]]=0),1,0)</f>
        <v>0</v>
      </c>
      <c r="AD149">
        <f>IF(AND(vp.data[[#This Row],[CrudeType]]="Crude",vp.data[[#This Row],[Dens]]&gt;865,vp.data[[#This Row],[Dens]]&lt;=900,vp.data[[#This Row],[Sulf]]&gt;2,vp.data[[#This Row],[Unknown]]=0),1,0)</f>
        <v>1</v>
      </c>
      <c r="AE149">
        <f>IF(AND(vp.data[[#This Row],[CrudeType]]="Crude",vp.data[[#This Row],[Dens]]&gt;900,vp.data[[#This Row],[Sulf]]&lt;=0.5,vp.data[[#This Row],[Unknown]]=0),1,0)</f>
        <v>0</v>
      </c>
      <c r="AF149">
        <f>IF(AND(vp.data[[#This Row],[CrudeType]]="Crude",vp.data[[#This Row],[Dens]]&gt;900,vp.data[[#This Row],[Sulf]]&lt;=0.5,vp.data[[#This Row],[Unknown]]=0),1,0)</f>
        <v>0</v>
      </c>
      <c r="AG149" t="str">
        <f>INDEX(vp.data[[#Headers],[Unknown]:[Heavy_SW]],MATCH(1,vp.data[[#This Row],[Unknown]:[Heavy_SW]],0))</f>
        <v>Midale</v>
      </c>
      <c r="AH149">
        <f>INDEX([3]!crudeBD.lkup[Number],MATCH(vp.data[[#This Row],[Crude_Breakdown]],crudeBD.lkup[Crude Breakdown],0))</f>
        <v>5</v>
      </c>
      <c r="AI149">
        <f>MONTH(vp.data[[#This Row],[SDate]])</f>
        <v>4</v>
      </c>
      <c r="AJ149" s="5">
        <f>(vp.data[[#This Row],[VP]]-INDEX(crudeBD.lkup[Mean_VP],MATCH(vp.data[[#This Row],[Crude_Breakdown]],crudeBD.lkup[Crude Breakdown],0)))^2</f>
        <v>90.083581942820217</v>
      </c>
      <c r="AK149" s="5">
        <f>(vp.data[[#This Row],[Dens]]-INDEX(crudeBD.lkup[Mean_Dens],MATCH(vp.data[[#This Row],[Crude_Breakdown]],crudeBD.lkup[Crude Breakdown],0)))^2</f>
        <v>13.816165639283653</v>
      </c>
      <c r="AL149" s="5">
        <f>(vp.data[[#This Row],[Sulf]]-INDEX(crudeBD.lkup[Mean_Sulf],MATCH(vp.data[[#This Row],[Crude_Breakdown]],crudeBD.lkup[Crude Breakdown],0)))^2</f>
        <v>2.0625431087692294E-2</v>
      </c>
      <c r="AM149" s="4">
        <f>IF(AND(vp.data[[#This Row],[SDate]]&gt;=DATE(YEAR(vp.data[[#This Row],[SDate]]),5,1),vp.data[[#This Row],[SDate]]&lt;=DATE(YEAR(vp.data[[#This Row],[SDate]]),9,15)),1,0)</f>
        <v>0</v>
      </c>
      <c r="AN149" s="4">
        <f>IF(vp.data[[#This Row],[SDate]]&lt;DATE(2016,12,1),0,1)</f>
        <v>0</v>
      </c>
      <c r="AO149" s="4">
        <f>IFERROR(vp.data[[#This Row],[Sulf]]*vp.data[[#This Row],[Net Dens]],"")</f>
        <v>15445807.81841</v>
      </c>
      <c r="AP149">
        <f>IFERROR(vp.data[[#This Row],[Dens]]*vp.data[[#This Row],[VolumeM3]],"")</f>
        <v>6715568.6167000001</v>
      </c>
      <c r="AQ149" s="15">
        <f>IFERROR(vp.data[[#This Row],[VP]]*vp.data[[#This Row],[VolumeM3]],"")</f>
        <v>608263.53330000001</v>
      </c>
    </row>
    <row r="150" spans="1:43" x14ac:dyDescent="0.25">
      <c r="A150">
        <v>149</v>
      </c>
      <c r="B150" t="s">
        <v>49</v>
      </c>
      <c r="C150" t="s">
        <v>49</v>
      </c>
      <c r="D150" t="s">
        <v>50</v>
      </c>
      <c r="F150" s="1">
        <v>42479</v>
      </c>
      <c r="G150" s="2">
        <v>59.6</v>
      </c>
      <c r="H150" s="2"/>
      <c r="I150" s="2">
        <f t="array" ref="I150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50" s="2"/>
      <c r="K150" s="2"/>
      <c r="L150" s="2">
        <v>881.4</v>
      </c>
      <c r="M150" s="2">
        <f t="array" ref="M150">_xlfn.IFNA(IF(vp.data[[#This Row],[Dens Input]]="",INDEX([1]DATA!$O$3:$O$9826,MATCH(1,(vp.data[[#This Row],[Battery]]=[1]DATA!$L$3:$L$9826)*(EOMONTH(vp.data[[#This Row],[SDate]],-1)+1=[1]DATA!$G$3:$G$9826),0)),vp.data[[#This Row],[Dens Input]]),"")</f>
        <v>881.4</v>
      </c>
      <c r="N150" s="2">
        <f ca="1">INDEX(INDIRECT(_xlfn.CONCAT("weather.tbl[",N$1,"]")),MATCH(vp.data[[#This Row],[SDate]],weather.tbl[Date],0))</f>
        <v>9.4666666666666668</v>
      </c>
      <c r="O150" s="2">
        <f ca="1">INDEX(INDIRECT(_xlfn.CONCAT("weather.tbl[",O$1,"]")),MATCH(vp.data[[#This Row],[SDate]],weather.tbl[Date],0))</f>
        <v>7.1357142857142861</v>
      </c>
      <c r="P150" s="2">
        <f ca="1">INDEX(INDIRECT(_xlfn.CONCAT("weather.tbl[",P$1,"]")),MATCH(vp.data[[#This Row],[SDate]],weather.tbl[Date],0))</f>
        <v>9</v>
      </c>
      <c r="Q150" s="2">
        <f ca="1">INDEX(INDIRECT(_xlfn.CONCAT("weather.tbl[",Q$1,"]")),MATCH(vp.data[[#This Row],[SDate]],weather.tbl[Date],0))</f>
        <v>9</v>
      </c>
      <c r="R150" s="2">
        <f ca="1">INDEX(INDIRECT(_xlfn.CONCAT("weather.tbl[",R$1,"]")),MATCH(vp.data[[#This Row],[SDate]],weather.tbl[Date],0))</f>
        <v>7.8</v>
      </c>
      <c r="S150" s="2">
        <f ca="1">INDEX(INDIRECT(_xlfn.CONCAT("weather.tbl[",S$1,"]")),MATCH(vp.data[[#This Row],[SDate]],weather.tbl[Date],0))</f>
        <v>11.5</v>
      </c>
      <c r="T150" s="2">
        <f ca="1">INDEX(INDIRECT(_xlfn.CONCAT("weather.tbl[",T$1,"]")),MATCH(vp.data[[#This Row],[SDate]],weather.tbl[Date],0))</f>
        <v>9</v>
      </c>
      <c r="U150" s="2">
        <f ca="1">INDEX(INDIRECT(_xlfn.CONCAT("weather.tbl[",U$1,"]")),MATCH(vp.data[[#This Row],[SDate]],weather.tbl[Date],0))</f>
        <v>10.5</v>
      </c>
      <c r="V150" s="2">
        <f t="array" ref="V1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8132.3109999999997</v>
      </c>
      <c r="W150" t="s">
        <v>48</v>
      </c>
      <c r="X150">
        <f>IF(OR(vp.data[[#This Row],[Sulf]]="",vp.data[[#This Row],[Dens]]=""),1,0)</f>
        <v>0</v>
      </c>
      <c r="Y150">
        <f>IF(vp.data[[#This Row],[CrudeType]]="C5+",1,0)</f>
        <v>0</v>
      </c>
      <c r="Z150">
        <f>IF(AND(vp.data[[#This Row],[CrudeType]]="Crude",vp.data[[#This Row],[Dens]]&lt;=825,vp.data[[#This Row],[Sulf]]&gt;0.5,vp.data[[#This Row],[Unknown]]=0),1,0)</f>
        <v>0</v>
      </c>
      <c r="AA150">
        <f>IF(AND(vp.data[[#This Row],[CrudeType]]="Crude",vp.data[[#This Row],[Dens]]&lt;=825,vp.data[[#This Row],[Sulf]]&lt;=0.5,vp.data[[#This Row],[Unknown]]=0),1,0)</f>
        <v>0</v>
      </c>
      <c r="AB1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">
        <f>IF(AND(vp.data[[#This Row],[CrudeType]]="Crude",vp.data[[#This Row],[Dens]]&gt;825,vp.data[[#This Row],[Dens]]&lt;=900,vp.data[[#This Row],[Sulf]]&lt;=0.5,vp.data[[#This Row],[Unknown]]=0),1,0)</f>
        <v>0</v>
      </c>
      <c r="AD150">
        <f>IF(AND(vp.data[[#This Row],[CrudeType]]="Crude",vp.data[[#This Row],[Dens]]&gt;865,vp.data[[#This Row],[Dens]]&lt;=900,vp.data[[#This Row],[Sulf]]&gt;2,vp.data[[#This Row],[Unknown]]=0),1,0)</f>
        <v>1</v>
      </c>
      <c r="AE150">
        <f>IF(AND(vp.data[[#This Row],[CrudeType]]="Crude",vp.data[[#This Row],[Dens]]&gt;900,vp.data[[#This Row],[Sulf]]&lt;=0.5,vp.data[[#This Row],[Unknown]]=0),1,0)</f>
        <v>0</v>
      </c>
      <c r="AF150">
        <f>IF(AND(vp.data[[#This Row],[CrudeType]]="Crude",vp.data[[#This Row],[Dens]]&gt;900,vp.data[[#This Row],[Sulf]]&lt;=0.5,vp.data[[#This Row],[Unknown]]=0),1,0)</f>
        <v>0</v>
      </c>
      <c r="AG150" t="str">
        <f>INDEX(vp.data[[#Headers],[Unknown]:[Heavy_SW]],MATCH(1,vp.data[[#This Row],[Unknown]:[Heavy_SW]],0))</f>
        <v>Midale</v>
      </c>
      <c r="AH150">
        <f>INDEX([3]!crudeBD.lkup[Number],MATCH(vp.data[[#This Row],[Crude_Breakdown]],crudeBD.lkup[Crude Breakdown],0))</f>
        <v>5</v>
      </c>
      <c r="AI150">
        <f>MONTH(vp.data[[#This Row],[SDate]])</f>
        <v>4</v>
      </c>
      <c r="AJ150" s="5">
        <f>(vp.data[[#This Row],[VP]]-INDEX(crudeBD.lkup[Mean_VP],MATCH(vp.data[[#This Row],[Crude_Breakdown]],crudeBD.lkup[Crude Breakdown],0)))^2</f>
        <v>96.2118293655017</v>
      </c>
      <c r="AK150" s="5">
        <f>(vp.data[[#This Row],[Dens]]-INDEX(crudeBD.lkup[Mean_Dens],MATCH(vp.data[[#This Row],[Crude_Breakdown]],crudeBD.lkup[Crude Breakdown],0)))^2</f>
        <v>43.335753268143179</v>
      </c>
      <c r="AL150" s="5">
        <f>(vp.data[[#This Row],[Sulf]]-INDEX(crudeBD.lkup[Mean_Sulf],MATCH(vp.data[[#This Row],[Crude_Breakdown]],crudeBD.lkup[Crude Breakdown],0)))^2</f>
        <v>2.1428402221713612E-2</v>
      </c>
      <c r="AM150" s="4">
        <f>IF(AND(vp.data[[#This Row],[SDate]]&gt;=DATE(YEAR(vp.data[[#This Row],[SDate]]),5,1),vp.data[[#This Row],[SDate]]&lt;=DATE(YEAR(vp.data[[#This Row],[SDate]]),9,15)),1,0)</f>
        <v>0</v>
      </c>
      <c r="AN150" s="4">
        <f>IF(vp.data[[#This Row],[SDate]]&lt;DATE(2016,12,1),0,1)</f>
        <v>0</v>
      </c>
      <c r="AO150" s="4">
        <f>IFERROR(vp.data[[#This Row],[Sulf]]*vp.data[[#This Row],[Net Dens]],"")</f>
        <v>18564650.990885999</v>
      </c>
      <c r="AP150">
        <f>IFERROR(vp.data[[#This Row],[Dens]]*vp.data[[#This Row],[VolumeM3]],"")</f>
        <v>7167818.9153999994</v>
      </c>
      <c r="AQ150" s="15">
        <f>IFERROR(vp.data[[#This Row],[VP]]*vp.data[[#This Row],[VolumeM3]],"")</f>
        <v>484685.73560000001</v>
      </c>
    </row>
    <row r="151" spans="1:43" x14ac:dyDescent="0.25">
      <c r="A151">
        <v>150</v>
      </c>
      <c r="B151" t="s">
        <v>62</v>
      </c>
      <c r="C151" t="s">
        <v>62</v>
      </c>
      <c r="D151" t="s">
        <v>63</v>
      </c>
      <c r="F151" s="1">
        <v>42480</v>
      </c>
      <c r="G151" s="2">
        <v>109.4</v>
      </c>
      <c r="H151" s="2"/>
      <c r="I151" s="2">
        <f t="array" ref="I151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1" s="2"/>
      <c r="K151" s="2"/>
      <c r="L151" s="2">
        <v>792</v>
      </c>
      <c r="M151" s="2">
        <f t="array" ref="M151">_xlfn.IFNA(IF(vp.data[[#This Row],[Dens Input]]="",INDEX([1]DATA!$O$3:$O$9826,MATCH(1,(vp.data[[#This Row],[Battery]]=[1]DATA!$L$3:$L$9826)*(EOMONTH(vp.data[[#This Row],[SDate]],-1)+1=[1]DATA!$G$3:$G$9826),0)),vp.data[[#This Row],[Dens Input]]),"")</f>
        <v>792</v>
      </c>
      <c r="N151" s="2">
        <f ca="1">INDEX(INDIRECT(_xlfn.CONCAT("weather.tbl[",N$1,"]")),MATCH(vp.data[[#This Row],[SDate]],weather.tbl[Date],0))</f>
        <v>13.200000000000001</v>
      </c>
      <c r="O151" s="2">
        <f ca="1">INDEX(INDIRECT(_xlfn.CONCAT("weather.tbl[",O$1,"]")),MATCH(vp.data[[#This Row],[SDate]],weather.tbl[Date],0))</f>
        <v>7.5238095238095246</v>
      </c>
      <c r="P151" s="2">
        <f ca="1">INDEX(INDIRECT(_xlfn.CONCAT("weather.tbl[",P$1,"]")),MATCH(vp.data[[#This Row],[SDate]],weather.tbl[Date],0))</f>
        <v>12.5</v>
      </c>
      <c r="Q151" s="2">
        <f ca="1">INDEX(INDIRECT(_xlfn.CONCAT("weather.tbl[",Q$1,"]")),MATCH(vp.data[[#This Row],[SDate]],weather.tbl[Date],0))</f>
        <v>12.4</v>
      </c>
      <c r="R151" s="2">
        <f ca="1">INDEX(INDIRECT(_xlfn.CONCAT("weather.tbl[",R$1,"]")),MATCH(vp.data[[#This Row],[SDate]],weather.tbl[Date],0))</f>
        <v>12.5</v>
      </c>
      <c r="S151" s="2">
        <f ca="1">INDEX(INDIRECT(_xlfn.CONCAT("weather.tbl[",S$1,"]")),MATCH(vp.data[[#This Row],[SDate]],weather.tbl[Date],0))</f>
        <v>13.5</v>
      </c>
      <c r="T151" s="2">
        <f ca="1">INDEX(INDIRECT(_xlfn.CONCAT("weather.tbl[",T$1,"]")),MATCH(vp.data[[#This Row],[SDate]],weather.tbl[Date],0))</f>
        <v>14.5</v>
      </c>
      <c r="U151" s="2">
        <f ca="1">INDEX(INDIRECT(_xlfn.CONCAT("weather.tbl[",U$1,"]")),MATCH(vp.data[[#This Row],[SDate]],weather.tbl[Date],0))</f>
        <v>13.8</v>
      </c>
      <c r="V151" s="2">
        <f t="array" ref="V1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1" t="s">
        <v>48</v>
      </c>
      <c r="X151">
        <f>IF(OR(vp.data[[#This Row],[Sulf]]="",vp.data[[#This Row],[Dens]]=""),1,0)</f>
        <v>0</v>
      </c>
      <c r="Y151">
        <f>IF(vp.data[[#This Row],[CrudeType]]="C5+",1,0)</f>
        <v>0</v>
      </c>
      <c r="Z151">
        <f>IF(AND(vp.data[[#This Row],[CrudeType]]="Crude",vp.data[[#This Row],[Dens]]&lt;=825,vp.data[[#This Row],[Sulf]]&gt;0.5,vp.data[[#This Row],[Unknown]]=0),1,0)</f>
        <v>1</v>
      </c>
      <c r="AA151">
        <f>IF(AND(vp.data[[#This Row],[CrudeType]]="Crude",vp.data[[#This Row],[Dens]]&lt;=825,vp.data[[#This Row],[Sulf]]&lt;=0.5,vp.data[[#This Row],[Unknown]]=0),1,0)</f>
        <v>0</v>
      </c>
      <c r="AB1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1">
        <f>IF(AND(vp.data[[#This Row],[CrudeType]]="Crude",vp.data[[#This Row],[Dens]]&gt;825,vp.data[[#This Row],[Dens]]&lt;=900,vp.data[[#This Row],[Sulf]]&lt;=0.5,vp.data[[#This Row],[Unknown]]=0),1,0)</f>
        <v>0</v>
      </c>
      <c r="AD151">
        <f>IF(AND(vp.data[[#This Row],[CrudeType]]="Crude",vp.data[[#This Row],[Dens]]&gt;865,vp.data[[#This Row],[Dens]]&lt;=900,vp.data[[#This Row],[Sulf]]&gt;2,vp.data[[#This Row],[Unknown]]=0),1,0)</f>
        <v>0</v>
      </c>
      <c r="AE151">
        <f>IF(AND(vp.data[[#This Row],[CrudeType]]="Crude",vp.data[[#This Row],[Dens]]&gt;900,vp.data[[#This Row],[Sulf]]&lt;=0.5,vp.data[[#This Row],[Unknown]]=0),1,0)</f>
        <v>0</v>
      </c>
      <c r="AF151">
        <f>IF(AND(vp.data[[#This Row],[CrudeType]]="Crude",vp.data[[#This Row],[Dens]]&gt;900,vp.data[[#This Row],[Sulf]]&lt;=0.5,vp.data[[#This Row],[Unknown]]=0),1,0)</f>
        <v>0</v>
      </c>
      <c r="AG151" t="str">
        <f>INDEX(vp.data[[#Headers],[Unknown]:[Heavy_SW]],MATCH(1,vp.data[[#This Row],[Unknown]:[Heavy_SW]],0))</f>
        <v>Light_LSB</v>
      </c>
      <c r="AH151">
        <f>INDEX([3]!crudeBD.lkup[Number],MATCH(vp.data[[#This Row],[Crude_Breakdown]],crudeBD.lkup[Crude Breakdown],0))</f>
        <v>1</v>
      </c>
      <c r="AI151">
        <f>MONTH(vp.data[[#This Row],[SDate]])</f>
        <v>4</v>
      </c>
      <c r="AJ151" s="5">
        <f>(vp.data[[#This Row],[VP]]-INDEX(crudeBD.lkup[Mean_VP],MATCH(vp.data[[#This Row],[Crude_Breakdown]],crudeBD.lkup[Crude Breakdown],0)))^2</f>
        <v>318.75868980763011</v>
      </c>
      <c r="AK151" s="5">
        <f>(vp.data[[#This Row],[Dens]]-INDEX(crudeBD.lkup[Mean_Dens],MATCH(vp.data[[#This Row],[Crude_Breakdown]],crudeBD.lkup[Crude Breakdown],0)))^2</f>
        <v>703.13907847567441</v>
      </c>
      <c r="AL151" s="5">
        <f>(vp.data[[#This Row],[Sulf]]-INDEX(crudeBD.lkup[Mean_Sulf],MATCH(vp.data[[#This Row],[Crude_Breakdown]],crudeBD.lkup[Crude Breakdown],0)))^2</f>
        <v>0.11358843333985327</v>
      </c>
      <c r="AM151" s="4">
        <f>IF(AND(vp.data[[#This Row],[SDate]]&gt;=DATE(YEAR(vp.data[[#This Row],[SDate]]),5,1),vp.data[[#This Row],[SDate]]&lt;=DATE(YEAR(vp.data[[#This Row],[SDate]]),9,15)),1,0)</f>
        <v>0</v>
      </c>
      <c r="AN151" s="4">
        <f>IF(vp.data[[#This Row],[SDate]]&lt;DATE(2016,12,1),0,1)</f>
        <v>0</v>
      </c>
      <c r="AO151" s="4">
        <f>IFERROR(vp.data[[#This Row],[Sulf]]*vp.data[[#This Row],[Net Dens]],"")</f>
        <v>6123736.0800000001</v>
      </c>
      <c r="AP151">
        <f>IFERROR(vp.data[[#This Row],[Dens]]*vp.data[[#This Row],[VolumeM3]],"")</f>
        <v>4860108</v>
      </c>
      <c r="AQ151" s="15">
        <f>IFERROR(vp.data[[#This Row],[VP]]*vp.data[[#This Row],[VolumeM3]],"")</f>
        <v>671333.1</v>
      </c>
    </row>
    <row r="152" spans="1:43" x14ac:dyDescent="0.25">
      <c r="A152">
        <v>151</v>
      </c>
      <c r="B152" t="s">
        <v>62</v>
      </c>
      <c r="C152" t="s">
        <v>62</v>
      </c>
      <c r="D152" t="s">
        <v>63</v>
      </c>
      <c r="F152" s="1">
        <v>42480</v>
      </c>
      <c r="G152" s="2">
        <v>107.1</v>
      </c>
      <c r="H152" s="2"/>
      <c r="I152" s="2">
        <f t="array" ref="I152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2" s="2"/>
      <c r="K152" s="2"/>
      <c r="L152" s="2">
        <v>792</v>
      </c>
      <c r="M152" s="2">
        <f t="array" ref="M152">_xlfn.IFNA(IF(vp.data[[#This Row],[Dens Input]]="",INDEX([1]DATA!$O$3:$O$9826,MATCH(1,(vp.data[[#This Row],[Battery]]=[1]DATA!$L$3:$L$9826)*(EOMONTH(vp.data[[#This Row],[SDate]],-1)+1=[1]DATA!$G$3:$G$9826),0)),vp.data[[#This Row],[Dens Input]]),"")</f>
        <v>792</v>
      </c>
      <c r="N152" s="2">
        <f ca="1">INDEX(INDIRECT(_xlfn.CONCAT("weather.tbl[",N$1,"]")),MATCH(vp.data[[#This Row],[SDate]],weather.tbl[Date],0))</f>
        <v>13.200000000000001</v>
      </c>
      <c r="O152" s="2">
        <f ca="1">INDEX(INDIRECT(_xlfn.CONCAT("weather.tbl[",O$1,"]")),MATCH(vp.data[[#This Row],[SDate]],weather.tbl[Date],0))</f>
        <v>7.5238095238095246</v>
      </c>
      <c r="P152" s="2">
        <f ca="1">INDEX(INDIRECT(_xlfn.CONCAT("weather.tbl[",P$1,"]")),MATCH(vp.data[[#This Row],[SDate]],weather.tbl[Date],0))</f>
        <v>12.5</v>
      </c>
      <c r="Q152" s="2">
        <f ca="1">INDEX(INDIRECT(_xlfn.CONCAT("weather.tbl[",Q$1,"]")),MATCH(vp.data[[#This Row],[SDate]],weather.tbl[Date],0))</f>
        <v>12.4</v>
      </c>
      <c r="R152" s="2">
        <f ca="1">INDEX(INDIRECT(_xlfn.CONCAT("weather.tbl[",R$1,"]")),MATCH(vp.data[[#This Row],[SDate]],weather.tbl[Date],0))</f>
        <v>12.5</v>
      </c>
      <c r="S152" s="2">
        <f ca="1">INDEX(INDIRECT(_xlfn.CONCAT("weather.tbl[",S$1,"]")),MATCH(vp.data[[#This Row],[SDate]],weather.tbl[Date],0))</f>
        <v>13.5</v>
      </c>
      <c r="T152" s="2">
        <f ca="1">INDEX(INDIRECT(_xlfn.CONCAT("weather.tbl[",T$1,"]")),MATCH(vp.data[[#This Row],[SDate]],weather.tbl[Date],0))</f>
        <v>14.5</v>
      </c>
      <c r="U152" s="2">
        <f ca="1">INDEX(INDIRECT(_xlfn.CONCAT("weather.tbl[",U$1,"]")),MATCH(vp.data[[#This Row],[SDate]],weather.tbl[Date],0))</f>
        <v>13.8</v>
      </c>
      <c r="V152" s="2">
        <f t="array" ref="V1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2" t="s">
        <v>48</v>
      </c>
      <c r="X152">
        <f>IF(OR(vp.data[[#This Row],[Sulf]]="",vp.data[[#This Row],[Dens]]=""),1,0)</f>
        <v>0</v>
      </c>
      <c r="Y152">
        <f>IF(vp.data[[#This Row],[CrudeType]]="C5+",1,0)</f>
        <v>0</v>
      </c>
      <c r="Z152">
        <f>IF(AND(vp.data[[#This Row],[CrudeType]]="Crude",vp.data[[#This Row],[Dens]]&lt;=825,vp.data[[#This Row],[Sulf]]&gt;0.5,vp.data[[#This Row],[Unknown]]=0),1,0)</f>
        <v>1</v>
      </c>
      <c r="AA152">
        <f>IF(AND(vp.data[[#This Row],[CrudeType]]="Crude",vp.data[[#This Row],[Dens]]&lt;=825,vp.data[[#This Row],[Sulf]]&lt;=0.5,vp.data[[#This Row],[Unknown]]=0),1,0)</f>
        <v>0</v>
      </c>
      <c r="AB1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2">
        <f>IF(AND(vp.data[[#This Row],[CrudeType]]="Crude",vp.data[[#This Row],[Dens]]&gt;825,vp.data[[#This Row],[Dens]]&lt;=900,vp.data[[#This Row],[Sulf]]&lt;=0.5,vp.data[[#This Row],[Unknown]]=0),1,0)</f>
        <v>0</v>
      </c>
      <c r="AD152">
        <f>IF(AND(vp.data[[#This Row],[CrudeType]]="Crude",vp.data[[#This Row],[Dens]]&gt;865,vp.data[[#This Row],[Dens]]&lt;=900,vp.data[[#This Row],[Sulf]]&gt;2,vp.data[[#This Row],[Unknown]]=0),1,0)</f>
        <v>0</v>
      </c>
      <c r="AE152">
        <f>IF(AND(vp.data[[#This Row],[CrudeType]]="Crude",vp.data[[#This Row],[Dens]]&gt;900,vp.data[[#This Row],[Sulf]]&lt;=0.5,vp.data[[#This Row],[Unknown]]=0),1,0)</f>
        <v>0</v>
      </c>
      <c r="AF152">
        <f>IF(AND(vp.data[[#This Row],[CrudeType]]="Crude",vp.data[[#This Row],[Dens]]&gt;900,vp.data[[#This Row],[Sulf]]&lt;=0.5,vp.data[[#This Row],[Unknown]]=0),1,0)</f>
        <v>0</v>
      </c>
      <c r="AG152" t="str">
        <f>INDEX(vp.data[[#Headers],[Unknown]:[Heavy_SW]],MATCH(1,vp.data[[#This Row],[Unknown]:[Heavy_SW]],0))</f>
        <v>Light_LSB</v>
      </c>
      <c r="AH152">
        <f>INDEX([3]!crudeBD.lkup[Number],MATCH(vp.data[[#This Row],[Crude_Breakdown]],crudeBD.lkup[Crude Breakdown],0))</f>
        <v>1</v>
      </c>
      <c r="AI152">
        <f>MONTH(vp.data[[#This Row],[SDate]])</f>
        <v>4</v>
      </c>
      <c r="AJ152" s="5">
        <f>(vp.data[[#This Row],[VP]]-INDEX(crudeBD.lkup[Mean_VP],MATCH(vp.data[[#This Row],[Crude_Breakdown]],crudeBD.lkup[Crude Breakdown],0)))^2</f>
        <v>241.92114341587728</v>
      </c>
      <c r="AK152" s="5">
        <f>(vp.data[[#This Row],[Dens]]-INDEX(crudeBD.lkup[Mean_Dens],MATCH(vp.data[[#This Row],[Crude_Breakdown]],crudeBD.lkup[Crude Breakdown],0)))^2</f>
        <v>703.13907847567441</v>
      </c>
      <c r="AL152" s="5">
        <f>(vp.data[[#This Row],[Sulf]]-INDEX(crudeBD.lkup[Mean_Sulf],MATCH(vp.data[[#This Row],[Crude_Breakdown]],crudeBD.lkup[Crude Breakdown],0)))^2</f>
        <v>0.11358843333985327</v>
      </c>
      <c r="AM152" s="4">
        <f>IF(AND(vp.data[[#This Row],[SDate]]&gt;=DATE(YEAR(vp.data[[#This Row],[SDate]]),5,1),vp.data[[#This Row],[SDate]]&lt;=DATE(YEAR(vp.data[[#This Row],[SDate]]),9,15)),1,0)</f>
        <v>0</v>
      </c>
      <c r="AN152" s="4">
        <f>IF(vp.data[[#This Row],[SDate]]&lt;DATE(2016,12,1),0,1)</f>
        <v>0</v>
      </c>
      <c r="AO152" s="4">
        <f>IFERROR(vp.data[[#This Row],[Sulf]]*vp.data[[#This Row],[Net Dens]],"")</f>
        <v>6123736.0800000001</v>
      </c>
      <c r="AP152">
        <f>IFERROR(vp.data[[#This Row],[Dens]]*vp.data[[#This Row],[VolumeM3]],"")</f>
        <v>4860108</v>
      </c>
      <c r="AQ152" s="15">
        <f>IFERROR(vp.data[[#This Row],[VP]]*vp.data[[#This Row],[VolumeM3]],"")</f>
        <v>657219.15</v>
      </c>
    </row>
    <row r="153" spans="1:43" x14ac:dyDescent="0.25">
      <c r="A153">
        <v>152</v>
      </c>
      <c r="B153" t="s">
        <v>62</v>
      </c>
      <c r="C153" t="s">
        <v>62</v>
      </c>
      <c r="D153" t="s">
        <v>63</v>
      </c>
      <c r="F153" s="1">
        <v>42480</v>
      </c>
      <c r="G153" s="2">
        <v>108.2</v>
      </c>
      <c r="H153" s="2"/>
      <c r="I153" s="2">
        <f t="array" ref="I153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3" s="2"/>
      <c r="K153" s="2"/>
      <c r="L153" s="2">
        <v>818</v>
      </c>
      <c r="M153" s="2">
        <f t="array" ref="M153">_xlfn.IFNA(IF(vp.data[[#This Row],[Dens Input]]="",INDEX([1]DATA!$O$3:$O$9826,MATCH(1,(vp.data[[#This Row],[Battery]]=[1]DATA!$L$3:$L$9826)*(EOMONTH(vp.data[[#This Row],[SDate]],-1)+1=[1]DATA!$G$3:$G$9826),0)),vp.data[[#This Row],[Dens Input]]),"")</f>
        <v>818</v>
      </c>
      <c r="N153" s="2">
        <f ca="1">INDEX(INDIRECT(_xlfn.CONCAT("weather.tbl[",N$1,"]")),MATCH(vp.data[[#This Row],[SDate]],weather.tbl[Date],0))</f>
        <v>13.200000000000001</v>
      </c>
      <c r="O153" s="2">
        <f ca="1">INDEX(INDIRECT(_xlfn.CONCAT("weather.tbl[",O$1,"]")),MATCH(vp.data[[#This Row],[SDate]],weather.tbl[Date],0))</f>
        <v>7.5238095238095246</v>
      </c>
      <c r="P153" s="2">
        <f ca="1">INDEX(INDIRECT(_xlfn.CONCAT("weather.tbl[",P$1,"]")),MATCH(vp.data[[#This Row],[SDate]],weather.tbl[Date],0))</f>
        <v>12.5</v>
      </c>
      <c r="Q153" s="2">
        <f ca="1">INDEX(INDIRECT(_xlfn.CONCAT("weather.tbl[",Q$1,"]")),MATCH(vp.data[[#This Row],[SDate]],weather.tbl[Date],0))</f>
        <v>12.4</v>
      </c>
      <c r="R153" s="2">
        <f ca="1">INDEX(INDIRECT(_xlfn.CONCAT("weather.tbl[",R$1,"]")),MATCH(vp.data[[#This Row],[SDate]],weather.tbl[Date],0))</f>
        <v>12.5</v>
      </c>
      <c r="S153" s="2">
        <f ca="1">INDEX(INDIRECT(_xlfn.CONCAT("weather.tbl[",S$1,"]")),MATCH(vp.data[[#This Row],[SDate]],weather.tbl[Date],0))</f>
        <v>13.5</v>
      </c>
      <c r="T153" s="2">
        <f ca="1">INDEX(INDIRECT(_xlfn.CONCAT("weather.tbl[",T$1,"]")),MATCH(vp.data[[#This Row],[SDate]],weather.tbl[Date],0))</f>
        <v>14.5</v>
      </c>
      <c r="U153" s="2">
        <f ca="1">INDEX(INDIRECT(_xlfn.CONCAT("weather.tbl[",U$1,"]")),MATCH(vp.data[[#This Row],[SDate]],weather.tbl[Date],0))</f>
        <v>13.8</v>
      </c>
      <c r="V153" s="2">
        <f t="array" ref="V1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3" t="s">
        <v>48</v>
      </c>
      <c r="X153">
        <f>IF(OR(vp.data[[#This Row],[Sulf]]="",vp.data[[#This Row],[Dens]]=""),1,0)</f>
        <v>0</v>
      </c>
      <c r="Y153">
        <f>IF(vp.data[[#This Row],[CrudeType]]="C5+",1,0)</f>
        <v>0</v>
      </c>
      <c r="Z153">
        <f>IF(AND(vp.data[[#This Row],[CrudeType]]="Crude",vp.data[[#This Row],[Dens]]&lt;=825,vp.data[[#This Row],[Sulf]]&gt;0.5,vp.data[[#This Row],[Unknown]]=0),1,0)</f>
        <v>1</v>
      </c>
      <c r="AA153">
        <f>IF(AND(vp.data[[#This Row],[CrudeType]]="Crude",vp.data[[#This Row],[Dens]]&lt;=825,vp.data[[#This Row],[Sulf]]&lt;=0.5,vp.data[[#This Row],[Unknown]]=0),1,0)</f>
        <v>0</v>
      </c>
      <c r="AB1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">
        <f>IF(AND(vp.data[[#This Row],[CrudeType]]="Crude",vp.data[[#This Row],[Dens]]&gt;825,vp.data[[#This Row],[Dens]]&lt;=900,vp.data[[#This Row],[Sulf]]&lt;=0.5,vp.data[[#This Row],[Unknown]]=0),1,0)</f>
        <v>0</v>
      </c>
      <c r="AD153">
        <f>IF(AND(vp.data[[#This Row],[CrudeType]]="Crude",vp.data[[#This Row],[Dens]]&gt;865,vp.data[[#This Row],[Dens]]&lt;=900,vp.data[[#This Row],[Sulf]]&gt;2,vp.data[[#This Row],[Unknown]]=0),1,0)</f>
        <v>0</v>
      </c>
      <c r="AE153">
        <f>IF(AND(vp.data[[#This Row],[CrudeType]]="Crude",vp.data[[#This Row],[Dens]]&gt;900,vp.data[[#This Row],[Sulf]]&lt;=0.5,vp.data[[#This Row],[Unknown]]=0),1,0)</f>
        <v>0</v>
      </c>
      <c r="AF153">
        <f>IF(AND(vp.data[[#This Row],[CrudeType]]="Crude",vp.data[[#This Row],[Dens]]&gt;900,vp.data[[#This Row],[Sulf]]&lt;=0.5,vp.data[[#This Row],[Unknown]]=0),1,0)</f>
        <v>0</v>
      </c>
      <c r="AG153" t="str">
        <f>INDEX(vp.data[[#Headers],[Unknown]:[Heavy_SW]],MATCH(1,vp.data[[#This Row],[Unknown]:[Heavy_SW]],0))</f>
        <v>Light_LSB</v>
      </c>
      <c r="AH153">
        <f>INDEX([3]!crudeBD.lkup[Number],MATCH(vp.data[[#This Row],[Crude_Breakdown]],crudeBD.lkup[Crude Breakdown],0))</f>
        <v>1</v>
      </c>
      <c r="AI153">
        <f>MONTH(vp.data[[#This Row],[SDate]])</f>
        <v>4</v>
      </c>
      <c r="AJ153" s="5">
        <f>(vp.data[[#This Row],[VP]]-INDEX(crudeBD.lkup[Mean_VP],MATCH(vp.data[[#This Row],[Crude_Breakdown]],crudeBD.lkup[Crude Breakdown],0)))^2</f>
        <v>277.34953516845479</v>
      </c>
      <c r="AK153" s="5">
        <f>(vp.data[[#This Row],[Dens]]-INDEX(crudeBD.lkup[Mean_Dens],MATCH(vp.data[[#This Row],[Crude_Breakdown]],crudeBD.lkup[Crude Breakdown],0)))^2</f>
        <v>0.2670509842818638</v>
      </c>
      <c r="AL153" s="5">
        <f>(vp.data[[#This Row],[Sulf]]-INDEX(crudeBD.lkup[Mean_Sulf],MATCH(vp.data[[#This Row],[Crude_Breakdown]],crudeBD.lkup[Crude Breakdown],0)))^2</f>
        <v>0.11358843333985327</v>
      </c>
      <c r="AM153" s="4">
        <f>IF(AND(vp.data[[#This Row],[SDate]]&gt;=DATE(YEAR(vp.data[[#This Row],[SDate]]),5,1),vp.data[[#This Row],[SDate]]&lt;=DATE(YEAR(vp.data[[#This Row],[SDate]]),9,15)),1,0)</f>
        <v>0</v>
      </c>
      <c r="AN153" s="4">
        <f>IF(vp.data[[#This Row],[SDate]]&lt;DATE(2016,12,1),0,1)</f>
        <v>0</v>
      </c>
      <c r="AO153" s="4">
        <f>IFERROR(vp.data[[#This Row],[Sulf]]*vp.data[[#This Row],[Net Dens]],"")</f>
        <v>6324767.8200000003</v>
      </c>
      <c r="AP153">
        <f>IFERROR(vp.data[[#This Row],[Dens]]*vp.data[[#This Row],[VolumeM3]],"")</f>
        <v>5019657</v>
      </c>
      <c r="AQ153" s="15">
        <f>IFERROR(vp.data[[#This Row],[VP]]*vp.data[[#This Row],[VolumeM3]],"")</f>
        <v>663969.30000000005</v>
      </c>
    </row>
    <row r="154" spans="1:43" x14ac:dyDescent="0.25">
      <c r="A154">
        <v>153</v>
      </c>
      <c r="B154" t="s">
        <v>62</v>
      </c>
      <c r="C154" t="s">
        <v>62</v>
      </c>
      <c r="D154" t="s">
        <v>63</v>
      </c>
      <c r="F154" s="1">
        <v>42480</v>
      </c>
      <c r="G154" s="2">
        <v>95.8</v>
      </c>
      <c r="H154" s="2"/>
      <c r="I154" s="2">
        <f t="array" ref="I154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4" s="2"/>
      <c r="K154" s="2"/>
      <c r="L154" s="2">
        <v>818</v>
      </c>
      <c r="M154" s="2">
        <f t="array" ref="M154">_xlfn.IFNA(IF(vp.data[[#This Row],[Dens Input]]="",INDEX([1]DATA!$O$3:$O$9826,MATCH(1,(vp.data[[#This Row],[Battery]]=[1]DATA!$L$3:$L$9826)*(EOMONTH(vp.data[[#This Row],[SDate]],-1)+1=[1]DATA!$G$3:$G$9826),0)),vp.data[[#This Row],[Dens Input]]),"")</f>
        <v>818</v>
      </c>
      <c r="N154" s="2">
        <f ca="1">INDEX(INDIRECT(_xlfn.CONCAT("weather.tbl[",N$1,"]")),MATCH(vp.data[[#This Row],[SDate]],weather.tbl[Date],0))</f>
        <v>13.200000000000001</v>
      </c>
      <c r="O154" s="2">
        <f ca="1">INDEX(INDIRECT(_xlfn.CONCAT("weather.tbl[",O$1,"]")),MATCH(vp.data[[#This Row],[SDate]],weather.tbl[Date],0))</f>
        <v>7.5238095238095246</v>
      </c>
      <c r="P154" s="2">
        <f ca="1">INDEX(INDIRECT(_xlfn.CONCAT("weather.tbl[",P$1,"]")),MATCH(vp.data[[#This Row],[SDate]],weather.tbl[Date],0))</f>
        <v>12.5</v>
      </c>
      <c r="Q154" s="2">
        <f ca="1">INDEX(INDIRECT(_xlfn.CONCAT("weather.tbl[",Q$1,"]")),MATCH(vp.data[[#This Row],[SDate]],weather.tbl[Date],0))</f>
        <v>12.4</v>
      </c>
      <c r="R154" s="2">
        <f ca="1">INDEX(INDIRECT(_xlfn.CONCAT("weather.tbl[",R$1,"]")),MATCH(vp.data[[#This Row],[SDate]],weather.tbl[Date],0))</f>
        <v>12.5</v>
      </c>
      <c r="S154" s="2">
        <f ca="1">INDEX(INDIRECT(_xlfn.CONCAT("weather.tbl[",S$1,"]")),MATCH(vp.data[[#This Row],[SDate]],weather.tbl[Date],0))</f>
        <v>13.5</v>
      </c>
      <c r="T154" s="2">
        <f ca="1">INDEX(INDIRECT(_xlfn.CONCAT("weather.tbl[",T$1,"]")),MATCH(vp.data[[#This Row],[SDate]],weather.tbl[Date],0))</f>
        <v>14.5</v>
      </c>
      <c r="U154" s="2">
        <f ca="1">INDEX(INDIRECT(_xlfn.CONCAT("weather.tbl[",U$1,"]")),MATCH(vp.data[[#This Row],[SDate]],weather.tbl[Date],0))</f>
        <v>13.8</v>
      </c>
      <c r="V154" s="2">
        <f t="array" ref="V1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4" t="s">
        <v>48</v>
      </c>
      <c r="X154">
        <f>IF(OR(vp.data[[#This Row],[Sulf]]="",vp.data[[#This Row],[Dens]]=""),1,0)</f>
        <v>0</v>
      </c>
      <c r="Y154">
        <f>IF(vp.data[[#This Row],[CrudeType]]="C5+",1,0)</f>
        <v>0</v>
      </c>
      <c r="Z154">
        <f>IF(AND(vp.data[[#This Row],[CrudeType]]="Crude",vp.data[[#This Row],[Dens]]&lt;=825,vp.data[[#This Row],[Sulf]]&gt;0.5,vp.data[[#This Row],[Unknown]]=0),1,0)</f>
        <v>1</v>
      </c>
      <c r="AA154">
        <f>IF(AND(vp.data[[#This Row],[CrudeType]]="Crude",vp.data[[#This Row],[Dens]]&lt;=825,vp.data[[#This Row],[Sulf]]&lt;=0.5,vp.data[[#This Row],[Unknown]]=0),1,0)</f>
        <v>0</v>
      </c>
      <c r="AB1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">
        <f>IF(AND(vp.data[[#This Row],[CrudeType]]="Crude",vp.data[[#This Row],[Dens]]&gt;825,vp.data[[#This Row],[Dens]]&lt;=900,vp.data[[#This Row],[Sulf]]&lt;=0.5,vp.data[[#This Row],[Unknown]]=0),1,0)</f>
        <v>0</v>
      </c>
      <c r="AD154">
        <f>IF(AND(vp.data[[#This Row],[CrudeType]]="Crude",vp.data[[#This Row],[Dens]]&gt;865,vp.data[[#This Row],[Dens]]&lt;=900,vp.data[[#This Row],[Sulf]]&gt;2,vp.data[[#This Row],[Unknown]]=0),1,0)</f>
        <v>0</v>
      </c>
      <c r="AE154">
        <f>IF(AND(vp.data[[#This Row],[CrudeType]]="Crude",vp.data[[#This Row],[Dens]]&gt;900,vp.data[[#This Row],[Sulf]]&lt;=0.5,vp.data[[#This Row],[Unknown]]=0),1,0)</f>
        <v>0</v>
      </c>
      <c r="AF154">
        <f>IF(AND(vp.data[[#This Row],[CrudeType]]="Crude",vp.data[[#This Row],[Dens]]&gt;900,vp.data[[#This Row],[Sulf]]&lt;=0.5,vp.data[[#This Row],[Unknown]]=0),1,0)</f>
        <v>0</v>
      </c>
      <c r="AG154" t="str">
        <f>INDEX(vp.data[[#Headers],[Unknown]:[Heavy_SW]],MATCH(1,vp.data[[#This Row],[Unknown]:[Heavy_SW]],0))</f>
        <v>Light_LSB</v>
      </c>
      <c r="AH154">
        <f>INDEX([3]!crudeBD.lkup[Number],MATCH(vp.data[[#This Row],[Crude_Breakdown]],crudeBD.lkup[Crude Breakdown],0))</f>
        <v>1</v>
      </c>
      <c r="AI154">
        <f>MONTH(vp.data[[#This Row],[SDate]])</f>
        <v>4</v>
      </c>
      <c r="AJ154" s="5">
        <f>(vp.data[[#This Row],[VP]]-INDEX(crudeBD.lkup[Mean_VP],MATCH(vp.data[[#This Row],[Crude_Breakdown]],crudeBD.lkup[Crude Breakdown],0)))^2</f>
        <v>18.094937230311114</v>
      </c>
      <c r="AK154" s="5">
        <f>(vp.data[[#This Row],[Dens]]-INDEX(crudeBD.lkup[Mean_Dens],MATCH(vp.data[[#This Row],[Crude_Breakdown]],crudeBD.lkup[Crude Breakdown],0)))^2</f>
        <v>0.2670509842818638</v>
      </c>
      <c r="AL154" s="5">
        <f>(vp.data[[#This Row],[Sulf]]-INDEX(crudeBD.lkup[Mean_Sulf],MATCH(vp.data[[#This Row],[Crude_Breakdown]],crudeBD.lkup[Crude Breakdown],0)))^2</f>
        <v>0.11358843333985327</v>
      </c>
      <c r="AM154" s="4">
        <f>IF(AND(vp.data[[#This Row],[SDate]]&gt;=DATE(YEAR(vp.data[[#This Row],[SDate]]),5,1),vp.data[[#This Row],[SDate]]&lt;=DATE(YEAR(vp.data[[#This Row],[SDate]]),9,15)),1,0)</f>
        <v>0</v>
      </c>
      <c r="AN154" s="4">
        <f>IF(vp.data[[#This Row],[SDate]]&lt;DATE(2016,12,1),0,1)</f>
        <v>0</v>
      </c>
      <c r="AO154" s="4">
        <f>IFERROR(vp.data[[#This Row],[Sulf]]*vp.data[[#This Row],[Net Dens]],"")</f>
        <v>6324767.8200000003</v>
      </c>
      <c r="AP154">
        <f>IFERROR(vp.data[[#This Row],[Dens]]*vp.data[[#This Row],[VolumeM3]],"")</f>
        <v>5019657</v>
      </c>
      <c r="AQ154" s="15">
        <f>IFERROR(vp.data[[#This Row],[VP]]*vp.data[[#This Row],[VolumeM3]],"")</f>
        <v>587876.69999999995</v>
      </c>
    </row>
    <row r="155" spans="1:43" x14ac:dyDescent="0.25">
      <c r="A155">
        <v>154</v>
      </c>
      <c r="B155" t="s">
        <v>49</v>
      </c>
      <c r="C155" t="s">
        <v>49</v>
      </c>
      <c r="D155" t="s">
        <v>59</v>
      </c>
      <c r="F155" s="1">
        <v>42482</v>
      </c>
      <c r="G155" s="2">
        <v>129.80000000000001</v>
      </c>
      <c r="H155" s="2"/>
      <c r="I155" s="2">
        <f t="array" ref="I155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155" s="2"/>
      <c r="K155" s="2"/>
      <c r="L155" s="2">
        <v>850.4</v>
      </c>
      <c r="M155" s="2">
        <f t="array" ref="M155">_xlfn.IFNA(IF(vp.data[[#This Row],[Dens Input]]="",INDEX([1]DATA!$O$3:$O$9826,MATCH(1,(vp.data[[#This Row],[Battery]]=[1]DATA!$L$3:$L$9826)*(EOMONTH(vp.data[[#This Row],[SDate]],-1)+1=[1]DATA!$G$3:$G$9826),0)),vp.data[[#This Row],[Dens Input]]),"")</f>
        <v>850.4</v>
      </c>
      <c r="N155" s="2">
        <f ca="1">INDEX(INDIRECT(_xlfn.CONCAT("weather.tbl[",N$1,"]")),MATCH(vp.data[[#This Row],[SDate]],weather.tbl[Date],0))</f>
        <v>7.3000000000000007</v>
      </c>
      <c r="O155" s="2">
        <f ca="1">INDEX(INDIRECT(_xlfn.CONCAT("weather.tbl[",O$1,"]")),MATCH(vp.data[[#This Row],[SDate]],weather.tbl[Date],0))</f>
        <v>7.2333333333333325</v>
      </c>
      <c r="P155" s="2">
        <f ca="1">INDEX(INDIRECT(_xlfn.CONCAT("weather.tbl[",P$1,"]")),MATCH(vp.data[[#This Row],[SDate]],weather.tbl[Date],0))</f>
        <v>7.5</v>
      </c>
      <c r="Q155" s="2">
        <f ca="1">INDEX(INDIRECT(_xlfn.CONCAT("weather.tbl[",Q$1,"]")),MATCH(vp.data[[#This Row],[SDate]],weather.tbl[Date],0))</f>
        <v>8.6999999999999993</v>
      </c>
      <c r="R155" s="2">
        <f ca="1">INDEX(INDIRECT(_xlfn.CONCAT("weather.tbl[",R$1,"]")),MATCH(vp.data[[#This Row],[SDate]],weather.tbl[Date],0))</f>
        <v>6.5</v>
      </c>
      <c r="S155" s="2">
        <f ca="1">INDEX(INDIRECT(_xlfn.CONCAT("weather.tbl[",S$1,"]")),MATCH(vp.data[[#This Row],[SDate]],weather.tbl[Date],0))</f>
        <v>9.5</v>
      </c>
      <c r="T155" s="2">
        <f ca="1">INDEX(INDIRECT(_xlfn.CONCAT("weather.tbl[",T$1,"]")),MATCH(vp.data[[#This Row],[SDate]],weather.tbl[Date],0))</f>
        <v>5.0999999999999996</v>
      </c>
      <c r="U155" s="2">
        <f ca="1">INDEX(INDIRECT(_xlfn.CONCAT("weather.tbl[",U$1,"]")),MATCH(vp.data[[#This Row],[SDate]],weather.tbl[Date],0))</f>
        <v>6.5</v>
      </c>
      <c r="V155" s="2">
        <f t="array" ref="V1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1897.519</v>
      </c>
      <c r="W155" t="s">
        <v>48</v>
      </c>
      <c r="X155">
        <f>IF(OR(vp.data[[#This Row],[Sulf]]="",vp.data[[#This Row],[Dens]]=""),1,0)</f>
        <v>0</v>
      </c>
      <c r="Y155">
        <f>IF(vp.data[[#This Row],[CrudeType]]="C5+",1,0)</f>
        <v>0</v>
      </c>
      <c r="Z155">
        <f>IF(AND(vp.data[[#This Row],[CrudeType]]="Crude",vp.data[[#This Row],[Dens]]&lt;=825,vp.data[[#This Row],[Sulf]]&gt;0.5,vp.data[[#This Row],[Unknown]]=0),1,0)</f>
        <v>0</v>
      </c>
      <c r="AA155">
        <f>IF(AND(vp.data[[#This Row],[CrudeType]]="Crude",vp.data[[#This Row],[Dens]]&lt;=825,vp.data[[#This Row],[Sulf]]&lt;=0.5,vp.data[[#This Row],[Unknown]]=0),1,0)</f>
        <v>0</v>
      </c>
      <c r="AB1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5">
        <f>IF(AND(vp.data[[#This Row],[CrudeType]]="Crude",vp.data[[#This Row],[Dens]]&gt;825,vp.data[[#This Row],[Dens]]&lt;=900,vp.data[[#This Row],[Sulf]]&lt;=0.5,vp.data[[#This Row],[Unknown]]=0),1,0)</f>
        <v>0</v>
      </c>
      <c r="AD155">
        <f>IF(AND(vp.data[[#This Row],[CrudeType]]="Crude",vp.data[[#This Row],[Dens]]&gt;865,vp.data[[#This Row],[Dens]]&lt;=900,vp.data[[#This Row],[Sulf]]&gt;2,vp.data[[#This Row],[Unknown]]=0),1,0)</f>
        <v>0</v>
      </c>
      <c r="AE155">
        <f>IF(AND(vp.data[[#This Row],[CrudeType]]="Crude",vp.data[[#This Row],[Dens]]&gt;900,vp.data[[#This Row],[Sulf]]&lt;=0.5,vp.data[[#This Row],[Unknown]]=0),1,0)</f>
        <v>0</v>
      </c>
      <c r="AF155">
        <f>IF(AND(vp.data[[#This Row],[CrudeType]]="Crude",vp.data[[#This Row],[Dens]]&gt;900,vp.data[[#This Row],[Sulf]]&lt;=0.5,vp.data[[#This Row],[Unknown]]=0),1,0)</f>
        <v>0</v>
      </c>
      <c r="AG155" t="str">
        <f>INDEX(vp.data[[#Headers],[Unknown]:[Heavy_SW]],MATCH(1,vp.data[[#This Row],[Unknown]:[Heavy_SW]],0))</f>
        <v>Medium_LSB</v>
      </c>
      <c r="AH155">
        <f>INDEX([3]!crudeBD.lkup[Number],MATCH(vp.data[[#This Row],[Crude_Breakdown]],crudeBD.lkup[Crude Breakdown],0))</f>
        <v>3</v>
      </c>
      <c r="AI155">
        <f>MONTH(vp.data[[#This Row],[SDate]])</f>
        <v>4</v>
      </c>
      <c r="AJ155" s="5">
        <f>(vp.data[[#This Row],[VP]]-INDEX(crudeBD.lkup[Mean_VP],MATCH(vp.data[[#This Row],[Crude_Breakdown]],crudeBD.lkup[Crude Breakdown],0)))^2</f>
        <v>2416.737401721879</v>
      </c>
      <c r="AK155" s="5">
        <f>(vp.data[[#This Row],[Dens]]-INDEX(crudeBD.lkup[Mean_Dens],MATCH(vp.data[[#This Row],[Crude_Breakdown]],crudeBD.lkup[Crude Breakdown],0)))^2</f>
        <v>41.990400000006126</v>
      </c>
      <c r="AL155" s="5">
        <f>(vp.data[[#This Row],[Sulf]]-INDEX(crudeBD.lkup[Mean_Sulf],MATCH(vp.data[[#This Row],[Crude_Breakdown]],crudeBD.lkup[Crude Breakdown],0)))^2</f>
        <v>2.0906809828845806E-2</v>
      </c>
      <c r="AM155" s="4">
        <f>IF(AND(vp.data[[#This Row],[SDate]]&gt;=DATE(YEAR(vp.data[[#This Row],[SDate]]),5,1),vp.data[[#This Row],[SDate]]&lt;=DATE(YEAR(vp.data[[#This Row],[SDate]]),9,15)),1,0)</f>
        <v>0</v>
      </c>
      <c r="AN155" s="4">
        <f>IF(vp.data[[#This Row],[SDate]]&lt;DATE(2016,12,1),0,1)</f>
        <v>0</v>
      </c>
      <c r="AO155" s="4">
        <f>IFERROR(vp.data[[#This Row],[Sulf]]*vp.data[[#This Row],[Net Dens]],"")</f>
        <v>2468884.741128</v>
      </c>
      <c r="AP155">
        <f>IFERROR(vp.data[[#This Row],[Dens]]*vp.data[[#This Row],[VolumeM3]],"")</f>
        <v>1613650.1576</v>
      </c>
      <c r="AQ155" s="15">
        <f>IFERROR(vp.data[[#This Row],[VP]]*vp.data[[#This Row],[VolumeM3]],"")</f>
        <v>246297.96620000002</v>
      </c>
    </row>
    <row r="156" spans="1:43" x14ac:dyDescent="0.25">
      <c r="A156">
        <v>155</v>
      </c>
      <c r="B156" t="s">
        <v>49</v>
      </c>
      <c r="C156" t="s">
        <v>49</v>
      </c>
      <c r="D156" t="s">
        <v>50</v>
      </c>
      <c r="F156" s="1">
        <v>42485</v>
      </c>
      <c r="G156" s="2">
        <v>112.8</v>
      </c>
      <c r="H156" s="2"/>
      <c r="I156" s="2">
        <f t="array" ref="I156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56" s="2"/>
      <c r="K156" s="2"/>
      <c r="L156" s="2">
        <v>869.3</v>
      </c>
      <c r="M156" s="2">
        <f t="array" ref="M156">_xlfn.IFNA(IF(vp.data[[#This Row],[Dens Input]]="",INDEX([1]DATA!$O$3:$O$9826,MATCH(1,(vp.data[[#This Row],[Battery]]=[1]DATA!$L$3:$L$9826)*(EOMONTH(vp.data[[#This Row],[SDate]],-1)+1=[1]DATA!$G$3:$G$9826),0)),vp.data[[#This Row],[Dens Input]]),"")</f>
        <v>869.3</v>
      </c>
      <c r="N156" s="2">
        <f ca="1">INDEX(INDIRECT(_xlfn.CONCAT("weather.tbl[",N$1,"]")),MATCH(vp.data[[#This Row],[SDate]],weather.tbl[Date],0))</f>
        <v>6.6333333333333329</v>
      </c>
      <c r="O156" s="2">
        <f ca="1">INDEX(INDIRECT(_xlfn.CONCAT("weather.tbl[",O$1,"]")),MATCH(vp.data[[#This Row],[SDate]],weather.tbl[Date],0))</f>
        <v>7.7404761904761914</v>
      </c>
      <c r="P156" s="2">
        <f ca="1">INDEX(INDIRECT(_xlfn.CONCAT("weather.tbl[",P$1,"]")),MATCH(vp.data[[#This Row],[SDate]],weather.tbl[Date],0))</f>
        <v>7.3</v>
      </c>
      <c r="Q156" s="2">
        <f ca="1">INDEX(INDIRECT(_xlfn.CONCAT("weather.tbl[",Q$1,"]")),MATCH(vp.data[[#This Row],[SDate]],weather.tbl[Date],0))</f>
        <v>6.9</v>
      </c>
      <c r="R156" s="2">
        <f ca="1">INDEX(INDIRECT(_xlfn.CONCAT("weather.tbl[",R$1,"]")),MATCH(vp.data[[#This Row],[SDate]],weather.tbl[Date],0))</f>
        <v>6.3</v>
      </c>
      <c r="S156" s="2">
        <f ca="1">INDEX(INDIRECT(_xlfn.CONCAT("weather.tbl[",S$1,"]")),MATCH(vp.data[[#This Row],[SDate]],weather.tbl[Date],0))</f>
        <v>8</v>
      </c>
      <c r="T156" s="2">
        <f ca="1">INDEX(INDIRECT(_xlfn.CONCAT("weather.tbl[",T$1,"]")),MATCH(vp.data[[#This Row],[SDate]],weather.tbl[Date],0))</f>
        <v>6.5</v>
      </c>
      <c r="U156" s="2">
        <f ca="1">INDEX(INDIRECT(_xlfn.CONCAT("weather.tbl[",U$1,"]")),MATCH(vp.data[[#This Row],[SDate]],weather.tbl[Date],0))</f>
        <v>4.8</v>
      </c>
      <c r="V156" s="2">
        <f t="array" ref="V1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8132.3109999999997</v>
      </c>
      <c r="W156" t="s">
        <v>48</v>
      </c>
      <c r="X156">
        <f>IF(OR(vp.data[[#This Row],[Sulf]]="",vp.data[[#This Row],[Dens]]=""),1,0)</f>
        <v>0</v>
      </c>
      <c r="Y156">
        <f>IF(vp.data[[#This Row],[CrudeType]]="C5+",1,0)</f>
        <v>0</v>
      </c>
      <c r="Z156">
        <f>IF(AND(vp.data[[#This Row],[CrudeType]]="Crude",vp.data[[#This Row],[Dens]]&lt;=825,vp.data[[#This Row],[Sulf]]&gt;0.5,vp.data[[#This Row],[Unknown]]=0),1,0)</f>
        <v>0</v>
      </c>
      <c r="AA156">
        <f>IF(AND(vp.data[[#This Row],[CrudeType]]="Crude",vp.data[[#This Row],[Dens]]&lt;=825,vp.data[[#This Row],[Sulf]]&lt;=0.5,vp.data[[#This Row],[Unknown]]=0),1,0)</f>
        <v>0</v>
      </c>
      <c r="AB1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">
        <f>IF(AND(vp.data[[#This Row],[CrudeType]]="Crude",vp.data[[#This Row],[Dens]]&gt;825,vp.data[[#This Row],[Dens]]&lt;=900,vp.data[[#This Row],[Sulf]]&lt;=0.5,vp.data[[#This Row],[Unknown]]=0),1,0)</f>
        <v>0</v>
      </c>
      <c r="AD156">
        <f>IF(AND(vp.data[[#This Row],[CrudeType]]="Crude",vp.data[[#This Row],[Dens]]&gt;865,vp.data[[#This Row],[Dens]]&lt;=900,vp.data[[#This Row],[Sulf]]&gt;2,vp.data[[#This Row],[Unknown]]=0),1,0)</f>
        <v>1</v>
      </c>
      <c r="AE156">
        <f>IF(AND(vp.data[[#This Row],[CrudeType]]="Crude",vp.data[[#This Row],[Dens]]&gt;900,vp.data[[#This Row],[Sulf]]&lt;=0.5,vp.data[[#This Row],[Unknown]]=0),1,0)</f>
        <v>0</v>
      </c>
      <c r="AF156">
        <f>IF(AND(vp.data[[#This Row],[CrudeType]]="Crude",vp.data[[#This Row],[Dens]]&gt;900,vp.data[[#This Row],[Sulf]]&lt;=0.5,vp.data[[#This Row],[Unknown]]=0),1,0)</f>
        <v>0</v>
      </c>
      <c r="AG156" t="str">
        <f>INDEX(vp.data[[#Headers],[Unknown]:[Heavy_SW]],MATCH(1,vp.data[[#This Row],[Unknown]:[Heavy_SW]],0))</f>
        <v>Midale</v>
      </c>
      <c r="AH156">
        <f>INDEX([3]!crudeBD.lkup[Number],MATCH(vp.data[[#This Row],[Crude_Breakdown]],crudeBD.lkup[Crude Breakdown],0))</f>
        <v>5</v>
      </c>
      <c r="AI156">
        <f>MONTH(vp.data[[#This Row],[SDate]])</f>
        <v>4</v>
      </c>
      <c r="AJ156" s="5">
        <f>(vp.data[[#This Row],[VP]]-INDEX(crudeBD.lkup[Mean_VP],MATCH(vp.data[[#This Row],[Crude_Breakdown]],crudeBD.lkup[Crude Breakdown],0)))^2</f>
        <v>1882.7994582314775</v>
      </c>
      <c r="AK156" s="5">
        <f>(vp.data[[#This Row],[Dens]]-INDEX(crudeBD.lkup[Mean_Dens],MATCH(vp.data[[#This Row],[Crude_Breakdown]],crudeBD.lkup[Crude Breakdown],0)))^2</f>
        <v>30.43740275268749</v>
      </c>
      <c r="AL156" s="5">
        <f>(vp.data[[#This Row],[Sulf]]-INDEX(crudeBD.lkup[Mean_Sulf],MATCH(vp.data[[#This Row],[Crude_Breakdown]],crudeBD.lkup[Crude Breakdown],0)))^2</f>
        <v>2.1428402221713612E-2</v>
      </c>
      <c r="AM156" s="4">
        <f>IF(AND(vp.data[[#This Row],[SDate]]&gt;=DATE(YEAR(vp.data[[#This Row],[SDate]]),5,1),vp.data[[#This Row],[SDate]]&lt;=DATE(YEAR(vp.data[[#This Row],[SDate]]),9,15)),1,0)</f>
        <v>0</v>
      </c>
      <c r="AN156" s="4">
        <f>IF(vp.data[[#This Row],[SDate]]&lt;DATE(2016,12,1),0,1)</f>
        <v>0</v>
      </c>
      <c r="AO156" s="4">
        <f>IFERROR(vp.data[[#This Row],[Sulf]]*vp.data[[#This Row],[Net Dens]],"")</f>
        <v>18309792.496456996</v>
      </c>
      <c r="AP156">
        <f>IFERROR(vp.data[[#This Row],[Dens]]*vp.data[[#This Row],[VolumeM3]],"")</f>
        <v>7069417.9522999991</v>
      </c>
      <c r="AQ156" s="15">
        <f>IFERROR(vp.data[[#This Row],[VP]]*vp.data[[#This Row],[VolumeM3]],"")</f>
        <v>917324.68079999997</v>
      </c>
    </row>
    <row r="157" spans="1:43" x14ac:dyDescent="0.25">
      <c r="A157">
        <v>156</v>
      </c>
      <c r="B157" t="s">
        <v>49</v>
      </c>
      <c r="C157" t="s">
        <v>49</v>
      </c>
      <c r="D157" t="s">
        <v>86</v>
      </c>
      <c r="F157" s="1">
        <v>42485</v>
      </c>
      <c r="G157" s="2">
        <v>113.3</v>
      </c>
      <c r="H157" s="2"/>
      <c r="I157" s="2">
        <f t="array" ref="I157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157" s="2"/>
      <c r="K157" s="2"/>
      <c r="L157" s="2">
        <v>871.2</v>
      </c>
      <c r="M157" s="2">
        <f t="array" ref="M157">_xlfn.IFNA(IF(vp.data[[#This Row],[Dens Input]]="",INDEX([1]DATA!$O$3:$O$9826,MATCH(1,(vp.data[[#This Row],[Battery]]=[1]DATA!$L$3:$L$9826)*(EOMONTH(vp.data[[#This Row],[SDate]],-1)+1=[1]DATA!$G$3:$G$9826),0)),vp.data[[#This Row],[Dens Input]]),"")</f>
        <v>871.2</v>
      </c>
      <c r="N157" s="2">
        <f ca="1">INDEX(INDIRECT(_xlfn.CONCAT("weather.tbl[",N$1,"]")),MATCH(vp.data[[#This Row],[SDate]],weather.tbl[Date],0))</f>
        <v>6.6333333333333329</v>
      </c>
      <c r="O157" s="2">
        <f ca="1">INDEX(INDIRECT(_xlfn.CONCAT("weather.tbl[",O$1,"]")),MATCH(vp.data[[#This Row],[SDate]],weather.tbl[Date],0))</f>
        <v>7.7404761904761914</v>
      </c>
      <c r="P157" s="2">
        <f ca="1">INDEX(INDIRECT(_xlfn.CONCAT("weather.tbl[",P$1,"]")),MATCH(vp.data[[#This Row],[SDate]],weather.tbl[Date],0))</f>
        <v>7.3</v>
      </c>
      <c r="Q157" s="2">
        <f ca="1">INDEX(INDIRECT(_xlfn.CONCAT("weather.tbl[",Q$1,"]")),MATCH(vp.data[[#This Row],[SDate]],weather.tbl[Date],0))</f>
        <v>6.9</v>
      </c>
      <c r="R157" s="2">
        <f ca="1">INDEX(INDIRECT(_xlfn.CONCAT("weather.tbl[",R$1,"]")),MATCH(vp.data[[#This Row],[SDate]],weather.tbl[Date],0))</f>
        <v>6.3</v>
      </c>
      <c r="S157" s="2">
        <f ca="1">INDEX(INDIRECT(_xlfn.CONCAT("weather.tbl[",S$1,"]")),MATCH(vp.data[[#This Row],[SDate]],weather.tbl[Date],0))</f>
        <v>8</v>
      </c>
      <c r="T157" s="2">
        <f ca="1">INDEX(INDIRECT(_xlfn.CONCAT("weather.tbl[",T$1,"]")),MATCH(vp.data[[#This Row],[SDate]],weather.tbl[Date],0))</f>
        <v>6.5</v>
      </c>
      <c r="U157" s="2">
        <f ca="1">INDEX(INDIRECT(_xlfn.CONCAT("weather.tbl[",U$1,"]")),MATCH(vp.data[[#This Row],[SDate]],weather.tbl[Date],0))</f>
        <v>4.8</v>
      </c>
      <c r="V157" s="2">
        <f t="array" ref="V1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5790.9930000000004</v>
      </c>
      <c r="W157" t="s">
        <v>48</v>
      </c>
      <c r="X157">
        <f>IF(OR(vp.data[[#This Row],[Sulf]]="",vp.data[[#This Row],[Dens]]=""),1,0)</f>
        <v>0</v>
      </c>
      <c r="Y157">
        <f>IF(vp.data[[#This Row],[CrudeType]]="C5+",1,0)</f>
        <v>0</v>
      </c>
      <c r="Z157">
        <f>IF(AND(vp.data[[#This Row],[CrudeType]]="Crude",vp.data[[#This Row],[Dens]]&lt;=825,vp.data[[#This Row],[Sulf]]&gt;0.5,vp.data[[#This Row],[Unknown]]=0),1,0)</f>
        <v>0</v>
      </c>
      <c r="AA157">
        <f>IF(AND(vp.data[[#This Row],[CrudeType]]="Crude",vp.data[[#This Row],[Dens]]&lt;=825,vp.data[[#This Row],[Sulf]]&lt;=0.5,vp.data[[#This Row],[Unknown]]=0),1,0)</f>
        <v>0</v>
      </c>
      <c r="AB1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">
        <f>IF(AND(vp.data[[#This Row],[CrudeType]]="Crude",vp.data[[#This Row],[Dens]]&gt;825,vp.data[[#This Row],[Dens]]&lt;=900,vp.data[[#This Row],[Sulf]]&lt;=0.5,vp.data[[#This Row],[Unknown]]=0),1,0)</f>
        <v>0</v>
      </c>
      <c r="AD157">
        <f>IF(AND(vp.data[[#This Row],[CrudeType]]="Crude",vp.data[[#This Row],[Dens]]&gt;865,vp.data[[#This Row],[Dens]]&lt;=900,vp.data[[#This Row],[Sulf]]&gt;2,vp.data[[#This Row],[Unknown]]=0),1,0)</f>
        <v>1</v>
      </c>
      <c r="AE157">
        <f>IF(AND(vp.data[[#This Row],[CrudeType]]="Crude",vp.data[[#This Row],[Dens]]&gt;900,vp.data[[#This Row],[Sulf]]&lt;=0.5,vp.data[[#This Row],[Unknown]]=0),1,0)</f>
        <v>0</v>
      </c>
      <c r="AF157">
        <f>IF(AND(vp.data[[#This Row],[CrudeType]]="Crude",vp.data[[#This Row],[Dens]]&gt;900,vp.data[[#This Row],[Sulf]]&lt;=0.5,vp.data[[#This Row],[Unknown]]=0),1,0)</f>
        <v>0</v>
      </c>
      <c r="AG157" t="str">
        <f>INDEX(vp.data[[#Headers],[Unknown]:[Heavy_SW]],MATCH(1,vp.data[[#This Row],[Unknown]:[Heavy_SW]],0))</f>
        <v>Midale</v>
      </c>
      <c r="AH157">
        <f>INDEX([3]!crudeBD.lkup[Number],MATCH(vp.data[[#This Row],[Crude_Breakdown]],crudeBD.lkup[Crude Breakdown],0))</f>
        <v>5</v>
      </c>
      <c r="AI157">
        <f>MONTH(vp.data[[#This Row],[SDate]])</f>
        <v>4</v>
      </c>
      <c r="AJ157" s="5">
        <f>(vp.data[[#This Row],[VP]]-INDEX(crudeBD.lkup[Mean_VP],MATCH(vp.data[[#This Row],[Crude_Breakdown]],crudeBD.lkup[Crude Breakdown],0)))^2</f>
        <v>1926.4406953448795</v>
      </c>
      <c r="AK157" s="5">
        <f>(vp.data[[#This Row],[Dens]]-INDEX(crudeBD.lkup[Mean_Dens],MATCH(vp.data[[#This Row],[Crude_Breakdown]],crudeBD.lkup[Crude Breakdown],0)))^2</f>
        <v>13.082763577427761</v>
      </c>
      <c r="AL157" s="5">
        <f>(vp.data[[#This Row],[Sulf]]-INDEX(crudeBD.lkup[Mean_Sulf],MATCH(vp.data[[#This Row],[Crude_Breakdown]],crudeBD.lkup[Crude Breakdown],0)))^2</f>
        <v>0.12700986407738421</v>
      </c>
      <c r="AM157" s="4">
        <f>IF(AND(vp.data[[#This Row],[SDate]]&gt;=DATE(YEAR(vp.data[[#This Row],[SDate]]),5,1),vp.data[[#This Row],[SDate]]&lt;=DATE(YEAR(vp.data[[#This Row],[SDate]]),9,15)),1,0)</f>
        <v>0</v>
      </c>
      <c r="AN157" s="4">
        <f>IF(vp.data[[#This Row],[SDate]]&lt;DATE(2016,12,1),0,1)</f>
        <v>0</v>
      </c>
      <c r="AO157" s="4">
        <f>IFERROR(vp.data[[#This Row],[Sulf]]*vp.data[[#This Row],[Net Dens]],"")</f>
        <v>14126316.68448</v>
      </c>
      <c r="AP157">
        <f>IFERROR(vp.data[[#This Row],[Dens]]*vp.data[[#This Row],[VolumeM3]],"")</f>
        <v>5045113.1016000006</v>
      </c>
      <c r="AQ157" s="15">
        <f>IFERROR(vp.data[[#This Row],[VP]]*vp.data[[#This Row],[VolumeM3]],"")</f>
        <v>656119.50690000004</v>
      </c>
    </row>
    <row r="158" spans="1:43" x14ac:dyDescent="0.25">
      <c r="A158">
        <v>157</v>
      </c>
      <c r="B158" t="s">
        <v>62</v>
      </c>
      <c r="C158" t="s">
        <v>62</v>
      </c>
      <c r="D158" t="s">
        <v>63</v>
      </c>
      <c r="F158" s="1">
        <v>42486</v>
      </c>
      <c r="G158" s="2">
        <v>112.3</v>
      </c>
      <c r="H158" s="2"/>
      <c r="I158" s="2">
        <f t="array" ref="I158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8" s="2"/>
      <c r="K158" s="2"/>
      <c r="L158" s="2">
        <v>789.8</v>
      </c>
      <c r="M158" s="2">
        <f t="array" ref="M158">_xlfn.IFNA(IF(vp.data[[#This Row],[Dens Input]]="",INDEX([1]DATA!$O$3:$O$9826,MATCH(1,(vp.data[[#This Row],[Battery]]=[1]DATA!$L$3:$L$9826)*(EOMONTH(vp.data[[#This Row],[SDate]],-1)+1=[1]DATA!$G$3:$G$9826),0)),vp.data[[#This Row],[Dens Input]]),"")</f>
        <v>789.8</v>
      </c>
      <c r="N158" s="2">
        <f ca="1">INDEX(INDIRECT(_xlfn.CONCAT("weather.tbl[",N$1,"]")),MATCH(vp.data[[#This Row],[SDate]],weather.tbl[Date],0))</f>
        <v>5.8</v>
      </c>
      <c r="O158" s="2">
        <f ca="1">INDEX(INDIRECT(_xlfn.CONCAT("weather.tbl[",O$1,"]")),MATCH(vp.data[[#This Row],[SDate]],weather.tbl[Date],0))</f>
        <v>7.2166666666666668</v>
      </c>
      <c r="P158" s="2">
        <f ca="1">INDEX(INDIRECT(_xlfn.CONCAT("weather.tbl[",P$1,"]")),MATCH(vp.data[[#This Row],[SDate]],weather.tbl[Date],0))</f>
        <v>4.4000000000000004</v>
      </c>
      <c r="Q158" s="2">
        <f ca="1">INDEX(INDIRECT(_xlfn.CONCAT("weather.tbl[",Q$1,"]")),MATCH(vp.data[[#This Row],[SDate]],weather.tbl[Date],0))</f>
        <v>6</v>
      </c>
      <c r="R158" s="2">
        <f ca="1">INDEX(INDIRECT(_xlfn.CONCAT("weather.tbl[",R$1,"]")),MATCH(vp.data[[#This Row],[SDate]],weather.tbl[Date],0))</f>
        <v>6.3</v>
      </c>
      <c r="S158" s="2">
        <f ca="1">INDEX(INDIRECT(_xlfn.CONCAT("weather.tbl[",S$1,"]")),MATCH(vp.data[[#This Row],[SDate]],weather.tbl[Date],0))</f>
        <v>7</v>
      </c>
      <c r="T158" s="2">
        <f ca="1">INDEX(INDIRECT(_xlfn.CONCAT("weather.tbl[",T$1,"]")),MATCH(vp.data[[#This Row],[SDate]],weather.tbl[Date],0))</f>
        <v>5.8</v>
      </c>
      <c r="U158" s="2">
        <f ca="1">INDEX(INDIRECT(_xlfn.CONCAT("weather.tbl[",U$1,"]")),MATCH(vp.data[[#This Row],[SDate]],weather.tbl[Date],0))</f>
        <v>5.3</v>
      </c>
      <c r="V158" s="2">
        <f t="array" ref="V1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8" t="s">
        <v>48</v>
      </c>
      <c r="X158">
        <f>IF(OR(vp.data[[#This Row],[Sulf]]="",vp.data[[#This Row],[Dens]]=""),1,0)</f>
        <v>0</v>
      </c>
      <c r="Y158">
        <f>IF(vp.data[[#This Row],[CrudeType]]="C5+",1,0)</f>
        <v>0</v>
      </c>
      <c r="Z158">
        <f>IF(AND(vp.data[[#This Row],[CrudeType]]="Crude",vp.data[[#This Row],[Dens]]&lt;=825,vp.data[[#This Row],[Sulf]]&gt;0.5,vp.data[[#This Row],[Unknown]]=0),1,0)</f>
        <v>1</v>
      </c>
      <c r="AA158">
        <f>IF(AND(vp.data[[#This Row],[CrudeType]]="Crude",vp.data[[#This Row],[Dens]]&lt;=825,vp.data[[#This Row],[Sulf]]&lt;=0.5,vp.data[[#This Row],[Unknown]]=0),1,0)</f>
        <v>0</v>
      </c>
      <c r="AB1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8">
        <f>IF(AND(vp.data[[#This Row],[CrudeType]]="Crude",vp.data[[#This Row],[Dens]]&gt;825,vp.data[[#This Row],[Dens]]&lt;=900,vp.data[[#This Row],[Sulf]]&lt;=0.5,vp.data[[#This Row],[Unknown]]=0),1,0)</f>
        <v>0</v>
      </c>
      <c r="AD158">
        <f>IF(AND(vp.data[[#This Row],[CrudeType]]="Crude",vp.data[[#This Row],[Dens]]&gt;865,vp.data[[#This Row],[Dens]]&lt;=900,vp.data[[#This Row],[Sulf]]&gt;2,vp.data[[#This Row],[Unknown]]=0),1,0)</f>
        <v>0</v>
      </c>
      <c r="AE158">
        <f>IF(AND(vp.data[[#This Row],[CrudeType]]="Crude",vp.data[[#This Row],[Dens]]&gt;900,vp.data[[#This Row],[Sulf]]&lt;=0.5,vp.data[[#This Row],[Unknown]]=0),1,0)</f>
        <v>0</v>
      </c>
      <c r="AF158">
        <f>IF(AND(vp.data[[#This Row],[CrudeType]]="Crude",vp.data[[#This Row],[Dens]]&gt;900,vp.data[[#This Row],[Sulf]]&lt;=0.5,vp.data[[#This Row],[Unknown]]=0),1,0)</f>
        <v>0</v>
      </c>
      <c r="AG158" t="str">
        <f>INDEX(vp.data[[#Headers],[Unknown]:[Heavy_SW]],MATCH(1,vp.data[[#This Row],[Unknown]:[Heavy_SW]],0))</f>
        <v>Light_LSB</v>
      </c>
      <c r="AH158">
        <f>INDEX([3]!crudeBD.lkup[Number],MATCH(vp.data[[#This Row],[Crude_Breakdown]],crudeBD.lkup[Crude Breakdown],0))</f>
        <v>1</v>
      </c>
      <c r="AI158">
        <f>MONTH(vp.data[[#This Row],[SDate]])</f>
        <v>4</v>
      </c>
      <c r="AJ158" s="5">
        <f>(vp.data[[#This Row],[VP]]-INDEX(crudeBD.lkup[Mean_VP],MATCH(vp.data[[#This Row],[Crude_Breakdown]],crudeBD.lkup[Crude Breakdown],0)))^2</f>
        <v>430.72081351896981</v>
      </c>
      <c r="AK158" s="5">
        <f>(vp.data[[#This Row],[Dens]]-INDEX(crudeBD.lkup[Mean_Dens],MATCH(vp.data[[#This Row],[Crude_Breakdown]],crudeBD.lkup[Crude Breakdown],0)))^2</f>
        <v>824.65286541725641</v>
      </c>
      <c r="AL158" s="5">
        <f>(vp.data[[#This Row],[Sulf]]-INDEX(crudeBD.lkup[Mean_Sulf],MATCH(vp.data[[#This Row],[Crude_Breakdown]],crudeBD.lkup[Crude Breakdown],0)))^2</f>
        <v>0.11358843333985327</v>
      </c>
      <c r="AM158" s="4">
        <f>IF(AND(vp.data[[#This Row],[SDate]]&gt;=DATE(YEAR(vp.data[[#This Row],[SDate]]),5,1),vp.data[[#This Row],[SDate]]&lt;=DATE(YEAR(vp.data[[#This Row],[SDate]]),9,15)),1,0)</f>
        <v>0</v>
      </c>
      <c r="AN158" s="4">
        <f>IF(vp.data[[#This Row],[SDate]]&lt;DATE(2016,12,1),0,1)</f>
        <v>0</v>
      </c>
      <c r="AO158" s="4">
        <f>IFERROR(vp.data[[#This Row],[Sulf]]*vp.data[[#This Row],[Net Dens]],"")</f>
        <v>6106725.7020000005</v>
      </c>
      <c r="AP158">
        <f>IFERROR(vp.data[[#This Row],[Dens]]*vp.data[[#This Row],[VolumeM3]],"")</f>
        <v>4846607.7</v>
      </c>
      <c r="AQ158" s="15">
        <f>IFERROR(vp.data[[#This Row],[VP]]*vp.data[[#This Row],[VolumeM3]],"")</f>
        <v>689128.95</v>
      </c>
    </row>
    <row r="159" spans="1:43" x14ac:dyDescent="0.25">
      <c r="A159">
        <v>158</v>
      </c>
      <c r="B159" t="s">
        <v>62</v>
      </c>
      <c r="C159" t="s">
        <v>62</v>
      </c>
      <c r="D159" t="s">
        <v>63</v>
      </c>
      <c r="F159" s="1">
        <v>42486</v>
      </c>
      <c r="G159" s="2">
        <v>115.6</v>
      </c>
      <c r="H159" s="2"/>
      <c r="I159" s="2">
        <f t="array" ref="I15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59" s="2"/>
      <c r="K159" s="2"/>
      <c r="L159" s="2">
        <v>789.8</v>
      </c>
      <c r="M159" s="2">
        <f t="array" ref="M159">_xlfn.IFNA(IF(vp.data[[#This Row],[Dens Input]]="",INDEX([1]DATA!$O$3:$O$9826,MATCH(1,(vp.data[[#This Row],[Battery]]=[1]DATA!$L$3:$L$9826)*(EOMONTH(vp.data[[#This Row],[SDate]],-1)+1=[1]DATA!$G$3:$G$9826),0)),vp.data[[#This Row],[Dens Input]]),"")</f>
        <v>789.8</v>
      </c>
      <c r="N159" s="2">
        <f ca="1">INDEX(INDIRECT(_xlfn.CONCAT("weather.tbl[",N$1,"]")),MATCH(vp.data[[#This Row],[SDate]],weather.tbl[Date],0))</f>
        <v>5.8</v>
      </c>
      <c r="O159" s="2">
        <f ca="1">INDEX(INDIRECT(_xlfn.CONCAT("weather.tbl[",O$1,"]")),MATCH(vp.data[[#This Row],[SDate]],weather.tbl[Date],0))</f>
        <v>7.2166666666666668</v>
      </c>
      <c r="P159" s="2">
        <f ca="1">INDEX(INDIRECT(_xlfn.CONCAT("weather.tbl[",P$1,"]")),MATCH(vp.data[[#This Row],[SDate]],weather.tbl[Date],0))</f>
        <v>4.4000000000000004</v>
      </c>
      <c r="Q159" s="2">
        <f ca="1">INDEX(INDIRECT(_xlfn.CONCAT("weather.tbl[",Q$1,"]")),MATCH(vp.data[[#This Row],[SDate]],weather.tbl[Date],0))</f>
        <v>6</v>
      </c>
      <c r="R159" s="2">
        <f ca="1">INDEX(INDIRECT(_xlfn.CONCAT("weather.tbl[",R$1,"]")),MATCH(vp.data[[#This Row],[SDate]],weather.tbl[Date],0))</f>
        <v>6.3</v>
      </c>
      <c r="S159" s="2">
        <f ca="1">INDEX(INDIRECT(_xlfn.CONCAT("weather.tbl[",S$1,"]")),MATCH(vp.data[[#This Row],[SDate]],weather.tbl[Date],0))</f>
        <v>7</v>
      </c>
      <c r="T159" s="2">
        <f ca="1">INDEX(INDIRECT(_xlfn.CONCAT("weather.tbl[",T$1,"]")),MATCH(vp.data[[#This Row],[SDate]],weather.tbl[Date],0))</f>
        <v>5.8</v>
      </c>
      <c r="U159" s="2">
        <f ca="1">INDEX(INDIRECT(_xlfn.CONCAT("weather.tbl[",U$1,"]")),MATCH(vp.data[[#This Row],[SDate]],weather.tbl[Date],0))</f>
        <v>5.3</v>
      </c>
      <c r="V159" s="2">
        <f t="array" ref="V1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6136.5</v>
      </c>
      <c r="W159" t="s">
        <v>48</v>
      </c>
      <c r="X159">
        <f>IF(OR(vp.data[[#This Row],[Sulf]]="",vp.data[[#This Row],[Dens]]=""),1,0)</f>
        <v>0</v>
      </c>
      <c r="Y159">
        <f>IF(vp.data[[#This Row],[CrudeType]]="C5+",1,0)</f>
        <v>0</v>
      </c>
      <c r="Z159">
        <f>IF(AND(vp.data[[#This Row],[CrudeType]]="Crude",vp.data[[#This Row],[Dens]]&lt;=825,vp.data[[#This Row],[Sulf]]&gt;0.5,vp.data[[#This Row],[Unknown]]=0),1,0)</f>
        <v>1</v>
      </c>
      <c r="AA159">
        <f>IF(AND(vp.data[[#This Row],[CrudeType]]="Crude",vp.data[[#This Row],[Dens]]&lt;=825,vp.data[[#This Row],[Sulf]]&lt;=0.5,vp.data[[#This Row],[Unknown]]=0),1,0)</f>
        <v>0</v>
      </c>
      <c r="AB1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">
        <f>IF(AND(vp.data[[#This Row],[CrudeType]]="Crude",vp.data[[#This Row],[Dens]]&gt;825,vp.data[[#This Row],[Dens]]&lt;=900,vp.data[[#This Row],[Sulf]]&lt;=0.5,vp.data[[#This Row],[Unknown]]=0),1,0)</f>
        <v>0</v>
      </c>
      <c r="AD159">
        <f>IF(AND(vp.data[[#This Row],[CrudeType]]="Crude",vp.data[[#This Row],[Dens]]&gt;865,vp.data[[#This Row],[Dens]]&lt;=900,vp.data[[#This Row],[Sulf]]&gt;2,vp.data[[#This Row],[Unknown]]=0),1,0)</f>
        <v>0</v>
      </c>
      <c r="AE159">
        <f>IF(AND(vp.data[[#This Row],[CrudeType]]="Crude",vp.data[[#This Row],[Dens]]&gt;900,vp.data[[#This Row],[Sulf]]&lt;=0.5,vp.data[[#This Row],[Unknown]]=0),1,0)</f>
        <v>0</v>
      </c>
      <c r="AF159">
        <f>IF(AND(vp.data[[#This Row],[CrudeType]]="Crude",vp.data[[#This Row],[Dens]]&gt;900,vp.data[[#This Row],[Sulf]]&lt;=0.5,vp.data[[#This Row],[Unknown]]=0),1,0)</f>
        <v>0</v>
      </c>
      <c r="AG159" t="str">
        <f>INDEX(vp.data[[#Headers],[Unknown]:[Heavy_SW]],MATCH(1,vp.data[[#This Row],[Unknown]:[Heavy_SW]],0))</f>
        <v>Light_LSB</v>
      </c>
      <c r="AH159">
        <f>INDEX([3]!crudeBD.lkup[Number],MATCH(vp.data[[#This Row],[Crude_Breakdown]],crudeBD.lkup[Crude Breakdown],0))</f>
        <v>1</v>
      </c>
      <c r="AI159">
        <f>MONTH(vp.data[[#This Row],[SDate]])</f>
        <v>4</v>
      </c>
      <c r="AJ159" s="5">
        <f>(vp.data[[#This Row],[VP]]-INDEX(crudeBD.lkup[Mean_VP],MATCH(vp.data[[#This Row],[Crude_Breakdown]],crudeBD.lkup[Crude Breakdown],0)))^2</f>
        <v>578.58598877670136</v>
      </c>
      <c r="AK159" s="5">
        <f>(vp.data[[#This Row],[Dens]]-INDEX(crudeBD.lkup[Mean_Dens],MATCH(vp.data[[#This Row],[Crude_Breakdown]],crudeBD.lkup[Crude Breakdown],0)))^2</f>
        <v>824.65286541725641</v>
      </c>
      <c r="AL159" s="5">
        <f>(vp.data[[#This Row],[Sulf]]-INDEX(crudeBD.lkup[Mean_Sulf],MATCH(vp.data[[#This Row],[Crude_Breakdown]],crudeBD.lkup[Crude Breakdown],0)))^2</f>
        <v>0.11358843333985327</v>
      </c>
      <c r="AM159" s="4">
        <f>IF(AND(vp.data[[#This Row],[SDate]]&gt;=DATE(YEAR(vp.data[[#This Row],[SDate]]),5,1),vp.data[[#This Row],[SDate]]&lt;=DATE(YEAR(vp.data[[#This Row],[SDate]]),9,15)),1,0)</f>
        <v>0</v>
      </c>
      <c r="AN159" s="4">
        <f>IF(vp.data[[#This Row],[SDate]]&lt;DATE(2016,12,1),0,1)</f>
        <v>0</v>
      </c>
      <c r="AO159" s="4">
        <f>IFERROR(vp.data[[#This Row],[Sulf]]*vp.data[[#This Row],[Net Dens]],"")</f>
        <v>6106725.7020000005</v>
      </c>
      <c r="AP159">
        <f>IFERROR(vp.data[[#This Row],[Dens]]*vp.data[[#This Row],[VolumeM3]],"")</f>
        <v>4846607.7</v>
      </c>
      <c r="AQ159" s="15">
        <f>IFERROR(vp.data[[#This Row],[VP]]*vp.data[[#This Row],[VolumeM3]],"")</f>
        <v>709379.4</v>
      </c>
    </row>
    <row r="160" spans="1:43" x14ac:dyDescent="0.25">
      <c r="A160">
        <v>159</v>
      </c>
      <c r="B160" t="s">
        <v>49</v>
      </c>
      <c r="C160" t="s">
        <v>49</v>
      </c>
      <c r="D160" t="s">
        <v>70</v>
      </c>
      <c r="F160" s="1">
        <v>42486</v>
      </c>
      <c r="G160" s="2">
        <v>69.5</v>
      </c>
      <c r="H160" s="2"/>
      <c r="I160" s="2">
        <f t="array" ref="I160">_xlfn.IFNA(IF(vp.data[[#This Row],[Sulf Input]]="",INDEX([1]DATA!$Q$3:$Q$9826,MATCH(1,(vp.data[[#This Row],[Battery]]=[1]DATA!$L$3:$L$9826)*(EOMONTH(vp.data[[#This Row],[SDate]],-1)+1=[1]DATA!$G$3:$G$9826),0)),vp.data[[#This Row],[Sulf Input]]),"")</f>
        <v>0.71</v>
      </c>
      <c r="J160" s="2"/>
      <c r="K160" s="2"/>
      <c r="L160" s="2">
        <v>825</v>
      </c>
      <c r="M160" s="2">
        <f t="array" ref="M160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160" s="2">
        <f ca="1">INDEX(INDIRECT(_xlfn.CONCAT("weather.tbl[",N$1,"]")),MATCH(vp.data[[#This Row],[SDate]],weather.tbl[Date],0))</f>
        <v>5.8</v>
      </c>
      <c r="O160" s="2">
        <f ca="1">INDEX(INDIRECT(_xlfn.CONCAT("weather.tbl[",O$1,"]")),MATCH(vp.data[[#This Row],[SDate]],weather.tbl[Date],0))</f>
        <v>7.2166666666666668</v>
      </c>
      <c r="P160" s="2">
        <f ca="1">INDEX(INDIRECT(_xlfn.CONCAT("weather.tbl[",P$1,"]")),MATCH(vp.data[[#This Row],[SDate]],weather.tbl[Date],0))</f>
        <v>4.4000000000000004</v>
      </c>
      <c r="Q160" s="2">
        <f ca="1">INDEX(INDIRECT(_xlfn.CONCAT("weather.tbl[",Q$1,"]")),MATCH(vp.data[[#This Row],[SDate]],weather.tbl[Date],0))</f>
        <v>6</v>
      </c>
      <c r="R160" s="2">
        <f ca="1">INDEX(INDIRECT(_xlfn.CONCAT("weather.tbl[",R$1,"]")),MATCH(vp.data[[#This Row],[SDate]],weather.tbl[Date],0))</f>
        <v>6.3</v>
      </c>
      <c r="S160" s="2">
        <f ca="1">INDEX(INDIRECT(_xlfn.CONCAT("weather.tbl[",S$1,"]")),MATCH(vp.data[[#This Row],[SDate]],weather.tbl[Date],0))</f>
        <v>7</v>
      </c>
      <c r="T160" s="2">
        <f ca="1">INDEX(INDIRECT(_xlfn.CONCAT("weather.tbl[",T$1,"]")),MATCH(vp.data[[#This Row],[SDate]],weather.tbl[Date],0))</f>
        <v>5.8</v>
      </c>
      <c r="U160" s="2">
        <f ca="1">INDEX(INDIRECT(_xlfn.CONCAT("weather.tbl[",U$1,"]")),MATCH(vp.data[[#This Row],[SDate]],weather.tbl[Date],0))</f>
        <v>5.3</v>
      </c>
      <c r="V160" s="2">
        <f t="array" ref="V1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2884.9520000000002</v>
      </c>
      <c r="W160" t="s">
        <v>48</v>
      </c>
      <c r="X160">
        <f>IF(OR(vp.data[[#This Row],[Sulf]]="",vp.data[[#This Row],[Dens]]=""),1,0)</f>
        <v>0</v>
      </c>
      <c r="Y160">
        <f>IF(vp.data[[#This Row],[CrudeType]]="C5+",1,0)</f>
        <v>0</v>
      </c>
      <c r="Z160">
        <f>IF(AND(vp.data[[#This Row],[CrudeType]]="Crude",vp.data[[#This Row],[Dens]]&lt;=825,vp.data[[#This Row],[Sulf]]&gt;0.5,vp.data[[#This Row],[Unknown]]=0),1,0)</f>
        <v>1</v>
      </c>
      <c r="AA160">
        <f>IF(AND(vp.data[[#This Row],[CrudeType]]="Crude",vp.data[[#This Row],[Dens]]&lt;=825,vp.data[[#This Row],[Sulf]]&lt;=0.5,vp.data[[#This Row],[Unknown]]=0),1,0)</f>
        <v>0</v>
      </c>
      <c r="AB1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">
        <f>IF(AND(vp.data[[#This Row],[CrudeType]]="Crude",vp.data[[#This Row],[Dens]]&gt;825,vp.data[[#This Row],[Dens]]&lt;=900,vp.data[[#This Row],[Sulf]]&lt;=0.5,vp.data[[#This Row],[Unknown]]=0),1,0)</f>
        <v>0</v>
      </c>
      <c r="AD160">
        <f>IF(AND(vp.data[[#This Row],[CrudeType]]="Crude",vp.data[[#This Row],[Dens]]&gt;865,vp.data[[#This Row],[Dens]]&lt;=900,vp.data[[#This Row],[Sulf]]&gt;2,vp.data[[#This Row],[Unknown]]=0),1,0)</f>
        <v>0</v>
      </c>
      <c r="AE160">
        <f>IF(AND(vp.data[[#This Row],[CrudeType]]="Crude",vp.data[[#This Row],[Dens]]&gt;900,vp.data[[#This Row],[Sulf]]&lt;=0.5,vp.data[[#This Row],[Unknown]]=0),1,0)</f>
        <v>0</v>
      </c>
      <c r="AF160">
        <f>IF(AND(vp.data[[#This Row],[CrudeType]]="Crude",vp.data[[#This Row],[Dens]]&gt;900,vp.data[[#This Row],[Sulf]]&lt;=0.5,vp.data[[#This Row],[Unknown]]=0),1,0)</f>
        <v>0</v>
      </c>
      <c r="AG160" t="str">
        <f>INDEX(vp.data[[#Headers],[Unknown]:[Heavy_SW]],MATCH(1,vp.data[[#This Row],[Unknown]:[Heavy_SW]],0))</f>
        <v>Light_LSB</v>
      </c>
      <c r="AH160">
        <f>INDEX([3]!crudeBD.lkup[Number],MATCH(vp.data[[#This Row],[Crude_Breakdown]],crudeBD.lkup[Crude Breakdown],0))</f>
        <v>1</v>
      </c>
      <c r="AI160">
        <f>MONTH(vp.data[[#This Row],[SDate]])</f>
        <v>4</v>
      </c>
      <c r="AJ160" s="5">
        <f>(vp.data[[#This Row],[VP]]-INDEX(crudeBD.lkup[Mean_VP],MATCH(vp.data[[#This Row],[Crude_Breakdown]],crudeBD.lkup[Crude Breakdown],0)))^2</f>
        <v>486.03429805505505</v>
      </c>
      <c r="AK160" s="5">
        <f>(vp.data[[#This Row],[Dens]]-INDEX(crudeBD.lkup[Mean_Dens],MATCH(vp.data[[#This Row],[Crude_Breakdown]],crudeBD.lkup[Crude Breakdown],0)))^2</f>
        <v>42.032274351983858</v>
      </c>
      <c r="AL160" s="5">
        <f>(vp.data[[#This Row],[Sulf]]-INDEX(crudeBD.lkup[Mean_Sulf],MATCH(vp.data[[#This Row],[Crude_Breakdown]],crudeBD.lkup[Crude Breakdown],0)))^2</f>
        <v>4.5356718563220697E-2</v>
      </c>
      <c r="AM160" s="4">
        <f>IF(AND(vp.data[[#This Row],[SDate]]&gt;=DATE(YEAR(vp.data[[#This Row],[SDate]]),5,1),vp.data[[#This Row],[SDate]]&lt;=DATE(YEAR(vp.data[[#This Row],[SDate]]),9,15)),1,0)</f>
        <v>0</v>
      </c>
      <c r="AN160" s="4">
        <f>IF(vp.data[[#This Row],[SDate]]&lt;DATE(2016,12,1),0,1)</f>
        <v>0</v>
      </c>
      <c r="AO160" s="4">
        <f>IFERROR(vp.data[[#This Row],[Sulf]]*vp.data[[#This Row],[Net Dens]],"")</f>
        <v>1689860.6340000001</v>
      </c>
      <c r="AP160">
        <f>IFERROR(vp.data[[#This Row],[Dens]]*vp.data[[#This Row],[VolumeM3]],"")</f>
        <v>2380085.4000000004</v>
      </c>
      <c r="AQ160" s="15">
        <f>IFERROR(vp.data[[#This Row],[VP]]*vp.data[[#This Row],[VolumeM3]],"")</f>
        <v>200504.16400000002</v>
      </c>
    </row>
    <row r="161" spans="1:43" x14ac:dyDescent="0.25">
      <c r="A161">
        <v>160</v>
      </c>
      <c r="B161" t="s">
        <v>51</v>
      </c>
      <c r="C161" t="s">
        <v>51</v>
      </c>
      <c r="D161" t="s">
        <v>72</v>
      </c>
      <c r="F161" s="1">
        <v>42486</v>
      </c>
      <c r="G161" s="2">
        <v>117.3</v>
      </c>
      <c r="H161" s="2"/>
      <c r="I161" s="2">
        <f t="array" ref="I161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61" s="2"/>
      <c r="K161" s="2"/>
      <c r="L161" s="2">
        <v>841.6</v>
      </c>
      <c r="M161" s="2">
        <f t="array" ref="M161">_xlfn.IFNA(IF(vp.data[[#This Row],[Dens Input]]="",INDEX([1]DATA!$O$3:$O$9826,MATCH(1,(vp.data[[#This Row],[Battery]]=[1]DATA!$L$3:$L$9826)*(EOMONTH(vp.data[[#This Row],[SDate]],-1)+1=[1]DATA!$G$3:$G$9826),0)),vp.data[[#This Row],[Dens Input]]),"")</f>
        <v>841.6</v>
      </c>
      <c r="N161" s="2">
        <f ca="1">INDEX(INDIRECT(_xlfn.CONCAT("weather.tbl[",N$1,"]")),MATCH(vp.data[[#This Row],[SDate]],weather.tbl[Date],0))</f>
        <v>5.8</v>
      </c>
      <c r="O161" s="2">
        <f ca="1">INDEX(INDIRECT(_xlfn.CONCAT("weather.tbl[",O$1,"]")),MATCH(vp.data[[#This Row],[SDate]],weather.tbl[Date],0))</f>
        <v>7.2166666666666668</v>
      </c>
      <c r="P161" s="2">
        <f ca="1">INDEX(INDIRECT(_xlfn.CONCAT("weather.tbl[",P$1,"]")),MATCH(vp.data[[#This Row],[SDate]],weather.tbl[Date],0))</f>
        <v>4.4000000000000004</v>
      </c>
      <c r="Q161" s="2">
        <f ca="1">INDEX(INDIRECT(_xlfn.CONCAT("weather.tbl[",Q$1,"]")),MATCH(vp.data[[#This Row],[SDate]],weather.tbl[Date],0))</f>
        <v>6</v>
      </c>
      <c r="R161" s="2">
        <f ca="1">INDEX(INDIRECT(_xlfn.CONCAT("weather.tbl[",R$1,"]")),MATCH(vp.data[[#This Row],[SDate]],weather.tbl[Date],0))</f>
        <v>6.3</v>
      </c>
      <c r="S161" s="2">
        <f ca="1">INDEX(INDIRECT(_xlfn.CONCAT("weather.tbl[",S$1,"]")),MATCH(vp.data[[#This Row],[SDate]],weather.tbl[Date],0))</f>
        <v>7</v>
      </c>
      <c r="T161" s="2">
        <f ca="1">INDEX(INDIRECT(_xlfn.CONCAT("weather.tbl[",T$1,"]")),MATCH(vp.data[[#This Row],[SDate]],weather.tbl[Date],0))</f>
        <v>5.8</v>
      </c>
      <c r="U161" s="2">
        <f ca="1">INDEX(INDIRECT(_xlfn.CONCAT("weather.tbl[",U$1,"]")),MATCH(vp.data[[#This Row],[SDate]],weather.tbl[Date],0))</f>
        <v>5.3</v>
      </c>
      <c r="V161" s="2">
        <f t="array" ref="V1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3846.4929999999999</v>
      </c>
      <c r="W161" t="s">
        <v>48</v>
      </c>
      <c r="X161">
        <f>IF(OR(vp.data[[#This Row],[Sulf]]="",vp.data[[#This Row],[Dens]]=""),1,0)</f>
        <v>0</v>
      </c>
      <c r="Y161">
        <f>IF(vp.data[[#This Row],[CrudeType]]="C5+",1,0)</f>
        <v>0</v>
      </c>
      <c r="Z161">
        <f>IF(AND(vp.data[[#This Row],[CrudeType]]="Crude",vp.data[[#This Row],[Dens]]&lt;=825,vp.data[[#This Row],[Sulf]]&gt;0.5,vp.data[[#This Row],[Unknown]]=0),1,0)</f>
        <v>0</v>
      </c>
      <c r="AA161">
        <f>IF(AND(vp.data[[#This Row],[CrudeType]]="Crude",vp.data[[#This Row],[Dens]]&lt;=825,vp.data[[#This Row],[Sulf]]&lt;=0.5,vp.data[[#This Row],[Unknown]]=0),1,0)</f>
        <v>0</v>
      </c>
      <c r="AB1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61">
        <f>IF(AND(vp.data[[#This Row],[CrudeType]]="Crude",vp.data[[#This Row],[Dens]]&gt;825,vp.data[[#This Row],[Dens]]&lt;=900,vp.data[[#This Row],[Sulf]]&lt;=0.5,vp.data[[#This Row],[Unknown]]=0),1,0)</f>
        <v>0</v>
      </c>
      <c r="AD161">
        <f>IF(AND(vp.data[[#This Row],[CrudeType]]="Crude",vp.data[[#This Row],[Dens]]&gt;865,vp.data[[#This Row],[Dens]]&lt;=900,vp.data[[#This Row],[Sulf]]&gt;2,vp.data[[#This Row],[Unknown]]=0),1,0)</f>
        <v>0</v>
      </c>
      <c r="AE161">
        <f>IF(AND(vp.data[[#This Row],[CrudeType]]="Crude",vp.data[[#This Row],[Dens]]&gt;900,vp.data[[#This Row],[Sulf]]&lt;=0.5,vp.data[[#This Row],[Unknown]]=0),1,0)</f>
        <v>0</v>
      </c>
      <c r="AF161">
        <f>IF(AND(vp.data[[#This Row],[CrudeType]]="Crude",vp.data[[#This Row],[Dens]]&gt;900,vp.data[[#This Row],[Sulf]]&lt;=0.5,vp.data[[#This Row],[Unknown]]=0),1,0)</f>
        <v>0</v>
      </c>
      <c r="AG161" t="str">
        <f>INDEX(vp.data[[#Headers],[Unknown]:[Heavy_SW]],MATCH(1,vp.data[[#This Row],[Unknown]:[Heavy_SW]],0))</f>
        <v>Medium_LSB</v>
      </c>
      <c r="AH161">
        <f>INDEX([3]!crudeBD.lkup[Number],MATCH(vp.data[[#This Row],[Crude_Breakdown]],crudeBD.lkup[Crude Breakdown],0))</f>
        <v>3</v>
      </c>
      <c r="AI161">
        <f>MONTH(vp.data[[#This Row],[SDate]])</f>
        <v>4</v>
      </c>
      <c r="AJ161" s="5">
        <f>(vp.data[[#This Row],[VP]]-INDEX(crudeBD.lkup[Mean_VP],MATCH(vp.data[[#This Row],[Crude_Breakdown]],crudeBD.lkup[Crude Breakdown],0)))^2</f>
        <v>1343.9793154685065</v>
      </c>
      <c r="AK161" s="5">
        <f>(vp.data[[#This Row],[Dens]]-INDEX(crudeBD.lkup[Mean_Dens],MATCH(vp.data[[#This Row],[Crude_Breakdown]],crudeBD.lkup[Crude Breakdown],0)))^2</f>
        <v>5.3823999999975944</v>
      </c>
      <c r="AL161" s="5">
        <f>(vp.data[[#This Row],[Sulf]]-INDEX(crudeBD.lkup[Mean_Sulf],MATCH(vp.data[[#This Row],[Crude_Breakdown]],crudeBD.lkup[Crude Breakdown],0)))^2</f>
        <v>9.3274123845019638E-2</v>
      </c>
      <c r="AM161" s="4">
        <f>IF(AND(vp.data[[#This Row],[SDate]]&gt;=DATE(YEAR(vp.data[[#This Row],[SDate]]),5,1),vp.data[[#This Row],[SDate]]&lt;=DATE(YEAR(vp.data[[#This Row],[SDate]]),9,15)),1,0)</f>
        <v>0</v>
      </c>
      <c r="AN161" s="4">
        <f>IF(vp.data[[#This Row],[SDate]]&lt;DATE(2016,12,1),0,1)</f>
        <v>0</v>
      </c>
      <c r="AO161" s="4">
        <f>IFERROR(vp.data[[#This Row],[Sulf]]*vp.data[[#This Row],[Net Dens]],"")</f>
        <v>3496185.1895040004</v>
      </c>
      <c r="AP161">
        <f>IFERROR(vp.data[[#This Row],[Dens]]*vp.data[[#This Row],[VolumeM3]],"")</f>
        <v>3237208.5088</v>
      </c>
      <c r="AQ161" s="15">
        <f>IFERROR(vp.data[[#This Row],[VP]]*vp.data[[#This Row],[VolumeM3]],"")</f>
        <v>451193.62890000001</v>
      </c>
    </row>
    <row r="162" spans="1:43" x14ac:dyDescent="0.25">
      <c r="A162">
        <v>161</v>
      </c>
      <c r="B162" t="s">
        <v>49</v>
      </c>
      <c r="C162" t="s">
        <v>49</v>
      </c>
      <c r="D162" t="s">
        <v>59</v>
      </c>
      <c r="F162" s="1">
        <v>42486</v>
      </c>
      <c r="G162" s="2">
        <v>67.400000000000006</v>
      </c>
      <c r="H162" s="2"/>
      <c r="I162" s="2">
        <f t="array" ref="I162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162" s="2"/>
      <c r="K162" s="2"/>
      <c r="L162" s="2">
        <v>846.5</v>
      </c>
      <c r="M162" s="2">
        <f t="array" ref="M162">_xlfn.IFNA(IF(vp.data[[#This Row],[Dens Input]]="",INDEX([1]DATA!$O$3:$O$9826,MATCH(1,(vp.data[[#This Row],[Battery]]=[1]DATA!$L$3:$L$9826)*(EOMONTH(vp.data[[#This Row],[SDate]],-1)+1=[1]DATA!$G$3:$G$9826),0)),vp.data[[#This Row],[Dens Input]]),"")</f>
        <v>846.5</v>
      </c>
      <c r="N162" s="2">
        <f ca="1">INDEX(INDIRECT(_xlfn.CONCAT("weather.tbl[",N$1,"]")),MATCH(vp.data[[#This Row],[SDate]],weather.tbl[Date],0))</f>
        <v>5.8</v>
      </c>
      <c r="O162" s="2">
        <f ca="1">INDEX(INDIRECT(_xlfn.CONCAT("weather.tbl[",O$1,"]")),MATCH(vp.data[[#This Row],[SDate]],weather.tbl[Date],0))</f>
        <v>7.2166666666666668</v>
      </c>
      <c r="P162" s="2">
        <f ca="1">INDEX(INDIRECT(_xlfn.CONCAT("weather.tbl[",P$1,"]")),MATCH(vp.data[[#This Row],[SDate]],weather.tbl[Date],0))</f>
        <v>4.4000000000000004</v>
      </c>
      <c r="Q162" s="2">
        <f ca="1">INDEX(INDIRECT(_xlfn.CONCAT("weather.tbl[",Q$1,"]")),MATCH(vp.data[[#This Row],[SDate]],weather.tbl[Date],0))</f>
        <v>6</v>
      </c>
      <c r="R162" s="2">
        <f ca="1">INDEX(INDIRECT(_xlfn.CONCAT("weather.tbl[",R$1,"]")),MATCH(vp.data[[#This Row],[SDate]],weather.tbl[Date],0))</f>
        <v>6.3</v>
      </c>
      <c r="S162" s="2">
        <f ca="1">INDEX(INDIRECT(_xlfn.CONCAT("weather.tbl[",S$1,"]")),MATCH(vp.data[[#This Row],[SDate]],weather.tbl[Date],0))</f>
        <v>7</v>
      </c>
      <c r="T162" s="2">
        <f ca="1">INDEX(INDIRECT(_xlfn.CONCAT("weather.tbl[",T$1,"]")),MATCH(vp.data[[#This Row],[SDate]],weather.tbl[Date],0))</f>
        <v>5.8</v>
      </c>
      <c r="U162" s="2">
        <f ca="1">INDEX(INDIRECT(_xlfn.CONCAT("weather.tbl[",U$1,"]")),MATCH(vp.data[[#This Row],[SDate]],weather.tbl[Date],0))</f>
        <v>5.3</v>
      </c>
      <c r="V162" s="2">
        <f t="array" ref="V1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1897.519</v>
      </c>
      <c r="W162" t="s">
        <v>48</v>
      </c>
      <c r="X162">
        <f>IF(OR(vp.data[[#This Row],[Sulf]]="",vp.data[[#This Row],[Dens]]=""),1,0)</f>
        <v>0</v>
      </c>
      <c r="Y162">
        <f>IF(vp.data[[#This Row],[CrudeType]]="C5+",1,0)</f>
        <v>0</v>
      </c>
      <c r="Z162">
        <f>IF(AND(vp.data[[#This Row],[CrudeType]]="Crude",vp.data[[#This Row],[Dens]]&lt;=825,vp.data[[#This Row],[Sulf]]&gt;0.5,vp.data[[#This Row],[Unknown]]=0),1,0)</f>
        <v>0</v>
      </c>
      <c r="AA162">
        <f>IF(AND(vp.data[[#This Row],[CrudeType]]="Crude",vp.data[[#This Row],[Dens]]&lt;=825,vp.data[[#This Row],[Sulf]]&lt;=0.5,vp.data[[#This Row],[Unknown]]=0),1,0)</f>
        <v>0</v>
      </c>
      <c r="AB1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62">
        <f>IF(AND(vp.data[[#This Row],[CrudeType]]="Crude",vp.data[[#This Row],[Dens]]&gt;825,vp.data[[#This Row],[Dens]]&lt;=900,vp.data[[#This Row],[Sulf]]&lt;=0.5,vp.data[[#This Row],[Unknown]]=0),1,0)</f>
        <v>0</v>
      </c>
      <c r="AD162">
        <f>IF(AND(vp.data[[#This Row],[CrudeType]]="Crude",vp.data[[#This Row],[Dens]]&gt;865,vp.data[[#This Row],[Dens]]&lt;=900,vp.data[[#This Row],[Sulf]]&gt;2,vp.data[[#This Row],[Unknown]]=0),1,0)</f>
        <v>0</v>
      </c>
      <c r="AE162">
        <f>IF(AND(vp.data[[#This Row],[CrudeType]]="Crude",vp.data[[#This Row],[Dens]]&gt;900,vp.data[[#This Row],[Sulf]]&lt;=0.5,vp.data[[#This Row],[Unknown]]=0),1,0)</f>
        <v>0</v>
      </c>
      <c r="AF162">
        <f>IF(AND(vp.data[[#This Row],[CrudeType]]="Crude",vp.data[[#This Row],[Dens]]&gt;900,vp.data[[#This Row],[Sulf]]&lt;=0.5,vp.data[[#This Row],[Unknown]]=0),1,0)</f>
        <v>0</v>
      </c>
      <c r="AG162" t="str">
        <f>INDEX(vp.data[[#Headers],[Unknown]:[Heavy_SW]],MATCH(1,vp.data[[#This Row],[Unknown]:[Heavy_SW]],0))</f>
        <v>Medium_LSB</v>
      </c>
      <c r="AH162">
        <f>INDEX([3]!crudeBD.lkup[Number],MATCH(vp.data[[#This Row],[Crude_Breakdown]],crudeBD.lkup[Crude Breakdown],0))</f>
        <v>3</v>
      </c>
      <c r="AI162">
        <f>MONTH(vp.data[[#This Row],[SDate]])</f>
        <v>4</v>
      </c>
      <c r="AJ162" s="5">
        <f>(vp.data[[#This Row],[VP]]-INDEX(crudeBD.lkup[Mean_VP],MATCH(vp.data[[#This Row],[Crude_Breakdown]],crudeBD.lkup[Crude Breakdown],0)))^2</f>
        <v>175.28903514504921</v>
      </c>
      <c r="AK162" s="5">
        <f>(vp.data[[#This Row],[Dens]]-INDEX(crudeBD.lkup[Mean_Dens],MATCH(vp.data[[#This Row],[Crude_Breakdown]],crudeBD.lkup[Crude Breakdown],0)))^2</f>
        <v>6.6564000000025576</v>
      </c>
      <c r="AL162" s="5">
        <f>(vp.data[[#This Row],[Sulf]]-INDEX(crudeBD.lkup[Mean_Sulf],MATCH(vp.data[[#This Row],[Crude_Breakdown]],crudeBD.lkup[Crude Breakdown],0)))^2</f>
        <v>2.0906809828845806E-2</v>
      </c>
      <c r="AM162" s="4">
        <f>IF(AND(vp.data[[#This Row],[SDate]]&gt;=DATE(YEAR(vp.data[[#This Row],[SDate]]),5,1),vp.data[[#This Row],[SDate]]&lt;=DATE(YEAR(vp.data[[#This Row],[SDate]]),9,15)),1,0)</f>
        <v>0</v>
      </c>
      <c r="AN162" s="4">
        <f>IF(vp.data[[#This Row],[SDate]]&lt;DATE(2016,12,1),0,1)</f>
        <v>0</v>
      </c>
      <c r="AO162" s="4">
        <f>IFERROR(vp.data[[#This Row],[Sulf]]*vp.data[[#This Row],[Net Dens]],"")</f>
        <v>2457562.245255</v>
      </c>
      <c r="AP162">
        <f>IFERROR(vp.data[[#This Row],[Dens]]*vp.data[[#This Row],[VolumeM3]],"")</f>
        <v>1606249.8334999999</v>
      </c>
      <c r="AQ162" s="15">
        <f>IFERROR(vp.data[[#This Row],[VP]]*vp.data[[#This Row],[VolumeM3]],"")</f>
        <v>127892.78060000001</v>
      </c>
    </row>
    <row r="163" spans="1:43" x14ac:dyDescent="0.25">
      <c r="A163">
        <v>162</v>
      </c>
      <c r="B163" t="s">
        <v>51</v>
      </c>
      <c r="C163" t="s">
        <v>51</v>
      </c>
      <c r="D163" t="s">
        <v>66</v>
      </c>
      <c r="F163" s="1">
        <v>42487</v>
      </c>
      <c r="G163" s="2">
        <v>111.6</v>
      </c>
      <c r="H163" s="2"/>
      <c r="I163" s="2">
        <f t="array" ref="I163">_xlfn.IFNA(IF(vp.data[[#This Row],[Sulf Input]]="",INDEX([1]DATA!$Q$3:$Q$9826,MATCH(1,(vp.data[[#This Row],[Battery]]=[1]DATA!$L$3:$L$9826)*(EOMONTH(vp.data[[#This Row],[SDate]],-1)+1=[1]DATA!$G$3:$G$9826),0)),vp.data[[#This Row],[Sulf Input]]),"")</f>
        <v>0.9</v>
      </c>
      <c r="J163" s="2"/>
      <c r="K163" s="2"/>
      <c r="L163" s="2">
        <v>826.7</v>
      </c>
      <c r="M163" s="2">
        <f t="array" ref="M163">_xlfn.IFNA(IF(vp.data[[#This Row],[Dens Input]]="",INDEX([1]DATA!$O$3:$O$9826,MATCH(1,(vp.data[[#This Row],[Battery]]=[1]DATA!$L$3:$L$9826)*(EOMONTH(vp.data[[#This Row],[SDate]],-1)+1=[1]DATA!$G$3:$G$9826),0)),vp.data[[#This Row],[Dens Input]]),"")</f>
        <v>826.7</v>
      </c>
      <c r="N163" s="2">
        <f ca="1">INDEX(INDIRECT(_xlfn.CONCAT("weather.tbl[",N$1,"]")),MATCH(vp.data[[#This Row],[SDate]],weather.tbl[Date],0))</f>
        <v>8.8833333333333329</v>
      </c>
      <c r="O163" s="2">
        <f ca="1">INDEX(INDIRECT(_xlfn.CONCAT("weather.tbl[",O$1,"]")),MATCH(vp.data[[#This Row],[SDate]],weather.tbl[Date],0))</f>
        <v>6.6000000000000005</v>
      </c>
      <c r="P163" s="2">
        <f ca="1">INDEX(INDIRECT(_xlfn.CONCAT("weather.tbl[",P$1,"]")),MATCH(vp.data[[#This Row],[SDate]],weather.tbl[Date],0))</f>
        <v>9.1999999999999993</v>
      </c>
      <c r="Q163" s="2">
        <f ca="1">INDEX(INDIRECT(_xlfn.CONCAT("weather.tbl[",Q$1,"]")),MATCH(vp.data[[#This Row],[SDate]],weather.tbl[Date],0))</f>
        <v>9.5</v>
      </c>
      <c r="R163" s="2">
        <f ca="1">INDEX(INDIRECT(_xlfn.CONCAT("weather.tbl[",R$1,"]")),MATCH(vp.data[[#This Row],[SDate]],weather.tbl[Date],0))</f>
        <v>6.3</v>
      </c>
      <c r="S163" s="2">
        <f ca="1">INDEX(INDIRECT(_xlfn.CONCAT("weather.tbl[",S$1,"]")),MATCH(vp.data[[#This Row],[SDate]],weather.tbl[Date],0))</f>
        <v>10.5</v>
      </c>
      <c r="T163" s="2">
        <f ca="1">INDEX(INDIRECT(_xlfn.CONCAT("weather.tbl[",T$1,"]")),MATCH(vp.data[[#This Row],[SDate]],weather.tbl[Date],0))</f>
        <v>8.5</v>
      </c>
      <c r="U163" s="2">
        <f ca="1">INDEX(INDIRECT(_xlfn.CONCAT("weather.tbl[",U$1,"]")),MATCH(vp.data[[#This Row],[SDate]],weather.tbl[Date],0))</f>
        <v>9.3000000000000007</v>
      </c>
      <c r="V163" s="2">
        <f t="array" ref="V1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3331.0340000000001</v>
      </c>
      <c r="W163" t="s">
        <v>48</v>
      </c>
      <c r="X163">
        <f>IF(OR(vp.data[[#This Row],[Sulf]]="",vp.data[[#This Row],[Dens]]=""),1,0)</f>
        <v>0</v>
      </c>
      <c r="Y163">
        <f>IF(vp.data[[#This Row],[CrudeType]]="C5+",1,0)</f>
        <v>0</v>
      </c>
      <c r="Z163">
        <f>IF(AND(vp.data[[#This Row],[CrudeType]]="Crude",vp.data[[#This Row],[Dens]]&lt;=825,vp.data[[#This Row],[Sulf]]&gt;0.5,vp.data[[#This Row],[Unknown]]=0),1,0)</f>
        <v>0</v>
      </c>
      <c r="AA163">
        <f>IF(AND(vp.data[[#This Row],[CrudeType]]="Crude",vp.data[[#This Row],[Dens]]&lt;=825,vp.data[[#This Row],[Sulf]]&lt;=0.5,vp.data[[#This Row],[Unknown]]=0),1,0)</f>
        <v>0</v>
      </c>
      <c r="AB1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63">
        <f>IF(AND(vp.data[[#This Row],[CrudeType]]="Crude",vp.data[[#This Row],[Dens]]&gt;825,vp.data[[#This Row],[Dens]]&lt;=900,vp.data[[#This Row],[Sulf]]&lt;=0.5,vp.data[[#This Row],[Unknown]]=0),1,0)</f>
        <v>0</v>
      </c>
      <c r="AD163">
        <f>IF(AND(vp.data[[#This Row],[CrudeType]]="Crude",vp.data[[#This Row],[Dens]]&gt;865,vp.data[[#This Row],[Dens]]&lt;=900,vp.data[[#This Row],[Sulf]]&gt;2,vp.data[[#This Row],[Unknown]]=0),1,0)</f>
        <v>0</v>
      </c>
      <c r="AE163">
        <f>IF(AND(vp.data[[#This Row],[CrudeType]]="Crude",vp.data[[#This Row],[Dens]]&gt;900,vp.data[[#This Row],[Sulf]]&lt;=0.5,vp.data[[#This Row],[Unknown]]=0),1,0)</f>
        <v>0</v>
      </c>
      <c r="AF163">
        <f>IF(AND(vp.data[[#This Row],[CrudeType]]="Crude",vp.data[[#This Row],[Dens]]&gt;900,vp.data[[#This Row],[Sulf]]&lt;=0.5,vp.data[[#This Row],[Unknown]]=0),1,0)</f>
        <v>0</v>
      </c>
      <c r="AG163" t="str">
        <f>INDEX(vp.data[[#Headers],[Unknown]:[Heavy_SW]],MATCH(1,vp.data[[#This Row],[Unknown]:[Heavy_SW]],0))</f>
        <v>Medium_LSB</v>
      </c>
      <c r="AH163">
        <f>INDEX([3]!crudeBD.lkup[Number],MATCH(vp.data[[#This Row],[Crude_Breakdown]],crudeBD.lkup[Crude Breakdown],0))</f>
        <v>3</v>
      </c>
      <c r="AI163">
        <f>MONTH(vp.data[[#This Row],[SDate]])</f>
        <v>4</v>
      </c>
      <c r="AJ163" s="5">
        <f>(vp.data[[#This Row],[VP]]-INDEX(crudeBD.lkup[Mean_VP],MATCH(vp.data[[#This Row],[Crude_Breakdown]],crudeBD.lkup[Crude Breakdown],0)))^2</f>
        <v>958.54162813696905</v>
      </c>
      <c r="AK163" s="5">
        <f>(vp.data[[#This Row],[Dens]]-INDEX(crudeBD.lkup[Mean_Dens],MATCH(vp.data[[#This Row],[Crude_Breakdown]],crudeBD.lkup[Crude Breakdown],0)))^2</f>
        <v>296.52839999998139</v>
      </c>
      <c r="AL163" s="5">
        <f>(vp.data[[#This Row],[Sulf]]-INDEX(crudeBD.lkup[Mean_Sulf],MATCH(vp.data[[#This Row],[Crude_Breakdown]],crudeBD.lkup[Crude Breakdown],0)))^2</f>
        <v>0.23562104945148921</v>
      </c>
      <c r="AM163" s="4">
        <f>IF(AND(vp.data[[#This Row],[SDate]]&gt;=DATE(YEAR(vp.data[[#This Row],[SDate]]),5,1),vp.data[[#This Row],[SDate]]&lt;=DATE(YEAR(vp.data[[#This Row],[SDate]]),9,15)),1,0)</f>
        <v>0</v>
      </c>
      <c r="AN163" s="4">
        <f>IF(vp.data[[#This Row],[SDate]]&lt;DATE(2016,12,1),0,1)</f>
        <v>0</v>
      </c>
      <c r="AO163" s="4">
        <f>IFERROR(vp.data[[#This Row],[Sulf]]*vp.data[[#This Row],[Net Dens]],"")</f>
        <v>2478389.2270200001</v>
      </c>
      <c r="AP163">
        <f>IFERROR(vp.data[[#This Row],[Dens]]*vp.data[[#This Row],[VolumeM3]],"")</f>
        <v>2753765.8078000001</v>
      </c>
      <c r="AQ163" s="15">
        <f>IFERROR(vp.data[[#This Row],[VP]]*vp.data[[#This Row],[VolumeM3]],"")</f>
        <v>371743.39439999999</v>
      </c>
    </row>
    <row r="164" spans="1:43" x14ac:dyDescent="0.25">
      <c r="A164">
        <v>163</v>
      </c>
      <c r="B164" t="s">
        <v>49</v>
      </c>
      <c r="C164" t="s">
        <v>49</v>
      </c>
      <c r="D164" t="s">
        <v>50</v>
      </c>
      <c r="F164" s="1">
        <v>42487</v>
      </c>
      <c r="G164" s="2">
        <v>73.900000000000006</v>
      </c>
      <c r="H164" s="2"/>
      <c r="I164" s="2">
        <f t="array" ref="I164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64" s="2"/>
      <c r="K164" s="2"/>
      <c r="L164" s="2">
        <v>877</v>
      </c>
      <c r="M164" s="2">
        <f t="array" ref="M164">_xlfn.IFNA(IF(vp.data[[#This Row],[Dens Input]]="",INDEX([1]DATA!$O$3:$O$9826,MATCH(1,(vp.data[[#This Row],[Battery]]=[1]DATA!$L$3:$L$9826)*(EOMONTH(vp.data[[#This Row],[SDate]],-1)+1=[1]DATA!$G$3:$G$9826),0)),vp.data[[#This Row],[Dens Input]]),"")</f>
        <v>877</v>
      </c>
      <c r="N164" s="2">
        <f ca="1">INDEX(INDIRECT(_xlfn.CONCAT("weather.tbl[",N$1,"]")),MATCH(vp.data[[#This Row],[SDate]],weather.tbl[Date],0))</f>
        <v>8.8833333333333329</v>
      </c>
      <c r="O164" s="2">
        <f ca="1">INDEX(INDIRECT(_xlfn.CONCAT("weather.tbl[",O$1,"]")),MATCH(vp.data[[#This Row],[SDate]],weather.tbl[Date],0))</f>
        <v>6.6000000000000005</v>
      </c>
      <c r="P164" s="2">
        <f ca="1">INDEX(INDIRECT(_xlfn.CONCAT("weather.tbl[",P$1,"]")),MATCH(vp.data[[#This Row],[SDate]],weather.tbl[Date],0))</f>
        <v>9.1999999999999993</v>
      </c>
      <c r="Q164" s="2">
        <f ca="1">INDEX(INDIRECT(_xlfn.CONCAT("weather.tbl[",Q$1,"]")),MATCH(vp.data[[#This Row],[SDate]],weather.tbl[Date],0))</f>
        <v>9.5</v>
      </c>
      <c r="R164" s="2">
        <f ca="1">INDEX(INDIRECT(_xlfn.CONCAT("weather.tbl[",R$1,"]")),MATCH(vp.data[[#This Row],[SDate]],weather.tbl[Date],0))</f>
        <v>6.3</v>
      </c>
      <c r="S164" s="2">
        <f ca="1">INDEX(INDIRECT(_xlfn.CONCAT("weather.tbl[",S$1,"]")),MATCH(vp.data[[#This Row],[SDate]],weather.tbl[Date],0))</f>
        <v>10.5</v>
      </c>
      <c r="T164" s="2">
        <f ca="1">INDEX(INDIRECT(_xlfn.CONCAT("weather.tbl[",T$1,"]")),MATCH(vp.data[[#This Row],[SDate]],weather.tbl[Date],0))</f>
        <v>8.5</v>
      </c>
      <c r="U164" s="2">
        <f ca="1">INDEX(INDIRECT(_xlfn.CONCAT("weather.tbl[",U$1,"]")),MATCH(vp.data[[#This Row],[SDate]],weather.tbl[Date],0))</f>
        <v>9.3000000000000007</v>
      </c>
      <c r="V164" s="2">
        <f t="array" ref="V1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8132.3109999999997</v>
      </c>
      <c r="W164" t="s">
        <v>48</v>
      </c>
      <c r="X164">
        <f>IF(OR(vp.data[[#This Row],[Sulf]]="",vp.data[[#This Row],[Dens]]=""),1,0)</f>
        <v>0</v>
      </c>
      <c r="Y164">
        <f>IF(vp.data[[#This Row],[CrudeType]]="C5+",1,0)</f>
        <v>0</v>
      </c>
      <c r="Z164">
        <f>IF(AND(vp.data[[#This Row],[CrudeType]]="Crude",vp.data[[#This Row],[Dens]]&lt;=825,vp.data[[#This Row],[Sulf]]&gt;0.5,vp.data[[#This Row],[Unknown]]=0),1,0)</f>
        <v>0</v>
      </c>
      <c r="AA164">
        <f>IF(AND(vp.data[[#This Row],[CrudeType]]="Crude",vp.data[[#This Row],[Dens]]&lt;=825,vp.data[[#This Row],[Sulf]]&lt;=0.5,vp.data[[#This Row],[Unknown]]=0),1,0)</f>
        <v>0</v>
      </c>
      <c r="AB1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">
        <f>IF(AND(vp.data[[#This Row],[CrudeType]]="Crude",vp.data[[#This Row],[Dens]]&gt;825,vp.data[[#This Row],[Dens]]&lt;=900,vp.data[[#This Row],[Sulf]]&lt;=0.5,vp.data[[#This Row],[Unknown]]=0),1,0)</f>
        <v>0</v>
      </c>
      <c r="AD164">
        <f>IF(AND(vp.data[[#This Row],[CrudeType]]="Crude",vp.data[[#This Row],[Dens]]&gt;865,vp.data[[#This Row],[Dens]]&lt;=900,vp.data[[#This Row],[Sulf]]&gt;2,vp.data[[#This Row],[Unknown]]=0),1,0)</f>
        <v>1</v>
      </c>
      <c r="AE164">
        <f>IF(AND(vp.data[[#This Row],[CrudeType]]="Crude",vp.data[[#This Row],[Dens]]&gt;900,vp.data[[#This Row],[Sulf]]&lt;=0.5,vp.data[[#This Row],[Unknown]]=0),1,0)</f>
        <v>0</v>
      </c>
      <c r="AF164">
        <f>IF(AND(vp.data[[#This Row],[CrudeType]]="Crude",vp.data[[#This Row],[Dens]]&gt;900,vp.data[[#This Row],[Sulf]]&lt;=0.5,vp.data[[#This Row],[Unknown]]=0),1,0)</f>
        <v>0</v>
      </c>
      <c r="AG164" t="str">
        <f>INDEX(vp.data[[#Headers],[Unknown]:[Heavy_SW]],MATCH(1,vp.data[[#This Row],[Unknown]:[Heavy_SW]],0))</f>
        <v>Midale</v>
      </c>
      <c r="AH164">
        <f>INDEX([3]!crudeBD.lkup[Number],MATCH(vp.data[[#This Row],[Crude_Breakdown]],crudeBD.lkup[Crude Breakdown],0))</f>
        <v>5</v>
      </c>
      <c r="AI164">
        <f>MONTH(vp.data[[#This Row],[SDate]])</f>
        <v>4</v>
      </c>
      <c r="AJ164" s="5">
        <f>(vp.data[[#This Row],[VP]]-INDEX(crudeBD.lkup[Mean_VP],MATCH(vp.data[[#This Row],[Crude_Breakdown]],crudeBD.lkup[Crude Breakdown],0)))^2</f>
        <v>20.171210808799852</v>
      </c>
      <c r="AK164" s="5">
        <f>(vp.data[[#This Row],[Dens]]-INDEX(crudeBD.lkup[Mean_Dens],MATCH(vp.data[[#This Row],[Crude_Breakdown]],crudeBD.lkup[Crude Breakdown],0)))^2</f>
        <v>4.7654439897956626</v>
      </c>
      <c r="AL164" s="5">
        <f>(vp.data[[#This Row],[Sulf]]-INDEX(crudeBD.lkup[Mean_Sulf],MATCH(vp.data[[#This Row],[Crude_Breakdown]],crudeBD.lkup[Crude Breakdown],0)))^2</f>
        <v>2.1428402221713612E-2</v>
      </c>
      <c r="AM164" s="4">
        <f>IF(AND(vp.data[[#This Row],[SDate]]&gt;=DATE(YEAR(vp.data[[#This Row],[SDate]]),5,1),vp.data[[#This Row],[SDate]]&lt;=DATE(YEAR(vp.data[[#This Row],[SDate]]),9,15)),1,0)</f>
        <v>0</v>
      </c>
      <c r="AN164" s="4">
        <f>IF(vp.data[[#This Row],[SDate]]&lt;DATE(2016,12,1),0,1)</f>
        <v>0</v>
      </c>
      <c r="AO164" s="4">
        <f>IFERROR(vp.data[[#This Row],[Sulf]]*vp.data[[#This Row],[Net Dens]],"")</f>
        <v>18471975.174729999</v>
      </c>
      <c r="AP164">
        <f>IFERROR(vp.data[[#This Row],[Dens]]*vp.data[[#This Row],[VolumeM3]],"")</f>
        <v>7132036.7469999995</v>
      </c>
      <c r="AQ164" s="15">
        <f>IFERROR(vp.data[[#This Row],[VP]]*vp.data[[#This Row],[VolumeM3]],"")</f>
        <v>600977.78289999999</v>
      </c>
    </row>
    <row r="165" spans="1:43" x14ac:dyDescent="0.25">
      <c r="A165">
        <v>164</v>
      </c>
      <c r="B165" t="s">
        <v>49</v>
      </c>
      <c r="C165" t="s">
        <v>49</v>
      </c>
      <c r="D165" t="s">
        <v>50</v>
      </c>
      <c r="F165" s="1">
        <v>42487</v>
      </c>
      <c r="G165" s="2">
        <v>67.8</v>
      </c>
      <c r="H165" s="2"/>
      <c r="I165" s="2">
        <f t="array" ref="I165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65" s="2"/>
      <c r="K165" s="2"/>
      <c r="L165" s="2">
        <v>877</v>
      </c>
      <c r="M165" s="2">
        <f t="array" ref="M165">_xlfn.IFNA(IF(vp.data[[#This Row],[Dens Input]]="",INDEX([1]DATA!$O$3:$O$9826,MATCH(1,(vp.data[[#This Row],[Battery]]=[1]DATA!$L$3:$L$9826)*(EOMONTH(vp.data[[#This Row],[SDate]],-1)+1=[1]DATA!$G$3:$G$9826),0)),vp.data[[#This Row],[Dens Input]]),"")</f>
        <v>877</v>
      </c>
      <c r="N165" s="2">
        <f ca="1">INDEX(INDIRECT(_xlfn.CONCAT("weather.tbl[",N$1,"]")),MATCH(vp.data[[#This Row],[SDate]],weather.tbl[Date],0))</f>
        <v>8.8833333333333329</v>
      </c>
      <c r="O165" s="2">
        <f ca="1">INDEX(INDIRECT(_xlfn.CONCAT("weather.tbl[",O$1,"]")),MATCH(vp.data[[#This Row],[SDate]],weather.tbl[Date],0))</f>
        <v>6.6000000000000005</v>
      </c>
      <c r="P165" s="2">
        <f ca="1">INDEX(INDIRECT(_xlfn.CONCAT("weather.tbl[",P$1,"]")),MATCH(vp.data[[#This Row],[SDate]],weather.tbl[Date],0))</f>
        <v>9.1999999999999993</v>
      </c>
      <c r="Q165" s="2">
        <f ca="1">INDEX(INDIRECT(_xlfn.CONCAT("weather.tbl[",Q$1,"]")),MATCH(vp.data[[#This Row],[SDate]],weather.tbl[Date],0))</f>
        <v>9.5</v>
      </c>
      <c r="R165" s="2">
        <f ca="1">INDEX(INDIRECT(_xlfn.CONCAT("weather.tbl[",R$1,"]")),MATCH(vp.data[[#This Row],[SDate]],weather.tbl[Date],0))</f>
        <v>6.3</v>
      </c>
      <c r="S165" s="2">
        <f ca="1">INDEX(INDIRECT(_xlfn.CONCAT("weather.tbl[",S$1,"]")),MATCH(vp.data[[#This Row],[SDate]],weather.tbl[Date],0))</f>
        <v>10.5</v>
      </c>
      <c r="T165" s="2">
        <f ca="1">INDEX(INDIRECT(_xlfn.CONCAT("weather.tbl[",T$1,"]")),MATCH(vp.data[[#This Row],[SDate]],weather.tbl[Date],0))</f>
        <v>8.5</v>
      </c>
      <c r="U165" s="2">
        <f ca="1">INDEX(INDIRECT(_xlfn.CONCAT("weather.tbl[",U$1,"]")),MATCH(vp.data[[#This Row],[SDate]],weather.tbl[Date],0))</f>
        <v>9.3000000000000007</v>
      </c>
      <c r="V165" s="2">
        <f t="array" ref="V1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8132.3109999999997</v>
      </c>
      <c r="W165" t="s">
        <v>48</v>
      </c>
      <c r="X165">
        <f>IF(OR(vp.data[[#This Row],[Sulf]]="",vp.data[[#This Row],[Dens]]=""),1,0)</f>
        <v>0</v>
      </c>
      <c r="Y165">
        <f>IF(vp.data[[#This Row],[CrudeType]]="C5+",1,0)</f>
        <v>0</v>
      </c>
      <c r="Z165">
        <f>IF(AND(vp.data[[#This Row],[CrudeType]]="Crude",vp.data[[#This Row],[Dens]]&lt;=825,vp.data[[#This Row],[Sulf]]&gt;0.5,vp.data[[#This Row],[Unknown]]=0),1,0)</f>
        <v>0</v>
      </c>
      <c r="AA165">
        <f>IF(AND(vp.data[[#This Row],[CrudeType]]="Crude",vp.data[[#This Row],[Dens]]&lt;=825,vp.data[[#This Row],[Sulf]]&lt;=0.5,vp.data[[#This Row],[Unknown]]=0),1,0)</f>
        <v>0</v>
      </c>
      <c r="AB1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">
        <f>IF(AND(vp.data[[#This Row],[CrudeType]]="Crude",vp.data[[#This Row],[Dens]]&gt;825,vp.data[[#This Row],[Dens]]&lt;=900,vp.data[[#This Row],[Sulf]]&lt;=0.5,vp.data[[#This Row],[Unknown]]=0),1,0)</f>
        <v>0</v>
      </c>
      <c r="AD165">
        <f>IF(AND(vp.data[[#This Row],[CrudeType]]="Crude",vp.data[[#This Row],[Dens]]&gt;865,vp.data[[#This Row],[Dens]]&lt;=900,vp.data[[#This Row],[Sulf]]&gt;2,vp.data[[#This Row],[Unknown]]=0),1,0)</f>
        <v>1</v>
      </c>
      <c r="AE165">
        <f>IF(AND(vp.data[[#This Row],[CrudeType]]="Crude",vp.data[[#This Row],[Dens]]&gt;900,vp.data[[#This Row],[Sulf]]&lt;=0.5,vp.data[[#This Row],[Unknown]]=0),1,0)</f>
        <v>0</v>
      </c>
      <c r="AF165">
        <f>IF(AND(vp.data[[#This Row],[CrudeType]]="Crude",vp.data[[#This Row],[Dens]]&gt;900,vp.data[[#This Row],[Sulf]]&lt;=0.5,vp.data[[#This Row],[Unknown]]=0),1,0)</f>
        <v>0</v>
      </c>
      <c r="AG165" t="str">
        <f>INDEX(vp.data[[#Headers],[Unknown]:[Heavy_SW]],MATCH(1,vp.data[[#This Row],[Unknown]:[Heavy_SW]],0))</f>
        <v>Midale</v>
      </c>
      <c r="AH165">
        <f>INDEX([3]!crudeBD.lkup[Number],MATCH(vp.data[[#This Row],[Crude_Breakdown]],crudeBD.lkup[Crude Breakdown],0))</f>
        <v>5</v>
      </c>
      <c r="AI165">
        <f>MONTH(vp.data[[#This Row],[SDate]])</f>
        <v>4</v>
      </c>
      <c r="AJ165" s="5">
        <f>(vp.data[[#This Row],[VP]]-INDEX(crudeBD.lkup[Mean_VP],MATCH(vp.data[[#This Row],[Crude_Breakdown]],crudeBD.lkup[Crude Breakdown],0)))^2</f>
        <v>2.5881180252950404</v>
      </c>
      <c r="AK165" s="5">
        <f>(vp.data[[#This Row],[Dens]]-INDEX(crudeBD.lkup[Mean_Dens],MATCH(vp.data[[#This Row],[Crude_Breakdown]],crudeBD.lkup[Crude Breakdown],0)))^2</f>
        <v>4.7654439897956626</v>
      </c>
      <c r="AL165" s="5">
        <f>(vp.data[[#This Row],[Sulf]]-INDEX(crudeBD.lkup[Mean_Sulf],MATCH(vp.data[[#This Row],[Crude_Breakdown]],crudeBD.lkup[Crude Breakdown],0)))^2</f>
        <v>2.1428402221713612E-2</v>
      </c>
      <c r="AM165" s="4">
        <f>IF(AND(vp.data[[#This Row],[SDate]]&gt;=DATE(YEAR(vp.data[[#This Row],[SDate]]),5,1),vp.data[[#This Row],[SDate]]&lt;=DATE(YEAR(vp.data[[#This Row],[SDate]]),9,15)),1,0)</f>
        <v>0</v>
      </c>
      <c r="AN165" s="4">
        <f>IF(vp.data[[#This Row],[SDate]]&lt;DATE(2016,12,1),0,1)</f>
        <v>0</v>
      </c>
      <c r="AO165" s="4">
        <f>IFERROR(vp.data[[#This Row],[Sulf]]*vp.data[[#This Row],[Net Dens]],"")</f>
        <v>18471975.174729999</v>
      </c>
      <c r="AP165">
        <f>IFERROR(vp.data[[#This Row],[Dens]]*vp.data[[#This Row],[VolumeM3]],"")</f>
        <v>7132036.7469999995</v>
      </c>
      <c r="AQ165" s="15">
        <f>IFERROR(vp.data[[#This Row],[VP]]*vp.data[[#This Row],[VolumeM3]],"")</f>
        <v>551370.68579999998</v>
      </c>
    </row>
    <row r="166" spans="1:43" x14ac:dyDescent="0.25">
      <c r="A166">
        <v>165</v>
      </c>
      <c r="B166" t="s">
        <v>49</v>
      </c>
      <c r="C166" t="s">
        <v>49</v>
      </c>
      <c r="D166" t="s">
        <v>86</v>
      </c>
      <c r="F166" s="1">
        <v>42487</v>
      </c>
      <c r="G166" s="2">
        <v>115.4</v>
      </c>
      <c r="H166" s="2"/>
      <c r="I166" s="2">
        <f t="array" ref="I166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166" s="2"/>
      <c r="K166" s="2"/>
      <c r="L166" s="2">
        <v>888.3</v>
      </c>
      <c r="M166" s="2">
        <f t="array" ref="M166">_xlfn.IFNA(IF(vp.data[[#This Row],[Dens Input]]="",INDEX([1]DATA!$O$3:$O$9826,MATCH(1,(vp.data[[#This Row],[Battery]]=[1]DATA!$L$3:$L$9826)*(EOMONTH(vp.data[[#This Row],[SDate]],-1)+1=[1]DATA!$G$3:$G$9826),0)),vp.data[[#This Row],[Dens Input]]),"")</f>
        <v>888.3</v>
      </c>
      <c r="N166" s="2">
        <f ca="1">INDEX(INDIRECT(_xlfn.CONCAT("weather.tbl[",N$1,"]")),MATCH(vp.data[[#This Row],[SDate]],weather.tbl[Date],0))</f>
        <v>8.8833333333333329</v>
      </c>
      <c r="O166" s="2">
        <f ca="1">INDEX(INDIRECT(_xlfn.CONCAT("weather.tbl[",O$1,"]")),MATCH(vp.data[[#This Row],[SDate]],weather.tbl[Date],0))</f>
        <v>6.6000000000000005</v>
      </c>
      <c r="P166" s="2">
        <f ca="1">INDEX(INDIRECT(_xlfn.CONCAT("weather.tbl[",P$1,"]")),MATCH(vp.data[[#This Row],[SDate]],weather.tbl[Date],0))</f>
        <v>9.1999999999999993</v>
      </c>
      <c r="Q166" s="2">
        <f ca="1">INDEX(INDIRECT(_xlfn.CONCAT("weather.tbl[",Q$1,"]")),MATCH(vp.data[[#This Row],[SDate]],weather.tbl[Date],0))</f>
        <v>9.5</v>
      </c>
      <c r="R166" s="2">
        <f ca="1">INDEX(INDIRECT(_xlfn.CONCAT("weather.tbl[",R$1,"]")),MATCH(vp.data[[#This Row],[SDate]],weather.tbl[Date],0))</f>
        <v>6.3</v>
      </c>
      <c r="S166" s="2">
        <f ca="1">INDEX(INDIRECT(_xlfn.CONCAT("weather.tbl[",S$1,"]")),MATCH(vp.data[[#This Row],[SDate]],weather.tbl[Date],0))</f>
        <v>10.5</v>
      </c>
      <c r="T166" s="2">
        <f ca="1">INDEX(INDIRECT(_xlfn.CONCAT("weather.tbl[",T$1,"]")),MATCH(vp.data[[#This Row],[SDate]],weather.tbl[Date],0))</f>
        <v>8.5</v>
      </c>
      <c r="U166" s="2">
        <f ca="1">INDEX(INDIRECT(_xlfn.CONCAT("weather.tbl[",U$1,"]")),MATCH(vp.data[[#This Row],[SDate]],weather.tbl[Date],0))</f>
        <v>9.3000000000000007</v>
      </c>
      <c r="V166" s="2">
        <f t="array" ref="V1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5790.9930000000004</v>
      </c>
      <c r="W166" t="s">
        <v>48</v>
      </c>
      <c r="X166">
        <f>IF(OR(vp.data[[#This Row],[Sulf]]="",vp.data[[#This Row],[Dens]]=""),1,0)</f>
        <v>0</v>
      </c>
      <c r="Y166">
        <f>IF(vp.data[[#This Row],[CrudeType]]="C5+",1,0)</f>
        <v>0</v>
      </c>
      <c r="Z166">
        <f>IF(AND(vp.data[[#This Row],[CrudeType]]="Crude",vp.data[[#This Row],[Dens]]&lt;=825,vp.data[[#This Row],[Sulf]]&gt;0.5,vp.data[[#This Row],[Unknown]]=0),1,0)</f>
        <v>0</v>
      </c>
      <c r="AA166">
        <f>IF(AND(vp.data[[#This Row],[CrudeType]]="Crude",vp.data[[#This Row],[Dens]]&lt;=825,vp.data[[#This Row],[Sulf]]&lt;=0.5,vp.data[[#This Row],[Unknown]]=0),1,0)</f>
        <v>0</v>
      </c>
      <c r="AB1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">
        <f>IF(AND(vp.data[[#This Row],[CrudeType]]="Crude",vp.data[[#This Row],[Dens]]&gt;825,vp.data[[#This Row],[Dens]]&lt;=900,vp.data[[#This Row],[Sulf]]&lt;=0.5,vp.data[[#This Row],[Unknown]]=0),1,0)</f>
        <v>0</v>
      </c>
      <c r="AD166">
        <f>IF(AND(vp.data[[#This Row],[CrudeType]]="Crude",vp.data[[#This Row],[Dens]]&gt;865,vp.data[[#This Row],[Dens]]&lt;=900,vp.data[[#This Row],[Sulf]]&gt;2,vp.data[[#This Row],[Unknown]]=0),1,0)</f>
        <v>1</v>
      </c>
      <c r="AE166">
        <f>IF(AND(vp.data[[#This Row],[CrudeType]]="Crude",vp.data[[#This Row],[Dens]]&gt;900,vp.data[[#This Row],[Sulf]]&lt;=0.5,vp.data[[#This Row],[Unknown]]=0),1,0)</f>
        <v>0</v>
      </c>
      <c r="AF166">
        <f>IF(AND(vp.data[[#This Row],[CrudeType]]="Crude",vp.data[[#This Row],[Dens]]&gt;900,vp.data[[#This Row],[Sulf]]&lt;=0.5,vp.data[[#This Row],[Unknown]]=0),1,0)</f>
        <v>0</v>
      </c>
      <c r="AG166" t="str">
        <f>INDEX(vp.data[[#Headers],[Unknown]:[Heavy_SW]],MATCH(1,vp.data[[#This Row],[Unknown]:[Heavy_SW]],0))</f>
        <v>Midale</v>
      </c>
      <c r="AH166">
        <f>INDEX([3]!crudeBD.lkup[Number],MATCH(vp.data[[#This Row],[Crude_Breakdown]],crudeBD.lkup[Crude Breakdown],0))</f>
        <v>5</v>
      </c>
      <c r="AI166">
        <f>MONTH(vp.data[[#This Row],[SDate]])</f>
        <v>4</v>
      </c>
      <c r="AJ166" s="5">
        <f>(vp.data[[#This Row],[VP]]-INDEX(crudeBD.lkup[Mean_VP],MATCH(vp.data[[#This Row],[Crude_Breakdown]],crudeBD.lkup[Crude Breakdown],0)))^2</f>
        <v>2115.193891221169</v>
      </c>
      <c r="AK166" s="5">
        <f>(vp.data[[#This Row],[Dens]]-INDEX(crudeBD.lkup[Mean_Dens],MATCH(vp.data[[#This Row],[Crude_Breakdown]],crudeBD.lkup[Crude Breakdown],0)))^2</f>
        <v>181.79101100009677</v>
      </c>
      <c r="AL166" s="5">
        <f>(vp.data[[#This Row],[Sulf]]-INDEX(crudeBD.lkup[Mean_Sulf],MATCH(vp.data[[#This Row],[Crude_Breakdown]],crudeBD.lkup[Crude Breakdown],0)))^2</f>
        <v>0.12700986407738421</v>
      </c>
      <c r="AM166" s="4">
        <f>IF(AND(vp.data[[#This Row],[SDate]]&gt;=DATE(YEAR(vp.data[[#This Row],[SDate]]),5,1),vp.data[[#This Row],[SDate]]&lt;=DATE(YEAR(vp.data[[#This Row],[SDate]]),9,15)),1,0)</f>
        <v>0</v>
      </c>
      <c r="AN166" s="4">
        <f>IF(vp.data[[#This Row],[SDate]]&lt;DATE(2016,12,1),0,1)</f>
        <v>0</v>
      </c>
      <c r="AO166" s="4">
        <f>IFERROR(vp.data[[#This Row],[Sulf]]*vp.data[[#This Row],[Net Dens]],"")</f>
        <v>14403589.429319998</v>
      </c>
      <c r="AP166">
        <f>IFERROR(vp.data[[#This Row],[Dens]]*vp.data[[#This Row],[VolumeM3]],"")</f>
        <v>5144139.0818999996</v>
      </c>
      <c r="AQ166" s="15">
        <f>IFERROR(vp.data[[#This Row],[VP]]*vp.data[[#This Row],[VolumeM3]],"")</f>
        <v>668280.59220000007</v>
      </c>
    </row>
    <row r="167" spans="1:43" x14ac:dyDescent="0.25">
      <c r="A167">
        <v>166</v>
      </c>
      <c r="B167" t="s">
        <v>49</v>
      </c>
      <c r="C167" t="s">
        <v>49</v>
      </c>
      <c r="D167" t="s">
        <v>86</v>
      </c>
      <c r="F167" s="1">
        <v>42487</v>
      </c>
      <c r="G167" s="2">
        <v>81.2</v>
      </c>
      <c r="H167" s="2"/>
      <c r="I167" s="2">
        <f t="array" ref="I167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167" s="2"/>
      <c r="K167" s="2"/>
      <c r="L167" s="2">
        <v>888.3</v>
      </c>
      <c r="M167" s="2">
        <f t="array" ref="M167">_xlfn.IFNA(IF(vp.data[[#This Row],[Dens Input]]="",INDEX([1]DATA!$O$3:$O$9826,MATCH(1,(vp.data[[#This Row],[Battery]]=[1]DATA!$L$3:$L$9826)*(EOMONTH(vp.data[[#This Row],[SDate]],-1)+1=[1]DATA!$G$3:$G$9826),0)),vp.data[[#This Row],[Dens Input]]),"")</f>
        <v>888.3</v>
      </c>
      <c r="N167" s="2">
        <f ca="1">INDEX(INDIRECT(_xlfn.CONCAT("weather.tbl[",N$1,"]")),MATCH(vp.data[[#This Row],[SDate]],weather.tbl[Date],0))</f>
        <v>8.8833333333333329</v>
      </c>
      <c r="O167" s="2">
        <f ca="1">INDEX(INDIRECT(_xlfn.CONCAT("weather.tbl[",O$1,"]")),MATCH(vp.data[[#This Row],[SDate]],weather.tbl[Date],0))</f>
        <v>6.6000000000000005</v>
      </c>
      <c r="P167" s="2">
        <f ca="1">INDEX(INDIRECT(_xlfn.CONCAT("weather.tbl[",P$1,"]")),MATCH(vp.data[[#This Row],[SDate]],weather.tbl[Date],0))</f>
        <v>9.1999999999999993</v>
      </c>
      <c r="Q167" s="2">
        <f ca="1">INDEX(INDIRECT(_xlfn.CONCAT("weather.tbl[",Q$1,"]")),MATCH(vp.data[[#This Row],[SDate]],weather.tbl[Date],0))</f>
        <v>9.5</v>
      </c>
      <c r="R167" s="2">
        <f ca="1">INDEX(INDIRECT(_xlfn.CONCAT("weather.tbl[",R$1,"]")),MATCH(vp.data[[#This Row],[SDate]],weather.tbl[Date],0))</f>
        <v>6.3</v>
      </c>
      <c r="S167" s="2">
        <f ca="1">INDEX(INDIRECT(_xlfn.CONCAT("weather.tbl[",S$1,"]")),MATCH(vp.data[[#This Row],[SDate]],weather.tbl[Date],0))</f>
        <v>10.5</v>
      </c>
      <c r="T167" s="2">
        <f ca="1">INDEX(INDIRECT(_xlfn.CONCAT("weather.tbl[",T$1,"]")),MATCH(vp.data[[#This Row],[SDate]],weather.tbl[Date],0))</f>
        <v>8.5</v>
      </c>
      <c r="U167" s="2">
        <f ca="1">INDEX(INDIRECT(_xlfn.CONCAT("weather.tbl[",U$1,"]")),MATCH(vp.data[[#This Row],[SDate]],weather.tbl[Date],0))</f>
        <v>9.3000000000000007</v>
      </c>
      <c r="V167" s="2">
        <f t="array" ref="V1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5790.9930000000004</v>
      </c>
      <c r="W167" t="s">
        <v>48</v>
      </c>
      <c r="X167">
        <f>IF(OR(vp.data[[#This Row],[Sulf]]="",vp.data[[#This Row],[Dens]]=""),1,0)</f>
        <v>0</v>
      </c>
      <c r="Y167">
        <f>IF(vp.data[[#This Row],[CrudeType]]="C5+",1,0)</f>
        <v>0</v>
      </c>
      <c r="Z167">
        <f>IF(AND(vp.data[[#This Row],[CrudeType]]="Crude",vp.data[[#This Row],[Dens]]&lt;=825,vp.data[[#This Row],[Sulf]]&gt;0.5,vp.data[[#This Row],[Unknown]]=0),1,0)</f>
        <v>0</v>
      </c>
      <c r="AA167">
        <f>IF(AND(vp.data[[#This Row],[CrudeType]]="Crude",vp.data[[#This Row],[Dens]]&lt;=825,vp.data[[#This Row],[Sulf]]&lt;=0.5,vp.data[[#This Row],[Unknown]]=0),1,0)</f>
        <v>0</v>
      </c>
      <c r="AB1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">
        <f>IF(AND(vp.data[[#This Row],[CrudeType]]="Crude",vp.data[[#This Row],[Dens]]&gt;825,vp.data[[#This Row],[Dens]]&lt;=900,vp.data[[#This Row],[Sulf]]&lt;=0.5,vp.data[[#This Row],[Unknown]]=0),1,0)</f>
        <v>0</v>
      </c>
      <c r="AD167">
        <f>IF(AND(vp.data[[#This Row],[CrudeType]]="Crude",vp.data[[#This Row],[Dens]]&gt;865,vp.data[[#This Row],[Dens]]&lt;=900,vp.data[[#This Row],[Sulf]]&gt;2,vp.data[[#This Row],[Unknown]]=0),1,0)</f>
        <v>1</v>
      </c>
      <c r="AE167">
        <f>IF(AND(vp.data[[#This Row],[CrudeType]]="Crude",vp.data[[#This Row],[Dens]]&gt;900,vp.data[[#This Row],[Sulf]]&lt;=0.5,vp.data[[#This Row],[Unknown]]=0),1,0)</f>
        <v>0</v>
      </c>
      <c r="AF167">
        <f>IF(AND(vp.data[[#This Row],[CrudeType]]="Crude",vp.data[[#This Row],[Dens]]&gt;900,vp.data[[#This Row],[Sulf]]&lt;=0.5,vp.data[[#This Row],[Unknown]]=0),1,0)</f>
        <v>0</v>
      </c>
      <c r="AG167" t="str">
        <f>INDEX(vp.data[[#Headers],[Unknown]:[Heavy_SW]],MATCH(1,vp.data[[#This Row],[Unknown]:[Heavy_SW]],0))</f>
        <v>Midale</v>
      </c>
      <c r="AH167">
        <f>INDEX([3]!crudeBD.lkup[Number],MATCH(vp.data[[#This Row],[Crude_Breakdown]],crudeBD.lkup[Crude Breakdown],0))</f>
        <v>5</v>
      </c>
      <c r="AI167">
        <f>MONTH(vp.data[[#This Row],[SDate]])</f>
        <v>4</v>
      </c>
      <c r="AJ167" s="5">
        <f>(vp.data[[#This Row],[VP]]-INDEX(crudeBD.lkup[Mean_VP],MATCH(vp.data[[#This Row],[Crude_Breakdown]],crudeBD.lkup[Crude Breakdown],0)))^2</f>
        <v>139.03327266446951</v>
      </c>
      <c r="AK167" s="5">
        <f>(vp.data[[#This Row],[Dens]]-INDEX(crudeBD.lkup[Mean_Dens],MATCH(vp.data[[#This Row],[Crude_Breakdown]],crudeBD.lkup[Crude Breakdown],0)))^2</f>
        <v>181.79101100009677</v>
      </c>
      <c r="AL167" s="5">
        <f>(vp.data[[#This Row],[Sulf]]-INDEX(crudeBD.lkup[Mean_Sulf],MATCH(vp.data[[#This Row],[Crude_Breakdown]],crudeBD.lkup[Crude Breakdown],0)))^2</f>
        <v>0.12700986407738421</v>
      </c>
      <c r="AM167" s="4">
        <f>IF(AND(vp.data[[#This Row],[SDate]]&gt;=DATE(YEAR(vp.data[[#This Row],[SDate]]),5,1),vp.data[[#This Row],[SDate]]&lt;=DATE(YEAR(vp.data[[#This Row],[SDate]]),9,15)),1,0)</f>
        <v>0</v>
      </c>
      <c r="AN167" s="4">
        <f>IF(vp.data[[#This Row],[SDate]]&lt;DATE(2016,12,1),0,1)</f>
        <v>0</v>
      </c>
      <c r="AO167" s="4">
        <f>IFERROR(vp.data[[#This Row],[Sulf]]*vp.data[[#This Row],[Net Dens]],"")</f>
        <v>14403589.429319998</v>
      </c>
      <c r="AP167">
        <f>IFERROR(vp.data[[#This Row],[Dens]]*vp.data[[#This Row],[VolumeM3]],"")</f>
        <v>5144139.0818999996</v>
      </c>
      <c r="AQ167" s="15">
        <f>IFERROR(vp.data[[#This Row],[VP]]*vp.data[[#This Row],[VolumeM3]],"")</f>
        <v>470228.63160000002</v>
      </c>
    </row>
    <row r="168" spans="1:43" x14ac:dyDescent="0.25">
      <c r="A168">
        <v>167</v>
      </c>
      <c r="B168" t="s">
        <v>49</v>
      </c>
      <c r="C168" t="s">
        <v>49</v>
      </c>
      <c r="D168" t="s">
        <v>67</v>
      </c>
      <c r="F168" s="1">
        <v>42488</v>
      </c>
      <c r="G168" s="2">
        <v>91.7</v>
      </c>
      <c r="H168" s="2"/>
      <c r="I168" s="2">
        <f t="array" ref="I168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68" s="2"/>
      <c r="K168" s="2"/>
      <c r="L168" s="2">
        <v>805</v>
      </c>
      <c r="M168" s="2">
        <f t="array" ref="M168">_xlfn.IFNA(IF(vp.data[[#This Row],[Dens Input]]="",INDEX([1]DATA!$O$3:$O$9826,MATCH(1,(vp.data[[#This Row],[Battery]]=[1]DATA!$L$3:$L$9826)*(EOMONTH(vp.data[[#This Row],[SDate]],-1)+1=[1]DATA!$G$3:$G$9826),0)),vp.data[[#This Row],[Dens Input]]),"")</f>
        <v>805</v>
      </c>
      <c r="N168" s="2">
        <f ca="1">INDEX(INDIRECT(_xlfn.CONCAT("weather.tbl[",N$1,"]")),MATCH(vp.data[[#This Row],[SDate]],weather.tbl[Date],0))</f>
        <v>7.3666666666666671</v>
      </c>
      <c r="O168" s="2">
        <f ca="1">INDEX(INDIRECT(_xlfn.CONCAT("weather.tbl[",O$1,"]")),MATCH(vp.data[[#This Row],[SDate]],weather.tbl[Date],0))</f>
        <v>6.9476190476190478</v>
      </c>
      <c r="P168" s="2">
        <f ca="1">INDEX(INDIRECT(_xlfn.CONCAT("weather.tbl[",P$1,"]")),MATCH(vp.data[[#This Row],[SDate]],weather.tbl[Date],0))</f>
        <v>7.3</v>
      </c>
      <c r="Q168" s="2">
        <f ca="1">INDEX(INDIRECT(_xlfn.CONCAT("weather.tbl[",Q$1,"]")),MATCH(vp.data[[#This Row],[SDate]],weather.tbl[Date],0))</f>
        <v>7.6</v>
      </c>
      <c r="R168" s="2">
        <f ca="1">INDEX(INDIRECT(_xlfn.CONCAT("weather.tbl[",R$1,"]")),MATCH(vp.data[[#This Row],[SDate]],weather.tbl[Date],0))</f>
        <v>7.3</v>
      </c>
      <c r="S168" s="2">
        <f ca="1">INDEX(INDIRECT(_xlfn.CONCAT("weather.tbl[",S$1,"]")),MATCH(vp.data[[#This Row],[SDate]],weather.tbl[Date],0))</f>
        <v>8.5</v>
      </c>
      <c r="T168" s="2">
        <f ca="1">INDEX(INDIRECT(_xlfn.CONCAT("weather.tbl[",T$1,"]")),MATCH(vp.data[[#This Row],[SDate]],weather.tbl[Date],0))</f>
        <v>6</v>
      </c>
      <c r="U168" s="2">
        <f ca="1">INDEX(INDIRECT(_xlfn.CONCAT("weather.tbl[",U$1,"]")),MATCH(vp.data[[#This Row],[SDate]],weather.tbl[Date],0))</f>
        <v>7.5</v>
      </c>
      <c r="V168" s="2">
        <f t="array" ref="V1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57873.212</v>
      </c>
      <c r="W168" t="s">
        <v>48</v>
      </c>
      <c r="X168">
        <f>IF(OR(vp.data[[#This Row],[Sulf]]="",vp.data[[#This Row],[Dens]]=""),1,0)</f>
        <v>0</v>
      </c>
      <c r="Y168">
        <f>IF(vp.data[[#This Row],[CrudeType]]="C5+",1,0)</f>
        <v>0</v>
      </c>
      <c r="Z168">
        <f>IF(AND(vp.data[[#This Row],[CrudeType]]="Crude",vp.data[[#This Row],[Dens]]&lt;=825,vp.data[[#This Row],[Sulf]]&gt;0.5,vp.data[[#This Row],[Unknown]]=0),1,0)</f>
        <v>0</v>
      </c>
      <c r="AA168">
        <f>IF(AND(vp.data[[#This Row],[CrudeType]]="Crude",vp.data[[#This Row],[Dens]]&lt;=825,vp.data[[#This Row],[Sulf]]&lt;=0.5,vp.data[[#This Row],[Unknown]]=0),1,0)</f>
        <v>1</v>
      </c>
      <c r="AB1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">
        <f>IF(AND(vp.data[[#This Row],[CrudeType]]="Crude",vp.data[[#This Row],[Dens]]&gt;825,vp.data[[#This Row],[Dens]]&lt;=900,vp.data[[#This Row],[Sulf]]&lt;=0.5,vp.data[[#This Row],[Unknown]]=0),1,0)</f>
        <v>0</v>
      </c>
      <c r="AD168">
        <f>IF(AND(vp.data[[#This Row],[CrudeType]]="Crude",vp.data[[#This Row],[Dens]]&gt;865,vp.data[[#This Row],[Dens]]&lt;=900,vp.data[[#This Row],[Sulf]]&gt;2,vp.data[[#This Row],[Unknown]]=0),1,0)</f>
        <v>0</v>
      </c>
      <c r="AE168">
        <f>IF(AND(vp.data[[#This Row],[CrudeType]]="Crude",vp.data[[#This Row],[Dens]]&gt;900,vp.data[[#This Row],[Sulf]]&lt;=0.5,vp.data[[#This Row],[Unknown]]=0),1,0)</f>
        <v>0</v>
      </c>
      <c r="AF168">
        <f>IF(AND(vp.data[[#This Row],[CrudeType]]="Crude",vp.data[[#This Row],[Dens]]&gt;900,vp.data[[#This Row],[Sulf]]&lt;=0.5,vp.data[[#This Row],[Unknown]]=0),1,0)</f>
        <v>0</v>
      </c>
      <c r="AG168" t="str">
        <f>INDEX(vp.data[[#Headers],[Unknown]:[Heavy_SW]],MATCH(1,vp.data[[#This Row],[Unknown]:[Heavy_SW]],0))</f>
        <v>Light_SW</v>
      </c>
      <c r="AH168">
        <f>INDEX([3]!crudeBD.lkup[Number],MATCH(vp.data[[#This Row],[Crude_Breakdown]],crudeBD.lkup[Crude Breakdown],0))</f>
        <v>2</v>
      </c>
      <c r="AI168">
        <f>MONTH(vp.data[[#This Row],[SDate]])</f>
        <v>4</v>
      </c>
      <c r="AJ168" s="5">
        <f>(vp.data[[#This Row],[VP]]-INDEX(crudeBD.lkup[Mean_VP],MATCH(vp.data[[#This Row],[Crude_Breakdown]],crudeBD.lkup[Crude Breakdown],0)))^2</f>
        <v>0.72303319938320809</v>
      </c>
      <c r="AK168" s="5">
        <f>(vp.data[[#This Row],[Dens]]-INDEX(crudeBD.lkup[Mean_Dens],MATCH(vp.data[[#This Row],[Crude_Breakdown]],crudeBD.lkup[Crude Breakdown],0)))^2</f>
        <v>10.966020711674062</v>
      </c>
      <c r="AL168" s="5">
        <f>(vp.data[[#This Row],[Sulf]]-INDEX(crudeBD.lkup[Mean_Sulf],MATCH(vp.data[[#This Row],[Crude_Breakdown]],crudeBD.lkup[Crude Breakdown],0)))^2</f>
        <v>6.8863268899706654E-4</v>
      </c>
      <c r="AM168" s="4">
        <f>IF(AND(vp.data[[#This Row],[SDate]]&gt;=DATE(YEAR(vp.data[[#This Row],[SDate]]),5,1),vp.data[[#This Row],[SDate]]&lt;=DATE(YEAR(vp.data[[#This Row],[SDate]]),9,15)),1,0)</f>
        <v>0</v>
      </c>
      <c r="AN168" s="4">
        <f>IF(vp.data[[#This Row],[SDate]]&lt;DATE(2016,12,1),0,1)</f>
        <v>0</v>
      </c>
      <c r="AO168" s="4">
        <f>IFERROR(vp.data[[#This Row],[Sulf]]*vp.data[[#This Row],[Net Dens]],"")</f>
        <v>9783466.4885999989</v>
      </c>
      <c r="AP168">
        <f>IFERROR(vp.data[[#This Row],[Dens]]*vp.data[[#This Row],[VolumeM3]],"")</f>
        <v>46587935.659999996</v>
      </c>
      <c r="AQ168" s="15">
        <f>IFERROR(vp.data[[#This Row],[VP]]*vp.data[[#This Row],[VolumeM3]],"")</f>
        <v>5306973.5404000003</v>
      </c>
    </row>
    <row r="169" spans="1:43" x14ac:dyDescent="0.25">
      <c r="A169">
        <v>168</v>
      </c>
      <c r="B169" t="s">
        <v>62</v>
      </c>
      <c r="C169" t="s">
        <v>62</v>
      </c>
      <c r="D169" t="s">
        <v>87</v>
      </c>
      <c r="F169" s="1">
        <v>42488</v>
      </c>
      <c r="G169" s="2">
        <v>90.3</v>
      </c>
      <c r="H169" s="2"/>
      <c r="I169" s="2">
        <f t="array" ref="I169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69" s="2"/>
      <c r="K169" s="2"/>
      <c r="L169" s="2">
        <v>808</v>
      </c>
      <c r="M169" s="2">
        <f t="array" ref="M169">_xlfn.IFNA(IF(vp.data[[#This Row],[Dens Input]]="",INDEX([1]DATA!$O$3:$O$9826,MATCH(1,(vp.data[[#This Row],[Battery]]=[1]DATA!$L$3:$L$9826)*(EOMONTH(vp.data[[#This Row],[SDate]],-1)+1=[1]DATA!$G$3:$G$9826),0)),vp.data[[#This Row],[Dens Input]]),"")</f>
        <v>808</v>
      </c>
      <c r="N169" s="2">
        <f ca="1">INDEX(INDIRECT(_xlfn.CONCAT("weather.tbl[",N$1,"]")),MATCH(vp.data[[#This Row],[SDate]],weather.tbl[Date],0))</f>
        <v>7.3666666666666671</v>
      </c>
      <c r="O169" s="2">
        <f ca="1">INDEX(INDIRECT(_xlfn.CONCAT("weather.tbl[",O$1,"]")),MATCH(vp.data[[#This Row],[SDate]],weather.tbl[Date],0))</f>
        <v>6.9476190476190478</v>
      </c>
      <c r="P169" s="2">
        <f ca="1">INDEX(INDIRECT(_xlfn.CONCAT("weather.tbl[",P$1,"]")),MATCH(vp.data[[#This Row],[SDate]],weather.tbl[Date],0))</f>
        <v>7.3</v>
      </c>
      <c r="Q169" s="2">
        <f ca="1">INDEX(INDIRECT(_xlfn.CONCAT("weather.tbl[",Q$1,"]")),MATCH(vp.data[[#This Row],[SDate]],weather.tbl[Date],0))</f>
        <v>7.6</v>
      </c>
      <c r="R169" s="2">
        <f ca="1">INDEX(INDIRECT(_xlfn.CONCAT("weather.tbl[",R$1,"]")),MATCH(vp.data[[#This Row],[SDate]],weather.tbl[Date],0))</f>
        <v>7.3</v>
      </c>
      <c r="S169" s="2">
        <f ca="1">INDEX(INDIRECT(_xlfn.CONCAT("weather.tbl[",S$1,"]")),MATCH(vp.data[[#This Row],[SDate]],weather.tbl[Date],0))</f>
        <v>8.5</v>
      </c>
      <c r="T169" s="2">
        <f ca="1">INDEX(INDIRECT(_xlfn.CONCAT("weather.tbl[",T$1,"]")),MATCH(vp.data[[#This Row],[SDate]],weather.tbl[Date],0))</f>
        <v>6</v>
      </c>
      <c r="U169" s="2">
        <f ca="1">INDEX(INDIRECT(_xlfn.CONCAT("weather.tbl[",U$1,"]")),MATCH(vp.data[[#This Row],[SDate]],weather.tbl[Date],0))</f>
        <v>7.5</v>
      </c>
      <c r="V169" s="2">
        <f t="array" ref="V1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7120.0259999999998</v>
      </c>
      <c r="W169" t="s">
        <v>48</v>
      </c>
      <c r="X169">
        <f>IF(OR(vp.data[[#This Row],[Sulf]]="",vp.data[[#This Row],[Dens]]=""),1,0)</f>
        <v>0</v>
      </c>
      <c r="Y169">
        <f>IF(vp.data[[#This Row],[CrudeType]]="C5+",1,0)</f>
        <v>0</v>
      </c>
      <c r="Z169">
        <f>IF(AND(vp.data[[#This Row],[CrudeType]]="Crude",vp.data[[#This Row],[Dens]]&lt;=825,vp.data[[#This Row],[Sulf]]&gt;0.5,vp.data[[#This Row],[Unknown]]=0),1,0)</f>
        <v>0</v>
      </c>
      <c r="AA169">
        <f>IF(AND(vp.data[[#This Row],[CrudeType]]="Crude",vp.data[[#This Row],[Dens]]&lt;=825,vp.data[[#This Row],[Sulf]]&lt;=0.5,vp.data[[#This Row],[Unknown]]=0),1,0)</f>
        <v>1</v>
      </c>
      <c r="AB1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">
        <f>IF(AND(vp.data[[#This Row],[CrudeType]]="Crude",vp.data[[#This Row],[Dens]]&gt;825,vp.data[[#This Row],[Dens]]&lt;=900,vp.data[[#This Row],[Sulf]]&lt;=0.5,vp.data[[#This Row],[Unknown]]=0),1,0)</f>
        <v>0</v>
      </c>
      <c r="AD169">
        <f>IF(AND(vp.data[[#This Row],[CrudeType]]="Crude",vp.data[[#This Row],[Dens]]&gt;865,vp.data[[#This Row],[Dens]]&lt;=900,vp.data[[#This Row],[Sulf]]&gt;2,vp.data[[#This Row],[Unknown]]=0),1,0)</f>
        <v>0</v>
      </c>
      <c r="AE169">
        <f>IF(AND(vp.data[[#This Row],[CrudeType]]="Crude",vp.data[[#This Row],[Dens]]&gt;900,vp.data[[#This Row],[Sulf]]&lt;=0.5,vp.data[[#This Row],[Unknown]]=0),1,0)</f>
        <v>0</v>
      </c>
      <c r="AF169">
        <f>IF(AND(vp.data[[#This Row],[CrudeType]]="Crude",vp.data[[#This Row],[Dens]]&gt;900,vp.data[[#This Row],[Sulf]]&lt;=0.5,vp.data[[#This Row],[Unknown]]=0),1,0)</f>
        <v>0</v>
      </c>
      <c r="AG169" t="str">
        <f>INDEX(vp.data[[#Headers],[Unknown]:[Heavy_SW]],MATCH(1,vp.data[[#This Row],[Unknown]:[Heavy_SW]],0))</f>
        <v>Light_SW</v>
      </c>
      <c r="AH169">
        <f>INDEX([3]!crudeBD.lkup[Number],MATCH(vp.data[[#This Row],[Crude_Breakdown]],crudeBD.lkup[Crude Breakdown],0))</f>
        <v>2</v>
      </c>
      <c r="AI169">
        <f>MONTH(vp.data[[#This Row],[SDate]])</f>
        <v>4</v>
      </c>
      <c r="AJ169" s="5">
        <f>(vp.data[[#This Row],[VP]]-INDEX(crudeBD.lkup[Mean_VP],MATCH(vp.data[[#This Row],[Crude_Breakdown]],crudeBD.lkup[Crude Breakdown],0)))^2</f>
        <v>5.063911248163631</v>
      </c>
      <c r="AK169" s="5">
        <f>(vp.data[[#This Row],[Dens]]-INDEX(crudeBD.lkup[Mean_Dens],MATCH(vp.data[[#This Row],[Crude_Breakdown]],crudeBD.lkup[Crude Breakdown],0)))^2</f>
        <v>9.7031164637045433E-2</v>
      </c>
      <c r="AL169" s="5">
        <f>(vp.data[[#This Row],[Sulf]]-INDEX(crudeBD.lkup[Mean_Sulf],MATCH(vp.data[[#This Row],[Crude_Breakdown]],crudeBD.lkup[Crude Breakdown],0)))^2</f>
        <v>4.3879776367322437E-3</v>
      </c>
      <c r="AM169" s="4">
        <f>IF(AND(vp.data[[#This Row],[SDate]]&gt;=DATE(YEAR(vp.data[[#This Row],[SDate]]),5,1),vp.data[[#This Row],[SDate]]&lt;=DATE(YEAR(vp.data[[#This Row],[SDate]]),9,15)),1,0)</f>
        <v>0</v>
      </c>
      <c r="AN169" s="4">
        <f>IF(vp.data[[#This Row],[SDate]]&lt;DATE(2016,12,1),0,1)</f>
        <v>0</v>
      </c>
      <c r="AO169" s="4">
        <f>IFERROR(vp.data[[#This Row],[Sulf]]*vp.data[[#This Row],[Net Dens]],"")</f>
        <v>978006.77136000001</v>
      </c>
      <c r="AP169">
        <f>IFERROR(vp.data[[#This Row],[Dens]]*vp.data[[#This Row],[VolumeM3]],"")</f>
        <v>5752981.0079999994</v>
      </c>
      <c r="AQ169" s="15">
        <f>IFERROR(vp.data[[#This Row],[VP]]*vp.data[[#This Row],[VolumeM3]],"")</f>
        <v>642938.34779999999</v>
      </c>
    </row>
    <row r="170" spans="1:43" x14ac:dyDescent="0.25">
      <c r="A170">
        <v>169</v>
      </c>
      <c r="B170" t="s">
        <v>49</v>
      </c>
      <c r="C170" t="s">
        <v>49</v>
      </c>
      <c r="D170" t="s">
        <v>80</v>
      </c>
      <c r="F170" s="1">
        <v>42488</v>
      </c>
      <c r="G170" s="2">
        <v>83.7</v>
      </c>
      <c r="H170" s="2"/>
      <c r="I170" s="2">
        <f t="array" ref="I170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170" s="2"/>
      <c r="K170" s="2"/>
      <c r="L170" s="2">
        <v>814.6</v>
      </c>
      <c r="M170" s="2">
        <f t="array" ref="M170">_xlfn.IFNA(IF(vp.data[[#This Row],[Dens Input]]="",INDEX([1]DATA!$O$3:$O$9826,MATCH(1,(vp.data[[#This Row],[Battery]]=[1]DATA!$L$3:$L$9826)*(EOMONTH(vp.data[[#This Row],[SDate]],-1)+1=[1]DATA!$G$3:$G$9826),0)),vp.data[[#This Row],[Dens Input]]),"")</f>
        <v>814.6</v>
      </c>
      <c r="N170" s="2">
        <f ca="1">INDEX(INDIRECT(_xlfn.CONCAT("weather.tbl[",N$1,"]")),MATCH(vp.data[[#This Row],[SDate]],weather.tbl[Date],0))</f>
        <v>7.3666666666666671</v>
      </c>
      <c r="O170" s="2">
        <f ca="1">INDEX(INDIRECT(_xlfn.CONCAT("weather.tbl[",O$1,"]")),MATCH(vp.data[[#This Row],[SDate]],weather.tbl[Date],0))</f>
        <v>6.9476190476190478</v>
      </c>
      <c r="P170" s="2">
        <f ca="1">INDEX(INDIRECT(_xlfn.CONCAT("weather.tbl[",P$1,"]")),MATCH(vp.data[[#This Row],[SDate]],weather.tbl[Date],0))</f>
        <v>7.3</v>
      </c>
      <c r="Q170" s="2">
        <f ca="1">INDEX(INDIRECT(_xlfn.CONCAT("weather.tbl[",Q$1,"]")),MATCH(vp.data[[#This Row],[SDate]],weather.tbl[Date],0))</f>
        <v>7.6</v>
      </c>
      <c r="R170" s="2">
        <f ca="1">INDEX(INDIRECT(_xlfn.CONCAT("weather.tbl[",R$1,"]")),MATCH(vp.data[[#This Row],[SDate]],weather.tbl[Date],0))</f>
        <v>7.3</v>
      </c>
      <c r="S170" s="2">
        <f ca="1">INDEX(INDIRECT(_xlfn.CONCAT("weather.tbl[",S$1,"]")),MATCH(vp.data[[#This Row],[SDate]],weather.tbl[Date],0))</f>
        <v>8.5</v>
      </c>
      <c r="T170" s="2">
        <f ca="1">INDEX(INDIRECT(_xlfn.CONCAT("weather.tbl[",T$1,"]")),MATCH(vp.data[[#This Row],[SDate]],weather.tbl[Date],0))</f>
        <v>6</v>
      </c>
      <c r="U170" s="2">
        <f ca="1">INDEX(INDIRECT(_xlfn.CONCAT("weather.tbl[",U$1,"]")),MATCH(vp.data[[#This Row],[SDate]],weather.tbl[Date],0))</f>
        <v>7.5</v>
      </c>
      <c r="V170" s="2">
        <f t="array" ref="V1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21898.512999999999</v>
      </c>
      <c r="W170" t="s">
        <v>48</v>
      </c>
      <c r="X170">
        <f>IF(OR(vp.data[[#This Row],[Sulf]]="",vp.data[[#This Row],[Dens]]=""),1,0)</f>
        <v>0</v>
      </c>
      <c r="Y170">
        <f>IF(vp.data[[#This Row],[CrudeType]]="C5+",1,0)</f>
        <v>0</v>
      </c>
      <c r="Z170">
        <f>IF(AND(vp.data[[#This Row],[CrudeType]]="Crude",vp.data[[#This Row],[Dens]]&lt;=825,vp.data[[#This Row],[Sulf]]&gt;0.5,vp.data[[#This Row],[Unknown]]=0),1,0)</f>
        <v>0</v>
      </c>
      <c r="AA170">
        <f>IF(AND(vp.data[[#This Row],[CrudeType]]="Crude",vp.data[[#This Row],[Dens]]&lt;=825,vp.data[[#This Row],[Sulf]]&lt;=0.5,vp.data[[#This Row],[Unknown]]=0),1,0)</f>
        <v>1</v>
      </c>
      <c r="AB1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">
        <f>IF(AND(vp.data[[#This Row],[CrudeType]]="Crude",vp.data[[#This Row],[Dens]]&gt;825,vp.data[[#This Row],[Dens]]&lt;=900,vp.data[[#This Row],[Sulf]]&lt;=0.5,vp.data[[#This Row],[Unknown]]=0),1,0)</f>
        <v>0</v>
      </c>
      <c r="AD170">
        <f>IF(AND(vp.data[[#This Row],[CrudeType]]="Crude",vp.data[[#This Row],[Dens]]&gt;865,vp.data[[#This Row],[Dens]]&lt;=900,vp.data[[#This Row],[Sulf]]&gt;2,vp.data[[#This Row],[Unknown]]=0),1,0)</f>
        <v>0</v>
      </c>
      <c r="AE170">
        <f>IF(AND(vp.data[[#This Row],[CrudeType]]="Crude",vp.data[[#This Row],[Dens]]&gt;900,vp.data[[#This Row],[Sulf]]&lt;=0.5,vp.data[[#This Row],[Unknown]]=0),1,0)</f>
        <v>0</v>
      </c>
      <c r="AF170">
        <f>IF(AND(vp.data[[#This Row],[CrudeType]]="Crude",vp.data[[#This Row],[Dens]]&gt;900,vp.data[[#This Row],[Sulf]]&lt;=0.5,vp.data[[#This Row],[Unknown]]=0),1,0)</f>
        <v>0</v>
      </c>
      <c r="AG170" t="str">
        <f>INDEX(vp.data[[#Headers],[Unknown]:[Heavy_SW]],MATCH(1,vp.data[[#This Row],[Unknown]:[Heavy_SW]],0))</f>
        <v>Light_SW</v>
      </c>
      <c r="AH170">
        <f>INDEX([3]!crudeBD.lkup[Number],MATCH(vp.data[[#This Row],[Crude_Breakdown]],crudeBD.lkup[Crude Breakdown],0))</f>
        <v>2</v>
      </c>
      <c r="AI170">
        <f>MONTH(vp.data[[#This Row],[SDate]])</f>
        <v>4</v>
      </c>
      <c r="AJ170" s="5">
        <f>(vp.data[[#This Row],[VP]]-INDEX(crudeBD.lkup[Mean_VP],MATCH(vp.data[[#This Row],[Crude_Breakdown]],crudeBD.lkup[Crude Breakdown],0)))^2</f>
        <v>78.328050620985479</v>
      </c>
      <c r="AK170" s="5">
        <f>(vp.data[[#This Row],[Dens]]-INDEX(crudeBD.lkup[Mean_Dens],MATCH(vp.data[[#This Row],[Crude_Breakdown]],crudeBD.lkup[Crude Breakdown],0)))^2</f>
        <v>39.545254161155896</v>
      </c>
      <c r="AL170" s="5">
        <f>(vp.data[[#This Row],[Sulf]]-INDEX(crudeBD.lkup[Mean_Sulf],MATCH(vp.data[[#This Row],[Crude_Breakdown]],crudeBD.lkup[Crude Breakdown],0)))^2</f>
        <v>1.7891252898056348E-2</v>
      </c>
      <c r="AM170" s="4">
        <f>IF(AND(vp.data[[#This Row],[SDate]]&gt;=DATE(YEAR(vp.data[[#This Row],[SDate]]),5,1),vp.data[[#This Row],[SDate]]&lt;=DATE(YEAR(vp.data[[#This Row],[SDate]]),9,15)),1,0)</f>
        <v>0</v>
      </c>
      <c r="AN170" s="4">
        <f>IF(vp.data[[#This Row],[SDate]]&lt;DATE(2016,12,1),0,1)</f>
        <v>0</v>
      </c>
      <c r="AO170" s="4">
        <f>IFERROR(vp.data[[#This Row],[Sulf]]*vp.data[[#This Row],[Net Dens]],"")</f>
        <v>6600255.6152259996</v>
      </c>
      <c r="AP170">
        <f>IFERROR(vp.data[[#This Row],[Dens]]*vp.data[[#This Row],[VolumeM3]],"")</f>
        <v>17838528.689799998</v>
      </c>
      <c r="AQ170" s="15">
        <f>IFERROR(vp.data[[#This Row],[VP]]*vp.data[[#This Row],[VolumeM3]],"")</f>
        <v>1832905.5381</v>
      </c>
    </row>
    <row r="171" spans="1:43" x14ac:dyDescent="0.25">
      <c r="A171">
        <v>170</v>
      </c>
      <c r="B171" t="s">
        <v>49</v>
      </c>
      <c r="C171" t="s">
        <v>49</v>
      </c>
      <c r="D171" t="s">
        <v>74</v>
      </c>
      <c r="F171" s="1">
        <v>42492</v>
      </c>
      <c r="G171" s="2">
        <v>113.3</v>
      </c>
      <c r="H171" s="2"/>
      <c r="I171" s="2">
        <f t="array" ref="I171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171" s="2"/>
      <c r="K171" s="2"/>
      <c r="L171" s="2">
        <v>799.5</v>
      </c>
      <c r="M171" s="2">
        <f t="array" ref="M171">_xlfn.IFNA(IF(vp.data[[#This Row],[Dens Input]]="",INDEX([1]DATA!$O$3:$O$9826,MATCH(1,(vp.data[[#This Row],[Battery]]=[1]DATA!$L$3:$L$9826)*(EOMONTH(vp.data[[#This Row],[SDate]],-1)+1=[1]DATA!$G$3:$G$9826),0)),vp.data[[#This Row],[Dens Input]]),"")</f>
        <v>799.5</v>
      </c>
      <c r="N171" s="2">
        <f ca="1">INDEX(INDIRECT(_xlfn.CONCAT("weather.tbl[",N$1,"]")),MATCH(vp.data[[#This Row],[SDate]],weather.tbl[Date],0))</f>
        <v>13.799999999999999</v>
      </c>
      <c r="O171" s="2">
        <f ca="1">INDEX(INDIRECT(_xlfn.CONCAT("weather.tbl[",O$1,"]")),MATCH(vp.data[[#This Row],[SDate]],weather.tbl[Date],0))</f>
        <v>8.7261904761904763</v>
      </c>
      <c r="P171" s="2">
        <f ca="1">INDEX(INDIRECT(_xlfn.CONCAT("weather.tbl[",P$1,"]")),MATCH(vp.data[[#This Row],[SDate]],weather.tbl[Date],0))</f>
        <v>13.6</v>
      </c>
      <c r="Q171" s="2">
        <f ca="1">INDEX(INDIRECT(_xlfn.CONCAT("weather.tbl[",Q$1,"]")),MATCH(vp.data[[#This Row],[SDate]],weather.tbl[Date],0))</f>
        <v>12.3</v>
      </c>
      <c r="R171" s="2">
        <f ca="1">INDEX(INDIRECT(_xlfn.CONCAT("weather.tbl[",R$1,"]")),MATCH(vp.data[[#This Row],[SDate]],weather.tbl[Date],0))</f>
        <v>13.5</v>
      </c>
      <c r="S171" s="2">
        <f ca="1">INDEX(INDIRECT(_xlfn.CONCAT("weather.tbl[",S$1,"]")),MATCH(vp.data[[#This Row],[SDate]],weather.tbl[Date],0))</f>
        <v>16</v>
      </c>
      <c r="T171" s="2">
        <f ca="1">INDEX(INDIRECT(_xlfn.CONCAT("weather.tbl[",T$1,"]")),MATCH(vp.data[[#This Row],[SDate]],weather.tbl[Date],0))</f>
        <v>13.4</v>
      </c>
      <c r="U171" s="2">
        <f ca="1">INDEX(INDIRECT(_xlfn.CONCAT("weather.tbl[",U$1,"]")),MATCH(vp.data[[#This Row],[SDate]],weather.tbl[Date],0))</f>
        <v>14</v>
      </c>
      <c r="V171" s="2">
        <f t="array" ref="V1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45143.608</v>
      </c>
      <c r="W171" t="s">
        <v>48</v>
      </c>
      <c r="X171">
        <f>IF(OR(vp.data[[#This Row],[Sulf]]="",vp.data[[#This Row],[Dens]]=""),1,0)</f>
        <v>0</v>
      </c>
      <c r="Y171">
        <f>IF(vp.data[[#This Row],[CrudeType]]="C5+",1,0)</f>
        <v>0</v>
      </c>
      <c r="Z171">
        <f>IF(AND(vp.data[[#This Row],[CrudeType]]="Crude",vp.data[[#This Row],[Dens]]&lt;=825,vp.data[[#This Row],[Sulf]]&gt;0.5,vp.data[[#This Row],[Unknown]]=0),1,0)</f>
        <v>0</v>
      </c>
      <c r="AA171">
        <f>IF(AND(vp.data[[#This Row],[CrudeType]]="Crude",vp.data[[#This Row],[Dens]]&lt;=825,vp.data[[#This Row],[Sulf]]&lt;=0.5,vp.data[[#This Row],[Unknown]]=0),1,0)</f>
        <v>1</v>
      </c>
      <c r="AB1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">
        <f>IF(AND(vp.data[[#This Row],[CrudeType]]="Crude",vp.data[[#This Row],[Dens]]&gt;825,vp.data[[#This Row],[Dens]]&lt;=900,vp.data[[#This Row],[Sulf]]&lt;=0.5,vp.data[[#This Row],[Unknown]]=0),1,0)</f>
        <v>0</v>
      </c>
      <c r="AD171">
        <f>IF(AND(vp.data[[#This Row],[CrudeType]]="Crude",vp.data[[#This Row],[Dens]]&gt;865,vp.data[[#This Row],[Dens]]&lt;=900,vp.data[[#This Row],[Sulf]]&gt;2,vp.data[[#This Row],[Unknown]]=0),1,0)</f>
        <v>0</v>
      </c>
      <c r="AE171">
        <f>IF(AND(vp.data[[#This Row],[CrudeType]]="Crude",vp.data[[#This Row],[Dens]]&gt;900,vp.data[[#This Row],[Sulf]]&lt;=0.5,vp.data[[#This Row],[Unknown]]=0),1,0)</f>
        <v>0</v>
      </c>
      <c r="AF171">
        <f>IF(AND(vp.data[[#This Row],[CrudeType]]="Crude",vp.data[[#This Row],[Dens]]&gt;900,vp.data[[#This Row],[Sulf]]&lt;=0.5,vp.data[[#This Row],[Unknown]]=0),1,0)</f>
        <v>0</v>
      </c>
      <c r="AG171" t="str">
        <f>INDEX(vp.data[[#Headers],[Unknown]:[Heavy_SW]],MATCH(1,vp.data[[#This Row],[Unknown]:[Heavy_SW]],0))</f>
        <v>Light_SW</v>
      </c>
      <c r="AH171">
        <f>INDEX([3]!crudeBD.lkup[Number],MATCH(vp.data[[#This Row],[Crude_Breakdown]],crudeBD.lkup[Crude Breakdown],0))</f>
        <v>2</v>
      </c>
      <c r="AI171">
        <f>MONTH(vp.data[[#This Row],[SDate]])</f>
        <v>5</v>
      </c>
      <c r="AJ171" s="5">
        <f>(vp.data[[#This Row],[VP]]-INDEX(crudeBD.lkup[Mean_VP],MATCH(vp.data[[#This Row],[Crude_Breakdown]],crudeBD.lkup[Crude Breakdown],0)))^2</f>
        <v>430.54948616105685</v>
      </c>
      <c r="AK171" s="5">
        <f>(vp.data[[#This Row],[Dens]]-INDEX(crudeBD.lkup[Mean_Dens],MATCH(vp.data[[#This Row],[Crude_Breakdown]],crudeBD.lkup[Crude Breakdown],0)))^2</f>
        <v>77.642501547908594</v>
      </c>
      <c r="AL171" s="5">
        <f>(vp.data[[#This Row],[Sulf]]-INDEX(crudeBD.lkup[Mean_Sulf],MATCH(vp.data[[#This Row],[Crude_Breakdown]],crudeBD.lkup[Crude Breakdown],0)))^2</f>
        <v>9.2624863475336272E-3</v>
      </c>
      <c r="AM171" s="4">
        <f>IF(AND(vp.data[[#This Row],[SDate]]&gt;=DATE(YEAR(vp.data[[#This Row],[SDate]]),5,1),vp.data[[#This Row],[SDate]]&lt;=DATE(YEAR(vp.data[[#This Row],[SDate]]),9,15)),1,0)</f>
        <v>1</v>
      </c>
      <c r="AN171" s="4">
        <f>IF(vp.data[[#This Row],[SDate]]&lt;DATE(2016,12,1),0,1)</f>
        <v>0</v>
      </c>
      <c r="AO171" s="4">
        <f>IFERROR(vp.data[[#This Row],[Sulf]]*vp.data[[#This Row],[Net Dens]],"")</f>
        <v>5052924.0434400002</v>
      </c>
      <c r="AP171">
        <f>IFERROR(vp.data[[#This Row],[Dens]]*vp.data[[#This Row],[VolumeM3]],"")</f>
        <v>36092314.596000001</v>
      </c>
      <c r="AQ171" s="15">
        <f>IFERROR(vp.data[[#This Row],[VP]]*vp.data[[#This Row],[VolumeM3]],"")</f>
        <v>5114770.7863999996</v>
      </c>
    </row>
    <row r="172" spans="1:43" x14ac:dyDescent="0.25">
      <c r="A172">
        <v>171</v>
      </c>
      <c r="B172" t="s">
        <v>62</v>
      </c>
      <c r="C172" t="s">
        <v>62</v>
      </c>
      <c r="D172" t="s">
        <v>79</v>
      </c>
      <c r="F172" s="1">
        <v>42492</v>
      </c>
      <c r="G172" s="2">
        <v>63.6</v>
      </c>
      <c r="H172" s="2"/>
      <c r="I172" s="2">
        <f t="array" ref="I172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72" s="2"/>
      <c r="K172" s="2"/>
      <c r="L172" s="2">
        <v>804.4</v>
      </c>
      <c r="M172" s="2">
        <f t="array" ref="M172">_xlfn.IFNA(IF(vp.data[[#This Row],[Dens Input]]="",INDEX([1]DATA!$O$3:$O$9826,MATCH(1,(vp.data[[#This Row],[Battery]]=[1]DATA!$L$3:$L$9826)*(EOMONTH(vp.data[[#This Row],[SDate]],-1)+1=[1]DATA!$G$3:$G$9826),0)),vp.data[[#This Row],[Dens Input]]),"")</f>
        <v>804.4</v>
      </c>
      <c r="N172" s="2">
        <f ca="1">INDEX(INDIRECT(_xlfn.CONCAT("weather.tbl[",N$1,"]")),MATCH(vp.data[[#This Row],[SDate]],weather.tbl[Date],0))</f>
        <v>13.799999999999999</v>
      </c>
      <c r="O172" s="2">
        <f ca="1">INDEX(INDIRECT(_xlfn.CONCAT("weather.tbl[",O$1,"]")),MATCH(vp.data[[#This Row],[SDate]],weather.tbl[Date],0))</f>
        <v>8.7261904761904763</v>
      </c>
      <c r="P172" s="2">
        <f ca="1">INDEX(INDIRECT(_xlfn.CONCAT("weather.tbl[",P$1,"]")),MATCH(vp.data[[#This Row],[SDate]],weather.tbl[Date],0))</f>
        <v>13.6</v>
      </c>
      <c r="Q172" s="2">
        <f ca="1">INDEX(INDIRECT(_xlfn.CONCAT("weather.tbl[",Q$1,"]")),MATCH(vp.data[[#This Row],[SDate]],weather.tbl[Date],0))</f>
        <v>12.3</v>
      </c>
      <c r="R172" s="2">
        <f ca="1">INDEX(INDIRECT(_xlfn.CONCAT("weather.tbl[",R$1,"]")),MATCH(vp.data[[#This Row],[SDate]],weather.tbl[Date],0))</f>
        <v>13.5</v>
      </c>
      <c r="S172" s="2">
        <f ca="1">INDEX(INDIRECT(_xlfn.CONCAT("weather.tbl[",S$1,"]")),MATCH(vp.data[[#This Row],[SDate]],weather.tbl[Date],0))</f>
        <v>16</v>
      </c>
      <c r="T172" s="2">
        <f ca="1">INDEX(INDIRECT(_xlfn.CONCAT("weather.tbl[",T$1,"]")),MATCH(vp.data[[#This Row],[SDate]],weather.tbl[Date],0))</f>
        <v>13.4</v>
      </c>
      <c r="U172" s="2">
        <f ca="1">INDEX(INDIRECT(_xlfn.CONCAT("weather.tbl[",U$1,"]")),MATCH(vp.data[[#This Row],[SDate]],weather.tbl[Date],0))</f>
        <v>14</v>
      </c>
      <c r="V172" s="2">
        <f t="array" ref="V1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16126.073</v>
      </c>
      <c r="W172" t="s">
        <v>48</v>
      </c>
      <c r="X172">
        <f>IF(OR(vp.data[[#This Row],[Sulf]]="",vp.data[[#This Row],[Dens]]=""),1,0)</f>
        <v>0</v>
      </c>
      <c r="Y172">
        <f>IF(vp.data[[#This Row],[CrudeType]]="C5+",1,0)</f>
        <v>0</v>
      </c>
      <c r="Z172">
        <f>IF(AND(vp.data[[#This Row],[CrudeType]]="Crude",vp.data[[#This Row],[Dens]]&lt;=825,vp.data[[#This Row],[Sulf]]&gt;0.5,vp.data[[#This Row],[Unknown]]=0),1,0)</f>
        <v>0</v>
      </c>
      <c r="AA172">
        <f>IF(AND(vp.data[[#This Row],[CrudeType]]="Crude",vp.data[[#This Row],[Dens]]&lt;=825,vp.data[[#This Row],[Sulf]]&lt;=0.5,vp.data[[#This Row],[Unknown]]=0),1,0)</f>
        <v>1</v>
      </c>
      <c r="AB1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">
        <f>IF(AND(vp.data[[#This Row],[CrudeType]]="Crude",vp.data[[#This Row],[Dens]]&gt;825,vp.data[[#This Row],[Dens]]&lt;=900,vp.data[[#This Row],[Sulf]]&lt;=0.5,vp.data[[#This Row],[Unknown]]=0),1,0)</f>
        <v>0</v>
      </c>
      <c r="AD172">
        <f>IF(AND(vp.data[[#This Row],[CrudeType]]="Crude",vp.data[[#This Row],[Dens]]&gt;865,vp.data[[#This Row],[Dens]]&lt;=900,vp.data[[#This Row],[Sulf]]&gt;2,vp.data[[#This Row],[Unknown]]=0),1,0)</f>
        <v>0</v>
      </c>
      <c r="AE172">
        <f>IF(AND(vp.data[[#This Row],[CrudeType]]="Crude",vp.data[[#This Row],[Dens]]&gt;900,vp.data[[#This Row],[Sulf]]&lt;=0.5,vp.data[[#This Row],[Unknown]]=0),1,0)</f>
        <v>0</v>
      </c>
      <c r="AF172">
        <f>IF(AND(vp.data[[#This Row],[CrudeType]]="Crude",vp.data[[#This Row],[Dens]]&gt;900,vp.data[[#This Row],[Sulf]]&lt;=0.5,vp.data[[#This Row],[Unknown]]=0),1,0)</f>
        <v>0</v>
      </c>
      <c r="AG172" t="str">
        <f>INDEX(vp.data[[#Headers],[Unknown]:[Heavy_SW]],MATCH(1,vp.data[[#This Row],[Unknown]:[Heavy_SW]],0))</f>
        <v>Light_SW</v>
      </c>
      <c r="AH172">
        <f>INDEX([3]!crudeBD.lkup[Number],MATCH(vp.data[[#This Row],[Crude_Breakdown]],crudeBD.lkup[Crude Breakdown],0))</f>
        <v>2</v>
      </c>
      <c r="AI172">
        <f>MONTH(vp.data[[#This Row],[SDate]])</f>
        <v>5</v>
      </c>
      <c r="AJ172" s="5">
        <f>(vp.data[[#This Row],[VP]]-INDEX(crudeBD.lkup[Mean_VP],MATCH(vp.data[[#This Row],[Crude_Breakdown]],crudeBD.lkup[Crude Breakdown],0)))^2</f>
        <v>838.1206568927613</v>
      </c>
      <c r="AK172" s="5">
        <f>(vp.data[[#This Row],[Dens]]-INDEX(crudeBD.lkup[Mean_Dens],MATCH(vp.data[[#This Row],[Crude_Breakdown]],crudeBD.lkup[Crude Breakdown],0)))^2</f>
        <v>15.299818621081645</v>
      </c>
      <c r="AL172" s="5">
        <f>(vp.data[[#This Row],[Sulf]]-INDEX(crudeBD.lkup[Mean_Sulf],MATCH(vp.data[[#This Row],[Crude_Breakdown]],crudeBD.lkup[Crude Breakdown],0)))^2</f>
        <v>5.644515043280923E-4</v>
      </c>
      <c r="AM172" s="4">
        <f>IF(AND(vp.data[[#This Row],[SDate]]&gt;=DATE(YEAR(vp.data[[#This Row],[SDate]]),5,1),vp.data[[#This Row],[SDate]]&lt;=DATE(YEAR(vp.data[[#This Row],[SDate]]),9,15)),1,0)</f>
        <v>1</v>
      </c>
      <c r="AN172" s="4">
        <f>IF(vp.data[[#This Row],[SDate]]&lt;DATE(2016,12,1),0,1)</f>
        <v>0</v>
      </c>
      <c r="AO172" s="4">
        <f>IFERROR(vp.data[[#This Row],[Sulf]]*vp.data[[#This Row],[Net Dens]],"")</f>
        <v>3372671.411512</v>
      </c>
      <c r="AP172">
        <f>IFERROR(vp.data[[#This Row],[Dens]]*vp.data[[#This Row],[VolumeM3]],"")</f>
        <v>12971813.121199999</v>
      </c>
      <c r="AQ172" s="15">
        <f>IFERROR(vp.data[[#This Row],[VP]]*vp.data[[#This Row],[VolumeM3]],"")</f>
        <v>1025618.2428</v>
      </c>
    </row>
    <row r="173" spans="1:43" x14ac:dyDescent="0.25">
      <c r="A173">
        <v>172</v>
      </c>
      <c r="B173" t="s">
        <v>49</v>
      </c>
      <c r="C173" t="s">
        <v>49</v>
      </c>
      <c r="D173" t="s">
        <v>88</v>
      </c>
      <c r="F173" s="1">
        <v>42492</v>
      </c>
      <c r="G173" s="2">
        <v>92.5</v>
      </c>
      <c r="H173" s="2"/>
      <c r="I173" s="2">
        <f t="array" ref="I173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73" s="2"/>
      <c r="K173" s="2"/>
      <c r="L173" s="2">
        <v>807.3</v>
      </c>
      <c r="M173" s="2">
        <f t="array" ref="M173">_xlfn.IFNA(IF(vp.data[[#This Row],[Dens Input]]="",INDEX([1]DATA!$O$3:$O$9826,MATCH(1,(vp.data[[#This Row],[Battery]]=[1]DATA!$L$3:$L$9826)*(EOMONTH(vp.data[[#This Row],[SDate]],-1)+1=[1]DATA!$G$3:$G$9826),0)),vp.data[[#This Row],[Dens Input]]),"")</f>
        <v>807.3</v>
      </c>
      <c r="N173" s="2">
        <f ca="1">INDEX(INDIRECT(_xlfn.CONCAT("weather.tbl[",N$1,"]")),MATCH(vp.data[[#This Row],[SDate]],weather.tbl[Date],0))</f>
        <v>13.799999999999999</v>
      </c>
      <c r="O173" s="2">
        <f ca="1">INDEX(INDIRECT(_xlfn.CONCAT("weather.tbl[",O$1,"]")),MATCH(vp.data[[#This Row],[SDate]],weather.tbl[Date],0))</f>
        <v>8.7261904761904763</v>
      </c>
      <c r="P173" s="2">
        <f ca="1">INDEX(INDIRECT(_xlfn.CONCAT("weather.tbl[",P$1,"]")),MATCH(vp.data[[#This Row],[SDate]],weather.tbl[Date],0))</f>
        <v>13.6</v>
      </c>
      <c r="Q173" s="2">
        <f ca="1">INDEX(INDIRECT(_xlfn.CONCAT("weather.tbl[",Q$1,"]")),MATCH(vp.data[[#This Row],[SDate]],weather.tbl[Date],0))</f>
        <v>12.3</v>
      </c>
      <c r="R173" s="2">
        <f ca="1">INDEX(INDIRECT(_xlfn.CONCAT("weather.tbl[",R$1,"]")),MATCH(vp.data[[#This Row],[SDate]],weather.tbl[Date],0))</f>
        <v>13.5</v>
      </c>
      <c r="S173" s="2">
        <f ca="1">INDEX(INDIRECT(_xlfn.CONCAT("weather.tbl[",S$1,"]")),MATCH(vp.data[[#This Row],[SDate]],weather.tbl[Date],0))</f>
        <v>16</v>
      </c>
      <c r="T173" s="2">
        <f ca="1">INDEX(INDIRECT(_xlfn.CONCAT("weather.tbl[",T$1,"]")),MATCH(vp.data[[#This Row],[SDate]],weather.tbl[Date],0))</f>
        <v>13.4</v>
      </c>
      <c r="U173" s="2">
        <f ca="1">INDEX(INDIRECT(_xlfn.CONCAT("weather.tbl[",U$1,"]")),MATCH(vp.data[[#This Row],[SDate]],weather.tbl[Date],0))</f>
        <v>14</v>
      </c>
      <c r="V173" s="2">
        <f t="array" ref="V1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5468.8130000000001</v>
      </c>
      <c r="W173" t="s">
        <v>48</v>
      </c>
      <c r="X173">
        <f>IF(OR(vp.data[[#This Row],[Sulf]]="",vp.data[[#This Row],[Dens]]=""),1,0)</f>
        <v>0</v>
      </c>
      <c r="Y173">
        <f>IF(vp.data[[#This Row],[CrudeType]]="C5+",1,0)</f>
        <v>0</v>
      </c>
      <c r="Z173">
        <f>IF(AND(vp.data[[#This Row],[CrudeType]]="Crude",vp.data[[#This Row],[Dens]]&lt;=825,vp.data[[#This Row],[Sulf]]&gt;0.5,vp.data[[#This Row],[Unknown]]=0),1,0)</f>
        <v>1</v>
      </c>
      <c r="AA173">
        <f>IF(AND(vp.data[[#This Row],[CrudeType]]="Crude",vp.data[[#This Row],[Dens]]&lt;=825,vp.data[[#This Row],[Sulf]]&lt;=0.5,vp.data[[#This Row],[Unknown]]=0),1,0)</f>
        <v>0</v>
      </c>
      <c r="AB1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3">
        <f>IF(AND(vp.data[[#This Row],[CrudeType]]="Crude",vp.data[[#This Row],[Dens]]&gt;825,vp.data[[#This Row],[Dens]]&lt;=900,vp.data[[#This Row],[Sulf]]&lt;=0.5,vp.data[[#This Row],[Unknown]]=0),1,0)</f>
        <v>0</v>
      </c>
      <c r="AD173">
        <f>IF(AND(vp.data[[#This Row],[CrudeType]]="Crude",vp.data[[#This Row],[Dens]]&gt;865,vp.data[[#This Row],[Dens]]&lt;=900,vp.data[[#This Row],[Sulf]]&gt;2,vp.data[[#This Row],[Unknown]]=0),1,0)</f>
        <v>0</v>
      </c>
      <c r="AE173">
        <f>IF(AND(vp.data[[#This Row],[CrudeType]]="Crude",vp.data[[#This Row],[Dens]]&gt;900,vp.data[[#This Row],[Sulf]]&lt;=0.5,vp.data[[#This Row],[Unknown]]=0),1,0)</f>
        <v>0</v>
      </c>
      <c r="AF173">
        <f>IF(AND(vp.data[[#This Row],[CrudeType]]="Crude",vp.data[[#This Row],[Dens]]&gt;900,vp.data[[#This Row],[Sulf]]&lt;=0.5,vp.data[[#This Row],[Unknown]]=0),1,0)</f>
        <v>0</v>
      </c>
      <c r="AG173" t="str">
        <f>INDEX(vp.data[[#Headers],[Unknown]:[Heavy_SW]],MATCH(1,vp.data[[#This Row],[Unknown]:[Heavy_SW]],0))</f>
        <v>Light_LSB</v>
      </c>
      <c r="AH173">
        <f>INDEX([3]!crudeBD.lkup[Number],MATCH(vp.data[[#This Row],[Crude_Breakdown]],crudeBD.lkup[Crude Breakdown],0))</f>
        <v>1</v>
      </c>
      <c r="AI173">
        <f>MONTH(vp.data[[#This Row],[SDate]])</f>
        <v>5</v>
      </c>
      <c r="AJ173" s="5">
        <f>(vp.data[[#This Row],[VP]]-INDEX(crudeBD.lkup[Mean_VP],MATCH(vp.data[[#This Row],[Crude_Breakdown]],crudeBD.lkup[Crude Breakdown],0)))^2</f>
        <v>0.90976197257938585</v>
      </c>
      <c r="AK173" s="5">
        <f>(vp.data[[#This Row],[Dens]]-INDEX(crudeBD.lkup[Mean_Dens],MATCH(vp.data[[#This Row],[Crude_Breakdown]],crudeBD.lkup[Crude Breakdown],0)))^2</f>
        <v>125.81592383650984</v>
      </c>
      <c r="AL173" s="5">
        <f>(vp.data[[#This Row],[Sulf]]-INDEX(crudeBD.lkup[Mean_Sulf],MATCH(vp.data[[#This Row],[Crude_Breakdown]],crudeBD.lkup[Crude Breakdown],0)))^2</f>
        <v>0.95458533780720733</v>
      </c>
      <c r="AM173" s="4">
        <f>IF(AND(vp.data[[#This Row],[SDate]]&gt;=DATE(YEAR(vp.data[[#This Row],[SDate]]),5,1),vp.data[[#This Row],[SDate]]&lt;=DATE(YEAR(vp.data[[#This Row],[SDate]]),9,15)),1,0)</f>
        <v>1</v>
      </c>
      <c r="AN173" s="4">
        <f>IF(vp.data[[#This Row],[SDate]]&lt;DATE(2016,12,1),0,1)</f>
        <v>0</v>
      </c>
      <c r="AO173" s="4">
        <f>IFERROR(vp.data[[#This Row],[Sulf]]*vp.data[[#This Row],[Net Dens]],"")</f>
        <v>8388448.1963099986</v>
      </c>
      <c r="AP173">
        <f>IFERROR(vp.data[[#This Row],[Dens]]*vp.data[[#This Row],[VolumeM3]],"")</f>
        <v>4414972.7348999996</v>
      </c>
      <c r="AQ173" s="15">
        <f>IFERROR(vp.data[[#This Row],[VP]]*vp.data[[#This Row],[VolumeM3]],"")</f>
        <v>505865.20250000001</v>
      </c>
    </row>
    <row r="174" spans="1:43" x14ac:dyDescent="0.25">
      <c r="A174">
        <v>173</v>
      </c>
      <c r="B174" t="s">
        <v>62</v>
      </c>
      <c r="C174" t="s">
        <v>62</v>
      </c>
      <c r="D174" t="s">
        <v>83</v>
      </c>
      <c r="F174" s="1">
        <v>42492</v>
      </c>
      <c r="G174" s="2">
        <v>80</v>
      </c>
      <c r="H174" s="2"/>
      <c r="I174" s="2">
        <f t="array" ref="I174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74" s="2"/>
      <c r="K174" s="2"/>
      <c r="L174" s="2">
        <v>813</v>
      </c>
      <c r="M174" s="2">
        <f t="array" ref="M174">_xlfn.IFNA(IF(vp.data[[#This Row],[Dens Input]]="",INDEX([1]DATA!$O$3:$O$9826,MATCH(1,(vp.data[[#This Row],[Battery]]=[1]DATA!$L$3:$L$9826)*(EOMONTH(vp.data[[#This Row],[SDate]],-1)+1=[1]DATA!$G$3:$G$9826),0)),vp.data[[#This Row],[Dens Input]]),"")</f>
        <v>813</v>
      </c>
      <c r="N174" s="2">
        <f ca="1">INDEX(INDIRECT(_xlfn.CONCAT("weather.tbl[",N$1,"]")),MATCH(vp.data[[#This Row],[SDate]],weather.tbl[Date],0))</f>
        <v>13.799999999999999</v>
      </c>
      <c r="O174" s="2">
        <f ca="1">INDEX(INDIRECT(_xlfn.CONCAT("weather.tbl[",O$1,"]")),MATCH(vp.data[[#This Row],[SDate]],weather.tbl[Date],0))</f>
        <v>8.7261904761904763</v>
      </c>
      <c r="P174" s="2">
        <f ca="1">INDEX(INDIRECT(_xlfn.CONCAT("weather.tbl[",P$1,"]")),MATCH(vp.data[[#This Row],[SDate]],weather.tbl[Date],0))</f>
        <v>13.6</v>
      </c>
      <c r="Q174" s="2">
        <f ca="1">INDEX(INDIRECT(_xlfn.CONCAT("weather.tbl[",Q$1,"]")),MATCH(vp.data[[#This Row],[SDate]],weather.tbl[Date],0))</f>
        <v>12.3</v>
      </c>
      <c r="R174" s="2">
        <f ca="1">INDEX(INDIRECT(_xlfn.CONCAT("weather.tbl[",R$1,"]")),MATCH(vp.data[[#This Row],[SDate]],weather.tbl[Date],0))</f>
        <v>13.5</v>
      </c>
      <c r="S174" s="2">
        <f ca="1">INDEX(INDIRECT(_xlfn.CONCAT("weather.tbl[",S$1,"]")),MATCH(vp.data[[#This Row],[SDate]],weather.tbl[Date],0))</f>
        <v>16</v>
      </c>
      <c r="T174" s="2">
        <f ca="1">INDEX(INDIRECT(_xlfn.CONCAT("weather.tbl[",T$1,"]")),MATCH(vp.data[[#This Row],[SDate]],weather.tbl[Date],0))</f>
        <v>13.4</v>
      </c>
      <c r="U174" s="2">
        <f ca="1">INDEX(INDIRECT(_xlfn.CONCAT("weather.tbl[",U$1,"]")),MATCH(vp.data[[#This Row],[SDate]],weather.tbl[Date],0))</f>
        <v>14</v>
      </c>
      <c r="V174" s="2">
        <f t="array" ref="V1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11957.736999999999</v>
      </c>
      <c r="W174" t="s">
        <v>48</v>
      </c>
      <c r="X174">
        <f>IF(OR(vp.data[[#This Row],[Sulf]]="",vp.data[[#This Row],[Dens]]=""),1,0)</f>
        <v>0</v>
      </c>
      <c r="Y174">
        <f>IF(vp.data[[#This Row],[CrudeType]]="C5+",1,0)</f>
        <v>0</v>
      </c>
      <c r="Z174">
        <f>IF(AND(vp.data[[#This Row],[CrudeType]]="Crude",vp.data[[#This Row],[Dens]]&lt;=825,vp.data[[#This Row],[Sulf]]&gt;0.5,vp.data[[#This Row],[Unknown]]=0),1,0)</f>
        <v>0</v>
      </c>
      <c r="AA174">
        <f>IF(AND(vp.data[[#This Row],[CrudeType]]="Crude",vp.data[[#This Row],[Dens]]&lt;=825,vp.data[[#This Row],[Sulf]]&lt;=0.5,vp.data[[#This Row],[Unknown]]=0),1,0)</f>
        <v>1</v>
      </c>
      <c r="AB1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4">
        <f>IF(AND(vp.data[[#This Row],[CrudeType]]="Crude",vp.data[[#This Row],[Dens]]&gt;825,vp.data[[#This Row],[Dens]]&lt;=900,vp.data[[#This Row],[Sulf]]&lt;=0.5,vp.data[[#This Row],[Unknown]]=0),1,0)</f>
        <v>0</v>
      </c>
      <c r="AD174">
        <f>IF(AND(vp.data[[#This Row],[CrudeType]]="Crude",vp.data[[#This Row],[Dens]]&gt;865,vp.data[[#This Row],[Dens]]&lt;=900,vp.data[[#This Row],[Sulf]]&gt;2,vp.data[[#This Row],[Unknown]]=0),1,0)</f>
        <v>0</v>
      </c>
      <c r="AE174">
        <f>IF(AND(vp.data[[#This Row],[CrudeType]]="Crude",vp.data[[#This Row],[Dens]]&gt;900,vp.data[[#This Row],[Sulf]]&lt;=0.5,vp.data[[#This Row],[Unknown]]=0),1,0)</f>
        <v>0</v>
      </c>
      <c r="AF174">
        <f>IF(AND(vp.data[[#This Row],[CrudeType]]="Crude",vp.data[[#This Row],[Dens]]&gt;900,vp.data[[#This Row],[Sulf]]&lt;=0.5,vp.data[[#This Row],[Unknown]]=0),1,0)</f>
        <v>0</v>
      </c>
      <c r="AG174" t="str">
        <f>INDEX(vp.data[[#Headers],[Unknown]:[Heavy_SW]],MATCH(1,vp.data[[#This Row],[Unknown]:[Heavy_SW]],0))</f>
        <v>Light_SW</v>
      </c>
      <c r="AH174">
        <f>INDEX([3]!crudeBD.lkup[Number],MATCH(vp.data[[#This Row],[Crude_Breakdown]],crudeBD.lkup[Crude Breakdown],0))</f>
        <v>2</v>
      </c>
      <c r="AI174">
        <f>MONTH(vp.data[[#This Row],[SDate]])</f>
        <v>5</v>
      </c>
      <c r="AJ174" s="5">
        <f>(vp.data[[#This Row],[VP]]-INDEX(crudeBD.lkup[Mean_VP],MATCH(vp.data[[#This Row],[Crude_Breakdown]],crudeBD.lkup[Crude Breakdown],0)))^2</f>
        <v>157.51037117847659</v>
      </c>
      <c r="AK174" s="5">
        <f>(vp.data[[#This Row],[Dens]]-INDEX(crudeBD.lkup[Mean_Dens],MATCH(vp.data[[#This Row],[Crude_Breakdown]],crudeBD.lkup[Crude Breakdown],0)))^2</f>
        <v>21.982048586242016</v>
      </c>
      <c r="AL174" s="5">
        <f>(vp.data[[#This Row],[Sulf]]-INDEX(crudeBD.lkup[Mean_Sulf],MATCH(vp.data[[#This Row],[Crude_Breakdown]],crudeBD.lkup[Crude Breakdown],0)))^2</f>
        <v>2.1383051628646554E-3</v>
      </c>
      <c r="AM174" s="4">
        <f>IF(AND(vp.data[[#This Row],[SDate]]&gt;=DATE(YEAR(vp.data[[#This Row],[SDate]]),5,1),vp.data[[#This Row],[SDate]]&lt;=DATE(YEAR(vp.data[[#This Row],[SDate]]),9,15)),1,0)</f>
        <v>1</v>
      </c>
      <c r="AN174" s="4">
        <f>IF(vp.data[[#This Row],[SDate]]&lt;DATE(2016,12,1),0,1)</f>
        <v>0</v>
      </c>
      <c r="AO174" s="4">
        <f>IFERROR(vp.data[[#This Row],[Sulf]]*vp.data[[#This Row],[Net Dens]],"")</f>
        <v>1847111.63439</v>
      </c>
      <c r="AP174">
        <f>IFERROR(vp.data[[#This Row],[Dens]]*vp.data[[#This Row],[VolumeM3]],"")</f>
        <v>9721640.1809999999</v>
      </c>
      <c r="AQ174" s="15">
        <f>IFERROR(vp.data[[#This Row],[VP]]*vp.data[[#This Row],[VolumeM3]],"")</f>
        <v>956618.96</v>
      </c>
    </row>
    <row r="175" spans="1:43" x14ac:dyDescent="0.25">
      <c r="A175">
        <v>174</v>
      </c>
      <c r="B175" t="s">
        <v>51</v>
      </c>
      <c r="C175" t="s">
        <v>51</v>
      </c>
      <c r="D175" t="s">
        <v>72</v>
      </c>
      <c r="F175" s="1">
        <v>42492</v>
      </c>
      <c r="G175" s="2">
        <v>115.7</v>
      </c>
      <c r="H175" s="2"/>
      <c r="I175" s="2">
        <f t="array" ref="I175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75" s="2"/>
      <c r="K175" s="2"/>
      <c r="L175" s="2">
        <v>842</v>
      </c>
      <c r="M175" s="2">
        <f t="array" ref="M175">_xlfn.IFNA(IF(vp.data[[#This Row],[Dens Input]]="",INDEX([1]DATA!$O$3:$O$9826,MATCH(1,(vp.data[[#This Row],[Battery]]=[1]DATA!$L$3:$L$9826)*(EOMONTH(vp.data[[#This Row],[SDate]],-1)+1=[1]DATA!$G$3:$G$9826),0)),vp.data[[#This Row],[Dens Input]]),"")</f>
        <v>842</v>
      </c>
      <c r="N175" s="2">
        <f ca="1">INDEX(INDIRECT(_xlfn.CONCAT("weather.tbl[",N$1,"]")),MATCH(vp.data[[#This Row],[SDate]],weather.tbl[Date],0))</f>
        <v>13.799999999999999</v>
      </c>
      <c r="O175" s="2">
        <f ca="1">INDEX(INDIRECT(_xlfn.CONCAT("weather.tbl[",O$1,"]")),MATCH(vp.data[[#This Row],[SDate]],weather.tbl[Date],0))</f>
        <v>8.7261904761904763</v>
      </c>
      <c r="P175" s="2">
        <f ca="1">INDEX(INDIRECT(_xlfn.CONCAT("weather.tbl[",P$1,"]")),MATCH(vp.data[[#This Row],[SDate]],weather.tbl[Date],0))</f>
        <v>13.6</v>
      </c>
      <c r="Q175" s="2">
        <f ca="1">INDEX(INDIRECT(_xlfn.CONCAT("weather.tbl[",Q$1,"]")),MATCH(vp.data[[#This Row],[SDate]],weather.tbl[Date],0))</f>
        <v>12.3</v>
      </c>
      <c r="R175" s="2">
        <f ca="1">INDEX(INDIRECT(_xlfn.CONCAT("weather.tbl[",R$1,"]")),MATCH(vp.data[[#This Row],[SDate]],weather.tbl[Date],0))</f>
        <v>13.5</v>
      </c>
      <c r="S175" s="2">
        <f ca="1">INDEX(INDIRECT(_xlfn.CONCAT("weather.tbl[",S$1,"]")),MATCH(vp.data[[#This Row],[SDate]],weather.tbl[Date],0))</f>
        <v>16</v>
      </c>
      <c r="T175" s="2">
        <f ca="1">INDEX(INDIRECT(_xlfn.CONCAT("weather.tbl[",T$1,"]")),MATCH(vp.data[[#This Row],[SDate]],weather.tbl[Date],0))</f>
        <v>13.4</v>
      </c>
      <c r="U175" s="2">
        <f ca="1">INDEX(INDIRECT(_xlfn.CONCAT("weather.tbl[",U$1,"]")),MATCH(vp.data[[#This Row],[SDate]],weather.tbl[Date],0))</f>
        <v>14</v>
      </c>
      <c r="V175" s="2">
        <f t="array" ref="V1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3736.6970000000001</v>
      </c>
      <c r="W175" t="s">
        <v>48</v>
      </c>
      <c r="X175">
        <f>IF(OR(vp.data[[#This Row],[Sulf]]="",vp.data[[#This Row],[Dens]]=""),1,0)</f>
        <v>0</v>
      </c>
      <c r="Y175">
        <f>IF(vp.data[[#This Row],[CrudeType]]="C5+",1,0)</f>
        <v>0</v>
      </c>
      <c r="Z175">
        <f>IF(AND(vp.data[[#This Row],[CrudeType]]="Crude",vp.data[[#This Row],[Dens]]&lt;=825,vp.data[[#This Row],[Sulf]]&gt;0.5,vp.data[[#This Row],[Unknown]]=0),1,0)</f>
        <v>0</v>
      </c>
      <c r="AA175">
        <f>IF(AND(vp.data[[#This Row],[CrudeType]]="Crude",vp.data[[#This Row],[Dens]]&lt;=825,vp.data[[#This Row],[Sulf]]&lt;=0.5,vp.data[[#This Row],[Unknown]]=0),1,0)</f>
        <v>0</v>
      </c>
      <c r="AB1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75">
        <f>IF(AND(vp.data[[#This Row],[CrudeType]]="Crude",vp.data[[#This Row],[Dens]]&gt;825,vp.data[[#This Row],[Dens]]&lt;=900,vp.data[[#This Row],[Sulf]]&lt;=0.5,vp.data[[#This Row],[Unknown]]=0),1,0)</f>
        <v>0</v>
      </c>
      <c r="AD175">
        <f>IF(AND(vp.data[[#This Row],[CrudeType]]="Crude",vp.data[[#This Row],[Dens]]&gt;865,vp.data[[#This Row],[Dens]]&lt;=900,vp.data[[#This Row],[Sulf]]&gt;2,vp.data[[#This Row],[Unknown]]=0),1,0)</f>
        <v>0</v>
      </c>
      <c r="AE175">
        <f>IF(AND(vp.data[[#This Row],[CrudeType]]="Crude",vp.data[[#This Row],[Dens]]&gt;900,vp.data[[#This Row],[Sulf]]&lt;=0.5,vp.data[[#This Row],[Unknown]]=0),1,0)</f>
        <v>0</v>
      </c>
      <c r="AF175">
        <f>IF(AND(vp.data[[#This Row],[CrudeType]]="Crude",vp.data[[#This Row],[Dens]]&gt;900,vp.data[[#This Row],[Sulf]]&lt;=0.5,vp.data[[#This Row],[Unknown]]=0),1,0)</f>
        <v>0</v>
      </c>
      <c r="AG175" t="str">
        <f>INDEX(vp.data[[#Headers],[Unknown]:[Heavy_SW]],MATCH(1,vp.data[[#This Row],[Unknown]:[Heavy_SW]],0))</f>
        <v>Medium_LSB</v>
      </c>
      <c r="AH175">
        <f>INDEX([3]!crudeBD.lkup[Number],MATCH(vp.data[[#This Row],[Crude_Breakdown]],crudeBD.lkup[Crude Breakdown],0))</f>
        <v>3</v>
      </c>
      <c r="AI175">
        <f>MONTH(vp.data[[#This Row],[SDate]])</f>
        <v>5</v>
      </c>
      <c r="AJ175" s="5">
        <f>(vp.data[[#This Row],[VP]]-INDEX(crudeBD.lkup[Mean_VP],MATCH(vp.data[[#This Row],[Crude_Breakdown]],crudeBD.lkup[Crude Breakdown],0)))^2</f>
        <v>1229.2262804280754</v>
      </c>
      <c r="AK175" s="5">
        <f>(vp.data[[#This Row],[Dens]]-INDEX(crudeBD.lkup[Mean_Dens],MATCH(vp.data[[#This Row],[Crude_Breakdown]],crudeBD.lkup[Crude Breakdown],0)))^2</f>
        <v>3.6863999999980965</v>
      </c>
      <c r="AL175" s="5">
        <f>(vp.data[[#This Row],[Sulf]]-INDEX(crudeBD.lkup[Mean_Sulf],MATCH(vp.data[[#This Row],[Crude_Breakdown]],crudeBD.lkup[Crude Breakdown],0)))^2</f>
        <v>9.3274123845019638E-2</v>
      </c>
      <c r="AM175" s="4">
        <f>IF(AND(vp.data[[#This Row],[SDate]]&gt;=DATE(YEAR(vp.data[[#This Row],[SDate]]),5,1),vp.data[[#This Row],[SDate]]&lt;=DATE(YEAR(vp.data[[#This Row],[SDate]]),9,15)),1,0)</f>
        <v>1</v>
      </c>
      <c r="AN175" s="4">
        <f>IF(vp.data[[#This Row],[SDate]]&lt;DATE(2016,12,1),0,1)</f>
        <v>0</v>
      </c>
      <c r="AO175" s="4">
        <f>IFERROR(vp.data[[#This Row],[Sulf]]*vp.data[[#This Row],[Net Dens]],"")</f>
        <v>3398002.7839200008</v>
      </c>
      <c r="AP175">
        <f>IFERROR(vp.data[[#This Row],[Dens]]*vp.data[[#This Row],[VolumeM3]],"")</f>
        <v>3146298.8740000003</v>
      </c>
      <c r="AQ175" s="15">
        <f>IFERROR(vp.data[[#This Row],[VP]]*vp.data[[#This Row],[VolumeM3]],"")</f>
        <v>432335.84290000005</v>
      </c>
    </row>
    <row r="176" spans="1:43" x14ac:dyDescent="0.25">
      <c r="A176">
        <v>175</v>
      </c>
      <c r="B176" t="s">
        <v>49</v>
      </c>
      <c r="C176" t="s">
        <v>49</v>
      </c>
      <c r="D176" t="s">
        <v>67</v>
      </c>
      <c r="F176" s="1">
        <v>42493</v>
      </c>
      <c r="G176" s="2">
        <v>88.8</v>
      </c>
      <c r="H176" s="2"/>
      <c r="I176" s="2">
        <f t="array" ref="I176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76" s="2"/>
      <c r="K176" s="2"/>
      <c r="L176" s="2">
        <v>803.6</v>
      </c>
      <c r="M176" s="2">
        <f t="array" ref="M176">_xlfn.IFNA(IF(vp.data[[#This Row],[Dens Input]]="",INDEX([1]DATA!$O$3:$O$9826,MATCH(1,(vp.data[[#This Row],[Battery]]=[1]DATA!$L$3:$L$9826)*(EOMONTH(vp.data[[#This Row],[SDate]],-1)+1=[1]DATA!$G$3:$G$9826),0)),vp.data[[#This Row],[Dens Input]]),"")</f>
        <v>803.6</v>
      </c>
      <c r="N176" s="2">
        <f ca="1">INDEX(INDIRECT(_xlfn.CONCAT("weather.tbl[",N$1,"]")),MATCH(vp.data[[#This Row],[SDate]],weather.tbl[Date],0))</f>
        <v>14.399999999999999</v>
      </c>
      <c r="O176" s="2">
        <f ca="1">INDEX(INDIRECT(_xlfn.CONCAT("weather.tbl[",O$1,"]")),MATCH(vp.data[[#This Row],[SDate]],weather.tbl[Date],0))</f>
        <v>9.9547619047619058</v>
      </c>
      <c r="P176" s="2">
        <f ca="1">INDEX(INDIRECT(_xlfn.CONCAT("weather.tbl[",P$1,"]")),MATCH(vp.data[[#This Row],[SDate]],weather.tbl[Date],0))</f>
        <v>14.2</v>
      </c>
      <c r="Q176" s="2">
        <f ca="1">INDEX(INDIRECT(_xlfn.CONCAT("weather.tbl[",Q$1,"]")),MATCH(vp.data[[#This Row],[SDate]],weather.tbl[Date],0))</f>
        <v>14.3</v>
      </c>
      <c r="R176" s="2">
        <f ca="1">INDEX(INDIRECT(_xlfn.CONCAT("weather.tbl[",R$1,"]")),MATCH(vp.data[[#This Row],[SDate]],weather.tbl[Date],0))</f>
        <v>14.8</v>
      </c>
      <c r="S176" s="2">
        <f ca="1">INDEX(INDIRECT(_xlfn.CONCAT("weather.tbl[",S$1,"]")),MATCH(vp.data[[#This Row],[SDate]],weather.tbl[Date],0))</f>
        <v>16</v>
      </c>
      <c r="T176" s="2">
        <f ca="1">INDEX(INDIRECT(_xlfn.CONCAT("weather.tbl[",T$1,"]")),MATCH(vp.data[[#This Row],[SDate]],weather.tbl[Date],0))</f>
        <v>13.1</v>
      </c>
      <c r="U176" s="2">
        <f ca="1">INDEX(INDIRECT(_xlfn.CONCAT("weather.tbl[",U$1,"]")),MATCH(vp.data[[#This Row],[SDate]],weather.tbl[Date],0))</f>
        <v>14</v>
      </c>
      <c r="V176" s="2">
        <f t="array" ref="V1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57057.805</v>
      </c>
      <c r="W176" t="s">
        <v>48</v>
      </c>
      <c r="X176">
        <f>IF(OR(vp.data[[#This Row],[Sulf]]="",vp.data[[#This Row],[Dens]]=""),1,0)</f>
        <v>0</v>
      </c>
      <c r="Y176">
        <f>IF(vp.data[[#This Row],[CrudeType]]="C5+",1,0)</f>
        <v>0</v>
      </c>
      <c r="Z176">
        <f>IF(AND(vp.data[[#This Row],[CrudeType]]="Crude",vp.data[[#This Row],[Dens]]&lt;=825,vp.data[[#This Row],[Sulf]]&gt;0.5,vp.data[[#This Row],[Unknown]]=0),1,0)</f>
        <v>0</v>
      </c>
      <c r="AA176">
        <f>IF(AND(vp.data[[#This Row],[CrudeType]]="Crude",vp.data[[#This Row],[Dens]]&lt;=825,vp.data[[#This Row],[Sulf]]&lt;=0.5,vp.data[[#This Row],[Unknown]]=0),1,0)</f>
        <v>1</v>
      </c>
      <c r="AB1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6">
        <f>IF(AND(vp.data[[#This Row],[CrudeType]]="Crude",vp.data[[#This Row],[Dens]]&gt;825,vp.data[[#This Row],[Dens]]&lt;=900,vp.data[[#This Row],[Sulf]]&lt;=0.5,vp.data[[#This Row],[Unknown]]=0),1,0)</f>
        <v>0</v>
      </c>
      <c r="AD176">
        <f>IF(AND(vp.data[[#This Row],[CrudeType]]="Crude",vp.data[[#This Row],[Dens]]&gt;865,vp.data[[#This Row],[Dens]]&lt;=900,vp.data[[#This Row],[Sulf]]&gt;2,vp.data[[#This Row],[Unknown]]=0),1,0)</f>
        <v>0</v>
      </c>
      <c r="AE176">
        <f>IF(AND(vp.data[[#This Row],[CrudeType]]="Crude",vp.data[[#This Row],[Dens]]&gt;900,vp.data[[#This Row],[Sulf]]&lt;=0.5,vp.data[[#This Row],[Unknown]]=0),1,0)</f>
        <v>0</v>
      </c>
      <c r="AF176">
        <f>IF(AND(vp.data[[#This Row],[CrudeType]]="Crude",vp.data[[#This Row],[Dens]]&gt;900,vp.data[[#This Row],[Sulf]]&lt;=0.5,vp.data[[#This Row],[Unknown]]=0),1,0)</f>
        <v>0</v>
      </c>
      <c r="AG176" t="str">
        <f>INDEX(vp.data[[#Headers],[Unknown]:[Heavy_SW]],MATCH(1,vp.data[[#This Row],[Unknown]:[Heavy_SW]],0))</f>
        <v>Light_SW</v>
      </c>
      <c r="AH176">
        <f>INDEX([3]!crudeBD.lkup[Number],MATCH(vp.data[[#This Row],[Crude_Breakdown]],crudeBD.lkup[Crude Breakdown],0))</f>
        <v>2</v>
      </c>
      <c r="AI176">
        <f>MONTH(vp.data[[#This Row],[SDate]])</f>
        <v>5</v>
      </c>
      <c r="AJ176" s="5">
        <f>(vp.data[[#This Row],[VP]]-INDEX(crudeBD.lkup[Mean_VP],MATCH(vp.data[[#This Row],[Crude_Breakdown]],crudeBD.lkup[Crude Breakdown],0)))^2</f>
        <v>14.064852014714074</v>
      </c>
      <c r="AK176" s="5">
        <f>(vp.data[[#This Row],[Dens]]-INDEX(crudeBD.lkup[Mean_Dens],MATCH(vp.data[[#This Row],[Crude_Breakdown]],crudeBD.lkup[Crude Breakdown],0)))^2</f>
        <v>22.198215833624456</v>
      </c>
      <c r="AL176" s="5">
        <f>(vp.data[[#This Row],[Sulf]]-INDEX(crudeBD.lkup[Mean_Sulf],MATCH(vp.data[[#This Row],[Crude_Breakdown]],crudeBD.lkup[Crude Breakdown],0)))^2</f>
        <v>6.8863268899706654E-4</v>
      </c>
      <c r="AM176" s="4">
        <f>IF(AND(vp.data[[#This Row],[SDate]]&gt;=DATE(YEAR(vp.data[[#This Row],[SDate]]),5,1),vp.data[[#This Row],[SDate]]&lt;=DATE(YEAR(vp.data[[#This Row],[SDate]]),9,15)),1,0)</f>
        <v>1</v>
      </c>
      <c r="AN176" s="4">
        <f>IF(vp.data[[#This Row],[SDate]]&lt;DATE(2016,12,1),0,1)</f>
        <v>0</v>
      </c>
      <c r="AO176" s="4">
        <f>IFERROR(vp.data[[#This Row],[Sulf]]*vp.data[[#This Row],[Net Dens]],"")</f>
        <v>9628846.9405800011</v>
      </c>
      <c r="AP176">
        <f>IFERROR(vp.data[[#This Row],[Dens]]*vp.data[[#This Row],[VolumeM3]],"")</f>
        <v>45851652.098000005</v>
      </c>
      <c r="AQ176" s="15">
        <f>IFERROR(vp.data[[#This Row],[VP]]*vp.data[[#This Row],[VolumeM3]],"")</f>
        <v>5066733.0839999998</v>
      </c>
    </row>
    <row r="177" spans="1:43" x14ac:dyDescent="0.25">
      <c r="A177">
        <v>176</v>
      </c>
      <c r="B177" t="s">
        <v>49</v>
      </c>
      <c r="C177" t="s">
        <v>49</v>
      </c>
      <c r="D177" t="s">
        <v>89</v>
      </c>
      <c r="F177" s="1">
        <v>42493</v>
      </c>
      <c r="G177" s="2">
        <v>98.8</v>
      </c>
      <c r="H177" s="2"/>
      <c r="I177" s="2">
        <f t="array" ref="I17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77" s="2"/>
      <c r="K177" s="2"/>
      <c r="L177" s="2">
        <v>815.3</v>
      </c>
      <c r="M177" s="2">
        <f t="array" ref="M177">_xlfn.IFNA(IF(vp.data[[#This Row],[Dens Input]]="",INDEX([1]DATA!$O$3:$O$9826,MATCH(1,(vp.data[[#This Row],[Battery]]=[1]DATA!$L$3:$L$9826)*(EOMONTH(vp.data[[#This Row],[SDate]],-1)+1=[1]DATA!$G$3:$G$9826),0)),vp.data[[#This Row],[Dens Input]]),"")</f>
        <v>815.3</v>
      </c>
      <c r="N177" s="2">
        <f ca="1">INDEX(INDIRECT(_xlfn.CONCAT("weather.tbl[",N$1,"]")),MATCH(vp.data[[#This Row],[SDate]],weather.tbl[Date],0))</f>
        <v>14.399999999999999</v>
      </c>
      <c r="O177" s="2">
        <f ca="1">INDEX(INDIRECT(_xlfn.CONCAT("weather.tbl[",O$1,"]")),MATCH(vp.data[[#This Row],[SDate]],weather.tbl[Date],0))</f>
        <v>9.9547619047619058</v>
      </c>
      <c r="P177" s="2">
        <f ca="1">INDEX(INDIRECT(_xlfn.CONCAT("weather.tbl[",P$1,"]")),MATCH(vp.data[[#This Row],[SDate]],weather.tbl[Date],0))</f>
        <v>14.2</v>
      </c>
      <c r="Q177" s="2">
        <f ca="1">INDEX(INDIRECT(_xlfn.CONCAT("weather.tbl[",Q$1,"]")),MATCH(vp.data[[#This Row],[SDate]],weather.tbl[Date],0))</f>
        <v>14.3</v>
      </c>
      <c r="R177" s="2">
        <f ca="1">INDEX(INDIRECT(_xlfn.CONCAT("weather.tbl[",R$1,"]")),MATCH(vp.data[[#This Row],[SDate]],weather.tbl[Date],0))</f>
        <v>14.8</v>
      </c>
      <c r="S177" s="2">
        <f ca="1">INDEX(INDIRECT(_xlfn.CONCAT("weather.tbl[",S$1,"]")),MATCH(vp.data[[#This Row],[SDate]],weather.tbl[Date],0))</f>
        <v>16</v>
      </c>
      <c r="T177" s="2">
        <f ca="1">INDEX(INDIRECT(_xlfn.CONCAT("weather.tbl[",T$1,"]")),MATCH(vp.data[[#This Row],[SDate]],weather.tbl[Date],0))</f>
        <v>13.1</v>
      </c>
      <c r="U177" s="2">
        <f ca="1">INDEX(INDIRECT(_xlfn.CONCAT("weather.tbl[",U$1,"]")),MATCH(vp.data[[#This Row],[SDate]],weather.tbl[Date],0))</f>
        <v>14</v>
      </c>
      <c r="V177" s="2">
        <f t="array" ref="V1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6943.06</v>
      </c>
      <c r="W177" t="s">
        <v>48</v>
      </c>
      <c r="X177">
        <f>IF(OR(vp.data[[#This Row],[Sulf]]="",vp.data[[#This Row],[Dens]]=""),1,0)</f>
        <v>0</v>
      </c>
      <c r="Y177">
        <f>IF(vp.data[[#This Row],[CrudeType]]="C5+",1,0)</f>
        <v>0</v>
      </c>
      <c r="Z177">
        <f>IF(AND(vp.data[[#This Row],[CrudeType]]="Crude",vp.data[[#This Row],[Dens]]&lt;=825,vp.data[[#This Row],[Sulf]]&gt;0.5,vp.data[[#This Row],[Unknown]]=0),1,0)</f>
        <v>0</v>
      </c>
      <c r="AA177">
        <f>IF(AND(vp.data[[#This Row],[CrudeType]]="Crude",vp.data[[#This Row],[Dens]]&lt;=825,vp.data[[#This Row],[Sulf]]&lt;=0.5,vp.data[[#This Row],[Unknown]]=0),1,0)</f>
        <v>1</v>
      </c>
      <c r="AB1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7">
        <f>IF(AND(vp.data[[#This Row],[CrudeType]]="Crude",vp.data[[#This Row],[Dens]]&gt;825,vp.data[[#This Row],[Dens]]&lt;=900,vp.data[[#This Row],[Sulf]]&lt;=0.5,vp.data[[#This Row],[Unknown]]=0),1,0)</f>
        <v>0</v>
      </c>
      <c r="AD177">
        <f>IF(AND(vp.data[[#This Row],[CrudeType]]="Crude",vp.data[[#This Row],[Dens]]&gt;865,vp.data[[#This Row],[Dens]]&lt;=900,vp.data[[#This Row],[Sulf]]&gt;2,vp.data[[#This Row],[Unknown]]=0),1,0)</f>
        <v>0</v>
      </c>
      <c r="AE177">
        <f>IF(AND(vp.data[[#This Row],[CrudeType]]="Crude",vp.data[[#This Row],[Dens]]&gt;900,vp.data[[#This Row],[Sulf]]&lt;=0.5,vp.data[[#This Row],[Unknown]]=0),1,0)</f>
        <v>0</v>
      </c>
      <c r="AF177">
        <f>IF(AND(vp.data[[#This Row],[CrudeType]]="Crude",vp.data[[#This Row],[Dens]]&gt;900,vp.data[[#This Row],[Sulf]]&lt;=0.5,vp.data[[#This Row],[Unknown]]=0),1,0)</f>
        <v>0</v>
      </c>
      <c r="AG177" t="str">
        <f>INDEX(vp.data[[#Headers],[Unknown]:[Heavy_SW]],MATCH(1,vp.data[[#This Row],[Unknown]:[Heavy_SW]],0))</f>
        <v>Light_SW</v>
      </c>
      <c r="AH177">
        <f>INDEX([3]!crudeBD.lkup[Number],MATCH(vp.data[[#This Row],[Crude_Breakdown]],crudeBD.lkup[Crude Breakdown],0))</f>
        <v>2</v>
      </c>
      <c r="AI177">
        <f>MONTH(vp.data[[#This Row],[SDate]])</f>
        <v>5</v>
      </c>
      <c r="AJ177" s="5">
        <f>(vp.data[[#This Row],[VP]]-INDEX(crudeBD.lkup[Mean_VP],MATCH(vp.data[[#This Row],[Crude_Breakdown]],crudeBD.lkup[Crude Breakdown],0)))^2</f>
        <v>39.058580237711119</v>
      </c>
      <c r="AK177" s="5">
        <f>(vp.data[[#This Row],[Dens]]-INDEX(crudeBD.lkup[Mean_Dens],MATCH(vp.data[[#This Row],[Crude_Breakdown]],crudeBD.lkup[Crude Breakdown],0)))^2</f>
        <v>48.83915660017967</v>
      </c>
      <c r="AL177" s="5">
        <f>(vp.data[[#This Row],[Sulf]]-INDEX(crudeBD.lkup[Mean_Sulf],MATCH(vp.data[[#This Row],[Crude_Breakdown]],crudeBD.lkup[Crude Breakdown],0)))^2</f>
        <v>6.8863268899706654E-4</v>
      </c>
      <c r="AM177" s="4">
        <f>IF(AND(vp.data[[#This Row],[SDate]]&gt;=DATE(YEAR(vp.data[[#This Row],[SDate]]),5,1),vp.data[[#This Row],[SDate]]&lt;=DATE(YEAR(vp.data[[#This Row],[SDate]]),9,15)),1,0)</f>
        <v>1</v>
      </c>
      <c r="AN177" s="4">
        <f>IF(vp.data[[#This Row],[SDate]]&lt;DATE(2016,12,1),0,1)</f>
        <v>0</v>
      </c>
      <c r="AO177" s="4">
        <f>IFERROR(vp.data[[#This Row],[Sulf]]*vp.data[[#This Row],[Net Dens]],"")</f>
        <v>1188742.1317799999</v>
      </c>
      <c r="AP177">
        <f>IFERROR(vp.data[[#This Row],[Dens]]*vp.data[[#This Row],[VolumeM3]],"")</f>
        <v>5660676.818</v>
      </c>
      <c r="AQ177" s="15">
        <f>IFERROR(vp.data[[#This Row],[VP]]*vp.data[[#This Row],[VolumeM3]],"")</f>
        <v>685974.32799999998</v>
      </c>
    </row>
    <row r="178" spans="1:43" x14ac:dyDescent="0.25">
      <c r="A178">
        <v>177</v>
      </c>
      <c r="B178" t="s">
        <v>51</v>
      </c>
      <c r="C178" t="s">
        <v>51</v>
      </c>
      <c r="D178" t="s">
        <v>66</v>
      </c>
      <c r="F178" s="1">
        <v>42499</v>
      </c>
      <c r="G178" s="2">
        <v>79.2</v>
      </c>
      <c r="H178" s="2"/>
      <c r="I178" s="2">
        <f t="array" ref="I178">_xlfn.IFNA(IF(vp.data[[#This Row],[Sulf Input]]="",INDEX([1]DATA!$Q$3:$Q$9826,MATCH(1,(vp.data[[#This Row],[Battery]]=[1]DATA!$L$3:$L$9826)*(EOMONTH(vp.data[[#This Row],[SDate]],-1)+1=[1]DATA!$G$3:$G$9826),0)),vp.data[[#This Row],[Sulf Input]]),"")</f>
        <v>0.9</v>
      </c>
      <c r="J178" s="2"/>
      <c r="K178" s="2"/>
      <c r="L178" s="2">
        <v>826.5</v>
      </c>
      <c r="M178" s="2">
        <f t="array" ref="M178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78" s="2">
        <f ca="1">INDEX(INDIRECT(_xlfn.CONCAT("weather.tbl[",N$1,"]")),MATCH(vp.data[[#This Row],[SDate]],weather.tbl[Date],0))</f>
        <v>16.900000000000002</v>
      </c>
      <c r="O178" s="2">
        <f ca="1">INDEX(INDIRECT(_xlfn.CONCAT("weather.tbl[",O$1,"]")),MATCH(vp.data[[#This Row],[SDate]],weather.tbl[Date],0))</f>
        <v>16.095238095238095</v>
      </c>
      <c r="P178" s="2">
        <f ca="1">INDEX(INDIRECT(_xlfn.CONCAT("weather.tbl[",P$1,"]")),MATCH(vp.data[[#This Row],[SDate]],weather.tbl[Date],0))</f>
        <v>16.3</v>
      </c>
      <c r="Q178" s="2">
        <f ca="1">INDEX(INDIRECT(_xlfn.CONCAT("weather.tbl[",Q$1,"]")),MATCH(vp.data[[#This Row],[SDate]],weather.tbl[Date],0))</f>
        <v>17.3</v>
      </c>
      <c r="R178" s="2">
        <f ca="1">INDEX(INDIRECT(_xlfn.CONCAT("weather.tbl[",R$1,"]")),MATCH(vp.data[[#This Row],[SDate]],weather.tbl[Date],0))</f>
        <v>16</v>
      </c>
      <c r="S178" s="2">
        <f ca="1">INDEX(INDIRECT(_xlfn.CONCAT("weather.tbl[",S$1,"]")),MATCH(vp.data[[#This Row],[SDate]],weather.tbl[Date],0))</f>
        <v>17.3</v>
      </c>
      <c r="T178" s="2">
        <f ca="1">INDEX(INDIRECT(_xlfn.CONCAT("weather.tbl[",T$1,"]")),MATCH(vp.data[[#This Row],[SDate]],weather.tbl[Date],0))</f>
        <v>17.5</v>
      </c>
      <c r="U178" s="2">
        <f ca="1">INDEX(INDIRECT(_xlfn.CONCAT("weather.tbl[",U$1,"]")),MATCH(vp.data[[#This Row],[SDate]],weather.tbl[Date],0))</f>
        <v>17</v>
      </c>
      <c r="V178" s="2">
        <f t="array" ref="V1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3966.6509999999998</v>
      </c>
      <c r="W178" t="s">
        <v>48</v>
      </c>
      <c r="X178">
        <f>IF(OR(vp.data[[#This Row],[Sulf]]="",vp.data[[#This Row],[Dens]]=""),1,0)</f>
        <v>0</v>
      </c>
      <c r="Y178">
        <f>IF(vp.data[[#This Row],[CrudeType]]="C5+",1,0)</f>
        <v>0</v>
      </c>
      <c r="Z178">
        <f>IF(AND(vp.data[[#This Row],[CrudeType]]="Crude",vp.data[[#This Row],[Dens]]&lt;=825,vp.data[[#This Row],[Sulf]]&gt;0.5,vp.data[[#This Row],[Unknown]]=0),1,0)</f>
        <v>0</v>
      </c>
      <c r="AA178">
        <f>IF(AND(vp.data[[#This Row],[CrudeType]]="Crude",vp.data[[#This Row],[Dens]]&lt;=825,vp.data[[#This Row],[Sulf]]&lt;=0.5,vp.data[[#This Row],[Unknown]]=0),1,0)</f>
        <v>0</v>
      </c>
      <c r="AB1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78">
        <f>IF(AND(vp.data[[#This Row],[CrudeType]]="Crude",vp.data[[#This Row],[Dens]]&gt;825,vp.data[[#This Row],[Dens]]&lt;=900,vp.data[[#This Row],[Sulf]]&lt;=0.5,vp.data[[#This Row],[Unknown]]=0),1,0)</f>
        <v>0</v>
      </c>
      <c r="AD178">
        <f>IF(AND(vp.data[[#This Row],[CrudeType]]="Crude",vp.data[[#This Row],[Dens]]&gt;865,vp.data[[#This Row],[Dens]]&lt;=900,vp.data[[#This Row],[Sulf]]&gt;2,vp.data[[#This Row],[Unknown]]=0),1,0)</f>
        <v>0</v>
      </c>
      <c r="AE178">
        <f>IF(AND(vp.data[[#This Row],[CrudeType]]="Crude",vp.data[[#This Row],[Dens]]&gt;900,vp.data[[#This Row],[Sulf]]&lt;=0.5,vp.data[[#This Row],[Unknown]]=0),1,0)</f>
        <v>0</v>
      </c>
      <c r="AF178">
        <f>IF(AND(vp.data[[#This Row],[CrudeType]]="Crude",vp.data[[#This Row],[Dens]]&gt;900,vp.data[[#This Row],[Sulf]]&lt;=0.5,vp.data[[#This Row],[Unknown]]=0),1,0)</f>
        <v>0</v>
      </c>
      <c r="AG178" t="str">
        <f>INDEX(vp.data[[#Headers],[Unknown]:[Heavy_SW]],MATCH(1,vp.data[[#This Row],[Unknown]:[Heavy_SW]],0))</f>
        <v>Medium_LSB</v>
      </c>
      <c r="AH178">
        <f>INDEX([3]!crudeBD.lkup[Number],MATCH(vp.data[[#This Row],[Crude_Breakdown]],crudeBD.lkup[Crude Breakdown],0))</f>
        <v>3</v>
      </c>
      <c r="AI178">
        <f>MONTH(vp.data[[#This Row],[SDate]])</f>
        <v>5</v>
      </c>
      <c r="AJ178" s="5">
        <f>(vp.data[[#This Row],[VP]]-INDEX(crudeBD.lkup[Mean_VP],MATCH(vp.data[[#This Row],[Crude_Breakdown]],crudeBD.lkup[Crude Breakdown],0)))^2</f>
        <v>2.0726685682316353</v>
      </c>
      <c r="AK178" s="5">
        <f>(vp.data[[#This Row],[Dens]]-INDEX(crudeBD.lkup[Mean_Dens],MATCH(vp.data[[#This Row],[Crude_Breakdown]],crudeBD.lkup[Crude Breakdown],0)))^2</f>
        <v>303.45639999998275</v>
      </c>
      <c r="AL178" s="5">
        <f>(vp.data[[#This Row],[Sulf]]-INDEX(crudeBD.lkup[Mean_Sulf],MATCH(vp.data[[#This Row],[Crude_Breakdown]],crudeBD.lkup[Crude Breakdown],0)))^2</f>
        <v>0.23562104945148921</v>
      </c>
      <c r="AM178" s="4">
        <f>IF(AND(vp.data[[#This Row],[SDate]]&gt;=DATE(YEAR(vp.data[[#This Row],[SDate]]),5,1),vp.data[[#This Row],[SDate]]&lt;=DATE(YEAR(vp.data[[#This Row],[SDate]]),9,15)),1,0)</f>
        <v>1</v>
      </c>
      <c r="AN178" s="4">
        <f>IF(vp.data[[#This Row],[SDate]]&lt;DATE(2016,12,1),0,1)</f>
        <v>0</v>
      </c>
      <c r="AO178" s="4">
        <f>IFERROR(vp.data[[#This Row],[Sulf]]*vp.data[[#This Row],[Net Dens]],"")</f>
        <v>2950593.3463500002</v>
      </c>
      <c r="AP178">
        <f>IFERROR(vp.data[[#This Row],[Dens]]*vp.data[[#This Row],[VolumeM3]],"")</f>
        <v>3278437.0515000001</v>
      </c>
      <c r="AQ178" s="15">
        <f>IFERROR(vp.data[[#This Row],[VP]]*vp.data[[#This Row],[VolumeM3]],"")</f>
        <v>314158.75919999997</v>
      </c>
    </row>
    <row r="179" spans="1:43" x14ac:dyDescent="0.25">
      <c r="A179">
        <v>178</v>
      </c>
      <c r="B179" t="s">
        <v>62</v>
      </c>
      <c r="C179" t="s">
        <v>62</v>
      </c>
      <c r="D179" t="s">
        <v>87</v>
      </c>
      <c r="F179" s="1">
        <v>42501</v>
      </c>
      <c r="G179" s="2">
        <v>84.6</v>
      </c>
      <c r="H179" s="2"/>
      <c r="I179" s="2">
        <f t="array" ref="I179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79" s="2"/>
      <c r="K179" s="2"/>
      <c r="L179" s="2">
        <v>809.7</v>
      </c>
      <c r="M179" s="2">
        <f t="array" ref="M179">_xlfn.IFNA(IF(vp.data[[#This Row],[Dens Input]]="",INDEX([1]DATA!$O$3:$O$9826,MATCH(1,(vp.data[[#This Row],[Battery]]=[1]DATA!$L$3:$L$9826)*(EOMONTH(vp.data[[#This Row],[SDate]],-1)+1=[1]DATA!$G$3:$G$9826),0)),vp.data[[#This Row],[Dens Input]]),"")</f>
        <v>809.7</v>
      </c>
      <c r="N179" s="2">
        <f ca="1">INDEX(INDIRECT(_xlfn.CONCAT("weather.tbl[",N$1,"]")),MATCH(vp.data[[#This Row],[SDate]],weather.tbl[Date],0))</f>
        <v>6.0166666666666666</v>
      </c>
      <c r="O179" s="2">
        <f ca="1">INDEX(INDIRECT(_xlfn.CONCAT("weather.tbl[",O$1,"]")),MATCH(vp.data[[#This Row],[SDate]],weather.tbl[Date],0))</f>
        <v>13.845238095238093</v>
      </c>
      <c r="P179" s="2">
        <f ca="1">INDEX(INDIRECT(_xlfn.CONCAT("weather.tbl[",P$1,"]")),MATCH(vp.data[[#This Row],[SDate]],weather.tbl[Date],0))</f>
        <v>5.7</v>
      </c>
      <c r="Q179" s="2">
        <f ca="1">INDEX(INDIRECT(_xlfn.CONCAT("weather.tbl[",Q$1,"]")),MATCH(vp.data[[#This Row],[SDate]],weather.tbl[Date],0))</f>
        <v>6.8</v>
      </c>
      <c r="R179" s="2">
        <f ca="1">INDEX(INDIRECT(_xlfn.CONCAT("weather.tbl[",R$1,"]")),MATCH(vp.data[[#This Row],[SDate]],weather.tbl[Date],0))</f>
        <v>5.5</v>
      </c>
      <c r="S179" s="2">
        <f ca="1">INDEX(INDIRECT(_xlfn.CONCAT("weather.tbl[",S$1,"]")),MATCH(vp.data[[#This Row],[SDate]],weather.tbl[Date],0))</f>
        <v>6.5</v>
      </c>
      <c r="T179" s="2">
        <f ca="1">INDEX(INDIRECT(_xlfn.CONCAT("weather.tbl[",T$1,"]")),MATCH(vp.data[[#This Row],[SDate]],weather.tbl[Date],0))</f>
        <v>6.1</v>
      </c>
      <c r="U179" s="2">
        <f ca="1">INDEX(INDIRECT(_xlfn.CONCAT("weather.tbl[",U$1,"]")),MATCH(vp.data[[#This Row],[SDate]],weather.tbl[Date],0))</f>
        <v>5.5</v>
      </c>
      <c r="V179" s="2">
        <f t="array" ref="V1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8886.0290000000005</v>
      </c>
      <c r="W179" t="s">
        <v>48</v>
      </c>
      <c r="X179">
        <f>IF(OR(vp.data[[#This Row],[Sulf]]="",vp.data[[#This Row],[Dens]]=""),1,0)</f>
        <v>0</v>
      </c>
      <c r="Y179">
        <f>IF(vp.data[[#This Row],[CrudeType]]="C5+",1,0)</f>
        <v>0</v>
      </c>
      <c r="Z179">
        <f>IF(AND(vp.data[[#This Row],[CrudeType]]="Crude",vp.data[[#This Row],[Dens]]&lt;=825,vp.data[[#This Row],[Sulf]]&gt;0.5,vp.data[[#This Row],[Unknown]]=0),1,0)</f>
        <v>0</v>
      </c>
      <c r="AA179">
        <f>IF(AND(vp.data[[#This Row],[CrudeType]]="Crude",vp.data[[#This Row],[Dens]]&lt;=825,vp.data[[#This Row],[Sulf]]&lt;=0.5,vp.data[[#This Row],[Unknown]]=0),1,0)</f>
        <v>1</v>
      </c>
      <c r="AB1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9">
        <f>IF(AND(vp.data[[#This Row],[CrudeType]]="Crude",vp.data[[#This Row],[Dens]]&gt;825,vp.data[[#This Row],[Dens]]&lt;=900,vp.data[[#This Row],[Sulf]]&lt;=0.5,vp.data[[#This Row],[Unknown]]=0),1,0)</f>
        <v>0</v>
      </c>
      <c r="AD179">
        <f>IF(AND(vp.data[[#This Row],[CrudeType]]="Crude",vp.data[[#This Row],[Dens]]&gt;865,vp.data[[#This Row],[Dens]]&lt;=900,vp.data[[#This Row],[Sulf]]&gt;2,vp.data[[#This Row],[Unknown]]=0),1,0)</f>
        <v>0</v>
      </c>
      <c r="AE179">
        <f>IF(AND(vp.data[[#This Row],[CrudeType]]="Crude",vp.data[[#This Row],[Dens]]&gt;900,vp.data[[#This Row],[Sulf]]&lt;=0.5,vp.data[[#This Row],[Unknown]]=0),1,0)</f>
        <v>0</v>
      </c>
      <c r="AF179">
        <f>IF(AND(vp.data[[#This Row],[CrudeType]]="Crude",vp.data[[#This Row],[Dens]]&gt;900,vp.data[[#This Row],[Sulf]]&lt;=0.5,vp.data[[#This Row],[Unknown]]=0),1,0)</f>
        <v>0</v>
      </c>
      <c r="AG179" t="str">
        <f>INDEX(vp.data[[#Headers],[Unknown]:[Heavy_SW]],MATCH(1,vp.data[[#This Row],[Unknown]:[Heavy_SW]],0))</f>
        <v>Light_SW</v>
      </c>
      <c r="AH179">
        <f>INDEX([3]!crudeBD.lkup[Number],MATCH(vp.data[[#This Row],[Crude_Breakdown]],crudeBD.lkup[Crude Breakdown],0))</f>
        <v>2</v>
      </c>
      <c r="AI179">
        <f>MONTH(vp.data[[#This Row],[SDate]])</f>
        <v>5</v>
      </c>
      <c r="AJ179" s="5">
        <f>(vp.data[[#This Row],[VP]]-INDEX(crudeBD.lkup[Mean_VP],MATCH(vp.data[[#This Row],[Crude_Breakdown]],crudeBD.lkup[Crude Breakdown],0)))^2</f>
        <v>63.207486161055357</v>
      </c>
      <c r="AK179" s="5">
        <f>(vp.data[[#This Row],[Dens]]-INDEX(crudeBD.lkup[Mean_Dens],MATCH(vp.data[[#This Row],[Crude_Breakdown]],crudeBD.lkup[Crude Breakdown],0)))^2</f>
        <v>1.9279370879828619</v>
      </c>
      <c r="AL179" s="5">
        <f>(vp.data[[#This Row],[Sulf]]-INDEX(crudeBD.lkup[Mean_Sulf],MATCH(vp.data[[#This Row],[Crude_Breakdown]],crudeBD.lkup[Crude Breakdown],0)))^2</f>
        <v>4.3879776367322437E-3</v>
      </c>
      <c r="AM179" s="4">
        <f>IF(AND(vp.data[[#This Row],[SDate]]&gt;=DATE(YEAR(vp.data[[#This Row],[SDate]]),5,1),vp.data[[#This Row],[SDate]]&lt;=DATE(YEAR(vp.data[[#This Row],[SDate]]),9,15)),1,0)</f>
        <v>1</v>
      </c>
      <c r="AN179" s="4">
        <f>IF(vp.data[[#This Row],[SDate]]&lt;DATE(2016,12,1),0,1)</f>
        <v>0</v>
      </c>
      <c r="AO179" s="4">
        <f>IFERROR(vp.data[[#This Row],[Sulf]]*vp.data[[#This Row],[Net Dens]],"")</f>
        <v>1223153.0058210003</v>
      </c>
      <c r="AP179">
        <f>IFERROR(vp.data[[#This Row],[Dens]]*vp.data[[#This Row],[VolumeM3]],"")</f>
        <v>7195017.6813000012</v>
      </c>
      <c r="AQ179" s="15">
        <f>IFERROR(vp.data[[#This Row],[VP]]*vp.data[[#This Row],[VolumeM3]],"")</f>
        <v>751758.05339999998</v>
      </c>
    </row>
    <row r="180" spans="1:43" x14ac:dyDescent="0.25">
      <c r="A180">
        <v>179</v>
      </c>
      <c r="B180" t="s">
        <v>62</v>
      </c>
      <c r="C180" t="s">
        <v>62</v>
      </c>
      <c r="D180" t="s">
        <v>83</v>
      </c>
      <c r="F180" s="1">
        <v>42501</v>
      </c>
      <c r="G180" s="2">
        <v>74.010000000000005</v>
      </c>
      <c r="H180" s="2"/>
      <c r="I180" s="2">
        <f t="array" ref="I180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80" s="2"/>
      <c r="K180" s="2"/>
      <c r="L180" s="2">
        <v>810.1</v>
      </c>
      <c r="M180" s="2">
        <f t="array" ref="M180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180" s="2">
        <f ca="1">INDEX(INDIRECT(_xlfn.CONCAT("weather.tbl[",N$1,"]")),MATCH(vp.data[[#This Row],[SDate]],weather.tbl[Date],0))</f>
        <v>6.0166666666666666</v>
      </c>
      <c r="O180" s="2">
        <f ca="1">INDEX(INDIRECT(_xlfn.CONCAT("weather.tbl[",O$1,"]")),MATCH(vp.data[[#This Row],[SDate]],weather.tbl[Date],0))</f>
        <v>13.845238095238093</v>
      </c>
      <c r="P180" s="2">
        <f ca="1">INDEX(INDIRECT(_xlfn.CONCAT("weather.tbl[",P$1,"]")),MATCH(vp.data[[#This Row],[SDate]],weather.tbl[Date],0))</f>
        <v>5.7</v>
      </c>
      <c r="Q180" s="2">
        <f ca="1">INDEX(INDIRECT(_xlfn.CONCAT("weather.tbl[",Q$1,"]")),MATCH(vp.data[[#This Row],[SDate]],weather.tbl[Date],0))</f>
        <v>6.8</v>
      </c>
      <c r="R180" s="2">
        <f ca="1">INDEX(INDIRECT(_xlfn.CONCAT("weather.tbl[",R$1,"]")),MATCH(vp.data[[#This Row],[SDate]],weather.tbl[Date],0))</f>
        <v>5.5</v>
      </c>
      <c r="S180" s="2">
        <f ca="1">INDEX(INDIRECT(_xlfn.CONCAT("weather.tbl[",S$1,"]")),MATCH(vp.data[[#This Row],[SDate]],weather.tbl[Date],0))</f>
        <v>6.5</v>
      </c>
      <c r="T180" s="2">
        <f ca="1">INDEX(INDIRECT(_xlfn.CONCAT("weather.tbl[",T$1,"]")),MATCH(vp.data[[#This Row],[SDate]],weather.tbl[Date],0))</f>
        <v>6.1</v>
      </c>
      <c r="U180" s="2">
        <f ca="1">INDEX(INDIRECT(_xlfn.CONCAT("weather.tbl[",U$1,"]")),MATCH(vp.data[[#This Row],[SDate]],weather.tbl[Date],0))</f>
        <v>5.5</v>
      </c>
      <c r="V180" s="2">
        <f t="array" ref="V1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11957.736999999999</v>
      </c>
      <c r="W180" t="s">
        <v>48</v>
      </c>
      <c r="X180">
        <f>IF(OR(vp.data[[#This Row],[Sulf]]="",vp.data[[#This Row],[Dens]]=""),1,0)</f>
        <v>0</v>
      </c>
      <c r="Y180">
        <f>IF(vp.data[[#This Row],[CrudeType]]="C5+",1,0)</f>
        <v>0</v>
      </c>
      <c r="Z180">
        <f>IF(AND(vp.data[[#This Row],[CrudeType]]="Crude",vp.data[[#This Row],[Dens]]&lt;=825,vp.data[[#This Row],[Sulf]]&gt;0.5,vp.data[[#This Row],[Unknown]]=0),1,0)</f>
        <v>0</v>
      </c>
      <c r="AA180">
        <f>IF(AND(vp.data[[#This Row],[CrudeType]]="Crude",vp.data[[#This Row],[Dens]]&lt;=825,vp.data[[#This Row],[Sulf]]&lt;=0.5,vp.data[[#This Row],[Unknown]]=0),1,0)</f>
        <v>1</v>
      </c>
      <c r="AB1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0">
        <f>IF(AND(vp.data[[#This Row],[CrudeType]]="Crude",vp.data[[#This Row],[Dens]]&gt;825,vp.data[[#This Row],[Dens]]&lt;=900,vp.data[[#This Row],[Sulf]]&lt;=0.5,vp.data[[#This Row],[Unknown]]=0),1,0)</f>
        <v>0</v>
      </c>
      <c r="AD180">
        <f>IF(AND(vp.data[[#This Row],[CrudeType]]="Crude",vp.data[[#This Row],[Dens]]&gt;865,vp.data[[#This Row],[Dens]]&lt;=900,vp.data[[#This Row],[Sulf]]&gt;2,vp.data[[#This Row],[Unknown]]=0),1,0)</f>
        <v>0</v>
      </c>
      <c r="AE180">
        <f>IF(AND(vp.data[[#This Row],[CrudeType]]="Crude",vp.data[[#This Row],[Dens]]&gt;900,vp.data[[#This Row],[Sulf]]&lt;=0.5,vp.data[[#This Row],[Unknown]]=0),1,0)</f>
        <v>0</v>
      </c>
      <c r="AF180">
        <f>IF(AND(vp.data[[#This Row],[CrudeType]]="Crude",vp.data[[#This Row],[Dens]]&gt;900,vp.data[[#This Row],[Sulf]]&lt;=0.5,vp.data[[#This Row],[Unknown]]=0),1,0)</f>
        <v>0</v>
      </c>
      <c r="AG180" t="str">
        <f>INDEX(vp.data[[#Headers],[Unknown]:[Heavy_SW]],MATCH(1,vp.data[[#This Row],[Unknown]:[Heavy_SW]],0))</f>
        <v>Light_SW</v>
      </c>
      <c r="AH180">
        <f>INDEX([3]!crudeBD.lkup[Number],MATCH(vp.data[[#This Row],[Crude_Breakdown]],crudeBD.lkup[Crude Breakdown],0))</f>
        <v>2</v>
      </c>
      <c r="AI180">
        <f>MONTH(vp.data[[#This Row],[SDate]])</f>
        <v>5</v>
      </c>
      <c r="AJ180" s="5">
        <f>(vp.data[[#This Row],[VP]]-INDEX(crudeBD.lkup[Mean_VP],MATCH(vp.data[[#This Row],[Crude_Breakdown]],crudeBD.lkup[Crude Breakdown],0)))^2</f>
        <v>343.74322797290114</v>
      </c>
      <c r="AK180" s="5">
        <f>(vp.data[[#This Row],[Dens]]-INDEX(crudeBD.lkup[Mean_Dens],MATCH(vp.data[[#This Row],[Crude_Breakdown]],crudeBD.lkup[Crude Breakdown],0)))^2</f>
        <v>3.1987384817112146</v>
      </c>
      <c r="AL180" s="5">
        <f>(vp.data[[#This Row],[Sulf]]-INDEX(crudeBD.lkup[Mean_Sulf],MATCH(vp.data[[#This Row],[Crude_Breakdown]],crudeBD.lkup[Crude Breakdown],0)))^2</f>
        <v>2.1383051628646554E-3</v>
      </c>
      <c r="AM180" s="4">
        <f>IF(AND(vp.data[[#This Row],[SDate]]&gt;=DATE(YEAR(vp.data[[#This Row],[SDate]]),5,1),vp.data[[#This Row],[SDate]]&lt;=DATE(YEAR(vp.data[[#This Row],[SDate]]),9,15)),1,0)</f>
        <v>1</v>
      </c>
      <c r="AN180" s="4">
        <f>IF(vp.data[[#This Row],[SDate]]&lt;DATE(2016,12,1),0,1)</f>
        <v>0</v>
      </c>
      <c r="AO180" s="4">
        <f>IFERROR(vp.data[[#This Row],[Sulf]]*vp.data[[#This Row],[Net Dens]],"")</f>
        <v>1840522.9213029998</v>
      </c>
      <c r="AP180">
        <f>IFERROR(vp.data[[#This Row],[Dens]]*vp.data[[#This Row],[VolumeM3]],"")</f>
        <v>9686962.7436999995</v>
      </c>
      <c r="AQ180" s="15">
        <f>IFERROR(vp.data[[#This Row],[VP]]*vp.data[[#This Row],[VolumeM3]],"")</f>
        <v>884992.11537000001</v>
      </c>
    </row>
    <row r="181" spans="1:43" x14ac:dyDescent="0.25">
      <c r="A181">
        <v>180</v>
      </c>
      <c r="B181" t="s">
        <v>62</v>
      </c>
      <c r="C181" t="s">
        <v>62</v>
      </c>
      <c r="D181" t="s">
        <v>79</v>
      </c>
      <c r="F181" s="1">
        <v>42501</v>
      </c>
      <c r="G181" s="2">
        <v>79.5</v>
      </c>
      <c r="H181" s="2"/>
      <c r="I181" s="2">
        <f t="array" ref="I181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81" s="2"/>
      <c r="K181" s="2"/>
      <c r="L181" s="2">
        <v>811.6</v>
      </c>
      <c r="M181" s="2">
        <f t="array" ref="M181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181" s="2">
        <f ca="1">INDEX(INDIRECT(_xlfn.CONCAT("weather.tbl[",N$1,"]")),MATCH(vp.data[[#This Row],[SDate]],weather.tbl[Date],0))</f>
        <v>6.0166666666666666</v>
      </c>
      <c r="O181" s="2">
        <f ca="1">INDEX(INDIRECT(_xlfn.CONCAT("weather.tbl[",O$1,"]")),MATCH(vp.data[[#This Row],[SDate]],weather.tbl[Date],0))</f>
        <v>13.845238095238093</v>
      </c>
      <c r="P181" s="2">
        <f ca="1">INDEX(INDIRECT(_xlfn.CONCAT("weather.tbl[",P$1,"]")),MATCH(vp.data[[#This Row],[SDate]],weather.tbl[Date],0))</f>
        <v>5.7</v>
      </c>
      <c r="Q181" s="2">
        <f ca="1">INDEX(INDIRECT(_xlfn.CONCAT("weather.tbl[",Q$1,"]")),MATCH(vp.data[[#This Row],[SDate]],weather.tbl[Date],0))</f>
        <v>6.8</v>
      </c>
      <c r="R181" s="2">
        <f ca="1">INDEX(INDIRECT(_xlfn.CONCAT("weather.tbl[",R$1,"]")),MATCH(vp.data[[#This Row],[SDate]],weather.tbl[Date],0))</f>
        <v>5.5</v>
      </c>
      <c r="S181" s="2">
        <f ca="1">INDEX(INDIRECT(_xlfn.CONCAT("weather.tbl[",S$1,"]")),MATCH(vp.data[[#This Row],[SDate]],weather.tbl[Date],0))</f>
        <v>6.5</v>
      </c>
      <c r="T181" s="2">
        <f ca="1">INDEX(INDIRECT(_xlfn.CONCAT("weather.tbl[",T$1,"]")),MATCH(vp.data[[#This Row],[SDate]],weather.tbl[Date],0))</f>
        <v>6.1</v>
      </c>
      <c r="U181" s="2">
        <f ca="1">INDEX(INDIRECT(_xlfn.CONCAT("weather.tbl[",U$1,"]")),MATCH(vp.data[[#This Row],[SDate]],weather.tbl[Date],0))</f>
        <v>5.5</v>
      </c>
      <c r="V181" s="2">
        <f t="array" ref="V1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16126.073</v>
      </c>
      <c r="W181" t="s">
        <v>48</v>
      </c>
      <c r="X181">
        <f>IF(OR(vp.data[[#This Row],[Sulf]]="",vp.data[[#This Row],[Dens]]=""),1,0)</f>
        <v>0</v>
      </c>
      <c r="Y181">
        <f>IF(vp.data[[#This Row],[CrudeType]]="C5+",1,0)</f>
        <v>0</v>
      </c>
      <c r="Z181">
        <f>IF(AND(vp.data[[#This Row],[CrudeType]]="Crude",vp.data[[#This Row],[Dens]]&lt;=825,vp.data[[#This Row],[Sulf]]&gt;0.5,vp.data[[#This Row],[Unknown]]=0),1,0)</f>
        <v>0</v>
      </c>
      <c r="AA181">
        <f>IF(AND(vp.data[[#This Row],[CrudeType]]="Crude",vp.data[[#This Row],[Dens]]&lt;=825,vp.data[[#This Row],[Sulf]]&lt;=0.5,vp.data[[#This Row],[Unknown]]=0),1,0)</f>
        <v>1</v>
      </c>
      <c r="AB1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1">
        <f>IF(AND(vp.data[[#This Row],[CrudeType]]="Crude",vp.data[[#This Row],[Dens]]&gt;825,vp.data[[#This Row],[Dens]]&lt;=900,vp.data[[#This Row],[Sulf]]&lt;=0.5,vp.data[[#This Row],[Unknown]]=0),1,0)</f>
        <v>0</v>
      </c>
      <c r="AD181">
        <f>IF(AND(vp.data[[#This Row],[CrudeType]]="Crude",vp.data[[#This Row],[Dens]]&gt;865,vp.data[[#This Row],[Dens]]&lt;=900,vp.data[[#This Row],[Sulf]]&gt;2,vp.data[[#This Row],[Unknown]]=0),1,0)</f>
        <v>0</v>
      </c>
      <c r="AE181">
        <f>IF(AND(vp.data[[#This Row],[CrudeType]]="Crude",vp.data[[#This Row],[Dens]]&gt;900,vp.data[[#This Row],[Sulf]]&lt;=0.5,vp.data[[#This Row],[Unknown]]=0),1,0)</f>
        <v>0</v>
      </c>
      <c r="AF181">
        <f>IF(AND(vp.data[[#This Row],[CrudeType]]="Crude",vp.data[[#This Row],[Dens]]&gt;900,vp.data[[#This Row],[Sulf]]&lt;=0.5,vp.data[[#This Row],[Unknown]]=0),1,0)</f>
        <v>0</v>
      </c>
      <c r="AG181" t="str">
        <f>INDEX(vp.data[[#Headers],[Unknown]:[Heavy_SW]],MATCH(1,vp.data[[#This Row],[Unknown]:[Heavy_SW]],0))</f>
        <v>Light_SW</v>
      </c>
      <c r="AH181">
        <f>INDEX([3]!crudeBD.lkup[Number],MATCH(vp.data[[#This Row],[Crude_Breakdown]],crudeBD.lkup[Crude Breakdown],0))</f>
        <v>2</v>
      </c>
      <c r="AI181">
        <f>MONTH(vp.data[[#This Row],[SDate]])</f>
        <v>5</v>
      </c>
      <c r="AJ181" s="5">
        <f>(vp.data[[#This Row],[VP]]-INDEX(crudeBD.lkup[Mean_VP],MATCH(vp.data[[#This Row],[Crude_Breakdown]],crudeBD.lkup[Crude Breakdown],0)))^2</f>
        <v>170.31068476732673</v>
      </c>
      <c r="AK181" s="5">
        <f>(vp.data[[#This Row],[Dens]]-INDEX(crudeBD.lkup[Mean_Dens],MATCH(vp.data[[#This Row],[Crude_Breakdown]],crudeBD.lkup[Crude Breakdown],0)))^2</f>
        <v>10.814243708192773</v>
      </c>
      <c r="AL181" s="5">
        <f>(vp.data[[#This Row],[Sulf]]-INDEX(crudeBD.lkup[Mean_Sulf],MATCH(vp.data[[#This Row],[Crude_Breakdown]],crudeBD.lkup[Crude Breakdown],0)))^2</f>
        <v>5.644515043280923E-4</v>
      </c>
      <c r="AM181" s="4">
        <f>IF(AND(vp.data[[#This Row],[SDate]]&gt;=DATE(YEAR(vp.data[[#This Row],[SDate]]),5,1),vp.data[[#This Row],[SDate]]&lt;=DATE(YEAR(vp.data[[#This Row],[SDate]]),9,15)),1,0)</f>
        <v>1</v>
      </c>
      <c r="AN181" s="4">
        <f>IF(vp.data[[#This Row],[SDate]]&lt;DATE(2016,12,1),0,1)</f>
        <v>0</v>
      </c>
      <c r="AO181" s="4">
        <f>IFERROR(vp.data[[#This Row],[Sulf]]*vp.data[[#This Row],[Net Dens]],"")</f>
        <v>3402859.4201680003</v>
      </c>
      <c r="AP181">
        <f>IFERROR(vp.data[[#This Row],[Dens]]*vp.data[[#This Row],[VolumeM3]],"")</f>
        <v>13087920.846800001</v>
      </c>
      <c r="AQ181" s="15">
        <f>IFERROR(vp.data[[#This Row],[VP]]*vp.data[[#This Row],[VolumeM3]],"")</f>
        <v>1282022.8034999999</v>
      </c>
    </row>
    <row r="182" spans="1:43" x14ac:dyDescent="0.25">
      <c r="A182">
        <v>181</v>
      </c>
      <c r="B182" t="s">
        <v>56</v>
      </c>
      <c r="C182" t="s">
        <v>56</v>
      </c>
      <c r="D182" t="s">
        <v>57</v>
      </c>
      <c r="F182" s="1">
        <v>42502</v>
      </c>
      <c r="G182" s="2">
        <v>75</v>
      </c>
      <c r="H182" s="2"/>
      <c r="I182" s="2">
        <f t="array" ref="I182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182" s="2"/>
      <c r="K182" s="2"/>
      <c r="L182" s="2">
        <v>835.9</v>
      </c>
      <c r="M182" s="2">
        <f t="array" ref="M182">_xlfn.IFNA(IF(vp.data[[#This Row],[Dens Input]]="",INDEX([1]DATA!$O$3:$O$9826,MATCH(1,(vp.data[[#This Row],[Battery]]=[1]DATA!$L$3:$L$9826)*(EOMONTH(vp.data[[#This Row],[SDate]],-1)+1=[1]DATA!$G$3:$G$9826),0)),vp.data[[#This Row],[Dens Input]]),"")</f>
        <v>835.9</v>
      </c>
      <c r="N182" s="2">
        <f ca="1">INDEX(INDIRECT(_xlfn.CONCAT("weather.tbl[",N$1,"]")),MATCH(vp.data[[#This Row],[SDate]],weather.tbl[Date],0))</f>
        <v>3.1833333333333336</v>
      </c>
      <c r="O182" s="2">
        <f ca="1">INDEX(INDIRECT(_xlfn.CONCAT("weather.tbl[",O$1,"]")),MATCH(vp.data[[#This Row],[SDate]],weather.tbl[Date],0))</f>
        <v>11.223809523809523</v>
      </c>
      <c r="P182" s="2">
        <f ca="1">INDEX(INDIRECT(_xlfn.CONCAT("weather.tbl[",P$1,"]")),MATCH(vp.data[[#This Row],[SDate]],weather.tbl[Date],0))</f>
        <v>3.4</v>
      </c>
      <c r="Q182" s="2">
        <f ca="1">INDEX(INDIRECT(_xlfn.CONCAT("weather.tbl[",Q$1,"]")),MATCH(vp.data[[#This Row],[SDate]],weather.tbl[Date],0))</f>
        <v>2.9</v>
      </c>
      <c r="R182" s="2">
        <f ca="1">INDEX(INDIRECT(_xlfn.CONCAT("weather.tbl[",R$1,"]")),MATCH(vp.data[[#This Row],[SDate]],weather.tbl[Date],0))</f>
        <v>3</v>
      </c>
      <c r="S182" s="2">
        <f ca="1">INDEX(INDIRECT(_xlfn.CONCAT("weather.tbl[",S$1,"]")),MATCH(vp.data[[#This Row],[SDate]],weather.tbl[Date],0))</f>
        <v>3.5</v>
      </c>
      <c r="T182" s="2">
        <f ca="1">INDEX(INDIRECT(_xlfn.CONCAT("weather.tbl[",T$1,"]")),MATCH(vp.data[[#This Row],[SDate]],weather.tbl[Date],0))</f>
        <v>4.8</v>
      </c>
      <c r="U182" s="2">
        <f ca="1">INDEX(INDIRECT(_xlfn.CONCAT("weather.tbl[",U$1,"]")),MATCH(vp.data[[#This Row],[SDate]],weather.tbl[Date],0))</f>
        <v>1.5</v>
      </c>
      <c r="V182" s="2">
        <f t="array" ref="V1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3381.45</v>
      </c>
      <c r="W182" t="s">
        <v>48</v>
      </c>
      <c r="X182">
        <f>IF(OR(vp.data[[#This Row],[Sulf]]="",vp.data[[#This Row],[Dens]]=""),1,0)</f>
        <v>0</v>
      </c>
      <c r="Y182">
        <f>IF(vp.data[[#This Row],[CrudeType]]="C5+",1,0)</f>
        <v>0</v>
      </c>
      <c r="Z182">
        <f>IF(AND(vp.data[[#This Row],[CrudeType]]="Crude",vp.data[[#This Row],[Dens]]&lt;=825,vp.data[[#This Row],[Sulf]]&gt;0.5,vp.data[[#This Row],[Unknown]]=0),1,0)</f>
        <v>0</v>
      </c>
      <c r="AA182">
        <f>IF(AND(vp.data[[#This Row],[CrudeType]]="Crude",vp.data[[#This Row],[Dens]]&lt;=825,vp.data[[#This Row],[Sulf]]&lt;=0.5,vp.data[[#This Row],[Unknown]]=0),1,0)</f>
        <v>0</v>
      </c>
      <c r="AB1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82">
        <f>IF(AND(vp.data[[#This Row],[CrudeType]]="Crude",vp.data[[#This Row],[Dens]]&gt;825,vp.data[[#This Row],[Dens]]&lt;=900,vp.data[[#This Row],[Sulf]]&lt;=0.5,vp.data[[#This Row],[Unknown]]=0),1,0)</f>
        <v>0</v>
      </c>
      <c r="AD182">
        <f>IF(AND(vp.data[[#This Row],[CrudeType]]="Crude",vp.data[[#This Row],[Dens]]&gt;865,vp.data[[#This Row],[Dens]]&lt;=900,vp.data[[#This Row],[Sulf]]&gt;2,vp.data[[#This Row],[Unknown]]=0),1,0)</f>
        <v>0</v>
      </c>
      <c r="AE182">
        <f>IF(AND(vp.data[[#This Row],[CrudeType]]="Crude",vp.data[[#This Row],[Dens]]&gt;900,vp.data[[#This Row],[Sulf]]&lt;=0.5,vp.data[[#This Row],[Unknown]]=0),1,0)</f>
        <v>0</v>
      </c>
      <c r="AF182">
        <f>IF(AND(vp.data[[#This Row],[CrudeType]]="Crude",vp.data[[#This Row],[Dens]]&gt;900,vp.data[[#This Row],[Sulf]]&lt;=0.5,vp.data[[#This Row],[Unknown]]=0),1,0)</f>
        <v>0</v>
      </c>
      <c r="AG182" t="str">
        <f>INDEX(vp.data[[#Headers],[Unknown]:[Heavy_SW]],MATCH(1,vp.data[[#This Row],[Unknown]:[Heavy_SW]],0))</f>
        <v>Medium_LSB</v>
      </c>
      <c r="AH182">
        <f>INDEX([3]!crudeBD.lkup[Number],MATCH(vp.data[[#This Row],[Crude_Breakdown]],crudeBD.lkup[Crude Breakdown],0))</f>
        <v>3</v>
      </c>
      <c r="AI182">
        <f>MONTH(vp.data[[#This Row],[SDate]])</f>
        <v>5</v>
      </c>
      <c r="AJ182" s="5">
        <f>(vp.data[[#This Row],[VP]]-INDEX(crudeBD.lkup[Mean_VP],MATCH(vp.data[[#This Row],[Crude_Breakdown]],crudeBD.lkup[Crude Breakdown],0)))^2</f>
        <v>31.805951587098967</v>
      </c>
      <c r="AK182" s="5">
        <f>(vp.data[[#This Row],[Dens]]-INDEX(crudeBD.lkup[Mean_Dens],MATCH(vp.data[[#This Row],[Crude_Breakdown]],crudeBD.lkup[Crude Breakdown],0)))^2</f>
        <v>64.320399999992418</v>
      </c>
      <c r="AL182" s="5">
        <f>(vp.data[[#This Row],[Sulf]]-INDEX(crudeBD.lkup[Mean_Sulf],MATCH(vp.data[[#This Row],[Crude_Breakdown]],crudeBD.lkup[Crude Breakdown],0)))^2</f>
        <v>2.9802726320805671E-3</v>
      </c>
      <c r="AM182" s="4">
        <f>IF(AND(vp.data[[#This Row],[SDate]]&gt;=DATE(YEAR(vp.data[[#This Row],[SDate]]),5,1),vp.data[[#This Row],[SDate]]&lt;=DATE(YEAR(vp.data[[#This Row],[SDate]]),9,15)),1,0)</f>
        <v>1</v>
      </c>
      <c r="AN182" s="4">
        <f>IF(vp.data[[#This Row],[SDate]]&lt;DATE(2016,12,1),0,1)</f>
        <v>0</v>
      </c>
      <c r="AO182" s="4">
        <f>IFERROR(vp.data[[#This Row],[Sulf]]*vp.data[[#This Row],[Net Dens]],"")</f>
        <v>4070237.8391999993</v>
      </c>
      <c r="AP182">
        <f>IFERROR(vp.data[[#This Row],[Dens]]*vp.data[[#This Row],[VolumeM3]],"")</f>
        <v>2826554.0549999997</v>
      </c>
      <c r="AQ182" s="15">
        <f>IFERROR(vp.data[[#This Row],[VP]]*vp.data[[#This Row],[VolumeM3]],"")</f>
        <v>253608.75</v>
      </c>
    </row>
    <row r="183" spans="1:43" x14ac:dyDescent="0.25">
      <c r="A183">
        <v>182</v>
      </c>
      <c r="B183" t="s">
        <v>51</v>
      </c>
      <c r="C183" t="s">
        <v>51</v>
      </c>
      <c r="D183" t="s">
        <v>58</v>
      </c>
      <c r="F183" s="1">
        <v>42502</v>
      </c>
      <c r="G183" s="2">
        <v>83</v>
      </c>
      <c r="H183" s="2"/>
      <c r="I183" s="2">
        <f t="array" ref="I183">_xlfn.IFNA(IF(vp.data[[#This Row],[Sulf Input]]="",INDEX([1]DATA!$Q$3:$Q$9826,MATCH(1,(vp.data[[#This Row],[Battery]]=[1]DATA!$L$3:$L$9826)*(EOMONTH(vp.data[[#This Row],[SDate]],-1)+1=[1]DATA!$G$3:$G$9826),0)),vp.data[[#This Row],[Sulf Input]]),"")</f>
        <v>1.4</v>
      </c>
      <c r="J183" s="2"/>
      <c r="K183" s="2"/>
      <c r="L183" s="2">
        <v>855.6</v>
      </c>
      <c r="M183" s="2">
        <f t="array" ref="M183">_xlfn.IFNA(IF(vp.data[[#This Row],[Dens Input]]="",INDEX([1]DATA!$O$3:$O$9826,MATCH(1,(vp.data[[#This Row],[Battery]]=[1]DATA!$L$3:$L$9826)*(EOMONTH(vp.data[[#This Row],[SDate]],-1)+1=[1]DATA!$G$3:$G$9826),0)),vp.data[[#This Row],[Dens Input]]),"")</f>
        <v>855.6</v>
      </c>
      <c r="N183" s="2">
        <f ca="1">INDEX(INDIRECT(_xlfn.CONCAT("weather.tbl[",N$1,"]")),MATCH(vp.data[[#This Row],[SDate]],weather.tbl[Date],0))</f>
        <v>3.1833333333333336</v>
      </c>
      <c r="O183" s="2">
        <f ca="1">INDEX(INDIRECT(_xlfn.CONCAT("weather.tbl[",O$1,"]")),MATCH(vp.data[[#This Row],[SDate]],weather.tbl[Date],0))</f>
        <v>11.223809523809523</v>
      </c>
      <c r="P183" s="2">
        <f ca="1">INDEX(INDIRECT(_xlfn.CONCAT("weather.tbl[",P$1,"]")),MATCH(vp.data[[#This Row],[SDate]],weather.tbl[Date],0))</f>
        <v>3.4</v>
      </c>
      <c r="Q183" s="2">
        <f ca="1">INDEX(INDIRECT(_xlfn.CONCAT("weather.tbl[",Q$1,"]")),MATCH(vp.data[[#This Row],[SDate]],weather.tbl[Date],0))</f>
        <v>2.9</v>
      </c>
      <c r="R183" s="2">
        <f ca="1">INDEX(INDIRECT(_xlfn.CONCAT("weather.tbl[",R$1,"]")),MATCH(vp.data[[#This Row],[SDate]],weather.tbl[Date],0))</f>
        <v>3</v>
      </c>
      <c r="S183" s="2">
        <f ca="1">INDEX(INDIRECT(_xlfn.CONCAT("weather.tbl[",S$1,"]")),MATCH(vp.data[[#This Row],[SDate]],weather.tbl[Date],0))</f>
        <v>3.5</v>
      </c>
      <c r="T183" s="2">
        <f ca="1">INDEX(INDIRECT(_xlfn.CONCAT("weather.tbl[",T$1,"]")),MATCH(vp.data[[#This Row],[SDate]],weather.tbl[Date],0))</f>
        <v>4.8</v>
      </c>
      <c r="U183" s="2">
        <f ca="1">INDEX(INDIRECT(_xlfn.CONCAT("weather.tbl[",U$1,"]")),MATCH(vp.data[[#This Row],[SDate]],weather.tbl[Date],0))</f>
        <v>1.5</v>
      </c>
      <c r="V183" s="2">
        <f t="array" ref="V1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5988.0969999999998</v>
      </c>
      <c r="W183" t="s">
        <v>48</v>
      </c>
      <c r="X183">
        <f>IF(OR(vp.data[[#This Row],[Sulf]]="",vp.data[[#This Row],[Dens]]=""),1,0)</f>
        <v>0</v>
      </c>
      <c r="Y183">
        <f>IF(vp.data[[#This Row],[CrudeType]]="C5+",1,0)</f>
        <v>0</v>
      </c>
      <c r="Z183">
        <f>IF(AND(vp.data[[#This Row],[CrudeType]]="Crude",vp.data[[#This Row],[Dens]]&lt;=825,vp.data[[#This Row],[Sulf]]&gt;0.5,vp.data[[#This Row],[Unknown]]=0),1,0)</f>
        <v>0</v>
      </c>
      <c r="AA183">
        <f>IF(AND(vp.data[[#This Row],[CrudeType]]="Crude",vp.data[[#This Row],[Dens]]&lt;=825,vp.data[[#This Row],[Sulf]]&lt;=0.5,vp.data[[#This Row],[Unknown]]=0),1,0)</f>
        <v>0</v>
      </c>
      <c r="AB1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83">
        <f>IF(AND(vp.data[[#This Row],[CrudeType]]="Crude",vp.data[[#This Row],[Dens]]&gt;825,vp.data[[#This Row],[Dens]]&lt;=900,vp.data[[#This Row],[Sulf]]&lt;=0.5,vp.data[[#This Row],[Unknown]]=0),1,0)</f>
        <v>0</v>
      </c>
      <c r="AD183">
        <f>IF(AND(vp.data[[#This Row],[CrudeType]]="Crude",vp.data[[#This Row],[Dens]]&gt;865,vp.data[[#This Row],[Dens]]&lt;=900,vp.data[[#This Row],[Sulf]]&gt;2,vp.data[[#This Row],[Unknown]]=0),1,0)</f>
        <v>0</v>
      </c>
      <c r="AE183">
        <f>IF(AND(vp.data[[#This Row],[CrudeType]]="Crude",vp.data[[#This Row],[Dens]]&gt;900,vp.data[[#This Row],[Sulf]]&lt;=0.5,vp.data[[#This Row],[Unknown]]=0),1,0)</f>
        <v>0</v>
      </c>
      <c r="AF183">
        <f>IF(AND(vp.data[[#This Row],[CrudeType]]="Crude",vp.data[[#This Row],[Dens]]&gt;900,vp.data[[#This Row],[Sulf]]&lt;=0.5,vp.data[[#This Row],[Unknown]]=0),1,0)</f>
        <v>0</v>
      </c>
      <c r="AG183" t="str">
        <f>INDEX(vp.data[[#Headers],[Unknown]:[Heavy_SW]],MATCH(1,vp.data[[#This Row],[Unknown]:[Heavy_SW]],0))</f>
        <v>Medium_LSB</v>
      </c>
      <c r="AH183">
        <f>INDEX([3]!crudeBD.lkup[Number],MATCH(vp.data[[#This Row],[Crude_Breakdown]],crudeBD.lkup[Crude Breakdown],0))</f>
        <v>3</v>
      </c>
      <c r="AI183">
        <f>MONTH(vp.data[[#This Row],[SDate]])</f>
        <v>5</v>
      </c>
      <c r="AJ183" s="5">
        <f>(vp.data[[#This Row],[VP]]-INDEX(crudeBD.lkup[Mean_VP],MATCH(vp.data[[#This Row],[Crude_Breakdown]],crudeBD.lkup[Crude Breakdown],0)))^2</f>
        <v>5.5711267892564464</v>
      </c>
      <c r="AK183" s="5">
        <f>(vp.data[[#This Row],[Dens]]-INDEX(crudeBD.lkup[Mean_Dens],MATCH(vp.data[[#This Row],[Crude_Breakdown]],crudeBD.lkup[Crude Breakdown],0)))^2</f>
        <v>136.42240000001212</v>
      </c>
      <c r="AL183" s="5">
        <f>(vp.data[[#This Row],[Sulf]]-INDEX(crudeBD.lkup[Mean_Sulf],MATCH(vp.data[[#This Row],[Crude_Breakdown]],crudeBD.lkup[Crude Breakdown],0)))^2</f>
        <v>2.1292276685158147E-4</v>
      </c>
      <c r="AM183" s="4">
        <f>IF(AND(vp.data[[#This Row],[SDate]]&gt;=DATE(YEAR(vp.data[[#This Row],[SDate]]),5,1),vp.data[[#This Row],[SDate]]&lt;=DATE(YEAR(vp.data[[#This Row],[SDate]]),9,15)),1,0)</f>
        <v>1</v>
      </c>
      <c r="AN183" s="4">
        <f>IF(vp.data[[#This Row],[SDate]]&lt;DATE(2016,12,1),0,1)</f>
        <v>0</v>
      </c>
      <c r="AO183" s="4">
        <f>IFERROR(vp.data[[#This Row],[Sulf]]*vp.data[[#This Row],[Net Dens]],"")</f>
        <v>7172782.1104800003</v>
      </c>
      <c r="AP183">
        <f>IFERROR(vp.data[[#This Row],[Dens]]*vp.data[[#This Row],[VolumeM3]],"")</f>
        <v>5123415.7932000002</v>
      </c>
      <c r="AQ183" s="15">
        <f>IFERROR(vp.data[[#This Row],[VP]]*vp.data[[#This Row],[VolumeM3]],"")</f>
        <v>497012.05099999998</v>
      </c>
    </row>
    <row r="184" spans="1:43" x14ac:dyDescent="0.25">
      <c r="A184">
        <v>183</v>
      </c>
      <c r="B184" t="s">
        <v>68</v>
      </c>
      <c r="C184" t="s">
        <v>68</v>
      </c>
      <c r="D184" t="s">
        <v>69</v>
      </c>
      <c r="F184" s="1">
        <v>42506</v>
      </c>
      <c r="G184" s="2">
        <v>86.8</v>
      </c>
      <c r="H184" s="2"/>
      <c r="I184" s="2">
        <f t="array" ref="I184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84" s="2"/>
      <c r="K184" s="2"/>
      <c r="L184" s="2">
        <v>827.1</v>
      </c>
      <c r="M184" s="2">
        <f t="array" ref="M184">_xlfn.IFNA(IF(vp.data[[#This Row],[Dens Input]]="",INDEX([1]DATA!$O$3:$O$9826,MATCH(1,(vp.data[[#This Row],[Battery]]=[1]DATA!$L$3:$L$9826)*(EOMONTH(vp.data[[#This Row],[SDate]],-1)+1=[1]DATA!$G$3:$G$9826),0)),vp.data[[#This Row],[Dens Input]]),"")</f>
        <v>827.1</v>
      </c>
      <c r="N184" s="2">
        <f ca="1">INDEX(INDIRECT(_xlfn.CONCAT("weather.tbl[",N$1,"]")),MATCH(vp.data[[#This Row],[SDate]],weather.tbl[Date],0))</f>
        <v>11.483333333333334</v>
      </c>
      <c r="O184" s="2">
        <f ca="1">INDEX(INDIRECT(_xlfn.CONCAT("weather.tbl[",O$1,"]")),MATCH(vp.data[[#This Row],[SDate]],weather.tbl[Date],0))</f>
        <v>7.916666666666667</v>
      </c>
      <c r="P184" s="2">
        <f ca="1">INDEX(INDIRECT(_xlfn.CONCAT("weather.tbl[",P$1,"]")),MATCH(vp.data[[#This Row],[SDate]],weather.tbl[Date],0))</f>
        <v>11</v>
      </c>
      <c r="Q184" s="2">
        <f ca="1">INDEX(INDIRECT(_xlfn.CONCAT("weather.tbl[",Q$1,"]")),MATCH(vp.data[[#This Row],[SDate]],weather.tbl[Date],0))</f>
        <v>11.4</v>
      </c>
      <c r="R184" s="2">
        <f ca="1">INDEX(INDIRECT(_xlfn.CONCAT("weather.tbl[",R$1,"]")),MATCH(vp.data[[#This Row],[SDate]],weather.tbl[Date],0))</f>
        <v>9.8000000000000007</v>
      </c>
      <c r="S184" s="2">
        <f ca="1">INDEX(INDIRECT(_xlfn.CONCAT("weather.tbl[",S$1,"]")),MATCH(vp.data[[#This Row],[SDate]],weather.tbl[Date],0))</f>
        <v>13.5</v>
      </c>
      <c r="T184" s="2">
        <f ca="1">INDEX(INDIRECT(_xlfn.CONCAT("weather.tbl[",T$1,"]")),MATCH(vp.data[[#This Row],[SDate]],weather.tbl[Date],0))</f>
        <v>10.9</v>
      </c>
      <c r="U184" s="2">
        <f ca="1">INDEX(INDIRECT(_xlfn.CONCAT("weather.tbl[",U$1,"]")),MATCH(vp.data[[#This Row],[SDate]],weather.tbl[Date],0))</f>
        <v>12.3</v>
      </c>
      <c r="V184" s="2">
        <f t="array" ref="V1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1413.011</v>
      </c>
      <c r="W184" t="s">
        <v>48</v>
      </c>
      <c r="X184">
        <f>IF(OR(vp.data[[#This Row],[Sulf]]="",vp.data[[#This Row],[Dens]]=""),1,0)</f>
        <v>0</v>
      </c>
      <c r="Y184">
        <f>IF(vp.data[[#This Row],[CrudeType]]="C5+",1,0)</f>
        <v>0</v>
      </c>
      <c r="Z184">
        <f>IF(AND(vp.data[[#This Row],[CrudeType]]="Crude",vp.data[[#This Row],[Dens]]&lt;=825,vp.data[[#This Row],[Sulf]]&gt;0.5,vp.data[[#This Row],[Unknown]]=0),1,0)</f>
        <v>0</v>
      </c>
      <c r="AA184">
        <f>IF(AND(vp.data[[#This Row],[CrudeType]]="Crude",vp.data[[#This Row],[Dens]]&lt;=825,vp.data[[#This Row],[Sulf]]&lt;=0.5,vp.data[[#This Row],[Unknown]]=0),1,0)</f>
        <v>0</v>
      </c>
      <c r="AB1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84">
        <f>IF(AND(vp.data[[#This Row],[CrudeType]]="Crude",vp.data[[#This Row],[Dens]]&gt;825,vp.data[[#This Row],[Dens]]&lt;=900,vp.data[[#This Row],[Sulf]]&lt;=0.5,vp.data[[#This Row],[Unknown]]=0),1,0)</f>
        <v>0</v>
      </c>
      <c r="AD184">
        <f>IF(AND(vp.data[[#This Row],[CrudeType]]="Crude",vp.data[[#This Row],[Dens]]&gt;865,vp.data[[#This Row],[Dens]]&lt;=900,vp.data[[#This Row],[Sulf]]&gt;2,vp.data[[#This Row],[Unknown]]=0),1,0)</f>
        <v>0</v>
      </c>
      <c r="AE184">
        <f>IF(AND(vp.data[[#This Row],[CrudeType]]="Crude",vp.data[[#This Row],[Dens]]&gt;900,vp.data[[#This Row],[Sulf]]&lt;=0.5,vp.data[[#This Row],[Unknown]]=0),1,0)</f>
        <v>0</v>
      </c>
      <c r="AF184">
        <f>IF(AND(vp.data[[#This Row],[CrudeType]]="Crude",vp.data[[#This Row],[Dens]]&gt;900,vp.data[[#This Row],[Sulf]]&lt;=0.5,vp.data[[#This Row],[Unknown]]=0),1,0)</f>
        <v>0</v>
      </c>
      <c r="AG184" t="str">
        <f>INDEX(vp.data[[#Headers],[Unknown]:[Heavy_SW]],MATCH(1,vp.data[[#This Row],[Unknown]:[Heavy_SW]],0))</f>
        <v>Medium_LSB</v>
      </c>
      <c r="AH184">
        <f>INDEX([3]!crudeBD.lkup[Number],MATCH(vp.data[[#This Row],[Crude_Breakdown]],crudeBD.lkup[Crude Breakdown],0))</f>
        <v>3</v>
      </c>
      <c r="AI184">
        <f>MONTH(vp.data[[#This Row],[SDate]])</f>
        <v>5</v>
      </c>
      <c r="AJ184" s="5">
        <f>(vp.data[[#This Row],[VP]]-INDEX(crudeBD.lkup[Mean_VP],MATCH(vp.data[[#This Row],[Crude_Breakdown]],crudeBD.lkup[Crude Breakdown],0)))^2</f>
        <v>37.949585010281211</v>
      </c>
      <c r="AK184" s="5">
        <f>(vp.data[[#This Row],[Dens]]-INDEX(crudeBD.lkup[Mean_Dens],MATCH(vp.data[[#This Row],[Crude_Breakdown]],crudeBD.lkup[Crude Breakdown],0)))^2</f>
        <v>282.91239999998254</v>
      </c>
      <c r="AL184" s="5">
        <f>(vp.data[[#This Row],[Sulf]]-INDEX(crudeBD.lkup[Mean_Sulf],MATCH(vp.data[[#This Row],[Crude_Breakdown]],crudeBD.lkup[Crude Breakdown],0)))^2</f>
        <v>0.12573539662129798</v>
      </c>
      <c r="AM184" s="4">
        <f>IF(AND(vp.data[[#This Row],[SDate]]&gt;=DATE(YEAR(vp.data[[#This Row],[SDate]]),5,1),vp.data[[#This Row],[SDate]]&lt;=DATE(YEAR(vp.data[[#This Row],[SDate]]),9,15)),1,0)</f>
        <v>1</v>
      </c>
      <c r="AN184" s="4">
        <f>IF(vp.data[[#This Row],[SDate]]&lt;DATE(2016,12,1),0,1)</f>
        <v>0</v>
      </c>
      <c r="AO184" s="4">
        <f>IFERROR(vp.data[[#This Row],[Sulf]]*vp.data[[#This Row],[Net Dens]],"")</f>
        <v>2033540.4326940002</v>
      </c>
      <c r="AP184">
        <f>IFERROR(vp.data[[#This Row],[Dens]]*vp.data[[#This Row],[VolumeM3]],"")</f>
        <v>1168701.3981000001</v>
      </c>
      <c r="AQ184" s="15">
        <f>IFERROR(vp.data[[#This Row],[VP]]*vp.data[[#This Row],[VolumeM3]],"")</f>
        <v>122649.35479999999</v>
      </c>
    </row>
    <row r="185" spans="1:43" x14ac:dyDescent="0.25">
      <c r="A185">
        <v>184</v>
      </c>
      <c r="B185" t="s">
        <v>49</v>
      </c>
      <c r="C185" t="s">
        <v>49</v>
      </c>
      <c r="D185" t="s">
        <v>75</v>
      </c>
      <c r="F185" s="1">
        <v>42507</v>
      </c>
      <c r="G185" s="2">
        <v>61.9</v>
      </c>
      <c r="H185" s="2"/>
      <c r="I185" s="2">
        <f t="array" ref="I185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185" s="2"/>
      <c r="K185" s="2"/>
      <c r="L185" s="2">
        <v>801.1</v>
      </c>
      <c r="M185" s="2">
        <f t="array" ref="M185">_xlfn.IFNA(IF(vp.data[[#This Row],[Dens Input]]="",INDEX([1]DATA!$O$3:$O$9826,MATCH(1,(vp.data[[#This Row],[Battery]]=[1]DATA!$L$3:$L$9826)*(EOMONTH(vp.data[[#This Row],[SDate]],-1)+1=[1]DATA!$G$3:$G$9826),0)),vp.data[[#This Row],[Dens Input]]),"")</f>
        <v>801.1</v>
      </c>
      <c r="N185" s="2">
        <f ca="1">INDEX(INDIRECT(_xlfn.CONCAT("weather.tbl[",N$1,"]")),MATCH(vp.data[[#This Row],[SDate]],weather.tbl[Date],0))</f>
        <v>13.016666666666666</v>
      </c>
      <c r="O185" s="2">
        <f ca="1">INDEX(INDIRECT(_xlfn.CONCAT("weather.tbl[",O$1,"]")),MATCH(vp.data[[#This Row],[SDate]],weather.tbl[Date],0))</f>
        <v>8.3047619047619055</v>
      </c>
      <c r="P185" s="2">
        <f ca="1">INDEX(INDIRECT(_xlfn.CONCAT("weather.tbl[",P$1,"]")),MATCH(vp.data[[#This Row],[SDate]],weather.tbl[Date],0))</f>
        <v>13.8</v>
      </c>
      <c r="Q185" s="2">
        <f ca="1">INDEX(INDIRECT(_xlfn.CONCAT("weather.tbl[",Q$1,"]")),MATCH(vp.data[[#This Row],[SDate]],weather.tbl[Date],0))</f>
        <v>13.7</v>
      </c>
      <c r="R185" s="2">
        <f ca="1">INDEX(INDIRECT(_xlfn.CONCAT("weather.tbl[",R$1,"]")),MATCH(vp.data[[#This Row],[SDate]],weather.tbl[Date],0))</f>
        <v>9.8000000000000007</v>
      </c>
      <c r="S185" s="2">
        <f ca="1">INDEX(INDIRECT(_xlfn.CONCAT("weather.tbl[",S$1,"]")),MATCH(vp.data[[#This Row],[SDate]],weather.tbl[Date],0))</f>
        <v>14</v>
      </c>
      <c r="T185" s="2">
        <f ca="1">INDEX(INDIRECT(_xlfn.CONCAT("weather.tbl[",T$1,"]")),MATCH(vp.data[[#This Row],[SDate]],weather.tbl[Date],0))</f>
        <v>12.3</v>
      </c>
      <c r="U185" s="2">
        <f ca="1">INDEX(INDIRECT(_xlfn.CONCAT("weather.tbl[",U$1,"]")),MATCH(vp.data[[#This Row],[SDate]],weather.tbl[Date],0))</f>
        <v>14.5</v>
      </c>
      <c r="V185" s="2">
        <f t="array" ref="V1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21322.589</v>
      </c>
      <c r="W185" t="s">
        <v>48</v>
      </c>
      <c r="X185">
        <f>IF(OR(vp.data[[#This Row],[Sulf]]="",vp.data[[#This Row],[Dens]]=""),1,0)</f>
        <v>0</v>
      </c>
      <c r="Y185">
        <f>IF(vp.data[[#This Row],[CrudeType]]="C5+",1,0)</f>
        <v>0</v>
      </c>
      <c r="Z185">
        <f>IF(AND(vp.data[[#This Row],[CrudeType]]="Crude",vp.data[[#This Row],[Dens]]&lt;=825,vp.data[[#This Row],[Sulf]]&gt;0.5,vp.data[[#This Row],[Unknown]]=0),1,0)</f>
        <v>0</v>
      </c>
      <c r="AA185">
        <f>IF(AND(vp.data[[#This Row],[CrudeType]]="Crude",vp.data[[#This Row],[Dens]]&lt;=825,vp.data[[#This Row],[Sulf]]&lt;=0.5,vp.data[[#This Row],[Unknown]]=0),1,0)</f>
        <v>1</v>
      </c>
      <c r="AB1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5">
        <f>IF(AND(vp.data[[#This Row],[CrudeType]]="Crude",vp.data[[#This Row],[Dens]]&gt;825,vp.data[[#This Row],[Dens]]&lt;=900,vp.data[[#This Row],[Sulf]]&lt;=0.5,vp.data[[#This Row],[Unknown]]=0),1,0)</f>
        <v>0</v>
      </c>
      <c r="AD185">
        <f>IF(AND(vp.data[[#This Row],[CrudeType]]="Crude",vp.data[[#This Row],[Dens]]&gt;865,vp.data[[#This Row],[Dens]]&lt;=900,vp.data[[#This Row],[Sulf]]&gt;2,vp.data[[#This Row],[Unknown]]=0),1,0)</f>
        <v>0</v>
      </c>
      <c r="AE185">
        <f>IF(AND(vp.data[[#This Row],[CrudeType]]="Crude",vp.data[[#This Row],[Dens]]&gt;900,vp.data[[#This Row],[Sulf]]&lt;=0.5,vp.data[[#This Row],[Unknown]]=0),1,0)</f>
        <v>0</v>
      </c>
      <c r="AF185">
        <f>IF(AND(vp.data[[#This Row],[CrudeType]]="Crude",vp.data[[#This Row],[Dens]]&gt;900,vp.data[[#This Row],[Sulf]]&lt;=0.5,vp.data[[#This Row],[Unknown]]=0),1,0)</f>
        <v>0</v>
      </c>
      <c r="AG185" t="str">
        <f>INDEX(vp.data[[#Headers],[Unknown]:[Heavy_SW]],MATCH(1,vp.data[[#This Row],[Unknown]:[Heavy_SW]],0))</f>
        <v>Light_SW</v>
      </c>
      <c r="AH185">
        <f>INDEX([3]!crudeBD.lkup[Number],MATCH(vp.data[[#This Row],[Crude_Breakdown]],crudeBD.lkup[Crude Breakdown],0))</f>
        <v>2</v>
      </c>
      <c r="AI185">
        <f>MONTH(vp.data[[#This Row],[SDate]])</f>
        <v>5</v>
      </c>
      <c r="AJ185" s="5">
        <f>(vp.data[[#This Row],[VP]]-INDEX(crudeBD.lkup[Mean_VP],MATCH(vp.data[[#This Row],[Crude_Breakdown]],crudeBD.lkup[Crude Breakdown],0)))^2</f>
        <v>939.44172309485191</v>
      </c>
      <c r="AK185" s="5">
        <f>(vp.data[[#This Row],[Dens]]-INDEX(crudeBD.lkup[Mean_Dens],MATCH(vp.data[[#This Row],[Crude_Breakdown]],crudeBD.lkup[Crude Breakdown],0)))^2</f>
        <v>52.00570712282186</v>
      </c>
      <c r="AL185" s="5">
        <f>(vp.data[[#This Row],[Sulf]]-INDEX(crudeBD.lkup[Mean_Sulf],MATCH(vp.data[[#This Row],[Crude_Breakdown]],crudeBD.lkup[Crude Breakdown],0)))^2</f>
        <v>7.4376501105998362E-3</v>
      </c>
      <c r="AM185" s="4">
        <f>IF(AND(vp.data[[#This Row],[SDate]]&gt;=DATE(YEAR(vp.data[[#This Row],[SDate]]),5,1),vp.data[[#This Row],[SDate]]&lt;=DATE(YEAR(vp.data[[#This Row],[SDate]]),9,15)),1,0)</f>
        <v>1</v>
      </c>
      <c r="AN185" s="4">
        <f>IF(vp.data[[#This Row],[SDate]]&lt;DATE(2016,12,1),0,1)</f>
        <v>0</v>
      </c>
      <c r="AO185" s="4">
        <f>IFERROR(vp.data[[#This Row],[Sulf]]*vp.data[[#This Row],[Net Dens]],"")</f>
        <v>2562228.9071849999</v>
      </c>
      <c r="AP185">
        <f>IFERROR(vp.data[[#This Row],[Dens]]*vp.data[[#This Row],[VolumeM3]],"")</f>
        <v>17081526.047899999</v>
      </c>
      <c r="AQ185" s="15">
        <f>IFERROR(vp.data[[#This Row],[VP]]*vp.data[[#This Row],[VolumeM3]],"")</f>
        <v>1319868.2590999999</v>
      </c>
    </row>
    <row r="186" spans="1:43" x14ac:dyDescent="0.25">
      <c r="A186">
        <v>185</v>
      </c>
      <c r="B186" t="s">
        <v>49</v>
      </c>
      <c r="C186" t="s">
        <v>49</v>
      </c>
      <c r="D186" t="s">
        <v>74</v>
      </c>
      <c r="F186" s="1">
        <v>42507</v>
      </c>
      <c r="G186" s="2">
        <v>113</v>
      </c>
      <c r="H186" s="2"/>
      <c r="I186" s="2">
        <f t="array" ref="I186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186" s="2"/>
      <c r="K186" s="2"/>
      <c r="L186" s="2">
        <v>808.3</v>
      </c>
      <c r="M186" s="2">
        <f t="array" ref="M186">_xlfn.IFNA(IF(vp.data[[#This Row],[Dens Input]]="",INDEX([1]DATA!$O$3:$O$9826,MATCH(1,(vp.data[[#This Row],[Battery]]=[1]DATA!$L$3:$L$9826)*(EOMONTH(vp.data[[#This Row],[SDate]],-1)+1=[1]DATA!$G$3:$G$9826),0)),vp.data[[#This Row],[Dens Input]]),"")</f>
        <v>808.3</v>
      </c>
      <c r="N186" s="2">
        <f ca="1">INDEX(INDIRECT(_xlfn.CONCAT("weather.tbl[",N$1,"]")),MATCH(vp.data[[#This Row],[SDate]],weather.tbl[Date],0))</f>
        <v>13.016666666666666</v>
      </c>
      <c r="O186" s="2">
        <f ca="1">INDEX(INDIRECT(_xlfn.CONCAT("weather.tbl[",O$1,"]")),MATCH(vp.data[[#This Row],[SDate]],weather.tbl[Date],0))</f>
        <v>8.3047619047619055</v>
      </c>
      <c r="P186" s="2">
        <f ca="1">INDEX(INDIRECT(_xlfn.CONCAT("weather.tbl[",P$1,"]")),MATCH(vp.data[[#This Row],[SDate]],weather.tbl[Date],0))</f>
        <v>13.8</v>
      </c>
      <c r="Q186" s="2">
        <f ca="1">INDEX(INDIRECT(_xlfn.CONCAT("weather.tbl[",Q$1,"]")),MATCH(vp.data[[#This Row],[SDate]],weather.tbl[Date],0))</f>
        <v>13.7</v>
      </c>
      <c r="R186" s="2">
        <f ca="1">INDEX(INDIRECT(_xlfn.CONCAT("weather.tbl[",R$1,"]")),MATCH(vp.data[[#This Row],[SDate]],weather.tbl[Date],0))</f>
        <v>9.8000000000000007</v>
      </c>
      <c r="S186" s="2">
        <f ca="1">INDEX(INDIRECT(_xlfn.CONCAT("weather.tbl[",S$1,"]")),MATCH(vp.data[[#This Row],[SDate]],weather.tbl[Date],0))</f>
        <v>14</v>
      </c>
      <c r="T186" s="2">
        <f ca="1">INDEX(INDIRECT(_xlfn.CONCAT("weather.tbl[",T$1,"]")),MATCH(vp.data[[#This Row],[SDate]],weather.tbl[Date],0))</f>
        <v>12.3</v>
      </c>
      <c r="U186" s="2">
        <f ca="1">INDEX(INDIRECT(_xlfn.CONCAT("weather.tbl[",U$1,"]")),MATCH(vp.data[[#This Row],[SDate]],weather.tbl[Date],0))</f>
        <v>14.5</v>
      </c>
      <c r="V186" s="2">
        <f t="array" ref="V1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45143.608</v>
      </c>
      <c r="W186" t="s">
        <v>48</v>
      </c>
      <c r="X186">
        <f>IF(OR(vp.data[[#This Row],[Sulf]]="",vp.data[[#This Row],[Dens]]=""),1,0)</f>
        <v>0</v>
      </c>
      <c r="Y186">
        <f>IF(vp.data[[#This Row],[CrudeType]]="C5+",1,0)</f>
        <v>0</v>
      </c>
      <c r="Z186">
        <f>IF(AND(vp.data[[#This Row],[CrudeType]]="Crude",vp.data[[#This Row],[Dens]]&lt;=825,vp.data[[#This Row],[Sulf]]&gt;0.5,vp.data[[#This Row],[Unknown]]=0),1,0)</f>
        <v>0</v>
      </c>
      <c r="AA186">
        <f>IF(AND(vp.data[[#This Row],[CrudeType]]="Crude",vp.data[[#This Row],[Dens]]&lt;=825,vp.data[[#This Row],[Sulf]]&lt;=0.5,vp.data[[#This Row],[Unknown]]=0),1,0)</f>
        <v>1</v>
      </c>
      <c r="AB1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6">
        <f>IF(AND(vp.data[[#This Row],[CrudeType]]="Crude",vp.data[[#This Row],[Dens]]&gt;825,vp.data[[#This Row],[Dens]]&lt;=900,vp.data[[#This Row],[Sulf]]&lt;=0.5,vp.data[[#This Row],[Unknown]]=0),1,0)</f>
        <v>0</v>
      </c>
      <c r="AD186">
        <f>IF(AND(vp.data[[#This Row],[CrudeType]]="Crude",vp.data[[#This Row],[Dens]]&gt;865,vp.data[[#This Row],[Dens]]&lt;=900,vp.data[[#This Row],[Sulf]]&gt;2,vp.data[[#This Row],[Unknown]]=0),1,0)</f>
        <v>0</v>
      </c>
      <c r="AE186">
        <f>IF(AND(vp.data[[#This Row],[CrudeType]]="Crude",vp.data[[#This Row],[Dens]]&gt;900,vp.data[[#This Row],[Sulf]]&lt;=0.5,vp.data[[#This Row],[Unknown]]=0),1,0)</f>
        <v>0</v>
      </c>
      <c r="AF186">
        <f>IF(AND(vp.data[[#This Row],[CrudeType]]="Crude",vp.data[[#This Row],[Dens]]&gt;900,vp.data[[#This Row],[Sulf]]&lt;=0.5,vp.data[[#This Row],[Unknown]]=0),1,0)</f>
        <v>0</v>
      </c>
      <c r="AG186" t="str">
        <f>INDEX(vp.data[[#Headers],[Unknown]:[Heavy_SW]],MATCH(1,vp.data[[#This Row],[Unknown]:[Heavy_SW]],0))</f>
        <v>Light_SW</v>
      </c>
      <c r="AH186">
        <f>INDEX([3]!crudeBD.lkup[Number],MATCH(vp.data[[#This Row],[Crude_Breakdown]],crudeBD.lkup[Crude Breakdown],0))</f>
        <v>2</v>
      </c>
      <c r="AI186">
        <f>MONTH(vp.data[[#This Row],[SDate]])</f>
        <v>5</v>
      </c>
      <c r="AJ186" s="5">
        <f>(vp.data[[#This Row],[VP]]-INDEX(crudeBD.lkup[Mean_VP],MATCH(vp.data[[#This Row],[Crude_Breakdown]],crudeBD.lkup[Crude Breakdown],0)))^2</f>
        <v>418.18967431436704</v>
      </c>
      <c r="AK186" s="5">
        <f>(vp.data[[#This Row],[Dens]]-INDEX(crudeBD.lkup[Mean_Dens],MATCH(vp.data[[#This Row],[Crude_Breakdown]],crudeBD.lkup[Crude Breakdown],0)))^2</f>
        <v>1.3220993334473594E-4</v>
      </c>
      <c r="AL186" s="5">
        <f>(vp.data[[#This Row],[Sulf]]-INDEX(crudeBD.lkup[Mean_Sulf],MATCH(vp.data[[#This Row],[Crude_Breakdown]],crudeBD.lkup[Crude Breakdown],0)))^2</f>
        <v>9.2624863475336272E-3</v>
      </c>
      <c r="AM186" s="4">
        <f>IF(AND(vp.data[[#This Row],[SDate]]&gt;=DATE(YEAR(vp.data[[#This Row],[SDate]]),5,1),vp.data[[#This Row],[SDate]]&lt;=DATE(YEAR(vp.data[[#This Row],[SDate]]),9,15)),1,0)</f>
        <v>1</v>
      </c>
      <c r="AN186" s="4">
        <f>IF(vp.data[[#This Row],[SDate]]&lt;DATE(2016,12,1),0,1)</f>
        <v>0</v>
      </c>
      <c r="AO186" s="4">
        <f>IFERROR(vp.data[[#This Row],[Sulf]]*vp.data[[#This Row],[Net Dens]],"")</f>
        <v>5108540.9684960004</v>
      </c>
      <c r="AP186">
        <f>IFERROR(vp.data[[#This Row],[Dens]]*vp.data[[#This Row],[VolumeM3]],"")</f>
        <v>36489578.3464</v>
      </c>
      <c r="AQ186" s="15">
        <f>IFERROR(vp.data[[#This Row],[VP]]*vp.data[[#This Row],[VolumeM3]],"")</f>
        <v>5101227.7039999999</v>
      </c>
    </row>
    <row r="187" spans="1:43" x14ac:dyDescent="0.25">
      <c r="A187">
        <v>186</v>
      </c>
      <c r="B187" t="s">
        <v>49</v>
      </c>
      <c r="C187" t="s">
        <v>49</v>
      </c>
      <c r="D187" t="s">
        <v>67</v>
      </c>
      <c r="F187" s="1">
        <v>42508</v>
      </c>
      <c r="G187" s="2">
        <v>80.5</v>
      </c>
      <c r="H187" s="2"/>
      <c r="I187" s="2">
        <f t="array" ref="I18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187" s="2"/>
      <c r="K187" s="2"/>
      <c r="L187" s="2">
        <v>802.4</v>
      </c>
      <c r="M187" s="2">
        <f t="array" ref="M187">_xlfn.IFNA(IF(vp.data[[#This Row],[Dens Input]]="",INDEX([1]DATA!$O$3:$O$9826,MATCH(1,(vp.data[[#This Row],[Battery]]=[1]DATA!$L$3:$L$9826)*(EOMONTH(vp.data[[#This Row],[SDate]],-1)+1=[1]DATA!$G$3:$G$9826),0)),vp.data[[#This Row],[Dens Input]]),"")</f>
        <v>802.4</v>
      </c>
      <c r="N187" s="2">
        <f ca="1">INDEX(INDIRECT(_xlfn.CONCAT("weather.tbl[",N$1,"]")),MATCH(vp.data[[#This Row],[SDate]],weather.tbl[Date],0))</f>
        <v>16.916666666666668</v>
      </c>
      <c r="O187" s="2">
        <f ca="1">INDEX(INDIRECT(_xlfn.CONCAT("weather.tbl[",O$1,"]")),MATCH(vp.data[[#This Row],[SDate]],weather.tbl[Date],0))</f>
        <v>9.8619047619047624</v>
      </c>
      <c r="P187" s="2">
        <f ca="1">INDEX(INDIRECT(_xlfn.CONCAT("weather.tbl[",P$1,"]")),MATCH(vp.data[[#This Row],[SDate]],weather.tbl[Date],0))</f>
        <v>17.7</v>
      </c>
      <c r="Q187" s="2">
        <f ca="1">INDEX(INDIRECT(_xlfn.CONCAT("weather.tbl[",Q$1,"]")),MATCH(vp.data[[#This Row],[SDate]],weather.tbl[Date],0))</f>
        <v>17.5</v>
      </c>
      <c r="R187" s="2">
        <f ca="1">INDEX(INDIRECT(_xlfn.CONCAT("weather.tbl[",R$1,"]")),MATCH(vp.data[[#This Row],[SDate]],weather.tbl[Date],0))</f>
        <v>15.5</v>
      </c>
      <c r="S187" s="2">
        <f ca="1">INDEX(INDIRECT(_xlfn.CONCAT("weather.tbl[",S$1,"]")),MATCH(vp.data[[#This Row],[SDate]],weather.tbl[Date],0))</f>
        <v>17.5</v>
      </c>
      <c r="T187" s="2">
        <f ca="1">INDEX(INDIRECT(_xlfn.CONCAT("weather.tbl[",T$1,"]")),MATCH(vp.data[[#This Row],[SDate]],weather.tbl[Date],0))</f>
        <v>16.3</v>
      </c>
      <c r="U187" s="2">
        <f ca="1">INDEX(INDIRECT(_xlfn.CONCAT("weather.tbl[",U$1,"]")),MATCH(vp.data[[#This Row],[SDate]],weather.tbl[Date],0))</f>
        <v>17</v>
      </c>
      <c r="V187" s="2">
        <f t="array" ref="V1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57057.805</v>
      </c>
      <c r="W187" t="s">
        <v>48</v>
      </c>
      <c r="X187">
        <f>IF(OR(vp.data[[#This Row],[Sulf]]="",vp.data[[#This Row],[Dens]]=""),1,0)</f>
        <v>0</v>
      </c>
      <c r="Y187">
        <f>IF(vp.data[[#This Row],[CrudeType]]="C5+",1,0)</f>
        <v>0</v>
      </c>
      <c r="Z187">
        <f>IF(AND(vp.data[[#This Row],[CrudeType]]="Crude",vp.data[[#This Row],[Dens]]&lt;=825,vp.data[[#This Row],[Sulf]]&gt;0.5,vp.data[[#This Row],[Unknown]]=0),1,0)</f>
        <v>0</v>
      </c>
      <c r="AA187">
        <f>IF(AND(vp.data[[#This Row],[CrudeType]]="Crude",vp.data[[#This Row],[Dens]]&lt;=825,vp.data[[#This Row],[Sulf]]&lt;=0.5,vp.data[[#This Row],[Unknown]]=0),1,0)</f>
        <v>1</v>
      </c>
      <c r="AB1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7">
        <f>IF(AND(vp.data[[#This Row],[CrudeType]]="Crude",vp.data[[#This Row],[Dens]]&gt;825,vp.data[[#This Row],[Dens]]&lt;=900,vp.data[[#This Row],[Sulf]]&lt;=0.5,vp.data[[#This Row],[Unknown]]=0),1,0)</f>
        <v>0</v>
      </c>
      <c r="AD187">
        <f>IF(AND(vp.data[[#This Row],[CrudeType]]="Crude",vp.data[[#This Row],[Dens]]&gt;865,vp.data[[#This Row],[Dens]]&lt;=900,vp.data[[#This Row],[Sulf]]&gt;2,vp.data[[#This Row],[Unknown]]=0),1,0)</f>
        <v>0</v>
      </c>
      <c r="AE187">
        <f>IF(AND(vp.data[[#This Row],[CrudeType]]="Crude",vp.data[[#This Row],[Dens]]&gt;900,vp.data[[#This Row],[Sulf]]&lt;=0.5,vp.data[[#This Row],[Unknown]]=0),1,0)</f>
        <v>0</v>
      </c>
      <c r="AF187">
        <f>IF(AND(vp.data[[#This Row],[CrudeType]]="Crude",vp.data[[#This Row],[Dens]]&gt;900,vp.data[[#This Row],[Sulf]]&lt;=0.5,vp.data[[#This Row],[Unknown]]=0),1,0)</f>
        <v>0</v>
      </c>
      <c r="AG187" t="str">
        <f>INDEX(vp.data[[#Headers],[Unknown]:[Heavy_SW]],MATCH(1,vp.data[[#This Row],[Unknown]:[Heavy_SW]],0))</f>
        <v>Light_SW</v>
      </c>
      <c r="AH187">
        <f>INDEX([3]!crudeBD.lkup[Number],MATCH(vp.data[[#This Row],[Crude_Breakdown]],crudeBD.lkup[Crude Breakdown],0))</f>
        <v>2</v>
      </c>
      <c r="AI187">
        <f>MONTH(vp.data[[#This Row],[SDate]])</f>
        <v>5</v>
      </c>
      <c r="AJ187" s="5">
        <f>(vp.data[[#This Row],[VP]]-INDEX(crudeBD.lkup[Mean_VP],MATCH(vp.data[[#This Row],[Crude_Breakdown]],crudeBD.lkup[Crude Breakdown],0)))^2</f>
        <v>145.21005758962644</v>
      </c>
      <c r="AK187" s="5">
        <f>(vp.data[[#This Row],[Dens]]-INDEX(crudeBD.lkup[Mean_Dens],MATCH(vp.data[[#This Row],[Crude_Breakdown]],crudeBD.lkup[Crude Breakdown],0)))^2</f>
        <v>34.945811652439744</v>
      </c>
      <c r="AL187" s="5">
        <f>(vp.data[[#This Row],[Sulf]]-INDEX(crudeBD.lkup[Mean_Sulf],MATCH(vp.data[[#This Row],[Crude_Breakdown]],crudeBD.lkup[Crude Breakdown],0)))^2</f>
        <v>6.8863268899706654E-4</v>
      </c>
      <c r="AM187" s="4">
        <f>IF(AND(vp.data[[#This Row],[SDate]]&gt;=DATE(YEAR(vp.data[[#This Row],[SDate]]),5,1),vp.data[[#This Row],[SDate]]&lt;=DATE(YEAR(vp.data[[#This Row],[SDate]]),9,15)),1,0)</f>
        <v>1</v>
      </c>
      <c r="AN187" s="4">
        <f>IF(vp.data[[#This Row],[SDate]]&lt;DATE(2016,12,1),0,1)</f>
        <v>0</v>
      </c>
      <c r="AO187" s="4">
        <f>IFERROR(vp.data[[#This Row],[Sulf]]*vp.data[[#This Row],[Net Dens]],"")</f>
        <v>9614468.3737199996</v>
      </c>
      <c r="AP187">
        <f>IFERROR(vp.data[[#This Row],[Dens]]*vp.data[[#This Row],[VolumeM3]],"")</f>
        <v>45783182.732000001</v>
      </c>
      <c r="AQ187" s="15">
        <f>IFERROR(vp.data[[#This Row],[VP]]*vp.data[[#This Row],[VolumeM3]],"")</f>
        <v>4593153.3025000002</v>
      </c>
    </row>
    <row r="188" spans="1:43" x14ac:dyDescent="0.25">
      <c r="A188">
        <v>187</v>
      </c>
      <c r="B188" t="s">
        <v>62</v>
      </c>
      <c r="C188" t="s">
        <v>62</v>
      </c>
      <c r="D188" t="s">
        <v>87</v>
      </c>
      <c r="F188" s="1">
        <v>42508</v>
      </c>
      <c r="G188" s="2">
        <v>79.5</v>
      </c>
      <c r="H188" s="2"/>
      <c r="I188" s="2">
        <f t="array" ref="I188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88" s="2"/>
      <c r="K188" s="2"/>
      <c r="L188" s="2">
        <v>810.6</v>
      </c>
      <c r="M188" s="2">
        <f t="array" ref="M188">_xlfn.IFNA(IF(vp.data[[#This Row],[Dens Input]]="",INDEX([1]DATA!$O$3:$O$9826,MATCH(1,(vp.data[[#This Row],[Battery]]=[1]DATA!$L$3:$L$9826)*(EOMONTH(vp.data[[#This Row],[SDate]],-1)+1=[1]DATA!$G$3:$G$9826),0)),vp.data[[#This Row],[Dens Input]]),"")</f>
        <v>810.6</v>
      </c>
      <c r="N188" s="2">
        <f ca="1">INDEX(INDIRECT(_xlfn.CONCAT("weather.tbl[",N$1,"]")),MATCH(vp.data[[#This Row],[SDate]],weather.tbl[Date],0))</f>
        <v>16.916666666666668</v>
      </c>
      <c r="O188" s="2">
        <f ca="1">INDEX(INDIRECT(_xlfn.CONCAT("weather.tbl[",O$1,"]")),MATCH(vp.data[[#This Row],[SDate]],weather.tbl[Date],0))</f>
        <v>9.8619047619047624</v>
      </c>
      <c r="P188" s="2">
        <f ca="1">INDEX(INDIRECT(_xlfn.CONCAT("weather.tbl[",P$1,"]")),MATCH(vp.data[[#This Row],[SDate]],weather.tbl[Date],0))</f>
        <v>17.7</v>
      </c>
      <c r="Q188" s="2">
        <f ca="1">INDEX(INDIRECT(_xlfn.CONCAT("weather.tbl[",Q$1,"]")),MATCH(vp.data[[#This Row],[SDate]],weather.tbl[Date],0))</f>
        <v>17.5</v>
      </c>
      <c r="R188" s="2">
        <f ca="1">INDEX(INDIRECT(_xlfn.CONCAT("weather.tbl[",R$1,"]")),MATCH(vp.data[[#This Row],[SDate]],weather.tbl[Date],0))</f>
        <v>15.5</v>
      </c>
      <c r="S188" s="2">
        <f ca="1">INDEX(INDIRECT(_xlfn.CONCAT("weather.tbl[",S$1,"]")),MATCH(vp.data[[#This Row],[SDate]],weather.tbl[Date],0))</f>
        <v>17.5</v>
      </c>
      <c r="T188" s="2">
        <f ca="1">INDEX(INDIRECT(_xlfn.CONCAT("weather.tbl[",T$1,"]")),MATCH(vp.data[[#This Row],[SDate]],weather.tbl[Date],0))</f>
        <v>16.3</v>
      </c>
      <c r="U188" s="2">
        <f ca="1">INDEX(INDIRECT(_xlfn.CONCAT("weather.tbl[",U$1,"]")),MATCH(vp.data[[#This Row],[SDate]],weather.tbl[Date],0))</f>
        <v>17</v>
      </c>
      <c r="V188" s="2">
        <f t="array" ref="V1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8886.0290000000005</v>
      </c>
      <c r="W188" t="s">
        <v>48</v>
      </c>
      <c r="X188">
        <f>IF(OR(vp.data[[#This Row],[Sulf]]="",vp.data[[#This Row],[Dens]]=""),1,0)</f>
        <v>0</v>
      </c>
      <c r="Y188">
        <f>IF(vp.data[[#This Row],[CrudeType]]="C5+",1,0)</f>
        <v>0</v>
      </c>
      <c r="Z188">
        <f>IF(AND(vp.data[[#This Row],[CrudeType]]="Crude",vp.data[[#This Row],[Dens]]&lt;=825,vp.data[[#This Row],[Sulf]]&gt;0.5,vp.data[[#This Row],[Unknown]]=0),1,0)</f>
        <v>0</v>
      </c>
      <c r="AA188">
        <f>IF(AND(vp.data[[#This Row],[CrudeType]]="Crude",vp.data[[#This Row],[Dens]]&lt;=825,vp.data[[#This Row],[Sulf]]&lt;=0.5,vp.data[[#This Row],[Unknown]]=0),1,0)</f>
        <v>1</v>
      </c>
      <c r="AB1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8">
        <f>IF(AND(vp.data[[#This Row],[CrudeType]]="Crude",vp.data[[#This Row],[Dens]]&gt;825,vp.data[[#This Row],[Dens]]&lt;=900,vp.data[[#This Row],[Sulf]]&lt;=0.5,vp.data[[#This Row],[Unknown]]=0),1,0)</f>
        <v>0</v>
      </c>
      <c r="AD188">
        <f>IF(AND(vp.data[[#This Row],[CrudeType]]="Crude",vp.data[[#This Row],[Dens]]&gt;865,vp.data[[#This Row],[Dens]]&lt;=900,vp.data[[#This Row],[Sulf]]&gt;2,vp.data[[#This Row],[Unknown]]=0),1,0)</f>
        <v>0</v>
      </c>
      <c r="AE188">
        <f>IF(AND(vp.data[[#This Row],[CrudeType]]="Crude",vp.data[[#This Row],[Dens]]&gt;900,vp.data[[#This Row],[Sulf]]&lt;=0.5,vp.data[[#This Row],[Unknown]]=0),1,0)</f>
        <v>0</v>
      </c>
      <c r="AF188">
        <f>IF(AND(vp.data[[#This Row],[CrudeType]]="Crude",vp.data[[#This Row],[Dens]]&gt;900,vp.data[[#This Row],[Sulf]]&lt;=0.5,vp.data[[#This Row],[Unknown]]=0),1,0)</f>
        <v>0</v>
      </c>
      <c r="AG188" t="str">
        <f>INDEX(vp.data[[#Headers],[Unknown]:[Heavy_SW]],MATCH(1,vp.data[[#This Row],[Unknown]:[Heavy_SW]],0))</f>
        <v>Light_SW</v>
      </c>
      <c r="AH188">
        <f>INDEX([3]!crudeBD.lkup[Number],MATCH(vp.data[[#This Row],[Crude_Breakdown]],crudeBD.lkup[Crude Breakdown],0))</f>
        <v>2</v>
      </c>
      <c r="AI188">
        <f>MONTH(vp.data[[#This Row],[SDate]])</f>
        <v>5</v>
      </c>
      <c r="AJ188" s="5">
        <f>(vp.data[[#This Row],[VP]]-INDEX(crudeBD.lkup[Mean_VP],MATCH(vp.data[[#This Row],[Crude_Breakdown]],crudeBD.lkup[Crude Breakdown],0)))^2</f>
        <v>170.31068476732673</v>
      </c>
      <c r="AK188" s="5">
        <f>(vp.data[[#This Row],[Dens]]-INDEX(crudeBD.lkup[Mean_Dens],MATCH(vp.data[[#This Row],[Crude_Breakdown]],crudeBD.lkup[Crude Breakdown],0)))^2</f>
        <v>5.2372402238717344</v>
      </c>
      <c r="AL188" s="5">
        <f>(vp.data[[#This Row],[Sulf]]-INDEX(crudeBD.lkup[Mean_Sulf],MATCH(vp.data[[#This Row],[Crude_Breakdown]],crudeBD.lkup[Crude Breakdown],0)))^2</f>
        <v>4.3879776367322437E-3</v>
      </c>
      <c r="AM188" s="4">
        <f>IF(AND(vp.data[[#This Row],[SDate]]&gt;=DATE(YEAR(vp.data[[#This Row],[SDate]]),5,1),vp.data[[#This Row],[SDate]]&lt;=DATE(YEAR(vp.data[[#This Row],[SDate]]),9,15)),1,0)</f>
        <v>1</v>
      </c>
      <c r="AN188" s="4">
        <f>IF(vp.data[[#This Row],[SDate]]&lt;DATE(2016,12,1),0,1)</f>
        <v>0</v>
      </c>
      <c r="AO188" s="4">
        <f>IFERROR(vp.data[[#This Row],[Sulf]]*vp.data[[#This Row],[Net Dens]],"")</f>
        <v>1224512.5682580003</v>
      </c>
      <c r="AP188">
        <f>IFERROR(vp.data[[#This Row],[Dens]]*vp.data[[#This Row],[VolumeM3]],"")</f>
        <v>7203015.107400001</v>
      </c>
      <c r="AQ188" s="15">
        <f>IFERROR(vp.data[[#This Row],[VP]]*vp.data[[#This Row],[VolumeM3]],"")</f>
        <v>706439.30550000002</v>
      </c>
    </row>
    <row r="189" spans="1:43" x14ac:dyDescent="0.25">
      <c r="A189">
        <v>188</v>
      </c>
      <c r="B189" t="s">
        <v>62</v>
      </c>
      <c r="C189" t="s">
        <v>62</v>
      </c>
      <c r="D189" t="s">
        <v>83</v>
      </c>
      <c r="F189" s="1">
        <v>42508</v>
      </c>
      <c r="G189" s="2">
        <v>82.4</v>
      </c>
      <c r="H189" s="2"/>
      <c r="I189" s="2">
        <f t="array" ref="I189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89" s="2"/>
      <c r="K189" s="2"/>
      <c r="L189" s="2">
        <v>815.4</v>
      </c>
      <c r="M189" s="2">
        <f t="array" ref="M189">_xlfn.IFNA(IF(vp.data[[#This Row],[Dens Input]]="",INDEX([1]DATA!$O$3:$O$9826,MATCH(1,(vp.data[[#This Row],[Battery]]=[1]DATA!$L$3:$L$9826)*(EOMONTH(vp.data[[#This Row],[SDate]],-1)+1=[1]DATA!$G$3:$G$9826),0)),vp.data[[#This Row],[Dens Input]]),"")</f>
        <v>815.4</v>
      </c>
      <c r="N189" s="2">
        <f ca="1">INDEX(INDIRECT(_xlfn.CONCAT("weather.tbl[",N$1,"]")),MATCH(vp.data[[#This Row],[SDate]],weather.tbl[Date],0))</f>
        <v>16.916666666666668</v>
      </c>
      <c r="O189" s="2">
        <f ca="1">INDEX(INDIRECT(_xlfn.CONCAT("weather.tbl[",O$1,"]")),MATCH(vp.data[[#This Row],[SDate]],weather.tbl[Date],0))</f>
        <v>9.8619047619047624</v>
      </c>
      <c r="P189" s="2">
        <f ca="1">INDEX(INDIRECT(_xlfn.CONCAT("weather.tbl[",P$1,"]")),MATCH(vp.data[[#This Row],[SDate]],weather.tbl[Date],0))</f>
        <v>17.7</v>
      </c>
      <c r="Q189" s="2">
        <f ca="1">INDEX(INDIRECT(_xlfn.CONCAT("weather.tbl[",Q$1,"]")),MATCH(vp.data[[#This Row],[SDate]],weather.tbl[Date],0))</f>
        <v>17.5</v>
      </c>
      <c r="R189" s="2">
        <f ca="1">INDEX(INDIRECT(_xlfn.CONCAT("weather.tbl[",R$1,"]")),MATCH(vp.data[[#This Row],[SDate]],weather.tbl[Date],0))</f>
        <v>15.5</v>
      </c>
      <c r="S189" s="2">
        <f ca="1">INDEX(INDIRECT(_xlfn.CONCAT("weather.tbl[",S$1,"]")),MATCH(vp.data[[#This Row],[SDate]],weather.tbl[Date],0))</f>
        <v>17.5</v>
      </c>
      <c r="T189" s="2">
        <f ca="1">INDEX(INDIRECT(_xlfn.CONCAT("weather.tbl[",T$1,"]")),MATCH(vp.data[[#This Row],[SDate]],weather.tbl[Date],0))</f>
        <v>16.3</v>
      </c>
      <c r="U189" s="2">
        <f ca="1">INDEX(INDIRECT(_xlfn.CONCAT("weather.tbl[",U$1,"]")),MATCH(vp.data[[#This Row],[SDate]],weather.tbl[Date],0))</f>
        <v>17</v>
      </c>
      <c r="V189" s="2">
        <f t="array" ref="V1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11957.736999999999</v>
      </c>
      <c r="W189" t="s">
        <v>48</v>
      </c>
      <c r="X189">
        <f>IF(OR(vp.data[[#This Row],[Sulf]]="",vp.data[[#This Row],[Dens]]=""),1,0)</f>
        <v>0</v>
      </c>
      <c r="Y189">
        <f>IF(vp.data[[#This Row],[CrudeType]]="C5+",1,0)</f>
        <v>0</v>
      </c>
      <c r="Z189">
        <f>IF(AND(vp.data[[#This Row],[CrudeType]]="Crude",vp.data[[#This Row],[Dens]]&lt;=825,vp.data[[#This Row],[Sulf]]&gt;0.5,vp.data[[#This Row],[Unknown]]=0),1,0)</f>
        <v>0</v>
      </c>
      <c r="AA189">
        <f>IF(AND(vp.data[[#This Row],[CrudeType]]="Crude",vp.data[[#This Row],[Dens]]&lt;=825,vp.data[[#This Row],[Sulf]]&lt;=0.5,vp.data[[#This Row],[Unknown]]=0),1,0)</f>
        <v>1</v>
      </c>
      <c r="AB1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89">
        <f>IF(AND(vp.data[[#This Row],[CrudeType]]="Crude",vp.data[[#This Row],[Dens]]&gt;825,vp.data[[#This Row],[Dens]]&lt;=900,vp.data[[#This Row],[Sulf]]&lt;=0.5,vp.data[[#This Row],[Unknown]]=0),1,0)</f>
        <v>0</v>
      </c>
      <c r="AD189">
        <f>IF(AND(vp.data[[#This Row],[CrudeType]]="Crude",vp.data[[#This Row],[Dens]]&gt;865,vp.data[[#This Row],[Dens]]&lt;=900,vp.data[[#This Row],[Sulf]]&gt;2,vp.data[[#This Row],[Unknown]]=0),1,0)</f>
        <v>0</v>
      </c>
      <c r="AE189">
        <f>IF(AND(vp.data[[#This Row],[CrudeType]]="Crude",vp.data[[#This Row],[Dens]]&gt;900,vp.data[[#This Row],[Sulf]]&lt;=0.5,vp.data[[#This Row],[Unknown]]=0),1,0)</f>
        <v>0</v>
      </c>
      <c r="AF189">
        <f>IF(AND(vp.data[[#This Row],[CrudeType]]="Crude",vp.data[[#This Row],[Dens]]&gt;900,vp.data[[#This Row],[Sulf]]&lt;=0.5,vp.data[[#This Row],[Unknown]]=0),1,0)</f>
        <v>0</v>
      </c>
      <c r="AG189" t="str">
        <f>INDEX(vp.data[[#Headers],[Unknown]:[Heavy_SW]],MATCH(1,vp.data[[#This Row],[Unknown]:[Heavy_SW]],0))</f>
        <v>Light_SW</v>
      </c>
      <c r="AH189">
        <f>INDEX([3]!crudeBD.lkup[Number],MATCH(vp.data[[#This Row],[Crude_Breakdown]],crudeBD.lkup[Crude Breakdown],0))</f>
        <v>2</v>
      </c>
      <c r="AI189">
        <f>MONTH(vp.data[[#This Row],[SDate]])</f>
        <v>5</v>
      </c>
      <c r="AJ189" s="5">
        <f>(vp.data[[#This Row],[VP]]-INDEX(crudeBD.lkup[Mean_VP],MATCH(vp.data[[#This Row],[Crude_Breakdown]],crudeBD.lkup[Crude Breakdown],0)))^2</f>
        <v>103.02886595199578</v>
      </c>
      <c r="AK189" s="5">
        <f>(vp.data[[#This Row],[Dens]]-INDEX(crudeBD.lkup[Mean_Dens],MATCH(vp.data[[#This Row],[Crude_Breakdown]],crudeBD.lkup[Crude Breakdown],0)))^2</f>
        <v>50.246856948612077</v>
      </c>
      <c r="AL189" s="5">
        <f>(vp.data[[#This Row],[Sulf]]-INDEX(crudeBD.lkup[Mean_Sulf],MATCH(vp.data[[#This Row],[Crude_Breakdown]],crudeBD.lkup[Crude Breakdown],0)))^2</f>
        <v>2.1383051628646554E-3</v>
      </c>
      <c r="AM189" s="4">
        <f>IF(AND(vp.data[[#This Row],[SDate]]&gt;=DATE(YEAR(vp.data[[#This Row],[SDate]]),5,1),vp.data[[#This Row],[SDate]]&lt;=DATE(YEAR(vp.data[[#This Row],[SDate]]),9,15)),1,0)</f>
        <v>1</v>
      </c>
      <c r="AN189" s="4">
        <f>IF(vp.data[[#This Row],[SDate]]&lt;DATE(2016,12,1),0,1)</f>
        <v>0</v>
      </c>
      <c r="AO189" s="4">
        <f>IFERROR(vp.data[[#This Row],[Sulf]]*vp.data[[#This Row],[Net Dens]],"")</f>
        <v>1852564.3624619998</v>
      </c>
      <c r="AP189">
        <f>IFERROR(vp.data[[#This Row],[Dens]]*vp.data[[#This Row],[VolumeM3]],"")</f>
        <v>9750338.7497999985</v>
      </c>
      <c r="AQ189" s="15">
        <f>IFERROR(vp.data[[#This Row],[VP]]*vp.data[[#This Row],[VolumeM3]],"")</f>
        <v>985317.52879999997</v>
      </c>
    </row>
    <row r="190" spans="1:43" x14ac:dyDescent="0.25">
      <c r="A190">
        <v>189</v>
      </c>
      <c r="B190" t="s">
        <v>62</v>
      </c>
      <c r="C190" t="s">
        <v>62</v>
      </c>
      <c r="D190" t="s">
        <v>79</v>
      </c>
      <c r="F190" s="1">
        <v>42508</v>
      </c>
      <c r="G190" s="2">
        <v>83.2</v>
      </c>
      <c r="H190" s="2"/>
      <c r="I190" s="2">
        <f t="array" ref="I190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90" s="2"/>
      <c r="K190" s="2"/>
      <c r="L190" s="2">
        <v>820.5</v>
      </c>
      <c r="M190" s="2">
        <f t="array" ref="M190">_xlfn.IFNA(IF(vp.data[[#This Row],[Dens Input]]="",INDEX([1]DATA!$O$3:$O$9826,MATCH(1,(vp.data[[#This Row],[Battery]]=[1]DATA!$L$3:$L$9826)*(EOMONTH(vp.data[[#This Row],[SDate]],-1)+1=[1]DATA!$G$3:$G$9826),0)),vp.data[[#This Row],[Dens Input]]),"")</f>
        <v>820.5</v>
      </c>
      <c r="N190" s="2">
        <f ca="1">INDEX(INDIRECT(_xlfn.CONCAT("weather.tbl[",N$1,"]")),MATCH(vp.data[[#This Row],[SDate]],weather.tbl[Date],0))</f>
        <v>16.916666666666668</v>
      </c>
      <c r="O190" s="2">
        <f ca="1">INDEX(INDIRECT(_xlfn.CONCAT("weather.tbl[",O$1,"]")),MATCH(vp.data[[#This Row],[SDate]],weather.tbl[Date],0))</f>
        <v>9.8619047619047624</v>
      </c>
      <c r="P190" s="2">
        <f ca="1">INDEX(INDIRECT(_xlfn.CONCAT("weather.tbl[",P$1,"]")),MATCH(vp.data[[#This Row],[SDate]],weather.tbl[Date],0))</f>
        <v>17.7</v>
      </c>
      <c r="Q190" s="2">
        <f ca="1">INDEX(INDIRECT(_xlfn.CONCAT("weather.tbl[",Q$1,"]")),MATCH(vp.data[[#This Row],[SDate]],weather.tbl[Date],0))</f>
        <v>17.5</v>
      </c>
      <c r="R190" s="2">
        <f ca="1">INDEX(INDIRECT(_xlfn.CONCAT("weather.tbl[",R$1,"]")),MATCH(vp.data[[#This Row],[SDate]],weather.tbl[Date],0))</f>
        <v>15.5</v>
      </c>
      <c r="S190" s="2">
        <f ca="1">INDEX(INDIRECT(_xlfn.CONCAT("weather.tbl[",S$1,"]")),MATCH(vp.data[[#This Row],[SDate]],weather.tbl[Date],0))</f>
        <v>17.5</v>
      </c>
      <c r="T190" s="2">
        <f ca="1">INDEX(INDIRECT(_xlfn.CONCAT("weather.tbl[",T$1,"]")),MATCH(vp.data[[#This Row],[SDate]],weather.tbl[Date],0))</f>
        <v>16.3</v>
      </c>
      <c r="U190" s="2">
        <f ca="1">INDEX(INDIRECT(_xlfn.CONCAT("weather.tbl[",U$1,"]")),MATCH(vp.data[[#This Row],[SDate]],weather.tbl[Date],0))</f>
        <v>17</v>
      </c>
      <c r="V190" s="2">
        <f t="array" ref="V1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16126.073</v>
      </c>
      <c r="W190" t="s">
        <v>48</v>
      </c>
      <c r="X190">
        <f>IF(OR(vp.data[[#This Row],[Sulf]]="",vp.data[[#This Row],[Dens]]=""),1,0)</f>
        <v>0</v>
      </c>
      <c r="Y190">
        <f>IF(vp.data[[#This Row],[CrudeType]]="C5+",1,0)</f>
        <v>0</v>
      </c>
      <c r="Z190">
        <f>IF(AND(vp.data[[#This Row],[CrudeType]]="Crude",vp.data[[#This Row],[Dens]]&lt;=825,vp.data[[#This Row],[Sulf]]&gt;0.5,vp.data[[#This Row],[Unknown]]=0),1,0)</f>
        <v>0</v>
      </c>
      <c r="AA190">
        <f>IF(AND(vp.data[[#This Row],[CrudeType]]="Crude",vp.data[[#This Row],[Dens]]&lt;=825,vp.data[[#This Row],[Sulf]]&lt;=0.5,vp.data[[#This Row],[Unknown]]=0),1,0)</f>
        <v>1</v>
      </c>
      <c r="AB1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0">
        <f>IF(AND(vp.data[[#This Row],[CrudeType]]="Crude",vp.data[[#This Row],[Dens]]&gt;825,vp.data[[#This Row],[Dens]]&lt;=900,vp.data[[#This Row],[Sulf]]&lt;=0.5,vp.data[[#This Row],[Unknown]]=0),1,0)</f>
        <v>0</v>
      </c>
      <c r="AD190">
        <f>IF(AND(vp.data[[#This Row],[CrudeType]]="Crude",vp.data[[#This Row],[Dens]]&gt;865,vp.data[[#This Row],[Dens]]&lt;=900,vp.data[[#This Row],[Sulf]]&gt;2,vp.data[[#This Row],[Unknown]]=0),1,0)</f>
        <v>0</v>
      </c>
      <c r="AE190">
        <f>IF(AND(vp.data[[#This Row],[CrudeType]]="Crude",vp.data[[#This Row],[Dens]]&gt;900,vp.data[[#This Row],[Sulf]]&lt;=0.5,vp.data[[#This Row],[Unknown]]=0),1,0)</f>
        <v>0</v>
      </c>
      <c r="AF190">
        <f>IF(AND(vp.data[[#This Row],[CrudeType]]="Crude",vp.data[[#This Row],[Dens]]&gt;900,vp.data[[#This Row],[Sulf]]&lt;=0.5,vp.data[[#This Row],[Unknown]]=0),1,0)</f>
        <v>0</v>
      </c>
      <c r="AG190" t="str">
        <f>INDEX(vp.data[[#Headers],[Unknown]:[Heavy_SW]],MATCH(1,vp.data[[#This Row],[Unknown]:[Heavy_SW]],0))</f>
        <v>Light_SW</v>
      </c>
      <c r="AH190">
        <f>INDEX([3]!crudeBD.lkup[Number],MATCH(vp.data[[#This Row],[Crude_Breakdown]],crudeBD.lkup[Crude Breakdown],0))</f>
        <v>2</v>
      </c>
      <c r="AI190">
        <f>MONTH(vp.data[[#This Row],[SDate]])</f>
        <v>5</v>
      </c>
      <c r="AJ190" s="5">
        <f>(vp.data[[#This Row],[VP]]-INDEX(crudeBD.lkup[Mean_VP],MATCH(vp.data[[#This Row],[Crude_Breakdown]],crudeBD.lkup[Crude Breakdown],0)))^2</f>
        <v>87.428364209835621</v>
      </c>
      <c r="AK190" s="5">
        <f>(vp.data[[#This Row],[Dens]]-INDEX(crudeBD.lkup[Mean_Dens],MATCH(vp.data[[#This Row],[Crude_Breakdown]],crudeBD.lkup[Crude Breakdown],0)))^2</f>
        <v>148.55957471864949</v>
      </c>
      <c r="AL190" s="5">
        <f>(vp.data[[#This Row],[Sulf]]-INDEX(crudeBD.lkup[Mean_Sulf],MATCH(vp.data[[#This Row],[Crude_Breakdown]],crudeBD.lkup[Crude Breakdown],0)))^2</f>
        <v>5.644515043280923E-4</v>
      </c>
      <c r="AM190" s="4">
        <f>IF(AND(vp.data[[#This Row],[SDate]]&gt;=DATE(YEAR(vp.data[[#This Row],[SDate]]),5,1),vp.data[[#This Row],[SDate]]&lt;=DATE(YEAR(vp.data[[#This Row],[SDate]]),9,15)),1,0)</f>
        <v>1</v>
      </c>
      <c r="AN190" s="4">
        <f>IF(vp.data[[#This Row],[SDate]]&lt;DATE(2016,12,1),0,1)</f>
        <v>0</v>
      </c>
      <c r="AO190" s="4">
        <f>IFERROR(vp.data[[#This Row],[Sulf]]*vp.data[[#This Row],[Net Dens]],"")</f>
        <v>3440175.1530900002</v>
      </c>
      <c r="AP190">
        <f>IFERROR(vp.data[[#This Row],[Dens]]*vp.data[[#This Row],[VolumeM3]],"")</f>
        <v>13231442.896500001</v>
      </c>
      <c r="AQ190" s="15">
        <f>IFERROR(vp.data[[#This Row],[VP]]*vp.data[[#This Row],[VolumeM3]],"")</f>
        <v>1341689.2736</v>
      </c>
    </row>
    <row r="191" spans="1:43" x14ac:dyDescent="0.25">
      <c r="A191">
        <v>190</v>
      </c>
      <c r="B191" t="s">
        <v>49</v>
      </c>
      <c r="C191" t="s">
        <v>49</v>
      </c>
      <c r="D191" t="s">
        <v>50</v>
      </c>
      <c r="F191" s="1">
        <v>42508</v>
      </c>
      <c r="G191" s="2">
        <v>67.900000000000006</v>
      </c>
      <c r="H191" s="2"/>
      <c r="I191" s="2">
        <f t="array" ref="I191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191" s="2"/>
      <c r="K191" s="2"/>
      <c r="L191" s="2">
        <v>851.3</v>
      </c>
      <c r="M191" s="2">
        <f t="array" ref="M191">_xlfn.IFNA(IF(vp.data[[#This Row],[Dens Input]]="",INDEX([1]DATA!$O$3:$O$9826,MATCH(1,(vp.data[[#This Row],[Battery]]=[1]DATA!$L$3:$L$9826)*(EOMONTH(vp.data[[#This Row],[SDate]],-1)+1=[1]DATA!$G$3:$G$9826),0)),vp.data[[#This Row],[Dens Input]]),"")</f>
        <v>851.3</v>
      </c>
      <c r="N191" s="2">
        <f ca="1">INDEX(INDIRECT(_xlfn.CONCAT("weather.tbl[",N$1,"]")),MATCH(vp.data[[#This Row],[SDate]],weather.tbl[Date],0))</f>
        <v>16.916666666666668</v>
      </c>
      <c r="O191" s="2">
        <f ca="1">INDEX(INDIRECT(_xlfn.CONCAT("weather.tbl[",O$1,"]")),MATCH(vp.data[[#This Row],[SDate]],weather.tbl[Date],0))</f>
        <v>9.8619047619047624</v>
      </c>
      <c r="P191" s="2">
        <f ca="1">INDEX(INDIRECT(_xlfn.CONCAT("weather.tbl[",P$1,"]")),MATCH(vp.data[[#This Row],[SDate]],weather.tbl[Date],0))</f>
        <v>17.7</v>
      </c>
      <c r="Q191" s="2">
        <f ca="1">INDEX(INDIRECT(_xlfn.CONCAT("weather.tbl[",Q$1,"]")),MATCH(vp.data[[#This Row],[SDate]],weather.tbl[Date],0))</f>
        <v>17.5</v>
      </c>
      <c r="R191" s="2">
        <f ca="1">INDEX(INDIRECT(_xlfn.CONCAT("weather.tbl[",R$1,"]")),MATCH(vp.data[[#This Row],[SDate]],weather.tbl[Date],0))</f>
        <v>15.5</v>
      </c>
      <c r="S191" s="2">
        <f ca="1">INDEX(INDIRECT(_xlfn.CONCAT("weather.tbl[",S$1,"]")),MATCH(vp.data[[#This Row],[SDate]],weather.tbl[Date],0))</f>
        <v>17.5</v>
      </c>
      <c r="T191" s="2">
        <f ca="1">INDEX(INDIRECT(_xlfn.CONCAT("weather.tbl[",T$1,"]")),MATCH(vp.data[[#This Row],[SDate]],weather.tbl[Date],0))</f>
        <v>16.3</v>
      </c>
      <c r="U191" s="2">
        <f ca="1">INDEX(INDIRECT(_xlfn.CONCAT("weather.tbl[",U$1,"]")),MATCH(vp.data[[#This Row],[SDate]],weather.tbl[Date],0))</f>
        <v>17</v>
      </c>
      <c r="V191" s="2">
        <f t="array" ref="V1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7696.8040000000001</v>
      </c>
      <c r="W191" t="s">
        <v>48</v>
      </c>
      <c r="X191">
        <f>IF(OR(vp.data[[#This Row],[Sulf]]="",vp.data[[#This Row],[Dens]]=""),1,0)</f>
        <v>0</v>
      </c>
      <c r="Y191">
        <f>IF(vp.data[[#This Row],[CrudeType]]="C5+",1,0)</f>
        <v>0</v>
      </c>
      <c r="Z191">
        <f>IF(AND(vp.data[[#This Row],[CrudeType]]="Crude",vp.data[[#This Row],[Dens]]&lt;=825,vp.data[[#This Row],[Sulf]]&gt;0.5,vp.data[[#This Row],[Unknown]]=0),1,0)</f>
        <v>0</v>
      </c>
      <c r="AA191">
        <f>IF(AND(vp.data[[#This Row],[CrudeType]]="Crude",vp.data[[#This Row],[Dens]]&lt;=825,vp.data[[#This Row],[Sulf]]&lt;=0.5,vp.data[[#This Row],[Unknown]]=0),1,0)</f>
        <v>0</v>
      </c>
      <c r="AB1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91">
        <f>IF(AND(vp.data[[#This Row],[CrudeType]]="Crude",vp.data[[#This Row],[Dens]]&gt;825,vp.data[[#This Row],[Dens]]&lt;=900,vp.data[[#This Row],[Sulf]]&lt;=0.5,vp.data[[#This Row],[Unknown]]=0),1,0)</f>
        <v>0</v>
      </c>
      <c r="AD191">
        <f>IF(AND(vp.data[[#This Row],[CrudeType]]="Crude",vp.data[[#This Row],[Dens]]&gt;865,vp.data[[#This Row],[Dens]]&lt;=900,vp.data[[#This Row],[Sulf]]&gt;2,vp.data[[#This Row],[Unknown]]=0),1,0)</f>
        <v>0</v>
      </c>
      <c r="AE191">
        <f>IF(AND(vp.data[[#This Row],[CrudeType]]="Crude",vp.data[[#This Row],[Dens]]&gt;900,vp.data[[#This Row],[Sulf]]&lt;=0.5,vp.data[[#This Row],[Unknown]]=0),1,0)</f>
        <v>0</v>
      </c>
      <c r="AF191">
        <f>IF(AND(vp.data[[#This Row],[CrudeType]]="Crude",vp.data[[#This Row],[Dens]]&gt;900,vp.data[[#This Row],[Sulf]]&lt;=0.5,vp.data[[#This Row],[Unknown]]=0),1,0)</f>
        <v>0</v>
      </c>
      <c r="AG191" t="str">
        <f>INDEX(vp.data[[#Headers],[Unknown]:[Heavy_SW]],MATCH(1,vp.data[[#This Row],[Unknown]:[Heavy_SW]],0))</f>
        <v>Medium_LSB</v>
      </c>
      <c r="AH191">
        <f>INDEX([3]!crudeBD.lkup[Number],MATCH(vp.data[[#This Row],[Crude_Breakdown]],crudeBD.lkup[Crude Breakdown],0))</f>
        <v>3</v>
      </c>
      <c r="AI191">
        <f>MONTH(vp.data[[#This Row],[SDate]])</f>
        <v>5</v>
      </c>
      <c r="AJ191" s="5">
        <f>(vp.data[[#This Row],[VP]]-INDEX(crudeBD.lkup[Mean_VP],MATCH(vp.data[[#This Row],[Crude_Breakdown]],crudeBD.lkup[Crude Breakdown],0)))^2</f>
        <v>162.29935859518406</v>
      </c>
      <c r="AK191" s="5">
        <f>(vp.data[[#This Row],[Dens]]-INDEX(crudeBD.lkup[Mean_Dens],MATCH(vp.data[[#This Row],[Crude_Breakdown]],crudeBD.lkup[Crude Breakdown],0)))^2</f>
        <v>54.464400000006648</v>
      </c>
      <c r="AL191" s="5">
        <f>(vp.data[[#This Row],[Sulf]]-INDEX(crudeBD.lkup[Mean_Sulf],MATCH(vp.data[[#This Row],[Crude_Breakdown]],crudeBD.lkup[Crude Breakdown],0)))^2</f>
        <v>1.4510415812574136</v>
      </c>
      <c r="AM191" s="4">
        <f>IF(AND(vp.data[[#This Row],[SDate]]&gt;=DATE(YEAR(vp.data[[#This Row],[SDate]]),5,1),vp.data[[#This Row],[SDate]]&lt;=DATE(YEAR(vp.data[[#This Row],[SDate]]),9,15)),1,0)</f>
        <v>1</v>
      </c>
      <c r="AN191" s="4">
        <f>IF(vp.data[[#This Row],[SDate]]&lt;DATE(2016,12,1),0,1)</f>
        <v>0</v>
      </c>
      <c r="AO191" s="4">
        <f>IFERROR(vp.data[[#This Row],[Sulf]]*vp.data[[#This Row],[Net Dens]],"")</f>
        <v>16970429.145067997</v>
      </c>
      <c r="AP191">
        <f>IFERROR(vp.data[[#This Row],[Dens]]*vp.data[[#This Row],[VolumeM3]],"")</f>
        <v>6552289.2451999998</v>
      </c>
      <c r="AQ191" s="15">
        <f>IFERROR(vp.data[[#This Row],[VP]]*vp.data[[#This Row],[VolumeM3]],"")</f>
        <v>522612.99160000007</v>
      </c>
    </row>
    <row r="192" spans="1:43" x14ac:dyDescent="0.25">
      <c r="A192">
        <v>191</v>
      </c>
      <c r="B192" t="s">
        <v>51</v>
      </c>
      <c r="C192" t="s">
        <v>51</v>
      </c>
      <c r="D192" t="s">
        <v>52</v>
      </c>
      <c r="F192" s="1">
        <v>42508</v>
      </c>
      <c r="G192" s="2">
        <v>49.4</v>
      </c>
      <c r="H192" s="2"/>
      <c r="I192" s="2">
        <f t="array" ref="I192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92" s="2"/>
      <c r="K192" s="2"/>
      <c r="L192" s="2">
        <v>869.6</v>
      </c>
      <c r="M192" s="2">
        <f t="array" ref="M192">_xlfn.IFNA(IF(vp.data[[#This Row],[Dens Input]]="",INDEX([1]DATA!$O$3:$O$9826,MATCH(1,(vp.data[[#This Row],[Battery]]=[1]DATA!$L$3:$L$9826)*(EOMONTH(vp.data[[#This Row],[SDate]],-1)+1=[1]DATA!$G$3:$G$9826),0)),vp.data[[#This Row],[Dens Input]]),"")</f>
        <v>869.6</v>
      </c>
      <c r="N192" s="2">
        <f ca="1">INDEX(INDIRECT(_xlfn.CONCAT("weather.tbl[",N$1,"]")),MATCH(vp.data[[#This Row],[SDate]],weather.tbl[Date],0))</f>
        <v>16.916666666666668</v>
      </c>
      <c r="O192" s="2">
        <f ca="1">INDEX(INDIRECT(_xlfn.CONCAT("weather.tbl[",O$1,"]")),MATCH(vp.data[[#This Row],[SDate]],weather.tbl[Date],0))</f>
        <v>9.8619047619047624</v>
      </c>
      <c r="P192" s="2">
        <f ca="1">INDEX(INDIRECT(_xlfn.CONCAT("weather.tbl[",P$1,"]")),MATCH(vp.data[[#This Row],[SDate]],weather.tbl[Date],0))</f>
        <v>17.7</v>
      </c>
      <c r="Q192" s="2">
        <f ca="1">INDEX(INDIRECT(_xlfn.CONCAT("weather.tbl[",Q$1,"]")),MATCH(vp.data[[#This Row],[SDate]],weather.tbl[Date],0))</f>
        <v>17.5</v>
      </c>
      <c r="R192" s="2">
        <f ca="1">INDEX(INDIRECT(_xlfn.CONCAT("weather.tbl[",R$1,"]")),MATCH(vp.data[[#This Row],[SDate]],weather.tbl[Date],0))</f>
        <v>15.5</v>
      </c>
      <c r="S192" s="2">
        <f ca="1">INDEX(INDIRECT(_xlfn.CONCAT("weather.tbl[",S$1,"]")),MATCH(vp.data[[#This Row],[SDate]],weather.tbl[Date],0))</f>
        <v>17.5</v>
      </c>
      <c r="T192" s="2">
        <f ca="1">INDEX(INDIRECT(_xlfn.CONCAT("weather.tbl[",T$1,"]")),MATCH(vp.data[[#This Row],[SDate]],weather.tbl[Date],0))</f>
        <v>16.3</v>
      </c>
      <c r="U192" s="2">
        <f ca="1">INDEX(INDIRECT(_xlfn.CONCAT("weather.tbl[",U$1,"]")),MATCH(vp.data[[#This Row],[SDate]],weather.tbl[Date],0))</f>
        <v>17</v>
      </c>
      <c r="V192" s="2">
        <f t="array" ref="V1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7741.1940000000004</v>
      </c>
      <c r="W192" t="s">
        <v>48</v>
      </c>
      <c r="X192">
        <f>IF(OR(vp.data[[#This Row],[Sulf]]="",vp.data[[#This Row],[Dens]]=""),1,0)</f>
        <v>0</v>
      </c>
      <c r="Y192">
        <f>IF(vp.data[[#This Row],[CrudeType]]="C5+",1,0)</f>
        <v>0</v>
      </c>
      <c r="Z192">
        <f>IF(AND(vp.data[[#This Row],[CrudeType]]="Crude",vp.data[[#This Row],[Dens]]&lt;=825,vp.data[[#This Row],[Sulf]]&gt;0.5,vp.data[[#This Row],[Unknown]]=0),1,0)</f>
        <v>0</v>
      </c>
      <c r="AA192">
        <f>IF(AND(vp.data[[#This Row],[CrudeType]]="Crude",vp.data[[#This Row],[Dens]]&lt;=825,vp.data[[#This Row],[Sulf]]&lt;=0.5,vp.data[[#This Row],[Unknown]]=0),1,0)</f>
        <v>0</v>
      </c>
      <c r="AB1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2">
        <f>IF(AND(vp.data[[#This Row],[CrudeType]]="Crude",vp.data[[#This Row],[Dens]]&gt;825,vp.data[[#This Row],[Dens]]&lt;=900,vp.data[[#This Row],[Sulf]]&lt;=0.5,vp.data[[#This Row],[Unknown]]=0),1,0)</f>
        <v>0</v>
      </c>
      <c r="AD192">
        <f>IF(AND(vp.data[[#This Row],[CrudeType]]="Crude",vp.data[[#This Row],[Dens]]&gt;865,vp.data[[#This Row],[Dens]]&lt;=900,vp.data[[#This Row],[Sulf]]&gt;2,vp.data[[#This Row],[Unknown]]=0),1,0)</f>
        <v>1</v>
      </c>
      <c r="AE192">
        <f>IF(AND(vp.data[[#This Row],[CrudeType]]="Crude",vp.data[[#This Row],[Dens]]&gt;900,vp.data[[#This Row],[Sulf]]&lt;=0.5,vp.data[[#This Row],[Unknown]]=0),1,0)</f>
        <v>0</v>
      </c>
      <c r="AF192">
        <f>IF(AND(vp.data[[#This Row],[CrudeType]]="Crude",vp.data[[#This Row],[Dens]]&gt;900,vp.data[[#This Row],[Sulf]]&lt;=0.5,vp.data[[#This Row],[Unknown]]=0),1,0)</f>
        <v>0</v>
      </c>
      <c r="AG192" t="str">
        <f>INDEX(vp.data[[#Headers],[Unknown]:[Heavy_SW]],MATCH(1,vp.data[[#This Row],[Unknown]:[Heavy_SW]],0))</f>
        <v>Midale</v>
      </c>
      <c r="AH192">
        <f>INDEX([3]!crudeBD.lkup[Number],MATCH(vp.data[[#This Row],[Crude_Breakdown]],crudeBD.lkup[Crude Breakdown],0))</f>
        <v>5</v>
      </c>
      <c r="AI192">
        <f>MONTH(vp.data[[#This Row],[SDate]])</f>
        <v>5</v>
      </c>
      <c r="AJ192" s="5">
        <f>(vp.data[[#This Row],[VP]]-INDEX(crudeBD.lkup[Mean_VP],MATCH(vp.data[[#This Row],[Crude_Breakdown]],crudeBD.lkup[Crude Breakdown],0)))^2</f>
        <v>400.35059225210034</v>
      </c>
      <c r="AK192" s="5">
        <f>(vp.data[[#This Row],[Dens]]-INDEX(crudeBD.lkup[Mean_Dens],MATCH(vp.data[[#This Row],[Crude_Breakdown]],crudeBD.lkup[Crude Breakdown],0)))^2</f>
        <v>27.217196567119558</v>
      </c>
      <c r="AL192" s="5">
        <f>(vp.data[[#This Row],[Sulf]]-INDEX(crudeBD.lkup[Mean_Sulf],MATCH(vp.data[[#This Row],[Crude_Breakdown]],crudeBD.lkup[Crude Breakdown],0)))^2</f>
        <v>2.0625431087692294E-2</v>
      </c>
      <c r="AM192" s="4">
        <f>IF(AND(vp.data[[#This Row],[SDate]]&gt;=DATE(YEAR(vp.data[[#This Row],[SDate]]),5,1),vp.data[[#This Row],[SDate]]&lt;=DATE(YEAR(vp.data[[#This Row],[SDate]]),9,15)),1,0)</f>
        <v>1</v>
      </c>
      <c r="AN192" s="4">
        <f>IF(vp.data[[#This Row],[SDate]]&lt;DATE(2016,12,1),0,1)</f>
        <v>0</v>
      </c>
      <c r="AO192" s="4">
        <f>IFERROR(vp.data[[#This Row],[Sulf]]*vp.data[[#This Row],[Net Dens]],"")</f>
        <v>15483007.29552</v>
      </c>
      <c r="AP192">
        <f>IFERROR(vp.data[[#This Row],[Dens]]*vp.data[[#This Row],[VolumeM3]],"")</f>
        <v>6731742.3024000004</v>
      </c>
      <c r="AQ192" s="15">
        <f>IFERROR(vp.data[[#This Row],[VP]]*vp.data[[#This Row],[VolumeM3]],"")</f>
        <v>382414.98360000004</v>
      </c>
    </row>
    <row r="193" spans="1:43" x14ac:dyDescent="0.25">
      <c r="A193">
        <v>192</v>
      </c>
      <c r="B193" t="s">
        <v>46</v>
      </c>
      <c r="C193" t="s">
        <v>46</v>
      </c>
      <c r="D193" t="s">
        <v>47</v>
      </c>
      <c r="F193" s="1">
        <v>42508</v>
      </c>
      <c r="G193" s="2">
        <v>61.6</v>
      </c>
      <c r="H193" s="2"/>
      <c r="I193" s="2">
        <f t="array" ref="I193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193" s="2"/>
      <c r="K193" s="2"/>
      <c r="L193" s="2">
        <v>874.2</v>
      </c>
      <c r="M193" s="2">
        <f t="array" ref="M193">_xlfn.IFNA(IF(vp.data[[#This Row],[Dens Input]]="",INDEX([1]DATA!$O$3:$O$9826,MATCH(1,(vp.data[[#This Row],[Battery]]=[1]DATA!$L$3:$L$9826)*(EOMONTH(vp.data[[#This Row],[SDate]],-1)+1=[1]DATA!$G$3:$G$9826),0)),vp.data[[#This Row],[Dens Input]]),"")</f>
        <v>874.2</v>
      </c>
      <c r="N193" s="2">
        <f ca="1">INDEX(INDIRECT(_xlfn.CONCAT("weather.tbl[",N$1,"]")),MATCH(vp.data[[#This Row],[SDate]],weather.tbl[Date],0))</f>
        <v>16.916666666666668</v>
      </c>
      <c r="O193" s="2">
        <f ca="1">INDEX(INDIRECT(_xlfn.CONCAT("weather.tbl[",O$1,"]")),MATCH(vp.data[[#This Row],[SDate]],weather.tbl[Date],0))</f>
        <v>9.8619047619047624</v>
      </c>
      <c r="P193" s="2">
        <f ca="1">INDEX(INDIRECT(_xlfn.CONCAT("weather.tbl[",P$1,"]")),MATCH(vp.data[[#This Row],[SDate]],weather.tbl[Date],0))</f>
        <v>17.7</v>
      </c>
      <c r="Q193" s="2">
        <f ca="1">INDEX(INDIRECT(_xlfn.CONCAT("weather.tbl[",Q$1,"]")),MATCH(vp.data[[#This Row],[SDate]],weather.tbl[Date],0))</f>
        <v>17.5</v>
      </c>
      <c r="R193" s="2">
        <f ca="1">INDEX(INDIRECT(_xlfn.CONCAT("weather.tbl[",R$1,"]")),MATCH(vp.data[[#This Row],[SDate]],weather.tbl[Date],0))</f>
        <v>15.5</v>
      </c>
      <c r="S193" s="2">
        <f ca="1">INDEX(INDIRECT(_xlfn.CONCAT("weather.tbl[",S$1,"]")),MATCH(vp.data[[#This Row],[SDate]],weather.tbl[Date],0))</f>
        <v>17.5</v>
      </c>
      <c r="T193" s="2">
        <f ca="1">INDEX(INDIRECT(_xlfn.CONCAT("weather.tbl[",T$1,"]")),MATCH(vp.data[[#This Row],[SDate]],weather.tbl[Date],0))</f>
        <v>16.3</v>
      </c>
      <c r="U193" s="2">
        <f ca="1">INDEX(INDIRECT(_xlfn.CONCAT("weather.tbl[",U$1,"]")),MATCH(vp.data[[#This Row],[SDate]],weather.tbl[Date],0))</f>
        <v>17</v>
      </c>
      <c r="V193" s="2">
        <f t="array" ref="V1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116895.311</v>
      </c>
      <c r="W193" t="s">
        <v>48</v>
      </c>
      <c r="X193">
        <f>IF(OR(vp.data[[#This Row],[Sulf]]="",vp.data[[#This Row],[Dens]]=""),1,0)</f>
        <v>0</v>
      </c>
      <c r="Y193">
        <f>IF(vp.data[[#This Row],[CrudeType]]="C5+",1,0)</f>
        <v>0</v>
      </c>
      <c r="Z193">
        <f>IF(AND(vp.data[[#This Row],[CrudeType]]="Crude",vp.data[[#This Row],[Dens]]&lt;=825,vp.data[[#This Row],[Sulf]]&gt;0.5,vp.data[[#This Row],[Unknown]]=0),1,0)</f>
        <v>0</v>
      </c>
      <c r="AA193">
        <f>IF(AND(vp.data[[#This Row],[CrudeType]]="Crude",vp.data[[#This Row],[Dens]]&lt;=825,vp.data[[#This Row],[Sulf]]&lt;=0.5,vp.data[[#This Row],[Unknown]]=0),1,0)</f>
        <v>0</v>
      </c>
      <c r="AB1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3">
        <f>IF(AND(vp.data[[#This Row],[CrudeType]]="Crude",vp.data[[#This Row],[Dens]]&gt;825,vp.data[[#This Row],[Dens]]&lt;=900,vp.data[[#This Row],[Sulf]]&lt;=0.5,vp.data[[#This Row],[Unknown]]=0),1,0)</f>
        <v>0</v>
      </c>
      <c r="AD193">
        <f>IF(AND(vp.data[[#This Row],[CrudeType]]="Crude",vp.data[[#This Row],[Dens]]&gt;865,vp.data[[#This Row],[Dens]]&lt;=900,vp.data[[#This Row],[Sulf]]&gt;2,vp.data[[#This Row],[Unknown]]=0),1,0)</f>
        <v>1</v>
      </c>
      <c r="AE193">
        <f>IF(AND(vp.data[[#This Row],[CrudeType]]="Crude",vp.data[[#This Row],[Dens]]&gt;900,vp.data[[#This Row],[Sulf]]&lt;=0.5,vp.data[[#This Row],[Unknown]]=0),1,0)</f>
        <v>0</v>
      </c>
      <c r="AF193">
        <f>IF(AND(vp.data[[#This Row],[CrudeType]]="Crude",vp.data[[#This Row],[Dens]]&gt;900,vp.data[[#This Row],[Sulf]]&lt;=0.5,vp.data[[#This Row],[Unknown]]=0),1,0)</f>
        <v>0</v>
      </c>
      <c r="AG193" t="str">
        <f>INDEX(vp.data[[#Headers],[Unknown]:[Heavy_SW]],MATCH(1,vp.data[[#This Row],[Unknown]:[Heavy_SW]],0))</f>
        <v>Midale</v>
      </c>
      <c r="AH193">
        <f>INDEX([3]!crudeBD.lkup[Number],MATCH(vp.data[[#This Row],[Crude_Breakdown]],crudeBD.lkup[Crude Breakdown],0))</f>
        <v>5</v>
      </c>
      <c r="AI193">
        <f>MONTH(vp.data[[#This Row],[SDate]])</f>
        <v>5</v>
      </c>
      <c r="AJ193" s="5">
        <f>(vp.data[[#This Row],[VP]]-INDEX(crudeBD.lkup[Mean_VP],MATCH(vp.data[[#This Row],[Crude_Breakdown]],crudeBD.lkup[Crude Breakdown],0)))^2</f>
        <v>60.976777819109834</v>
      </c>
      <c r="AK193" s="5">
        <f>(vp.data[[#This Row],[Dens]]-INDEX(crudeBD.lkup[Mean_Dens],MATCH(vp.data[[#This Row],[Crude_Breakdown]],crudeBD.lkup[Crude Breakdown],0)))^2</f>
        <v>0.38070172175608857</v>
      </c>
      <c r="AL193" s="5">
        <f>(vp.data[[#This Row],[Sulf]]-INDEX(crudeBD.lkup[Mean_Sulf],MATCH(vp.data[[#This Row],[Crude_Breakdown]],crudeBD.lkup[Crude Breakdown],0)))^2</f>
        <v>1.130006345424492E-3</v>
      </c>
      <c r="AM193" s="4">
        <f>IF(AND(vp.data[[#This Row],[SDate]]&gt;=DATE(YEAR(vp.data[[#This Row],[SDate]]),5,1),vp.data[[#This Row],[SDate]]&lt;=DATE(YEAR(vp.data[[#This Row],[SDate]]),9,15)),1,0)</f>
        <v>1</v>
      </c>
      <c r="AN193" s="4">
        <f>IF(vp.data[[#This Row],[SDate]]&lt;DATE(2016,12,1),0,1)</f>
        <v>0</v>
      </c>
      <c r="AO193" s="4">
        <f>IFERROR(vp.data[[#This Row],[Sulf]]*vp.data[[#This Row],[Net Dens]],"")</f>
        <v>246277612.91164201</v>
      </c>
      <c r="AP193">
        <f>IFERROR(vp.data[[#This Row],[Dens]]*vp.data[[#This Row],[VolumeM3]],"")</f>
        <v>102189880.87620001</v>
      </c>
      <c r="AQ193" s="15">
        <f>IFERROR(vp.data[[#This Row],[VP]]*vp.data[[#This Row],[VolumeM3]],"")</f>
        <v>7200751.1576000005</v>
      </c>
    </row>
    <row r="194" spans="1:43" x14ac:dyDescent="0.25">
      <c r="A194">
        <v>193</v>
      </c>
      <c r="B194" t="s">
        <v>49</v>
      </c>
      <c r="C194" t="s">
        <v>49</v>
      </c>
      <c r="D194" t="s">
        <v>86</v>
      </c>
      <c r="F194" s="1">
        <v>42508</v>
      </c>
      <c r="G194" s="2">
        <v>117.5</v>
      </c>
      <c r="H194" s="2"/>
      <c r="I194" s="2">
        <f t="array" ref="I194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194" s="2"/>
      <c r="K194" s="2"/>
      <c r="L194" s="2">
        <v>888.3</v>
      </c>
      <c r="M194" s="2">
        <f t="array" ref="M194">_xlfn.IFNA(IF(vp.data[[#This Row],[Dens Input]]="",INDEX([1]DATA!$O$3:$O$9826,MATCH(1,(vp.data[[#This Row],[Battery]]=[1]DATA!$L$3:$L$9826)*(EOMONTH(vp.data[[#This Row],[SDate]],-1)+1=[1]DATA!$G$3:$G$9826),0)),vp.data[[#This Row],[Dens Input]]),"")</f>
        <v>888.3</v>
      </c>
      <c r="N194" s="2">
        <f ca="1">INDEX(INDIRECT(_xlfn.CONCAT("weather.tbl[",N$1,"]")),MATCH(vp.data[[#This Row],[SDate]],weather.tbl[Date],0))</f>
        <v>16.916666666666668</v>
      </c>
      <c r="O194" s="2">
        <f ca="1">INDEX(INDIRECT(_xlfn.CONCAT("weather.tbl[",O$1,"]")),MATCH(vp.data[[#This Row],[SDate]],weather.tbl[Date],0))</f>
        <v>9.8619047619047624</v>
      </c>
      <c r="P194" s="2">
        <f ca="1">INDEX(INDIRECT(_xlfn.CONCAT("weather.tbl[",P$1,"]")),MATCH(vp.data[[#This Row],[SDate]],weather.tbl[Date],0))</f>
        <v>17.7</v>
      </c>
      <c r="Q194" s="2">
        <f ca="1">INDEX(INDIRECT(_xlfn.CONCAT("weather.tbl[",Q$1,"]")),MATCH(vp.data[[#This Row],[SDate]],weather.tbl[Date],0))</f>
        <v>17.5</v>
      </c>
      <c r="R194" s="2">
        <f ca="1">INDEX(INDIRECT(_xlfn.CONCAT("weather.tbl[",R$1,"]")),MATCH(vp.data[[#This Row],[SDate]],weather.tbl[Date],0))</f>
        <v>15.5</v>
      </c>
      <c r="S194" s="2">
        <f ca="1">INDEX(INDIRECT(_xlfn.CONCAT("weather.tbl[",S$1,"]")),MATCH(vp.data[[#This Row],[SDate]],weather.tbl[Date],0))</f>
        <v>17.5</v>
      </c>
      <c r="T194" s="2">
        <f ca="1">INDEX(INDIRECT(_xlfn.CONCAT("weather.tbl[",T$1,"]")),MATCH(vp.data[[#This Row],[SDate]],weather.tbl[Date],0))</f>
        <v>16.3</v>
      </c>
      <c r="U194" s="2">
        <f ca="1">INDEX(INDIRECT(_xlfn.CONCAT("weather.tbl[",U$1,"]")),MATCH(vp.data[[#This Row],[SDate]],weather.tbl[Date],0))</f>
        <v>17</v>
      </c>
      <c r="V194" s="2">
        <f t="array" ref="V1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4411.6440000000002</v>
      </c>
      <c r="W194" t="s">
        <v>48</v>
      </c>
      <c r="X194">
        <f>IF(OR(vp.data[[#This Row],[Sulf]]="",vp.data[[#This Row],[Dens]]=""),1,0)</f>
        <v>0</v>
      </c>
      <c r="Y194">
        <f>IF(vp.data[[#This Row],[CrudeType]]="C5+",1,0)</f>
        <v>0</v>
      </c>
      <c r="Z194">
        <f>IF(AND(vp.data[[#This Row],[CrudeType]]="Crude",vp.data[[#This Row],[Dens]]&lt;=825,vp.data[[#This Row],[Sulf]]&gt;0.5,vp.data[[#This Row],[Unknown]]=0),1,0)</f>
        <v>0</v>
      </c>
      <c r="AA194">
        <f>IF(AND(vp.data[[#This Row],[CrudeType]]="Crude",vp.data[[#This Row],[Dens]]&lt;=825,vp.data[[#This Row],[Sulf]]&lt;=0.5,vp.data[[#This Row],[Unknown]]=0),1,0)</f>
        <v>0</v>
      </c>
      <c r="AB1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4">
        <f>IF(AND(vp.data[[#This Row],[CrudeType]]="Crude",vp.data[[#This Row],[Dens]]&gt;825,vp.data[[#This Row],[Dens]]&lt;=900,vp.data[[#This Row],[Sulf]]&lt;=0.5,vp.data[[#This Row],[Unknown]]=0),1,0)</f>
        <v>0</v>
      </c>
      <c r="AD194">
        <f>IF(AND(vp.data[[#This Row],[CrudeType]]="Crude",vp.data[[#This Row],[Dens]]&gt;865,vp.data[[#This Row],[Dens]]&lt;=900,vp.data[[#This Row],[Sulf]]&gt;2,vp.data[[#This Row],[Unknown]]=0),1,0)</f>
        <v>1</v>
      </c>
      <c r="AE194">
        <f>IF(AND(vp.data[[#This Row],[CrudeType]]="Crude",vp.data[[#This Row],[Dens]]&gt;900,vp.data[[#This Row],[Sulf]]&lt;=0.5,vp.data[[#This Row],[Unknown]]=0),1,0)</f>
        <v>0</v>
      </c>
      <c r="AF194">
        <f>IF(AND(vp.data[[#This Row],[CrudeType]]="Crude",vp.data[[#This Row],[Dens]]&gt;900,vp.data[[#This Row],[Sulf]]&lt;=0.5,vp.data[[#This Row],[Unknown]]=0),1,0)</f>
        <v>0</v>
      </c>
      <c r="AG194" t="str">
        <f>INDEX(vp.data[[#Headers],[Unknown]:[Heavy_SW]],MATCH(1,vp.data[[#This Row],[Unknown]:[Heavy_SW]],0))</f>
        <v>Midale</v>
      </c>
      <c r="AH194">
        <f>INDEX([3]!crudeBD.lkup[Number],MATCH(vp.data[[#This Row],[Crude_Breakdown]],crudeBD.lkup[Crude Breakdown],0))</f>
        <v>5</v>
      </c>
      <c r="AI194">
        <f>MONTH(vp.data[[#This Row],[SDate]])</f>
        <v>5</v>
      </c>
      <c r="AJ194" s="5">
        <f>(vp.data[[#This Row],[VP]]-INDEX(crudeBD.lkup[Mean_VP],MATCH(vp.data[[#This Row],[Crude_Breakdown]],crudeBD.lkup[Crude Breakdown],0)))^2</f>
        <v>2312.7670870974571</v>
      </c>
      <c r="AK194" s="5">
        <f>(vp.data[[#This Row],[Dens]]-INDEX(crudeBD.lkup[Mean_Dens],MATCH(vp.data[[#This Row],[Crude_Breakdown]],crudeBD.lkup[Crude Breakdown],0)))^2</f>
        <v>181.79101100009677</v>
      </c>
      <c r="AL194" s="5">
        <f>(vp.data[[#This Row],[Sulf]]-INDEX(crudeBD.lkup[Mean_Sulf],MATCH(vp.data[[#This Row],[Crude_Breakdown]],crudeBD.lkup[Crude Breakdown],0)))^2</f>
        <v>0.12700986407738421</v>
      </c>
      <c r="AM194" s="4">
        <f>IF(AND(vp.data[[#This Row],[SDate]]&gt;=DATE(YEAR(vp.data[[#This Row],[SDate]]),5,1),vp.data[[#This Row],[SDate]]&lt;=DATE(YEAR(vp.data[[#This Row],[SDate]]),9,15)),1,0)</f>
        <v>1</v>
      </c>
      <c r="AN194" s="4">
        <f>IF(vp.data[[#This Row],[SDate]]&lt;DATE(2016,12,1),0,1)</f>
        <v>0</v>
      </c>
      <c r="AO194" s="4">
        <f>IFERROR(vp.data[[#This Row],[Sulf]]*vp.data[[#This Row],[Net Dens]],"")</f>
        <v>10972817.422559999</v>
      </c>
      <c r="AP194">
        <f>IFERROR(vp.data[[#This Row],[Dens]]*vp.data[[#This Row],[VolumeM3]],"")</f>
        <v>3918863.3651999999</v>
      </c>
      <c r="AQ194" s="15">
        <f>IFERROR(vp.data[[#This Row],[VP]]*vp.data[[#This Row],[VolumeM3]],"")</f>
        <v>518368.17000000004</v>
      </c>
    </row>
    <row r="195" spans="1:43" x14ac:dyDescent="0.25">
      <c r="A195">
        <v>194</v>
      </c>
      <c r="B195" t="s">
        <v>51</v>
      </c>
      <c r="C195" t="s">
        <v>51</v>
      </c>
      <c r="D195" t="s">
        <v>71</v>
      </c>
      <c r="F195" s="1">
        <v>42509</v>
      </c>
      <c r="G195" s="2">
        <v>91.8</v>
      </c>
      <c r="H195" s="2"/>
      <c r="I195" s="2">
        <f t="array" ref="I195">_xlfn.IFNA(IF(vp.data[[#This Row],[Sulf Input]]="",INDEX([1]DATA!$Q$3:$Q$9826,MATCH(1,(vp.data[[#This Row],[Battery]]=[1]DATA!$L$3:$L$9826)*(EOMONTH(vp.data[[#This Row],[SDate]],-1)+1=[1]DATA!$G$3:$G$9826),0)),vp.data[[#This Row],[Sulf Input]]),"")</f>
        <v>1.38</v>
      </c>
      <c r="J195" s="2"/>
      <c r="K195" s="2"/>
      <c r="L195" s="2">
        <v>823</v>
      </c>
      <c r="M195" s="2">
        <f t="array" ref="M195">_xlfn.IFNA(IF(vp.data[[#This Row],[Dens Input]]="",INDEX([1]DATA!$O$3:$O$9826,MATCH(1,(vp.data[[#This Row],[Battery]]=[1]DATA!$L$3:$L$9826)*(EOMONTH(vp.data[[#This Row],[SDate]],-1)+1=[1]DATA!$G$3:$G$9826),0)),vp.data[[#This Row],[Dens Input]]),"")</f>
        <v>823</v>
      </c>
      <c r="N195" s="2">
        <f ca="1">INDEX(INDIRECT(_xlfn.CONCAT("weather.tbl[",N$1,"]")),MATCH(vp.data[[#This Row],[SDate]],weather.tbl[Date],0))</f>
        <v>18.149999999999999</v>
      </c>
      <c r="O195" s="2">
        <f ca="1">INDEX(INDIRECT(_xlfn.CONCAT("weather.tbl[",O$1,"]")),MATCH(vp.data[[#This Row],[SDate]],weather.tbl[Date],0))</f>
        <v>12</v>
      </c>
      <c r="P195" s="2">
        <f ca="1">INDEX(INDIRECT(_xlfn.CONCAT("weather.tbl[",P$1,"]")),MATCH(vp.data[[#This Row],[SDate]],weather.tbl[Date],0))</f>
        <v>17.2</v>
      </c>
      <c r="Q195" s="2">
        <f ca="1">INDEX(INDIRECT(_xlfn.CONCAT("weather.tbl[",Q$1,"]")),MATCH(vp.data[[#This Row],[SDate]],weather.tbl[Date],0))</f>
        <v>18.399999999999999</v>
      </c>
      <c r="R195" s="2">
        <f ca="1">INDEX(INDIRECT(_xlfn.CONCAT("weather.tbl[",R$1,"]")),MATCH(vp.data[[#This Row],[SDate]],weather.tbl[Date],0))</f>
        <v>16.5</v>
      </c>
      <c r="S195" s="2">
        <f ca="1">INDEX(INDIRECT(_xlfn.CONCAT("weather.tbl[",S$1,"]")),MATCH(vp.data[[#This Row],[SDate]],weather.tbl[Date],0))</f>
        <v>19.5</v>
      </c>
      <c r="T195" s="2">
        <f ca="1">INDEX(INDIRECT(_xlfn.CONCAT("weather.tbl[",T$1,"]")),MATCH(vp.data[[#This Row],[SDate]],weather.tbl[Date],0))</f>
        <v>19.5</v>
      </c>
      <c r="U195" s="2">
        <f ca="1">INDEX(INDIRECT(_xlfn.CONCAT("weather.tbl[",U$1,"]")),MATCH(vp.data[[#This Row],[SDate]],weather.tbl[Date],0))</f>
        <v>17.8</v>
      </c>
      <c r="V195" s="2">
        <f t="array" ref="V1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5132.7520000000004</v>
      </c>
      <c r="W195" t="s">
        <v>48</v>
      </c>
      <c r="X195">
        <f>IF(OR(vp.data[[#This Row],[Sulf]]="",vp.data[[#This Row],[Dens]]=""),1,0)</f>
        <v>0</v>
      </c>
      <c r="Y195">
        <f>IF(vp.data[[#This Row],[CrudeType]]="C5+",1,0)</f>
        <v>0</v>
      </c>
      <c r="Z195">
        <f>IF(AND(vp.data[[#This Row],[CrudeType]]="Crude",vp.data[[#This Row],[Dens]]&lt;=825,vp.data[[#This Row],[Sulf]]&gt;0.5,vp.data[[#This Row],[Unknown]]=0),1,0)</f>
        <v>1</v>
      </c>
      <c r="AA195">
        <f>IF(AND(vp.data[[#This Row],[CrudeType]]="Crude",vp.data[[#This Row],[Dens]]&lt;=825,vp.data[[#This Row],[Sulf]]&lt;=0.5,vp.data[[#This Row],[Unknown]]=0),1,0)</f>
        <v>0</v>
      </c>
      <c r="AB1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5">
        <f>IF(AND(vp.data[[#This Row],[CrudeType]]="Crude",vp.data[[#This Row],[Dens]]&gt;825,vp.data[[#This Row],[Dens]]&lt;=900,vp.data[[#This Row],[Sulf]]&lt;=0.5,vp.data[[#This Row],[Unknown]]=0),1,0)</f>
        <v>0</v>
      </c>
      <c r="AD195">
        <f>IF(AND(vp.data[[#This Row],[CrudeType]]="Crude",vp.data[[#This Row],[Dens]]&gt;865,vp.data[[#This Row],[Dens]]&lt;=900,vp.data[[#This Row],[Sulf]]&gt;2,vp.data[[#This Row],[Unknown]]=0),1,0)</f>
        <v>0</v>
      </c>
      <c r="AE195">
        <f>IF(AND(vp.data[[#This Row],[CrudeType]]="Crude",vp.data[[#This Row],[Dens]]&gt;900,vp.data[[#This Row],[Sulf]]&lt;=0.5,vp.data[[#This Row],[Unknown]]=0),1,0)</f>
        <v>0</v>
      </c>
      <c r="AF195">
        <f>IF(AND(vp.data[[#This Row],[CrudeType]]="Crude",vp.data[[#This Row],[Dens]]&gt;900,vp.data[[#This Row],[Sulf]]&lt;=0.5,vp.data[[#This Row],[Unknown]]=0),1,0)</f>
        <v>0</v>
      </c>
      <c r="AG195" t="str">
        <f>INDEX(vp.data[[#Headers],[Unknown]:[Heavy_SW]],MATCH(1,vp.data[[#This Row],[Unknown]:[Heavy_SW]],0))</f>
        <v>Light_LSB</v>
      </c>
      <c r="AH195">
        <f>INDEX([3]!crudeBD.lkup[Number],MATCH(vp.data[[#This Row],[Crude_Breakdown]],crudeBD.lkup[Crude Breakdown],0))</f>
        <v>1</v>
      </c>
      <c r="AI195">
        <f>MONTH(vp.data[[#This Row],[SDate]])</f>
        <v>5</v>
      </c>
      <c r="AJ195" s="5">
        <f>(vp.data[[#This Row],[VP]]-INDEX(crudeBD.lkup[Mean_VP],MATCH(vp.data[[#This Row],[Crude_Breakdown]],crudeBD.lkup[Crude Breakdown],0)))^2</f>
        <v>6.4421766393860977E-2</v>
      </c>
      <c r="AK195" s="5">
        <f>(vp.data[[#This Row],[Dens]]-INDEX(crudeBD.lkup[Mean_Dens],MATCH(vp.data[[#This Row],[Crude_Breakdown]],crudeBD.lkup[Crude Breakdown],0)))^2</f>
        <v>20.099353389783285</v>
      </c>
      <c r="AL195" s="5">
        <f>(vp.data[[#This Row],[Sulf]]-INDEX(crudeBD.lkup[Mean_Sulf],MATCH(vp.data[[#This Row],[Crude_Breakdown]],crudeBD.lkup[Crude Breakdown],0)))^2</f>
        <v>0.20887535292748211</v>
      </c>
      <c r="AM195" s="4">
        <f>IF(AND(vp.data[[#This Row],[SDate]]&gt;=DATE(YEAR(vp.data[[#This Row],[SDate]]),5,1),vp.data[[#This Row],[SDate]]&lt;=DATE(YEAR(vp.data[[#This Row],[SDate]]),9,15)),1,0)</f>
        <v>1</v>
      </c>
      <c r="AN195" s="4">
        <f>IF(vp.data[[#This Row],[SDate]]&lt;DATE(2016,12,1),0,1)</f>
        <v>0</v>
      </c>
      <c r="AO195" s="4">
        <f>IFERROR(vp.data[[#This Row],[Sulf]]*vp.data[[#This Row],[Net Dens]],"")</f>
        <v>5829471.75648</v>
      </c>
      <c r="AP195">
        <f>IFERROR(vp.data[[#This Row],[Dens]]*vp.data[[#This Row],[VolumeM3]],"")</f>
        <v>4224254.8960000006</v>
      </c>
      <c r="AQ195" s="15">
        <f>IFERROR(vp.data[[#This Row],[VP]]*vp.data[[#This Row],[VolumeM3]],"")</f>
        <v>471186.6336</v>
      </c>
    </row>
    <row r="196" spans="1:43" x14ac:dyDescent="0.25">
      <c r="A196">
        <v>195</v>
      </c>
      <c r="B196" t="s">
        <v>51</v>
      </c>
      <c r="C196" t="s">
        <v>51</v>
      </c>
      <c r="D196" t="s">
        <v>66</v>
      </c>
      <c r="F196" s="1">
        <v>42509</v>
      </c>
      <c r="G196" s="2">
        <v>99.9</v>
      </c>
      <c r="H196" s="2"/>
      <c r="I196" s="2">
        <f t="array" ref="I196">_xlfn.IFNA(IF(vp.data[[#This Row],[Sulf Input]]="",INDEX([1]DATA!$Q$3:$Q$9826,MATCH(1,(vp.data[[#This Row],[Battery]]=[1]DATA!$L$3:$L$9826)*(EOMONTH(vp.data[[#This Row],[SDate]],-1)+1=[1]DATA!$G$3:$G$9826),0)),vp.data[[#This Row],[Sulf Input]]),"")</f>
        <v>0.9</v>
      </c>
      <c r="J196" s="2"/>
      <c r="K196" s="2"/>
      <c r="L196" s="2">
        <v>825.6</v>
      </c>
      <c r="M196" s="2">
        <f t="array" ref="M196">_xlfn.IFNA(IF(vp.data[[#This Row],[Dens Input]]="",INDEX([1]DATA!$O$3:$O$9826,MATCH(1,(vp.data[[#This Row],[Battery]]=[1]DATA!$L$3:$L$9826)*(EOMONTH(vp.data[[#This Row],[SDate]],-1)+1=[1]DATA!$G$3:$G$9826),0)),vp.data[[#This Row],[Dens Input]]),"")</f>
        <v>825.6</v>
      </c>
      <c r="N196" s="2">
        <f ca="1">INDEX(INDIRECT(_xlfn.CONCAT("weather.tbl[",N$1,"]")),MATCH(vp.data[[#This Row],[SDate]],weather.tbl[Date],0))</f>
        <v>18.149999999999999</v>
      </c>
      <c r="O196" s="2">
        <f ca="1">INDEX(INDIRECT(_xlfn.CONCAT("weather.tbl[",O$1,"]")),MATCH(vp.data[[#This Row],[SDate]],weather.tbl[Date],0))</f>
        <v>12</v>
      </c>
      <c r="P196" s="2">
        <f ca="1">INDEX(INDIRECT(_xlfn.CONCAT("weather.tbl[",P$1,"]")),MATCH(vp.data[[#This Row],[SDate]],weather.tbl[Date],0))</f>
        <v>17.2</v>
      </c>
      <c r="Q196" s="2">
        <f ca="1">INDEX(INDIRECT(_xlfn.CONCAT("weather.tbl[",Q$1,"]")),MATCH(vp.data[[#This Row],[SDate]],weather.tbl[Date],0))</f>
        <v>18.399999999999999</v>
      </c>
      <c r="R196" s="2">
        <f ca="1">INDEX(INDIRECT(_xlfn.CONCAT("weather.tbl[",R$1,"]")),MATCH(vp.data[[#This Row],[SDate]],weather.tbl[Date],0))</f>
        <v>16.5</v>
      </c>
      <c r="S196" s="2">
        <f ca="1">INDEX(INDIRECT(_xlfn.CONCAT("weather.tbl[",S$1,"]")),MATCH(vp.data[[#This Row],[SDate]],weather.tbl[Date],0))</f>
        <v>19.5</v>
      </c>
      <c r="T196" s="2">
        <f ca="1">INDEX(INDIRECT(_xlfn.CONCAT("weather.tbl[",T$1,"]")),MATCH(vp.data[[#This Row],[SDate]],weather.tbl[Date],0))</f>
        <v>19.5</v>
      </c>
      <c r="U196" s="2">
        <f ca="1">INDEX(INDIRECT(_xlfn.CONCAT("weather.tbl[",U$1,"]")),MATCH(vp.data[[#This Row],[SDate]],weather.tbl[Date],0))</f>
        <v>17.8</v>
      </c>
      <c r="V196" s="2">
        <f t="array" ref="V1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3966.6509999999998</v>
      </c>
      <c r="W196" t="s">
        <v>48</v>
      </c>
      <c r="X196">
        <f>IF(OR(vp.data[[#This Row],[Sulf]]="",vp.data[[#This Row],[Dens]]=""),1,0)</f>
        <v>0</v>
      </c>
      <c r="Y196">
        <f>IF(vp.data[[#This Row],[CrudeType]]="C5+",1,0)</f>
        <v>0</v>
      </c>
      <c r="Z196">
        <f>IF(AND(vp.data[[#This Row],[CrudeType]]="Crude",vp.data[[#This Row],[Dens]]&lt;=825,vp.data[[#This Row],[Sulf]]&gt;0.5,vp.data[[#This Row],[Unknown]]=0),1,0)</f>
        <v>0</v>
      </c>
      <c r="AA196">
        <f>IF(AND(vp.data[[#This Row],[CrudeType]]="Crude",vp.data[[#This Row],[Dens]]&lt;=825,vp.data[[#This Row],[Sulf]]&lt;=0.5,vp.data[[#This Row],[Unknown]]=0),1,0)</f>
        <v>0</v>
      </c>
      <c r="AB1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96">
        <f>IF(AND(vp.data[[#This Row],[CrudeType]]="Crude",vp.data[[#This Row],[Dens]]&gt;825,vp.data[[#This Row],[Dens]]&lt;=900,vp.data[[#This Row],[Sulf]]&lt;=0.5,vp.data[[#This Row],[Unknown]]=0),1,0)</f>
        <v>0</v>
      </c>
      <c r="AD196">
        <f>IF(AND(vp.data[[#This Row],[CrudeType]]="Crude",vp.data[[#This Row],[Dens]]&gt;865,vp.data[[#This Row],[Dens]]&lt;=900,vp.data[[#This Row],[Sulf]]&gt;2,vp.data[[#This Row],[Unknown]]=0),1,0)</f>
        <v>0</v>
      </c>
      <c r="AE196">
        <f>IF(AND(vp.data[[#This Row],[CrudeType]]="Crude",vp.data[[#This Row],[Dens]]&gt;900,vp.data[[#This Row],[Sulf]]&lt;=0.5,vp.data[[#This Row],[Unknown]]=0),1,0)</f>
        <v>0</v>
      </c>
      <c r="AF196">
        <f>IF(AND(vp.data[[#This Row],[CrudeType]]="Crude",vp.data[[#This Row],[Dens]]&gt;900,vp.data[[#This Row],[Sulf]]&lt;=0.5,vp.data[[#This Row],[Unknown]]=0),1,0)</f>
        <v>0</v>
      </c>
      <c r="AG196" t="str">
        <f>INDEX(vp.data[[#Headers],[Unknown]:[Heavy_SW]],MATCH(1,vp.data[[#This Row],[Unknown]:[Heavy_SW]],0))</f>
        <v>Medium_LSB</v>
      </c>
      <c r="AH196">
        <f>INDEX([3]!crudeBD.lkup[Number],MATCH(vp.data[[#This Row],[Crude_Breakdown]],crudeBD.lkup[Crude Breakdown],0))</f>
        <v>3</v>
      </c>
      <c r="AI196">
        <f>MONTH(vp.data[[#This Row],[SDate]])</f>
        <v>5</v>
      </c>
      <c r="AJ196" s="5">
        <f>(vp.data[[#This Row],[VP]]-INDEX(crudeBD.lkup[Mean_VP],MATCH(vp.data[[#This Row],[Crude_Breakdown]],crudeBD.lkup[Crude Breakdown],0)))^2</f>
        <v>370.96005940381434</v>
      </c>
      <c r="AK196" s="5">
        <f>(vp.data[[#This Row],[Dens]]-INDEX(crudeBD.lkup[Mean_Dens],MATCH(vp.data[[#This Row],[Crude_Breakdown]],crudeBD.lkup[Crude Breakdown],0)))^2</f>
        <v>335.62239999998098</v>
      </c>
      <c r="AL196" s="5">
        <f>(vp.data[[#This Row],[Sulf]]-INDEX(crudeBD.lkup[Mean_Sulf],MATCH(vp.data[[#This Row],[Crude_Breakdown]],crudeBD.lkup[Crude Breakdown],0)))^2</f>
        <v>0.23562104945148921</v>
      </c>
      <c r="AM196" s="4">
        <f>IF(AND(vp.data[[#This Row],[SDate]]&gt;=DATE(YEAR(vp.data[[#This Row],[SDate]]),5,1),vp.data[[#This Row],[SDate]]&lt;=DATE(YEAR(vp.data[[#This Row],[SDate]]),9,15)),1,0)</f>
        <v>1</v>
      </c>
      <c r="AN196" s="4">
        <f>IF(vp.data[[#This Row],[SDate]]&lt;DATE(2016,12,1),0,1)</f>
        <v>0</v>
      </c>
      <c r="AO196" s="4">
        <f>IFERROR(vp.data[[#This Row],[Sulf]]*vp.data[[#This Row],[Net Dens]],"")</f>
        <v>2947380.35904</v>
      </c>
      <c r="AP196">
        <f>IFERROR(vp.data[[#This Row],[Dens]]*vp.data[[#This Row],[VolumeM3]],"")</f>
        <v>3274867.0655999999</v>
      </c>
      <c r="AQ196" s="15">
        <f>IFERROR(vp.data[[#This Row],[VP]]*vp.data[[#This Row],[VolumeM3]],"")</f>
        <v>396268.43489999999</v>
      </c>
    </row>
    <row r="197" spans="1:43" x14ac:dyDescent="0.25">
      <c r="A197">
        <v>196</v>
      </c>
      <c r="B197" t="s">
        <v>51</v>
      </c>
      <c r="C197" t="s">
        <v>51</v>
      </c>
      <c r="D197" t="s">
        <v>72</v>
      </c>
      <c r="F197" s="1">
        <v>42510</v>
      </c>
      <c r="G197" s="2">
        <v>107.7</v>
      </c>
      <c r="H197" s="2"/>
      <c r="I197" s="2">
        <f t="array" ref="I197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97" s="2"/>
      <c r="K197" s="2"/>
      <c r="L197" s="2">
        <v>848.1</v>
      </c>
      <c r="M197" s="2">
        <f t="array" ref="M197">_xlfn.IFNA(IF(vp.data[[#This Row],[Dens Input]]="",INDEX([1]DATA!$O$3:$O$9826,MATCH(1,(vp.data[[#This Row],[Battery]]=[1]DATA!$L$3:$L$9826)*(EOMONTH(vp.data[[#This Row],[SDate]],-1)+1=[1]DATA!$G$3:$G$9826),0)),vp.data[[#This Row],[Dens Input]]),"")</f>
        <v>848.1</v>
      </c>
      <c r="N197" s="2">
        <f ca="1">INDEX(INDIRECT(_xlfn.CONCAT("weather.tbl[",N$1,"]")),MATCH(vp.data[[#This Row],[SDate]],weather.tbl[Date],0))</f>
        <v>18.416666666666668</v>
      </c>
      <c r="O197" s="2">
        <f ca="1">INDEX(INDIRECT(_xlfn.CONCAT("weather.tbl[",O$1,"]")),MATCH(vp.data[[#This Row],[SDate]],weather.tbl[Date],0))</f>
        <v>13.947619047619048</v>
      </c>
      <c r="P197" s="2">
        <f ca="1">INDEX(INDIRECT(_xlfn.CONCAT("weather.tbl[",P$1,"]")),MATCH(vp.data[[#This Row],[SDate]],weather.tbl[Date],0))</f>
        <v>18.2</v>
      </c>
      <c r="Q197" s="2">
        <f ca="1">INDEX(INDIRECT(_xlfn.CONCAT("weather.tbl[",Q$1,"]")),MATCH(vp.data[[#This Row],[SDate]],weather.tbl[Date],0))</f>
        <v>18.899999999999999</v>
      </c>
      <c r="R197" s="2">
        <f ca="1">INDEX(INDIRECT(_xlfn.CONCAT("weather.tbl[",R$1,"]")),MATCH(vp.data[[#This Row],[SDate]],weather.tbl[Date],0))</f>
        <v>18.3</v>
      </c>
      <c r="S197" s="2">
        <f ca="1">INDEX(INDIRECT(_xlfn.CONCAT("weather.tbl[",S$1,"]")),MATCH(vp.data[[#This Row],[SDate]],weather.tbl[Date],0))</f>
        <v>18.5</v>
      </c>
      <c r="T197" s="2">
        <f ca="1">INDEX(INDIRECT(_xlfn.CONCAT("weather.tbl[",T$1,"]")),MATCH(vp.data[[#This Row],[SDate]],weather.tbl[Date],0))</f>
        <v>19.100000000000001</v>
      </c>
      <c r="U197" s="2">
        <f ca="1">INDEX(INDIRECT(_xlfn.CONCAT("weather.tbl[",U$1,"]")),MATCH(vp.data[[#This Row],[SDate]],weather.tbl[Date],0))</f>
        <v>17.5</v>
      </c>
      <c r="V197" s="2">
        <f t="array" ref="V1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3736.6970000000001</v>
      </c>
      <c r="W197" t="s">
        <v>48</v>
      </c>
      <c r="X197">
        <f>IF(OR(vp.data[[#This Row],[Sulf]]="",vp.data[[#This Row],[Dens]]=""),1,0)</f>
        <v>0</v>
      </c>
      <c r="Y197">
        <f>IF(vp.data[[#This Row],[CrudeType]]="C5+",1,0)</f>
        <v>0</v>
      </c>
      <c r="Z197">
        <f>IF(AND(vp.data[[#This Row],[CrudeType]]="Crude",vp.data[[#This Row],[Dens]]&lt;=825,vp.data[[#This Row],[Sulf]]&gt;0.5,vp.data[[#This Row],[Unknown]]=0),1,0)</f>
        <v>0</v>
      </c>
      <c r="AA197">
        <f>IF(AND(vp.data[[#This Row],[CrudeType]]="Crude",vp.data[[#This Row],[Dens]]&lt;=825,vp.data[[#This Row],[Sulf]]&lt;=0.5,vp.data[[#This Row],[Unknown]]=0),1,0)</f>
        <v>0</v>
      </c>
      <c r="AB1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97">
        <f>IF(AND(vp.data[[#This Row],[CrudeType]]="Crude",vp.data[[#This Row],[Dens]]&gt;825,vp.data[[#This Row],[Dens]]&lt;=900,vp.data[[#This Row],[Sulf]]&lt;=0.5,vp.data[[#This Row],[Unknown]]=0),1,0)</f>
        <v>0</v>
      </c>
      <c r="AD197">
        <f>IF(AND(vp.data[[#This Row],[CrudeType]]="Crude",vp.data[[#This Row],[Dens]]&gt;865,vp.data[[#This Row],[Dens]]&lt;=900,vp.data[[#This Row],[Sulf]]&gt;2,vp.data[[#This Row],[Unknown]]=0),1,0)</f>
        <v>0</v>
      </c>
      <c r="AE197">
        <f>IF(AND(vp.data[[#This Row],[CrudeType]]="Crude",vp.data[[#This Row],[Dens]]&gt;900,vp.data[[#This Row],[Sulf]]&lt;=0.5,vp.data[[#This Row],[Unknown]]=0),1,0)</f>
        <v>0</v>
      </c>
      <c r="AF197">
        <f>IF(AND(vp.data[[#This Row],[CrudeType]]="Crude",vp.data[[#This Row],[Dens]]&gt;900,vp.data[[#This Row],[Sulf]]&lt;=0.5,vp.data[[#This Row],[Unknown]]=0),1,0)</f>
        <v>0</v>
      </c>
      <c r="AG197" t="str">
        <f>INDEX(vp.data[[#Headers],[Unknown]:[Heavy_SW]],MATCH(1,vp.data[[#This Row],[Unknown]:[Heavy_SW]],0))</f>
        <v>Medium_LSB</v>
      </c>
      <c r="AH197">
        <f>INDEX([3]!crudeBD.lkup[Number],MATCH(vp.data[[#This Row],[Crude_Breakdown]],crudeBD.lkup[Crude Breakdown],0))</f>
        <v>3</v>
      </c>
      <c r="AI197">
        <f>MONTH(vp.data[[#This Row],[SDate]])</f>
        <v>5</v>
      </c>
      <c r="AJ197" s="5">
        <f>(vp.data[[#This Row],[VP]]-INDEX(crudeBD.lkup[Mean_VP],MATCH(vp.data[[#This Row],[Crude_Breakdown]],crudeBD.lkup[Crude Breakdown],0)))^2</f>
        <v>732.26110522591785</v>
      </c>
      <c r="AK197" s="5">
        <f>(vp.data[[#This Row],[Dens]]-INDEX(crudeBD.lkup[Mean_Dens],MATCH(vp.data[[#This Row],[Crude_Breakdown]],crudeBD.lkup[Crude Breakdown],0)))^2</f>
        <v>17.472400000004335</v>
      </c>
      <c r="AL197" s="5">
        <f>(vp.data[[#This Row],[Sulf]]-INDEX(crudeBD.lkup[Mean_Sulf],MATCH(vp.data[[#This Row],[Crude_Breakdown]],crudeBD.lkup[Crude Breakdown],0)))^2</f>
        <v>9.3274123845019638E-2</v>
      </c>
      <c r="AM197" s="4">
        <f>IF(AND(vp.data[[#This Row],[SDate]]&gt;=DATE(YEAR(vp.data[[#This Row],[SDate]]),5,1),vp.data[[#This Row],[SDate]]&lt;=DATE(YEAR(vp.data[[#This Row],[SDate]]),9,15)),1,0)</f>
        <v>1</v>
      </c>
      <c r="AN197" s="4">
        <f>IF(vp.data[[#This Row],[SDate]]&lt;DATE(2016,12,1),0,1)</f>
        <v>0</v>
      </c>
      <c r="AO197" s="4">
        <f>IFERROR(vp.data[[#This Row],[Sulf]]*vp.data[[#This Row],[Net Dens]],"")</f>
        <v>3422620.1437560003</v>
      </c>
      <c r="AP197">
        <f>IFERROR(vp.data[[#This Row],[Dens]]*vp.data[[#This Row],[VolumeM3]],"")</f>
        <v>3169092.7257000003</v>
      </c>
      <c r="AQ197" s="15">
        <f>IFERROR(vp.data[[#This Row],[VP]]*vp.data[[#This Row],[VolumeM3]],"")</f>
        <v>402442.26690000005</v>
      </c>
    </row>
    <row r="198" spans="1:43" x14ac:dyDescent="0.25">
      <c r="A198">
        <v>197</v>
      </c>
      <c r="B198" t="s">
        <v>49</v>
      </c>
      <c r="C198" t="s">
        <v>49</v>
      </c>
      <c r="D198" t="s">
        <v>59</v>
      </c>
      <c r="F198" s="1">
        <v>42510</v>
      </c>
      <c r="G198" s="2">
        <v>65.8</v>
      </c>
      <c r="H198" s="2"/>
      <c r="I198" s="2">
        <f t="array" ref="I198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198" s="2"/>
      <c r="K198" s="2"/>
      <c r="L198" s="2">
        <v>849.2</v>
      </c>
      <c r="M198" s="2">
        <f t="array" ref="M198">_xlfn.IFNA(IF(vp.data[[#This Row],[Dens Input]]="",INDEX([1]DATA!$O$3:$O$9826,MATCH(1,(vp.data[[#This Row],[Battery]]=[1]DATA!$L$3:$L$9826)*(EOMONTH(vp.data[[#This Row],[SDate]],-1)+1=[1]DATA!$G$3:$G$9826),0)),vp.data[[#This Row],[Dens Input]]),"")</f>
        <v>849.2</v>
      </c>
      <c r="N198" s="2">
        <f ca="1">INDEX(INDIRECT(_xlfn.CONCAT("weather.tbl[",N$1,"]")),MATCH(vp.data[[#This Row],[SDate]],weather.tbl[Date],0))</f>
        <v>18.416666666666668</v>
      </c>
      <c r="O198" s="2">
        <f ca="1">INDEX(INDIRECT(_xlfn.CONCAT("weather.tbl[",O$1,"]")),MATCH(vp.data[[#This Row],[SDate]],weather.tbl[Date],0))</f>
        <v>13.947619047619048</v>
      </c>
      <c r="P198" s="2">
        <f ca="1">INDEX(INDIRECT(_xlfn.CONCAT("weather.tbl[",P$1,"]")),MATCH(vp.data[[#This Row],[SDate]],weather.tbl[Date],0))</f>
        <v>18.2</v>
      </c>
      <c r="Q198" s="2">
        <f ca="1">INDEX(INDIRECT(_xlfn.CONCAT("weather.tbl[",Q$1,"]")),MATCH(vp.data[[#This Row],[SDate]],weather.tbl[Date],0))</f>
        <v>18.899999999999999</v>
      </c>
      <c r="R198" s="2">
        <f ca="1">INDEX(INDIRECT(_xlfn.CONCAT("weather.tbl[",R$1,"]")),MATCH(vp.data[[#This Row],[SDate]],weather.tbl[Date],0))</f>
        <v>18.3</v>
      </c>
      <c r="S198" s="2">
        <f ca="1">INDEX(INDIRECT(_xlfn.CONCAT("weather.tbl[",S$1,"]")),MATCH(vp.data[[#This Row],[SDate]],weather.tbl[Date],0))</f>
        <v>18.5</v>
      </c>
      <c r="T198" s="2">
        <f ca="1">INDEX(INDIRECT(_xlfn.CONCAT("weather.tbl[",T$1,"]")),MATCH(vp.data[[#This Row],[SDate]],weather.tbl[Date],0))</f>
        <v>19.100000000000001</v>
      </c>
      <c r="U198" s="2">
        <f ca="1">INDEX(INDIRECT(_xlfn.CONCAT("weather.tbl[",U$1,"]")),MATCH(vp.data[[#This Row],[SDate]],weather.tbl[Date],0))</f>
        <v>17.5</v>
      </c>
      <c r="V198" s="2">
        <f t="array" ref="V1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1870.559</v>
      </c>
      <c r="W198" t="s">
        <v>48</v>
      </c>
      <c r="X198">
        <f>IF(OR(vp.data[[#This Row],[Sulf]]="",vp.data[[#This Row],[Dens]]=""),1,0)</f>
        <v>0</v>
      </c>
      <c r="Y198">
        <f>IF(vp.data[[#This Row],[CrudeType]]="C5+",1,0)</f>
        <v>0</v>
      </c>
      <c r="Z198">
        <f>IF(AND(vp.data[[#This Row],[CrudeType]]="Crude",vp.data[[#This Row],[Dens]]&lt;=825,vp.data[[#This Row],[Sulf]]&gt;0.5,vp.data[[#This Row],[Unknown]]=0),1,0)</f>
        <v>0</v>
      </c>
      <c r="AA198">
        <f>IF(AND(vp.data[[#This Row],[CrudeType]]="Crude",vp.data[[#This Row],[Dens]]&lt;=825,vp.data[[#This Row],[Sulf]]&lt;=0.5,vp.data[[#This Row],[Unknown]]=0),1,0)</f>
        <v>0</v>
      </c>
      <c r="AB1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98">
        <f>IF(AND(vp.data[[#This Row],[CrudeType]]="Crude",vp.data[[#This Row],[Dens]]&gt;825,vp.data[[#This Row],[Dens]]&lt;=900,vp.data[[#This Row],[Sulf]]&lt;=0.5,vp.data[[#This Row],[Unknown]]=0),1,0)</f>
        <v>0</v>
      </c>
      <c r="AD198">
        <f>IF(AND(vp.data[[#This Row],[CrudeType]]="Crude",vp.data[[#This Row],[Dens]]&gt;865,vp.data[[#This Row],[Dens]]&lt;=900,vp.data[[#This Row],[Sulf]]&gt;2,vp.data[[#This Row],[Unknown]]=0),1,0)</f>
        <v>0</v>
      </c>
      <c r="AE198">
        <f>IF(AND(vp.data[[#This Row],[CrudeType]]="Crude",vp.data[[#This Row],[Dens]]&gt;900,vp.data[[#This Row],[Sulf]]&lt;=0.5,vp.data[[#This Row],[Unknown]]=0),1,0)</f>
        <v>0</v>
      </c>
      <c r="AF198">
        <f>IF(AND(vp.data[[#This Row],[CrudeType]]="Crude",vp.data[[#This Row],[Dens]]&gt;900,vp.data[[#This Row],[Sulf]]&lt;=0.5,vp.data[[#This Row],[Unknown]]=0),1,0)</f>
        <v>0</v>
      </c>
      <c r="AG198" t="str">
        <f>INDEX(vp.data[[#Headers],[Unknown]:[Heavy_SW]],MATCH(1,vp.data[[#This Row],[Unknown]:[Heavy_SW]],0))</f>
        <v>Medium_LSB</v>
      </c>
      <c r="AH198">
        <f>INDEX([3]!crudeBD.lkup[Number],MATCH(vp.data[[#This Row],[Crude_Breakdown]],crudeBD.lkup[Crude Breakdown],0))</f>
        <v>3</v>
      </c>
      <c r="AI198">
        <f>MONTH(vp.data[[#This Row],[SDate]])</f>
        <v>5</v>
      </c>
      <c r="AJ198" s="5">
        <f>(vp.data[[#This Row],[VP]]-INDEX(crudeBD.lkup[Mean_VP],MATCH(vp.data[[#This Row],[Crude_Breakdown]],crudeBD.lkup[Crude Breakdown],0)))^2</f>
        <v>220.21600010461796</v>
      </c>
      <c r="AK198" s="5">
        <f>(vp.data[[#This Row],[Dens]]-INDEX(crudeBD.lkup[Mean_Dens],MATCH(vp.data[[#This Row],[Crude_Breakdown]],crudeBD.lkup[Crude Breakdown],0)))^2</f>
        <v>27.878400000005715</v>
      </c>
      <c r="AL198" s="5">
        <f>(vp.data[[#This Row],[Sulf]]-INDEX(crudeBD.lkup[Mean_Sulf],MATCH(vp.data[[#This Row],[Crude_Breakdown]],crudeBD.lkup[Crude Breakdown],0)))^2</f>
        <v>2.0906809828845806E-2</v>
      </c>
      <c r="AM198" s="4">
        <f>IF(AND(vp.data[[#This Row],[SDate]]&gt;=DATE(YEAR(vp.data[[#This Row],[SDate]]),5,1),vp.data[[#This Row],[SDate]]&lt;=DATE(YEAR(vp.data[[#This Row],[SDate]]),9,15)),1,0)</f>
        <v>1</v>
      </c>
      <c r="AN198" s="4">
        <f>IF(vp.data[[#This Row],[SDate]]&lt;DATE(2016,12,1),0,1)</f>
        <v>0</v>
      </c>
      <c r="AO198" s="4">
        <f>IFERROR(vp.data[[#This Row],[Sulf]]*vp.data[[#This Row],[Net Dens]],"")</f>
        <v>2430372.4152840003</v>
      </c>
      <c r="AP198">
        <f>IFERROR(vp.data[[#This Row],[Dens]]*vp.data[[#This Row],[VolumeM3]],"")</f>
        <v>1588478.7028000001</v>
      </c>
      <c r="AQ198" s="15">
        <f>IFERROR(vp.data[[#This Row],[VP]]*vp.data[[#This Row],[VolumeM3]],"")</f>
        <v>123082.78219999999</v>
      </c>
    </row>
    <row r="199" spans="1:43" x14ac:dyDescent="0.25">
      <c r="A199">
        <v>198</v>
      </c>
      <c r="B199" t="s">
        <v>49</v>
      </c>
      <c r="C199" t="s">
        <v>49</v>
      </c>
      <c r="D199" t="s">
        <v>86</v>
      </c>
      <c r="F199" s="1">
        <v>42515</v>
      </c>
      <c r="G199" s="2">
        <v>80.3</v>
      </c>
      <c r="H199" s="2"/>
      <c r="I199" s="2">
        <f t="array" ref="I199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199" s="2"/>
      <c r="K199" s="2"/>
      <c r="L199" s="2">
        <v>891</v>
      </c>
      <c r="M199" s="2">
        <f t="array" ref="M199">_xlfn.IFNA(IF(vp.data[[#This Row],[Dens Input]]="",INDEX([1]DATA!$O$3:$O$9826,MATCH(1,(vp.data[[#This Row],[Battery]]=[1]DATA!$L$3:$L$9826)*(EOMONTH(vp.data[[#This Row],[SDate]],-1)+1=[1]DATA!$G$3:$G$9826),0)),vp.data[[#This Row],[Dens Input]]),"")</f>
        <v>891</v>
      </c>
      <c r="N199" s="2">
        <f ca="1">INDEX(INDIRECT(_xlfn.CONCAT("weather.tbl[",N$1,"]")),MATCH(vp.data[[#This Row],[SDate]],weather.tbl[Date],0))</f>
        <v>10.033333333333333</v>
      </c>
      <c r="O199" s="2">
        <f ca="1">INDEX(INDIRECT(_xlfn.CONCAT("weather.tbl[",O$1,"]")),MATCH(vp.data[[#This Row],[SDate]],weather.tbl[Date],0))</f>
        <v>15.647619047619047</v>
      </c>
      <c r="P199" s="2">
        <f ca="1">INDEX(INDIRECT(_xlfn.CONCAT("weather.tbl[",P$1,"]")),MATCH(vp.data[[#This Row],[SDate]],weather.tbl[Date],0))</f>
        <v>9.8000000000000007</v>
      </c>
      <c r="Q199" s="2">
        <f ca="1">INDEX(INDIRECT(_xlfn.CONCAT("weather.tbl[",Q$1,"]")),MATCH(vp.data[[#This Row],[SDate]],weather.tbl[Date],0))</f>
        <v>9</v>
      </c>
      <c r="R199" s="2">
        <f ca="1">INDEX(INDIRECT(_xlfn.CONCAT("weather.tbl[",R$1,"]")),MATCH(vp.data[[#This Row],[SDate]],weather.tbl[Date],0))</f>
        <v>9.5</v>
      </c>
      <c r="S199" s="2">
        <f ca="1">INDEX(INDIRECT(_xlfn.CONCAT("weather.tbl[",S$1,"]")),MATCH(vp.data[[#This Row],[SDate]],weather.tbl[Date],0))</f>
        <v>8</v>
      </c>
      <c r="T199" s="2">
        <f ca="1">INDEX(INDIRECT(_xlfn.CONCAT("weather.tbl[",T$1,"]")),MATCH(vp.data[[#This Row],[SDate]],weather.tbl[Date],0))</f>
        <v>10.9</v>
      </c>
      <c r="U199" s="2">
        <f ca="1">INDEX(INDIRECT(_xlfn.CONCAT("weather.tbl[",U$1,"]")),MATCH(vp.data[[#This Row],[SDate]],weather.tbl[Date],0))</f>
        <v>13</v>
      </c>
      <c r="V199" s="2">
        <f t="array" ref="V1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4411.6440000000002</v>
      </c>
      <c r="W199" t="s">
        <v>48</v>
      </c>
      <c r="X199">
        <f>IF(OR(vp.data[[#This Row],[Sulf]]="",vp.data[[#This Row],[Dens]]=""),1,0)</f>
        <v>0</v>
      </c>
      <c r="Y199">
        <f>IF(vp.data[[#This Row],[CrudeType]]="C5+",1,0)</f>
        <v>0</v>
      </c>
      <c r="Z199">
        <f>IF(AND(vp.data[[#This Row],[CrudeType]]="Crude",vp.data[[#This Row],[Dens]]&lt;=825,vp.data[[#This Row],[Sulf]]&gt;0.5,vp.data[[#This Row],[Unknown]]=0),1,0)</f>
        <v>0</v>
      </c>
      <c r="AA199">
        <f>IF(AND(vp.data[[#This Row],[CrudeType]]="Crude",vp.data[[#This Row],[Dens]]&lt;=825,vp.data[[#This Row],[Sulf]]&lt;=0.5,vp.data[[#This Row],[Unknown]]=0),1,0)</f>
        <v>0</v>
      </c>
      <c r="AB1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99">
        <f>IF(AND(vp.data[[#This Row],[CrudeType]]="Crude",vp.data[[#This Row],[Dens]]&gt;825,vp.data[[#This Row],[Dens]]&lt;=900,vp.data[[#This Row],[Sulf]]&lt;=0.5,vp.data[[#This Row],[Unknown]]=0),1,0)</f>
        <v>0</v>
      </c>
      <c r="AD199">
        <f>IF(AND(vp.data[[#This Row],[CrudeType]]="Crude",vp.data[[#This Row],[Dens]]&gt;865,vp.data[[#This Row],[Dens]]&lt;=900,vp.data[[#This Row],[Sulf]]&gt;2,vp.data[[#This Row],[Unknown]]=0),1,0)</f>
        <v>1</v>
      </c>
      <c r="AE199">
        <f>IF(AND(vp.data[[#This Row],[CrudeType]]="Crude",vp.data[[#This Row],[Dens]]&gt;900,vp.data[[#This Row],[Sulf]]&lt;=0.5,vp.data[[#This Row],[Unknown]]=0),1,0)</f>
        <v>0</v>
      </c>
      <c r="AF199">
        <f>IF(AND(vp.data[[#This Row],[CrudeType]]="Crude",vp.data[[#This Row],[Dens]]&gt;900,vp.data[[#This Row],[Sulf]]&lt;=0.5,vp.data[[#This Row],[Unknown]]=0),1,0)</f>
        <v>0</v>
      </c>
      <c r="AG199" t="str">
        <f>INDEX(vp.data[[#Headers],[Unknown]:[Heavy_SW]],MATCH(1,vp.data[[#This Row],[Unknown]:[Heavy_SW]],0))</f>
        <v>Midale</v>
      </c>
      <c r="AH199">
        <f>INDEX([3]!crudeBD.lkup[Number],MATCH(vp.data[[#This Row],[Crude_Breakdown]],crudeBD.lkup[Crude Breakdown],0))</f>
        <v>5</v>
      </c>
      <c r="AI199">
        <f>MONTH(vp.data[[#This Row],[SDate]])</f>
        <v>5</v>
      </c>
      <c r="AJ199" s="5">
        <f>(vp.data[[#This Row],[VP]]-INDEX(crudeBD.lkup[Mean_VP],MATCH(vp.data[[#This Row],[Crude_Breakdown]],crudeBD.lkup[Crude Breakdown],0)))^2</f>
        <v>118.61904586034574</v>
      </c>
      <c r="AK199" s="5">
        <f>(vp.data[[#This Row],[Dens]]-INDEX(crudeBD.lkup[Mean_Dens],MATCH(vp.data[[#This Row],[Crude_Breakdown]],crudeBD.lkup[Crude Breakdown],0)))^2</f>
        <v>261.88915532999323</v>
      </c>
      <c r="AL199" s="5">
        <f>(vp.data[[#This Row],[Sulf]]-INDEX(crudeBD.lkup[Mean_Sulf],MATCH(vp.data[[#This Row],[Crude_Breakdown]],crudeBD.lkup[Crude Breakdown],0)))^2</f>
        <v>0.12700986407738421</v>
      </c>
      <c r="AM199" s="4">
        <f>IF(AND(vp.data[[#This Row],[SDate]]&gt;=DATE(YEAR(vp.data[[#This Row],[SDate]]),5,1),vp.data[[#This Row],[SDate]]&lt;=DATE(YEAR(vp.data[[#This Row],[SDate]]),9,15)),1,0)</f>
        <v>1</v>
      </c>
      <c r="AN199" s="4">
        <f>IF(vp.data[[#This Row],[SDate]]&lt;DATE(2016,12,1),0,1)</f>
        <v>0</v>
      </c>
      <c r="AO199" s="4">
        <f>IFERROR(vp.data[[#This Row],[Sulf]]*vp.data[[#This Row],[Net Dens]],"")</f>
        <v>11006169.451199999</v>
      </c>
      <c r="AP199">
        <f>IFERROR(vp.data[[#This Row],[Dens]]*vp.data[[#This Row],[VolumeM3]],"")</f>
        <v>3930774.804</v>
      </c>
      <c r="AQ199" s="15">
        <f>IFERROR(vp.data[[#This Row],[VP]]*vp.data[[#This Row],[VolumeM3]],"")</f>
        <v>354255.01319999999</v>
      </c>
    </row>
    <row r="200" spans="1:43" x14ac:dyDescent="0.25">
      <c r="A200">
        <v>199</v>
      </c>
      <c r="B200" t="s">
        <v>49</v>
      </c>
      <c r="C200" t="s">
        <v>49</v>
      </c>
      <c r="D200" t="s">
        <v>86</v>
      </c>
      <c r="F200" s="1">
        <v>42520</v>
      </c>
      <c r="G200" s="2">
        <v>96.2</v>
      </c>
      <c r="H200" s="2"/>
      <c r="I200" s="2">
        <f t="array" ref="I200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200" s="2"/>
      <c r="K200" s="2"/>
      <c r="L200" s="2">
        <v>896.7</v>
      </c>
      <c r="M200" s="2">
        <f t="array" ref="M200">_xlfn.IFNA(IF(vp.data[[#This Row],[Dens Input]]="",INDEX([1]DATA!$O$3:$O$9826,MATCH(1,(vp.data[[#This Row],[Battery]]=[1]DATA!$L$3:$L$9826)*(EOMONTH(vp.data[[#This Row],[SDate]],-1)+1=[1]DATA!$G$3:$G$9826),0)),vp.data[[#This Row],[Dens Input]]),"")</f>
        <v>896.7</v>
      </c>
      <c r="N200" s="2">
        <f ca="1">INDEX(INDIRECT(_xlfn.CONCAT("weather.tbl[",N$1,"]")),MATCH(vp.data[[#This Row],[SDate]],weather.tbl[Date],0))</f>
        <v>14.816666666666668</v>
      </c>
      <c r="O200" s="2">
        <f ca="1">INDEX(INDIRECT(_xlfn.CONCAT("weather.tbl[",O$1,"]")),MATCH(vp.data[[#This Row],[SDate]],weather.tbl[Date],0))</f>
        <v>13.259523809523809</v>
      </c>
      <c r="P200" s="2">
        <f ca="1">INDEX(INDIRECT(_xlfn.CONCAT("weather.tbl[",P$1,"]")),MATCH(vp.data[[#This Row],[SDate]],weather.tbl[Date],0))</f>
        <v>14.2</v>
      </c>
      <c r="Q200" s="2">
        <f ca="1">INDEX(INDIRECT(_xlfn.CONCAT("weather.tbl[",Q$1,"]")),MATCH(vp.data[[#This Row],[SDate]],weather.tbl[Date],0))</f>
        <v>13.9</v>
      </c>
      <c r="R200" s="2">
        <f ca="1">INDEX(INDIRECT(_xlfn.CONCAT("weather.tbl[",R$1,"]")),MATCH(vp.data[[#This Row],[SDate]],weather.tbl[Date],0))</f>
        <v>14.3</v>
      </c>
      <c r="S200" s="2">
        <f ca="1">INDEX(INDIRECT(_xlfn.CONCAT("weather.tbl[",S$1,"]")),MATCH(vp.data[[#This Row],[SDate]],weather.tbl[Date],0))</f>
        <v>14.5</v>
      </c>
      <c r="T200" s="2">
        <f ca="1">INDEX(INDIRECT(_xlfn.CONCAT("weather.tbl[",T$1,"]")),MATCH(vp.data[[#This Row],[SDate]],weather.tbl[Date],0))</f>
        <v>16.7</v>
      </c>
      <c r="U200" s="2">
        <f ca="1">INDEX(INDIRECT(_xlfn.CONCAT("weather.tbl[",U$1,"]")),MATCH(vp.data[[#This Row],[SDate]],weather.tbl[Date],0))</f>
        <v>15.3</v>
      </c>
      <c r="V200" s="2">
        <f t="array" ref="V2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4411.6440000000002</v>
      </c>
      <c r="W200" t="s">
        <v>48</v>
      </c>
      <c r="X200">
        <f>IF(OR(vp.data[[#This Row],[Sulf]]="",vp.data[[#This Row],[Dens]]=""),1,0)</f>
        <v>0</v>
      </c>
      <c r="Y200">
        <f>IF(vp.data[[#This Row],[CrudeType]]="C5+",1,0)</f>
        <v>0</v>
      </c>
      <c r="Z200">
        <f>IF(AND(vp.data[[#This Row],[CrudeType]]="Crude",vp.data[[#This Row],[Dens]]&lt;=825,vp.data[[#This Row],[Sulf]]&gt;0.5,vp.data[[#This Row],[Unknown]]=0),1,0)</f>
        <v>0</v>
      </c>
      <c r="AA200">
        <f>IF(AND(vp.data[[#This Row],[CrudeType]]="Crude",vp.data[[#This Row],[Dens]]&lt;=825,vp.data[[#This Row],[Sulf]]&lt;=0.5,vp.data[[#This Row],[Unknown]]=0),1,0)</f>
        <v>0</v>
      </c>
      <c r="AB2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0">
        <f>IF(AND(vp.data[[#This Row],[CrudeType]]="Crude",vp.data[[#This Row],[Dens]]&gt;825,vp.data[[#This Row],[Dens]]&lt;=900,vp.data[[#This Row],[Sulf]]&lt;=0.5,vp.data[[#This Row],[Unknown]]=0),1,0)</f>
        <v>0</v>
      </c>
      <c r="AD200">
        <f>IF(AND(vp.data[[#This Row],[CrudeType]]="Crude",vp.data[[#This Row],[Dens]]&gt;865,vp.data[[#This Row],[Dens]]&lt;=900,vp.data[[#This Row],[Sulf]]&gt;2,vp.data[[#This Row],[Unknown]]=0),1,0)</f>
        <v>1</v>
      </c>
      <c r="AE200">
        <f>IF(AND(vp.data[[#This Row],[CrudeType]]="Crude",vp.data[[#This Row],[Dens]]&gt;900,vp.data[[#This Row],[Sulf]]&lt;=0.5,vp.data[[#This Row],[Unknown]]=0),1,0)</f>
        <v>0</v>
      </c>
      <c r="AF200">
        <f>IF(AND(vp.data[[#This Row],[CrudeType]]="Crude",vp.data[[#This Row],[Dens]]&gt;900,vp.data[[#This Row],[Sulf]]&lt;=0.5,vp.data[[#This Row],[Unknown]]=0),1,0)</f>
        <v>0</v>
      </c>
      <c r="AG200" t="str">
        <f>INDEX(vp.data[[#Headers],[Unknown]:[Heavy_SW]],MATCH(1,vp.data[[#This Row],[Unknown]:[Heavy_SW]],0))</f>
        <v>Midale</v>
      </c>
      <c r="AH200">
        <f>INDEX([3]!crudeBD.lkup[Number],MATCH(vp.data[[#This Row],[Crude_Breakdown]],crudeBD.lkup[Crude Breakdown],0))</f>
        <v>5</v>
      </c>
      <c r="AI200">
        <f>MONTH(vp.data[[#This Row],[SDate]])</f>
        <v>5</v>
      </c>
      <c r="AJ200" s="5">
        <f>(vp.data[[#This Row],[VP]]-INDEX(crudeBD.lkup[Mean_VP],MATCH(vp.data[[#This Row],[Crude_Breakdown]],crudeBD.lkup[Crude Breakdown],0)))^2</f>
        <v>717.77038606653048</v>
      </c>
      <c r="AK200" s="5">
        <f>(vp.data[[#This Row],[Dens]]-INDEX(crudeBD.lkup[Mean_Dens],MATCH(vp.data[[#This Row],[Crude_Breakdown]],crudeBD.lkup[Crude Breakdown],0)))^2</f>
        <v>478.86523780421857</v>
      </c>
      <c r="AL200" s="5">
        <f>(vp.data[[#This Row],[Sulf]]-INDEX(crudeBD.lkup[Mean_Sulf],MATCH(vp.data[[#This Row],[Crude_Breakdown]],crudeBD.lkup[Crude Breakdown],0)))^2</f>
        <v>0.12700986407738421</v>
      </c>
      <c r="AM200" s="4">
        <f>IF(AND(vp.data[[#This Row],[SDate]]&gt;=DATE(YEAR(vp.data[[#This Row],[SDate]]),5,1),vp.data[[#This Row],[SDate]]&lt;=DATE(YEAR(vp.data[[#This Row],[SDate]]),9,15)),1,0)</f>
        <v>1</v>
      </c>
      <c r="AN200" s="4">
        <f>IF(vp.data[[#This Row],[SDate]]&lt;DATE(2016,12,1),0,1)</f>
        <v>0</v>
      </c>
      <c r="AO200" s="4">
        <f>IFERROR(vp.data[[#This Row],[Sulf]]*vp.data[[#This Row],[Net Dens]],"")</f>
        <v>11076579.28944</v>
      </c>
      <c r="AP200">
        <f>IFERROR(vp.data[[#This Row],[Dens]]*vp.data[[#This Row],[VolumeM3]],"")</f>
        <v>3955921.1748000006</v>
      </c>
      <c r="AQ200" s="15">
        <f>IFERROR(vp.data[[#This Row],[VP]]*vp.data[[#This Row],[VolumeM3]],"")</f>
        <v>424400.15280000004</v>
      </c>
    </row>
    <row r="201" spans="1:43" x14ac:dyDescent="0.25">
      <c r="A201">
        <v>200</v>
      </c>
      <c r="B201" t="s">
        <v>51</v>
      </c>
      <c r="C201" t="s">
        <v>51</v>
      </c>
      <c r="D201" t="s">
        <v>66</v>
      </c>
      <c r="F201" s="1">
        <v>42521</v>
      </c>
      <c r="G201" s="2">
        <v>75.900000000000006</v>
      </c>
      <c r="H201" s="2"/>
      <c r="I201" s="2">
        <f t="array" ref="I201">_xlfn.IFNA(IF(vp.data[[#This Row],[Sulf Input]]="",INDEX([1]DATA!$Q$3:$Q$9826,MATCH(1,(vp.data[[#This Row],[Battery]]=[1]DATA!$L$3:$L$9826)*(EOMONTH(vp.data[[#This Row],[SDate]],-1)+1=[1]DATA!$G$3:$G$9826),0)),vp.data[[#This Row],[Sulf Input]]),"")</f>
        <v>0.9</v>
      </c>
      <c r="J201" s="2"/>
      <c r="K201" s="2"/>
      <c r="L201" s="2">
        <v>825.3</v>
      </c>
      <c r="M201" s="2">
        <f t="array" ref="M201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201" s="2">
        <f ca="1">INDEX(INDIRECT(_xlfn.CONCAT("weather.tbl[",N$1,"]")),MATCH(vp.data[[#This Row],[SDate]],weather.tbl[Date],0))</f>
        <v>10.450000000000001</v>
      </c>
      <c r="O201" s="2">
        <f ca="1">INDEX(INDIRECT(_xlfn.CONCAT("weather.tbl[",O$1,"]")),MATCH(vp.data[[#This Row],[SDate]],weather.tbl[Date],0))</f>
        <v>12.966666666666667</v>
      </c>
      <c r="P201" s="2">
        <f ca="1">INDEX(INDIRECT(_xlfn.CONCAT("weather.tbl[",P$1,"]")),MATCH(vp.data[[#This Row],[SDate]],weather.tbl[Date],0))</f>
        <v>9.8000000000000007</v>
      </c>
      <c r="Q201" s="2">
        <f ca="1">INDEX(INDIRECT(_xlfn.CONCAT("weather.tbl[",Q$1,"]")),MATCH(vp.data[[#This Row],[SDate]],weather.tbl[Date],0))</f>
        <v>9.1</v>
      </c>
      <c r="R201" s="2">
        <f ca="1">INDEX(INDIRECT(_xlfn.CONCAT("weather.tbl[",R$1,"]")),MATCH(vp.data[[#This Row],[SDate]],weather.tbl[Date],0))</f>
        <v>10.5</v>
      </c>
      <c r="S201" s="2">
        <f ca="1">INDEX(INDIRECT(_xlfn.CONCAT("weather.tbl[",S$1,"]")),MATCH(vp.data[[#This Row],[SDate]],weather.tbl[Date],0))</f>
        <v>12.3</v>
      </c>
      <c r="T201" s="2">
        <f ca="1">INDEX(INDIRECT(_xlfn.CONCAT("weather.tbl[",T$1,"]")),MATCH(vp.data[[#This Row],[SDate]],weather.tbl[Date],0))</f>
        <v>11.2</v>
      </c>
      <c r="U201" s="2">
        <f ca="1">INDEX(INDIRECT(_xlfn.CONCAT("weather.tbl[",U$1,"]")),MATCH(vp.data[[#This Row],[SDate]],weather.tbl[Date],0))</f>
        <v>9.8000000000000007</v>
      </c>
      <c r="V201" s="2">
        <f t="array" ref="V2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3966.6509999999998</v>
      </c>
      <c r="W201" t="s">
        <v>48</v>
      </c>
      <c r="X201">
        <f>IF(OR(vp.data[[#This Row],[Sulf]]="",vp.data[[#This Row],[Dens]]=""),1,0)</f>
        <v>0</v>
      </c>
      <c r="Y201">
        <f>IF(vp.data[[#This Row],[CrudeType]]="C5+",1,0)</f>
        <v>0</v>
      </c>
      <c r="Z201">
        <f>IF(AND(vp.data[[#This Row],[CrudeType]]="Crude",vp.data[[#This Row],[Dens]]&lt;=825,vp.data[[#This Row],[Sulf]]&gt;0.5,vp.data[[#This Row],[Unknown]]=0),1,0)</f>
        <v>0</v>
      </c>
      <c r="AA201">
        <f>IF(AND(vp.data[[#This Row],[CrudeType]]="Crude",vp.data[[#This Row],[Dens]]&lt;=825,vp.data[[#This Row],[Sulf]]&lt;=0.5,vp.data[[#This Row],[Unknown]]=0),1,0)</f>
        <v>0</v>
      </c>
      <c r="AB2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01">
        <f>IF(AND(vp.data[[#This Row],[CrudeType]]="Crude",vp.data[[#This Row],[Dens]]&gt;825,vp.data[[#This Row],[Dens]]&lt;=900,vp.data[[#This Row],[Sulf]]&lt;=0.5,vp.data[[#This Row],[Unknown]]=0),1,0)</f>
        <v>0</v>
      </c>
      <c r="AD201">
        <f>IF(AND(vp.data[[#This Row],[CrudeType]]="Crude",vp.data[[#This Row],[Dens]]&gt;865,vp.data[[#This Row],[Dens]]&lt;=900,vp.data[[#This Row],[Sulf]]&gt;2,vp.data[[#This Row],[Unknown]]=0),1,0)</f>
        <v>0</v>
      </c>
      <c r="AE201">
        <f>IF(AND(vp.data[[#This Row],[CrudeType]]="Crude",vp.data[[#This Row],[Dens]]&gt;900,vp.data[[#This Row],[Sulf]]&lt;=0.5,vp.data[[#This Row],[Unknown]]=0),1,0)</f>
        <v>0</v>
      </c>
      <c r="AF201">
        <f>IF(AND(vp.data[[#This Row],[CrudeType]]="Crude",vp.data[[#This Row],[Dens]]&gt;900,vp.data[[#This Row],[Sulf]]&lt;=0.5,vp.data[[#This Row],[Unknown]]=0),1,0)</f>
        <v>0</v>
      </c>
      <c r="AG201" t="str">
        <f>INDEX(vp.data[[#Headers],[Unknown]:[Heavy_SW]],MATCH(1,vp.data[[#This Row],[Unknown]:[Heavy_SW]],0))</f>
        <v>Medium_LSB</v>
      </c>
      <c r="AH201">
        <f>INDEX([3]!crudeBD.lkup[Number],MATCH(vp.data[[#This Row],[Crude_Breakdown]],crudeBD.lkup[Crude Breakdown],0))</f>
        <v>3</v>
      </c>
      <c r="AI201">
        <f>MONTH(vp.data[[#This Row],[SDate]])</f>
        <v>5</v>
      </c>
      <c r="AJ201" s="5">
        <f>(vp.data[[#This Row],[VP]]-INDEX(crudeBD.lkup[Mean_VP],MATCH(vp.data[[#This Row],[Crude_Breakdown]],crudeBD.lkup[Crude Breakdown],0)))^2</f>
        <v>22.46453379734163</v>
      </c>
      <c r="AK201" s="5">
        <f>(vp.data[[#This Row],[Dens]]-INDEX(crudeBD.lkup[Mean_Dens],MATCH(vp.data[[#This Row],[Crude_Breakdown]],crudeBD.lkup[Crude Breakdown],0)))^2</f>
        <v>346.70439999998325</v>
      </c>
      <c r="AL201" s="5">
        <f>(vp.data[[#This Row],[Sulf]]-INDEX(crudeBD.lkup[Mean_Sulf],MATCH(vp.data[[#This Row],[Crude_Breakdown]],crudeBD.lkup[Crude Breakdown],0)))^2</f>
        <v>0.23562104945148921</v>
      </c>
      <c r="AM201" s="4">
        <f>IF(AND(vp.data[[#This Row],[SDate]]&gt;=DATE(YEAR(vp.data[[#This Row],[SDate]]),5,1),vp.data[[#This Row],[SDate]]&lt;=DATE(YEAR(vp.data[[#This Row],[SDate]]),9,15)),1,0)</f>
        <v>1</v>
      </c>
      <c r="AN201" s="4">
        <f>IF(vp.data[[#This Row],[SDate]]&lt;DATE(2016,12,1),0,1)</f>
        <v>0</v>
      </c>
      <c r="AO201" s="4">
        <f>IFERROR(vp.data[[#This Row],[Sulf]]*vp.data[[#This Row],[Net Dens]],"")</f>
        <v>2946309.3632700001</v>
      </c>
      <c r="AP201">
        <f>IFERROR(vp.data[[#This Row],[Dens]]*vp.data[[#This Row],[VolumeM3]],"")</f>
        <v>3273677.0702999998</v>
      </c>
      <c r="AQ201" s="15">
        <f>IFERROR(vp.data[[#This Row],[VP]]*vp.data[[#This Row],[VolumeM3]],"")</f>
        <v>301068.81089999998</v>
      </c>
    </row>
    <row r="202" spans="1:43" x14ac:dyDescent="0.25">
      <c r="A202">
        <v>201</v>
      </c>
      <c r="B202" t="s">
        <v>60</v>
      </c>
      <c r="C202" t="s">
        <v>60</v>
      </c>
      <c r="D202" t="s">
        <v>61</v>
      </c>
      <c r="E202" t="s">
        <v>55</v>
      </c>
      <c r="F202" s="1">
        <v>42521</v>
      </c>
      <c r="G202" s="2">
        <v>90.8</v>
      </c>
      <c r="H202" s="2"/>
      <c r="I202" s="2">
        <f t="array" ref="I202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02" s="2"/>
      <c r="K202" s="2"/>
      <c r="L202" s="2">
        <v>827.2</v>
      </c>
      <c r="M202" s="2">
        <f t="array" ref="M202">_xlfn.IFNA(IF(vp.data[[#This Row],[Dens Input]]="",INDEX([1]DATA!$O$3:$O$9826,MATCH(1,(vp.data[[#This Row],[Battery]]=[1]DATA!$L$3:$L$9826)*(EOMONTH(vp.data[[#This Row],[SDate]],-1)+1=[1]DATA!$G$3:$G$9826),0)),vp.data[[#This Row],[Dens Input]]),"")</f>
        <v>827.2</v>
      </c>
      <c r="N202" s="2">
        <f ca="1">INDEX(INDIRECT(_xlfn.CONCAT("weather.tbl[",N$1,"]")),MATCH(vp.data[[#This Row],[SDate]],weather.tbl[Date],0))</f>
        <v>10.450000000000001</v>
      </c>
      <c r="O202" s="2">
        <f ca="1">INDEX(INDIRECT(_xlfn.CONCAT("weather.tbl[",O$1,"]")),MATCH(vp.data[[#This Row],[SDate]],weather.tbl[Date],0))</f>
        <v>12.966666666666667</v>
      </c>
      <c r="P202" s="2">
        <f ca="1">INDEX(INDIRECT(_xlfn.CONCAT("weather.tbl[",P$1,"]")),MATCH(vp.data[[#This Row],[SDate]],weather.tbl[Date],0))</f>
        <v>9.8000000000000007</v>
      </c>
      <c r="Q202" s="2">
        <f ca="1">INDEX(INDIRECT(_xlfn.CONCAT("weather.tbl[",Q$1,"]")),MATCH(vp.data[[#This Row],[SDate]],weather.tbl[Date],0))</f>
        <v>9.1</v>
      </c>
      <c r="R202" s="2">
        <f ca="1">INDEX(INDIRECT(_xlfn.CONCAT("weather.tbl[",R$1,"]")),MATCH(vp.data[[#This Row],[SDate]],weather.tbl[Date],0))</f>
        <v>10.5</v>
      </c>
      <c r="S202" s="2">
        <f ca="1">INDEX(INDIRECT(_xlfn.CONCAT("weather.tbl[",S$1,"]")),MATCH(vp.data[[#This Row],[SDate]],weather.tbl[Date],0))</f>
        <v>12.3</v>
      </c>
      <c r="T202" s="2">
        <f ca="1">INDEX(INDIRECT(_xlfn.CONCAT("weather.tbl[",T$1,"]")),MATCH(vp.data[[#This Row],[SDate]],weather.tbl[Date],0))</f>
        <v>11.2</v>
      </c>
      <c r="U202" s="2">
        <f ca="1">INDEX(INDIRECT(_xlfn.CONCAT("weather.tbl[",U$1,"]")),MATCH(vp.data[[#This Row],[SDate]],weather.tbl[Date],0))</f>
        <v>9.8000000000000007</v>
      </c>
      <c r="V202" s="2">
        <f t="array" ref="V2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107173.281</v>
      </c>
      <c r="W202" t="s">
        <v>48</v>
      </c>
      <c r="X202">
        <f>IF(OR(vp.data[[#This Row],[Sulf]]="",vp.data[[#This Row],[Dens]]=""),1,0)</f>
        <v>0</v>
      </c>
      <c r="Y202">
        <f>IF(vp.data[[#This Row],[CrudeType]]="C5+",1,0)</f>
        <v>0</v>
      </c>
      <c r="Z202">
        <f>IF(AND(vp.data[[#This Row],[CrudeType]]="Crude",vp.data[[#This Row],[Dens]]&lt;=825,vp.data[[#This Row],[Sulf]]&gt;0.5,vp.data[[#This Row],[Unknown]]=0),1,0)</f>
        <v>0</v>
      </c>
      <c r="AA202">
        <f>IF(AND(vp.data[[#This Row],[CrudeType]]="Crude",vp.data[[#This Row],[Dens]]&lt;=825,vp.data[[#This Row],[Sulf]]&lt;=0.5,vp.data[[#This Row],[Unknown]]=0),1,0)</f>
        <v>0</v>
      </c>
      <c r="AB2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02">
        <f>IF(AND(vp.data[[#This Row],[CrudeType]]="Crude",vp.data[[#This Row],[Dens]]&gt;825,vp.data[[#This Row],[Dens]]&lt;=900,vp.data[[#This Row],[Sulf]]&lt;=0.5,vp.data[[#This Row],[Unknown]]=0),1,0)</f>
        <v>0</v>
      </c>
      <c r="AD202">
        <f>IF(AND(vp.data[[#This Row],[CrudeType]]="Crude",vp.data[[#This Row],[Dens]]&gt;865,vp.data[[#This Row],[Dens]]&lt;=900,vp.data[[#This Row],[Sulf]]&gt;2,vp.data[[#This Row],[Unknown]]=0),1,0)</f>
        <v>0</v>
      </c>
      <c r="AE202">
        <f>IF(AND(vp.data[[#This Row],[CrudeType]]="Crude",vp.data[[#This Row],[Dens]]&gt;900,vp.data[[#This Row],[Sulf]]&lt;=0.5,vp.data[[#This Row],[Unknown]]=0),1,0)</f>
        <v>0</v>
      </c>
      <c r="AF202">
        <f>IF(AND(vp.data[[#This Row],[CrudeType]]="Crude",vp.data[[#This Row],[Dens]]&gt;900,vp.data[[#This Row],[Sulf]]&lt;=0.5,vp.data[[#This Row],[Unknown]]=0),1,0)</f>
        <v>0</v>
      </c>
      <c r="AG202" t="str">
        <f>INDEX(vp.data[[#Headers],[Unknown]:[Heavy_SW]],MATCH(1,vp.data[[#This Row],[Unknown]:[Heavy_SW]],0))</f>
        <v>Medium_LSB</v>
      </c>
      <c r="AH202">
        <f>INDEX([3]!crudeBD.lkup[Number],MATCH(vp.data[[#This Row],[Crude_Breakdown]],crudeBD.lkup[Crude Breakdown],0))</f>
        <v>3</v>
      </c>
      <c r="AI202">
        <f>MONTH(vp.data[[#This Row],[SDate]])</f>
        <v>5</v>
      </c>
      <c r="AJ202" s="5">
        <f>(vp.data[[#This Row],[VP]]-INDEX(crudeBD.lkup[Mean_VP],MATCH(vp.data[[#This Row],[Crude_Breakdown]],crudeBD.lkup[Crude Breakdown],0)))^2</f>
        <v>103.23217261135993</v>
      </c>
      <c r="AK202" s="5">
        <f>(vp.data[[#This Row],[Dens]]-INDEX(crudeBD.lkup[Mean_Dens],MATCH(vp.data[[#This Row],[Crude_Breakdown]],crudeBD.lkup[Crude Breakdown],0)))^2</f>
        <v>279.55839999998193</v>
      </c>
      <c r="AL202" s="5">
        <f>(vp.data[[#This Row],[Sulf]]-INDEX(crudeBD.lkup[Mean_Sulf],MATCH(vp.data[[#This Row],[Crude_Breakdown]],crudeBD.lkup[Crude Breakdown],0)))^2</f>
        <v>5.5416986109170445E-2</v>
      </c>
      <c r="AM202" s="4">
        <f>IF(AND(vp.data[[#This Row],[SDate]]&gt;=DATE(YEAR(vp.data[[#This Row],[SDate]]),5,1),vp.data[[#This Row],[SDate]]&lt;=DATE(YEAR(vp.data[[#This Row],[SDate]]),9,15)),1,0)</f>
        <v>1</v>
      </c>
      <c r="AN202" s="4">
        <f>IF(vp.data[[#This Row],[SDate]]&lt;DATE(2016,12,1),0,1)</f>
        <v>0</v>
      </c>
      <c r="AO202" s="4">
        <f>IFERROR(vp.data[[#This Row],[Sulf]]*vp.data[[#This Row],[Net Dens]],"")</f>
        <v>101951798.74968</v>
      </c>
      <c r="AP202">
        <f>IFERROR(vp.data[[#This Row],[Dens]]*vp.data[[#This Row],[VolumeM3]],"")</f>
        <v>88653738.043200001</v>
      </c>
      <c r="AQ202" s="15">
        <f>IFERROR(vp.data[[#This Row],[VP]]*vp.data[[#This Row],[VolumeM3]],"")</f>
        <v>9731333.9147999994</v>
      </c>
    </row>
    <row r="203" spans="1:43" x14ac:dyDescent="0.25">
      <c r="A203">
        <v>202</v>
      </c>
      <c r="B203" t="s">
        <v>49</v>
      </c>
      <c r="C203" t="s">
        <v>49</v>
      </c>
      <c r="D203" t="s">
        <v>74</v>
      </c>
      <c r="F203" s="1">
        <v>42527</v>
      </c>
      <c r="G203" s="2">
        <v>116.3</v>
      </c>
      <c r="H203" s="2"/>
      <c r="I203" s="2">
        <f t="array" ref="I203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03" s="2"/>
      <c r="K203" s="2"/>
      <c r="L203" s="2">
        <v>802.5</v>
      </c>
      <c r="M203" s="2">
        <f t="array" ref="M203">_xlfn.IFNA(IF(vp.data[[#This Row],[Dens Input]]="",INDEX([1]DATA!$O$3:$O$9826,MATCH(1,(vp.data[[#This Row],[Battery]]=[1]DATA!$L$3:$L$9826)*(EOMONTH(vp.data[[#This Row],[SDate]],-1)+1=[1]DATA!$G$3:$G$9826),0)),vp.data[[#This Row],[Dens Input]]),"")</f>
        <v>802.5</v>
      </c>
      <c r="N203" s="2">
        <f ca="1">INDEX(INDIRECT(_xlfn.CONCAT("weather.tbl[",N$1,"]")),MATCH(vp.data[[#This Row],[SDate]],weather.tbl[Date],0))</f>
        <v>14.283333333333333</v>
      </c>
      <c r="O203" s="2">
        <f ca="1">INDEX(INDIRECT(_xlfn.CONCAT("weather.tbl[",O$1,"]")),MATCH(vp.data[[#This Row],[SDate]],weather.tbl[Date],0))</f>
        <v>15.114285714285716</v>
      </c>
      <c r="P203" s="2">
        <f ca="1">INDEX(INDIRECT(_xlfn.CONCAT("weather.tbl[",P$1,"]")),MATCH(vp.data[[#This Row],[SDate]],weather.tbl[Date],0))</f>
        <v>13.5</v>
      </c>
      <c r="Q203" s="2">
        <f ca="1">INDEX(INDIRECT(_xlfn.CONCAT("weather.tbl[",Q$1,"]")),MATCH(vp.data[[#This Row],[SDate]],weather.tbl[Date],0))</f>
        <v>13.7</v>
      </c>
      <c r="R203" s="2">
        <f ca="1">INDEX(INDIRECT(_xlfn.CONCAT("weather.tbl[",R$1,"]")),MATCH(vp.data[[#This Row],[SDate]],weather.tbl[Date],0))</f>
        <v>14.3</v>
      </c>
      <c r="S203" s="2">
        <f ca="1">INDEX(INDIRECT(_xlfn.CONCAT("weather.tbl[",S$1,"]")),MATCH(vp.data[[#This Row],[SDate]],weather.tbl[Date],0))</f>
        <v>15.5</v>
      </c>
      <c r="T203" s="2">
        <f ca="1">INDEX(INDIRECT(_xlfn.CONCAT("weather.tbl[",T$1,"]")),MATCH(vp.data[[#This Row],[SDate]],weather.tbl[Date],0))</f>
        <v>14.9</v>
      </c>
      <c r="U203" s="2">
        <f ca="1">INDEX(INDIRECT(_xlfn.CONCAT("weather.tbl[",U$1,"]")),MATCH(vp.data[[#This Row],[SDate]],weather.tbl[Date],0))</f>
        <v>13.8</v>
      </c>
      <c r="V203" s="2">
        <f t="array" ref="V2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41537.673000000003</v>
      </c>
      <c r="W203" t="s">
        <v>48</v>
      </c>
      <c r="X203">
        <f>IF(OR(vp.data[[#This Row],[Sulf]]="",vp.data[[#This Row],[Dens]]=""),1,0)</f>
        <v>0</v>
      </c>
      <c r="Y203">
        <f>IF(vp.data[[#This Row],[CrudeType]]="C5+",1,0)</f>
        <v>0</v>
      </c>
      <c r="Z203">
        <f>IF(AND(vp.data[[#This Row],[CrudeType]]="Crude",vp.data[[#This Row],[Dens]]&lt;=825,vp.data[[#This Row],[Sulf]]&gt;0.5,vp.data[[#This Row],[Unknown]]=0),1,0)</f>
        <v>0</v>
      </c>
      <c r="AA203">
        <f>IF(AND(vp.data[[#This Row],[CrudeType]]="Crude",vp.data[[#This Row],[Dens]]&lt;=825,vp.data[[#This Row],[Sulf]]&lt;=0.5,vp.data[[#This Row],[Unknown]]=0),1,0)</f>
        <v>1</v>
      </c>
      <c r="AB2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3">
        <f>IF(AND(vp.data[[#This Row],[CrudeType]]="Crude",vp.data[[#This Row],[Dens]]&gt;825,vp.data[[#This Row],[Dens]]&lt;=900,vp.data[[#This Row],[Sulf]]&lt;=0.5,vp.data[[#This Row],[Unknown]]=0),1,0)</f>
        <v>0</v>
      </c>
      <c r="AD203">
        <f>IF(AND(vp.data[[#This Row],[CrudeType]]="Crude",vp.data[[#This Row],[Dens]]&gt;865,vp.data[[#This Row],[Dens]]&lt;=900,vp.data[[#This Row],[Sulf]]&gt;2,vp.data[[#This Row],[Unknown]]=0),1,0)</f>
        <v>0</v>
      </c>
      <c r="AE203">
        <f>IF(AND(vp.data[[#This Row],[CrudeType]]="Crude",vp.data[[#This Row],[Dens]]&gt;900,vp.data[[#This Row],[Sulf]]&lt;=0.5,vp.data[[#This Row],[Unknown]]=0),1,0)</f>
        <v>0</v>
      </c>
      <c r="AF203">
        <f>IF(AND(vp.data[[#This Row],[CrudeType]]="Crude",vp.data[[#This Row],[Dens]]&gt;900,vp.data[[#This Row],[Sulf]]&lt;=0.5,vp.data[[#This Row],[Unknown]]=0),1,0)</f>
        <v>0</v>
      </c>
      <c r="AG203" t="str">
        <f>INDEX(vp.data[[#Headers],[Unknown]:[Heavy_SW]],MATCH(1,vp.data[[#This Row],[Unknown]:[Heavy_SW]],0))</f>
        <v>Light_SW</v>
      </c>
      <c r="AH203">
        <f>INDEX([3]!crudeBD.lkup[Number],MATCH(vp.data[[#This Row],[Crude_Breakdown]],crudeBD.lkup[Crude Breakdown],0))</f>
        <v>2</v>
      </c>
      <c r="AI203">
        <f>MONTH(vp.data[[#This Row],[SDate]])</f>
        <v>6</v>
      </c>
      <c r="AJ203" s="5">
        <f>(vp.data[[#This Row],[VP]]-INDEX(crudeBD.lkup[Mean_VP],MATCH(vp.data[[#This Row],[Crude_Breakdown]],crudeBD.lkup[Crude Breakdown],0)))^2</f>
        <v>564.04760462795593</v>
      </c>
      <c r="AK203" s="5">
        <f>(vp.data[[#This Row],[Dens]]-INDEX(crudeBD.lkup[Mean_Dens],MATCH(vp.data[[#This Row],[Crude_Breakdown]],crudeBD.lkup[Crude Breakdown],0)))^2</f>
        <v>33.773512000871577</v>
      </c>
      <c r="AL203" s="5">
        <f>(vp.data[[#This Row],[Sulf]]-INDEX(crudeBD.lkup[Mean_Sulf],MATCH(vp.data[[#This Row],[Crude_Breakdown]],crudeBD.lkup[Crude Breakdown],0)))^2</f>
        <v>9.2624863475336272E-3</v>
      </c>
      <c r="AM203" s="4">
        <f>IF(AND(vp.data[[#This Row],[SDate]]&gt;=DATE(YEAR(vp.data[[#This Row],[SDate]]),5,1),vp.data[[#This Row],[SDate]]&lt;=DATE(YEAR(vp.data[[#This Row],[SDate]]),9,15)),1,0)</f>
        <v>1</v>
      </c>
      <c r="AN203" s="4">
        <f>IF(vp.data[[#This Row],[SDate]]&lt;DATE(2016,12,1),0,1)</f>
        <v>0</v>
      </c>
      <c r="AO203" s="4">
        <f>IFERROR(vp.data[[#This Row],[Sulf]]*vp.data[[#This Row],[Net Dens]],"")</f>
        <v>4666757.5615500007</v>
      </c>
      <c r="AP203">
        <f>IFERROR(vp.data[[#This Row],[Dens]]*vp.data[[#This Row],[VolumeM3]],"")</f>
        <v>33333982.582500003</v>
      </c>
      <c r="AQ203" s="15">
        <f>IFERROR(vp.data[[#This Row],[VP]]*vp.data[[#This Row],[VolumeM3]],"")</f>
        <v>4830831.3699000003</v>
      </c>
    </row>
    <row r="204" spans="1:43" x14ac:dyDescent="0.25">
      <c r="A204">
        <v>203</v>
      </c>
      <c r="B204" t="s">
        <v>49</v>
      </c>
      <c r="C204" t="s">
        <v>49</v>
      </c>
      <c r="D204" t="s">
        <v>67</v>
      </c>
      <c r="F204" s="1">
        <v>42527</v>
      </c>
      <c r="G204" s="2">
        <v>102.2</v>
      </c>
      <c r="H204" s="2"/>
      <c r="I204" s="2">
        <f t="array" ref="I204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04" s="2"/>
      <c r="K204" s="2"/>
      <c r="L204" s="2">
        <v>803</v>
      </c>
      <c r="M204" s="2">
        <f t="array" ref="M204">_xlfn.IFNA(IF(vp.data[[#This Row],[Dens Input]]="",INDEX([1]DATA!$O$3:$O$9826,MATCH(1,(vp.data[[#This Row],[Battery]]=[1]DATA!$L$3:$L$9826)*(EOMONTH(vp.data[[#This Row],[SDate]],-1)+1=[1]DATA!$G$3:$G$9826),0)),vp.data[[#This Row],[Dens Input]]),"")</f>
        <v>803</v>
      </c>
      <c r="N204" s="2">
        <f ca="1">INDEX(INDIRECT(_xlfn.CONCAT("weather.tbl[",N$1,"]")),MATCH(vp.data[[#This Row],[SDate]],weather.tbl[Date],0))</f>
        <v>14.283333333333333</v>
      </c>
      <c r="O204" s="2">
        <f ca="1">INDEX(INDIRECT(_xlfn.CONCAT("weather.tbl[",O$1,"]")),MATCH(vp.data[[#This Row],[SDate]],weather.tbl[Date],0))</f>
        <v>15.114285714285716</v>
      </c>
      <c r="P204" s="2">
        <f ca="1">INDEX(INDIRECT(_xlfn.CONCAT("weather.tbl[",P$1,"]")),MATCH(vp.data[[#This Row],[SDate]],weather.tbl[Date],0))</f>
        <v>13.5</v>
      </c>
      <c r="Q204" s="2">
        <f ca="1">INDEX(INDIRECT(_xlfn.CONCAT("weather.tbl[",Q$1,"]")),MATCH(vp.data[[#This Row],[SDate]],weather.tbl[Date],0))</f>
        <v>13.7</v>
      </c>
      <c r="R204" s="2">
        <f ca="1">INDEX(INDIRECT(_xlfn.CONCAT("weather.tbl[",R$1,"]")),MATCH(vp.data[[#This Row],[SDate]],weather.tbl[Date],0))</f>
        <v>14.3</v>
      </c>
      <c r="S204" s="2">
        <f ca="1">INDEX(INDIRECT(_xlfn.CONCAT("weather.tbl[",S$1,"]")),MATCH(vp.data[[#This Row],[SDate]],weather.tbl[Date],0))</f>
        <v>15.5</v>
      </c>
      <c r="T204" s="2">
        <f ca="1">INDEX(INDIRECT(_xlfn.CONCAT("weather.tbl[",T$1,"]")),MATCH(vp.data[[#This Row],[SDate]],weather.tbl[Date],0))</f>
        <v>14.9</v>
      </c>
      <c r="U204" s="2">
        <f ca="1">INDEX(INDIRECT(_xlfn.CONCAT("weather.tbl[",U$1,"]")),MATCH(vp.data[[#This Row],[SDate]],weather.tbl[Date],0))</f>
        <v>13.8</v>
      </c>
      <c r="V204" s="2">
        <f t="array" ref="V2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50694.305999999997</v>
      </c>
      <c r="W204" t="s">
        <v>48</v>
      </c>
      <c r="X204">
        <f>IF(OR(vp.data[[#This Row],[Sulf]]="",vp.data[[#This Row],[Dens]]=""),1,0)</f>
        <v>0</v>
      </c>
      <c r="Y204">
        <f>IF(vp.data[[#This Row],[CrudeType]]="C5+",1,0)</f>
        <v>0</v>
      </c>
      <c r="Z204">
        <f>IF(AND(vp.data[[#This Row],[CrudeType]]="Crude",vp.data[[#This Row],[Dens]]&lt;=825,vp.data[[#This Row],[Sulf]]&gt;0.5,vp.data[[#This Row],[Unknown]]=0),1,0)</f>
        <v>0</v>
      </c>
      <c r="AA204">
        <f>IF(AND(vp.data[[#This Row],[CrudeType]]="Crude",vp.data[[#This Row],[Dens]]&lt;=825,vp.data[[#This Row],[Sulf]]&lt;=0.5,vp.data[[#This Row],[Unknown]]=0),1,0)</f>
        <v>1</v>
      </c>
      <c r="AB2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4">
        <f>IF(AND(vp.data[[#This Row],[CrudeType]]="Crude",vp.data[[#This Row],[Dens]]&gt;825,vp.data[[#This Row],[Dens]]&lt;=900,vp.data[[#This Row],[Sulf]]&lt;=0.5,vp.data[[#This Row],[Unknown]]=0),1,0)</f>
        <v>0</v>
      </c>
      <c r="AD204">
        <f>IF(AND(vp.data[[#This Row],[CrudeType]]="Crude",vp.data[[#This Row],[Dens]]&gt;865,vp.data[[#This Row],[Dens]]&lt;=900,vp.data[[#This Row],[Sulf]]&gt;2,vp.data[[#This Row],[Unknown]]=0),1,0)</f>
        <v>0</v>
      </c>
      <c r="AE204">
        <f>IF(AND(vp.data[[#This Row],[CrudeType]]="Crude",vp.data[[#This Row],[Dens]]&gt;900,vp.data[[#This Row],[Sulf]]&lt;=0.5,vp.data[[#This Row],[Unknown]]=0),1,0)</f>
        <v>0</v>
      </c>
      <c r="AF204">
        <f>IF(AND(vp.data[[#This Row],[CrudeType]]="Crude",vp.data[[#This Row],[Dens]]&gt;900,vp.data[[#This Row],[Sulf]]&lt;=0.5,vp.data[[#This Row],[Unknown]]=0),1,0)</f>
        <v>0</v>
      </c>
      <c r="AG204" t="str">
        <f>INDEX(vp.data[[#Headers],[Unknown]:[Heavy_SW]],MATCH(1,vp.data[[#This Row],[Unknown]:[Heavy_SW]],0))</f>
        <v>Light_SW</v>
      </c>
      <c r="AH204">
        <f>INDEX([3]!crudeBD.lkup[Number],MATCH(vp.data[[#This Row],[Crude_Breakdown]],crudeBD.lkup[Crude Breakdown],0))</f>
        <v>2</v>
      </c>
      <c r="AI204">
        <f>MONTH(vp.data[[#This Row],[SDate]])</f>
        <v>6</v>
      </c>
      <c r="AJ204" s="5">
        <f>(vp.data[[#This Row],[VP]]-INDEX(crudeBD.lkup[Mean_VP],MATCH(vp.data[[#This Row],[Crude_Breakdown]],crudeBD.lkup[Crude Breakdown],0)))^2</f>
        <v>93.116447833530231</v>
      </c>
      <c r="AK204" s="5">
        <f>(vp.data[[#This Row],[Dens]]-INDEX(crudeBD.lkup[Mean_Dens],MATCH(vp.data[[#This Row],[Crude_Breakdown]],crudeBD.lkup[Crude Breakdown],0)))^2</f>
        <v>28.212013743032074</v>
      </c>
      <c r="AL204" s="5">
        <f>(vp.data[[#This Row],[Sulf]]-INDEX(crudeBD.lkup[Mean_Sulf],MATCH(vp.data[[#This Row],[Crude_Breakdown]],crudeBD.lkup[Crude Breakdown],0)))^2</f>
        <v>6.8863268899706654E-4</v>
      </c>
      <c r="AM204" s="4">
        <f>IF(AND(vp.data[[#This Row],[SDate]]&gt;=DATE(YEAR(vp.data[[#This Row],[SDate]]),5,1),vp.data[[#This Row],[SDate]]&lt;=DATE(YEAR(vp.data[[#This Row],[SDate]]),9,15)),1,0)</f>
        <v>1</v>
      </c>
      <c r="AN204" s="4">
        <f>IF(vp.data[[#This Row],[SDate]]&lt;DATE(2016,12,1),0,1)</f>
        <v>0</v>
      </c>
      <c r="AO204" s="4">
        <f>IFERROR(vp.data[[#This Row],[Sulf]]*vp.data[[#This Row],[Net Dens]],"")</f>
        <v>8548580.8207799979</v>
      </c>
      <c r="AP204">
        <f>IFERROR(vp.data[[#This Row],[Dens]]*vp.data[[#This Row],[VolumeM3]],"")</f>
        <v>40707527.717999995</v>
      </c>
      <c r="AQ204" s="15">
        <f>IFERROR(vp.data[[#This Row],[VP]]*vp.data[[#This Row],[VolumeM3]],"")</f>
        <v>5180958.0731999995</v>
      </c>
    </row>
    <row r="205" spans="1:43" x14ac:dyDescent="0.25">
      <c r="A205">
        <v>204</v>
      </c>
      <c r="B205" t="s">
        <v>62</v>
      </c>
      <c r="C205" t="s">
        <v>62</v>
      </c>
      <c r="D205" t="s">
        <v>83</v>
      </c>
      <c r="F205" s="1">
        <v>42527</v>
      </c>
      <c r="G205" s="2">
        <v>78.099999999999994</v>
      </c>
      <c r="H205" s="2"/>
      <c r="I205" s="2">
        <f t="array" ref="I205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205" s="2"/>
      <c r="K205" s="2"/>
      <c r="L205" s="2">
        <v>813</v>
      </c>
      <c r="M205" s="2">
        <f t="array" ref="M205">_xlfn.IFNA(IF(vp.data[[#This Row],[Dens Input]]="",INDEX([1]DATA!$O$3:$O$9826,MATCH(1,(vp.data[[#This Row],[Battery]]=[1]DATA!$L$3:$L$9826)*(EOMONTH(vp.data[[#This Row],[SDate]],-1)+1=[1]DATA!$G$3:$G$9826),0)),vp.data[[#This Row],[Dens Input]]),"")</f>
        <v>813</v>
      </c>
      <c r="N205" s="2">
        <f ca="1">INDEX(INDIRECT(_xlfn.CONCAT("weather.tbl[",N$1,"]")),MATCH(vp.data[[#This Row],[SDate]],weather.tbl[Date],0))</f>
        <v>14.283333333333333</v>
      </c>
      <c r="O205" s="2">
        <f ca="1">INDEX(INDIRECT(_xlfn.CONCAT("weather.tbl[",O$1,"]")),MATCH(vp.data[[#This Row],[SDate]],weather.tbl[Date],0))</f>
        <v>15.114285714285716</v>
      </c>
      <c r="P205" s="2">
        <f ca="1">INDEX(INDIRECT(_xlfn.CONCAT("weather.tbl[",P$1,"]")),MATCH(vp.data[[#This Row],[SDate]],weather.tbl[Date],0))</f>
        <v>13.5</v>
      </c>
      <c r="Q205" s="2">
        <f ca="1">INDEX(INDIRECT(_xlfn.CONCAT("weather.tbl[",Q$1,"]")),MATCH(vp.data[[#This Row],[SDate]],weather.tbl[Date],0))</f>
        <v>13.7</v>
      </c>
      <c r="R205" s="2">
        <f ca="1">INDEX(INDIRECT(_xlfn.CONCAT("weather.tbl[",R$1,"]")),MATCH(vp.data[[#This Row],[SDate]],weather.tbl[Date],0))</f>
        <v>14.3</v>
      </c>
      <c r="S205" s="2">
        <f ca="1">INDEX(INDIRECT(_xlfn.CONCAT("weather.tbl[",S$1,"]")),MATCH(vp.data[[#This Row],[SDate]],weather.tbl[Date],0))</f>
        <v>15.5</v>
      </c>
      <c r="T205" s="2">
        <f ca="1">INDEX(INDIRECT(_xlfn.CONCAT("weather.tbl[",T$1,"]")),MATCH(vp.data[[#This Row],[SDate]],weather.tbl[Date],0))</f>
        <v>14.9</v>
      </c>
      <c r="U205" s="2">
        <f ca="1">INDEX(INDIRECT(_xlfn.CONCAT("weather.tbl[",U$1,"]")),MATCH(vp.data[[#This Row],[SDate]],weather.tbl[Date],0))</f>
        <v>13.8</v>
      </c>
      <c r="V205" s="2">
        <f t="array" ref="V2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9721.509</v>
      </c>
      <c r="W205" t="s">
        <v>48</v>
      </c>
      <c r="X205">
        <f>IF(OR(vp.data[[#This Row],[Sulf]]="",vp.data[[#This Row],[Dens]]=""),1,0)</f>
        <v>0</v>
      </c>
      <c r="Y205">
        <f>IF(vp.data[[#This Row],[CrudeType]]="C5+",1,0)</f>
        <v>0</v>
      </c>
      <c r="Z205">
        <f>IF(AND(vp.data[[#This Row],[CrudeType]]="Crude",vp.data[[#This Row],[Dens]]&lt;=825,vp.data[[#This Row],[Sulf]]&gt;0.5,vp.data[[#This Row],[Unknown]]=0),1,0)</f>
        <v>0</v>
      </c>
      <c r="AA205">
        <f>IF(AND(vp.data[[#This Row],[CrudeType]]="Crude",vp.data[[#This Row],[Dens]]&lt;=825,vp.data[[#This Row],[Sulf]]&lt;=0.5,vp.data[[#This Row],[Unknown]]=0),1,0)</f>
        <v>1</v>
      </c>
      <c r="AB2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5">
        <f>IF(AND(vp.data[[#This Row],[CrudeType]]="Crude",vp.data[[#This Row],[Dens]]&gt;825,vp.data[[#This Row],[Dens]]&lt;=900,vp.data[[#This Row],[Sulf]]&lt;=0.5,vp.data[[#This Row],[Unknown]]=0),1,0)</f>
        <v>0</v>
      </c>
      <c r="AD205">
        <f>IF(AND(vp.data[[#This Row],[CrudeType]]="Crude",vp.data[[#This Row],[Dens]]&gt;865,vp.data[[#This Row],[Dens]]&lt;=900,vp.data[[#This Row],[Sulf]]&gt;2,vp.data[[#This Row],[Unknown]]=0),1,0)</f>
        <v>0</v>
      </c>
      <c r="AE205">
        <f>IF(AND(vp.data[[#This Row],[CrudeType]]="Crude",vp.data[[#This Row],[Dens]]&gt;900,vp.data[[#This Row],[Sulf]]&lt;=0.5,vp.data[[#This Row],[Unknown]]=0),1,0)</f>
        <v>0</v>
      </c>
      <c r="AF205">
        <f>IF(AND(vp.data[[#This Row],[CrudeType]]="Crude",vp.data[[#This Row],[Dens]]&gt;900,vp.data[[#This Row],[Sulf]]&lt;=0.5,vp.data[[#This Row],[Unknown]]=0),1,0)</f>
        <v>0</v>
      </c>
      <c r="AG205" t="str">
        <f>INDEX(vp.data[[#Headers],[Unknown]:[Heavy_SW]],MATCH(1,vp.data[[#This Row],[Unknown]:[Heavy_SW]],0))</f>
        <v>Light_SW</v>
      </c>
      <c r="AH205">
        <f>INDEX([3]!crudeBD.lkup[Number],MATCH(vp.data[[#This Row],[Crude_Breakdown]],crudeBD.lkup[Crude Breakdown],0))</f>
        <v>2</v>
      </c>
      <c r="AI205">
        <f>MONTH(vp.data[[#This Row],[SDate]])</f>
        <v>6</v>
      </c>
      <c r="AJ205" s="5">
        <f>(vp.data[[#This Row],[VP]]-INDEX(crudeBD.lkup[Mean_VP],MATCH(vp.data[[#This Row],[Crude_Breakdown]],crudeBD.lkup[Crude Breakdown],0)))^2</f>
        <v>208.81156281610731</v>
      </c>
      <c r="AK205" s="5">
        <f>(vp.data[[#This Row],[Dens]]-INDEX(crudeBD.lkup[Mean_Dens],MATCH(vp.data[[#This Row],[Crude_Breakdown]],crudeBD.lkup[Crude Breakdown],0)))^2</f>
        <v>21.982048586242016</v>
      </c>
      <c r="AL205" s="5">
        <f>(vp.data[[#This Row],[Sulf]]-INDEX(crudeBD.lkup[Mean_Sulf],MATCH(vp.data[[#This Row],[Crude_Breakdown]],crudeBD.lkup[Crude Breakdown],0)))^2</f>
        <v>2.1383051628646554E-3</v>
      </c>
      <c r="AM205" s="4">
        <f>IF(AND(vp.data[[#This Row],[SDate]]&gt;=DATE(YEAR(vp.data[[#This Row],[SDate]]),5,1),vp.data[[#This Row],[SDate]]&lt;=DATE(YEAR(vp.data[[#This Row],[SDate]]),9,15)),1,0)</f>
        <v>1</v>
      </c>
      <c r="AN205" s="4">
        <f>IF(vp.data[[#This Row],[SDate]]&lt;DATE(2016,12,1),0,1)</f>
        <v>0</v>
      </c>
      <c r="AO205" s="4">
        <f>IFERROR(vp.data[[#This Row],[Sulf]]*vp.data[[#This Row],[Net Dens]],"")</f>
        <v>1501681.49523</v>
      </c>
      <c r="AP205">
        <f>IFERROR(vp.data[[#This Row],[Dens]]*vp.data[[#This Row],[VolumeM3]],"")</f>
        <v>7903586.8169999998</v>
      </c>
      <c r="AQ205" s="15">
        <f>IFERROR(vp.data[[#This Row],[VP]]*vp.data[[#This Row],[VolumeM3]],"")</f>
        <v>759249.85289999994</v>
      </c>
    </row>
    <row r="206" spans="1:43" x14ac:dyDescent="0.25">
      <c r="A206">
        <v>205</v>
      </c>
      <c r="B206" t="s">
        <v>62</v>
      </c>
      <c r="C206" t="s">
        <v>62</v>
      </c>
      <c r="D206" t="s">
        <v>83</v>
      </c>
      <c r="F206" s="1">
        <v>42527</v>
      </c>
      <c r="G206" s="2">
        <v>78.599999999999994</v>
      </c>
      <c r="H206" s="2"/>
      <c r="I206" s="2">
        <f t="array" ref="I206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206" s="2"/>
      <c r="K206" s="2"/>
      <c r="L206" s="2">
        <v>813</v>
      </c>
      <c r="M206" s="2">
        <f t="array" ref="M206">_xlfn.IFNA(IF(vp.data[[#This Row],[Dens Input]]="",INDEX([1]DATA!$O$3:$O$9826,MATCH(1,(vp.data[[#This Row],[Battery]]=[1]DATA!$L$3:$L$9826)*(EOMONTH(vp.data[[#This Row],[SDate]],-1)+1=[1]DATA!$G$3:$G$9826),0)),vp.data[[#This Row],[Dens Input]]),"")</f>
        <v>813</v>
      </c>
      <c r="N206" s="2">
        <f ca="1">INDEX(INDIRECT(_xlfn.CONCAT("weather.tbl[",N$1,"]")),MATCH(vp.data[[#This Row],[SDate]],weather.tbl[Date],0))</f>
        <v>14.283333333333333</v>
      </c>
      <c r="O206" s="2">
        <f ca="1">INDEX(INDIRECT(_xlfn.CONCAT("weather.tbl[",O$1,"]")),MATCH(vp.data[[#This Row],[SDate]],weather.tbl[Date],0))</f>
        <v>15.114285714285716</v>
      </c>
      <c r="P206" s="2">
        <f ca="1">INDEX(INDIRECT(_xlfn.CONCAT("weather.tbl[",P$1,"]")),MATCH(vp.data[[#This Row],[SDate]],weather.tbl[Date],0))</f>
        <v>13.5</v>
      </c>
      <c r="Q206" s="2">
        <f ca="1">INDEX(INDIRECT(_xlfn.CONCAT("weather.tbl[",Q$1,"]")),MATCH(vp.data[[#This Row],[SDate]],weather.tbl[Date],0))</f>
        <v>13.7</v>
      </c>
      <c r="R206" s="2">
        <f ca="1">INDEX(INDIRECT(_xlfn.CONCAT("weather.tbl[",R$1,"]")),MATCH(vp.data[[#This Row],[SDate]],weather.tbl[Date],0))</f>
        <v>14.3</v>
      </c>
      <c r="S206" s="2">
        <f ca="1">INDEX(INDIRECT(_xlfn.CONCAT("weather.tbl[",S$1,"]")),MATCH(vp.data[[#This Row],[SDate]],weather.tbl[Date],0))</f>
        <v>15.5</v>
      </c>
      <c r="T206" s="2">
        <f ca="1">INDEX(INDIRECT(_xlfn.CONCAT("weather.tbl[",T$1,"]")),MATCH(vp.data[[#This Row],[SDate]],weather.tbl[Date],0))</f>
        <v>14.9</v>
      </c>
      <c r="U206" s="2">
        <f ca="1">INDEX(INDIRECT(_xlfn.CONCAT("weather.tbl[",U$1,"]")),MATCH(vp.data[[#This Row],[SDate]],weather.tbl[Date],0))</f>
        <v>13.8</v>
      </c>
      <c r="V206" s="2">
        <f t="array" ref="V2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9721.509</v>
      </c>
      <c r="W206" t="s">
        <v>48</v>
      </c>
      <c r="X206">
        <f>IF(OR(vp.data[[#This Row],[Sulf]]="",vp.data[[#This Row],[Dens]]=""),1,0)</f>
        <v>0</v>
      </c>
      <c r="Y206">
        <f>IF(vp.data[[#This Row],[CrudeType]]="C5+",1,0)</f>
        <v>0</v>
      </c>
      <c r="Z206">
        <f>IF(AND(vp.data[[#This Row],[CrudeType]]="Crude",vp.data[[#This Row],[Dens]]&lt;=825,vp.data[[#This Row],[Sulf]]&gt;0.5,vp.data[[#This Row],[Unknown]]=0),1,0)</f>
        <v>0</v>
      </c>
      <c r="AA206">
        <f>IF(AND(vp.data[[#This Row],[CrudeType]]="Crude",vp.data[[#This Row],[Dens]]&lt;=825,vp.data[[#This Row],[Sulf]]&lt;=0.5,vp.data[[#This Row],[Unknown]]=0),1,0)</f>
        <v>1</v>
      </c>
      <c r="AB2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6">
        <f>IF(AND(vp.data[[#This Row],[CrudeType]]="Crude",vp.data[[#This Row],[Dens]]&gt;825,vp.data[[#This Row],[Dens]]&lt;=900,vp.data[[#This Row],[Sulf]]&lt;=0.5,vp.data[[#This Row],[Unknown]]=0),1,0)</f>
        <v>0</v>
      </c>
      <c r="AD206">
        <f>IF(AND(vp.data[[#This Row],[CrudeType]]="Crude",vp.data[[#This Row],[Dens]]&gt;865,vp.data[[#This Row],[Dens]]&lt;=900,vp.data[[#This Row],[Sulf]]&gt;2,vp.data[[#This Row],[Unknown]]=0),1,0)</f>
        <v>0</v>
      </c>
      <c r="AE206">
        <f>IF(AND(vp.data[[#This Row],[CrudeType]]="Crude",vp.data[[#This Row],[Dens]]&gt;900,vp.data[[#This Row],[Sulf]]&lt;=0.5,vp.data[[#This Row],[Unknown]]=0),1,0)</f>
        <v>0</v>
      </c>
      <c r="AF206">
        <f>IF(AND(vp.data[[#This Row],[CrudeType]]="Crude",vp.data[[#This Row],[Dens]]&gt;900,vp.data[[#This Row],[Sulf]]&lt;=0.5,vp.data[[#This Row],[Unknown]]=0),1,0)</f>
        <v>0</v>
      </c>
      <c r="AG206" t="str">
        <f>INDEX(vp.data[[#Headers],[Unknown]:[Heavy_SW]],MATCH(1,vp.data[[#This Row],[Unknown]:[Heavy_SW]],0))</f>
        <v>Light_SW</v>
      </c>
      <c r="AH206">
        <f>INDEX([3]!crudeBD.lkup[Number],MATCH(vp.data[[#This Row],[Crude_Breakdown]],crudeBD.lkup[Crude Breakdown],0))</f>
        <v>2</v>
      </c>
      <c r="AI206">
        <f>MONTH(vp.data[[#This Row],[SDate]])</f>
        <v>6</v>
      </c>
      <c r="AJ206" s="5">
        <f>(vp.data[[#This Row],[VP]]-INDEX(crudeBD.lkup[Mean_VP],MATCH(vp.data[[#This Row],[Crude_Breakdown]],crudeBD.lkup[Crude Breakdown],0)))^2</f>
        <v>194.61124922725716</v>
      </c>
      <c r="AK206" s="5">
        <f>(vp.data[[#This Row],[Dens]]-INDEX(crudeBD.lkup[Mean_Dens],MATCH(vp.data[[#This Row],[Crude_Breakdown]],crudeBD.lkup[Crude Breakdown],0)))^2</f>
        <v>21.982048586242016</v>
      </c>
      <c r="AL206" s="5">
        <f>(vp.data[[#This Row],[Sulf]]-INDEX(crudeBD.lkup[Mean_Sulf],MATCH(vp.data[[#This Row],[Crude_Breakdown]],crudeBD.lkup[Crude Breakdown],0)))^2</f>
        <v>2.1383051628646554E-3</v>
      </c>
      <c r="AM206" s="4">
        <f>IF(AND(vp.data[[#This Row],[SDate]]&gt;=DATE(YEAR(vp.data[[#This Row],[SDate]]),5,1),vp.data[[#This Row],[SDate]]&lt;=DATE(YEAR(vp.data[[#This Row],[SDate]]),9,15)),1,0)</f>
        <v>1</v>
      </c>
      <c r="AN206" s="4">
        <f>IF(vp.data[[#This Row],[SDate]]&lt;DATE(2016,12,1),0,1)</f>
        <v>0</v>
      </c>
      <c r="AO206" s="4">
        <f>IFERROR(vp.data[[#This Row],[Sulf]]*vp.data[[#This Row],[Net Dens]],"")</f>
        <v>1501681.49523</v>
      </c>
      <c r="AP206">
        <f>IFERROR(vp.data[[#This Row],[Dens]]*vp.data[[#This Row],[VolumeM3]],"")</f>
        <v>7903586.8169999998</v>
      </c>
      <c r="AQ206" s="15">
        <f>IFERROR(vp.data[[#This Row],[VP]]*vp.data[[#This Row],[VolumeM3]],"")</f>
        <v>764110.60739999998</v>
      </c>
    </row>
    <row r="207" spans="1:43" x14ac:dyDescent="0.25">
      <c r="A207">
        <v>206</v>
      </c>
      <c r="B207" t="s">
        <v>62</v>
      </c>
      <c r="C207" t="s">
        <v>62</v>
      </c>
      <c r="D207" t="s">
        <v>87</v>
      </c>
      <c r="F207" s="1">
        <v>42527</v>
      </c>
      <c r="G207" s="2">
        <v>75.599999999999994</v>
      </c>
      <c r="H207" s="2"/>
      <c r="I207" s="2">
        <f t="array" ref="I207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207" s="2"/>
      <c r="K207" s="2"/>
      <c r="L207" s="2">
        <v>814.6</v>
      </c>
      <c r="M207" s="2">
        <f t="array" ref="M207">_xlfn.IFNA(IF(vp.data[[#This Row],[Dens Input]]="",INDEX([1]DATA!$O$3:$O$9826,MATCH(1,(vp.data[[#This Row],[Battery]]=[1]DATA!$L$3:$L$9826)*(EOMONTH(vp.data[[#This Row],[SDate]],-1)+1=[1]DATA!$G$3:$G$9826),0)),vp.data[[#This Row],[Dens Input]]),"")</f>
        <v>814.6</v>
      </c>
      <c r="N207" s="2">
        <f ca="1">INDEX(INDIRECT(_xlfn.CONCAT("weather.tbl[",N$1,"]")),MATCH(vp.data[[#This Row],[SDate]],weather.tbl[Date],0))</f>
        <v>14.283333333333333</v>
      </c>
      <c r="O207" s="2">
        <f ca="1">INDEX(INDIRECT(_xlfn.CONCAT("weather.tbl[",O$1,"]")),MATCH(vp.data[[#This Row],[SDate]],weather.tbl[Date],0))</f>
        <v>15.114285714285716</v>
      </c>
      <c r="P207" s="2">
        <f ca="1">INDEX(INDIRECT(_xlfn.CONCAT("weather.tbl[",P$1,"]")),MATCH(vp.data[[#This Row],[SDate]],weather.tbl[Date],0))</f>
        <v>13.5</v>
      </c>
      <c r="Q207" s="2">
        <f ca="1">INDEX(INDIRECT(_xlfn.CONCAT("weather.tbl[",Q$1,"]")),MATCH(vp.data[[#This Row],[SDate]],weather.tbl[Date],0))</f>
        <v>13.7</v>
      </c>
      <c r="R207" s="2">
        <f ca="1">INDEX(INDIRECT(_xlfn.CONCAT("weather.tbl[",R$1,"]")),MATCH(vp.data[[#This Row],[SDate]],weather.tbl[Date],0))</f>
        <v>14.3</v>
      </c>
      <c r="S207" s="2">
        <f ca="1">INDEX(INDIRECT(_xlfn.CONCAT("weather.tbl[",S$1,"]")),MATCH(vp.data[[#This Row],[SDate]],weather.tbl[Date],0))</f>
        <v>15.5</v>
      </c>
      <c r="T207" s="2">
        <f ca="1">INDEX(INDIRECT(_xlfn.CONCAT("weather.tbl[",T$1,"]")),MATCH(vp.data[[#This Row],[SDate]],weather.tbl[Date],0))</f>
        <v>14.9</v>
      </c>
      <c r="U207" s="2">
        <f ca="1">INDEX(INDIRECT(_xlfn.CONCAT("weather.tbl[",U$1,"]")),MATCH(vp.data[[#This Row],[SDate]],weather.tbl[Date],0))</f>
        <v>13.8</v>
      </c>
      <c r="V207" s="2">
        <f t="array" ref="V2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8305.3240000000005</v>
      </c>
      <c r="W207" t="s">
        <v>48</v>
      </c>
      <c r="X207">
        <f>IF(OR(vp.data[[#This Row],[Sulf]]="",vp.data[[#This Row],[Dens]]=""),1,0)</f>
        <v>0</v>
      </c>
      <c r="Y207">
        <f>IF(vp.data[[#This Row],[CrudeType]]="C5+",1,0)</f>
        <v>0</v>
      </c>
      <c r="Z207">
        <f>IF(AND(vp.data[[#This Row],[CrudeType]]="Crude",vp.data[[#This Row],[Dens]]&lt;=825,vp.data[[#This Row],[Sulf]]&gt;0.5,vp.data[[#This Row],[Unknown]]=0),1,0)</f>
        <v>0</v>
      </c>
      <c r="AA207">
        <f>IF(AND(vp.data[[#This Row],[CrudeType]]="Crude",vp.data[[#This Row],[Dens]]&lt;=825,vp.data[[#This Row],[Sulf]]&lt;=0.5,vp.data[[#This Row],[Unknown]]=0),1,0)</f>
        <v>1</v>
      </c>
      <c r="AB2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07">
        <f>IF(AND(vp.data[[#This Row],[CrudeType]]="Crude",vp.data[[#This Row],[Dens]]&gt;825,vp.data[[#This Row],[Dens]]&lt;=900,vp.data[[#This Row],[Sulf]]&lt;=0.5,vp.data[[#This Row],[Unknown]]=0),1,0)</f>
        <v>0</v>
      </c>
      <c r="AD207">
        <f>IF(AND(vp.data[[#This Row],[CrudeType]]="Crude",vp.data[[#This Row],[Dens]]&gt;865,vp.data[[#This Row],[Dens]]&lt;=900,vp.data[[#This Row],[Sulf]]&gt;2,vp.data[[#This Row],[Unknown]]=0),1,0)</f>
        <v>0</v>
      </c>
      <c r="AE207">
        <f>IF(AND(vp.data[[#This Row],[CrudeType]]="Crude",vp.data[[#This Row],[Dens]]&gt;900,vp.data[[#This Row],[Sulf]]&lt;=0.5,vp.data[[#This Row],[Unknown]]=0),1,0)</f>
        <v>0</v>
      </c>
      <c r="AF207">
        <f>IF(AND(vp.data[[#This Row],[CrudeType]]="Crude",vp.data[[#This Row],[Dens]]&gt;900,vp.data[[#This Row],[Sulf]]&lt;=0.5,vp.data[[#This Row],[Unknown]]=0),1,0)</f>
        <v>0</v>
      </c>
      <c r="AG207" t="str">
        <f>INDEX(vp.data[[#Headers],[Unknown]:[Heavy_SW]],MATCH(1,vp.data[[#This Row],[Unknown]:[Heavy_SW]],0))</f>
        <v>Light_SW</v>
      </c>
      <c r="AH207">
        <f>INDEX([3]!crudeBD.lkup[Number],MATCH(vp.data[[#This Row],[Crude_Breakdown]],crudeBD.lkup[Crude Breakdown],0))</f>
        <v>2</v>
      </c>
      <c r="AI207">
        <f>MONTH(vp.data[[#This Row],[SDate]])</f>
        <v>6</v>
      </c>
      <c r="AJ207" s="5">
        <f>(vp.data[[#This Row],[VP]]-INDEX(crudeBD.lkup[Mean_VP],MATCH(vp.data[[#This Row],[Crude_Breakdown]],crudeBD.lkup[Crude Breakdown],0)))^2</f>
        <v>287.31313076035809</v>
      </c>
      <c r="AK207" s="5">
        <f>(vp.data[[#This Row],[Dens]]-INDEX(crudeBD.lkup[Mean_Dens],MATCH(vp.data[[#This Row],[Crude_Breakdown]],crudeBD.lkup[Crude Breakdown],0)))^2</f>
        <v>39.545254161155896</v>
      </c>
      <c r="AL207" s="5">
        <f>(vp.data[[#This Row],[Sulf]]-INDEX(crudeBD.lkup[Mean_Sulf],MATCH(vp.data[[#This Row],[Crude_Breakdown]],crudeBD.lkup[Crude Breakdown],0)))^2</f>
        <v>4.3879776367322437E-3</v>
      </c>
      <c r="AM207" s="4">
        <f>IF(AND(vp.data[[#This Row],[SDate]]&gt;=DATE(YEAR(vp.data[[#This Row],[SDate]]),5,1),vp.data[[#This Row],[SDate]]&lt;=DATE(YEAR(vp.data[[#This Row],[SDate]]),9,15)),1,0)</f>
        <v>1</v>
      </c>
      <c r="AN207" s="4">
        <f>IF(vp.data[[#This Row],[SDate]]&lt;DATE(2016,12,1),0,1)</f>
        <v>0</v>
      </c>
      <c r="AO207" s="4">
        <f>IFERROR(vp.data[[#This Row],[Sulf]]*vp.data[[#This Row],[Net Dens]],"")</f>
        <v>1150137.8781680001</v>
      </c>
      <c r="AP207">
        <f>IFERROR(vp.data[[#This Row],[Dens]]*vp.data[[#This Row],[VolumeM3]],"")</f>
        <v>6765516.9304000009</v>
      </c>
      <c r="AQ207" s="15">
        <f>IFERROR(vp.data[[#This Row],[VP]]*vp.data[[#This Row],[VolumeM3]],"")</f>
        <v>627882.49439999997</v>
      </c>
    </row>
    <row r="208" spans="1:43" x14ac:dyDescent="0.25">
      <c r="A208">
        <v>207</v>
      </c>
      <c r="B208" t="s">
        <v>62</v>
      </c>
      <c r="C208" t="s">
        <v>62</v>
      </c>
      <c r="D208" t="s">
        <v>63</v>
      </c>
      <c r="F208" s="1">
        <v>42527</v>
      </c>
      <c r="G208" s="2">
        <v>88.9</v>
      </c>
      <c r="H208" s="2"/>
      <c r="I208" s="2">
        <f t="array" ref="I208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208" s="2"/>
      <c r="K208" s="2"/>
      <c r="L208" s="2">
        <v>830.7</v>
      </c>
      <c r="M208" s="2">
        <f t="array" ref="M208">_xlfn.IFNA(IF(vp.data[[#This Row],[Dens Input]]="",INDEX([1]DATA!$O$3:$O$9826,MATCH(1,(vp.data[[#This Row],[Battery]]=[1]DATA!$L$3:$L$9826)*(EOMONTH(vp.data[[#This Row],[SDate]],-1)+1=[1]DATA!$G$3:$G$9826),0)),vp.data[[#This Row],[Dens Input]]),"")</f>
        <v>830.7</v>
      </c>
      <c r="N208" s="2">
        <f ca="1">INDEX(INDIRECT(_xlfn.CONCAT("weather.tbl[",N$1,"]")),MATCH(vp.data[[#This Row],[SDate]],weather.tbl[Date],0))</f>
        <v>14.283333333333333</v>
      </c>
      <c r="O208" s="2">
        <f ca="1">INDEX(INDIRECT(_xlfn.CONCAT("weather.tbl[",O$1,"]")),MATCH(vp.data[[#This Row],[SDate]],weather.tbl[Date],0))</f>
        <v>15.114285714285716</v>
      </c>
      <c r="P208" s="2">
        <f ca="1">INDEX(INDIRECT(_xlfn.CONCAT("weather.tbl[",P$1,"]")),MATCH(vp.data[[#This Row],[SDate]],weather.tbl[Date],0))</f>
        <v>13.5</v>
      </c>
      <c r="Q208" s="2">
        <f ca="1">INDEX(INDIRECT(_xlfn.CONCAT("weather.tbl[",Q$1,"]")),MATCH(vp.data[[#This Row],[SDate]],weather.tbl[Date],0))</f>
        <v>13.7</v>
      </c>
      <c r="R208" s="2">
        <f ca="1">INDEX(INDIRECT(_xlfn.CONCAT("weather.tbl[",R$1,"]")),MATCH(vp.data[[#This Row],[SDate]],weather.tbl[Date],0))</f>
        <v>14.3</v>
      </c>
      <c r="S208" s="2">
        <f ca="1">INDEX(INDIRECT(_xlfn.CONCAT("weather.tbl[",S$1,"]")),MATCH(vp.data[[#This Row],[SDate]],weather.tbl[Date],0))</f>
        <v>15.5</v>
      </c>
      <c r="T208" s="2">
        <f ca="1">INDEX(INDIRECT(_xlfn.CONCAT("weather.tbl[",T$1,"]")),MATCH(vp.data[[#This Row],[SDate]],weather.tbl[Date],0))</f>
        <v>14.9</v>
      </c>
      <c r="U208" s="2">
        <f ca="1">INDEX(INDIRECT(_xlfn.CONCAT("weather.tbl[",U$1,"]")),MATCH(vp.data[[#This Row],[SDate]],weather.tbl[Date],0))</f>
        <v>13.8</v>
      </c>
      <c r="V208" s="2">
        <f t="array" ref="V2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4896.7079999999996</v>
      </c>
      <c r="W208" t="s">
        <v>48</v>
      </c>
      <c r="X208">
        <f>IF(OR(vp.data[[#This Row],[Sulf]]="",vp.data[[#This Row],[Dens]]=""),1,0)</f>
        <v>0</v>
      </c>
      <c r="Y208">
        <f>IF(vp.data[[#This Row],[CrudeType]]="C5+",1,0)</f>
        <v>0</v>
      </c>
      <c r="Z208">
        <f>IF(AND(vp.data[[#This Row],[CrudeType]]="Crude",vp.data[[#This Row],[Dens]]&lt;=825,vp.data[[#This Row],[Sulf]]&gt;0.5,vp.data[[#This Row],[Unknown]]=0),1,0)</f>
        <v>0</v>
      </c>
      <c r="AA208">
        <f>IF(AND(vp.data[[#This Row],[CrudeType]]="Crude",vp.data[[#This Row],[Dens]]&lt;=825,vp.data[[#This Row],[Sulf]]&lt;=0.5,vp.data[[#This Row],[Unknown]]=0),1,0)</f>
        <v>0</v>
      </c>
      <c r="AB2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08">
        <f>IF(AND(vp.data[[#This Row],[CrudeType]]="Crude",vp.data[[#This Row],[Dens]]&gt;825,vp.data[[#This Row],[Dens]]&lt;=900,vp.data[[#This Row],[Sulf]]&lt;=0.5,vp.data[[#This Row],[Unknown]]=0),1,0)</f>
        <v>0</v>
      </c>
      <c r="AD208">
        <f>IF(AND(vp.data[[#This Row],[CrudeType]]="Crude",vp.data[[#This Row],[Dens]]&gt;865,vp.data[[#This Row],[Dens]]&lt;=900,vp.data[[#This Row],[Sulf]]&gt;2,vp.data[[#This Row],[Unknown]]=0),1,0)</f>
        <v>0</v>
      </c>
      <c r="AE208">
        <f>IF(AND(vp.data[[#This Row],[CrudeType]]="Crude",vp.data[[#This Row],[Dens]]&gt;900,vp.data[[#This Row],[Sulf]]&lt;=0.5,vp.data[[#This Row],[Unknown]]=0),1,0)</f>
        <v>0</v>
      </c>
      <c r="AF208">
        <f>IF(AND(vp.data[[#This Row],[CrudeType]]="Crude",vp.data[[#This Row],[Dens]]&gt;900,vp.data[[#This Row],[Sulf]]&lt;=0.5,vp.data[[#This Row],[Unknown]]=0),1,0)</f>
        <v>0</v>
      </c>
      <c r="AG208" t="str">
        <f>INDEX(vp.data[[#Headers],[Unknown]:[Heavy_SW]],MATCH(1,vp.data[[#This Row],[Unknown]:[Heavy_SW]],0))</f>
        <v>Medium_LSB</v>
      </c>
      <c r="AH208">
        <f>INDEX([3]!crudeBD.lkup[Number],MATCH(vp.data[[#This Row],[Crude_Breakdown]],crudeBD.lkup[Crude Breakdown],0))</f>
        <v>3</v>
      </c>
      <c r="AI208">
        <f>MONTH(vp.data[[#This Row],[SDate]])</f>
        <v>6</v>
      </c>
      <c r="AJ208" s="5">
        <f>(vp.data[[#This Row],[VP]]-INDEX(crudeBD.lkup[Mean_VP],MATCH(vp.data[[#This Row],[Crude_Breakdown]],crudeBD.lkup[Crude Breakdown],0)))^2</f>
        <v>68.232943500847682</v>
      </c>
      <c r="AK208" s="5">
        <f>(vp.data[[#This Row],[Dens]]-INDEX(crudeBD.lkup[Mean_Dens],MATCH(vp.data[[#This Row],[Crude_Breakdown]],crudeBD.lkup[Crude Breakdown],0)))^2</f>
        <v>174.76839999998569</v>
      </c>
      <c r="AL208" s="5">
        <f>(vp.data[[#This Row],[Sulf]]-INDEX(crudeBD.lkup[Mean_Sulf],MATCH(vp.data[[#This Row],[Crude_Breakdown]],crudeBD.lkup[Crude Breakdown],0)))^2</f>
        <v>1.5727198238550122E-2</v>
      </c>
      <c r="AM208" s="4">
        <f>IF(AND(vp.data[[#This Row],[SDate]]&gt;=DATE(YEAR(vp.data[[#This Row],[SDate]]),5,1),vp.data[[#This Row],[SDate]]&lt;=DATE(YEAR(vp.data[[#This Row],[SDate]]),9,15)),1,0)</f>
        <v>1</v>
      </c>
      <c r="AN208" s="4">
        <f>IF(vp.data[[#This Row],[SDate]]&lt;DATE(2016,12,1),0,1)</f>
        <v>0</v>
      </c>
      <c r="AO208" s="4">
        <f>IFERROR(vp.data[[#This Row],[Sulf]]*vp.data[[#This Row],[Net Dens]],"")</f>
        <v>5125296.1228559995</v>
      </c>
      <c r="AP208">
        <f>IFERROR(vp.data[[#This Row],[Dens]]*vp.data[[#This Row],[VolumeM3]],"")</f>
        <v>4067695.3355999999</v>
      </c>
      <c r="AQ208" s="15">
        <f>IFERROR(vp.data[[#This Row],[VP]]*vp.data[[#This Row],[VolumeM3]],"")</f>
        <v>435317.34119999997</v>
      </c>
    </row>
    <row r="209" spans="1:43" x14ac:dyDescent="0.25">
      <c r="A209">
        <v>208</v>
      </c>
      <c r="B209" t="s">
        <v>62</v>
      </c>
      <c r="C209" t="s">
        <v>62</v>
      </c>
      <c r="D209" t="s">
        <v>63</v>
      </c>
      <c r="F209" s="1">
        <v>42527</v>
      </c>
      <c r="G209" s="2">
        <v>94.2</v>
      </c>
      <c r="H209" s="2"/>
      <c r="I209" s="2">
        <f t="array" ref="I20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209" s="2"/>
      <c r="K209" s="2"/>
      <c r="L209" s="2">
        <v>830.7</v>
      </c>
      <c r="M209" s="2">
        <f t="array" ref="M209">_xlfn.IFNA(IF(vp.data[[#This Row],[Dens Input]]="",INDEX([1]DATA!$O$3:$O$9826,MATCH(1,(vp.data[[#This Row],[Battery]]=[1]DATA!$L$3:$L$9826)*(EOMONTH(vp.data[[#This Row],[SDate]],-1)+1=[1]DATA!$G$3:$G$9826),0)),vp.data[[#This Row],[Dens Input]]),"")</f>
        <v>830.7</v>
      </c>
      <c r="N209" s="2">
        <f ca="1">INDEX(INDIRECT(_xlfn.CONCAT("weather.tbl[",N$1,"]")),MATCH(vp.data[[#This Row],[SDate]],weather.tbl[Date],0))</f>
        <v>14.283333333333333</v>
      </c>
      <c r="O209" s="2">
        <f ca="1">INDEX(INDIRECT(_xlfn.CONCAT("weather.tbl[",O$1,"]")),MATCH(vp.data[[#This Row],[SDate]],weather.tbl[Date],0))</f>
        <v>15.114285714285716</v>
      </c>
      <c r="P209" s="2">
        <f ca="1">INDEX(INDIRECT(_xlfn.CONCAT("weather.tbl[",P$1,"]")),MATCH(vp.data[[#This Row],[SDate]],weather.tbl[Date],0))</f>
        <v>13.5</v>
      </c>
      <c r="Q209" s="2">
        <f ca="1">INDEX(INDIRECT(_xlfn.CONCAT("weather.tbl[",Q$1,"]")),MATCH(vp.data[[#This Row],[SDate]],weather.tbl[Date],0))</f>
        <v>13.7</v>
      </c>
      <c r="R209" s="2">
        <f ca="1">INDEX(INDIRECT(_xlfn.CONCAT("weather.tbl[",R$1,"]")),MATCH(vp.data[[#This Row],[SDate]],weather.tbl[Date],0))</f>
        <v>14.3</v>
      </c>
      <c r="S209" s="2">
        <f ca="1">INDEX(INDIRECT(_xlfn.CONCAT("weather.tbl[",S$1,"]")),MATCH(vp.data[[#This Row],[SDate]],weather.tbl[Date],0))</f>
        <v>15.5</v>
      </c>
      <c r="T209" s="2">
        <f ca="1">INDEX(INDIRECT(_xlfn.CONCAT("weather.tbl[",T$1,"]")),MATCH(vp.data[[#This Row],[SDate]],weather.tbl[Date],0))</f>
        <v>14.9</v>
      </c>
      <c r="U209" s="2">
        <f ca="1">INDEX(INDIRECT(_xlfn.CONCAT("weather.tbl[",U$1,"]")),MATCH(vp.data[[#This Row],[SDate]],weather.tbl[Date],0))</f>
        <v>13.8</v>
      </c>
      <c r="V209" s="2">
        <f t="array" ref="V2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4896.7079999999996</v>
      </c>
      <c r="W209" t="s">
        <v>48</v>
      </c>
      <c r="X209">
        <f>IF(OR(vp.data[[#This Row],[Sulf]]="",vp.data[[#This Row],[Dens]]=""),1,0)</f>
        <v>0</v>
      </c>
      <c r="Y209">
        <f>IF(vp.data[[#This Row],[CrudeType]]="C5+",1,0)</f>
        <v>0</v>
      </c>
      <c r="Z209">
        <f>IF(AND(vp.data[[#This Row],[CrudeType]]="Crude",vp.data[[#This Row],[Dens]]&lt;=825,vp.data[[#This Row],[Sulf]]&gt;0.5,vp.data[[#This Row],[Unknown]]=0),1,0)</f>
        <v>0</v>
      </c>
      <c r="AA209">
        <f>IF(AND(vp.data[[#This Row],[CrudeType]]="Crude",vp.data[[#This Row],[Dens]]&lt;=825,vp.data[[#This Row],[Sulf]]&lt;=0.5,vp.data[[#This Row],[Unknown]]=0),1,0)</f>
        <v>0</v>
      </c>
      <c r="AB2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09">
        <f>IF(AND(vp.data[[#This Row],[CrudeType]]="Crude",vp.data[[#This Row],[Dens]]&gt;825,vp.data[[#This Row],[Dens]]&lt;=900,vp.data[[#This Row],[Sulf]]&lt;=0.5,vp.data[[#This Row],[Unknown]]=0),1,0)</f>
        <v>0</v>
      </c>
      <c r="AD209">
        <f>IF(AND(vp.data[[#This Row],[CrudeType]]="Crude",vp.data[[#This Row],[Dens]]&gt;865,vp.data[[#This Row],[Dens]]&lt;=900,vp.data[[#This Row],[Sulf]]&gt;2,vp.data[[#This Row],[Unknown]]=0),1,0)</f>
        <v>0</v>
      </c>
      <c r="AE209">
        <f>IF(AND(vp.data[[#This Row],[CrudeType]]="Crude",vp.data[[#This Row],[Dens]]&gt;900,vp.data[[#This Row],[Sulf]]&lt;=0.5,vp.data[[#This Row],[Unknown]]=0),1,0)</f>
        <v>0</v>
      </c>
      <c r="AF209">
        <f>IF(AND(vp.data[[#This Row],[CrudeType]]="Crude",vp.data[[#This Row],[Dens]]&gt;900,vp.data[[#This Row],[Sulf]]&lt;=0.5,vp.data[[#This Row],[Unknown]]=0),1,0)</f>
        <v>0</v>
      </c>
      <c r="AG209" t="str">
        <f>INDEX(vp.data[[#Headers],[Unknown]:[Heavy_SW]],MATCH(1,vp.data[[#This Row],[Unknown]:[Heavy_SW]],0))</f>
        <v>Medium_LSB</v>
      </c>
      <c r="AH209">
        <f>INDEX([3]!crudeBD.lkup[Number],MATCH(vp.data[[#This Row],[Crude_Breakdown]],crudeBD.lkup[Crude Breakdown],0))</f>
        <v>3</v>
      </c>
      <c r="AI209">
        <f>MONTH(vp.data[[#This Row],[SDate]])</f>
        <v>6</v>
      </c>
      <c r="AJ209" s="5">
        <f>(vp.data[[#This Row],[VP]]-INDEX(crudeBD.lkup[Mean_VP],MATCH(vp.data[[#This Row],[Crude_Breakdown]],crudeBD.lkup[Crude Breakdown],0)))^2</f>
        <v>183.88237207227701</v>
      </c>
      <c r="AK209" s="5">
        <f>(vp.data[[#This Row],[Dens]]-INDEX(crudeBD.lkup[Mean_Dens],MATCH(vp.data[[#This Row],[Crude_Breakdown]],crudeBD.lkup[Crude Breakdown],0)))^2</f>
        <v>174.76839999998569</v>
      </c>
      <c r="AL209" s="5">
        <f>(vp.data[[#This Row],[Sulf]]-INDEX(crudeBD.lkup[Mean_Sulf],MATCH(vp.data[[#This Row],[Crude_Breakdown]],crudeBD.lkup[Crude Breakdown],0)))^2</f>
        <v>1.5727198238550122E-2</v>
      </c>
      <c r="AM209" s="4">
        <f>IF(AND(vp.data[[#This Row],[SDate]]&gt;=DATE(YEAR(vp.data[[#This Row],[SDate]]),5,1),vp.data[[#This Row],[SDate]]&lt;=DATE(YEAR(vp.data[[#This Row],[SDate]]),9,15)),1,0)</f>
        <v>1</v>
      </c>
      <c r="AN209" s="4">
        <f>IF(vp.data[[#This Row],[SDate]]&lt;DATE(2016,12,1),0,1)</f>
        <v>0</v>
      </c>
      <c r="AO209" s="4">
        <f>IFERROR(vp.data[[#This Row],[Sulf]]*vp.data[[#This Row],[Net Dens]],"")</f>
        <v>5125296.1228559995</v>
      </c>
      <c r="AP209">
        <f>IFERROR(vp.data[[#This Row],[Dens]]*vp.data[[#This Row],[VolumeM3]],"")</f>
        <v>4067695.3355999999</v>
      </c>
      <c r="AQ209" s="15">
        <f>IFERROR(vp.data[[#This Row],[VP]]*vp.data[[#This Row],[VolumeM3]],"")</f>
        <v>461269.89359999995</v>
      </c>
    </row>
    <row r="210" spans="1:43" x14ac:dyDescent="0.25">
      <c r="A210">
        <v>209</v>
      </c>
      <c r="B210" t="s">
        <v>62</v>
      </c>
      <c r="C210" t="s">
        <v>62</v>
      </c>
      <c r="D210" t="s">
        <v>63</v>
      </c>
      <c r="F210" s="1">
        <v>42527</v>
      </c>
      <c r="G210" s="2">
        <v>94.7</v>
      </c>
      <c r="H210" s="2"/>
      <c r="I210" s="2">
        <f t="array" ref="I210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210" s="2"/>
      <c r="K210" s="2"/>
      <c r="L210" s="2">
        <v>830.7</v>
      </c>
      <c r="M210" s="2">
        <f t="array" ref="M210">_xlfn.IFNA(IF(vp.data[[#This Row],[Dens Input]]="",INDEX([1]DATA!$O$3:$O$9826,MATCH(1,(vp.data[[#This Row],[Battery]]=[1]DATA!$L$3:$L$9826)*(EOMONTH(vp.data[[#This Row],[SDate]],-1)+1=[1]DATA!$G$3:$G$9826),0)),vp.data[[#This Row],[Dens Input]]),"")</f>
        <v>830.7</v>
      </c>
      <c r="N210" s="2">
        <f ca="1">INDEX(INDIRECT(_xlfn.CONCAT("weather.tbl[",N$1,"]")),MATCH(vp.data[[#This Row],[SDate]],weather.tbl[Date],0))</f>
        <v>14.283333333333333</v>
      </c>
      <c r="O210" s="2">
        <f ca="1">INDEX(INDIRECT(_xlfn.CONCAT("weather.tbl[",O$1,"]")),MATCH(vp.data[[#This Row],[SDate]],weather.tbl[Date],0))</f>
        <v>15.114285714285716</v>
      </c>
      <c r="P210" s="2">
        <f ca="1">INDEX(INDIRECT(_xlfn.CONCAT("weather.tbl[",P$1,"]")),MATCH(vp.data[[#This Row],[SDate]],weather.tbl[Date],0))</f>
        <v>13.5</v>
      </c>
      <c r="Q210" s="2">
        <f ca="1">INDEX(INDIRECT(_xlfn.CONCAT("weather.tbl[",Q$1,"]")),MATCH(vp.data[[#This Row],[SDate]],weather.tbl[Date],0))</f>
        <v>13.7</v>
      </c>
      <c r="R210" s="2">
        <f ca="1">INDEX(INDIRECT(_xlfn.CONCAT("weather.tbl[",R$1,"]")),MATCH(vp.data[[#This Row],[SDate]],weather.tbl[Date],0))</f>
        <v>14.3</v>
      </c>
      <c r="S210" s="2">
        <f ca="1">INDEX(INDIRECT(_xlfn.CONCAT("weather.tbl[",S$1,"]")),MATCH(vp.data[[#This Row],[SDate]],weather.tbl[Date],0))</f>
        <v>15.5</v>
      </c>
      <c r="T210" s="2">
        <f ca="1">INDEX(INDIRECT(_xlfn.CONCAT("weather.tbl[",T$1,"]")),MATCH(vp.data[[#This Row],[SDate]],weather.tbl[Date],0))</f>
        <v>14.9</v>
      </c>
      <c r="U210" s="2">
        <f ca="1">INDEX(INDIRECT(_xlfn.CONCAT("weather.tbl[",U$1,"]")),MATCH(vp.data[[#This Row],[SDate]],weather.tbl[Date],0))</f>
        <v>13.8</v>
      </c>
      <c r="V210" s="2">
        <f t="array" ref="V2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4896.7079999999996</v>
      </c>
      <c r="W210" t="s">
        <v>48</v>
      </c>
      <c r="X210">
        <f>IF(OR(vp.data[[#This Row],[Sulf]]="",vp.data[[#This Row],[Dens]]=""),1,0)</f>
        <v>0</v>
      </c>
      <c r="Y210">
        <f>IF(vp.data[[#This Row],[CrudeType]]="C5+",1,0)</f>
        <v>0</v>
      </c>
      <c r="Z210">
        <f>IF(AND(vp.data[[#This Row],[CrudeType]]="Crude",vp.data[[#This Row],[Dens]]&lt;=825,vp.data[[#This Row],[Sulf]]&gt;0.5,vp.data[[#This Row],[Unknown]]=0),1,0)</f>
        <v>0</v>
      </c>
      <c r="AA210">
        <f>IF(AND(vp.data[[#This Row],[CrudeType]]="Crude",vp.data[[#This Row],[Dens]]&lt;=825,vp.data[[#This Row],[Sulf]]&lt;=0.5,vp.data[[#This Row],[Unknown]]=0),1,0)</f>
        <v>0</v>
      </c>
      <c r="AB2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0">
        <f>IF(AND(vp.data[[#This Row],[CrudeType]]="Crude",vp.data[[#This Row],[Dens]]&gt;825,vp.data[[#This Row],[Dens]]&lt;=900,vp.data[[#This Row],[Sulf]]&lt;=0.5,vp.data[[#This Row],[Unknown]]=0),1,0)</f>
        <v>0</v>
      </c>
      <c r="AD210">
        <f>IF(AND(vp.data[[#This Row],[CrudeType]]="Crude",vp.data[[#This Row],[Dens]]&gt;865,vp.data[[#This Row],[Dens]]&lt;=900,vp.data[[#This Row],[Sulf]]&gt;2,vp.data[[#This Row],[Unknown]]=0),1,0)</f>
        <v>0</v>
      </c>
      <c r="AE210">
        <f>IF(AND(vp.data[[#This Row],[CrudeType]]="Crude",vp.data[[#This Row],[Dens]]&gt;900,vp.data[[#This Row],[Sulf]]&lt;=0.5,vp.data[[#This Row],[Unknown]]=0),1,0)</f>
        <v>0</v>
      </c>
      <c r="AF210">
        <f>IF(AND(vp.data[[#This Row],[CrudeType]]="Crude",vp.data[[#This Row],[Dens]]&gt;900,vp.data[[#This Row],[Sulf]]&lt;=0.5,vp.data[[#This Row],[Unknown]]=0),1,0)</f>
        <v>0</v>
      </c>
      <c r="AG210" t="str">
        <f>INDEX(vp.data[[#Headers],[Unknown]:[Heavy_SW]],MATCH(1,vp.data[[#This Row],[Unknown]:[Heavy_SW]],0))</f>
        <v>Medium_LSB</v>
      </c>
      <c r="AH210">
        <f>INDEX([3]!crudeBD.lkup[Number],MATCH(vp.data[[#This Row],[Crude_Breakdown]],crudeBD.lkup[Crude Breakdown],0))</f>
        <v>3</v>
      </c>
      <c r="AI210">
        <f>MONTH(vp.data[[#This Row],[SDate]])</f>
        <v>6</v>
      </c>
      <c r="AJ210" s="5">
        <f>(vp.data[[#This Row],[VP]]-INDEX(crudeBD.lkup[Mean_VP],MATCH(vp.data[[#This Row],[Crude_Breakdown]],crudeBD.lkup[Crude Breakdown],0)))^2</f>
        <v>197.69269552241184</v>
      </c>
      <c r="AK210" s="5">
        <f>(vp.data[[#This Row],[Dens]]-INDEX(crudeBD.lkup[Mean_Dens],MATCH(vp.data[[#This Row],[Crude_Breakdown]],crudeBD.lkup[Crude Breakdown],0)))^2</f>
        <v>174.76839999998569</v>
      </c>
      <c r="AL210" s="5">
        <f>(vp.data[[#This Row],[Sulf]]-INDEX(crudeBD.lkup[Mean_Sulf],MATCH(vp.data[[#This Row],[Crude_Breakdown]],crudeBD.lkup[Crude Breakdown],0)))^2</f>
        <v>1.5727198238550122E-2</v>
      </c>
      <c r="AM210" s="4">
        <f>IF(AND(vp.data[[#This Row],[SDate]]&gt;=DATE(YEAR(vp.data[[#This Row],[SDate]]),5,1),vp.data[[#This Row],[SDate]]&lt;=DATE(YEAR(vp.data[[#This Row],[SDate]]),9,15)),1,0)</f>
        <v>1</v>
      </c>
      <c r="AN210" s="4">
        <f>IF(vp.data[[#This Row],[SDate]]&lt;DATE(2016,12,1),0,1)</f>
        <v>0</v>
      </c>
      <c r="AO210" s="4">
        <f>IFERROR(vp.data[[#This Row],[Sulf]]*vp.data[[#This Row],[Net Dens]],"")</f>
        <v>5125296.1228559995</v>
      </c>
      <c r="AP210">
        <f>IFERROR(vp.data[[#This Row],[Dens]]*vp.data[[#This Row],[VolumeM3]],"")</f>
        <v>4067695.3355999999</v>
      </c>
      <c r="AQ210" s="15">
        <f>IFERROR(vp.data[[#This Row],[VP]]*vp.data[[#This Row],[VolumeM3]],"")</f>
        <v>463718.2476</v>
      </c>
    </row>
    <row r="211" spans="1:43" x14ac:dyDescent="0.25">
      <c r="A211">
        <v>210</v>
      </c>
      <c r="B211" t="s">
        <v>51</v>
      </c>
      <c r="C211" t="s">
        <v>51</v>
      </c>
      <c r="D211" t="s">
        <v>72</v>
      </c>
      <c r="F211" s="1">
        <v>42527</v>
      </c>
      <c r="G211" s="2">
        <v>91.7</v>
      </c>
      <c r="H211" s="2"/>
      <c r="I211" s="2">
        <f t="array" ref="I211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211" s="2"/>
      <c r="K211" s="2"/>
      <c r="L211" s="2">
        <v>842.1</v>
      </c>
      <c r="M211" s="2">
        <f t="array" ref="M211">_xlfn.IFNA(IF(vp.data[[#This Row],[Dens Input]]="",INDEX([1]DATA!$O$3:$O$9826,MATCH(1,(vp.data[[#This Row],[Battery]]=[1]DATA!$L$3:$L$9826)*(EOMONTH(vp.data[[#This Row],[SDate]],-1)+1=[1]DATA!$G$3:$G$9826),0)),vp.data[[#This Row],[Dens Input]]),"")</f>
        <v>842.1</v>
      </c>
      <c r="N211" s="2">
        <f ca="1">INDEX(INDIRECT(_xlfn.CONCAT("weather.tbl[",N$1,"]")),MATCH(vp.data[[#This Row],[SDate]],weather.tbl[Date],0))</f>
        <v>14.283333333333333</v>
      </c>
      <c r="O211" s="2">
        <f ca="1">INDEX(INDIRECT(_xlfn.CONCAT("weather.tbl[",O$1,"]")),MATCH(vp.data[[#This Row],[SDate]],weather.tbl[Date],0))</f>
        <v>15.114285714285716</v>
      </c>
      <c r="P211" s="2">
        <f ca="1">INDEX(INDIRECT(_xlfn.CONCAT("weather.tbl[",P$1,"]")),MATCH(vp.data[[#This Row],[SDate]],weather.tbl[Date],0))</f>
        <v>13.5</v>
      </c>
      <c r="Q211" s="2">
        <f ca="1">INDEX(INDIRECT(_xlfn.CONCAT("weather.tbl[",Q$1,"]")),MATCH(vp.data[[#This Row],[SDate]],weather.tbl[Date],0))</f>
        <v>13.7</v>
      </c>
      <c r="R211" s="2">
        <f ca="1">INDEX(INDIRECT(_xlfn.CONCAT("weather.tbl[",R$1,"]")),MATCH(vp.data[[#This Row],[SDate]],weather.tbl[Date],0))</f>
        <v>14.3</v>
      </c>
      <c r="S211" s="2">
        <f ca="1">INDEX(INDIRECT(_xlfn.CONCAT("weather.tbl[",S$1,"]")),MATCH(vp.data[[#This Row],[SDate]],weather.tbl[Date],0))</f>
        <v>15.5</v>
      </c>
      <c r="T211" s="2">
        <f ca="1">INDEX(INDIRECT(_xlfn.CONCAT("weather.tbl[",T$1,"]")),MATCH(vp.data[[#This Row],[SDate]],weather.tbl[Date],0))</f>
        <v>14.9</v>
      </c>
      <c r="U211" s="2">
        <f ca="1">INDEX(INDIRECT(_xlfn.CONCAT("weather.tbl[",U$1,"]")),MATCH(vp.data[[#This Row],[SDate]],weather.tbl[Date],0))</f>
        <v>13.8</v>
      </c>
      <c r="V211" s="2">
        <f t="array" ref="V2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3519.404</v>
      </c>
      <c r="W211" t="s">
        <v>48</v>
      </c>
      <c r="X211">
        <f>IF(OR(vp.data[[#This Row],[Sulf]]="",vp.data[[#This Row],[Dens]]=""),1,0)</f>
        <v>0</v>
      </c>
      <c r="Y211">
        <f>IF(vp.data[[#This Row],[CrudeType]]="C5+",1,0)</f>
        <v>0</v>
      </c>
      <c r="Z211">
        <f>IF(AND(vp.data[[#This Row],[CrudeType]]="Crude",vp.data[[#This Row],[Dens]]&lt;=825,vp.data[[#This Row],[Sulf]]&gt;0.5,vp.data[[#This Row],[Unknown]]=0),1,0)</f>
        <v>0</v>
      </c>
      <c r="AA211">
        <f>IF(AND(vp.data[[#This Row],[CrudeType]]="Crude",vp.data[[#This Row],[Dens]]&lt;=825,vp.data[[#This Row],[Sulf]]&lt;=0.5,vp.data[[#This Row],[Unknown]]=0),1,0)</f>
        <v>0</v>
      </c>
      <c r="AB2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1">
        <f>IF(AND(vp.data[[#This Row],[CrudeType]]="Crude",vp.data[[#This Row],[Dens]]&gt;825,vp.data[[#This Row],[Dens]]&lt;=900,vp.data[[#This Row],[Sulf]]&lt;=0.5,vp.data[[#This Row],[Unknown]]=0),1,0)</f>
        <v>0</v>
      </c>
      <c r="AD211">
        <f>IF(AND(vp.data[[#This Row],[CrudeType]]="Crude",vp.data[[#This Row],[Dens]]&gt;865,vp.data[[#This Row],[Dens]]&lt;=900,vp.data[[#This Row],[Sulf]]&gt;2,vp.data[[#This Row],[Unknown]]=0),1,0)</f>
        <v>0</v>
      </c>
      <c r="AE211">
        <f>IF(AND(vp.data[[#This Row],[CrudeType]]="Crude",vp.data[[#This Row],[Dens]]&gt;900,vp.data[[#This Row],[Sulf]]&lt;=0.5,vp.data[[#This Row],[Unknown]]=0),1,0)</f>
        <v>0</v>
      </c>
      <c r="AF211">
        <f>IF(AND(vp.data[[#This Row],[CrudeType]]="Crude",vp.data[[#This Row],[Dens]]&gt;900,vp.data[[#This Row],[Sulf]]&lt;=0.5,vp.data[[#This Row],[Unknown]]=0),1,0)</f>
        <v>0</v>
      </c>
      <c r="AG211" t="str">
        <f>INDEX(vp.data[[#Headers],[Unknown]:[Heavy_SW]],MATCH(1,vp.data[[#This Row],[Unknown]:[Heavy_SW]],0))</f>
        <v>Medium_LSB</v>
      </c>
      <c r="AH211">
        <f>INDEX([3]!crudeBD.lkup[Number],MATCH(vp.data[[#This Row],[Crude_Breakdown]],crudeBD.lkup[Crude Breakdown],0))</f>
        <v>3</v>
      </c>
      <c r="AI211">
        <f>MONTH(vp.data[[#This Row],[SDate]])</f>
        <v>6</v>
      </c>
      <c r="AJ211" s="5">
        <f>(vp.data[[#This Row],[VP]]-INDEX(crudeBD.lkup[Mean_VP],MATCH(vp.data[[#This Row],[Crude_Breakdown]],crudeBD.lkup[Crude Breakdown],0)))^2</f>
        <v>122.33075482160277</v>
      </c>
      <c r="AK211" s="5">
        <f>(vp.data[[#This Row],[Dens]]-INDEX(crudeBD.lkup[Mean_Dens],MATCH(vp.data[[#This Row],[Crude_Breakdown]],crudeBD.lkup[Crude Breakdown],0)))^2</f>
        <v>3.3123999999981129</v>
      </c>
      <c r="AL211" s="5">
        <f>(vp.data[[#This Row],[Sulf]]-INDEX(crudeBD.lkup[Mean_Sulf],MATCH(vp.data[[#This Row],[Crude_Breakdown]],crudeBD.lkup[Crude Breakdown],0)))^2</f>
        <v>9.3274123845019638E-2</v>
      </c>
      <c r="AM211" s="4">
        <f>IF(AND(vp.data[[#This Row],[SDate]]&gt;=DATE(YEAR(vp.data[[#This Row],[SDate]]),5,1),vp.data[[#This Row],[SDate]]&lt;=DATE(YEAR(vp.data[[#This Row],[SDate]]),9,15)),1,0)</f>
        <v>1</v>
      </c>
      <c r="AN211" s="4">
        <f>IF(vp.data[[#This Row],[SDate]]&lt;DATE(2016,12,1),0,1)</f>
        <v>0</v>
      </c>
      <c r="AO211" s="4">
        <f>IFERROR(vp.data[[#This Row],[Sulf]]*vp.data[[#This Row],[Net Dens]],"")</f>
        <v>3200785.3170720004</v>
      </c>
      <c r="AP211">
        <f>IFERROR(vp.data[[#This Row],[Dens]]*vp.data[[#This Row],[VolumeM3]],"")</f>
        <v>2963690.1084000003</v>
      </c>
      <c r="AQ211" s="15">
        <f>IFERROR(vp.data[[#This Row],[VP]]*vp.data[[#This Row],[VolumeM3]],"")</f>
        <v>322729.3468</v>
      </c>
    </row>
    <row r="212" spans="1:43" x14ac:dyDescent="0.25">
      <c r="A212">
        <v>211</v>
      </c>
      <c r="B212" t="s">
        <v>46</v>
      </c>
      <c r="C212" t="s">
        <v>46</v>
      </c>
      <c r="D212" t="s">
        <v>47</v>
      </c>
      <c r="F212" s="1">
        <v>42527</v>
      </c>
      <c r="G212" s="2">
        <v>46.5</v>
      </c>
      <c r="H212" s="2"/>
      <c r="I212" s="2">
        <f t="array" ref="I212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12" s="2"/>
      <c r="K212" s="2"/>
      <c r="L212" s="2">
        <v>873.3</v>
      </c>
      <c r="M212" s="2">
        <f t="array" ref="M212">_xlfn.IFNA(IF(vp.data[[#This Row],[Dens Input]]="",INDEX([1]DATA!$O$3:$O$9826,MATCH(1,(vp.data[[#This Row],[Battery]]=[1]DATA!$L$3:$L$9826)*(EOMONTH(vp.data[[#This Row],[SDate]],-1)+1=[1]DATA!$G$3:$G$9826),0)),vp.data[[#This Row],[Dens Input]]),"")</f>
        <v>873.3</v>
      </c>
      <c r="N212" s="2">
        <f ca="1">INDEX(INDIRECT(_xlfn.CONCAT("weather.tbl[",N$1,"]")),MATCH(vp.data[[#This Row],[SDate]],weather.tbl[Date],0))</f>
        <v>14.283333333333333</v>
      </c>
      <c r="O212" s="2">
        <f ca="1">INDEX(INDIRECT(_xlfn.CONCAT("weather.tbl[",O$1,"]")),MATCH(vp.data[[#This Row],[SDate]],weather.tbl[Date],0))</f>
        <v>15.114285714285716</v>
      </c>
      <c r="P212" s="2">
        <f ca="1">INDEX(INDIRECT(_xlfn.CONCAT("weather.tbl[",P$1,"]")),MATCH(vp.data[[#This Row],[SDate]],weather.tbl[Date],0))</f>
        <v>13.5</v>
      </c>
      <c r="Q212" s="2">
        <f ca="1">INDEX(INDIRECT(_xlfn.CONCAT("weather.tbl[",Q$1,"]")),MATCH(vp.data[[#This Row],[SDate]],weather.tbl[Date],0))</f>
        <v>13.7</v>
      </c>
      <c r="R212" s="2">
        <f ca="1">INDEX(INDIRECT(_xlfn.CONCAT("weather.tbl[",R$1,"]")),MATCH(vp.data[[#This Row],[SDate]],weather.tbl[Date],0))</f>
        <v>14.3</v>
      </c>
      <c r="S212" s="2">
        <f ca="1">INDEX(INDIRECT(_xlfn.CONCAT("weather.tbl[",S$1,"]")),MATCH(vp.data[[#This Row],[SDate]],weather.tbl[Date],0))</f>
        <v>15.5</v>
      </c>
      <c r="T212" s="2">
        <f ca="1">INDEX(INDIRECT(_xlfn.CONCAT("weather.tbl[",T$1,"]")),MATCH(vp.data[[#This Row],[SDate]],weather.tbl[Date],0))</f>
        <v>14.9</v>
      </c>
      <c r="U212" s="2">
        <f ca="1">INDEX(INDIRECT(_xlfn.CONCAT("weather.tbl[",U$1,"]")),MATCH(vp.data[[#This Row],[SDate]],weather.tbl[Date],0))</f>
        <v>13.8</v>
      </c>
      <c r="V212" s="2">
        <f t="array" ref="V2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109776.467</v>
      </c>
      <c r="W212" t="s">
        <v>48</v>
      </c>
      <c r="X212">
        <f>IF(OR(vp.data[[#This Row],[Sulf]]="",vp.data[[#This Row],[Dens]]=""),1,0)</f>
        <v>0</v>
      </c>
      <c r="Y212">
        <f>IF(vp.data[[#This Row],[CrudeType]]="C5+",1,0)</f>
        <v>0</v>
      </c>
      <c r="Z212">
        <f>IF(AND(vp.data[[#This Row],[CrudeType]]="Crude",vp.data[[#This Row],[Dens]]&lt;=825,vp.data[[#This Row],[Sulf]]&gt;0.5,vp.data[[#This Row],[Unknown]]=0),1,0)</f>
        <v>0</v>
      </c>
      <c r="AA212">
        <f>IF(AND(vp.data[[#This Row],[CrudeType]]="Crude",vp.data[[#This Row],[Dens]]&lt;=825,vp.data[[#This Row],[Sulf]]&lt;=0.5,vp.data[[#This Row],[Unknown]]=0),1,0)</f>
        <v>0</v>
      </c>
      <c r="AB2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12">
        <f>IF(AND(vp.data[[#This Row],[CrudeType]]="Crude",vp.data[[#This Row],[Dens]]&gt;825,vp.data[[#This Row],[Dens]]&lt;=900,vp.data[[#This Row],[Sulf]]&lt;=0.5,vp.data[[#This Row],[Unknown]]=0),1,0)</f>
        <v>0</v>
      </c>
      <c r="AD212">
        <f>IF(AND(vp.data[[#This Row],[CrudeType]]="Crude",vp.data[[#This Row],[Dens]]&gt;865,vp.data[[#This Row],[Dens]]&lt;=900,vp.data[[#This Row],[Sulf]]&gt;2,vp.data[[#This Row],[Unknown]]=0),1,0)</f>
        <v>1</v>
      </c>
      <c r="AE212">
        <f>IF(AND(vp.data[[#This Row],[CrudeType]]="Crude",vp.data[[#This Row],[Dens]]&gt;900,vp.data[[#This Row],[Sulf]]&lt;=0.5,vp.data[[#This Row],[Unknown]]=0),1,0)</f>
        <v>0</v>
      </c>
      <c r="AF212">
        <f>IF(AND(vp.data[[#This Row],[CrudeType]]="Crude",vp.data[[#This Row],[Dens]]&gt;900,vp.data[[#This Row],[Sulf]]&lt;=0.5,vp.data[[#This Row],[Unknown]]=0),1,0)</f>
        <v>0</v>
      </c>
      <c r="AG212" t="str">
        <f>INDEX(vp.data[[#Headers],[Unknown]:[Heavy_SW]],MATCH(1,vp.data[[#This Row],[Unknown]:[Heavy_SW]],0))</f>
        <v>Midale</v>
      </c>
      <c r="AH212">
        <f>INDEX([3]!crudeBD.lkup[Number],MATCH(vp.data[[#This Row],[Crude_Breakdown]],crudeBD.lkup[Crude Breakdown],0))</f>
        <v>5</v>
      </c>
      <c r="AI212">
        <f>MONTH(vp.data[[#This Row],[SDate]])</f>
        <v>6</v>
      </c>
      <c r="AJ212" s="5">
        <f>(vp.data[[#This Row],[VP]]-INDEX(crudeBD.lkup[Mean_VP],MATCH(vp.data[[#This Row],[Crude_Breakdown]],crudeBD.lkup[Crude Breakdown],0)))^2</f>
        <v>524.81141699436853</v>
      </c>
      <c r="AK212" s="5">
        <f>(vp.data[[#This Row],[Dens]]-INDEX(crudeBD.lkup[Mean_Dens],MATCH(vp.data[[#This Row],[Crude_Breakdown]],crudeBD.lkup[Crude Breakdown],0)))^2</f>
        <v>2.3013202784578661</v>
      </c>
      <c r="AL212" s="5">
        <f>(vp.data[[#This Row],[Sulf]]-INDEX(crudeBD.lkup[Mean_Sulf],MATCH(vp.data[[#This Row],[Crude_Breakdown]],crudeBD.lkup[Crude Breakdown],0)))^2</f>
        <v>1.130006345424492E-3</v>
      </c>
      <c r="AM212" s="4">
        <f>IF(AND(vp.data[[#This Row],[SDate]]&gt;=DATE(YEAR(vp.data[[#This Row],[SDate]]),5,1),vp.data[[#This Row],[SDate]]&lt;=DATE(YEAR(vp.data[[#This Row],[SDate]]),9,15)),1,0)</f>
        <v>1</v>
      </c>
      <c r="AN212" s="4">
        <f>IF(vp.data[[#This Row],[SDate]]&lt;DATE(2016,12,1),0,1)</f>
        <v>0</v>
      </c>
      <c r="AO212" s="4">
        <f>IFERROR(vp.data[[#This Row],[Sulf]]*vp.data[[#This Row],[Net Dens]],"")</f>
        <v>231041370.60095102</v>
      </c>
      <c r="AP212">
        <f>IFERROR(vp.data[[#This Row],[Dens]]*vp.data[[#This Row],[VolumeM3]],"")</f>
        <v>95867788.631099999</v>
      </c>
      <c r="AQ212" s="15">
        <f>IFERROR(vp.data[[#This Row],[VP]]*vp.data[[#This Row],[VolumeM3]],"")</f>
        <v>5104605.7154999999</v>
      </c>
    </row>
    <row r="213" spans="1:43" x14ac:dyDescent="0.25">
      <c r="A213">
        <v>212</v>
      </c>
      <c r="B213" t="s">
        <v>46</v>
      </c>
      <c r="C213" t="s">
        <v>46</v>
      </c>
      <c r="D213" t="s">
        <v>47</v>
      </c>
      <c r="F213" s="1">
        <v>42527</v>
      </c>
      <c r="G213" s="2">
        <v>45.2</v>
      </c>
      <c r="H213" s="2"/>
      <c r="I213" s="2">
        <f t="array" ref="I213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13" s="2"/>
      <c r="K213" s="2"/>
      <c r="L213" s="2">
        <v>873.3</v>
      </c>
      <c r="M213" s="2">
        <f t="array" ref="M213">_xlfn.IFNA(IF(vp.data[[#This Row],[Dens Input]]="",INDEX([1]DATA!$O$3:$O$9826,MATCH(1,(vp.data[[#This Row],[Battery]]=[1]DATA!$L$3:$L$9826)*(EOMONTH(vp.data[[#This Row],[SDate]],-1)+1=[1]DATA!$G$3:$G$9826),0)),vp.data[[#This Row],[Dens Input]]),"")</f>
        <v>873.3</v>
      </c>
      <c r="N213" s="2">
        <f ca="1">INDEX(INDIRECT(_xlfn.CONCAT("weather.tbl[",N$1,"]")),MATCH(vp.data[[#This Row],[SDate]],weather.tbl[Date],0))</f>
        <v>14.283333333333333</v>
      </c>
      <c r="O213" s="2">
        <f ca="1">INDEX(INDIRECT(_xlfn.CONCAT("weather.tbl[",O$1,"]")),MATCH(vp.data[[#This Row],[SDate]],weather.tbl[Date],0))</f>
        <v>15.114285714285716</v>
      </c>
      <c r="P213" s="2">
        <f ca="1">INDEX(INDIRECT(_xlfn.CONCAT("weather.tbl[",P$1,"]")),MATCH(vp.data[[#This Row],[SDate]],weather.tbl[Date],0))</f>
        <v>13.5</v>
      </c>
      <c r="Q213" s="2">
        <f ca="1">INDEX(INDIRECT(_xlfn.CONCAT("weather.tbl[",Q$1,"]")),MATCH(vp.data[[#This Row],[SDate]],weather.tbl[Date],0))</f>
        <v>13.7</v>
      </c>
      <c r="R213" s="2">
        <f ca="1">INDEX(INDIRECT(_xlfn.CONCAT("weather.tbl[",R$1,"]")),MATCH(vp.data[[#This Row],[SDate]],weather.tbl[Date],0))</f>
        <v>14.3</v>
      </c>
      <c r="S213" s="2">
        <f ca="1">INDEX(INDIRECT(_xlfn.CONCAT("weather.tbl[",S$1,"]")),MATCH(vp.data[[#This Row],[SDate]],weather.tbl[Date],0))</f>
        <v>15.5</v>
      </c>
      <c r="T213" s="2">
        <f ca="1">INDEX(INDIRECT(_xlfn.CONCAT("weather.tbl[",T$1,"]")),MATCH(vp.data[[#This Row],[SDate]],weather.tbl[Date],0))</f>
        <v>14.9</v>
      </c>
      <c r="U213" s="2">
        <f ca="1">INDEX(INDIRECT(_xlfn.CONCAT("weather.tbl[",U$1,"]")),MATCH(vp.data[[#This Row],[SDate]],weather.tbl[Date],0))</f>
        <v>13.8</v>
      </c>
      <c r="V213" s="2">
        <f t="array" ref="V2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109776.467</v>
      </c>
      <c r="W213" t="s">
        <v>48</v>
      </c>
      <c r="X213">
        <f>IF(OR(vp.data[[#This Row],[Sulf]]="",vp.data[[#This Row],[Dens]]=""),1,0)</f>
        <v>0</v>
      </c>
      <c r="Y213">
        <f>IF(vp.data[[#This Row],[CrudeType]]="C5+",1,0)</f>
        <v>0</v>
      </c>
      <c r="Z213">
        <f>IF(AND(vp.data[[#This Row],[CrudeType]]="Crude",vp.data[[#This Row],[Dens]]&lt;=825,vp.data[[#This Row],[Sulf]]&gt;0.5,vp.data[[#This Row],[Unknown]]=0),1,0)</f>
        <v>0</v>
      </c>
      <c r="AA213">
        <f>IF(AND(vp.data[[#This Row],[CrudeType]]="Crude",vp.data[[#This Row],[Dens]]&lt;=825,vp.data[[#This Row],[Sulf]]&lt;=0.5,vp.data[[#This Row],[Unknown]]=0),1,0)</f>
        <v>0</v>
      </c>
      <c r="AB2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13">
        <f>IF(AND(vp.data[[#This Row],[CrudeType]]="Crude",vp.data[[#This Row],[Dens]]&gt;825,vp.data[[#This Row],[Dens]]&lt;=900,vp.data[[#This Row],[Sulf]]&lt;=0.5,vp.data[[#This Row],[Unknown]]=0),1,0)</f>
        <v>0</v>
      </c>
      <c r="AD213">
        <f>IF(AND(vp.data[[#This Row],[CrudeType]]="Crude",vp.data[[#This Row],[Dens]]&gt;865,vp.data[[#This Row],[Dens]]&lt;=900,vp.data[[#This Row],[Sulf]]&gt;2,vp.data[[#This Row],[Unknown]]=0),1,0)</f>
        <v>1</v>
      </c>
      <c r="AE213">
        <f>IF(AND(vp.data[[#This Row],[CrudeType]]="Crude",vp.data[[#This Row],[Dens]]&gt;900,vp.data[[#This Row],[Sulf]]&lt;=0.5,vp.data[[#This Row],[Unknown]]=0),1,0)</f>
        <v>0</v>
      </c>
      <c r="AF213">
        <f>IF(AND(vp.data[[#This Row],[CrudeType]]="Crude",vp.data[[#This Row],[Dens]]&gt;900,vp.data[[#This Row],[Sulf]]&lt;=0.5,vp.data[[#This Row],[Unknown]]=0),1,0)</f>
        <v>0</v>
      </c>
      <c r="AG213" t="str">
        <f>INDEX(vp.data[[#Headers],[Unknown]:[Heavy_SW]],MATCH(1,vp.data[[#This Row],[Unknown]:[Heavy_SW]],0))</f>
        <v>Midale</v>
      </c>
      <c r="AH213">
        <f>INDEX([3]!crudeBD.lkup[Number],MATCH(vp.data[[#This Row],[Crude_Breakdown]],crudeBD.lkup[Crude Breakdown],0))</f>
        <v>5</v>
      </c>
      <c r="AI213">
        <f>MONTH(vp.data[[#This Row],[SDate]])</f>
        <v>6</v>
      </c>
      <c r="AJ213" s="5">
        <f>(vp.data[[#This Row],[VP]]-INDEX(crudeBD.lkup[Mean_VP],MATCH(vp.data[[#This Row],[Crude_Breakdown]],crudeBD.lkup[Crude Breakdown],0)))^2</f>
        <v>586.06420049952317</v>
      </c>
      <c r="AK213" s="5">
        <f>(vp.data[[#This Row],[Dens]]-INDEX(crudeBD.lkup[Mean_Dens],MATCH(vp.data[[#This Row],[Crude_Breakdown]],crudeBD.lkup[Crude Breakdown],0)))^2</f>
        <v>2.3013202784578661</v>
      </c>
      <c r="AL213" s="5">
        <f>(vp.data[[#This Row],[Sulf]]-INDEX(crudeBD.lkup[Mean_Sulf],MATCH(vp.data[[#This Row],[Crude_Breakdown]],crudeBD.lkup[Crude Breakdown],0)))^2</f>
        <v>1.130006345424492E-3</v>
      </c>
      <c r="AM213" s="4">
        <f>IF(AND(vp.data[[#This Row],[SDate]]&gt;=DATE(YEAR(vp.data[[#This Row],[SDate]]),5,1),vp.data[[#This Row],[SDate]]&lt;=DATE(YEAR(vp.data[[#This Row],[SDate]]),9,15)),1,0)</f>
        <v>1</v>
      </c>
      <c r="AN213" s="4">
        <f>IF(vp.data[[#This Row],[SDate]]&lt;DATE(2016,12,1),0,1)</f>
        <v>0</v>
      </c>
      <c r="AO213" s="4">
        <f>IFERROR(vp.data[[#This Row],[Sulf]]*vp.data[[#This Row],[Net Dens]],"")</f>
        <v>231041370.60095102</v>
      </c>
      <c r="AP213">
        <f>IFERROR(vp.data[[#This Row],[Dens]]*vp.data[[#This Row],[VolumeM3]],"")</f>
        <v>95867788.631099999</v>
      </c>
      <c r="AQ213" s="15">
        <f>IFERROR(vp.data[[#This Row],[VP]]*vp.data[[#This Row],[VolumeM3]],"")</f>
        <v>4961896.3084000004</v>
      </c>
    </row>
    <row r="214" spans="1:43" x14ac:dyDescent="0.25">
      <c r="A214">
        <v>213</v>
      </c>
      <c r="B214" t="s">
        <v>49</v>
      </c>
      <c r="C214" t="s">
        <v>49</v>
      </c>
      <c r="D214" t="s">
        <v>86</v>
      </c>
      <c r="F214" s="1">
        <v>42527</v>
      </c>
      <c r="G214" s="2">
        <v>71.5</v>
      </c>
      <c r="H214" s="2"/>
      <c r="I214" s="2">
        <f t="array" ref="I214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214" s="2"/>
      <c r="K214" s="2"/>
      <c r="L214" s="2">
        <v>883.8</v>
      </c>
      <c r="M214" s="2">
        <f t="array" ref="M214">_xlfn.IFNA(IF(vp.data[[#This Row],[Dens Input]]="",INDEX([1]DATA!$O$3:$O$9826,MATCH(1,(vp.data[[#This Row],[Battery]]=[1]DATA!$L$3:$L$9826)*(EOMONTH(vp.data[[#This Row],[SDate]],-1)+1=[1]DATA!$G$3:$G$9826),0)),vp.data[[#This Row],[Dens Input]]),"")</f>
        <v>883.8</v>
      </c>
      <c r="N214" s="2">
        <f ca="1">INDEX(INDIRECT(_xlfn.CONCAT("weather.tbl[",N$1,"]")),MATCH(vp.data[[#This Row],[SDate]],weather.tbl[Date],0))</f>
        <v>14.283333333333333</v>
      </c>
      <c r="O214" s="2">
        <f ca="1">INDEX(INDIRECT(_xlfn.CONCAT("weather.tbl[",O$1,"]")),MATCH(vp.data[[#This Row],[SDate]],weather.tbl[Date],0))</f>
        <v>15.114285714285716</v>
      </c>
      <c r="P214" s="2">
        <f ca="1">INDEX(INDIRECT(_xlfn.CONCAT("weather.tbl[",P$1,"]")),MATCH(vp.data[[#This Row],[SDate]],weather.tbl[Date],0))</f>
        <v>13.5</v>
      </c>
      <c r="Q214" s="2">
        <f ca="1">INDEX(INDIRECT(_xlfn.CONCAT("weather.tbl[",Q$1,"]")),MATCH(vp.data[[#This Row],[SDate]],weather.tbl[Date],0))</f>
        <v>13.7</v>
      </c>
      <c r="R214" s="2">
        <f ca="1">INDEX(INDIRECT(_xlfn.CONCAT("weather.tbl[",R$1,"]")),MATCH(vp.data[[#This Row],[SDate]],weather.tbl[Date],0))</f>
        <v>14.3</v>
      </c>
      <c r="S214" s="2">
        <f ca="1">INDEX(INDIRECT(_xlfn.CONCAT("weather.tbl[",S$1,"]")),MATCH(vp.data[[#This Row],[SDate]],weather.tbl[Date],0))</f>
        <v>15.5</v>
      </c>
      <c r="T214" s="2">
        <f ca="1">INDEX(INDIRECT(_xlfn.CONCAT("weather.tbl[",T$1,"]")),MATCH(vp.data[[#This Row],[SDate]],weather.tbl[Date],0))</f>
        <v>14.9</v>
      </c>
      <c r="U214" s="2">
        <f ca="1">INDEX(INDIRECT(_xlfn.CONCAT("weather.tbl[",U$1,"]")),MATCH(vp.data[[#This Row],[SDate]],weather.tbl[Date],0))</f>
        <v>13.8</v>
      </c>
      <c r="V214" s="2">
        <f t="array" ref="V2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4179.8819999999996</v>
      </c>
      <c r="W214" t="s">
        <v>48</v>
      </c>
      <c r="X214">
        <f>IF(OR(vp.data[[#This Row],[Sulf]]="",vp.data[[#This Row],[Dens]]=""),1,0)</f>
        <v>0</v>
      </c>
      <c r="Y214">
        <f>IF(vp.data[[#This Row],[CrudeType]]="C5+",1,0)</f>
        <v>0</v>
      </c>
      <c r="Z214">
        <f>IF(AND(vp.data[[#This Row],[CrudeType]]="Crude",vp.data[[#This Row],[Dens]]&lt;=825,vp.data[[#This Row],[Sulf]]&gt;0.5,vp.data[[#This Row],[Unknown]]=0),1,0)</f>
        <v>0</v>
      </c>
      <c r="AA214">
        <f>IF(AND(vp.data[[#This Row],[CrudeType]]="Crude",vp.data[[#This Row],[Dens]]&lt;=825,vp.data[[#This Row],[Sulf]]&lt;=0.5,vp.data[[#This Row],[Unknown]]=0),1,0)</f>
        <v>0</v>
      </c>
      <c r="AB2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14">
        <f>IF(AND(vp.data[[#This Row],[CrudeType]]="Crude",vp.data[[#This Row],[Dens]]&gt;825,vp.data[[#This Row],[Dens]]&lt;=900,vp.data[[#This Row],[Sulf]]&lt;=0.5,vp.data[[#This Row],[Unknown]]=0),1,0)</f>
        <v>0</v>
      </c>
      <c r="AD214">
        <f>IF(AND(vp.data[[#This Row],[CrudeType]]="Crude",vp.data[[#This Row],[Dens]]&gt;865,vp.data[[#This Row],[Dens]]&lt;=900,vp.data[[#This Row],[Sulf]]&gt;2,vp.data[[#This Row],[Unknown]]=0),1,0)</f>
        <v>1</v>
      </c>
      <c r="AE214">
        <f>IF(AND(vp.data[[#This Row],[CrudeType]]="Crude",vp.data[[#This Row],[Dens]]&gt;900,vp.data[[#This Row],[Sulf]]&lt;=0.5,vp.data[[#This Row],[Unknown]]=0),1,0)</f>
        <v>0</v>
      </c>
      <c r="AF214">
        <f>IF(AND(vp.data[[#This Row],[CrudeType]]="Crude",vp.data[[#This Row],[Dens]]&gt;900,vp.data[[#This Row],[Sulf]]&lt;=0.5,vp.data[[#This Row],[Unknown]]=0),1,0)</f>
        <v>0</v>
      </c>
      <c r="AG214" t="str">
        <f>INDEX(vp.data[[#Headers],[Unknown]:[Heavy_SW]],MATCH(1,vp.data[[#This Row],[Unknown]:[Heavy_SW]],0))</f>
        <v>Midale</v>
      </c>
      <c r="AH214">
        <f>INDEX([3]!crudeBD.lkup[Number],MATCH(vp.data[[#This Row],[Crude_Breakdown]],crudeBD.lkup[Crude Breakdown],0))</f>
        <v>5</v>
      </c>
      <c r="AI214">
        <f>MONTH(vp.data[[#This Row],[SDate]])</f>
        <v>6</v>
      </c>
      <c r="AJ214" s="5">
        <f>(vp.data[[#This Row],[VP]]-INDEX(crudeBD.lkup[Mean_VP],MATCH(vp.data[[#This Row],[Crude_Breakdown]],crudeBD.lkup[Crude Breakdown],0)))^2</f>
        <v>4.3732726644700568</v>
      </c>
      <c r="AK214" s="5">
        <f>(vp.data[[#This Row],[Dens]]-INDEX(crudeBD.lkup[Mean_Dens],MATCH(vp.data[[#This Row],[Crude_Breakdown]],crudeBD.lkup[Crude Breakdown],0)))^2</f>
        <v>80.694103783605101</v>
      </c>
      <c r="AL214" s="5">
        <f>(vp.data[[#This Row],[Sulf]]-INDEX(crudeBD.lkup[Mean_Sulf],MATCH(vp.data[[#This Row],[Crude_Breakdown]],crudeBD.lkup[Crude Breakdown],0)))^2</f>
        <v>0.12700986407738421</v>
      </c>
      <c r="AM214" s="4">
        <f>IF(AND(vp.data[[#This Row],[SDate]]&gt;=DATE(YEAR(vp.data[[#This Row],[SDate]]),5,1),vp.data[[#This Row],[SDate]]&lt;=DATE(YEAR(vp.data[[#This Row],[SDate]]),9,15)),1,0)</f>
        <v>1</v>
      </c>
      <c r="AN214" s="4">
        <f>IF(vp.data[[#This Row],[SDate]]&lt;DATE(2016,12,1),0,1)</f>
        <v>0</v>
      </c>
      <c r="AO214" s="4">
        <f>IFERROR(vp.data[[#This Row],[Sulf]]*vp.data[[#This Row],[Net Dens]],"")</f>
        <v>10343703.192479998</v>
      </c>
      <c r="AP214">
        <f>IFERROR(vp.data[[#This Row],[Dens]]*vp.data[[#This Row],[VolumeM3]],"")</f>
        <v>3694179.7115999996</v>
      </c>
      <c r="AQ214" s="15">
        <f>IFERROR(vp.data[[#This Row],[VP]]*vp.data[[#This Row],[VolumeM3]],"")</f>
        <v>298861.56299999997</v>
      </c>
    </row>
    <row r="215" spans="1:43" x14ac:dyDescent="0.25">
      <c r="A215">
        <v>214</v>
      </c>
      <c r="B215" t="s">
        <v>60</v>
      </c>
      <c r="C215" t="s">
        <v>60</v>
      </c>
      <c r="D215" t="s">
        <v>61</v>
      </c>
      <c r="E215" t="s">
        <v>55</v>
      </c>
      <c r="F215" s="1">
        <v>42527</v>
      </c>
      <c r="G215" s="2">
        <v>104</v>
      </c>
      <c r="H215" s="2"/>
      <c r="I215" s="2">
        <f t="array" ref="I215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15" s="2"/>
      <c r="K215" s="2"/>
      <c r="L215" s="2">
        <v>829.8</v>
      </c>
      <c r="M215" s="2">
        <f t="array" ref="M215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215" s="2">
        <f ca="1">INDEX(INDIRECT(_xlfn.CONCAT("weather.tbl[",N$1,"]")),MATCH(vp.data[[#This Row],[SDate]],weather.tbl[Date],0))</f>
        <v>14.283333333333333</v>
      </c>
      <c r="O215" s="2">
        <f ca="1">INDEX(INDIRECT(_xlfn.CONCAT("weather.tbl[",O$1,"]")),MATCH(vp.data[[#This Row],[SDate]],weather.tbl[Date],0))</f>
        <v>15.114285714285716</v>
      </c>
      <c r="P215" s="2">
        <f ca="1">INDEX(INDIRECT(_xlfn.CONCAT("weather.tbl[",P$1,"]")),MATCH(vp.data[[#This Row],[SDate]],weather.tbl[Date],0))</f>
        <v>13.5</v>
      </c>
      <c r="Q215" s="2">
        <f ca="1">INDEX(INDIRECT(_xlfn.CONCAT("weather.tbl[",Q$1,"]")),MATCH(vp.data[[#This Row],[SDate]],weather.tbl[Date],0))</f>
        <v>13.7</v>
      </c>
      <c r="R215" s="2">
        <f ca="1">INDEX(INDIRECT(_xlfn.CONCAT("weather.tbl[",R$1,"]")),MATCH(vp.data[[#This Row],[SDate]],weather.tbl[Date],0))</f>
        <v>14.3</v>
      </c>
      <c r="S215" s="2">
        <f ca="1">INDEX(INDIRECT(_xlfn.CONCAT("weather.tbl[",S$1,"]")),MATCH(vp.data[[#This Row],[SDate]],weather.tbl[Date],0))</f>
        <v>15.5</v>
      </c>
      <c r="T215" s="2">
        <f ca="1">INDEX(INDIRECT(_xlfn.CONCAT("weather.tbl[",T$1,"]")),MATCH(vp.data[[#This Row],[SDate]],weather.tbl[Date],0))</f>
        <v>14.9</v>
      </c>
      <c r="U215" s="2">
        <f ca="1">INDEX(INDIRECT(_xlfn.CONCAT("weather.tbl[",U$1,"]")),MATCH(vp.data[[#This Row],[SDate]],weather.tbl[Date],0))</f>
        <v>13.8</v>
      </c>
      <c r="V215" s="2">
        <f t="array" ref="V2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15" t="s">
        <v>48</v>
      </c>
      <c r="X215">
        <f>IF(OR(vp.data[[#This Row],[Sulf]]="",vp.data[[#This Row],[Dens]]=""),1,0)</f>
        <v>0</v>
      </c>
      <c r="Y215">
        <f>IF(vp.data[[#This Row],[CrudeType]]="C5+",1,0)</f>
        <v>0</v>
      </c>
      <c r="Z215">
        <f>IF(AND(vp.data[[#This Row],[CrudeType]]="Crude",vp.data[[#This Row],[Dens]]&lt;=825,vp.data[[#This Row],[Sulf]]&gt;0.5,vp.data[[#This Row],[Unknown]]=0),1,0)</f>
        <v>0</v>
      </c>
      <c r="AA215">
        <f>IF(AND(vp.data[[#This Row],[CrudeType]]="Crude",vp.data[[#This Row],[Dens]]&lt;=825,vp.data[[#This Row],[Sulf]]&lt;=0.5,vp.data[[#This Row],[Unknown]]=0),1,0)</f>
        <v>0</v>
      </c>
      <c r="AB2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5">
        <f>IF(AND(vp.data[[#This Row],[CrudeType]]="Crude",vp.data[[#This Row],[Dens]]&gt;825,vp.data[[#This Row],[Dens]]&lt;=900,vp.data[[#This Row],[Sulf]]&lt;=0.5,vp.data[[#This Row],[Unknown]]=0),1,0)</f>
        <v>0</v>
      </c>
      <c r="AD215">
        <f>IF(AND(vp.data[[#This Row],[CrudeType]]="Crude",vp.data[[#This Row],[Dens]]&gt;865,vp.data[[#This Row],[Dens]]&lt;=900,vp.data[[#This Row],[Sulf]]&gt;2,vp.data[[#This Row],[Unknown]]=0),1,0)</f>
        <v>0</v>
      </c>
      <c r="AE215">
        <f>IF(AND(vp.data[[#This Row],[CrudeType]]="Crude",vp.data[[#This Row],[Dens]]&gt;900,vp.data[[#This Row],[Sulf]]&lt;=0.5,vp.data[[#This Row],[Unknown]]=0),1,0)</f>
        <v>0</v>
      </c>
      <c r="AF215">
        <f>IF(AND(vp.data[[#This Row],[CrudeType]]="Crude",vp.data[[#This Row],[Dens]]&gt;900,vp.data[[#This Row],[Sulf]]&lt;=0.5,vp.data[[#This Row],[Unknown]]=0),1,0)</f>
        <v>0</v>
      </c>
      <c r="AG215" t="str">
        <f>INDEX(vp.data[[#Headers],[Unknown]:[Heavy_SW]],MATCH(1,vp.data[[#This Row],[Unknown]:[Heavy_SW]],0))</f>
        <v>Medium_LSB</v>
      </c>
      <c r="AH215">
        <f>INDEX([3]!crudeBD.lkup[Number],MATCH(vp.data[[#This Row],[Crude_Breakdown]],crudeBD.lkup[Crude Breakdown],0))</f>
        <v>3</v>
      </c>
      <c r="AI215">
        <f>MONTH(vp.data[[#This Row],[SDate]])</f>
        <v>6</v>
      </c>
      <c r="AJ215" s="5">
        <f>(vp.data[[#This Row],[VP]]-INDEX(crudeBD.lkup[Mean_VP],MATCH(vp.data[[#This Row],[Crude_Breakdown]],crudeBD.lkup[Crude Breakdown],0)))^2</f>
        <v>545.70471169491987</v>
      </c>
      <c r="AK215" s="5">
        <f>(vp.data[[#This Row],[Dens]]-INDEX(crudeBD.lkup[Mean_Dens],MATCH(vp.data[[#This Row],[Crude_Breakdown]],crudeBD.lkup[Crude Breakdown],0)))^2</f>
        <v>199.37439999998728</v>
      </c>
      <c r="AL215" s="5">
        <f>(vp.data[[#This Row],[Sulf]]-INDEX(crudeBD.lkup[Mean_Sulf],MATCH(vp.data[[#This Row],[Crude_Breakdown]],crudeBD.lkup[Crude Breakdown],0)))^2</f>
        <v>5.5416986109170445E-2</v>
      </c>
      <c r="AM215" s="4">
        <f>IF(AND(vp.data[[#This Row],[SDate]]&gt;=DATE(YEAR(vp.data[[#This Row],[SDate]]),5,1),vp.data[[#This Row],[SDate]]&lt;=DATE(YEAR(vp.data[[#This Row],[SDate]]),9,15)),1,0)</f>
        <v>1</v>
      </c>
      <c r="AN215" s="4">
        <f>IF(vp.data[[#This Row],[SDate]]&lt;DATE(2016,12,1),0,1)</f>
        <v>0</v>
      </c>
      <c r="AO215" s="4">
        <f>IFERROR(vp.data[[#This Row],[Sulf]]*vp.data[[#This Row],[Net Dens]],"")</f>
        <v>99308832.945119977</v>
      </c>
      <c r="AP215">
        <f>IFERROR(vp.data[[#This Row],[Dens]]*vp.data[[#This Row],[VolumeM3]],"")</f>
        <v>86355506.908799991</v>
      </c>
      <c r="AQ215" s="15">
        <f>IFERROR(vp.data[[#This Row],[VP]]*vp.data[[#This Row],[VolumeM3]],"")</f>
        <v>10823057.024</v>
      </c>
    </row>
    <row r="216" spans="1:43" x14ac:dyDescent="0.25">
      <c r="A216">
        <v>215</v>
      </c>
      <c r="B216" t="s">
        <v>60</v>
      </c>
      <c r="C216" t="s">
        <v>60</v>
      </c>
      <c r="D216" t="s">
        <v>61</v>
      </c>
      <c r="E216" t="s">
        <v>55</v>
      </c>
      <c r="F216" s="1">
        <v>42527</v>
      </c>
      <c r="G216" s="2">
        <v>104.1</v>
      </c>
      <c r="H216" s="2"/>
      <c r="I216" s="2">
        <f t="array" ref="I216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16" s="2"/>
      <c r="K216" s="2"/>
      <c r="L216" s="2">
        <v>829.8</v>
      </c>
      <c r="M216" s="2">
        <f t="array" ref="M216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216" s="2">
        <f ca="1">INDEX(INDIRECT(_xlfn.CONCAT("weather.tbl[",N$1,"]")),MATCH(vp.data[[#This Row],[SDate]],weather.tbl[Date],0))</f>
        <v>14.283333333333333</v>
      </c>
      <c r="O216" s="2">
        <f ca="1">INDEX(INDIRECT(_xlfn.CONCAT("weather.tbl[",O$1,"]")),MATCH(vp.data[[#This Row],[SDate]],weather.tbl[Date],0))</f>
        <v>15.114285714285716</v>
      </c>
      <c r="P216" s="2">
        <f ca="1">INDEX(INDIRECT(_xlfn.CONCAT("weather.tbl[",P$1,"]")),MATCH(vp.data[[#This Row],[SDate]],weather.tbl[Date],0))</f>
        <v>13.5</v>
      </c>
      <c r="Q216" s="2">
        <f ca="1">INDEX(INDIRECT(_xlfn.CONCAT("weather.tbl[",Q$1,"]")),MATCH(vp.data[[#This Row],[SDate]],weather.tbl[Date],0))</f>
        <v>13.7</v>
      </c>
      <c r="R216" s="2">
        <f ca="1">INDEX(INDIRECT(_xlfn.CONCAT("weather.tbl[",R$1,"]")),MATCH(vp.data[[#This Row],[SDate]],weather.tbl[Date],0))</f>
        <v>14.3</v>
      </c>
      <c r="S216" s="2">
        <f ca="1">INDEX(INDIRECT(_xlfn.CONCAT("weather.tbl[",S$1,"]")),MATCH(vp.data[[#This Row],[SDate]],weather.tbl[Date],0))</f>
        <v>15.5</v>
      </c>
      <c r="T216" s="2">
        <f ca="1">INDEX(INDIRECT(_xlfn.CONCAT("weather.tbl[",T$1,"]")),MATCH(vp.data[[#This Row],[SDate]],weather.tbl[Date],0))</f>
        <v>14.9</v>
      </c>
      <c r="U216" s="2">
        <f ca="1">INDEX(INDIRECT(_xlfn.CONCAT("weather.tbl[",U$1,"]")),MATCH(vp.data[[#This Row],[SDate]],weather.tbl[Date],0))</f>
        <v>13.8</v>
      </c>
      <c r="V216" s="2">
        <f t="array" ref="V2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16" t="s">
        <v>48</v>
      </c>
      <c r="X216">
        <f>IF(OR(vp.data[[#This Row],[Sulf]]="",vp.data[[#This Row],[Dens]]=""),1,0)</f>
        <v>0</v>
      </c>
      <c r="Y216">
        <f>IF(vp.data[[#This Row],[CrudeType]]="C5+",1,0)</f>
        <v>0</v>
      </c>
      <c r="Z216">
        <f>IF(AND(vp.data[[#This Row],[CrudeType]]="Crude",vp.data[[#This Row],[Dens]]&lt;=825,vp.data[[#This Row],[Sulf]]&gt;0.5,vp.data[[#This Row],[Unknown]]=0),1,0)</f>
        <v>0</v>
      </c>
      <c r="AA216">
        <f>IF(AND(vp.data[[#This Row],[CrudeType]]="Crude",vp.data[[#This Row],[Dens]]&lt;=825,vp.data[[#This Row],[Sulf]]&lt;=0.5,vp.data[[#This Row],[Unknown]]=0),1,0)</f>
        <v>0</v>
      </c>
      <c r="AB2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6">
        <f>IF(AND(vp.data[[#This Row],[CrudeType]]="Crude",vp.data[[#This Row],[Dens]]&gt;825,vp.data[[#This Row],[Dens]]&lt;=900,vp.data[[#This Row],[Sulf]]&lt;=0.5,vp.data[[#This Row],[Unknown]]=0),1,0)</f>
        <v>0</v>
      </c>
      <c r="AD216">
        <f>IF(AND(vp.data[[#This Row],[CrudeType]]="Crude",vp.data[[#This Row],[Dens]]&gt;865,vp.data[[#This Row],[Dens]]&lt;=900,vp.data[[#This Row],[Sulf]]&gt;2,vp.data[[#This Row],[Unknown]]=0),1,0)</f>
        <v>0</v>
      </c>
      <c r="AE216">
        <f>IF(AND(vp.data[[#This Row],[CrudeType]]="Crude",vp.data[[#This Row],[Dens]]&gt;900,vp.data[[#This Row],[Sulf]]&lt;=0.5,vp.data[[#This Row],[Unknown]]=0),1,0)</f>
        <v>0</v>
      </c>
      <c r="AF216">
        <f>IF(AND(vp.data[[#This Row],[CrudeType]]="Crude",vp.data[[#This Row],[Dens]]&gt;900,vp.data[[#This Row],[Sulf]]&lt;=0.5,vp.data[[#This Row],[Unknown]]=0),1,0)</f>
        <v>0</v>
      </c>
      <c r="AG216" t="str">
        <f>INDEX(vp.data[[#Headers],[Unknown]:[Heavy_SW]],MATCH(1,vp.data[[#This Row],[Unknown]:[Heavy_SW]],0))</f>
        <v>Medium_LSB</v>
      </c>
      <c r="AH216">
        <f>INDEX([3]!crudeBD.lkup[Number],MATCH(vp.data[[#This Row],[Crude_Breakdown]],crudeBD.lkup[Crude Breakdown],0))</f>
        <v>3</v>
      </c>
      <c r="AI216">
        <f>MONTH(vp.data[[#This Row],[SDate]])</f>
        <v>6</v>
      </c>
      <c r="AJ216" s="5">
        <f>(vp.data[[#This Row],[VP]]-INDEX(crudeBD.lkup[Mean_VP],MATCH(vp.data[[#This Row],[Crude_Breakdown]],crudeBD.lkup[Crude Breakdown],0)))^2</f>
        <v>550.38677638494653</v>
      </c>
      <c r="AK216" s="5">
        <f>(vp.data[[#This Row],[Dens]]-INDEX(crudeBD.lkup[Mean_Dens],MATCH(vp.data[[#This Row],[Crude_Breakdown]],crudeBD.lkup[Crude Breakdown],0)))^2</f>
        <v>199.37439999998728</v>
      </c>
      <c r="AL216" s="5">
        <f>(vp.data[[#This Row],[Sulf]]-INDEX(crudeBD.lkup[Mean_Sulf],MATCH(vp.data[[#This Row],[Crude_Breakdown]],crudeBD.lkup[Crude Breakdown],0)))^2</f>
        <v>5.5416986109170445E-2</v>
      </c>
      <c r="AM216" s="4">
        <f>IF(AND(vp.data[[#This Row],[SDate]]&gt;=DATE(YEAR(vp.data[[#This Row],[SDate]]),5,1),vp.data[[#This Row],[SDate]]&lt;=DATE(YEAR(vp.data[[#This Row],[SDate]]),9,15)),1,0)</f>
        <v>1</v>
      </c>
      <c r="AN216" s="4">
        <f>IF(vp.data[[#This Row],[SDate]]&lt;DATE(2016,12,1),0,1)</f>
        <v>0</v>
      </c>
      <c r="AO216" s="4">
        <f>IFERROR(vp.data[[#This Row],[Sulf]]*vp.data[[#This Row],[Net Dens]],"")</f>
        <v>99308832.945119977</v>
      </c>
      <c r="AP216">
        <f>IFERROR(vp.data[[#This Row],[Dens]]*vp.data[[#This Row],[VolumeM3]],"")</f>
        <v>86355506.908799991</v>
      </c>
      <c r="AQ216" s="15">
        <f>IFERROR(vp.data[[#This Row],[VP]]*vp.data[[#This Row],[VolumeM3]],"")</f>
        <v>10833463.809599999</v>
      </c>
    </row>
    <row r="217" spans="1:43" x14ac:dyDescent="0.25">
      <c r="A217">
        <v>216</v>
      </c>
      <c r="B217" t="s">
        <v>46</v>
      </c>
      <c r="C217" t="s">
        <v>46</v>
      </c>
      <c r="D217" t="s">
        <v>47</v>
      </c>
      <c r="F217" s="1">
        <v>42529</v>
      </c>
      <c r="G217" s="2">
        <v>84.2</v>
      </c>
      <c r="H217" s="2"/>
      <c r="I217" s="2">
        <f t="array" ref="I217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17" s="2"/>
      <c r="K217" s="2"/>
      <c r="L217" s="2">
        <v>872.8</v>
      </c>
      <c r="M217" s="2">
        <f t="array" ref="M217">_xlfn.IFNA(IF(vp.data[[#This Row],[Dens Input]]="",INDEX([1]DATA!$O$3:$O$9826,MATCH(1,(vp.data[[#This Row],[Battery]]=[1]DATA!$L$3:$L$9826)*(EOMONTH(vp.data[[#This Row],[SDate]],-1)+1=[1]DATA!$G$3:$G$9826),0)),vp.data[[#This Row],[Dens Input]]),"")</f>
        <v>872.8</v>
      </c>
      <c r="N217" s="2">
        <f ca="1">INDEX(INDIRECT(_xlfn.CONCAT("weather.tbl[",N$1,"]")),MATCH(vp.data[[#This Row],[SDate]],weather.tbl[Date],0))</f>
        <v>21.866666666666664</v>
      </c>
      <c r="O217" s="2">
        <f ca="1">INDEX(INDIRECT(_xlfn.CONCAT("weather.tbl[",O$1,"]")),MATCH(vp.data[[#This Row],[SDate]],weather.tbl[Date],0))</f>
        <v>17.330952380952379</v>
      </c>
      <c r="P217" s="2">
        <f ca="1">INDEX(INDIRECT(_xlfn.CONCAT("weather.tbl[",P$1,"]")),MATCH(vp.data[[#This Row],[SDate]],weather.tbl[Date],0))</f>
        <v>21.7</v>
      </c>
      <c r="Q217" s="2">
        <f ca="1">INDEX(INDIRECT(_xlfn.CONCAT("weather.tbl[",Q$1,"]")),MATCH(vp.data[[#This Row],[SDate]],weather.tbl[Date],0))</f>
        <v>23.4</v>
      </c>
      <c r="R217" s="2">
        <f ca="1">INDEX(INDIRECT(_xlfn.CONCAT("weather.tbl[",R$1,"]")),MATCH(vp.data[[#This Row],[SDate]],weather.tbl[Date],0))</f>
        <v>20</v>
      </c>
      <c r="S217" s="2">
        <f ca="1">INDEX(INDIRECT(_xlfn.CONCAT("weather.tbl[",S$1,"]")),MATCH(vp.data[[#This Row],[SDate]],weather.tbl[Date],0))</f>
        <v>23.5</v>
      </c>
      <c r="T217" s="2">
        <f ca="1">INDEX(INDIRECT(_xlfn.CONCAT("weather.tbl[",T$1,"]")),MATCH(vp.data[[#This Row],[SDate]],weather.tbl[Date],0))</f>
        <v>20.6</v>
      </c>
      <c r="U217" s="2">
        <f ca="1">INDEX(INDIRECT(_xlfn.CONCAT("weather.tbl[",U$1,"]")),MATCH(vp.data[[#This Row],[SDate]],weather.tbl[Date],0))</f>
        <v>22</v>
      </c>
      <c r="V217" s="2">
        <f t="array" ref="V2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109776.467</v>
      </c>
      <c r="W217" t="s">
        <v>48</v>
      </c>
      <c r="X217">
        <f>IF(OR(vp.data[[#This Row],[Sulf]]="",vp.data[[#This Row],[Dens]]=""),1,0)</f>
        <v>0</v>
      </c>
      <c r="Y217">
        <f>IF(vp.data[[#This Row],[CrudeType]]="C5+",1,0)</f>
        <v>0</v>
      </c>
      <c r="Z217">
        <f>IF(AND(vp.data[[#This Row],[CrudeType]]="Crude",vp.data[[#This Row],[Dens]]&lt;=825,vp.data[[#This Row],[Sulf]]&gt;0.5,vp.data[[#This Row],[Unknown]]=0),1,0)</f>
        <v>0</v>
      </c>
      <c r="AA217">
        <f>IF(AND(vp.data[[#This Row],[CrudeType]]="Crude",vp.data[[#This Row],[Dens]]&lt;=825,vp.data[[#This Row],[Sulf]]&lt;=0.5,vp.data[[#This Row],[Unknown]]=0),1,0)</f>
        <v>0</v>
      </c>
      <c r="AB2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17">
        <f>IF(AND(vp.data[[#This Row],[CrudeType]]="Crude",vp.data[[#This Row],[Dens]]&gt;825,vp.data[[#This Row],[Dens]]&lt;=900,vp.data[[#This Row],[Sulf]]&lt;=0.5,vp.data[[#This Row],[Unknown]]=0),1,0)</f>
        <v>0</v>
      </c>
      <c r="AD217">
        <f>IF(AND(vp.data[[#This Row],[CrudeType]]="Crude",vp.data[[#This Row],[Dens]]&gt;865,vp.data[[#This Row],[Dens]]&lt;=900,vp.data[[#This Row],[Sulf]]&gt;2,vp.data[[#This Row],[Unknown]]=0),1,0)</f>
        <v>1</v>
      </c>
      <c r="AE217">
        <f>IF(AND(vp.data[[#This Row],[CrudeType]]="Crude",vp.data[[#This Row],[Dens]]&gt;900,vp.data[[#This Row],[Sulf]]&lt;=0.5,vp.data[[#This Row],[Unknown]]=0),1,0)</f>
        <v>0</v>
      </c>
      <c r="AF217">
        <f>IF(AND(vp.data[[#This Row],[CrudeType]]="Crude",vp.data[[#This Row],[Dens]]&gt;900,vp.data[[#This Row],[Sulf]]&lt;=0.5,vp.data[[#This Row],[Unknown]]=0),1,0)</f>
        <v>0</v>
      </c>
      <c r="AG217" t="str">
        <f>INDEX(vp.data[[#Headers],[Unknown]:[Heavy_SW]],MATCH(1,vp.data[[#This Row],[Unknown]:[Heavy_SW]],0))</f>
        <v>Midale</v>
      </c>
      <c r="AH217">
        <f>INDEX([3]!crudeBD.lkup[Number],MATCH(vp.data[[#This Row],[Crude_Breakdown]],crudeBD.lkup[Crude Breakdown],0))</f>
        <v>5</v>
      </c>
      <c r="AI217">
        <f>MONTH(vp.data[[#This Row],[SDate]])</f>
        <v>6</v>
      </c>
      <c r="AJ217" s="5">
        <f>(vp.data[[#This Row],[VP]]-INDEX(crudeBD.lkup[Mean_VP],MATCH(vp.data[[#This Row],[Crude_Breakdown]],crudeBD.lkup[Crude Breakdown],0)))^2</f>
        <v>218.78069534488171</v>
      </c>
      <c r="AK217" s="5">
        <f>(vp.data[[#This Row],[Dens]]-INDEX(crudeBD.lkup[Mean_Dens],MATCH(vp.data[[#This Row],[Crude_Breakdown]],crudeBD.lkup[Crude Breakdown],0)))^2</f>
        <v>4.0683305877365692</v>
      </c>
      <c r="AL217" s="5">
        <f>(vp.data[[#This Row],[Sulf]]-INDEX(crudeBD.lkup[Mean_Sulf],MATCH(vp.data[[#This Row],[Crude_Breakdown]],crudeBD.lkup[Crude Breakdown],0)))^2</f>
        <v>1.130006345424492E-3</v>
      </c>
      <c r="AM217" s="4">
        <f>IF(AND(vp.data[[#This Row],[SDate]]&gt;=DATE(YEAR(vp.data[[#This Row],[SDate]]),5,1),vp.data[[#This Row],[SDate]]&lt;=DATE(YEAR(vp.data[[#This Row],[SDate]]),9,15)),1,0)</f>
        <v>1</v>
      </c>
      <c r="AN217" s="4">
        <f>IF(vp.data[[#This Row],[SDate]]&lt;DATE(2016,12,1),0,1)</f>
        <v>0</v>
      </c>
      <c r="AO217" s="4">
        <f>IFERROR(vp.data[[#This Row],[Sulf]]*vp.data[[#This Row],[Net Dens]],"")</f>
        <v>230909089.95821601</v>
      </c>
      <c r="AP217">
        <f>IFERROR(vp.data[[#This Row],[Dens]]*vp.data[[#This Row],[VolumeM3]],"")</f>
        <v>95812900.397599995</v>
      </c>
      <c r="AQ217" s="15">
        <f>IFERROR(vp.data[[#This Row],[VP]]*vp.data[[#This Row],[VolumeM3]],"")</f>
        <v>9243178.5214000009</v>
      </c>
    </row>
    <row r="218" spans="1:43" x14ac:dyDescent="0.25">
      <c r="A218">
        <v>217</v>
      </c>
      <c r="B218" t="s">
        <v>60</v>
      </c>
      <c r="C218" t="s">
        <v>60</v>
      </c>
      <c r="D218" t="s">
        <v>61</v>
      </c>
      <c r="E218" t="s">
        <v>55</v>
      </c>
      <c r="F218" s="1">
        <v>42529</v>
      </c>
      <c r="G218" s="2">
        <v>113.1</v>
      </c>
      <c r="H218" s="2"/>
      <c r="I218" s="2">
        <f t="array" ref="I218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18" s="2"/>
      <c r="K218" s="2"/>
      <c r="L218" s="2">
        <v>830</v>
      </c>
      <c r="M218" s="2">
        <f t="array" ref="M218">_xlfn.IFNA(IF(vp.data[[#This Row],[Dens Input]]="",INDEX([1]DATA!$O$3:$O$9826,MATCH(1,(vp.data[[#This Row],[Battery]]=[1]DATA!$L$3:$L$9826)*(EOMONTH(vp.data[[#This Row],[SDate]],-1)+1=[1]DATA!$G$3:$G$9826),0)),vp.data[[#This Row],[Dens Input]]),"")</f>
        <v>830</v>
      </c>
      <c r="N218" s="2">
        <f ca="1">INDEX(INDIRECT(_xlfn.CONCAT("weather.tbl[",N$1,"]")),MATCH(vp.data[[#This Row],[SDate]],weather.tbl[Date],0))</f>
        <v>21.866666666666664</v>
      </c>
      <c r="O218" s="2">
        <f ca="1">INDEX(INDIRECT(_xlfn.CONCAT("weather.tbl[",O$1,"]")),MATCH(vp.data[[#This Row],[SDate]],weather.tbl[Date],0))</f>
        <v>17.330952380952379</v>
      </c>
      <c r="P218" s="2">
        <f ca="1">INDEX(INDIRECT(_xlfn.CONCAT("weather.tbl[",P$1,"]")),MATCH(vp.data[[#This Row],[SDate]],weather.tbl[Date],0))</f>
        <v>21.7</v>
      </c>
      <c r="Q218" s="2">
        <f ca="1">INDEX(INDIRECT(_xlfn.CONCAT("weather.tbl[",Q$1,"]")),MATCH(vp.data[[#This Row],[SDate]],weather.tbl[Date],0))</f>
        <v>23.4</v>
      </c>
      <c r="R218" s="2">
        <f ca="1">INDEX(INDIRECT(_xlfn.CONCAT("weather.tbl[",R$1,"]")),MATCH(vp.data[[#This Row],[SDate]],weather.tbl[Date],0))</f>
        <v>20</v>
      </c>
      <c r="S218" s="2">
        <f ca="1">INDEX(INDIRECT(_xlfn.CONCAT("weather.tbl[",S$1,"]")),MATCH(vp.data[[#This Row],[SDate]],weather.tbl[Date],0))</f>
        <v>23.5</v>
      </c>
      <c r="T218" s="2">
        <f ca="1">INDEX(INDIRECT(_xlfn.CONCAT("weather.tbl[",T$1,"]")),MATCH(vp.data[[#This Row],[SDate]],weather.tbl[Date],0))</f>
        <v>20.6</v>
      </c>
      <c r="U218" s="2">
        <f ca="1">INDEX(INDIRECT(_xlfn.CONCAT("weather.tbl[",U$1,"]")),MATCH(vp.data[[#This Row],[SDate]],weather.tbl[Date],0))</f>
        <v>22</v>
      </c>
      <c r="V218" s="2">
        <f t="array" ref="V2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18" t="s">
        <v>48</v>
      </c>
      <c r="X218">
        <f>IF(OR(vp.data[[#This Row],[Sulf]]="",vp.data[[#This Row],[Dens]]=""),1,0)</f>
        <v>0</v>
      </c>
      <c r="Y218">
        <f>IF(vp.data[[#This Row],[CrudeType]]="C5+",1,0)</f>
        <v>0</v>
      </c>
      <c r="Z218">
        <f>IF(AND(vp.data[[#This Row],[CrudeType]]="Crude",vp.data[[#This Row],[Dens]]&lt;=825,vp.data[[#This Row],[Sulf]]&gt;0.5,vp.data[[#This Row],[Unknown]]=0),1,0)</f>
        <v>0</v>
      </c>
      <c r="AA218">
        <f>IF(AND(vp.data[[#This Row],[CrudeType]]="Crude",vp.data[[#This Row],[Dens]]&lt;=825,vp.data[[#This Row],[Sulf]]&lt;=0.5,vp.data[[#This Row],[Unknown]]=0),1,0)</f>
        <v>0</v>
      </c>
      <c r="AB2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8">
        <f>IF(AND(vp.data[[#This Row],[CrudeType]]="Crude",vp.data[[#This Row],[Dens]]&gt;825,vp.data[[#This Row],[Dens]]&lt;=900,vp.data[[#This Row],[Sulf]]&lt;=0.5,vp.data[[#This Row],[Unknown]]=0),1,0)</f>
        <v>0</v>
      </c>
      <c r="AD218">
        <f>IF(AND(vp.data[[#This Row],[CrudeType]]="Crude",vp.data[[#This Row],[Dens]]&gt;865,vp.data[[#This Row],[Dens]]&lt;=900,vp.data[[#This Row],[Sulf]]&gt;2,vp.data[[#This Row],[Unknown]]=0),1,0)</f>
        <v>0</v>
      </c>
      <c r="AE218">
        <f>IF(AND(vp.data[[#This Row],[CrudeType]]="Crude",vp.data[[#This Row],[Dens]]&gt;900,vp.data[[#This Row],[Sulf]]&lt;=0.5,vp.data[[#This Row],[Unknown]]=0),1,0)</f>
        <v>0</v>
      </c>
      <c r="AF218">
        <f>IF(AND(vp.data[[#This Row],[CrudeType]]="Crude",vp.data[[#This Row],[Dens]]&gt;900,vp.data[[#This Row],[Sulf]]&lt;=0.5,vp.data[[#This Row],[Unknown]]=0),1,0)</f>
        <v>0</v>
      </c>
      <c r="AG218" t="str">
        <f>INDEX(vp.data[[#Headers],[Unknown]:[Heavy_SW]],MATCH(1,vp.data[[#This Row],[Unknown]:[Heavy_SW]],0))</f>
        <v>Medium_LSB</v>
      </c>
      <c r="AH218">
        <f>INDEX([3]!crudeBD.lkup[Number],MATCH(vp.data[[#This Row],[Crude_Breakdown]],crudeBD.lkup[Crude Breakdown],0))</f>
        <v>3</v>
      </c>
      <c r="AI218">
        <f>MONTH(vp.data[[#This Row],[SDate]])</f>
        <v>6</v>
      </c>
      <c r="AJ218" s="5">
        <f>(vp.data[[#This Row],[VP]]-INDEX(crudeBD.lkup[Mean_VP],MATCH(vp.data[[#This Row],[Crude_Breakdown]],crudeBD.lkup[Crude Breakdown],0)))^2</f>
        <v>1053.6725984873735</v>
      </c>
      <c r="AK218" s="5">
        <f>(vp.data[[#This Row],[Dens]]-INDEX(crudeBD.lkup[Mean_Dens],MATCH(vp.data[[#This Row],[Crude_Breakdown]],crudeBD.lkup[Crude Breakdown],0)))^2</f>
        <v>193.76639999998619</v>
      </c>
      <c r="AL218" s="5">
        <f>(vp.data[[#This Row],[Sulf]]-INDEX(crudeBD.lkup[Mean_Sulf],MATCH(vp.data[[#This Row],[Crude_Breakdown]],crudeBD.lkup[Crude Breakdown],0)))^2</f>
        <v>5.5416986109170445E-2</v>
      </c>
      <c r="AM218" s="4">
        <f>IF(AND(vp.data[[#This Row],[SDate]]&gt;=DATE(YEAR(vp.data[[#This Row],[SDate]]),5,1),vp.data[[#This Row],[SDate]]&lt;=DATE(YEAR(vp.data[[#This Row],[SDate]]),9,15)),1,0)</f>
        <v>1</v>
      </c>
      <c r="AN218" s="4">
        <f>IF(vp.data[[#This Row],[SDate]]&lt;DATE(2016,12,1),0,1)</f>
        <v>0</v>
      </c>
      <c r="AO218" s="4">
        <f>IFERROR(vp.data[[#This Row],[Sulf]]*vp.data[[#This Row],[Net Dens]],"")</f>
        <v>99332768.552000001</v>
      </c>
      <c r="AP218">
        <f>IFERROR(vp.data[[#This Row],[Dens]]*vp.data[[#This Row],[VolumeM3]],"")</f>
        <v>86376320.480000004</v>
      </c>
      <c r="AQ218" s="15">
        <f>IFERROR(vp.data[[#This Row],[VP]]*vp.data[[#This Row],[VolumeM3]],"")</f>
        <v>11770074.513599999</v>
      </c>
    </row>
    <row r="219" spans="1:43" x14ac:dyDescent="0.25">
      <c r="A219">
        <v>218</v>
      </c>
      <c r="B219" t="s">
        <v>60</v>
      </c>
      <c r="C219" t="s">
        <v>60</v>
      </c>
      <c r="D219" t="s">
        <v>61</v>
      </c>
      <c r="E219" t="s">
        <v>55</v>
      </c>
      <c r="F219" s="1">
        <v>42529</v>
      </c>
      <c r="G219" s="2">
        <v>111.8</v>
      </c>
      <c r="H219" s="2"/>
      <c r="I219" s="2">
        <f t="array" ref="I219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19" s="2"/>
      <c r="K219" s="2"/>
      <c r="L219" s="2">
        <v>830</v>
      </c>
      <c r="M219" s="2">
        <f t="array" ref="M219">_xlfn.IFNA(IF(vp.data[[#This Row],[Dens Input]]="",INDEX([1]DATA!$O$3:$O$9826,MATCH(1,(vp.data[[#This Row],[Battery]]=[1]DATA!$L$3:$L$9826)*(EOMONTH(vp.data[[#This Row],[SDate]],-1)+1=[1]DATA!$G$3:$G$9826),0)),vp.data[[#This Row],[Dens Input]]),"")</f>
        <v>830</v>
      </c>
      <c r="N219" s="2">
        <f ca="1">INDEX(INDIRECT(_xlfn.CONCAT("weather.tbl[",N$1,"]")),MATCH(vp.data[[#This Row],[SDate]],weather.tbl[Date],0))</f>
        <v>21.866666666666664</v>
      </c>
      <c r="O219" s="2">
        <f ca="1">INDEX(INDIRECT(_xlfn.CONCAT("weather.tbl[",O$1,"]")),MATCH(vp.data[[#This Row],[SDate]],weather.tbl[Date],0))</f>
        <v>17.330952380952379</v>
      </c>
      <c r="P219" s="2">
        <f ca="1">INDEX(INDIRECT(_xlfn.CONCAT("weather.tbl[",P$1,"]")),MATCH(vp.data[[#This Row],[SDate]],weather.tbl[Date],0))</f>
        <v>21.7</v>
      </c>
      <c r="Q219" s="2">
        <f ca="1">INDEX(INDIRECT(_xlfn.CONCAT("weather.tbl[",Q$1,"]")),MATCH(vp.data[[#This Row],[SDate]],weather.tbl[Date],0))</f>
        <v>23.4</v>
      </c>
      <c r="R219" s="2">
        <f ca="1">INDEX(INDIRECT(_xlfn.CONCAT("weather.tbl[",R$1,"]")),MATCH(vp.data[[#This Row],[SDate]],weather.tbl[Date],0))</f>
        <v>20</v>
      </c>
      <c r="S219" s="2">
        <f ca="1">INDEX(INDIRECT(_xlfn.CONCAT("weather.tbl[",S$1,"]")),MATCH(vp.data[[#This Row],[SDate]],weather.tbl[Date],0))</f>
        <v>23.5</v>
      </c>
      <c r="T219" s="2">
        <f ca="1">INDEX(INDIRECT(_xlfn.CONCAT("weather.tbl[",T$1,"]")),MATCH(vp.data[[#This Row],[SDate]],weather.tbl[Date],0))</f>
        <v>20.6</v>
      </c>
      <c r="U219" s="2">
        <f ca="1">INDEX(INDIRECT(_xlfn.CONCAT("weather.tbl[",U$1,"]")),MATCH(vp.data[[#This Row],[SDate]],weather.tbl[Date],0))</f>
        <v>22</v>
      </c>
      <c r="V219" s="2">
        <f t="array" ref="V2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19" t="s">
        <v>48</v>
      </c>
      <c r="X219">
        <f>IF(OR(vp.data[[#This Row],[Sulf]]="",vp.data[[#This Row],[Dens]]=""),1,0)</f>
        <v>0</v>
      </c>
      <c r="Y219">
        <f>IF(vp.data[[#This Row],[CrudeType]]="C5+",1,0)</f>
        <v>0</v>
      </c>
      <c r="Z219">
        <f>IF(AND(vp.data[[#This Row],[CrudeType]]="Crude",vp.data[[#This Row],[Dens]]&lt;=825,vp.data[[#This Row],[Sulf]]&gt;0.5,vp.data[[#This Row],[Unknown]]=0),1,0)</f>
        <v>0</v>
      </c>
      <c r="AA219">
        <f>IF(AND(vp.data[[#This Row],[CrudeType]]="Crude",vp.data[[#This Row],[Dens]]&lt;=825,vp.data[[#This Row],[Sulf]]&lt;=0.5,vp.data[[#This Row],[Unknown]]=0),1,0)</f>
        <v>0</v>
      </c>
      <c r="AB2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19">
        <f>IF(AND(vp.data[[#This Row],[CrudeType]]="Crude",vp.data[[#This Row],[Dens]]&gt;825,vp.data[[#This Row],[Dens]]&lt;=900,vp.data[[#This Row],[Sulf]]&lt;=0.5,vp.data[[#This Row],[Unknown]]=0),1,0)</f>
        <v>0</v>
      </c>
      <c r="AD219">
        <f>IF(AND(vp.data[[#This Row],[CrudeType]]="Crude",vp.data[[#This Row],[Dens]]&gt;865,vp.data[[#This Row],[Dens]]&lt;=900,vp.data[[#This Row],[Sulf]]&gt;2,vp.data[[#This Row],[Unknown]]=0),1,0)</f>
        <v>0</v>
      </c>
      <c r="AE219">
        <f>IF(AND(vp.data[[#This Row],[CrudeType]]="Crude",vp.data[[#This Row],[Dens]]&gt;900,vp.data[[#This Row],[Sulf]]&lt;=0.5,vp.data[[#This Row],[Unknown]]=0),1,0)</f>
        <v>0</v>
      </c>
      <c r="AF219">
        <f>IF(AND(vp.data[[#This Row],[CrudeType]]="Crude",vp.data[[#This Row],[Dens]]&gt;900,vp.data[[#This Row],[Sulf]]&lt;=0.5,vp.data[[#This Row],[Unknown]]=0),1,0)</f>
        <v>0</v>
      </c>
      <c r="AG219" t="str">
        <f>INDEX(vp.data[[#Headers],[Unknown]:[Heavy_SW]],MATCH(1,vp.data[[#This Row],[Unknown]:[Heavy_SW]],0))</f>
        <v>Medium_LSB</v>
      </c>
      <c r="AH219">
        <f>INDEX([3]!crudeBD.lkup[Number],MATCH(vp.data[[#This Row],[Crude_Breakdown]],crudeBD.lkup[Crude Breakdown],0))</f>
        <v>3</v>
      </c>
      <c r="AI219">
        <f>MONTH(vp.data[[#This Row],[SDate]])</f>
        <v>6</v>
      </c>
      <c r="AJ219" s="5">
        <f>(vp.data[[#This Row],[VP]]-INDEX(crudeBD.lkup[Mean_VP],MATCH(vp.data[[#This Row],[Crude_Breakdown]],crudeBD.lkup[Crude Breakdown],0)))^2</f>
        <v>970.96575751702323</v>
      </c>
      <c r="AK219" s="5">
        <f>(vp.data[[#This Row],[Dens]]-INDEX(crudeBD.lkup[Mean_Dens],MATCH(vp.data[[#This Row],[Crude_Breakdown]],crudeBD.lkup[Crude Breakdown],0)))^2</f>
        <v>193.76639999998619</v>
      </c>
      <c r="AL219" s="5">
        <f>(vp.data[[#This Row],[Sulf]]-INDEX(crudeBD.lkup[Mean_Sulf],MATCH(vp.data[[#This Row],[Crude_Breakdown]],crudeBD.lkup[Crude Breakdown],0)))^2</f>
        <v>5.5416986109170445E-2</v>
      </c>
      <c r="AM219" s="4">
        <f>IF(AND(vp.data[[#This Row],[SDate]]&gt;=DATE(YEAR(vp.data[[#This Row],[SDate]]),5,1),vp.data[[#This Row],[SDate]]&lt;=DATE(YEAR(vp.data[[#This Row],[SDate]]),9,15)),1,0)</f>
        <v>1</v>
      </c>
      <c r="AN219" s="4">
        <f>IF(vp.data[[#This Row],[SDate]]&lt;DATE(2016,12,1),0,1)</f>
        <v>0</v>
      </c>
      <c r="AO219" s="4">
        <f>IFERROR(vp.data[[#This Row],[Sulf]]*vp.data[[#This Row],[Net Dens]],"")</f>
        <v>99332768.552000001</v>
      </c>
      <c r="AP219">
        <f>IFERROR(vp.data[[#This Row],[Dens]]*vp.data[[#This Row],[VolumeM3]],"")</f>
        <v>86376320.480000004</v>
      </c>
      <c r="AQ219" s="15">
        <f>IFERROR(vp.data[[#This Row],[VP]]*vp.data[[#This Row],[VolumeM3]],"")</f>
        <v>11634786.300799999</v>
      </c>
    </row>
    <row r="220" spans="1:43" x14ac:dyDescent="0.25">
      <c r="A220">
        <v>219</v>
      </c>
      <c r="B220" t="s">
        <v>60</v>
      </c>
      <c r="C220" t="s">
        <v>60</v>
      </c>
      <c r="D220" t="s">
        <v>61</v>
      </c>
      <c r="E220" t="s">
        <v>55</v>
      </c>
      <c r="F220" s="1">
        <v>42529</v>
      </c>
      <c r="G220" s="2">
        <v>99.5</v>
      </c>
      <c r="H220" s="2"/>
      <c r="I220" s="2">
        <f t="array" ref="I220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20" s="2"/>
      <c r="K220" s="2"/>
      <c r="L220" s="2">
        <v>830</v>
      </c>
      <c r="M220" s="2">
        <f t="array" ref="M220">_xlfn.IFNA(IF(vp.data[[#This Row],[Dens Input]]="",INDEX([1]DATA!$O$3:$O$9826,MATCH(1,(vp.data[[#This Row],[Battery]]=[1]DATA!$L$3:$L$9826)*(EOMONTH(vp.data[[#This Row],[SDate]],-1)+1=[1]DATA!$G$3:$G$9826),0)),vp.data[[#This Row],[Dens Input]]),"")</f>
        <v>830</v>
      </c>
      <c r="N220" s="2">
        <f ca="1">INDEX(INDIRECT(_xlfn.CONCAT("weather.tbl[",N$1,"]")),MATCH(vp.data[[#This Row],[SDate]],weather.tbl[Date],0))</f>
        <v>21.866666666666664</v>
      </c>
      <c r="O220" s="2">
        <f ca="1">INDEX(INDIRECT(_xlfn.CONCAT("weather.tbl[",O$1,"]")),MATCH(vp.data[[#This Row],[SDate]],weather.tbl[Date],0))</f>
        <v>17.330952380952379</v>
      </c>
      <c r="P220" s="2">
        <f ca="1">INDEX(INDIRECT(_xlfn.CONCAT("weather.tbl[",P$1,"]")),MATCH(vp.data[[#This Row],[SDate]],weather.tbl[Date],0))</f>
        <v>21.7</v>
      </c>
      <c r="Q220" s="2">
        <f ca="1">INDEX(INDIRECT(_xlfn.CONCAT("weather.tbl[",Q$1,"]")),MATCH(vp.data[[#This Row],[SDate]],weather.tbl[Date],0))</f>
        <v>23.4</v>
      </c>
      <c r="R220" s="2">
        <f ca="1">INDEX(INDIRECT(_xlfn.CONCAT("weather.tbl[",R$1,"]")),MATCH(vp.data[[#This Row],[SDate]],weather.tbl[Date],0))</f>
        <v>20</v>
      </c>
      <c r="S220" s="2">
        <f ca="1">INDEX(INDIRECT(_xlfn.CONCAT("weather.tbl[",S$1,"]")),MATCH(vp.data[[#This Row],[SDate]],weather.tbl[Date],0))</f>
        <v>23.5</v>
      </c>
      <c r="T220" s="2">
        <f ca="1">INDEX(INDIRECT(_xlfn.CONCAT("weather.tbl[",T$1,"]")),MATCH(vp.data[[#This Row],[SDate]],weather.tbl[Date],0))</f>
        <v>20.6</v>
      </c>
      <c r="U220" s="2">
        <f ca="1">INDEX(INDIRECT(_xlfn.CONCAT("weather.tbl[",U$1,"]")),MATCH(vp.data[[#This Row],[SDate]],weather.tbl[Date],0))</f>
        <v>22</v>
      </c>
      <c r="V220" s="2">
        <f t="array" ref="V2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20" t="s">
        <v>48</v>
      </c>
      <c r="X220">
        <f>IF(OR(vp.data[[#This Row],[Sulf]]="",vp.data[[#This Row],[Dens]]=""),1,0)</f>
        <v>0</v>
      </c>
      <c r="Y220">
        <f>IF(vp.data[[#This Row],[CrudeType]]="C5+",1,0)</f>
        <v>0</v>
      </c>
      <c r="Z220">
        <f>IF(AND(vp.data[[#This Row],[CrudeType]]="Crude",vp.data[[#This Row],[Dens]]&lt;=825,vp.data[[#This Row],[Sulf]]&gt;0.5,vp.data[[#This Row],[Unknown]]=0),1,0)</f>
        <v>0</v>
      </c>
      <c r="AA220">
        <f>IF(AND(vp.data[[#This Row],[CrudeType]]="Crude",vp.data[[#This Row],[Dens]]&lt;=825,vp.data[[#This Row],[Sulf]]&lt;=0.5,vp.data[[#This Row],[Unknown]]=0),1,0)</f>
        <v>0</v>
      </c>
      <c r="AB2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20">
        <f>IF(AND(vp.data[[#This Row],[CrudeType]]="Crude",vp.data[[#This Row],[Dens]]&gt;825,vp.data[[#This Row],[Dens]]&lt;=900,vp.data[[#This Row],[Sulf]]&lt;=0.5,vp.data[[#This Row],[Unknown]]=0),1,0)</f>
        <v>0</v>
      </c>
      <c r="AD220">
        <f>IF(AND(vp.data[[#This Row],[CrudeType]]="Crude",vp.data[[#This Row],[Dens]]&gt;865,vp.data[[#This Row],[Dens]]&lt;=900,vp.data[[#This Row],[Sulf]]&gt;2,vp.data[[#This Row],[Unknown]]=0),1,0)</f>
        <v>0</v>
      </c>
      <c r="AE220">
        <f>IF(AND(vp.data[[#This Row],[CrudeType]]="Crude",vp.data[[#This Row],[Dens]]&gt;900,vp.data[[#This Row],[Sulf]]&lt;=0.5,vp.data[[#This Row],[Unknown]]=0),1,0)</f>
        <v>0</v>
      </c>
      <c r="AF220">
        <f>IF(AND(vp.data[[#This Row],[CrudeType]]="Crude",vp.data[[#This Row],[Dens]]&gt;900,vp.data[[#This Row],[Sulf]]&lt;=0.5,vp.data[[#This Row],[Unknown]]=0),1,0)</f>
        <v>0</v>
      </c>
      <c r="AG220" t="str">
        <f>INDEX(vp.data[[#Headers],[Unknown]:[Heavy_SW]],MATCH(1,vp.data[[#This Row],[Unknown]:[Heavy_SW]],0))</f>
        <v>Medium_LSB</v>
      </c>
      <c r="AH220">
        <f>INDEX([3]!crudeBD.lkup[Number],MATCH(vp.data[[#This Row],[Crude_Breakdown]],crudeBD.lkup[Crude Breakdown],0))</f>
        <v>3</v>
      </c>
      <c r="AI220">
        <f>MONTH(vp.data[[#This Row],[SDate]])</f>
        <v>6</v>
      </c>
      <c r="AJ220" s="5">
        <f>(vp.data[[#This Row],[VP]]-INDEX(crudeBD.lkup[Mean_VP],MATCH(vp.data[[#This Row],[Crude_Breakdown]],crudeBD.lkup[Crude Breakdown],0)))^2</f>
        <v>355.71180064370623</v>
      </c>
      <c r="AK220" s="5">
        <f>(vp.data[[#This Row],[Dens]]-INDEX(crudeBD.lkup[Mean_Dens],MATCH(vp.data[[#This Row],[Crude_Breakdown]],crudeBD.lkup[Crude Breakdown],0)))^2</f>
        <v>193.76639999998619</v>
      </c>
      <c r="AL220" s="5">
        <f>(vp.data[[#This Row],[Sulf]]-INDEX(crudeBD.lkup[Mean_Sulf],MATCH(vp.data[[#This Row],[Crude_Breakdown]],crudeBD.lkup[Crude Breakdown],0)))^2</f>
        <v>5.5416986109170445E-2</v>
      </c>
      <c r="AM220" s="4">
        <f>IF(AND(vp.data[[#This Row],[SDate]]&gt;=DATE(YEAR(vp.data[[#This Row],[SDate]]),5,1),vp.data[[#This Row],[SDate]]&lt;=DATE(YEAR(vp.data[[#This Row],[SDate]]),9,15)),1,0)</f>
        <v>1</v>
      </c>
      <c r="AN220" s="4">
        <f>IF(vp.data[[#This Row],[SDate]]&lt;DATE(2016,12,1),0,1)</f>
        <v>0</v>
      </c>
      <c r="AO220" s="4">
        <f>IFERROR(vp.data[[#This Row],[Sulf]]*vp.data[[#This Row],[Net Dens]],"")</f>
        <v>99332768.552000001</v>
      </c>
      <c r="AP220">
        <f>IFERROR(vp.data[[#This Row],[Dens]]*vp.data[[#This Row],[VolumeM3]],"")</f>
        <v>86376320.480000004</v>
      </c>
      <c r="AQ220" s="15">
        <f>IFERROR(vp.data[[#This Row],[VP]]*vp.data[[#This Row],[VolumeM3]],"")</f>
        <v>10354751.672</v>
      </c>
    </row>
    <row r="221" spans="1:43" x14ac:dyDescent="0.25">
      <c r="A221">
        <v>220</v>
      </c>
      <c r="B221" t="s">
        <v>62</v>
      </c>
      <c r="C221" t="s">
        <v>62</v>
      </c>
      <c r="D221" t="s">
        <v>83</v>
      </c>
      <c r="F221" s="1">
        <v>42535</v>
      </c>
      <c r="G221" s="2">
        <v>74</v>
      </c>
      <c r="H221" s="2"/>
      <c r="I221" s="2">
        <f t="array" ref="I22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221" s="2"/>
      <c r="K221" s="2"/>
      <c r="L221" s="2">
        <v>812.5</v>
      </c>
      <c r="M221" s="2">
        <f t="array" ref="M221">_xlfn.IFNA(IF(vp.data[[#This Row],[Dens Input]]="",INDEX([1]DATA!$O$3:$O$9826,MATCH(1,(vp.data[[#This Row],[Battery]]=[1]DATA!$L$3:$L$9826)*(EOMONTH(vp.data[[#This Row],[SDate]],-1)+1=[1]DATA!$G$3:$G$9826),0)),vp.data[[#This Row],[Dens Input]]),"")</f>
        <v>812.5</v>
      </c>
      <c r="N221" s="2">
        <f ca="1">INDEX(INDIRECT(_xlfn.CONCAT("weather.tbl[",N$1,"]")),MATCH(vp.data[[#This Row],[SDate]],weather.tbl[Date],0))</f>
        <v>18.45</v>
      </c>
      <c r="O221" s="2">
        <f ca="1">INDEX(INDIRECT(_xlfn.CONCAT("weather.tbl[",O$1,"]")),MATCH(vp.data[[#This Row],[SDate]],weather.tbl[Date],0))</f>
        <v>19.326190476190476</v>
      </c>
      <c r="P221" s="2">
        <f ca="1">INDEX(INDIRECT(_xlfn.CONCAT("weather.tbl[",P$1,"]")),MATCH(vp.data[[#This Row],[SDate]],weather.tbl[Date],0))</f>
        <v>18.899999999999999</v>
      </c>
      <c r="Q221" s="2">
        <f ca="1">INDEX(INDIRECT(_xlfn.CONCAT("weather.tbl[",Q$1,"]")),MATCH(vp.data[[#This Row],[SDate]],weather.tbl[Date],0))</f>
        <v>18.8</v>
      </c>
      <c r="R221" s="2">
        <f ca="1">INDEX(INDIRECT(_xlfn.CONCAT("weather.tbl[",R$1,"]")),MATCH(vp.data[[#This Row],[SDate]],weather.tbl[Date],0))</f>
        <v>18</v>
      </c>
      <c r="S221" s="2">
        <f ca="1">INDEX(INDIRECT(_xlfn.CONCAT("weather.tbl[",S$1,"]")),MATCH(vp.data[[#This Row],[SDate]],weather.tbl[Date],0))</f>
        <v>19.8</v>
      </c>
      <c r="T221" s="2">
        <f ca="1">INDEX(INDIRECT(_xlfn.CONCAT("weather.tbl[",T$1,"]")),MATCH(vp.data[[#This Row],[SDate]],weather.tbl[Date],0))</f>
        <v>16.7</v>
      </c>
      <c r="U221" s="2">
        <f ca="1">INDEX(INDIRECT(_xlfn.CONCAT("weather.tbl[",U$1,"]")),MATCH(vp.data[[#This Row],[SDate]],weather.tbl[Date],0))</f>
        <v>18.5</v>
      </c>
      <c r="V221" s="2">
        <f t="array" ref="V2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9721.509</v>
      </c>
      <c r="W221" t="s">
        <v>48</v>
      </c>
      <c r="X221">
        <f>IF(OR(vp.data[[#This Row],[Sulf]]="",vp.data[[#This Row],[Dens]]=""),1,0)</f>
        <v>0</v>
      </c>
      <c r="Y221">
        <f>IF(vp.data[[#This Row],[CrudeType]]="C5+",1,0)</f>
        <v>0</v>
      </c>
      <c r="Z221">
        <f>IF(AND(vp.data[[#This Row],[CrudeType]]="Crude",vp.data[[#This Row],[Dens]]&lt;=825,vp.data[[#This Row],[Sulf]]&gt;0.5,vp.data[[#This Row],[Unknown]]=0),1,0)</f>
        <v>0</v>
      </c>
      <c r="AA221">
        <f>IF(AND(vp.data[[#This Row],[CrudeType]]="Crude",vp.data[[#This Row],[Dens]]&lt;=825,vp.data[[#This Row],[Sulf]]&lt;=0.5,vp.data[[#This Row],[Unknown]]=0),1,0)</f>
        <v>1</v>
      </c>
      <c r="AB2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1">
        <f>IF(AND(vp.data[[#This Row],[CrudeType]]="Crude",vp.data[[#This Row],[Dens]]&gt;825,vp.data[[#This Row],[Dens]]&lt;=900,vp.data[[#This Row],[Sulf]]&lt;=0.5,vp.data[[#This Row],[Unknown]]=0),1,0)</f>
        <v>0</v>
      </c>
      <c r="AD221">
        <f>IF(AND(vp.data[[#This Row],[CrudeType]]="Crude",vp.data[[#This Row],[Dens]]&gt;865,vp.data[[#This Row],[Dens]]&lt;=900,vp.data[[#This Row],[Sulf]]&gt;2,vp.data[[#This Row],[Unknown]]=0),1,0)</f>
        <v>0</v>
      </c>
      <c r="AE221">
        <f>IF(AND(vp.data[[#This Row],[CrudeType]]="Crude",vp.data[[#This Row],[Dens]]&gt;900,vp.data[[#This Row],[Sulf]]&lt;=0.5,vp.data[[#This Row],[Unknown]]=0),1,0)</f>
        <v>0</v>
      </c>
      <c r="AF221">
        <f>IF(AND(vp.data[[#This Row],[CrudeType]]="Crude",vp.data[[#This Row],[Dens]]&gt;900,vp.data[[#This Row],[Sulf]]&lt;=0.5,vp.data[[#This Row],[Unknown]]=0),1,0)</f>
        <v>0</v>
      </c>
      <c r="AG221" t="str">
        <f>INDEX(vp.data[[#Headers],[Unknown]:[Heavy_SW]],MATCH(1,vp.data[[#This Row],[Unknown]:[Heavy_SW]],0))</f>
        <v>Light_SW</v>
      </c>
      <c r="AH221">
        <f>INDEX([3]!crudeBD.lkup[Number],MATCH(vp.data[[#This Row],[Crude_Breakdown]],crudeBD.lkup[Crude Breakdown],0))</f>
        <v>2</v>
      </c>
      <c r="AI221">
        <f>MONTH(vp.data[[#This Row],[SDate]])</f>
        <v>6</v>
      </c>
      <c r="AJ221" s="5">
        <f>(vp.data[[#This Row],[VP]]-INDEX(crudeBD.lkup[Mean_VP],MATCH(vp.data[[#This Row],[Crude_Breakdown]],crudeBD.lkup[Crude Breakdown],0)))^2</f>
        <v>344.11413424467833</v>
      </c>
      <c r="AK221" s="5">
        <f>(vp.data[[#This Row],[Dens]]-INDEX(crudeBD.lkup[Mean_Dens],MATCH(vp.data[[#This Row],[Crude_Breakdown]],crudeBD.lkup[Crude Breakdown],0)))^2</f>
        <v>17.543546844081519</v>
      </c>
      <c r="AL221" s="5">
        <f>(vp.data[[#This Row],[Sulf]]-INDEX(crudeBD.lkup[Mean_Sulf],MATCH(vp.data[[#This Row],[Crude_Breakdown]],crudeBD.lkup[Crude Breakdown],0)))^2</f>
        <v>2.1383051628646554E-3</v>
      </c>
      <c r="AM221" s="4">
        <f>IF(AND(vp.data[[#This Row],[SDate]]&gt;=DATE(YEAR(vp.data[[#This Row],[SDate]]),5,1),vp.data[[#This Row],[SDate]]&lt;=DATE(YEAR(vp.data[[#This Row],[SDate]]),9,15)),1,0)</f>
        <v>1</v>
      </c>
      <c r="AN221" s="4">
        <f>IF(vp.data[[#This Row],[SDate]]&lt;DATE(2016,12,1),0,1)</f>
        <v>0</v>
      </c>
      <c r="AO221" s="4">
        <f>IFERROR(vp.data[[#This Row],[Sulf]]*vp.data[[#This Row],[Net Dens]],"")</f>
        <v>1500757.951875</v>
      </c>
      <c r="AP221">
        <f>IFERROR(vp.data[[#This Row],[Dens]]*vp.data[[#This Row],[VolumeM3]],"")</f>
        <v>7898726.0625</v>
      </c>
      <c r="AQ221" s="15">
        <f>IFERROR(vp.data[[#This Row],[VP]]*vp.data[[#This Row],[VolumeM3]],"")</f>
        <v>719391.66599999997</v>
      </c>
    </row>
    <row r="222" spans="1:43" x14ac:dyDescent="0.25">
      <c r="A222">
        <v>221</v>
      </c>
      <c r="B222" t="s">
        <v>62</v>
      </c>
      <c r="C222" t="s">
        <v>62</v>
      </c>
      <c r="D222" t="s">
        <v>87</v>
      </c>
      <c r="F222" s="1">
        <v>42535</v>
      </c>
      <c r="G222" s="2">
        <v>69.8</v>
      </c>
      <c r="H222" s="2"/>
      <c r="I222" s="2">
        <f t="array" ref="I22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222" s="2"/>
      <c r="K222" s="2"/>
      <c r="L222" s="2">
        <v>813.3</v>
      </c>
      <c r="M222" s="2">
        <f t="array" ref="M222">_xlfn.IFNA(IF(vp.data[[#This Row],[Dens Input]]="",INDEX([1]DATA!$O$3:$O$9826,MATCH(1,(vp.data[[#This Row],[Battery]]=[1]DATA!$L$3:$L$9826)*(EOMONTH(vp.data[[#This Row],[SDate]],-1)+1=[1]DATA!$G$3:$G$9826),0)),vp.data[[#This Row],[Dens Input]]),"")</f>
        <v>813.3</v>
      </c>
      <c r="N222" s="2">
        <f ca="1">INDEX(INDIRECT(_xlfn.CONCAT("weather.tbl[",N$1,"]")),MATCH(vp.data[[#This Row],[SDate]],weather.tbl[Date],0))</f>
        <v>18.45</v>
      </c>
      <c r="O222" s="2">
        <f ca="1">INDEX(INDIRECT(_xlfn.CONCAT("weather.tbl[",O$1,"]")),MATCH(vp.data[[#This Row],[SDate]],weather.tbl[Date],0))</f>
        <v>19.326190476190476</v>
      </c>
      <c r="P222" s="2">
        <f ca="1">INDEX(INDIRECT(_xlfn.CONCAT("weather.tbl[",P$1,"]")),MATCH(vp.data[[#This Row],[SDate]],weather.tbl[Date],0))</f>
        <v>18.899999999999999</v>
      </c>
      <c r="Q222" s="2">
        <f ca="1">INDEX(INDIRECT(_xlfn.CONCAT("weather.tbl[",Q$1,"]")),MATCH(vp.data[[#This Row],[SDate]],weather.tbl[Date],0))</f>
        <v>18.8</v>
      </c>
      <c r="R222" s="2">
        <f ca="1">INDEX(INDIRECT(_xlfn.CONCAT("weather.tbl[",R$1,"]")),MATCH(vp.data[[#This Row],[SDate]],weather.tbl[Date],0))</f>
        <v>18</v>
      </c>
      <c r="S222" s="2">
        <f ca="1">INDEX(INDIRECT(_xlfn.CONCAT("weather.tbl[",S$1,"]")),MATCH(vp.data[[#This Row],[SDate]],weather.tbl[Date],0))</f>
        <v>19.8</v>
      </c>
      <c r="T222" s="2">
        <f ca="1">INDEX(INDIRECT(_xlfn.CONCAT("weather.tbl[",T$1,"]")),MATCH(vp.data[[#This Row],[SDate]],weather.tbl[Date],0))</f>
        <v>16.7</v>
      </c>
      <c r="U222" s="2">
        <f ca="1">INDEX(INDIRECT(_xlfn.CONCAT("weather.tbl[",U$1,"]")),MATCH(vp.data[[#This Row],[SDate]],weather.tbl[Date],0))</f>
        <v>18.5</v>
      </c>
      <c r="V222" s="2">
        <f t="array" ref="V2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8305.3240000000005</v>
      </c>
      <c r="W222" t="s">
        <v>48</v>
      </c>
      <c r="X222">
        <f>IF(OR(vp.data[[#This Row],[Sulf]]="",vp.data[[#This Row],[Dens]]=""),1,0)</f>
        <v>0</v>
      </c>
      <c r="Y222">
        <f>IF(vp.data[[#This Row],[CrudeType]]="C5+",1,0)</f>
        <v>0</v>
      </c>
      <c r="Z222">
        <f>IF(AND(vp.data[[#This Row],[CrudeType]]="Crude",vp.data[[#This Row],[Dens]]&lt;=825,vp.data[[#This Row],[Sulf]]&gt;0.5,vp.data[[#This Row],[Unknown]]=0),1,0)</f>
        <v>0</v>
      </c>
      <c r="AA222">
        <f>IF(AND(vp.data[[#This Row],[CrudeType]]="Crude",vp.data[[#This Row],[Dens]]&lt;=825,vp.data[[#This Row],[Sulf]]&lt;=0.5,vp.data[[#This Row],[Unknown]]=0),1,0)</f>
        <v>1</v>
      </c>
      <c r="AB2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2">
        <f>IF(AND(vp.data[[#This Row],[CrudeType]]="Crude",vp.data[[#This Row],[Dens]]&gt;825,vp.data[[#This Row],[Dens]]&lt;=900,vp.data[[#This Row],[Sulf]]&lt;=0.5,vp.data[[#This Row],[Unknown]]=0),1,0)</f>
        <v>0</v>
      </c>
      <c r="AD222">
        <f>IF(AND(vp.data[[#This Row],[CrudeType]]="Crude",vp.data[[#This Row],[Dens]]&gt;865,vp.data[[#This Row],[Dens]]&lt;=900,vp.data[[#This Row],[Sulf]]&gt;2,vp.data[[#This Row],[Unknown]]=0),1,0)</f>
        <v>0</v>
      </c>
      <c r="AE222">
        <f>IF(AND(vp.data[[#This Row],[CrudeType]]="Crude",vp.data[[#This Row],[Dens]]&gt;900,vp.data[[#This Row],[Sulf]]&lt;=0.5,vp.data[[#This Row],[Unknown]]=0),1,0)</f>
        <v>0</v>
      </c>
      <c r="AF222">
        <f>IF(AND(vp.data[[#This Row],[CrudeType]]="Crude",vp.data[[#This Row],[Dens]]&gt;900,vp.data[[#This Row],[Sulf]]&lt;=0.5,vp.data[[#This Row],[Unknown]]=0),1,0)</f>
        <v>0</v>
      </c>
      <c r="AG222" t="str">
        <f>INDEX(vp.data[[#Headers],[Unknown]:[Heavy_SW]],MATCH(1,vp.data[[#This Row],[Unknown]:[Heavy_SW]],0))</f>
        <v>Light_SW</v>
      </c>
      <c r="AH222">
        <f>INDEX([3]!crudeBD.lkup[Number],MATCH(vp.data[[#This Row],[Crude_Breakdown]],crudeBD.lkup[Crude Breakdown],0))</f>
        <v>2</v>
      </c>
      <c r="AI222">
        <f>MONTH(vp.data[[#This Row],[SDate]])</f>
        <v>6</v>
      </c>
      <c r="AJ222" s="5">
        <f>(vp.data[[#This Row],[VP]]-INDEX(crudeBD.lkup[Mean_VP],MATCH(vp.data[[#This Row],[Crude_Breakdown]],crudeBD.lkup[Crude Breakdown],0)))^2</f>
        <v>517.57676839101964</v>
      </c>
      <c r="AK222" s="5">
        <f>(vp.data[[#This Row],[Dens]]-INDEX(crudeBD.lkup[Mean_Dens],MATCH(vp.data[[#This Row],[Crude_Breakdown]],crudeBD.lkup[Crude Breakdown],0)))^2</f>
        <v>24.88514963153786</v>
      </c>
      <c r="AL222" s="5">
        <f>(vp.data[[#This Row],[Sulf]]-INDEX(crudeBD.lkup[Mean_Sulf],MATCH(vp.data[[#This Row],[Crude_Breakdown]],crudeBD.lkup[Crude Breakdown],0)))^2</f>
        <v>4.3879776367322437E-3</v>
      </c>
      <c r="AM222" s="4">
        <f>IF(AND(vp.data[[#This Row],[SDate]]&gt;=DATE(YEAR(vp.data[[#This Row],[SDate]]),5,1),vp.data[[#This Row],[SDate]]&lt;=DATE(YEAR(vp.data[[#This Row],[SDate]]),9,15)),1,0)</f>
        <v>1</v>
      </c>
      <c r="AN222" s="4">
        <f>IF(vp.data[[#This Row],[SDate]]&lt;DATE(2016,12,1),0,1)</f>
        <v>0</v>
      </c>
      <c r="AO222" s="4">
        <f>IFERROR(vp.data[[#This Row],[Sulf]]*vp.data[[#This Row],[Net Dens]],"")</f>
        <v>1148302.4015640002</v>
      </c>
      <c r="AP222">
        <f>IFERROR(vp.data[[#This Row],[Dens]]*vp.data[[#This Row],[VolumeM3]],"")</f>
        <v>6754720.0092000002</v>
      </c>
      <c r="AQ222" s="15">
        <f>IFERROR(vp.data[[#This Row],[VP]]*vp.data[[#This Row],[VolumeM3]],"")</f>
        <v>579711.6152</v>
      </c>
    </row>
    <row r="223" spans="1:43" x14ac:dyDescent="0.25">
      <c r="A223">
        <v>222</v>
      </c>
      <c r="B223" t="s">
        <v>62</v>
      </c>
      <c r="C223" t="s">
        <v>62</v>
      </c>
      <c r="D223" t="s">
        <v>79</v>
      </c>
      <c r="F223" s="1">
        <v>42535</v>
      </c>
      <c r="G223" s="2">
        <v>67.900000000000006</v>
      </c>
      <c r="H223" s="2"/>
      <c r="I223" s="2">
        <f t="array" ref="I223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223" s="2"/>
      <c r="K223" s="2"/>
      <c r="L223" s="2">
        <v>815.1</v>
      </c>
      <c r="M223" s="2">
        <f t="array" ref="M223">_xlfn.IFNA(IF(vp.data[[#This Row],[Dens Input]]="",INDEX([1]DATA!$O$3:$O$9826,MATCH(1,(vp.data[[#This Row],[Battery]]=[1]DATA!$L$3:$L$9826)*(EOMONTH(vp.data[[#This Row],[SDate]],-1)+1=[1]DATA!$G$3:$G$9826),0)),vp.data[[#This Row],[Dens Input]]),"")</f>
        <v>815.1</v>
      </c>
      <c r="N223" s="2">
        <f ca="1">INDEX(INDIRECT(_xlfn.CONCAT("weather.tbl[",N$1,"]")),MATCH(vp.data[[#This Row],[SDate]],weather.tbl[Date],0))</f>
        <v>18.45</v>
      </c>
      <c r="O223" s="2">
        <f ca="1">INDEX(INDIRECT(_xlfn.CONCAT("weather.tbl[",O$1,"]")),MATCH(vp.data[[#This Row],[SDate]],weather.tbl[Date],0))</f>
        <v>19.326190476190476</v>
      </c>
      <c r="P223" s="2">
        <f ca="1">INDEX(INDIRECT(_xlfn.CONCAT("weather.tbl[",P$1,"]")),MATCH(vp.data[[#This Row],[SDate]],weather.tbl[Date],0))</f>
        <v>18.899999999999999</v>
      </c>
      <c r="Q223" s="2">
        <f ca="1">INDEX(INDIRECT(_xlfn.CONCAT("weather.tbl[",Q$1,"]")),MATCH(vp.data[[#This Row],[SDate]],weather.tbl[Date],0))</f>
        <v>18.8</v>
      </c>
      <c r="R223" s="2">
        <f ca="1">INDEX(INDIRECT(_xlfn.CONCAT("weather.tbl[",R$1,"]")),MATCH(vp.data[[#This Row],[SDate]],weather.tbl[Date],0))</f>
        <v>18</v>
      </c>
      <c r="S223" s="2">
        <f ca="1">INDEX(INDIRECT(_xlfn.CONCAT("weather.tbl[",S$1,"]")),MATCH(vp.data[[#This Row],[SDate]],weather.tbl[Date],0))</f>
        <v>19.8</v>
      </c>
      <c r="T223" s="2">
        <f ca="1">INDEX(INDIRECT(_xlfn.CONCAT("weather.tbl[",T$1,"]")),MATCH(vp.data[[#This Row],[SDate]],weather.tbl[Date],0))</f>
        <v>16.7</v>
      </c>
      <c r="U223" s="2">
        <f ca="1">INDEX(INDIRECT(_xlfn.CONCAT("weather.tbl[",U$1,"]")),MATCH(vp.data[[#This Row],[SDate]],weather.tbl[Date],0))</f>
        <v>18.5</v>
      </c>
      <c r="V223" s="2">
        <f t="array" ref="V2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13450.503000000001</v>
      </c>
      <c r="W223" t="s">
        <v>48</v>
      </c>
      <c r="X223">
        <f>IF(OR(vp.data[[#This Row],[Sulf]]="",vp.data[[#This Row],[Dens]]=""),1,0)</f>
        <v>0</v>
      </c>
      <c r="Y223">
        <f>IF(vp.data[[#This Row],[CrudeType]]="C5+",1,0)</f>
        <v>0</v>
      </c>
      <c r="Z223">
        <f>IF(AND(vp.data[[#This Row],[CrudeType]]="Crude",vp.data[[#This Row],[Dens]]&lt;=825,vp.data[[#This Row],[Sulf]]&gt;0.5,vp.data[[#This Row],[Unknown]]=0),1,0)</f>
        <v>0</v>
      </c>
      <c r="AA223">
        <f>IF(AND(vp.data[[#This Row],[CrudeType]]="Crude",vp.data[[#This Row],[Dens]]&lt;=825,vp.data[[#This Row],[Sulf]]&lt;=0.5,vp.data[[#This Row],[Unknown]]=0),1,0)</f>
        <v>1</v>
      </c>
      <c r="AB2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3">
        <f>IF(AND(vp.data[[#This Row],[CrudeType]]="Crude",vp.data[[#This Row],[Dens]]&gt;825,vp.data[[#This Row],[Dens]]&lt;=900,vp.data[[#This Row],[Sulf]]&lt;=0.5,vp.data[[#This Row],[Unknown]]=0),1,0)</f>
        <v>0</v>
      </c>
      <c r="AD223">
        <f>IF(AND(vp.data[[#This Row],[CrudeType]]="Crude",vp.data[[#This Row],[Dens]]&gt;865,vp.data[[#This Row],[Dens]]&lt;=900,vp.data[[#This Row],[Sulf]]&gt;2,vp.data[[#This Row],[Unknown]]=0),1,0)</f>
        <v>0</v>
      </c>
      <c r="AE223">
        <f>IF(AND(vp.data[[#This Row],[CrudeType]]="Crude",vp.data[[#This Row],[Dens]]&gt;900,vp.data[[#This Row],[Sulf]]&lt;=0.5,vp.data[[#This Row],[Unknown]]=0),1,0)</f>
        <v>0</v>
      </c>
      <c r="AF223">
        <f>IF(AND(vp.data[[#This Row],[CrudeType]]="Crude",vp.data[[#This Row],[Dens]]&gt;900,vp.data[[#This Row],[Sulf]]&lt;=0.5,vp.data[[#This Row],[Unknown]]=0),1,0)</f>
        <v>0</v>
      </c>
      <c r="AG223" t="str">
        <f>INDEX(vp.data[[#Headers],[Unknown]:[Heavy_SW]],MATCH(1,vp.data[[#This Row],[Unknown]:[Heavy_SW]],0))</f>
        <v>Light_SW</v>
      </c>
      <c r="AH223">
        <f>INDEX([3]!crudeBD.lkup[Number],MATCH(vp.data[[#This Row],[Crude_Breakdown]],crudeBD.lkup[Crude Breakdown],0))</f>
        <v>2</v>
      </c>
      <c r="AI223">
        <f>MONTH(vp.data[[#This Row],[SDate]])</f>
        <v>6</v>
      </c>
      <c r="AJ223" s="5">
        <f>(vp.data[[#This Row],[VP]]-INDEX(crudeBD.lkup[Mean_VP],MATCH(vp.data[[#This Row],[Crude_Breakdown]],crudeBD.lkup[Crude Breakdown],0)))^2</f>
        <v>607.63796002864979</v>
      </c>
      <c r="AK223" s="5">
        <f>(vp.data[[#This Row],[Dens]]-INDEX(crudeBD.lkup[Mean_Dens],MATCH(vp.data[[#This Row],[Crude_Breakdown]],crudeBD.lkup[Crude Breakdown],0)))^2</f>
        <v>46.083755903316415</v>
      </c>
      <c r="AL223" s="5">
        <f>(vp.data[[#This Row],[Sulf]]-INDEX(crudeBD.lkup[Mean_Sulf],MATCH(vp.data[[#This Row],[Crude_Breakdown]],crudeBD.lkup[Crude Breakdown],0)))^2</f>
        <v>5.644515043280923E-4</v>
      </c>
      <c r="AM223" s="4">
        <f>IF(AND(vp.data[[#This Row],[SDate]]&gt;=DATE(YEAR(vp.data[[#This Row],[SDate]]),5,1),vp.data[[#This Row],[SDate]]&lt;=DATE(YEAR(vp.data[[#This Row],[SDate]]),9,15)),1,0)</f>
        <v>1</v>
      </c>
      <c r="AN223" s="4">
        <f>IF(vp.data[[#This Row],[SDate]]&lt;DATE(2016,12,1),0,1)</f>
        <v>0</v>
      </c>
      <c r="AO223" s="4">
        <f>IFERROR(vp.data[[#This Row],[Sulf]]*vp.data[[#This Row],[Net Dens]],"")</f>
        <v>2850511.2987780003</v>
      </c>
      <c r="AP223">
        <f>IFERROR(vp.data[[#This Row],[Dens]]*vp.data[[#This Row],[VolumeM3]],"")</f>
        <v>10963504.995300001</v>
      </c>
      <c r="AQ223" s="15">
        <f>IFERROR(vp.data[[#This Row],[VP]]*vp.data[[#This Row],[VolumeM3]],"")</f>
        <v>913289.15370000014</v>
      </c>
    </row>
    <row r="224" spans="1:43" x14ac:dyDescent="0.25">
      <c r="A224">
        <v>223</v>
      </c>
      <c r="B224" t="s">
        <v>49</v>
      </c>
      <c r="C224" t="s">
        <v>49</v>
      </c>
      <c r="D224" t="s">
        <v>90</v>
      </c>
      <c r="F224" s="1">
        <v>42535</v>
      </c>
      <c r="G224" s="2">
        <v>78.5</v>
      </c>
      <c r="H224" s="2"/>
      <c r="I224" s="2">
        <f t="array" ref="I224">_xlfn.IFNA(IF(vp.data[[#This Row],[Sulf Input]]="",INDEX([1]DATA!$Q$3:$Q$9826,MATCH(1,(vp.data[[#This Row],[Battery]]=[1]DATA!$L$3:$L$9826)*(EOMONTH(vp.data[[#This Row],[SDate]],-1)+1=[1]DATA!$G$3:$G$9826),0)),vp.data[[#This Row],[Sulf Input]]),"")</f>
        <v>1.25</v>
      </c>
      <c r="J224" s="2"/>
      <c r="K224" s="2"/>
      <c r="L224" s="2">
        <v>842.2</v>
      </c>
      <c r="M224" s="2">
        <f t="array" ref="M224">_xlfn.IFNA(IF(vp.data[[#This Row],[Dens Input]]="",INDEX([1]DATA!$O$3:$O$9826,MATCH(1,(vp.data[[#This Row],[Battery]]=[1]DATA!$L$3:$L$9826)*(EOMONTH(vp.data[[#This Row],[SDate]],-1)+1=[1]DATA!$G$3:$G$9826),0)),vp.data[[#This Row],[Dens Input]]),"")</f>
        <v>842.2</v>
      </c>
      <c r="N224" s="2">
        <f ca="1">INDEX(INDIRECT(_xlfn.CONCAT("weather.tbl[",N$1,"]")),MATCH(vp.data[[#This Row],[SDate]],weather.tbl[Date],0))</f>
        <v>18.45</v>
      </c>
      <c r="O224" s="2">
        <f ca="1">INDEX(INDIRECT(_xlfn.CONCAT("weather.tbl[",O$1,"]")),MATCH(vp.data[[#This Row],[SDate]],weather.tbl[Date],0))</f>
        <v>19.326190476190476</v>
      </c>
      <c r="P224" s="2">
        <f ca="1">INDEX(INDIRECT(_xlfn.CONCAT("weather.tbl[",P$1,"]")),MATCH(vp.data[[#This Row],[SDate]],weather.tbl[Date],0))</f>
        <v>18.899999999999999</v>
      </c>
      <c r="Q224" s="2">
        <f ca="1">INDEX(INDIRECT(_xlfn.CONCAT("weather.tbl[",Q$1,"]")),MATCH(vp.data[[#This Row],[SDate]],weather.tbl[Date],0))</f>
        <v>18.8</v>
      </c>
      <c r="R224" s="2">
        <f ca="1">INDEX(INDIRECT(_xlfn.CONCAT("weather.tbl[",R$1,"]")),MATCH(vp.data[[#This Row],[SDate]],weather.tbl[Date],0))</f>
        <v>18</v>
      </c>
      <c r="S224" s="2">
        <f ca="1">INDEX(INDIRECT(_xlfn.CONCAT("weather.tbl[",S$1,"]")),MATCH(vp.data[[#This Row],[SDate]],weather.tbl[Date],0))</f>
        <v>19.8</v>
      </c>
      <c r="T224" s="2">
        <f ca="1">INDEX(INDIRECT(_xlfn.CONCAT("weather.tbl[",T$1,"]")),MATCH(vp.data[[#This Row],[SDate]],weather.tbl[Date],0))</f>
        <v>16.7</v>
      </c>
      <c r="U224" s="2">
        <f ca="1">INDEX(INDIRECT(_xlfn.CONCAT("weather.tbl[",U$1,"]")),MATCH(vp.data[[#This Row],[SDate]],weather.tbl[Date],0))</f>
        <v>18.5</v>
      </c>
      <c r="V224" s="2">
        <f t="array" ref="V2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4752.3130000000001</v>
      </c>
      <c r="W224" t="s">
        <v>48</v>
      </c>
      <c r="X224">
        <f>IF(OR(vp.data[[#This Row],[Sulf]]="",vp.data[[#This Row],[Dens]]=""),1,0)</f>
        <v>0</v>
      </c>
      <c r="Y224">
        <f>IF(vp.data[[#This Row],[CrudeType]]="C5+",1,0)</f>
        <v>0</v>
      </c>
      <c r="Z224">
        <f>IF(AND(vp.data[[#This Row],[CrudeType]]="Crude",vp.data[[#This Row],[Dens]]&lt;=825,vp.data[[#This Row],[Sulf]]&gt;0.5,vp.data[[#This Row],[Unknown]]=0),1,0)</f>
        <v>0</v>
      </c>
      <c r="AA224">
        <f>IF(AND(vp.data[[#This Row],[CrudeType]]="Crude",vp.data[[#This Row],[Dens]]&lt;=825,vp.data[[#This Row],[Sulf]]&lt;=0.5,vp.data[[#This Row],[Unknown]]=0),1,0)</f>
        <v>0</v>
      </c>
      <c r="AB2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24">
        <f>IF(AND(vp.data[[#This Row],[CrudeType]]="Crude",vp.data[[#This Row],[Dens]]&gt;825,vp.data[[#This Row],[Dens]]&lt;=900,vp.data[[#This Row],[Sulf]]&lt;=0.5,vp.data[[#This Row],[Unknown]]=0),1,0)</f>
        <v>0</v>
      </c>
      <c r="AD224">
        <f>IF(AND(vp.data[[#This Row],[CrudeType]]="Crude",vp.data[[#This Row],[Dens]]&gt;865,vp.data[[#This Row],[Dens]]&lt;=900,vp.data[[#This Row],[Sulf]]&gt;2,vp.data[[#This Row],[Unknown]]=0),1,0)</f>
        <v>0</v>
      </c>
      <c r="AE224">
        <f>IF(AND(vp.data[[#This Row],[CrudeType]]="Crude",vp.data[[#This Row],[Dens]]&gt;900,vp.data[[#This Row],[Sulf]]&lt;=0.5,vp.data[[#This Row],[Unknown]]=0),1,0)</f>
        <v>0</v>
      </c>
      <c r="AF224">
        <f>IF(AND(vp.data[[#This Row],[CrudeType]]="Crude",vp.data[[#This Row],[Dens]]&gt;900,vp.data[[#This Row],[Sulf]]&lt;=0.5,vp.data[[#This Row],[Unknown]]=0),1,0)</f>
        <v>0</v>
      </c>
      <c r="AG224" t="str">
        <f>INDEX(vp.data[[#Headers],[Unknown]:[Heavy_SW]],MATCH(1,vp.data[[#This Row],[Unknown]:[Heavy_SW]],0))</f>
        <v>Medium_LSB</v>
      </c>
      <c r="AH224">
        <f>INDEX([3]!crudeBD.lkup[Number],MATCH(vp.data[[#This Row],[Crude_Breakdown]],crudeBD.lkup[Crude Breakdown],0))</f>
        <v>3</v>
      </c>
      <c r="AI224">
        <f>MONTH(vp.data[[#This Row],[SDate]])</f>
        <v>6</v>
      </c>
      <c r="AJ224" s="5">
        <f>(vp.data[[#This Row],[VP]]-INDEX(crudeBD.lkup[Mean_VP],MATCH(vp.data[[#This Row],[Crude_Breakdown]],crudeBD.lkup[Crude Breakdown],0)))^2</f>
        <v>4.5782157380428643</v>
      </c>
      <c r="AK224" s="5">
        <f>(vp.data[[#This Row],[Dens]]-INDEX(crudeBD.lkup[Mean_Dens],MATCH(vp.data[[#This Row],[Crude_Breakdown]],crudeBD.lkup[Crude Breakdown],0)))^2</f>
        <v>2.9583999999981385</v>
      </c>
      <c r="AL224" s="5">
        <f>(vp.data[[#This Row],[Sulf]]-INDEX(crudeBD.lkup[Mean_Sulf],MATCH(vp.data[[#This Row],[Crude_Breakdown]],crudeBD.lkup[Crude Breakdown],0)))^2</f>
        <v>1.8335360772242876E-2</v>
      </c>
      <c r="AM224" s="4">
        <f>IF(AND(vp.data[[#This Row],[SDate]]&gt;=DATE(YEAR(vp.data[[#This Row],[SDate]]),5,1),vp.data[[#This Row],[SDate]]&lt;=DATE(YEAR(vp.data[[#This Row],[SDate]]),9,15)),1,0)</f>
        <v>1</v>
      </c>
      <c r="AN224" s="4">
        <f>IF(vp.data[[#This Row],[SDate]]&lt;DATE(2016,12,1),0,1)</f>
        <v>0</v>
      </c>
      <c r="AO224" s="4">
        <f>IFERROR(vp.data[[#This Row],[Sulf]]*vp.data[[#This Row],[Net Dens]],"")</f>
        <v>5002997.5107500004</v>
      </c>
      <c r="AP224">
        <f>IFERROR(vp.data[[#This Row],[Dens]]*vp.data[[#This Row],[VolumeM3]],"")</f>
        <v>4002398.0086000003</v>
      </c>
      <c r="AQ224" s="15">
        <f>IFERROR(vp.data[[#This Row],[VP]]*vp.data[[#This Row],[VolumeM3]],"")</f>
        <v>373056.57050000003</v>
      </c>
    </row>
    <row r="225" spans="1:43" x14ac:dyDescent="0.25">
      <c r="A225">
        <v>224</v>
      </c>
      <c r="B225" t="s">
        <v>49</v>
      </c>
      <c r="C225" t="s">
        <v>49</v>
      </c>
      <c r="D225" t="s">
        <v>59</v>
      </c>
      <c r="F225" s="1">
        <v>42535</v>
      </c>
      <c r="G225" s="2">
        <v>79.3</v>
      </c>
      <c r="H225" s="2"/>
      <c r="I225" s="2">
        <f t="array" ref="I225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225" s="2"/>
      <c r="K225" s="2"/>
      <c r="L225" s="2">
        <v>847.7</v>
      </c>
      <c r="M225" s="2">
        <f t="array" ref="M225">_xlfn.IFNA(IF(vp.data[[#This Row],[Dens Input]]="",INDEX([1]DATA!$O$3:$O$9826,MATCH(1,(vp.data[[#This Row],[Battery]]=[1]DATA!$L$3:$L$9826)*(EOMONTH(vp.data[[#This Row],[SDate]],-1)+1=[1]DATA!$G$3:$G$9826),0)),vp.data[[#This Row],[Dens Input]]),"")</f>
        <v>847.7</v>
      </c>
      <c r="N225" s="2">
        <f ca="1">INDEX(INDIRECT(_xlfn.CONCAT("weather.tbl[",N$1,"]")),MATCH(vp.data[[#This Row],[SDate]],weather.tbl[Date],0))</f>
        <v>18.45</v>
      </c>
      <c r="O225" s="2">
        <f ca="1">INDEX(INDIRECT(_xlfn.CONCAT("weather.tbl[",O$1,"]")),MATCH(vp.data[[#This Row],[SDate]],weather.tbl[Date],0))</f>
        <v>19.326190476190476</v>
      </c>
      <c r="P225" s="2">
        <f ca="1">INDEX(INDIRECT(_xlfn.CONCAT("weather.tbl[",P$1,"]")),MATCH(vp.data[[#This Row],[SDate]],weather.tbl[Date],0))</f>
        <v>18.899999999999999</v>
      </c>
      <c r="Q225" s="2">
        <f ca="1">INDEX(INDIRECT(_xlfn.CONCAT("weather.tbl[",Q$1,"]")),MATCH(vp.data[[#This Row],[SDate]],weather.tbl[Date],0))</f>
        <v>18.8</v>
      </c>
      <c r="R225" s="2">
        <f ca="1">INDEX(INDIRECT(_xlfn.CONCAT("weather.tbl[",R$1,"]")),MATCH(vp.data[[#This Row],[SDate]],weather.tbl[Date],0))</f>
        <v>18</v>
      </c>
      <c r="S225" s="2">
        <f ca="1">INDEX(INDIRECT(_xlfn.CONCAT("weather.tbl[",S$1,"]")),MATCH(vp.data[[#This Row],[SDate]],weather.tbl[Date],0))</f>
        <v>19.8</v>
      </c>
      <c r="T225" s="2">
        <f ca="1">INDEX(INDIRECT(_xlfn.CONCAT("weather.tbl[",T$1,"]")),MATCH(vp.data[[#This Row],[SDate]],weather.tbl[Date],0))</f>
        <v>16.7</v>
      </c>
      <c r="U225" s="2">
        <f ca="1">INDEX(INDIRECT(_xlfn.CONCAT("weather.tbl[",U$1,"]")),MATCH(vp.data[[#This Row],[SDate]],weather.tbl[Date],0))</f>
        <v>18.5</v>
      </c>
      <c r="V225" s="2">
        <f t="array" ref="V2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1703.9690000000001</v>
      </c>
      <c r="W225" t="s">
        <v>48</v>
      </c>
      <c r="X225">
        <f>IF(OR(vp.data[[#This Row],[Sulf]]="",vp.data[[#This Row],[Dens]]=""),1,0)</f>
        <v>0</v>
      </c>
      <c r="Y225">
        <f>IF(vp.data[[#This Row],[CrudeType]]="C5+",1,0)</f>
        <v>0</v>
      </c>
      <c r="Z225">
        <f>IF(AND(vp.data[[#This Row],[CrudeType]]="Crude",vp.data[[#This Row],[Dens]]&lt;=825,vp.data[[#This Row],[Sulf]]&gt;0.5,vp.data[[#This Row],[Unknown]]=0),1,0)</f>
        <v>0</v>
      </c>
      <c r="AA225">
        <f>IF(AND(vp.data[[#This Row],[CrudeType]]="Crude",vp.data[[#This Row],[Dens]]&lt;=825,vp.data[[#This Row],[Sulf]]&lt;=0.5,vp.data[[#This Row],[Unknown]]=0),1,0)</f>
        <v>0</v>
      </c>
      <c r="AB2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25">
        <f>IF(AND(vp.data[[#This Row],[CrudeType]]="Crude",vp.data[[#This Row],[Dens]]&gt;825,vp.data[[#This Row],[Dens]]&lt;=900,vp.data[[#This Row],[Sulf]]&lt;=0.5,vp.data[[#This Row],[Unknown]]=0),1,0)</f>
        <v>0</v>
      </c>
      <c r="AD225">
        <f>IF(AND(vp.data[[#This Row],[CrudeType]]="Crude",vp.data[[#This Row],[Dens]]&gt;865,vp.data[[#This Row],[Dens]]&lt;=900,vp.data[[#This Row],[Sulf]]&gt;2,vp.data[[#This Row],[Unknown]]=0),1,0)</f>
        <v>0</v>
      </c>
      <c r="AE225">
        <f>IF(AND(vp.data[[#This Row],[CrudeType]]="Crude",vp.data[[#This Row],[Dens]]&gt;900,vp.data[[#This Row],[Sulf]]&lt;=0.5,vp.data[[#This Row],[Unknown]]=0),1,0)</f>
        <v>0</v>
      </c>
      <c r="AF225">
        <f>IF(AND(vp.data[[#This Row],[CrudeType]]="Crude",vp.data[[#This Row],[Dens]]&gt;900,vp.data[[#This Row],[Sulf]]&lt;=0.5,vp.data[[#This Row],[Unknown]]=0),1,0)</f>
        <v>0</v>
      </c>
      <c r="AG225" t="str">
        <f>INDEX(vp.data[[#Headers],[Unknown]:[Heavy_SW]],MATCH(1,vp.data[[#This Row],[Unknown]:[Heavy_SW]],0))</f>
        <v>Medium_LSB</v>
      </c>
      <c r="AH225">
        <f>INDEX([3]!crudeBD.lkup[Number],MATCH(vp.data[[#This Row],[Crude_Breakdown]],crudeBD.lkup[Crude Breakdown],0))</f>
        <v>3</v>
      </c>
      <c r="AI225">
        <f>MONTH(vp.data[[#This Row],[SDate]])</f>
        <v>6</v>
      </c>
      <c r="AJ225" s="5">
        <f>(vp.data[[#This Row],[VP]]-INDEX(crudeBD.lkup[Mean_VP],MATCH(vp.data[[#This Row],[Crude_Breakdown]],crudeBD.lkup[Crude Breakdown],0)))^2</f>
        <v>1.7947332582586195</v>
      </c>
      <c r="AK225" s="5">
        <f>(vp.data[[#This Row],[Dens]]-INDEX(crudeBD.lkup[Mean_Dens],MATCH(vp.data[[#This Row],[Crude_Breakdown]],crudeBD.lkup[Crude Breakdown],0)))^2</f>
        <v>14.28840000000409</v>
      </c>
      <c r="AL225" s="5">
        <f>(vp.data[[#This Row],[Sulf]]-INDEX(crudeBD.lkup[Mean_Sulf],MATCH(vp.data[[#This Row],[Crude_Breakdown]],crudeBD.lkup[Crude Breakdown],0)))^2</f>
        <v>8.9476224973095587E-3</v>
      </c>
      <c r="AM225" s="4">
        <f>IF(AND(vp.data[[#This Row],[SDate]]&gt;=DATE(YEAR(vp.data[[#This Row],[SDate]]),5,1),vp.data[[#This Row],[SDate]]&lt;=DATE(YEAR(vp.data[[#This Row],[SDate]]),9,15)),1,0)</f>
        <v>1</v>
      </c>
      <c r="AN225" s="4">
        <f>IF(vp.data[[#This Row],[SDate]]&lt;DATE(2016,12,1),0,1)</f>
        <v>0</v>
      </c>
      <c r="AO225" s="4">
        <f>IFERROR(vp.data[[#This Row],[Sulf]]*vp.data[[#This Row],[Net Dens]],"")</f>
        <v>2137792.6915240004</v>
      </c>
      <c r="AP225">
        <f>IFERROR(vp.data[[#This Row],[Dens]]*vp.data[[#This Row],[VolumeM3]],"")</f>
        <v>1444454.5213000001</v>
      </c>
      <c r="AQ225" s="15">
        <f>IFERROR(vp.data[[#This Row],[VP]]*vp.data[[#This Row],[VolumeM3]],"")</f>
        <v>135124.74170000001</v>
      </c>
    </row>
    <row r="226" spans="1:43" x14ac:dyDescent="0.25">
      <c r="A226">
        <v>225</v>
      </c>
      <c r="B226" t="s">
        <v>49</v>
      </c>
      <c r="C226" t="s">
        <v>49</v>
      </c>
      <c r="D226" t="s">
        <v>78</v>
      </c>
      <c r="F226" s="1">
        <v>42536</v>
      </c>
      <c r="G226" s="2">
        <v>72</v>
      </c>
      <c r="H226" s="2"/>
      <c r="I226" s="2">
        <f t="array" ref="I226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26" s="2"/>
      <c r="K226" s="2"/>
      <c r="L226" s="2">
        <v>804</v>
      </c>
      <c r="M226" s="2">
        <f t="array" ref="M226">_xlfn.IFNA(IF(vp.data[[#This Row],[Dens Input]]="",INDEX([1]DATA!$O$3:$O$9826,MATCH(1,(vp.data[[#This Row],[Battery]]=[1]DATA!$L$3:$L$9826)*(EOMONTH(vp.data[[#This Row],[SDate]],-1)+1=[1]DATA!$G$3:$G$9826),0)),vp.data[[#This Row],[Dens Input]]),"")</f>
        <v>804</v>
      </c>
      <c r="N226" s="2">
        <f ca="1">INDEX(INDIRECT(_xlfn.CONCAT("weather.tbl[",N$1,"]")),MATCH(vp.data[[#This Row],[SDate]],weather.tbl[Date],0))</f>
        <v>17.083333333333332</v>
      </c>
      <c r="O226" s="2">
        <f ca="1">INDEX(INDIRECT(_xlfn.CONCAT("weather.tbl[",O$1,"]")),MATCH(vp.data[[#This Row],[SDate]],weather.tbl[Date],0))</f>
        <v>18.642857142857142</v>
      </c>
      <c r="P226" s="2">
        <f ca="1">INDEX(INDIRECT(_xlfn.CONCAT("weather.tbl[",P$1,"]")),MATCH(vp.data[[#This Row],[SDate]],weather.tbl[Date],0))</f>
        <v>17.5</v>
      </c>
      <c r="Q226" s="2">
        <f ca="1">INDEX(INDIRECT(_xlfn.CONCAT("weather.tbl[",Q$1,"]")),MATCH(vp.data[[#This Row],[SDate]],weather.tbl[Date],0))</f>
        <v>15.9</v>
      </c>
      <c r="R226" s="2">
        <f ca="1">INDEX(INDIRECT(_xlfn.CONCAT("weather.tbl[",R$1,"]")),MATCH(vp.data[[#This Row],[SDate]],weather.tbl[Date],0))</f>
        <v>18</v>
      </c>
      <c r="S226" s="2">
        <f ca="1">INDEX(INDIRECT(_xlfn.CONCAT("weather.tbl[",S$1,"]")),MATCH(vp.data[[#This Row],[SDate]],weather.tbl[Date],0))</f>
        <v>15.5</v>
      </c>
      <c r="T226" s="2">
        <f ca="1">INDEX(INDIRECT(_xlfn.CONCAT("weather.tbl[",T$1,"]")),MATCH(vp.data[[#This Row],[SDate]],weather.tbl[Date],0))</f>
        <v>18.600000000000001</v>
      </c>
      <c r="U226" s="2">
        <f ca="1">INDEX(INDIRECT(_xlfn.CONCAT("weather.tbl[",U$1,"]")),MATCH(vp.data[[#This Row],[SDate]],weather.tbl[Date],0))</f>
        <v>17</v>
      </c>
      <c r="V226" s="2">
        <f t="array" ref="V2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33284.18</v>
      </c>
      <c r="W226" t="s">
        <v>48</v>
      </c>
      <c r="X226">
        <f>IF(OR(vp.data[[#This Row],[Sulf]]="",vp.data[[#This Row],[Dens]]=""),1,0)</f>
        <v>0</v>
      </c>
      <c r="Y226">
        <f>IF(vp.data[[#This Row],[CrudeType]]="C5+",1,0)</f>
        <v>0</v>
      </c>
      <c r="Z226">
        <f>IF(AND(vp.data[[#This Row],[CrudeType]]="Crude",vp.data[[#This Row],[Dens]]&lt;=825,vp.data[[#This Row],[Sulf]]&gt;0.5,vp.data[[#This Row],[Unknown]]=0),1,0)</f>
        <v>0</v>
      </c>
      <c r="AA226">
        <f>IF(AND(vp.data[[#This Row],[CrudeType]]="Crude",vp.data[[#This Row],[Dens]]&lt;=825,vp.data[[#This Row],[Sulf]]&lt;=0.5,vp.data[[#This Row],[Unknown]]=0),1,0)</f>
        <v>1</v>
      </c>
      <c r="AB2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6">
        <f>IF(AND(vp.data[[#This Row],[CrudeType]]="Crude",vp.data[[#This Row],[Dens]]&gt;825,vp.data[[#This Row],[Dens]]&lt;=900,vp.data[[#This Row],[Sulf]]&lt;=0.5,vp.data[[#This Row],[Unknown]]=0),1,0)</f>
        <v>0</v>
      </c>
      <c r="AD226">
        <f>IF(AND(vp.data[[#This Row],[CrudeType]]="Crude",vp.data[[#This Row],[Dens]]&gt;865,vp.data[[#This Row],[Dens]]&lt;=900,vp.data[[#This Row],[Sulf]]&gt;2,vp.data[[#This Row],[Unknown]]=0),1,0)</f>
        <v>0</v>
      </c>
      <c r="AE226">
        <f>IF(AND(vp.data[[#This Row],[CrudeType]]="Crude",vp.data[[#This Row],[Dens]]&gt;900,vp.data[[#This Row],[Sulf]]&lt;=0.5,vp.data[[#This Row],[Unknown]]=0),1,0)</f>
        <v>0</v>
      </c>
      <c r="AF226">
        <f>IF(AND(vp.data[[#This Row],[CrudeType]]="Crude",vp.data[[#This Row],[Dens]]&gt;900,vp.data[[#This Row],[Sulf]]&lt;=0.5,vp.data[[#This Row],[Unknown]]=0),1,0)</f>
        <v>0</v>
      </c>
      <c r="AG226" t="str">
        <f>INDEX(vp.data[[#Headers],[Unknown]:[Heavy_SW]],MATCH(1,vp.data[[#This Row],[Unknown]:[Heavy_SW]],0))</f>
        <v>Light_SW</v>
      </c>
      <c r="AH226">
        <f>INDEX([3]!crudeBD.lkup[Number],MATCH(vp.data[[#This Row],[Crude_Breakdown]],crudeBD.lkup[Crude Breakdown],0))</f>
        <v>2</v>
      </c>
      <c r="AI226">
        <f>MONTH(vp.data[[#This Row],[SDate]])</f>
        <v>6</v>
      </c>
      <c r="AJ226" s="5">
        <f>(vp.data[[#This Row],[VP]]-INDEX(crudeBD.lkup[Mean_VP],MATCH(vp.data[[#This Row],[Crude_Breakdown]],crudeBD.lkup[Crude Breakdown],0)))^2</f>
        <v>422.3153886000789</v>
      </c>
      <c r="AK226" s="5">
        <f>(vp.data[[#This Row],[Dens]]-INDEX(crudeBD.lkup[Mean_Dens],MATCH(vp.data[[#This Row],[Crude_Breakdown]],crudeBD.lkup[Crude Breakdown],0)))^2</f>
        <v>18.589017227353068</v>
      </c>
      <c r="AL226" s="5">
        <f>(vp.data[[#This Row],[Sulf]]-INDEX(crudeBD.lkup[Mean_Sulf],MATCH(vp.data[[#This Row],[Crude_Breakdown]],crudeBD.lkup[Crude Breakdown],0)))^2</f>
        <v>9.2624863475336272E-3</v>
      </c>
      <c r="AM226" s="4">
        <f>IF(AND(vp.data[[#This Row],[SDate]]&gt;=DATE(YEAR(vp.data[[#This Row],[SDate]]),5,1),vp.data[[#This Row],[SDate]]&lt;=DATE(YEAR(vp.data[[#This Row],[SDate]]),9,15)),1,0)</f>
        <v>1</v>
      </c>
      <c r="AN226" s="4">
        <f>IF(vp.data[[#This Row],[SDate]]&lt;DATE(2016,12,1),0,1)</f>
        <v>0</v>
      </c>
      <c r="AO226" s="4">
        <f>IFERROR(vp.data[[#This Row],[Sulf]]*vp.data[[#This Row],[Net Dens]],"")</f>
        <v>3746467.3008000003</v>
      </c>
      <c r="AP226">
        <f>IFERROR(vp.data[[#This Row],[Dens]]*vp.data[[#This Row],[VolumeM3]],"")</f>
        <v>26760480.719999999</v>
      </c>
      <c r="AQ226" s="15">
        <f>IFERROR(vp.data[[#This Row],[VP]]*vp.data[[#This Row],[VolumeM3]],"")</f>
        <v>2396460.96</v>
      </c>
    </row>
    <row r="227" spans="1:43" x14ac:dyDescent="0.25">
      <c r="A227">
        <v>226</v>
      </c>
      <c r="B227" t="s">
        <v>49</v>
      </c>
      <c r="C227" t="s">
        <v>49</v>
      </c>
      <c r="D227" t="s">
        <v>67</v>
      </c>
      <c r="F227" s="1">
        <v>42536</v>
      </c>
      <c r="G227" s="2">
        <v>102.2</v>
      </c>
      <c r="H227" s="2"/>
      <c r="I227" s="2">
        <f t="array" ref="I22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27" s="2"/>
      <c r="K227" s="2"/>
      <c r="L227" s="2">
        <v>804.2</v>
      </c>
      <c r="M227" s="2">
        <f t="array" ref="M227">_xlfn.IFNA(IF(vp.data[[#This Row],[Dens Input]]="",INDEX([1]DATA!$O$3:$O$9826,MATCH(1,(vp.data[[#This Row],[Battery]]=[1]DATA!$L$3:$L$9826)*(EOMONTH(vp.data[[#This Row],[SDate]],-1)+1=[1]DATA!$G$3:$G$9826),0)),vp.data[[#This Row],[Dens Input]]),"")</f>
        <v>804.2</v>
      </c>
      <c r="N227" s="2">
        <f ca="1">INDEX(INDIRECT(_xlfn.CONCAT("weather.tbl[",N$1,"]")),MATCH(vp.data[[#This Row],[SDate]],weather.tbl[Date],0))</f>
        <v>17.083333333333332</v>
      </c>
      <c r="O227" s="2">
        <f ca="1">INDEX(INDIRECT(_xlfn.CONCAT("weather.tbl[",O$1,"]")),MATCH(vp.data[[#This Row],[SDate]],weather.tbl[Date],0))</f>
        <v>18.642857142857142</v>
      </c>
      <c r="P227" s="2">
        <f ca="1">INDEX(INDIRECT(_xlfn.CONCAT("weather.tbl[",P$1,"]")),MATCH(vp.data[[#This Row],[SDate]],weather.tbl[Date],0))</f>
        <v>17.5</v>
      </c>
      <c r="Q227" s="2">
        <f ca="1">INDEX(INDIRECT(_xlfn.CONCAT("weather.tbl[",Q$1,"]")),MATCH(vp.data[[#This Row],[SDate]],weather.tbl[Date],0))</f>
        <v>15.9</v>
      </c>
      <c r="R227" s="2">
        <f ca="1">INDEX(INDIRECT(_xlfn.CONCAT("weather.tbl[",R$1,"]")),MATCH(vp.data[[#This Row],[SDate]],weather.tbl[Date],0))</f>
        <v>18</v>
      </c>
      <c r="S227" s="2">
        <f ca="1">INDEX(INDIRECT(_xlfn.CONCAT("weather.tbl[",S$1,"]")),MATCH(vp.data[[#This Row],[SDate]],weather.tbl[Date],0))</f>
        <v>15.5</v>
      </c>
      <c r="T227" s="2">
        <f ca="1">INDEX(INDIRECT(_xlfn.CONCAT("weather.tbl[",T$1,"]")),MATCH(vp.data[[#This Row],[SDate]],weather.tbl[Date],0))</f>
        <v>18.600000000000001</v>
      </c>
      <c r="U227" s="2">
        <f ca="1">INDEX(INDIRECT(_xlfn.CONCAT("weather.tbl[",U$1,"]")),MATCH(vp.data[[#This Row],[SDate]],weather.tbl[Date],0))</f>
        <v>17</v>
      </c>
      <c r="V227" s="2">
        <f t="array" ref="V2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50694.305999999997</v>
      </c>
      <c r="W227" t="s">
        <v>48</v>
      </c>
      <c r="X227">
        <f>IF(OR(vp.data[[#This Row],[Sulf]]="",vp.data[[#This Row],[Dens]]=""),1,0)</f>
        <v>0</v>
      </c>
      <c r="Y227">
        <f>IF(vp.data[[#This Row],[CrudeType]]="C5+",1,0)</f>
        <v>0</v>
      </c>
      <c r="Z227">
        <f>IF(AND(vp.data[[#This Row],[CrudeType]]="Crude",vp.data[[#This Row],[Dens]]&lt;=825,vp.data[[#This Row],[Sulf]]&gt;0.5,vp.data[[#This Row],[Unknown]]=0),1,0)</f>
        <v>0</v>
      </c>
      <c r="AA227">
        <f>IF(AND(vp.data[[#This Row],[CrudeType]]="Crude",vp.data[[#This Row],[Dens]]&lt;=825,vp.data[[#This Row],[Sulf]]&lt;=0.5,vp.data[[#This Row],[Unknown]]=0),1,0)</f>
        <v>1</v>
      </c>
      <c r="AB2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27">
        <f>IF(AND(vp.data[[#This Row],[CrudeType]]="Crude",vp.data[[#This Row],[Dens]]&gt;825,vp.data[[#This Row],[Dens]]&lt;=900,vp.data[[#This Row],[Sulf]]&lt;=0.5,vp.data[[#This Row],[Unknown]]=0),1,0)</f>
        <v>0</v>
      </c>
      <c r="AD227">
        <f>IF(AND(vp.data[[#This Row],[CrudeType]]="Crude",vp.data[[#This Row],[Dens]]&gt;865,vp.data[[#This Row],[Dens]]&lt;=900,vp.data[[#This Row],[Sulf]]&gt;2,vp.data[[#This Row],[Unknown]]=0),1,0)</f>
        <v>0</v>
      </c>
      <c r="AE227">
        <f>IF(AND(vp.data[[#This Row],[CrudeType]]="Crude",vp.data[[#This Row],[Dens]]&gt;900,vp.data[[#This Row],[Sulf]]&lt;=0.5,vp.data[[#This Row],[Unknown]]=0),1,0)</f>
        <v>0</v>
      </c>
      <c r="AF227">
        <f>IF(AND(vp.data[[#This Row],[CrudeType]]="Crude",vp.data[[#This Row],[Dens]]&gt;900,vp.data[[#This Row],[Sulf]]&lt;=0.5,vp.data[[#This Row],[Unknown]]=0),1,0)</f>
        <v>0</v>
      </c>
      <c r="AG227" t="str">
        <f>INDEX(vp.data[[#Headers],[Unknown]:[Heavy_SW]],MATCH(1,vp.data[[#This Row],[Unknown]:[Heavy_SW]],0))</f>
        <v>Light_SW</v>
      </c>
      <c r="AH227">
        <f>INDEX([3]!crudeBD.lkup[Number],MATCH(vp.data[[#This Row],[Crude_Breakdown]],crudeBD.lkup[Crude Breakdown],0))</f>
        <v>2</v>
      </c>
      <c r="AI227">
        <f>MONTH(vp.data[[#This Row],[SDate]])</f>
        <v>6</v>
      </c>
      <c r="AJ227" s="5">
        <f>(vp.data[[#This Row],[VP]]-INDEX(crudeBD.lkup[Mean_VP],MATCH(vp.data[[#This Row],[Crude_Breakdown]],crudeBD.lkup[Crude Breakdown],0)))^2</f>
        <v>93.116447833530231</v>
      </c>
      <c r="AK227" s="5">
        <f>(vp.data[[#This Row],[Dens]]-INDEX(crudeBD.lkup[Mean_Dens],MATCH(vp.data[[#This Row],[Crude_Breakdown]],crudeBD.lkup[Crude Breakdown],0)))^2</f>
        <v>16.904417924216894</v>
      </c>
      <c r="AL227" s="5">
        <f>(vp.data[[#This Row],[Sulf]]-INDEX(crudeBD.lkup[Mean_Sulf],MATCH(vp.data[[#This Row],[Crude_Breakdown]],crudeBD.lkup[Crude Breakdown],0)))^2</f>
        <v>6.8863268899706654E-4</v>
      </c>
      <c r="AM227" s="4">
        <f>IF(AND(vp.data[[#This Row],[SDate]]&gt;=DATE(YEAR(vp.data[[#This Row],[SDate]]),5,1),vp.data[[#This Row],[SDate]]&lt;=DATE(YEAR(vp.data[[#This Row],[SDate]]),9,15)),1,0)</f>
        <v>1</v>
      </c>
      <c r="AN227" s="4">
        <f>IF(vp.data[[#This Row],[SDate]]&lt;DATE(2016,12,1),0,1)</f>
        <v>0</v>
      </c>
      <c r="AO227" s="4">
        <f>IFERROR(vp.data[[#This Row],[Sulf]]*vp.data[[#This Row],[Net Dens]],"")</f>
        <v>8561355.7858920004</v>
      </c>
      <c r="AP227">
        <f>IFERROR(vp.data[[#This Row],[Dens]]*vp.data[[#This Row],[VolumeM3]],"")</f>
        <v>40768360.885200001</v>
      </c>
      <c r="AQ227" s="15">
        <f>IFERROR(vp.data[[#This Row],[VP]]*vp.data[[#This Row],[VolumeM3]],"")</f>
        <v>5180958.0731999995</v>
      </c>
    </row>
    <row r="228" spans="1:43" x14ac:dyDescent="0.25">
      <c r="A228">
        <v>227</v>
      </c>
      <c r="B228" t="s">
        <v>51</v>
      </c>
      <c r="C228" t="s">
        <v>51</v>
      </c>
      <c r="D228" t="s">
        <v>58</v>
      </c>
      <c r="F228" s="1">
        <v>42537</v>
      </c>
      <c r="G228" s="2">
        <v>72.8</v>
      </c>
      <c r="H228" s="2"/>
      <c r="I228" s="2">
        <f t="array" ref="I228">_xlfn.IFNA(IF(vp.data[[#This Row],[Sulf Input]]="",INDEX([1]DATA!$Q$3:$Q$9826,MATCH(1,(vp.data[[#This Row],[Battery]]=[1]DATA!$L$3:$L$9826)*(EOMONTH(vp.data[[#This Row],[SDate]],-1)+1=[1]DATA!$G$3:$G$9826),0)),vp.data[[#This Row],[Sulf Input]]),"")</f>
        <v>1.35</v>
      </c>
      <c r="J228" s="2"/>
      <c r="K228" s="2"/>
      <c r="L228" s="2">
        <v>826</v>
      </c>
      <c r="M228" s="2">
        <f t="array" ref="M228">_xlfn.IFNA(IF(vp.data[[#This Row],[Dens Input]]="",INDEX([1]DATA!$O$3:$O$9826,MATCH(1,(vp.data[[#This Row],[Battery]]=[1]DATA!$L$3:$L$9826)*(EOMONTH(vp.data[[#This Row],[SDate]],-1)+1=[1]DATA!$G$3:$G$9826),0)),vp.data[[#This Row],[Dens Input]]),"")</f>
        <v>826</v>
      </c>
      <c r="N228" s="2">
        <f ca="1">INDEX(INDIRECT(_xlfn.CONCAT("weather.tbl[",N$1,"]")),MATCH(vp.data[[#This Row],[SDate]],weather.tbl[Date],0))</f>
        <v>20.166666666666668</v>
      </c>
      <c r="O228" s="2">
        <f ca="1">INDEX(INDIRECT(_xlfn.CONCAT("weather.tbl[",O$1,"]")),MATCH(vp.data[[#This Row],[SDate]],weather.tbl[Date],0))</f>
        <v>18.204761904761906</v>
      </c>
      <c r="P228" s="2">
        <f ca="1">INDEX(INDIRECT(_xlfn.CONCAT("weather.tbl[",P$1,"]")),MATCH(vp.data[[#This Row],[SDate]],weather.tbl[Date],0))</f>
        <v>20.8</v>
      </c>
      <c r="Q228" s="2">
        <f ca="1">INDEX(INDIRECT(_xlfn.CONCAT("weather.tbl[",Q$1,"]")),MATCH(vp.data[[#This Row],[SDate]],weather.tbl[Date],0))</f>
        <v>20.399999999999999</v>
      </c>
      <c r="R228" s="2">
        <f ca="1">INDEX(INDIRECT(_xlfn.CONCAT("weather.tbl[",R$1,"]")),MATCH(vp.data[[#This Row],[SDate]],weather.tbl[Date],0))</f>
        <v>20.5</v>
      </c>
      <c r="S228" s="2">
        <f ca="1">INDEX(INDIRECT(_xlfn.CONCAT("weather.tbl[",S$1,"]")),MATCH(vp.data[[#This Row],[SDate]],weather.tbl[Date],0))</f>
        <v>19.3</v>
      </c>
      <c r="T228" s="2">
        <f ca="1">INDEX(INDIRECT(_xlfn.CONCAT("weather.tbl[",T$1,"]")),MATCH(vp.data[[#This Row],[SDate]],weather.tbl[Date],0))</f>
        <v>22</v>
      </c>
      <c r="U228" s="2">
        <f ca="1">INDEX(INDIRECT(_xlfn.CONCAT("weather.tbl[",U$1,"]")),MATCH(vp.data[[#This Row],[SDate]],weather.tbl[Date],0))</f>
        <v>18</v>
      </c>
      <c r="V228" s="2">
        <f t="array" ref="V2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5684.973</v>
      </c>
      <c r="W228" t="s">
        <v>48</v>
      </c>
      <c r="X228">
        <f>IF(OR(vp.data[[#This Row],[Sulf]]="",vp.data[[#This Row],[Dens]]=""),1,0)</f>
        <v>0</v>
      </c>
      <c r="Y228">
        <f>IF(vp.data[[#This Row],[CrudeType]]="C5+",1,0)</f>
        <v>0</v>
      </c>
      <c r="Z228">
        <f>IF(AND(vp.data[[#This Row],[CrudeType]]="Crude",vp.data[[#This Row],[Dens]]&lt;=825,vp.data[[#This Row],[Sulf]]&gt;0.5,vp.data[[#This Row],[Unknown]]=0),1,0)</f>
        <v>0</v>
      </c>
      <c r="AA228">
        <f>IF(AND(vp.data[[#This Row],[CrudeType]]="Crude",vp.data[[#This Row],[Dens]]&lt;=825,vp.data[[#This Row],[Sulf]]&lt;=0.5,vp.data[[#This Row],[Unknown]]=0),1,0)</f>
        <v>0</v>
      </c>
      <c r="AB2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28">
        <f>IF(AND(vp.data[[#This Row],[CrudeType]]="Crude",vp.data[[#This Row],[Dens]]&gt;825,vp.data[[#This Row],[Dens]]&lt;=900,vp.data[[#This Row],[Sulf]]&lt;=0.5,vp.data[[#This Row],[Unknown]]=0),1,0)</f>
        <v>0</v>
      </c>
      <c r="AD228">
        <f>IF(AND(vp.data[[#This Row],[CrudeType]]="Crude",vp.data[[#This Row],[Dens]]&gt;865,vp.data[[#This Row],[Dens]]&lt;=900,vp.data[[#This Row],[Sulf]]&gt;2,vp.data[[#This Row],[Unknown]]=0),1,0)</f>
        <v>0</v>
      </c>
      <c r="AE228">
        <f>IF(AND(vp.data[[#This Row],[CrudeType]]="Crude",vp.data[[#This Row],[Dens]]&gt;900,vp.data[[#This Row],[Sulf]]&lt;=0.5,vp.data[[#This Row],[Unknown]]=0),1,0)</f>
        <v>0</v>
      </c>
      <c r="AF228">
        <f>IF(AND(vp.data[[#This Row],[CrudeType]]="Crude",vp.data[[#This Row],[Dens]]&gt;900,vp.data[[#This Row],[Sulf]]&lt;=0.5,vp.data[[#This Row],[Unknown]]=0),1,0)</f>
        <v>0</v>
      </c>
      <c r="AG228" t="str">
        <f>INDEX(vp.data[[#Headers],[Unknown]:[Heavy_SW]],MATCH(1,vp.data[[#This Row],[Unknown]:[Heavy_SW]],0))</f>
        <v>Medium_LSB</v>
      </c>
      <c r="AH228">
        <f>INDEX([3]!crudeBD.lkup[Number],MATCH(vp.data[[#This Row],[Crude_Breakdown]],crudeBD.lkup[Crude Breakdown],0))</f>
        <v>3</v>
      </c>
      <c r="AI228">
        <f>MONTH(vp.data[[#This Row],[SDate]])</f>
        <v>6</v>
      </c>
      <c r="AJ228" s="5">
        <f>(vp.data[[#This Row],[VP]]-INDEX(crudeBD.lkup[Mean_VP],MATCH(vp.data[[#This Row],[Crude_Breakdown]],crudeBD.lkup[Crude Breakdown],0)))^2</f>
        <v>61.460528406505702</v>
      </c>
      <c r="AK228" s="5">
        <f>(vp.data[[#This Row],[Dens]]-INDEX(crudeBD.lkup[Mean_Dens],MATCH(vp.data[[#This Row],[Crude_Breakdown]],crudeBD.lkup[Crude Breakdown],0)))^2</f>
        <v>321.12639999998225</v>
      </c>
      <c r="AL228" s="5">
        <f>(vp.data[[#This Row],[Sulf]]-INDEX(crudeBD.lkup[Mean_Sulf],MATCH(vp.data[[#This Row],[Crude_Breakdown]],crudeBD.lkup[Crude Breakdown],0)))^2</f>
        <v>1.2537354353153419E-3</v>
      </c>
      <c r="AM228" s="4">
        <f>IF(AND(vp.data[[#This Row],[SDate]]&gt;=DATE(YEAR(vp.data[[#This Row],[SDate]]),5,1),vp.data[[#This Row],[SDate]]&lt;=DATE(YEAR(vp.data[[#This Row],[SDate]]),9,15)),1,0)</f>
        <v>1</v>
      </c>
      <c r="AN228" s="4">
        <f>IF(vp.data[[#This Row],[SDate]]&lt;DATE(2016,12,1),0,1)</f>
        <v>0</v>
      </c>
      <c r="AO228" s="4">
        <f>IFERROR(vp.data[[#This Row],[Sulf]]*vp.data[[#This Row],[Net Dens]],"")</f>
        <v>6339313.3923000004</v>
      </c>
      <c r="AP228">
        <f>IFERROR(vp.data[[#This Row],[Dens]]*vp.data[[#This Row],[VolumeM3]],"")</f>
        <v>4695787.6979999999</v>
      </c>
      <c r="AQ228" s="15">
        <f>IFERROR(vp.data[[#This Row],[VP]]*vp.data[[#This Row],[VolumeM3]],"")</f>
        <v>413866.0344</v>
      </c>
    </row>
    <row r="229" spans="1:43" x14ac:dyDescent="0.25">
      <c r="A229">
        <v>228</v>
      </c>
      <c r="B229" t="s">
        <v>56</v>
      </c>
      <c r="C229" t="s">
        <v>56</v>
      </c>
      <c r="D229" t="s">
        <v>57</v>
      </c>
      <c r="F229" s="1">
        <v>42538</v>
      </c>
      <c r="G229" s="2">
        <v>88.1</v>
      </c>
      <c r="H229" s="2"/>
      <c r="I229" s="2">
        <f t="array" ref="I229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229" s="2"/>
      <c r="K229" s="2"/>
      <c r="L229" s="2">
        <v>835</v>
      </c>
      <c r="M229" s="2">
        <f t="array" ref="M229">_xlfn.IFNA(IF(vp.data[[#This Row],[Dens Input]]="",INDEX([1]DATA!$O$3:$O$9826,MATCH(1,(vp.data[[#This Row],[Battery]]=[1]DATA!$L$3:$L$9826)*(EOMONTH(vp.data[[#This Row],[SDate]],-1)+1=[1]DATA!$G$3:$G$9826),0)),vp.data[[#This Row],[Dens Input]]),"")</f>
        <v>835</v>
      </c>
      <c r="N229" s="2">
        <f ca="1">INDEX(INDIRECT(_xlfn.CONCAT("weather.tbl[",N$1,"]")),MATCH(vp.data[[#This Row],[SDate]],weather.tbl[Date],0))</f>
        <v>17.650000000000002</v>
      </c>
      <c r="O229" s="2">
        <f ca="1">INDEX(INDIRECT(_xlfn.CONCAT("weather.tbl[",O$1,"]")),MATCH(vp.data[[#This Row],[SDate]],weather.tbl[Date],0))</f>
        <v>17.733333333333334</v>
      </c>
      <c r="P229" s="2">
        <f ca="1">INDEX(INDIRECT(_xlfn.CONCAT("weather.tbl[",P$1,"]")),MATCH(vp.data[[#This Row],[SDate]],weather.tbl[Date],0))</f>
        <v>18.100000000000001</v>
      </c>
      <c r="Q229" s="2">
        <f ca="1">INDEX(INDIRECT(_xlfn.CONCAT("weather.tbl[",Q$1,"]")),MATCH(vp.data[[#This Row],[SDate]],weather.tbl[Date],0))</f>
        <v>16.600000000000001</v>
      </c>
      <c r="R229" s="2">
        <f ca="1">INDEX(INDIRECT(_xlfn.CONCAT("weather.tbl[",R$1,"]")),MATCH(vp.data[[#This Row],[SDate]],weather.tbl[Date],0))</f>
        <v>18.5</v>
      </c>
      <c r="S229" s="2">
        <f ca="1">INDEX(INDIRECT(_xlfn.CONCAT("weather.tbl[",S$1,"]")),MATCH(vp.data[[#This Row],[SDate]],weather.tbl[Date],0))</f>
        <v>17</v>
      </c>
      <c r="T229" s="2">
        <f ca="1">INDEX(INDIRECT(_xlfn.CONCAT("weather.tbl[",T$1,"]")),MATCH(vp.data[[#This Row],[SDate]],weather.tbl[Date],0))</f>
        <v>19.2</v>
      </c>
      <c r="U229" s="2">
        <f ca="1">INDEX(INDIRECT(_xlfn.CONCAT("weather.tbl[",U$1,"]")),MATCH(vp.data[[#This Row],[SDate]],weather.tbl[Date],0))</f>
        <v>16.5</v>
      </c>
      <c r="V229" s="2">
        <f t="array" ref="V2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3243.116</v>
      </c>
      <c r="W229" t="s">
        <v>48</v>
      </c>
      <c r="X229">
        <f>IF(OR(vp.data[[#This Row],[Sulf]]="",vp.data[[#This Row],[Dens]]=""),1,0)</f>
        <v>0</v>
      </c>
      <c r="Y229">
        <f>IF(vp.data[[#This Row],[CrudeType]]="C5+",1,0)</f>
        <v>0</v>
      </c>
      <c r="Z229">
        <f>IF(AND(vp.data[[#This Row],[CrudeType]]="Crude",vp.data[[#This Row],[Dens]]&lt;=825,vp.data[[#This Row],[Sulf]]&gt;0.5,vp.data[[#This Row],[Unknown]]=0),1,0)</f>
        <v>0</v>
      </c>
      <c r="AA229">
        <f>IF(AND(vp.data[[#This Row],[CrudeType]]="Crude",vp.data[[#This Row],[Dens]]&lt;=825,vp.data[[#This Row],[Sulf]]&lt;=0.5,vp.data[[#This Row],[Unknown]]=0),1,0)</f>
        <v>0</v>
      </c>
      <c r="AB2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29">
        <f>IF(AND(vp.data[[#This Row],[CrudeType]]="Crude",vp.data[[#This Row],[Dens]]&gt;825,vp.data[[#This Row],[Dens]]&lt;=900,vp.data[[#This Row],[Sulf]]&lt;=0.5,vp.data[[#This Row],[Unknown]]=0),1,0)</f>
        <v>0</v>
      </c>
      <c r="AD229">
        <f>IF(AND(vp.data[[#This Row],[CrudeType]]="Crude",vp.data[[#This Row],[Dens]]&gt;865,vp.data[[#This Row],[Dens]]&lt;=900,vp.data[[#This Row],[Sulf]]&gt;2,vp.data[[#This Row],[Unknown]]=0),1,0)</f>
        <v>0</v>
      </c>
      <c r="AE229">
        <f>IF(AND(vp.data[[#This Row],[CrudeType]]="Crude",vp.data[[#This Row],[Dens]]&gt;900,vp.data[[#This Row],[Sulf]]&lt;=0.5,vp.data[[#This Row],[Unknown]]=0),1,0)</f>
        <v>0</v>
      </c>
      <c r="AF229">
        <f>IF(AND(vp.data[[#This Row],[CrudeType]]="Crude",vp.data[[#This Row],[Dens]]&gt;900,vp.data[[#This Row],[Sulf]]&lt;=0.5,vp.data[[#This Row],[Unknown]]=0),1,0)</f>
        <v>0</v>
      </c>
      <c r="AG229" t="str">
        <f>INDEX(vp.data[[#Headers],[Unknown]:[Heavy_SW]],MATCH(1,vp.data[[#This Row],[Unknown]:[Heavy_SW]],0))</f>
        <v>Medium_LSB</v>
      </c>
      <c r="AH229">
        <f>INDEX([3]!crudeBD.lkup[Number],MATCH(vp.data[[#This Row],[Crude_Breakdown]],crudeBD.lkup[Crude Breakdown],0))</f>
        <v>3</v>
      </c>
      <c r="AI229">
        <f>MONTH(vp.data[[#This Row],[SDate]])</f>
        <v>6</v>
      </c>
      <c r="AJ229" s="5">
        <f>(vp.data[[#This Row],[VP]]-INDEX(crudeBD.lkup[Mean_VP],MATCH(vp.data[[#This Row],[Crude_Breakdown]],crudeBD.lkup[Crude Breakdown],0)))^2</f>
        <v>55.656425980631752</v>
      </c>
      <c r="AK229" s="5">
        <f>(vp.data[[#This Row],[Dens]]-INDEX(crudeBD.lkup[Mean_Dens],MATCH(vp.data[[#This Row],[Crude_Breakdown]],crudeBD.lkup[Crude Breakdown],0)))^2</f>
        <v>79.566399999991162</v>
      </c>
      <c r="AL229" s="5">
        <f>(vp.data[[#This Row],[Sulf]]-INDEX(crudeBD.lkup[Mean_Sulf],MATCH(vp.data[[#This Row],[Crude_Breakdown]],crudeBD.lkup[Crude Breakdown],0)))^2</f>
        <v>5.9825184491918218E-2</v>
      </c>
      <c r="AM229" s="4">
        <f>IF(AND(vp.data[[#This Row],[SDate]]&gt;=DATE(YEAR(vp.data[[#This Row],[SDate]]),5,1),vp.data[[#This Row],[SDate]]&lt;=DATE(YEAR(vp.data[[#This Row],[SDate]]),9,15)),1,0)</f>
        <v>1</v>
      </c>
      <c r="AN229" s="4">
        <f>IF(vp.data[[#This Row],[SDate]]&lt;DATE(2016,12,1),0,1)</f>
        <v>0</v>
      </c>
      <c r="AO229" s="4">
        <f>IFERROR(vp.data[[#This Row],[Sulf]]*vp.data[[#This Row],[Net Dens]],"")</f>
        <v>4414043.0317999991</v>
      </c>
      <c r="AP229">
        <f>IFERROR(vp.data[[#This Row],[Dens]]*vp.data[[#This Row],[VolumeM3]],"")</f>
        <v>2708001.86</v>
      </c>
      <c r="AQ229" s="15">
        <f>IFERROR(vp.data[[#This Row],[VP]]*vp.data[[#This Row],[VolumeM3]],"")</f>
        <v>285718.5196</v>
      </c>
    </row>
    <row r="230" spans="1:43" x14ac:dyDescent="0.25">
      <c r="A230">
        <v>229</v>
      </c>
      <c r="B230" t="s">
        <v>60</v>
      </c>
      <c r="C230" t="s">
        <v>60</v>
      </c>
      <c r="D230" t="s">
        <v>61</v>
      </c>
      <c r="E230" t="s">
        <v>73</v>
      </c>
      <c r="F230" s="1">
        <v>42544</v>
      </c>
      <c r="G230" s="2">
        <v>55.2</v>
      </c>
      <c r="H230" s="2"/>
      <c r="I230" s="2">
        <f t="array" ref="I230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30" s="2"/>
      <c r="K230" s="2"/>
      <c r="L230" s="2"/>
      <c r="M230" s="2">
        <f t="array" ref="M230">_xlfn.IFNA(IF(vp.data[[#This Row],[Dens Input]]="",INDEX([1]DATA!$O$3:$O$9826,MATCH(1,(vp.data[[#This Row],[Battery]]=[1]DATA!$L$3:$L$9826)*(EOMONTH(vp.data[[#This Row],[SDate]],-1)+1=[1]DATA!$G$3:$G$9826),0)),vp.data[[#This Row],[Dens Input]]),"")</f>
        <v>823.8</v>
      </c>
      <c r="N230" s="2">
        <f ca="1">INDEX(INDIRECT(_xlfn.CONCAT("weather.tbl[",N$1,"]")),MATCH(vp.data[[#This Row],[SDate]],weather.tbl[Date],0))</f>
        <v>17.233333333333334</v>
      </c>
      <c r="O230" s="2">
        <f ca="1">INDEX(INDIRECT(_xlfn.CONCAT("weather.tbl[",O$1,"]")),MATCH(vp.data[[#This Row],[SDate]],weather.tbl[Date],0))</f>
        <v>17.114285714285714</v>
      </c>
      <c r="P230" s="2">
        <f ca="1">INDEX(INDIRECT(_xlfn.CONCAT("weather.tbl[",P$1,"]")),MATCH(vp.data[[#This Row],[SDate]],weather.tbl[Date],0))</f>
        <v>16.7</v>
      </c>
      <c r="Q230" s="2">
        <f ca="1">INDEX(INDIRECT(_xlfn.CONCAT("weather.tbl[",Q$1,"]")),MATCH(vp.data[[#This Row],[SDate]],weather.tbl[Date],0))</f>
        <v>17.3</v>
      </c>
      <c r="R230" s="2">
        <f ca="1">INDEX(INDIRECT(_xlfn.CONCAT("weather.tbl[",R$1,"]")),MATCH(vp.data[[#This Row],[SDate]],weather.tbl[Date],0))</f>
        <v>15.3</v>
      </c>
      <c r="S230" s="2">
        <f ca="1">INDEX(INDIRECT(_xlfn.CONCAT("weather.tbl[",S$1,"]")),MATCH(vp.data[[#This Row],[SDate]],weather.tbl[Date],0))</f>
        <v>21</v>
      </c>
      <c r="T230" s="2">
        <f ca="1">INDEX(INDIRECT(_xlfn.CONCAT("weather.tbl[",T$1,"]")),MATCH(vp.data[[#This Row],[SDate]],weather.tbl[Date],0))</f>
        <v>16.600000000000001</v>
      </c>
      <c r="U230" s="2">
        <f ca="1">INDEX(INDIRECT(_xlfn.CONCAT("weather.tbl[",U$1,"]")),MATCH(vp.data[[#This Row],[SDate]],weather.tbl[Date],0))</f>
        <v>16.5</v>
      </c>
      <c r="V230" s="2">
        <f t="array" ref="V2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30" t="s">
        <v>48</v>
      </c>
      <c r="X230">
        <f>IF(OR(vp.data[[#This Row],[Sulf]]="",vp.data[[#This Row],[Dens]]=""),1,0)</f>
        <v>0</v>
      </c>
      <c r="Y230">
        <f>IF(vp.data[[#This Row],[CrudeType]]="C5+",1,0)</f>
        <v>0</v>
      </c>
      <c r="Z230">
        <f>IF(AND(vp.data[[#This Row],[CrudeType]]="Crude",vp.data[[#This Row],[Dens]]&lt;=825,vp.data[[#This Row],[Sulf]]&gt;0.5,vp.data[[#This Row],[Unknown]]=0),1,0)</f>
        <v>1</v>
      </c>
      <c r="AA230">
        <f>IF(AND(vp.data[[#This Row],[CrudeType]]="Crude",vp.data[[#This Row],[Dens]]&lt;=825,vp.data[[#This Row],[Sulf]]&lt;=0.5,vp.data[[#This Row],[Unknown]]=0),1,0)</f>
        <v>0</v>
      </c>
      <c r="AB2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0">
        <f>IF(AND(vp.data[[#This Row],[CrudeType]]="Crude",vp.data[[#This Row],[Dens]]&gt;825,vp.data[[#This Row],[Dens]]&lt;=900,vp.data[[#This Row],[Sulf]]&lt;=0.5,vp.data[[#This Row],[Unknown]]=0),1,0)</f>
        <v>0</v>
      </c>
      <c r="AD230">
        <f>IF(AND(vp.data[[#This Row],[CrudeType]]="Crude",vp.data[[#This Row],[Dens]]&gt;865,vp.data[[#This Row],[Dens]]&lt;=900,vp.data[[#This Row],[Sulf]]&gt;2,vp.data[[#This Row],[Unknown]]=0),1,0)</f>
        <v>0</v>
      </c>
      <c r="AE230">
        <f>IF(AND(vp.data[[#This Row],[CrudeType]]="Crude",vp.data[[#This Row],[Dens]]&gt;900,vp.data[[#This Row],[Sulf]]&lt;=0.5,vp.data[[#This Row],[Unknown]]=0),1,0)</f>
        <v>0</v>
      </c>
      <c r="AF230">
        <f>IF(AND(vp.data[[#This Row],[CrudeType]]="Crude",vp.data[[#This Row],[Dens]]&gt;900,vp.data[[#This Row],[Sulf]]&lt;=0.5,vp.data[[#This Row],[Unknown]]=0),1,0)</f>
        <v>0</v>
      </c>
      <c r="AG230" t="str">
        <f>INDEX(vp.data[[#Headers],[Unknown]:[Heavy_SW]],MATCH(1,vp.data[[#This Row],[Unknown]:[Heavy_SW]],0))</f>
        <v>Light_LSB</v>
      </c>
      <c r="AH230">
        <f>INDEX([3]!crudeBD.lkup[Number],MATCH(vp.data[[#This Row],[Crude_Breakdown]],crudeBD.lkup[Crude Breakdown],0))</f>
        <v>1</v>
      </c>
      <c r="AI230">
        <f>MONTH(vp.data[[#This Row],[SDate]])</f>
        <v>6</v>
      </c>
      <c r="AJ230" s="5">
        <f>(vp.data[[#This Row],[VP]]-INDEX(crudeBD.lkup[Mean_VP],MATCH(vp.data[[#This Row],[Crude_Breakdown]],crudeBD.lkup[Crude Breakdown],0)))^2</f>
        <v>1321.0452052715505</v>
      </c>
      <c r="AK230" s="5">
        <f>(vp.data[[#This Row],[Dens]]-INDEX(crudeBD.lkup[Mean_Dens],MATCH(vp.data[[#This Row],[Crude_Breakdown]],crudeBD.lkup[Crude Breakdown],0)))^2</f>
        <v>27.912521774663034</v>
      </c>
      <c r="AL230" s="5">
        <f>(vp.data[[#This Row],[Sulf]]-INDEX(crudeBD.lkup[Mean_Sulf],MATCH(vp.data[[#This Row],[Crude_Breakdown]],crudeBD.lkup[Crude Breakdown],0)))^2</f>
        <v>5.1542090384526708E-2</v>
      </c>
      <c r="AM230" s="4">
        <f>IF(AND(vp.data[[#This Row],[SDate]]&gt;=DATE(YEAR(vp.data[[#This Row],[SDate]]),5,1),vp.data[[#This Row],[SDate]]&lt;=DATE(YEAR(vp.data[[#This Row],[SDate]]),9,15)),1,0)</f>
        <v>1</v>
      </c>
      <c r="AN230" s="4">
        <f>IF(vp.data[[#This Row],[SDate]]&lt;DATE(2016,12,1),0,1)</f>
        <v>0</v>
      </c>
      <c r="AO230" s="4">
        <f>IFERROR(vp.data[[#This Row],[Sulf]]*vp.data[[#This Row],[Net Dens]],"")</f>
        <v>98590764.738719985</v>
      </c>
      <c r="AP230">
        <f>IFERROR(vp.data[[#This Row],[Dens]]*vp.data[[#This Row],[VolumeM3]],"")</f>
        <v>85731099.772799999</v>
      </c>
      <c r="AQ230" s="15">
        <f>IFERROR(vp.data[[#This Row],[VP]]*vp.data[[#This Row],[VolumeM3]],"")</f>
        <v>5744545.6512000002</v>
      </c>
    </row>
    <row r="231" spans="1:43" x14ac:dyDescent="0.25">
      <c r="A231">
        <v>230</v>
      </c>
      <c r="B231" t="s">
        <v>49</v>
      </c>
      <c r="C231" t="s">
        <v>49</v>
      </c>
      <c r="D231" t="s">
        <v>67</v>
      </c>
      <c r="F231" s="1">
        <v>42544</v>
      </c>
      <c r="G231" s="2">
        <v>99.5</v>
      </c>
      <c r="H231" s="2"/>
      <c r="I231" s="2">
        <f t="array" ref="I231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31" s="2"/>
      <c r="K231" s="2"/>
      <c r="L231" s="2">
        <v>803.4</v>
      </c>
      <c r="M231" s="2">
        <f t="array" ref="M231">_xlfn.IFNA(IF(vp.data[[#This Row],[Dens Input]]="",INDEX([1]DATA!$O$3:$O$9826,MATCH(1,(vp.data[[#This Row],[Battery]]=[1]DATA!$L$3:$L$9826)*(EOMONTH(vp.data[[#This Row],[SDate]],-1)+1=[1]DATA!$G$3:$G$9826),0)),vp.data[[#This Row],[Dens Input]]),"")</f>
        <v>803.4</v>
      </c>
      <c r="N231" s="2">
        <f ca="1">INDEX(INDIRECT(_xlfn.CONCAT("weather.tbl[",N$1,"]")),MATCH(vp.data[[#This Row],[SDate]],weather.tbl[Date],0))</f>
        <v>17.233333333333334</v>
      </c>
      <c r="O231" s="2">
        <f ca="1">INDEX(INDIRECT(_xlfn.CONCAT("weather.tbl[",O$1,"]")),MATCH(vp.data[[#This Row],[SDate]],weather.tbl[Date],0))</f>
        <v>17.114285714285714</v>
      </c>
      <c r="P231" s="2">
        <f ca="1">INDEX(INDIRECT(_xlfn.CONCAT("weather.tbl[",P$1,"]")),MATCH(vp.data[[#This Row],[SDate]],weather.tbl[Date],0))</f>
        <v>16.7</v>
      </c>
      <c r="Q231" s="2">
        <f ca="1">INDEX(INDIRECT(_xlfn.CONCAT("weather.tbl[",Q$1,"]")),MATCH(vp.data[[#This Row],[SDate]],weather.tbl[Date],0))</f>
        <v>17.3</v>
      </c>
      <c r="R231" s="2">
        <f ca="1">INDEX(INDIRECT(_xlfn.CONCAT("weather.tbl[",R$1,"]")),MATCH(vp.data[[#This Row],[SDate]],weather.tbl[Date],0))</f>
        <v>15.3</v>
      </c>
      <c r="S231" s="2">
        <f ca="1">INDEX(INDIRECT(_xlfn.CONCAT("weather.tbl[",S$1,"]")),MATCH(vp.data[[#This Row],[SDate]],weather.tbl[Date],0))</f>
        <v>21</v>
      </c>
      <c r="T231" s="2">
        <f ca="1">INDEX(INDIRECT(_xlfn.CONCAT("weather.tbl[",T$1,"]")),MATCH(vp.data[[#This Row],[SDate]],weather.tbl[Date],0))</f>
        <v>16.600000000000001</v>
      </c>
      <c r="U231" s="2">
        <f ca="1">INDEX(INDIRECT(_xlfn.CONCAT("weather.tbl[",U$1,"]")),MATCH(vp.data[[#This Row],[SDate]],weather.tbl[Date],0))</f>
        <v>16.5</v>
      </c>
      <c r="V231" s="2">
        <f t="array" ref="V2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50694.305999999997</v>
      </c>
      <c r="W231" t="s">
        <v>48</v>
      </c>
      <c r="X231">
        <f>IF(OR(vp.data[[#This Row],[Sulf]]="",vp.data[[#This Row],[Dens]]=""),1,0)</f>
        <v>0</v>
      </c>
      <c r="Y231">
        <f>IF(vp.data[[#This Row],[CrudeType]]="C5+",1,0)</f>
        <v>0</v>
      </c>
      <c r="Z231">
        <f>IF(AND(vp.data[[#This Row],[CrudeType]]="Crude",vp.data[[#This Row],[Dens]]&lt;=825,vp.data[[#This Row],[Sulf]]&gt;0.5,vp.data[[#This Row],[Unknown]]=0),1,0)</f>
        <v>0</v>
      </c>
      <c r="AA231">
        <f>IF(AND(vp.data[[#This Row],[CrudeType]]="Crude",vp.data[[#This Row],[Dens]]&lt;=825,vp.data[[#This Row],[Sulf]]&lt;=0.5,vp.data[[#This Row],[Unknown]]=0),1,0)</f>
        <v>1</v>
      </c>
      <c r="AB2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1">
        <f>IF(AND(vp.data[[#This Row],[CrudeType]]="Crude",vp.data[[#This Row],[Dens]]&gt;825,vp.data[[#This Row],[Dens]]&lt;=900,vp.data[[#This Row],[Sulf]]&lt;=0.5,vp.data[[#This Row],[Unknown]]=0),1,0)</f>
        <v>0</v>
      </c>
      <c r="AD231">
        <f>IF(AND(vp.data[[#This Row],[CrudeType]]="Crude",vp.data[[#This Row],[Dens]]&gt;865,vp.data[[#This Row],[Dens]]&lt;=900,vp.data[[#This Row],[Sulf]]&gt;2,vp.data[[#This Row],[Unknown]]=0),1,0)</f>
        <v>0</v>
      </c>
      <c r="AE231">
        <f>IF(AND(vp.data[[#This Row],[CrudeType]]="Crude",vp.data[[#This Row],[Dens]]&gt;900,vp.data[[#This Row],[Sulf]]&lt;=0.5,vp.data[[#This Row],[Unknown]]=0),1,0)</f>
        <v>0</v>
      </c>
      <c r="AF231">
        <f>IF(AND(vp.data[[#This Row],[CrudeType]]="Crude",vp.data[[#This Row],[Dens]]&gt;900,vp.data[[#This Row],[Sulf]]&lt;=0.5,vp.data[[#This Row],[Unknown]]=0),1,0)</f>
        <v>0</v>
      </c>
      <c r="AG231" t="str">
        <f>INDEX(vp.data[[#Headers],[Unknown]:[Heavy_SW]],MATCH(1,vp.data[[#This Row],[Unknown]:[Heavy_SW]],0))</f>
        <v>Light_SW</v>
      </c>
      <c r="AH231">
        <f>INDEX([3]!crudeBD.lkup[Number],MATCH(vp.data[[#This Row],[Crude_Breakdown]],crudeBD.lkup[Crude Breakdown],0))</f>
        <v>2</v>
      </c>
      <c r="AI231">
        <f>MONTH(vp.data[[#This Row],[SDate]])</f>
        <v>6</v>
      </c>
      <c r="AJ231" s="5">
        <f>(vp.data[[#This Row],[VP]]-INDEX(crudeBD.lkup[Mean_VP],MATCH(vp.data[[#This Row],[Crude_Breakdown]],crudeBD.lkup[Crude Breakdown],0)))^2</f>
        <v>48.298141213320953</v>
      </c>
      <c r="AK231" s="5">
        <f>(vp.data[[#This Row],[Dens]]-INDEX(crudeBD.lkup[Mean_Dens],MATCH(vp.data[[#This Row],[Crude_Breakdown]],crudeBD.lkup[Crude Breakdown],0)))^2</f>
        <v>24.122815136760696</v>
      </c>
      <c r="AL231" s="5">
        <f>(vp.data[[#This Row],[Sulf]]-INDEX(crudeBD.lkup[Mean_Sulf],MATCH(vp.data[[#This Row],[Crude_Breakdown]],crudeBD.lkup[Crude Breakdown],0)))^2</f>
        <v>6.8863268899706654E-4</v>
      </c>
      <c r="AM231" s="4">
        <f>IF(AND(vp.data[[#This Row],[SDate]]&gt;=DATE(YEAR(vp.data[[#This Row],[SDate]]),5,1),vp.data[[#This Row],[SDate]]&lt;=DATE(YEAR(vp.data[[#This Row],[SDate]]),9,15)),1,0)</f>
        <v>1</v>
      </c>
      <c r="AN231" s="4">
        <f>IF(vp.data[[#This Row],[SDate]]&lt;DATE(2016,12,1),0,1)</f>
        <v>0</v>
      </c>
      <c r="AO231" s="4">
        <f>IFERROR(vp.data[[#This Row],[Sulf]]*vp.data[[#This Row],[Net Dens]],"")</f>
        <v>8552839.142484</v>
      </c>
      <c r="AP231">
        <f>IFERROR(vp.data[[#This Row],[Dens]]*vp.data[[#This Row],[VolumeM3]],"")</f>
        <v>40727805.440399997</v>
      </c>
      <c r="AQ231" s="15">
        <f>IFERROR(vp.data[[#This Row],[VP]]*vp.data[[#This Row],[VolumeM3]],"")</f>
        <v>5044083.4469999997</v>
      </c>
    </row>
    <row r="232" spans="1:43" x14ac:dyDescent="0.25">
      <c r="A232">
        <v>231</v>
      </c>
      <c r="B232" t="s">
        <v>49</v>
      </c>
      <c r="C232" t="s">
        <v>49</v>
      </c>
      <c r="D232" t="s">
        <v>74</v>
      </c>
      <c r="F232" s="1">
        <v>42544</v>
      </c>
      <c r="G232" s="2">
        <v>101.3</v>
      </c>
      <c r="H232" s="2"/>
      <c r="I232" s="2">
        <f t="array" ref="I232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32" s="2"/>
      <c r="K232" s="2"/>
      <c r="L232" s="2">
        <v>805.9</v>
      </c>
      <c r="M232" s="2">
        <f t="array" ref="M232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232" s="2">
        <f ca="1">INDEX(INDIRECT(_xlfn.CONCAT("weather.tbl[",N$1,"]")),MATCH(vp.data[[#This Row],[SDate]],weather.tbl[Date],0))</f>
        <v>17.233333333333334</v>
      </c>
      <c r="O232" s="2">
        <f ca="1">INDEX(INDIRECT(_xlfn.CONCAT("weather.tbl[",O$1,"]")),MATCH(vp.data[[#This Row],[SDate]],weather.tbl[Date],0))</f>
        <v>17.114285714285714</v>
      </c>
      <c r="P232" s="2">
        <f ca="1">INDEX(INDIRECT(_xlfn.CONCAT("weather.tbl[",P$1,"]")),MATCH(vp.data[[#This Row],[SDate]],weather.tbl[Date],0))</f>
        <v>16.7</v>
      </c>
      <c r="Q232" s="2">
        <f ca="1">INDEX(INDIRECT(_xlfn.CONCAT("weather.tbl[",Q$1,"]")),MATCH(vp.data[[#This Row],[SDate]],weather.tbl[Date],0))</f>
        <v>17.3</v>
      </c>
      <c r="R232" s="2">
        <f ca="1">INDEX(INDIRECT(_xlfn.CONCAT("weather.tbl[",R$1,"]")),MATCH(vp.data[[#This Row],[SDate]],weather.tbl[Date],0))</f>
        <v>15.3</v>
      </c>
      <c r="S232" s="2">
        <f ca="1">INDEX(INDIRECT(_xlfn.CONCAT("weather.tbl[",S$1,"]")),MATCH(vp.data[[#This Row],[SDate]],weather.tbl[Date],0))</f>
        <v>21</v>
      </c>
      <c r="T232" s="2">
        <f ca="1">INDEX(INDIRECT(_xlfn.CONCAT("weather.tbl[",T$1,"]")),MATCH(vp.data[[#This Row],[SDate]],weather.tbl[Date],0))</f>
        <v>16.600000000000001</v>
      </c>
      <c r="U232" s="2">
        <f ca="1">INDEX(INDIRECT(_xlfn.CONCAT("weather.tbl[",U$1,"]")),MATCH(vp.data[[#This Row],[SDate]],weather.tbl[Date],0))</f>
        <v>16.5</v>
      </c>
      <c r="V232" s="2">
        <f t="array" ref="V2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41537.673000000003</v>
      </c>
      <c r="W232" t="s">
        <v>48</v>
      </c>
      <c r="X232">
        <f>IF(OR(vp.data[[#This Row],[Sulf]]="",vp.data[[#This Row],[Dens]]=""),1,0)</f>
        <v>0</v>
      </c>
      <c r="Y232">
        <f>IF(vp.data[[#This Row],[CrudeType]]="C5+",1,0)</f>
        <v>0</v>
      </c>
      <c r="Z232">
        <f>IF(AND(vp.data[[#This Row],[CrudeType]]="Crude",vp.data[[#This Row],[Dens]]&lt;=825,vp.data[[#This Row],[Sulf]]&gt;0.5,vp.data[[#This Row],[Unknown]]=0),1,0)</f>
        <v>0</v>
      </c>
      <c r="AA232">
        <f>IF(AND(vp.data[[#This Row],[CrudeType]]="Crude",vp.data[[#This Row],[Dens]]&lt;=825,vp.data[[#This Row],[Sulf]]&lt;=0.5,vp.data[[#This Row],[Unknown]]=0),1,0)</f>
        <v>1</v>
      </c>
      <c r="AB2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2">
        <f>IF(AND(vp.data[[#This Row],[CrudeType]]="Crude",vp.data[[#This Row],[Dens]]&gt;825,vp.data[[#This Row],[Dens]]&lt;=900,vp.data[[#This Row],[Sulf]]&lt;=0.5,vp.data[[#This Row],[Unknown]]=0),1,0)</f>
        <v>0</v>
      </c>
      <c r="AD232">
        <f>IF(AND(vp.data[[#This Row],[CrudeType]]="Crude",vp.data[[#This Row],[Dens]]&gt;865,vp.data[[#This Row],[Dens]]&lt;=900,vp.data[[#This Row],[Sulf]]&gt;2,vp.data[[#This Row],[Unknown]]=0),1,0)</f>
        <v>0</v>
      </c>
      <c r="AE232">
        <f>IF(AND(vp.data[[#This Row],[CrudeType]]="Crude",vp.data[[#This Row],[Dens]]&gt;900,vp.data[[#This Row],[Sulf]]&lt;=0.5,vp.data[[#This Row],[Unknown]]=0),1,0)</f>
        <v>0</v>
      </c>
      <c r="AF232">
        <f>IF(AND(vp.data[[#This Row],[CrudeType]]="Crude",vp.data[[#This Row],[Dens]]&gt;900,vp.data[[#This Row],[Sulf]]&lt;=0.5,vp.data[[#This Row],[Unknown]]=0),1,0)</f>
        <v>0</v>
      </c>
      <c r="AG232" t="str">
        <f>INDEX(vp.data[[#Headers],[Unknown]:[Heavy_SW]],MATCH(1,vp.data[[#This Row],[Unknown]:[Heavy_SW]],0))</f>
        <v>Light_SW</v>
      </c>
      <c r="AH232">
        <f>INDEX([3]!crudeBD.lkup[Number],MATCH(vp.data[[#This Row],[Crude_Breakdown]],crudeBD.lkup[Crude Breakdown],0))</f>
        <v>2</v>
      </c>
      <c r="AI232">
        <f>MONTH(vp.data[[#This Row],[SDate]])</f>
        <v>6</v>
      </c>
      <c r="AJ232" s="5">
        <f>(vp.data[[#This Row],[VP]]-INDEX(crudeBD.lkup[Mean_VP],MATCH(vp.data[[#This Row],[Crude_Breakdown]],crudeBD.lkup[Crude Breakdown],0)))^2</f>
        <v>76.557012293460389</v>
      </c>
      <c r="AK232" s="5">
        <f>(vp.data[[#This Row],[Dens]]-INDEX(crudeBD.lkup[Mean_Dens],MATCH(vp.data[[#This Row],[Crude_Breakdown]],crudeBD.lkup[Crude Breakdown],0)))^2</f>
        <v>5.8153238475630671</v>
      </c>
      <c r="AL232" s="5">
        <f>(vp.data[[#This Row],[Sulf]]-INDEX(crudeBD.lkup[Mean_Sulf],MATCH(vp.data[[#This Row],[Crude_Breakdown]],crudeBD.lkup[Crude Breakdown],0)))^2</f>
        <v>9.2624863475336272E-3</v>
      </c>
      <c r="AM232" s="4">
        <f>IF(AND(vp.data[[#This Row],[SDate]]&gt;=DATE(YEAR(vp.data[[#This Row],[SDate]]),5,1),vp.data[[#This Row],[SDate]]&lt;=DATE(YEAR(vp.data[[#This Row],[SDate]]),9,15)),1,0)</f>
        <v>1</v>
      </c>
      <c r="AN232" s="4">
        <f>IF(vp.data[[#This Row],[SDate]]&lt;DATE(2016,12,1),0,1)</f>
        <v>0</v>
      </c>
      <c r="AO232" s="4">
        <f>IFERROR(vp.data[[#This Row],[Sulf]]*vp.data[[#This Row],[Net Dens]],"")</f>
        <v>4686529.4938980006</v>
      </c>
      <c r="AP232">
        <f>IFERROR(vp.data[[#This Row],[Dens]]*vp.data[[#This Row],[VolumeM3]],"")</f>
        <v>33475210.670700002</v>
      </c>
      <c r="AQ232" s="15">
        <f>IFERROR(vp.data[[#This Row],[VP]]*vp.data[[#This Row],[VolumeM3]],"")</f>
        <v>4207766.2749000005</v>
      </c>
    </row>
    <row r="233" spans="1:43" x14ac:dyDescent="0.25">
      <c r="A233">
        <v>232</v>
      </c>
      <c r="B233" t="s">
        <v>49</v>
      </c>
      <c r="C233" t="s">
        <v>49</v>
      </c>
      <c r="D233" t="s">
        <v>74</v>
      </c>
      <c r="F233" s="1">
        <v>42544</v>
      </c>
      <c r="G233" s="2">
        <v>114.1</v>
      </c>
      <c r="H233" s="2"/>
      <c r="I233" s="2">
        <f t="array" ref="I233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33" s="2"/>
      <c r="K233" s="2"/>
      <c r="L233" s="2">
        <v>805.9</v>
      </c>
      <c r="M233" s="2">
        <f t="array" ref="M233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233" s="2">
        <f ca="1">INDEX(INDIRECT(_xlfn.CONCAT("weather.tbl[",N$1,"]")),MATCH(vp.data[[#This Row],[SDate]],weather.tbl[Date],0))</f>
        <v>17.233333333333334</v>
      </c>
      <c r="O233" s="2">
        <f ca="1">INDEX(INDIRECT(_xlfn.CONCAT("weather.tbl[",O$1,"]")),MATCH(vp.data[[#This Row],[SDate]],weather.tbl[Date],0))</f>
        <v>17.114285714285714</v>
      </c>
      <c r="P233" s="2">
        <f ca="1">INDEX(INDIRECT(_xlfn.CONCAT("weather.tbl[",P$1,"]")),MATCH(vp.data[[#This Row],[SDate]],weather.tbl[Date],0))</f>
        <v>16.7</v>
      </c>
      <c r="Q233" s="2">
        <f ca="1">INDEX(INDIRECT(_xlfn.CONCAT("weather.tbl[",Q$1,"]")),MATCH(vp.data[[#This Row],[SDate]],weather.tbl[Date],0))</f>
        <v>17.3</v>
      </c>
      <c r="R233" s="2">
        <f ca="1">INDEX(INDIRECT(_xlfn.CONCAT("weather.tbl[",R$1,"]")),MATCH(vp.data[[#This Row],[SDate]],weather.tbl[Date],0))</f>
        <v>15.3</v>
      </c>
      <c r="S233" s="2">
        <f ca="1">INDEX(INDIRECT(_xlfn.CONCAT("weather.tbl[",S$1,"]")),MATCH(vp.data[[#This Row],[SDate]],weather.tbl[Date],0))</f>
        <v>21</v>
      </c>
      <c r="T233" s="2">
        <f ca="1">INDEX(INDIRECT(_xlfn.CONCAT("weather.tbl[",T$1,"]")),MATCH(vp.data[[#This Row],[SDate]],weather.tbl[Date],0))</f>
        <v>16.600000000000001</v>
      </c>
      <c r="U233" s="2">
        <f ca="1">INDEX(INDIRECT(_xlfn.CONCAT("weather.tbl[",U$1,"]")),MATCH(vp.data[[#This Row],[SDate]],weather.tbl[Date],0))</f>
        <v>16.5</v>
      </c>
      <c r="V233" s="2">
        <f t="array" ref="V2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41537.673000000003</v>
      </c>
      <c r="W233" t="s">
        <v>48</v>
      </c>
      <c r="X233">
        <f>IF(OR(vp.data[[#This Row],[Sulf]]="",vp.data[[#This Row],[Dens]]=""),1,0)</f>
        <v>0</v>
      </c>
      <c r="Y233">
        <f>IF(vp.data[[#This Row],[CrudeType]]="C5+",1,0)</f>
        <v>0</v>
      </c>
      <c r="Z233">
        <f>IF(AND(vp.data[[#This Row],[CrudeType]]="Crude",vp.data[[#This Row],[Dens]]&lt;=825,vp.data[[#This Row],[Sulf]]&gt;0.5,vp.data[[#This Row],[Unknown]]=0),1,0)</f>
        <v>0</v>
      </c>
      <c r="AA233">
        <f>IF(AND(vp.data[[#This Row],[CrudeType]]="Crude",vp.data[[#This Row],[Dens]]&lt;=825,vp.data[[#This Row],[Sulf]]&lt;=0.5,vp.data[[#This Row],[Unknown]]=0),1,0)</f>
        <v>1</v>
      </c>
      <c r="AB2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3">
        <f>IF(AND(vp.data[[#This Row],[CrudeType]]="Crude",vp.data[[#This Row],[Dens]]&gt;825,vp.data[[#This Row],[Dens]]&lt;=900,vp.data[[#This Row],[Sulf]]&lt;=0.5,vp.data[[#This Row],[Unknown]]=0),1,0)</f>
        <v>0</v>
      </c>
      <c r="AD233">
        <f>IF(AND(vp.data[[#This Row],[CrudeType]]="Crude",vp.data[[#This Row],[Dens]]&gt;865,vp.data[[#This Row],[Dens]]&lt;=900,vp.data[[#This Row],[Sulf]]&gt;2,vp.data[[#This Row],[Unknown]]=0),1,0)</f>
        <v>0</v>
      </c>
      <c r="AE233">
        <f>IF(AND(vp.data[[#This Row],[CrudeType]]="Crude",vp.data[[#This Row],[Dens]]&gt;900,vp.data[[#This Row],[Sulf]]&lt;=0.5,vp.data[[#This Row],[Unknown]]=0),1,0)</f>
        <v>0</v>
      </c>
      <c r="AF233">
        <f>IF(AND(vp.data[[#This Row],[CrudeType]]="Crude",vp.data[[#This Row],[Dens]]&gt;900,vp.data[[#This Row],[Sulf]]&lt;=0.5,vp.data[[#This Row],[Unknown]]=0),1,0)</f>
        <v>0</v>
      </c>
      <c r="AG233" t="str">
        <f>INDEX(vp.data[[#Headers],[Unknown]:[Heavy_SW]],MATCH(1,vp.data[[#This Row],[Unknown]:[Heavy_SW]],0))</f>
        <v>Light_SW</v>
      </c>
      <c r="AH233">
        <f>INDEX([3]!crudeBD.lkup[Number],MATCH(vp.data[[#This Row],[Crude_Breakdown]],crudeBD.lkup[Crude Breakdown],0))</f>
        <v>2</v>
      </c>
      <c r="AI233">
        <f>MONTH(vp.data[[#This Row],[SDate]])</f>
        <v>6</v>
      </c>
      <c r="AJ233" s="5">
        <f>(vp.data[[#This Row],[VP]]-INDEX(crudeBD.lkup[Mean_VP],MATCH(vp.data[[#This Row],[Crude_Breakdown]],crudeBD.lkup[Crude Breakdown],0)))^2</f>
        <v>464.38898441889648</v>
      </c>
      <c r="AK233" s="5">
        <f>(vp.data[[#This Row],[Dens]]-INDEX(crudeBD.lkup[Mean_Dens],MATCH(vp.data[[#This Row],[Crude_Breakdown]],crudeBD.lkup[Crude Breakdown],0)))^2</f>
        <v>5.8153238475630671</v>
      </c>
      <c r="AL233" s="5">
        <f>(vp.data[[#This Row],[Sulf]]-INDEX(crudeBD.lkup[Mean_Sulf],MATCH(vp.data[[#This Row],[Crude_Breakdown]],crudeBD.lkup[Crude Breakdown],0)))^2</f>
        <v>9.2624863475336272E-3</v>
      </c>
      <c r="AM233" s="4">
        <f>IF(AND(vp.data[[#This Row],[SDate]]&gt;=DATE(YEAR(vp.data[[#This Row],[SDate]]),5,1),vp.data[[#This Row],[SDate]]&lt;=DATE(YEAR(vp.data[[#This Row],[SDate]]),9,15)),1,0)</f>
        <v>1</v>
      </c>
      <c r="AN233" s="4">
        <f>IF(vp.data[[#This Row],[SDate]]&lt;DATE(2016,12,1),0,1)</f>
        <v>0</v>
      </c>
      <c r="AO233" s="4">
        <f>IFERROR(vp.data[[#This Row],[Sulf]]*vp.data[[#This Row],[Net Dens]],"")</f>
        <v>4686529.4938980006</v>
      </c>
      <c r="AP233">
        <f>IFERROR(vp.data[[#This Row],[Dens]]*vp.data[[#This Row],[VolumeM3]],"")</f>
        <v>33475210.670700002</v>
      </c>
      <c r="AQ233" s="15">
        <f>IFERROR(vp.data[[#This Row],[VP]]*vp.data[[#This Row],[VolumeM3]],"")</f>
        <v>4739448.4893000005</v>
      </c>
    </row>
    <row r="234" spans="1:43" x14ac:dyDescent="0.25">
      <c r="A234">
        <v>233</v>
      </c>
      <c r="B234" t="s">
        <v>68</v>
      </c>
      <c r="C234" t="s">
        <v>68</v>
      </c>
      <c r="D234" t="s">
        <v>69</v>
      </c>
      <c r="F234" s="1">
        <v>42544</v>
      </c>
      <c r="G234" s="2">
        <v>90.7</v>
      </c>
      <c r="H234" s="2"/>
      <c r="I234" s="2">
        <f t="array" ref="I234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234" s="2"/>
      <c r="K234" s="2"/>
      <c r="L234" s="2">
        <v>827.4</v>
      </c>
      <c r="M234" s="2">
        <f t="array" ref="M234">_xlfn.IFNA(IF(vp.data[[#This Row],[Dens Input]]="",INDEX([1]DATA!$O$3:$O$9826,MATCH(1,(vp.data[[#This Row],[Battery]]=[1]DATA!$L$3:$L$9826)*(EOMONTH(vp.data[[#This Row],[SDate]],-1)+1=[1]DATA!$G$3:$G$9826),0)),vp.data[[#This Row],[Dens Input]]),"")</f>
        <v>827.4</v>
      </c>
      <c r="N234" s="2">
        <f ca="1">INDEX(INDIRECT(_xlfn.CONCAT("weather.tbl[",N$1,"]")),MATCH(vp.data[[#This Row],[SDate]],weather.tbl[Date],0))</f>
        <v>17.233333333333334</v>
      </c>
      <c r="O234" s="2">
        <f ca="1">INDEX(INDIRECT(_xlfn.CONCAT("weather.tbl[",O$1,"]")),MATCH(vp.data[[#This Row],[SDate]],weather.tbl[Date],0))</f>
        <v>17.114285714285714</v>
      </c>
      <c r="P234" s="2">
        <f ca="1">INDEX(INDIRECT(_xlfn.CONCAT("weather.tbl[",P$1,"]")),MATCH(vp.data[[#This Row],[SDate]],weather.tbl[Date],0))</f>
        <v>16.7</v>
      </c>
      <c r="Q234" s="2">
        <f ca="1">INDEX(INDIRECT(_xlfn.CONCAT("weather.tbl[",Q$1,"]")),MATCH(vp.data[[#This Row],[SDate]],weather.tbl[Date],0))</f>
        <v>17.3</v>
      </c>
      <c r="R234" s="2">
        <f ca="1">INDEX(INDIRECT(_xlfn.CONCAT("weather.tbl[",R$1,"]")),MATCH(vp.data[[#This Row],[SDate]],weather.tbl[Date],0))</f>
        <v>15.3</v>
      </c>
      <c r="S234" s="2">
        <f ca="1">INDEX(INDIRECT(_xlfn.CONCAT("weather.tbl[",S$1,"]")),MATCH(vp.data[[#This Row],[SDate]],weather.tbl[Date],0))</f>
        <v>21</v>
      </c>
      <c r="T234" s="2">
        <f ca="1">INDEX(INDIRECT(_xlfn.CONCAT("weather.tbl[",T$1,"]")),MATCH(vp.data[[#This Row],[SDate]],weather.tbl[Date],0))</f>
        <v>16.600000000000001</v>
      </c>
      <c r="U234" s="2">
        <f ca="1">INDEX(INDIRECT(_xlfn.CONCAT("weather.tbl[",U$1,"]")),MATCH(vp.data[[#This Row],[SDate]],weather.tbl[Date],0))</f>
        <v>16.5</v>
      </c>
      <c r="V234" s="2">
        <f t="array" ref="V2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1441.7270000000001</v>
      </c>
      <c r="W234" t="s">
        <v>48</v>
      </c>
      <c r="X234">
        <f>IF(OR(vp.data[[#This Row],[Sulf]]="",vp.data[[#This Row],[Dens]]=""),1,0)</f>
        <v>0</v>
      </c>
      <c r="Y234">
        <f>IF(vp.data[[#This Row],[CrudeType]]="C5+",1,0)</f>
        <v>0</v>
      </c>
      <c r="Z234">
        <f>IF(AND(vp.data[[#This Row],[CrudeType]]="Crude",vp.data[[#This Row],[Dens]]&lt;=825,vp.data[[#This Row],[Sulf]]&gt;0.5,vp.data[[#This Row],[Unknown]]=0),1,0)</f>
        <v>0</v>
      </c>
      <c r="AA234">
        <f>IF(AND(vp.data[[#This Row],[CrudeType]]="Crude",vp.data[[#This Row],[Dens]]&lt;=825,vp.data[[#This Row],[Sulf]]&lt;=0.5,vp.data[[#This Row],[Unknown]]=0),1,0)</f>
        <v>0</v>
      </c>
      <c r="AB2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34">
        <f>IF(AND(vp.data[[#This Row],[CrudeType]]="Crude",vp.data[[#This Row],[Dens]]&gt;825,vp.data[[#This Row],[Dens]]&lt;=900,vp.data[[#This Row],[Sulf]]&lt;=0.5,vp.data[[#This Row],[Unknown]]=0),1,0)</f>
        <v>0</v>
      </c>
      <c r="AD234">
        <f>IF(AND(vp.data[[#This Row],[CrudeType]]="Crude",vp.data[[#This Row],[Dens]]&gt;865,vp.data[[#This Row],[Dens]]&lt;=900,vp.data[[#This Row],[Sulf]]&gt;2,vp.data[[#This Row],[Unknown]]=0),1,0)</f>
        <v>0</v>
      </c>
      <c r="AE234">
        <f>IF(AND(vp.data[[#This Row],[CrudeType]]="Crude",vp.data[[#This Row],[Dens]]&gt;900,vp.data[[#This Row],[Sulf]]&lt;=0.5,vp.data[[#This Row],[Unknown]]=0),1,0)</f>
        <v>0</v>
      </c>
      <c r="AF234">
        <f>IF(AND(vp.data[[#This Row],[CrudeType]]="Crude",vp.data[[#This Row],[Dens]]&gt;900,vp.data[[#This Row],[Sulf]]&lt;=0.5,vp.data[[#This Row],[Unknown]]=0),1,0)</f>
        <v>0</v>
      </c>
      <c r="AG234" t="str">
        <f>INDEX(vp.data[[#Headers],[Unknown]:[Heavy_SW]],MATCH(1,vp.data[[#This Row],[Unknown]:[Heavy_SW]],0))</f>
        <v>Medium_LSB</v>
      </c>
      <c r="AH234">
        <f>INDEX([3]!crudeBD.lkup[Number],MATCH(vp.data[[#This Row],[Crude_Breakdown]],crudeBD.lkup[Crude Breakdown],0))</f>
        <v>3</v>
      </c>
      <c r="AI234">
        <f>MONTH(vp.data[[#This Row],[SDate]])</f>
        <v>6</v>
      </c>
      <c r="AJ234" s="5">
        <f>(vp.data[[#This Row],[VP]]-INDEX(crudeBD.lkup[Mean_VP],MATCH(vp.data[[#This Row],[Crude_Breakdown]],crudeBD.lkup[Crude Breakdown],0)))^2</f>
        <v>101.21010792133308</v>
      </c>
      <c r="AK234" s="5">
        <f>(vp.data[[#This Row],[Dens]]-INDEX(crudeBD.lkup[Mean_Dens],MATCH(vp.data[[#This Row],[Crude_Breakdown]],crudeBD.lkup[Crude Breakdown],0)))^2</f>
        <v>272.91039999998435</v>
      </c>
      <c r="AL234" s="5">
        <f>(vp.data[[#This Row],[Sulf]]-INDEX(crudeBD.lkup[Mean_Sulf],MATCH(vp.data[[#This Row],[Crude_Breakdown]],crudeBD.lkup[Crude Breakdown],0)))^2</f>
        <v>0.12573539662129798</v>
      </c>
      <c r="AM234" s="4">
        <f>IF(AND(vp.data[[#This Row],[SDate]]&gt;=DATE(YEAR(vp.data[[#This Row],[SDate]]),5,1),vp.data[[#This Row],[SDate]]&lt;=DATE(YEAR(vp.data[[#This Row],[SDate]]),9,15)),1,0)</f>
        <v>1</v>
      </c>
      <c r="AN234" s="4">
        <f>IF(vp.data[[#This Row],[SDate]]&lt;DATE(2016,12,1),0,1)</f>
        <v>0</v>
      </c>
      <c r="AO234" s="4">
        <f>IFERROR(vp.data[[#This Row],[Sulf]]*vp.data[[#This Row],[Net Dens]],"")</f>
        <v>2075619.760452</v>
      </c>
      <c r="AP234">
        <f>IFERROR(vp.data[[#This Row],[Dens]]*vp.data[[#This Row],[VolumeM3]],"")</f>
        <v>1192884.9198</v>
      </c>
      <c r="AQ234" s="15">
        <f>IFERROR(vp.data[[#This Row],[VP]]*vp.data[[#This Row],[VolumeM3]],"")</f>
        <v>130764.63890000001</v>
      </c>
    </row>
    <row r="235" spans="1:43" x14ac:dyDescent="0.25">
      <c r="A235">
        <v>234</v>
      </c>
      <c r="B235" t="s">
        <v>51</v>
      </c>
      <c r="C235" t="s">
        <v>51</v>
      </c>
      <c r="D235" t="s">
        <v>71</v>
      </c>
      <c r="F235" s="1">
        <v>42544</v>
      </c>
      <c r="G235" s="2">
        <v>79.7</v>
      </c>
      <c r="H235" s="2"/>
      <c r="I235" s="2">
        <f t="array" ref="I235">_xlfn.IFNA(IF(vp.data[[#This Row],[Sulf Input]]="",INDEX([1]DATA!$Q$3:$Q$9826,MATCH(1,(vp.data[[#This Row],[Battery]]=[1]DATA!$L$3:$L$9826)*(EOMONTH(vp.data[[#This Row],[SDate]],-1)+1=[1]DATA!$G$3:$G$9826),0)),vp.data[[#This Row],[Sulf Input]]),"")</f>
        <v>1.38</v>
      </c>
      <c r="J235" s="2"/>
      <c r="K235" s="2"/>
      <c r="L235" s="2">
        <v>835.4</v>
      </c>
      <c r="M235" s="2">
        <f t="array" ref="M235">_xlfn.IFNA(IF(vp.data[[#This Row],[Dens Input]]="",INDEX([1]DATA!$O$3:$O$9826,MATCH(1,(vp.data[[#This Row],[Battery]]=[1]DATA!$L$3:$L$9826)*(EOMONTH(vp.data[[#This Row],[SDate]],-1)+1=[1]DATA!$G$3:$G$9826),0)),vp.data[[#This Row],[Dens Input]]),"")</f>
        <v>835.4</v>
      </c>
      <c r="N235" s="2">
        <f ca="1">INDEX(INDIRECT(_xlfn.CONCAT("weather.tbl[",N$1,"]")),MATCH(vp.data[[#This Row],[SDate]],weather.tbl[Date],0))</f>
        <v>17.233333333333334</v>
      </c>
      <c r="O235" s="2">
        <f ca="1">INDEX(INDIRECT(_xlfn.CONCAT("weather.tbl[",O$1,"]")),MATCH(vp.data[[#This Row],[SDate]],weather.tbl[Date],0))</f>
        <v>17.114285714285714</v>
      </c>
      <c r="P235" s="2">
        <f ca="1">INDEX(INDIRECT(_xlfn.CONCAT("weather.tbl[",P$1,"]")),MATCH(vp.data[[#This Row],[SDate]],weather.tbl[Date],0))</f>
        <v>16.7</v>
      </c>
      <c r="Q235" s="2">
        <f ca="1">INDEX(INDIRECT(_xlfn.CONCAT("weather.tbl[",Q$1,"]")),MATCH(vp.data[[#This Row],[SDate]],weather.tbl[Date],0))</f>
        <v>17.3</v>
      </c>
      <c r="R235" s="2">
        <f ca="1">INDEX(INDIRECT(_xlfn.CONCAT("weather.tbl[",R$1,"]")),MATCH(vp.data[[#This Row],[SDate]],weather.tbl[Date],0))</f>
        <v>15.3</v>
      </c>
      <c r="S235" s="2">
        <f ca="1">INDEX(INDIRECT(_xlfn.CONCAT("weather.tbl[",S$1,"]")),MATCH(vp.data[[#This Row],[SDate]],weather.tbl[Date],0))</f>
        <v>21</v>
      </c>
      <c r="T235" s="2">
        <f ca="1">INDEX(INDIRECT(_xlfn.CONCAT("weather.tbl[",T$1,"]")),MATCH(vp.data[[#This Row],[SDate]],weather.tbl[Date],0))</f>
        <v>16.600000000000001</v>
      </c>
      <c r="U235" s="2">
        <f ca="1">INDEX(INDIRECT(_xlfn.CONCAT("weather.tbl[",U$1,"]")),MATCH(vp.data[[#This Row],[SDate]],weather.tbl[Date],0))</f>
        <v>16.5</v>
      </c>
      <c r="V235" s="2">
        <f t="array" ref="V2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5237.2070000000003</v>
      </c>
      <c r="W235" t="s">
        <v>48</v>
      </c>
      <c r="X235">
        <f>IF(OR(vp.data[[#This Row],[Sulf]]="",vp.data[[#This Row],[Dens]]=""),1,0)</f>
        <v>0</v>
      </c>
      <c r="Y235">
        <f>IF(vp.data[[#This Row],[CrudeType]]="C5+",1,0)</f>
        <v>0</v>
      </c>
      <c r="Z235">
        <f>IF(AND(vp.data[[#This Row],[CrudeType]]="Crude",vp.data[[#This Row],[Dens]]&lt;=825,vp.data[[#This Row],[Sulf]]&gt;0.5,vp.data[[#This Row],[Unknown]]=0),1,0)</f>
        <v>0</v>
      </c>
      <c r="AA235">
        <f>IF(AND(vp.data[[#This Row],[CrudeType]]="Crude",vp.data[[#This Row],[Dens]]&lt;=825,vp.data[[#This Row],[Sulf]]&lt;=0.5,vp.data[[#This Row],[Unknown]]=0),1,0)</f>
        <v>0</v>
      </c>
      <c r="AB2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35">
        <f>IF(AND(vp.data[[#This Row],[CrudeType]]="Crude",vp.data[[#This Row],[Dens]]&gt;825,vp.data[[#This Row],[Dens]]&lt;=900,vp.data[[#This Row],[Sulf]]&lt;=0.5,vp.data[[#This Row],[Unknown]]=0),1,0)</f>
        <v>0</v>
      </c>
      <c r="AD235">
        <f>IF(AND(vp.data[[#This Row],[CrudeType]]="Crude",vp.data[[#This Row],[Dens]]&gt;865,vp.data[[#This Row],[Dens]]&lt;=900,vp.data[[#This Row],[Sulf]]&gt;2,vp.data[[#This Row],[Unknown]]=0),1,0)</f>
        <v>0</v>
      </c>
      <c r="AE235">
        <f>IF(AND(vp.data[[#This Row],[CrudeType]]="Crude",vp.data[[#This Row],[Dens]]&gt;900,vp.data[[#This Row],[Sulf]]&lt;=0.5,vp.data[[#This Row],[Unknown]]=0),1,0)</f>
        <v>0</v>
      </c>
      <c r="AF235">
        <f>IF(AND(vp.data[[#This Row],[CrudeType]]="Crude",vp.data[[#This Row],[Dens]]&gt;900,vp.data[[#This Row],[Sulf]]&lt;=0.5,vp.data[[#This Row],[Unknown]]=0),1,0)</f>
        <v>0</v>
      </c>
      <c r="AG235" t="str">
        <f>INDEX(vp.data[[#Headers],[Unknown]:[Heavy_SW]],MATCH(1,vp.data[[#This Row],[Unknown]:[Heavy_SW]],0))</f>
        <v>Medium_LSB</v>
      </c>
      <c r="AH235">
        <f>INDEX([3]!crudeBD.lkup[Number],MATCH(vp.data[[#This Row],[Crude_Breakdown]],crudeBD.lkup[Crude Breakdown],0))</f>
        <v>3</v>
      </c>
      <c r="AI235">
        <f>MONTH(vp.data[[#This Row],[SDate]])</f>
        <v>6</v>
      </c>
      <c r="AJ235" s="5">
        <f>(vp.data[[#This Row],[VP]]-INDEX(crudeBD.lkup[Mean_VP],MATCH(vp.data[[#This Row],[Crude_Breakdown]],crudeBD.lkup[Crude Breakdown],0)))^2</f>
        <v>0.88299201836648056</v>
      </c>
      <c r="AK235" s="5">
        <f>(vp.data[[#This Row],[Dens]]-INDEX(crudeBD.lkup[Mean_Dens],MATCH(vp.data[[#This Row],[Crude_Breakdown]],crudeBD.lkup[Crude Breakdown],0)))^2</f>
        <v>72.590399999991945</v>
      </c>
      <c r="AL235" s="5">
        <f>(vp.data[[#This Row],[Sulf]]-INDEX(crudeBD.lkup[Mean_Sulf],MATCH(vp.data[[#This Row],[Crude_Breakdown]],crudeBD.lkup[Crude Breakdown],0)))^2</f>
        <v>2.9247834237090886E-5</v>
      </c>
      <c r="AM235" s="4">
        <f>IF(AND(vp.data[[#This Row],[SDate]]&gt;=DATE(YEAR(vp.data[[#This Row],[SDate]]),5,1),vp.data[[#This Row],[SDate]]&lt;=DATE(YEAR(vp.data[[#This Row],[SDate]]),9,15)),1,0)</f>
        <v>1</v>
      </c>
      <c r="AN235" s="4">
        <f>IF(vp.data[[#This Row],[SDate]]&lt;DATE(2016,12,1),0,1)</f>
        <v>0</v>
      </c>
      <c r="AO235" s="4">
        <f>IFERROR(vp.data[[#This Row],[Sulf]]*vp.data[[#This Row],[Net Dens]],"")</f>
        <v>6037724.5643640002</v>
      </c>
      <c r="AP235">
        <f>IFERROR(vp.data[[#This Row],[Dens]]*vp.data[[#This Row],[VolumeM3]],"")</f>
        <v>4375162.7278000005</v>
      </c>
      <c r="AQ235" s="15">
        <f>IFERROR(vp.data[[#This Row],[VP]]*vp.data[[#This Row],[VolumeM3]],"")</f>
        <v>417405.39790000004</v>
      </c>
    </row>
    <row r="236" spans="1:43" x14ac:dyDescent="0.25">
      <c r="A236">
        <v>235</v>
      </c>
      <c r="B236" t="s">
        <v>51</v>
      </c>
      <c r="C236" t="s">
        <v>51</v>
      </c>
      <c r="D236" t="s">
        <v>72</v>
      </c>
      <c r="F236" s="1">
        <v>42544</v>
      </c>
      <c r="G236" s="2">
        <v>102.2</v>
      </c>
      <c r="H236" s="2"/>
      <c r="I236" s="2">
        <f t="array" ref="I236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236" s="2"/>
      <c r="K236" s="2"/>
      <c r="L236" s="2">
        <v>847.4</v>
      </c>
      <c r="M236" s="2">
        <f t="array" ref="M236">_xlfn.IFNA(IF(vp.data[[#This Row],[Dens Input]]="",INDEX([1]DATA!$O$3:$O$9826,MATCH(1,(vp.data[[#This Row],[Battery]]=[1]DATA!$L$3:$L$9826)*(EOMONTH(vp.data[[#This Row],[SDate]],-1)+1=[1]DATA!$G$3:$G$9826),0)),vp.data[[#This Row],[Dens Input]]),"")</f>
        <v>847.4</v>
      </c>
      <c r="N236" s="2">
        <f ca="1">INDEX(INDIRECT(_xlfn.CONCAT("weather.tbl[",N$1,"]")),MATCH(vp.data[[#This Row],[SDate]],weather.tbl[Date],0))</f>
        <v>17.233333333333334</v>
      </c>
      <c r="O236" s="2">
        <f ca="1">INDEX(INDIRECT(_xlfn.CONCAT("weather.tbl[",O$1,"]")),MATCH(vp.data[[#This Row],[SDate]],weather.tbl[Date],0))</f>
        <v>17.114285714285714</v>
      </c>
      <c r="P236" s="2">
        <f ca="1">INDEX(INDIRECT(_xlfn.CONCAT("weather.tbl[",P$1,"]")),MATCH(vp.data[[#This Row],[SDate]],weather.tbl[Date],0))</f>
        <v>16.7</v>
      </c>
      <c r="Q236" s="2">
        <f ca="1">INDEX(INDIRECT(_xlfn.CONCAT("weather.tbl[",Q$1,"]")),MATCH(vp.data[[#This Row],[SDate]],weather.tbl[Date],0))</f>
        <v>17.3</v>
      </c>
      <c r="R236" s="2">
        <f ca="1">INDEX(INDIRECT(_xlfn.CONCAT("weather.tbl[",R$1,"]")),MATCH(vp.data[[#This Row],[SDate]],weather.tbl[Date],0))</f>
        <v>15.3</v>
      </c>
      <c r="S236" s="2">
        <f ca="1">INDEX(INDIRECT(_xlfn.CONCAT("weather.tbl[",S$1,"]")),MATCH(vp.data[[#This Row],[SDate]],weather.tbl[Date],0))</f>
        <v>21</v>
      </c>
      <c r="T236" s="2">
        <f ca="1">INDEX(INDIRECT(_xlfn.CONCAT("weather.tbl[",T$1,"]")),MATCH(vp.data[[#This Row],[SDate]],weather.tbl[Date],0))</f>
        <v>16.600000000000001</v>
      </c>
      <c r="U236" s="2">
        <f ca="1">INDEX(INDIRECT(_xlfn.CONCAT("weather.tbl[",U$1,"]")),MATCH(vp.data[[#This Row],[SDate]],weather.tbl[Date],0))</f>
        <v>16.5</v>
      </c>
      <c r="V236" s="2">
        <f t="array" ref="V2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3519.404</v>
      </c>
      <c r="W236" t="s">
        <v>48</v>
      </c>
      <c r="X236">
        <f>IF(OR(vp.data[[#This Row],[Sulf]]="",vp.data[[#This Row],[Dens]]=""),1,0)</f>
        <v>0</v>
      </c>
      <c r="Y236">
        <f>IF(vp.data[[#This Row],[CrudeType]]="C5+",1,0)</f>
        <v>0</v>
      </c>
      <c r="Z236">
        <f>IF(AND(vp.data[[#This Row],[CrudeType]]="Crude",vp.data[[#This Row],[Dens]]&lt;=825,vp.data[[#This Row],[Sulf]]&gt;0.5,vp.data[[#This Row],[Unknown]]=0),1,0)</f>
        <v>0</v>
      </c>
      <c r="AA236">
        <f>IF(AND(vp.data[[#This Row],[CrudeType]]="Crude",vp.data[[#This Row],[Dens]]&lt;=825,vp.data[[#This Row],[Sulf]]&lt;=0.5,vp.data[[#This Row],[Unknown]]=0),1,0)</f>
        <v>0</v>
      </c>
      <c r="AB2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36">
        <f>IF(AND(vp.data[[#This Row],[CrudeType]]="Crude",vp.data[[#This Row],[Dens]]&gt;825,vp.data[[#This Row],[Dens]]&lt;=900,vp.data[[#This Row],[Sulf]]&lt;=0.5,vp.data[[#This Row],[Unknown]]=0),1,0)</f>
        <v>0</v>
      </c>
      <c r="AD236">
        <f>IF(AND(vp.data[[#This Row],[CrudeType]]="Crude",vp.data[[#This Row],[Dens]]&gt;865,vp.data[[#This Row],[Dens]]&lt;=900,vp.data[[#This Row],[Sulf]]&gt;2,vp.data[[#This Row],[Unknown]]=0),1,0)</f>
        <v>0</v>
      </c>
      <c r="AE236">
        <f>IF(AND(vp.data[[#This Row],[CrudeType]]="Crude",vp.data[[#This Row],[Dens]]&gt;900,vp.data[[#This Row],[Sulf]]&lt;=0.5,vp.data[[#This Row],[Unknown]]=0),1,0)</f>
        <v>0</v>
      </c>
      <c r="AF236">
        <f>IF(AND(vp.data[[#This Row],[CrudeType]]="Crude",vp.data[[#This Row],[Dens]]&gt;900,vp.data[[#This Row],[Sulf]]&lt;=0.5,vp.data[[#This Row],[Unknown]]=0),1,0)</f>
        <v>0</v>
      </c>
      <c r="AG236" t="str">
        <f>INDEX(vp.data[[#Headers],[Unknown]:[Heavy_SW]],MATCH(1,vp.data[[#This Row],[Unknown]:[Heavy_SW]],0))</f>
        <v>Medium_LSB</v>
      </c>
      <c r="AH236">
        <f>INDEX([3]!crudeBD.lkup[Number],MATCH(vp.data[[#This Row],[Crude_Breakdown]],crudeBD.lkup[Crude Breakdown],0))</f>
        <v>3</v>
      </c>
      <c r="AI236">
        <f>MONTH(vp.data[[#This Row],[SDate]])</f>
        <v>6</v>
      </c>
      <c r="AJ236" s="5">
        <f>(vp.data[[#This Row],[VP]]-INDEX(crudeBD.lkup[Mean_VP],MATCH(vp.data[[#This Row],[Crude_Breakdown]],crudeBD.lkup[Crude Breakdown],0)))^2</f>
        <v>464.84754727443453</v>
      </c>
      <c r="AK236" s="5">
        <f>(vp.data[[#This Row],[Dens]]-INDEX(crudeBD.lkup[Mean_Dens],MATCH(vp.data[[#This Row],[Crude_Breakdown]],crudeBD.lkup[Crude Breakdown],0)))^2</f>
        <v>12.110400000003292</v>
      </c>
      <c r="AL236" s="5">
        <f>(vp.data[[#This Row],[Sulf]]-INDEX(crudeBD.lkup[Mean_Sulf],MATCH(vp.data[[#This Row],[Crude_Breakdown]],crudeBD.lkup[Crude Breakdown],0)))^2</f>
        <v>9.3274123845019638E-2</v>
      </c>
      <c r="AM236" s="4">
        <f>IF(AND(vp.data[[#This Row],[SDate]]&gt;=DATE(YEAR(vp.data[[#This Row],[SDate]]),5,1),vp.data[[#This Row],[SDate]]&lt;=DATE(YEAR(vp.data[[#This Row],[SDate]]),9,15)),1,0)</f>
        <v>1</v>
      </c>
      <c r="AN236" s="4">
        <f>IF(vp.data[[#This Row],[SDate]]&lt;DATE(2016,12,1),0,1)</f>
        <v>0</v>
      </c>
      <c r="AO236" s="4">
        <f>IFERROR(vp.data[[#This Row],[Sulf]]*vp.data[[#This Row],[Net Dens]],"")</f>
        <v>3220930.3855679999</v>
      </c>
      <c r="AP236">
        <f>IFERROR(vp.data[[#This Row],[Dens]]*vp.data[[#This Row],[VolumeM3]],"")</f>
        <v>2982342.9495999999</v>
      </c>
      <c r="AQ236" s="15">
        <f>IFERROR(vp.data[[#This Row],[VP]]*vp.data[[#This Row],[VolumeM3]],"")</f>
        <v>359683.08880000003</v>
      </c>
    </row>
    <row r="237" spans="1:43" x14ac:dyDescent="0.25">
      <c r="A237">
        <v>236</v>
      </c>
      <c r="B237" t="s">
        <v>60</v>
      </c>
      <c r="C237" t="s">
        <v>60</v>
      </c>
      <c r="D237" t="s">
        <v>61</v>
      </c>
      <c r="E237" t="s">
        <v>55</v>
      </c>
      <c r="F237" s="1">
        <v>42544</v>
      </c>
      <c r="G237" s="2">
        <v>101.5</v>
      </c>
      <c r="H237" s="2"/>
      <c r="I237" s="2">
        <f t="array" ref="I237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37" s="2"/>
      <c r="K237" s="2"/>
      <c r="L237" s="2">
        <v>805.9</v>
      </c>
      <c r="M237" s="2">
        <f t="array" ref="M237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237" s="2">
        <f ca="1">INDEX(INDIRECT(_xlfn.CONCAT("weather.tbl[",N$1,"]")),MATCH(vp.data[[#This Row],[SDate]],weather.tbl[Date],0))</f>
        <v>17.233333333333334</v>
      </c>
      <c r="O237" s="2">
        <f ca="1">INDEX(INDIRECT(_xlfn.CONCAT("weather.tbl[",O$1,"]")),MATCH(vp.data[[#This Row],[SDate]],weather.tbl[Date],0))</f>
        <v>17.114285714285714</v>
      </c>
      <c r="P237" s="2">
        <f ca="1">INDEX(INDIRECT(_xlfn.CONCAT("weather.tbl[",P$1,"]")),MATCH(vp.data[[#This Row],[SDate]],weather.tbl[Date],0))</f>
        <v>16.7</v>
      </c>
      <c r="Q237" s="2">
        <f ca="1">INDEX(INDIRECT(_xlfn.CONCAT("weather.tbl[",Q$1,"]")),MATCH(vp.data[[#This Row],[SDate]],weather.tbl[Date],0))</f>
        <v>17.3</v>
      </c>
      <c r="R237" s="2">
        <f ca="1">INDEX(INDIRECT(_xlfn.CONCAT("weather.tbl[",R$1,"]")),MATCH(vp.data[[#This Row],[SDate]],weather.tbl[Date],0))</f>
        <v>15.3</v>
      </c>
      <c r="S237" s="2">
        <f ca="1">INDEX(INDIRECT(_xlfn.CONCAT("weather.tbl[",S$1,"]")),MATCH(vp.data[[#This Row],[SDate]],weather.tbl[Date],0))</f>
        <v>21</v>
      </c>
      <c r="T237" s="2">
        <f ca="1">INDEX(INDIRECT(_xlfn.CONCAT("weather.tbl[",T$1,"]")),MATCH(vp.data[[#This Row],[SDate]],weather.tbl[Date],0))</f>
        <v>16.600000000000001</v>
      </c>
      <c r="U237" s="2">
        <f ca="1">INDEX(INDIRECT(_xlfn.CONCAT("weather.tbl[",U$1,"]")),MATCH(vp.data[[#This Row],[SDate]],weather.tbl[Date],0))</f>
        <v>16.5</v>
      </c>
      <c r="V237" s="2">
        <f t="array" ref="V2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37" t="s">
        <v>48</v>
      </c>
      <c r="X237">
        <f>IF(OR(vp.data[[#This Row],[Sulf]]="",vp.data[[#This Row],[Dens]]=""),1,0)</f>
        <v>0</v>
      </c>
      <c r="Y237">
        <f>IF(vp.data[[#This Row],[CrudeType]]="C5+",1,0)</f>
        <v>0</v>
      </c>
      <c r="Z237">
        <f>IF(AND(vp.data[[#This Row],[CrudeType]]="Crude",vp.data[[#This Row],[Dens]]&lt;=825,vp.data[[#This Row],[Sulf]]&gt;0.5,vp.data[[#This Row],[Unknown]]=0),1,0)</f>
        <v>1</v>
      </c>
      <c r="AA237">
        <f>IF(AND(vp.data[[#This Row],[CrudeType]]="Crude",vp.data[[#This Row],[Dens]]&lt;=825,vp.data[[#This Row],[Sulf]]&lt;=0.5,vp.data[[#This Row],[Unknown]]=0),1,0)</f>
        <v>0</v>
      </c>
      <c r="AB2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7">
        <f>IF(AND(vp.data[[#This Row],[CrudeType]]="Crude",vp.data[[#This Row],[Dens]]&gt;825,vp.data[[#This Row],[Dens]]&lt;=900,vp.data[[#This Row],[Sulf]]&lt;=0.5,vp.data[[#This Row],[Unknown]]=0),1,0)</f>
        <v>0</v>
      </c>
      <c r="AD237">
        <f>IF(AND(vp.data[[#This Row],[CrudeType]]="Crude",vp.data[[#This Row],[Dens]]&gt;865,vp.data[[#This Row],[Dens]]&lt;=900,vp.data[[#This Row],[Sulf]]&gt;2,vp.data[[#This Row],[Unknown]]=0),1,0)</f>
        <v>0</v>
      </c>
      <c r="AE237">
        <f>IF(AND(vp.data[[#This Row],[CrudeType]]="Crude",vp.data[[#This Row],[Dens]]&gt;900,vp.data[[#This Row],[Sulf]]&lt;=0.5,vp.data[[#This Row],[Unknown]]=0),1,0)</f>
        <v>0</v>
      </c>
      <c r="AF237">
        <f>IF(AND(vp.data[[#This Row],[CrudeType]]="Crude",vp.data[[#This Row],[Dens]]&gt;900,vp.data[[#This Row],[Sulf]]&lt;=0.5,vp.data[[#This Row],[Unknown]]=0),1,0)</f>
        <v>0</v>
      </c>
      <c r="AG237" t="str">
        <f>INDEX(vp.data[[#Headers],[Unknown]:[Heavy_SW]],MATCH(1,vp.data[[#This Row],[Unknown]:[Heavy_SW]],0))</f>
        <v>Light_LSB</v>
      </c>
      <c r="AH237">
        <f>INDEX([3]!crudeBD.lkup[Number],MATCH(vp.data[[#This Row],[Crude_Breakdown]],crudeBD.lkup[Crude Breakdown],0))</f>
        <v>1</v>
      </c>
      <c r="AI237">
        <f>MONTH(vp.data[[#This Row],[SDate]])</f>
        <v>6</v>
      </c>
      <c r="AJ237" s="5">
        <f>(vp.data[[#This Row],[VP]]-INDEX(crudeBD.lkup[Mean_VP],MATCH(vp.data[[#This Row],[Crude_Breakdown]],crudeBD.lkup[Crude Breakdown],0)))^2</f>
        <v>99.078421766393262</v>
      </c>
      <c r="AK237" s="5">
        <f>(vp.data[[#This Row],[Dens]]-INDEX(crudeBD.lkup[Mean_Dens],MATCH(vp.data[[#This Row],[Crude_Breakdown]],crudeBD.lkup[Crude Breakdown],0)))^2</f>
        <v>159.18287916296899</v>
      </c>
      <c r="AL237" s="5">
        <f>(vp.data[[#This Row],[Sulf]]-INDEX(crudeBD.lkup[Mean_Sulf],MATCH(vp.data[[#This Row],[Crude_Breakdown]],crudeBD.lkup[Crude Breakdown],0)))^2</f>
        <v>5.1542090384526708E-2</v>
      </c>
      <c r="AM237" s="4">
        <f>IF(AND(vp.data[[#This Row],[SDate]]&gt;=DATE(YEAR(vp.data[[#This Row],[SDate]]),5,1),vp.data[[#This Row],[SDate]]&lt;=DATE(YEAR(vp.data[[#This Row],[SDate]]),9,15)),1,0)</f>
        <v>1</v>
      </c>
      <c r="AN237" s="4">
        <f>IF(vp.data[[#This Row],[SDate]]&lt;DATE(2016,12,1),0,1)</f>
        <v>0</v>
      </c>
      <c r="AO237" s="4">
        <f>IFERROR(vp.data[[#This Row],[Sulf]]*vp.data[[#This Row],[Net Dens]],"")</f>
        <v>96448527.922959983</v>
      </c>
      <c r="AP237">
        <f>IFERROR(vp.data[[#This Row],[Dens]]*vp.data[[#This Row],[VolumeM3]],"")</f>
        <v>83868285.150399998</v>
      </c>
      <c r="AQ237" s="15">
        <f>IFERROR(vp.data[[#This Row],[VP]]*vp.data[[#This Row],[VolumeM3]],"")</f>
        <v>10562887.384</v>
      </c>
    </row>
    <row r="238" spans="1:43" x14ac:dyDescent="0.25">
      <c r="A238">
        <v>237</v>
      </c>
      <c r="B238" t="s">
        <v>51</v>
      </c>
      <c r="C238" t="s">
        <v>51</v>
      </c>
      <c r="D238" t="s">
        <v>66</v>
      </c>
      <c r="F238" s="1">
        <v>42547</v>
      </c>
      <c r="G238" s="2">
        <v>85.9</v>
      </c>
      <c r="H238" s="2"/>
      <c r="I238" s="2">
        <f t="array" ref="I238">_xlfn.IFNA(IF(vp.data[[#This Row],[Sulf Input]]="",INDEX([1]DATA!$Q$3:$Q$9826,MATCH(1,(vp.data[[#This Row],[Battery]]=[1]DATA!$L$3:$L$9826)*(EOMONTH(vp.data[[#This Row],[SDate]],-1)+1=[1]DATA!$G$3:$G$9826),0)),vp.data[[#This Row],[Sulf Input]]),"")</f>
        <v>0.88</v>
      </c>
      <c r="J238" s="2"/>
      <c r="K238" s="2"/>
      <c r="L238" s="2">
        <v>825.8</v>
      </c>
      <c r="M238" s="2">
        <f t="array" ref="M238">_xlfn.IFNA(IF(vp.data[[#This Row],[Dens Input]]="",INDEX([1]DATA!$O$3:$O$9826,MATCH(1,(vp.data[[#This Row],[Battery]]=[1]DATA!$L$3:$L$9826)*(EOMONTH(vp.data[[#This Row],[SDate]],-1)+1=[1]DATA!$G$3:$G$9826),0)),vp.data[[#This Row],[Dens Input]]),"")</f>
        <v>825.8</v>
      </c>
      <c r="N238" s="2">
        <f ca="1">INDEX(INDIRECT(_xlfn.CONCAT("weather.tbl[",N$1,"]")),MATCH(vp.data[[#This Row],[SDate]],weather.tbl[Date],0))</f>
        <v>16.349999999999998</v>
      </c>
      <c r="O238" s="2">
        <f ca="1">INDEX(INDIRECT(_xlfn.CONCAT("weather.tbl[",O$1,"]")),MATCH(vp.data[[#This Row],[SDate]],weather.tbl[Date],0))</f>
        <v>17.007142857142856</v>
      </c>
      <c r="P238" s="2">
        <f ca="1">INDEX(INDIRECT(_xlfn.CONCAT("weather.tbl[",P$1,"]")),MATCH(vp.data[[#This Row],[SDate]],weather.tbl[Date],0))</f>
        <v>16.899999999999999</v>
      </c>
      <c r="Q238" s="2">
        <f ca="1">INDEX(INDIRECT(_xlfn.CONCAT("weather.tbl[",Q$1,"]")),MATCH(vp.data[[#This Row],[SDate]],weather.tbl[Date],0))</f>
        <v>16.8</v>
      </c>
      <c r="R238" s="2">
        <f ca="1">INDEX(INDIRECT(_xlfn.CONCAT("weather.tbl[",R$1,"]")),MATCH(vp.data[[#This Row],[SDate]],weather.tbl[Date],0))</f>
        <v>15.8</v>
      </c>
      <c r="S238" s="2">
        <f ca="1">INDEX(INDIRECT(_xlfn.CONCAT("weather.tbl[",S$1,"]")),MATCH(vp.data[[#This Row],[SDate]],weather.tbl[Date],0))</f>
        <v>17</v>
      </c>
      <c r="T238" s="2">
        <f ca="1">INDEX(INDIRECT(_xlfn.CONCAT("weather.tbl[",T$1,"]")),MATCH(vp.data[[#This Row],[SDate]],weather.tbl[Date],0))</f>
        <v>16.600000000000001</v>
      </c>
      <c r="U238" s="2">
        <f ca="1">INDEX(INDIRECT(_xlfn.CONCAT("weather.tbl[",U$1,"]")),MATCH(vp.data[[#This Row],[SDate]],weather.tbl[Date],0))</f>
        <v>15</v>
      </c>
      <c r="V238" s="2">
        <f t="array" ref="V2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3596.9450000000002</v>
      </c>
      <c r="W238" t="s">
        <v>48</v>
      </c>
      <c r="X238">
        <f>IF(OR(vp.data[[#This Row],[Sulf]]="",vp.data[[#This Row],[Dens]]=""),1,0)</f>
        <v>0</v>
      </c>
      <c r="Y238">
        <f>IF(vp.data[[#This Row],[CrudeType]]="C5+",1,0)</f>
        <v>0</v>
      </c>
      <c r="Z238">
        <f>IF(AND(vp.data[[#This Row],[CrudeType]]="Crude",vp.data[[#This Row],[Dens]]&lt;=825,vp.data[[#This Row],[Sulf]]&gt;0.5,vp.data[[#This Row],[Unknown]]=0),1,0)</f>
        <v>0</v>
      </c>
      <c r="AA238">
        <f>IF(AND(vp.data[[#This Row],[CrudeType]]="Crude",vp.data[[#This Row],[Dens]]&lt;=825,vp.data[[#This Row],[Sulf]]&lt;=0.5,vp.data[[#This Row],[Unknown]]=0),1,0)</f>
        <v>0</v>
      </c>
      <c r="AB2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38">
        <f>IF(AND(vp.data[[#This Row],[CrudeType]]="Crude",vp.data[[#This Row],[Dens]]&gt;825,vp.data[[#This Row],[Dens]]&lt;=900,vp.data[[#This Row],[Sulf]]&lt;=0.5,vp.data[[#This Row],[Unknown]]=0),1,0)</f>
        <v>0</v>
      </c>
      <c r="AD238">
        <f>IF(AND(vp.data[[#This Row],[CrudeType]]="Crude",vp.data[[#This Row],[Dens]]&gt;865,vp.data[[#This Row],[Dens]]&lt;=900,vp.data[[#This Row],[Sulf]]&gt;2,vp.data[[#This Row],[Unknown]]=0),1,0)</f>
        <v>0</v>
      </c>
      <c r="AE238">
        <f>IF(AND(vp.data[[#This Row],[CrudeType]]="Crude",vp.data[[#This Row],[Dens]]&gt;900,vp.data[[#This Row],[Sulf]]&lt;=0.5,vp.data[[#This Row],[Unknown]]=0),1,0)</f>
        <v>0</v>
      </c>
      <c r="AF238">
        <f>IF(AND(vp.data[[#This Row],[CrudeType]]="Crude",vp.data[[#This Row],[Dens]]&gt;900,vp.data[[#This Row],[Sulf]]&lt;=0.5,vp.data[[#This Row],[Unknown]]=0),1,0)</f>
        <v>0</v>
      </c>
      <c r="AG238" t="str">
        <f>INDEX(vp.data[[#Headers],[Unknown]:[Heavy_SW]],MATCH(1,vp.data[[#This Row],[Unknown]:[Heavy_SW]],0))</f>
        <v>Medium_LSB</v>
      </c>
      <c r="AH238">
        <f>INDEX([3]!crudeBD.lkup[Number],MATCH(vp.data[[#This Row],[Crude_Breakdown]],crudeBD.lkup[Crude Breakdown],0))</f>
        <v>3</v>
      </c>
      <c r="AI238">
        <f>MONTH(vp.data[[#This Row],[SDate]])</f>
        <v>6</v>
      </c>
      <c r="AJ238" s="5">
        <f>(vp.data[[#This Row],[VP]]-INDEX(crudeBD.lkup[Mean_VP],MATCH(vp.data[[#This Row],[Crude_Breakdown]],crudeBD.lkup[Crude Breakdown],0)))^2</f>
        <v>27.671002800038593</v>
      </c>
      <c r="AK238" s="5">
        <f>(vp.data[[#This Row],[Dens]]-INDEX(crudeBD.lkup[Mean_Dens],MATCH(vp.data[[#This Row],[Crude_Breakdown]],crudeBD.lkup[Crude Breakdown],0)))^2</f>
        <v>328.3343999999837</v>
      </c>
      <c r="AL238" s="5">
        <f>(vp.data[[#This Row],[Sulf]]-INDEX(crudeBD.lkup[Mean_Sulf],MATCH(vp.data[[#This Row],[Crude_Breakdown]],crudeBD.lkup[Crude Breakdown],0)))^2</f>
        <v>0.25543737451887472</v>
      </c>
      <c r="AM238" s="4">
        <f>IF(AND(vp.data[[#This Row],[SDate]]&gt;=DATE(YEAR(vp.data[[#This Row],[SDate]]),5,1),vp.data[[#This Row],[SDate]]&lt;=DATE(YEAR(vp.data[[#This Row],[SDate]]),9,15)),1,0)</f>
        <v>1</v>
      </c>
      <c r="AN238" s="4">
        <f>IF(vp.data[[#This Row],[SDate]]&lt;DATE(2016,12,1),0,1)</f>
        <v>0</v>
      </c>
      <c r="AO238" s="4">
        <f>IFERROR(vp.data[[#This Row],[Sulf]]*vp.data[[#This Row],[Net Dens]],"")</f>
        <v>2613914.3192799999</v>
      </c>
      <c r="AP238">
        <f>IFERROR(vp.data[[#This Row],[Dens]]*vp.data[[#This Row],[VolumeM3]],"")</f>
        <v>2970357.1809999999</v>
      </c>
      <c r="AQ238" s="15">
        <f>IFERROR(vp.data[[#This Row],[VP]]*vp.data[[#This Row],[VolumeM3]],"")</f>
        <v>308977.57550000004</v>
      </c>
    </row>
    <row r="239" spans="1:43" x14ac:dyDescent="0.25">
      <c r="A239">
        <v>238</v>
      </c>
      <c r="B239" t="s">
        <v>49</v>
      </c>
      <c r="C239" t="s">
        <v>49</v>
      </c>
      <c r="D239" t="s">
        <v>74</v>
      </c>
      <c r="F239" s="1">
        <v>42548</v>
      </c>
      <c r="G239" s="2">
        <v>97.9</v>
      </c>
      <c r="H239" s="2"/>
      <c r="I239" s="2">
        <f t="array" ref="I239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39" s="2"/>
      <c r="K239" s="2"/>
      <c r="L239" s="2">
        <v>807.5</v>
      </c>
      <c r="M239" s="2">
        <f t="array" ref="M239">_xlfn.IFNA(IF(vp.data[[#This Row],[Dens Input]]="",INDEX([1]DATA!$O$3:$O$9826,MATCH(1,(vp.data[[#This Row],[Battery]]=[1]DATA!$L$3:$L$9826)*(EOMONTH(vp.data[[#This Row],[SDate]],-1)+1=[1]DATA!$G$3:$G$9826),0)),vp.data[[#This Row],[Dens Input]]),"")</f>
        <v>807.5</v>
      </c>
      <c r="N239" s="2">
        <f ca="1">INDEX(INDIRECT(_xlfn.CONCAT("weather.tbl[",N$1,"]")),MATCH(vp.data[[#This Row],[SDate]],weather.tbl[Date],0))</f>
        <v>16.333333333333332</v>
      </c>
      <c r="O239" s="2">
        <f ca="1">INDEX(INDIRECT(_xlfn.CONCAT("weather.tbl[",O$1,"]")),MATCH(vp.data[[#This Row],[SDate]],weather.tbl[Date],0))</f>
        <v>16.971428571428572</v>
      </c>
      <c r="P239" s="2">
        <f ca="1">INDEX(INDIRECT(_xlfn.CONCAT("weather.tbl[",P$1,"]")),MATCH(vp.data[[#This Row],[SDate]],weather.tbl[Date],0))</f>
        <v>16.100000000000001</v>
      </c>
      <c r="Q239" s="2">
        <f ca="1">INDEX(INDIRECT(_xlfn.CONCAT("weather.tbl[",Q$1,"]")),MATCH(vp.data[[#This Row],[SDate]],weather.tbl[Date],0))</f>
        <v>16.8</v>
      </c>
      <c r="R239" s="2">
        <f ca="1">INDEX(INDIRECT(_xlfn.CONCAT("weather.tbl[",R$1,"]")),MATCH(vp.data[[#This Row],[SDate]],weather.tbl[Date],0))</f>
        <v>15.5</v>
      </c>
      <c r="S239" s="2">
        <f ca="1">INDEX(INDIRECT(_xlfn.CONCAT("weather.tbl[",S$1,"]")),MATCH(vp.data[[#This Row],[SDate]],weather.tbl[Date],0))</f>
        <v>19</v>
      </c>
      <c r="T239" s="2">
        <f ca="1">INDEX(INDIRECT(_xlfn.CONCAT("weather.tbl[",T$1,"]")),MATCH(vp.data[[#This Row],[SDate]],weather.tbl[Date],0))</f>
        <v>16.100000000000001</v>
      </c>
      <c r="U239" s="2">
        <f ca="1">INDEX(INDIRECT(_xlfn.CONCAT("weather.tbl[",U$1,"]")),MATCH(vp.data[[#This Row],[SDate]],weather.tbl[Date],0))</f>
        <v>14.5</v>
      </c>
      <c r="V239" s="2">
        <f t="array" ref="V2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41537.673000000003</v>
      </c>
      <c r="W239" t="s">
        <v>48</v>
      </c>
      <c r="X239">
        <f>IF(OR(vp.data[[#This Row],[Sulf]]="",vp.data[[#This Row],[Dens]]=""),1,0)</f>
        <v>0</v>
      </c>
      <c r="Y239">
        <f>IF(vp.data[[#This Row],[CrudeType]]="C5+",1,0)</f>
        <v>0</v>
      </c>
      <c r="Z239">
        <f>IF(AND(vp.data[[#This Row],[CrudeType]]="Crude",vp.data[[#This Row],[Dens]]&lt;=825,vp.data[[#This Row],[Sulf]]&gt;0.5,vp.data[[#This Row],[Unknown]]=0),1,0)</f>
        <v>0</v>
      </c>
      <c r="AA239">
        <f>IF(AND(vp.data[[#This Row],[CrudeType]]="Crude",vp.data[[#This Row],[Dens]]&lt;=825,vp.data[[#This Row],[Sulf]]&lt;=0.5,vp.data[[#This Row],[Unknown]]=0),1,0)</f>
        <v>1</v>
      </c>
      <c r="AB2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39">
        <f>IF(AND(vp.data[[#This Row],[CrudeType]]="Crude",vp.data[[#This Row],[Dens]]&gt;825,vp.data[[#This Row],[Dens]]&lt;=900,vp.data[[#This Row],[Sulf]]&lt;=0.5,vp.data[[#This Row],[Unknown]]=0),1,0)</f>
        <v>0</v>
      </c>
      <c r="AD239">
        <f>IF(AND(vp.data[[#This Row],[CrudeType]]="Crude",vp.data[[#This Row],[Dens]]&gt;865,vp.data[[#This Row],[Dens]]&lt;=900,vp.data[[#This Row],[Sulf]]&gt;2,vp.data[[#This Row],[Unknown]]=0),1,0)</f>
        <v>0</v>
      </c>
      <c r="AE239">
        <f>IF(AND(vp.data[[#This Row],[CrudeType]]="Crude",vp.data[[#This Row],[Dens]]&gt;900,vp.data[[#This Row],[Sulf]]&lt;=0.5,vp.data[[#This Row],[Unknown]]=0),1,0)</f>
        <v>0</v>
      </c>
      <c r="AF239">
        <f>IF(AND(vp.data[[#This Row],[CrudeType]]="Crude",vp.data[[#This Row],[Dens]]&gt;900,vp.data[[#This Row],[Sulf]]&lt;=0.5,vp.data[[#This Row],[Unknown]]=0),1,0)</f>
        <v>0</v>
      </c>
      <c r="AG239" t="str">
        <f>INDEX(vp.data[[#Headers],[Unknown]:[Heavy_SW]],MATCH(1,vp.data[[#This Row],[Unknown]:[Heavy_SW]],0))</f>
        <v>Light_SW</v>
      </c>
      <c r="AH239">
        <f>INDEX([3]!crudeBD.lkup[Number],MATCH(vp.data[[#This Row],[Crude_Breakdown]],crudeBD.lkup[Crude Breakdown],0))</f>
        <v>2</v>
      </c>
      <c r="AI239">
        <f>MONTH(vp.data[[#This Row],[SDate]])</f>
        <v>6</v>
      </c>
      <c r="AJ239" s="5">
        <f>(vp.data[[#This Row],[VP]]-INDEX(crudeBD.lkup[Mean_VP],MATCH(vp.data[[#This Row],[Crude_Breakdown]],crudeBD.lkup[Crude Breakdown],0)))^2</f>
        <v>28.619144697641481</v>
      </c>
      <c r="AK239" s="5">
        <f>(vp.data[[#This Row],[Dens]]-INDEX(crudeBD.lkup[Mean_Dens],MATCH(vp.data[[#This Row],[Crude_Breakdown]],crudeBD.lkup[Crude Breakdown],0)))^2</f>
        <v>0.65852942247654833</v>
      </c>
      <c r="AL239" s="5">
        <f>(vp.data[[#This Row],[Sulf]]-INDEX(crudeBD.lkup[Mean_Sulf],MATCH(vp.data[[#This Row],[Crude_Breakdown]],crudeBD.lkup[Crude Breakdown],0)))^2</f>
        <v>9.2624863475336272E-3</v>
      </c>
      <c r="AM239" s="4">
        <f>IF(AND(vp.data[[#This Row],[SDate]]&gt;=DATE(YEAR(vp.data[[#This Row],[SDate]]),5,1),vp.data[[#This Row],[SDate]]&lt;=DATE(YEAR(vp.data[[#This Row],[SDate]]),9,15)),1,0)</f>
        <v>1</v>
      </c>
      <c r="AN239" s="4">
        <f>IF(vp.data[[#This Row],[SDate]]&lt;DATE(2016,12,1),0,1)</f>
        <v>0</v>
      </c>
      <c r="AO239" s="4">
        <f>IFERROR(vp.data[[#This Row],[Sulf]]*vp.data[[#This Row],[Net Dens]],"")</f>
        <v>4695833.9326500008</v>
      </c>
      <c r="AP239">
        <f>IFERROR(vp.data[[#This Row],[Dens]]*vp.data[[#This Row],[VolumeM3]],"")</f>
        <v>33541670.947500002</v>
      </c>
      <c r="AQ239" s="15">
        <f>IFERROR(vp.data[[#This Row],[VP]]*vp.data[[#This Row],[VolumeM3]],"")</f>
        <v>4066538.1867000004</v>
      </c>
    </row>
    <row r="240" spans="1:43" x14ac:dyDescent="0.25">
      <c r="A240">
        <v>239</v>
      </c>
      <c r="B240" t="s">
        <v>49</v>
      </c>
      <c r="C240" t="s">
        <v>49</v>
      </c>
      <c r="D240" t="s">
        <v>74</v>
      </c>
      <c r="F240" s="1">
        <v>42548</v>
      </c>
      <c r="G240" s="2">
        <v>96.9</v>
      </c>
      <c r="H240" s="2"/>
      <c r="I240" s="2">
        <f t="array" ref="I240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40" s="2"/>
      <c r="K240" s="2"/>
      <c r="L240" s="2">
        <v>807.5</v>
      </c>
      <c r="M240" s="2">
        <f t="array" ref="M240">_xlfn.IFNA(IF(vp.data[[#This Row],[Dens Input]]="",INDEX([1]DATA!$O$3:$O$9826,MATCH(1,(vp.data[[#This Row],[Battery]]=[1]DATA!$L$3:$L$9826)*(EOMONTH(vp.data[[#This Row],[SDate]],-1)+1=[1]DATA!$G$3:$G$9826),0)),vp.data[[#This Row],[Dens Input]]),"")</f>
        <v>807.5</v>
      </c>
      <c r="N240" s="2">
        <f ca="1">INDEX(INDIRECT(_xlfn.CONCAT("weather.tbl[",N$1,"]")),MATCH(vp.data[[#This Row],[SDate]],weather.tbl[Date],0))</f>
        <v>16.333333333333332</v>
      </c>
      <c r="O240" s="2">
        <f ca="1">INDEX(INDIRECT(_xlfn.CONCAT("weather.tbl[",O$1,"]")),MATCH(vp.data[[#This Row],[SDate]],weather.tbl[Date],0))</f>
        <v>16.971428571428572</v>
      </c>
      <c r="P240" s="2">
        <f ca="1">INDEX(INDIRECT(_xlfn.CONCAT("weather.tbl[",P$1,"]")),MATCH(vp.data[[#This Row],[SDate]],weather.tbl[Date],0))</f>
        <v>16.100000000000001</v>
      </c>
      <c r="Q240" s="2">
        <f ca="1">INDEX(INDIRECT(_xlfn.CONCAT("weather.tbl[",Q$1,"]")),MATCH(vp.data[[#This Row],[SDate]],weather.tbl[Date],0))</f>
        <v>16.8</v>
      </c>
      <c r="R240" s="2">
        <f ca="1">INDEX(INDIRECT(_xlfn.CONCAT("weather.tbl[",R$1,"]")),MATCH(vp.data[[#This Row],[SDate]],weather.tbl[Date],0))</f>
        <v>15.5</v>
      </c>
      <c r="S240" s="2">
        <f ca="1">INDEX(INDIRECT(_xlfn.CONCAT("weather.tbl[",S$1,"]")),MATCH(vp.data[[#This Row],[SDate]],weather.tbl[Date],0))</f>
        <v>19</v>
      </c>
      <c r="T240" s="2">
        <f ca="1">INDEX(INDIRECT(_xlfn.CONCAT("weather.tbl[",T$1,"]")),MATCH(vp.data[[#This Row],[SDate]],weather.tbl[Date],0))</f>
        <v>16.100000000000001</v>
      </c>
      <c r="U240" s="2">
        <f ca="1">INDEX(INDIRECT(_xlfn.CONCAT("weather.tbl[",U$1,"]")),MATCH(vp.data[[#This Row],[SDate]],weather.tbl[Date],0))</f>
        <v>14.5</v>
      </c>
      <c r="V240" s="2">
        <f t="array" ref="V2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41537.673000000003</v>
      </c>
      <c r="W240" t="s">
        <v>48</v>
      </c>
      <c r="X240">
        <f>IF(OR(vp.data[[#This Row],[Sulf]]="",vp.data[[#This Row],[Dens]]=""),1,0)</f>
        <v>0</v>
      </c>
      <c r="Y240">
        <f>IF(vp.data[[#This Row],[CrudeType]]="C5+",1,0)</f>
        <v>0</v>
      </c>
      <c r="Z240">
        <f>IF(AND(vp.data[[#This Row],[CrudeType]]="Crude",vp.data[[#This Row],[Dens]]&lt;=825,vp.data[[#This Row],[Sulf]]&gt;0.5,vp.data[[#This Row],[Unknown]]=0),1,0)</f>
        <v>0</v>
      </c>
      <c r="AA240">
        <f>IF(AND(vp.data[[#This Row],[CrudeType]]="Crude",vp.data[[#This Row],[Dens]]&lt;=825,vp.data[[#This Row],[Sulf]]&lt;=0.5,vp.data[[#This Row],[Unknown]]=0),1,0)</f>
        <v>1</v>
      </c>
      <c r="AB2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0">
        <f>IF(AND(vp.data[[#This Row],[CrudeType]]="Crude",vp.data[[#This Row],[Dens]]&gt;825,vp.data[[#This Row],[Dens]]&lt;=900,vp.data[[#This Row],[Sulf]]&lt;=0.5,vp.data[[#This Row],[Unknown]]=0),1,0)</f>
        <v>0</v>
      </c>
      <c r="AD240">
        <f>IF(AND(vp.data[[#This Row],[CrudeType]]="Crude",vp.data[[#This Row],[Dens]]&gt;865,vp.data[[#This Row],[Dens]]&lt;=900,vp.data[[#This Row],[Sulf]]&gt;2,vp.data[[#This Row],[Unknown]]=0),1,0)</f>
        <v>0</v>
      </c>
      <c r="AE240">
        <f>IF(AND(vp.data[[#This Row],[CrudeType]]="Crude",vp.data[[#This Row],[Dens]]&gt;900,vp.data[[#This Row],[Sulf]]&lt;=0.5,vp.data[[#This Row],[Unknown]]=0),1,0)</f>
        <v>0</v>
      </c>
      <c r="AF240">
        <f>IF(AND(vp.data[[#This Row],[CrudeType]]="Crude",vp.data[[#This Row],[Dens]]&gt;900,vp.data[[#This Row],[Sulf]]&lt;=0.5,vp.data[[#This Row],[Unknown]]=0),1,0)</f>
        <v>0</v>
      </c>
      <c r="AG240" t="str">
        <f>INDEX(vp.data[[#Headers],[Unknown]:[Heavy_SW]],MATCH(1,vp.data[[#This Row],[Unknown]:[Heavy_SW]],0))</f>
        <v>Light_SW</v>
      </c>
      <c r="AH240">
        <f>INDEX([3]!crudeBD.lkup[Number],MATCH(vp.data[[#This Row],[Crude_Breakdown]],crudeBD.lkup[Crude Breakdown],0))</f>
        <v>2</v>
      </c>
      <c r="AI240">
        <f>MONTH(vp.data[[#This Row],[SDate]])</f>
        <v>6</v>
      </c>
      <c r="AJ240" s="5">
        <f>(vp.data[[#This Row],[VP]]-INDEX(crudeBD.lkup[Mean_VP],MATCH(vp.data[[#This Row],[Crude_Breakdown]],crudeBD.lkup[Crude Breakdown],0)))^2</f>
        <v>18.919771875341759</v>
      </c>
      <c r="AK240" s="5">
        <f>(vp.data[[#This Row],[Dens]]-INDEX(crudeBD.lkup[Mean_Dens],MATCH(vp.data[[#This Row],[Crude_Breakdown]],crudeBD.lkup[Crude Breakdown],0)))^2</f>
        <v>0.65852942247654833</v>
      </c>
      <c r="AL240" s="5">
        <f>(vp.data[[#This Row],[Sulf]]-INDEX(crudeBD.lkup[Mean_Sulf],MATCH(vp.data[[#This Row],[Crude_Breakdown]],crudeBD.lkup[Crude Breakdown],0)))^2</f>
        <v>9.2624863475336272E-3</v>
      </c>
      <c r="AM240" s="4">
        <f>IF(AND(vp.data[[#This Row],[SDate]]&gt;=DATE(YEAR(vp.data[[#This Row],[SDate]]),5,1),vp.data[[#This Row],[SDate]]&lt;=DATE(YEAR(vp.data[[#This Row],[SDate]]),9,15)),1,0)</f>
        <v>1</v>
      </c>
      <c r="AN240" s="4">
        <f>IF(vp.data[[#This Row],[SDate]]&lt;DATE(2016,12,1),0,1)</f>
        <v>0</v>
      </c>
      <c r="AO240" s="4">
        <f>IFERROR(vp.data[[#This Row],[Sulf]]*vp.data[[#This Row],[Net Dens]],"")</f>
        <v>4695833.9326500008</v>
      </c>
      <c r="AP240">
        <f>IFERROR(vp.data[[#This Row],[Dens]]*vp.data[[#This Row],[VolumeM3]],"")</f>
        <v>33541670.947500002</v>
      </c>
      <c r="AQ240" s="15">
        <f>IFERROR(vp.data[[#This Row],[VP]]*vp.data[[#This Row],[VolumeM3]],"")</f>
        <v>4025000.5137000005</v>
      </c>
    </row>
    <row r="241" spans="1:43" x14ac:dyDescent="0.25">
      <c r="A241">
        <v>240</v>
      </c>
      <c r="B241" t="s">
        <v>49</v>
      </c>
      <c r="C241" t="s">
        <v>49</v>
      </c>
      <c r="D241" t="s">
        <v>67</v>
      </c>
      <c r="F241" s="1">
        <v>42548</v>
      </c>
      <c r="G241" s="2">
        <v>99.1</v>
      </c>
      <c r="H241" s="2"/>
      <c r="I241" s="2">
        <f t="array" ref="I241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41" s="2"/>
      <c r="K241" s="2"/>
      <c r="L241" s="2">
        <v>808.1</v>
      </c>
      <c r="M241" s="2">
        <f t="array" ref="M241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241" s="2">
        <f ca="1">INDEX(INDIRECT(_xlfn.CONCAT("weather.tbl[",N$1,"]")),MATCH(vp.data[[#This Row],[SDate]],weather.tbl[Date],0))</f>
        <v>16.333333333333332</v>
      </c>
      <c r="O241" s="2">
        <f ca="1">INDEX(INDIRECT(_xlfn.CONCAT("weather.tbl[",O$1,"]")),MATCH(vp.data[[#This Row],[SDate]],weather.tbl[Date],0))</f>
        <v>16.971428571428572</v>
      </c>
      <c r="P241" s="2">
        <f ca="1">INDEX(INDIRECT(_xlfn.CONCAT("weather.tbl[",P$1,"]")),MATCH(vp.data[[#This Row],[SDate]],weather.tbl[Date],0))</f>
        <v>16.100000000000001</v>
      </c>
      <c r="Q241" s="2">
        <f ca="1">INDEX(INDIRECT(_xlfn.CONCAT("weather.tbl[",Q$1,"]")),MATCH(vp.data[[#This Row],[SDate]],weather.tbl[Date],0))</f>
        <v>16.8</v>
      </c>
      <c r="R241" s="2">
        <f ca="1">INDEX(INDIRECT(_xlfn.CONCAT("weather.tbl[",R$1,"]")),MATCH(vp.data[[#This Row],[SDate]],weather.tbl[Date],0))</f>
        <v>15.5</v>
      </c>
      <c r="S241" s="2">
        <f ca="1">INDEX(INDIRECT(_xlfn.CONCAT("weather.tbl[",S$1,"]")),MATCH(vp.data[[#This Row],[SDate]],weather.tbl[Date],0))</f>
        <v>19</v>
      </c>
      <c r="T241" s="2">
        <f ca="1">INDEX(INDIRECT(_xlfn.CONCAT("weather.tbl[",T$1,"]")),MATCH(vp.data[[#This Row],[SDate]],weather.tbl[Date],0))</f>
        <v>16.100000000000001</v>
      </c>
      <c r="U241" s="2">
        <f ca="1">INDEX(INDIRECT(_xlfn.CONCAT("weather.tbl[",U$1,"]")),MATCH(vp.data[[#This Row],[SDate]],weather.tbl[Date],0))</f>
        <v>14.5</v>
      </c>
      <c r="V241" s="2">
        <f t="array" ref="V2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50694.305999999997</v>
      </c>
      <c r="W241" t="s">
        <v>48</v>
      </c>
      <c r="X241">
        <f>IF(OR(vp.data[[#This Row],[Sulf]]="",vp.data[[#This Row],[Dens]]=""),1,0)</f>
        <v>0</v>
      </c>
      <c r="Y241">
        <f>IF(vp.data[[#This Row],[CrudeType]]="C5+",1,0)</f>
        <v>0</v>
      </c>
      <c r="Z241">
        <f>IF(AND(vp.data[[#This Row],[CrudeType]]="Crude",vp.data[[#This Row],[Dens]]&lt;=825,vp.data[[#This Row],[Sulf]]&gt;0.5,vp.data[[#This Row],[Unknown]]=0),1,0)</f>
        <v>0</v>
      </c>
      <c r="AA241">
        <f>IF(AND(vp.data[[#This Row],[CrudeType]]="Crude",vp.data[[#This Row],[Dens]]&lt;=825,vp.data[[#This Row],[Sulf]]&lt;=0.5,vp.data[[#This Row],[Unknown]]=0),1,0)</f>
        <v>1</v>
      </c>
      <c r="AB2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1">
        <f>IF(AND(vp.data[[#This Row],[CrudeType]]="Crude",vp.data[[#This Row],[Dens]]&gt;825,vp.data[[#This Row],[Dens]]&lt;=900,vp.data[[#This Row],[Sulf]]&lt;=0.5,vp.data[[#This Row],[Unknown]]=0),1,0)</f>
        <v>0</v>
      </c>
      <c r="AD241">
        <f>IF(AND(vp.data[[#This Row],[CrudeType]]="Crude",vp.data[[#This Row],[Dens]]&gt;865,vp.data[[#This Row],[Dens]]&lt;=900,vp.data[[#This Row],[Sulf]]&gt;2,vp.data[[#This Row],[Unknown]]=0),1,0)</f>
        <v>0</v>
      </c>
      <c r="AE241">
        <f>IF(AND(vp.data[[#This Row],[CrudeType]]="Crude",vp.data[[#This Row],[Dens]]&gt;900,vp.data[[#This Row],[Sulf]]&lt;=0.5,vp.data[[#This Row],[Unknown]]=0),1,0)</f>
        <v>0</v>
      </c>
      <c r="AF241">
        <f>IF(AND(vp.data[[#This Row],[CrudeType]]="Crude",vp.data[[#This Row],[Dens]]&gt;900,vp.data[[#This Row],[Sulf]]&lt;=0.5,vp.data[[#This Row],[Unknown]]=0),1,0)</f>
        <v>0</v>
      </c>
      <c r="AG241" t="str">
        <f>INDEX(vp.data[[#Headers],[Unknown]:[Heavy_SW]],MATCH(1,vp.data[[#This Row],[Unknown]:[Heavy_SW]],0))</f>
        <v>Light_SW</v>
      </c>
      <c r="AH241">
        <f>INDEX([3]!crudeBD.lkup[Number],MATCH(vp.data[[#This Row],[Crude_Breakdown]],crudeBD.lkup[Crude Breakdown],0))</f>
        <v>2</v>
      </c>
      <c r="AI241">
        <f>MONTH(vp.data[[#This Row],[SDate]])</f>
        <v>6</v>
      </c>
      <c r="AJ241" s="5">
        <f>(vp.data[[#This Row],[VP]]-INDEX(crudeBD.lkup[Mean_VP],MATCH(vp.data[[#This Row],[Crude_Breakdown]],crudeBD.lkup[Crude Breakdown],0)))^2</f>
        <v>42.898392084400996</v>
      </c>
      <c r="AK241" s="5">
        <f>(vp.data[[#This Row],[Dens]]-INDEX(crudeBD.lkup[Mean_Dens],MATCH(vp.data[[#This Row],[Crude_Breakdown]],crudeBD.lkup[Crude Breakdown],0)))^2</f>
        <v>4.473151306913524E-2</v>
      </c>
      <c r="AL241" s="5">
        <f>(vp.data[[#This Row],[Sulf]]-INDEX(crudeBD.lkup[Mean_Sulf],MATCH(vp.data[[#This Row],[Crude_Breakdown]],crudeBD.lkup[Crude Breakdown],0)))^2</f>
        <v>6.8863268899706654E-4</v>
      </c>
      <c r="AM241" s="4">
        <f>IF(AND(vp.data[[#This Row],[SDate]]&gt;=DATE(YEAR(vp.data[[#This Row],[SDate]]),5,1),vp.data[[#This Row],[SDate]]&lt;=DATE(YEAR(vp.data[[#This Row],[SDate]]),9,15)),1,0)</f>
        <v>1</v>
      </c>
      <c r="AN241" s="4">
        <f>IF(vp.data[[#This Row],[SDate]]&lt;DATE(2016,12,1),0,1)</f>
        <v>0</v>
      </c>
      <c r="AO241" s="4">
        <f>IFERROR(vp.data[[#This Row],[Sulf]]*vp.data[[#This Row],[Net Dens]],"")</f>
        <v>8602874.422505999</v>
      </c>
      <c r="AP241">
        <f>IFERROR(vp.data[[#This Row],[Dens]]*vp.data[[#This Row],[VolumeM3]],"")</f>
        <v>40966068.678599998</v>
      </c>
      <c r="AQ241" s="15">
        <f>IFERROR(vp.data[[#This Row],[VP]]*vp.data[[#This Row],[VolumeM3]],"")</f>
        <v>5023805.7245999994</v>
      </c>
    </row>
    <row r="242" spans="1:43" x14ac:dyDescent="0.25">
      <c r="A242">
        <v>241</v>
      </c>
      <c r="B242" t="s">
        <v>49</v>
      </c>
      <c r="C242" t="s">
        <v>49</v>
      </c>
      <c r="D242" t="s">
        <v>89</v>
      </c>
      <c r="F242" s="1">
        <v>42548</v>
      </c>
      <c r="G242" s="2">
        <v>82.6</v>
      </c>
      <c r="H242" s="2"/>
      <c r="I242" s="2">
        <f t="array" ref="I242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42" s="2"/>
      <c r="K242" s="2"/>
      <c r="L242" s="2">
        <v>823.3</v>
      </c>
      <c r="M242" s="2">
        <f t="array" ref="M242">_xlfn.IFNA(IF(vp.data[[#This Row],[Dens Input]]="",INDEX([1]DATA!$O$3:$O$9826,MATCH(1,(vp.data[[#This Row],[Battery]]=[1]DATA!$L$3:$L$9826)*(EOMONTH(vp.data[[#This Row],[SDate]],-1)+1=[1]DATA!$G$3:$G$9826),0)),vp.data[[#This Row],[Dens Input]]),"")</f>
        <v>823.3</v>
      </c>
      <c r="N242" s="2">
        <f ca="1">INDEX(INDIRECT(_xlfn.CONCAT("weather.tbl[",N$1,"]")),MATCH(vp.data[[#This Row],[SDate]],weather.tbl[Date],0))</f>
        <v>16.333333333333332</v>
      </c>
      <c r="O242" s="2">
        <f ca="1">INDEX(INDIRECT(_xlfn.CONCAT("weather.tbl[",O$1,"]")),MATCH(vp.data[[#This Row],[SDate]],weather.tbl[Date],0))</f>
        <v>16.971428571428572</v>
      </c>
      <c r="P242" s="2">
        <f ca="1">INDEX(INDIRECT(_xlfn.CONCAT("weather.tbl[",P$1,"]")),MATCH(vp.data[[#This Row],[SDate]],weather.tbl[Date],0))</f>
        <v>16.100000000000001</v>
      </c>
      <c r="Q242" s="2">
        <f ca="1">INDEX(INDIRECT(_xlfn.CONCAT("weather.tbl[",Q$1,"]")),MATCH(vp.data[[#This Row],[SDate]],weather.tbl[Date],0))</f>
        <v>16.8</v>
      </c>
      <c r="R242" s="2">
        <f ca="1">INDEX(INDIRECT(_xlfn.CONCAT("weather.tbl[",R$1,"]")),MATCH(vp.data[[#This Row],[SDate]],weather.tbl[Date],0))</f>
        <v>15.5</v>
      </c>
      <c r="S242" s="2">
        <f ca="1">INDEX(INDIRECT(_xlfn.CONCAT("weather.tbl[",S$1,"]")),MATCH(vp.data[[#This Row],[SDate]],weather.tbl[Date],0))</f>
        <v>19</v>
      </c>
      <c r="T242" s="2">
        <f ca="1">INDEX(INDIRECT(_xlfn.CONCAT("weather.tbl[",T$1,"]")),MATCH(vp.data[[#This Row],[SDate]],weather.tbl[Date],0))</f>
        <v>16.100000000000001</v>
      </c>
      <c r="U242" s="2">
        <f ca="1">INDEX(INDIRECT(_xlfn.CONCAT("weather.tbl[",U$1,"]")),MATCH(vp.data[[#This Row],[SDate]],weather.tbl[Date],0))</f>
        <v>14.5</v>
      </c>
      <c r="V242" s="2">
        <f t="array" ref="V2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5921.0450000000001</v>
      </c>
      <c r="W242" t="s">
        <v>48</v>
      </c>
      <c r="X242">
        <f>IF(OR(vp.data[[#This Row],[Sulf]]="",vp.data[[#This Row],[Dens]]=""),1,0)</f>
        <v>0</v>
      </c>
      <c r="Y242">
        <f>IF(vp.data[[#This Row],[CrudeType]]="C5+",1,0)</f>
        <v>0</v>
      </c>
      <c r="Z242">
        <f>IF(AND(vp.data[[#This Row],[CrudeType]]="Crude",vp.data[[#This Row],[Dens]]&lt;=825,vp.data[[#This Row],[Sulf]]&gt;0.5,vp.data[[#This Row],[Unknown]]=0),1,0)</f>
        <v>0</v>
      </c>
      <c r="AA242">
        <f>IF(AND(vp.data[[#This Row],[CrudeType]]="Crude",vp.data[[#This Row],[Dens]]&lt;=825,vp.data[[#This Row],[Sulf]]&lt;=0.5,vp.data[[#This Row],[Unknown]]=0),1,0)</f>
        <v>1</v>
      </c>
      <c r="AB2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2">
        <f>IF(AND(vp.data[[#This Row],[CrudeType]]="Crude",vp.data[[#This Row],[Dens]]&gt;825,vp.data[[#This Row],[Dens]]&lt;=900,vp.data[[#This Row],[Sulf]]&lt;=0.5,vp.data[[#This Row],[Unknown]]=0),1,0)</f>
        <v>0</v>
      </c>
      <c r="AD242">
        <f>IF(AND(vp.data[[#This Row],[CrudeType]]="Crude",vp.data[[#This Row],[Dens]]&gt;865,vp.data[[#This Row],[Dens]]&lt;=900,vp.data[[#This Row],[Sulf]]&gt;2,vp.data[[#This Row],[Unknown]]=0),1,0)</f>
        <v>0</v>
      </c>
      <c r="AE242">
        <f>IF(AND(vp.data[[#This Row],[CrudeType]]="Crude",vp.data[[#This Row],[Dens]]&gt;900,vp.data[[#This Row],[Sulf]]&lt;=0.5,vp.data[[#This Row],[Unknown]]=0),1,0)</f>
        <v>0</v>
      </c>
      <c r="AF242">
        <f>IF(AND(vp.data[[#This Row],[CrudeType]]="Crude",vp.data[[#This Row],[Dens]]&gt;900,vp.data[[#This Row],[Sulf]]&lt;=0.5,vp.data[[#This Row],[Unknown]]=0),1,0)</f>
        <v>0</v>
      </c>
      <c r="AG242" t="str">
        <f>INDEX(vp.data[[#Headers],[Unknown]:[Heavy_SW]],MATCH(1,vp.data[[#This Row],[Unknown]:[Heavy_SW]],0))</f>
        <v>Light_SW</v>
      </c>
      <c r="AH242">
        <f>INDEX([3]!crudeBD.lkup[Number],MATCH(vp.data[[#This Row],[Crude_Breakdown]],crudeBD.lkup[Crude Breakdown],0))</f>
        <v>2</v>
      </c>
      <c r="AI242">
        <f>MONTH(vp.data[[#This Row],[SDate]])</f>
        <v>6</v>
      </c>
      <c r="AJ242" s="5">
        <f>(vp.data[[#This Row],[VP]]-INDEX(crudeBD.lkup[Mean_VP],MATCH(vp.data[[#This Row],[Crude_Breakdown]],crudeBD.lkup[Crude Breakdown],0)))^2</f>
        <v>99.008740516455958</v>
      </c>
      <c r="AK242" s="5">
        <f>(vp.data[[#This Row],[Dens]]-INDEX(crudeBD.lkup[Mean_Dens],MATCH(vp.data[[#This Row],[Crude_Breakdown]],crudeBD.lkup[Crude Breakdown],0)))^2</f>
        <v>224.6551844747469</v>
      </c>
      <c r="AL242" s="5">
        <f>(vp.data[[#This Row],[Sulf]]-INDEX(crudeBD.lkup[Mean_Sulf],MATCH(vp.data[[#This Row],[Crude_Breakdown]],crudeBD.lkup[Crude Breakdown],0)))^2</f>
        <v>6.8863268899706654E-4</v>
      </c>
      <c r="AM242" s="4">
        <f>IF(AND(vp.data[[#This Row],[SDate]]&gt;=DATE(YEAR(vp.data[[#This Row],[SDate]]),5,1),vp.data[[#This Row],[SDate]]&lt;=DATE(YEAR(vp.data[[#This Row],[SDate]]),9,15)),1,0)</f>
        <v>1</v>
      </c>
      <c r="AN242" s="4">
        <f>IF(vp.data[[#This Row],[SDate]]&lt;DATE(2016,12,1),0,1)</f>
        <v>0</v>
      </c>
      <c r="AO242" s="4">
        <f>IFERROR(vp.data[[#This Row],[Sulf]]*vp.data[[#This Row],[Net Dens]],"")</f>
        <v>1023707.2331849998</v>
      </c>
      <c r="AP242">
        <f>IFERROR(vp.data[[#This Row],[Dens]]*vp.data[[#This Row],[VolumeM3]],"")</f>
        <v>4874796.3484999994</v>
      </c>
      <c r="AQ242" s="15">
        <f>IFERROR(vp.data[[#This Row],[VP]]*vp.data[[#This Row],[VolumeM3]],"")</f>
        <v>489078.31699999998</v>
      </c>
    </row>
    <row r="243" spans="1:43" x14ac:dyDescent="0.25">
      <c r="A243">
        <v>242</v>
      </c>
      <c r="B243" t="s">
        <v>49</v>
      </c>
      <c r="C243" t="s">
        <v>49</v>
      </c>
      <c r="D243" t="s">
        <v>75</v>
      </c>
      <c r="F243" s="1">
        <v>42549</v>
      </c>
      <c r="G243" s="2">
        <v>109.2</v>
      </c>
      <c r="H243" s="2"/>
      <c r="I243" s="2">
        <f t="array" ref="I243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243" s="2"/>
      <c r="K243" s="2"/>
      <c r="L243" s="2">
        <v>800.2</v>
      </c>
      <c r="M243" s="2">
        <f t="array" ref="M243">_xlfn.IFNA(IF(vp.data[[#This Row],[Dens Input]]="",INDEX([1]DATA!$O$3:$O$9826,MATCH(1,(vp.data[[#This Row],[Battery]]=[1]DATA!$L$3:$L$9826)*(EOMONTH(vp.data[[#This Row],[SDate]],-1)+1=[1]DATA!$G$3:$G$9826),0)),vp.data[[#This Row],[Dens Input]]),"")</f>
        <v>800.2</v>
      </c>
      <c r="N243" s="2">
        <f ca="1">INDEX(INDIRECT(_xlfn.CONCAT("weather.tbl[",N$1,"]")),MATCH(vp.data[[#This Row],[SDate]],weather.tbl[Date],0))</f>
        <v>17.483333333333331</v>
      </c>
      <c r="O243" s="2">
        <f ca="1">INDEX(INDIRECT(_xlfn.CONCAT("weather.tbl[",O$1,"]")),MATCH(vp.data[[#This Row],[SDate]],weather.tbl[Date],0))</f>
        <v>17.054761904761904</v>
      </c>
      <c r="P243" s="2">
        <f ca="1">INDEX(INDIRECT(_xlfn.CONCAT("weather.tbl[",P$1,"]")),MATCH(vp.data[[#This Row],[SDate]],weather.tbl[Date],0))</f>
        <v>17.899999999999999</v>
      </c>
      <c r="Q243" s="2">
        <f ca="1">INDEX(INDIRECT(_xlfn.CONCAT("weather.tbl[",Q$1,"]")),MATCH(vp.data[[#This Row],[SDate]],weather.tbl[Date],0))</f>
        <v>16.8</v>
      </c>
      <c r="R243" s="2">
        <f ca="1">INDEX(INDIRECT(_xlfn.CONCAT("weather.tbl[",R$1,"]")),MATCH(vp.data[[#This Row],[SDate]],weather.tbl[Date],0))</f>
        <v>16.5</v>
      </c>
      <c r="S243" s="2">
        <f ca="1">INDEX(INDIRECT(_xlfn.CONCAT("weather.tbl[",S$1,"]")),MATCH(vp.data[[#This Row],[SDate]],weather.tbl[Date],0))</f>
        <v>18.5</v>
      </c>
      <c r="T243" s="2">
        <f ca="1">INDEX(INDIRECT(_xlfn.CONCAT("weather.tbl[",T$1,"]")),MATCH(vp.data[[#This Row],[SDate]],weather.tbl[Date],0))</f>
        <v>17.399999999999999</v>
      </c>
      <c r="U243" s="2">
        <f ca="1">INDEX(INDIRECT(_xlfn.CONCAT("weather.tbl[",U$1,"]")),MATCH(vp.data[[#This Row],[SDate]],weather.tbl[Date],0))</f>
        <v>17.8</v>
      </c>
      <c r="V243" s="2">
        <f t="array" ref="V2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20540.474999999999</v>
      </c>
      <c r="W243" t="s">
        <v>48</v>
      </c>
      <c r="X243">
        <f>IF(OR(vp.data[[#This Row],[Sulf]]="",vp.data[[#This Row],[Dens]]=""),1,0)</f>
        <v>0</v>
      </c>
      <c r="Y243">
        <f>IF(vp.data[[#This Row],[CrudeType]]="C5+",1,0)</f>
        <v>0</v>
      </c>
      <c r="Z243">
        <f>IF(AND(vp.data[[#This Row],[CrudeType]]="Crude",vp.data[[#This Row],[Dens]]&lt;=825,vp.data[[#This Row],[Sulf]]&gt;0.5,vp.data[[#This Row],[Unknown]]=0),1,0)</f>
        <v>0</v>
      </c>
      <c r="AA243">
        <f>IF(AND(vp.data[[#This Row],[CrudeType]]="Crude",vp.data[[#This Row],[Dens]]&lt;=825,vp.data[[#This Row],[Sulf]]&lt;=0.5,vp.data[[#This Row],[Unknown]]=0),1,0)</f>
        <v>1</v>
      </c>
      <c r="AB2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3">
        <f>IF(AND(vp.data[[#This Row],[CrudeType]]="Crude",vp.data[[#This Row],[Dens]]&gt;825,vp.data[[#This Row],[Dens]]&lt;=900,vp.data[[#This Row],[Sulf]]&lt;=0.5,vp.data[[#This Row],[Unknown]]=0),1,0)</f>
        <v>0</v>
      </c>
      <c r="AD243">
        <f>IF(AND(vp.data[[#This Row],[CrudeType]]="Crude",vp.data[[#This Row],[Dens]]&gt;865,vp.data[[#This Row],[Dens]]&lt;=900,vp.data[[#This Row],[Sulf]]&gt;2,vp.data[[#This Row],[Unknown]]=0),1,0)</f>
        <v>0</v>
      </c>
      <c r="AE243">
        <f>IF(AND(vp.data[[#This Row],[CrudeType]]="Crude",vp.data[[#This Row],[Dens]]&gt;900,vp.data[[#This Row],[Sulf]]&lt;=0.5,vp.data[[#This Row],[Unknown]]=0),1,0)</f>
        <v>0</v>
      </c>
      <c r="AF243">
        <f>IF(AND(vp.data[[#This Row],[CrudeType]]="Crude",vp.data[[#This Row],[Dens]]&gt;900,vp.data[[#This Row],[Sulf]]&lt;=0.5,vp.data[[#This Row],[Unknown]]=0),1,0)</f>
        <v>0</v>
      </c>
      <c r="AG243" t="str">
        <f>INDEX(vp.data[[#Headers],[Unknown]:[Heavy_SW]],MATCH(1,vp.data[[#This Row],[Unknown]:[Heavy_SW]],0))</f>
        <v>Light_SW</v>
      </c>
      <c r="AH243">
        <f>INDEX([3]!crudeBD.lkup[Number],MATCH(vp.data[[#This Row],[Crude_Breakdown]],crudeBD.lkup[Crude Breakdown],0))</f>
        <v>2</v>
      </c>
      <c r="AI243">
        <f>MONTH(vp.data[[#This Row],[SDate]])</f>
        <v>6</v>
      </c>
      <c r="AJ243" s="5">
        <f>(vp.data[[#This Row],[VP]]-INDEX(crudeBD.lkup[Mean_VP],MATCH(vp.data[[#This Row],[Crude_Breakdown]],crudeBD.lkup[Crude Breakdown],0)))^2</f>
        <v>277.21205758962822</v>
      </c>
      <c r="AK243" s="5">
        <f>(vp.data[[#This Row],[Dens]]-INDEX(crudeBD.lkup[Mean_Dens],MATCH(vp.data[[#This Row],[Crude_Breakdown]],crudeBD.lkup[Crude Breakdown],0)))^2</f>
        <v>65.796403986932546</v>
      </c>
      <c r="AL243" s="5">
        <f>(vp.data[[#This Row],[Sulf]]-INDEX(crudeBD.lkup[Mean_Sulf],MATCH(vp.data[[#This Row],[Crude_Breakdown]],crudeBD.lkup[Crude Breakdown],0)))^2</f>
        <v>7.4376501105998362E-3</v>
      </c>
      <c r="AM243" s="4">
        <f>IF(AND(vp.data[[#This Row],[SDate]]&gt;=DATE(YEAR(vp.data[[#This Row],[SDate]]),5,1),vp.data[[#This Row],[SDate]]&lt;=DATE(YEAR(vp.data[[#This Row],[SDate]]),9,15)),1,0)</f>
        <v>1</v>
      </c>
      <c r="AN243" s="4">
        <f>IF(vp.data[[#This Row],[SDate]]&lt;DATE(2016,12,1),0,1)</f>
        <v>0</v>
      </c>
      <c r="AO243" s="4">
        <f>IFERROR(vp.data[[#This Row],[Sulf]]*vp.data[[#This Row],[Net Dens]],"")</f>
        <v>2465473.2142500002</v>
      </c>
      <c r="AP243">
        <f>IFERROR(vp.data[[#This Row],[Dens]]*vp.data[[#This Row],[VolumeM3]],"")</f>
        <v>16436488.095000001</v>
      </c>
      <c r="AQ243" s="15">
        <f>IFERROR(vp.data[[#This Row],[VP]]*vp.data[[#This Row],[VolumeM3]],"")</f>
        <v>2243019.87</v>
      </c>
    </row>
    <row r="244" spans="1:43" x14ac:dyDescent="0.25">
      <c r="A244">
        <v>243</v>
      </c>
      <c r="B244" t="s">
        <v>51</v>
      </c>
      <c r="C244" t="s">
        <v>51</v>
      </c>
      <c r="D244" t="s">
        <v>52</v>
      </c>
      <c r="F244" s="1">
        <v>42550</v>
      </c>
      <c r="G244" s="2">
        <v>75.2</v>
      </c>
      <c r="H244" s="2"/>
      <c r="I244" s="2">
        <f t="array" ref="I244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244" s="2"/>
      <c r="K244" s="2"/>
      <c r="L244" s="2">
        <v>870.1</v>
      </c>
      <c r="M244" s="2">
        <f t="array" ref="M244">_xlfn.IFNA(IF(vp.data[[#This Row],[Dens Input]]="",INDEX([1]DATA!$O$3:$O$9826,MATCH(1,(vp.data[[#This Row],[Battery]]=[1]DATA!$L$3:$L$9826)*(EOMONTH(vp.data[[#This Row],[SDate]],-1)+1=[1]DATA!$G$3:$G$9826),0)),vp.data[[#This Row],[Dens Input]]),"")</f>
        <v>870.1</v>
      </c>
      <c r="N244" s="2">
        <f ca="1">INDEX(INDIRECT(_xlfn.CONCAT("weather.tbl[",N$1,"]")),MATCH(vp.data[[#This Row],[SDate]],weather.tbl[Date],0))</f>
        <v>19.816666666666666</v>
      </c>
      <c r="O244" s="2">
        <f ca="1">INDEX(INDIRECT(_xlfn.CONCAT("weather.tbl[",O$1,"]")),MATCH(vp.data[[#This Row],[SDate]],weather.tbl[Date],0))</f>
        <v>17.559523809523807</v>
      </c>
      <c r="P244" s="2">
        <f ca="1">INDEX(INDIRECT(_xlfn.CONCAT("weather.tbl[",P$1,"]")),MATCH(vp.data[[#This Row],[SDate]],weather.tbl[Date],0))</f>
        <v>20.2</v>
      </c>
      <c r="Q244" s="2">
        <f ca="1">INDEX(INDIRECT(_xlfn.CONCAT("weather.tbl[",Q$1,"]")),MATCH(vp.data[[#This Row],[SDate]],weather.tbl[Date],0))</f>
        <v>19.399999999999999</v>
      </c>
      <c r="R244" s="2">
        <f ca="1">INDEX(INDIRECT(_xlfn.CONCAT("weather.tbl[",R$1,"]")),MATCH(vp.data[[#This Row],[SDate]],weather.tbl[Date],0))</f>
        <v>19</v>
      </c>
      <c r="S244" s="2">
        <f ca="1">INDEX(INDIRECT(_xlfn.CONCAT("weather.tbl[",S$1,"]")),MATCH(vp.data[[#This Row],[SDate]],weather.tbl[Date],0))</f>
        <v>21.5</v>
      </c>
      <c r="T244" s="2">
        <f ca="1">INDEX(INDIRECT(_xlfn.CONCAT("weather.tbl[",T$1,"]")),MATCH(vp.data[[#This Row],[SDate]],weather.tbl[Date],0))</f>
        <v>19.5</v>
      </c>
      <c r="U244" s="2">
        <f ca="1">INDEX(INDIRECT(_xlfn.CONCAT("weather.tbl[",U$1,"]")),MATCH(vp.data[[#This Row],[SDate]],weather.tbl[Date],0))</f>
        <v>19.3</v>
      </c>
      <c r="V244" s="2">
        <f t="array" ref="V2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7479.2</v>
      </c>
      <c r="W244" t="s">
        <v>48</v>
      </c>
      <c r="X244">
        <f>IF(OR(vp.data[[#This Row],[Sulf]]="",vp.data[[#This Row],[Dens]]=""),1,0)</f>
        <v>0</v>
      </c>
      <c r="Y244">
        <f>IF(vp.data[[#This Row],[CrudeType]]="C5+",1,0)</f>
        <v>0</v>
      </c>
      <c r="Z244">
        <f>IF(AND(vp.data[[#This Row],[CrudeType]]="Crude",vp.data[[#This Row],[Dens]]&lt;=825,vp.data[[#This Row],[Sulf]]&gt;0.5,vp.data[[#This Row],[Unknown]]=0),1,0)</f>
        <v>0</v>
      </c>
      <c r="AA244">
        <f>IF(AND(vp.data[[#This Row],[CrudeType]]="Crude",vp.data[[#This Row],[Dens]]&lt;=825,vp.data[[#This Row],[Sulf]]&lt;=0.5,vp.data[[#This Row],[Unknown]]=0),1,0)</f>
        <v>0</v>
      </c>
      <c r="AB2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4">
        <f>IF(AND(vp.data[[#This Row],[CrudeType]]="Crude",vp.data[[#This Row],[Dens]]&gt;825,vp.data[[#This Row],[Dens]]&lt;=900,vp.data[[#This Row],[Sulf]]&lt;=0.5,vp.data[[#This Row],[Unknown]]=0),1,0)</f>
        <v>0</v>
      </c>
      <c r="AD244">
        <f>IF(AND(vp.data[[#This Row],[CrudeType]]="Crude",vp.data[[#This Row],[Dens]]&gt;865,vp.data[[#This Row],[Dens]]&lt;=900,vp.data[[#This Row],[Sulf]]&gt;2,vp.data[[#This Row],[Unknown]]=0),1,0)</f>
        <v>1</v>
      </c>
      <c r="AE244">
        <f>IF(AND(vp.data[[#This Row],[CrudeType]]="Crude",vp.data[[#This Row],[Dens]]&gt;900,vp.data[[#This Row],[Sulf]]&lt;=0.5,vp.data[[#This Row],[Unknown]]=0),1,0)</f>
        <v>0</v>
      </c>
      <c r="AF244">
        <f>IF(AND(vp.data[[#This Row],[CrudeType]]="Crude",vp.data[[#This Row],[Dens]]&gt;900,vp.data[[#This Row],[Sulf]]&lt;=0.5,vp.data[[#This Row],[Unknown]]=0),1,0)</f>
        <v>0</v>
      </c>
      <c r="AG244" t="str">
        <f>INDEX(vp.data[[#Headers],[Unknown]:[Heavy_SW]],MATCH(1,vp.data[[#This Row],[Unknown]:[Heavy_SW]],0))</f>
        <v>Midale</v>
      </c>
      <c r="AH244">
        <f>INDEX([3]!crudeBD.lkup[Number],MATCH(vp.data[[#This Row],[Crude_Breakdown]],crudeBD.lkup[Crude Breakdown],0))</f>
        <v>5</v>
      </c>
      <c r="AI244">
        <f>MONTH(vp.data[[#This Row],[SDate]])</f>
        <v>6</v>
      </c>
      <c r="AJ244" s="5">
        <f>(vp.data[[#This Row],[VP]]-INDEX(crudeBD.lkup[Mean_VP],MATCH(vp.data[[#This Row],[Crude_Breakdown]],crudeBD.lkup[Crude Breakdown],0)))^2</f>
        <v>33.538427303645115</v>
      </c>
      <c r="AK244" s="5">
        <f>(vp.data[[#This Row],[Dens]]-INDEX(crudeBD.lkup[Mean_Dens],MATCH(vp.data[[#This Row],[Crude_Breakdown]],crudeBD.lkup[Crude Breakdown],0)))^2</f>
        <v>22.250186257840923</v>
      </c>
      <c r="AL244" s="5">
        <f>(vp.data[[#This Row],[Sulf]]-INDEX(crudeBD.lkup[Mean_Sulf],MATCH(vp.data[[#This Row],[Crude_Breakdown]],crudeBD.lkup[Crude Breakdown],0)))^2</f>
        <v>2.0625431087692294E-2</v>
      </c>
      <c r="AM244" s="4">
        <f>IF(AND(vp.data[[#This Row],[SDate]]&gt;=DATE(YEAR(vp.data[[#This Row],[SDate]]),5,1),vp.data[[#This Row],[SDate]]&lt;=DATE(YEAR(vp.data[[#This Row],[SDate]]),9,15)),1,0)</f>
        <v>1</v>
      </c>
      <c r="AN244" s="4">
        <f>IF(vp.data[[#This Row],[SDate]]&lt;DATE(2016,12,1),0,1)</f>
        <v>0</v>
      </c>
      <c r="AO244" s="4">
        <f>IFERROR(vp.data[[#This Row],[Sulf]]*vp.data[[#This Row],[Net Dens]],"")</f>
        <v>14967599.415999999</v>
      </c>
      <c r="AP244">
        <f>IFERROR(vp.data[[#This Row],[Dens]]*vp.data[[#This Row],[VolumeM3]],"")</f>
        <v>6507651.9199999999</v>
      </c>
      <c r="AQ244" s="15">
        <f>IFERROR(vp.data[[#This Row],[VP]]*vp.data[[#This Row],[VolumeM3]],"")</f>
        <v>562435.83999999997</v>
      </c>
    </row>
    <row r="245" spans="1:43" x14ac:dyDescent="0.25">
      <c r="A245">
        <v>244</v>
      </c>
      <c r="B245" t="s">
        <v>46</v>
      </c>
      <c r="C245" t="s">
        <v>46</v>
      </c>
      <c r="D245" t="s">
        <v>47</v>
      </c>
      <c r="F245" s="1">
        <v>42550</v>
      </c>
      <c r="G245" s="2">
        <v>73.400000000000006</v>
      </c>
      <c r="H245" s="2"/>
      <c r="I245" s="2">
        <f t="array" ref="I245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45" s="2"/>
      <c r="K245" s="2"/>
      <c r="L245" s="2">
        <v>873.4</v>
      </c>
      <c r="M245" s="2">
        <f t="array" ref="M245">_xlfn.IFNA(IF(vp.data[[#This Row],[Dens Input]]="",INDEX([1]DATA!$O$3:$O$9826,MATCH(1,(vp.data[[#This Row],[Battery]]=[1]DATA!$L$3:$L$9826)*(EOMONTH(vp.data[[#This Row],[SDate]],-1)+1=[1]DATA!$G$3:$G$9826),0)),vp.data[[#This Row],[Dens Input]]),"")</f>
        <v>873.4</v>
      </c>
      <c r="N245" s="2">
        <f ca="1">INDEX(INDIRECT(_xlfn.CONCAT("weather.tbl[",N$1,"]")),MATCH(vp.data[[#This Row],[SDate]],weather.tbl[Date],0))</f>
        <v>19.816666666666666</v>
      </c>
      <c r="O245" s="2">
        <f ca="1">INDEX(INDIRECT(_xlfn.CONCAT("weather.tbl[",O$1,"]")),MATCH(vp.data[[#This Row],[SDate]],weather.tbl[Date],0))</f>
        <v>17.559523809523807</v>
      </c>
      <c r="P245" s="2">
        <f ca="1">INDEX(INDIRECT(_xlfn.CONCAT("weather.tbl[",P$1,"]")),MATCH(vp.data[[#This Row],[SDate]],weather.tbl[Date],0))</f>
        <v>20.2</v>
      </c>
      <c r="Q245" s="2">
        <f ca="1">INDEX(INDIRECT(_xlfn.CONCAT("weather.tbl[",Q$1,"]")),MATCH(vp.data[[#This Row],[SDate]],weather.tbl[Date],0))</f>
        <v>19.399999999999999</v>
      </c>
      <c r="R245" s="2">
        <f ca="1">INDEX(INDIRECT(_xlfn.CONCAT("weather.tbl[",R$1,"]")),MATCH(vp.data[[#This Row],[SDate]],weather.tbl[Date],0))</f>
        <v>19</v>
      </c>
      <c r="S245" s="2">
        <f ca="1">INDEX(INDIRECT(_xlfn.CONCAT("weather.tbl[",S$1,"]")),MATCH(vp.data[[#This Row],[SDate]],weather.tbl[Date],0))</f>
        <v>21.5</v>
      </c>
      <c r="T245" s="2">
        <f ca="1">INDEX(INDIRECT(_xlfn.CONCAT("weather.tbl[",T$1,"]")),MATCH(vp.data[[#This Row],[SDate]],weather.tbl[Date],0))</f>
        <v>19.5</v>
      </c>
      <c r="U245" s="2">
        <f ca="1">INDEX(INDIRECT(_xlfn.CONCAT("weather.tbl[",U$1,"]")),MATCH(vp.data[[#This Row],[SDate]],weather.tbl[Date],0))</f>
        <v>19.3</v>
      </c>
      <c r="V245" s="2">
        <f t="array" ref="V2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109776.467</v>
      </c>
      <c r="W245" t="s">
        <v>48</v>
      </c>
      <c r="X245">
        <f>IF(OR(vp.data[[#This Row],[Sulf]]="",vp.data[[#This Row],[Dens]]=""),1,0)</f>
        <v>0</v>
      </c>
      <c r="Y245">
        <f>IF(vp.data[[#This Row],[CrudeType]]="C5+",1,0)</f>
        <v>0</v>
      </c>
      <c r="Z245">
        <f>IF(AND(vp.data[[#This Row],[CrudeType]]="Crude",vp.data[[#This Row],[Dens]]&lt;=825,vp.data[[#This Row],[Sulf]]&gt;0.5,vp.data[[#This Row],[Unknown]]=0),1,0)</f>
        <v>0</v>
      </c>
      <c r="AA245">
        <f>IF(AND(vp.data[[#This Row],[CrudeType]]="Crude",vp.data[[#This Row],[Dens]]&lt;=825,vp.data[[#This Row],[Sulf]]&lt;=0.5,vp.data[[#This Row],[Unknown]]=0),1,0)</f>
        <v>0</v>
      </c>
      <c r="AB2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5">
        <f>IF(AND(vp.data[[#This Row],[CrudeType]]="Crude",vp.data[[#This Row],[Dens]]&gt;825,vp.data[[#This Row],[Dens]]&lt;=900,vp.data[[#This Row],[Sulf]]&lt;=0.5,vp.data[[#This Row],[Unknown]]=0),1,0)</f>
        <v>0</v>
      </c>
      <c r="AD245">
        <f>IF(AND(vp.data[[#This Row],[CrudeType]]="Crude",vp.data[[#This Row],[Dens]]&gt;865,vp.data[[#This Row],[Dens]]&lt;=900,vp.data[[#This Row],[Sulf]]&gt;2,vp.data[[#This Row],[Unknown]]=0),1,0)</f>
        <v>1</v>
      </c>
      <c r="AE245">
        <f>IF(AND(vp.data[[#This Row],[CrudeType]]="Crude",vp.data[[#This Row],[Dens]]&gt;900,vp.data[[#This Row],[Sulf]]&lt;=0.5,vp.data[[#This Row],[Unknown]]=0),1,0)</f>
        <v>0</v>
      </c>
      <c r="AF245">
        <f>IF(AND(vp.data[[#This Row],[CrudeType]]="Crude",vp.data[[#This Row],[Dens]]&gt;900,vp.data[[#This Row],[Sulf]]&lt;=0.5,vp.data[[#This Row],[Unknown]]=0),1,0)</f>
        <v>0</v>
      </c>
      <c r="AG245" t="str">
        <f>INDEX(vp.data[[#Headers],[Unknown]:[Heavy_SW]],MATCH(1,vp.data[[#This Row],[Unknown]:[Heavy_SW]],0))</f>
        <v>Midale</v>
      </c>
      <c r="AH245">
        <f>INDEX([3]!crudeBD.lkup[Number],MATCH(vp.data[[#This Row],[Crude_Breakdown]],crudeBD.lkup[Crude Breakdown],0))</f>
        <v>5</v>
      </c>
      <c r="AI245">
        <f>MONTH(vp.data[[#This Row],[SDate]])</f>
        <v>6</v>
      </c>
      <c r="AJ245" s="5">
        <f>(vp.data[[#This Row],[VP]]-INDEX(crudeBD.lkup[Mean_VP],MATCH(vp.data[[#This Row],[Crude_Breakdown]],crudeBD.lkup[Crude Breakdown],0)))^2</f>
        <v>15.929973695397818</v>
      </c>
      <c r="AK245" s="5">
        <f>(vp.data[[#This Row],[Dens]]-INDEX(crudeBD.lkup[Mean_Dens],MATCH(vp.data[[#This Row],[Crude_Breakdown]],crudeBD.lkup[Crude Breakdown],0)))^2</f>
        <v>2.0079182166020613</v>
      </c>
      <c r="AL245" s="5">
        <f>(vp.data[[#This Row],[Sulf]]-INDEX(crudeBD.lkup[Mean_Sulf],MATCH(vp.data[[#This Row],[Crude_Breakdown]],crudeBD.lkup[Crude Breakdown],0)))^2</f>
        <v>1.130006345424492E-3</v>
      </c>
      <c r="AM245" s="4">
        <f>IF(AND(vp.data[[#This Row],[SDate]]&gt;=DATE(YEAR(vp.data[[#This Row],[SDate]]),5,1),vp.data[[#This Row],[SDate]]&lt;=DATE(YEAR(vp.data[[#This Row],[SDate]]),9,15)),1,0)</f>
        <v>1</v>
      </c>
      <c r="AN245" s="4">
        <f>IF(vp.data[[#This Row],[SDate]]&lt;DATE(2016,12,1),0,1)</f>
        <v>0</v>
      </c>
      <c r="AO245" s="4">
        <f>IFERROR(vp.data[[#This Row],[Sulf]]*vp.data[[#This Row],[Net Dens]],"")</f>
        <v>231067826.729498</v>
      </c>
      <c r="AP245">
        <f>IFERROR(vp.data[[#This Row],[Dens]]*vp.data[[#This Row],[VolumeM3]],"")</f>
        <v>95878766.277799994</v>
      </c>
      <c r="AQ245" s="15">
        <f>IFERROR(vp.data[[#This Row],[VP]]*vp.data[[#This Row],[VolumeM3]],"")</f>
        <v>8057592.6778000006</v>
      </c>
    </row>
    <row r="246" spans="1:43" x14ac:dyDescent="0.25">
      <c r="A246">
        <v>245</v>
      </c>
      <c r="B246" t="s">
        <v>49</v>
      </c>
      <c r="C246" t="s">
        <v>49</v>
      </c>
      <c r="D246" t="s">
        <v>50</v>
      </c>
      <c r="F246" s="1">
        <v>42550</v>
      </c>
      <c r="G246" s="2">
        <v>53.4</v>
      </c>
      <c r="H246" s="2"/>
      <c r="I246" s="2">
        <f t="array" ref="I246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246" s="2"/>
      <c r="K246" s="2"/>
      <c r="L246" s="2">
        <v>875.4</v>
      </c>
      <c r="M246" s="2">
        <f t="array" ref="M246">_xlfn.IFNA(IF(vp.data[[#This Row],[Dens Input]]="",INDEX([1]DATA!$O$3:$O$9826,MATCH(1,(vp.data[[#This Row],[Battery]]=[1]DATA!$L$3:$L$9826)*(EOMONTH(vp.data[[#This Row],[SDate]],-1)+1=[1]DATA!$G$3:$G$9826),0)),vp.data[[#This Row],[Dens Input]]),"")</f>
        <v>875.4</v>
      </c>
      <c r="N246" s="2">
        <f ca="1">INDEX(INDIRECT(_xlfn.CONCAT("weather.tbl[",N$1,"]")),MATCH(vp.data[[#This Row],[SDate]],weather.tbl[Date],0))</f>
        <v>19.816666666666666</v>
      </c>
      <c r="O246" s="2">
        <f ca="1">INDEX(INDIRECT(_xlfn.CONCAT("weather.tbl[",O$1,"]")),MATCH(vp.data[[#This Row],[SDate]],weather.tbl[Date],0))</f>
        <v>17.559523809523807</v>
      </c>
      <c r="P246" s="2">
        <f ca="1">INDEX(INDIRECT(_xlfn.CONCAT("weather.tbl[",P$1,"]")),MATCH(vp.data[[#This Row],[SDate]],weather.tbl[Date],0))</f>
        <v>20.2</v>
      </c>
      <c r="Q246" s="2">
        <f ca="1">INDEX(INDIRECT(_xlfn.CONCAT("weather.tbl[",Q$1,"]")),MATCH(vp.data[[#This Row],[SDate]],weather.tbl[Date],0))</f>
        <v>19.399999999999999</v>
      </c>
      <c r="R246" s="2">
        <f ca="1">INDEX(INDIRECT(_xlfn.CONCAT("weather.tbl[",R$1,"]")),MATCH(vp.data[[#This Row],[SDate]],weather.tbl[Date],0))</f>
        <v>19</v>
      </c>
      <c r="S246" s="2">
        <f ca="1">INDEX(INDIRECT(_xlfn.CONCAT("weather.tbl[",S$1,"]")),MATCH(vp.data[[#This Row],[SDate]],weather.tbl[Date],0))</f>
        <v>21.5</v>
      </c>
      <c r="T246" s="2">
        <f ca="1">INDEX(INDIRECT(_xlfn.CONCAT("weather.tbl[",T$1,"]")),MATCH(vp.data[[#This Row],[SDate]],weather.tbl[Date],0))</f>
        <v>19.5</v>
      </c>
      <c r="U246" s="2">
        <f ca="1">INDEX(INDIRECT(_xlfn.CONCAT("weather.tbl[",U$1,"]")),MATCH(vp.data[[#This Row],[SDate]],weather.tbl[Date],0))</f>
        <v>19.3</v>
      </c>
      <c r="V246" s="2">
        <f t="array" ref="V2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6772.5280000000002</v>
      </c>
      <c r="W246" t="s">
        <v>48</v>
      </c>
      <c r="X246">
        <f>IF(OR(vp.data[[#This Row],[Sulf]]="",vp.data[[#This Row],[Dens]]=""),1,0)</f>
        <v>0</v>
      </c>
      <c r="Y246">
        <f>IF(vp.data[[#This Row],[CrudeType]]="C5+",1,0)</f>
        <v>0</v>
      </c>
      <c r="Z246">
        <f>IF(AND(vp.data[[#This Row],[CrudeType]]="Crude",vp.data[[#This Row],[Dens]]&lt;=825,vp.data[[#This Row],[Sulf]]&gt;0.5,vp.data[[#This Row],[Unknown]]=0),1,0)</f>
        <v>0</v>
      </c>
      <c r="AA246">
        <f>IF(AND(vp.data[[#This Row],[CrudeType]]="Crude",vp.data[[#This Row],[Dens]]&lt;=825,vp.data[[#This Row],[Sulf]]&lt;=0.5,vp.data[[#This Row],[Unknown]]=0),1,0)</f>
        <v>0</v>
      </c>
      <c r="AB2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6">
        <f>IF(AND(vp.data[[#This Row],[CrudeType]]="Crude",vp.data[[#This Row],[Dens]]&gt;825,vp.data[[#This Row],[Dens]]&lt;=900,vp.data[[#This Row],[Sulf]]&lt;=0.5,vp.data[[#This Row],[Unknown]]=0),1,0)</f>
        <v>0</v>
      </c>
      <c r="AD246">
        <f>IF(AND(vp.data[[#This Row],[CrudeType]]="Crude",vp.data[[#This Row],[Dens]]&gt;865,vp.data[[#This Row],[Dens]]&lt;=900,vp.data[[#This Row],[Sulf]]&gt;2,vp.data[[#This Row],[Unknown]]=0),1,0)</f>
        <v>1</v>
      </c>
      <c r="AE246">
        <f>IF(AND(vp.data[[#This Row],[CrudeType]]="Crude",vp.data[[#This Row],[Dens]]&gt;900,vp.data[[#This Row],[Sulf]]&lt;=0.5,vp.data[[#This Row],[Unknown]]=0),1,0)</f>
        <v>0</v>
      </c>
      <c r="AF246">
        <f>IF(AND(vp.data[[#This Row],[CrudeType]]="Crude",vp.data[[#This Row],[Dens]]&gt;900,vp.data[[#This Row],[Sulf]]&lt;=0.5,vp.data[[#This Row],[Unknown]]=0),1,0)</f>
        <v>0</v>
      </c>
      <c r="AG246" t="str">
        <f>INDEX(vp.data[[#Headers],[Unknown]:[Heavy_SW]],MATCH(1,vp.data[[#This Row],[Unknown]:[Heavy_SW]],0))</f>
        <v>Midale</v>
      </c>
      <c r="AH246">
        <f>INDEX([3]!crudeBD.lkup[Number],MATCH(vp.data[[#This Row],[Crude_Breakdown]],crudeBD.lkup[Crude Breakdown],0))</f>
        <v>5</v>
      </c>
      <c r="AI246">
        <f>MONTH(vp.data[[#This Row],[SDate]])</f>
        <v>6</v>
      </c>
      <c r="AJ246" s="5">
        <f>(vp.data[[#This Row],[VP]]-INDEX(crudeBD.lkup[Mean_VP],MATCH(vp.data[[#This Row],[Crude_Breakdown]],crudeBD.lkup[Crude Breakdown],0)))^2</f>
        <v>256.28048915931657</v>
      </c>
      <c r="AK246" s="5">
        <f>(vp.data[[#This Row],[Dens]]-INDEX(crudeBD.lkup[Mean_Dens],MATCH(vp.data[[#This Row],[Crude_Breakdown]],crudeBD.lkup[Crude Breakdown],0)))^2</f>
        <v>0.33987697948733997</v>
      </c>
      <c r="AL246" s="5">
        <f>(vp.data[[#This Row],[Sulf]]-INDEX(crudeBD.lkup[Mean_Sulf],MATCH(vp.data[[#This Row],[Crude_Breakdown]],crudeBD.lkup[Crude Breakdown],0)))^2</f>
        <v>2.1428402221713612E-2</v>
      </c>
      <c r="AM246" s="4">
        <f>IF(AND(vp.data[[#This Row],[SDate]]&gt;=DATE(YEAR(vp.data[[#This Row],[SDate]]),5,1),vp.data[[#This Row],[SDate]]&lt;=DATE(YEAR(vp.data[[#This Row],[SDate]]),9,15)),1,0)</f>
        <v>1</v>
      </c>
      <c r="AN246" s="4">
        <f>IF(vp.data[[#This Row],[SDate]]&lt;DATE(2016,12,1),0,1)</f>
        <v>0</v>
      </c>
      <c r="AO246" s="4">
        <f>IFERROR(vp.data[[#This Row],[Sulf]]*vp.data[[#This Row],[Net Dens]],"")</f>
        <v>15355257.919007998</v>
      </c>
      <c r="AP246">
        <f>IFERROR(vp.data[[#This Row],[Dens]]*vp.data[[#This Row],[VolumeM3]],"")</f>
        <v>5928671.0111999996</v>
      </c>
      <c r="AQ246" s="15">
        <f>IFERROR(vp.data[[#This Row],[VP]]*vp.data[[#This Row],[VolumeM3]],"")</f>
        <v>361652.9952</v>
      </c>
    </row>
    <row r="247" spans="1:43" x14ac:dyDescent="0.25">
      <c r="A247">
        <v>246</v>
      </c>
      <c r="B247" t="s">
        <v>49</v>
      </c>
      <c r="C247" t="s">
        <v>49</v>
      </c>
      <c r="D247" t="s">
        <v>86</v>
      </c>
      <c r="F247" s="1">
        <v>42550</v>
      </c>
      <c r="G247" s="2">
        <v>55.3</v>
      </c>
      <c r="H247" s="2"/>
      <c r="I247" s="2">
        <f t="array" ref="I247">_xlfn.IFNA(IF(vp.data[[#This Row],[Sulf Input]]="",INDEX([1]DATA!$Q$3:$Q$9826,MATCH(1,(vp.data[[#This Row],[Battery]]=[1]DATA!$L$3:$L$9826)*(EOMONTH(vp.data[[#This Row],[SDate]],-1)+1=[1]DATA!$G$3:$G$9826),0)),vp.data[[#This Row],[Sulf Input]]),"")</f>
        <v>2.8</v>
      </c>
      <c r="J247" s="2"/>
      <c r="K247" s="2"/>
      <c r="L247" s="2">
        <v>888.9</v>
      </c>
      <c r="M247" s="2">
        <f t="array" ref="M247">_xlfn.IFNA(IF(vp.data[[#This Row],[Dens Input]]="",INDEX([1]DATA!$O$3:$O$9826,MATCH(1,(vp.data[[#This Row],[Battery]]=[1]DATA!$L$3:$L$9826)*(EOMONTH(vp.data[[#This Row],[SDate]],-1)+1=[1]DATA!$G$3:$G$9826),0)),vp.data[[#This Row],[Dens Input]]),"")</f>
        <v>888.9</v>
      </c>
      <c r="N247" s="2">
        <f ca="1">INDEX(INDIRECT(_xlfn.CONCAT("weather.tbl[",N$1,"]")),MATCH(vp.data[[#This Row],[SDate]],weather.tbl[Date],0))</f>
        <v>19.816666666666666</v>
      </c>
      <c r="O247" s="2">
        <f ca="1">INDEX(INDIRECT(_xlfn.CONCAT("weather.tbl[",O$1,"]")),MATCH(vp.data[[#This Row],[SDate]],weather.tbl[Date],0))</f>
        <v>17.559523809523807</v>
      </c>
      <c r="P247" s="2">
        <f ca="1">INDEX(INDIRECT(_xlfn.CONCAT("weather.tbl[",P$1,"]")),MATCH(vp.data[[#This Row],[SDate]],weather.tbl[Date],0))</f>
        <v>20.2</v>
      </c>
      <c r="Q247" s="2">
        <f ca="1">INDEX(INDIRECT(_xlfn.CONCAT("weather.tbl[",Q$1,"]")),MATCH(vp.data[[#This Row],[SDate]],weather.tbl[Date],0))</f>
        <v>19.399999999999999</v>
      </c>
      <c r="R247" s="2">
        <f ca="1">INDEX(INDIRECT(_xlfn.CONCAT("weather.tbl[",R$1,"]")),MATCH(vp.data[[#This Row],[SDate]],weather.tbl[Date],0))</f>
        <v>19</v>
      </c>
      <c r="S247" s="2">
        <f ca="1">INDEX(INDIRECT(_xlfn.CONCAT("weather.tbl[",S$1,"]")),MATCH(vp.data[[#This Row],[SDate]],weather.tbl[Date],0))</f>
        <v>21.5</v>
      </c>
      <c r="T247" s="2">
        <f ca="1">INDEX(INDIRECT(_xlfn.CONCAT("weather.tbl[",T$1,"]")),MATCH(vp.data[[#This Row],[SDate]],weather.tbl[Date],0))</f>
        <v>19.5</v>
      </c>
      <c r="U247" s="2">
        <f ca="1">INDEX(INDIRECT(_xlfn.CONCAT("weather.tbl[",U$1,"]")),MATCH(vp.data[[#This Row],[SDate]],weather.tbl[Date],0))</f>
        <v>19.3</v>
      </c>
      <c r="V247" s="2">
        <f t="array" ref="V2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4179.8819999999996</v>
      </c>
      <c r="W247" t="s">
        <v>48</v>
      </c>
      <c r="X247">
        <f>IF(OR(vp.data[[#This Row],[Sulf]]="",vp.data[[#This Row],[Dens]]=""),1,0)</f>
        <v>0</v>
      </c>
      <c r="Y247">
        <f>IF(vp.data[[#This Row],[CrudeType]]="C5+",1,0)</f>
        <v>0</v>
      </c>
      <c r="Z247">
        <f>IF(AND(vp.data[[#This Row],[CrudeType]]="Crude",vp.data[[#This Row],[Dens]]&lt;=825,vp.data[[#This Row],[Sulf]]&gt;0.5,vp.data[[#This Row],[Unknown]]=0),1,0)</f>
        <v>0</v>
      </c>
      <c r="AA247">
        <f>IF(AND(vp.data[[#This Row],[CrudeType]]="Crude",vp.data[[#This Row],[Dens]]&lt;=825,vp.data[[#This Row],[Sulf]]&lt;=0.5,vp.data[[#This Row],[Unknown]]=0),1,0)</f>
        <v>0</v>
      </c>
      <c r="AB2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7">
        <f>IF(AND(vp.data[[#This Row],[CrudeType]]="Crude",vp.data[[#This Row],[Dens]]&gt;825,vp.data[[#This Row],[Dens]]&lt;=900,vp.data[[#This Row],[Sulf]]&lt;=0.5,vp.data[[#This Row],[Unknown]]=0),1,0)</f>
        <v>0</v>
      </c>
      <c r="AD247">
        <f>IF(AND(vp.data[[#This Row],[CrudeType]]="Crude",vp.data[[#This Row],[Dens]]&gt;865,vp.data[[#This Row],[Dens]]&lt;=900,vp.data[[#This Row],[Sulf]]&gt;2,vp.data[[#This Row],[Unknown]]=0),1,0)</f>
        <v>1</v>
      </c>
      <c r="AE247">
        <f>IF(AND(vp.data[[#This Row],[CrudeType]]="Crude",vp.data[[#This Row],[Dens]]&gt;900,vp.data[[#This Row],[Sulf]]&lt;=0.5,vp.data[[#This Row],[Unknown]]=0),1,0)</f>
        <v>0</v>
      </c>
      <c r="AF247">
        <f>IF(AND(vp.data[[#This Row],[CrudeType]]="Crude",vp.data[[#This Row],[Dens]]&gt;900,vp.data[[#This Row],[Sulf]]&lt;=0.5,vp.data[[#This Row],[Unknown]]=0),1,0)</f>
        <v>0</v>
      </c>
      <c r="AG247" t="str">
        <f>INDEX(vp.data[[#Headers],[Unknown]:[Heavy_SW]],MATCH(1,vp.data[[#This Row],[Unknown]:[Heavy_SW]],0))</f>
        <v>Midale</v>
      </c>
      <c r="AH247">
        <f>INDEX([3]!crudeBD.lkup[Number],MATCH(vp.data[[#This Row],[Crude_Breakdown]],crudeBD.lkup[Crude Breakdown],0))</f>
        <v>5</v>
      </c>
      <c r="AI247">
        <f>MONTH(vp.data[[#This Row],[SDate]])</f>
        <v>6</v>
      </c>
      <c r="AJ247" s="5">
        <f>(vp.data[[#This Row],[VP]]-INDEX(crudeBD.lkup[Mean_VP],MATCH(vp.data[[#This Row],[Crude_Breakdown]],crudeBD.lkup[Crude Breakdown],0)))^2</f>
        <v>199.05719019024434</v>
      </c>
      <c r="AK247" s="5">
        <f>(vp.data[[#This Row],[Dens]]-INDEX(crudeBD.lkup[Mean_Dens],MATCH(vp.data[[#This Row],[Crude_Breakdown]],crudeBD.lkup[Crude Breakdown],0)))^2</f>
        <v>198.33059862896297</v>
      </c>
      <c r="AL247" s="5">
        <f>(vp.data[[#This Row],[Sulf]]-INDEX(crudeBD.lkup[Mean_Sulf],MATCH(vp.data[[#This Row],[Crude_Breakdown]],crudeBD.lkup[Crude Breakdown],0)))^2</f>
        <v>0.12700986407738421</v>
      </c>
      <c r="AM247" s="4">
        <f>IF(AND(vp.data[[#This Row],[SDate]]&gt;=DATE(YEAR(vp.data[[#This Row],[SDate]]),5,1),vp.data[[#This Row],[SDate]]&lt;=DATE(YEAR(vp.data[[#This Row],[SDate]]),9,15)),1,0)</f>
        <v>1</v>
      </c>
      <c r="AN247" s="4">
        <f>IF(vp.data[[#This Row],[SDate]]&lt;DATE(2016,12,1),0,1)</f>
        <v>0</v>
      </c>
      <c r="AO247" s="4">
        <f>IFERROR(vp.data[[#This Row],[Sulf]]*vp.data[[#This Row],[Net Dens]],"")</f>
        <v>10403391.907439999</v>
      </c>
      <c r="AP247">
        <f>IFERROR(vp.data[[#This Row],[Dens]]*vp.data[[#This Row],[VolumeM3]],"")</f>
        <v>3715497.1097999997</v>
      </c>
      <c r="AQ247" s="15">
        <f>IFERROR(vp.data[[#This Row],[VP]]*vp.data[[#This Row],[VolumeM3]],"")</f>
        <v>231147.47459999996</v>
      </c>
    </row>
    <row r="248" spans="1:43" x14ac:dyDescent="0.25">
      <c r="A248">
        <v>247</v>
      </c>
      <c r="B248" t="s">
        <v>60</v>
      </c>
      <c r="C248" t="s">
        <v>60</v>
      </c>
      <c r="D248" t="s">
        <v>61</v>
      </c>
      <c r="E248" t="s">
        <v>55</v>
      </c>
      <c r="F248" s="1">
        <v>42550</v>
      </c>
      <c r="G248" s="2">
        <v>95.6</v>
      </c>
      <c r="H248" s="2"/>
      <c r="I248" s="2">
        <f t="array" ref="I248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248" s="2"/>
      <c r="K248" s="2"/>
      <c r="L248" s="2">
        <v>831</v>
      </c>
      <c r="M248" s="2">
        <f t="array" ref="M248">_xlfn.IFNA(IF(vp.data[[#This Row],[Dens Input]]="",INDEX([1]DATA!$O$3:$O$9826,MATCH(1,(vp.data[[#This Row],[Battery]]=[1]DATA!$L$3:$L$9826)*(EOMONTH(vp.data[[#This Row],[SDate]],-1)+1=[1]DATA!$G$3:$G$9826),0)),vp.data[[#This Row],[Dens Input]]),"")</f>
        <v>831</v>
      </c>
      <c r="N248" s="2">
        <f ca="1">INDEX(INDIRECT(_xlfn.CONCAT("weather.tbl[",N$1,"]")),MATCH(vp.data[[#This Row],[SDate]],weather.tbl[Date],0))</f>
        <v>19.816666666666666</v>
      </c>
      <c r="O248" s="2">
        <f ca="1">INDEX(INDIRECT(_xlfn.CONCAT("weather.tbl[",O$1,"]")),MATCH(vp.data[[#This Row],[SDate]],weather.tbl[Date],0))</f>
        <v>17.559523809523807</v>
      </c>
      <c r="P248" s="2">
        <f ca="1">INDEX(INDIRECT(_xlfn.CONCAT("weather.tbl[",P$1,"]")),MATCH(vp.data[[#This Row],[SDate]],weather.tbl[Date],0))</f>
        <v>20.2</v>
      </c>
      <c r="Q248" s="2">
        <f ca="1">INDEX(INDIRECT(_xlfn.CONCAT("weather.tbl[",Q$1,"]")),MATCH(vp.data[[#This Row],[SDate]],weather.tbl[Date],0))</f>
        <v>19.399999999999999</v>
      </c>
      <c r="R248" s="2">
        <f ca="1">INDEX(INDIRECT(_xlfn.CONCAT("weather.tbl[",R$1,"]")),MATCH(vp.data[[#This Row],[SDate]],weather.tbl[Date],0))</f>
        <v>19</v>
      </c>
      <c r="S248" s="2">
        <f ca="1">INDEX(INDIRECT(_xlfn.CONCAT("weather.tbl[",S$1,"]")),MATCH(vp.data[[#This Row],[SDate]],weather.tbl[Date],0))</f>
        <v>21.5</v>
      </c>
      <c r="T248" s="2">
        <f ca="1">INDEX(INDIRECT(_xlfn.CONCAT("weather.tbl[",T$1,"]")),MATCH(vp.data[[#This Row],[SDate]],weather.tbl[Date],0))</f>
        <v>19.5</v>
      </c>
      <c r="U248" s="2">
        <f ca="1">INDEX(INDIRECT(_xlfn.CONCAT("weather.tbl[",U$1,"]")),MATCH(vp.data[[#This Row],[SDate]],weather.tbl[Date],0))</f>
        <v>19.3</v>
      </c>
      <c r="V248" s="2">
        <f t="array" ref="V2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104067.856</v>
      </c>
      <c r="W248" t="s">
        <v>48</v>
      </c>
      <c r="X248">
        <f>IF(OR(vp.data[[#This Row],[Sulf]]="",vp.data[[#This Row],[Dens]]=""),1,0)</f>
        <v>0</v>
      </c>
      <c r="Y248">
        <f>IF(vp.data[[#This Row],[CrudeType]]="C5+",1,0)</f>
        <v>0</v>
      </c>
      <c r="Z248">
        <f>IF(AND(vp.data[[#This Row],[CrudeType]]="Crude",vp.data[[#This Row],[Dens]]&lt;=825,vp.data[[#This Row],[Sulf]]&gt;0.5,vp.data[[#This Row],[Unknown]]=0),1,0)</f>
        <v>0</v>
      </c>
      <c r="AA248">
        <f>IF(AND(vp.data[[#This Row],[CrudeType]]="Crude",vp.data[[#This Row],[Dens]]&lt;=825,vp.data[[#This Row],[Sulf]]&lt;=0.5,vp.data[[#This Row],[Unknown]]=0),1,0)</f>
        <v>0</v>
      </c>
      <c r="AB2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48">
        <f>IF(AND(vp.data[[#This Row],[CrudeType]]="Crude",vp.data[[#This Row],[Dens]]&gt;825,vp.data[[#This Row],[Dens]]&lt;=900,vp.data[[#This Row],[Sulf]]&lt;=0.5,vp.data[[#This Row],[Unknown]]=0),1,0)</f>
        <v>0</v>
      </c>
      <c r="AD248">
        <f>IF(AND(vp.data[[#This Row],[CrudeType]]="Crude",vp.data[[#This Row],[Dens]]&gt;865,vp.data[[#This Row],[Dens]]&lt;=900,vp.data[[#This Row],[Sulf]]&gt;2,vp.data[[#This Row],[Unknown]]=0),1,0)</f>
        <v>0</v>
      </c>
      <c r="AE248">
        <f>IF(AND(vp.data[[#This Row],[CrudeType]]="Crude",vp.data[[#This Row],[Dens]]&gt;900,vp.data[[#This Row],[Sulf]]&lt;=0.5,vp.data[[#This Row],[Unknown]]=0),1,0)</f>
        <v>0</v>
      </c>
      <c r="AF248">
        <f>IF(AND(vp.data[[#This Row],[CrudeType]]="Crude",vp.data[[#This Row],[Dens]]&gt;900,vp.data[[#This Row],[Sulf]]&lt;=0.5,vp.data[[#This Row],[Unknown]]=0),1,0)</f>
        <v>0</v>
      </c>
      <c r="AG248" t="str">
        <f>INDEX(vp.data[[#Headers],[Unknown]:[Heavy_SW]],MATCH(1,vp.data[[#This Row],[Unknown]:[Heavy_SW]],0))</f>
        <v>Medium_LSB</v>
      </c>
      <c r="AH248">
        <f>INDEX([3]!crudeBD.lkup[Number],MATCH(vp.data[[#This Row],[Crude_Breakdown]],crudeBD.lkup[Crude Breakdown],0))</f>
        <v>3</v>
      </c>
      <c r="AI248">
        <f>MONTH(vp.data[[#This Row],[SDate]])</f>
        <v>6</v>
      </c>
      <c r="AJ248" s="5">
        <f>(vp.data[[#This Row],[VP]]-INDEX(crudeBD.lkup[Mean_VP],MATCH(vp.data[[#This Row],[Crude_Breakdown]],crudeBD.lkup[Crude Breakdown],0)))^2</f>
        <v>223.8112777326543</v>
      </c>
      <c r="AK248" s="5">
        <f>(vp.data[[#This Row],[Dens]]-INDEX(crudeBD.lkup[Mean_Dens],MATCH(vp.data[[#This Row],[Crude_Breakdown]],crudeBD.lkup[Crude Breakdown],0)))^2</f>
        <v>166.92639999998718</v>
      </c>
      <c r="AL248" s="5">
        <f>(vp.data[[#This Row],[Sulf]]-INDEX(crudeBD.lkup[Mean_Sulf],MATCH(vp.data[[#This Row],[Crude_Breakdown]],crudeBD.lkup[Crude Breakdown],0)))^2</f>
        <v>5.5416986109170445E-2</v>
      </c>
      <c r="AM248" s="4">
        <f>IF(AND(vp.data[[#This Row],[SDate]]&gt;=DATE(YEAR(vp.data[[#This Row],[SDate]]),5,1),vp.data[[#This Row],[SDate]]&lt;=DATE(YEAR(vp.data[[#This Row],[SDate]]),9,15)),1,0)</f>
        <v>1</v>
      </c>
      <c r="AN248" s="4">
        <f>IF(vp.data[[#This Row],[SDate]]&lt;DATE(2016,12,1),0,1)</f>
        <v>0</v>
      </c>
      <c r="AO248" s="4">
        <f>IFERROR(vp.data[[#This Row],[Sulf]]*vp.data[[#This Row],[Net Dens]],"")</f>
        <v>99452446.586399987</v>
      </c>
      <c r="AP248">
        <f>IFERROR(vp.data[[#This Row],[Dens]]*vp.data[[#This Row],[VolumeM3]],"")</f>
        <v>86480388.335999995</v>
      </c>
      <c r="AQ248" s="15">
        <f>IFERROR(vp.data[[#This Row],[VP]]*vp.data[[#This Row],[VolumeM3]],"")</f>
        <v>9948887.0335999988</v>
      </c>
    </row>
    <row r="249" spans="1:43" x14ac:dyDescent="0.25">
      <c r="A249">
        <v>248</v>
      </c>
      <c r="B249" t="s">
        <v>49</v>
      </c>
      <c r="C249" t="s">
        <v>49</v>
      </c>
      <c r="D249" t="s">
        <v>67</v>
      </c>
      <c r="F249" s="1">
        <v>42556</v>
      </c>
      <c r="G249" s="2">
        <v>96.4</v>
      </c>
      <c r="H249" s="2"/>
      <c r="I249" s="2">
        <f t="array" ref="I249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49" s="2"/>
      <c r="K249" s="2"/>
      <c r="L249" s="2">
        <v>805.7</v>
      </c>
      <c r="M249" s="2">
        <f t="array" ref="M249">_xlfn.IFNA(IF(vp.data[[#This Row],[Dens Input]]="",INDEX([1]DATA!$O$3:$O$9826,MATCH(1,(vp.data[[#This Row],[Battery]]=[1]DATA!$L$3:$L$9826)*(EOMONTH(vp.data[[#This Row],[SDate]],-1)+1=[1]DATA!$G$3:$G$9826),0)),vp.data[[#This Row],[Dens Input]]),"")</f>
        <v>805.7</v>
      </c>
      <c r="N249" s="2">
        <f ca="1">INDEX(INDIRECT(_xlfn.CONCAT("weather.tbl[",N$1,"]")),MATCH(vp.data[[#This Row],[SDate]],weather.tbl[Date],0))</f>
        <v>17.716666666666665</v>
      </c>
      <c r="O249" s="2">
        <f ca="1">INDEX(INDIRECT(_xlfn.CONCAT("weather.tbl[",O$1,"]")),MATCH(vp.data[[#This Row],[SDate]],weather.tbl[Date],0))</f>
        <v>18.185714285714287</v>
      </c>
      <c r="P249" s="2">
        <f ca="1">INDEX(INDIRECT(_xlfn.CONCAT("weather.tbl[",P$1,"]")),MATCH(vp.data[[#This Row],[SDate]],weather.tbl[Date],0))</f>
        <v>17.5</v>
      </c>
      <c r="Q249" s="2">
        <f ca="1">INDEX(INDIRECT(_xlfn.CONCAT("weather.tbl[",Q$1,"]")),MATCH(vp.data[[#This Row],[SDate]],weather.tbl[Date],0))</f>
        <v>16.899999999999999</v>
      </c>
      <c r="R249" s="2">
        <f ca="1">INDEX(INDIRECT(_xlfn.CONCAT("weather.tbl[",R$1,"]")),MATCH(vp.data[[#This Row],[SDate]],weather.tbl[Date],0))</f>
        <v>17.5</v>
      </c>
      <c r="S249" s="2">
        <f ca="1">INDEX(INDIRECT(_xlfn.CONCAT("weather.tbl[",S$1,"]")),MATCH(vp.data[[#This Row],[SDate]],weather.tbl[Date],0))</f>
        <v>18.5</v>
      </c>
      <c r="T249" s="2">
        <f ca="1">INDEX(INDIRECT(_xlfn.CONCAT("weather.tbl[",T$1,"]")),MATCH(vp.data[[#This Row],[SDate]],weather.tbl[Date],0))</f>
        <v>18.600000000000001</v>
      </c>
      <c r="U249" s="2">
        <f ca="1">INDEX(INDIRECT(_xlfn.CONCAT("weather.tbl[",U$1,"]")),MATCH(vp.data[[#This Row],[SDate]],weather.tbl[Date],0))</f>
        <v>17.3</v>
      </c>
      <c r="V249" s="2">
        <f t="array" ref="V2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49148.319000000003</v>
      </c>
      <c r="W249" t="s">
        <v>48</v>
      </c>
      <c r="X249">
        <f>IF(OR(vp.data[[#This Row],[Sulf]]="",vp.data[[#This Row],[Dens]]=""),1,0)</f>
        <v>0</v>
      </c>
      <c r="Y249">
        <f>IF(vp.data[[#This Row],[CrudeType]]="C5+",1,0)</f>
        <v>0</v>
      </c>
      <c r="Z249">
        <f>IF(AND(vp.data[[#This Row],[CrudeType]]="Crude",vp.data[[#This Row],[Dens]]&lt;=825,vp.data[[#This Row],[Sulf]]&gt;0.5,vp.data[[#This Row],[Unknown]]=0),1,0)</f>
        <v>0</v>
      </c>
      <c r="AA249">
        <f>IF(AND(vp.data[[#This Row],[CrudeType]]="Crude",vp.data[[#This Row],[Dens]]&lt;=825,vp.data[[#This Row],[Sulf]]&lt;=0.5,vp.data[[#This Row],[Unknown]]=0),1,0)</f>
        <v>1</v>
      </c>
      <c r="AB2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49">
        <f>IF(AND(vp.data[[#This Row],[CrudeType]]="Crude",vp.data[[#This Row],[Dens]]&gt;825,vp.data[[#This Row],[Dens]]&lt;=900,vp.data[[#This Row],[Sulf]]&lt;=0.5,vp.data[[#This Row],[Unknown]]=0),1,0)</f>
        <v>0</v>
      </c>
      <c r="AD249">
        <f>IF(AND(vp.data[[#This Row],[CrudeType]]="Crude",vp.data[[#This Row],[Dens]]&gt;865,vp.data[[#This Row],[Dens]]&lt;=900,vp.data[[#This Row],[Sulf]]&gt;2,vp.data[[#This Row],[Unknown]]=0),1,0)</f>
        <v>0</v>
      </c>
      <c r="AE249">
        <f>IF(AND(vp.data[[#This Row],[CrudeType]]="Crude",vp.data[[#This Row],[Dens]]&gt;900,vp.data[[#This Row],[Sulf]]&lt;=0.5,vp.data[[#This Row],[Unknown]]=0),1,0)</f>
        <v>0</v>
      </c>
      <c r="AF249">
        <f>IF(AND(vp.data[[#This Row],[CrudeType]]="Crude",vp.data[[#This Row],[Dens]]&gt;900,vp.data[[#This Row],[Sulf]]&lt;=0.5,vp.data[[#This Row],[Unknown]]=0),1,0)</f>
        <v>0</v>
      </c>
      <c r="AG249" t="str">
        <f>INDEX(vp.data[[#Headers],[Unknown]:[Heavy_SW]],MATCH(1,vp.data[[#This Row],[Unknown]:[Heavy_SW]],0))</f>
        <v>Light_SW</v>
      </c>
      <c r="AH249">
        <f>INDEX([3]!crudeBD.lkup[Number],MATCH(vp.data[[#This Row],[Crude_Breakdown]],crudeBD.lkup[Crude Breakdown],0))</f>
        <v>2</v>
      </c>
      <c r="AI249">
        <f>MONTH(vp.data[[#This Row],[SDate]])</f>
        <v>7</v>
      </c>
      <c r="AJ249" s="5">
        <f>(vp.data[[#This Row],[VP]]-INDEX(crudeBD.lkup[Mean_VP],MATCH(vp.data[[#This Row],[Crude_Breakdown]],crudeBD.lkup[Crude Breakdown],0)))^2</f>
        <v>14.820085464191896</v>
      </c>
      <c r="AK249" s="5">
        <f>(vp.data[[#This Row],[Dens]]-INDEX(crudeBD.lkup[Mean_Dens],MATCH(vp.data[[#This Row],[Crude_Breakdown]],crudeBD.lkup[Crude Breakdown],0)))^2</f>
        <v>6.8199231506985214</v>
      </c>
      <c r="AL249" s="5">
        <f>(vp.data[[#This Row],[Sulf]]-INDEX(crudeBD.lkup[Mean_Sulf],MATCH(vp.data[[#This Row],[Crude_Breakdown]],crudeBD.lkup[Crude Breakdown],0)))^2</f>
        <v>6.8863268899706654E-4</v>
      </c>
      <c r="AM249" s="4">
        <f>IF(AND(vp.data[[#This Row],[SDate]]&gt;=DATE(YEAR(vp.data[[#This Row],[SDate]]),5,1),vp.data[[#This Row],[SDate]]&lt;=DATE(YEAR(vp.data[[#This Row],[SDate]]),9,15)),1,0)</f>
        <v>1</v>
      </c>
      <c r="AN249" s="4">
        <f>IF(vp.data[[#This Row],[SDate]]&lt;DATE(2016,12,1),0,1)</f>
        <v>0</v>
      </c>
      <c r="AO249" s="4">
        <f>IFERROR(vp.data[[#This Row],[Sulf]]*vp.data[[#This Row],[Net Dens]],"")</f>
        <v>8315748.1298430013</v>
      </c>
      <c r="AP249">
        <f>IFERROR(vp.data[[#This Row],[Dens]]*vp.data[[#This Row],[VolumeM3]],"")</f>
        <v>39598800.618300006</v>
      </c>
      <c r="AQ249" s="15">
        <f>IFERROR(vp.data[[#This Row],[VP]]*vp.data[[#This Row],[VolumeM3]],"")</f>
        <v>4737897.9516000003</v>
      </c>
    </row>
    <row r="250" spans="1:43" x14ac:dyDescent="0.25">
      <c r="A250">
        <v>249</v>
      </c>
      <c r="B250" t="s">
        <v>49</v>
      </c>
      <c r="C250" t="s">
        <v>49</v>
      </c>
      <c r="D250" t="s">
        <v>88</v>
      </c>
      <c r="F250" s="1">
        <v>42556</v>
      </c>
      <c r="G250" s="2">
        <v>51.2</v>
      </c>
      <c r="H250" s="2"/>
      <c r="I250" s="2">
        <f t="array" ref="I250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250" s="2"/>
      <c r="K250" s="2"/>
      <c r="L250" s="2">
        <v>822.5</v>
      </c>
      <c r="M250" s="2">
        <f t="array" ref="M250">_xlfn.IFNA(IF(vp.data[[#This Row],[Dens Input]]="",INDEX([1]DATA!$O$3:$O$9826,MATCH(1,(vp.data[[#This Row],[Battery]]=[1]DATA!$L$3:$L$9826)*(EOMONTH(vp.data[[#This Row],[SDate]],-1)+1=[1]DATA!$G$3:$G$9826),0)),vp.data[[#This Row],[Dens Input]]),"")</f>
        <v>822.5</v>
      </c>
      <c r="N250" s="2">
        <f ca="1">INDEX(INDIRECT(_xlfn.CONCAT("weather.tbl[",N$1,"]")),MATCH(vp.data[[#This Row],[SDate]],weather.tbl[Date],0))</f>
        <v>17.716666666666665</v>
      </c>
      <c r="O250" s="2">
        <f ca="1">INDEX(INDIRECT(_xlfn.CONCAT("weather.tbl[",O$1,"]")),MATCH(vp.data[[#This Row],[SDate]],weather.tbl[Date],0))</f>
        <v>18.185714285714287</v>
      </c>
      <c r="P250" s="2">
        <f ca="1">INDEX(INDIRECT(_xlfn.CONCAT("weather.tbl[",P$1,"]")),MATCH(vp.data[[#This Row],[SDate]],weather.tbl[Date],0))</f>
        <v>17.5</v>
      </c>
      <c r="Q250" s="2">
        <f ca="1">INDEX(INDIRECT(_xlfn.CONCAT("weather.tbl[",Q$1,"]")),MATCH(vp.data[[#This Row],[SDate]],weather.tbl[Date],0))</f>
        <v>16.899999999999999</v>
      </c>
      <c r="R250" s="2">
        <f ca="1">INDEX(INDIRECT(_xlfn.CONCAT("weather.tbl[",R$1,"]")),MATCH(vp.data[[#This Row],[SDate]],weather.tbl[Date],0))</f>
        <v>17.5</v>
      </c>
      <c r="S250" s="2">
        <f ca="1">INDEX(INDIRECT(_xlfn.CONCAT("weather.tbl[",S$1,"]")),MATCH(vp.data[[#This Row],[SDate]],weather.tbl[Date],0))</f>
        <v>18.5</v>
      </c>
      <c r="T250" s="2">
        <f ca="1">INDEX(INDIRECT(_xlfn.CONCAT("weather.tbl[",T$1,"]")),MATCH(vp.data[[#This Row],[SDate]],weather.tbl[Date],0))</f>
        <v>18.600000000000001</v>
      </c>
      <c r="U250" s="2">
        <f ca="1">INDEX(INDIRECT(_xlfn.CONCAT("weather.tbl[",U$1,"]")),MATCH(vp.data[[#This Row],[SDate]],weather.tbl[Date],0))</f>
        <v>17.3</v>
      </c>
      <c r="V250" s="2">
        <f t="array" ref="V2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4885.2190000000001</v>
      </c>
      <c r="W250" t="s">
        <v>48</v>
      </c>
      <c r="X250">
        <f>IF(OR(vp.data[[#This Row],[Sulf]]="",vp.data[[#This Row],[Dens]]=""),1,0)</f>
        <v>0</v>
      </c>
      <c r="Y250">
        <f>IF(vp.data[[#This Row],[CrudeType]]="C5+",1,0)</f>
        <v>0</v>
      </c>
      <c r="Z250">
        <f>IF(AND(vp.data[[#This Row],[CrudeType]]="Crude",vp.data[[#This Row],[Dens]]&lt;=825,vp.data[[#This Row],[Sulf]]&gt;0.5,vp.data[[#This Row],[Unknown]]=0),1,0)</f>
        <v>1</v>
      </c>
      <c r="AA250">
        <f>IF(AND(vp.data[[#This Row],[CrudeType]]="Crude",vp.data[[#This Row],[Dens]]&lt;=825,vp.data[[#This Row],[Sulf]]&lt;=0.5,vp.data[[#This Row],[Unknown]]=0),1,0)</f>
        <v>0</v>
      </c>
      <c r="AB2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0">
        <f>IF(AND(vp.data[[#This Row],[CrudeType]]="Crude",vp.data[[#This Row],[Dens]]&gt;825,vp.data[[#This Row],[Dens]]&lt;=900,vp.data[[#This Row],[Sulf]]&lt;=0.5,vp.data[[#This Row],[Unknown]]=0),1,0)</f>
        <v>0</v>
      </c>
      <c r="AD250">
        <f>IF(AND(vp.data[[#This Row],[CrudeType]]="Crude",vp.data[[#This Row],[Dens]]&gt;865,vp.data[[#This Row],[Dens]]&lt;=900,vp.data[[#This Row],[Sulf]]&gt;2,vp.data[[#This Row],[Unknown]]=0),1,0)</f>
        <v>0</v>
      </c>
      <c r="AE250">
        <f>IF(AND(vp.data[[#This Row],[CrudeType]]="Crude",vp.data[[#This Row],[Dens]]&gt;900,vp.data[[#This Row],[Sulf]]&lt;=0.5,vp.data[[#This Row],[Unknown]]=0),1,0)</f>
        <v>0</v>
      </c>
      <c r="AF250">
        <f>IF(AND(vp.data[[#This Row],[CrudeType]]="Crude",vp.data[[#This Row],[Dens]]&gt;900,vp.data[[#This Row],[Sulf]]&lt;=0.5,vp.data[[#This Row],[Unknown]]=0),1,0)</f>
        <v>0</v>
      </c>
      <c r="AG250" t="str">
        <f>INDEX(vp.data[[#Headers],[Unknown]:[Heavy_SW]],MATCH(1,vp.data[[#This Row],[Unknown]:[Heavy_SW]],0))</f>
        <v>Light_LSB</v>
      </c>
      <c r="AH250">
        <f>INDEX([3]!crudeBD.lkup[Number],MATCH(vp.data[[#This Row],[Crude_Breakdown]],crudeBD.lkup[Crude Breakdown],0))</f>
        <v>1</v>
      </c>
      <c r="AI250">
        <f>MONTH(vp.data[[#This Row],[SDate]])</f>
        <v>7</v>
      </c>
      <c r="AJ250" s="5">
        <f>(vp.data[[#This Row],[VP]]-INDEX(crudeBD.lkup[Mean_VP],MATCH(vp.data[[#This Row],[Crude_Breakdown]],crudeBD.lkup[Crude Breakdown],0)))^2</f>
        <v>1627.8146898076334</v>
      </c>
      <c r="AK250" s="5">
        <f>(vp.data[[#This Row],[Dens]]-INDEX(crudeBD.lkup[Mean_Dens],MATCH(vp.data[[#This Row],[Crude_Breakdown]],crudeBD.lkup[Crude Breakdown],0)))^2</f>
        <v>15.866123149233145</v>
      </c>
      <c r="AL250" s="5">
        <f>(vp.data[[#This Row],[Sulf]]-INDEX(crudeBD.lkup[Mean_Sulf],MATCH(vp.data[[#This Row],[Crude_Breakdown]],crudeBD.lkup[Crude Breakdown],0)))^2</f>
        <v>0.4449274622058329</v>
      </c>
      <c r="AM250" s="4">
        <f>IF(AND(vp.data[[#This Row],[SDate]]&gt;=DATE(YEAR(vp.data[[#This Row],[SDate]]),5,1),vp.data[[#This Row],[SDate]]&lt;=DATE(YEAR(vp.data[[#This Row],[SDate]]),9,15)),1,0)</f>
        <v>1</v>
      </c>
      <c r="AN250" s="4">
        <f>IF(vp.data[[#This Row],[SDate]]&lt;DATE(2016,12,1),0,1)</f>
        <v>0</v>
      </c>
      <c r="AO250" s="4">
        <f>IFERROR(vp.data[[#This Row],[Sulf]]*vp.data[[#This Row],[Net Dens]],"")</f>
        <v>6388767.2777249999</v>
      </c>
      <c r="AP250">
        <f>IFERROR(vp.data[[#This Row],[Dens]]*vp.data[[#This Row],[VolumeM3]],"")</f>
        <v>4018092.6274999999</v>
      </c>
      <c r="AQ250" s="15">
        <f>IFERROR(vp.data[[#This Row],[VP]]*vp.data[[#This Row],[VolumeM3]],"")</f>
        <v>250123.21280000001</v>
      </c>
    </row>
    <row r="251" spans="1:43" x14ac:dyDescent="0.25">
      <c r="A251">
        <v>250</v>
      </c>
      <c r="B251" t="s">
        <v>49</v>
      </c>
      <c r="C251" t="s">
        <v>49</v>
      </c>
      <c r="D251" t="s">
        <v>88</v>
      </c>
      <c r="F251" s="1">
        <v>42556</v>
      </c>
      <c r="G251" s="2">
        <v>78.2</v>
      </c>
      <c r="H251" s="2"/>
      <c r="I251" s="2">
        <f t="array" ref="I251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251" s="2"/>
      <c r="K251" s="2"/>
      <c r="L251" s="2">
        <v>829.2</v>
      </c>
      <c r="M251" s="2">
        <f t="array" ref="M251">_xlfn.IFNA(IF(vp.data[[#This Row],[Dens Input]]="",INDEX([1]DATA!$O$3:$O$9826,MATCH(1,(vp.data[[#This Row],[Battery]]=[1]DATA!$L$3:$L$9826)*(EOMONTH(vp.data[[#This Row],[SDate]],-1)+1=[1]DATA!$G$3:$G$9826),0)),vp.data[[#This Row],[Dens Input]]),"")</f>
        <v>829.2</v>
      </c>
      <c r="N251" s="2">
        <f ca="1">INDEX(INDIRECT(_xlfn.CONCAT("weather.tbl[",N$1,"]")),MATCH(vp.data[[#This Row],[SDate]],weather.tbl[Date],0))</f>
        <v>17.716666666666665</v>
      </c>
      <c r="O251" s="2">
        <f ca="1">INDEX(INDIRECT(_xlfn.CONCAT("weather.tbl[",O$1,"]")),MATCH(vp.data[[#This Row],[SDate]],weather.tbl[Date],0))</f>
        <v>18.185714285714287</v>
      </c>
      <c r="P251" s="2">
        <f ca="1">INDEX(INDIRECT(_xlfn.CONCAT("weather.tbl[",P$1,"]")),MATCH(vp.data[[#This Row],[SDate]],weather.tbl[Date],0))</f>
        <v>17.5</v>
      </c>
      <c r="Q251" s="2">
        <f ca="1">INDEX(INDIRECT(_xlfn.CONCAT("weather.tbl[",Q$1,"]")),MATCH(vp.data[[#This Row],[SDate]],weather.tbl[Date],0))</f>
        <v>16.899999999999999</v>
      </c>
      <c r="R251" s="2">
        <f ca="1">INDEX(INDIRECT(_xlfn.CONCAT("weather.tbl[",R$1,"]")),MATCH(vp.data[[#This Row],[SDate]],weather.tbl[Date],0))</f>
        <v>17.5</v>
      </c>
      <c r="S251" s="2">
        <f ca="1">INDEX(INDIRECT(_xlfn.CONCAT("weather.tbl[",S$1,"]")),MATCH(vp.data[[#This Row],[SDate]],weather.tbl[Date],0))</f>
        <v>18.5</v>
      </c>
      <c r="T251" s="2">
        <f ca="1">INDEX(INDIRECT(_xlfn.CONCAT("weather.tbl[",T$1,"]")),MATCH(vp.data[[#This Row],[SDate]],weather.tbl[Date],0))</f>
        <v>18.600000000000001</v>
      </c>
      <c r="U251" s="2">
        <f ca="1">INDEX(INDIRECT(_xlfn.CONCAT("weather.tbl[",U$1,"]")),MATCH(vp.data[[#This Row],[SDate]],weather.tbl[Date],0))</f>
        <v>17.3</v>
      </c>
      <c r="V251" s="2">
        <f t="array" ref="V2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4885.2190000000001</v>
      </c>
      <c r="W251" t="s">
        <v>48</v>
      </c>
      <c r="X251">
        <f>IF(OR(vp.data[[#This Row],[Sulf]]="",vp.data[[#This Row],[Dens]]=""),1,0)</f>
        <v>0</v>
      </c>
      <c r="Y251">
        <f>IF(vp.data[[#This Row],[CrudeType]]="C5+",1,0)</f>
        <v>0</v>
      </c>
      <c r="Z251">
        <f>IF(AND(vp.data[[#This Row],[CrudeType]]="Crude",vp.data[[#This Row],[Dens]]&lt;=825,vp.data[[#This Row],[Sulf]]&gt;0.5,vp.data[[#This Row],[Unknown]]=0),1,0)</f>
        <v>0</v>
      </c>
      <c r="AA251">
        <f>IF(AND(vp.data[[#This Row],[CrudeType]]="Crude",vp.data[[#This Row],[Dens]]&lt;=825,vp.data[[#This Row],[Sulf]]&lt;=0.5,vp.data[[#This Row],[Unknown]]=0),1,0)</f>
        <v>0</v>
      </c>
      <c r="AB2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51">
        <f>IF(AND(vp.data[[#This Row],[CrudeType]]="Crude",vp.data[[#This Row],[Dens]]&gt;825,vp.data[[#This Row],[Dens]]&lt;=900,vp.data[[#This Row],[Sulf]]&lt;=0.5,vp.data[[#This Row],[Unknown]]=0),1,0)</f>
        <v>0</v>
      </c>
      <c r="AD251">
        <f>IF(AND(vp.data[[#This Row],[CrudeType]]="Crude",vp.data[[#This Row],[Dens]]&gt;865,vp.data[[#This Row],[Dens]]&lt;=900,vp.data[[#This Row],[Sulf]]&gt;2,vp.data[[#This Row],[Unknown]]=0),1,0)</f>
        <v>0</v>
      </c>
      <c r="AE251">
        <f>IF(AND(vp.data[[#This Row],[CrudeType]]="Crude",vp.data[[#This Row],[Dens]]&gt;900,vp.data[[#This Row],[Sulf]]&lt;=0.5,vp.data[[#This Row],[Unknown]]=0),1,0)</f>
        <v>0</v>
      </c>
      <c r="AF251">
        <f>IF(AND(vp.data[[#This Row],[CrudeType]]="Crude",vp.data[[#This Row],[Dens]]&gt;900,vp.data[[#This Row],[Sulf]]&lt;=0.5,vp.data[[#This Row],[Unknown]]=0),1,0)</f>
        <v>0</v>
      </c>
      <c r="AG251" t="str">
        <f>INDEX(vp.data[[#Headers],[Unknown]:[Heavy_SW]],MATCH(1,vp.data[[#This Row],[Unknown]:[Heavy_SW]],0))</f>
        <v>Medium_LSB</v>
      </c>
      <c r="AH251">
        <f>INDEX([3]!crudeBD.lkup[Number],MATCH(vp.data[[#This Row],[Crude_Breakdown]],crudeBD.lkup[Crude Breakdown],0))</f>
        <v>3</v>
      </c>
      <c r="AI251">
        <f>MONTH(vp.data[[#This Row],[SDate]])</f>
        <v>7</v>
      </c>
      <c r="AJ251" s="5">
        <f>(vp.data[[#This Row],[VP]]-INDEX(crudeBD.lkup[Mean_VP],MATCH(vp.data[[#This Row],[Crude_Breakdown]],crudeBD.lkup[Crude Breakdown],0)))^2</f>
        <v>5.9520216679619447</v>
      </c>
      <c r="AK251" s="5">
        <f>(vp.data[[#This Row],[Dens]]-INDEX(crudeBD.lkup[Mean_Dens],MATCH(vp.data[[#This Row],[Crude_Breakdown]],crudeBD.lkup[Crude Breakdown],0)))^2</f>
        <v>216.67839999998407</v>
      </c>
      <c r="AL251" s="5">
        <f>(vp.data[[#This Row],[Sulf]]-INDEX(crudeBD.lkup[Mean_Sulf],MATCH(vp.data[[#This Row],[Crude_Breakdown]],crudeBD.lkup[Crude Breakdown],0)))^2</f>
        <v>4.1857834626689315E-2</v>
      </c>
      <c r="AM251" s="4">
        <f>IF(AND(vp.data[[#This Row],[SDate]]&gt;=DATE(YEAR(vp.data[[#This Row],[SDate]]),5,1),vp.data[[#This Row],[SDate]]&lt;=DATE(YEAR(vp.data[[#This Row],[SDate]]),9,15)),1,0)</f>
        <v>1</v>
      </c>
      <c r="AN251" s="4">
        <f>IF(vp.data[[#This Row],[SDate]]&lt;DATE(2016,12,1),0,1)</f>
        <v>0</v>
      </c>
      <c r="AO251" s="4">
        <f>IFERROR(vp.data[[#This Row],[Sulf]]*vp.data[[#This Row],[Net Dens]],"")</f>
        <v>6440809.5157320006</v>
      </c>
      <c r="AP251">
        <f>IFERROR(vp.data[[#This Row],[Dens]]*vp.data[[#This Row],[VolumeM3]],"")</f>
        <v>4050823.5948000001</v>
      </c>
      <c r="AQ251" s="15">
        <f>IFERROR(vp.data[[#This Row],[VP]]*vp.data[[#This Row],[VolumeM3]],"")</f>
        <v>382024.12580000004</v>
      </c>
    </row>
    <row r="252" spans="1:43" x14ac:dyDescent="0.25">
      <c r="A252">
        <v>251</v>
      </c>
      <c r="B252" t="s">
        <v>49</v>
      </c>
      <c r="C252" t="s">
        <v>49</v>
      </c>
      <c r="D252" t="s">
        <v>75</v>
      </c>
      <c r="F252" s="1">
        <v>42558</v>
      </c>
      <c r="G252" s="2">
        <v>97.3</v>
      </c>
      <c r="H252" s="2"/>
      <c r="I252" s="2">
        <f t="array" ref="I252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252" s="2"/>
      <c r="K252" s="2"/>
      <c r="L252" s="2">
        <v>804.4</v>
      </c>
      <c r="M252" s="2">
        <f t="array" ref="M252">_xlfn.IFNA(IF(vp.data[[#This Row],[Dens Input]]="",INDEX([1]DATA!$O$3:$O$9826,MATCH(1,(vp.data[[#This Row],[Battery]]=[1]DATA!$L$3:$L$9826)*(EOMONTH(vp.data[[#This Row],[SDate]],-1)+1=[1]DATA!$G$3:$G$9826),0)),vp.data[[#This Row],[Dens Input]]),"")</f>
        <v>804.4</v>
      </c>
      <c r="N252" s="2">
        <f ca="1">INDEX(INDIRECT(_xlfn.CONCAT("weather.tbl[",N$1,"]")),MATCH(vp.data[[#This Row],[SDate]],weather.tbl[Date],0))</f>
        <v>16.783333333333335</v>
      </c>
      <c r="O252" s="2">
        <f ca="1">INDEX(INDIRECT(_xlfn.CONCAT("weather.tbl[",O$1,"]")),MATCH(vp.data[[#This Row],[SDate]],weather.tbl[Date],0))</f>
        <v>17.873809523809523</v>
      </c>
      <c r="P252" s="2">
        <f ca="1">INDEX(INDIRECT(_xlfn.CONCAT("weather.tbl[",P$1,"]")),MATCH(vp.data[[#This Row],[SDate]],weather.tbl[Date],0))</f>
        <v>16</v>
      </c>
      <c r="Q252" s="2">
        <f ca="1">INDEX(INDIRECT(_xlfn.CONCAT("weather.tbl[",Q$1,"]")),MATCH(vp.data[[#This Row],[SDate]],weather.tbl[Date],0))</f>
        <v>16.899999999999999</v>
      </c>
      <c r="R252" s="2">
        <f ca="1">INDEX(INDIRECT(_xlfn.CONCAT("weather.tbl[",R$1,"]")),MATCH(vp.data[[#This Row],[SDate]],weather.tbl[Date],0))</f>
        <v>15</v>
      </c>
      <c r="S252" s="2">
        <f ca="1">INDEX(INDIRECT(_xlfn.CONCAT("weather.tbl[",S$1,"]")),MATCH(vp.data[[#This Row],[SDate]],weather.tbl[Date],0))</f>
        <v>20.5</v>
      </c>
      <c r="T252" s="2">
        <f ca="1">INDEX(INDIRECT(_xlfn.CONCAT("weather.tbl[",T$1,"]")),MATCH(vp.data[[#This Row],[SDate]],weather.tbl[Date],0))</f>
        <v>16</v>
      </c>
      <c r="U252" s="2">
        <f ca="1">INDEX(INDIRECT(_xlfn.CONCAT("weather.tbl[",U$1,"]")),MATCH(vp.data[[#This Row],[SDate]],weather.tbl[Date],0))</f>
        <v>16.3</v>
      </c>
      <c r="V252" s="2">
        <f t="array" ref="V2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21522.742999999999</v>
      </c>
      <c r="W252" t="s">
        <v>48</v>
      </c>
      <c r="X252">
        <f>IF(OR(vp.data[[#This Row],[Sulf]]="",vp.data[[#This Row],[Dens]]=""),1,0)</f>
        <v>0</v>
      </c>
      <c r="Y252">
        <f>IF(vp.data[[#This Row],[CrudeType]]="C5+",1,0)</f>
        <v>0</v>
      </c>
      <c r="Z252">
        <f>IF(AND(vp.data[[#This Row],[CrudeType]]="Crude",vp.data[[#This Row],[Dens]]&lt;=825,vp.data[[#This Row],[Sulf]]&gt;0.5,vp.data[[#This Row],[Unknown]]=0),1,0)</f>
        <v>0</v>
      </c>
      <c r="AA252">
        <f>IF(AND(vp.data[[#This Row],[CrudeType]]="Crude",vp.data[[#This Row],[Dens]]&lt;=825,vp.data[[#This Row],[Sulf]]&lt;=0.5,vp.data[[#This Row],[Unknown]]=0),1,0)</f>
        <v>1</v>
      </c>
      <c r="AB2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2">
        <f>IF(AND(vp.data[[#This Row],[CrudeType]]="Crude",vp.data[[#This Row],[Dens]]&gt;825,vp.data[[#This Row],[Dens]]&lt;=900,vp.data[[#This Row],[Sulf]]&lt;=0.5,vp.data[[#This Row],[Unknown]]=0),1,0)</f>
        <v>0</v>
      </c>
      <c r="AD252">
        <f>IF(AND(vp.data[[#This Row],[CrudeType]]="Crude",vp.data[[#This Row],[Dens]]&gt;865,vp.data[[#This Row],[Dens]]&lt;=900,vp.data[[#This Row],[Sulf]]&gt;2,vp.data[[#This Row],[Unknown]]=0),1,0)</f>
        <v>0</v>
      </c>
      <c r="AE252">
        <f>IF(AND(vp.data[[#This Row],[CrudeType]]="Crude",vp.data[[#This Row],[Dens]]&gt;900,vp.data[[#This Row],[Sulf]]&lt;=0.5,vp.data[[#This Row],[Unknown]]=0),1,0)</f>
        <v>0</v>
      </c>
      <c r="AF252">
        <f>IF(AND(vp.data[[#This Row],[CrudeType]]="Crude",vp.data[[#This Row],[Dens]]&gt;900,vp.data[[#This Row],[Sulf]]&lt;=0.5,vp.data[[#This Row],[Unknown]]=0),1,0)</f>
        <v>0</v>
      </c>
      <c r="AG252" t="str">
        <f>INDEX(vp.data[[#Headers],[Unknown]:[Heavy_SW]],MATCH(1,vp.data[[#This Row],[Unknown]:[Heavy_SW]],0))</f>
        <v>Light_SW</v>
      </c>
      <c r="AH252">
        <f>INDEX([3]!crudeBD.lkup[Number],MATCH(vp.data[[#This Row],[Crude_Breakdown]],crudeBD.lkup[Crude Breakdown],0))</f>
        <v>2</v>
      </c>
      <c r="AI252">
        <f>MONTH(vp.data[[#This Row],[SDate]])</f>
        <v>7</v>
      </c>
      <c r="AJ252" s="5">
        <f>(vp.data[[#This Row],[VP]]-INDEX(crudeBD.lkup[Mean_VP],MATCH(vp.data[[#This Row],[Crude_Breakdown]],crudeBD.lkup[Crude Breakdown],0)))^2</f>
        <v>22.559521004261565</v>
      </c>
      <c r="AK252" s="5">
        <f>(vp.data[[#This Row],[Dens]]-INDEX(crudeBD.lkup[Mean_Dens],MATCH(vp.data[[#This Row],[Crude_Breakdown]],crudeBD.lkup[Crude Breakdown],0)))^2</f>
        <v>15.299818621081645</v>
      </c>
      <c r="AL252" s="5">
        <f>(vp.data[[#This Row],[Sulf]]-INDEX(crudeBD.lkup[Mean_Sulf],MATCH(vp.data[[#This Row],[Crude_Breakdown]],crudeBD.lkup[Crude Breakdown],0)))^2</f>
        <v>7.4376501105998362E-3</v>
      </c>
      <c r="AM252" s="4">
        <f>IF(AND(vp.data[[#This Row],[SDate]]&gt;=DATE(YEAR(vp.data[[#This Row],[SDate]]),5,1),vp.data[[#This Row],[SDate]]&lt;=DATE(YEAR(vp.data[[#This Row],[SDate]]),9,15)),1,0)</f>
        <v>1</v>
      </c>
      <c r="AN252" s="4">
        <f>IF(vp.data[[#This Row],[SDate]]&lt;DATE(2016,12,1),0,1)</f>
        <v>0</v>
      </c>
      <c r="AO252" s="4">
        <f>IFERROR(vp.data[[#This Row],[Sulf]]*vp.data[[#This Row],[Net Dens]],"")</f>
        <v>2596934.17038</v>
      </c>
      <c r="AP252">
        <f>IFERROR(vp.data[[#This Row],[Dens]]*vp.data[[#This Row],[VolumeM3]],"")</f>
        <v>17312894.4692</v>
      </c>
      <c r="AQ252" s="15">
        <f>IFERROR(vp.data[[#This Row],[VP]]*vp.data[[#This Row],[VolumeM3]],"")</f>
        <v>2094162.8938999998</v>
      </c>
    </row>
    <row r="253" spans="1:43" x14ac:dyDescent="0.25">
      <c r="A253">
        <v>252</v>
      </c>
      <c r="B253" t="s">
        <v>49</v>
      </c>
      <c r="C253" t="s">
        <v>49</v>
      </c>
      <c r="D253" t="s">
        <v>74</v>
      </c>
      <c r="F253" s="1">
        <v>42558</v>
      </c>
      <c r="G253" s="2">
        <v>95.4</v>
      </c>
      <c r="H253" s="2"/>
      <c r="I253" s="2">
        <f t="array" ref="I253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53" s="2"/>
      <c r="K253" s="2"/>
      <c r="L253" s="2">
        <v>807.4</v>
      </c>
      <c r="M253" s="2">
        <f t="array" ref="M253">_xlfn.IFNA(IF(vp.data[[#This Row],[Dens Input]]="",INDEX([1]DATA!$O$3:$O$9826,MATCH(1,(vp.data[[#This Row],[Battery]]=[1]DATA!$L$3:$L$9826)*(EOMONTH(vp.data[[#This Row],[SDate]],-1)+1=[1]DATA!$G$3:$G$9826),0)),vp.data[[#This Row],[Dens Input]]),"")</f>
        <v>807.4</v>
      </c>
      <c r="N253" s="2">
        <f ca="1">INDEX(INDIRECT(_xlfn.CONCAT("weather.tbl[",N$1,"]")),MATCH(vp.data[[#This Row],[SDate]],weather.tbl[Date],0))</f>
        <v>16.783333333333335</v>
      </c>
      <c r="O253" s="2">
        <f ca="1">INDEX(INDIRECT(_xlfn.CONCAT("weather.tbl[",O$1,"]")),MATCH(vp.data[[#This Row],[SDate]],weather.tbl[Date],0))</f>
        <v>17.873809523809523</v>
      </c>
      <c r="P253" s="2">
        <f ca="1">INDEX(INDIRECT(_xlfn.CONCAT("weather.tbl[",P$1,"]")),MATCH(vp.data[[#This Row],[SDate]],weather.tbl[Date],0))</f>
        <v>16</v>
      </c>
      <c r="Q253" s="2">
        <f ca="1">INDEX(INDIRECT(_xlfn.CONCAT("weather.tbl[",Q$1,"]")),MATCH(vp.data[[#This Row],[SDate]],weather.tbl[Date],0))</f>
        <v>16.899999999999999</v>
      </c>
      <c r="R253" s="2">
        <f ca="1">INDEX(INDIRECT(_xlfn.CONCAT("weather.tbl[",R$1,"]")),MATCH(vp.data[[#This Row],[SDate]],weather.tbl[Date],0))</f>
        <v>15</v>
      </c>
      <c r="S253" s="2">
        <f ca="1">INDEX(INDIRECT(_xlfn.CONCAT("weather.tbl[",S$1,"]")),MATCH(vp.data[[#This Row],[SDate]],weather.tbl[Date],0))</f>
        <v>20.5</v>
      </c>
      <c r="T253" s="2">
        <f ca="1">INDEX(INDIRECT(_xlfn.CONCAT("weather.tbl[",T$1,"]")),MATCH(vp.data[[#This Row],[SDate]],weather.tbl[Date],0))</f>
        <v>16</v>
      </c>
      <c r="U253" s="2">
        <f ca="1">INDEX(INDIRECT(_xlfn.CONCAT("weather.tbl[",U$1,"]")),MATCH(vp.data[[#This Row],[SDate]],weather.tbl[Date],0))</f>
        <v>16.3</v>
      </c>
      <c r="V253" s="2">
        <f t="array" ref="V2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40032.095000000001</v>
      </c>
      <c r="W253" t="s">
        <v>48</v>
      </c>
      <c r="X253">
        <f>IF(OR(vp.data[[#This Row],[Sulf]]="",vp.data[[#This Row],[Dens]]=""),1,0)</f>
        <v>0</v>
      </c>
      <c r="Y253">
        <f>IF(vp.data[[#This Row],[CrudeType]]="C5+",1,0)</f>
        <v>0</v>
      </c>
      <c r="Z253">
        <f>IF(AND(vp.data[[#This Row],[CrudeType]]="Crude",vp.data[[#This Row],[Dens]]&lt;=825,vp.data[[#This Row],[Sulf]]&gt;0.5,vp.data[[#This Row],[Unknown]]=0),1,0)</f>
        <v>0</v>
      </c>
      <c r="AA253">
        <f>IF(AND(vp.data[[#This Row],[CrudeType]]="Crude",vp.data[[#This Row],[Dens]]&lt;=825,vp.data[[#This Row],[Sulf]]&lt;=0.5,vp.data[[#This Row],[Unknown]]=0),1,0)</f>
        <v>1</v>
      </c>
      <c r="AB2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3">
        <f>IF(AND(vp.data[[#This Row],[CrudeType]]="Crude",vp.data[[#This Row],[Dens]]&gt;825,vp.data[[#This Row],[Dens]]&lt;=900,vp.data[[#This Row],[Sulf]]&lt;=0.5,vp.data[[#This Row],[Unknown]]=0),1,0)</f>
        <v>0</v>
      </c>
      <c r="AD253">
        <f>IF(AND(vp.data[[#This Row],[CrudeType]]="Crude",vp.data[[#This Row],[Dens]]&gt;865,vp.data[[#This Row],[Dens]]&lt;=900,vp.data[[#This Row],[Sulf]]&gt;2,vp.data[[#This Row],[Unknown]]=0),1,0)</f>
        <v>0</v>
      </c>
      <c r="AE253">
        <f>IF(AND(vp.data[[#This Row],[CrudeType]]="Crude",vp.data[[#This Row],[Dens]]&gt;900,vp.data[[#This Row],[Sulf]]&lt;=0.5,vp.data[[#This Row],[Unknown]]=0),1,0)</f>
        <v>0</v>
      </c>
      <c r="AF253">
        <f>IF(AND(vp.data[[#This Row],[CrudeType]]="Crude",vp.data[[#This Row],[Dens]]&gt;900,vp.data[[#This Row],[Sulf]]&lt;=0.5,vp.data[[#This Row],[Unknown]]=0),1,0)</f>
        <v>0</v>
      </c>
      <c r="AG253" t="str">
        <f>INDEX(vp.data[[#Headers],[Unknown]:[Heavy_SW]],MATCH(1,vp.data[[#This Row],[Unknown]:[Heavy_SW]],0))</f>
        <v>Light_SW</v>
      </c>
      <c r="AH253">
        <f>INDEX([3]!crudeBD.lkup[Number],MATCH(vp.data[[#This Row],[Crude_Breakdown]],crudeBD.lkup[Crude Breakdown],0))</f>
        <v>2</v>
      </c>
      <c r="AI253">
        <f>MONTH(vp.data[[#This Row],[SDate]])</f>
        <v>7</v>
      </c>
      <c r="AJ253" s="5">
        <f>(vp.data[[#This Row],[VP]]-INDEX(crudeBD.lkup[Mean_VP],MATCH(vp.data[[#This Row],[Crude_Breakdown]],crudeBD.lkup[Crude Breakdown],0)))^2</f>
        <v>8.1207126418921742</v>
      </c>
      <c r="AK253" s="5">
        <f>(vp.data[[#This Row],[Dens]]-INDEX(crudeBD.lkup[Mean_Dens],MATCH(vp.data[[#This Row],[Crude_Breakdown]],crudeBD.lkup[Crude Breakdown],0)))^2</f>
        <v>0.83082907404449036</v>
      </c>
      <c r="AL253" s="5">
        <f>(vp.data[[#This Row],[Sulf]]-INDEX(crudeBD.lkup[Mean_Sulf],MATCH(vp.data[[#This Row],[Crude_Breakdown]],crudeBD.lkup[Crude Breakdown],0)))^2</f>
        <v>9.2624863475336272E-3</v>
      </c>
      <c r="AM253" s="4">
        <f>IF(AND(vp.data[[#This Row],[SDate]]&gt;=DATE(YEAR(vp.data[[#This Row],[SDate]]),5,1),vp.data[[#This Row],[SDate]]&lt;=DATE(YEAR(vp.data[[#This Row],[SDate]]),9,15)),1,0)</f>
        <v>1</v>
      </c>
      <c r="AN253" s="4">
        <f>IF(vp.data[[#This Row],[SDate]]&lt;DATE(2016,12,1),0,1)</f>
        <v>0</v>
      </c>
      <c r="AO253" s="4">
        <f>IFERROR(vp.data[[#This Row],[Sulf]]*vp.data[[#This Row],[Net Dens]],"")</f>
        <v>4525067.8904200001</v>
      </c>
      <c r="AP253">
        <f>IFERROR(vp.data[[#This Row],[Dens]]*vp.data[[#This Row],[VolumeM3]],"")</f>
        <v>32321913.502999999</v>
      </c>
      <c r="AQ253" s="15">
        <f>IFERROR(vp.data[[#This Row],[VP]]*vp.data[[#This Row],[VolumeM3]],"")</f>
        <v>3819061.8630000004</v>
      </c>
    </row>
    <row r="254" spans="1:43" x14ac:dyDescent="0.25">
      <c r="A254">
        <v>253</v>
      </c>
      <c r="B254" t="s">
        <v>51</v>
      </c>
      <c r="C254" t="s">
        <v>51</v>
      </c>
      <c r="D254" t="s">
        <v>72</v>
      </c>
      <c r="F254" s="1">
        <v>42564</v>
      </c>
      <c r="G254" s="2">
        <v>77.400000000000006</v>
      </c>
      <c r="H254" s="2"/>
      <c r="I254" s="2">
        <f t="array" ref="I254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254" s="2"/>
      <c r="K254" s="2"/>
      <c r="L254" s="2">
        <v>847.6</v>
      </c>
      <c r="M254" s="2">
        <f t="array" ref="M254">_xlfn.IFNA(IF(vp.data[[#This Row],[Dens Input]]="",INDEX([1]DATA!$O$3:$O$9826,MATCH(1,(vp.data[[#This Row],[Battery]]=[1]DATA!$L$3:$L$9826)*(EOMONTH(vp.data[[#This Row],[SDate]],-1)+1=[1]DATA!$G$3:$G$9826),0)),vp.data[[#This Row],[Dens Input]]),"")</f>
        <v>847.6</v>
      </c>
      <c r="N254" s="2">
        <f ca="1">INDEX(INDIRECT(_xlfn.CONCAT("weather.tbl[",N$1,"]")),MATCH(vp.data[[#This Row],[SDate]],weather.tbl[Date],0))</f>
        <v>17.483333333333334</v>
      </c>
      <c r="O254" s="2">
        <f ca="1">INDEX(INDIRECT(_xlfn.CONCAT("weather.tbl[",O$1,"]")),MATCH(vp.data[[#This Row],[SDate]],weather.tbl[Date],0))</f>
        <v>18.523809523809522</v>
      </c>
      <c r="P254" s="2">
        <f ca="1">INDEX(INDIRECT(_xlfn.CONCAT("weather.tbl[",P$1,"]")),MATCH(vp.data[[#This Row],[SDate]],weather.tbl[Date],0))</f>
        <v>16.899999999999999</v>
      </c>
      <c r="Q254" s="2">
        <f ca="1">INDEX(INDIRECT(_xlfn.CONCAT("weather.tbl[",Q$1,"]")),MATCH(vp.data[[#This Row],[SDate]],weather.tbl[Date],0))</f>
        <v>17.3</v>
      </c>
      <c r="R254" s="2">
        <f ca="1">INDEX(INDIRECT(_xlfn.CONCAT("weather.tbl[",R$1,"]")),MATCH(vp.data[[#This Row],[SDate]],weather.tbl[Date],0))</f>
        <v>18.3</v>
      </c>
      <c r="S254" s="2">
        <f ca="1">INDEX(INDIRECT(_xlfn.CONCAT("weather.tbl[",S$1,"]")),MATCH(vp.data[[#This Row],[SDate]],weather.tbl[Date],0))</f>
        <v>19</v>
      </c>
      <c r="T254" s="2">
        <f ca="1">INDEX(INDIRECT(_xlfn.CONCAT("weather.tbl[",T$1,"]")),MATCH(vp.data[[#This Row],[SDate]],weather.tbl[Date],0))</f>
        <v>16.899999999999999</v>
      </c>
      <c r="U254" s="2">
        <f ca="1">INDEX(INDIRECT(_xlfn.CONCAT("weather.tbl[",U$1,"]")),MATCH(vp.data[[#This Row],[SDate]],weather.tbl[Date],0))</f>
        <v>16.5</v>
      </c>
      <c r="V254" s="2">
        <f t="array" ref="V2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5394.9089999999997</v>
      </c>
      <c r="W254" t="s">
        <v>48</v>
      </c>
      <c r="X254">
        <f>IF(OR(vp.data[[#This Row],[Sulf]]="",vp.data[[#This Row],[Dens]]=""),1,0)</f>
        <v>0</v>
      </c>
      <c r="Y254">
        <f>IF(vp.data[[#This Row],[CrudeType]]="C5+",1,0)</f>
        <v>0</v>
      </c>
      <c r="Z254">
        <f>IF(AND(vp.data[[#This Row],[CrudeType]]="Crude",vp.data[[#This Row],[Dens]]&lt;=825,vp.data[[#This Row],[Sulf]]&gt;0.5,vp.data[[#This Row],[Unknown]]=0),1,0)</f>
        <v>0</v>
      </c>
      <c r="AA254">
        <f>IF(AND(vp.data[[#This Row],[CrudeType]]="Crude",vp.data[[#This Row],[Dens]]&lt;=825,vp.data[[#This Row],[Sulf]]&lt;=0.5,vp.data[[#This Row],[Unknown]]=0),1,0)</f>
        <v>0</v>
      </c>
      <c r="AB2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54">
        <f>IF(AND(vp.data[[#This Row],[CrudeType]]="Crude",vp.data[[#This Row],[Dens]]&gt;825,vp.data[[#This Row],[Dens]]&lt;=900,vp.data[[#This Row],[Sulf]]&lt;=0.5,vp.data[[#This Row],[Unknown]]=0),1,0)</f>
        <v>0</v>
      </c>
      <c r="AD254">
        <f>IF(AND(vp.data[[#This Row],[CrudeType]]="Crude",vp.data[[#This Row],[Dens]]&gt;865,vp.data[[#This Row],[Dens]]&lt;=900,vp.data[[#This Row],[Sulf]]&gt;2,vp.data[[#This Row],[Unknown]]=0),1,0)</f>
        <v>0</v>
      </c>
      <c r="AE254">
        <f>IF(AND(vp.data[[#This Row],[CrudeType]]="Crude",vp.data[[#This Row],[Dens]]&gt;900,vp.data[[#This Row],[Sulf]]&lt;=0.5,vp.data[[#This Row],[Unknown]]=0),1,0)</f>
        <v>0</v>
      </c>
      <c r="AF254">
        <f>IF(AND(vp.data[[#This Row],[CrudeType]]="Crude",vp.data[[#This Row],[Dens]]&gt;900,vp.data[[#This Row],[Sulf]]&lt;=0.5,vp.data[[#This Row],[Unknown]]=0),1,0)</f>
        <v>0</v>
      </c>
      <c r="AG254" t="str">
        <f>INDEX(vp.data[[#Headers],[Unknown]:[Heavy_SW]],MATCH(1,vp.data[[#This Row],[Unknown]:[Heavy_SW]],0))</f>
        <v>Medium_LSB</v>
      </c>
      <c r="AH254">
        <f>INDEX([3]!crudeBD.lkup[Number],MATCH(vp.data[[#This Row],[Crude_Breakdown]],crudeBD.lkup[Crude Breakdown],0))</f>
        <v>3</v>
      </c>
      <c r="AI254">
        <f>MONTH(vp.data[[#This Row],[SDate]])</f>
        <v>7</v>
      </c>
      <c r="AJ254" s="5">
        <f>(vp.data[[#This Row],[VP]]-INDEX(crudeBD.lkup[Mean_VP],MATCH(vp.data[[#This Row],[Crude_Breakdown]],crudeBD.lkup[Crude Breakdown],0)))^2</f>
        <v>10.495504147746173</v>
      </c>
      <c r="AK254" s="5">
        <f>(vp.data[[#This Row],[Dens]]-INDEX(crudeBD.lkup[Mean_Dens],MATCH(vp.data[[#This Row],[Crude_Breakdown]],crudeBD.lkup[Crude Breakdown],0)))^2</f>
        <v>13.542400000003816</v>
      </c>
      <c r="AL254" s="5">
        <f>(vp.data[[#This Row],[Sulf]]-INDEX(crudeBD.lkup[Mean_Sulf],MATCH(vp.data[[#This Row],[Crude_Breakdown]],crudeBD.lkup[Crude Breakdown],0)))^2</f>
        <v>9.3274123845019638E-2</v>
      </c>
      <c r="AM254" s="4">
        <f>IF(AND(vp.data[[#This Row],[SDate]]&gt;=DATE(YEAR(vp.data[[#This Row],[SDate]]),5,1),vp.data[[#This Row],[SDate]]&lt;=DATE(YEAR(vp.data[[#This Row],[SDate]]),9,15)),1,0)</f>
        <v>1</v>
      </c>
      <c r="AN254" s="4">
        <f>IF(vp.data[[#This Row],[SDate]]&lt;DATE(2016,12,1),0,1)</f>
        <v>0</v>
      </c>
      <c r="AO254" s="4">
        <f>IFERROR(vp.data[[#This Row],[Sulf]]*vp.data[[#This Row],[Net Dens]],"")</f>
        <v>4938542.857872</v>
      </c>
      <c r="AP254">
        <f>IFERROR(vp.data[[#This Row],[Dens]]*vp.data[[#This Row],[VolumeM3]],"")</f>
        <v>4572724.8684</v>
      </c>
      <c r="AQ254" s="15">
        <f>IFERROR(vp.data[[#This Row],[VP]]*vp.data[[#This Row],[VolumeM3]],"")</f>
        <v>417565.95659999998</v>
      </c>
    </row>
    <row r="255" spans="1:43" x14ac:dyDescent="0.25">
      <c r="A255">
        <v>254</v>
      </c>
      <c r="B255" t="s">
        <v>51</v>
      </c>
      <c r="C255" t="s">
        <v>51</v>
      </c>
      <c r="D255" t="s">
        <v>66</v>
      </c>
      <c r="F255" s="1">
        <v>42565</v>
      </c>
      <c r="G255" s="2">
        <v>59</v>
      </c>
      <c r="H255" s="2"/>
      <c r="I255" s="2">
        <f t="array" ref="I255">_xlfn.IFNA(IF(vp.data[[#This Row],[Sulf Input]]="",INDEX([1]DATA!$Q$3:$Q$9826,MATCH(1,(vp.data[[#This Row],[Battery]]=[1]DATA!$L$3:$L$9826)*(EOMONTH(vp.data[[#This Row],[SDate]],-1)+1=[1]DATA!$G$3:$G$9826),0)),vp.data[[#This Row],[Sulf Input]]),"")</f>
        <v>0.87</v>
      </c>
      <c r="J255" s="2"/>
      <c r="K255" s="2"/>
      <c r="L255" s="2">
        <v>827.6</v>
      </c>
      <c r="M255" s="2">
        <f t="array" ref="M255">_xlfn.IFNA(IF(vp.data[[#This Row],[Dens Input]]="",INDEX([1]DATA!$O$3:$O$9826,MATCH(1,(vp.data[[#This Row],[Battery]]=[1]DATA!$L$3:$L$9826)*(EOMONTH(vp.data[[#This Row],[SDate]],-1)+1=[1]DATA!$G$3:$G$9826),0)),vp.data[[#This Row],[Dens Input]]),"")</f>
        <v>827.6</v>
      </c>
      <c r="N255" s="2">
        <f ca="1">INDEX(INDIRECT(_xlfn.CONCAT("weather.tbl[",N$1,"]")),MATCH(vp.data[[#This Row],[SDate]],weather.tbl[Date],0))</f>
        <v>16.633333333333333</v>
      </c>
      <c r="O255" s="2">
        <f ca="1">INDEX(INDIRECT(_xlfn.CONCAT("weather.tbl[",O$1,"]")),MATCH(vp.data[[#This Row],[SDate]],weather.tbl[Date],0))</f>
        <v>18.50238095238095</v>
      </c>
      <c r="P255" s="2">
        <f ca="1">INDEX(INDIRECT(_xlfn.CONCAT("weather.tbl[",P$1,"]")),MATCH(vp.data[[#This Row],[SDate]],weather.tbl[Date],0))</f>
        <v>16</v>
      </c>
      <c r="Q255" s="2">
        <f ca="1">INDEX(INDIRECT(_xlfn.CONCAT("weather.tbl[",Q$1,"]")),MATCH(vp.data[[#This Row],[SDate]],weather.tbl[Date],0))</f>
        <v>16</v>
      </c>
      <c r="R255" s="2">
        <f ca="1">INDEX(INDIRECT(_xlfn.CONCAT("weather.tbl[",R$1,"]")),MATCH(vp.data[[#This Row],[SDate]],weather.tbl[Date],0))</f>
        <v>16.8</v>
      </c>
      <c r="S255" s="2">
        <f ca="1">INDEX(INDIRECT(_xlfn.CONCAT("weather.tbl[",S$1,"]")),MATCH(vp.data[[#This Row],[SDate]],weather.tbl[Date],0))</f>
        <v>17.3</v>
      </c>
      <c r="T255" s="2">
        <f ca="1">INDEX(INDIRECT(_xlfn.CONCAT("weather.tbl[",T$1,"]")),MATCH(vp.data[[#This Row],[SDate]],weather.tbl[Date],0))</f>
        <v>18.2</v>
      </c>
      <c r="U255" s="2">
        <f ca="1">INDEX(INDIRECT(_xlfn.CONCAT("weather.tbl[",U$1,"]")),MATCH(vp.data[[#This Row],[SDate]],weather.tbl[Date],0))</f>
        <v>15.5</v>
      </c>
      <c r="V255" s="2">
        <f t="array" ref="V2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2799.3</v>
      </c>
      <c r="W255" t="s">
        <v>48</v>
      </c>
      <c r="X255">
        <f>IF(OR(vp.data[[#This Row],[Sulf]]="",vp.data[[#This Row],[Dens]]=""),1,0)</f>
        <v>0</v>
      </c>
      <c r="Y255">
        <f>IF(vp.data[[#This Row],[CrudeType]]="C5+",1,0)</f>
        <v>0</v>
      </c>
      <c r="Z255">
        <f>IF(AND(vp.data[[#This Row],[CrudeType]]="Crude",vp.data[[#This Row],[Dens]]&lt;=825,vp.data[[#This Row],[Sulf]]&gt;0.5,vp.data[[#This Row],[Unknown]]=0),1,0)</f>
        <v>0</v>
      </c>
      <c r="AA255">
        <f>IF(AND(vp.data[[#This Row],[CrudeType]]="Crude",vp.data[[#This Row],[Dens]]&lt;=825,vp.data[[#This Row],[Sulf]]&lt;=0.5,vp.data[[#This Row],[Unknown]]=0),1,0)</f>
        <v>0</v>
      </c>
      <c r="AB2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55">
        <f>IF(AND(vp.data[[#This Row],[CrudeType]]="Crude",vp.data[[#This Row],[Dens]]&gt;825,vp.data[[#This Row],[Dens]]&lt;=900,vp.data[[#This Row],[Sulf]]&lt;=0.5,vp.data[[#This Row],[Unknown]]=0),1,0)</f>
        <v>0</v>
      </c>
      <c r="AD255">
        <f>IF(AND(vp.data[[#This Row],[CrudeType]]="Crude",vp.data[[#This Row],[Dens]]&gt;865,vp.data[[#This Row],[Dens]]&lt;=900,vp.data[[#This Row],[Sulf]]&gt;2,vp.data[[#This Row],[Unknown]]=0),1,0)</f>
        <v>0</v>
      </c>
      <c r="AE255">
        <f>IF(AND(vp.data[[#This Row],[CrudeType]]="Crude",vp.data[[#This Row],[Dens]]&gt;900,vp.data[[#This Row],[Sulf]]&lt;=0.5,vp.data[[#This Row],[Unknown]]=0),1,0)</f>
        <v>0</v>
      </c>
      <c r="AF255">
        <f>IF(AND(vp.data[[#This Row],[CrudeType]]="Crude",vp.data[[#This Row],[Dens]]&gt;900,vp.data[[#This Row],[Sulf]]&lt;=0.5,vp.data[[#This Row],[Unknown]]=0),1,0)</f>
        <v>0</v>
      </c>
      <c r="AG255" t="str">
        <f>INDEX(vp.data[[#Headers],[Unknown]:[Heavy_SW]],MATCH(1,vp.data[[#This Row],[Unknown]:[Heavy_SW]],0))</f>
        <v>Medium_LSB</v>
      </c>
      <c r="AH255">
        <f>INDEX([3]!crudeBD.lkup[Number],MATCH(vp.data[[#This Row],[Crude_Breakdown]],crudeBD.lkup[Crude Breakdown],0))</f>
        <v>3</v>
      </c>
      <c r="AI255">
        <f>MONTH(vp.data[[#This Row],[SDate]])</f>
        <v>7</v>
      </c>
      <c r="AJ255" s="5">
        <f>(vp.data[[#This Row],[VP]]-INDEX(crudeBD.lkup[Mean_VP],MATCH(vp.data[[#This Row],[Crude_Breakdown]],crudeBD.lkup[Crude Breakdown],0)))^2</f>
        <v>468.27560118278399</v>
      </c>
      <c r="AK255" s="5">
        <f>(vp.data[[#This Row],[Dens]]-INDEX(crudeBD.lkup[Mean_Dens],MATCH(vp.data[[#This Row],[Crude_Breakdown]],crudeBD.lkup[Crude Breakdown],0)))^2</f>
        <v>266.34239999998306</v>
      </c>
      <c r="AL255" s="5">
        <f>(vp.data[[#This Row],[Sulf]]-INDEX(crudeBD.lkup[Mean_Sulf],MATCH(vp.data[[#This Row],[Crude_Breakdown]],crudeBD.lkup[Crude Breakdown],0)))^2</f>
        <v>0.26564553705256749</v>
      </c>
      <c r="AM255" s="4">
        <f>IF(AND(vp.data[[#This Row],[SDate]]&gt;=DATE(YEAR(vp.data[[#This Row],[SDate]]),5,1),vp.data[[#This Row],[SDate]]&lt;=DATE(YEAR(vp.data[[#This Row],[SDate]]),9,15)),1,0)</f>
        <v>1</v>
      </c>
      <c r="AN255" s="4">
        <f>IF(vp.data[[#This Row],[SDate]]&lt;DATE(2016,12,1),0,1)</f>
        <v>0</v>
      </c>
      <c r="AO255" s="4">
        <f>IFERROR(vp.data[[#This Row],[Sulf]]*vp.data[[#This Row],[Net Dens]],"")</f>
        <v>2015529.5916000002</v>
      </c>
      <c r="AP255">
        <f>IFERROR(vp.data[[#This Row],[Dens]]*vp.data[[#This Row],[VolumeM3]],"")</f>
        <v>2316700.6800000002</v>
      </c>
      <c r="AQ255" s="15">
        <f>IFERROR(vp.data[[#This Row],[VP]]*vp.data[[#This Row],[VolumeM3]],"")</f>
        <v>165158.70000000001</v>
      </c>
    </row>
    <row r="256" spans="1:43" x14ac:dyDescent="0.25">
      <c r="A256">
        <v>255</v>
      </c>
      <c r="B256" t="s">
        <v>49</v>
      </c>
      <c r="C256" t="s">
        <v>49</v>
      </c>
      <c r="D256" t="s">
        <v>67</v>
      </c>
      <c r="F256" s="1">
        <v>42566</v>
      </c>
      <c r="G256" s="2">
        <v>96.1</v>
      </c>
      <c r="H256" s="2"/>
      <c r="I256" s="2">
        <f t="array" ref="I256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56" s="2"/>
      <c r="K256" s="2"/>
      <c r="L256" s="2">
        <v>804.3</v>
      </c>
      <c r="M256" s="2">
        <f t="array" ref="M256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256" s="2">
        <f ca="1">INDEX(INDIRECT(_xlfn.CONCAT("weather.tbl[",N$1,"]")),MATCH(vp.data[[#This Row],[SDate]],weather.tbl[Date],0))</f>
        <v>16.716666666666665</v>
      </c>
      <c r="O256" s="2">
        <f ca="1">INDEX(INDIRECT(_xlfn.CONCAT("weather.tbl[",O$1,"]")),MATCH(vp.data[[#This Row],[SDate]],weather.tbl[Date],0))</f>
        <v>18.45</v>
      </c>
      <c r="P256" s="2">
        <f ca="1">INDEX(INDIRECT(_xlfn.CONCAT("weather.tbl[",P$1,"]")),MATCH(vp.data[[#This Row],[SDate]],weather.tbl[Date],0))</f>
        <v>16.899999999999999</v>
      </c>
      <c r="Q256" s="2">
        <f ca="1">INDEX(INDIRECT(_xlfn.CONCAT("weather.tbl[",Q$1,"]")),MATCH(vp.data[[#This Row],[SDate]],weather.tbl[Date],0))</f>
        <v>15.9</v>
      </c>
      <c r="R256" s="2">
        <f ca="1">INDEX(INDIRECT(_xlfn.CONCAT("weather.tbl[",R$1,"]")),MATCH(vp.data[[#This Row],[SDate]],weather.tbl[Date],0))</f>
        <v>16</v>
      </c>
      <c r="S256" s="2">
        <f ca="1">INDEX(INDIRECT(_xlfn.CONCAT("weather.tbl[",S$1,"]")),MATCH(vp.data[[#This Row],[SDate]],weather.tbl[Date],0))</f>
        <v>17</v>
      </c>
      <c r="T256" s="2">
        <f ca="1">INDEX(INDIRECT(_xlfn.CONCAT("weather.tbl[",T$1,"]")),MATCH(vp.data[[#This Row],[SDate]],weather.tbl[Date],0))</f>
        <v>17.7</v>
      </c>
      <c r="U256" s="2">
        <f ca="1">INDEX(INDIRECT(_xlfn.CONCAT("weather.tbl[",U$1,"]")),MATCH(vp.data[[#This Row],[SDate]],weather.tbl[Date],0))</f>
        <v>16.8</v>
      </c>
      <c r="V256" s="2">
        <f t="array" ref="V2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49148.319000000003</v>
      </c>
      <c r="W256" t="s">
        <v>48</v>
      </c>
      <c r="X256">
        <f>IF(OR(vp.data[[#This Row],[Sulf]]="",vp.data[[#This Row],[Dens]]=""),1,0)</f>
        <v>0</v>
      </c>
      <c r="Y256">
        <f>IF(vp.data[[#This Row],[CrudeType]]="C5+",1,0)</f>
        <v>0</v>
      </c>
      <c r="Z256">
        <f>IF(AND(vp.data[[#This Row],[CrudeType]]="Crude",vp.data[[#This Row],[Dens]]&lt;=825,vp.data[[#This Row],[Sulf]]&gt;0.5,vp.data[[#This Row],[Unknown]]=0),1,0)</f>
        <v>0</v>
      </c>
      <c r="AA256">
        <f>IF(AND(vp.data[[#This Row],[CrudeType]]="Crude",vp.data[[#This Row],[Dens]]&lt;=825,vp.data[[#This Row],[Sulf]]&lt;=0.5,vp.data[[#This Row],[Unknown]]=0),1,0)</f>
        <v>1</v>
      </c>
      <c r="AB2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6">
        <f>IF(AND(vp.data[[#This Row],[CrudeType]]="Crude",vp.data[[#This Row],[Dens]]&gt;825,vp.data[[#This Row],[Dens]]&lt;=900,vp.data[[#This Row],[Sulf]]&lt;=0.5,vp.data[[#This Row],[Unknown]]=0),1,0)</f>
        <v>0</v>
      </c>
      <c r="AD256">
        <f>IF(AND(vp.data[[#This Row],[CrudeType]]="Crude",vp.data[[#This Row],[Dens]]&gt;865,vp.data[[#This Row],[Dens]]&lt;=900,vp.data[[#This Row],[Sulf]]&gt;2,vp.data[[#This Row],[Unknown]]=0),1,0)</f>
        <v>0</v>
      </c>
      <c r="AE256">
        <f>IF(AND(vp.data[[#This Row],[CrudeType]]="Crude",vp.data[[#This Row],[Dens]]&gt;900,vp.data[[#This Row],[Sulf]]&lt;=0.5,vp.data[[#This Row],[Unknown]]=0),1,0)</f>
        <v>0</v>
      </c>
      <c r="AF256">
        <f>IF(AND(vp.data[[#This Row],[CrudeType]]="Crude",vp.data[[#This Row],[Dens]]&gt;900,vp.data[[#This Row],[Sulf]]&lt;=0.5,vp.data[[#This Row],[Unknown]]=0),1,0)</f>
        <v>0</v>
      </c>
      <c r="AG256" t="str">
        <f>INDEX(vp.data[[#Headers],[Unknown]:[Heavy_SW]],MATCH(1,vp.data[[#This Row],[Unknown]:[Heavy_SW]],0))</f>
        <v>Light_SW</v>
      </c>
      <c r="AH256">
        <f>INDEX([3]!crudeBD.lkup[Number],MATCH(vp.data[[#This Row],[Crude_Breakdown]],crudeBD.lkup[Crude Breakdown],0))</f>
        <v>2</v>
      </c>
      <c r="AI256">
        <f>MONTH(vp.data[[#This Row],[SDate]])</f>
        <v>7</v>
      </c>
      <c r="AJ256" s="5">
        <f>(vp.data[[#This Row],[VP]]-INDEX(crudeBD.lkup[Mean_VP],MATCH(vp.data[[#This Row],[Crude_Breakdown]],crudeBD.lkup[Crude Breakdown],0)))^2</f>
        <v>12.6002736175019</v>
      </c>
      <c r="AK256" s="5">
        <f>(vp.data[[#This Row],[Dens]]-INDEX(crudeBD.lkup[Mean_Dens],MATCH(vp.data[[#This Row],[Crude_Breakdown]],crudeBD.lkup[Crude Breakdown],0)))^2</f>
        <v>16.092118272649731</v>
      </c>
      <c r="AL256" s="5">
        <f>(vp.data[[#This Row],[Sulf]]-INDEX(crudeBD.lkup[Mean_Sulf],MATCH(vp.data[[#This Row],[Crude_Breakdown]],crudeBD.lkup[Crude Breakdown],0)))^2</f>
        <v>6.8863268899706654E-4</v>
      </c>
      <c r="AM256" s="4">
        <f>IF(AND(vp.data[[#This Row],[SDate]]&gt;=DATE(YEAR(vp.data[[#This Row],[SDate]]),5,1),vp.data[[#This Row],[SDate]]&lt;=DATE(YEAR(vp.data[[#This Row],[SDate]]),9,15)),1,0)</f>
        <v>1</v>
      </c>
      <c r="AN256" s="4">
        <f>IF(vp.data[[#This Row],[SDate]]&lt;DATE(2016,12,1),0,1)</f>
        <v>0</v>
      </c>
      <c r="AO256" s="4">
        <f>IFERROR(vp.data[[#This Row],[Sulf]]*vp.data[[#This Row],[Net Dens]],"")</f>
        <v>8301298.524056999</v>
      </c>
      <c r="AP256">
        <f>IFERROR(vp.data[[#This Row],[Dens]]*vp.data[[#This Row],[VolumeM3]],"")</f>
        <v>39529992.971699998</v>
      </c>
      <c r="AQ256" s="15">
        <f>IFERROR(vp.data[[#This Row],[VP]]*vp.data[[#This Row],[VolumeM3]],"")</f>
        <v>4723153.4559000004</v>
      </c>
    </row>
    <row r="257" spans="1:43" x14ac:dyDescent="0.25">
      <c r="A257">
        <v>256</v>
      </c>
      <c r="B257" t="s">
        <v>49</v>
      </c>
      <c r="C257" t="s">
        <v>49</v>
      </c>
      <c r="D257" t="s">
        <v>67</v>
      </c>
      <c r="F257" s="1">
        <v>42566</v>
      </c>
      <c r="G257" s="2">
        <v>93.5</v>
      </c>
      <c r="H257" s="2"/>
      <c r="I257" s="2">
        <f t="array" ref="I257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57" s="2"/>
      <c r="K257" s="2"/>
      <c r="L257" s="2">
        <v>804.3</v>
      </c>
      <c r="M257" s="2">
        <f t="array" ref="M257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257" s="2">
        <f ca="1">INDEX(INDIRECT(_xlfn.CONCAT("weather.tbl[",N$1,"]")),MATCH(vp.data[[#This Row],[SDate]],weather.tbl[Date],0))</f>
        <v>16.716666666666665</v>
      </c>
      <c r="O257" s="2">
        <f ca="1">INDEX(INDIRECT(_xlfn.CONCAT("weather.tbl[",O$1,"]")),MATCH(vp.data[[#This Row],[SDate]],weather.tbl[Date],0))</f>
        <v>18.45</v>
      </c>
      <c r="P257" s="2">
        <f ca="1">INDEX(INDIRECT(_xlfn.CONCAT("weather.tbl[",P$1,"]")),MATCH(vp.data[[#This Row],[SDate]],weather.tbl[Date],0))</f>
        <v>16.899999999999999</v>
      </c>
      <c r="Q257" s="2">
        <f ca="1">INDEX(INDIRECT(_xlfn.CONCAT("weather.tbl[",Q$1,"]")),MATCH(vp.data[[#This Row],[SDate]],weather.tbl[Date],0))</f>
        <v>15.9</v>
      </c>
      <c r="R257" s="2">
        <f ca="1">INDEX(INDIRECT(_xlfn.CONCAT("weather.tbl[",R$1,"]")),MATCH(vp.data[[#This Row],[SDate]],weather.tbl[Date],0))</f>
        <v>16</v>
      </c>
      <c r="S257" s="2">
        <f ca="1">INDEX(INDIRECT(_xlfn.CONCAT("weather.tbl[",S$1,"]")),MATCH(vp.data[[#This Row],[SDate]],weather.tbl[Date],0))</f>
        <v>17</v>
      </c>
      <c r="T257" s="2">
        <f ca="1">INDEX(INDIRECT(_xlfn.CONCAT("weather.tbl[",T$1,"]")),MATCH(vp.data[[#This Row],[SDate]],weather.tbl[Date],0))</f>
        <v>17.7</v>
      </c>
      <c r="U257" s="2">
        <f ca="1">INDEX(INDIRECT(_xlfn.CONCAT("weather.tbl[",U$1,"]")),MATCH(vp.data[[#This Row],[SDate]],weather.tbl[Date],0))</f>
        <v>16.8</v>
      </c>
      <c r="V257" s="2">
        <f t="array" ref="V2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49148.319000000003</v>
      </c>
      <c r="W257" t="s">
        <v>48</v>
      </c>
      <c r="X257">
        <f>IF(OR(vp.data[[#This Row],[Sulf]]="",vp.data[[#This Row],[Dens]]=""),1,0)</f>
        <v>0</v>
      </c>
      <c r="Y257">
        <f>IF(vp.data[[#This Row],[CrudeType]]="C5+",1,0)</f>
        <v>0</v>
      </c>
      <c r="Z257">
        <f>IF(AND(vp.data[[#This Row],[CrudeType]]="Crude",vp.data[[#This Row],[Dens]]&lt;=825,vp.data[[#This Row],[Sulf]]&gt;0.5,vp.data[[#This Row],[Unknown]]=0),1,0)</f>
        <v>0</v>
      </c>
      <c r="AA257">
        <f>IF(AND(vp.data[[#This Row],[CrudeType]]="Crude",vp.data[[#This Row],[Dens]]&lt;=825,vp.data[[#This Row],[Sulf]]&lt;=0.5,vp.data[[#This Row],[Unknown]]=0),1,0)</f>
        <v>1</v>
      </c>
      <c r="AB2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7">
        <f>IF(AND(vp.data[[#This Row],[CrudeType]]="Crude",vp.data[[#This Row],[Dens]]&gt;825,vp.data[[#This Row],[Dens]]&lt;=900,vp.data[[#This Row],[Sulf]]&lt;=0.5,vp.data[[#This Row],[Unknown]]=0),1,0)</f>
        <v>0</v>
      </c>
      <c r="AD257">
        <f>IF(AND(vp.data[[#This Row],[CrudeType]]="Crude",vp.data[[#This Row],[Dens]]&gt;865,vp.data[[#This Row],[Dens]]&lt;=900,vp.data[[#This Row],[Sulf]]&gt;2,vp.data[[#This Row],[Unknown]]=0),1,0)</f>
        <v>0</v>
      </c>
      <c r="AE257">
        <f>IF(AND(vp.data[[#This Row],[CrudeType]]="Crude",vp.data[[#This Row],[Dens]]&gt;900,vp.data[[#This Row],[Sulf]]&lt;=0.5,vp.data[[#This Row],[Unknown]]=0),1,0)</f>
        <v>0</v>
      </c>
      <c r="AF257">
        <f>IF(AND(vp.data[[#This Row],[CrudeType]]="Crude",vp.data[[#This Row],[Dens]]&gt;900,vp.data[[#This Row],[Sulf]]&lt;=0.5,vp.data[[#This Row],[Unknown]]=0),1,0)</f>
        <v>0</v>
      </c>
      <c r="AG257" t="str">
        <f>INDEX(vp.data[[#Headers],[Unknown]:[Heavy_SW]],MATCH(1,vp.data[[#This Row],[Unknown]:[Heavy_SW]],0))</f>
        <v>Light_SW</v>
      </c>
      <c r="AH257">
        <f>INDEX([3]!crudeBD.lkup[Number],MATCH(vp.data[[#This Row],[Crude_Breakdown]],crudeBD.lkup[Crude Breakdown],0))</f>
        <v>2</v>
      </c>
      <c r="AI257">
        <f>MONTH(vp.data[[#This Row],[SDate]])</f>
        <v>7</v>
      </c>
      <c r="AJ257" s="5">
        <f>(vp.data[[#This Row],[VP]]-INDEX(crudeBD.lkup[Mean_VP],MATCH(vp.data[[#This Row],[Crude_Breakdown]],crudeBD.lkup[Crude Breakdown],0)))^2</f>
        <v>0.90190427952269203</v>
      </c>
      <c r="AK257" s="5">
        <f>(vp.data[[#This Row],[Dens]]-INDEX(crudeBD.lkup[Mean_Dens],MATCH(vp.data[[#This Row],[Crude_Breakdown]],crudeBD.lkup[Crude Breakdown],0)))^2</f>
        <v>16.092118272649731</v>
      </c>
      <c r="AL257" s="5">
        <f>(vp.data[[#This Row],[Sulf]]-INDEX(crudeBD.lkup[Mean_Sulf],MATCH(vp.data[[#This Row],[Crude_Breakdown]],crudeBD.lkup[Crude Breakdown],0)))^2</f>
        <v>6.8863268899706654E-4</v>
      </c>
      <c r="AM257" s="4">
        <f>IF(AND(vp.data[[#This Row],[SDate]]&gt;=DATE(YEAR(vp.data[[#This Row],[SDate]]),5,1),vp.data[[#This Row],[SDate]]&lt;=DATE(YEAR(vp.data[[#This Row],[SDate]]),9,15)),1,0)</f>
        <v>1</v>
      </c>
      <c r="AN257" s="4">
        <f>IF(vp.data[[#This Row],[SDate]]&lt;DATE(2016,12,1),0,1)</f>
        <v>0</v>
      </c>
      <c r="AO257" s="4">
        <f>IFERROR(vp.data[[#This Row],[Sulf]]*vp.data[[#This Row],[Net Dens]],"")</f>
        <v>8301298.524056999</v>
      </c>
      <c r="AP257">
        <f>IFERROR(vp.data[[#This Row],[Dens]]*vp.data[[#This Row],[VolumeM3]],"")</f>
        <v>39529992.971699998</v>
      </c>
      <c r="AQ257" s="15">
        <f>IFERROR(vp.data[[#This Row],[VP]]*vp.data[[#This Row],[VolumeM3]],"")</f>
        <v>4595367.8265000004</v>
      </c>
    </row>
    <row r="258" spans="1:43" x14ac:dyDescent="0.25">
      <c r="A258">
        <v>257</v>
      </c>
      <c r="B258" t="s">
        <v>51</v>
      </c>
      <c r="C258" t="s">
        <v>51</v>
      </c>
      <c r="D258" t="s">
        <v>58</v>
      </c>
      <c r="F258" s="1">
        <v>42566</v>
      </c>
      <c r="G258" s="2">
        <v>76.099999999999994</v>
      </c>
      <c r="H258" s="2"/>
      <c r="I258" s="2">
        <f t="array" ref="I258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258" s="2"/>
      <c r="K258" s="2"/>
      <c r="L258" s="2">
        <v>820</v>
      </c>
      <c r="M258" s="2">
        <f t="array" ref="M258">_xlfn.IFNA(IF(vp.data[[#This Row],[Dens Input]]="",INDEX([1]DATA!$O$3:$O$9826,MATCH(1,(vp.data[[#This Row],[Battery]]=[1]DATA!$L$3:$L$9826)*(EOMONTH(vp.data[[#This Row],[SDate]],-1)+1=[1]DATA!$G$3:$G$9826),0)),vp.data[[#This Row],[Dens Input]]),"")</f>
        <v>820</v>
      </c>
      <c r="N258" s="2">
        <f ca="1">INDEX(INDIRECT(_xlfn.CONCAT("weather.tbl[",N$1,"]")),MATCH(vp.data[[#This Row],[SDate]],weather.tbl[Date],0))</f>
        <v>16.716666666666665</v>
      </c>
      <c r="O258" s="2">
        <f ca="1">INDEX(INDIRECT(_xlfn.CONCAT("weather.tbl[",O$1,"]")),MATCH(vp.data[[#This Row],[SDate]],weather.tbl[Date],0))</f>
        <v>18.45</v>
      </c>
      <c r="P258" s="2">
        <f ca="1">INDEX(INDIRECT(_xlfn.CONCAT("weather.tbl[",P$1,"]")),MATCH(vp.data[[#This Row],[SDate]],weather.tbl[Date],0))</f>
        <v>16.899999999999999</v>
      </c>
      <c r="Q258" s="2">
        <f ca="1">INDEX(INDIRECT(_xlfn.CONCAT("weather.tbl[",Q$1,"]")),MATCH(vp.data[[#This Row],[SDate]],weather.tbl[Date],0))</f>
        <v>15.9</v>
      </c>
      <c r="R258" s="2">
        <f ca="1">INDEX(INDIRECT(_xlfn.CONCAT("weather.tbl[",R$1,"]")),MATCH(vp.data[[#This Row],[SDate]],weather.tbl[Date],0))</f>
        <v>16</v>
      </c>
      <c r="S258" s="2">
        <f ca="1">INDEX(INDIRECT(_xlfn.CONCAT("weather.tbl[",S$1,"]")),MATCH(vp.data[[#This Row],[SDate]],weather.tbl[Date],0))</f>
        <v>17</v>
      </c>
      <c r="T258" s="2">
        <f ca="1">INDEX(INDIRECT(_xlfn.CONCAT("weather.tbl[",T$1,"]")),MATCH(vp.data[[#This Row],[SDate]],weather.tbl[Date],0))</f>
        <v>17.7</v>
      </c>
      <c r="U258" s="2">
        <f ca="1">INDEX(INDIRECT(_xlfn.CONCAT("weather.tbl[",U$1,"]")),MATCH(vp.data[[#This Row],[SDate]],weather.tbl[Date],0))</f>
        <v>16.8</v>
      </c>
      <c r="V258" s="2">
        <f t="array" ref="V2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6996.402</v>
      </c>
      <c r="W258" t="s">
        <v>48</v>
      </c>
      <c r="X258">
        <f>IF(OR(vp.data[[#This Row],[Sulf]]="",vp.data[[#This Row],[Dens]]=""),1,0)</f>
        <v>0</v>
      </c>
      <c r="Y258">
        <f>IF(vp.data[[#This Row],[CrudeType]]="C5+",1,0)</f>
        <v>0</v>
      </c>
      <c r="Z258">
        <f>IF(AND(vp.data[[#This Row],[CrudeType]]="Crude",vp.data[[#This Row],[Dens]]&lt;=825,vp.data[[#This Row],[Sulf]]&gt;0.5,vp.data[[#This Row],[Unknown]]=0),1,0)</f>
        <v>1</v>
      </c>
      <c r="AA258">
        <f>IF(AND(vp.data[[#This Row],[CrudeType]]="Crude",vp.data[[#This Row],[Dens]]&lt;=825,vp.data[[#This Row],[Sulf]]&lt;=0.5,vp.data[[#This Row],[Unknown]]=0),1,0)</f>
        <v>0</v>
      </c>
      <c r="AB2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58">
        <f>IF(AND(vp.data[[#This Row],[CrudeType]]="Crude",vp.data[[#This Row],[Dens]]&gt;825,vp.data[[#This Row],[Dens]]&lt;=900,vp.data[[#This Row],[Sulf]]&lt;=0.5,vp.data[[#This Row],[Unknown]]=0),1,0)</f>
        <v>0</v>
      </c>
      <c r="AD258">
        <f>IF(AND(vp.data[[#This Row],[CrudeType]]="Crude",vp.data[[#This Row],[Dens]]&gt;865,vp.data[[#This Row],[Dens]]&lt;=900,vp.data[[#This Row],[Sulf]]&gt;2,vp.data[[#This Row],[Unknown]]=0),1,0)</f>
        <v>0</v>
      </c>
      <c r="AE258">
        <f>IF(AND(vp.data[[#This Row],[CrudeType]]="Crude",vp.data[[#This Row],[Dens]]&gt;900,vp.data[[#This Row],[Sulf]]&lt;=0.5,vp.data[[#This Row],[Unknown]]=0),1,0)</f>
        <v>0</v>
      </c>
      <c r="AF258">
        <f>IF(AND(vp.data[[#This Row],[CrudeType]]="Crude",vp.data[[#This Row],[Dens]]&gt;900,vp.data[[#This Row],[Sulf]]&lt;=0.5,vp.data[[#This Row],[Unknown]]=0),1,0)</f>
        <v>0</v>
      </c>
      <c r="AG258" t="str">
        <f>INDEX(vp.data[[#Headers],[Unknown]:[Heavy_SW]],MATCH(1,vp.data[[#This Row],[Unknown]:[Heavy_SW]],0))</f>
        <v>Light_LSB</v>
      </c>
      <c r="AH258">
        <f>INDEX([3]!crudeBD.lkup[Number],MATCH(vp.data[[#This Row],[Crude_Breakdown]],crudeBD.lkup[Crude Breakdown],0))</f>
        <v>1</v>
      </c>
      <c r="AI258">
        <f>MONTH(vp.data[[#This Row],[SDate]])</f>
        <v>7</v>
      </c>
      <c r="AJ258" s="5">
        <f>(vp.data[[#This Row],[VP]]-INDEX(crudeBD.lkup[Mean_VP],MATCH(vp.data[[#This Row],[Crude_Breakdown]],crudeBD.lkup[Crude Breakdown],0)))^2</f>
        <v>238.58464857051874</v>
      </c>
      <c r="AK258" s="5">
        <f>(vp.data[[#This Row],[Dens]]-INDEX(crudeBD.lkup[Mean_Dens],MATCH(vp.data[[#This Row],[Crude_Breakdown]],crudeBD.lkup[Crude Breakdown],0)))^2</f>
        <v>2.199971946482433</v>
      </c>
      <c r="AL258" s="5">
        <f>(vp.data[[#This Row],[Sulf]]-INDEX(crudeBD.lkup[Mean_Sulf],MATCH(vp.data[[#This Row],[Crude_Breakdown]],crudeBD.lkup[Crude Breakdown],0)))^2</f>
        <v>9.426670344294602E-2</v>
      </c>
      <c r="AM258" s="4">
        <f>IF(AND(vp.data[[#This Row],[SDate]]&gt;=DATE(YEAR(vp.data[[#This Row],[SDate]]),5,1),vp.data[[#This Row],[SDate]]&lt;=DATE(YEAR(vp.data[[#This Row],[SDate]]),9,15)),1,0)</f>
        <v>1</v>
      </c>
      <c r="AN258" s="4">
        <f>IF(vp.data[[#This Row],[SDate]]&lt;DATE(2016,12,1),0,1)</f>
        <v>0</v>
      </c>
      <c r="AO258" s="4">
        <f>IFERROR(vp.data[[#This Row],[Sulf]]*vp.data[[#This Row],[Net Dens]],"")</f>
        <v>7056571.0571999997</v>
      </c>
      <c r="AP258">
        <f>IFERROR(vp.data[[#This Row],[Dens]]*vp.data[[#This Row],[VolumeM3]],"")</f>
        <v>5737049.6399999997</v>
      </c>
      <c r="AQ258" s="15">
        <f>IFERROR(vp.data[[#This Row],[VP]]*vp.data[[#This Row],[VolumeM3]],"")</f>
        <v>532426.19219999993</v>
      </c>
    </row>
    <row r="259" spans="1:43" x14ac:dyDescent="0.25">
      <c r="A259">
        <v>258</v>
      </c>
      <c r="B259" t="s">
        <v>51</v>
      </c>
      <c r="C259" t="s">
        <v>51</v>
      </c>
      <c r="D259" t="s">
        <v>71</v>
      </c>
      <c r="F259" s="1">
        <v>42566</v>
      </c>
      <c r="G259" s="2">
        <v>86.7</v>
      </c>
      <c r="H259" s="2"/>
      <c r="I259" s="2">
        <f t="array" ref="I259">_xlfn.IFNA(IF(vp.data[[#This Row],[Sulf Input]]="",INDEX([1]DATA!$Q$3:$Q$9826,MATCH(1,(vp.data[[#This Row],[Battery]]=[1]DATA!$L$3:$L$9826)*(EOMONTH(vp.data[[#This Row],[SDate]],-1)+1=[1]DATA!$G$3:$G$9826),0)),vp.data[[#This Row],[Sulf Input]]),"")</f>
        <v>1.47</v>
      </c>
      <c r="J259" s="2"/>
      <c r="K259" s="2"/>
      <c r="L259" s="2">
        <v>834.5</v>
      </c>
      <c r="M259" s="2">
        <f t="array" ref="M259">_xlfn.IFNA(IF(vp.data[[#This Row],[Dens Input]]="",INDEX([1]DATA!$O$3:$O$9826,MATCH(1,(vp.data[[#This Row],[Battery]]=[1]DATA!$L$3:$L$9826)*(EOMONTH(vp.data[[#This Row],[SDate]],-1)+1=[1]DATA!$G$3:$G$9826),0)),vp.data[[#This Row],[Dens Input]]),"")</f>
        <v>834.5</v>
      </c>
      <c r="N259" s="2">
        <f ca="1">INDEX(INDIRECT(_xlfn.CONCAT("weather.tbl[",N$1,"]")),MATCH(vp.data[[#This Row],[SDate]],weather.tbl[Date],0))</f>
        <v>16.716666666666665</v>
      </c>
      <c r="O259" s="2">
        <f ca="1">INDEX(INDIRECT(_xlfn.CONCAT("weather.tbl[",O$1,"]")),MATCH(vp.data[[#This Row],[SDate]],weather.tbl[Date],0))</f>
        <v>18.45</v>
      </c>
      <c r="P259" s="2">
        <f ca="1">INDEX(INDIRECT(_xlfn.CONCAT("weather.tbl[",P$1,"]")),MATCH(vp.data[[#This Row],[SDate]],weather.tbl[Date],0))</f>
        <v>16.899999999999999</v>
      </c>
      <c r="Q259" s="2">
        <f ca="1">INDEX(INDIRECT(_xlfn.CONCAT("weather.tbl[",Q$1,"]")),MATCH(vp.data[[#This Row],[SDate]],weather.tbl[Date],0))</f>
        <v>15.9</v>
      </c>
      <c r="R259" s="2">
        <f ca="1">INDEX(INDIRECT(_xlfn.CONCAT("weather.tbl[",R$1,"]")),MATCH(vp.data[[#This Row],[SDate]],weather.tbl[Date],0))</f>
        <v>16</v>
      </c>
      <c r="S259" s="2">
        <f ca="1">INDEX(INDIRECT(_xlfn.CONCAT("weather.tbl[",S$1,"]")),MATCH(vp.data[[#This Row],[SDate]],weather.tbl[Date],0))</f>
        <v>17</v>
      </c>
      <c r="T259" s="2">
        <f ca="1">INDEX(INDIRECT(_xlfn.CONCAT("weather.tbl[",T$1,"]")),MATCH(vp.data[[#This Row],[SDate]],weather.tbl[Date],0))</f>
        <v>17.7</v>
      </c>
      <c r="U259" s="2">
        <f ca="1">INDEX(INDIRECT(_xlfn.CONCAT("weather.tbl[",U$1,"]")),MATCH(vp.data[[#This Row],[SDate]],weather.tbl[Date],0))</f>
        <v>16.8</v>
      </c>
      <c r="V259" s="2">
        <f t="array" ref="V2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4722.0820000000003</v>
      </c>
      <c r="W259" t="s">
        <v>48</v>
      </c>
      <c r="X259">
        <f>IF(OR(vp.data[[#This Row],[Sulf]]="",vp.data[[#This Row],[Dens]]=""),1,0)</f>
        <v>0</v>
      </c>
      <c r="Y259">
        <f>IF(vp.data[[#This Row],[CrudeType]]="C5+",1,0)</f>
        <v>0</v>
      </c>
      <c r="Z259">
        <f>IF(AND(vp.data[[#This Row],[CrudeType]]="Crude",vp.data[[#This Row],[Dens]]&lt;=825,vp.data[[#This Row],[Sulf]]&gt;0.5,vp.data[[#This Row],[Unknown]]=0),1,0)</f>
        <v>0</v>
      </c>
      <c r="AA259">
        <f>IF(AND(vp.data[[#This Row],[CrudeType]]="Crude",vp.data[[#This Row],[Dens]]&lt;=825,vp.data[[#This Row],[Sulf]]&lt;=0.5,vp.data[[#This Row],[Unknown]]=0),1,0)</f>
        <v>0</v>
      </c>
      <c r="AB2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59">
        <f>IF(AND(vp.data[[#This Row],[CrudeType]]="Crude",vp.data[[#This Row],[Dens]]&gt;825,vp.data[[#This Row],[Dens]]&lt;=900,vp.data[[#This Row],[Sulf]]&lt;=0.5,vp.data[[#This Row],[Unknown]]=0),1,0)</f>
        <v>0</v>
      </c>
      <c r="AD259">
        <f>IF(AND(vp.data[[#This Row],[CrudeType]]="Crude",vp.data[[#This Row],[Dens]]&gt;865,vp.data[[#This Row],[Dens]]&lt;=900,vp.data[[#This Row],[Sulf]]&gt;2,vp.data[[#This Row],[Unknown]]=0),1,0)</f>
        <v>0</v>
      </c>
      <c r="AE259">
        <f>IF(AND(vp.data[[#This Row],[CrudeType]]="Crude",vp.data[[#This Row],[Dens]]&gt;900,vp.data[[#This Row],[Sulf]]&lt;=0.5,vp.data[[#This Row],[Unknown]]=0),1,0)</f>
        <v>0</v>
      </c>
      <c r="AF259">
        <f>IF(AND(vp.data[[#This Row],[CrudeType]]="Crude",vp.data[[#This Row],[Dens]]&gt;900,vp.data[[#This Row],[Sulf]]&lt;=0.5,vp.data[[#This Row],[Unknown]]=0),1,0)</f>
        <v>0</v>
      </c>
      <c r="AG259" t="str">
        <f>INDEX(vp.data[[#Headers],[Unknown]:[Heavy_SW]],MATCH(1,vp.data[[#This Row],[Unknown]:[Heavy_SW]],0))</f>
        <v>Medium_LSB</v>
      </c>
      <c r="AH259">
        <f>INDEX([3]!crudeBD.lkup[Number],MATCH(vp.data[[#This Row],[Crude_Breakdown]],crudeBD.lkup[Crude Breakdown],0))</f>
        <v>3</v>
      </c>
      <c r="AI259">
        <f>MONTH(vp.data[[#This Row],[SDate]])</f>
        <v>7</v>
      </c>
      <c r="AJ259" s="5">
        <f>(vp.data[[#This Row],[VP]]-INDEX(crudeBD.lkup[Mean_VP],MATCH(vp.data[[#This Row],[Crude_Breakdown]],crudeBD.lkup[Crude Breakdown],0)))^2</f>
        <v>36.727520320254314</v>
      </c>
      <c r="AK259" s="5">
        <f>(vp.data[[#This Row],[Dens]]-INDEX(crudeBD.lkup[Mean_Dens],MATCH(vp.data[[#This Row],[Crude_Breakdown]],crudeBD.lkup[Crude Breakdown],0)))^2</f>
        <v>88.736399999990667</v>
      </c>
      <c r="AL259" s="5">
        <f>(vp.data[[#This Row],[Sulf]]-INDEX(crudeBD.lkup[Mean_Sulf],MATCH(vp.data[[#This Row],[Crude_Breakdown]],crudeBD.lkup[Crude Breakdown],0)))^2</f>
        <v>7.1557850310023097E-3</v>
      </c>
      <c r="AM259" s="4">
        <f>IF(AND(vp.data[[#This Row],[SDate]]&gt;=DATE(YEAR(vp.data[[#This Row],[SDate]]),5,1),vp.data[[#This Row],[SDate]]&lt;=DATE(YEAR(vp.data[[#This Row],[SDate]]),9,15)),1,0)</f>
        <v>1</v>
      </c>
      <c r="AN259" s="4">
        <f>IF(vp.data[[#This Row],[SDate]]&lt;DATE(2016,12,1),0,1)</f>
        <v>0</v>
      </c>
      <c r="AO259" s="4">
        <f>IFERROR(vp.data[[#This Row],[Sulf]]*vp.data[[#This Row],[Net Dens]],"")</f>
        <v>5792648.8206300009</v>
      </c>
      <c r="AP259">
        <f>IFERROR(vp.data[[#This Row],[Dens]]*vp.data[[#This Row],[VolumeM3]],"")</f>
        <v>3940577.4290000005</v>
      </c>
      <c r="AQ259" s="15">
        <f>IFERROR(vp.data[[#This Row],[VP]]*vp.data[[#This Row],[VolumeM3]],"")</f>
        <v>409404.50940000004</v>
      </c>
    </row>
    <row r="260" spans="1:43" x14ac:dyDescent="0.25">
      <c r="A260">
        <v>259</v>
      </c>
      <c r="B260" t="s">
        <v>56</v>
      </c>
      <c r="C260" t="s">
        <v>56</v>
      </c>
      <c r="D260" t="s">
        <v>57</v>
      </c>
      <c r="F260" s="1">
        <v>42566</v>
      </c>
      <c r="G260" s="2">
        <v>79.599999999999994</v>
      </c>
      <c r="H260" s="2"/>
      <c r="I260" s="2">
        <f t="array" ref="I260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260" s="2"/>
      <c r="K260" s="2"/>
      <c r="L260" s="2">
        <v>836.9</v>
      </c>
      <c r="M260" s="2">
        <f t="array" ref="M260">_xlfn.IFNA(IF(vp.data[[#This Row],[Dens Input]]="",INDEX([1]DATA!$O$3:$O$9826,MATCH(1,(vp.data[[#This Row],[Battery]]=[1]DATA!$L$3:$L$9826)*(EOMONTH(vp.data[[#This Row],[SDate]],-1)+1=[1]DATA!$G$3:$G$9826),0)),vp.data[[#This Row],[Dens Input]]),"")</f>
        <v>836.9</v>
      </c>
      <c r="N260" s="2">
        <f ca="1">INDEX(INDIRECT(_xlfn.CONCAT("weather.tbl[",N$1,"]")),MATCH(vp.data[[#This Row],[SDate]],weather.tbl[Date],0))</f>
        <v>16.716666666666665</v>
      </c>
      <c r="O260" s="2">
        <f ca="1">INDEX(INDIRECT(_xlfn.CONCAT("weather.tbl[",O$1,"]")),MATCH(vp.data[[#This Row],[SDate]],weather.tbl[Date],0))</f>
        <v>18.45</v>
      </c>
      <c r="P260" s="2">
        <f ca="1">INDEX(INDIRECT(_xlfn.CONCAT("weather.tbl[",P$1,"]")),MATCH(vp.data[[#This Row],[SDate]],weather.tbl[Date],0))</f>
        <v>16.899999999999999</v>
      </c>
      <c r="Q260" s="2">
        <f ca="1">INDEX(INDIRECT(_xlfn.CONCAT("weather.tbl[",Q$1,"]")),MATCH(vp.data[[#This Row],[SDate]],weather.tbl[Date],0))</f>
        <v>15.9</v>
      </c>
      <c r="R260" s="2">
        <f ca="1">INDEX(INDIRECT(_xlfn.CONCAT("weather.tbl[",R$1,"]")),MATCH(vp.data[[#This Row],[SDate]],weather.tbl[Date],0))</f>
        <v>16</v>
      </c>
      <c r="S260" s="2">
        <f ca="1">INDEX(INDIRECT(_xlfn.CONCAT("weather.tbl[",S$1,"]")),MATCH(vp.data[[#This Row],[SDate]],weather.tbl[Date],0))</f>
        <v>17</v>
      </c>
      <c r="T260" s="2">
        <f ca="1">INDEX(INDIRECT(_xlfn.CONCAT("weather.tbl[",T$1,"]")),MATCH(vp.data[[#This Row],[SDate]],weather.tbl[Date],0))</f>
        <v>17.7</v>
      </c>
      <c r="U260" s="2">
        <f ca="1">INDEX(INDIRECT(_xlfn.CONCAT("weather.tbl[",U$1,"]")),MATCH(vp.data[[#This Row],[SDate]],weather.tbl[Date],0))</f>
        <v>16.8</v>
      </c>
      <c r="V260" s="2">
        <f t="array" ref="V2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3319.0610000000001</v>
      </c>
      <c r="W260" t="s">
        <v>48</v>
      </c>
      <c r="X260">
        <f>IF(OR(vp.data[[#This Row],[Sulf]]="",vp.data[[#This Row],[Dens]]=""),1,0)</f>
        <v>0</v>
      </c>
      <c r="Y260">
        <f>IF(vp.data[[#This Row],[CrudeType]]="C5+",1,0)</f>
        <v>0</v>
      </c>
      <c r="Z260">
        <f>IF(AND(vp.data[[#This Row],[CrudeType]]="Crude",vp.data[[#This Row],[Dens]]&lt;=825,vp.data[[#This Row],[Sulf]]&gt;0.5,vp.data[[#This Row],[Unknown]]=0),1,0)</f>
        <v>0</v>
      </c>
      <c r="AA260">
        <f>IF(AND(vp.data[[#This Row],[CrudeType]]="Crude",vp.data[[#This Row],[Dens]]&lt;=825,vp.data[[#This Row],[Sulf]]&lt;=0.5,vp.data[[#This Row],[Unknown]]=0),1,0)</f>
        <v>0</v>
      </c>
      <c r="AB2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0">
        <f>IF(AND(vp.data[[#This Row],[CrudeType]]="Crude",vp.data[[#This Row],[Dens]]&gt;825,vp.data[[#This Row],[Dens]]&lt;=900,vp.data[[#This Row],[Sulf]]&lt;=0.5,vp.data[[#This Row],[Unknown]]=0),1,0)</f>
        <v>0</v>
      </c>
      <c r="AD260">
        <f>IF(AND(vp.data[[#This Row],[CrudeType]]="Crude",vp.data[[#This Row],[Dens]]&gt;865,vp.data[[#This Row],[Dens]]&lt;=900,vp.data[[#This Row],[Sulf]]&gt;2,vp.data[[#This Row],[Unknown]]=0),1,0)</f>
        <v>0</v>
      </c>
      <c r="AE260">
        <f>IF(AND(vp.data[[#This Row],[CrudeType]]="Crude",vp.data[[#This Row],[Dens]]&gt;900,vp.data[[#This Row],[Sulf]]&lt;=0.5,vp.data[[#This Row],[Unknown]]=0),1,0)</f>
        <v>0</v>
      </c>
      <c r="AF260">
        <f>IF(AND(vp.data[[#This Row],[CrudeType]]="Crude",vp.data[[#This Row],[Dens]]&gt;900,vp.data[[#This Row],[Sulf]]&lt;=0.5,vp.data[[#This Row],[Unknown]]=0),1,0)</f>
        <v>0</v>
      </c>
      <c r="AG260" t="str">
        <f>INDEX(vp.data[[#Headers],[Unknown]:[Heavy_SW]],MATCH(1,vp.data[[#This Row],[Unknown]:[Heavy_SW]],0))</f>
        <v>Medium_LSB</v>
      </c>
      <c r="AH260">
        <f>INDEX([3]!crudeBD.lkup[Number],MATCH(vp.data[[#This Row],[Crude_Breakdown]],crudeBD.lkup[Crude Breakdown],0))</f>
        <v>3</v>
      </c>
      <c r="AI260">
        <f>MONTH(vp.data[[#This Row],[SDate]])</f>
        <v>7</v>
      </c>
      <c r="AJ260" s="5">
        <f>(vp.data[[#This Row],[VP]]-INDEX(crudeBD.lkup[Mean_VP],MATCH(vp.data[[#This Row],[Crude_Breakdown]],crudeBD.lkup[Crude Breakdown],0)))^2</f>
        <v>1.0809273283395293</v>
      </c>
      <c r="AK260" s="5">
        <f>(vp.data[[#This Row],[Dens]]-INDEX(crudeBD.lkup[Mean_Dens],MATCH(vp.data[[#This Row],[Crude_Breakdown]],crudeBD.lkup[Crude Breakdown],0)))^2</f>
        <v>49.280399999993357</v>
      </c>
      <c r="AL260" s="5">
        <f>(vp.data[[#This Row],[Sulf]]-INDEX(crudeBD.lkup[Mean_Sulf],MATCH(vp.data[[#This Row],[Crude_Breakdown]],crudeBD.lkup[Crude Breakdown],0)))^2</f>
        <v>5.9825184491918218E-2</v>
      </c>
      <c r="AM260" s="4">
        <f>IF(AND(vp.data[[#This Row],[SDate]]&gt;=DATE(YEAR(vp.data[[#This Row],[SDate]]),5,1),vp.data[[#This Row],[SDate]]&lt;=DATE(YEAR(vp.data[[#This Row],[SDate]]),9,15)),1,0)</f>
        <v>1</v>
      </c>
      <c r="AN260" s="4">
        <f>IF(vp.data[[#This Row],[SDate]]&lt;DATE(2016,12,1),0,1)</f>
        <v>0</v>
      </c>
      <c r="AO260" s="4">
        <f>IFERROR(vp.data[[#This Row],[Sulf]]*vp.data[[#This Row],[Net Dens]],"")</f>
        <v>4527687.1059670001</v>
      </c>
      <c r="AP260">
        <f>IFERROR(vp.data[[#This Row],[Dens]]*vp.data[[#This Row],[VolumeM3]],"")</f>
        <v>2777722.1509000002</v>
      </c>
      <c r="AQ260" s="15">
        <f>IFERROR(vp.data[[#This Row],[VP]]*vp.data[[#This Row],[VolumeM3]],"")</f>
        <v>264197.25559999997</v>
      </c>
    </row>
    <row r="261" spans="1:43" x14ac:dyDescent="0.25">
      <c r="A261">
        <v>260</v>
      </c>
      <c r="B261" t="s">
        <v>49</v>
      </c>
      <c r="C261" t="s">
        <v>49</v>
      </c>
      <c r="D261" t="s">
        <v>50</v>
      </c>
      <c r="F261" s="1">
        <v>42568</v>
      </c>
      <c r="G261" s="2">
        <v>80.400000000000006</v>
      </c>
      <c r="H261" s="2"/>
      <c r="I261" s="2">
        <f t="array" ref="I261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261" s="2"/>
      <c r="K261" s="2"/>
      <c r="L261" s="2"/>
      <c r="M261" s="2">
        <f t="array" ref="M261">_xlfn.IFNA(IF(vp.data[[#This Row],[Dens Input]]="",INDEX([1]DATA!$O$3:$O$9826,MATCH(1,(vp.data[[#This Row],[Battery]]=[1]DATA!$L$3:$L$9826)*(EOMONTH(vp.data[[#This Row],[SDate]],-1)+1=[1]DATA!$G$3:$G$9826),0)),vp.data[[#This Row],[Dens Input]]),"")</f>
        <v>869.2</v>
      </c>
      <c r="N261" s="2">
        <f ca="1">INDEX(INDIRECT(_xlfn.CONCAT("weather.tbl[",N$1,"]")),MATCH(vp.data[[#This Row],[SDate]],weather.tbl[Date],0))</f>
        <v>19.05</v>
      </c>
      <c r="O261" s="2">
        <f ca="1">INDEX(INDIRECT(_xlfn.CONCAT("weather.tbl[",O$1,"]")),MATCH(vp.data[[#This Row],[SDate]],weather.tbl[Date],0))</f>
        <v>17.730952380952381</v>
      </c>
      <c r="P261" s="2">
        <f ca="1">INDEX(INDIRECT(_xlfn.CONCAT("weather.tbl[",P$1,"]")),MATCH(vp.data[[#This Row],[SDate]],weather.tbl[Date],0))</f>
        <v>19.3</v>
      </c>
      <c r="Q261" s="2">
        <f ca="1">INDEX(INDIRECT(_xlfn.CONCAT("weather.tbl[",Q$1,"]")),MATCH(vp.data[[#This Row],[SDate]],weather.tbl[Date],0))</f>
        <v>18.399999999999999</v>
      </c>
      <c r="R261" s="2">
        <f ca="1">INDEX(INDIRECT(_xlfn.CONCAT("weather.tbl[",R$1,"]")),MATCH(vp.data[[#This Row],[SDate]],weather.tbl[Date],0))</f>
        <v>19.3</v>
      </c>
      <c r="S261" s="2">
        <f ca="1">INDEX(INDIRECT(_xlfn.CONCAT("weather.tbl[",S$1,"]")),MATCH(vp.data[[#This Row],[SDate]],weather.tbl[Date],0))</f>
        <v>20</v>
      </c>
      <c r="T261" s="2">
        <f ca="1">INDEX(INDIRECT(_xlfn.CONCAT("weather.tbl[",T$1,"]")),MATCH(vp.data[[#This Row],[SDate]],weather.tbl[Date],0))</f>
        <v>18.8</v>
      </c>
      <c r="U261" s="2">
        <f ca="1">INDEX(INDIRECT(_xlfn.CONCAT("weather.tbl[",U$1,"]")),MATCH(vp.data[[#This Row],[SDate]],weather.tbl[Date],0))</f>
        <v>18.5</v>
      </c>
      <c r="V261" s="2">
        <f t="array" ref="V2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5700.3140000000003</v>
      </c>
      <c r="W261" t="s">
        <v>48</v>
      </c>
      <c r="X261">
        <f>IF(OR(vp.data[[#This Row],[Sulf]]="",vp.data[[#This Row],[Dens]]=""),1,0)</f>
        <v>0</v>
      </c>
      <c r="Y261">
        <f>IF(vp.data[[#This Row],[CrudeType]]="C5+",1,0)</f>
        <v>0</v>
      </c>
      <c r="Z261">
        <f>IF(AND(vp.data[[#This Row],[CrudeType]]="Crude",vp.data[[#This Row],[Dens]]&lt;=825,vp.data[[#This Row],[Sulf]]&gt;0.5,vp.data[[#This Row],[Unknown]]=0),1,0)</f>
        <v>0</v>
      </c>
      <c r="AA261">
        <f>IF(AND(vp.data[[#This Row],[CrudeType]]="Crude",vp.data[[#This Row],[Dens]]&lt;=825,vp.data[[#This Row],[Sulf]]&lt;=0.5,vp.data[[#This Row],[Unknown]]=0),1,0)</f>
        <v>0</v>
      </c>
      <c r="AB2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61">
        <f>IF(AND(vp.data[[#This Row],[CrudeType]]="Crude",vp.data[[#This Row],[Dens]]&gt;825,vp.data[[#This Row],[Dens]]&lt;=900,vp.data[[#This Row],[Sulf]]&lt;=0.5,vp.data[[#This Row],[Unknown]]=0),1,0)</f>
        <v>0</v>
      </c>
      <c r="AD261">
        <f>IF(AND(vp.data[[#This Row],[CrudeType]]="Crude",vp.data[[#This Row],[Dens]]&gt;865,vp.data[[#This Row],[Dens]]&lt;=900,vp.data[[#This Row],[Sulf]]&gt;2,vp.data[[#This Row],[Unknown]]=0),1,0)</f>
        <v>1</v>
      </c>
      <c r="AE261">
        <f>IF(AND(vp.data[[#This Row],[CrudeType]]="Crude",vp.data[[#This Row],[Dens]]&gt;900,vp.data[[#This Row],[Sulf]]&lt;=0.5,vp.data[[#This Row],[Unknown]]=0),1,0)</f>
        <v>0</v>
      </c>
      <c r="AF261">
        <f>IF(AND(vp.data[[#This Row],[CrudeType]]="Crude",vp.data[[#This Row],[Dens]]&gt;900,vp.data[[#This Row],[Sulf]]&lt;=0.5,vp.data[[#This Row],[Unknown]]=0),1,0)</f>
        <v>0</v>
      </c>
      <c r="AG261" t="str">
        <f>INDEX(vp.data[[#Headers],[Unknown]:[Heavy_SW]],MATCH(1,vp.data[[#This Row],[Unknown]:[Heavy_SW]],0))</f>
        <v>Midale</v>
      </c>
      <c r="AH261">
        <f>INDEX([3]!crudeBD.lkup[Number],MATCH(vp.data[[#This Row],[Crude_Breakdown]],crudeBD.lkup[Crude Breakdown],0))</f>
        <v>5</v>
      </c>
      <c r="AI261">
        <f>MONTH(vp.data[[#This Row],[SDate]])</f>
        <v>7</v>
      </c>
      <c r="AJ261" s="5">
        <f>(vp.data[[#This Row],[VP]]-INDEX(crudeBD.lkup[Mean_VP],MATCH(vp.data[[#This Row],[Crude_Breakdown]],crudeBD.lkup[Crude Breakdown],0)))^2</f>
        <v>120.80729328302633</v>
      </c>
      <c r="AK261" s="5">
        <f>(vp.data[[#This Row],[Dens]]-INDEX(crudeBD.lkup[Mean_Dens],MATCH(vp.data[[#This Row],[Crude_Breakdown]],crudeBD.lkup[Crude Breakdown],0)))^2</f>
        <v>31.550804814542211</v>
      </c>
      <c r="AL261" s="5">
        <f>(vp.data[[#This Row],[Sulf]]-INDEX(crudeBD.lkup[Mean_Sulf],MATCH(vp.data[[#This Row],[Crude_Breakdown]],crudeBD.lkup[Crude Breakdown],0)))^2</f>
        <v>2.1428402221713612E-2</v>
      </c>
      <c r="AM261" s="4">
        <f>IF(AND(vp.data[[#This Row],[SDate]]&gt;=DATE(YEAR(vp.data[[#This Row],[SDate]]),5,1),vp.data[[#This Row],[SDate]]&lt;=DATE(YEAR(vp.data[[#This Row],[SDate]]),9,15)),1,0)</f>
        <v>1</v>
      </c>
      <c r="AN261" s="4">
        <f>IF(vp.data[[#This Row],[SDate]]&lt;DATE(2016,12,1),0,1)</f>
        <v>0</v>
      </c>
      <c r="AO261" s="4">
        <f>IFERROR(vp.data[[#This Row],[Sulf]]*vp.data[[#This Row],[Net Dens]],"")</f>
        <v>12832706.485592002</v>
      </c>
      <c r="AP261">
        <f>IFERROR(vp.data[[#This Row],[Dens]]*vp.data[[#This Row],[VolumeM3]],"")</f>
        <v>4954712.9288000008</v>
      </c>
      <c r="AQ261" s="15">
        <f>IFERROR(vp.data[[#This Row],[VP]]*vp.data[[#This Row],[VolumeM3]],"")</f>
        <v>458305.24560000008</v>
      </c>
    </row>
    <row r="262" spans="1:43" x14ac:dyDescent="0.25">
      <c r="A262">
        <v>261</v>
      </c>
      <c r="B262" t="s">
        <v>60</v>
      </c>
      <c r="C262" t="s">
        <v>60</v>
      </c>
      <c r="D262" t="s">
        <v>61</v>
      </c>
      <c r="E262" t="s">
        <v>73</v>
      </c>
      <c r="F262" s="1">
        <v>42569</v>
      </c>
      <c r="G262" s="2">
        <v>84.7</v>
      </c>
      <c r="H262" s="2"/>
      <c r="I262" s="2">
        <f t="array" ref="I262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262" s="2"/>
      <c r="K262" s="2"/>
      <c r="L262" s="2"/>
      <c r="M262" s="2">
        <f t="array" ref="M262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262" s="2">
        <f ca="1">INDEX(INDIRECT(_xlfn.CONCAT("weather.tbl[",N$1,"]")),MATCH(vp.data[[#This Row],[SDate]],weather.tbl[Date],0))</f>
        <v>19.633333333333333</v>
      </c>
      <c r="O262" s="2">
        <f ca="1">INDEX(INDIRECT(_xlfn.CONCAT("weather.tbl[",O$1,"]")),MATCH(vp.data[[#This Row],[SDate]],weather.tbl[Date],0))</f>
        <v>17.730952380952377</v>
      </c>
      <c r="P262" s="2">
        <f ca="1">INDEX(INDIRECT(_xlfn.CONCAT("weather.tbl[",P$1,"]")),MATCH(vp.data[[#This Row],[SDate]],weather.tbl[Date],0))</f>
        <v>20.6</v>
      </c>
      <c r="Q262" s="2">
        <f ca="1">INDEX(INDIRECT(_xlfn.CONCAT("weather.tbl[",Q$1,"]")),MATCH(vp.data[[#This Row],[SDate]],weather.tbl[Date],0))</f>
        <v>19.600000000000001</v>
      </c>
      <c r="R262" s="2">
        <f ca="1">INDEX(INDIRECT(_xlfn.CONCAT("weather.tbl[",R$1,"]")),MATCH(vp.data[[#This Row],[SDate]],weather.tbl[Date],0))</f>
        <v>18.3</v>
      </c>
      <c r="S262" s="2">
        <f ca="1">INDEX(INDIRECT(_xlfn.CONCAT("weather.tbl[",S$1,"]")),MATCH(vp.data[[#This Row],[SDate]],weather.tbl[Date],0))</f>
        <v>20.8</v>
      </c>
      <c r="T262" s="2">
        <f ca="1">INDEX(INDIRECT(_xlfn.CONCAT("weather.tbl[",T$1,"]")),MATCH(vp.data[[#This Row],[SDate]],weather.tbl[Date],0))</f>
        <v>19</v>
      </c>
      <c r="U262" s="2">
        <f ca="1">INDEX(INDIRECT(_xlfn.CONCAT("weather.tbl[",U$1,"]")),MATCH(vp.data[[#This Row],[SDate]],weather.tbl[Date],0))</f>
        <v>19.5</v>
      </c>
      <c r="V262" s="2">
        <f t="array" ref="V2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102591.85</v>
      </c>
      <c r="W262" t="s">
        <v>48</v>
      </c>
      <c r="X262">
        <f>IF(OR(vp.data[[#This Row],[Sulf]]="",vp.data[[#This Row],[Dens]]=""),1,0)</f>
        <v>0</v>
      </c>
      <c r="Y262">
        <f>IF(vp.data[[#This Row],[CrudeType]]="C5+",1,0)</f>
        <v>0</v>
      </c>
      <c r="Z262">
        <f>IF(AND(vp.data[[#This Row],[CrudeType]]="Crude",vp.data[[#This Row],[Dens]]&lt;=825,vp.data[[#This Row],[Sulf]]&gt;0.5,vp.data[[#This Row],[Unknown]]=0),1,0)</f>
        <v>1</v>
      </c>
      <c r="AA262">
        <f>IF(AND(vp.data[[#This Row],[CrudeType]]="Crude",vp.data[[#This Row],[Dens]]&lt;=825,vp.data[[#This Row],[Sulf]]&lt;=0.5,vp.data[[#This Row],[Unknown]]=0),1,0)</f>
        <v>0</v>
      </c>
      <c r="AB2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62">
        <f>IF(AND(vp.data[[#This Row],[CrudeType]]="Crude",vp.data[[#This Row],[Dens]]&gt;825,vp.data[[#This Row],[Dens]]&lt;=900,vp.data[[#This Row],[Sulf]]&lt;=0.5,vp.data[[#This Row],[Unknown]]=0),1,0)</f>
        <v>0</v>
      </c>
      <c r="AD262">
        <f>IF(AND(vp.data[[#This Row],[CrudeType]]="Crude",vp.data[[#This Row],[Dens]]&gt;865,vp.data[[#This Row],[Dens]]&lt;=900,vp.data[[#This Row],[Sulf]]&gt;2,vp.data[[#This Row],[Unknown]]=0),1,0)</f>
        <v>0</v>
      </c>
      <c r="AE262">
        <f>IF(AND(vp.data[[#This Row],[CrudeType]]="Crude",vp.data[[#This Row],[Dens]]&gt;900,vp.data[[#This Row],[Sulf]]&lt;=0.5,vp.data[[#This Row],[Unknown]]=0),1,0)</f>
        <v>0</v>
      </c>
      <c r="AF262">
        <f>IF(AND(vp.data[[#This Row],[CrudeType]]="Crude",vp.data[[#This Row],[Dens]]&gt;900,vp.data[[#This Row],[Sulf]]&lt;=0.5,vp.data[[#This Row],[Unknown]]=0),1,0)</f>
        <v>0</v>
      </c>
      <c r="AG262" t="str">
        <f>INDEX(vp.data[[#Headers],[Unknown]:[Heavy_SW]],MATCH(1,vp.data[[#This Row],[Unknown]:[Heavy_SW]],0))</f>
        <v>Light_LSB</v>
      </c>
      <c r="AH262">
        <f>INDEX([3]!crudeBD.lkup[Number],MATCH(vp.data[[#This Row],[Crude_Breakdown]],crudeBD.lkup[Crude Breakdown],0))</f>
        <v>1</v>
      </c>
      <c r="AI262">
        <f>MONTH(vp.data[[#This Row],[SDate]])</f>
        <v>7</v>
      </c>
      <c r="AJ262" s="5">
        <f>(vp.data[[#This Row],[VP]]-INDEX(crudeBD.lkup[Mean_VP],MATCH(vp.data[[#This Row],[Crude_Breakdown]],crudeBD.lkup[Crude Breakdown],0)))^2</f>
        <v>46.870256817940657</v>
      </c>
      <c r="AK262" s="5">
        <f>(vp.data[[#This Row],[Dens]]-INDEX(crudeBD.lkup[Mean_Dens],MATCH(vp.data[[#This Row],[Crude_Breakdown]],crudeBD.lkup[Crude Breakdown],0)))^2</f>
        <v>0.38040493617186338</v>
      </c>
      <c r="AL262" s="5">
        <f>(vp.data[[#This Row],[Sulf]]-INDEX(crudeBD.lkup[Mean_Sulf],MATCH(vp.data[[#This Row],[Crude_Breakdown]],crudeBD.lkup[Crude Breakdown],0)))^2</f>
        <v>1.3711343707809469E-3</v>
      </c>
      <c r="AM262" s="4">
        <f>IF(AND(vp.data[[#This Row],[SDate]]&gt;=DATE(YEAR(vp.data[[#This Row],[SDate]]),5,1),vp.data[[#This Row],[SDate]]&lt;=DATE(YEAR(vp.data[[#This Row],[SDate]]),9,15)),1,0)</f>
        <v>1</v>
      </c>
      <c r="AN262" s="4">
        <f>IF(vp.data[[#This Row],[SDate]]&lt;DATE(2016,12,1),0,1)</f>
        <v>0</v>
      </c>
      <c r="AO262" s="4">
        <f>IFERROR(vp.data[[#This Row],[Sulf]]*vp.data[[#This Row],[Net Dens]],"")</f>
        <v>80553479.150400013</v>
      </c>
      <c r="AP262">
        <f>IFERROR(vp.data[[#This Row],[Dens]]*vp.data[[#This Row],[VolumeM3]],"")</f>
        <v>83909874.11500001</v>
      </c>
      <c r="AQ262" s="15">
        <f>IFERROR(vp.data[[#This Row],[VP]]*vp.data[[#This Row],[VolumeM3]],"")</f>
        <v>8689529.6950000003</v>
      </c>
    </row>
    <row r="263" spans="1:43" x14ac:dyDescent="0.25">
      <c r="A263">
        <v>262</v>
      </c>
      <c r="B263" t="s">
        <v>68</v>
      </c>
      <c r="C263" t="s">
        <v>68</v>
      </c>
      <c r="D263" t="s">
        <v>69</v>
      </c>
      <c r="F263" s="1">
        <v>42569</v>
      </c>
      <c r="G263" s="2">
        <v>59</v>
      </c>
      <c r="H263" s="2"/>
      <c r="I263" s="2">
        <f t="array" ref="I263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263" s="2"/>
      <c r="K263" s="2"/>
      <c r="L263" s="2">
        <v>827.5</v>
      </c>
      <c r="M263" s="2">
        <f t="array" ref="M263">_xlfn.IFNA(IF(vp.data[[#This Row],[Dens Input]]="",INDEX([1]DATA!$O$3:$O$9826,MATCH(1,(vp.data[[#This Row],[Battery]]=[1]DATA!$L$3:$L$9826)*(EOMONTH(vp.data[[#This Row],[SDate]],-1)+1=[1]DATA!$G$3:$G$9826),0)),vp.data[[#This Row],[Dens Input]]),"")</f>
        <v>827.5</v>
      </c>
      <c r="N263" s="2">
        <f ca="1">INDEX(INDIRECT(_xlfn.CONCAT("weather.tbl[",N$1,"]")),MATCH(vp.data[[#This Row],[SDate]],weather.tbl[Date],0))</f>
        <v>19.633333333333333</v>
      </c>
      <c r="O263" s="2">
        <f ca="1">INDEX(INDIRECT(_xlfn.CONCAT("weather.tbl[",O$1,"]")),MATCH(vp.data[[#This Row],[SDate]],weather.tbl[Date],0))</f>
        <v>17.730952380952377</v>
      </c>
      <c r="P263" s="2">
        <f ca="1">INDEX(INDIRECT(_xlfn.CONCAT("weather.tbl[",P$1,"]")),MATCH(vp.data[[#This Row],[SDate]],weather.tbl[Date],0))</f>
        <v>20.6</v>
      </c>
      <c r="Q263" s="2">
        <f ca="1">INDEX(INDIRECT(_xlfn.CONCAT("weather.tbl[",Q$1,"]")),MATCH(vp.data[[#This Row],[SDate]],weather.tbl[Date],0))</f>
        <v>19.600000000000001</v>
      </c>
      <c r="R263" s="2">
        <f ca="1">INDEX(INDIRECT(_xlfn.CONCAT("weather.tbl[",R$1,"]")),MATCH(vp.data[[#This Row],[SDate]],weather.tbl[Date],0))</f>
        <v>18.3</v>
      </c>
      <c r="S263" s="2">
        <f ca="1">INDEX(INDIRECT(_xlfn.CONCAT("weather.tbl[",S$1,"]")),MATCH(vp.data[[#This Row],[SDate]],weather.tbl[Date],0))</f>
        <v>20.8</v>
      </c>
      <c r="T263" s="2">
        <f ca="1">INDEX(INDIRECT(_xlfn.CONCAT("weather.tbl[",T$1,"]")),MATCH(vp.data[[#This Row],[SDate]],weather.tbl[Date],0))</f>
        <v>19</v>
      </c>
      <c r="U263" s="2">
        <f ca="1">INDEX(INDIRECT(_xlfn.CONCAT("weather.tbl[",U$1,"]")),MATCH(vp.data[[#This Row],[SDate]],weather.tbl[Date],0))</f>
        <v>19.5</v>
      </c>
      <c r="V263" s="2">
        <f t="array" ref="V2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1420.3409999999999</v>
      </c>
      <c r="W263" t="s">
        <v>48</v>
      </c>
      <c r="X263">
        <f>IF(OR(vp.data[[#This Row],[Sulf]]="",vp.data[[#This Row],[Dens]]=""),1,0)</f>
        <v>0</v>
      </c>
      <c r="Y263">
        <f>IF(vp.data[[#This Row],[CrudeType]]="C5+",1,0)</f>
        <v>0</v>
      </c>
      <c r="Z263">
        <f>IF(AND(vp.data[[#This Row],[CrudeType]]="Crude",vp.data[[#This Row],[Dens]]&lt;=825,vp.data[[#This Row],[Sulf]]&gt;0.5,vp.data[[#This Row],[Unknown]]=0),1,0)</f>
        <v>0</v>
      </c>
      <c r="AA263">
        <f>IF(AND(vp.data[[#This Row],[CrudeType]]="Crude",vp.data[[#This Row],[Dens]]&lt;=825,vp.data[[#This Row],[Sulf]]&lt;=0.5,vp.data[[#This Row],[Unknown]]=0),1,0)</f>
        <v>0</v>
      </c>
      <c r="AB2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3">
        <f>IF(AND(vp.data[[#This Row],[CrudeType]]="Crude",vp.data[[#This Row],[Dens]]&gt;825,vp.data[[#This Row],[Dens]]&lt;=900,vp.data[[#This Row],[Sulf]]&lt;=0.5,vp.data[[#This Row],[Unknown]]=0),1,0)</f>
        <v>0</v>
      </c>
      <c r="AD263">
        <f>IF(AND(vp.data[[#This Row],[CrudeType]]="Crude",vp.data[[#This Row],[Dens]]&gt;865,vp.data[[#This Row],[Dens]]&lt;=900,vp.data[[#This Row],[Sulf]]&gt;2,vp.data[[#This Row],[Unknown]]=0),1,0)</f>
        <v>0</v>
      </c>
      <c r="AE263">
        <f>IF(AND(vp.data[[#This Row],[CrudeType]]="Crude",vp.data[[#This Row],[Dens]]&gt;900,vp.data[[#This Row],[Sulf]]&lt;=0.5,vp.data[[#This Row],[Unknown]]=0),1,0)</f>
        <v>0</v>
      </c>
      <c r="AF263">
        <f>IF(AND(vp.data[[#This Row],[CrudeType]]="Crude",vp.data[[#This Row],[Dens]]&gt;900,vp.data[[#This Row],[Sulf]]&lt;=0.5,vp.data[[#This Row],[Unknown]]=0),1,0)</f>
        <v>0</v>
      </c>
      <c r="AG263" t="str">
        <f>INDEX(vp.data[[#Headers],[Unknown]:[Heavy_SW]],MATCH(1,vp.data[[#This Row],[Unknown]:[Heavy_SW]],0))</f>
        <v>Medium_LSB</v>
      </c>
      <c r="AH263">
        <f>INDEX([3]!crudeBD.lkup[Number],MATCH(vp.data[[#This Row],[Crude_Breakdown]],crudeBD.lkup[Crude Breakdown],0))</f>
        <v>3</v>
      </c>
      <c r="AI263">
        <f>MONTH(vp.data[[#This Row],[SDate]])</f>
        <v>7</v>
      </c>
      <c r="AJ263" s="5">
        <f>(vp.data[[#This Row],[VP]]-INDEX(crudeBD.lkup[Mean_VP],MATCH(vp.data[[#This Row],[Crude_Breakdown]],crudeBD.lkup[Crude Breakdown],0)))^2</f>
        <v>468.27560118278399</v>
      </c>
      <c r="AK263" s="5">
        <f>(vp.data[[#This Row],[Dens]]-INDEX(crudeBD.lkup[Mean_Dens],MATCH(vp.data[[#This Row],[Crude_Breakdown]],crudeBD.lkup[Crude Breakdown],0)))^2</f>
        <v>269.61639999998374</v>
      </c>
      <c r="AL263" s="5">
        <f>(vp.data[[#This Row],[Sulf]]-INDEX(crudeBD.lkup[Mean_Sulf],MATCH(vp.data[[#This Row],[Crude_Breakdown]],crudeBD.lkup[Crude Breakdown],0)))^2</f>
        <v>0.12573539662129798</v>
      </c>
      <c r="AM263" s="4">
        <f>IF(AND(vp.data[[#This Row],[SDate]]&gt;=DATE(YEAR(vp.data[[#This Row],[SDate]]),5,1),vp.data[[#This Row],[SDate]]&lt;=DATE(YEAR(vp.data[[#This Row],[SDate]]),9,15)),1,0)</f>
        <v>1</v>
      </c>
      <c r="AN263" s="4">
        <f>IF(vp.data[[#This Row],[SDate]]&lt;DATE(2016,12,1),0,1)</f>
        <v>0</v>
      </c>
      <c r="AO263" s="4">
        <f>IFERROR(vp.data[[#This Row],[Sulf]]*vp.data[[#This Row],[Net Dens]],"")</f>
        <v>2045077.9888500001</v>
      </c>
      <c r="AP263">
        <f>IFERROR(vp.data[[#This Row],[Dens]]*vp.data[[#This Row],[VolumeM3]],"")</f>
        <v>1175332.1775</v>
      </c>
      <c r="AQ263" s="15">
        <f>IFERROR(vp.data[[#This Row],[VP]]*vp.data[[#This Row],[VolumeM3]],"")</f>
        <v>83800.118999999992</v>
      </c>
    </row>
    <row r="264" spans="1:43" x14ac:dyDescent="0.25">
      <c r="A264">
        <v>263</v>
      </c>
      <c r="B264" t="s">
        <v>49</v>
      </c>
      <c r="C264" t="s">
        <v>49</v>
      </c>
      <c r="D264" t="s">
        <v>59</v>
      </c>
      <c r="F264" s="1">
        <v>42569</v>
      </c>
      <c r="G264" s="2">
        <v>70.599999999999994</v>
      </c>
      <c r="H264" s="2"/>
      <c r="I264" s="2">
        <f t="array" ref="I264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264" s="2"/>
      <c r="K264" s="2"/>
      <c r="L264" s="2">
        <v>848.9</v>
      </c>
      <c r="M264" s="2">
        <f t="array" ref="M264">_xlfn.IFNA(IF(vp.data[[#This Row],[Dens Input]]="",INDEX([1]DATA!$O$3:$O$9826,MATCH(1,(vp.data[[#This Row],[Battery]]=[1]DATA!$L$3:$L$9826)*(EOMONTH(vp.data[[#This Row],[SDate]],-1)+1=[1]DATA!$G$3:$G$9826),0)),vp.data[[#This Row],[Dens Input]]),"")</f>
        <v>848.9</v>
      </c>
      <c r="N264" s="2">
        <f ca="1">INDEX(INDIRECT(_xlfn.CONCAT("weather.tbl[",N$1,"]")),MATCH(vp.data[[#This Row],[SDate]],weather.tbl[Date],0))</f>
        <v>19.633333333333333</v>
      </c>
      <c r="O264" s="2">
        <f ca="1">INDEX(INDIRECT(_xlfn.CONCAT("weather.tbl[",O$1,"]")),MATCH(vp.data[[#This Row],[SDate]],weather.tbl[Date],0))</f>
        <v>17.730952380952377</v>
      </c>
      <c r="P264" s="2">
        <f ca="1">INDEX(INDIRECT(_xlfn.CONCAT("weather.tbl[",P$1,"]")),MATCH(vp.data[[#This Row],[SDate]],weather.tbl[Date],0))</f>
        <v>20.6</v>
      </c>
      <c r="Q264" s="2">
        <f ca="1">INDEX(INDIRECT(_xlfn.CONCAT("weather.tbl[",Q$1,"]")),MATCH(vp.data[[#This Row],[SDate]],weather.tbl[Date],0))</f>
        <v>19.600000000000001</v>
      </c>
      <c r="R264" s="2">
        <f ca="1">INDEX(INDIRECT(_xlfn.CONCAT("weather.tbl[",R$1,"]")),MATCH(vp.data[[#This Row],[SDate]],weather.tbl[Date],0))</f>
        <v>18.3</v>
      </c>
      <c r="S264" s="2">
        <f ca="1">INDEX(INDIRECT(_xlfn.CONCAT("weather.tbl[",S$1,"]")),MATCH(vp.data[[#This Row],[SDate]],weather.tbl[Date],0))</f>
        <v>20.8</v>
      </c>
      <c r="T264" s="2">
        <f ca="1">INDEX(INDIRECT(_xlfn.CONCAT("weather.tbl[",T$1,"]")),MATCH(vp.data[[#This Row],[SDate]],weather.tbl[Date],0))</f>
        <v>19</v>
      </c>
      <c r="U264" s="2">
        <f ca="1">INDEX(INDIRECT(_xlfn.CONCAT("weather.tbl[",U$1,"]")),MATCH(vp.data[[#This Row],[SDate]],weather.tbl[Date],0))</f>
        <v>19.5</v>
      </c>
      <c r="V264" s="2">
        <f t="array" ref="V2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1728.9770000000001</v>
      </c>
      <c r="W264" t="s">
        <v>48</v>
      </c>
      <c r="X264">
        <f>IF(OR(vp.data[[#This Row],[Sulf]]="",vp.data[[#This Row],[Dens]]=""),1,0)</f>
        <v>0</v>
      </c>
      <c r="Y264">
        <f>IF(vp.data[[#This Row],[CrudeType]]="C5+",1,0)</f>
        <v>0</v>
      </c>
      <c r="Z264">
        <f>IF(AND(vp.data[[#This Row],[CrudeType]]="Crude",vp.data[[#This Row],[Dens]]&lt;=825,vp.data[[#This Row],[Sulf]]&gt;0.5,vp.data[[#This Row],[Unknown]]=0),1,0)</f>
        <v>0</v>
      </c>
      <c r="AA264">
        <f>IF(AND(vp.data[[#This Row],[CrudeType]]="Crude",vp.data[[#This Row],[Dens]]&lt;=825,vp.data[[#This Row],[Sulf]]&lt;=0.5,vp.data[[#This Row],[Unknown]]=0),1,0)</f>
        <v>0</v>
      </c>
      <c r="AB2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4">
        <f>IF(AND(vp.data[[#This Row],[CrudeType]]="Crude",vp.data[[#This Row],[Dens]]&gt;825,vp.data[[#This Row],[Dens]]&lt;=900,vp.data[[#This Row],[Sulf]]&lt;=0.5,vp.data[[#This Row],[Unknown]]=0),1,0)</f>
        <v>0</v>
      </c>
      <c r="AD264">
        <f>IF(AND(vp.data[[#This Row],[CrudeType]]="Crude",vp.data[[#This Row],[Dens]]&gt;865,vp.data[[#This Row],[Dens]]&lt;=900,vp.data[[#This Row],[Sulf]]&gt;2,vp.data[[#This Row],[Unknown]]=0),1,0)</f>
        <v>0</v>
      </c>
      <c r="AE264">
        <f>IF(AND(vp.data[[#This Row],[CrudeType]]="Crude",vp.data[[#This Row],[Dens]]&gt;900,vp.data[[#This Row],[Sulf]]&lt;=0.5,vp.data[[#This Row],[Unknown]]=0),1,0)</f>
        <v>0</v>
      </c>
      <c r="AF264">
        <f>IF(AND(vp.data[[#This Row],[CrudeType]]="Crude",vp.data[[#This Row],[Dens]]&gt;900,vp.data[[#This Row],[Sulf]]&lt;=0.5,vp.data[[#This Row],[Unknown]]=0),1,0)</f>
        <v>0</v>
      </c>
      <c r="AG264" t="str">
        <f>INDEX(vp.data[[#Headers],[Unknown]:[Heavy_SW]],MATCH(1,vp.data[[#This Row],[Unknown]:[Heavy_SW]],0))</f>
        <v>Medium_LSB</v>
      </c>
      <c r="AH264">
        <f>INDEX([3]!crudeBD.lkup[Number],MATCH(vp.data[[#This Row],[Crude_Breakdown]],crudeBD.lkup[Crude Breakdown],0))</f>
        <v>3</v>
      </c>
      <c r="AI264">
        <f>MONTH(vp.data[[#This Row],[SDate]])</f>
        <v>7</v>
      </c>
      <c r="AJ264" s="5">
        <f>(vp.data[[#This Row],[VP]]-INDEX(crudeBD.lkup[Mean_VP],MATCH(vp.data[[#This Row],[Crude_Breakdown]],crudeBD.lkup[Crude Breakdown],0)))^2</f>
        <v>100.79510522591247</v>
      </c>
      <c r="AK264" s="5">
        <f>(vp.data[[#This Row],[Dens]]-INDEX(crudeBD.lkup[Mean_Dens],MATCH(vp.data[[#This Row],[Crude_Breakdown]],crudeBD.lkup[Crude Breakdown],0)))^2</f>
        <v>24.800400000004711</v>
      </c>
      <c r="AL264" s="5">
        <f>(vp.data[[#This Row],[Sulf]]-INDEX(crudeBD.lkup[Mean_Sulf],MATCH(vp.data[[#This Row],[Crude_Breakdown]],crudeBD.lkup[Crude Breakdown],0)))^2</f>
        <v>8.9476224973095587E-3</v>
      </c>
      <c r="AM264" s="4">
        <f>IF(AND(vp.data[[#This Row],[SDate]]&gt;=DATE(YEAR(vp.data[[#This Row],[SDate]]),5,1),vp.data[[#This Row],[SDate]]&lt;=DATE(YEAR(vp.data[[#This Row],[SDate]]),9,15)),1,0)</f>
        <v>1</v>
      </c>
      <c r="AN264" s="4">
        <f>IF(vp.data[[#This Row],[SDate]]&lt;DATE(2016,12,1),0,1)</f>
        <v>0</v>
      </c>
      <c r="AO264" s="4">
        <f>IFERROR(vp.data[[#This Row],[Sulf]]*vp.data[[#This Row],[Net Dens]],"")</f>
        <v>2172238.2914440003</v>
      </c>
      <c r="AP264">
        <f>IFERROR(vp.data[[#This Row],[Dens]]*vp.data[[#This Row],[VolumeM3]],"")</f>
        <v>1467728.5753000001</v>
      </c>
      <c r="AQ264" s="15">
        <f>IFERROR(vp.data[[#This Row],[VP]]*vp.data[[#This Row],[VolumeM3]],"")</f>
        <v>122065.77619999999</v>
      </c>
    </row>
    <row r="265" spans="1:43" x14ac:dyDescent="0.25">
      <c r="A265">
        <v>264</v>
      </c>
      <c r="B265" t="s">
        <v>49</v>
      </c>
      <c r="C265" t="s">
        <v>49</v>
      </c>
      <c r="D265" t="s">
        <v>59</v>
      </c>
      <c r="F265" s="1">
        <v>42569</v>
      </c>
      <c r="G265" s="2">
        <v>70.400000000000006</v>
      </c>
      <c r="H265" s="2"/>
      <c r="I265" s="2">
        <f t="array" ref="I265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265" s="2"/>
      <c r="K265" s="2"/>
      <c r="L265" s="2">
        <v>848.9</v>
      </c>
      <c r="M265" s="2">
        <f t="array" ref="M265">_xlfn.IFNA(IF(vp.data[[#This Row],[Dens Input]]="",INDEX([1]DATA!$O$3:$O$9826,MATCH(1,(vp.data[[#This Row],[Battery]]=[1]DATA!$L$3:$L$9826)*(EOMONTH(vp.data[[#This Row],[SDate]],-1)+1=[1]DATA!$G$3:$G$9826),0)),vp.data[[#This Row],[Dens Input]]),"")</f>
        <v>848.9</v>
      </c>
      <c r="N265" s="2">
        <f ca="1">INDEX(INDIRECT(_xlfn.CONCAT("weather.tbl[",N$1,"]")),MATCH(vp.data[[#This Row],[SDate]],weather.tbl[Date],0))</f>
        <v>19.633333333333333</v>
      </c>
      <c r="O265" s="2">
        <f ca="1">INDEX(INDIRECT(_xlfn.CONCAT("weather.tbl[",O$1,"]")),MATCH(vp.data[[#This Row],[SDate]],weather.tbl[Date],0))</f>
        <v>17.730952380952377</v>
      </c>
      <c r="P265" s="2">
        <f ca="1">INDEX(INDIRECT(_xlfn.CONCAT("weather.tbl[",P$1,"]")),MATCH(vp.data[[#This Row],[SDate]],weather.tbl[Date],0))</f>
        <v>20.6</v>
      </c>
      <c r="Q265" s="2">
        <f ca="1">INDEX(INDIRECT(_xlfn.CONCAT("weather.tbl[",Q$1,"]")),MATCH(vp.data[[#This Row],[SDate]],weather.tbl[Date],0))</f>
        <v>19.600000000000001</v>
      </c>
      <c r="R265" s="2">
        <f ca="1">INDEX(INDIRECT(_xlfn.CONCAT("weather.tbl[",R$1,"]")),MATCH(vp.data[[#This Row],[SDate]],weather.tbl[Date],0))</f>
        <v>18.3</v>
      </c>
      <c r="S265" s="2">
        <f ca="1">INDEX(INDIRECT(_xlfn.CONCAT("weather.tbl[",S$1,"]")),MATCH(vp.data[[#This Row],[SDate]],weather.tbl[Date],0))</f>
        <v>20.8</v>
      </c>
      <c r="T265" s="2">
        <f ca="1">INDEX(INDIRECT(_xlfn.CONCAT("weather.tbl[",T$1,"]")),MATCH(vp.data[[#This Row],[SDate]],weather.tbl[Date],0))</f>
        <v>19</v>
      </c>
      <c r="U265" s="2">
        <f ca="1">INDEX(INDIRECT(_xlfn.CONCAT("weather.tbl[",U$1,"]")),MATCH(vp.data[[#This Row],[SDate]],weather.tbl[Date],0))</f>
        <v>19.5</v>
      </c>
      <c r="V265" s="2">
        <f t="array" ref="V2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1728.9770000000001</v>
      </c>
      <c r="W265" t="s">
        <v>48</v>
      </c>
      <c r="X265">
        <f>IF(OR(vp.data[[#This Row],[Sulf]]="",vp.data[[#This Row],[Dens]]=""),1,0)</f>
        <v>0</v>
      </c>
      <c r="Y265">
        <f>IF(vp.data[[#This Row],[CrudeType]]="C5+",1,0)</f>
        <v>0</v>
      </c>
      <c r="Z265">
        <f>IF(AND(vp.data[[#This Row],[CrudeType]]="Crude",vp.data[[#This Row],[Dens]]&lt;=825,vp.data[[#This Row],[Sulf]]&gt;0.5,vp.data[[#This Row],[Unknown]]=0),1,0)</f>
        <v>0</v>
      </c>
      <c r="AA265">
        <f>IF(AND(vp.data[[#This Row],[CrudeType]]="Crude",vp.data[[#This Row],[Dens]]&lt;=825,vp.data[[#This Row],[Sulf]]&lt;=0.5,vp.data[[#This Row],[Unknown]]=0),1,0)</f>
        <v>0</v>
      </c>
      <c r="AB2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5">
        <f>IF(AND(vp.data[[#This Row],[CrudeType]]="Crude",vp.data[[#This Row],[Dens]]&gt;825,vp.data[[#This Row],[Dens]]&lt;=900,vp.data[[#This Row],[Sulf]]&lt;=0.5,vp.data[[#This Row],[Unknown]]=0),1,0)</f>
        <v>0</v>
      </c>
      <c r="AD265">
        <f>IF(AND(vp.data[[#This Row],[CrudeType]]="Crude",vp.data[[#This Row],[Dens]]&gt;865,vp.data[[#This Row],[Dens]]&lt;=900,vp.data[[#This Row],[Sulf]]&gt;2,vp.data[[#This Row],[Unknown]]=0),1,0)</f>
        <v>0</v>
      </c>
      <c r="AE265">
        <f>IF(AND(vp.data[[#This Row],[CrudeType]]="Crude",vp.data[[#This Row],[Dens]]&gt;900,vp.data[[#This Row],[Sulf]]&lt;=0.5,vp.data[[#This Row],[Unknown]]=0),1,0)</f>
        <v>0</v>
      </c>
      <c r="AF265">
        <f>IF(AND(vp.data[[#This Row],[CrudeType]]="Crude",vp.data[[#This Row],[Dens]]&gt;900,vp.data[[#This Row],[Sulf]]&lt;=0.5,vp.data[[#This Row],[Unknown]]=0),1,0)</f>
        <v>0</v>
      </c>
      <c r="AG265" t="str">
        <f>INDEX(vp.data[[#Headers],[Unknown]:[Heavy_SW]],MATCH(1,vp.data[[#This Row],[Unknown]:[Heavy_SW]],0))</f>
        <v>Medium_LSB</v>
      </c>
      <c r="AH265">
        <f>INDEX([3]!crudeBD.lkup[Number],MATCH(vp.data[[#This Row],[Crude_Breakdown]],crudeBD.lkup[Crude Breakdown],0))</f>
        <v>3</v>
      </c>
      <c r="AI265">
        <f>MONTH(vp.data[[#This Row],[SDate]])</f>
        <v>7</v>
      </c>
      <c r="AJ265" s="5">
        <f>(vp.data[[#This Row],[VP]]-INDEX(crudeBD.lkup[Mean_VP],MATCH(vp.data[[#This Row],[Crude_Breakdown]],crudeBD.lkup[Crude Breakdown],0)))^2</f>
        <v>104.8509758458583</v>
      </c>
      <c r="AK265" s="5">
        <f>(vp.data[[#This Row],[Dens]]-INDEX(crudeBD.lkup[Mean_Dens],MATCH(vp.data[[#This Row],[Crude_Breakdown]],crudeBD.lkup[Crude Breakdown],0)))^2</f>
        <v>24.800400000004711</v>
      </c>
      <c r="AL265" s="5">
        <f>(vp.data[[#This Row],[Sulf]]-INDEX(crudeBD.lkup[Mean_Sulf],MATCH(vp.data[[#This Row],[Crude_Breakdown]],crudeBD.lkup[Crude Breakdown],0)))^2</f>
        <v>8.9476224973095587E-3</v>
      </c>
      <c r="AM265" s="4">
        <f>IF(AND(vp.data[[#This Row],[SDate]]&gt;=DATE(YEAR(vp.data[[#This Row],[SDate]]),5,1),vp.data[[#This Row],[SDate]]&lt;=DATE(YEAR(vp.data[[#This Row],[SDate]]),9,15)),1,0)</f>
        <v>1</v>
      </c>
      <c r="AN265" s="4">
        <f>IF(vp.data[[#This Row],[SDate]]&lt;DATE(2016,12,1),0,1)</f>
        <v>0</v>
      </c>
      <c r="AO265" s="4">
        <f>IFERROR(vp.data[[#This Row],[Sulf]]*vp.data[[#This Row],[Net Dens]],"")</f>
        <v>2172238.2914440003</v>
      </c>
      <c r="AP265">
        <f>IFERROR(vp.data[[#This Row],[Dens]]*vp.data[[#This Row],[VolumeM3]],"")</f>
        <v>1467728.5753000001</v>
      </c>
      <c r="AQ265" s="15">
        <f>IFERROR(vp.data[[#This Row],[VP]]*vp.data[[#This Row],[VolumeM3]],"")</f>
        <v>121719.98080000002</v>
      </c>
    </row>
    <row r="266" spans="1:43" x14ac:dyDescent="0.25">
      <c r="A266">
        <v>265</v>
      </c>
      <c r="B266" t="s">
        <v>60</v>
      </c>
      <c r="C266" t="s">
        <v>60</v>
      </c>
      <c r="D266" t="s">
        <v>61</v>
      </c>
      <c r="E266" t="s">
        <v>55</v>
      </c>
      <c r="F266" s="1">
        <v>42569</v>
      </c>
      <c r="G266" s="2">
        <v>86.4</v>
      </c>
      <c r="H266" s="2"/>
      <c r="I266" s="2">
        <f t="array" ref="I266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266" s="2"/>
      <c r="K266" s="2"/>
      <c r="L266" s="2">
        <v>831.6</v>
      </c>
      <c r="M266" s="2">
        <f t="array" ref="M266">_xlfn.IFNA(IF(vp.data[[#This Row],[Dens Input]]="",INDEX([1]DATA!$O$3:$O$9826,MATCH(1,(vp.data[[#This Row],[Battery]]=[1]DATA!$L$3:$L$9826)*(EOMONTH(vp.data[[#This Row],[SDate]],-1)+1=[1]DATA!$G$3:$G$9826),0)),vp.data[[#This Row],[Dens Input]]),"")</f>
        <v>831.6</v>
      </c>
      <c r="N266" s="2">
        <f ca="1">INDEX(INDIRECT(_xlfn.CONCAT("weather.tbl[",N$1,"]")),MATCH(vp.data[[#This Row],[SDate]],weather.tbl[Date],0))</f>
        <v>19.633333333333333</v>
      </c>
      <c r="O266" s="2">
        <f ca="1">INDEX(INDIRECT(_xlfn.CONCAT("weather.tbl[",O$1,"]")),MATCH(vp.data[[#This Row],[SDate]],weather.tbl[Date],0))</f>
        <v>17.730952380952377</v>
      </c>
      <c r="P266" s="2">
        <f ca="1">INDEX(INDIRECT(_xlfn.CONCAT("weather.tbl[",P$1,"]")),MATCH(vp.data[[#This Row],[SDate]],weather.tbl[Date],0))</f>
        <v>20.6</v>
      </c>
      <c r="Q266" s="2">
        <f ca="1">INDEX(INDIRECT(_xlfn.CONCAT("weather.tbl[",Q$1,"]")),MATCH(vp.data[[#This Row],[SDate]],weather.tbl[Date],0))</f>
        <v>19.600000000000001</v>
      </c>
      <c r="R266" s="2">
        <f ca="1">INDEX(INDIRECT(_xlfn.CONCAT("weather.tbl[",R$1,"]")),MATCH(vp.data[[#This Row],[SDate]],weather.tbl[Date],0))</f>
        <v>18.3</v>
      </c>
      <c r="S266" s="2">
        <f ca="1">INDEX(INDIRECT(_xlfn.CONCAT("weather.tbl[",S$1,"]")),MATCH(vp.data[[#This Row],[SDate]],weather.tbl[Date],0))</f>
        <v>20.8</v>
      </c>
      <c r="T266" s="2">
        <f ca="1">INDEX(INDIRECT(_xlfn.CONCAT("weather.tbl[",T$1,"]")),MATCH(vp.data[[#This Row],[SDate]],weather.tbl[Date],0))</f>
        <v>19</v>
      </c>
      <c r="U266" s="2">
        <f ca="1">INDEX(INDIRECT(_xlfn.CONCAT("weather.tbl[",U$1,"]")),MATCH(vp.data[[#This Row],[SDate]],weather.tbl[Date],0))</f>
        <v>19.5</v>
      </c>
      <c r="V266" s="2">
        <f t="array" ref="V2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102591.85</v>
      </c>
      <c r="W266" t="s">
        <v>48</v>
      </c>
      <c r="X266">
        <f>IF(OR(vp.data[[#This Row],[Sulf]]="",vp.data[[#This Row],[Dens]]=""),1,0)</f>
        <v>0</v>
      </c>
      <c r="Y266">
        <f>IF(vp.data[[#This Row],[CrudeType]]="C5+",1,0)</f>
        <v>0</v>
      </c>
      <c r="Z266">
        <f>IF(AND(vp.data[[#This Row],[CrudeType]]="Crude",vp.data[[#This Row],[Dens]]&lt;=825,vp.data[[#This Row],[Sulf]]&gt;0.5,vp.data[[#This Row],[Unknown]]=0),1,0)</f>
        <v>0</v>
      </c>
      <c r="AA266">
        <f>IF(AND(vp.data[[#This Row],[CrudeType]]="Crude",vp.data[[#This Row],[Dens]]&lt;=825,vp.data[[#This Row],[Sulf]]&lt;=0.5,vp.data[[#This Row],[Unknown]]=0),1,0)</f>
        <v>0</v>
      </c>
      <c r="AB2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6">
        <f>IF(AND(vp.data[[#This Row],[CrudeType]]="Crude",vp.data[[#This Row],[Dens]]&gt;825,vp.data[[#This Row],[Dens]]&lt;=900,vp.data[[#This Row],[Sulf]]&lt;=0.5,vp.data[[#This Row],[Unknown]]=0),1,0)</f>
        <v>0</v>
      </c>
      <c r="AD266">
        <f>IF(AND(vp.data[[#This Row],[CrudeType]]="Crude",vp.data[[#This Row],[Dens]]&gt;865,vp.data[[#This Row],[Dens]]&lt;=900,vp.data[[#This Row],[Sulf]]&gt;2,vp.data[[#This Row],[Unknown]]=0),1,0)</f>
        <v>0</v>
      </c>
      <c r="AE266">
        <f>IF(AND(vp.data[[#This Row],[CrudeType]]="Crude",vp.data[[#This Row],[Dens]]&gt;900,vp.data[[#This Row],[Sulf]]&lt;=0.5,vp.data[[#This Row],[Unknown]]=0),1,0)</f>
        <v>0</v>
      </c>
      <c r="AF266">
        <f>IF(AND(vp.data[[#This Row],[CrudeType]]="Crude",vp.data[[#This Row],[Dens]]&gt;900,vp.data[[#This Row],[Sulf]]&lt;=0.5,vp.data[[#This Row],[Unknown]]=0),1,0)</f>
        <v>0</v>
      </c>
      <c r="AG266" t="str">
        <f>INDEX(vp.data[[#Headers],[Unknown]:[Heavy_SW]],MATCH(1,vp.data[[#This Row],[Unknown]:[Heavy_SW]],0))</f>
        <v>Medium_LSB</v>
      </c>
      <c r="AH266">
        <f>INDEX([3]!crudeBD.lkup[Number],MATCH(vp.data[[#This Row],[Crude_Breakdown]],crudeBD.lkup[Crude Breakdown],0))</f>
        <v>3</v>
      </c>
      <c r="AI266">
        <f>MONTH(vp.data[[#This Row],[SDate]])</f>
        <v>7</v>
      </c>
      <c r="AJ266" s="5">
        <f>(vp.data[[#This Row],[VP]]-INDEX(crudeBD.lkup[Mean_VP],MATCH(vp.data[[#This Row],[Crude_Breakdown]],crudeBD.lkup[Crude Breakdown],0)))^2</f>
        <v>33.181326250173441</v>
      </c>
      <c r="AK266" s="5">
        <f>(vp.data[[#This Row],[Dens]]-INDEX(crudeBD.lkup[Mean_Dens],MATCH(vp.data[[#This Row],[Crude_Breakdown]],crudeBD.lkup[Crude Breakdown],0)))^2</f>
        <v>151.78239999998723</v>
      </c>
      <c r="AL266" s="5">
        <f>(vp.data[[#This Row],[Sulf]]-INDEX(crudeBD.lkup[Mean_Sulf],MATCH(vp.data[[#This Row],[Crude_Breakdown]],crudeBD.lkup[Crude Breakdown],0)))^2</f>
        <v>0.18097207424933273</v>
      </c>
      <c r="AM266" s="4">
        <f>IF(AND(vp.data[[#This Row],[SDate]]&gt;=DATE(YEAR(vp.data[[#This Row],[SDate]]),5,1),vp.data[[#This Row],[SDate]]&lt;=DATE(YEAR(vp.data[[#This Row],[SDate]]),9,15)),1,0)</f>
        <v>1</v>
      </c>
      <c r="AN266" s="4">
        <f>IF(vp.data[[#This Row],[SDate]]&lt;DATE(2016,12,1),0,1)</f>
        <v>0</v>
      </c>
      <c r="AO266" s="4">
        <f>IFERROR(vp.data[[#This Row],[Sulf]]*vp.data[[#This Row],[Net Dens]],"")</f>
        <v>81902767.161600009</v>
      </c>
      <c r="AP266">
        <f>IFERROR(vp.data[[#This Row],[Dens]]*vp.data[[#This Row],[VolumeM3]],"")</f>
        <v>85315382.460000008</v>
      </c>
      <c r="AQ266" s="15">
        <f>IFERROR(vp.data[[#This Row],[VP]]*vp.data[[#This Row],[VolumeM3]],"")</f>
        <v>8863935.8400000017</v>
      </c>
    </row>
    <row r="267" spans="1:43" x14ac:dyDescent="0.25">
      <c r="A267">
        <v>266</v>
      </c>
      <c r="B267" t="s">
        <v>62</v>
      </c>
      <c r="C267" t="s">
        <v>62</v>
      </c>
      <c r="D267" t="s">
        <v>83</v>
      </c>
      <c r="F267" s="1">
        <v>42571</v>
      </c>
      <c r="G267" s="2">
        <v>78.5</v>
      </c>
      <c r="H267" s="2"/>
      <c r="I267" s="2">
        <f t="array" ref="I267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267" s="2"/>
      <c r="K267" s="2"/>
      <c r="L267" s="2">
        <v>811.1</v>
      </c>
      <c r="M267" s="2">
        <f t="array" ref="M267">_xlfn.IFNA(IF(vp.data[[#This Row],[Dens Input]]="",INDEX([1]DATA!$O$3:$O$9826,MATCH(1,(vp.data[[#This Row],[Battery]]=[1]DATA!$L$3:$L$9826)*(EOMONTH(vp.data[[#This Row],[SDate]],-1)+1=[1]DATA!$G$3:$G$9826),0)),vp.data[[#This Row],[Dens Input]]),"")</f>
        <v>811.1</v>
      </c>
      <c r="N267" s="2">
        <f ca="1">INDEX(INDIRECT(_xlfn.CONCAT("weather.tbl[",N$1,"]")),MATCH(vp.data[[#This Row],[SDate]],weather.tbl[Date],0))</f>
        <v>24.166666666666668</v>
      </c>
      <c r="O267" s="2">
        <f ca="1">INDEX(INDIRECT(_xlfn.CONCAT("weather.tbl[",O$1,"]")),MATCH(vp.data[[#This Row],[SDate]],weather.tbl[Date],0))</f>
        <v>19.62380952380952</v>
      </c>
      <c r="P267" s="2">
        <f ca="1">INDEX(INDIRECT(_xlfn.CONCAT("weather.tbl[",P$1,"]")),MATCH(vp.data[[#This Row],[SDate]],weather.tbl[Date],0))</f>
        <v>24.3</v>
      </c>
      <c r="Q267" s="2">
        <f ca="1">INDEX(INDIRECT(_xlfn.CONCAT("weather.tbl[",Q$1,"]")),MATCH(vp.data[[#This Row],[SDate]],weather.tbl[Date],0))</f>
        <v>23</v>
      </c>
      <c r="R267" s="2">
        <f ca="1">INDEX(INDIRECT(_xlfn.CONCAT("weather.tbl[",R$1,"]")),MATCH(vp.data[[#This Row],[SDate]],weather.tbl[Date],0))</f>
        <v>26</v>
      </c>
      <c r="S267" s="2">
        <f ca="1">INDEX(INDIRECT(_xlfn.CONCAT("weather.tbl[",S$1,"]")),MATCH(vp.data[[#This Row],[SDate]],weather.tbl[Date],0))</f>
        <v>23.3</v>
      </c>
      <c r="T267" s="2">
        <f ca="1">INDEX(INDIRECT(_xlfn.CONCAT("weather.tbl[",T$1,"]")),MATCH(vp.data[[#This Row],[SDate]],weather.tbl[Date],0))</f>
        <v>25.1</v>
      </c>
      <c r="U267" s="2">
        <f ca="1">INDEX(INDIRECT(_xlfn.CONCAT("weather.tbl[",U$1,"]")),MATCH(vp.data[[#This Row],[SDate]],weather.tbl[Date],0))</f>
        <v>23.3</v>
      </c>
      <c r="V267" s="2">
        <f t="array" ref="V2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9659.9439999999995</v>
      </c>
      <c r="W267" t="s">
        <v>48</v>
      </c>
      <c r="X267">
        <f>IF(OR(vp.data[[#This Row],[Sulf]]="",vp.data[[#This Row],[Dens]]=""),1,0)</f>
        <v>0</v>
      </c>
      <c r="Y267">
        <f>IF(vp.data[[#This Row],[CrudeType]]="C5+",1,0)</f>
        <v>0</v>
      </c>
      <c r="Z267">
        <f>IF(AND(vp.data[[#This Row],[CrudeType]]="Crude",vp.data[[#This Row],[Dens]]&lt;=825,vp.data[[#This Row],[Sulf]]&gt;0.5,vp.data[[#This Row],[Unknown]]=0),1,0)</f>
        <v>0</v>
      </c>
      <c r="AA267">
        <f>IF(AND(vp.data[[#This Row],[CrudeType]]="Crude",vp.data[[#This Row],[Dens]]&lt;=825,vp.data[[#This Row],[Sulf]]&lt;=0.5,vp.data[[#This Row],[Unknown]]=0),1,0)</f>
        <v>1</v>
      </c>
      <c r="AB2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67">
        <f>IF(AND(vp.data[[#This Row],[CrudeType]]="Crude",vp.data[[#This Row],[Dens]]&gt;825,vp.data[[#This Row],[Dens]]&lt;=900,vp.data[[#This Row],[Sulf]]&lt;=0.5,vp.data[[#This Row],[Unknown]]=0),1,0)</f>
        <v>0</v>
      </c>
      <c r="AD267">
        <f>IF(AND(vp.data[[#This Row],[CrudeType]]="Crude",vp.data[[#This Row],[Dens]]&gt;865,vp.data[[#This Row],[Dens]]&lt;=900,vp.data[[#This Row],[Sulf]]&gt;2,vp.data[[#This Row],[Unknown]]=0),1,0)</f>
        <v>0</v>
      </c>
      <c r="AE267">
        <f>IF(AND(vp.data[[#This Row],[CrudeType]]="Crude",vp.data[[#This Row],[Dens]]&gt;900,vp.data[[#This Row],[Sulf]]&lt;=0.5,vp.data[[#This Row],[Unknown]]=0),1,0)</f>
        <v>0</v>
      </c>
      <c r="AF267">
        <f>IF(AND(vp.data[[#This Row],[CrudeType]]="Crude",vp.data[[#This Row],[Dens]]&gt;900,vp.data[[#This Row],[Sulf]]&lt;=0.5,vp.data[[#This Row],[Unknown]]=0),1,0)</f>
        <v>0</v>
      </c>
      <c r="AG267" t="str">
        <f>INDEX(vp.data[[#Headers],[Unknown]:[Heavy_SW]],MATCH(1,vp.data[[#This Row],[Unknown]:[Heavy_SW]],0))</f>
        <v>Light_SW</v>
      </c>
      <c r="AH267">
        <f>INDEX([3]!crudeBD.lkup[Number],MATCH(vp.data[[#This Row],[Crude_Breakdown]],crudeBD.lkup[Crude Breakdown],0))</f>
        <v>2</v>
      </c>
      <c r="AI267">
        <f>MONTH(vp.data[[#This Row],[SDate]])</f>
        <v>7</v>
      </c>
      <c r="AJ267" s="5">
        <f>(vp.data[[#This Row],[VP]]-INDEX(crudeBD.lkup[Mean_VP],MATCH(vp.data[[#This Row],[Crude_Breakdown]],crudeBD.lkup[Crude Breakdown],0)))^2</f>
        <v>197.41131194502702</v>
      </c>
      <c r="AK267" s="5">
        <f>(vp.data[[#This Row],[Dens]]-INDEX(crudeBD.lkup[Mean_Dens],MATCH(vp.data[[#This Row],[Crude_Breakdown]],crudeBD.lkup[Crude Breakdown],0)))^2</f>
        <v>7.7757419660322542</v>
      </c>
      <c r="AL267" s="5">
        <f>(vp.data[[#This Row],[Sulf]]-INDEX(crudeBD.lkup[Mean_Sulf],MATCH(vp.data[[#This Row],[Crude_Breakdown]],crudeBD.lkup[Crude Breakdown],0)))^2</f>
        <v>2.1383051628646554E-3</v>
      </c>
      <c r="AM267" s="4">
        <f>IF(AND(vp.data[[#This Row],[SDate]]&gt;=DATE(YEAR(vp.data[[#This Row],[SDate]]),5,1),vp.data[[#This Row],[SDate]]&lt;=DATE(YEAR(vp.data[[#This Row],[SDate]]),9,15)),1,0)</f>
        <v>1</v>
      </c>
      <c r="AN267" s="4">
        <f>IF(vp.data[[#This Row],[SDate]]&lt;DATE(2016,12,1),0,1)</f>
        <v>0</v>
      </c>
      <c r="AO267" s="4">
        <f>IFERROR(vp.data[[#This Row],[Sulf]]*vp.data[[#This Row],[Net Dens]],"")</f>
        <v>1488684.309896</v>
      </c>
      <c r="AP267">
        <f>IFERROR(vp.data[[#This Row],[Dens]]*vp.data[[#This Row],[VolumeM3]],"")</f>
        <v>7835180.5784</v>
      </c>
      <c r="AQ267" s="15">
        <f>IFERROR(vp.data[[#This Row],[VP]]*vp.data[[#This Row],[VolumeM3]],"")</f>
        <v>758305.60399999993</v>
      </c>
    </row>
    <row r="268" spans="1:43" x14ac:dyDescent="0.25">
      <c r="A268">
        <v>267</v>
      </c>
      <c r="B268" t="s">
        <v>49</v>
      </c>
      <c r="C268" t="s">
        <v>49</v>
      </c>
      <c r="D268" t="s">
        <v>91</v>
      </c>
      <c r="F268" s="1">
        <v>42572</v>
      </c>
      <c r="G268" s="2">
        <v>60.4</v>
      </c>
      <c r="H268" s="2"/>
      <c r="I268" s="2">
        <f t="array" ref="I268">_xlfn.IFNA(IF(vp.data[[#This Row],[Sulf Input]]="",INDEX([1]DATA!$Q$3:$Q$9826,MATCH(1,(vp.data[[#This Row],[Battery]]=[1]DATA!$L$3:$L$9826)*(EOMONTH(vp.data[[#This Row],[SDate]],-1)+1=[1]DATA!$G$3:$G$9826),0)),vp.data[[#This Row],[Sulf Input]]),"")</f>
        <v>1.81</v>
      </c>
      <c r="J268" s="2"/>
      <c r="K268" s="2"/>
      <c r="L268" s="2">
        <v>850.3</v>
      </c>
      <c r="M268" s="2">
        <f t="array" ref="M268">_xlfn.IFNA(IF(vp.data[[#This Row],[Dens Input]]="",INDEX([1]DATA!$O$3:$O$9826,MATCH(1,(vp.data[[#This Row],[Battery]]=[1]DATA!$L$3:$L$9826)*(EOMONTH(vp.data[[#This Row],[SDate]],-1)+1=[1]DATA!$G$3:$G$9826),0)),vp.data[[#This Row],[Dens Input]]),"")</f>
        <v>850.3</v>
      </c>
      <c r="N268" s="2">
        <f ca="1">INDEX(INDIRECT(_xlfn.CONCAT("weather.tbl[",N$1,"]")),MATCH(vp.data[[#This Row],[SDate]],weather.tbl[Date],0))</f>
        <v>21.766666666666666</v>
      </c>
      <c r="O268" s="2">
        <f ca="1">INDEX(INDIRECT(_xlfn.CONCAT("weather.tbl[",O$1,"]")),MATCH(vp.data[[#This Row],[SDate]],weather.tbl[Date],0))</f>
        <v>20.357142857142858</v>
      </c>
      <c r="P268" s="2">
        <f ca="1">INDEX(INDIRECT(_xlfn.CONCAT("weather.tbl[",P$1,"]")),MATCH(vp.data[[#This Row],[SDate]],weather.tbl[Date],0))</f>
        <v>22.3</v>
      </c>
      <c r="Q268" s="2">
        <f ca="1">INDEX(INDIRECT(_xlfn.CONCAT("weather.tbl[",Q$1,"]")),MATCH(vp.data[[#This Row],[SDate]],weather.tbl[Date],0))</f>
        <v>20.8</v>
      </c>
      <c r="R268" s="2">
        <f ca="1">INDEX(INDIRECT(_xlfn.CONCAT("weather.tbl[",R$1,"]")),MATCH(vp.data[[#This Row],[SDate]],weather.tbl[Date],0))</f>
        <v>22</v>
      </c>
      <c r="S268" s="2">
        <f ca="1">INDEX(INDIRECT(_xlfn.CONCAT("weather.tbl[",S$1,"]")),MATCH(vp.data[[#This Row],[SDate]],weather.tbl[Date],0))</f>
        <v>21.5</v>
      </c>
      <c r="T268" s="2">
        <f ca="1">INDEX(INDIRECT(_xlfn.CONCAT("weather.tbl[",T$1,"]")),MATCH(vp.data[[#This Row],[SDate]],weather.tbl[Date],0))</f>
        <v>23.2</v>
      </c>
      <c r="U268" s="2">
        <f ca="1">INDEX(INDIRECT(_xlfn.CONCAT("weather.tbl[",U$1,"]")),MATCH(vp.data[[#This Row],[SDate]],weather.tbl[Date],0))</f>
        <v>20.8</v>
      </c>
      <c r="V268" s="2">
        <f t="array" ref="V2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1396.835</v>
      </c>
      <c r="W268" t="s">
        <v>48</v>
      </c>
      <c r="X268">
        <f>IF(OR(vp.data[[#This Row],[Sulf]]="",vp.data[[#This Row],[Dens]]=""),1,0)</f>
        <v>0</v>
      </c>
      <c r="Y268">
        <f>IF(vp.data[[#This Row],[CrudeType]]="C5+",1,0)</f>
        <v>0</v>
      </c>
      <c r="Z268">
        <f>IF(AND(vp.data[[#This Row],[CrudeType]]="Crude",vp.data[[#This Row],[Dens]]&lt;=825,vp.data[[#This Row],[Sulf]]&gt;0.5,vp.data[[#This Row],[Unknown]]=0),1,0)</f>
        <v>0</v>
      </c>
      <c r="AA268">
        <f>IF(AND(vp.data[[#This Row],[CrudeType]]="Crude",vp.data[[#This Row],[Dens]]&lt;=825,vp.data[[#This Row],[Sulf]]&lt;=0.5,vp.data[[#This Row],[Unknown]]=0),1,0)</f>
        <v>0</v>
      </c>
      <c r="AB2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68">
        <f>IF(AND(vp.data[[#This Row],[CrudeType]]="Crude",vp.data[[#This Row],[Dens]]&gt;825,vp.data[[#This Row],[Dens]]&lt;=900,vp.data[[#This Row],[Sulf]]&lt;=0.5,vp.data[[#This Row],[Unknown]]=0),1,0)</f>
        <v>0</v>
      </c>
      <c r="AD268">
        <f>IF(AND(vp.data[[#This Row],[CrudeType]]="Crude",vp.data[[#This Row],[Dens]]&gt;865,vp.data[[#This Row],[Dens]]&lt;=900,vp.data[[#This Row],[Sulf]]&gt;2,vp.data[[#This Row],[Unknown]]=0),1,0)</f>
        <v>0</v>
      </c>
      <c r="AE268">
        <f>IF(AND(vp.data[[#This Row],[CrudeType]]="Crude",vp.data[[#This Row],[Dens]]&gt;900,vp.data[[#This Row],[Sulf]]&lt;=0.5,vp.data[[#This Row],[Unknown]]=0),1,0)</f>
        <v>0</v>
      </c>
      <c r="AF268">
        <f>IF(AND(vp.data[[#This Row],[CrudeType]]="Crude",vp.data[[#This Row],[Dens]]&gt;900,vp.data[[#This Row],[Sulf]]&lt;=0.5,vp.data[[#This Row],[Unknown]]=0),1,0)</f>
        <v>0</v>
      </c>
      <c r="AG268" t="str">
        <f>INDEX(vp.data[[#Headers],[Unknown]:[Heavy_SW]],MATCH(1,vp.data[[#This Row],[Unknown]:[Heavy_SW]],0))</f>
        <v>Medium_LSB</v>
      </c>
      <c r="AH268">
        <f>INDEX([3]!crudeBD.lkup[Number],MATCH(vp.data[[#This Row],[Crude_Breakdown]],crudeBD.lkup[Crude Breakdown],0))</f>
        <v>3</v>
      </c>
      <c r="AI268">
        <f>MONTH(vp.data[[#This Row],[SDate]])</f>
        <v>7</v>
      </c>
      <c r="AJ268" s="5">
        <f>(vp.data[[#This Row],[VP]]-INDEX(crudeBD.lkup[Mean_VP],MATCH(vp.data[[#This Row],[Crude_Breakdown]],crudeBD.lkup[Crude Breakdown],0)))^2</f>
        <v>409.64450684316165</v>
      </c>
      <c r="AK268" s="5">
        <f>(vp.data[[#This Row],[Dens]]-INDEX(crudeBD.lkup[Mean_Dens],MATCH(vp.data[[#This Row],[Crude_Breakdown]],crudeBD.lkup[Crude Breakdown],0)))^2</f>
        <v>40.704400000005748</v>
      </c>
      <c r="AL268" s="5">
        <f>(vp.data[[#This Row],[Sulf]]-INDEX(crudeBD.lkup[Mean_Sulf],MATCH(vp.data[[#This Row],[Crude_Breakdown]],crudeBD.lkup[Crude Breakdown],0)))^2</f>
        <v>0.18027825888544877</v>
      </c>
      <c r="AM268" s="4">
        <f>IF(AND(vp.data[[#This Row],[SDate]]&gt;=DATE(YEAR(vp.data[[#This Row],[SDate]]),5,1),vp.data[[#This Row],[SDate]]&lt;=DATE(YEAR(vp.data[[#This Row],[SDate]]),9,15)),1,0)</f>
        <v>1</v>
      </c>
      <c r="AN268" s="4">
        <f>IF(vp.data[[#This Row],[SDate]]&lt;DATE(2016,12,1),0,1)</f>
        <v>0</v>
      </c>
      <c r="AO268" s="4">
        <f>IFERROR(vp.data[[#This Row],[Sulf]]*vp.data[[#This Row],[Net Dens]],"")</f>
        <v>2149789.1289049997</v>
      </c>
      <c r="AP268">
        <f>IFERROR(vp.data[[#This Row],[Dens]]*vp.data[[#This Row],[VolumeM3]],"")</f>
        <v>1187728.8004999999</v>
      </c>
      <c r="AQ268" s="15">
        <f>IFERROR(vp.data[[#This Row],[VP]]*vp.data[[#This Row],[VolumeM3]],"")</f>
        <v>84368.834000000003</v>
      </c>
    </row>
    <row r="269" spans="1:43" x14ac:dyDescent="0.25">
      <c r="A269">
        <v>268</v>
      </c>
      <c r="B269" t="s">
        <v>46</v>
      </c>
      <c r="C269" t="s">
        <v>46</v>
      </c>
      <c r="D269" t="s">
        <v>47</v>
      </c>
      <c r="F269" s="1">
        <v>42572</v>
      </c>
      <c r="G269" s="2">
        <v>67.400000000000006</v>
      </c>
      <c r="H269" s="2"/>
      <c r="I269" s="2">
        <f t="array" ref="I269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69" s="2"/>
      <c r="K269" s="2"/>
      <c r="L269" s="2">
        <v>874.1</v>
      </c>
      <c r="M269" s="2">
        <f t="array" ref="M269">_xlfn.IFNA(IF(vp.data[[#This Row],[Dens Input]]="",INDEX([1]DATA!$O$3:$O$9826,MATCH(1,(vp.data[[#This Row],[Battery]]=[1]DATA!$L$3:$L$9826)*(EOMONTH(vp.data[[#This Row],[SDate]],-1)+1=[1]DATA!$G$3:$G$9826),0)),vp.data[[#This Row],[Dens Input]]),"")</f>
        <v>874.1</v>
      </c>
      <c r="N269" s="2">
        <f ca="1">INDEX(INDIRECT(_xlfn.CONCAT("weather.tbl[",N$1,"]")),MATCH(vp.data[[#This Row],[SDate]],weather.tbl[Date],0))</f>
        <v>21.766666666666666</v>
      </c>
      <c r="O269" s="2">
        <f ca="1">INDEX(INDIRECT(_xlfn.CONCAT("weather.tbl[",O$1,"]")),MATCH(vp.data[[#This Row],[SDate]],weather.tbl[Date],0))</f>
        <v>20.357142857142858</v>
      </c>
      <c r="P269" s="2">
        <f ca="1">INDEX(INDIRECT(_xlfn.CONCAT("weather.tbl[",P$1,"]")),MATCH(vp.data[[#This Row],[SDate]],weather.tbl[Date],0))</f>
        <v>22.3</v>
      </c>
      <c r="Q269" s="2">
        <f ca="1">INDEX(INDIRECT(_xlfn.CONCAT("weather.tbl[",Q$1,"]")),MATCH(vp.data[[#This Row],[SDate]],weather.tbl[Date],0))</f>
        <v>20.8</v>
      </c>
      <c r="R269" s="2">
        <f ca="1">INDEX(INDIRECT(_xlfn.CONCAT("weather.tbl[",R$1,"]")),MATCH(vp.data[[#This Row],[SDate]],weather.tbl[Date],0))</f>
        <v>22</v>
      </c>
      <c r="S269" s="2">
        <f ca="1">INDEX(INDIRECT(_xlfn.CONCAT("weather.tbl[",S$1,"]")),MATCH(vp.data[[#This Row],[SDate]],weather.tbl[Date],0))</f>
        <v>21.5</v>
      </c>
      <c r="T269" s="2">
        <f ca="1">INDEX(INDIRECT(_xlfn.CONCAT("weather.tbl[",T$1,"]")),MATCH(vp.data[[#This Row],[SDate]],weather.tbl[Date],0))</f>
        <v>23.2</v>
      </c>
      <c r="U269" s="2">
        <f ca="1">INDEX(INDIRECT(_xlfn.CONCAT("weather.tbl[",U$1,"]")),MATCH(vp.data[[#This Row],[SDate]],weather.tbl[Date],0))</f>
        <v>20.8</v>
      </c>
      <c r="V269" s="2">
        <f t="array" ref="V2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114134.67200000001</v>
      </c>
      <c r="W269" t="s">
        <v>48</v>
      </c>
      <c r="X269">
        <f>IF(OR(vp.data[[#This Row],[Sulf]]="",vp.data[[#This Row],[Dens]]=""),1,0)</f>
        <v>0</v>
      </c>
      <c r="Y269">
        <f>IF(vp.data[[#This Row],[CrudeType]]="C5+",1,0)</f>
        <v>0</v>
      </c>
      <c r="Z269">
        <f>IF(AND(vp.data[[#This Row],[CrudeType]]="Crude",vp.data[[#This Row],[Dens]]&lt;=825,vp.data[[#This Row],[Sulf]]&gt;0.5,vp.data[[#This Row],[Unknown]]=0),1,0)</f>
        <v>0</v>
      </c>
      <c r="AA269">
        <f>IF(AND(vp.data[[#This Row],[CrudeType]]="Crude",vp.data[[#This Row],[Dens]]&lt;=825,vp.data[[#This Row],[Sulf]]&lt;=0.5,vp.data[[#This Row],[Unknown]]=0),1,0)</f>
        <v>0</v>
      </c>
      <c r="AB2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69">
        <f>IF(AND(vp.data[[#This Row],[CrudeType]]="Crude",vp.data[[#This Row],[Dens]]&gt;825,vp.data[[#This Row],[Dens]]&lt;=900,vp.data[[#This Row],[Sulf]]&lt;=0.5,vp.data[[#This Row],[Unknown]]=0),1,0)</f>
        <v>0</v>
      </c>
      <c r="AD269">
        <f>IF(AND(vp.data[[#This Row],[CrudeType]]="Crude",vp.data[[#This Row],[Dens]]&gt;865,vp.data[[#This Row],[Dens]]&lt;=900,vp.data[[#This Row],[Sulf]]&gt;2,vp.data[[#This Row],[Unknown]]=0),1,0)</f>
        <v>1</v>
      </c>
      <c r="AE269">
        <f>IF(AND(vp.data[[#This Row],[CrudeType]]="Crude",vp.data[[#This Row],[Dens]]&gt;900,vp.data[[#This Row],[Sulf]]&lt;=0.5,vp.data[[#This Row],[Unknown]]=0),1,0)</f>
        <v>0</v>
      </c>
      <c r="AF269">
        <f>IF(AND(vp.data[[#This Row],[CrudeType]]="Crude",vp.data[[#This Row],[Dens]]&gt;900,vp.data[[#This Row],[Sulf]]&lt;=0.5,vp.data[[#This Row],[Unknown]]=0),1,0)</f>
        <v>0</v>
      </c>
      <c r="AG269" t="str">
        <f>INDEX(vp.data[[#Headers],[Unknown]:[Heavy_SW]],MATCH(1,vp.data[[#This Row],[Unknown]:[Heavy_SW]],0))</f>
        <v>Midale</v>
      </c>
      <c r="AH269">
        <f>INDEX([3]!crudeBD.lkup[Number],MATCH(vp.data[[#This Row],[Crude_Breakdown]],crudeBD.lkup[Crude Breakdown],0))</f>
        <v>5</v>
      </c>
      <c r="AI269">
        <f>MONTH(vp.data[[#This Row],[SDate]])</f>
        <v>7</v>
      </c>
      <c r="AJ269" s="5">
        <f>(vp.data[[#This Row],[VP]]-INDEX(crudeBD.lkup[Mean_VP],MATCH(vp.data[[#This Row],[Crude_Breakdown]],crudeBD.lkup[Crude Breakdown],0)))^2</f>
        <v>4.0351283345733844</v>
      </c>
      <c r="AK269" s="5">
        <f>(vp.data[[#This Row],[Dens]]-INDEX(crudeBD.lkup[Mean_Dens],MATCH(vp.data[[#This Row],[Crude_Breakdown]],crudeBD.lkup[Crude Breakdown],0)))^2</f>
        <v>0.51410378361184361</v>
      </c>
      <c r="AL269" s="5">
        <f>(vp.data[[#This Row],[Sulf]]-INDEX(crudeBD.lkup[Mean_Sulf],MATCH(vp.data[[#This Row],[Crude_Breakdown]],crudeBD.lkup[Crude Breakdown],0)))^2</f>
        <v>1.130006345424492E-3</v>
      </c>
      <c r="AM269" s="4">
        <f>IF(AND(vp.data[[#This Row],[SDate]]&gt;=DATE(YEAR(vp.data[[#This Row],[SDate]]),5,1),vp.data[[#This Row],[SDate]]&lt;=DATE(YEAR(vp.data[[#This Row],[SDate]]),9,15)),1,0)</f>
        <v>1</v>
      </c>
      <c r="AN269" s="4">
        <f>IF(vp.data[[#This Row],[SDate]]&lt;DATE(2016,12,1),0,1)</f>
        <v>0</v>
      </c>
      <c r="AO269" s="4">
        <f>IFERROR(vp.data[[#This Row],[Sulf]]*vp.data[[#This Row],[Net Dens]],"")</f>
        <v>240433931.47643203</v>
      </c>
      <c r="AP269">
        <f>IFERROR(vp.data[[#This Row],[Dens]]*vp.data[[#This Row],[VolumeM3]],"")</f>
        <v>99765116.795200005</v>
      </c>
      <c r="AQ269" s="15">
        <f>IFERROR(vp.data[[#This Row],[VP]]*vp.data[[#This Row],[VolumeM3]],"")</f>
        <v>7692676.8928000014</v>
      </c>
    </row>
    <row r="270" spans="1:43" x14ac:dyDescent="0.25">
      <c r="A270">
        <v>269</v>
      </c>
      <c r="B270" t="s">
        <v>49</v>
      </c>
      <c r="C270" t="s">
        <v>49</v>
      </c>
      <c r="D270" t="s">
        <v>50</v>
      </c>
      <c r="F270" s="1">
        <v>42572</v>
      </c>
      <c r="G270" s="2">
        <v>53.1</v>
      </c>
      <c r="H270" s="2"/>
      <c r="I270" s="2">
        <f t="array" ref="I270">_xlfn.IFNA(IF(vp.data[[#This Row],[Sulf Input]]="",INDEX([1]DATA!$Q$3:$Q$9826,MATCH(1,(vp.data[[#This Row],[Battery]]=[1]DATA!$L$3:$L$9826)*(EOMONTH(vp.data[[#This Row],[SDate]],-1)+1=[1]DATA!$G$3:$G$9826),0)),vp.data[[#This Row],[Sulf Input]]),"")</f>
        <v>2.59</v>
      </c>
      <c r="J270" s="2"/>
      <c r="K270" s="2"/>
      <c r="L270" s="2">
        <v>879.5</v>
      </c>
      <c r="M270" s="2">
        <f t="array" ref="M270">_xlfn.IFNA(IF(vp.data[[#This Row],[Dens Input]]="",INDEX([1]DATA!$O$3:$O$9826,MATCH(1,(vp.data[[#This Row],[Battery]]=[1]DATA!$L$3:$L$9826)*(EOMONTH(vp.data[[#This Row],[SDate]],-1)+1=[1]DATA!$G$3:$G$9826),0)),vp.data[[#This Row],[Dens Input]]),"")</f>
        <v>879.5</v>
      </c>
      <c r="N270" s="2">
        <f ca="1">INDEX(INDIRECT(_xlfn.CONCAT("weather.tbl[",N$1,"]")),MATCH(vp.data[[#This Row],[SDate]],weather.tbl[Date],0))</f>
        <v>21.766666666666666</v>
      </c>
      <c r="O270" s="2">
        <f ca="1">INDEX(INDIRECT(_xlfn.CONCAT("weather.tbl[",O$1,"]")),MATCH(vp.data[[#This Row],[SDate]],weather.tbl[Date],0))</f>
        <v>20.357142857142858</v>
      </c>
      <c r="P270" s="2">
        <f ca="1">INDEX(INDIRECT(_xlfn.CONCAT("weather.tbl[",P$1,"]")),MATCH(vp.data[[#This Row],[SDate]],weather.tbl[Date],0))</f>
        <v>22.3</v>
      </c>
      <c r="Q270" s="2">
        <f ca="1">INDEX(INDIRECT(_xlfn.CONCAT("weather.tbl[",Q$1,"]")),MATCH(vp.data[[#This Row],[SDate]],weather.tbl[Date],0))</f>
        <v>20.8</v>
      </c>
      <c r="R270" s="2">
        <f ca="1">INDEX(INDIRECT(_xlfn.CONCAT("weather.tbl[",R$1,"]")),MATCH(vp.data[[#This Row],[SDate]],weather.tbl[Date],0))</f>
        <v>22</v>
      </c>
      <c r="S270" s="2">
        <f ca="1">INDEX(INDIRECT(_xlfn.CONCAT("weather.tbl[",S$1,"]")),MATCH(vp.data[[#This Row],[SDate]],weather.tbl[Date],0))</f>
        <v>21.5</v>
      </c>
      <c r="T270" s="2">
        <f ca="1">INDEX(INDIRECT(_xlfn.CONCAT("weather.tbl[",T$1,"]")),MATCH(vp.data[[#This Row],[SDate]],weather.tbl[Date],0))</f>
        <v>23.2</v>
      </c>
      <c r="U270" s="2">
        <f ca="1">INDEX(INDIRECT(_xlfn.CONCAT("weather.tbl[",U$1,"]")),MATCH(vp.data[[#This Row],[SDate]],weather.tbl[Date],0))</f>
        <v>20.8</v>
      </c>
      <c r="V270" s="2">
        <f t="array" ref="V2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5700.3140000000003</v>
      </c>
      <c r="W270" t="s">
        <v>48</v>
      </c>
      <c r="X270">
        <f>IF(OR(vp.data[[#This Row],[Sulf]]="",vp.data[[#This Row],[Dens]]=""),1,0)</f>
        <v>0</v>
      </c>
      <c r="Y270">
        <f>IF(vp.data[[#This Row],[CrudeType]]="C5+",1,0)</f>
        <v>0</v>
      </c>
      <c r="Z270">
        <f>IF(AND(vp.data[[#This Row],[CrudeType]]="Crude",vp.data[[#This Row],[Dens]]&lt;=825,vp.data[[#This Row],[Sulf]]&gt;0.5,vp.data[[#This Row],[Unknown]]=0),1,0)</f>
        <v>0</v>
      </c>
      <c r="AA270">
        <f>IF(AND(vp.data[[#This Row],[CrudeType]]="Crude",vp.data[[#This Row],[Dens]]&lt;=825,vp.data[[#This Row],[Sulf]]&lt;=0.5,vp.data[[#This Row],[Unknown]]=0),1,0)</f>
        <v>0</v>
      </c>
      <c r="AB2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0">
        <f>IF(AND(vp.data[[#This Row],[CrudeType]]="Crude",vp.data[[#This Row],[Dens]]&gt;825,vp.data[[#This Row],[Dens]]&lt;=900,vp.data[[#This Row],[Sulf]]&lt;=0.5,vp.data[[#This Row],[Unknown]]=0),1,0)</f>
        <v>0</v>
      </c>
      <c r="AD270">
        <f>IF(AND(vp.data[[#This Row],[CrudeType]]="Crude",vp.data[[#This Row],[Dens]]&gt;865,vp.data[[#This Row],[Dens]]&lt;=900,vp.data[[#This Row],[Sulf]]&gt;2,vp.data[[#This Row],[Unknown]]=0),1,0)</f>
        <v>1</v>
      </c>
      <c r="AE270">
        <f>IF(AND(vp.data[[#This Row],[CrudeType]]="Crude",vp.data[[#This Row],[Dens]]&gt;900,vp.data[[#This Row],[Sulf]]&lt;=0.5,vp.data[[#This Row],[Unknown]]=0),1,0)</f>
        <v>0</v>
      </c>
      <c r="AF270">
        <f>IF(AND(vp.data[[#This Row],[CrudeType]]="Crude",vp.data[[#This Row],[Dens]]&gt;900,vp.data[[#This Row],[Sulf]]&lt;=0.5,vp.data[[#This Row],[Unknown]]=0),1,0)</f>
        <v>0</v>
      </c>
      <c r="AG270" t="str">
        <f>INDEX(vp.data[[#Headers],[Unknown]:[Heavy_SW]],MATCH(1,vp.data[[#This Row],[Unknown]:[Heavy_SW]],0))</f>
        <v>Midale</v>
      </c>
      <c r="AH270">
        <f>INDEX([3]!crudeBD.lkup[Number],MATCH(vp.data[[#This Row],[Crude_Breakdown]],crudeBD.lkup[Crude Breakdown],0))</f>
        <v>5</v>
      </c>
      <c r="AI270">
        <f>MONTH(vp.data[[#This Row],[SDate]])</f>
        <v>7</v>
      </c>
      <c r="AJ270" s="5">
        <f>(vp.data[[#This Row],[VP]]-INDEX(crudeBD.lkup[Mean_VP],MATCH(vp.data[[#This Row],[Crude_Breakdown]],crudeBD.lkup[Crude Breakdown],0)))^2</f>
        <v>265.97574689127526</v>
      </c>
      <c r="AK270" s="5">
        <f>(vp.data[[#This Row],[Dens]]-INDEX(crudeBD.lkup[Mean_Dens],MATCH(vp.data[[#This Row],[Crude_Breakdown]],crudeBD.lkup[Crude Breakdown],0)))^2</f>
        <v>21.930392443402376</v>
      </c>
      <c r="AL270" s="5">
        <f>(vp.data[[#This Row],[Sulf]]-INDEX(crudeBD.lkup[Mean_Sulf],MATCH(vp.data[[#This Row],[Crude_Breakdown]],crudeBD.lkup[Crude Breakdown],0)))^2</f>
        <v>2.1428402221713612E-2</v>
      </c>
      <c r="AM270" s="4">
        <f>IF(AND(vp.data[[#This Row],[SDate]]&gt;=DATE(YEAR(vp.data[[#This Row],[SDate]]),5,1),vp.data[[#This Row],[SDate]]&lt;=DATE(YEAR(vp.data[[#This Row],[SDate]]),9,15)),1,0)</f>
        <v>1</v>
      </c>
      <c r="AN270" s="4">
        <f>IF(vp.data[[#This Row],[SDate]]&lt;DATE(2016,12,1),0,1)</f>
        <v>0</v>
      </c>
      <c r="AO270" s="4">
        <f>IFERROR(vp.data[[#This Row],[Sulf]]*vp.data[[#This Row],[Net Dens]],"")</f>
        <v>12984773.762170002</v>
      </c>
      <c r="AP270">
        <f>IFERROR(vp.data[[#This Row],[Dens]]*vp.data[[#This Row],[VolumeM3]],"")</f>
        <v>5013426.1630000006</v>
      </c>
      <c r="AQ270" s="15">
        <f>IFERROR(vp.data[[#This Row],[VP]]*vp.data[[#This Row],[VolumeM3]],"")</f>
        <v>302686.67340000003</v>
      </c>
    </row>
    <row r="271" spans="1:43" x14ac:dyDescent="0.25">
      <c r="A271">
        <v>270</v>
      </c>
      <c r="B271" t="s">
        <v>49</v>
      </c>
      <c r="C271" t="s">
        <v>49</v>
      </c>
      <c r="D271" t="s">
        <v>67</v>
      </c>
      <c r="F271" s="1">
        <v>42576</v>
      </c>
      <c r="G271" s="2">
        <v>94.5</v>
      </c>
      <c r="H271" s="2"/>
      <c r="I271" s="2">
        <f t="array" ref="I271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71" s="2"/>
      <c r="K271" s="2"/>
      <c r="L271" s="2">
        <v>806.8</v>
      </c>
      <c r="M271" s="2">
        <f t="array" ref="M271">_xlfn.IFNA(IF(vp.data[[#This Row],[Dens Input]]="",INDEX([1]DATA!$O$3:$O$9826,MATCH(1,(vp.data[[#This Row],[Battery]]=[1]DATA!$L$3:$L$9826)*(EOMONTH(vp.data[[#This Row],[SDate]],-1)+1=[1]DATA!$G$3:$G$9826),0)),vp.data[[#This Row],[Dens Input]]),"")</f>
        <v>806.8</v>
      </c>
      <c r="N271" s="2">
        <f ca="1">INDEX(INDIRECT(_xlfn.CONCAT("weather.tbl[",N$1,"]")),MATCH(vp.data[[#This Row],[SDate]],weather.tbl[Date],0))</f>
        <v>20.916666666666664</v>
      </c>
      <c r="O271" s="2">
        <f ca="1">INDEX(INDIRECT(_xlfn.CONCAT("weather.tbl[",O$1,"]")),MATCH(vp.data[[#This Row],[SDate]],weather.tbl[Date],0))</f>
        <v>21.647619047619042</v>
      </c>
      <c r="P271" s="2">
        <f ca="1">INDEX(INDIRECT(_xlfn.CONCAT("weather.tbl[",P$1,"]")),MATCH(vp.data[[#This Row],[SDate]],weather.tbl[Date],0))</f>
        <v>21.9</v>
      </c>
      <c r="Q271" s="2">
        <f ca="1">INDEX(INDIRECT(_xlfn.CONCAT("weather.tbl[",Q$1,"]")),MATCH(vp.data[[#This Row],[SDate]],weather.tbl[Date],0))</f>
        <v>21.6</v>
      </c>
      <c r="R271" s="2">
        <f ca="1">INDEX(INDIRECT(_xlfn.CONCAT("weather.tbl[",R$1,"]")),MATCH(vp.data[[#This Row],[SDate]],weather.tbl[Date],0))</f>
        <v>20</v>
      </c>
      <c r="S271" s="2">
        <f ca="1">INDEX(INDIRECT(_xlfn.CONCAT("weather.tbl[",S$1,"]")),MATCH(vp.data[[#This Row],[SDate]],weather.tbl[Date],0))</f>
        <v>21.8</v>
      </c>
      <c r="T271" s="2">
        <f ca="1">INDEX(INDIRECT(_xlfn.CONCAT("weather.tbl[",T$1,"]")),MATCH(vp.data[[#This Row],[SDate]],weather.tbl[Date],0))</f>
        <v>20.399999999999999</v>
      </c>
      <c r="U271" s="2">
        <f ca="1">INDEX(INDIRECT(_xlfn.CONCAT("weather.tbl[",U$1,"]")),MATCH(vp.data[[#This Row],[SDate]],weather.tbl[Date],0))</f>
        <v>19.8</v>
      </c>
      <c r="V271" s="2">
        <f t="array" ref="V2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49148.319000000003</v>
      </c>
      <c r="W271" t="s">
        <v>48</v>
      </c>
      <c r="X271">
        <f>IF(OR(vp.data[[#This Row],[Sulf]]="",vp.data[[#This Row],[Dens]]=""),1,0)</f>
        <v>0</v>
      </c>
      <c r="Y271">
        <f>IF(vp.data[[#This Row],[CrudeType]]="C5+",1,0)</f>
        <v>0</v>
      </c>
      <c r="Z271">
        <f>IF(AND(vp.data[[#This Row],[CrudeType]]="Crude",vp.data[[#This Row],[Dens]]&lt;=825,vp.data[[#This Row],[Sulf]]&gt;0.5,vp.data[[#This Row],[Unknown]]=0),1,0)</f>
        <v>0</v>
      </c>
      <c r="AA271">
        <f>IF(AND(vp.data[[#This Row],[CrudeType]]="Crude",vp.data[[#This Row],[Dens]]&lt;=825,vp.data[[#This Row],[Sulf]]&lt;=0.5,vp.data[[#This Row],[Unknown]]=0),1,0)</f>
        <v>1</v>
      </c>
      <c r="AB2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1">
        <f>IF(AND(vp.data[[#This Row],[CrudeType]]="Crude",vp.data[[#This Row],[Dens]]&gt;825,vp.data[[#This Row],[Dens]]&lt;=900,vp.data[[#This Row],[Sulf]]&lt;=0.5,vp.data[[#This Row],[Unknown]]=0),1,0)</f>
        <v>0</v>
      </c>
      <c r="AD271">
        <f>IF(AND(vp.data[[#This Row],[CrudeType]]="Crude",vp.data[[#This Row],[Dens]]&gt;865,vp.data[[#This Row],[Dens]]&lt;=900,vp.data[[#This Row],[Sulf]]&gt;2,vp.data[[#This Row],[Unknown]]=0),1,0)</f>
        <v>0</v>
      </c>
      <c r="AE271">
        <f>IF(AND(vp.data[[#This Row],[CrudeType]]="Crude",vp.data[[#This Row],[Dens]]&gt;900,vp.data[[#This Row],[Sulf]]&lt;=0.5,vp.data[[#This Row],[Unknown]]=0),1,0)</f>
        <v>0</v>
      </c>
      <c r="AF271">
        <f>IF(AND(vp.data[[#This Row],[CrudeType]]="Crude",vp.data[[#This Row],[Dens]]&gt;900,vp.data[[#This Row],[Sulf]]&lt;=0.5,vp.data[[#This Row],[Unknown]]=0),1,0)</f>
        <v>0</v>
      </c>
      <c r="AG271" t="str">
        <f>INDEX(vp.data[[#Headers],[Unknown]:[Heavy_SW]],MATCH(1,vp.data[[#This Row],[Unknown]:[Heavy_SW]],0))</f>
        <v>Light_SW</v>
      </c>
      <c r="AH271">
        <f>INDEX([3]!crudeBD.lkup[Number],MATCH(vp.data[[#This Row],[Crude_Breakdown]],crudeBD.lkup[Crude Breakdown],0))</f>
        <v>2</v>
      </c>
      <c r="AI271">
        <f>MONTH(vp.data[[#This Row],[SDate]])</f>
        <v>7</v>
      </c>
      <c r="AJ271" s="5">
        <f>(vp.data[[#This Row],[VP]]-INDEX(crudeBD.lkup[Mean_VP],MATCH(vp.data[[#This Row],[Crude_Breakdown]],crudeBD.lkup[Crude Breakdown],0)))^2</f>
        <v>3.8012771018224027</v>
      </c>
      <c r="AK271" s="5">
        <f>(vp.data[[#This Row],[Dens]]-INDEX(crudeBD.lkup[Mean_Dens],MATCH(vp.data[[#This Row],[Crude_Breakdown]],crudeBD.lkup[Crude Breakdown],0)))^2</f>
        <v>2.2846269834519899</v>
      </c>
      <c r="AL271" s="5">
        <f>(vp.data[[#This Row],[Sulf]]-INDEX(crudeBD.lkup[Mean_Sulf],MATCH(vp.data[[#This Row],[Crude_Breakdown]],crudeBD.lkup[Crude Breakdown],0)))^2</f>
        <v>6.8863268899706654E-4</v>
      </c>
      <c r="AM271" s="4">
        <f>IF(AND(vp.data[[#This Row],[SDate]]&gt;=DATE(YEAR(vp.data[[#This Row],[SDate]]),5,1),vp.data[[#This Row],[SDate]]&lt;=DATE(YEAR(vp.data[[#This Row],[SDate]]),9,15)),1,0)</f>
        <v>1</v>
      </c>
      <c r="AN271" s="4">
        <f>IF(vp.data[[#This Row],[SDate]]&lt;DATE(2016,12,1),0,1)</f>
        <v>0</v>
      </c>
      <c r="AO271" s="4">
        <f>IFERROR(vp.data[[#This Row],[Sulf]]*vp.data[[#This Row],[Net Dens]],"")</f>
        <v>8327101.3915319992</v>
      </c>
      <c r="AP271">
        <f>IFERROR(vp.data[[#This Row],[Dens]]*vp.data[[#This Row],[VolumeM3]],"")</f>
        <v>39652863.769199997</v>
      </c>
      <c r="AQ271" s="15">
        <f>IFERROR(vp.data[[#This Row],[VP]]*vp.data[[#This Row],[VolumeM3]],"")</f>
        <v>4644516.1455000006</v>
      </c>
    </row>
    <row r="272" spans="1:43" x14ac:dyDescent="0.25">
      <c r="A272">
        <v>271</v>
      </c>
      <c r="B272" t="s">
        <v>49</v>
      </c>
      <c r="C272" t="s">
        <v>49</v>
      </c>
      <c r="D272" t="s">
        <v>74</v>
      </c>
      <c r="F272" s="1">
        <v>42577</v>
      </c>
      <c r="G272" s="2">
        <v>94.7</v>
      </c>
      <c r="H272" s="2"/>
      <c r="I272" s="2">
        <f t="array" ref="I272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72" s="2"/>
      <c r="K272" s="2"/>
      <c r="L272" s="2">
        <v>806.2</v>
      </c>
      <c r="M272" s="2">
        <f t="array" ref="M272">_xlfn.IFNA(IF(vp.data[[#This Row],[Dens Input]]="",INDEX([1]DATA!$O$3:$O$9826,MATCH(1,(vp.data[[#This Row],[Battery]]=[1]DATA!$L$3:$L$9826)*(EOMONTH(vp.data[[#This Row],[SDate]],-1)+1=[1]DATA!$G$3:$G$9826),0)),vp.data[[#This Row],[Dens Input]]),"")</f>
        <v>806.2</v>
      </c>
      <c r="N272" s="2">
        <f ca="1">INDEX(INDIRECT(_xlfn.CONCAT("weather.tbl[",N$1,"]")),MATCH(vp.data[[#This Row],[SDate]],weather.tbl[Date],0))</f>
        <v>19.666666666666668</v>
      </c>
      <c r="O272" s="2">
        <f ca="1">INDEX(INDIRECT(_xlfn.CONCAT("weather.tbl[",O$1,"]")),MATCH(vp.data[[#This Row],[SDate]],weather.tbl[Date],0))</f>
        <v>21.038095238095234</v>
      </c>
      <c r="P272" s="2">
        <f ca="1">INDEX(INDIRECT(_xlfn.CONCAT("weather.tbl[",P$1,"]")),MATCH(vp.data[[#This Row],[SDate]],weather.tbl[Date],0))</f>
        <v>20.399999999999999</v>
      </c>
      <c r="Q272" s="2">
        <f ca="1">INDEX(INDIRECT(_xlfn.CONCAT("weather.tbl[",Q$1,"]")),MATCH(vp.data[[#This Row],[SDate]],weather.tbl[Date],0))</f>
        <v>19.3</v>
      </c>
      <c r="R272" s="2">
        <f ca="1">INDEX(INDIRECT(_xlfn.CONCAT("weather.tbl[",R$1,"]")),MATCH(vp.data[[#This Row],[SDate]],weather.tbl[Date],0))</f>
        <v>20</v>
      </c>
      <c r="S272" s="2">
        <f ca="1">INDEX(INDIRECT(_xlfn.CONCAT("weather.tbl[",S$1,"]")),MATCH(vp.data[[#This Row],[SDate]],weather.tbl[Date],0))</f>
        <v>19</v>
      </c>
      <c r="T272" s="2">
        <f ca="1">INDEX(INDIRECT(_xlfn.CONCAT("weather.tbl[",T$1,"]")),MATCH(vp.data[[#This Row],[SDate]],weather.tbl[Date],0))</f>
        <v>20.8</v>
      </c>
      <c r="U272" s="2">
        <f ca="1">INDEX(INDIRECT(_xlfn.CONCAT("weather.tbl[",U$1,"]")),MATCH(vp.data[[#This Row],[SDate]],weather.tbl[Date],0))</f>
        <v>18.5</v>
      </c>
      <c r="V272" s="2">
        <f t="array" ref="V2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40032.095000000001</v>
      </c>
      <c r="W272" t="s">
        <v>48</v>
      </c>
      <c r="X272">
        <f>IF(OR(vp.data[[#This Row],[Sulf]]="",vp.data[[#This Row],[Dens]]=""),1,0)</f>
        <v>0</v>
      </c>
      <c r="Y272">
        <f>IF(vp.data[[#This Row],[CrudeType]]="C5+",1,0)</f>
        <v>0</v>
      </c>
      <c r="Z272">
        <f>IF(AND(vp.data[[#This Row],[CrudeType]]="Crude",vp.data[[#This Row],[Dens]]&lt;=825,vp.data[[#This Row],[Sulf]]&gt;0.5,vp.data[[#This Row],[Unknown]]=0),1,0)</f>
        <v>0</v>
      </c>
      <c r="AA272">
        <f>IF(AND(vp.data[[#This Row],[CrudeType]]="Crude",vp.data[[#This Row],[Dens]]&lt;=825,vp.data[[#This Row],[Sulf]]&lt;=0.5,vp.data[[#This Row],[Unknown]]=0),1,0)</f>
        <v>1</v>
      </c>
      <c r="AB2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2">
        <f>IF(AND(vp.data[[#This Row],[CrudeType]]="Crude",vp.data[[#This Row],[Dens]]&gt;825,vp.data[[#This Row],[Dens]]&lt;=900,vp.data[[#This Row],[Sulf]]&lt;=0.5,vp.data[[#This Row],[Unknown]]=0),1,0)</f>
        <v>0</v>
      </c>
      <c r="AD272">
        <f>IF(AND(vp.data[[#This Row],[CrudeType]]="Crude",vp.data[[#This Row],[Dens]]&gt;865,vp.data[[#This Row],[Dens]]&lt;=900,vp.data[[#This Row],[Sulf]]&gt;2,vp.data[[#This Row],[Unknown]]=0),1,0)</f>
        <v>0</v>
      </c>
      <c r="AE272">
        <f>IF(AND(vp.data[[#This Row],[CrudeType]]="Crude",vp.data[[#This Row],[Dens]]&gt;900,vp.data[[#This Row],[Sulf]]&lt;=0.5,vp.data[[#This Row],[Unknown]]=0),1,0)</f>
        <v>0</v>
      </c>
      <c r="AF272">
        <f>IF(AND(vp.data[[#This Row],[CrudeType]]="Crude",vp.data[[#This Row],[Dens]]&gt;900,vp.data[[#This Row],[Sulf]]&lt;=0.5,vp.data[[#This Row],[Unknown]]=0),1,0)</f>
        <v>0</v>
      </c>
      <c r="AG272" t="str">
        <f>INDEX(vp.data[[#Headers],[Unknown]:[Heavy_SW]],MATCH(1,vp.data[[#This Row],[Unknown]:[Heavy_SW]],0))</f>
        <v>Light_SW</v>
      </c>
      <c r="AH272">
        <f>INDEX([3]!crudeBD.lkup[Number],MATCH(vp.data[[#This Row],[Crude_Breakdown]],crudeBD.lkup[Crude Breakdown],0))</f>
        <v>2</v>
      </c>
      <c r="AI272">
        <f>MONTH(vp.data[[#This Row],[SDate]])</f>
        <v>7</v>
      </c>
      <c r="AJ272" s="5">
        <f>(vp.data[[#This Row],[VP]]-INDEX(crudeBD.lkup[Mean_VP],MATCH(vp.data[[#This Row],[Crude_Breakdown]],crudeBD.lkup[Crude Breakdown],0)))^2</f>
        <v>4.6211516662823566</v>
      </c>
      <c r="AK272" s="5">
        <f>(vp.data[[#This Row],[Dens]]-INDEX(crudeBD.lkup[Mean_Dens],MATCH(vp.data[[#This Row],[Crude_Breakdown]],crudeBD.lkup[Crude Breakdown],0)))^2</f>
        <v>4.458424892859064</v>
      </c>
      <c r="AL272" s="5">
        <f>(vp.data[[#This Row],[Sulf]]-INDEX(crudeBD.lkup[Mean_Sulf],MATCH(vp.data[[#This Row],[Crude_Breakdown]],crudeBD.lkup[Crude Breakdown],0)))^2</f>
        <v>9.2624863475336272E-3</v>
      </c>
      <c r="AM272" s="4">
        <f>IF(AND(vp.data[[#This Row],[SDate]]&gt;=DATE(YEAR(vp.data[[#This Row],[SDate]]),5,1),vp.data[[#This Row],[SDate]]&lt;=DATE(YEAR(vp.data[[#This Row],[SDate]]),9,15)),1,0)</f>
        <v>1</v>
      </c>
      <c r="AN272" s="4">
        <f>IF(vp.data[[#This Row],[SDate]]&lt;DATE(2016,12,1),0,1)</f>
        <v>0</v>
      </c>
      <c r="AO272" s="4">
        <f>IFERROR(vp.data[[#This Row],[Sulf]]*vp.data[[#This Row],[Net Dens]],"")</f>
        <v>4518342.4984600013</v>
      </c>
      <c r="AP272">
        <f>IFERROR(vp.data[[#This Row],[Dens]]*vp.data[[#This Row],[VolumeM3]],"")</f>
        <v>32273874.989000004</v>
      </c>
      <c r="AQ272" s="15">
        <f>IFERROR(vp.data[[#This Row],[VP]]*vp.data[[#This Row],[VolumeM3]],"")</f>
        <v>3791039.3965000003</v>
      </c>
    </row>
    <row r="273" spans="1:43" x14ac:dyDescent="0.25">
      <c r="A273">
        <v>272</v>
      </c>
      <c r="B273" t="s">
        <v>49</v>
      </c>
      <c r="C273" t="s">
        <v>49</v>
      </c>
      <c r="D273" t="s">
        <v>74</v>
      </c>
      <c r="F273" s="1">
        <v>42577</v>
      </c>
      <c r="G273" s="2">
        <v>103.3</v>
      </c>
      <c r="H273" s="2"/>
      <c r="I273" s="2">
        <f t="array" ref="I273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273" s="2"/>
      <c r="K273" s="2"/>
      <c r="L273" s="2">
        <v>806.2</v>
      </c>
      <c r="M273" s="2">
        <f t="array" ref="M273">_xlfn.IFNA(IF(vp.data[[#This Row],[Dens Input]]="",INDEX([1]DATA!$O$3:$O$9826,MATCH(1,(vp.data[[#This Row],[Battery]]=[1]DATA!$L$3:$L$9826)*(EOMONTH(vp.data[[#This Row],[SDate]],-1)+1=[1]DATA!$G$3:$G$9826),0)),vp.data[[#This Row],[Dens Input]]),"")</f>
        <v>806.2</v>
      </c>
      <c r="N273" s="2">
        <f ca="1">INDEX(INDIRECT(_xlfn.CONCAT("weather.tbl[",N$1,"]")),MATCH(vp.data[[#This Row],[SDate]],weather.tbl[Date],0))</f>
        <v>19.666666666666668</v>
      </c>
      <c r="O273" s="2">
        <f ca="1">INDEX(INDIRECT(_xlfn.CONCAT("weather.tbl[",O$1,"]")),MATCH(vp.data[[#This Row],[SDate]],weather.tbl[Date],0))</f>
        <v>21.038095238095234</v>
      </c>
      <c r="P273" s="2">
        <f ca="1">INDEX(INDIRECT(_xlfn.CONCAT("weather.tbl[",P$1,"]")),MATCH(vp.data[[#This Row],[SDate]],weather.tbl[Date],0))</f>
        <v>20.399999999999999</v>
      </c>
      <c r="Q273" s="2">
        <f ca="1">INDEX(INDIRECT(_xlfn.CONCAT("weather.tbl[",Q$1,"]")),MATCH(vp.data[[#This Row],[SDate]],weather.tbl[Date],0))</f>
        <v>19.3</v>
      </c>
      <c r="R273" s="2">
        <f ca="1">INDEX(INDIRECT(_xlfn.CONCAT("weather.tbl[",R$1,"]")),MATCH(vp.data[[#This Row],[SDate]],weather.tbl[Date],0))</f>
        <v>20</v>
      </c>
      <c r="S273" s="2">
        <f ca="1">INDEX(INDIRECT(_xlfn.CONCAT("weather.tbl[",S$1,"]")),MATCH(vp.data[[#This Row],[SDate]],weather.tbl[Date],0))</f>
        <v>19</v>
      </c>
      <c r="T273" s="2">
        <f ca="1">INDEX(INDIRECT(_xlfn.CONCAT("weather.tbl[",T$1,"]")),MATCH(vp.data[[#This Row],[SDate]],weather.tbl[Date],0))</f>
        <v>20.8</v>
      </c>
      <c r="U273" s="2">
        <f ca="1">INDEX(INDIRECT(_xlfn.CONCAT("weather.tbl[",U$1,"]")),MATCH(vp.data[[#This Row],[SDate]],weather.tbl[Date],0))</f>
        <v>18.5</v>
      </c>
      <c r="V273" s="2">
        <f t="array" ref="V2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40032.095000000001</v>
      </c>
      <c r="W273" t="s">
        <v>48</v>
      </c>
      <c r="X273">
        <f>IF(OR(vp.data[[#This Row],[Sulf]]="",vp.data[[#This Row],[Dens]]=""),1,0)</f>
        <v>0</v>
      </c>
      <c r="Y273">
        <f>IF(vp.data[[#This Row],[CrudeType]]="C5+",1,0)</f>
        <v>0</v>
      </c>
      <c r="Z273">
        <f>IF(AND(vp.data[[#This Row],[CrudeType]]="Crude",vp.data[[#This Row],[Dens]]&lt;=825,vp.data[[#This Row],[Sulf]]&gt;0.5,vp.data[[#This Row],[Unknown]]=0),1,0)</f>
        <v>0</v>
      </c>
      <c r="AA273">
        <f>IF(AND(vp.data[[#This Row],[CrudeType]]="Crude",vp.data[[#This Row],[Dens]]&lt;=825,vp.data[[#This Row],[Sulf]]&lt;=0.5,vp.data[[#This Row],[Unknown]]=0),1,0)</f>
        <v>1</v>
      </c>
      <c r="AB2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3">
        <f>IF(AND(vp.data[[#This Row],[CrudeType]]="Crude",vp.data[[#This Row],[Dens]]&gt;825,vp.data[[#This Row],[Dens]]&lt;=900,vp.data[[#This Row],[Sulf]]&lt;=0.5,vp.data[[#This Row],[Unknown]]=0),1,0)</f>
        <v>0</v>
      </c>
      <c r="AD273">
        <f>IF(AND(vp.data[[#This Row],[CrudeType]]="Crude",vp.data[[#This Row],[Dens]]&gt;865,vp.data[[#This Row],[Dens]]&lt;=900,vp.data[[#This Row],[Sulf]]&gt;2,vp.data[[#This Row],[Unknown]]=0),1,0)</f>
        <v>0</v>
      </c>
      <c r="AE273">
        <f>IF(AND(vp.data[[#This Row],[CrudeType]]="Crude",vp.data[[#This Row],[Dens]]&gt;900,vp.data[[#This Row],[Sulf]]&lt;=0.5,vp.data[[#This Row],[Unknown]]=0),1,0)</f>
        <v>0</v>
      </c>
      <c r="AF273">
        <f>IF(AND(vp.data[[#This Row],[CrudeType]]="Crude",vp.data[[#This Row],[Dens]]&gt;900,vp.data[[#This Row],[Sulf]]&lt;=0.5,vp.data[[#This Row],[Unknown]]=0),1,0)</f>
        <v>0</v>
      </c>
      <c r="AG273" t="str">
        <f>INDEX(vp.data[[#Headers],[Unknown]:[Heavy_SW]],MATCH(1,vp.data[[#This Row],[Unknown]:[Heavy_SW]],0))</f>
        <v>Light_SW</v>
      </c>
      <c r="AH273">
        <f>INDEX([3]!crudeBD.lkup[Number],MATCH(vp.data[[#This Row],[Crude_Breakdown]],crudeBD.lkup[Crude Breakdown],0))</f>
        <v>2</v>
      </c>
      <c r="AI273">
        <f>MONTH(vp.data[[#This Row],[SDate]])</f>
        <v>7</v>
      </c>
      <c r="AJ273" s="5">
        <f>(vp.data[[#This Row],[VP]]-INDEX(crudeBD.lkup[Mean_VP],MATCH(vp.data[[#This Row],[Crude_Breakdown]],crudeBD.lkup[Crude Breakdown],0)))^2</f>
        <v>115.5557579380598</v>
      </c>
      <c r="AK273" s="5">
        <f>(vp.data[[#This Row],[Dens]]-INDEX(crudeBD.lkup[Mean_Dens],MATCH(vp.data[[#This Row],[Crude_Breakdown]],crudeBD.lkup[Crude Breakdown],0)))^2</f>
        <v>4.458424892859064</v>
      </c>
      <c r="AL273" s="5">
        <f>(vp.data[[#This Row],[Sulf]]-INDEX(crudeBD.lkup[Mean_Sulf],MATCH(vp.data[[#This Row],[Crude_Breakdown]],crudeBD.lkup[Crude Breakdown],0)))^2</f>
        <v>9.2624863475336272E-3</v>
      </c>
      <c r="AM273" s="4">
        <f>IF(AND(vp.data[[#This Row],[SDate]]&gt;=DATE(YEAR(vp.data[[#This Row],[SDate]]),5,1),vp.data[[#This Row],[SDate]]&lt;=DATE(YEAR(vp.data[[#This Row],[SDate]]),9,15)),1,0)</f>
        <v>1</v>
      </c>
      <c r="AN273" s="4">
        <f>IF(vp.data[[#This Row],[SDate]]&lt;DATE(2016,12,1),0,1)</f>
        <v>0</v>
      </c>
      <c r="AO273" s="4">
        <f>IFERROR(vp.data[[#This Row],[Sulf]]*vp.data[[#This Row],[Net Dens]],"")</f>
        <v>4518342.4984600013</v>
      </c>
      <c r="AP273">
        <f>IFERROR(vp.data[[#This Row],[Dens]]*vp.data[[#This Row],[VolumeM3]],"")</f>
        <v>32273874.989000004</v>
      </c>
      <c r="AQ273" s="15">
        <f>IFERROR(vp.data[[#This Row],[VP]]*vp.data[[#This Row],[VolumeM3]],"")</f>
        <v>4135315.4134999998</v>
      </c>
    </row>
    <row r="274" spans="1:43" x14ac:dyDescent="0.25">
      <c r="A274">
        <v>273</v>
      </c>
      <c r="B274" t="s">
        <v>60</v>
      </c>
      <c r="C274" t="s">
        <v>60</v>
      </c>
      <c r="D274" t="s">
        <v>61</v>
      </c>
      <c r="E274" t="s">
        <v>73</v>
      </c>
      <c r="F274" s="1">
        <v>42578</v>
      </c>
      <c r="G274" s="2">
        <v>92.6</v>
      </c>
      <c r="H274" s="2"/>
      <c r="I274" s="2">
        <f t="array" ref="I274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274" s="2"/>
      <c r="K274" s="2"/>
      <c r="L274" s="2"/>
      <c r="M274" s="2">
        <f t="array" ref="M274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274" s="2">
        <f ca="1">INDEX(INDIRECT(_xlfn.CONCAT("weather.tbl[",N$1,"]")),MATCH(vp.data[[#This Row],[SDate]],weather.tbl[Date],0))</f>
        <v>18.083333333333332</v>
      </c>
      <c r="O274" s="2">
        <f ca="1">INDEX(INDIRECT(_xlfn.CONCAT("weather.tbl[",O$1,"]")),MATCH(vp.data[[#This Row],[SDate]],weather.tbl[Date],0))</f>
        <v>20.169047619047614</v>
      </c>
      <c r="P274" s="2">
        <f ca="1">INDEX(INDIRECT(_xlfn.CONCAT("weather.tbl[",P$1,"]")),MATCH(vp.data[[#This Row],[SDate]],weather.tbl[Date],0))</f>
        <v>18.399999999999999</v>
      </c>
      <c r="Q274" s="2">
        <f ca="1">INDEX(INDIRECT(_xlfn.CONCAT("weather.tbl[",Q$1,"]")),MATCH(vp.data[[#This Row],[SDate]],weather.tbl[Date],0))</f>
        <v>18.399999999999999</v>
      </c>
      <c r="R274" s="2">
        <f ca="1">INDEX(INDIRECT(_xlfn.CONCAT("weather.tbl[",R$1,"]")),MATCH(vp.data[[#This Row],[SDate]],weather.tbl[Date],0))</f>
        <v>17.5</v>
      </c>
      <c r="S274" s="2">
        <f ca="1">INDEX(INDIRECT(_xlfn.CONCAT("weather.tbl[",S$1,"]")),MATCH(vp.data[[#This Row],[SDate]],weather.tbl[Date],0))</f>
        <v>18.3</v>
      </c>
      <c r="T274" s="2">
        <f ca="1">INDEX(INDIRECT(_xlfn.CONCAT("weather.tbl[",T$1,"]")),MATCH(vp.data[[#This Row],[SDate]],weather.tbl[Date],0))</f>
        <v>18.600000000000001</v>
      </c>
      <c r="U274" s="2">
        <f ca="1">INDEX(INDIRECT(_xlfn.CONCAT("weather.tbl[",U$1,"]")),MATCH(vp.data[[#This Row],[SDate]],weather.tbl[Date],0))</f>
        <v>17.3</v>
      </c>
      <c r="V274" s="2">
        <f t="array" ref="V2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102591.85</v>
      </c>
      <c r="W274" t="s">
        <v>48</v>
      </c>
      <c r="X274">
        <f>IF(OR(vp.data[[#This Row],[Sulf]]="",vp.data[[#This Row],[Dens]]=""),1,0)</f>
        <v>0</v>
      </c>
      <c r="Y274">
        <f>IF(vp.data[[#This Row],[CrudeType]]="C5+",1,0)</f>
        <v>0</v>
      </c>
      <c r="Z274">
        <f>IF(AND(vp.data[[#This Row],[CrudeType]]="Crude",vp.data[[#This Row],[Dens]]&lt;=825,vp.data[[#This Row],[Sulf]]&gt;0.5,vp.data[[#This Row],[Unknown]]=0),1,0)</f>
        <v>1</v>
      </c>
      <c r="AA274">
        <f>IF(AND(vp.data[[#This Row],[CrudeType]]="Crude",vp.data[[#This Row],[Dens]]&lt;=825,vp.data[[#This Row],[Sulf]]&lt;=0.5,vp.data[[#This Row],[Unknown]]=0),1,0)</f>
        <v>0</v>
      </c>
      <c r="AB2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4">
        <f>IF(AND(vp.data[[#This Row],[CrudeType]]="Crude",vp.data[[#This Row],[Dens]]&gt;825,vp.data[[#This Row],[Dens]]&lt;=900,vp.data[[#This Row],[Sulf]]&lt;=0.5,vp.data[[#This Row],[Unknown]]=0),1,0)</f>
        <v>0</v>
      </c>
      <c r="AD274">
        <f>IF(AND(vp.data[[#This Row],[CrudeType]]="Crude",vp.data[[#This Row],[Dens]]&gt;865,vp.data[[#This Row],[Dens]]&lt;=900,vp.data[[#This Row],[Sulf]]&gt;2,vp.data[[#This Row],[Unknown]]=0),1,0)</f>
        <v>0</v>
      </c>
      <c r="AE274">
        <f>IF(AND(vp.data[[#This Row],[CrudeType]]="Crude",vp.data[[#This Row],[Dens]]&gt;900,vp.data[[#This Row],[Sulf]]&lt;=0.5,vp.data[[#This Row],[Unknown]]=0),1,0)</f>
        <v>0</v>
      </c>
      <c r="AF274">
        <f>IF(AND(vp.data[[#This Row],[CrudeType]]="Crude",vp.data[[#This Row],[Dens]]&gt;900,vp.data[[#This Row],[Sulf]]&lt;=0.5,vp.data[[#This Row],[Unknown]]=0),1,0)</f>
        <v>0</v>
      </c>
      <c r="AG274" t="str">
        <f>INDEX(vp.data[[#Headers],[Unknown]:[Heavy_SW]],MATCH(1,vp.data[[#This Row],[Unknown]:[Heavy_SW]],0))</f>
        <v>Light_LSB</v>
      </c>
      <c r="AH274">
        <f>INDEX([3]!crudeBD.lkup[Number],MATCH(vp.data[[#This Row],[Crude_Breakdown]],crudeBD.lkup[Crude Breakdown],0))</f>
        <v>1</v>
      </c>
      <c r="AI274">
        <f>MONTH(vp.data[[#This Row],[SDate]])</f>
        <v>7</v>
      </c>
      <c r="AJ274" s="5">
        <f>(vp.data[[#This Row],[VP]]-INDEX(crudeBD.lkup[Mean_VP],MATCH(vp.data[[#This Row],[Crude_Breakdown]],crudeBD.lkup[Crude Breakdown],0)))^2</f>
        <v>1.1105248591773058</v>
      </c>
      <c r="AK274" s="5">
        <f>(vp.data[[#This Row],[Dens]]-INDEX(crudeBD.lkup[Mean_Dens],MATCH(vp.data[[#This Row],[Crude_Breakdown]],crudeBD.lkup[Crude Breakdown],0)))^2</f>
        <v>0.38040493617186338</v>
      </c>
      <c r="AL274" s="5">
        <f>(vp.data[[#This Row],[Sulf]]-INDEX(crudeBD.lkup[Mean_Sulf],MATCH(vp.data[[#This Row],[Crude_Breakdown]],crudeBD.lkup[Crude Breakdown],0)))^2</f>
        <v>1.3711343707809469E-3</v>
      </c>
      <c r="AM274" s="4">
        <f>IF(AND(vp.data[[#This Row],[SDate]]&gt;=DATE(YEAR(vp.data[[#This Row],[SDate]]),5,1),vp.data[[#This Row],[SDate]]&lt;=DATE(YEAR(vp.data[[#This Row],[SDate]]),9,15)),1,0)</f>
        <v>1</v>
      </c>
      <c r="AN274" s="4">
        <f>IF(vp.data[[#This Row],[SDate]]&lt;DATE(2016,12,1),0,1)</f>
        <v>0</v>
      </c>
      <c r="AO274" s="4">
        <f>IFERROR(vp.data[[#This Row],[Sulf]]*vp.data[[#This Row],[Net Dens]],"")</f>
        <v>80553479.150400013</v>
      </c>
      <c r="AP274">
        <f>IFERROR(vp.data[[#This Row],[Dens]]*vp.data[[#This Row],[VolumeM3]],"")</f>
        <v>83909874.11500001</v>
      </c>
      <c r="AQ274" s="15">
        <f>IFERROR(vp.data[[#This Row],[VP]]*vp.data[[#This Row],[VolumeM3]],"")</f>
        <v>9500005.3100000005</v>
      </c>
    </row>
    <row r="275" spans="1:43" x14ac:dyDescent="0.25">
      <c r="A275">
        <v>274</v>
      </c>
      <c r="B275" t="s">
        <v>49</v>
      </c>
      <c r="C275" t="s">
        <v>49</v>
      </c>
      <c r="D275" t="s">
        <v>75</v>
      </c>
      <c r="F275" s="1">
        <v>42578</v>
      </c>
      <c r="G275" s="2">
        <v>103.3</v>
      </c>
      <c r="H275" s="2"/>
      <c r="I275" s="2">
        <f t="array" ref="I275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275" s="2"/>
      <c r="K275" s="2"/>
      <c r="L275" s="2">
        <v>805.4</v>
      </c>
      <c r="M275" s="2">
        <f t="array" ref="M275">_xlfn.IFNA(IF(vp.data[[#This Row],[Dens Input]]="",INDEX([1]DATA!$O$3:$O$9826,MATCH(1,(vp.data[[#This Row],[Battery]]=[1]DATA!$L$3:$L$9826)*(EOMONTH(vp.data[[#This Row],[SDate]],-1)+1=[1]DATA!$G$3:$G$9826),0)),vp.data[[#This Row],[Dens Input]]),"")</f>
        <v>805.4</v>
      </c>
      <c r="N275" s="2">
        <f ca="1">INDEX(INDIRECT(_xlfn.CONCAT("weather.tbl[",N$1,"]")),MATCH(vp.data[[#This Row],[SDate]],weather.tbl[Date],0))</f>
        <v>18.083333333333332</v>
      </c>
      <c r="O275" s="2">
        <f ca="1">INDEX(INDIRECT(_xlfn.CONCAT("weather.tbl[",O$1,"]")),MATCH(vp.data[[#This Row],[SDate]],weather.tbl[Date],0))</f>
        <v>20.169047619047614</v>
      </c>
      <c r="P275" s="2">
        <f ca="1">INDEX(INDIRECT(_xlfn.CONCAT("weather.tbl[",P$1,"]")),MATCH(vp.data[[#This Row],[SDate]],weather.tbl[Date],0))</f>
        <v>18.399999999999999</v>
      </c>
      <c r="Q275" s="2">
        <f ca="1">INDEX(INDIRECT(_xlfn.CONCAT("weather.tbl[",Q$1,"]")),MATCH(vp.data[[#This Row],[SDate]],weather.tbl[Date],0))</f>
        <v>18.399999999999999</v>
      </c>
      <c r="R275" s="2">
        <f ca="1">INDEX(INDIRECT(_xlfn.CONCAT("weather.tbl[",R$1,"]")),MATCH(vp.data[[#This Row],[SDate]],weather.tbl[Date],0))</f>
        <v>17.5</v>
      </c>
      <c r="S275" s="2">
        <f ca="1">INDEX(INDIRECT(_xlfn.CONCAT("weather.tbl[",S$1,"]")),MATCH(vp.data[[#This Row],[SDate]],weather.tbl[Date],0))</f>
        <v>18.3</v>
      </c>
      <c r="T275" s="2">
        <f ca="1">INDEX(INDIRECT(_xlfn.CONCAT("weather.tbl[",T$1,"]")),MATCH(vp.data[[#This Row],[SDate]],weather.tbl[Date],0))</f>
        <v>18.600000000000001</v>
      </c>
      <c r="U275" s="2">
        <f ca="1">INDEX(INDIRECT(_xlfn.CONCAT("weather.tbl[",U$1,"]")),MATCH(vp.data[[#This Row],[SDate]],weather.tbl[Date],0))</f>
        <v>17.3</v>
      </c>
      <c r="V275" s="2">
        <f t="array" ref="V2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21522.742999999999</v>
      </c>
      <c r="W275" t="s">
        <v>48</v>
      </c>
      <c r="X275">
        <f>IF(OR(vp.data[[#This Row],[Sulf]]="",vp.data[[#This Row],[Dens]]=""),1,0)</f>
        <v>0</v>
      </c>
      <c r="Y275">
        <f>IF(vp.data[[#This Row],[CrudeType]]="C5+",1,0)</f>
        <v>0</v>
      </c>
      <c r="Z275">
        <f>IF(AND(vp.data[[#This Row],[CrudeType]]="Crude",vp.data[[#This Row],[Dens]]&lt;=825,vp.data[[#This Row],[Sulf]]&gt;0.5,vp.data[[#This Row],[Unknown]]=0),1,0)</f>
        <v>0</v>
      </c>
      <c r="AA275">
        <f>IF(AND(vp.data[[#This Row],[CrudeType]]="Crude",vp.data[[#This Row],[Dens]]&lt;=825,vp.data[[#This Row],[Sulf]]&lt;=0.5,vp.data[[#This Row],[Unknown]]=0),1,0)</f>
        <v>1</v>
      </c>
      <c r="AB2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5">
        <f>IF(AND(vp.data[[#This Row],[CrudeType]]="Crude",vp.data[[#This Row],[Dens]]&gt;825,vp.data[[#This Row],[Dens]]&lt;=900,vp.data[[#This Row],[Sulf]]&lt;=0.5,vp.data[[#This Row],[Unknown]]=0),1,0)</f>
        <v>0</v>
      </c>
      <c r="AD275">
        <f>IF(AND(vp.data[[#This Row],[CrudeType]]="Crude",vp.data[[#This Row],[Dens]]&gt;865,vp.data[[#This Row],[Dens]]&lt;=900,vp.data[[#This Row],[Sulf]]&gt;2,vp.data[[#This Row],[Unknown]]=0),1,0)</f>
        <v>0</v>
      </c>
      <c r="AE275">
        <f>IF(AND(vp.data[[#This Row],[CrudeType]]="Crude",vp.data[[#This Row],[Dens]]&gt;900,vp.data[[#This Row],[Sulf]]&lt;=0.5,vp.data[[#This Row],[Unknown]]=0),1,0)</f>
        <v>0</v>
      </c>
      <c r="AF275">
        <f>IF(AND(vp.data[[#This Row],[CrudeType]]="Crude",vp.data[[#This Row],[Dens]]&gt;900,vp.data[[#This Row],[Sulf]]&lt;=0.5,vp.data[[#This Row],[Unknown]]=0),1,0)</f>
        <v>0</v>
      </c>
      <c r="AG275" t="str">
        <f>INDEX(vp.data[[#Headers],[Unknown]:[Heavy_SW]],MATCH(1,vp.data[[#This Row],[Unknown]:[Heavy_SW]],0))</f>
        <v>Light_SW</v>
      </c>
      <c r="AH275">
        <f>INDEX([3]!crudeBD.lkup[Number],MATCH(vp.data[[#This Row],[Crude_Breakdown]],crudeBD.lkup[Crude Breakdown],0))</f>
        <v>2</v>
      </c>
      <c r="AI275">
        <f>MONTH(vp.data[[#This Row],[SDate]])</f>
        <v>7</v>
      </c>
      <c r="AJ275" s="5">
        <f>(vp.data[[#This Row],[VP]]-INDEX(crudeBD.lkup[Mean_VP],MATCH(vp.data[[#This Row],[Crude_Breakdown]],crudeBD.lkup[Crude Breakdown],0)))^2</f>
        <v>115.5557579380598</v>
      </c>
      <c r="AK275" s="5">
        <f>(vp.data[[#This Row],[Dens]]-INDEX(crudeBD.lkup[Mean_Dens],MATCH(vp.data[[#This Row],[Crude_Breakdown]],crudeBD.lkup[Crude Breakdown],0)))^2</f>
        <v>8.4768221054025936</v>
      </c>
      <c r="AL275" s="5">
        <f>(vp.data[[#This Row],[Sulf]]-INDEX(crudeBD.lkup[Mean_Sulf],MATCH(vp.data[[#This Row],[Crude_Breakdown]],crudeBD.lkup[Crude Breakdown],0)))^2</f>
        <v>7.4376501105998362E-3</v>
      </c>
      <c r="AM275" s="4">
        <f>IF(AND(vp.data[[#This Row],[SDate]]&gt;=DATE(YEAR(vp.data[[#This Row],[SDate]]),5,1),vp.data[[#This Row],[SDate]]&lt;=DATE(YEAR(vp.data[[#This Row],[SDate]]),9,15)),1,0)</f>
        <v>1</v>
      </c>
      <c r="AN275" s="4">
        <f>IF(vp.data[[#This Row],[SDate]]&lt;DATE(2016,12,1),0,1)</f>
        <v>0</v>
      </c>
      <c r="AO275" s="4">
        <f>IFERROR(vp.data[[#This Row],[Sulf]]*vp.data[[#This Row],[Net Dens]],"")</f>
        <v>2600162.5818299996</v>
      </c>
      <c r="AP275">
        <f>IFERROR(vp.data[[#This Row],[Dens]]*vp.data[[#This Row],[VolumeM3]],"")</f>
        <v>17334417.212199997</v>
      </c>
      <c r="AQ275" s="15">
        <f>IFERROR(vp.data[[#This Row],[VP]]*vp.data[[#This Row],[VolumeM3]],"")</f>
        <v>2223299.3518999997</v>
      </c>
    </row>
    <row r="276" spans="1:43" x14ac:dyDescent="0.25">
      <c r="A276">
        <v>275</v>
      </c>
      <c r="B276" t="s">
        <v>49</v>
      </c>
      <c r="C276" t="s">
        <v>49</v>
      </c>
      <c r="D276" t="s">
        <v>75</v>
      </c>
      <c r="F276" s="1">
        <v>42578</v>
      </c>
      <c r="G276" s="2">
        <v>101.3</v>
      </c>
      <c r="H276" s="2"/>
      <c r="I276" s="2">
        <f t="array" ref="I276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276" s="2"/>
      <c r="K276" s="2"/>
      <c r="L276" s="2">
        <v>805.4</v>
      </c>
      <c r="M276" s="2">
        <f t="array" ref="M276">_xlfn.IFNA(IF(vp.data[[#This Row],[Dens Input]]="",INDEX([1]DATA!$O$3:$O$9826,MATCH(1,(vp.data[[#This Row],[Battery]]=[1]DATA!$L$3:$L$9826)*(EOMONTH(vp.data[[#This Row],[SDate]],-1)+1=[1]DATA!$G$3:$G$9826),0)),vp.data[[#This Row],[Dens Input]]),"")</f>
        <v>805.4</v>
      </c>
      <c r="N276" s="2">
        <f ca="1">INDEX(INDIRECT(_xlfn.CONCAT("weather.tbl[",N$1,"]")),MATCH(vp.data[[#This Row],[SDate]],weather.tbl[Date],0))</f>
        <v>18.083333333333332</v>
      </c>
      <c r="O276" s="2">
        <f ca="1">INDEX(INDIRECT(_xlfn.CONCAT("weather.tbl[",O$1,"]")),MATCH(vp.data[[#This Row],[SDate]],weather.tbl[Date],0))</f>
        <v>20.169047619047614</v>
      </c>
      <c r="P276" s="2">
        <f ca="1">INDEX(INDIRECT(_xlfn.CONCAT("weather.tbl[",P$1,"]")),MATCH(vp.data[[#This Row],[SDate]],weather.tbl[Date],0))</f>
        <v>18.399999999999999</v>
      </c>
      <c r="Q276" s="2">
        <f ca="1">INDEX(INDIRECT(_xlfn.CONCAT("weather.tbl[",Q$1,"]")),MATCH(vp.data[[#This Row],[SDate]],weather.tbl[Date],0))</f>
        <v>18.399999999999999</v>
      </c>
      <c r="R276" s="2">
        <f ca="1">INDEX(INDIRECT(_xlfn.CONCAT("weather.tbl[",R$1,"]")),MATCH(vp.data[[#This Row],[SDate]],weather.tbl[Date],0))</f>
        <v>17.5</v>
      </c>
      <c r="S276" s="2">
        <f ca="1">INDEX(INDIRECT(_xlfn.CONCAT("weather.tbl[",S$1,"]")),MATCH(vp.data[[#This Row],[SDate]],weather.tbl[Date],0))</f>
        <v>18.3</v>
      </c>
      <c r="T276" s="2">
        <f ca="1">INDEX(INDIRECT(_xlfn.CONCAT("weather.tbl[",T$1,"]")),MATCH(vp.data[[#This Row],[SDate]],weather.tbl[Date],0))</f>
        <v>18.600000000000001</v>
      </c>
      <c r="U276" s="2">
        <f ca="1">INDEX(INDIRECT(_xlfn.CONCAT("weather.tbl[",U$1,"]")),MATCH(vp.data[[#This Row],[SDate]],weather.tbl[Date],0))</f>
        <v>17.3</v>
      </c>
      <c r="V276" s="2">
        <f t="array" ref="V2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21522.742999999999</v>
      </c>
      <c r="W276" t="s">
        <v>48</v>
      </c>
      <c r="X276">
        <f>IF(OR(vp.data[[#This Row],[Sulf]]="",vp.data[[#This Row],[Dens]]=""),1,0)</f>
        <v>0</v>
      </c>
      <c r="Y276">
        <f>IF(vp.data[[#This Row],[CrudeType]]="C5+",1,0)</f>
        <v>0</v>
      </c>
      <c r="Z276">
        <f>IF(AND(vp.data[[#This Row],[CrudeType]]="Crude",vp.data[[#This Row],[Dens]]&lt;=825,vp.data[[#This Row],[Sulf]]&gt;0.5,vp.data[[#This Row],[Unknown]]=0),1,0)</f>
        <v>0</v>
      </c>
      <c r="AA276">
        <f>IF(AND(vp.data[[#This Row],[CrudeType]]="Crude",vp.data[[#This Row],[Dens]]&lt;=825,vp.data[[#This Row],[Sulf]]&lt;=0.5,vp.data[[#This Row],[Unknown]]=0),1,0)</f>
        <v>1</v>
      </c>
      <c r="AB2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6">
        <f>IF(AND(vp.data[[#This Row],[CrudeType]]="Crude",vp.data[[#This Row],[Dens]]&gt;825,vp.data[[#This Row],[Dens]]&lt;=900,vp.data[[#This Row],[Sulf]]&lt;=0.5,vp.data[[#This Row],[Unknown]]=0),1,0)</f>
        <v>0</v>
      </c>
      <c r="AD276">
        <f>IF(AND(vp.data[[#This Row],[CrudeType]]="Crude",vp.data[[#This Row],[Dens]]&gt;865,vp.data[[#This Row],[Dens]]&lt;=900,vp.data[[#This Row],[Sulf]]&gt;2,vp.data[[#This Row],[Unknown]]=0),1,0)</f>
        <v>0</v>
      </c>
      <c r="AE276">
        <f>IF(AND(vp.data[[#This Row],[CrudeType]]="Crude",vp.data[[#This Row],[Dens]]&gt;900,vp.data[[#This Row],[Sulf]]&lt;=0.5,vp.data[[#This Row],[Unknown]]=0),1,0)</f>
        <v>0</v>
      </c>
      <c r="AF276">
        <f>IF(AND(vp.data[[#This Row],[CrudeType]]="Crude",vp.data[[#This Row],[Dens]]&gt;900,vp.data[[#This Row],[Sulf]]&lt;=0.5,vp.data[[#This Row],[Unknown]]=0),1,0)</f>
        <v>0</v>
      </c>
      <c r="AG276" t="str">
        <f>INDEX(vp.data[[#Headers],[Unknown]:[Heavy_SW]],MATCH(1,vp.data[[#This Row],[Unknown]:[Heavy_SW]],0))</f>
        <v>Light_SW</v>
      </c>
      <c r="AH276">
        <f>INDEX([3]!crudeBD.lkup[Number],MATCH(vp.data[[#This Row],[Crude_Breakdown]],crudeBD.lkup[Crude Breakdown],0))</f>
        <v>2</v>
      </c>
      <c r="AI276">
        <f>MONTH(vp.data[[#This Row],[SDate]])</f>
        <v>7</v>
      </c>
      <c r="AJ276" s="5">
        <f>(vp.data[[#This Row],[VP]]-INDEX(crudeBD.lkup[Mean_VP],MATCH(vp.data[[#This Row],[Crude_Breakdown]],crudeBD.lkup[Crude Breakdown],0)))^2</f>
        <v>76.557012293460389</v>
      </c>
      <c r="AK276" s="5">
        <f>(vp.data[[#This Row],[Dens]]-INDEX(crudeBD.lkup[Mean_Dens],MATCH(vp.data[[#This Row],[Crude_Breakdown]],crudeBD.lkup[Crude Breakdown],0)))^2</f>
        <v>8.4768221054025936</v>
      </c>
      <c r="AL276" s="5">
        <f>(vp.data[[#This Row],[Sulf]]-INDEX(crudeBD.lkup[Mean_Sulf],MATCH(vp.data[[#This Row],[Crude_Breakdown]],crudeBD.lkup[Crude Breakdown],0)))^2</f>
        <v>7.4376501105998362E-3</v>
      </c>
      <c r="AM276" s="4">
        <f>IF(AND(vp.data[[#This Row],[SDate]]&gt;=DATE(YEAR(vp.data[[#This Row],[SDate]]),5,1),vp.data[[#This Row],[SDate]]&lt;=DATE(YEAR(vp.data[[#This Row],[SDate]]),9,15)),1,0)</f>
        <v>1</v>
      </c>
      <c r="AN276" s="4">
        <f>IF(vp.data[[#This Row],[SDate]]&lt;DATE(2016,12,1),0,1)</f>
        <v>0</v>
      </c>
      <c r="AO276" s="4">
        <f>IFERROR(vp.data[[#This Row],[Sulf]]*vp.data[[#This Row],[Net Dens]],"")</f>
        <v>2600162.5818299996</v>
      </c>
      <c r="AP276">
        <f>IFERROR(vp.data[[#This Row],[Dens]]*vp.data[[#This Row],[VolumeM3]],"")</f>
        <v>17334417.212199997</v>
      </c>
      <c r="AQ276" s="15">
        <f>IFERROR(vp.data[[#This Row],[VP]]*vp.data[[#This Row],[VolumeM3]],"")</f>
        <v>2180253.8658999996</v>
      </c>
    </row>
    <row r="277" spans="1:43" x14ac:dyDescent="0.25">
      <c r="A277">
        <v>276</v>
      </c>
      <c r="B277" t="s">
        <v>60</v>
      </c>
      <c r="C277" t="s">
        <v>60</v>
      </c>
      <c r="D277" t="s">
        <v>61</v>
      </c>
      <c r="E277" t="s">
        <v>55</v>
      </c>
      <c r="F277" s="1">
        <v>42578</v>
      </c>
      <c r="G277" s="2">
        <v>96</v>
      </c>
      <c r="H277" s="2"/>
      <c r="I277" s="2">
        <f t="array" ref="I277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277" s="2"/>
      <c r="K277" s="2"/>
      <c r="L277" s="2">
        <v>835</v>
      </c>
      <c r="M277" s="2">
        <f t="array" ref="M277">_xlfn.IFNA(IF(vp.data[[#This Row],[Dens Input]]="",INDEX([1]DATA!$O$3:$O$9826,MATCH(1,(vp.data[[#This Row],[Battery]]=[1]DATA!$L$3:$L$9826)*(EOMONTH(vp.data[[#This Row],[SDate]],-1)+1=[1]DATA!$G$3:$G$9826),0)),vp.data[[#This Row],[Dens Input]]),"")</f>
        <v>835</v>
      </c>
      <c r="N277" s="2">
        <f ca="1">INDEX(INDIRECT(_xlfn.CONCAT("weather.tbl[",N$1,"]")),MATCH(vp.data[[#This Row],[SDate]],weather.tbl[Date],0))</f>
        <v>18.083333333333332</v>
      </c>
      <c r="O277" s="2">
        <f ca="1">INDEX(INDIRECT(_xlfn.CONCAT("weather.tbl[",O$1,"]")),MATCH(vp.data[[#This Row],[SDate]],weather.tbl[Date],0))</f>
        <v>20.169047619047614</v>
      </c>
      <c r="P277" s="2">
        <f ca="1">INDEX(INDIRECT(_xlfn.CONCAT("weather.tbl[",P$1,"]")),MATCH(vp.data[[#This Row],[SDate]],weather.tbl[Date],0))</f>
        <v>18.399999999999999</v>
      </c>
      <c r="Q277" s="2">
        <f ca="1">INDEX(INDIRECT(_xlfn.CONCAT("weather.tbl[",Q$1,"]")),MATCH(vp.data[[#This Row],[SDate]],weather.tbl[Date],0))</f>
        <v>18.399999999999999</v>
      </c>
      <c r="R277" s="2">
        <f ca="1">INDEX(INDIRECT(_xlfn.CONCAT("weather.tbl[",R$1,"]")),MATCH(vp.data[[#This Row],[SDate]],weather.tbl[Date],0))</f>
        <v>17.5</v>
      </c>
      <c r="S277" s="2">
        <f ca="1">INDEX(INDIRECT(_xlfn.CONCAT("weather.tbl[",S$1,"]")),MATCH(vp.data[[#This Row],[SDate]],weather.tbl[Date],0))</f>
        <v>18.3</v>
      </c>
      <c r="T277" s="2">
        <f ca="1">INDEX(INDIRECT(_xlfn.CONCAT("weather.tbl[",T$1,"]")),MATCH(vp.data[[#This Row],[SDate]],weather.tbl[Date],0))</f>
        <v>18.600000000000001</v>
      </c>
      <c r="U277" s="2">
        <f ca="1">INDEX(INDIRECT(_xlfn.CONCAT("weather.tbl[",U$1,"]")),MATCH(vp.data[[#This Row],[SDate]],weather.tbl[Date],0))</f>
        <v>17.3</v>
      </c>
      <c r="V277" s="2">
        <f t="array" ref="V2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102591.85</v>
      </c>
      <c r="W277" t="s">
        <v>48</v>
      </c>
      <c r="X277">
        <f>IF(OR(vp.data[[#This Row],[Sulf]]="",vp.data[[#This Row],[Dens]]=""),1,0)</f>
        <v>0</v>
      </c>
      <c r="Y277">
        <f>IF(vp.data[[#This Row],[CrudeType]]="C5+",1,0)</f>
        <v>0</v>
      </c>
      <c r="Z277">
        <f>IF(AND(vp.data[[#This Row],[CrudeType]]="Crude",vp.data[[#This Row],[Dens]]&lt;=825,vp.data[[#This Row],[Sulf]]&gt;0.5,vp.data[[#This Row],[Unknown]]=0),1,0)</f>
        <v>0</v>
      </c>
      <c r="AA277">
        <f>IF(AND(vp.data[[#This Row],[CrudeType]]="Crude",vp.data[[#This Row],[Dens]]&lt;=825,vp.data[[#This Row],[Sulf]]&lt;=0.5,vp.data[[#This Row],[Unknown]]=0),1,0)</f>
        <v>0</v>
      </c>
      <c r="AB2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77">
        <f>IF(AND(vp.data[[#This Row],[CrudeType]]="Crude",vp.data[[#This Row],[Dens]]&gt;825,vp.data[[#This Row],[Dens]]&lt;=900,vp.data[[#This Row],[Sulf]]&lt;=0.5,vp.data[[#This Row],[Unknown]]=0),1,0)</f>
        <v>0</v>
      </c>
      <c r="AD277">
        <f>IF(AND(vp.data[[#This Row],[CrudeType]]="Crude",vp.data[[#This Row],[Dens]]&gt;865,vp.data[[#This Row],[Dens]]&lt;=900,vp.data[[#This Row],[Sulf]]&gt;2,vp.data[[#This Row],[Unknown]]=0),1,0)</f>
        <v>0</v>
      </c>
      <c r="AE277">
        <f>IF(AND(vp.data[[#This Row],[CrudeType]]="Crude",vp.data[[#This Row],[Dens]]&gt;900,vp.data[[#This Row],[Sulf]]&lt;=0.5,vp.data[[#This Row],[Unknown]]=0),1,0)</f>
        <v>0</v>
      </c>
      <c r="AF277">
        <f>IF(AND(vp.data[[#This Row],[CrudeType]]="Crude",vp.data[[#This Row],[Dens]]&gt;900,vp.data[[#This Row],[Sulf]]&lt;=0.5,vp.data[[#This Row],[Unknown]]=0),1,0)</f>
        <v>0</v>
      </c>
      <c r="AG277" t="str">
        <f>INDEX(vp.data[[#Headers],[Unknown]:[Heavy_SW]],MATCH(1,vp.data[[#This Row],[Unknown]:[Heavy_SW]],0))</f>
        <v>Medium_LSB</v>
      </c>
      <c r="AH277">
        <f>INDEX([3]!crudeBD.lkup[Number],MATCH(vp.data[[#This Row],[Crude_Breakdown]],crudeBD.lkup[Crude Breakdown],0))</f>
        <v>3</v>
      </c>
      <c r="AI277">
        <f>MONTH(vp.data[[#This Row],[SDate]])</f>
        <v>7</v>
      </c>
      <c r="AJ277" s="5">
        <f>(vp.data[[#This Row],[VP]]-INDEX(crudeBD.lkup[Mean_VP],MATCH(vp.data[[#This Row],[Crude_Breakdown]],crudeBD.lkup[Crude Breakdown],0)))^2</f>
        <v>235.93953649276236</v>
      </c>
      <c r="AK277" s="5">
        <f>(vp.data[[#This Row],[Dens]]-INDEX(crudeBD.lkup[Mean_Dens],MATCH(vp.data[[#This Row],[Crude_Breakdown]],crudeBD.lkup[Crude Breakdown],0)))^2</f>
        <v>79.566399999991162</v>
      </c>
      <c r="AL277" s="5">
        <f>(vp.data[[#This Row],[Sulf]]-INDEX(crudeBD.lkup[Mean_Sulf],MATCH(vp.data[[#This Row],[Crude_Breakdown]],crudeBD.lkup[Crude Breakdown],0)))^2</f>
        <v>0.18097207424933273</v>
      </c>
      <c r="AM277" s="4">
        <f>IF(AND(vp.data[[#This Row],[SDate]]&gt;=DATE(YEAR(vp.data[[#This Row],[SDate]]),5,1),vp.data[[#This Row],[SDate]]&lt;=DATE(YEAR(vp.data[[#This Row],[SDate]]),9,15)),1,0)</f>
        <v>1</v>
      </c>
      <c r="AN277" s="4">
        <f>IF(vp.data[[#This Row],[SDate]]&lt;DATE(2016,12,1),0,1)</f>
        <v>0</v>
      </c>
      <c r="AO277" s="4">
        <f>IFERROR(vp.data[[#This Row],[Sulf]]*vp.data[[#This Row],[Net Dens]],"")</f>
        <v>82237626.959999993</v>
      </c>
      <c r="AP277">
        <f>IFERROR(vp.data[[#This Row],[Dens]]*vp.data[[#This Row],[VolumeM3]],"")</f>
        <v>85664194.75</v>
      </c>
      <c r="AQ277" s="15">
        <f>IFERROR(vp.data[[#This Row],[VP]]*vp.data[[#This Row],[VolumeM3]],"")</f>
        <v>9848817.6000000015</v>
      </c>
    </row>
    <row r="278" spans="1:43" x14ac:dyDescent="0.25">
      <c r="A278">
        <v>277</v>
      </c>
      <c r="B278" t="s">
        <v>46</v>
      </c>
      <c r="C278" t="s">
        <v>46</v>
      </c>
      <c r="D278" t="s">
        <v>47</v>
      </c>
      <c r="F278" s="1">
        <v>42579</v>
      </c>
      <c r="G278" s="2">
        <v>54.5</v>
      </c>
      <c r="H278" s="2"/>
      <c r="I278" s="2">
        <f t="array" ref="I278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278" s="2"/>
      <c r="K278" s="2"/>
      <c r="L278" s="2">
        <v>869.7</v>
      </c>
      <c r="M278" s="2">
        <f t="array" ref="M278">_xlfn.IFNA(IF(vp.data[[#This Row],[Dens Input]]="",INDEX([1]DATA!$O$3:$O$9826,MATCH(1,(vp.data[[#This Row],[Battery]]=[1]DATA!$L$3:$L$9826)*(EOMONTH(vp.data[[#This Row],[SDate]],-1)+1=[1]DATA!$G$3:$G$9826),0)),vp.data[[#This Row],[Dens Input]]),"")</f>
        <v>869.7</v>
      </c>
      <c r="N278" s="2">
        <f ca="1">INDEX(INDIRECT(_xlfn.CONCAT("weather.tbl[",N$1,"]")),MATCH(vp.data[[#This Row],[SDate]],weather.tbl[Date],0))</f>
        <v>17.399999999999999</v>
      </c>
      <c r="O278" s="2">
        <f ca="1">INDEX(INDIRECT(_xlfn.CONCAT("weather.tbl[",O$1,"]")),MATCH(vp.data[[#This Row],[SDate]],weather.tbl[Date],0))</f>
        <v>19.545238095238094</v>
      </c>
      <c r="P278" s="2">
        <f ca="1">INDEX(INDIRECT(_xlfn.CONCAT("weather.tbl[",P$1,"]")),MATCH(vp.data[[#This Row],[SDate]],weather.tbl[Date],0))</f>
        <v>17.8</v>
      </c>
      <c r="Q278" s="2">
        <f ca="1">INDEX(INDIRECT(_xlfn.CONCAT("weather.tbl[",Q$1,"]")),MATCH(vp.data[[#This Row],[SDate]],weather.tbl[Date],0))</f>
        <v>18.3</v>
      </c>
      <c r="R278" s="2">
        <f ca="1">INDEX(INDIRECT(_xlfn.CONCAT("weather.tbl[",R$1,"]")),MATCH(vp.data[[#This Row],[SDate]],weather.tbl[Date],0))</f>
        <v>16.5</v>
      </c>
      <c r="S278" s="2">
        <f ca="1">INDEX(INDIRECT(_xlfn.CONCAT("weather.tbl[",S$1,"]")),MATCH(vp.data[[#This Row],[SDate]],weather.tbl[Date],0))</f>
        <v>19</v>
      </c>
      <c r="T278" s="2">
        <f ca="1">INDEX(INDIRECT(_xlfn.CONCAT("weather.tbl[",T$1,"]")),MATCH(vp.data[[#This Row],[SDate]],weather.tbl[Date],0))</f>
        <v>15.8</v>
      </c>
      <c r="U278" s="2">
        <f ca="1">INDEX(INDIRECT(_xlfn.CONCAT("weather.tbl[",U$1,"]")),MATCH(vp.data[[#This Row],[SDate]],weather.tbl[Date],0))</f>
        <v>17</v>
      </c>
      <c r="V278" s="2">
        <f t="array" ref="V2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114134.67200000001</v>
      </c>
      <c r="W278" t="s">
        <v>48</v>
      </c>
      <c r="X278">
        <f>IF(OR(vp.data[[#This Row],[Sulf]]="",vp.data[[#This Row],[Dens]]=""),1,0)</f>
        <v>0</v>
      </c>
      <c r="Y278">
        <f>IF(vp.data[[#This Row],[CrudeType]]="C5+",1,0)</f>
        <v>0</v>
      </c>
      <c r="Z278">
        <f>IF(AND(vp.data[[#This Row],[CrudeType]]="Crude",vp.data[[#This Row],[Dens]]&lt;=825,vp.data[[#This Row],[Sulf]]&gt;0.5,vp.data[[#This Row],[Unknown]]=0),1,0)</f>
        <v>0</v>
      </c>
      <c r="AA278">
        <f>IF(AND(vp.data[[#This Row],[CrudeType]]="Crude",vp.data[[#This Row],[Dens]]&lt;=825,vp.data[[#This Row],[Sulf]]&lt;=0.5,vp.data[[#This Row],[Unknown]]=0),1,0)</f>
        <v>0</v>
      </c>
      <c r="AB2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78">
        <f>IF(AND(vp.data[[#This Row],[CrudeType]]="Crude",vp.data[[#This Row],[Dens]]&gt;825,vp.data[[#This Row],[Dens]]&lt;=900,vp.data[[#This Row],[Sulf]]&lt;=0.5,vp.data[[#This Row],[Unknown]]=0),1,0)</f>
        <v>0</v>
      </c>
      <c r="AD278">
        <f>IF(AND(vp.data[[#This Row],[CrudeType]]="Crude",vp.data[[#This Row],[Dens]]&gt;865,vp.data[[#This Row],[Dens]]&lt;=900,vp.data[[#This Row],[Sulf]]&gt;2,vp.data[[#This Row],[Unknown]]=0),1,0)</f>
        <v>1</v>
      </c>
      <c r="AE278">
        <f>IF(AND(vp.data[[#This Row],[CrudeType]]="Crude",vp.data[[#This Row],[Dens]]&gt;900,vp.data[[#This Row],[Sulf]]&lt;=0.5,vp.data[[#This Row],[Unknown]]=0),1,0)</f>
        <v>0</v>
      </c>
      <c r="AF278">
        <f>IF(AND(vp.data[[#This Row],[CrudeType]]="Crude",vp.data[[#This Row],[Dens]]&gt;900,vp.data[[#This Row],[Sulf]]&lt;=0.5,vp.data[[#This Row],[Unknown]]=0),1,0)</f>
        <v>0</v>
      </c>
      <c r="AG278" t="str">
        <f>INDEX(vp.data[[#Headers],[Unknown]:[Heavy_SW]],MATCH(1,vp.data[[#This Row],[Unknown]:[Heavy_SW]],0))</f>
        <v>Midale</v>
      </c>
      <c r="AH278">
        <f>INDEX([3]!crudeBD.lkup[Number],MATCH(vp.data[[#This Row],[Crude_Breakdown]],crudeBD.lkup[Crude Breakdown],0))</f>
        <v>5</v>
      </c>
      <c r="AI278">
        <f>MONTH(vp.data[[#This Row],[SDate]])</f>
        <v>7</v>
      </c>
      <c r="AJ278" s="5">
        <f>(vp.data[[#This Row],[VP]]-INDEX(crudeBD.lkup[Mean_VP],MATCH(vp.data[[#This Row],[Crude_Breakdown]],crudeBD.lkup[Crude Breakdown],0)))^2</f>
        <v>222.27121080880102</v>
      </c>
      <c r="AK278" s="5">
        <f>(vp.data[[#This Row],[Dens]]-INDEX(crudeBD.lkup[Mean_Dens],MATCH(vp.data[[#This Row],[Crude_Breakdown]],crudeBD.lkup[Crude Breakdown],0)))^2</f>
        <v>26.183794505263599</v>
      </c>
      <c r="AL278" s="5">
        <f>(vp.data[[#This Row],[Sulf]]-INDEX(crudeBD.lkup[Mean_Sulf],MATCH(vp.data[[#This Row],[Crude_Breakdown]],crudeBD.lkup[Crude Breakdown],0)))^2</f>
        <v>1.130006345424492E-3</v>
      </c>
      <c r="AM278" s="4">
        <f>IF(AND(vp.data[[#This Row],[SDate]]&gt;=DATE(YEAR(vp.data[[#This Row],[SDate]]),5,1),vp.data[[#This Row],[SDate]]&lt;=DATE(YEAR(vp.data[[#This Row],[SDate]]),9,15)),1,0)</f>
        <v>1</v>
      </c>
      <c r="AN278" s="4">
        <f>IF(vp.data[[#This Row],[SDate]]&lt;DATE(2016,12,1),0,1)</f>
        <v>0</v>
      </c>
      <c r="AO278" s="4">
        <f>IFERROR(vp.data[[#This Row],[Sulf]]*vp.data[[#This Row],[Net Dens]],"")</f>
        <v>239223647.41454405</v>
      </c>
      <c r="AP278">
        <f>IFERROR(vp.data[[#This Row],[Dens]]*vp.data[[#This Row],[VolumeM3]],"")</f>
        <v>99262924.238400012</v>
      </c>
      <c r="AQ278" s="15">
        <f>IFERROR(vp.data[[#This Row],[VP]]*vp.data[[#This Row],[VolumeM3]],"")</f>
        <v>6220339.6240000008</v>
      </c>
    </row>
    <row r="279" spans="1:43" x14ac:dyDescent="0.25">
      <c r="A279">
        <v>278</v>
      </c>
      <c r="B279" t="s">
        <v>62</v>
      </c>
      <c r="C279" t="s">
        <v>62</v>
      </c>
      <c r="D279" t="s">
        <v>63</v>
      </c>
      <c r="F279" s="1">
        <v>42580</v>
      </c>
      <c r="G279" s="2">
        <v>84.4</v>
      </c>
      <c r="H279" s="2"/>
      <c r="I279" s="2">
        <f t="array" ref="I27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279" s="2"/>
      <c r="K279" s="2"/>
      <c r="L279" s="2">
        <v>833.7</v>
      </c>
      <c r="M279" s="2">
        <f t="array" ref="M279">_xlfn.IFNA(IF(vp.data[[#This Row],[Dens Input]]="",INDEX([1]DATA!$O$3:$O$9826,MATCH(1,(vp.data[[#This Row],[Battery]]=[1]DATA!$L$3:$L$9826)*(EOMONTH(vp.data[[#This Row],[SDate]],-1)+1=[1]DATA!$G$3:$G$9826),0)),vp.data[[#This Row],[Dens Input]]),"")</f>
        <v>833.7</v>
      </c>
      <c r="N279" s="2">
        <f ca="1">INDEX(INDIRECT(_xlfn.CONCAT("weather.tbl[",N$1,"]")),MATCH(vp.data[[#This Row],[SDate]],weather.tbl[Date],0))</f>
        <v>17.899999999999999</v>
      </c>
      <c r="O279" s="2">
        <f ca="1">INDEX(INDIRECT(_xlfn.CONCAT("weather.tbl[",O$1,"]")),MATCH(vp.data[[#This Row],[SDate]],weather.tbl[Date],0))</f>
        <v>19.159523809523808</v>
      </c>
      <c r="P279" s="2">
        <f ca="1">INDEX(INDIRECT(_xlfn.CONCAT("weather.tbl[",P$1,"]")),MATCH(vp.data[[#This Row],[SDate]],weather.tbl[Date],0))</f>
        <v>18.100000000000001</v>
      </c>
      <c r="Q279" s="2">
        <f ca="1">INDEX(INDIRECT(_xlfn.CONCAT("weather.tbl[",Q$1,"]")),MATCH(vp.data[[#This Row],[SDate]],weather.tbl[Date],0))</f>
        <v>18.600000000000001</v>
      </c>
      <c r="R279" s="2">
        <f ca="1">INDEX(INDIRECT(_xlfn.CONCAT("weather.tbl[",R$1,"]")),MATCH(vp.data[[#This Row],[SDate]],weather.tbl[Date],0))</f>
        <v>16.5</v>
      </c>
      <c r="S279" s="2">
        <f ca="1">INDEX(INDIRECT(_xlfn.CONCAT("weather.tbl[",S$1,"]")),MATCH(vp.data[[#This Row],[SDate]],weather.tbl[Date],0))</f>
        <v>18.5</v>
      </c>
      <c r="T279" s="2">
        <f ca="1">INDEX(INDIRECT(_xlfn.CONCAT("weather.tbl[",T$1,"]")),MATCH(vp.data[[#This Row],[SDate]],weather.tbl[Date],0))</f>
        <v>17.899999999999999</v>
      </c>
      <c r="U279" s="2">
        <f ca="1">INDEX(INDIRECT(_xlfn.CONCAT("weather.tbl[",U$1,"]")),MATCH(vp.data[[#This Row],[SDate]],weather.tbl[Date],0))</f>
        <v>17.8</v>
      </c>
      <c r="V279" s="2">
        <f t="array" ref="V2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5457.835</v>
      </c>
      <c r="W279" t="s">
        <v>48</v>
      </c>
      <c r="X279">
        <f>IF(OR(vp.data[[#This Row],[Sulf]]="",vp.data[[#This Row],[Dens]]=""),1,0)</f>
        <v>0</v>
      </c>
      <c r="Y279">
        <f>IF(vp.data[[#This Row],[CrudeType]]="C5+",1,0)</f>
        <v>0</v>
      </c>
      <c r="Z279">
        <f>IF(AND(vp.data[[#This Row],[CrudeType]]="Crude",vp.data[[#This Row],[Dens]]&lt;=825,vp.data[[#This Row],[Sulf]]&gt;0.5,vp.data[[#This Row],[Unknown]]=0),1,0)</f>
        <v>0</v>
      </c>
      <c r="AA279">
        <f>IF(AND(vp.data[[#This Row],[CrudeType]]="Crude",vp.data[[#This Row],[Dens]]&lt;=825,vp.data[[#This Row],[Sulf]]&lt;=0.5,vp.data[[#This Row],[Unknown]]=0),1,0)</f>
        <v>0</v>
      </c>
      <c r="AB2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79">
        <f>IF(AND(vp.data[[#This Row],[CrudeType]]="Crude",vp.data[[#This Row],[Dens]]&gt;825,vp.data[[#This Row],[Dens]]&lt;=900,vp.data[[#This Row],[Sulf]]&lt;=0.5,vp.data[[#This Row],[Unknown]]=0),1,0)</f>
        <v>0</v>
      </c>
      <c r="AD279">
        <f>IF(AND(vp.data[[#This Row],[CrudeType]]="Crude",vp.data[[#This Row],[Dens]]&gt;865,vp.data[[#This Row],[Dens]]&lt;=900,vp.data[[#This Row],[Sulf]]&gt;2,vp.data[[#This Row],[Unknown]]=0),1,0)</f>
        <v>0</v>
      </c>
      <c r="AE279">
        <f>IF(AND(vp.data[[#This Row],[CrudeType]]="Crude",vp.data[[#This Row],[Dens]]&gt;900,vp.data[[#This Row],[Sulf]]&lt;=0.5,vp.data[[#This Row],[Unknown]]=0),1,0)</f>
        <v>0</v>
      </c>
      <c r="AF279">
        <f>IF(AND(vp.data[[#This Row],[CrudeType]]="Crude",vp.data[[#This Row],[Dens]]&gt;900,vp.data[[#This Row],[Sulf]]&lt;=0.5,vp.data[[#This Row],[Unknown]]=0),1,0)</f>
        <v>0</v>
      </c>
      <c r="AG279" t="str">
        <f>INDEX(vp.data[[#Headers],[Unknown]:[Heavy_SW]],MATCH(1,vp.data[[#This Row],[Unknown]:[Heavy_SW]],0))</f>
        <v>Medium_LSB</v>
      </c>
      <c r="AH279">
        <f>INDEX([3]!crudeBD.lkup[Number],MATCH(vp.data[[#This Row],[Crude_Breakdown]],crudeBD.lkup[Crude Breakdown],0))</f>
        <v>3</v>
      </c>
      <c r="AI279">
        <f>MONTH(vp.data[[#This Row],[SDate]])</f>
        <v>7</v>
      </c>
      <c r="AJ279" s="5">
        <f>(vp.data[[#This Row],[VP]]-INDEX(crudeBD.lkup[Mean_VP],MATCH(vp.data[[#This Row],[Crude_Breakdown]],crudeBD.lkup[Crude Breakdown],0)))^2</f>
        <v>14.140032449634047</v>
      </c>
      <c r="AK279" s="5">
        <f>(vp.data[[#This Row],[Dens]]-INDEX(crudeBD.lkup[Mean_Dens],MATCH(vp.data[[#This Row],[Crude_Breakdown]],crudeBD.lkup[Crude Breakdown],0)))^2</f>
        <v>104.44839999998894</v>
      </c>
      <c r="AL279" s="5">
        <f>(vp.data[[#This Row],[Sulf]]-INDEX(crudeBD.lkup[Mean_Sulf],MATCH(vp.data[[#This Row],[Crude_Breakdown]],crudeBD.lkup[Crude Breakdown],0)))^2</f>
        <v>1.5727198238550122E-2</v>
      </c>
      <c r="AM279" s="4">
        <f>IF(AND(vp.data[[#This Row],[SDate]]&gt;=DATE(YEAR(vp.data[[#This Row],[SDate]]),5,1),vp.data[[#This Row],[SDate]]&lt;=DATE(YEAR(vp.data[[#This Row],[SDate]]),9,15)),1,0)</f>
        <v>1</v>
      </c>
      <c r="AN279" s="4">
        <f>IF(vp.data[[#This Row],[SDate]]&lt;DATE(2016,12,1),0,1)</f>
        <v>0</v>
      </c>
      <c r="AO279" s="4">
        <f>IFERROR(vp.data[[#This Row],[Sulf]]*vp.data[[#This Row],[Net Dens]],"")</f>
        <v>5733248.2697700001</v>
      </c>
      <c r="AP279">
        <f>IFERROR(vp.data[[#This Row],[Dens]]*vp.data[[#This Row],[VolumeM3]],"")</f>
        <v>4550197.0395</v>
      </c>
      <c r="AQ279" s="15">
        <f>IFERROR(vp.data[[#This Row],[VP]]*vp.data[[#This Row],[VolumeM3]],"")</f>
        <v>460641.27400000003</v>
      </c>
    </row>
    <row r="280" spans="1:43" x14ac:dyDescent="0.25">
      <c r="A280">
        <v>279</v>
      </c>
      <c r="B280" t="s">
        <v>62</v>
      </c>
      <c r="C280" t="s">
        <v>62</v>
      </c>
      <c r="D280" t="s">
        <v>63</v>
      </c>
      <c r="F280" s="1">
        <v>42580</v>
      </c>
      <c r="G280" s="2">
        <v>70.900000000000006</v>
      </c>
      <c r="H280" s="2"/>
      <c r="I280" s="2">
        <f t="array" ref="I280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280" s="2"/>
      <c r="K280" s="2"/>
      <c r="L280" s="2">
        <v>833.7</v>
      </c>
      <c r="M280" s="2">
        <f t="array" ref="M280">_xlfn.IFNA(IF(vp.data[[#This Row],[Dens Input]]="",INDEX([1]DATA!$O$3:$O$9826,MATCH(1,(vp.data[[#This Row],[Battery]]=[1]DATA!$L$3:$L$9826)*(EOMONTH(vp.data[[#This Row],[SDate]],-1)+1=[1]DATA!$G$3:$G$9826),0)),vp.data[[#This Row],[Dens Input]]),"")</f>
        <v>833.7</v>
      </c>
      <c r="N280" s="2">
        <f ca="1">INDEX(INDIRECT(_xlfn.CONCAT("weather.tbl[",N$1,"]")),MATCH(vp.data[[#This Row],[SDate]],weather.tbl[Date],0))</f>
        <v>17.899999999999999</v>
      </c>
      <c r="O280" s="2">
        <f ca="1">INDEX(INDIRECT(_xlfn.CONCAT("weather.tbl[",O$1,"]")),MATCH(vp.data[[#This Row],[SDate]],weather.tbl[Date],0))</f>
        <v>19.159523809523808</v>
      </c>
      <c r="P280" s="2">
        <f ca="1">INDEX(INDIRECT(_xlfn.CONCAT("weather.tbl[",P$1,"]")),MATCH(vp.data[[#This Row],[SDate]],weather.tbl[Date],0))</f>
        <v>18.100000000000001</v>
      </c>
      <c r="Q280" s="2">
        <f ca="1">INDEX(INDIRECT(_xlfn.CONCAT("weather.tbl[",Q$1,"]")),MATCH(vp.data[[#This Row],[SDate]],weather.tbl[Date],0))</f>
        <v>18.600000000000001</v>
      </c>
      <c r="R280" s="2">
        <f ca="1">INDEX(INDIRECT(_xlfn.CONCAT("weather.tbl[",R$1,"]")),MATCH(vp.data[[#This Row],[SDate]],weather.tbl[Date],0))</f>
        <v>16.5</v>
      </c>
      <c r="S280" s="2">
        <f ca="1">INDEX(INDIRECT(_xlfn.CONCAT("weather.tbl[",S$1,"]")),MATCH(vp.data[[#This Row],[SDate]],weather.tbl[Date],0))</f>
        <v>18.5</v>
      </c>
      <c r="T280" s="2">
        <f ca="1">INDEX(INDIRECT(_xlfn.CONCAT("weather.tbl[",T$1,"]")),MATCH(vp.data[[#This Row],[SDate]],weather.tbl[Date],0))</f>
        <v>17.899999999999999</v>
      </c>
      <c r="U280" s="2">
        <f ca="1">INDEX(INDIRECT(_xlfn.CONCAT("weather.tbl[",U$1,"]")),MATCH(vp.data[[#This Row],[SDate]],weather.tbl[Date],0))</f>
        <v>17.8</v>
      </c>
      <c r="V280" s="2">
        <f t="array" ref="V2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5457.835</v>
      </c>
      <c r="W280" t="s">
        <v>48</v>
      </c>
      <c r="X280">
        <f>IF(OR(vp.data[[#This Row],[Sulf]]="",vp.data[[#This Row],[Dens]]=""),1,0)</f>
        <v>0</v>
      </c>
      <c r="Y280">
        <f>IF(vp.data[[#This Row],[CrudeType]]="C5+",1,0)</f>
        <v>0</v>
      </c>
      <c r="Z280">
        <f>IF(AND(vp.data[[#This Row],[CrudeType]]="Crude",vp.data[[#This Row],[Dens]]&lt;=825,vp.data[[#This Row],[Sulf]]&gt;0.5,vp.data[[#This Row],[Unknown]]=0),1,0)</f>
        <v>0</v>
      </c>
      <c r="AA280">
        <f>IF(AND(vp.data[[#This Row],[CrudeType]]="Crude",vp.data[[#This Row],[Dens]]&lt;=825,vp.data[[#This Row],[Sulf]]&lt;=0.5,vp.data[[#This Row],[Unknown]]=0),1,0)</f>
        <v>0</v>
      </c>
      <c r="AB2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80">
        <f>IF(AND(vp.data[[#This Row],[CrudeType]]="Crude",vp.data[[#This Row],[Dens]]&gt;825,vp.data[[#This Row],[Dens]]&lt;=900,vp.data[[#This Row],[Sulf]]&lt;=0.5,vp.data[[#This Row],[Unknown]]=0),1,0)</f>
        <v>0</v>
      </c>
      <c r="AD280">
        <f>IF(AND(vp.data[[#This Row],[CrudeType]]="Crude",vp.data[[#This Row],[Dens]]&gt;865,vp.data[[#This Row],[Dens]]&lt;=900,vp.data[[#This Row],[Sulf]]&gt;2,vp.data[[#This Row],[Unknown]]=0),1,0)</f>
        <v>0</v>
      </c>
      <c r="AE280">
        <f>IF(AND(vp.data[[#This Row],[CrudeType]]="Crude",vp.data[[#This Row],[Dens]]&gt;900,vp.data[[#This Row],[Sulf]]&lt;=0.5,vp.data[[#This Row],[Unknown]]=0),1,0)</f>
        <v>0</v>
      </c>
      <c r="AF280">
        <f>IF(AND(vp.data[[#This Row],[CrudeType]]="Crude",vp.data[[#This Row],[Dens]]&gt;900,vp.data[[#This Row],[Sulf]]&lt;=0.5,vp.data[[#This Row],[Unknown]]=0),1,0)</f>
        <v>0</v>
      </c>
      <c r="AG280" t="str">
        <f>INDEX(vp.data[[#Headers],[Unknown]:[Heavy_SW]],MATCH(1,vp.data[[#This Row],[Unknown]:[Heavy_SW]],0))</f>
        <v>Medium_LSB</v>
      </c>
      <c r="AH280">
        <f>INDEX([3]!crudeBD.lkup[Number],MATCH(vp.data[[#This Row],[Crude_Breakdown]],crudeBD.lkup[Crude Breakdown],0))</f>
        <v>3</v>
      </c>
      <c r="AI280">
        <f>MONTH(vp.data[[#This Row],[SDate]])</f>
        <v>7</v>
      </c>
      <c r="AJ280" s="5">
        <f>(vp.data[[#This Row],[VP]]-INDEX(crudeBD.lkup[Mean_VP],MATCH(vp.data[[#This Row],[Crude_Breakdown]],crudeBD.lkup[Crude Breakdown],0)))^2</f>
        <v>94.861299295993149</v>
      </c>
      <c r="AK280" s="5">
        <f>(vp.data[[#This Row],[Dens]]-INDEX(crudeBD.lkup[Mean_Dens],MATCH(vp.data[[#This Row],[Crude_Breakdown]],crudeBD.lkup[Crude Breakdown],0)))^2</f>
        <v>104.44839999998894</v>
      </c>
      <c r="AL280" s="5">
        <f>(vp.data[[#This Row],[Sulf]]-INDEX(crudeBD.lkup[Mean_Sulf],MATCH(vp.data[[#This Row],[Crude_Breakdown]],crudeBD.lkup[Crude Breakdown],0)))^2</f>
        <v>1.5727198238550122E-2</v>
      </c>
      <c r="AM280" s="4">
        <f>IF(AND(vp.data[[#This Row],[SDate]]&gt;=DATE(YEAR(vp.data[[#This Row],[SDate]]),5,1),vp.data[[#This Row],[SDate]]&lt;=DATE(YEAR(vp.data[[#This Row],[SDate]]),9,15)),1,0)</f>
        <v>1</v>
      </c>
      <c r="AN280" s="4">
        <f>IF(vp.data[[#This Row],[SDate]]&lt;DATE(2016,12,1),0,1)</f>
        <v>0</v>
      </c>
      <c r="AO280" s="4">
        <f>IFERROR(vp.data[[#This Row],[Sulf]]*vp.data[[#This Row],[Net Dens]],"")</f>
        <v>5733248.2697700001</v>
      </c>
      <c r="AP280">
        <f>IFERROR(vp.data[[#This Row],[Dens]]*vp.data[[#This Row],[VolumeM3]],"")</f>
        <v>4550197.0395</v>
      </c>
      <c r="AQ280" s="15">
        <f>IFERROR(vp.data[[#This Row],[VP]]*vp.data[[#This Row],[VolumeM3]],"")</f>
        <v>386960.50150000001</v>
      </c>
    </row>
    <row r="281" spans="1:43" x14ac:dyDescent="0.25">
      <c r="A281">
        <v>280</v>
      </c>
      <c r="B281" t="s">
        <v>49</v>
      </c>
      <c r="C281" t="s">
        <v>49</v>
      </c>
      <c r="D281" t="s">
        <v>67</v>
      </c>
      <c r="F281" s="1">
        <v>42585</v>
      </c>
      <c r="G281" s="2">
        <v>85.5</v>
      </c>
      <c r="H281" s="2"/>
      <c r="I281" s="2">
        <f t="array" ref="I281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81" s="2"/>
      <c r="K281" s="2"/>
      <c r="L281" s="2">
        <v>805.9</v>
      </c>
      <c r="M281" s="2">
        <f t="array" ref="M281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281" s="2">
        <f ca="1">INDEX(INDIRECT(_xlfn.CONCAT("weather.tbl[",N$1,"]")),MATCH(vp.data[[#This Row],[SDate]],weather.tbl[Date],0))</f>
        <v>22.383333333333336</v>
      </c>
      <c r="O281" s="2">
        <f ca="1">INDEX(INDIRECT(_xlfn.CONCAT("weather.tbl[",O$1,"]")),MATCH(vp.data[[#This Row],[SDate]],weather.tbl[Date],0))</f>
        <v>20.178571428571427</v>
      </c>
      <c r="P281" s="2">
        <f ca="1">INDEX(INDIRECT(_xlfn.CONCAT("weather.tbl[",P$1,"]")),MATCH(vp.data[[#This Row],[SDate]],weather.tbl[Date],0))</f>
        <v>22.9</v>
      </c>
      <c r="Q281" s="2">
        <f ca="1">INDEX(INDIRECT(_xlfn.CONCAT("weather.tbl[",Q$1,"]")),MATCH(vp.data[[#This Row],[SDate]],weather.tbl[Date],0))</f>
        <v>22.1</v>
      </c>
      <c r="R281" s="2">
        <f ca="1">INDEX(INDIRECT(_xlfn.CONCAT("weather.tbl[",R$1,"]")),MATCH(vp.data[[#This Row],[SDate]],weather.tbl[Date],0))</f>
        <v>23.3</v>
      </c>
      <c r="S281" s="2">
        <f ca="1">INDEX(INDIRECT(_xlfn.CONCAT("weather.tbl[",S$1,"]")),MATCH(vp.data[[#This Row],[SDate]],weather.tbl[Date],0))</f>
        <v>22</v>
      </c>
      <c r="T281" s="2">
        <f ca="1">INDEX(INDIRECT(_xlfn.CONCAT("weather.tbl[",T$1,"]")),MATCH(vp.data[[#This Row],[SDate]],weather.tbl[Date],0))</f>
        <v>22.5</v>
      </c>
      <c r="U281" s="2">
        <f ca="1">INDEX(INDIRECT(_xlfn.CONCAT("weather.tbl[",U$1,"]")),MATCH(vp.data[[#This Row],[SDate]],weather.tbl[Date],0))</f>
        <v>21.5</v>
      </c>
      <c r="V281" s="2">
        <f t="array" ref="V2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281" t="s">
        <v>48</v>
      </c>
      <c r="X281">
        <f>IF(OR(vp.data[[#This Row],[Sulf]]="",vp.data[[#This Row],[Dens]]=""),1,0)</f>
        <v>0</v>
      </c>
      <c r="Y281">
        <f>IF(vp.data[[#This Row],[CrudeType]]="C5+",1,0)</f>
        <v>0</v>
      </c>
      <c r="Z281">
        <f>IF(AND(vp.data[[#This Row],[CrudeType]]="Crude",vp.data[[#This Row],[Dens]]&lt;=825,vp.data[[#This Row],[Sulf]]&gt;0.5,vp.data[[#This Row],[Unknown]]=0),1,0)</f>
        <v>0</v>
      </c>
      <c r="AA281">
        <f>IF(AND(vp.data[[#This Row],[CrudeType]]="Crude",vp.data[[#This Row],[Dens]]&lt;=825,vp.data[[#This Row],[Sulf]]&lt;=0.5,vp.data[[#This Row],[Unknown]]=0),1,0)</f>
        <v>1</v>
      </c>
      <c r="AB2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1">
        <f>IF(AND(vp.data[[#This Row],[CrudeType]]="Crude",vp.data[[#This Row],[Dens]]&gt;825,vp.data[[#This Row],[Dens]]&lt;=900,vp.data[[#This Row],[Sulf]]&lt;=0.5,vp.data[[#This Row],[Unknown]]=0),1,0)</f>
        <v>0</v>
      </c>
      <c r="AD281">
        <f>IF(AND(vp.data[[#This Row],[CrudeType]]="Crude",vp.data[[#This Row],[Dens]]&gt;865,vp.data[[#This Row],[Dens]]&lt;=900,vp.data[[#This Row],[Sulf]]&gt;2,vp.data[[#This Row],[Unknown]]=0),1,0)</f>
        <v>0</v>
      </c>
      <c r="AE281">
        <f>IF(AND(vp.data[[#This Row],[CrudeType]]="Crude",vp.data[[#This Row],[Dens]]&gt;900,vp.data[[#This Row],[Sulf]]&lt;=0.5,vp.data[[#This Row],[Unknown]]=0),1,0)</f>
        <v>0</v>
      </c>
      <c r="AF281">
        <f>IF(AND(vp.data[[#This Row],[CrudeType]]="Crude",vp.data[[#This Row],[Dens]]&gt;900,vp.data[[#This Row],[Sulf]]&lt;=0.5,vp.data[[#This Row],[Unknown]]=0),1,0)</f>
        <v>0</v>
      </c>
      <c r="AG281" t="str">
        <f>INDEX(vp.data[[#Headers],[Unknown]:[Heavy_SW]],MATCH(1,vp.data[[#This Row],[Unknown]:[Heavy_SW]],0))</f>
        <v>Light_SW</v>
      </c>
      <c r="AH281">
        <f>INDEX([3]!crudeBD.lkup[Number],MATCH(vp.data[[#This Row],[Crude_Breakdown]],crudeBD.lkup[Crude Breakdown],0))</f>
        <v>2</v>
      </c>
      <c r="AI281">
        <f>MONTH(vp.data[[#This Row],[SDate]])</f>
        <v>8</v>
      </c>
      <c r="AJ281" s="5">
        <f>(vp.data[[#This Row],[VP]]-INDEX(crudeBD.lkup[Mean_VP],MATCH(vp.data[[#This Row],[Crude_Breakdown]],crudeBD.lkup[Crude Breakdown],0)))^2</f>
        <v>49.706921701125005</v>
      </c>
      <c r="AK281" s="5">
        <f>(vp.data[[#This Row],[Dens]]-INDEX(crudeBD.lkup[Mean_Dens],MATCH(vp.data[[#This Row],[Crude_Breakdown]],crudeBD.lkup[Crude Breakdown],0)))^2</f>
        <v>5.8153238475630671</v>
      </c>
      <c r="AL281" s="5">
        <f>(vp.data[[#This Row],[Sulf]]-INDEX(crudeBD.lkup[Mean_Sulf],MATCH(vp.data[[#This Row],[Crude_Breakdown]],crudeBD.lkup[Crude Breakdown],0)))^2</f>
        <v>6.8863268899706654E-4</v>
      </c>
      <c r="AM281" s="4">
        <f>IF(AND(vp.data[[#This Row],[SDate]]&gt;=DATE(YEAR(vp.data[[#This Row],[SDate]]),5,1),vp.data[[#This Row],[SDate]]&lt;=DATE(YEAR(vp.data[[#This Row],[SDate]]),9,15)),1,0)</f>
        <v>1</v>
      </c>
      <c r="AN281" s="4">
        <f>IF(vp.data[[#This Row],[SDate]]&lt;DATE(2016,12,1),0,1)</f>
        <v>0</v>
      </c>
      <c r="AO281" s="4">
        <f>IFERROR(vp.data[[#This Row],[Sulf]]*vp.data[[#This Row],[Net Dens]],"")</f>
        <v>8368194.1325849993</v>
      </c>
      <c r="AP281">
        <f>IFERROR(vp.data[[#This Row],[Dens]]*vp.data[[#This Row],[VolumeM3]],"")</f>
        <v>39848543.488499999</v>
      </c>
      <c r="AQ281" s="15">
        <f>IFERROR(vp.data[[#This Row],[VP]]*vp.data[[#This Row],[VolumeM3]],"")</f>
        <v>4227634.2824999997</v>
      </c>
    </row>
    <row r="282" spans="1:43" x14ac:dyDescent="0.25">
      <c r="A282">
        <v>281</v>
      </c>
      <c r="B282" t="s">
        <v>49</v>
      </c>
      <c r="C282" t="s">
        <v>49</v>
      </c>
      <c r="D282" t="s">
        <v>67</v>
      </c>
      <c r="F282" s="1">
        <v>42585</v>
      </c>
      <c r="G282" s="2">
        <v>91.1</v>
      </c>
      <c r="H282" s="2"/>
      <c r="I282" s="2">
        <f t="array" ref="I282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82" s="2"/>
      <c r="K282" s="2"/>
      <c r="L282" s="2">
        <v>805.9</v>
      </c>
      <c r="M282" s="2">
        <f t="array" ref="M282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282" s="2">
        <f ca="1">INDEX(INDIRECT(_xlfn.CONCAT("weather.tbl[",N$1,"]")),MATCH(vp.data[[#This Row],[SDate]],weather.tbl[Date],0))</f>
        <v>22.383333333333336</v>
      </c>
      <c r="O282" s="2">
        <f ca="1">INDEX(INDIRECT(_xlfn.CONCAT("weather.tbl[",O$1,"]")),MATCH(vp.data[[#This Row],[SDate]],weather.tbl[Date],0))</f>
        <v>20.178571428571427</v>
      </c>
      <c r="P282" s="2">
        <f ca="1">INDEX(INDIRECT(_xlfn.CONCAT("weather.tbl[",P$1,"]")),MATCH(vp.data[[#This Row],[SDate]],weather.tbl[Date],0))</f>
        <v>22.9</v>
      </c>
      <c r="Q282" s="2">
        <f ca="1">INDEX(INDIRECT(_xlfn.CONCAT("weather.tbl[",Q$1,"]")),MATCH(vp.data[[#This Row],[SDate]],weather.tbl[Date],0))</f>
        <v>22.1</v>
      </c>
      <c r="R282" s="2">
        <f ca="1">INDEX(INDIRECT(_xlfn.CONCAT("weather.tbl[",R$1,"]")),MATCH(vp.data[[#This Row],[SDate]],weather.tbl[Date],0))</f>
        <v>23.3</v>
      </c>
      <c r="S282" s="2">
        <f ca="1">INDEX(INDIRECT(_xlfn.CONCAT("weather.tbl[",S$1,"]")),MATCH(vp.data[[#This Row],[SDate]],weather.tbl[Date],0))</f>
        <v>22</v>
      </c>
      <c r="T282" s="2">
        <f ca="1">INDEX(INDIRECT(_xlfn.CONCAT("weather.tbl[",T$1,"]")),MATCH(vp.data[[#This Row],[SDate]],weather.tbl[Date],0))</f>
        <v>22.5</v>
      </c>
      <c r="U282" s="2">
        <f ca="1">INDEX(INDIRECT(_xlfn.CONCAT("weather.tbl[",U$1,"]")),MATCH(vp.data[[#This Row],[SDate]],weather.tbl[Date],0))</f>
        <v>21.5</v>
      </c>
      <c r="V282" s="2">
        <f t="array" ref="V2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282" t="s">
        <v>48</v>
      </c>
      <c r="X282">
        <f>IF(OR(vp.data[[#This Row],[Sulf]]="",vp.data[[#This Row],[Dens]]=""),1,0)</f>
        <v>0</v>
      </c>
      <c r="Y282">
        <f>IF(vp.data[[#This Row],[CrudeType]]="C5+",1,0)</f>
        <v>0</v>
      </c>
      <c r="Z282">
        <f>IF(AND(vp.data[[#This Row],[CrudeType]]="Crude",vp.data[[#This Row],[Dens]]&lt;=825,vp.data[[#This Row],[Sulf]]&gt;0.5,vp.data[[#This Row],[Unknown]]=0),1,0)</f>
        <v>0</v>
      </c>
      <c r="AA282">
        <f>IF(AND(vp.data[[#This Row],[CrudeType]]="Crude",vp.data[[#This Row],[Dens]]&lt;=825,vp.data[[#This Row],[Sulf]]&lt;=0.5,vp.data[[#This Row],[Unknown]]=0),1,0)</f>
        <v>1</v>
      </c>
      <c r="AB2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2">
        <f>IF(AND(vp.data[[#This Row],[CrudeType]]="Crude",vp.data[[#This Row],[Dens]]&gt;825,vp.data[[#This Row],[Dens]]&lt;=900,vp.data[[#This Row],[Sulf]]&lt;=0.5,vp.data[[#This Row],[Unknown]]=0),1,0)</f>
        <v>0</v>
      </c>
      <c r="AD282">
        <f>IF(AND(vp.data[[#This Row],[CrudeType]]="Crude",vp.data[[#This Row],[Dens]]&gt;865,vp.data[[#This Row],[Dens]]&lt;=900,vp.data[[#This Row],[Sulf]]&gt;2,vp.data[[#This Row],[Unknown]]=0),1,0)</f>
        <v>0</v>
      </c>
      <c r="AE282">
        <f>IF(AND(vp.data[[#This Row],[CrudeType]]="Crude",vp.data[[#This Row],[Dens]]&gt;900,vp.data[[#This Row],[Sulf]]&lt;=0.5,vp.data[[#This Row],[Unknown]]=0),1,0)</f>
        <v>0</v>
      </c>
      <c r="AF282">
        <f>IF(AND(vp.data[[#This Row],[CrudeType]]="Crude",vp.data[[#This Row],[Dens]]&gt;900,vp.data[[#This Row],[Sulf]]&lt;=0.5,vp.data[[#This Row],[Unknown]]=0),1,0)</f>
        <v>0</v>
      </c>
      <c r="AG282" t="str">
        <f>INDEX(vp.data[[#Headers],[Unknown]:[Heavy_SW]],MATCH(1,vp.data[[#This Row],[Unknown]:[Heavy_SW]],0))</f>
        <v>Light_SW</v>
      </c>
      <c r="AH282">
        <f>INDEX([3]!crudeBD.lkup[Number],MATCH(vp.data[[#This Row],[Crude_Breakdown]],crudeBD.lkup[Crude Breakdown],0))</f>
        <v>2</v>
      </c>
      <c r="AI282">
        <f>MONTH(vp.data[[#This Row],[SDate]])</f>
        <v>8</v>
      </c>
      <c r="AJ282" s="5">
        <f>(vp.data[[#This Row],[VP]]-INDEX(crudeBD.lkup[Mean_VP],MATCH(vp.data[[#This Row],[Crude_Breakdown]],crudeBD.lkup[Crude Breakdown],0)))^2</f>
        <v>2.1034095060034033</v>
      </c>
      <c r="AK282" s="5">
        <f>(vp.data[[#This Row],[Dens]]-INDEX(crudeBD.lkup[Mean_Dens],MATCH(vp.data[[#This Row],[Crude_Breakdown]],crudeBD.lkup[Crude Breakdown],0)))^2</f>
        <v>5.8153238475630671</v>
      </c>
      <c r="AL282" s="5">
        <f>(vp.data[[#This Row],[Sulf]]-INDEX(crudeBD.lkup[Mean_Sulf],MATCH(vp.data[[#This Row],[Crude_Breakdown]],crudeBD.lkup[Crude Breakdown],0)))^2</f>
        <v>6.8863268899706654E-4</v>
      </c>
      <c r="AM282" s="4">
        <f>IF(AND(vp.data[[#This Row],[SDate]]&gt;=DATE(YEAR(vp.data[[#This Row],[SDate]]),5,1),vp.data[[#This Row],[SDate]]&lt;=DATE(YEAR(vp.data[[#This Row],[SDate]]),9,15)),1,0)</f>
        <v>1</v>
      </c>
      <c r="AN282" s="4">
        <f>IF(vp.data[[#This Row],[SDate]]&lt;DATE(2016,12,1),0,1)</f>
        <v>0</v>
      </c>
      <c r="AO282" s="4">
        <f>IFERROR(vp.data[[#This Row],[Sulf]]*vp.data[[#This Row],[Net Dens]],"")</f>
        <v>8368194.1325849993</v>
      </c>
      <c r="AP282">
        <f>IFERROR(vp.data[[#This Row],[Dens]]*vp.data[[#This Row],[VolumeM3]],"")</f>
        <v>39848543.488499999</v>
      </c>
      <c r="AQ282" s="15">
        <f>IFERROR(vp.data[[#This Row],[VP]]*vp.data[[#This Row],[VolumeM3]],"")</f>
        <v>4504531.9665000001</v>
      </c>
    </row>
    <row r="283" spans="1:43" x14ac:dyDescent="0.25">
      <c r="A283">
        <v>282</v>
      </c>
      <c r="B283" t="s">
        <v>49</v>
      </c>
      <c r="C283" t="s">
        <v>49</v>
      </c>
      <c r="D283" t="s">
        <v>89</v>
      </c>
      <c r="F283" s="1">
        <v>42585</v>
      </c>
      <c r="G283" s="2">
        <v>80</v>
      </c>
      <c r="H283" s="2"/>
      <c r="I283" s="2">
        <f t="array" ref="I283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83" s="2"/>
      <c r="K283" s="2"/>
      <c r="L283" s="2">
        <v>824.2</v>
      </c>
      <c r="M283" s="2">
        <f t="array" ref="M283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283" s="2">
        <f ca="1">INDEX(INDIRECT(_xlfn.CONCAT("weather.tbl[",N$1,"]")),MATCH(vp.data[[#This Row],[SDate]],weather.tbl[Date],0))</f>
        <v>22.383333333333336</v>
      </c>
      <c r="O283" s="2">
        <f ca="1">INDEX(INDIRECT(_xlfn.CONCAT("weather.tbl[",O$1,"]")),MATCH(vp.data[[#This Row],[SDate]],weather.tbl[Date],0))</f>
        <v>20.178571428571427</v>
      </c>
      <c r="P283" s="2">
        <f ca="1">INDEX(INDIRECT(_xlfn.CONCAT("weather.tbl[",P$1,"]")),MATCH(vp.data[[#This Row],[SDate]],weather.tbl[Date],0))</f>
        <v>22.9</v>
      </c>
      <c r="Q283" s="2">
        <f ca="1">INDEX(INDIRECT(_xlfn.CONCAT("weather.tbl[",Q$1,"]")),MATCH(vp.data[[#This Row],[SDate]],weather.tbl[Date],0))</f>
        <v>22.1</v>
      </c>
      <c r="R283" s="2">
        <f ca="1">INDEX(INDIRECT(_xlfn.CONCAT("weather.tbl[",R$1,"]")),MATCH(vp.data[[#This Row],[SDate]],weather.tbl[Date],0))</f>
        <v>23.3</v>
      </c>
      <c r="S283" s="2">
        <f ca="1">INDEX(INDIRECT(_xlfn.CONCAT("weather.tbl[",S$1,"]")),MATCH(vp.data[[#This Row],[SDate]],weather.tbl[Date],0))</f>
        <v>22</v>
      </c>
      <c r="T283" s="2">
        <f ca="1">INDEX(INDIRECT(_xlfn.CONCAT("weather.tbl[",T$1,"]")),MATCH(vp.data[[#This Row],[SDate]],weather.tbl[Date],0))</f>
        <v>22.5</v>
      </c>
      <c r="U283" s="2">
        <f ca="1">INDEX(INDIRECT(_xlfn.CONCAT("weather.tbl[",U$1,"]")),MATCH(vp.data[[#This Row],[SDate]],weather.tbl[Date],0))</f>
        <v>21.5</v>
      </c>
      <c r="V283" s="2">
        <f t="array" ref="V2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6690.3270000000002</v>
      </c>
      <c r="W283" t="s">
        <v>48</v>
      </c>
      <c r="X283">
        <f>IF(OR(vp.data[[#This Row],[Sulf]]="",vp.data[[#This Row],[Dens]]=""),1,0)</f>
        <v>0</v>
      </c>
      <c r="Y283">
        <f>IF(vp.data[[#This Row],[CrudeType]]="C5+",1,0)</f>
        <v>0</v>
      </c>
      <c r="Z283">
        <f>IF(AND(vp.data[[#This Row],[CrudeType]]="Crude",vp.data[[#This Row],[Dens]]&lt;=825,vp.data[[#This Row],[Sulf]]&gt;0.5,vp.data[[#This Row],[Unknown]]=0),1,0)</f>
        <v>0</v>
      </c>
      <c r="AA283">
        <f>IF(AND(vp.data[[#This Row],[CrudeType]]="Crude",vp.data[[#This Row],[Dens]]&lt;=825,vp.data[[#This Row],[Sulf]]&lt;=0.5,vp.data[[#This Row],[Unknown]]=0),1,0)</f>
        <v>1</v>
      </c>
      <c r="AB2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3">
        <f>IF(AND(vp.data[[#This Row],[CrudeType]]="Crude",vp.data[[#This Row],[Dens]]&gt;825,vp.data[[#This Row],[Dens]]&lt;=900,vp.data[[#This Row],[Sulf]]&lt;=0.5,vp.data[[#This Row],[Unknown]]=0),1,0)</f>
        <v>0</v>
      </c>
      <c r="AD283">
        <f>IF(AND(vp.data[[#This Row],[CrudeType]]="Crude",vp.data[[#This Row],[Dens]]&gt;865,vp.data[[#This Row],[Dens]]&lt;=900,vp.data[[#This Row],[Sulf]]&gt;2,vp.data[[#This Row],[Unknown]]=0),1,0)</f>
        <v>0</v>
      </c>
      <c r="AE283">
        <f>IF(AND(vp.data[[#This Row],[CrudeType]]="Crude",vp.data[[#This Row],[Dens]]&gt;900,vp.data[[#This Row],[Sulf]]&lt;=0.5,vp.data[[#This Row],[Unknown]]=0),1,0)</f>
        <v>0</v>
      </c>
      <c r="AF283">
        <f>IF(AND(vp.data[[#This Row],[CrudeType]]="Crude",vp.data[[#This Row],[Dens]]&gt;900,vp.data[[#This Row],[Sulf]]&lt;=0.5,vp.data[[#This Row],[Unknown]]=0),1,0)</f>
        <v>0</v>
      </c>
      <c r="AG283" t="str">
        <f>INDEX(vp.data[[#Headers],[Unknown]:[Heavy_SW]],MATCH(1,vp.data[[#This Row],[Unknown]:[Heavy_SW]],0))</f>
        <v>Light_SW</v>
      </c>
      <c r="AH283">
        <f>INDEX([3]!crudeBD.lkup[Number],MATCH(vp.data[[#This Row],[Crude_Breakdown]],crudeBD.lkup[Crude Breakdown],0))</f>
        <v>2</v>
      </c>
      <c r="AI283">
        <f>MONTH(vp.data[[#This Row],[SDate]])</f>
        <v>8</v>
      </c>
      <c r="AJ283" s="5">
        <f>(vp.data[[#This Row],[VP]]-INDEX(crudeBD.lkup[Mean_VP],MATCH(vp.data[[#This Row],[Crude_Breakdown]],crudeBD.lkup[Crude Breakdown],0)))^2</f>
        <v>157.51037117847659</v>
      </c>
      <c r="AK283" s="5">
        <f>(vp.data[[#This Row],[Dens]]-INDEX(crudeBD.lkup[Mean_Dens],MATCH(vp.data[[#This Row],[Crude_Breakdown]],crudeBD.lkup[Crude Breakdown],0)))^2</f>
        <v>252.44448761063859</v>
      </c>
      <c r="AL283" s="5">
        <f>(vp.data[[#This Row],[Sulf]]-INDEX(crudeBD.lkup[Mean_Sulf],MATCH(vp.data[[#This Row],[Crude_Breakdown]],crudeBD.lkup[Crude Breakdown],0)))^2</f>
        <v>6.8863268899706654E-4</v>
      </c>
      <c r="AM283" s="4">
        <f>IF(AND(vp.data[[#This Row],[SDate]]&gt;=DATE(YEAR(vp.data[[#This Row],[SDate]]),5,1),vp.data[[#This Row],[SDate]]&lt;=DATE(YEAR(vp.data[[#This Row],[SDate]]),9,15)),1,0)</f>
        <v>1</v>
      </c>
      <c r="AN283" s="4">
        <f>IF(vp.data[[#This Row],[SDate]]&lt;DATE(2016,12,1),0,1)</f>
        <v>0</v>
      </c>
      <c r="AO283" s="4">
        <f>IFERROR(vp.data[[#This Row],[Sulf]]*vp.data[[#This Row],[Net Dens]],"")</f>
        <v>1157975.1778140001</v>
      </c>
      <c r="AP283">
        <f>IFERROR(vp.data[[#This Row],[Dens]]*vp.data[[#This Row],[VolumeM3]],"")</f>
        <v>5514167.5134000005</v>
      </c>
      <c r="AQ283" s="15">
        <f>IFERROR(vp.data[[#This Row],[VP]]*vp.data[[#This Row],[VolumeM3]],"")</f>
        <v>535226.16</v>
      </c>
    </row>
    <row r="284" spans="1:43" x14ac:dyDescent="0.25">
      <c r="A284">
        <v>283</v>
      </c>
      <c r="B284" t="s">
        <v>49</v>
      </c>
      <c r="C284" t="s">
        <v>49</v>
      </c>
      <c r="D284" t="s">
        <v>75</v>
      </c>
      <c r="F284" s="1">
        <v>42586</v>
      </c>
      <c r="G284" s="2">
        <v>91.4</v>
      </c>
      <c r="H284" s="2"/>
      <c r="I284" s="2">
        <f t="array" ref="I284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284" s="2"/>
      <c r="K284" s="2"/>
      <c r="L284" s="2">
        <v>802.1</v>
      </c>
      <c r="M284" s="2">
        <f t="array" ref="M284">_xlfn.IFNA(IF(vp.data[[#This Row],[Dens Input]]="",INDEX([1]DATA!$O$3:$O$9826,MATCH(1,(vp.data[[#This Row],[Battery]]=[1]DATA!$L$3:$L$9826)*(EOMONTH(vp.data[[#This Row],[SDate]],-1)+1=[1]DATA!$G$3:$G$9826),0)),vp.data[[#This Row],[Dens Input]]),"")</f>
        <v>802.1</v>
      </c>
      <c r="N284" s="2">
        <f ca="1">INDEX(INDIRECT(_xlfn.CONCAT("weather.tbl[",N$1,"]")),MATCH(vp.data[[#This Row],[SDate]],weather.tbl[Date],0))</f>
        <v>17.8</v>
      </c>
      <c r="O284" s="2">
        <f ca="1">INDEX(INDIRECT(_xlfn.CONCAT("weather.tbl[",O$1,"]")),MATCH(vp.data[[#This Row],[SDate]],weather.tbl[Date],0))</f>
        <v>20.235714285714288</v>
      </c>
      <c r="P284" s="2">
        <f ca="1">INDEX(INDIRECT(_xlfn.CONCAT("weather.tbl[",P$1,"]")),MATCH(vp.data[[#This Row],[SDate]],weather.tbl[Date],0))</f>
        <v>17.899999999999999</v>
      </c>
      <c r="Q284" s="2">
        <f ca="1">INDEX(INDIRECT(_xlfn.CONCAT("weather.tbl[",Q$1,"]")),MATCH(vp.data[[#This Row],[SDate]],weather.tbl[Date],0))</f>
        <v>17.899999999999999</v>
      </c>
      <c r="R284" s="2">
        <f ca="1">INDEX(INDIRECT(_xlfn.CONCAT("weather.tbl[",R$1,"]")),MATCH(vp.data[[#This Row],[SDate]],weather.tbl[Date],0))</f>
        <v>17.8</v>
      </c>
      <c r="S284" s="2">
        <f ca="1">INDEX(INDIRECT(_xlfn.CONCAT("weather.tbl[",S$1,"]")),MATCH(vp.data[[#This Row],[SDate]],weather.tbl[Date],0))</f>
        <v>19</v>
      </c>
      <c r="T284" s="2">
        <f ca="1">INDEX(INDIRECT(_xlfn.CONCAT("weather.tbl[",T$1,"]")),MATCH(vp.data[[#This Row],[SDate]],weather.tbl[Date],0))</f>
        <v>17.899999999999999</v>
      </c>
      <c r="U284" s="2">
        <f ca="1">INDEX(INDIRECT(_xlfn.CONCAT("weather.tbl[",U$1,"]")),MATCH(vp.data[[#This Row],[SDate]],weather.tbl[Date],0))</f>
        <v>16.3</v>
      </c>
      <c r="V284" s="2">
        <f t="array" ref="V2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21867.932000000001</v>
      </c>
      <c r="W284" t="s">
        <v>48</v>
      </c>
      <c r="X284">
        <f>IF(OR(vp.data[[#This Row],[Sulf]]="",vp.data[[#This Row],[Dens]]=""),1,0)</f>
        <v>0</v>
      </c>
      <c r="Y284">
        <f>IF(vp.data[[#This Row],[CrudeType]]="C5+",1,0)</f>
        <v>0</v>
      </c>
      <c r="Z284">
        <f>IF(AND(vp.data[[#This Row],[CrudeType]]="Crude",vp.data[[#This Row],[Dens]]&lt;=825,vp.data[[#This Row],[Sulf]]&gt;0.5,vp.data[[#This Row],[Unknown]]=0),1,0)</f>
        <v>0</v>
      </c>
      <c r="AA284">
        <f>IF(AND(vp.data[[#This Row],[CrudeType]]="Crude",vp.data[[#This Row],[Dens]]&lt;=825,vp.data[[#This Row],[Sulf]]&lt;=0.5,vp.data[[#This Row],[Unknown]]=0),1,0)</f>
        <v>1</v>
      </c>
      <c r="AB2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4">
        <f>IF(AND(vp.data[[#This Row],[CrudeType]]="Crude",vp.data[[#This Row],[Dens]]&gt;825,vp.data[[#This Row],[Dens]]&lt;=900,vp.data[[#This Row],[Sulf]]&lt;=0.5,vp.data[[#This Row],[Unknown]]=0),1,0)</f>
        <v>0</v>
      </c>
      <c r="AD284">
        <f>IF(AND(vp.data[[#This Row],[CrudeType]]="Crude",vp.data[[#This Row],[Dens]]&gt;865,vp.data[[#This Row],[Dens]]&lt;=900,vp.data[[#This Row],[Sulf]]&gt;2,vp.data[[#This Row],[Unknown]]=0),1,0)</f>
        <v>0</v>
      </c>
      <c r="AE284">
        <f>IF(AND(vp.data[[#This Row],[CrudeType]]="Crude",vp.data[[#This Row],[Dens]]&gt;900,vp.data[[#This Row],[Sulf]]&lt;=0.5,vp.data[[#This Row],[Unknown]]=0),1,0)</f>
        <v>0</v>
      </c>
      <c r="AF284">
        <f>IF(AND(vp.data[[#This Row],[CrudeType]]="Crude",vp.data[[#This Row],[Dens]]&gt;900,vp.data[[#This Row],[Sulf]]&lt;=0.5,vp.data[[#This Row],[Unknown]]=0),1,0)</f>
        <v>0</v>
      </c>
      <c r="AG284" t="str">
        <f>INDEX(vp.data[[#Headers],[Unknown]:[Heavy_SW]],MATCH(1,vp.data[[#This Row],[Unknown]:[Heavy_SW]],0))</f>
        <v>Light_SW</v>
      </c>
      <c r="AH284">
        <f>INDEX([3]!crudeBD.lkup[Number],MATCH(vp.data[[#This Row],[Crude_Breakdown]],crudeBD.lkup[Crude Breakdown],0))</f>
        <v>2</v>
      </c>
      <c r="AI284">
        <f>MONTH(vp.data[[#This Row],[SDate]])</f>
        <v>8</v>
      </c>
      <c r="AJ284" s="5">
        <f>(vp.data[[#This Row],[VP]]-INDEX(crudeBD.lkup[Mean_VP],MATCH(vp.data[[#This Row],[Crude_Breakdown]],crudeBD.lkup[Crude Breakdown],0)))^2</f>
        <v>1.3232213526932866</v>
      </c>
      <c r="AK284" s="5">
        <f>(vp.data[[#This Row],[Dens]]-INDEX(crudeBD.lkup[Mean_Dens],MATCH(vp.data[[#This Row],[Crude_Breakdown]],crudeBD.lkup[Crude Breakdown],0)))^2</f>
        <v>38.5827106071429</v>
      </c>
      <c r="AL284" s="5">
        <f>(vp.data[[#This Row],[Sulf]]-INDEX(crudeBD.lkup[Mean_Sulf],MATCH(vp.data[[#This Row],[Crude_Breakdown]],crudeBD.lkup[Crude Breakdown],0)))^2</f>
        <v>1.1287322584467423E-2</v>
      </c>
      <c r="AM284" s="4">
        <f>IF(AND(vp.data[[#This Row],[SDate]]&gt;=DATE(YEAR(vp.data[[#This Row],[SDate]]),5,1),vp.data[[#This Row],[SDate]]&lt;=DATE(YEAR(vp.data[[#This Row],[SDate]]),9,15)),1,0)</f>
        <v>1</v>
      </c>
      <c r="AN284" s="4">
        <f>IF(vp.data[[#This Row],[SDate]]&lt;DATE(2016,12,1),0,1)</f>
        <v>0</v>
      </c>
      <c r="AO284" s="4">
        <f>IFERROR(vp.data[[#This Row],[Sulf]]*vp.data[[#This Row],[Net Dens]],"")</f>
        <v>2280234.8734360002</v>
      </c>
      <c r="AP284">
        <f>IFERROR(vp.data[[#This Row],[Dens]]*vp.data[[#This Row],[VolumeM3]],"")</f>
        <v>17540268.257200003</v>
      </c>
      <c r="AQ284" s="15">
        <f>IFERROR(vp.data[[#This Row],[VP]]*vp.data[[#This Row],[VolumeM3]],"")</f>
        <v>1998728.9848000002</v>
      </c>
    </row>
    <row r="285" spans="1:43" x14ac:dyDescent="0.25">
      <c r="A285">
        <v>284</v>
      </c>
      <c r="B285" t="s">
        <v>60</v>
      </c>
      <c r="C285" t="s">
        <v>60</v>
      </c>
      <c r="D285" t="s">
        <v>61</v>
      </c>
      <c r="E285" t="s">
        <v>55</v>
      </c>
      <c r="F285" s="1">
        <v>42586</v>
      </c>
      <c r="G285" s="2">
        <v>101.8</v>
      </c>
      <c r="H285" s="2"/>
      <c r="I285" s="2">
        <f t="array" ref="I285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285" s="2"/>
      <c r="K285" s="2"/>
      <c r="L285" s="2">
        <v>833</v>
      </c>
      <c r="M285" s="2">
        <f t="array" ref="M285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285" s="2">
        <f ca="1">INDEX(INDIRECT(_xlfn.CONCAT("weather.tbl[",N$1,"]")),MATCH(vp.data[[#This Row],[SDate]],weather.tbl[Date],0))</f>
        <v>17.8</v>
      </c>
      <c r="O285" s="2">
        <f ca="1">INDEX(INDIRECT(_xlfn.CONCAT("weather.tbl[",O$1,"]")),MATCH(vp.data[[#This Row],[SDate]],weather.tbl[Date],0))</f>
        <v>20.235714285714288</v>
      </c>
      <c r="P285" s="2">
        <f ca="1">INDEX(INDIRECT(_xlfn.CONCAT("weather.tbl[",P$1,"]")),MATCH(vp.data[[#This Row],[SDate]],weather.tbl[Date],0))</f>
        <v>17.899999999999999</v>
      </c>
      <c r="Q285" s="2">
        <f ca="1">INDEX(INDIRECT(_xlfn.CONCAT("weather.tbl[",Q$1,"]")),MATCH(vp.data[[#This Row],[SDate]],weather.tbl[Date],0))</f>
        <v>17.899999999999999</v>
      </c>
      <c r="R285" s="2">
        <f ca="1">INDEX(INDIRECT(_xlfn.CONCAT("weather.tbl[",R$1,"]")),MATCH(vp.data[[#This Row],[SDate]],weather.tbl[Date],0))</f>
        <v>17.8</v>
      </c>
      <c r="S285" s="2">
        <f ca="1">INDEX(INDIRECT(_xlfn.CONCAT("weather.tbl[",S$1,"]")),MATCH(vp.data[[#This Row],[SDate]],weather.tbl[Date],0))</f>
        <v>19</v>
      </c>
      <c r="T285" s="2">
        <f ca="1">INDEX(INDIRECT(_xlfn.CONCAT("weather.tbl[",T$1,"]")),MATCH(vp.data[[#This Row],[SDate]],weather.tbl[Date],0))</f>
        <v>17.899999999999999</v>
      </c>
      <c r="U285" s="2">
        <f ca="1">INDEX(INDIRECT(_xlfn.CONCAT("weather.tbl[",U$1,"]")),MATCH(vp.data[[#This Row],[SDate]],weather.tbl[Date],0))</f>
        <v>16.3</v>
      </c>
      <c r="V285" s="2">
        <f t="array" ref="V2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285" t="s">
        <v>48</v>
      </c>
      <c r="X285">
        <f>IF(OR(vp.data[[#This Row],[Sulf]]="",vp.data[[#This Row],[Dens]]=""),1,0)</f>
        <v>0</v>
      </c>
      <c r="Y285">
        <f>IF(vp.data[[#This Row],[CrudeType]]="C5+",1,0)</f>
        <v>0</v>
      </c>
      <c r="Z285">
        <f>IF(AND(vp.data[[#This Row],[CrudeType]]="Crude",vp.data[[#This Row],[Dens]]&lt;=825,vp.data[[#This Row],[Sulf]]&gt;0.5,vp.data[[#This Row],[Unknown]]=0),1,0)</f>
        <v>0</v>
      </c>
      <c r="AA285">
        <f>IF(AND(vp.data[[#This Row],[CrudeType]]="Crude",vp.data[[#This Row],[Dens]]&lt;=825,vp.data[[#This Row],[Sulf]]&lt;=0.5,vp.data[[#This Row],[Unknown]]=0),1,0)</f>
        <v>0</v>
      </c>
      <c r="AB2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85">
        <f>IF(AND(vp.data[[#This Row],[CrudeType]]="Crude",vp.data[[#This Row],[Dens]]&gt;825,vp.data[[#This Row],[Dens]]&lt;=900,vp.data[[#This Row],[Sulf]]&lt;=0.5,vp.data[[#This Row],[Unknown]]=0),1,0)</f>
        <v>0</v>
      </c>
      <c r="AD285">
        <f>IF(AND(vp.data[[#This Row],[CrudeType]]="Crude",vp.data[[#This Row],[Dens]]&gt;865,vp.data[[#This Row],[Dens]]&lt;=900,vp.data[[#This Row],[Sulf]]&gt;2,vp.data[[#This Row],[Unknown]]=0),1,0)</f>
        <v>0</v>
      </c>
      <c r="AE285">
        <f>IF(AND(vp.data[[#This Row],[CrudeType]]="Crude",vp.data[[#This Row],[Dens]]&gt;900,vp.data[[#This Row],[Sulf]]&lt;=0.5,vp.data[[#This Row],[Unknown]]=0),1,0)</f>
        <v>0</v>
      </c>
      <c r="AF285">
        <f>IF(AND(vp.data[[#This Row],[CrudeType]]="Crude",vp.data[[#This Row],[Dens]]&gt;900,vp.data[[#This Row],[Sulf]]&lt;=0.5,vp.data[[#This Row],[Unknown]]=0),1,0)</f>
        <v>0</v>
      </c>
      <c r="AG285" t="str">
        <f>INDEX(vp.data[[#Headers],[Unknown]:[Heavy_SW]],MATCH(1,vp.data[[#This Row],[Unknown]:[Heavy_SW]],0))</f>
        <v>Medium_LSB</v>
      </c>
      <c r="AH285">
        <f>INDEX([3]!crudeBD.lkup[Number],MATCH(vp.data[[#This Row],[Crude_Breakdown]],crudeBD.lkup[Crude Breakdown],0))</f>
        <v>3</v>
      </c>
      <c r="AI285">
        <f>MONTH(vp.data[[#This Row],[SDate]])</f>
        <v>8</v>
      </c>
      <c r="AJ285" s="5">
        <f>(vp.data[[#This Row],[VP]]-INDEX(crudeBD.lkup[Mean_VP],MATCH(vp.data[[#This Row],[Crude_Breakdown]],crudeBD.lkup[Crude Breakdown],0)))^2</f>
        <v>447.75928851432639</v>
      </c>
      <c r="AK285" s="5">
        <f>(vp.data[[#This Row],[Dens]]-INDEX(crudeBD.lkup[Mean_Dens],MATCH(vp.data[[#This Row],[Crude_Breakdown]],crudeBD.lkup[Crude Breakdown],0)))^2</f>
        <v>119.24639999998918</v>
      </c>
      <c r="AL285" s="5">
        <f>(vp.data[[#This Row],[Sulf]]-INDEX(crudeBD.lkup[Mean_Sulf],MATCH(vp.data[[#This Row],[Crude_Breakdown]],crudeBD.lkup[Crude Breakdown],0)))^2</f>
        <v>0.18958023678302549</v>
      </c>
      <c r="AM285" s="4">
        <f>IF(AND(vp.data[[#This Row],[SDate]]&gt;=DATE(YEAR(vp.data[[#This Row],[SDate]]),5,1),vp.data[[#This Row],[SDate]]&lt;=DATE(YEAR(vp.data[[#This Row],[SDate]]),9,15)),1,0)</f>
        <v>1</v>
      </c>
      <c r="AN285" s="4">
        <f>IF(vp.data[[#This Row],[SDate]]&lt;DATE(2016,12,1),0,1)</f>
        <v>0</v>
      </c>
      <c r="AO285" s="4">
        <f>IFERROR(vp.data[[#This Row],[Sulf]]*vp.data[[#This Row],[Net Dens]],"")</f>
        <v>84160366.882200003</v>
      </c>
      <c r="AP285">
        <f>IFERROR(vp.data[[#This Row],[Dens]]*vp.data[[#This Row],[VolumeM3]],"")</f>
        <v>88589859.876000002</v>
      </c>
      <c r="AQ285" s="15">
        <f>IFERROR(vp.data[[#This Row],[VP]]*vp.data[[#This Row],[VolumeM3]],"")</f>
        <v>10826467.8696</v>
      </c>
    </row>
    <row r="286" spans="1:43" x14ac:dyDescent="0.25">
      <c r="A286">
        <v>285</v>
      </c>
      <c r="B286" t="s">
        <v>60</v>
      </c>
      <c r="C286" t="s">
        <v>60</v>
      </c>
      <c r="D286" t="s">
        <v>61</v>
      </c>
      <c r="E286" t="s">
        <v>73</v>
      </c>
      <c r="F286" s="1">
        <v>42592</v>
      </c>
      <c r="G286" s="2">
        <v>68.400000000000006</v>
      </c>
      <c r="H286" s="2"/>
      <c r="I286" s="2">
        <f t="array" ref="I286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286" s="2"/>
      <c r="K286" s="2"/>
      <c r="L286" s="2"/>
      <c r="M286" s="2">
        <f t="array" ref="M286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286" s="2">
        <f ca="1">INDEX(INDIRECT(_xlfn.CONCAT("weather.tbl[",N$1,"]")),MATCH(vp.data[[#This Row],[SDate]],weather.tbl[Date],0))</f>
        <v>17.733333333333334</v>
      </c>
      <c r="O286" s="2">
        <f ca="1">INDEX(INDIRECT(_xlfn.CONCAT("weather.tbl[",O$1,"]")),MATCH(vp.data[[#This Row],[SDate]],weather.tbl[Date],0))</f>
        <v>19.483333333333331</v>
      </c>
      <c r="P286" s="2">
        <f ca="1">INDEX(INDIRECT(_xlfn.CONCAT("weather.tbl[",P$1,"]")),MATCH(vp.data[[#This Row],[SDate]],weather.tbl[Date],0))</f>
        <v>19</v>
      </c>
      <c r="Q286" s="2">
        <f ca="1">INDEX(INDIRECT(_xlfn.CONCAT("weather.tbl[",Q$1,"]")),MATCH(vp.data[[#This Row],[SDate]],weather.tbl[Date],0))</f>
        <v>18</v>
      </c>
      <c r="R286" s="2">
        <f ca="1">INDEX(INDIRECT(_xlfn.CONCAT("weather.tbl[",R$1,"]")),MATCH(vp.data[[#This Row],[SDate]],weather.tbl[Date],0))</f>
        <v>18.3</v>
      </c>
      <c r="S286" s="2">
        <f ca="1">INDEX(INDIRECT(_xlfn.CONCAT("weather.tbl[",S$1,"]")),MATCH(vp.data[[#This Row],[SDate]],weather.tbl[Date],0))</f>
        <v>16.5</v>
      </c>
      <c r="T286" s="2">
        <f ca="1">INDEX(INDIRECT(_xlfn.CONCAT("weather.tbl[",T$1,"]")),MATCH(vp.data[[#This Row],[SDate]],weather.tbl[Date],0))</f>
        <v>19.600000000000001</v>
      </c>
      <c r="U286" s="2">
        <f ca="1">INDEX(INDIRECT(_xlfn.CONCAT("weather.tbl[",U$1,"]")),MATCH(vp.data[[#This Row],[SDate]],weather.tbl[Date],0))</f>
        <v>15</v>
      </c>
      <c r="V286" s="2">
        <f t="array" ref="V2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286" t="s">
        <v>48</v>
      </c>
      <c r="X286">
        <f>IF(OR(vp.data[[#This Row],[Sulf]]="",vp.data[[#This Row],[Dens]]=""),1,0)</f>
        <v>0</v>
      </c>
      <c r="Y286">
        <f>IF(vp.data[[#This Row],[CrudeType]]="C5+",1,0)</f>
        <v>0</v>
      </c>
      <c r="Z286">
        <f>IF(AND(vp.data[[#This Row],[CrudeType]]="Crude",vp.data[[#This Row],[Dens]]&lt;=825,vp.data[[#This Row],[Sulf]]&gt;0.5,vp.data[[#This Row],[Unknown]]=0),1,0)</f>
        <v>1</v>
      </c>
      <c r="AA286">
        <f>IF(AND(vp.data[[#This Row],[CrudeType]]="Crude",vp.data[[#This Row],[Dens]]&lt;=825,vp.data[[#This Row],[Sulf]]&lt;=0.5,vp.data[[#This Row],[Unknown]]=0),1,0)</f>
        <v>0</v>
      </c>
      <c r="AB2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6">
        <f>IF(AND(vp.data[[#This Row],[CrudeType]]="Crude",vp.data[[#This Row],[Dens]]&gt;825,vp.data[[#This Row],[Dens]]&lt;=900,vp.data[[#This Row],[Sulf]]&lt;=0.5,vp.data[[#This Row],[Unknown]]=0),1,0)</f>
        <v>0</v>
      </c>
      <c r="AD286">
        <f>IF(AND(vp.data[[#This Row],[CrudeType]]="Crude",vp.data[[#This Row],[Dens]]&gt;865,vp.data[[#This Row],[Dens]]&lt;=900,vp.data[[#This Row],[Sulf]]&gt;2,vp.data[[#This Row],[Unknown]]=0),1,0)</f>
        <v>0</v>
      </c>
      <c r="AE286">
        <f>IF(AND(vp.data[[#This Row],[CrudeType]]="Crude",vp.data[[#This Row],[Dens]]&gt;900,vp.data[[#This Row],[Sulf]]&lt;=0.5,vp.data[[#This Row],[Unknown]]=0),1,0)</f>
        <v>0</v>
      </c>
      <c r="AF286">
        <f>IF(AND(vp.data[[#This Row],[CrudeType]]="Crude",vp.data[[#This Row],[Dens]]&gt;900,vp.data[[#This Row],[Sulf]]&lt;=0.5,vp.data[[#This Row],[Unknown]]=0),1,0)</f>
        <v>0</v>
      </c>
      <c r="AG286" t="str">
        <f>INDEX(vp.data[[#Headers],[Unknown]:[Heavy_SW]],MATCH(1,vp.data[[#This Row],[Unknown]:[Heavy_SW]],0))</f>
        <v>Light_LSB</v>
      </c>
      <c r="AH286">
        <f>INDEX([3]!crudeBD.lkup[Number],MATCH(vp.data[[#This Row],[Crude_Breakdown]],crudeBD.lkup[Crude Breakdown],0))</f>
        <v>1</v>
      </c>
      <c r="AI286">
        <f>MONTH(vp.data[[#This Row],[SDate]])</f>
        <v>8</v>
      </c>
      <c r="AJ286" s="5">
        <f>(vp.data[[#This Row],[VP]]-INDEX(crudeBD.lkup[Mean_VP],MATCH(vp.data[[#This Row],[Crude_Breakdown]],crudeBD.lkup[Crude Breakdown],0)))^2</f>
        <v>535.74590630247758</v>
      </c>
      <c r="AK286" s="5">
        <f>(vp.data[[#This Row],[Dens]]-INDEX(crudeBD.lkup[Mean_Dens],MATCH(vp.data[[#This Row],[Crude_Breakdown]],crudeBD.lkup[Crude Breakdown],0)))^2</f>
        <v>0.38040493617186338</v>
      </c>
      <c r="AL286" s="5">
        <f>(vp.data[[#This Row],[Sulf]]-INDEX(crudeBD.lkup[Mean_Sulf],MATCH(vp.data[[#This Row],[Crude_Breakdown]],crudeBD.lkup[Crude Breakdown],0)))^2</f>
        <v>7.3055773847853663E-4</v>
      </c>
      <c r="AM286" s="4">
        <f>IF(AND(vp.data[[#This Row],[SDate]]&gt;=DATE(YEAR(vp.data[[#This Row],[SDate]]),5,1),vp.data[[#This Row],[SDate]]&lt;=DATE(YEAR(vp.data[[#This Row],[SDate]]),9,15)),1,0)</f>
        <v>1</v>
      </c>
      <c r="AN286" s="4">
        <f>IF(vp.data[[#This Row],[SDate]]&lt;DATE(2016,12,1),0,1)</f>
        <v>0</v>
      </c>
      <c r="AO286" s="4">
        <f>IFERROR(vp.data[[#This Row],[Sulf]]*vp.data[[#This Row],[Net Dens]],"")</f>
        <v>82634770.795859993</v>
      </c>
      <c r="AP286">
        <f>IFERROR(vp.data[[#This Row],[Dens]]*vp.data[[#This Row],[VolumeM3]],"")</f>
        <v>86983969.2588</v>
      </c>
      <c r="AQ286" s="15">
        <f>IFERROR(vp.data[[#This Row],[VP]]*vp.data[[#This Row],[VolumeM3]],"")</f>
        <v>7274365.4448000006</v>
      </c>
    </row>
    <row r="287" spans="1:43" x14ac:dyDescent="0.25">
      <c r="A287">
        <v>286</v>
      </c>
      <c r="B287" t="s">
        <v>60</v>
      </c>
      <c r="C287" t="s">
        <v>60</v>
      </c>
      <c r="D287" t="s">
        <v>61</v>
      </c>
      <c r="E287" t="s">
        <v>73</v>
      </c>
      <c r="F287" s="1">
        <v>42592</v>
      </c>
      <c r="G287" s="2">
        <v>66.900000000000006</v>
      </c>
      <c r="H287" s="2"/>
      <c r="I287" s="2">
        <f t="array" ref="I287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287" s="2"/>
      <c r="K287" s="2"/>
      <c r="L287" s="2"/>
      <c r="M287" s="2">
        <f t="array" ref="M287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287" s="2">
        <f ca="1">INDEX(INDIRECT(_xlfn.CONCAT("weather.tbl[",N$1,"]")),MATCH(vp.data[[#This Row],[SDate]],weather.tbl[Date],0))</f>
        <v>17.733333333333334</v>
      </c>
      <c r="O287" s="2">
        <f ca="1">INDEX(INDIRECT(_xlfn.CONCAT("weather.tbl[",O$1,"]")),MATCH(vp.data[[#This Row],[SDate]],weather.tbl[Date],0))</f>
        <v>19.483333333333331</v>
      </c>
      <c r="P287" s="2">
        <f ca="1">INDEX(INDIRECT(_xlfn.CONCAT("weather.tbl[",P$1,"]")),MATCH(vp.data[[#This Row],[SDate]],weather.tbl[Date],0))</f>
        <v>19</v>
      </c>
      <c r="Q287" s="2">
        <f ca="1">INDEX(INDIRECT(_xlfn.CONCAT("weather.tbl[",Q$1,"]")),MATCH(vp.data[[#This Row],[SDate]],weather.tbl[Date],0))</f>
        <v>18</v>
      </c>
      <c r="R287" s="2">
        <f ca="1">INDEX(INDIRECT(_xlfn.CONCAT("weather.tbl[",R$1,"]")),MATCH(vp.data[[#This Row],[SDate]],weather.tbl[Date],0))</f>
        <v>18.3</v>
      </c>
      <c r="S287" s="2">
        <f ca="1">INDEX(INDIRECT(_xlfn.CONCAT("weather.tbl[",S$1,"]")),MATCH(vp.data[[#This Row],[SDate]],weather.tbl[Date],0))</f>
        <v>16.5</v>
      </c>
      <c r="T287" s="2">
        <f ca="1">INDEX(INDIRECT(_xlfn.CONCAT("weather.tbl[",T$1,"]")),MATCH(vp.data[[#This Row],[SDate]],weather.tbl[Date],0))</f>
        <v>19.600000000000001</v>
      </c>
      <c r="U287" s="2">
        <f ca="1">INDEX(INDIRECT(_xlfn.CONCAT("weather.tbl[",U$1,"]")),MATCH(vp.data[[#This Row],[SDate]],weather.tbl[Date],0))</f>
        <v>15</v>
      </c>
      <c r="V287" s="2">
        <f t="array" ref="V2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287" t="s">
        <v>48</v>
      </c>
      <c r="X287">
        <f>IF(OR(vp.data[[#This Row],[Sulf]]="",vp.data[[#This Row],[Dens]]=""),1,0)</f>
        <v>0</v>
      </c>
      <c r="Y287">
        <f>IF(vp.data[[#This Row],[CrudeType]]="C5+",1,0)</f>
        <v>0</v>
      </c>
      <c r="Z287">
        <f>IF(AND(vp.data[[#This Row],[CrudeType]]="Crude",vp.data[[#This Row],[Dens]]&lt;=825,vp.data[[#This Row],[Sulf]]&gt;0.5,vp.data[[#This Row],[Unknown]]=0),1,0)</f>
        <v>1</v>
      </c>
      <c r="AA287">
        <f>IF(AND(vp.data[[#This Row],[CrudeType]]="Crude",vp.data[[#This Row],[Dens]]&lt;=825,vp.data[[#This Row],[Sulf]]&lt;=0.5,vp.data[[#This Row],[Unknown]]=0),1,0)</f>
        <v>0</v>
      </c>
      <c r="AB2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7">
        <f>IF(AND(vp.data[[#This Row],[CrudeType]]="Crude",vp.data[[#This Row],[Dens]]&gt;825,vp.data[[#This Row],[Dens]]&lt;=900,vp.data[[#This Row],[Sulf]]&lt;=0.5,vp.data[[#This Row],[Unknown]]=0),1,0)</f>
        <v>0</v>
      </c>
      <c r="AD287">
        <f>IF(AND(vp.data[[#This Row],[CrudeType]]="Crude",vp.data[[#This Row],[Dens]]&gt;865,vp.data[[#This Row],[Dens]]&lt;=900,vp.data[[#This Row],[Sulf]]&gt;2,vp.data[[#This Row],[Unknown]]=0),1,0)</f>
        <v>0</v>
      </c>
      <c r="AE287">
        <f>IF(AND(vp.data[[#This Row],[CrudeType]]="Crude",vp.data[[#This Row],[Dens]]&gt;900,vp.data[[#This Row],[Sulf]]&lt;=0.5,vp.data[[#This Row],[Unknown]]=0),1,0)</f>
        <v>0</v>
      </c>
      <c r="AF287">
        <f>IF(AND(vp.data[[#This Row],[CrudeType]]="Crude",vp.data[[#This Row],[Dens]]&gt;900,vp.data[[#This Row],[Sulf]]&lt;=0.5,vp.data[[#This Row],[Unknown]]=0),1,0)</f>
        <v>0</v>
      </c>
      <c r="AG287" t="str">
        <f>INDEX(vp.data[[#Headers],[Unknown]:[Heavy_SW]],MATCH(1,vp.data[[#This Row],[Unknown]:[Heavy_SW]],0))</f>
        <v>Light_LSB</v>
      </c>
      <c r="AH287">
        <f>INDEX([3]!crudeBD.lkup[Number],MATCH(vp.data[[#This Row],[Crude_Breakdown]],crudeBD.lkup[Crude Breakdown],0))</f>
        <v>1</v>
      </c>
      <c r="AI287">
        <f>MONTH(vp.data[[#This Row],[SDate]])</f>
        <v>8</v>
      </c>
      <c r="AJ287" s="5">
        <f>(vp.data[[#This Row],[VP]]-INDEX(crudeBD.lkup[Mean_VP],MATCH(vp.data[[#This Row],[Crude_Breakdown]],crudeBD.lkup[Crude Breakdown],0)))^2</f>
        <v>607.43446300350854</v>
      </c>
      <c r="AK287" s="5">
        <f>(vp.data[[#This Row],[Dens]]-INDEX(crudeBD.lkup[Mean_Dens],MATCH(vp.data[[#This Row],[Crude_Breakdown]],crudeBD.lkup[Crude Breakdown],0)))^2</f>
        <v>0.38040493617186338</v>
      </c>
      <c r="AL287" s="5">
        <f>(vp.data[[#This Row],[Sulf]]-INDEX(crudeBD.lkup[Mean_Sulf],MATCH(vp.data[[#This Row],[Crude_Breakdown]],crudeBD.lkup[Crude Breakdown],0)))^2</f>
        <v>7.3055773847853663E-4</v>
      </c>
      <c r="AM287" s="4">
        <f>IF(AND(vp.data[[#This Row],[SDate]]&gt;=DATE(YEAR(vp.data[[#This Row],[SDate]]),5,1),vp.data[[#This Row],[SDate]]&lt;=DATE(YEAR(vp.data[[#This Row],[SDate]]),9,15)),1,0)</f>
        <v>1</v>
      </c>
      <c r="AN287" s="4">
        <f>IF(vp.data[[#This Row],[SDate]]&lt;DATE(2016,12,1),0,1)</f>
        <v>0</v>
      </c>
      <c r="AO287" s="4">
        <f>IFERROR(vp.data[[#This Row],[Sulf]]*vp.data[[#This Row],[Net Dens]],"")</f>
        <v>82634770.795859993</v>
      </c>
      <c r="AP287">
        <f>IFERROR(vp.data[[#This Row],[Dens]]*vp.data[[#This Row],[VolumeM3]],"")</f>
        <v>86983969.2588</v>
      </c>
      <c r="AQ287" s="15">
        <f>IFERROR(vp.data[[#This Row],[VP]]*vp.data[[#This Row],[VolumeM3]],"")</f>
        <v>7114839.8868000004</v>
      </c>
    </row>
    <row r="288" spans="1:43" x14ac:dyDescent="0.25">
      <c r="A288">
        <v>287</v>
      </c>
      <c r="B288" t="s">
        <v>49</v>
      </c>
      <c r="C288" t="s">
        <v>49</v>
      </c>
      <c r="D288" t="s">
        <v>67</v>
      </c>
      <c r="F288" s="1">
        <v>42592</v>
      </c>
      <c r="G288" s="2">
        <v>90.7</v>
      </c>
      <c r="H288" s="2"/>
      <c r="I288" s="2">
        <f t="array" ref="I288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88" s="2"/>
      <c r="K288" s="2"/>
      <c r="L288" s="2">
        <v>810</v>
      </c>
      <c r="M288" s="2">
        <f t="array" ref="M288">_xlfn.IFNA(IF(vp.data[[#This Row],[Dens Input]]="",INDEX([1]DATA!$O$3:$O$9826,MATCH(1,(vp.data[[#This Row],[Battery]]=[1]DATA!$L$3:$L$9826)*(EOMONTH(vp.data[[#This Row],[SDate]],-1)+1=[1]DATA!$G$3:$G$9826),0)),vp.data[[#This Row],[Dens Input]]),"")</f>
        <v>810</v>
      </c>
      <c r="N288" s="2">
        <f ca="1">INDEX(INDIRECT(_xlfn.CONCAT("weather.tbl[",N$1,"]")),MATCH(vp.data[[#This Row],[SDate]],weather.tbl[Date],0))</f>
        <v>17.733333333333334</v>
      </c>
      <c r="O288" s="2">
        <f ca="1">INDEX(INDIRECT(_xlfn.CONCAT("weather.tbl[",O$1,"]")),MATCH(vp.data[[#This Row],[SDate]],weather.tbl[Date],0))</f>
        <v>19.483333333333331</v>
      </c>
      <c r="P288" s="2">
        <f ca="1">INDEX(INDIRECT(_xlfn.CONCAT("weather.tbl[",P$1,"]")),MATCH(vp.data[[#This Row],[SDate]],weather.tbl[Date],0))</f>
        <v>19</v>
      </c>
      <c r="Q288" s="2">
        <f ca="1">INDEX(INDIRECT(_xlfn.CONCAT("weather.tbl[",Q$1,"]")),MATCH(vp.data[[#This Row],[SDate]],weather.tbl[Date],0))</f>
        <v>18</v>
      </c>
      <c r="R288" s="2">
        <f ca="1">INDEX(INDIRECT(_xlfn.CONCAT("weather.tbl[",R$1,"]")),MATCH(vp.data[[#This Row],[SDate]],weather.tbl[Date],0))</f>
        <v>18.3</v>
      </c>
      <c r="S288" s="2">
        <f ca="1">INDEX(INDIRECT(_xlfn.CONCAT("weather.tbl[",S$1,"]")),MATCH(vp.data[[#This Row],[SDate]],weather.tbl[Date],0))</f>
        <v>16.5</v>
      </c>
      <c r="T288" s="2">
        <f ca="1">INDEX(INDIRECT(_xlfn.CONCAT("weather.tbl[",T$1,"]")),MATCH(vp.data[[#This Row],[SDate]],weather.tbl[Date],0))</f>
        <v>19.600000000000001</v>
      </c>
      <c r="U288" s="2">
        <f ca="1">INDEX(INDIRECT(_xlfn.CONCAT("weather.tbl[",U$1,"]")),MATCH(vp.data[[#This Row],[SDate]],weather.tbl[Date],0))</f>
        <v>15</v>
      </c>
      <c r="V288" s="2">
        <f t="array" ref="V2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288" t="s">
        <v>48</v>
      </c>
      <c r="X288">
        <f>IF(OR(vp.data[[#This Row],[Sulf]]="",vp.data[[#This Row],[Dens]]=""),1,0)</f>
        <v>0</v>
      </c>
      <c r="Y288">
        <f>IF(vp.data[[#This Row],[CrudeType]]="C5+",1,0)</f>
        <v>0</v>
      </c>
      <c r="Z288">
        <f>IF(AND(vp.data[[#This Row],[CrudeType]]="Crude",vp.data[[#This Row],[Dens]]&lt;=825,vp.data[[#This Row],[Sulf]]&gt;0.5,vp.data[[#This Row],[Unknown]]=0),1,0)</f>
        <v>0</v>
      </c>
      <c r="AA288">
        <f>IF(AND(vp.data[[#This Row],[CrudeType]]="Crude",vp.data[[#This Row],[Dens]]&lt;=825,vp.data[[#This Row],[Sulf]]&lt;=0.5,vp.data[[#This Row],[Unknown]]=0),1,0)</f>
        <v>1</v>
      </c>
      <c r="AB2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8">
        <f>IF(AND(vp.data[[#This Row],[CrudeType]]="Crude",vp.data[[#This Row],[Dens]]&gt;825,vp.data[[#This Row],[Dens]]&lt;=900,vp.data[[#This Row],[Sulf]]&lt;=0.5,vp.data[[#This Row],[Unknown]]=0),1,0)</f>
        <v>0</v>
      </c>
      <c r="AD288">
        <f>IF(AND(vp.data[[#This Row],[CrudeType]]="Crude",vp.data[[#This Row],[Dens]]&gt;865,vp.data[[#This Row],[Dens]]&lt;=900,vp.data[[#This Row],[Sulf]]&gt;2,vp.data[[#This Row],[Unknown]]=0),1,0)</f>
        <v>0</v>
      </c>
      <c r="AE288">
        <f>IF(AND(vp.data[[#This Row],[CrudeType]]="Crude",vp.data[[#This Row],[Dens]]&gt;900,vp.data[[#This Row],[Sulf]]&lt;=0.5,vp.data[[#This Row],[Unknown]]=0),1,0)</f>
        <v>0</v>
      </c>
      <c r="AF288">
        <f>IF(AND(vp.data[[#This Row],[CrudeType]]="Crude",vp.data[[#This Row],[Dens]]&gt;900,vp.data[[#This Row],[Sulf]]&lt;=0.5,vp.data[[#This Row],[Unknown]]=0),1,0)</f>
        <v>0</v>
      </c>
      <c r="AG288" t="str">
        <f>INDEX(vp.data[[#Headers],[Unknown]:[Heavy_SW]],MATCH(1,vp.data[[#This Row],[Unknown]:[Heavy_SW]],0))</f>
        <v>Light_SW</v>
      </c>
      <c r="AH288">
        <f>INDEX([3]!crudeBD.lkup[Number],MATCH(vp.data[[#This Row],[Crude_Breakdown]],crudeBD.lkup[Crude Breakdown],0))</f>
        <v>2</v>
      </c>
      <c r="AI288">
        <f>MONTH(vp.data[[#This Row],[SDate]])</f>
        <v>8</v>
      </c>
      <c r="AJ288" s="5">
        <f>(vp.data[[#This Row],[VP]]-INDEX(crudeBD.lkup[Mean_VP],MATCH(vp.data[[#This Row],[Crude_Breakdown]],crudeBD.lkup[Crude Breakdown],0)))^2</f>
        <v>3.4236603770834919</v>
      </c>
      <c r="AK288" s="5">
        <f>(vp.data[[#This Row],[Dens]]-INDEX(crudeBD.lkup[Mean_Dens],MATCH(vp.data[[#This Row],[Crude_Breakdown]],crudeBD.lkup[Crude Breakdown],0)))^2</f>
        <v>2.851038133279034</v>
      </c>
      <c r="AL288" s="5">
        <f>(vp.data[[#This Row],[Sulf]]-INDEX(crudeBD.lkup[Mean_Sulf],MATCH(vp.data[[#This Row],[Crude_Breakdown]],crudeBD.lkup[Crude Breakdown],0)))^2</f>
        <v>6.8863268899706654E-4</v>
      </c>
      <c r="AM288" s="4">
        <f>IF(AND(vp.data[[#This Row],[SDate]]&gt;=DATE(YEAR(vp.data[[#This Row],[SDate]]),5,1),vp.data[[#This Row],[SDate]]&lt;=DATE(YEAR(vp.data[[#This Row],[SDate]]),9,15)),1,0)</f>
        <v>1</v>
      </c>
      <c r="AN288" s="4">
        <f>IF(vp.data[[#This Row],[SDate]]&lt;DATE(2016,12,1),0,1)</f>
        <v>0</v>
      </c>
      <c r="AO288" s="4">
        <f>IFERROR(vp.data[[#This Row],[Sulf]]*vp.data[[#This Row],[Net Dens]],"")</f>
        <v>8410767.1514999997</v>
      </c>
      <c r="AP288">
        <f>IFERROR(vp.data[[#This Row],[Dens]]*vp.data[[#This Row],[VolumeM3]],"")</f>
        <v>40051272.149999999</v>
      </c>
      <c r="AQ288" s="15">
        <f>IFERROR(vp.data[[#This Row],[VP]]*vp.data[[#This Row],[VolumeM3]],"")</f>
        <v>4484753.5604999997</v>
      </c>
    </row>
    <row r="289" spans="1:43" x14ac:dyDescent="0.25">
      <c r="A289">
        <v>288</v>
      </c>
      <c r="B289" t="s">
        <v>49</v>
      </c>
      <c r="C289" t="s">
        <v>49</v>
      </c>
      <c r="D289" t="s">
        <v>67</v>
      </c>
      <c r="F289" s="1">
        <v>42592</v>
      </c>
      <c r="G289" s="2">
        <v>89.9</v>
      </c>
      <c r="H289" s="2"/>
      <c r="I289" s="2">
        <f t="array" ref="I289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289" s="2"/>
      <c r="K289" s="2"/>
      <c r="L289" s="2">
        <v>810</v>
      </c>
      <c r="M289" s="2">
        <f t="array" ref="M289">_xlfn.IFNA(IF(vp.data[[#This Row],[Dens Input]]="",INDEX([1]DATA!$O$3:$O$9826,MATCH(1,(vp.data[[#This Row],[Battery]]=[1]DATA!$L$3:$L$9826)*(EOMONTH(vp.data[[#This Row],[SDate]],-1)+1=[1]DATA!$G$3:$G$9826),0)),vp.data[[#This Row],[Dens Input]]),"")</f>
        <v>810</v>
      </c>
      <c r="N289" s="2">
        <f ca="1">INDEX(INDIRECT(_xlfn.CONCAT("weather.tbl[",N$1,"]")),MATCH(vp.data[[#This Row],[SDate]],weather.tbl[Date],0))</f>
        <v>17.733333333333334</v>
      </c>
      <c r="O289" s="2">
        <f ca="1">INDEX(INDIRECT(_xlfn.CONCAT("weather.tbl[",O$1,"]")),MATCH(vp.data[[#This Row],[SDate]],weather.tbl[Date],0))</f>
        <v>19.483333333333331</v>
      </c>
      <c r="P289" s="2">
        <f ca="1">INDEX(INDIRECT(_xlfn.CONCAT("weather.tbl[",P$1,"]")),MATCH(vp.data[[#This Row],[SDate]],weather.tbl[Date],0))</f>
        <v>19</v>
      </c>
      <c r="Q289" s="2">
        <f ca="1">INDEX(INDIRECT(_xlfn.CONCAT("weather.tbl[",Q$1,"]")),MATCH(vp.data[[#This Row],[SDate]],weather.tbl[Date],0))</f>
        <v>18</v>
      </c>
      <c r="R289" s="2">
        <f ca="1">INDEX(INDIRECT(_xlfn.CONCAT("weather.tbl[",R$1,"]")),MATCH(vp.data[[#This Row],[SDate]],weather.tbl[Date],0))</f>
        <v>18.3</v>
      </c>
      <c r="S289" s="2">
        <f ca="1">INDEX(INDIRECT(_xlfn.CONCAT("weather.tbl[",S$1,"]")),MATCH(vp.data[[#This Row],[SDate]],weather.tbl[Date],0))</f>
        <v>16.5</v>
      </c>
      <c r="T289" s="2">
        <f ca="1">INDEX(INDIRECT(_xlfn.CONCAT("weather.tbl[",T$1,"]")),MATCH(vp.data[[#This Row],[SDate]],weather.tbl[Date],0))</f>
        <v>19.600000000000001</v>
      </c>
      <c r="U289" s="2">
        <f ca="1">INDEX(INDIRECT(_xlfn.CONCAT("weather.tbl[",U$1,"]")),MATCH(vp.data[[#This Row],[SDate]],weather.tbl[Date],0))</f>
        <v>15</v>
      </c>
      <c r="V289" s="2">
        <f t="array" ref="V2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289" t="s">
        <v>48</v>
      </c>
      <c r="X289">
        <f>IF(OR(vp.data[[#This Row],[Sulf]]="",vp.data[[#This Row],[Dens]]=""),1,0)</f>
        <v>0</v>
      </c>
      <c r="Y289">
        <f>IF(vp.data[[#This Row],[CrudeType]]="C5+",1,0)</f>
        <v>0</v>
      </c>
      <c r="Z289">
        <f>IF(AND(vp.data[[#This Row],[CrudeType]]="Crude",vp.data[[#This Row],[Dens]]&lt;=825,vp.data[[#This Row],[Sulf]]&gt;0.5,vp.data[[#This Row],[Unknown]]=0),1,0)</f>
        <v>0</v>
      </c>
      <c r="AA289">
        <f>IF(AND(vp.data[[#This Row],[CrudeType]]="Crude",vp.data[[#This Row],[Dens]]&lt;=825,vp.data[[#This Row],[Sulf]]&lt;=0.5,vp.data[[#This Row],[Unknown]]=0),1,0)</f>
        <v>1</v>
      </c>
      <c r="AB2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89">
        <f>IF(AND(vp.data[[#This Row],[CrudeType]]="Crude",vp.data[[#This Row],[Dens]]&gt;825,vp.data[[#This Row],[Dens]]&lt;=900,vp.data[[#This Row],[Sulf]]&lt;=0.5,vp.data[[#This Row],[Unknown]]=0),1,0)</f>
        <v>0</v>
      </c>
      <c r="AD289">
        <f>IF(AND(vp.data[[#This Row],[CrudeType]]="Crude",vp.data[[#This Row],[Dens]]&gt;865,vp.data[[#This Row],[Dens]]&lt;=900,vp.data[[#This Row],[Sulf]]&gt;2,vp.data[[#This Row],[Unknown]]=0),1,0)</f>
        <v>0</v>
      </c>
      <c r="AE289">
        <f>IF(AND(vp.data[[#This Row],[CrudeType]]="Crude",vp.data[[#This Row],[Dens]]&gt;900,vp.data[[#This Row],[Sulf]]&lt;=0.5,vp.data[[#This Row],[Unknown]]=0),1,0)</f>
        <v>0</v>
      </c>
      <c r="AF289">
        <f>IF(AND(vp.data[[#This Row],[CrudeType]]="Crude",vp.data[[#This Row],[Dens]]&gt;900,vp.data[[#This Row],[Sulf]]&lt;=0.5,vp.data[[#This Row],[Unknown]]=0),1,0)</f>
        <v>0</v>
      </c>
      <c r="AG289" t="str">
        <f>INDEX(vp.data[[#Headers],[Unknown]:[Heavy_SW]],MATCH(1,vp.data[[#This Row],[Unknown]:[Heavy_SW]],0))</f>
        <v>Light_SW</v>
      </c>
      <c r="AH289">
        <f>INDEX([3]!crudeBD.lkup[Number],MATCH(vp.data[[#This Row],[Crude_Breakdown]],crudeBD.lkup[Crude Breakdown],0))</f>
        <v>2</v>
      </c>
      <c r="AI289">
        <f>MONTH(vp.data[[#This Row],[SDate]])</f>
        <v>8</v>
      </c>
      <c r="AJ289" s="5">
        <f>(vp.data[[#This Row],[VP]]-INDEX(crudeBD.lkup[Mean_VP],MATCH(vp.data[[#This Row],[Crude_Breakdown]],crudeBD.lkup[Crude Breakdown],0)))^2</f>
        <v>7.0241621192437034</v>
      </c>
      <c r="AK289" s="5">
        <f>(vp.data[[#This Row],[Dens]]-INDEX(crudeBD.lkup[Mean_Dens],MATCH(vp.data[[#This Row],[Crude_Breakdown]],crudeBD.lkup[Crude Breakdown],0)))^2</f>
        <v>2.851038133279034</v>
      </c>
      <c r="AL289" s="5">
        <f>(vp.data[[#This Row],[Sulf]]-INDEX(crudeBD.lkup[Mean_Sulf],MATCH(vp.data[[#This Row],[Crude_Breakdown]],crudeBD.lkup[Crude Breakdown],0)))^2</f>
        <v>6.8863268899706654E-4</v>
      </c>
      <c r="AM289" s="4">
        <f>IF(AND(vp.data[[#This Row],[SDate]]&gt;=DATE(YEAR(vp.data[[#This Row],[SDate]]),5,1),vp.data[[#This Row],[SDate]]&lt;=DATE(YEAR(vp.data[[#This Row],[SDate]]),9,15)),1,0)</f>
        <v>1</v>
      </c>
      <c r="AN289" s="4">
        <f>IF(vp.data[[#This Row],[SDate]]&lt;DATE(2016,12,1),0,1)</f>
        <v>0</v>
      </c>
      <c r="AO289" s="4">
        <f>IFERROR(vp.data[[#This Row],[Sulf]]*vp.data[[#This Row],[Net Dens]],"")</f>
        <v>8410767.1514999997</v>
      </c>
      <c r="AP289">
        <f>IFERROR(vp.data[[#This Row],[Dens]]*vp.data[[#This Row],[VolumeM3]],"")</f>
        <v>40051272.149999999</v>
      </c>
      <c r="AQ289" s="15">
        <f>IFERROR(vp.data[[#This Row],[VP]]*vp.data[[#This Row],[VolumeM3]],"")</f>
        <v>4445196.7485000007</v>
      </c>
    </row>
    <row r="290" spans="1:43" x14ac:dyDescent="0.25">
      <c r="A290">
        <v>289</v>
      </c>
      <c r="B290" t="s">
        <v>46</v>
      </c>
      <c r="C290" t="s">
        <v>46</v>
      </c>
      <c r="D290" t="s">
        <v>47</v>
      </c>
      <c r="F290" s="1">
        <v>42592</v>
      </c>
      <c r="G290" s="2">
        <v>53.1</v>
      </c>
      <c r="H290" s="2"/>
      <c r="I290" s="2">
        <f t="array" ref="I290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290" s="2"/>
      <c r="K290" s="2"/>
      <c r="L290" s="2">
        <v>870</v>
      </c>
      <c r="M290" s="2">
        <f t="array" ref="M290">_xlfn.IFNA(IF(vp.data[[#This Row],[Dens Input]]="",INDEX([1]DATA!$O$3:$O$9826,MATCH(1,(vp.data[[#This Row],[Battery]]=[1]DATA!$L$3:$L$9826)*(EOMONTH(vp.data[[#This Row],[SDate]],-1)+1=[1]DATA!$G$3:$G$9826),0)),vp.data[[#This Row],[Dens Input]]),"")</f>
        <v>870</v>
      </c>
      <c r="N290" s="2">
        <f ca="1">INDEX(INDIRECT(_xlfn.CONCAT("weather.tbl[",N$1,"]")),MATCH(vp.data[[#This Row],[SDate]],weather.tbl[Date],0))</f>
        <v>17.733333333333334</v>
      </c>
      <c r="O290" s="2">
        <f ca="1">INDEX(INDIRECT(_xlfn.CONCAT("weather.tbl[",O$1,"]")),MATCH(vp.data[[#This Row],[SDate]],weather.tbl[Date],0))</f>
        <v>19.483333333333331</v>
      </c>
      <c r="P290" s="2">
        <f ca="1">INDEX(INDIRECT(_xlfn.CONCAT("weather.tbl[",P$1,"]")),MATCH(vp.data[[#This Row],[SDate]],weather.tbl[Date],0))</f>
        <v>19</v>
      </c>
      <c r="Q290" s="2">
        <f ca="1">INDEX(INDIRECT(_xlfn.CONCAT("weather.tbl[",Q$1,"]")),MATCH(vp.data[[#This Row],[SDate]],weather.tbl[Date],0))</f>
        <v>18</v>
      </c>
      <c r="R290" s="2">
        <f ca="1">INDEX(INDIRECT(_xlfn.CONCAT("weather.tbl[",R$1,"]")),MATCH(vp.data[[#This Row],[SDate]],weather.tbl[Date],0))</f>
        <v>18.3</v>
      </c>
      <c r="S290" s="2">
        <f ca="1">INDEX(INDIRECT(_xlfn.CONCAT("weather.tbl[",S$1,"]")),MATCH(vp.data[[#This Row],[SDate]],weather.tbl[Date],0))</f>
        <v>16.5</v>
      </c>
      <c r="T290" s="2">
        <f ca="1">INDEX(INDIRECT(_xlfn.CONCAT("weather.tbl[",T$1,"]")),MATCH(vp.data[[#This Row],[SDate]],weather.tbl[Date],0))</f>
        <v>19.600000000000001</v>
      </c>
      <c r="U290" s="2">
        <f ca="1">INDEX(INDIRECT(_xlfn.CONCAT("weather.tbl[",U$1,"]")),MATCH(vp.data[[#This Row],[SDate]],weather.tbl[Date],0))</f>
        <v>15</v>
      </c>
      <c r="V290" s="2">
        <f t="array" ref="V2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117553.995</v>
      </c>
      <c r="W290" t="s">
        <v>48</v>
      </c>
      <c r="X290">
        <f>IF(OR(vp.data[[#This Row],[Sulf]]="",vp.data[[#This Row],[Dens]]=""),1,0)</f>
        <v>0</v>
      </c>
      <c r="Y290">
        <f>IF(vp.data[[#This Row],[CrudeType]]="C5+",1,0)</f>
        <v>0</v>
      </c>
      <c r="Z290">
        <f>IF(AND(vp.data[[#This Row],[CrudeType]]="Crude",vp.data[[#This Row],[Dens]]&lt;=825,vp.data[[#This Row],[Sulf]]&gt;0.5,vp.data[[#This Row],[Unknown]]=0),1,0)</f>
        <v>0</v>
      </c>
      <c r="AA290">
        <f>IF(AND(vp.data[[#This Row],[CrudeType]]="Crude",vp.data[[#This Row],[Dens]]&lt;=825,vp.data[[#This Row],[Sulf]]&lt;=0.5,vp.data[[#This Row],[Unknown]]=0),1,0)</f>
        <v>0</v>
      </c>
      <c r="AB2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0">
        <f>IF(AND(vp.data[[#This Row],[CrudeType]]="Crude",vp.data[[#This Row],[Dens]]&gt;825,vp.data[[#This Row],[Dens]]&lt;=900,vp.data[[#This Row],[Sulf]]&lt;=0.5,vp.data[[#This Row],[Unknown]]=0),1,0)</f>
        <v>0</v>
      </c>
      <c r="AD290">
        <f>IF(AND(vp.data[[#This Row],[CrudeType]]="Crude",vp.data[[#This Row],[Dens]]&gt;865,vp.data[[#This Row],[Dens]]&lt;=900,vp.data[[#This Row],[Sulf]]&gt;2,vp.data[[#This Row],[Unknown]]=0),1,0)</f>
        <v>1</v>
      </c>
      <c r="AE290">
        <f>IF(AND(vp.data[[#This Row],[CrudeType]]="Crude",vp.data[[#This Row],[Dens]]&gt;900,vp.data[[#This Row],[Sulf]]&lt;=0.5,vp.data[[#This Row],[Unknown]]=0),1,0)</f>
        <v>0</v>
      </c>
      <c r="AF290">
        <f>IF(AND(vp.data[[#This Row],[CrudeType]]="Crude",vp.data[[#This Row],[Dens]]&gt;900,vp.data[[#This Row],[Sulf]]&lt;=0.5,vp.data[[#This Row],[Unknown]]=0),1,0)</f>
        <v>0</v>
      </c>
      <c r="AG290" t="str">
        <f>INDEX(vp.data[[#Headers],[Unknown]:[Heavy_SW]],MATCH(1,vp.data[[#This Row],[Unknown]:[Heavy_SW]],0))</f>
        <v>Midale</v>
      </c>
      <c r="AH290">
        <f>INDEX([3]!crudeBD.lkup[Number],MATCH(vp.data[[#This Row],[Crude_Breakdown]],crudeBD.lkup[Crude Breakdown],0))</f>
        <v>5</v>
      </c>
      <c r="AI290">
        <f>MONTH(vp.data[[#This Row],[SDate]])</f>
        <v>8</v>
      </c>
      <c r="AJ290" s="5">
        <f>(vp.data[[#This Row],[VP]]-INDEX(crudeBD.lkup[Mean_VP],MATCH(vp.data[[#This Row],[Crude_Breakdown]],crudeBD.lkup[Crude Breakdown],0)))^2</f>
        <v>265.97574689127526</v>
      </c>
      <c r="AK290" s="5">
        <f>(vp.data[[#This Row],[Dens]]-INDEX(crudeBD.lkup[Mean_Dens],MATCH(vp.data[[#This Row],[Crude_Breakdown]],crudeBD.lkup[Crude Breakdown],0)))^2</f>
        <v>23.20358831969687</v>
      </c>
      <c r="AL290" s="5">
        <f>(vp.data[[#This Row],[Sulf]]-INDEX(crudeBD.lkup[Mean_Sulf],MATCH(vp.data[[#This Row],[Crude_Breakdown]],crudeBD.lkup[Crude Breakdown],0)))^2</f>
        <v>1.785311974748607E-2</v>
      </c>
      <c r="AM290" s="4">
        <f>IF(AND(vp.data[[#This Row],[SDate]]&gt;=DATE(YEAR(vp.data[[#This Row],[SDate]]),5,1),vp.data[[#This Row],[SDate]]&lt;=DATE(YEAR(vp.data[[#This Row],[SDate]]),9,15)),1,0)</f>
        <v>1</v>
      </c>
      <c r="AN290" s="4">
        <f>IF(vp.data[[#This Row],[SDate]]&lt;DATE(2016,12,1),0,1)</f>
        <v>0</v>
      </c>
      <c r="AO290" s="4">
        <f>IFERROR(vp.data[[#This Row],[Sulf]]*vp.data[[#This Row],[Net Dens]],"")</f>
        <v>236248263.75149998</v>
      </c>
      <c r="AP290">
        <f>IFERROR(vp.data[[#This Row],[Dens]]*vp.data[[#This Row],[VolumeM3]],"")</f>
        <v>102271975.64999999</v>
      </c>
      <c r="AQ290" s="15">
        <f>IFERROR(vp.data[[#This Row],[VP]]*vp.data[[#This Row],[VolumeM3]],"")</f>
        <v>6242117.1344999997</v>
      </c>
    </row>
    <row r="291" spans="1:43" x14ac:dyDescent="0.25">
      <c r="A291">
        <v>290</v>
      </c>
      <c r="B291" t="s">
        <v>46</v>
      </c>
      <c r="C291" t="s">
        <v>46</v>
      </c>
      <c r="D291" t="s">
        <v>47</v>
      </c>
      <c r="F291" s="1">
        <v>42592</v>
      </c>
      <c r="G291" s="2">
        <v>51.4</v>
      </c>
      <c r="H291" s="2"/>
      <c r="I291" s="2">
        <f t="array" ref="I291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291" s="2"/>
      <c r="K291" s="2"/>
      <c r="L291" s="2">
        <v>870</v>
      </c>
      <c r="M291" s="2">
        <f t="array" ref="M291">_xlfn.IFNA(IF(vp.data[[#This Row],[Dens Input]]="",INDEX([1]DATA!$O$3:$O$9826,MATCH(1,(vp.data[[#This Row],[Battery]]=[1]DATA!$L$3:$L$9826)*(EOMONTH(vp.data[[#This Row],[SDate]],-1)+1=[1]DATA!$G$3:$G$9826),0)),vp.data[[#This Row],[Dens Input]]),"")</f>
        <v>870</v>
      </c>
      <c r="N291" s="2">
        <f ca="1">INDEX(INDIRECT(_xlfn.CONCAT("weather.tbl[",N$1,"]")),MATCH(vp.data[[#This Row],[SDate]],weather.tbl[Date],0))</f>
        <v>17.733333333333334</v>
      </c>
      <c r="O291" s="2">
        <f ca="1">INDEX(INDIRECT(_xlfn.CONCAT("weather.tbl[",O$1,"]")),MATCH(vp.data[[#This Row],[SDate]],weather.tbl[Date],0))</f>
        <v>19.483333333333331</v>
      </c>
      <c r="P291" s="2">
        <f ca="1">INDEX(INDIRECT(_xlfn.CONCAT("weather.tbl[",P$1,"]")),MATCH(vp.data[[#This Row],[SDate]],weather.tbl[Date],0))</f>
        <v>19</v>
      </c>
      <c r="Q291" s="2">
        <f ca="1">INDEX(INDIRECT(_xlfn.CONCAT("weather.tbl[",Q$1,"]")),MATCH(vp.data[[#This Row],[SDate]],weather.tbl[Date],0))</f>
        <v>18</v>
      </c>
      <c r="R291" s="2">
        <f ca="1">INDEX(INDIRECT(_xlfn.CONCAT("weather.tbl[",R$1,"]")),MATCH(vp.data[[#This Row],[SDate]],weather.tbl[Date],0))</f>
        <v>18.3</v>
      </c>
      <c r="S291" s="2">
        <f ca="1">INDEX(INDIRECT(_xlfn.CONCAT("weather.tbl[",S$1,"]")),MATCH(vp.data[[#This Row],[SDate]],weather.tbl[Date],0))</f>
        <v>16.5</v>
      </c>
      <c r="T291" s="2">
        <f ca="1">INDEX(INDIRECT(_xlfn.CONCAT("weather.tbl[",T$1,"]")),MATCH(vp.data[[#This Row],[SDate]],weather.tbl[Date],0))</f>
        <v>19.600000000000001</v>
      </c>
      <c r="U291" s="2">
        <f ca="1">INDEX(INDIRECT(_xlfn.CONCAT("weather.tbl[",U$1,"]")),MATCH(vp.data[[#This Row],[SDate]],weather.tbl[Date],0))</f>
        <v>15</v>
      </c>
      <c r="V291" s="2">
        <f t="array" ref="V2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117553.995</v>
      </c>
      <c r="W291" t="s">
        <v>48</v>
      </c>
      <c r="X291">
        <f>IF(OR(vp.data[[#This Row],[Sulf]]="",vp.data[[#This Row],[Dens]]=""),1,0)</f>
        <v>0</v>
      </c>
      <c r="Y291">
        <f>IF(vp.data[[#This Row],[CrudeType]]="C5+",1,0)</f>
        <v>0</v>
      </c>
      <c r="Z291">
        <f>IF(AND(vp.data[[#This Row],[CrudeType]]="Crude",vp.data[[#This Row],[Dens]]&lt;=825,vp.data[[#This Row],[Sulf]]&gt;0.5,vp.data[[#This Row],[Unknown]]=0),1,0)</f>
        <v>0</v>
      </c>
      <c r="AA291">
        <f>IF(AND(vp.data[[#This Row],[CrudeType]]="Crude",vp.data[[#This Row],[Dens]]&lt;=825,vp.data[[#This Row],[Sulf]]&lt;=0.5,vp.data[[#This Row],[Unknown]]=0),1,0)</f>
        <v>0</v>
      </c>
      <c r="AB2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1">
        <f>IF(AND(vp.data[[#This Row],[CrudeType]]="Crude",vp.data[[#This Row],[Dens]]&gt;825,vp.data[[#This Row],[Dens]]&lt;=900,vp.data[[#This Row],[Sulf]]&lt;=0.5,vp.data[[#This Row],[Unknown]]=0),1,0)</f>
        <v>0</v>
      </c>
      <c r="AD291">
        <f>IF(AND(vp.data[[#This Row],[CrudeType]]="Crude",vp.data[[#This Row],[Dens]]&gt;865,vp.data[[#This Row],[Dens]]&lt;=900,vp.data[[#This Row],[Sulf]]&gt;2,vp.data[[#This Row],[Unknown]]=0),1,0)</f>
        <v>1</v>
      </c>
      <c r="AE291">
        <f>IF(AND(vp.data[[#This Row],[CrudeType]]="Crude",vp.data[[#This Row],[Dens]]&gt;900,vp.data[[#This Row],[Sulf]]&lt;=0.5,vp.data[[#This Row],[Unknown]]=0),1,0)</f>
        <v>0</v>
      </c>
      <c r="AF291">
        <f>IF(AND(vp.data[[#This Row],[CrudeType]]="Crude",vp.data[[#This Row],[Dens]]&gt;900,vp.data[[#This Row],[Sulf]]&lt;=0.5,vp.data[[#This Row],[Unknown]]=0),1,0)</f>
        <v>0</v>
      </c>
      <c r="AG291" t="str">
        <f>INDEX(vp.data[[#Headers],[Unknown]:[Heavy_SW]],MATCH(1,vp.data[[#This Row],[Unknown]:[Heavy_SW]],0))</f>
        <v>Midale</v>
      </c>
      <c r="AH291">
        <f>INDEX([3]!crudeBD.lkup[Number],MATCH(vp.data[[#This Row],[Crude_Breakdown]],crudeBD.lkup[Crude Breakdown],0))</f>
        <v>5</v>
      </c>
      <c r="AI291">
        <f>MONTH(vp.data[[#This Row],[SDate]])</f>
        <v>8</v>
      </c>
      <c r="AJ291" s="5">
        <f>(vp.data[[#This Row],[VP]]-INDEX(crudeBD.lkup[Mean_VP],MATCH(vp.data[[#This Row],[Crude_Breakdown]],crudeBD.lkup[Crude Breakdown],0)))^2</f>
        <v>324.31554070570849</v>
      </c>
      <c r="AK291" s="5">
        <f>(vp.data[[#This Row],[Dens]]-INDEX(crudeBD.lkup[Mean_Dens],MATCH(vp.data[[#This Row],[Crude_Breakdown]],crudeBD.lkup[Crude Breakdown],0)))^2</f>
        <v>23.20358831969687</v>
      </c>
      <c r="AL291" s="5">
        <f>(vp.data[[#This Row],[Sulf]]-INDEX(crudeBD.lkup[Mean_Sulf],MATCH(vp.data[[#This Row],[Crude_Breakdown]],crudeBD.lkup[Crude Breakdown],0)))^2</f>
        <v>1.785311974748607E-2</v>
      </c>
      <c r="AM291" s="4">
        <f>IF(AND(vp.data[[#This Row],[SDate]]&gt;=DATE(YEAR(vp.data[[#This Row],[SDate]]),5,1),vp.data[[#This Row],[SDate]]&lt;=DATE(YEAR(vp.data[[#This Row],[SDate]]),9,15)),1,0)</f>
        <v>1</v>
      </c>
      <c r="AN291" s="4">
        <f>IF(vp.data[[#This Row],[SDate]]&lt;DATE(2016,12,1),0,1)</f>
        <v>0</v>
      </c>
      <c r="AO291" s="4">
        <f>IFERROR(vp.data[[#This Row],[Sulf]]*vp.data[[#This Row],[Net Dens]],"")</f>
        <v>236248263.75149998</v>
      </c>
      <c r="AP291">
        <f>IFERROR(vp.data[[#This Row],[Dens]]*vp.data[[#This Row],[VolumeM3]],"")</f>
        <v>102271975.64999999</v>
      </c>
      <c r="AQ291" s="15">
        <f>IFERROR(vp.data[[#This Row],[VP]]*vp.data[[#This Row],[VolumeM3]],"")</f>
        <v>6042275.3429999994</v>
      </c>
    </row>
    <row r="292" spans="1:43" x14ac:dyDescent="0.25">
      <c r="A292">
        <v>291</v>
      </c>
      <c r="B292" t="s">
        <v>60</v>
      </c>
      <c r="C292" t="s">
        <v>60</v>
      </c>
      <c r="D292" t="s">
        <v>61</v>
      </c>
      <c r="E292" t="s">
        <v>55</v>
      </c>
      <c r="F292" s="1">
        <v>42592</v>
      </c>
      <c r="G292" s="2">
        <v>100.6</v>
      </c>
      <c r="H292" s="2"/>
      <c r="I292" s="2">
        <f t="array" ref="I292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292" s="2"/>
      <c r="K292" s="2"/>
      <c r="L292" s="2">
        <v>838</v>
      </c>
      <c r="M292" s="2">
        <f t="array" ref="M292">_xlfn.IFNA(IF(vp.data[[#This Row],[Dens Input]]="",INDEX([1]DATA!$O$3:$O$9826,MATCH(1,(vp.data[[#This Row],[Battery]]=[1]DATA!$L$3:$L$9826)*(EOMONTH(vp.data[[#This Row],[SDate]],-1)+1=[1]DATA!$G$3:$G$9826),0)),vp.data[[#This Row],[Dens Input]]),"")</f>
        <v>838</v>
      </c>
      <c r="N292" s="2">
        <f ca="1">INDEX(INDIRECT(_xlfn.CONCAT("weather.tbl[",N$1,"]")),MATCH(vp.data[[#This Row],[SDate]],weather.tbl[Date],0))</f>
        <v>17.733333333333334</v>
      </c>
      <c r="O292" s="2">
        <f ca="1">INDEX(INDIRECT(_xlfn.CONCAT("weather.tbl[",O$1,"]")),MATCH(vp.data[[#This Row],[SDate]],weather.tbl[Date],0))</f>
        <v>19.483333333333331</v>
      </c>
      <c r="P292" s="2">
        <f ca="1">INDEX(INDIRECT(_xlfn.CONCAT("weather.tbl[",P$1,"]")),MATCH(vp.data[[#This Row],[SDate]],weather.tbl[Date],0))</f>
        <v>19</v>
      </c>
      <c r="Q292" s="2">
        <f ca="1">INDEX(INDIRECT(_xlfn.CONCAT("weather.tbl[",Q$1,"]")),MATCH(vp.data[[#This Row],[SDate]],weather.tbl[Date],0))</f>
        <v>18</v>
      </c>
      <c r="R292" s="2">
        <f ca="1">INDEX(INDIRECT(_xlfn.CONCAT("weather.tbl[",R$1,"]")),MATCH(vp.data[[#This Row],[SDate]],weather.tbl[Date],0))</f>
        <v>18.3</v>
      </c>
      <c r="S292" s="2">
        <f ca="1">INDEX(INDIRECT(_xlfn.CONCAT("weather.tbl[",S$1,"]")),MATCH(vp.data[[#This Row],[SDate]],weather.tbl[Date],0))</f>
        <v>16.5</v>
      </c>
      <c r="T292" s="2">
        <f ca="1">INDEX(INDIRECT(_xlfn.CONCAT("weather.tbl[",T$1,"]")),MATCH(vp.data[[#This Row],[SDate]],weather.tbl[Date],0))</f>
        <v>19.600000000000001</v>
      </c>
      <c r="U292" s="2">
        <f ca="1">INDEX(INDIRECT(_xlfn.CONCAT("weather.tbl[",U$1,"]")),MATCH(vp.data[[#This Row],[SDate]],weather.tbl[Date],0))</f>
        <v>15</v>
      </c>
      <c r="V292" s="2">
        <f t="array" ref="V2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292" t="s">
        <v>48</v>
      </c>
      <c r="X292">
        <f>IF(OR(vp.data[[#This Row],[Sulf]]="",vp.data[[#This Row],[Dens]]=""),1,0)</f>
        <v>0</v>
      </c>
      <c r="Y292">
        <f>IF(vp.data[[#This Row],[CrudeType]]="C5+",1,0)</f>
        <v>0</v>
      </c>
      <c r="Z292">
        <f>IF(AND(vp.data[[#This Row],[CrudeType]]="Crude",vp.data[[#This Row],[Dens]]&lt;=825,vp.data[[#This Row],[Sulf]]&gt;0.5,vp.data[[#This Row],[Unknown]]=0),1,0)</f>
        <v>0</v>
      </c>
      <c r="AA292">
        <f>IF(AND(vp.data[[#This Row],[CrudeType]]="Crude",vp.data[[#This Row],[Dens]]&lt;=825,vp.data[[#This Row],[Sulf]]&lt;=0.5,vp.data[[#This Row],[Unknown]]=0),1,0)</f>
        <v>0</v>
      </c>
      <c r="AB2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92">
        <f>IF(AND(vp.data[[#This Row],[CrudeType]]="Crude",vp.data[[#This Row],[Dens]]&gt;825,vp.data[[#This Row],[Dens]]&lt;=900,vp.data[[#This Row],[Sulf]]&lt;=0.5,vp.data[[#This Row],[Unknown]]=0),1,0)</f>
        <v>0</v>
      </c>
      <c r="AD292">
        <f>IF(AND(vp.data[[#This Row],[CrudeType]]="Crude",vp.data[[#This Row],[Dens]]&gt;865,vp.data[[#This Row],[Dens]]&lt;=900,vp.data[[#This Row],[Sulf]]&gt;2,vp.data[[#This Row],[Unknown]]=0),1,0)</f>
        <v>0</v>
      </c>
      <c r="AE292">
        <f>IF(AND(vp.data[[#This Row],[CrudeType]]="Crude",vp.data[[#This Row],[Dens]]&gt;900,vp.data[[#This Row],[Sulf]]&lt;=0.5,vp.data[[#This Row],[Unknown]]=0),1,0)</f>
        <v>0</v>
      </c>
      <c r="AF292">
        <f>IF(AND(vp.data[[#This Row],[CrudeType]]="Crude",vp.data[[#This Row],[Dens]]&gt;900,vp.data[[#This Row],[Sulf]]&lt;=0.5,vp.data[[#This Row],[Unknown]]=0),1,0)</f>
        <v>0</v>
      </c>
      <c r="AG292" t="str">
        <f>INDEX(vp.data[[#Headers],[Unknown]:[Heavy_SW]],MATCH(1,vp.data[[#This Row],[Unknown]:[Heavy_SW]],0))</f>
        <v>Medium_LSB</v>
      </c>
      <c r="AH292">
        <f>INDEX([3]!crudeBD.lkup[Number],MATCH(vp.data[[#This Row],[Crude_Breakdown]],crudeBD.lkup[Crude Breakdown],0))</f>
        <v>3</v>
      </c>
      <c r="AI292">
        <f>MONTH(vp.data[[#This Row],[SDate]])</f>
        <v>8</v>
      </c>
      <c r="AJ292" s="5">
        <f>(vp.data[[#This Row],[VP]]-INDEX(crudeBD.lkup[Mean_VP],MATCH(vp.data[[#This Row],[Crude_Breakdown]],crudeBD.lkup[Crude Breakdown],0)))^2</f>
        <v>398.4145122340027</v>
      </c>
      <c r="AK292" s="5">
        <f>(vp.data[[#This Row],[Dens]]-INDEX(crudeBD.lkup[Mean_Dens],MATCH(vp.data[[#This Row],[Crude_Breakdown]],crudeBD.lkup[Crude Breakdown],0)))^2</f>
        <v>35.046399999994129</v>
      </c>
      <c r="AL292" s="5">
        <f>(vp.data[[#This Row],[Sulf]]-INDEX(crudeBD.lkup[Mean_Sulf],MATCH(vp.data[[#This Row],[Crude_Breakdown]],crudeBD.lkup[Crude Breakdown],0)))^2</f>
        <v>0.18958023678302549</v>
      </c>
      <c r="AM292" s="4">
        <f>IF(AND(vp.data[[#This Row],[SDate]]&gt;=DATE(YEAR(vp.data[[#This Row],[SDate]]),5,1),vp.data[[#This Row],[SDate]]&lt;=DATE(YEAR(vp.data[[#This Row],[SDate]]),9,15)),1,0)</f>
        <v>1</v>
      </c>
      <c r="AN292" s="4">
        <f>IF(vp.data[[#This Row],[SDate]]&lt;DATE(2016,12,1),0,1)</f>
        <v>0</v>
      </c>
      <c r="AO292" s="4">
        <f>IFERROR(vp.data[[#This Row],[Sulf]]*vp.data[[#This Row],[Net Dens]],"")</f>
        <v>84665531.149199992</v>
      </c>
      <c r="AP292">
        <f>IFERROR(vp.data[[#This Row],[Dens]]*vp.data[[#This Row],[VolumeM3]],"")</f>
        <v>89121611.736000001</v>
      </c>
      <c r="AQ292" s="15">
        <f>IFERROR(vp.data[[#This Row],[VP]]*vp.data[[#This Row],[VolumeM3]],"")</f>
        <v>10698847.4232</v>
      </c>
    </row>
    <row r="293" spans="1:43" x14ac:dyDescent="0.25">
      <c r="A293">
        <v>292</v>
      </c>
      <c r="B293" t="s">
        <v>49</v>
      </c>
      <c r="C293" t="s">
        <v>49</v>
      </c>
      <c r="D293" t="s">
        <v>88</v>
      </c>
      <c r="F293" s="1">
        <v>42594</v>
      </c>
      <c r="G293" s="2">
        <v>78.599999999999994</v>
      </c>
      <c r="H293" s="2"/>
      <c r="I293" s="2">
        <f t="array" ref="I293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293" s="2"/>
      <c r="K293" s="2"/>
      <c r="L293" s="2">
        <v>840.6</v>
      </c>
      <c r="M293" s="2">
        <f t="array" ref="M293">_xlfn.IFNA(IF(vp.data[[#This Row],[Dens Input]]="",INDEX([1]DATA!$O$3:$O$9826,MATCH(1,(vp.data[[#This Row],[Battery]]=[1]DATA!$L$3:$L$9826)*(EOMONTH(vp.data[[#This Row],[SDate]],-1)+1=[1]DATA!$G$3:$G$9826),0)),vp.data[[#This Row],[Dens Input]]),"")</f>
        <v>840.6</v>
      </c>
      <c r="N293" s="2">
        <f ca="1">INDEX(INDIRECT(_xlfn.CONCAT("weather.tbl[",N$1,"]")),MATCH(vp.data[[#This Row],[SDate]],weather.tbl[Date],0))</f>
        <v>17.899999999999999</v>
      </c>
      <c r="O293" s="2">
        <f ca="1">INDEX(INDIRECT(_xlfn.CONCAT("weather.tbl[",O$1,"]")),MATCH(vp.data[[#This Row],[SDate]],weather.tbl[Date],0))</f>
        <v>19.545238095238094</v>
      </c>
      <c r="P293" s="2">
        <f ca="1">INDEX(INDIRECT(_xlfn.CONCAT("weather.tbl[",P$1,"]")),MATCH(vp.data[[#This Row],[SDate]],weather.tbl[Date],0))</f>
        <v>18.2</v>
      </c>
      <c r="Q293" s="2">
        <f ca="1">INDEX(INDIRECT(_xlfn.CONCAT("weather.tbl[",Q$1,"]")),MATCH(vp.data[[#This Row],[SDate]],weather.tbl[Date],0))</f>
        <v>18.3</v>
      </c>
      <c r="R293" s="2">
        <f ca="1">INDEX(INDIRECT(_xlfn.CONCAT("weather.tbl[",R$1,"]")),MATCH(vp.data[[#This Row],[SDate]],weather.tbl[Date],0))</f>
        <v>17.3</v>
      </c>
      <c r="S293" s="2">
        <f ca="1">INDEX(INDIRECT(_xlfn.CONCAT("weather.tbl[",S$1,"]")),MATCH(vp.data[[#This Row],[SDate]],weather.tbl[Date],0))</f>
        <v>18.3</v>
      </c>
      <c r="T293" s="2">
        <f ca="1">INDEX(INDIRECT(_xlfn.CONCAT("weather.tbl[",T$1,"]")),MATCH(vp.data[[#This Row],[SDate]],weather.tbl[Date],0))</f>
        <v>18.3</v>
      </c>
      <c r="U293" s="2">
        <f ca="1">INDEX(INDIRECT(_xlfn.CONCAT("weather.tbl[",U$1,"]")),MATCH(vp.data[[#This Row],[SDate]],weather.tbl[Date],0))</f>
        <v>17</v>
      </c>
      <c r="V293" s="2">
        <f t="array" ref="V2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4670.3879999999999</v>
      </c>
      <c r="W293" t="s">
        <v>48</v>
      </c>
      <c r="X293">
        <f>IF(OR(vp.data[[#This Row],[Sulf]]="",vp.data[[#This Row],[Dens]]=""),1,0)</f>
        <v>0</v>
      </c>
      <c r="Y293">
        <f>IF(vp.data[[#This Row],[CrudeType]]="C5+",1,0)</f>
        <v>0</v>
      </c>
      <c r="Z293">
        <f>IF(AND(vp.data[[#This Row],[CrudeType]]="Crude",vp.data[[#This Row],[Dens]]&lt;=825,vp.data[[#This Row],[Sulf]]&gt;0.5,vp.data[[#This Row],[Unknown]]=0),1,0)</f>
        <v>0</v>
      </c>
      <c r="AA293">
        <f>IF(AND(vp.data[[#This Row],[CrudeType]]="Crude",vp.data[[#This Row],[Dens]]&lt;=825,vp.data[[#This Row],[Sulf]]&lt;=0.5,vp.data[[#This Row],[Unknown]]=0),1,0)</f>
        <v>0</v>
      </c>
      <c r="AB2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93">
        <f>IF(AND(vp.data[[#This Row],[CrudeType]]="Crude",vp.data[[#This Row],[Dens]]&gt;825,vp.data[[#This Row],[Dens]]&lt;=900,vp.data[[#This Row],[Sulf]]&lt;=0.5,vp.data[[#This Row],[Unknown]]=0),1,0)</f>
        <v>0</v>
      </c>
      <c r="AD293">
        <f>IF(AND(vp.data[[#This Row],[CrudeType]]="Crude",vp.data[[#This Row],[Dens]]&gt;865,vp.data[[#This Row],[Dens]]&lt;=900,vp.data[[#This Row],[Sulf]]&gt;2,vp.data[[#This Row],[Unknown]]=0),1,0)</f>
        <v>0</v>
      </c>
      <c r="AE293">
        <f>IF(AND(vp.data[[#This Row],[CrudeType]]="Crude",vp.data[[#This Row],[Dens]]&gt;900,vp.data[[#This Row],[Sulf]]&lt;=0.5,vp.data[[#This Row],[Unknown]]=0),1,0)</f>
        <v>0</v>
      </c>
      <c r="AF293">
        <f>IF(AND(vp.data[[#This Row],[CrudeType]]="Crude",vp.data[[#This Row],[Dens]]&gt;900,vp.data[[#This Row],[Sulf]]&lt;=0.5,vp.data[[#This Row],[Unknown]]=0),1,0)</f>
        <v>0</v>
      </c>
      <c r="AG293" t="str">
        <f>INDEX(vp.data[[#Headers],[Unknown]:[Heavy_SW]],MATCH(1,vp.data[[#This Row],[Unknown]:[Heavy_SW]],0))</f>
        <v>Medium_LSB</v>
      </c>
      <c r="AH293">
        <f>INDEX([3]!crudeBD.lkup[Number],MATCH(vp.data[[#This Row],[Crude_Breakdown]],crudeBD.lkup[Crude Breakdown],0))</f>
        <v>3</v>
      </c>
      <c r="AI293">
        <f>MONTH(vp.data[[#This Row],[SDate]])</f>
        <v>8</v>
      </c>
      <c r="AJ293" s="5">
        <f>(vp.data[[#This Row],[VP]]-INDEX(crudeBD.lkup[Mean_VP],MATCH(vp.data[[#This Row],[Crude_Breakdown]],crudeBD.lkup[Crude Breakdown],0)))^2</f>
        <v>4.1602804280698553</v>
      </c>
      <c r="AK293" s="5">
        <f>(vp.data[[#This Row],[Dens]]-INDEX(crudeBD.lkup[Mean_Dens],MATCH(vp.data[[#This Row],[Crude_Breakdown]],crudeBD.lkup[Crude Breakdown],0)))^2</f>
        <v>11.022399999996559</v>
      </c>
      <c r="AL293" s="5">
        <f>(vp.data[[#This Row],[Sulf]]-INDEX(crudeBD.lkup[Mean_Sulf],MATCH(vp.data[[#This Row],[Crude_Breakdown]],crudeBD.lkup[Crude Breakdown],0)))^2</f>
        <v>4.1857834626689315E-2</v>
      </c>
      <c r="AM293" s="4">
        <f>IF(AND(vp.data[[#This Row],[SDate]]&gt;=DATE(YEAR(vp.data[[#This Row],[SDate]]),5,1),vp.data[[#This Row],[SDate]]&lt;=DATE(YEAR(vp.data[[#This Row],[SDate]]),9,15)),1,0)</f>
        <v>1</v>
      </c>
      <c r="AN293" s="4">
        <f>IF(vp.data[[#This Row],[SDate]]&lt;DATE(2016,12,1),0,1)</f>
        <v>0</v>
      </c>
      <c r="AO293" s="4">
        <f>IFERROR(vp.data[[#This Row],[Sulf]]*vp.data[[#This Row],[Net Dens]],"")</f>
        <v>6242225.7629519999</v>
      </c>
      <c r="AP293">
        <f>IFERROR(vp.data[[#This Row],[Dens]]*vp.data[[#This Row],[VolumeM3]],"")</f>
        <v>3925928.1527999998</v>
      </c>
      <c r="AQ293" s="15">
        <f>IFERROR(vp.data[[#This Row],[VP]]*vp.data[[#This Row],[VolumeM3]],"")</f>
        <v>367092.49679999996</v>
      </c>
    </row>
    <row r="294" spans="1:43" x14ac:dyDescent="0.25">
      <c r="A294">
        <v>293</v>
      </c>
      <c r="B294" t="s">
        <v>49</v>
      </c>
      <c r="C294" t="s">
        <v>49</v>
      </c>
      <c r="D294" t="s">
        <v>88</v>
      </c>
      <c r="F294" s="1">
        <v>42594</v>
      </c>
      <c r="G294" s="2">
        <v>77.7</v>
      </c>
      <c r="H294" s="2"/>
      <c r="I294" s="2">
        <f t="array" ref="I294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294" s="2"/>
      <c r="K294" s="2"/>
      <c r="L294" s="2">
        <v>840.6</v>
      </c>
      <c r="M294" s="2">
        <f t="array" ref="M294">_xlfn.IFNA(IF(vp.data[[#This Row],[Dens Input]]="",INDEX([1]DATA!$O$3:$O$9826,MATCH(1,(vp.data[[#This Row],[Battery]]=[1]DATA!$L$3:$L$9826)*(EOMONTH(vp.data[[#This Row],[SDate]],-1)+1=[1]DATA!$G$3:$G$9826),0)),vp.data[[#This Row],[Dens Input]]),"")</f>
        <v>840.6</v>
      </c>
      <c r="N294" s="2">
        <f ca="1">INDEX(INDIRECT(_xlfn.CONCAT("weather.tbl[",N$1,"]")),MATCH(vp.data[[#This Row],[SDate]],weather.tbl[Date],0))</f>
        <v>17.899999999999999</v>
      </c>
      <c r="O294" s="2">
        <f ca="1">INDEX(INDIRECT(_xlfn.CONCAT("weather.tbl[",O$1,"]")),MATCH(vp.data[[#This Row],[SDate]],weather.tbl[Date],0))</f>
        <v>19.545238095238094</v>
      </c>
      <c r="P294" s="2">
        <f ca="1">INDEX(INDIRECT(_xlfn.CONCAT("weather.tbl[",P$1,"]")),MATCH(vp.data[[#This Row],[SDate]],weather.tbl[Date],0))</f>
        <v>18.2</v>
      </c>
      <c r="Q294" s="2">
        <f ca="1">INDEX(INDIRECT(_xlfn.CONCAT("weather.tbl[",Q$1,"]")),MATCH(vp.data[[#This Row],[SDate]],weather.tbl[Date],0))</f>
        <v>18.3</v>
      </c>
      <c r="R294" s="2">
        <f ca="1">INDEX(INDIRECT(_xlfn.CONCAT("weather.tbl[",R$1,"]")),MATCH(vp.data[[#This Row],[SDate]],weather.tbl[Date],0))</f>
        <v>17.3</v>
      </c>
      <c r="S294" s="2">
        <f ca="1">INDEX(INDIRECT(_xlfn.CONCAT("weather.tbl[",S$1,"]")),MATCH(vp.data[[#This Row],[SDate]],weather.tbl[Date],0))</f>
        <v>18.3</v>
      </c>
      <c r="T294" s="2">
        <f ca="1">INDEX(INDIRECT(_xlfn.CONCAT("weather.tbl[",T$1,"]")),MATCH(vp.data[[#This Row],[SDate]],weather.tbl[Date],0))</f>
        <v>18.3</v>
      </c>
      <c r="U294" s="2">
        <f ca="1">INDEX(INDIRECT(_xlfn.CONCAT("weather.tbl[",U$1,"]")),MATCH(vp.data[[#This Row],[SDate]],weather.tbl[Date],0))</f>
        <v>17</v>
      </c>
      <c r="V294" s="2">
        <f t="array" ref="V2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4670.3879999999999</v>
      </c>
      <c r="W294" t="s">
        <v>48</v>
      </c>
      <c r="X294">
        <f>IF(OR(vp.data[[#This Row],[Sulf]]="",vp.data[[#This Row],[Dens]]=""),1,0)</f>
        <v>0</v>
      </c>
      <c r="Y294">
        <f>IF(vp.data[[#This Row],[CrudeType]]="C5+",1,0)</f>
        <v>0</v>
      </c>
      <c r="Z294">
        <f>IF(AND(vp.data[[#This Row],[CrudeType]]="Crude",vp.data[[#This Row],[Dens]]&lt;=825,vp.data[[#This Row],[Sulf]]&gt;0.5,vp.data[[#This Row],[Unknown]]=0),1,0)</f>
        <v>0</v>
      </c>
      <c r="AA294">
        <f>IF(AND(vp.data[[#This Row],[CrudeType]]="Crude",vp.data[[#This Row],[Dens]]&lt;=825,vp.data[[#This Row],[Sulf]]&lt;=0.5,vp.data[[#This Row],[Unknown]]=0),1,0)</f>
        <v>0</v>
      </c>
      <c r="AB2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94">
        <f>IF(AND(vp.data[[#This Row],[CrudeType]]="Crude",vp.data[[#This Row],[Dens]]&gt;825,vp.data[[#This Row],[Dens]]&lt;=900,vp.data[[#This Row],[Sulf]]&lt;=0.5,vp.data[[#This Row],[Unknown]]=0),1,0)</f>
        <v>0</v>
      </c>
      <c r="AD294">
        <f>IF(AND(vp.data[[#This Row],[CrudeType]]="Crude",vp.data[[#This Row],[Dens]]&gt;865,vp.data[[#This Row],[Dens]]&lt;=900,vp.data[[#This Row],[Sulf]]&gt;2,vp.data[[#This Row],[Unknown]]=0),1,0)</f>
        <v>0</v>
      </c>
      <c r="AE294">
        <f>IF(AND(vp.data[[#This Row],[CrudeType]]="Crude",vp.data[[#This Row],[Dens]]&gt;900,vp.data[[#This Row],[Sulf]]&lt;=0.5,vp.data[[#This Row],[Unknown]]=0),1,0)</f>
        <v>0</v>
      </c>
      <c r="AF294">
        <f>IF(AND(vp.data[[#This Row],[CrudeType]]="Crude",vp.data[[#This Row],[Dens]]&gt;900,vp.data[[#This Row],[Sulf]]&lt;=0.5,vp.data[[#This Row],[Unknown]]=0),1,0)</f>
        <v>0</v>
      </c>
      <c r="AG294" t="str">
        <f>INDEX(vp.data[[#Headers],[Unknown]:[Heavy_SW]],MATCH(1,vp.data[[#This Row],[Unknown]:[Heavy_SW]],0))</f>
        <v>Medium_LSB</v>
      </c>
      <c r="AH294">
        <f>INDEX([3]!crudeBD.lkup[Number],MATCH(vp.data[[#This Row],[Crude_Breakdown]],crudeBD.lkup[Crude Breakdown],0))</f>
        <v>3</v>
      </c>
      <c r="AI294">
        <f>MONTH(vp.data[[#This Row],[SDate]])</f>
        <v>8</v>
      </c>
      <c r="AJ294" s="5">
        <f>(vp.data[[#This Row],[VP]]-INDEX(crudeBD.lkup[Mean_VP],MATCH(vp.data[[#This Row],[Crude_Breakdown]],crudeBD.lkup[Crude Breakdown],0)))^2</f>
        <v>8.6416982178271002</v>
      </c>
      <c r="AK294" s="5">
        <f>(vp.data[[#This Row],[Dens]]-INDEX(crudeBD.lkup[Mean_Dens],MATCH(vp.data[[#This Row],[Crude_Breakdown]],crudeBD.lkup[Crude Breakdown],0)))^2</f>
        <v>11.022399999996559</v>
      </c>
      <c r="AL294" s="5">
        <f>(vp.data[[#This Row],[Sulf]]-INDEX(crudeBD.lkup[Mean_Sulf],MATCH(vp.data[[#This Row],[Crude_Breakdown]],crudeBD.lkup[Crude Breakdown],0)))^2</f>
        <v>4.1857834626689315E-2</v>
      </c>
      <c r="AM294" s="4">
        <f>IF(AND(vp.data[[#This Row],[SDate]]&gt;=DATE(YEAR(vp.data[[#This Row],[SDate]]),5,1),vp.data[[#This Row],[SDate]]&lt;=DATE(YEAR(vp.data[[#This Row],[SDate]]),9,15)),1,0)</f>
        <v>1</v>
      </c>
      <c r="AN294" s="4">
        <f>IF(vp.data[[#This Row],[SDate]]&lt;DATE(2016,12,1),0,1)</f>
        <v>0</v>
      </c>
      <c r="AO294" s="4">
        <f>IFERROR(vp.data[[#This Row],[Sulf]]*vp.data[[#This Row],[Net Dens]],"")</f>
        <v>6242225.7629519999</v>
      </c>
      <c r="AP294">
        <f>IFERROR(vp.data[[#This Row],[Dens]]*vp.data[[#This Row],[VolumeM3]],"")</f>
        <v>3925928.1527999998</v>
      </c>
      <c r="AQ294" s="15">
        <f>IFERROR(vp.data[[#This Row],[VP]]*vp.data[[#This Row],[VolumeM3]],"")</f>
        <v>362889.14760000003</v>
      </c>
    </row>
    <row r="295" spans="1:43" x14ac:dyDescent="0.25">
      <c r="A295">
        <v>294</v>
      </c>
      <c r="B295" t="s">
        <v>49</v>
      </c>
      <c r="C295" t="s">
        <v>49</v>
      </c>
      <c r="D295" t="s">
        <v>59</v>
      </c>
      <c r="F295" s="1">
        <v>42597</v>
      </c>
      <c r="G295" s="2">
        <v>64.900000000000006</v>
      </c>
      <c r="H295" s="2"/>
      <c r="I295" s="2">
        <f t="array" ref="I295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295" s="2"/>
      <c r="K295" s="2"/>
      <c r="L295" s="2">
        <v>848.2</v>
      </c>
      <c r="M295" s="2">
        <f t="array" ref="M295">_xlfn.IFNA(IF(vp.data[[#This Row],[Dens Input]]="",INDEX([1]DATA!$O$3:$O$9826,MATCH(1,(vp.data[[#This Row],[Battery]]=[1]DATA!$L$3:$L$9826)*(EOMONTH(vp.data[[#This Row],[SDate]],-1)+1=[1]DATA!$G$3:$G$9826),0)),vp.data[[#This Row],[Dens Input]]),"")</f>
        <v>848.2</v>
      </c>
      <c r="N295" s="2">
        <f ca="1">INDEX(INDIRECT(_xlfn.CONCAT("weather.tbl[",N$1,"]")),MATCH(vp.data[[#This Row],[SDate]],weather.tbl[Date],0))</f>
        <v>20.733333333333331</v>
      </c>
      <c r="O295" s="2">
        <f ca="1">INDEX(INDIRECT(_xlfn.CONCAT("weather.tbl[",O$1,"]")),MATCH(vp.data[[#This Row],[SDate]],weather.tbl[Date],0))</f>
        <v>18.911904761904761</v>
      </c>
      <c r="P295" s="2">
        <f ca="1">INDEX(INDIRECT(_xlfn.CONCAT("weather.tbl[",P$1,"]")),MATCH(vp.data[[#This Row],[SDate]],weather.tbl[Date],0))</f>
        <v>21.1</v>
      </c>
      <c r="Q295" s="2">
        <f ca="1">INDEX(INDIRECT(_xlfn.CONCAT("weather.tbl[",Q$1,"]")),MATCH(vp.data[[#This Row],[SDate]],weather.tbl[Date],0))</f>
        <v>20.2</v>
      </c>
      <c r="R295" s="2">
        <f ca="1">INDEX(INDIRECT(_xlfn.CONCAT("weather.tbl[",R$1,"]")),MATCH(vp.data[[#This Row],[SDate]],weather.tbl[Date],0))</f>
        <v>20.3</v>
      </c>
      <c r="S295" s="2">
        <f ca="1">INDEX(INDIRECT(_xlfn.CONCAT("weather.tbl[",S$1,"]")),MATCH(vp.data[[#This Row],[SDate]],weather.tbl[Date],0))</f>
        <v>21</v>
      </c>
      <c r="T295" s="2">
        <f ca="1">INDEX(INDIRECT(_xlfn.CONCAT("weather.tbl[",T$1,"]")),MATCH(vp.data[[#This Row],[SDate]],weather.tbl[Date],0))</f>
        <v>22.3</v>
      </c>
      <c r="U295" s="2">
        <f ca="1">INDEX(INDIRECT(_xlfn.CONCAT("weather.tbl[",U$1,"]")),MATCH(vp.data[[#This Row],[SDate]],weather.tbl[Date],0))</f>
        <v>19.5</v>
      </c>
      <c r="V295" s="2">
        <f t="array" ref="V2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1673.7950000000001</v>
      </c>
      <c r="W295" t="s">
        <v>48</v>
      </c>
      <c r="X295">
        <f>IF(OR(vp.data[[#This Row],[Sulf]]="",vp.data[[#This Row],[Dens]]=""),1,0)</f>
        <v>0</v>
      </c>
      <c r="Y295">
        <f>IF(vp.data[[#This Row],[CrudeType]]="C5+",1,0)</f>
        <v>0</v>
      </c>
      <c r="Z295">
        <f>IF(AND(vp.data[[#This Row],[CrudeType]]="Crude",vp.data[[#This Row],[Dens]]&lt;=825,vp.data[[#This Row],[Sulf]]&gt;0.5,vp.data[[#This Row],[Unknown]]=0),1,0)</f>
        <v>0</v>
      </c>
      <c r="AA295">
        <f>IF(AND(vp.data[[#This Row],[CrudeType]]="Crude",vp.data[[#This Row],[Dens]]&lt;=825,vp.data[[#This Row],[Sulf]]&lt;=0.5,vp.data[[#This Row],[Unknown]]=0),1,0)</f>
        <v>0</v>
      </c>
      <c r="AB2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95">
        <f>IF(AND(vp.data[[#This Row],[CrudeType]]="Crude",vp.data[[#This Row],[Dens]]&gt;825,vp.data[[#This Row],[Dens]]&lt;=900,vp.data[[#This Row],[Sulf]]&lt;=0.5,vp.data[[#This Row],[Unknown]]=0),1,0)</f>
        <v>0</v>
      </c>
      <c r="AD295">
        <f>IF(AND(vp.data[[#This Row],[CrudeType]]="Crude",vp.data[[#This Row],[Dens]]&gt;865,vp.data[[#This Row],[Dens]]&lt;=900,vp.data[[#This Row],[Sulf]]&gt;2,vp.data[[#This Row],[Unknown]]=0),1,0)</f>
        <v>0</v>
      </c>
      <c r="AE295">
        <f>IF(AND(vp.data[[#This Row],[CrudeType]]="Crude",vp.data[[#This Row],[Dens]]&gt;900,vp.data[[#This Row],[Sulf]]&lt;=0.5,vp.data[[#This Row],[Unknown]]=0),1,0)</f>
        <v>0</v>
      </c>
      <c r="AF295">
        <f>IF(AND(vp.data[[#This Row],[CrudeType]]="Crude",vp.data[[#This Row],[Dens]]&gt;900,vp.data[[#This Row],[Sulf]]&lt;=0.5,vp.data[[#This Row],[Unknown]]=0),1,0)</f>
        <v>0</v>
      </c>
      <c r="AG295" t="str">
        <f>INDEX(vp.data[[#Headers],[Unknown]:[Heavy_SW]],MATCH(1,vp.data[[#This Row],[Unknown]:[Heavy_SW]],0))</f>
        <v>Medium_LSB</v>
      </c>
      <c r="AH295">
        <f>INDEX([3]!crudeBD.lkup[Number],MATCH(vp.data[[#This Row],[Crude_Breakdown]],crudeBD.lkup[Crude Breakdown],0))</f>
        <v>3</v>
      </c>
      <c r="AI295">
        <f>MONTH(vp.data[[#This Row],[SDate]])</f>
        <v>8</v>
      </c>
      <c r="AJ295" s="5">
        <f>(vp.data[[#This Row],[VP]]-INDEX(crudeBD.lkup[Mean_VP],MATCH(vp.data[[#This Row],[Crude_Breakdown]],crudeBD.lkup[Crude Breakdown],0)))^2</f>
        <v>247.73741789437497</v>
      </c>
      <c r="AK295" s="5">
        <f>(vp.data[[#This Row],[Dens]]-INDEX(crudeBD.lkup[Mean_Dens],MATCH(vp.data[[#This Row],[Crude_Breakdown]],crudeBD.lkup[Crude Breakdown],0)))^2</f>
        <v>18.318400000004633</v>
      </c>
      <c r="AL295" s="5">
        <f>(vp.data[[#This Row],[Sulf]]-INDEX(crudeBD.lkup[Mean_Sulf],MATCH(vp.data[[#This Row],[Crude_Breakdown]],crudeBD.lkup[Crude Breakdown],0)))^2</f>
        <v>8.9476224973095587E-3</v>
      </c>
      <c r="AM295" s="4">
        <f>IF(AND(vp.data[[#This Row],[SDate]]&gt;=DATE(YEAR(vp.data[[#This Row],[SDate]]),5,1),vp.data[[#This Row],[SDate]]&lt;=DATE(YEAR(vp.data[[#This Row],[SDate]]),9,15)),1,0)</f>
        <v>1</v>
      </c>
      <c r="AN295" s="4">
        <f>IF(vp.data[[#This Row],[SDate]]&lt;DATE(2016,12,1),0,1)</f>
        <v>0</v>
      </c>
      <c r="AO295" s="4">
        <f>IFERROR(vp.data[[#This Row],[Sulf]]*vp.data[[#This Row],[Net Dens]],"")</f>
        <v>2101175.1201200001</v>
      </c>
      <c r="AP295">
        <f>IFERROR(vp.data[[#This Row],[Dens]]*vp.data[[#This Row],[VolumeM3]],"")</f>
        <v>1419712.9190000002</v>
      </c>
      <c r="AQ295" s="15">
        <f>IFERROR(vp.data[[#This Row],[VP]]*vp.data[[#This Row],[VolumeM3]],"")</f>
        <v>108629.29550000001</v>
      </c>
    </row>
    <row r="296" spans="1:43" x14ac:dyDescent="0.25">
      <c r="A296">
        <v>295</v>
      </c>
      <c r="B296" t="s">
        <v>49</v>
      </c>
      <c r="C296" t="s">
        <v>49</v>
      </c>
      <c r="D296" t="s">
        <v>75</v>
      </c>
      <c r="F296" s="1">
        <v>42598</v>
      </c>
      <c r="G296" s="2">
        <v>78.099999999999994</v>
      </c>
      <c r="H296" s="2"/>
      <c r="I296" s="2">
        <f t="array" ref="I296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296" s="2"/>
      <c r="K296" s="2"/>
      <c r="L296" s="2">
        <v>806.3</v>
      </c>
      <c r="M296" s="2">
        <f t="array" ref="M296">_xlfn.IFNA(IF(vp.data[[#This Row],[Dens Input]]="",INDEX([1]DATA!$O$3:$O$9826,MATCH(1,(vp.data[[#This Row],[Battery]]=[1]DATA!$L$3:$L$9826)*(EOMONTH(vp.data[[#This Row],[SDate]],-1)+1=[1]DATA!$G$3:$G$9826),0)),vp.data[[#This Row],[Dens Input]]),"")</f>
        <v>806.3</v>
      </c>
      <c r="N296" s="2">
        <f ca="1">INDEX(INDIRECT(_xlfn.CONCAT("weather.tbl[",N$1,"]")),MATCH(vp.data[[#This Row],[SDate]],weather.tbl[Date],0))</f>
        <v>20.766666666666666</v>
      </c>
      <c r="O296" s="2">
        <f ca="1">INDEX(INDIRECT(_xlfn.CONCAT("weather.tbl[",O$1,"]")),MATCH(vp.data[[#This Row],[SDate]],weather.tbl[Date],0))</f>
        <v>19.164285714285711</v>
      </c>
      <c r="P296" s="2">
        <f ca="1">INDEX(INDIRECT(_xlfn.CONCAT("weather.tbl[",P$1,"]")),MATCH(vp.data[[#This Row],[SDate]],weather.tbl[Date],0))</f>
        <v>20.8</v>
      </c>
      <c r="Q296" s="2">
        <f ca="1">INDEX(INDIRECT(_xlfn.CONCAT("weather.tbl[",Q$1,"]")),MATCH(vp.data[[#This Row],[SDate]],weather.tbl[Date],0))</f>
        <v>21</v>
      </c>
      <c r="R296" s="2">
        <f ca="1">INDEX(INDIRECT(_xlfn.CONCAT("weather.tbl[",R$1,"]")),MATCH(vp.data[[#This Row],[SDate]],weather.tbl[Date],0))</f>
        <v>20</v>
      </c>
      <c r="S296" s="2">
        <f ca="1">INDEX(INDIRECT(_xlfn.CONCAT("weather.tbl[",S$1,"]")),MATCH(vp.data[[#This Row],[SDate]],weather.tbl[Date],0))</f>
        <v>22.3</v>
      </c>
      <c r="T296" s="2">
        <f ca="1">INDEX(INDIRECT(_xlfn.CONCAT("weather.tbl[",T$1,"]")),MATCH(vp.data[[#This Row],[SDate]],weather.tbl[Date],0))</f>
        <v>20.5</v>
      </c>
      <c r="U296" s="2">
        <f ca="1">INDEX(INDIRECT(_xlfn.CONCAT("weather.tbl[",U$1,"]")),MATCH(vp.data[[#This Row],[SDate]],weather.tbl[Date],0))</f>
        <v>20</v>
      </c>
      <c r="V296" s="2">
        <f t="array" ref="V2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21867.932000000001</v>
      </c>
      <c r="W296" t="s">
        <v>48</v>
      </c>
      <c r="X296">
        <f>IF(OR(vp.data[[#This Row],[Sulf]]="",vp.data[[#This Row],[Dens]]=""),1,0)</f>
        <v>0</v>
      </c>
      <c r="Y296">
        <f>IF(vp.data[[#This Row],[CrudeType]]="C5+",1,0)</f>
        <v>0</v>
      </c>
      <c r="Z296">
        <f>IF(AND(vp.data[[#This Row],[CrudeType]]="Crude",vp.data[[#This Row],[Dens]]&lt;=825,vp.data[[#This Row],[Sulf]]&gt;0.5,vp.data[[#This Row],[Unknown]]=0),1,0)</f>
        <v>0</v>
      </c>
      <c r="AA296">
        <f>IF(AND(vp.data[[#This Row],[CrudeType]]="Crude",vp.data[[#This Row],[Dens]]&lt;=825,vp.data[[#This Row],[Sulf]]&lt;=0.5,vp.data[[#This Row],[Unknown]]=0),1,0)</f>
        <v>1</v>
      </c>
      <c r="AB2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6">
        <f>IF(AND(vp.data[[#This Row],[CrudeType]]="Crude",vp.data[[#This Row],[Dens]]&gt;825,vp.data[[#This Row],[Dens]]&lt;=900,vp.data[[#This Row],[Sulf]]&lt;=0.5,vp.data[[#This Row],[Unknown]]=0),1,0)</f>
        <v>0</v>
      </c>
      <c r="AD296">
        <f>IF(AND(vp.data[[#This Row],[CrudeType]]="Crude",vp.data[[#This Row],[Dens]]&gt;865,vp.data[[#This Row],[Dens]]&lt;=900,vp.data[[#This Row],[Sulf]]&gt;2,vp.data[[#This Row],[Unknown]]=0),1,0)</f>
        <v>0</v>
      </c>
      <c r="AE296">
        <f>IF(AND(vp.data[[#This Row],[CrudeType]]="Crude",vp.data[[#This Row],[Dens]]&gt;900,vp.data[[#This Row],[Sulf]]&lt;=0.5,vp.data[[#This Row],[Unknown]]=0),1,0)</f>
        <v>0</v>
      </c>
      <c r="AF296">
        <f>IF(AND(vp.data[[#This Row],[CrudeType]]="Crude",vp.data[[#This Row],[Dens]]&gt;900,vp.data[[#This Row],[Sulf]]&lt;=0.5,vp.data[[#This Row],[Unknown]]=0),1,0)</f>
        <v>0</v>
      </c>
      <c r="AG296" t="str">
        <f>INDEX(vp.data[[#Headers],[Unknown]:[Heavy_SW]],MATCH(1,vp.data[[#This Row],[Unknown]:[Heavy_SW]],0))</f>
        <v>Light_SW</v>
      </c>
      <c r="AH296">
        <f>INDEX([3]!crudeBD.lkup[Number],MATCH(vp.data[[#This Row],[Crude_Breakdown]],crudeBD.lkup[Crude Breakdown],0))</f>
        <v>2</v>
      </c>
      <c r="AI296">
        <f>MONTH(vp.data[[#This Row],[SDate]])</f>
        <v>8</v>
      </c>
      <c r="AJ296" s="5">
        <f>(vp.data[[#This Row],[VP]]-INDEX(crudeBD.lkup[Mean_VP],MATCH(vp.data[[#This Row],[Crude_Breakdown]],crudeBD.lkup[Crude Breakdown],0)))^2</f>
        <v>208.81156281610731</v>
      </c>
      <c r="AK296" s="5">
        <f>(vp.data[[#This Row],[Dens]]-INDEX(crudeBD.lkup[Mean_Dens],MATCH(vp.data[[#This Row],[Crude_Breakdown]],crudeBD.lkup[Crude Breakdown],0)))^2</f>
        <v>4.0461252412915387</v>
      </c>
      <c r="AL296" s="5">
        <f>(vp.data[[#This Row],[Sulf]]-INDEX(crudeBD.lkup[Mean_Sulf],MATCH(vp.data[[#This Row],[Crude_Breakdown]],crudeBD.lkup[Crude Breakdown],0)))^2</f>
        <v>1.1287322584467423E-2</v>
      </c>
      <c r="AM296" s="4">
        <f>IF(AND(vp.data[[#This Row],[SDate]]&gt;=DATE(YEAR(vp.data[[#This Row],[SDate]]),5,1),vp.data[[#This Row],[SDate]]&lt;=DATE(YEAR(vp.data[[#This Row],[SDate]]),9,15)),1,0)</f>
        <v>1</v>
      </c>
      <c r="AN296" s="4">
        <f>IF(vp.data[[#This Row],[SDate]]&lt;DATE(2016,12,1),0,1)</f>
        <v>0</v>
      </c>
      <c r="AO296" s="4">
        <f>IFERROR(vp.data[[#This Row],[Sulf]]*vp.data[[#This Row],[Net Dens]],"")</f>
        <v>2292174.7643080004</v>
      </c>
      <c r="AP296">
        <f>IFERROR(vp.data[[#This Row],[Dens]]*vp.data[[#This Row],[VolumeM3]],"")</f>
        <v>17632113.571600001</v>
      </c>
      <c r="AQ296" s="15">
        <f>IFERROR(vp.data[[#This Row],[VP]]*vp.data[[#This Row],[VolumeM3]],"")</f>
        <v>1707885.4892</v>
      </c>
    </row>
    <row r="297" spans="1:43" x14ac:dyDescent="0.25">
      <c r="A297">
        <v>296</v>
      </c>
      <c r="B297" t="s">
        <v>62</v>
      </c>
      <c r="C297" t="s">
        <v>62</v>
      </c>
      <c r="D297" t="s">
        <v>83</v>
      </c>
      <c r="F297" s="1">
        <v>42598</v>
      </c>
      <c r="G297" s="2">
        <v>80</v>
      </c>
      <c r="H297" s="2"/>
      <c r="I297" s="2">
        <f t="array" ref="I297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297" s="2"/>
      <c r="K297" s="2"/>
      <c r="L297" s="2">
        <v>812.2</v>
      </c>
      <c r="M297" s="2">
        <f t="array" ref="M297">_xlfn.IFNA(IF(vp.data[[#This Row],[Dens Input]]="",INDEX([1]DATA!$O$3:$O$9826,MATCH(1,(vp.data[[#This Row],[Battery]]=[1]DATA!$L$3:$L$9826)*(EOMONTH(vp.data[[#This Row],[SDate]],-1)+1=[1]DATA!$G$3:$G$9826),0)),vp.data[[#This Row],[Dens Input]]),"")</f>
        <v>812.2</v>
      </c>
      <c r="N297" s="2">
        <f ca="1">INDEX(INDIRECT(_xlfn.CONCAT("weather.tbl[",N$1,"]")),MATCH(vp.data[[#This Row],[SDate]],weather.tbl[Date],0))</f>
        <v>20.766666666666666</v>
      </c>
      <c r="O297" s="2">
        <f ca="1">INDEX(INDIRECT(_xlfn.CONCAT("weather.tbl[",O$1,"]")),MATCH(vp.data[[#This Row],[SDate]],weather.tbl[Date],0))</f>
        <v>19.164285714285711</v>
      </c>
      <c r="P297" s="2">
        <f ca="1">INDEX(INDIRECT(_xlfn.CONCAT("weather.tbl[",P$1,"]")),MATCH(vp.data[[#This Row],[SDate]],weather.tbl[Date],0))</f>
        <v>20.8</v>
      </c>
      <c r="Q297" s="2">
        <f ca="1">INDEX(INDIRECT(_xlfn.CONCAT("weather.tbl[",Q$1,"]")),MATCH(vp.data[[#This Row],[SDate]],weather.tbl[Date],0))</f>
        <v>21</v>
      </c>
      <c r="R297" s="2">
        <f ca="1">INDEX(INDIRECT(_xlfn.CONCAT("weather.tbl[",R$1,"]")),MATCH(vp.data[[#This Row],[SDate]],weather.tbl[Date],0))</f>
        <v>20</v>
      </c>
      <c r="S297" s="2">
        <f ca="1">INDEX(INDIRECT(_xlfn.CONCAT("weather.tbl[",S$1,"]")),MATCH(vp.data[[#This Row],[SDate]],weather.tbl[Date],0))</f>
        <v>22.3</v>
      </c>
      <c r="T297" s="2">
        <f ca="1">INDEX(INDIRECT(_xlfn.CONCAT("weather.tbl[",T$1,"]")),MATCH(vp.data[[#This Row],[SDate]],weather.tbl[Date],0))</f>
        <v>20.5</v>
      </c>
      <c r="U297" s="2">
        <f ca="1">INDEX(INDIRECT(_xlfn.CONCAT("weather.tbl[",U$1,"]")),MATCH(vp.data[[#This Row],[SDate]],weather.tbl[Date],0))</f>
        <v>20</v>
      </c>
      <c r="V297" s="2">
        <f t="array" ref="V2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9531.8590000000004</v>
      </c>
      <c r="W297" t="s">
        <v>48</v>
      </c>
      <c r="X297">
        <f>IF(OR(vp.data[[#This Row],[Sulf]]="",vp.data[[#This Row],[Dens]]=""),1,0)</f>
        <v>0</v>
      </c>
      <c r="Y297">
        <f>IF(vp.data[[#This Row],[CrudeType]]="C5+",1,0)</f>
        <v>0</v>
      </c>
      <c r="Z297">
        <f>IF(AND(vp.data[[#This Row],[CrudeType]]="Crude",vp.data[[#This Row],[Dens]]&lt;=825,vp.data[[#This Row],[Sulf]]&gt;0.5,vp.data[[#This Row],[Unknown]]=0),1,0)</f>
        <v>0</v>
      </c>
      <c r="AA297">
        <f>IF(AND(vp.data[[#This Row],[CrudeType]]="Crude",vp.data[[#This Row],[Dens]]&lt;=825,vp.data[[#This Row],[Sulf]]&lt;=0.5,vp.data[[#This Row],[Unknown]]=0),1,0)</f>
        <v>1</v>
      </c>
      <c r="AB2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7">
        <f>IF(AND(vp.data[[#This Row],[CrudeType]]="Crude",vp.data[[#This Row],[Dens]]&gt;825,vp.data[[#This Row],[Dens]]&lt;=900,vp.data[[#This Row],[Sulf]]&lt;=0.5,vp.data[[#This Row],[Unknown]]=0),1,0)</f>
        <v>0</v>
      </c>
      <c r="AD297">
        <f>IF(AND(vp.data[[#This Row],[CrudeType]]="Crude",vp.data[[#This Row],[Dens]]&gt;865,vp.data[[#This Row],[Dens]]&lt;=900,vp.data[[#This Row],[Sulf]]&gt;2,vp.data[[#This Row],[Unknown]]=0),1,0)</f>
        <v>0</v>
      </c>
      <c r="AE297">
        <f>IF(AND(vp.data[[#This Row],[CrudeType]]="Crude",vp.data[[#This Row],[Dens]]&gt;900,vp.data[[#This Row],[Sulf]]&lt;=0.5,vp.data[[#This Row],[Unknown]]=0),1,0)</f>
        <v>0</v>
      </c>
      <c r="AF297">
        <f>IF(AND(vp.data[[#This Row],[CrudeType]]="Crude",vp.data[[#This Row],[Dens]]&gt;900,vp.data[[#This Row],[Sulf]]&lt;=0.5,vp.data[[#This Row],[Unknown]]=0),1,0)</f>
        <v>0</v>
      </c>
      <c r="AG297" t="str">
        <f>INDEX(vp.data[[#Headers],[Unknown]:[Heavy_SW]],MATCH(1,vp.data[[#This Row],[Unknown]:[Heavy_SW]],0))</f>
        <v>Light_SW</v>
      </c>
      <c r="AH297">
        <f>INDEX([3]!crudeBD.lkup[Number],MATCH(vp.data[[#This Row],[Crude_Breakdown]],crudeBD.lkup[Crude Breakdown],0))</f>
        <v>2</v>
      </c>
      <c r="AI297">
        <f>MONTH(vp.data[[#This Row],[SDate]])</f>
        <v>8</v>
      </c>
      <c r="AJ297" s="5">
        <f>(vp.data[[#This Row],[VP]]-INDEX(crudeBD.lkup[Mean_VP],MATCH(vp.data[[#This Row],[Crude_Breakdown]],crudeBD.lkup[Crude Breakdown],0)))^2</f>
        <v>157.51037117847659</v>
      </c>
      <c r="AK297" s="5">
        <f>(vp.data[[#This Row],[Dens]]-INDEX(crudeBD.lkup[Mean_Dens],MATCH(vp.data[[#This Row],[Crude_Breakdown]],crudeBD.lkup[Crude Breakdown],0)))^2</f>
        <v>15.120445798785575</v>
      </c>
      <c r="AL297" s="5">
        <f>(vp.data[[#This Row],[Sulf]]-INDEX(crudeBD.lkup[Mean_Sulf],MATCH(vp.data[[#This Row],[Crude_Breakdown]],crudeBD.lkup[Crude Breakdown],0)))^2</f>
        <v>4.3879776367322437E-3</v>
      </c>
      <c r="AM297" s="4">
        <f>IF(AND(vp.data[[#This Row],[SDate]]&gt;=DATE(YEAR(vp.data[[#This Row],[SDate]]),5,1),vp.data[[#This Row],[SDate]]&lt;=DATE(YEAR(vp.data[[#This Row],[SDate]]),9,15)),1,0)</f>
        <v>1</v>
      </c>
      <c r="AN297" s="4">
        <f>IF(vp.data[[#This Row],[SDate]]&lt;DATE(2016,12,1),0,1)</f>
        <v>0</v>
      </c>
      <c r="AO297" s="4">
        <f>IFERROR(vp.data[[#This Row],[Sulf]]*vp.data[[#This Row],[Net Dens]],"")</f>
        <v>1316101.8995660003</v>
      </c>
      <c r="AP297">
        <f>IFERROR(vp.data[[#This Row],[Dens]]*vp.data[[#This Row],[VolumeM3]],"")</f>
        <v>7741775.8798000012</v>
      </c>
      <c r="AQ297" s="15">
        <f>IFERROR(vp.data[[#This Row],[VP]]*vp.data[[#This Row],[VolumeM3]],"")</f>
        <v>762548.72</v>
      </c>
    </row>
    <row r="298" spans="1:43" x14ac:dyDescent="0.25">
      <c r="A298">
        <v>297</v>
      </c>
      <c r="B298" t="s">
        <v>51</v>
      </c>
      <c r="C298" t="s">
        <v>51</v>
      </c>
      <c r="D298" t="s">
        <v>71</v>
      </c>
      <c r="F298" s="1">
        <v>42598</v>
      </c>
      <c r="G298" s="2">
        <v>69.2</v>
      </c>
      <c r="H298" s="2"/>
      <c r="I298" s="2">
        <f t="array" ref="I298">_xlfn.IFNA(IF(vp.data[[#This Row],[Sulf Input]]="",INDEX([1]DATA!$Q$3:$Q$9826,MATCH(1,(vp.data[[#This Row],[Battery]]=[1]DATA!$L$3:$L$9826)*(EOMONTH(vp.data[[#This Row],[SDate]],-1)+1=[1]DATA!$G$3:$G$9826),0)),vp.data[[#This Row],[Sulf Input]]),"")</f>
        <v>1.4</v>
      </c>
      <c r="J298" s="2"/>
      <c r="K298" s="2"/>
      <c r="L298" s="2">
        <v>821.2</v>
      </c>
      <c r="M298" s="2">
        <f t="array" ref="M298">_xlfn.IFNA(IF(vp.data[[#This Row],[Dens Input]]="",INDEX([1]DATA!$O$3:$O$9826,MATCH(1,(vp.data[[#This Row],[Battery]]=[1]DATA!$L$3:$L$9826)*(EOMONTH(vp.data[[#This Row],[SDate]],-1)+1=[1]DATA!$G$3:$G$9826),0)),vp.data[[#This Row],[Dens Input]]),"")</f>
        <v>821.2</v>
      </c>
      <c r="N298" s="2">
        <f ca="1">INDEX(INDIRECT(_xlfn.CONCAT("weather.tbl[",N$1,"]")),MATCH(vp.data[[#This Row],[SDate]],weather.tbl[Date],0))</f>
        <v>20.766666666666666</v>
      </c>
      <c r="O298" s="2">
        <f ca="1">INDEX(INDIRECT(_xlfn.CONCAT("weather.tbl[",O$1,"]")),MATCH(vp.data[[#This Row],[SDate]],weather.tbl[Date],0))</f>
        <v>19.164285714285711</v>
      </c>
      <c r="P298" s="2">
        <f ca="1">INDEX(INDIRECT(_xlfn.CONCAT("weather.tbl[",P$1,"]")),MATCH(vp.data[[#This Row],[SDate]],weather.tbl[Date],0))</f>
        <v>20.8</v>
      </c>
      <c r="Q298" s="2">
        <f ca="1">INDEX(INDIRECT(_xlfn.CONCAT("weather.tbl[",Q$1,"]")),MATCH(vp.data[[#This Row],[SDate]],weather.tbl[Date],0))</f>
        <v>21</v>
      </c>
      <c r="R298" s="2">
        <f ca="1">INDEX(INDIRECT(_xlfn.CONCAT("weather.tbl[",R$1,"]")),MATCH(vp.data[[#This Row],[SDate]],weather.tbl[Date],0))</f>
        <v>20</v>
      </c>
      <c r="S298" s="2">
        <f ca="1">INDEX(INDIRECT(_xlfn.CONCAT("weather.tbl[",S$1,"]")),MATCH(vp.data[[#This Row],[SDate]],weather.tbl[Date],0))</f>
        <v>22.3</v>
      </c>
      <c r="T298" s="2">
        <f ca="1">INDEX(INDIRECT(_xlfn.CONCAT("weather.tbl[",T$1,"]")),MATCH(vp.data[[#This Row],[SDate]],weather.tbl[Date],0))</f>
        <v>20.5</v>
      </c>
      <c r="U298" s="2">
        <f ca="1">INDEX(INDIRECT(_xlfn.CONCAT("weather.tbl[",U$1,"]")),MATCH(vp.data[[#This Row],[SDate]],weather.tbl[Date],0))</f>
        <v>20</v>
      </c>
      <c r="V298" s="2">
        <f t="array" ref="V2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5032.2340000000004</v>
      </c>
      <c r="W298" t="s">
        <v>48</v>
      </c>
      <c r="X298">
        <f>IF(OR(vp.data[[#This Row],[Sulf]]="",vp.data[[#This Row],[Dens]]=""),1,0)</f>
        <v>0</v>
      </c>
      <c r="Y298">
        <f>IF(vp.data[[#This Row],[CrudeType]]="C5+",1,0)</f>
        <v>0</v>
      </c>
      <c r="Z298">
        <f>IF(AND(vp.data[[#This Row],[CrudeType]]="Crude",vp.data[[#This Row],[Dens]]&lt;=825,vp.data[[#This Row],[Sulf]]&gt;0.5,vp.data[[#This Row],[Unknown]]=0),1,0)</f>
        <v>1</v>
      </c>
      <c r="AA298">
        <f>IF(AND(vp.data[[#This Row],[CrudeType]]="Crude",vp.data[[#This Row],[Dens]]&lt;=825,vp.data[[#This Row],[Sulf]]&lt;=0.5,vp.data[[#This Row],[Unknown]]=0),1,0)</f>
        <v>0</v>
      </c>
      <c r="AB2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298">
        <f>IF(AND(vp.data[[#This Row],[CrudeType]]="Crude",vp.data[[#This Row],[Dens]]&gt;825,vp.data[[#This Row],[Dens]]&lt;=900,vp.data[[#This Row],[Sulf]]&lt;=0.5,vp.data[[#This Row],[Unknown]]=0),1,0)</f>
        <v>0</v>
      </c>
      <c r="AD298">
        <f>IF(AND(vp.data[[#This Row],[CrudeType]]="Crude",vp.data[[#This Row],[Dens]]&gt;865,vp.data[[#This Row],[Dens]]&lt;=900,vp.data[[#This Row],[Sulf]]&gt;2,vp.data[[#This Row],[Unknown]]=0),1,0)</f>
        <v>0</v>
      </c>
      <c r="AE298">
        <f>IF(AND(vp.data[[#This Row],[CrudeType]]="Crude",vp.data[[#This Row],[Dens]]&gt;900,vp.data[[#This Row],[Sulf]]&lt;=0.5,vp.data[[#This Row],[Unknown]]=0),1,0)</f>
        <v>0</v>
      </c>
      <c r="AF298">
        <f>IF(AND(vp.data[[#This Row],[CrudeType]]="Crude",vp.data[[#This Row],[Dens]]&gt;900,vp.data[[#This Row],[Sulf]]&lt;=0.5,vp.data[[#This Row],[Unknown]]=0),1,0)</f>
        <v>0</v>
      </c>
      <c r="AG298" t="str">
        <f>INDEX(vp.data[[#Headers],[Unknown]:[Heavy_SW]],MATCH(1,vp.data[[#This Row],[Unknown]:[Heavy_SW]],0))</f>
        <v>Light_LSB</v>
      </c>
      <c r="AH298">
        <f>INDEX([3]!crudeBD.lkup[Number],MATCH(vp.data[[#This Row],[Crude_Breakdown]],crudeBD.lkup[Crude Breakdown],0))</f>
        <v>1</v>
      </c>
      <c r="AI298">
        <f>MONTH(vp.data[[#This Row],[SDate]])</f>
        <v>8</v>
      </c>
      <c r="AJ298" s="5">
        <f>(vp.data[[#This Row],[VP]]-INDEX(crudeBD.lkup[Mean_VP],MATCH(vp.data[[#This Row],[Crude_Breakdown]],crudeBD.lkup[Crude Breakdown],0)))^2</f>
        <v>499.35200939526112</v>
      </c>
      <c r="AK298" s="5">
        <f>(vp.data[[#This Row],[Dens]]-INDEX(crudeBD.lkup[Mean_Dens],MATCH(vp.data[[#This Row],[Crude_Breakdown]],crudeBD.lkup[Crude Breakdown],0)))^2</f>
        <v>7.1997245238030185</v>
      </c>
      <c r="AL298" s="5">
        <f>(vp.data[[#This Row],[Sulf]]-INDEX(crudeBD.lkup[Mean_Sulf],MATCH(vp.data[[#This Row],[Crude_Breakdown]],crudeBD.lkup[Crude Breakdown],0)))^2</f>
        <v>0.22755650619208692</v>
      </c>
      <c r="AM298" s="4">
        <f>IF(AND(vp.data[[#This Row],[SDate]]&gt;=DATE(YEAR(vp.data[[#This Row],[SDate]]),5,1),vp.data[[#This Row],[SDate]]&lt;=DATE(YEAR(vp.data[[#This Row],[SDate]]),9,15)),1,0)</f>
        <v>1</v>
      </c>
      <c r="AN298" s="4">
        <f>IF(vp.data[[#This Row],[SDate]]&lt;DATE(2016,12,1),0,1)</f>
        <v>0</v>
      </c>
      <c r="AO298" s="4">
        <f>IFERROR(vp.data[[#This Row],[Sulf]]*vp.data[[#This Row],[Net Dens]],"")</f>
        <v>5785458.7851200001</v>
      </c>
      <c r="AP298">
        <f>IFERROR(vp.data[[#This Row],[Dens]]*vp.data[[#This Row],[VolumeM3]],"")</f>
        <v>4132470.5608000006</v>
      </c>
      <c r="AQ298" s="15">
        <f>IFERROR(vp.data[[#This Row],[VP]]*vp.data[[#This Row],[VolumeM3]],"")</f>
        <v>348230.59280000004</v>
      </c>
    </row>
    <row r="299" spans="1:43" x14ac:dyDescent="0.25">
      <c r="A299">
        <v>298</v>
      </c>
      <c r="B299" t="s">
        <v>68</v>
      </c>
      <c r="C299" t="s">
        <v>68</v>
      </c>
      <c r="D299" t="s">
        <v>69</v>
      </c>
      <c r="F299" s="1">
        <v>42598</v>
      </c>
      <c r="G299" s="2">
        <v>75.900000000000006</v>
      </c>
      <c r="H299" s="2"/>
      <c r="I299" s="2">
        <f t="array" ref="I299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299" s="2"/>
      <c r="K299" s="2"/>
      <c r="L299" s="2">
        <v>826.7</v>
      </c>
      <c r="M299" s="2">
        <f t="array" ref="M299">_xlfn.IFNA(IF(vp.data[[#This Row],[Dens Input]]="",INDEX([1]DATA!$O$3:$O$9826,MATCH(1,(vp.data[[#This Row],[Battery]]=[1]DATA!$L$3:$L$9826)*(EOMONTH(vp.data[[#This Row],[SDate]],-1)+1=[1]DATA!$G$3:$G$9826),0)),vp.data[[#This Row],[Dens Input]]),"")</f>
        <v>826.7</v>
      </c>
      <c r="N299" s="2">
        <f ca="1">INDEX(INDIRECT(_xlfn.CONCAT("weather.tbl[",N$1,"]")),MATCH(vp.data[[#This Row],[SDate]],weather.tbl[Date],0))</f>
        <v>20.766666666666666</v>
      </c>
      <c r="O299" s="2">
        <f ca="1">INDEX(INDIRECT(_xlfn.CONCAT("weather.tbl[",O$1,"]")),MATCH(vp.data[[#This Row],[SDate]],weather.tbl[Date],0))</f>
        <v>19.164285714285711</v>
      </c>
      <c r="P299" s="2">
        <f ca="1">INDEX(INDIRECT(_xlfn.CONCAT("weather.tbl[",P$1,"]")),MATCH(vp.data[[#This Row],[SDate]],weather.tbl[Date],0))</f>
        <v>20.8</v>
      </c>
      <c r="Q299" s="2">
        <f ca="1">INDEX(INDIRECT(_xlfn.CONCAT("weather.tbl[",Q$1,"]")),MATCH(vp.data[[#This Row],[SDate]],weather.tbl[Date],0))</f>
        <v>21</v>
      </c>
      <c r="R299" s="2">
        <f ca="1">INDEX(INDIRECT(_xlfn.CONCAT("weather.tbl[",R$1,"]")),MATCH(vp.data[[#This Row],[SDate]],weather.tbl[Date],0))</f>
        <v>20</v>
      </c>
      <c r="S299" s="2">
        <f ca="1">INDEX(INDIRECT(_xlfn.CONCAT("weather.tbl[",S$1,"]")),MATCH(vp.data[[#This Row],[SDate]],weather.tbl[Date],0))</f>
        <v>22.3</v>
      </c>
      <c r="T299" s="2">
        <f ca="1">INDEX(INDIRECT(_xlfn.CONCAT("weather.tbl[",T$1,"]")),MATCH(vp.data[[#This Row],[SDate]],weather.tbl[Date],0))</f>
        <v>20.5</v>
      </c>
      <c r="U299" s="2">
        <f ca="1">INDEX(INDIRECT(_xlfn.CONCAT("weather.tbl[",U$1,"]")),MATCH(vp.data[[#This Row],[SDate]],weather.tbl[Date],0))</f>
        <v>20</v>
      </c>
      <c r="V299" s="2">
        <f t="array" ref="V2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1448.913</v>
      </c>
      <c r="W299" t="s">
        <v>48</v>
      </c>
      <c r="X299">
        <f>IF(OR(vp.data[[#This Row],[Sulf]]="",vp.data[[#This Row],[Dens]]=""),1,0)</f>
        <v>0</v>
      </c>
      <c r="Y299">
        <f>IF(vp.data[[#This Row],[CrudeType]]="C5+",1,0)</f>
        <v>0</v>
      </c>
      <c r="Z299">
        <f>IF(AND(vp.data[[#This Row],[CrudeType]]="Crude",vp.data[[#This Row],[Dens]]&lt;=825,vp.data[[#This Row],[Sulf]]&gt;0.5,vp.data[[#This Row],[Unknown]]=0),1,0)</f>
        <v>0</v>
      </c>
      <c r="AA299">
        <f>IF(AND(vp.data[[#This Row],[CrudeType]]="Crude",vp.data[[#This Row],[Dens]]&lt;=825,vp.data[[#This Row],[Sulf]]&lt;=0.5,vp.data[[#This Row],[Unknown]]=0),1,0)</f>
        <v>0</v>
      </c>
      <c r="AB2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299">
        <f>IF(AND(vp.data[[#This Row],[CrudeType]]="Crude",vp.data[[#This Row],[Dens]]&gt;825,vp.data[[#This Row],[Dens]]&lt;=900,vp.data[[#This Row],[Sulf]]&lt;=0.5,vp.data[[#This Row],[Unknown]]=0),1,0)</f>
        <v>0</v>
      </c>
      <c r="AD299">
        <f>IF(AND(vp.data[[#This Row],[CrudeType]]="Crude",vp.data[[#This Row],[Dens]]&gt;865,vp.data[[#This Row],[Dens]]&lt;=900,vp.data[[#This Row],[Sulf]]&gt;2,vp.data[[#This Row],[Unknown]]=0),1,0)</f>
        <v>0</v>
      </c>
      <c r="AE299">
        <f>IF(AND(vp.data[[#This Row],[CrudeType]]="Crude",vp.data[[#This Row],[Dens]]&gt;900,vp.data[[#This Row],[Sulf]]&lt;=0.5,vp.data[[#This Row],[Unknown]]=0),1,0)</f>
        <v>0</v>
      </c>
      <c r="AF299">
        <f>IF(AND(vp.data[[#This Row],[CrudeType]]="Crude",vp.data[[#This Row],[Dens]]&gt;900,vp.data[[#This Row],[Sulf]]&lt;=0.5,vp.data[[#This Row],[Unknown]]=0),1,0)</f>
        <v>0</v>
      </c>
      <c r="AG299" t="str">
        <f>INDEX(vp.data[[#Headers],[Unknown]:[Heavy_SW]],MATCH(1,vp.data[[#This Row],[Unknown]:[Heavy_SW]],0))</f>
        <v>Medium_LSB</v>
      </c>
      <c r="AH299">
        <f>INDEX([3]!crudeBD.lkup[Number],MATCH(vp.data[[#This Row],[Crude_Breakdown]],crudeBD.lkup[Crude Breakdown],0))</f>
        <v>3</v>
      </c>
      <c r="AI299">
        <f>MONTH(vp.data[[#This Row],[SDate]])</f>
        <v>8</v>
      </c>
      <c r="AJ299" s="5">
        <f>(vp.data[[#This Row],[VP]]-INDEX(crudeBD.lkup[Mean_VP],MATCH(vp.data[[#This Row],[Crude_Breakdown]],crudeBD.lkup[Crude Breakdown],0)))^2</f>
        <v>22.46453379734163</v>
      </c>
      <c r="AK299" s="5">
        <f>(vp.data[[#This Row],[Dens]]-INDEX(crudeBD.lkup[Mean_Dens],MATCH(vp.data[[#This Row],[Crude_Breakdown]],crudeBD.lkup[Crude Breakdown],0)))^2</f>
        <v>296.52839999998139</v>
      </c>
      <c r="AL299" s="5">
        <f>(vp.data[[#This Row],[Sulf]]-INDEX(crudeBD.lkup[Mean_Sulf],MATCH(vp.data[[#This Row],[Crude_Breakdown]],crudeBD.lkup[Crude Breakdown],0)))^2</f>
        <v>0.12573539662129798</v>
      </c>
      <c r="AM299" s="4">
        <f>IF(AND(vp.data[[#This Row],[SDate]]&gt;=DATE(YEAR(vp.data[[#This Row],[SDate]]),5,1),vp.data[[#This Row],[SDate]]&lt;=DATE(YEAR(vp.data[[#This Row],[SDate]]),9,15)),1,0)</f>
        <v>1</v>
      </c>
      <c r="AN299" s="4">
        <f>IF(vp.data[[#This Row],[SDate]]&lt;DATE(2016,12,1),0,1)</f>
        <v>0</v>
      </c>
      <c r="AO299" s="4">
        <f>IFERROR(vp.data[[#This Row],[Sulf]]*vp.data[[#This Row],[Net Dens]],"")</f>
        <v>2084200.4961540003</v>
      </c>
      <c r="AP299">
        <f>IFERROR(vp.data[[#This Row],[Dens]]*vp.data[[#This Row],[VolumeM3]],"")</f>
        <v>1197816.3771000002</v>
      </c>
      <c r="AQ299" s="15">
        <f>IFERROR(vp.data[[#This Row],[VP]]*vp.data[[#This Row],[VolumeM3]],"")</f>
        <v>109972.4967</v>
      </c>
    </row>
    <row r="300" spans="1:43" x14ac:dyDescent="0.25">
      <c r="A300">
        <v>299</v>
      </c>
      <c r="B300" t="s">
        <v>56</v>
      </c>
      <c r="C300" t="s">
        <v>56</v>
      </c>
      <c r="D300" t="s">
        <v>57</v>
      </c>
      <c r="F300" s="1">
        <v>42598</v>
      </c>
      <c r="G300" s="2">
        <v>75.7</v>
      </c>
      <c r="H300" s="2"/>
      <c r="I300" s="2">
        <f t="array" ref="I300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300" s="2"/>
      <c r="K300" s="2"/>
      <c r="L300" s="2">
        <v>834</v>
      </c>
      <c r="M300" s="2">
        <f t="array" ref="M300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300" s="2">
        <f ca="1">INDEX(INDIRECT(_xlfn.CONCAT("weather.tbl[",N$1,"]")),MATCH(vp.data[[#This Row],[SDate]],weather.tbl[Date],0))</f>
        <v>20.766666666666666</v>
      </c>
      <c r="O300" s="2">
        <f ca="1">INDEX(INDIRECT(_xlfn.CONCAT("weather.tbl[",O$1,"]")),MATCH(vp.data[[#This Row],[SDate]],weather.tbl[Date],0))</f>
        <v>19.164285714285711</v>
      </c>
      <c r="P300" s="2">
        <f ca="1">INDEX(INDIRECT(_xlfn.CONCAT("weather.tbl[",P$1,"]")),MATCH(vp.data[[#This Row],[SDate]],weather.tbl[Date],0))</f>
        <v>20.8</v>
      </c>
      <c r="Q300" s="2">
        <f ca="1">INDEX(INDIRECT(_xlfn.CONCAT("weather.tbl[",Q$1,"]")),MATCH(vp.data[[#This Row],[SDate]],weather.tbl[Date],0))</f>
        <v>21</v>
      </c>
      <c r="R300" s="2">
        <f ca="1">INDEX(INDIRECT(_xlfn.CONCAT("weather.tbl[",R$1,"]")),MATCH(vp.data[[#This Row],[SDate]],weather.tbl[Date],0))</f>
        <v>20</v>
      </c>
      <c r="S300" s="2">
        <f ca="1">INDEX(INDIRECT(_xlfn.CONCAT("weather.tbl[",S$1,"]")),MATCH(vp.data[[#This Row],[SDate]],weather.tbl[Date],0))</f>
        <v>22.3</v>
      </c>
      <c r="T300" s="2">
        <f ca="1">INDEX(INDIRECT(_xlfn.CONCAT("weather.tbl[",T$1,"]")),MATCH(vp.data[[#This Row],[SDate]],weather.tbl[Date],0))</f>
        <v>20.5</v>
      </c>
      <c r="U300" s="2">
        <f ca="1">INDEX(INDIRECT(_xlfn.CONCAT("weather.tbl[",U$1,"]")),MATCH(vp.data[[#This Row],[SDate]],weather.tbl[Date],0))</f>
        <v>20</v>
      </c>
      <c r="V300" s="2">
        <f t="array" ref="V3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3596.04</v>
      </c>
      <c r="W300" t="s">
        <v>48</v>
      </c>
      <c r="X300">
        <f>IF(OR(vp.data[[#This Row],[Sulf]]="",vp.data[[#This Row],[Dens]]=""),1,0)</f>
        <v>0</v>
      </c>
      <c r="Y300">
        <f>IF(vp.data[[#This Row],[CrudeType]]="C5+",1,0)</f>
        <v>0</v>
      </c>
      <c r="Z300">
        <f>IF(AND(vp.data[[#This Row],[CrudeType]]="Crude",vp.data[[#This Row],[Dens]]&lt;=825,vp.data[[#This Row],[Sulf]]&gt;0.5,vp.data[[#This Row],[Unknown]]=0),1,0)</f>
        <v>0</v>
      </c>
      <c r="AA300">
        <f>IF(AND(vp.data[[#This Row],[CrudeType]]="Crude",vp.data[[#This Row],[Dens]]&lt;=825,vp.data[[#This Row],[Sulf]]&lt;=0.5,vp.data[[#This Row],[Unknown]]=0),1,0)</f>
        <v>0</v>
      </c>
      <c r="AB3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00">
        <f>IF(AND(vp.data[[#This Row],[CrudeType]]="Crude",vp.data[[#This Row],[Dens]]&gt;825,vp.data[[#This Row],[Dens]]&lt;=900,vp.data[[#This Row],[Sulf]]&lt;=0.5,vp.data[[#This Row],[Unknown]]=0),1,0)</f>
        <v>0</v>
      </c>
      <c r="AD300">
        <f>IF(AND(vp.data[[#This Row],[CrudeType]]="Crude",vp.data[[#This Row],[Dens]]&gt;865,vp.data[[#This Row],[Dens]]&lt;=900,vp.data[[#This Row],[Sulf]]&gt;2,vp.data[[#This Row],[Unknown]]=0),1,0)</f>
        <v>0</v>
      </c>
      <c r="AE300">
        <f>IF(AND(vp.data[[#This Row],[CrudeType]]="Crude",vp.data[[#This Row],[Dens]]&gt;900,vp.data[[#This Row],[Sulf]]&lt;=0.5,vp.data[[#This Row],[Unknown]]=0),1,0)</f>
        <v>0</v>
      </c>
      <c r="AF300">
        <f>IF(AND(vp.data[[#This Row],[CrudeType]]="Crude",vp.data[[#This Row],[Dens]]&gt;900,vp.data[[#This Row],[Sulf]]&lt;=0.5,vp.data[[#This Row],[Unknown]]=0),1,0)</f>
        <v>0</v>
      </c>
      <c r="AG300" t="str">
        <f>INDEX(vp.data[[#Headers],[Unknown]:[Heavy_SW]],MATCH(1,vp.data[[#This Row],[Unknown]:[Heavy_SW]],0))</f>
        <v>Medium_LSB</v>
      </c>
      <c r="AH300">
        <f>INDEX([3]!crudeBD.lkup[Number],MATCH(vp.data[[#This Row],[Crude_Breakdown]],crudeBD.lkup[Crude Breakdown],0))</f>
        <v>3</v>
      </c>
      <c r="AI300">
        <f>MONTH(vp.data[[#This Row],[SDate]])</f>
        <v>8</v>
      </c>
      <c r="AJ300" s="5">
        <f>(vp.data[[#This Row],[VP]]-INDEX(crudeBD.lkup[Mean_VP],MATCH(vp.data[[#This Row],[Crude_Breakdown]],crudeBD.lkup[Crude Breakdown],0)))^2</f>
        <v>24.400404417287717</v>
      </c>
      <c r="AK300" s="5">
        <f>(vp.data[[#This Row],[Dens]]-INDEX(crudeBD.lkup[Mean_Dens],MATCH(vp.data[[#This Row],[Crude_Breakdown]],crudeBD.lkup[Crude Breakdown],0)))^2</f>
        <v>98.406399999990171</v>
      </c>
      <c r="AL300" s="5">
        <f>(vp.data[[#This Row],[Sulf]]-INDEX(crudeBD.lkup[Mean_Sulf],MATCH(vp.data[[#This Row],[Crude_Breakdown]],crudeBD.lkup[Crude Breakdown],0)))^2</f>
        <v>5.9825184491918218E-2</v>
      </c>
      <c r="AM300" s="4">
        <f>IF(AND(vp.data[[#This Row],[SDate]]&gt;=DATE(YEAR(vp.data[[#This Row],[SDate]]),5,1),vp.data[[#This Row],[SDate]]&lt;=DATE(YEAR(vp.data[[#This Row],[SDate]]),9,15)),1,0)</f>
        <v>1</v>
      </c>
      <c r="AN300" s="4">
        <f>IF(vp.data[[#This Row],[SDate]]&lt;DATE(2016,12,1),0,1)</f>
        <v>0</v>
      </c>
      <c r="AO300" s="4">
        <f>IFERROR(vp.data[[#This Row],[Sulf]]*vp.data[[#This Row],[Net Dens]],"")</f>
        <v>4888528.6967999991</v>
      </c>
      <c r="AP300">
        <f>IFERROR(vp.data[[#This Row],[Dens]]*vp.data[[#This Row],[VolumeM3]],"")</f>
        <v>2999097.36</v>
      </c>
      <c r="AQ300" s="15">
        <f>IFERROR(vp.data[[#This Row],[VP]]*vp.data[[#This Row],[VolumeM3]],"")</f>
        <v>272220.228</v>
      </c>
    </row>
    <row r="301" spans="1:43" x14ac:dyDescent="0.25">
      <c r="A301">
        <v>300</v>
      </c>
      <c r="B301" t="s">
        <v>51</v>
      </c>
      <c r="C301" t="s">
        <v>51</v>
      </c>
      <c r="D301" t="s">
        <v>58</v>
      </c>
      <c r="F301" s="1">
        <v>42598</v>
      </c>
      <c r="G301" s="2">
        <v>66.2</v>
      </c>
      <c r="H301" s="2"/>
      <c r="I301" s="2">
        <f t="array" ref="I301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301" s="2"/>
      <c r="K301" s="2"/>
      <c r="L301" s="2">
        <v>862</v>
      </c>
      <c r="M301" s="2">
        <f t="array" ref="M301">_xlfn.IFNA(IF(vp.data[[#This Row],[Dens Input]]="",INDEX([1]DATA!$O$3:$O$9826,MATCH(1,(vp.data[[#This Row],[Battery]]=[1]DATA!$L$3:$L$9826)*(EOMONTH(vp.data[[#This Row],[SDate]],-1)+1=[1]DATA!$G$3:$G$9826),0)),vp.data[[#This Row],[Dens Input]]),"")</f>
        <v>862</v>
      </c>
      <c r="N301" s="2">
        <f ca="1">INDEX(INDIRECT(_xlfn.CONCAT("weather.tbl[",N$1,"]")),MATCH(vp.data[[#This Row],[SDate]],weather.tbl[Date],0))</f>
        <v>20.766666666666666</v>
      </c>
      <c r="O301" s="2">
        <f ca="1">INDEX(INDIRECT(_xlfn.CONCAT("weather.tbl[",O$1,"]")),MATCH(vp.data[[#This Row],[SDate]],weather.tbl[Date],0))</f>
        <v>19.164285714285711</v>
      </c>
      <c r="P301" s="2">
        <f ca="1">INDEX(INDIRECT(_xlfn.CONCAT("weather.tbl[",P$1,"]")),MATCH(vp.data[[#This Row],[SDate]],weather.tbl[Date],0))</f>
        <v>20.8</v>
      </c>
      <c r="Q301" s="2">
        <f ca="1">INDEX(INDIRECT(_xlfn.CONCAT("weather.tbl[",Q$1,"]")),MATCH(vp.data[[#This Row],[SDate]],weather.tbl[Date],0))</f>
        <v>21</v>
      </c>
      <c r="R301" s="2">
        <f ca="1">INDEX(INDIRECT(_xlfn.CONCAT("weather.tbl[",R$1,"]")),MATCH(vp.data[[#This Row],[SDate]],weather.tbl[Date],0))</f>
        <v>20</v>
      </c>
      <c r="S301" s="2">
        <f ca="1">INDEX(INDIRECT(_xlfn.CONCAT("weather.tbl[",S$1,"]")),MATCH(vp.data[[#This Row],[SDate]],weather.tbl[Date],0))</f>
        <v>22.3</v>
      </c>
      <c r="T301" s="2">
        <f ca="1">INDEX(INDIRECT(_xlfn.CONCAT("weather.tbl[",T$1,"]")),MATCH(vp.data[[#This Row],[SDate]],weather.tbl[Date],0))</f>
        <v>20.5</v>
      </c>
      <c r="U301" s="2">
        <f ca="1">INDEX(INDIRECT(_xlfn.CONCAT("weather.tbl[",U$1,"]")),MATCH(vp.data[[#This Row],[SDate]],weather.tbl[Date],0))</f>
        <v>20</v>
      </c>
      <c r="V301" s="2">
        <f t="array" ref="V3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5621.1970000000001</v>
      </c>
      <c r="W301" t="s">
        <v>48</v>
      </c>
      <c r="X301">
        <f>IF(OR(vp.data[[#This Row],[Sulf]]="",vp.data[[#This Row],[Dens]]=""),1,0)</f>
        <v>0</v>
      </c>
      <c r="Y301">
        <f>IF(vp.data[[#This Row],[CrudeType]]="C5+",1,0)</f>
        <v>0</v>
      </c>
      <c r="Z301">
        <f>IF(AND(vp.data[[#This Row],[CrudeType]]="Crude",vp.data[[#This Row],[Dens]]&lt;=825,vp.data[[#This Row],[Sulf]]&gt;0.5,vp.data[[#This Row],[Unknown]]=0),1,0)</f>
        <v>0</v>
      </c>
      <c r="AA301">
        <f>IF(AND(vp.data[[#This Row],[CrudeType]]="Crude",vp.data[[#This Row],[Dens]]&lt;=825,vp.data[[#This Row],[Sulf]]&lt;=0.5,vp.data[[#This Row],[Unknown]]=0),1,0)</f>
        <v>0</v>
      </c>
      <c r="AB3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01">
        <f>IF(AND(vp.data[[#This Row],[CrudeType]]="Crude",vp.data[[#This Row],[Dens]]&gt;825,vp.data[[#This Row],[Dens]]&lt;=900,vp.data[[#This Row],[Sulf]]&lt;=0.5,vp.data[[#This Row],[Unknown]]=0),1,0)</f>
        <v>0</v>
      </c>
      <c r="AD301">
        <f>IF(AND(vp.data[[#This Row],[CrudeType]]="Crude",vp.data[[#This Row],[Dens]]&gt;865,vp.data[[#This Row],[Dens]]&lt;=900,vp.data[[#This Row],[Sulf]]&gt;2,vp.data[[#This Row],[Unknown]]=0),1,0)</f>
        <v>0</v>
      </c>
      <c r="AE301">
        <f>IF(AND(vp.data[[#This Row],[CrudeType]]="Crude",vp.data[[#This Row],[Dens]]&gt;900,vp.data[[#This Row],[Sulf]]&lt;=0.5,vp.data[[#This Row],[Unknown]]=0),1,0)</f>
        <v>0</v>
      </c>
      <c r="AF301">
        <f>IF(AND(vp.data[[#This Row],[CrudeType]]="Crude",vp.data[[#This Row],[Dens]]&gt;900,vp.data[[#This Row],[Sulf]]&lt;=0.5,vp.data[[#This Row],[Unknown]]=0),1,0)</f>
        <v>0</v>
      </c>
      <c r="AG301" t="str">
        <f>INDEX(vp.data[[#Headers],[Unknown]:[Heavy_SW]],MATCH(1,vp.data[[#This Row],[Unknown]:[Heavy_SW]],0))</f>
        <v>Medium_LSB</v>
      </c>
      <c r="AH301">
        <f>INDEX([3]!crudeBD.lkup[Number],MATCH(vp.data[[#This Row],[Crude_Breakdown]],crudeBD.lkup[Crude Breakdown],0))</f>
        <v>3</v>
      </c>
      <c r="AI301">
        <f>MONTH(vp.data[[#This Row],[SDate]])</f>
        <v>8</v>
      </c>
      <c r="AJ301" s="5">
        <f>(vp.data[[#This Row],[VP]]-INDEX(crudeBD.lkup[Mean_VP],MATCH(vp.data[[#This Row],[Crude_Breakdown]],crudeBD.lkup[Crude Breakdown],0)))^2</f>
        <v>208.50425886472567</v>
      </c>
      <c r="AK301" s="5">
        <f>(vp.data[[#This Row],[Dens]]-INDEX(crudeBD.lkup[Mean_Dens],MATCH(vp.data[[#This Row],[Crude_Breakdown]],crudeBD.lkup[Crude Breakdown],0)))^2</f>
        <v>326.88640000001794</v>
      </c>
      <c r="AL301" s="5">
        <f>(vp.data[[#This Row],[Sulf]]-INDEX(crudeBD.lkup[Mean_Sulf],MATCH(vp.data[[#This Row],[Crude_Breakdown]],crudeBD.lkup[Crude Breakdown],0)))^2</f>
        <v>8.9476224973095587E-3</v>
      </c>
      <c r="AM301" s="4">
        <f>IF(AND(vp.data[[#This Row],[SDate]]&gt;=DATE(YEAR(vp.data[[#This Row],[SDate]]),5,1),vp.data[[#This Row],[SDate]]&lt;=DATE(YEAR(vp.data[[#This Row],[SDate]]),9,15)),1,0)</f>
        <v>1</v>
      </c>
      <c r="AN301" s="4">
        <f>IF(vp.data[[#This Row],[SDate]]&lt;DATE(2016,12,1),0,1)</f>
        <v>0</v>
      </c>
      <c r="AO301" s="4">
        <f>IFERROR(vp.data[[#This Row],[Sulf]]*vp.data[[#This Row],[Net Dens]],"")</f>
        <v>7171298.2847199999</v>
      </c>
      <c r="AP301">
        <f>IFERROR(vp.data[[#This Row],[Dens]]*vp.data[[#This Row],[VolumeM3]],"")</f>
        <v>4845471.8140000002</v>
      </c>
      <c r="AQ301" s="15">
        <f>IFERROR(vp.data[[#This Row],[VP]]*vp.data[[#This Row],[VolumeM3]],"")</f>
        <v>372123.2414</v>
      </c>
    </row>
    <row r="302" spans="1:43" x14ac:dyDescent="0.25">
      <c r="A302">
        <v>301</v>
      </c>
      <c r="B302" t="s">
        <v>49</v>
      </c>
      <c r="C302" t="s">
        <v>49</v>
      </c>
      <c r="D302" t="s">
        <v>67</v>
      </c>
      <c r="F302" s="1">
        <v>42599</v>
      </c>
      <c r="G302" s="2">
        <v>87</v>
      </c>
      <c r="H302" s="2"/>
      <c r="I302" s="2">
        <f t="array" ref="I302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302" s="2"/>
      <c r="K302" s="2"/>
      <c r="L302" s="2">
        <v>808.3</v>
      </c>
      <c r="M302" s="2">
        <f t="array" ref="M302">_xlfn.IFNA(IF(vp.data[[#This Row],[Dens Input]]="",INDEX([1]DATA!$O$3:$O$9826,MATCH(1,(vp.data[[#This Row],[Battery]]=[1]DATA!$L$3:$L$9826)*(EOMONTH(vp.data[[#This Row],[SDate]],-1)+1=[1]DATA!$G$3:$G$9826),0)),vp.data[[#This Row],[Dens Input]]),"")</f>
        <v>808.3</v>
      </c>
      <c r="N302" s="2">
        <f ca="1">INDEX(INDIRECT(_xlfn.CONCAT("weather.tbl[",N$1,"]")),MATCH(vp.data[[#This Row],[SDate]],weather.tbl[Date],0))</f>
        <v>22.466666666666669</v>
      </c>
      <c r="O302" s="2">
        <f ca="1">INDEX(INDIRECT(_xlfn.CONCAT("weather.tbl[",O$1,"]")),MATCH(vp.data[[#This Row],[SDate]],weather.tbl[Date],0))</f>
        <v>19.840476190476188</v>
      </c>
      <c r="P302" s="2">
        <f ca="1">INDEX(INDIRECT(_xlfn.CONCAT("weather.tbl[",P$1,"]")),MATCH(vp.data[[#This Row],[SDate]],weather.tbl[Date],0))</f>
        <v>23.3</v>
      </c>
      <c r="Q302" s="2">
        <f ca="1">INDEX(INDIRECT(_xlfn.CONCAT("weather.tbl[",Q$1,"]")),MATCH(vp.data[[#This Row],[SDate]],weather.tbl[Date],0))</f>
        <v>23.5</v>
      </c>
      <c r="R302" s="2">
        <f ca="1">INDEX(INDIRECT(_xlfn.CONCAT("weather.tbl[",R$1,"]")),MATCH(vp.data[[#This Row],[SDate]],weather.tbl[Date],0))</f>
        <v>22.5</v>
      </c>
      <c r="S302" s="2">
        <f ca="1">INDEX(INDIRECT(_xlfn.CONCAT("weather.tbl[",S$1,"]")),MATCH(vp.data[[#This Row],[SDate]],weather.tbl[Date],0))</f>
        <v>22</v>
      </c>
      <c r="T302" s="2">
        <f ca="1">INDEX(INDIRECT(_xlfn.CONCAT("weather.tbl[",T$1,"]")),MATCH(vp.data[[#This Row],[SDate]],weather.tbl[Date],0))</f>
        <v>22.7</v>
      </c>
      <c r="U302" s="2">
        <f ca="1">INDEX(INDIRECT(_xlfn.CONCAT("weather.tbl[",U$1,"]")),MATCH(vp.data[[#This Row],[SDate]],weather.tbl[Date],0))</f>
        <v>20.8</v>
      </c>
      <c r="V302" s="2">
        <f t="array" ref="V3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302" t="s">
        <v>48</v>
      </c>
      <c r="X302">
        <f>IF(OR(vp.data[[#This Row],[Sulf]]="",vp.data[[#This Row],[Dens]]=""),1,0)</f>
        <v>0</v>
      </c>
      <c r="Y302">
        <f>IF(vp.data[[#This Row],[CrudeType]]="C5+",1,0)</f>
        <v>0</v>
      </c>
      <c r="Z302">
        <f>IF(AND(vp.data[[#This Row],[CrudeType]]="Crude",vp.data[[#This Row],[Dens]]&lt;=825,vp.data[[#This Row],[Sulf]]&gt;0.5,vp.data[[#This Row],[Unknown]]=0),1,0)</f>
        <v>0</v>
      </c>
      <c r="AA302">
        <f>IF(AND(vp.data[[#This Row],[CrudeType]]="Crude",vp.data[[#This Row],[Dens]]&lt;=825,vp.data[[#This Row],[Sulf]]&lt;=0.5,vp.data[[#This Row],[Unknown]]=0),1,0)</f>
        <v>1</v>
      </c>
      <c r="AB3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2">
        <f>IF(AND(vp.data[[#This Row],[CrudeType]]="Crude",vp.data[[#This Row],[Dens]]&gt;825,vp.data[[#This Row],[Dens]]&lt;=900,vp.data[[#This Row],[Sulf]]&lt;=0.5,vp.data[[#This Row],[Unknown]]=0),1,0)</f>
        <v>0</v>
      </c>
      <c r="AD302">
        <f>IF(AND(vp.data[[#This Row],[CrudeType]]="Crude",vp.data[[#This Row],[Dens]]&gt;865,vp.data[[#This Row],[Dens]]&lt;=900,vp.data[[#This Row],[Sulf]]&gt;2,vp.data[[#This Row],[Unknown]]=0),1,0)</f>
        <v>0</v>
      </c>
      <c r="AE302">
        <f>IF(AND(vp.data[[#This Row],[CrudeType]]="Crude",vp.data[[#This Row],[Dens]]&gt;900,vp.data[[#This Row],[Sulf]]&lt;=0.5,vp.data[[#This Row],[Unknown]]=0),1,0)</f>
        <v>0</v>
      </c>
      <c r="AF302">
        <f>IF(AND(vp.data[[#This Row],[CrudeType]]="Crude",vp.data[[#This Row],[Dens]]&gt;900,vp.data[[#This Row],[Sulf]]&lt;=0.5,vp.data[[#This Row],[Unknown]]=0),1,0)</f>
        <v>0</v>
      </c>
      <c r="AG302" t="str">
        <f>INDEX(vp.data[[#Headers],[Unknown]:[Heavy_SW]],MATCH(1,vp.data[[#This Row],[Unknown]:[Heavy_SW]],0))</f>
        <v>Light_SW</v>
      </c>
      <c r="AH302">
        <f>INDEX([3]!crudeBD.lkup[Number],MATCH(vp.data[[#This Row],[Crude_Breakdown]],crudeBD.lkup[Crude Breakdown],0))</f>
        <v>2</v>
      </c>
      <c r="AI302">
        <f>MONTH(vp.data[[#This Row],[SDate]])</f>
        <v>8</v>
      </c>
      <c r="AJ302" s="5">
        <f>(vp.data[[#This Row],[VP]]-INDEX(crudeBD.lkup[Mean_VP],MATCH(vp.data[[#This Row],[Crude_Breakdown]],crudeBD.lkup[Crude Breakdown],0)))^2</f>
        <v>30.805980934574574</v>
      </c>
      <c r="AK302" s="5">
        <f>(vp.data[[#This Row],[Dens]]-INDEX(crudeBD.lkup[Mean_Dens],MATCH(vp.data[[#This Row],[Crude_Breakdown]],crudeBD.lkup[Crude Breakdown],0)))^2</f>
        <v>1.3220993334473594E-4</v>
      </c>
      <c r="AL302" s="5">
        <f>(vp.data[[#This Row],[Sulf]]-INDEX(crudeBD.lkup[Mean_Sulf],MATCH(vp.data[[#This Row],[Crude_Breakdown]],crudeBD.lkup[Crude Breakdown],0)))^2</f>
        <v>6.8863268899706654E-4</v>
      </c>
      <c r="AM302" s="4">
        <f>IF(AND(vp.data[[#This Row],[SDate]]&gt;=DATE(YEAR(vp.data[[#This Row],[SDate]]),5,1),vp.data[[#This Row],[SDate]]&lt;=DATE(YEAR(vp.data[[#This Row],[SDate]]),9,15)),1,0)</f>
        <v>1</v>
      </c>
      <c r="AN302" s="4">
        <f>IF(vp.data[[#This Row],[SDate]]&lt;DATE(2016,12,1),0,1)</f>
        <v>0</v>
      </c>
      <c r="AO302" s="4">
        <f>IFERROR(vp.data[[#This Row],[Sulf]]*vp.data[[#This Row],[Net Dens]],"")</f>
        <v>8393114.9241449982</v>
      </c>
      <c r="AP302">
        <f>IFERROR(vp.data[[#This Row],[Dens]]*vp.data[[#This Row],[VolumeM3]],"")</f>
        <v>39967213.924499996</v>
      </c>
      <c r="AQ302" s="15">
        <f>IFERROR(vp.data[[#This Row],[VP]]*vp.data[[#This Row],[VolumeM3]],"")</f>
        <v>4301803.3049999997</v>
      </c>
    </row>
    <row r="303" spans="1:43" x14ac:dyDescent="0.25">
      <c r="A303">
        <v>302</v>
      </c>
      <c r="B303" t="s">
        <v>51</v>
      </c>
      <c r="C303" t="s">
        <v>51</v>
      </c>
      <c r="D303" t="s">
        <v>66</v>
      </c>
      <c r="F303" s="1">
        <v>42604</v>
      </c>
      <c r="G303" s="2">
        <v>83.1</v>
      </c>
      <c r="H303" s="2"/>
      <c r="I303" s="2">
        <f t="array" ref="I303">_xlfn.IFNA(IF(vp.data[[#This Row],[Sulf Input]]="",INDEX([1]DATA!$Q$3:$Q$9826,MATCH(1,(vp.data[[#This Row],[Battery]]=[1]DATA!$L$3:$L$9826)*(EOMONTH(vp.data[[#This Row],[SDate]],-1)+1=[1]DATA!$G$3:$G$9826),0)),vp.data[[#This Row],[Sulf Input]]),"")</f>
        <v>0.84</v>
      </c>
      <c r="J303" s="2"/>
      <c r="K303" s="2"/>
      <c r="L303" s="2">
        <v>825</v>
      </c>
      <c r="M303" s="2">
        <f t="array" ref="M303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303" s="2">
        <f ca="1">INDEX(INDIRECT(_xlfn.CONCAT("weather.tbl[",N$1,"]")),MATCH(vp.data[[#This Row],[SDate]],weather.tbl[Date],0))</f>
        <v>23.2</v>
      </c>
      <c r="O303" s="2">
        <f ca="1">INDEX(INDIRECT(_xlfn.CONCAT("weather.tbl[",O$1,"]")),MATCH(vp.data[[#This Row],[SDate]],weather.tbl[Date],0))</f>
        <v>18.973809523809525</v>
      </c>
      <c r="P303" s="2">
        <f ca="1">INDEX(INDIRECT(_xlfn.CONCAT("weather.tbl[",P$1,"]")),MATCH(vp.data[[#This Row],[SDate]],weather.tbl[Date],0))</f>
        <v>24.3</v>
      </c>
      <c r="Q303" s="2">
        <f ca="1">INDEX(INDIRECT(_xlfn.CONCAT("weather.tbl[",Q$1,"]")),MATCH(vp.data[[#This Row],[SDate]],weather.tbl[Date],0))</f>
        <v>23.8</v>
      </c>
      <c r="R303" s="2">
        <f ca="1">INDEX(INDIRECT(_xlfn.CONCAT("weather.tbl[",R$1,"]")),MATCH(vp.data[[#This Row],[SDate]],weather.tbl[Date],0))</f>
        <v>22</v>
      </c>
      <c r="S303" s="2">
        <f ca="1">INDEX(INDIRECT(_xlfn.CONCAT("weather.tbl[",S$1,"]")),MATCH(vp.data[[#This Row],[SDate]],weather.tbl[Date],0))</f>
        <v>22.8</v>
      </c>
      <c r="T303" s="2">
        <f ca="1">INDEX(INDIRECT(_xlfn.CONCAT("weather.tbl[",T$1,"]")),MATCH(vp.data[[#This Row],[SDate]],weather.tbl[Date],0))</f>
        <v>24</v>
      </c>
      <c r="U303" s="2">
        <f ca="1">INDEX(INDIRECT(_xlfn.CONCAT("weather.tbl[",U$1,"]")),MATCH(vp.data[[#This Row],[SDate]],weather.tbl[Date],0))</f>
        <v>22.3</v>
      </c>
      <c r="V303" s="2">
        <f t="array" ref="V3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3685.0509999999999</v>
      </c>
      <c r="W303" t="s">
        <v>48</v>
      </c>
      <c r="X303">
        <f>IF(OR(vp.data[[#This Row],[Sulf]]="",vp.data[[#This Row],[Dens]]=""),1,0)</f>
        <v>0</v>
      </c>
      <c r="Y303">
        <f>IF(vp.data[[#This Row],[CrudeType]]="C5+",1,0)</f>
        <v>0</v>
      </c>
      <c r="Z303">
        <f>IF(AND(vp.data[[#This Row],[CrudeType]]="Crude",vp.data[[#This Row],[Dens]]&lt;=825,vp.data[[#This Row],[Sulf]]&gt;0.5,vp.data[[#This Row],[Unknown]]=0),1,0)</f>
        <v>1</v>
      </c>
      <c r="AA303">
        <f>IF(AND(vp.data[[#This Row],[CrudeType]]="Crude",vp.data[[#This Row],[Dens]]&lt;=825,vp.data[[#This Row],[Sulf]]&lt;=0.5,vp.data[[#This Row],[Unknown]]=0),1,0)</f>
        <v>0</v>
      </c>
      <c r="AB3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3">
        <f>IF(AND(vp.data[[#This Row],[CrudeType]]="Crude",vp.data[[#This Row],[Dens]]&gt;825,vp.data[[#This Row],[Dens]]&lt;=900,vp.data[[#This Row],[Sulf]]&lt;=0.5,vp.data[[#This Row],[Unknown]]=0),1,0)</f>
        <v>0</v>
      </c>
      <c r="AD303">
        <f>IF(AND(vp.data[[#This Row],[CrudeType]]="Crude",vp.data[[#This Row],[Dens]]&gt;865,vp.data[[#This Row],[Dens]]&lt;=900,vp.data[[#This Row],[Sulf]]&gt;2,vp.data[[#This Row],[Unknown]]=0),1,0)</f>
        <v>0</v>
      </c>
      <c r="AE303">
        <f>IF(AND(vp.data[[#This Row],[CrudeType]]="Crude",vp.data[[#This Row],[Dens]]&gt;900,vp.data[[#This Row],[Sulf]]&lt;=0.5,vp.data[[#This Row],[Unknown]]=0),1,0)</f>
        <v>0</v>
      </c>
      <c r="AF303">
        <f>IF(AND(vp.data[[#This Row],[CrudeType]]="Crude",vp.data[[#This Row],[Dens]]&gt;900,vp.data[[#This Row],[Sulf]]&lt;=0.5,vp.data[[#This Row],[Unknown]]=0),1,0)</f>
        <v>0</v>
      </c>
      <c r="AG303" t="str">
        <f>INDEX(vp.data[[#Headers],[Unknown]:[Heavy_SW]],MATCH(1,vp.data[[#This Row],[Unknown]:[Heavy_SW]],0))</f>
        <v>Light_LSB</v>
      </c>
      <c r="AH303">
        <f>INDEX([3]!crudeBD.lkup[Number],MATCH(vp.data[[#This Row],[Crude_Breakdown]],crudeBD.lkup[Crude Breakdown],0))</f>
        <v>1</v>
      </c>
      <c r="AI303">
        <f>MONTH(vp.data[[#This Row],[SDate]])</f>
        <v>8</v>
      </c>
      <c r="AJ303" s="5">
        <f>(vp.data[[#This Row],[VP]]-INDEX(crudeBD.lkup[Mean_VP],MATCH(vp.data[[#This Row],[Crude_Breakdown]],crudeBD.lkup[Crude Breakdown],0)))^2</f>
        <v>71.338050632373879</v>
      </c>
      <c r="AK303" s="5">
        <f>(vp.data[[#This Row],[Dens]]-INDEX(crudeBD.lkup[Mean_Dens],MATCH(vp.data[[#This Row],[Crude_Breakdown]],crudeBD.lkup[Crude Breakdown],0)))^2</f>
        <v>42.032274351983858</v>
      </c>
      <c r="AL303" s="5">
        <f>(vp.data[[#This Row],[Sulf]]-INDEX(crudeBD.lkup[Mean_Sulf],MATCH(vp.data[[#This Row],[Crude_Breakdown]],crudeBD.lkup[Crude Breakdown],0)))^2</f>
        <v>6.8842147831520281E-3</v>
      </c>
      <c r="AM303" s="4">
        <f>IF(AND(vp.data[[#This Row],[SDate]]&gt;=DATE(YEAR(vp.data[[#This Row],[SDate]]),5,1),vp.data[[#This Row],[SDate]]&lt;=DATE(YEAR(vp.data[[#This Row],[SDate]]),9,15)),1,0)</f>
        <v>1</v>
      </c>
      <c r="AN303" s="4">
        <f>IF(vp.data[[#This Row],[SDate]]&lt;DATE(2016,12,1),0,1)</f>
        <v>0</v>
      </c>
      <c r="AO303" s="4">
        <f>IFERROR(vp.data[[#This Row],[Sulf]]*vp.data[[#This Row],[Net Dens]],"")</f>
        <v>2553740.3429999999</v>
      </c>
      <c r="AP303">
        <f>IFERROR(vp.data[[#This Row],[Dens]]*vp.data[[#This Row],[VolumeM3]],"")</f>
        <v>3040167.0749999997</v>
      </c>
      <c r="AQ303" s="15">
        <f>IFERROR(vp.data[[#This Row],[VP]]*vp.data[[#This Row],[VolumeM3]],"")</f>
        <v>306227.73809999996</v>
      </c>
    </row>
    <row r="304" spans="1:43" x14ac:dyDescent="0.25">
      <c r="A304">
        <v>303</v>
      </c>
      <c r="B304" t="s">
        <v>49</v>
      </c>
      <c r="C304" t="s">
        <v>49</v>
      </c>
      <c r="D304" t="s">
        <v>74</v>
      </c>
      <c r="F304" s="1">
        <v>42607</v>
      </c>
      <c r="G304" s="2">
        <v>90.4</v>
      </c>
      <c r="H304" s="2"/>
      <c r="I304" s="2">
        <f t="array" ref="I304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304" s="2"/>
      <c r="K304" s="2"/>
      <c r="L304" s="2">
        <v>807.3</v>
      </c>
      <c r="M304" s="2">
        <f t="array" ref="M304">_xlfn.IFNA(IF(vp.data[[#This Row],[Dens Input]]="",INDEX([1]DATA!$O$3:$O$9826,MATCH(1,(vp.data[[#This Row],[Battery]]=[1]DATA!$L$3:$L$9826)*(EOMONTH(vp.data[[#This Row],[SDate]],-1)+1=[1]DATA!$G$3:$G$9826),0)),vp.data[[#This Row],[Dens Input]]),"")</f>
        <v>807.3</v>
      </c>
      <c r="N304" s="2">
        <f ca="1">INDEX(INDIRECT(_xlfn.CONCAT("weather.tbl[",N$1,"]")),MATCH(vp.data[[#This Row],[SDate]],weather.tbl[Date],0))</f>
        <v>15.85</v>
      </c>
      <c r="O304" s="2">
        <f ca="1">INDEX(INDIRECT(_xlfn.CONCAT("weather.tbl[",O$1,"]")),MATCH(vp.data[[#This Row],[SDate]],weather.tbl[Date],0))</f>
        <v>17.214285714285715</v>
      </c>
      <c r="P304" s="2">
        <f ca="1">INDEX(INDIRECT(_xlfn.CONCAT("weather.tbl[",P$1,"]")),MATCH(vp.data[[#This Row],[SDate]],weather.tbl[Date],0))</f>
        <v>16.5</v>
      </c>
      <c r="Q304" s="2">
        <f ca="1">INDEX(INDIRECT(_xlfn.CONCAT("weather.tbl[",Q$1,"]")),MATCH(vp.data[[#This Row],[SDate]],weather.tbl[Date],0))</f>
        <v>15.4</v>
      </c>
      <c r="R304" s="2">
        <f ca="1">INDEX(INDIRECT(_xlfn.CONCAT("weather.tbl[",R$1,"]")),MATCH(vp.data[[#This Row],[SDate]],weather.tbl[Date],0))</f>
        <v>16.3</v>
      </c>
      <c r="S304" s="2">
        <f ca="1">INDEX(INDIRECT(_xlfn.CONCAT("weather.tbl[",S$1,"]")),MATCH(vp.data[[#This Row],[SDate]],weather.tbl[Date],0))</f>
        <v>16.3</v>
      </c>
      <c r="T304" s="2">
        <f ca="1">INDEX(INDIRECT(_xlfn.CONCAT("weather.tbl[",T$1,"]")),MATCH(vp.data[[#This Row],[SDate]],weather.tbl[Date],0))</f>
        <v>16.100000000000001</v>
      </c>
      <c r="U304" s="2">
        <f ca="1">INDEX(INDIRECT(_xlfn.CONCAT("weather.tbl[",U$1,"]")),MATCH(vp.data[[#This Row],[SDate]],weather.tbl[Date],0))</f>
        <v>14.5</v>
      </c>
      <c r="V304" s="2">
        <f t="array" ref="V3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40201.538</v>
      </c>
      <c r="W304" t="s">
        <v>48</v>
      </c>
      <c r="X304">
        <f>IF(OR(vp.data[[#This Row],[Sulf]]="",vp.data[[#This Row],[Dens]]=""),1,0)</f>
        <v>0</v>
      </c>
      <c r="Y304">
        <f>IF(vp.data[[#This Row],[CrudeType]]="C5+",1,0)</f>
        <v>0</v>
      </c>
      <c r="Z304">
        <f>IF(AND(vp.data[[#This Row],[CrudeType]]="Crude",vp.data[[#This Row],[Dens]]&lt;=825,vp.data[[#This Row],[Sulf]]&gt;0.5,vp.data[[#This Row],[Unknown]]=0),1,0)</f>
        <v>0</v>
      </c>
      <c r="AA304">
        <f>IF(AND(vp.data[[#This Row],[CrudeType]]="Crude",vp.data[[#This Row],[Dens]]&lt;=825,vp.data[[#This Row],[Sulf]]&lt;=0.5,vp.data[[#This Row],[Unknown]]=0),1,0)</f>
        <v>1</v>
      </c>
      <c r="AB3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4">
        <f>IF(AND(vp.data[[#This Row],[CrudeType]]="Crude",vp.data[[#This Row],[Dens]]&gt;825,vp.data[[#This Row],[Dens]]&lt;=900,vp.data[[#This Row],[Sulf]]&lt;=0.5,vp.data[[#This Row],[Unknown]]=0),1,0)</f>
        <v>0</v>
      </c>
      <c r="AD304">
        <f>IF(AND(vp.data[[#This Row],[CrudeType]]="Crude",vp.data[[#This Row],[Dens]]&gt;865,vp.data[[#This Row],[Dens]]&lt;=900,vp.data[[#This Row],[Sulf]]&gt;2,vp.data[[#This Row],[Unknown]]=0),1,0)</f>
        <v>0</v>
      </c>
      <c r="AE304">
        <f>IF(AND(vp.data[[#This Row],[CrudeType]]="Crude",vp.data[[#This Row],[Dens]]&gt;900,vp.data[[#This Row],[Sulf]]&lt;=0.5,vp.data[[#This Row],[Unknown]]=0),1,0)</f>
        <v>0</v>
      </c>
      <c r="AF304">
        <f>IF(AND(vp.data[[#This Row],[CrudeType]]="Crude",vp.data[[#This Row],[Dens]]&gt;900,vp.data[[#This Row],[Sulf]]&lt;=0.5,vp.data[[#This Row],[Unknown]]=0),1,0)</f>
        <v>0</v>
      </c>
      <c r="AG304" t="str">
        <f>INDEX(vp.data[[#Headers],[Unknown]:[Heavy_SW]],MATCH(1,vp.data[[#This Row],[Unknown]:[Heavy_SW]],0))</f>
        <v>Light_SW</v>
      </c>
      <c r="AH304">
        <f>INDEX([3]!crudeBD.lkup[Number],MATCH(vp.data[[#This Row],[Crude_Breakdown]],crudeBD.lkup[Crude Breakdown],0))</f>
        <v>2</v>
      </c>
      <c r="AI304">
        <f>MONTH(vp.data[[#This Row],[SDate]])</f>
        <v>8</v>
      </c>
      <c r="AJ304" s="5">
        <f>(vp.data[[#This Row],[VP]]-INDEX(crudeBD.lkup[Mean_VP],MATCH(vp.data[[#This Row],[Crude_Breakdown]],crudeBD.lkup[Crude Breakdown],0)))^2</f>
        <v>4.6238485303935644</v>
      </c>
      <c r="AK304" s="5">
        <f>(vp.data[[#This Row],[Dens]]-INDEX(crudeBD.lkup[Mean_Dens],MATCH(vp.data[[#This Row],[Crude_Breakdown]],crudeBD.lkup[Crude Breakdown],0)))^2</f>
        <v>1.0231287256124415</v>
      </c>
      <c r="AL304" s="5">
        <f>(vp.data[[#This Row],[Sulf]]-INDEX(crudeBD.lkup[Mean_Sulf],MATCH(vp.data[[#This Row],[Crude_Breakdown]],crudeBD.lkup[Crude Breakdown],0)))^2</f>
        <v>7.4376501105998362E-3</v>
      </c>
      <c r="AM304" s="4">
        <f>IF(AND(vp.data[[#This Row],[SDate]]&gt;=DATE(YEAR(vp.data[[#This Row],[SDate]]),5,1),vp.data[[#This Row],[SDate]]&lt;=DATE(YEAR(vp.data[[#This Row],[SDate]]),9,15)),1,0)</f>
        <v>1</v>
      </c>
      <c r="AN304" s="4">
        <f>IF(vp.data[[#This Row],[SDate]]&lt;DATE(2016,12,1),0,1)</f>
        <v>0</v>
      </c>
      <c r="AO304" s="4">
        <f>IFERROR(vp.data[[#This Row],[Sulf]]*vp.data[[#This Row],[Net Dens]],"")</f>
        <v>4868205.2441099994</v>
      </c>
      <c r="AP304">
        <f>IFERROR(vp.data[[#This Row],[Dens]]*vp.data[[#This Row],[VolumeM3]],"")</f>
        <v>32454701.6274</v>
      </c>
      <c r="AQ304" s="15">
        <f>IFERROR(vp.data[[#This Row],[VP]]*vp.data[[#This Row],[VolumeM3]],"")</f>
        <v>3634219.0352000003</v>
      </c>
    </row>
    <row r="305" spans="1:43" x14ac:dyDescent="0.25">
      <c r="A305">
        <v>304</v>
      </c>
      <c r="B305" t="s">
        <v>49</v>
      </c>
      <c r="C305" t="s">
        <v>49</v>
      </c>
      <c r="D305" t="s">
        <v>50</v>
      </c>
      <c r="F305" s="1">
        <v>42607</v>
      </c>
      <c r="G305" s="2">
        <v>39.4</v>
      </c>
      <c r="H305" s="2"/>
      <c r="I305" s="2">
        <f t="array" ref="I305">_xlfn.IFNA(IF(vp.data[[#This Row],[Sulf Input]]="",INDEX([1]DATA!$Q$3:$Q$9826,MATCH(1,(vp.data[[#This Row],[Battery]]=[1]DATA!$L$3:$L$9826)*(EOMONTH(vp.data[[#This Row],[SDate]],-1)+1=[1]DATA!$G$3:$G$9826),0)),vp.data[[#This Row],[Sulf Input]]),"")</f>
        <v>2.81</v>
      </c>
      <c r="J305" s="2"/>
      <c r="K305" s="2"/>
      <c r="L305" s="2">
        <v>867.4</v>
      </c>
      <c r="M305" s="2">
        <f t="array" ref="M305">_xlfn.IFNA(IF(vp.data[[#This Row],[Dens Input]]="",INDEX([1]DATA!$O$3:$O$9826,MATCH(1,(vp.data[[#This Row],[Battery]]=[1]DATA!$L$3:$L$9826)*(EOMONTH(vp.data[[#This Row],[SDate]],-1)+1=[1]DATA!$G$3:$G$9826),0)),vp.data[[#This Row],[Dens Input]]),"")</f>
        <v>867.4</v>
      </c>
      <c r="N305" s="2">
        <f ca="1">INDEX(INDIRECT(_xlfn.CONCAT("weather.tbl[",N$1,"]")),MATCH(vp.data[[#This Row],[SDate]],weather.tbl[Date],0))</f>
        <v>15.85</v>
      </c>
      <c r="O305" s="2">
        <f ca="1">INDEX(INDIRECT(_xlfn.CONCAT("weather.tbl[",O$1,"]")),MATCH(vp.data[[#This Row],[SDate]],weather.tbl[Date],0))</f>
        <v>17.214285714285715</v>
      </c>
      <c r="P305" s="2">
        <f ca="1">INDEX(INDIRECT(_xlfn.CONCAT("weather.tbl[",P$1,"]")),MATCH(vp.data[[#This Row],[SDate]],weather.tbl[Date],0))</f>
        <v>16.5</v>
      </c>
      <c r="Q305" s="2">
        <f ca="1">INDEX(INDIRECT(_xlfn.CONCAT("weather.tbl[",Q$1,"]")),MATCH(vp.data[[#This Row],[SDate]],weather.tbl[Date],0))</f>
        <v>15.4</v>
      </c>
      <c r="R305" s="2">
        <f ca="1">INDEX(INDIRECT(_xlfn.CONCAT("weather.tbl[",R$1,"]")),MATCH(vp.data[[#This Row],[SDate]],weather.tbl[Date],0))</f>
        <v>16.3</v>
      </c>
      <c r="S305" s="2">
        <f ca="1">INDEX(INDIRECT(_xlfn.CONCAT("weather.tbl[",S$1,"]")),MATCH(vp.data[[#This Row],[SDate]],weather.tbl[Date],0))</f>
        <v>16.3</v>
      </c>
      <c r="T305" s="2">
        <f ca="1">INDEX(INDIRECT(_xlfn.CONCAT("weather.tbl[",T$1,"]")),MATCH(vp.data[[#This Row],[SDate]],weather.tbl[Date],0))</f>
        <v>16.100000000000001</v>
      </c>
      <c r="U305" s="2">
        <f ca="1">INDEX(INDIRECT(_xlfn.CONCAT("weather.tbl[",U$1,"]")),MATCH(vp.data[[#This Row],[SDate]],weather.tbl[Date],0))</f>
        <v>14.5</v>
      </c>
      <c r="V305" s="2">
        <f t="array" ref="V3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5480.2830000000004</v>
      </c>
      <c r="W305" t="s">
        <v>48</v>
      </c>
      <c r="X305">
        <f>IF(OR(vp.data[[#This Row],[Sulf]]="",vp.data[[#This Row],[Dens]]=""),1,0)</f>
        <v>0</v>
      </c>
      <c r="Y305">
        <f>IF(vp.data[[#This Row],[CrudeType]]="C5+",1,0)</f>
        <v>0</v>
      </c>
      <c r="Z305">
        <f>IF(AND(vp.data[[#This Row],[CrudeType]]="Crude",vp.data[[#This Row],[Dens]]&lt;=825,vp.data[[#This Row],[Sulf]]&gt;0.5,vp.data[[#This Row],[Unknown]]=0),1,0)</f>
        <v>0</v>
      </c>
      <c r="AA305">
        <f>IF(AND(vp.data[[#This Row],[CrudeType]]="Crude",vp.data[[#This Row],[Dens]]&lt;=825,vp.data[[#This Row],[Sulf]]&lt;=0.5,vp.data[[#This Row],[Unknown]]=0),1,0)</f>
        <v>0</v>
      </c>
      <c r="AB3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5">
        <f>IF(AND(vp.data[[#This Row],[CrudeType]]="Crude",vp.data[[#This Row],[Dens]]&gt;825,vp.data[[#This Row],[Dens]]&lt;=900,vp.data[[#This Row],[Sulf]]&lt;=0.5,vp.data[[#This Row],[Unknown]]=0),1,0)</f>
        <v>0</v>
      </c>
      <c r="AD305">
        <f>IF(AND(vp.data[[#This Row],[CrudeType]]="Crude",vp.data[[#This Row],[Dens]]&gt;865,vp.data[[#This Row],[Dens]]&lt;=900,vp.data[[#This Row],[Sulf]]&gt;2,vp.data[[#This Row],[Unknown]]=0),1,0)</f>
        <v>1</v>
      </c>
      <c r="AE305">
        <f>IF(AND(vp.data[[#This Row],[CrudeType]]="Crude",vp.data[[#This Row],[Dens]]&gt;900,vp.data[[#This Row],[Sulf]]&lt;=0.5,vp.data[[#This Row],[Unknown]]=0),1,0)</f>
        <v>0</v>
      </c>
      <c r="AF305">
        <f>IF(AND(vp.data[[#This Row],[CrudeType]]="Crude",vp.data[[#This Row],[Dens]]&gt;900,vp.data[[#This Row],[Sulf]]&lt;=0.5,vp.data[[#This Row],[Unknown]]=0),1,0)</f>
        <v>0</v>
      </c>
      <c r="AG305" t="str">
        <f>INDEX(vp.data[[#Headers],[Unknown]:[Heavy_SW]],MATCH(1,vp.data[[#This Row],[Unknown]:[Heavy_SW]],0))</f>
        <v>Midale</v>
      </c>
      <c r="AH305">
        <f>INDEX([3]!crudeBD.lkup[Number],MATCH(vp.data[[#This Row],[Crude_Breakdown]],crudeBD.lkup[Crude Breakdown],0))</f>
        <v>5</v>
      </c>
      <c r="AI305">
        <f>MONTH(vp.data[[#This Row],[SDate]])</f>
        <v>8</v>
      </c>
      <c r="AJ305" s="5">
        <f>(vp.data[[#This Row],[VP]]-INDEX(crudeBD.lkup[Mean_VP],MATCH(vp.data[[#This Row],[Crude_Breakdown]],crudeBD.lkup[Crude Breakdown],0)))^2</f>
        <v>900.52584998405973</v>
      </c>
      <c r="AK305" s="5">
        <f>(vp.data[[#This Row],[Dens]]-INDEX(crudeBD.lkup[Mean_Dens],MATCH(vp.data[[#This Row],[Crude_Breakdown]],crudeBD.lkup[Crude Breakdown],0)))^2</f>
        <v>55.012041927946228</v>
      </c>
      <c r="AL305" s="5">
        <f>(vp.data[[#This Row],[Sulf]]-INDEX(crudeBD.lkup[Mean_Sulf],MATCH(vp.data[[#This Row],[Crude_Breakdown]],crudeBD.lkup[Crude Breakdown],0)))^2</f>
        <v>0.13423755273717822</v>
      </c>
      <c r="AM305" s="4">
        <f>IF(AND(vp.data[[#This Row],[SDate]]&gt;=DATE(YEAR(vp.data[[#This Row],[SDate]]),5,1),vp.data[[#This Row],[SDate]]&lt;=DATE(YEAR(vp.data[[#This Row],[SDate]]),9,15)),1,0)</f>
        <v>1</v>
      </c>
      <c r="AN305" s="4">
        <f>IF(vp.data[[#This Row],[SDate]]&lt;DATE(2016,12,1),0,1)</f>
        <v>0</v>
      </c>
      <c r="AO305" s="4">
        <f>IFERROR(vp.data[[#This Row],[Sulf]]*vp.data[[#This Row],[Net Dens]],"")</f>
        <v>13357608.902502</v>
      </c>
      <c r="AP305">
        <f>IFERROR(vp.data[[#This Row],[Dens]]*vp.data[[#This Row],[VolumeM3]],"")</f>
        <v>4753597.4742000001</v>
      </c>
      <c r="AQ305" s="15">
        <f>IFERROR(vp.data[[#This Row],[VP]]*vp.data[[#This Row],[VolumeM3]],"")</f>
        <v>215923.1502</v>
      </c>
    </row>
    <row r="306" spans="1:43" x14ac:dyDescent="0.25">
      <c r="A306">
        <v>305</v>
      </c>
      <c r="B306" t="s">
        <v>46</v>
      </c>
      <c r="C306" t="s">
        <v>46</v>
      </c>
      <c r="D306" t="s">
        <v>47</v>
      </c>
      <c r="F306" s="1">
        <v>42607</v>
      </c>
      <c r="G306" s="2">
        <v>67.099999999999994</v>
      </c>
      <c r="H306" s="2"/>
      <c r="I306" s="2">
        <f t="array" ref="I306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306" s="2"/>
      <c r="K306" s="2"/>
      <c r="L306" s="2">
        <v>870.4</v>
      </c>
      <c r="M306" s="2">
        <f t="array" ref="M306">_xlfn.IFNA(IF(vp.data[[#This Row],[Dens Input]]="",INDEX([1]DATA!$O$3:$O$9826,MATCH(1,(vp.data[[#This Row],[Battery]]=[1]DATA!$L$3:$L$9826)*(EOMONTH(vp.data[[#This Row],[SDate]],-1)+1=[1]DATA!$G$3:$G$9826),0)),vp.data[[#This Row],[Dens Input]]),"")</f>
        <v>870.4</v>
      </c>
      <c r="N306" s="2">
        <f ca="1">INDEX(INDIRECT(_xlfn.CONCAT("weather.tbl[",N$1,"]")),MATCH(vp.data[[#This Row],[SDate]],weather.tbl[Date],0))</f>
        <v>15.85</v>
      </c>
      <c r="O306" s="2">
        <f ca="1">INDEX(INDIRECT(_xlfn.CONCAT("weather.tbl[",O$1,"]")),MATCH(vp.data[[#This Row],[SDate]],weather.tbl[Date],0))</f>
        <v>17.214285714285715</v>
      </c>
      <c r="P306" s="2">
        <f ca="1">INDEX(INDIRECT(_xlfn.CONCAT("weather.tbl[",P$1,"]")),MATCH(vp.data[[#This Row],[SDate]],weather.tbl[Date],0))</f>
        <v>16.5</v>
      </c>
      <c r="Q306" s="2">
        <f ca="1">INDEX(INDIRECT(_xlfn.CONCAT("weather.tbl[",Q$1,"]")),MATCH(vp.data[[#This Row],[SDate]],weather.tbl[Date],0))</f>
        <v>15.4</v>
      </c>
      <c r="R306" s="2">
        <f ca="1">INDEX(INDIRECT(_xlfn.CONCAT("weather.tbl[",R$1,"]")),MATCH(vp.data[[#This Row],[SDate]],weather.tbl[Date],0))</f>
        <v>16.3</v>
      </c>
      <c r="S306" s="2">
        <f ca="1">INDEX(INDIRECT(_xlfn.CONCAT("weather.tbl[",S$1,"]")),MATCH(vp.data[[#This Row],[SDate]],weather.tbl[Date],0))</f>
        <v>16.3</v>
      </c>
      <c r="T306" s="2">
        <f ca="1">INDEX(INDIRECT(_xlfn.CONCAT("weather.tbl[",T$1,"]")),MATCH(vp.data[[#This Row],[SDate]],weather.tbl[Date],0))</f>
        <v>16.100000000000001</v>
      </c>
      <c r="U306" s="2">
        <f ca="1">INDEX(INDIRECT(_xlfn.CONCAT("weather.tbl[",U$1,"]")),MATCH(vp.data[[#This Row],[SDate]],weather.tbl[Date],0))</f>
        <v>14.5</v>
      </c>
      <c r="V306" s="2">
        <f t="array" ref="V3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117553.995</v>
      </c>
      <c r="W306" t="s">
        <v>48</v>
      </c>
      <c r="X306">
        <f>IF(OR(vp.data[[#This Row],[Sulf]]="",vp.data[[#This Row],[Dens]]=""),1,0)</f>
        <v>0</v>
      </c>
      <c r="Y306">
        <f>IF(vp.data[[#This Row],[CrudeType]]="C5+",1,0)</f>
        <v>0</v>
      </c>
      <c r="Z306">
        <f>IF(AND(vp.data[[#This Row],[CrudeType]]="Crude",vp.data[[#This Row],[Dens]]&lt;=825,vp.data[[#This Row],[Sulf]]&gt;0.5,vp.data[[#This Row],[Unknown]]=0),1,0)</f>
        <v>0</v>
      </c>
      <c r="AA306">
        <f>IF(AND(vp.data[[#This Row],[CrudeType]]="Crude",vp.data[[#This Row],[Dens]]&lt;=825,vp.data[[#This Row],[Sulf]]&lt;=0.5,vp.data[[#This Row],[Unknown]]=0),1,0)</f>
        <v>0</v>
      </c>
      <c r="AB3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6">
        <f>IF(AND(vp.data[[#This Row],[CrudeType]]="Crude",vp.data[[#This Row],[Dens]]&gt;825,vp.data[[#This Row],[Dens]]&lt;=900,vp.data[[#This Row],[Sulf]]&lt;=0.5,vp.data[[#This Row],[Unknown]]=0),1,0)</f>
        <v>0</v>
      </c>
      <c r="AD306">
        <f>IF(AND(vp.data[[#This Row],[CrudeType]]="Crude",vp.data[[#This Row],[Dens]]&gt;865,vp.data[[#This Row],[Dens]]&lt;=900,vp.data[[#This Row],[Sulf]]&gt;2,vp.data[[#This Row],[Unknown]]=0),1,0)</f>
        <v>1</v>
      </c>
      <c r="AE306">
        <f>IF(AND(vp.data[[#This Row],[CrudeType]]="Crude",vp.data[[#This Row],[Dens]]&gt;900,vp.data[[#This Row],[Sulf]]&lt;=0.5,vp.data[[#This Row],[Unknown]]=0),1,0)</f>
        <v>0</v>
      </c>
      <c r="AF306">
        <f>IF(AND(vp.data[[#This Row],[CrudeType]]="Crude",vp.data[[#This Row],[Dens]]&gt;900,vp.data[[#This Row],[Sulf]]&lt;=0.5,vp.data[[#This Row],[Unknown]]=0),1,0)</f>
        <v>0</v>
      </c>
      <c r="AG306" t="str">
        <f>INDEX(vp.data[[#Headers],[Unknown]:[Heavy_SW]],MATCH(1,vp.data[[#This Row],[Unknown]:[Heavy_SW]],0))</f>
        <v>Midale</v>
      </c>
      <c r="AH306">
        <f>INDEX([3]!crudeBD.lkup[Number],MATCH(vp.data[[#This Row],[Crude_Breakdown]],crudeBD.lkup[Crude Breakdown],0))</f>
        <v>5</v>
      </c>
      <c r="AI306">
        <f>MONTH(vp.data[[#This Row],[SDate]])</f>
        <v>8</v>
      </c>
      <c r="AJ306" s="5">
        <f>(vp.data[[#This Row],[VP]]-INDEX(crudeBD.lkup[Mean_VP],MATCH(vp.data[[#This Row],[Crude_Breakdown]],crudeBD.lkup[Crude Breakdown],0)))^2</f>
        <v>5.3303860665322151</v>
      </c>
      <c r="AK306" s="5">
        <f>(vp.data[[#This Row],[Dens]]-INDEX(crudeBD.lkup[Mean_Dens],MATCH(vp.data[[#This Row],[Crude_Breakdown]],crudeBD.lkup[Crude Breakdown],0)))^2</f>
        <v>19.509980072274143</v>
      </c>
      <c r="AL306" s="5">
        <f>(vp.data[[#This Row],[Sulf]]-INDEX(crudeBD.lkup[Mean_Sulf],MATCH(vp.data[[#This Row],[Crude_Breakdown]],crudeBD.lkup[Crude Breakdown],0)))^2</f>
        <v>1.785311974748607E-2</v>
      </c>
      <c r="AM306" s="4">
        <f>IF(AND(vp.data[[#This Row],[SDate]]&gt;=DATE(YEAR(vp.data[[#This Row],[SDate]]),5,1),vp.data[[#This Row],[SDate]]&lt;=DATE(YEAR(vp.data[[#This Row],[SDate]]),9,15)),1,0)</f>
        <v>1</v>
      </c>
      <c r="AN306" s="4">
        <f>IF(vp.data[[#This Row],[SDate]]&lt;DATE(2016,12,1),0,1)</f>
        <v>0</v>
      </c>
      <c r="AO306" s="4">
        <f>IFERROR(vp.data[[#This Row],[Sulf]]*vp.data[[#This Row],[Net Dens]],"")</f>
        <v>236356883.64287999</v>
      </c>
      <c r="AP306">
        <f>IFERROR(vp.data[[#This Row],[Dens]]*vp.data[[#This Row],[VolumeM3]],"")</f>
        <v>102318997.248</v>
      </c>
      <c r="AQ306" s="15">
        <f>IFERROR(vp.data[[#This Row],[VP]]*vp.data[[#This Row],[VolumeM3]],"")</f>
        <v>7887873.0644999994</v>
      </c>
    </row>
    <row r="307" spans="1:43" x14ac:dyDescent="0.25">
      <c r="A307">
        <v>306</v>
      </c>
      <c r="B307" t="s">
        <v>51</v>
      </c>
      <c r="C307" t="s">
        <v>51</v>
      </c>
      <c r="D307" t="s">
        <v>52</v>
      </c>
      <c r="F307" s="1">
        <v>42607</v>
      </c>
      <c r="G307" s="2">
        <v>51.4</v>
      </c>
      <c r="H307" s="2"/>
      <c r="I307" s="2">
        <f t="array" ref="I307">_xlfn.IFNA(IF(vp.data[[#This Row],[Sulf Input]]="",INDEX([1]DATA!$Q$3:$Q$9826,MATCH(1,(vp.data[[#This Row],[Battery]]=[1]DATA!$L$3:$L$9826)*(EOMONTH(vp.data[[#This Row],[SDate]],-1)+1=[1]DATA!$G$3:$G$9826),0)),vp.data[[#This Row],[Sulf Input]]),"")</f>
        <v>2.27</v>
      </c>
      <c r="J307" s="2"/>
      <c r="K307" s="2"/>
      <c r="L307" s="2">
        <v>874</v>
      </c>
      <c r="M307" s="2">
        <f t="array" ref="M307">_xlfn.IFNA(IF(vp.data[[#This Row],[Dens Input]]="",INDEX([1]DATA!$O$3:$O$9826,MATCH(1,(vp.data[[#This Row],[Battery]]=[1]DATA!$L$3:$L$9826)*(EOMONTH(vp.data[[#This Row],[SDate]],-1)+1=[1]DATA!$G$3:$G$9826),0)),vp.data[[#This Row],[Dens Input]]),"")</f>
        <v>874</v>
      </c>
      <c r="N307" s="2">
        <f ca="1">INDEX(INDIRECT(_xlfn.CONCAT("weather.tbl[",N$1,"]")),MATCH(vp.data[[#This Row],[SDate]],weather.tbl[Date],0))</f>
        <v>15.85</v>
      </c>
      <c r="O307" s="2">
        <f ca="1">INDEX(INDIRECT(_xlfn.CONCAT("weather.tbl[",O$1,"]")),MATCH(vp.data[[#This Row],[SDate]],weather.tbl[Date],0))</f>
        <v>17.214285714285715</v>
      </c>
      <c r="P307" s="2">
        <f ca="1">INDEX(INDIRECT(_xlfn.CONCAT("weather.tbl[",P$1,"]")),MATCH(vp.data[[#This Row],[SDate]],weather.tbl[Date],0))</f>
        <v>16.5</v>
      </c>
      <c r="Q307" s="2">
        <f ca="1">INDEX(INDIRECT(_xlfn.CONCAT("weather.tbl[",Q$1,"]")),MATCH(vp.data[[#This Row],[SDate]],weather.tbl[Date],0))</f>
        <v>15.4</v>
      </c>
      <c r="R307" s="2">
        <f ca="1">INDEX(INDIRECT(_xlfn.CONCAT("weather.tbl[",R$1,"]")),MATCH(vp.data[[#This Row],[SDate]],weather.tbl[Date],0))</f>
        <v>16.3</v>
      </c>
      <c r="S307" s="2">
        <f ca="1">INDEX(INDIRECT(_xlfn.CONCAT("weather.tbl[",S$1,"]")),MATCH(vp.data[[#This Row],[SDate]],weather.tbl[Date],0))</f>
        <v>16.3</v>
      </c>
      <c r="T307" s="2">
        <f ca="1">INDEX(INDIRECT(_xlfn.CONCAT("weather.tbl[",T$1,"]")),MATCH(vp.data[[#This Row],[SDate]],weather.tbl[Date],0))</f>
        <v>16.100000000000001</v>
      </c>
      <c r="U307" s="2">
        <f ca="1">INDEX(INDIRECT(_xlfn.CONCAT("weather.tbl[",U$1,"]")),MATCH(vp.data[[#This Row],[SDate]],weather.tbl[Date],0))</f>
        <v>14.5</v>
      </c>
      <c r="V307" s="2">
        <f t="array" ref="V3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7714.7539999999999</v>
      </c>
      <c r="W307" t="s">
        <v>48</v>
      </c>
      <c r="X307">
        <f>IF(OR(vp.data[[#This Row],[Sulf]]="",vp.data[[#This Row],[Dens]]=""),1,0)</f>
        <v>0</v>
      </c>
      <c r="Y307">
        <f>IF(vp.data[[#This Row],[CrudeType]]="C5+",1,0)</f>
        <v>0</v>
      </c>
      <c r="Z307">
        <f>IF(AND(vp.data[[#This Row],[CrudeType]]="Crude",vp.data[[#This Row],[Dens]]&lt;=825,vp.data[[#This Row],[Sulf]]&gt;0.5,vp.data[[#This Row],[Unknown]]=0),1,0)</f>
        <v>0</v>
      </c>
      <c r="AA307">
        <f>IF(AND(vp.data[[#This Row],[CrudeType]]="Crude",vp.data[[#This Row],[Dens]]&lt;=825,vp.data[[#This Row],[Sulf]]&lt;=0.5,vp.data[[#This Row],[Unknown]]=0),1,0)</f>
        <v>0</v>
      </c>
      <c r="AB3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7">
        <f>IF(AND(vp.data[[#This Row],[CrudeType]]="Crude",vp.data[[#This Row],[Dens]]&gt;825,vp.data[[#This Row],[Dens]]&lt;=900,vp.data[[#This Row],[Sulf]]&lt;=0.5,vp.data[[#This Row],[Unknown]]=0),1,0)</f>
        <v>0</v>
      </c>
      <c r="AD307">
        <f>IF(AND(vp.data[[#This Row],[CrudeType]]="Crude",vp.data[[#This Row],[Dens]]&gt;865,vp.data[[#This Row],[Dens]]&lt;=900,vp.data[[#This Row],[Sulf]]&gt;2,vp.data[[#This Row],[Unknown]]=0),1,0)</f>
        <v>1</v>
      </c>
      <c r="AE307">
        <f>IF(AND(vp.data[[#This Row],[CrudeType]]="Crude",vp.data[[#This Row],[Dens]]&gt;900,vp.data[[#This Row],[Sulf]]&lt;=0.5,vp.data[[#This Row],[Unknown]]=0),1,0)</f>
        <v>0</v>
      </c>
      <c r="AF307">
        <f>IF(AND(vp.data[[#This Row],[CrudeType]]="Crude",vp.data[[#This Row],[Dens]]&gt;900,vp.data[[#This Row],[Sulf]]&lt;=0.5,vp.data[[#This Row],[Unknown]]=0),1,0)</f>
        <v>0</v>
      </c>
      <c r="AG307" t="str">
        <f>INDEX(vp.data[[#Headers],[Unknown]:[Heavy_SW]],MATCH(1,vp.data[[#This Row],[Unknown]:[Heavy_SW]],0))</f>
        <v>Midale</v>
      </c>
      <c r="AH307">
        <f>INDEX([3]!crudeBD.lkup[Number],MATCH(vp.data[[#This Row],[Crude_Breakdown]],crudeBD.lkup[Crude Breakdown],0))</f>
        <v>5</v>
      </c>
      <c r="AI307">
        <f>MONTH(vp.data[[#This Row],[SDate]])</f>
        <v>8</v>
      </c>
      <c r="AJ307" s="5">
        <f>(vp.data[[#This Row],[VP]]-INDEX(crudeBD.lkup[Mean_VP],MATCH(vp.data[[#This Row],[Crude_Breakdown]],crudeBD.lkup[Crude Breakdown],0)))^2</f>
        <v>324.31554070570849</v>
      </c>
      <c r="AK307" s="5">
        <f>(vp.data[[#This Row],[Dens]]-INDEX(crudeBD.lkup[Mean_Dens],MATCH(vp.data[[#This Row],[Crude_Breakdown]],crudeBD.lkup[Crude Breakdown],0)))^2</f>
        <v>0.66750584546760772</v>
      </c>
      <c r="AL307" s="5">
        <f>(vp.data[[#This Row],[Sulf]]-INDEX(crudeBD.lkup[Mean_Sulf],MATCH(vp.data[[#This Row],[Crude_Breakdown]],crudeBD.lkup[Crude Breakdown],0)))^2</f>
        <v>3.0142365108310708E-2</v>
      </c>
      <c r="AM307" s="4">
        <f>IF(AND(vp.data[[#This Row],[SDate]]&gt;=DATE(YEAR(vp.data[[#This Row],[SDate]]),5,1),vp.data[[#This Row],[SDate]]&lt;=DATE(YEAR(vp.data[[#This Row],[SDate]]),9,15)),1,0)</f>
        <v>1</v>
      </c>
      <c r="AN307" s="4">
        <f>IF(vp.data[[#This Row],[SDate]]&lt;DATE(2016,12,1),0,1)</f>
        <v>0</v>
      </c>
      <c r="AO307" s="4">
        <f>IFERROR(vp.data[[#This Row],[Sulf]]*vp.data[[#This Row],[Net Dens]],"")</f>
        <v>15305917.64092</v>
      </c>
      <c r="AP307">
        <f>IFERROR(vp.data[[#This Row],[Dens]]*vp.data[[#This Row],[VolumeM3]],"")</f>
        <v>6742694.9960000003</v>
      </c>
      <c r="AQ307" s="15">
        <f>IFERROR(vp.data[[#This Row],[VP]]*vp.data[[#This Row],[VolumeM3]],"")</f>
        <v>396538.35560000001</v>
      </c>
    </row>
    <row r="308" spans="1:43" x14ac:dyDescent="0.25">
      <c r="A308">
        <v>307</v>
      </c>
      <c r="B308" t="s">
        <v>49</v>
      </c>
      <c r="C308" t="s">
        <v>49</v>
      </c>
      <c r="D308" t="s">
        <v>86</v>
      </c>
      <c r="F308" s="1">
        <v>42607</v>
      </c>
      <c r="G308" s="2">
        <v>54.8</v>
      </c>
      <c r="H308" s="2"/>
      <c r="I308" s="2">
        <f t="array" ref="I308">_xlfn.IFNA(IF(vp.data[[#This Row],[Sulf Input]]="",INDEX([1]DATA!$Q$3:$Q$9826,MATCH(1,(vp.data[[#This Row],[Battery]]=[1]DATA!$L$3:$L$9826)*(EOMONTH(vp.data[[#This Row],[SDate]],-1)+1=[1]DATA!$G$3:$G$9826),0)),vp.data[[#This Row],[Sulf Input]]),"")</f>
        <v>2.99</v>
      </c>
      <c r="J308" s="2"/>
      <c r="K308" s="2"/>
      <c r="L308" s="2">
        <v>892.1</v>
      </c>
      <c r="M308" s="2">
        <f t="array" ref="M308">_xlfn.IFNA(IF(vp.data[[#This Row],[Dens Input]]="",INDEX([1]DATA!$O$3:$O$9826,MATCH(1,(vp.data[[#This Row],[Battery]]=[1]DATA!$L$3:$L$9826)*(EOMONTH(vp.data[[#This Row],[SDate]],-1)+1=[1]DATA!$G$3:$G$9826),0)),vp.data[[#This Row],[Dens Input]]),"")</f>
        <v>892.1</v>
      </c>
      <c r="N308" s="2">
        <f ca="1">INDEX(INDIRECT(_xlfn.CONCAT("weather.tbl[",N$1,"]")),MATCH(vp.data[[#This Row],[SDate]],weather.tbl[Date],0))</f>
        <v>15.85</v>
      </c>
      <c r="O308" s="2">
        <f ca="1">INDEX(INDIRECT(_xlfn.CONCAT("weather.tbl[",O$1,"]")),MATCH(vp.data[[#This Row],[SDate]],weather.tbl[Date],0))</f>
        <v>17.214285714285715</v>
      </c>
      <c r="P308" s="2">
        <f ca="1">INDEX(INDIRECT(_xlfn.CONCAT("weather.tbl[",P$1,"]")),MATCH(vp.data[[#This Row],[SDate]],weather.tbl[Date],0))</f>
        <v>16.5</v>
      </c>
      <c r="Q308" s="2">
        <f ca="1">INDEX(INDIRECT(_xlfn.CONCAT("weather.tbl[",Q$1,"]")),MATCH(vp.data[[#This Row],[SDate]],weather.tbl[Date],0))</f>
        <v>15.4</v>
      </c>
      <c r="R308" s="2">
        <f ca="1">INDEX(INDIRECT(_xlfn.CONCAT("weather.tbl[",R$1,"]")),MATCH(vp.data[[#This Row],[SDate]],weather.tbl[Date],0))</f>
        <v>16.3</v>
      </c>
      <c r="S308" s="2">
        <f ca="1">INDEX(INDIRECT(_xlfn.CONCAT("weather.tbl[",S$1,"]")),MATCH(vp.data[[#This Row],[SDate]],weather.tbl[Date],0))</f>
        <v>16.3</v>
      </c>
      <c r="T308" s="2">
        <f ca="1">INDEX(INDIRECT(_xlfn.CONCAT("weather.tbl[",T$1,"]")),MATCH(vp.data[[#This Row],[SDate]],weather.tbl[Date],0))</f>
        <v>16.100000000000001</v>
      </c>
      <c r="U308" s="2">
        <f ca="1">INDEX(INDIRECT(_xlfn.CONCAT("weather.tbl[",U$1,"]")),MATCH(vp.data[[#This Row],[SDate]],weather.tbl[Date],0))</f>
        <v>14.5</v>
      </c>
      <c r="V308" s="2">
        <f t="array" ref="V3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4428.3149999999996</v>
      </c>
      <c r="W308" t="s">
        <v>48</v>
      </c>
      <c r="X308">
        <f>IF(OR(vp.data[[#This Row],[Sulf]]="",vp.data[[#This Row],[Dens]]=""),1,0)</f>
        <v>0</v>
      </c>
      <c r="Y308">
        <f>IF(vp.data[[#This Row],[CrudeType]]="C5+",1,0)</f>
        <v>0</v>
      </c>
      <c r="Z308">
        <f>IF(AND(vp.data[[#This Row],[CrudeType]]="Crude",vp.data[[#This Row],[Dens]]&lt;=825,vp.data[[#This Row],[Sulf]]&gt;0.5,vp.data[[#This Row],[Unknown]]=0),1,0)</f>
        <v>0</v>
      </c>
      <c r="AA308">
        <f>IF(AND(vp.data[[#This Row],[CrudeType]]="Crude",vp.data[[#This Row],[Dens]]&lt;=825,vp.data[[#This Row],[Sulf]]&lt;=0.5,vp.data[[#This Row],[Unknown]]=0),1,0)</f>
        <v>0</v>
      </c>
      <c r="AB3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8">
        <f>IF(AND(vp.data[[#This Row],[CrudeType]]="Crude",vp.data[[#This Row],[Dens]]&gt;825,vp.data[[#This Row],[Dens]]&lt;=900,vp.data[[#This Row],[Sulf]]&lt;=0.5,vp.data[[#This Row],[Unknown]]=0),1,0)</f>
        <v>0</v>
      </c>
      <c r="AD308">
        <f>IF(AND(vp.data[[#This Row],[CrudeType]]="Crude",vp.data[[#This Row],[Dens]]&gt;865,vp.data[[#This Row],[Dens]]&lt;=900,vp.data[[#This Row],[Sulf]]&gt;2,vp.data[[#This Row],[Unknown]]=0),1,0)</f>
        <v>1</v>
      </c>
      <c r="AE308">
        <f>IF(AND(vp.data[[#This Row],[CrudeType]]="Crude",vp.data[[#This Row],[Dens]]&gt;900,vp.data[[#This Row],[Sulf]]&lt;=0.5,vp.data[[#This Row],[Unknown]]=0),1,0)</f>
        <v>0</v>
      </c>
      <c r="AF308">
        <f>IF(AND(vp.data[[#This Row],[CrudeType]]="Crude",vp.data[[#This Row],[Dens]]&gt;900,vp.data[[#This Row],[Sulf]]&lt;=0.5,vp.data[[#This Row],[Unknown]]=0),1,0)</f>
        <v>0</v>
      </c>
      <c r="AG308" t="str">
        <f>INDEX(vp.data[[#Headers],[Unknown]:[Heavy_SW]],MATCH(1,vp.data[[#This Row],[Unknown]:[Heavy_SW]],0))</f>
        <v>Midale</v>
      </c>
      <c r="AH308">
        <f>INDEX([3]!crudeBD.lkup[Number],MATCH(vp.data[[#This Row],[Crude_Breakdown]],crudeBD.lkup[Crude Breakdown],0))</f>
        <v>5</v>
      </c>
      <c r="AI308">
        <f>MONTH(vp.data[[#This Row],[SDate]])</f>
        <v>8</v>
      </c>
      <c r="AJ308" s="5">
        <f>(vp.data[[#This Row],[VP]]-INDEX(crudeBD.lkup[Mean_VP],MATCH(vp.data[[#This Row],[Crude_Breakdown]],crudeBD.lkup[Crude Breakdown],0)))^2</f>
        <v>213.41595307684233</v>
      </c>
      <c r="AK308" s="5">
        <f>(vp.data[[#This Row],[Dens]]-INDEX(crudeBD.lkup[Mean_Dens],MATCH(vp.data[[#This Row],[Crude_Breakdown]],crudeBD.lkup[Crude Breakdown],0)))^2</f>
        <v>298.701732649581</v>
      </c>
      <c r="AL308" s="5">
        <f>(vp.data[[#This Row],[Sulf]]-INDEX(crudeBD.lkup[Mean_Sulf],MATCH(vp.data[[#This Row],[Crude_Breakdown]],crudeBD.lkup[Crude Breakdown],0)))^2</f>
        <v>0.29853594861346755</v>
      </c>
      <c r="AM308" s="4">
        <f>IF(AND(vp.data[[#This Row],[SDate]]&gt;=DATE(YEAR(vp.data[[#This Row],[SDate]]),5,1),vp.data[[#This Row],[SDate]]&lt;=DATE(YEAR(vp.data[[#This Row],[SDate]]),9,15)),1,0)</f>
        <v>1</v>
      </c>
      <c r="AN308" s="4">
        <f>IF(vp.data[[#This Row],[SDate]]&lt;DATE(2016,12,1),0,1)</f>
        <v>0</v>
      </c>
      <c r="AO308" s="4">
        <f>IFERROR(vp.data[[#This Row],[Sulf]]*vp.data[[#This Row],[Net Dens]],"")</f>
        <v>11811994.436385</v>
      </c>
      <c r="AP308">
        <f>IFERROR(vp.data[[#This Row],[Dens]]*vp.data[[#This Row],[VolumeM3]],"")</f>
        <v>3950499.8114999998</v>
      </c>
      <c r="AQ308" s="15">
        <f>IFERROR(vp.data[[#This Row],[VP]]*vp.data[[#This Row],[VolumeM3]],"")</f>
        <v>242671.66199999995</v>
      </c>
    </row>
    <row r="309" spans="1:43" x14ac:dyDescent="0.25">
      <c r="A309">
        <v>308</v>
      </c>
      <c r="B309" t="s">
        <v>46</v>
      </c>
      <c r="C309" t="s">
        <v>46</v>
      </c>
      <c r="D309" t="s">
        <v>47</v>
      </c>
      <c r="F309" s="1">
        <v>42609</v>
      </c>
      <c r="G309" s="2">
        <v>50</v>
      </c>
      <c r="H309" s="2"/>
      <c r="I309" s="2">
        <f t="array" ref="I309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309" s="2"/>
      <c r="K309" s="2"/>
      <c r="L309" s="2"/>
      <c r="M309" s="2">
        <f t="array" ref="M309">_xlfn.IFNA(IF(vp.data[[#This Row],[Dens Input]]="",INDEX([1]DATA!$O$3:$O$9826,MATCH(1,(vp.data[[#This Row],[Battery]]=[1]DATA!$L$3:$L$9826)*(EOMONTH(vp.data[[#This Row],[SDate]],-1)+1=[1]DATA!$G$3:$G$9826),0)),vp.data[[#This Row],[Dens Input]]),"")</f>
        <v>869.6</v>
      </c>
      <c r="N309" s="2">
        <f ca="1">INDEX(INDIRECT(_xlfn.CONCAT("weather.tbl[",N$1,"]")),MATCH(vp.data[[#This Row],[SDate]],weather.tbl[Date],0))</f>
        <v>15.949999999999998</v>
      </c>
      <c r="O309" s="2">
        <f ca="1">INDEX(INDIRECT(_xlfn.CONCAT("weather.tbl[",O$1,"]")),MATCH(vp.data[[#This Row],[SDate]],weather.tbl[Date],0))</f>
        <v>17.688095238095237</v>
      </c>
      <c r="P309" s="2">
        <f ca="1">INDEX(INDIRECT(_xlfn.CONCAT("weather.tbl[",P$1,"]")),MATCH(vp.data[[#This Row],[SDate]],weather.tbl[Date],0))</f>
        <v>15.5</v>
      </c>
      <c r="Q309" s="2">
        <f ca="1">INDEX(INDIRECT(_xlfn.CONCAT("weather.tbl[",Q$1,"]")),MATCH(vp.data[[#This Row],[SDate]],weather.tbl[Date],0))</f>
        <v>15.6</v>
      </c>
      <c r="R309" s="2">
        <f ca="1">INDEX(INDIRECT(_xlfn.CONCAT("weather.tbl[",R$1,"]")),MATCH(vp.data[[#This Row],[SDate]],weather.tbl[Date],0))</f>
        <v>15.5</v>
      </c>
      <c r="S309" s="2">
        <f ca="1">INDEX(INDIRECT(_xlfn.CONCAT("weather.tbl[",S$1,"]")),MATCH(vp.data[[#This Row],[SDate]],weather.tbl[Date],0))</f>
        <v>17.5</v>
      </c>
      <c r="T309" s="2">
        <f ca="1">INDEX(INDIRECT(_xlfn.CONCAT("weather.tbl[",T$1,"]")),MATCH(vp.data[[#This Row],[SDate]],weather.tbl[Date],0))</f>
        <v>16.8</v>
      </c>
      <c r="U309" s="2">
        <f ca="1">INDEX(INDIRECT(_xlfn.CONCAT("weather.tbl[",U$1,"]")),MATCH(vp.data[[#This Row],[SDate]],weather.tbl[Date],0))</f>
        <v>14.8</v>
      </c>
      <c r="V309" s="2">
        <f t="array" ref="V3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117553.995</v>
      </c>
      <c r="W309" t="s">
        <v>48</v>
      </c>
      <c r="X309">
        <f>IF(OR(vp.data[[#This Row],[Sulf]]="",vp.data[[#This Row],[Dens]]=""),1,0)</f>
        <v>0</v>
      </c>
      <c r="Y309">
        <f>IF(vp.data[[#This Row],[CrudeType]]="C5+",1,0)</f>
        <v>0</v>
      </c>
      <c r="Z309">
        <f>IF(AND(vp.data[[#This Row],[CrudeType]]="Crude",vp.data[[#This Row],[Dens]]&lt;=825,vp.data[[#This Row],[Sulf]]&gt;0.5,vp.data[[#This Row],[Unknown]]=0),1,0)</f>
        <v>0</v>
      </c>
      <c r="AA309">
        <f>IF(AND(vp.data[[#This Row],[CrudeType]]="Crude",vp.data[[#This Row],[Dens]]&lt;=825,vp.data[[#This Row],[Sulf]]&lt;=0.5,vp.data[[#This Row],[Unknown]]=0),1,0)</f>
        <v>0</v>
      </c>
      <c r="AB3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09">
        <f>IF(AND(vp.data[[#This Row],[CrudeType]]="Crude",vp.data[[#This Row],[Dens]]&gt;825,vp.data[[#This Row],[Dens]]&lt;=900,vp.data[[#This Row],[Sulf]]&lt;=0.5,vp.data[[#This Row],[Unknown]]=0),1,0)</f>
        <v>0</v>
      </c>
      <c r="AD309">
        <f>IF(AND(vp.data[[#This Row],[CrudeType]]="Crude",vp.data[[#This Row],[Dens]]&gt;865,vp.data[[#This Row],[Dens]]&lt;=900,vp.data[[#This Row],[Sulf]]&gt;2,vp.data[[#This Row],[Unknown]]=0),1,0)</f>
        <v>1</v>
      </c>
      <c r="AE309">
        <f>IF(AND(vp.data[[#This Row],[CrudeType]]="Crude",vp.data[[#This Row],[Dens]]&gt;900,vp.data[[#This Row],[Sulf]]&lt;=0.5,vp.data[[#This Row],[Unknown]]=0),1,0)</f>
        <v>0</v>
      </c>
      <c r="AF309">
        <f>IF(AND(vp.data[[#This Row],[CrudeType]]="Crude",vp.data[[#This Row],[Dens]]&gt;900,vp.data[[#This Row],[Sulf]]&lt;=0.5,vp.data[[#This Row],[Unknown]]=0),1,0)</f>
        <v>0</v>
      </c>
      <c r="AG309" t="str">
        <f>INDEX(vp.data[[#Headers],[Unknown]:[Heavy_SW]],MATCH(1,vp.data[[#This Row],[Unknown]:[Heavy_SW]],0))</f>
        <v>Midale</v>
      </c>
      <c r="AH309">
        <f>INDEX([3]!crudeBD.lkup[Number],MATCH(vp.data[[#This Row],[Crude_Breakdown]],crudeBD.lkup[Crude Breakdown],0))</f>
        <v>5</v>
      </c>
      <c r="AI309">
        <f>MONTH(vp.data[[#This Row],[SDate]])</f>
        <v>8</v>
      </c>
      <c r="AJ309" s="5">
        <f>(vp.data[[#This Row],[VP]]-INDEX(crudeBD.lkup[Mean_VP],MATCH(vp.data[[#This Row],[Crude_Breakdown]],crudeBD.lkup[Crude Breakdown],0)))^2</f>
        <v>376.70007678818274</v>
      </c>
      <c r="AK309" s="5">
        <f>(vp.data[[#This Row],[Dens]]-INDEX(crudeBD.lkup[Mean_Dens],MATCH(vp.data[[#This Row],[Crude_Breakdown]],crudeBD.lkup[Crude Breakdown],0)))^2</f>
        <v>27.217196567119558</v>
      </c>
      <c r="AL309" s="5">
        <f>(vp.data[[#This Row],[Sulf]]-INDEX(crudeBD.lkup[Mean_Sulf],MATCH(vp.data[[#This Row],[Crude_Breakdown]],crudeBD.lkup[Crude Breakdown],0)))^2</f>
        <v>1.785311974748607E-2</v>
      </c>
      <c r="AM309" s="4">
        <f>IF(AND(vp.data[[#This Row],[SDate]]&gt;=DATE(YEAR(vp.data[[#This Row],[SDate]]),5,1),vp.data[[#This Row],[SDate]]&lt;=DATE(YEAR(vp.data[[#This Row],[SDate]]),9,15)),1,0)</f>
        <v>1</v>
      </c>
      <c r="AN309" s="4">
        <f>IF(vp.data[[#This Row],[SDate]]&lt;DATE(2016,12,1),0,1)</f>
        <v>0</v>
      </c>
      <c r="AO309" s="4">
        <f>IFERROR(vp.data[[#This Row],[Sulf]]*vp.data[[#This Row],[Net Dens]],"")</f>
        <v>236139643.86012</v>
      </c>
      <c r="AP309">
        <f>IFERROR(vp.data[[#This Row],[Dens]]*vp.data[[#This Row],[VolumeM3]],"")</f>
        <v>102224954.052</v>
      </c>
      <c r="AQ309" s="15">
        <f>IFERROR(vp.data[[#This Row],[VP]]*vp.data[[#This Row],[VolumeM3]],"")</f>
        <v>5877699.75</v>
      </c>
    </row>
    <row r="310" spans="1:43" x14ac:dyDescent="0.25">
      <c r="A310">
        <v>309</v>
      </c>
      <c r="B310" t="s">
        <v>60</v>
      </c>
      <c r="C310" t="s">
        <v>60</v>
      </c>
      <c r="D310" t="s">
        <v>61</v>
      </c>
      <c r="E310" t="s">
        <v>73</v>
      </c>
      <c r="F310" s="1">
        <v>42611</v>
      </c>
      <c r="G310" s="2">
        <v>49.9</v>
      </c>
      <c r="H310" s="2"/>
      <c r="I310" s="2">
        <f t="array" ref="I310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310" s="2"/>
      <c r="K310" s="2"/>
      <c r="L310" s="2"/>
      <c r="M310" s="2">
        <f t="array" ref="M310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310" s="2">
        <f ca="1">INDEX(INDIRECT(_xlfn.CONCAT("weather.tbl[",N$1,"]")),MATCH(vp.data[[#This Row],[SDate]],weather.tbl[Date],0))</f>
        <v>14.983333333333334</v>
      </c>
      <c r="O310" s="2">
        <f ca="1">INDEX(INDIRECT(_xlfn.CONCAT("weather.tbl[",O$1,"]")),MATCH(vp.data[[#This Row],[SDate]],weather.tbl[Date],0))</f>
        <v>16.519047619047619</v>
      </c>
      <c r="P310" s="2">
        <f ca="1">INDEX(INDIRECT(_xlfn.CONCAT("weather.tbl[",P$1,"]")),MATCH(vp.data[[#This Row],[SDate]],weather.tbl[Date],0))</f>
        <v>15.1</v>
      </c>
      <c r="Q310" s="2">
        <f ca="1">INDEX(INDIRECT(_xlfn.CONCAT("weather.tbl[",Q$1,"]")),MATCH(vp.data[[#This Row],[SDate]],weather.tbl[Date],0))</f>
        <v>14.5</v>
      </c>
      <c r="R310" s="2">
        <f ca="1">INDEX(INDIRECT(_xlfn.CONCAT("weather.tbl[",R$1,"]")),MATCH(vp.data[[#This Row],[SDate]],weather.tbl[Date],0))</f>
        <v>14.8</v>
      </c>
      <c r="S310" s="2">
        <f ca="1">INDEX(INDIRECT(_xlfn.CONCAT("weather.tbl[",S$1,"]")),MATCH(vp.data[[#This Row],[SDate]],weather.tbl[Date],0))</f>
        <v>15</v>
      </c>
      <c r="T310" s="2">
        <f ca="1">INDEX(INDIRECT(_xlfn.CONCAT("weather.tbl[",T$1,"]")),MATCH(vp.data[[#This Row],[SDate]],weather.tbl[Date],0))</f>
        <v>16.2</v>
      </c>
      <c r="U310" s="2">
        <f ca="1">INDEX(INDIRECT(_xlfn.CONCAT("weather.tbl[",U$1,"]")),MATCH(vp.data[[#This Row],[SDate]],weather.tbl[Date],0))</f>
        <v>14.3</v>
      </c>
      <c r="V310" s="2">
        <f t="array" ref="V3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310" t="s">
        <v>48</v>
      </c>
      <c r="X310">
        <f>IF(OR(vp.data[[#This Row],[Sulf]]="",vp.data[[#This Row],[Dens]]=""),1,0)</f>
        <v>0</v>
      </c>
      <c r="Y310">
        <f>IF(vp.data[[#This Row],[CrudeType]]="C5+",1,0)</f>
        <v>0</v>
      </c>
      <c r="Z310">
        <f>IF(AND(vp.data[[#This Row],[CrudeType]]="Crude",vp.data[[#This Row],[Dens]]&lt;=825,vp.data[[#This Row],[Sulf]]&gt;0.5,vp.data[[#This Row],[Unknown]]=0),1,0)</f>
        <v>1</v>
      </c>
      <c r="AA310">
        <f>IF(AND(vp.data[[#This Row],[CrudeType]]="Crude",vp.data[[#This Row],[Dens]]&lt;=825,vp.data[[#This Row],[Sulf]]&lt;=0.5,vp.data[[#This Row],[Unknown]]=0),1,0)</f>
        <v>0</v>
      </c>
      <c r="AB3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0">
        <f>IF(AND(vp.data[[#This Row],[CrudeType]]="Crude",vp.data[[#This Row],[Dens]]&gt;825,vp.data[[#This Row],[Dens]]&lt;=900,vp.data[[#This Row],[Sulf]]&lt;=0.5,vp.data[[#This Row],[Unknown]]=0),1,0)</f>
        <v>0</v>
      </c>
      <c r="AD310">
        <f>IF(AND(vp.data[[#This Row],[CrudeType]]="Crude",vp.data[[#This Row],[Dens]]&gt;865,vp.data[[#This Row],[Dens]]&lt;=900,vp.data[[#This Row],[Sulf]]&gt;2,vp.data[[#This Row],[Unknown]]=0),1,0)</f>
        <v>0</v>
      </c>
      <c r="AE310">
        <f>IF(AND(vp.data[[#This Row],[CrudeType]]="Crude",vp.data[[#This Row],[Dens]]&gt;900,vp.data[[#This Row],[Sulf]]&lt;=0.5,vp.data[[#This Row],[Unknown]]=0),1,0)</f>
        <v>0</v>
      </c>
      <c r="AF310">
        <f>IF(AND(vp.data[[#This Row],[CrudeType]]="Crude",vp.data[[#This Row],[Dens]]&gt;900,vp.data[[#This Row],[Sulf]]&lt;=0.5,vp.data[[#This Row],[Unknown]]=0),1,0)</f>
        <v>0</v>
      </c>
      <c r="AG310" t="str">
        <f>INDEX(vp.data[[#Headers],[Unknown]:[Heavy_SW]],MATCH(1,vp.data[[#This Row],[Unknown]:[Heavy_SW]],0))</f>
        <v>Light_LSB</v>
      </c>
      <c r="AH310">
        <f>INDEX([3]!crudeBD.lkup[Number],MATCH(vp.data[[#This Row],[Crude_Breakdown]],crudeBD.lkup[Crude Breakdown],0))</f>
        <v>1</v>
      </c>
      <c r="AI310">
        <f>MONTH(vp.data[[#This Row],[SDate]])</f>
        <v>8</v>
      </c>
      <c r="AJ310" s="5">
        <f>(vp.data[[#This Row],[VP]]-INDEX(crudeBD.lkup[Mean_VP],MATCH(vp.data[[#This Row],[Crude_Breakdown]],crudeBD.lkup[Crude Breakdown],0)))^2</f>
        <v>1734.4047722818605</v>
      </c>
      <c r="AK310" s="5">
        <f>(vp.data[[#This Row],[Dens]]-INDEX(crudeBD.lkup[Mean_Dens],MATCH(vp.data[[#This Row],[Crude_Breakdown]],crudeBD.lkup[Crude Breakdown],0)))^2</f>
        <v>0.38040493617186338</v>
      </c>
      <c r="AL310" s="5">
        <f>(vp.data[[#This Row],[Sulf]]-INDEX(crudeBD.lkup[Mean_Sulf],MATCH(vp.data[[#This Row],[Crude_Breakdown]],crudeBD.lkup[Crude Breakdown],0)))^2</f>
        <v>7.3055773847853663E-4</v>
      </c>
      <c r="AM310" s="4">
        <f>IF(AND(vp.data[[#This Row],[SDate]]&gt;=DATE(YEAR(vp.data[[#This Row],[SDate]]),5,1),vp.data[[#This Row],[SDate]]&lt;=DATE(YEAR(vp.data[[#This Row],[SDate]]),9,15)),1,0)</f>
        <v>1</v>
      </c>
      <c r="AN310" s="4">
        <f>IF(vp.data[[#This Row],[SDate]]&lt;DATE(2016,12,1),0,1)</f>
        <v>0</v>
      </c>
      <c r="AO310" s="4">
        <f>IFERROR(vp.data[[#This Row],[Sulf]]*vp.data[[#This Row],[Net Dens]],"")</f>
        <v>82634770.795859993</v>
      </c>
      <c r="AP310">
        <f>IFERROR(vp.data[[#This Row],[Dens]]*vp.data[[#This Row],[VolumeM3]],"")</f>
        <v>86983969.2588</v>
      </c>
      <c r="AQ310" s="15">
        <f>IFERROR(vp.data[[#This Row],[VP]]*vp.data[[#This Row],[VolumeM3]],"")</f>
        <v>5306883.5628000004</v>
      </c>
    </row>
    <row r="311" spans="1:43" x14ac:dyDescent="0.25">
      <c r="A311">
        <v>310</v>
      </c>
      <c r="B311" t="s">
        <v>60</v>
      </c>
      <c r="C311" t="s">
        <v>60</v>
      </c>
      <c r="D311" t="s">
        <v>61</v>
      </c>
      <c r="E311" t="s">
        <v>55</v>
      </c>
      <c r="F311" s="1">
        <v>42611</v>
      </c>
      <c r="G311" s="2">
        <v>70.099999999999994</v>
      </c>
      <c r="H311" s="2"/>
      <c r="I311" s="2">
        <f t="array" ref="I311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311" s="2"/>
      <c r="K311" s="2"/>
      <c r="L311" s="2">
        <v>833</v>
      </c>
      <c r="M311" s="2">
        <f t="array" ref="M311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311" s="2">
        <f ca="1">INDEX(INDIRECT(_xlfn.CONCAT("weather.tbl[",N$1,"]")),MATCH(vp.data[[#This Row],[SDate]],weather.tbl[Date],0))</f>
        <v>14.983333333333334</v>
      </c>
      <c r="O311" s="2">
        <f ca="1">INDEX(INDIRECT(_xlfn.CONCAT("weather.tbl[",O$1,"]")),MATCH(vp.data[[#This Row],[SDate]],weather.tbl[Date],0))</f>
        <v>16.519047619047619</v>
      </c>
      <c r="P311" s="2">
        <f ca="1">INDEX(INDIRECT(_xlfn.CONCAT("weather.tbl[",P$1,"]")),MATCH(vp.data[[#This Row],[SDate]],weather.tbl[Date],0))</f>
        <v>15.1</v>
      </c>
      <c r="Q311" s="2">
        <f ca="1">INDEX(INDIRECT(_xlfn.CONCAT("weather.tbl[",Q$1,"]")),MATCH(vp.data[[#This Row],[SDate]],weather.tbl[Date],0))</f>
        <v>14.5</v>
      </c>
      <c r="R311" s="2">
        <f ca="1">INDEX(INDIRECT(_xlfn.CONCAT("weather.tbl[",R$1,"]")),MATCH(vp.data[[#This Row],[SDate]],weather.tbl[Date],0))</f>
        <v>14.8</v>
      </c>
      <c r="S311" s="2">
        <f ca="1">INDEX(INDIRECT(_xlfn.CONCAT("weather.tbl[",S$1,"]")),MATCH(vp.data[[#This Row],[SDate]],weather.tbl[Date],0))</f>
        <v>15</v>
      </c>
      <c r="T311" s="2">
        <f ca="1">INDEX(INDIRECT(_xlfn.CONCAT("weather.tbl[",T$1,"]")),MATCH(vp.data[[#This Row],[SDate]],weather.tbl[Date],0))</f>
        <v>16.2</v>
      </c>
      <c r="U311" s="2">
        <f ca="1">INDEX(INDIRECT(_xlfn.CONCAT("weather.tbl[",U$1,"]")),MATCH(vp.data[[#This Row],[SDate]],weather.tbl[Date],0))</f>
        <v>14.3</v>
      </c>
      <c r="V311" s="2">
        <f t="array" ref="V3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106350.372</v>
      </c>
      <c r="W311" t="s">
        <v>48</v>
      </c>
      <c r="X311">
        <f>IF(OR(vp.data[[#This Row],[Sulf]]="",vp.data[[#This Row],[Dens]]=""),1,0)</f>
        <v>0</v>
      </c>
      <c r="Y311">
        <f>IF(vp.data[[#This Row],[CrudeType]]="C5+",1,0)</f>
        <v>0</v>
      </c>
      <c r="Z311">
        <f>IF(AND(vp.data[[#This Row],[CrudeType]]="Crude",vp.data[[#This Row],[Dens]]&lt;=825,vp.data[[#This Row],[Sulf]]&gt;0.5,vp.data[[#This Row],[Unknown]]=0),1,0)</f>
        <v>0</v>
      </c>
      <c r="AA311">
        <f>IF(AND(vp.data[[#This Row],[CrudeType]]="Crude",vp.data[[#This Row],[Dens]]&lt;=825,vp.data[[#This Row],[Sulf]]&lt;=0.5,vp.data[[#This Row],[Unknown]]=0),1,0)</f>
        <v>0</v>
      </c>
      <c r="AB3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11">
        <f>IF(AND(vp.data[[#This Row],[CrudeType]]="Crude",vp.data[[#This Row],[Dens]]&gt;825,vp.data[[#This Row],[Dens]]&lt;=900,vp.data[[#This Row],[Sulf]]&lt;=0.5,vp.data[[#This Row],[Unknown]]=0),1,0)</f>
        <v>0</v>
      </c>
      <c r="AD311">
        <f>IF(AND(vp.data[[#This Row],[CrudeType]]="Crude",vp.data[[#This Row],[Dens]]&gt;865,vp.data[[#This Row],[Dens]]&lt;=900,vp.data[[#This Row],[Sulf]]&gt;2,vp.data[[#This Row],[Unknown]]=0),1,0)</f>
        <v>0</v>
      </c>
      <c r="AE311">
        <f>IF(AND(vp.data[[#This Row],[CrudeType]]="Crude",vp.data[[#This Row],[Dens]]&gt;900,vp.data[[#This Row],[Sulf]]&lt;=0.5,vp.data[[#This Row],[Unknown]]=0),1,0)</f>
        <v>0</v>
      </c>
      <c r="AF311">
        <f>IF(AND(vp.data[[#This Row],[CrudeType]]="Crude",vp.data[[#This Row],[Dens]]&gt;900,vp.data[[#This Row],[Sulf]]&lt;=0.5,vp.data[[#This Row],[Unknown]]=0),1,0)</f>
        <v>0</v>
      </c>
      <c r="AG311" t="str">
        <f>INDEX(vp.data[[#Headers],[Unknown]:[Heavy_SW]],MATCH(1,vp.data[[#This Row],[Unknown]:[Heavy_SW]],0))</f>
        <v>Medium_LSB</v>
      </c>
      <c r="AH311">
        <f>INDEX([3]!crudeBD.lkup[Number],MATCH(vp.data[[#This Row],[Crude_Breakdown]],crudeBD.lkup[Crude Breakdown],0))</f>
        <v>3</v>
      </c>
      <c r="AI311">
        <f>MONTH(vp.data[[#This Row],[SDate]])</f>
        <v>8</v>
      </c>
      <c r="AJ311" s="5">
        <f>(vp.data[[#This Row],[VP]]-INDEX(crudeBD.lkup[Mean_VP],MATCH(vp.data[[#This Row],[Crude_Breakdown]],crudeBD.lkup[Crude Breakdown],0)))^2</f>
        <v>111.08478177577763</v>
      </c>
      <c r="AK311" s="5">
        <f>(vp.data[[#This Row],[Dens]]-INDEX(crudeBD.lkup[Mean_Dens],MATCH(vp.data[[#This Row],[Crude_Breakdown]],crudeBD.lkup[Crude Breakdown],0)))^2</f>
        <v>119.24639999998918</v>
      </c>
      <c r="AL311" s="5">
        <f>(vp.data[[#This Row],[Sulf]]-INDEX(crudeBD.lkup[Mean_Sulf],MATCH(vp.data[[#This Row],[Crude_Breakdown]],crudeBD.lkup[Crude Breakdown],0)))^2</f>
        <v>0.18958023678302549</v>
      </c>
      <c r="AM311" s="4">
        <f>IF(AND(vp.data[[#This Row],[SDate]]&gt;=DATE(YEAR(vp.data[[#This Row],[SDate]]),5,1),vp.data[[#This Row],[SDate]]&lt;=DATE(YEAR(vp.data[[#This Row],[SDate]]),9,15)),1,0)</f>
        <v>1</v>
      </c>
      <c r="AN311" s="4">
        <f>IF(vp.data[[#This Row],[SDate]]&lt;DATE(2016,12,1),0,1)</f>
        <v>0</v>
      </c>
      <c r="AO311" s="4">
        <f>IFERROR(vp.data[[#This Row],[Sulf]]*vp.data[[#This Row],[Net Dens]],"")</f>
        <v>84160366.882200003</v>
      </c>
      <c r="AP311">
        <f>IFERROR(vp.data[[#This Row],[Dens]]*vp.data[[#This Row],[VolumeM3]],"")</f>
        <v>88589859.876000002</v>
      </c>
      <c r="AQ311" s="15">
        <f>IFERROR(vp.data[[#This Row],[VP]]*vp.data[[#This Row],[VolumeM3]],"")</f>
        <v>7455161.0771999992</v>
      </c>
    </row>
    <row r="312" spans="1:43" x14ac:dyDescent="0.25">
      <c r="A312">
        <v>311</v>
      </c>
      <c r="B312" t="s">
        <v>49</v>
      </c>
      <c r="C312" t="s">
        <v>49</v>
      </c>
      <c r="D312" t="s">
        <v>67</v>
      </c>
      <c r="F312" s="1">
        <v>42612</v>
      </c>
      <c r="G312" s="2">
        <v>81.599999999999994</v>
      </c>
      <c r="H312" s="2"/>
      <c r="I312" s="2">
        <f t="array" ref="I312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312" s="2"/>
      <c r="K312" s="2"/>
      <c r="L312" s="2">
        <v>810.3</v>
      </c>
      <c r="M312" s="2">
        <f t="array" ref="M312">_xlfn.IFNA(IF(vp.data[[#This Row],[Dens Input]]="",INDEX([1]DATA!$O$3:$O$9826,MATCH(1,(vp.data[[#This Row],[Battery]]=[1]DATA!$L$3:$L$9826)*(EOMONTH(vp.data[[#This Row],[SDate]],-1)+1=[1]DATA!$G$3:$G$9826),0)),vp.data[[#This Row],[Dens Input]]),"")</f>
        <v>810.3</v>
      </c>
      <c r="N312" s="2">
        <f ca="1">INDEX(INDIRECT(_xlfn.CONCAT("weather.tbl[",N$1,"]")),MATCH(vp.data[[#This Row],[SDate]],weather.tbl[Date],0))</f>
        <v>18.333333333333332</v>
      </c>
      <c r="O312" s="2">
        <f ca="1">INDEX(INDIRECT(_xlfn.CONCAT("weather.tbl[",O$1,"]")),MATCH(vp.data[[#This Row],[SDate]],weather.tbl[Date],0))</f>
        <v>16.478571428571428</v>
      </c>
      <c r="P312" s="2">
        <f ca="1">INDEX(INDIRECT(_xlfn.CONCAT("weather.tbl[",P$1,"]")),MATCH(vp.data[[#This Row],[SDate]],weather.tbl[Date],0))</f>
        <v>19.3</v>
      </c>
      <c r="Q312" s="2">
        <f ca="1">INDEX(INDIRECT(_xlfn.CONCAT("weather.tbl[",Q$1,"]")),MATCH(vp.data[[#This Row],[SDate]],weather.tbl[Date],0))</f>
        <v>19.8</v>
      </c>
      <c r="R312" s="2">
        <f ca="1">INDEX(INDIRECT(_xlfn.CONCAT("weather.tbl[",R$1,"]")),MATCH(vp.data[[#This Row],[SDate]],weather.tbl[Date],0))</f>
        <v>17.5</v>
      </c>
      <c r="S312" s="2">
        <f ca="1">INDEX(INDIRECT(_xlfn.CONCAT("weather.tbl[",S$1,"]")),MATCH(vp.data[[#This Row],[SDate]],weather.tbl[Date],0))</f>
        <v>19.8</v>
      </c>
      <c r="T312" s="2">
        <f ca="1">INDEX(INDIRECT(_xlfn.CONCAT("weather.tbl[",T$1,"]")),MATCH(vp.data[[#This Row],[SDate]],weather.tbl[Date],0))</f>
        <v>16.8</v>
      </c>
      <c r="U312" s="2">
        <f ca="1">INDEX(INDIRECT(_xlfn.CONCAT("weather.tbl[",U$1,"]")),MATCH(vp.data[[#This Row],[SDate]],weather.tbl[Date],0))</f>
        <v>16.8</v>
      </c>
      <c r="V312" s="2">
        <f t="array" ref="V3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49446.014999999999</v>
      </c>
      <c r="W312" t="s">
        <v>48</v>
      </c>
      <c r="X312">
        <f>IF(OR(vp.data[[#This Row],[Sulf]]="",vp.data[[#This Row],[Dens]]=""),1,0)</f>
        <v>0</v>
      </c>
      <c r="Y312">
        <f>IF(vp.data[[#This Row],[CrudeType]]="C5+",1,0)</f>
        <v>0</v>
      </c>
      <c r="Z312">
        <f>IF(AND(vp.data[[#This Row],[CrudeType]]="Crude",vp.data[[#This Row],[Dens]]&lt;=825,vp.data[[#This Row],[Sulf]]&gt;0.5,vp.data[[#This Row],[Unknown]]=0),1,0)</f>
        <v>0</v>
      </c>
      <c r="AA312">
        <f>IF(AND(vp.data[[#This Row],[CrudeType]]="Crude",vp.data[[#This Row],[Dens]]&lt;=825,vp.data[[#This Row],[Sulf]]&lt;=0.5,vp.data[[#This Row],[Unknown]]=0),1,0)</f>
        <v>1</v>
      </c>
      <c r="AB3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2">
        <f>IF(AND(vp.data[[#This Row],[CrudeType]]="Crude",vp.data[[#This Row],[Dens]]&gt;825,vp.data[[#This Row],[Dens]]&lt;=900,vp.data[[#This Row],[Sulf]]&lt;=0.5,vp.data[[#This Row],[Unknown]]=0),1,0)</f>
        <v>0</v>
      </c>
      <c r="AD312">
        <f>IF(AND(vp.data[[#This Row],[CrudeType]]="Crude",vp.data[[#This Row],[Dens]]&gt;865,vp.data[[#This Row],[Dens]]&lt;=900,vp.data[[#This Row],[Sulf]]&gt;2,vp.data[[#This Row],[Unknown]]=0),1,0)</f>
        <v>0</v>
      </c>
      <c r="AE312">
        <f>IF(AND(vp.data[[#This Row],[CrudeType]]="Crude",vp.data[[#This Row],[Dens]]&gt;900,vp.data[[#This Row],[Sulf]]&lt;=0.5,vp.data[[#This Row],[Unknown]]=0),1,0)</f>
        <v>0</v>
      </c>
      <c r="AF312">
        <f>IF(AND(vp.data[[#This Row],[CrudeType]]="Crude",vp.data[[#This Row],[Dens]]&gt;900,vp.data[[#This Row],[Sulf]]&lt;=0.5,vp.data[[#This Row],[Unknown]]=0),1,0)</f>
        <v>0</v>
      </c>
      <c r="AG312" t="str">
        <f>INDEX(vp.data[[#Headers],[Unknown]:[Heavy_SW]],MATCH(1,vp.data[[#This Row],[Unknown]:[Heavy_SW]],0))</f>
        <v>Light_SW</v>
      </c>
      <c r="AH312">
        <f>INDEX([3]!crudeBD.lkup[Number],MATCH(vp.data[[#This Row],[Crude_Breakdown]],crudeBD.lkup[Crude Breakdown],0))</f>
        <v>2</v>
      </c>
      <c r="AI312">
        <f>MONTH(vp.data[[#This Row],[SDate]])</f>
        <v>8</v>
      </c>
      <c r="AJ312" s="5">
        <f>(vp.data[[#This Row],[VP]]-INDEX(crudeBD.lkup[Mean_VP],MATCH(vp.data[[#This Row],[Crude_Breakdown]],crudeBD.lkup[Crude Breakdown],0)))^2</f>
        <v>119.90936769415626</v>
      </c>
      <c r="AK312" s="5">
        <f>(vp.data[[#This Row],[Dens]]-INDEX(crudeBD.lkup[Mean_Dens],MATCH(vp.data[[#This Row],[Crude_Breakdown]],crudeBD.lkup[Crude Breakdown],0)))^2</f>
        <v>3.9541391785751512</v>
      </c>
      <c r="AL312" s="5">
        <f>(vp.data[[#This Row],[Sulf]]-INDEX(crudeBD.lkup[Mean_Sulf],MATCH(vp.data[[#This Row],[Crude_Breakdown]],crudeBD.lkup[Crude Breakdown],0)))^2</f>
        <v>6.8863268899706654E-4</v>
      </c>
      <c r="AM312" s="4">
        <f>IF(AND(vp.data[[#This Row],[SDate]]&gt;=DATE(YEAR(vp.data[[#This Row],[SDate]]),5,1),vp.data[[#This Row],[SDate]]&lt;=DATE(YEAR(vp.data[[#This Row],[SDate]]),9,15)),1,0)</f>
        <v>1</v>
      </c>
      <c r="AN312" s="4">
        <f>IF(vp.data[[#This Row],[SDate]]&lt;DATE(2016,12,1),0,1)</f>
        <v>0</v>
      </c>
      <c r="AO312" s="4">
        <f>IFERROR(vp.data[[#This Row],[Sulf]]*vp.data[[#This Row],[Net Dens]],"")</f>
        <v>8413882.250444999</v>
      </c>
      <c r="AP312">
        <f>IFERROR(vp.data[[#This Row],[Dens]]*vp.data[[#This Row],[VolumeM3]],"")</f>
        <v>40066105.954499997</v>
      </c>
      <c r="AQ312" s="15">
        <f>IFERROR(vp.data[[#This Row],[VP]]*vp.data[[#This Row],[VolumeM3]],"")</f>
        <v>4034794.8239999996</v>
      </c>
    </row>
    <row r="313" spans="1:43" x14ac:dyDescent="0.25">
      <c r="A313">
        <v>312</v>
      </c>
      <c r="B313" t="s">
        <v>49</v>
      </c>
      <c r="C313" t="s">
        <v>49</v>
      </c>
      <c r="D313" t="s">
        <v>88</v>
      </c>
      <c r="F313" s="1">
        <v>42612</v>
      </c>
      <c r="G313" s="2">
        <v>75.2</v>
      </c>
      <c r="H313" s="2"/>
      <c r="I313" s="2">
        <f t="array" ref="I313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313" s="2"/>
      <c r="K313" s="2"/>
      <c r="L313" s="2">
        <v>818.9</v>
      </c>
      <c r="M313" s="2">
        <f t="array" ref="M313">_xlfn.IFNA(IF(vp.data[[#This Row],[Dens Input]]="",INDEX([1]DATA!$O$3:$O$9826,MATCH(1,(vp.data[[#This Row],[Battery]]=[1]DATA!$L$3:$L$9826)*(EOMONTH(vp.data[[#This Row],[SDate]],-1)+1=[1]DATA!$G$3:$G$9826),0)),vp.data[[#This Row],[Dens Input]]),"")</f>
        <v>818.9</v>
      </c>
      <c r="N313" s="2">
        <f ca="1">INDEX(INDIRECT(_xlfn.CONCAT("weather.tbl[",N$1,"]")),MATCH(vp.data[[#This Row],[SDate]],weather.tbl[Date],0))</f>
        <v>18.333333333333332</v>
      </c>
      <c r="O313" s="2">
        <f ca="1">INDEX(INDIRECT(_xlfn.CONCAT("weather.tbl[",O$1,"]")),MATCH(vp.data[[#This Row],[SDate]],weather.tbl[Date],0))</f>
        <v>16.478571428571428</v>
      </c>
      <c r="P313" s="2">
        <f ca="1">INDEX(INDIRECT(_xlfn.CONCAT("weather.tbl[",P$1,"]")),MATCH(vp.data[[#This Row],[SDate]],weather.tbl[Date],0))</f>
        <v>19.3</v>
      </c>
      <c r="Q313" s="2">
        <f ca="1">INDEX(INDIRECT(_xlfn.CONCAT("weather.tbl[",Q$1,"]")),MATCH(vp.data[[#This Row],[SDate]],weather.tbl[Date],0))</f>
        <v>19.8</v>
      </c>
      <c r="R313" s="2">
        <f ca="1">INDEX(INDIRECT(_xlfn.CONCAT("weather.tbl[",R$1,"]")),MATCH(vp.data[[#This Row],[SDate]],weather.tbl[Date],0))</f>
        <v>17.5</v>
      </c>
      <c r="S313" s="2">
        <f ca="1">INDEX(INDIRECT(_xlfn.CONCAT("weather.tbl[",S$1,"]")),MATCH(vp.data[[#This Row],[SDate]],weather.tbl[Date],0))</f>
        <v>19.8</v>
      </c>
      <c r="T313" s="2">
        <f ca="1">INDEX(INDIRECT(_xlfn.CONCAT("weather.tbl[",T$1,"]")),MATCH(vp.data[[#This Row],[SDate]],weather.tbl[Date],0))</f>
        <v>16.8</v>
      </c>
      <c r="U313" s="2">
        <f ca="1">INDEX(INDIRECT(_xlfn.CONCAT("weather.tbl[",U$1,"]")),MATCH(vp.data[[#This Row],[SDate]],weather.tbl[Date],0))</f>
        <v>16.8</v>
      </c>
      <c r="V313" s="2">
        <f t="array" ref="V3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4670.3879999999999</v>
      </c>
      <c r="W313" t="s">
        <v>48</v>
      </c>
      <c r="X313">
        <f>IF(OR(vp.data[[#This Row],[Sulf]]="",vp.data[[#This Row],[Dens]]=""),1,0)</f>
        <v>0</v>
      </c>
      <c r="Y313">
        <f>IF(vp.data[[#This Row],[CrudeType]]="C5+",1,0)</f>
        <v>0</v>
      </c>
      <c r="Z313">
        <f>IF(AND(vp.data[[#This Row],[CrudeType]]="Crude",vp.data[[#This Row],[Dens]]&lt;=825,vp.data[[#This Row],[Sulf]]&gt;0.5,vp.data[[#This Row],[Unknown]]=0),1,0)</f>
        <v>1</v>
      </c>
      <c r="AA313">
        <f>IF(AND(vp.data[[#This Row],[CrudeType]]="Crude",vp.data[[#This Row],[Dens]]&lt;=825,vp.data[[#This Row],[Sulf]]&lt;=0.5,vp.data[[#This Row],[Unknown]]=0),1,0)</f>
        <v>0</v>
      </c>
      <c r="AB3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3">
        <f>IF(AND(vp.data[[#This Row],[CrudeType]]="Crude",vp.data[[#This Row],[Dens]]&gt;825,vp.data[[#This Row],[Dens]]&lt;=900,vp.data[[#This Row],[Sulf]]&lt;=0.5,vp.data[[#This Row],[Unknown]]=0),1,0)</f>
        <v>0</v>
      </c>
      <c r="AD313">
        <f>IF(AND(vp.data[[#This Row],[CrudeType]]="Crude",vp.data[[#This Row],[Dens]]&gt;865,vp.data[[#This Row],[Dens]]&lt;=900,vp.data[[#This Row],[Sulf]]&gt;2,vp.data[[#This Row],[Unknown]]=0),1,0)</f>
        <v>0</v>
      </c>
      <c r="AE313">
        <f>IF(AND(vp.data[[#This Row],[CrudeType]]="Crude",vp.data[[#This Row],[Dens]]&gt;900,vp.data[[#This Row],[Sulf]]&lt;=0.5,vp.data[[#This Row],[Unknown]]=0),1,0)</f>
        <v>0</v>
      </c>
      <c r="AF313">
        <f>IF(AND(vp.data[[#This Row],[CrudeType]]="Crude",vp.data[[#This Row],[Dens]]&gt;900,vp.data[[#This Row],[Sulf]]&lt;=0.5,vp.data[[#This Row],[Unknown]]=0),1,0)</f>
        <v>0</v>
      </c>
      <c r="AG313" t="str">
        <f>INDEX(vp.data[[#Headers],[Unknown]:[Heavy_SW]],MATCH(1,vp.data[[#This Row],[Unknown]:[Heavy_SW]],0))</f>
        <v>Light_LSB</v>
      </c>
      <c r="AH313">
        <f>INDEX([3]!crudeBD.lkup[Number],MATCH(vp.data[[#This Row],[Crude_Breakdown]],crudeBD.lkup[Crude Breakdown],0))</f>
        <v>1</v>
      </c>
      <c r="AI313">
        <f>MONTH(vp.data[[#This Row],[SDate]])</f>
        <v>8</v>
      </c>
      <c r="AJ313" s="5">
        <f>(vp.data[[#This Row],[VP]]-INDEX(crudeBD.lkup[Mean_VP],MATCH(vp.data[[#This Row],[Crude_Breakdown]],crudeBD.lkup[Crude Breakdown],0)))^2</f>
        <v>267.19778259113707</v>
      </c>
      <c r="AK313" s="5">
        <f>(vp.data[[#This Row],[Dens]]-INDEX(crudeBD.lkup[Mean_Dens],MATCH(vp.data[[#This Row],[Crude_Breakdown]],crudeBD.lkup[Crude Breakdown],0)))^2</f>
        <v>0.14686541727210251</v>
      </c>
      <c r="AL313" s="5">
        <f>(vp.data[[#This Row],[Sulf]]-INDEX(crudeBD.lkup[Mean_Sulf],MATCH(vp.data[[#This Row],[Crude_Breakdown]],crudeBD.lkup[Crude Breakdown],0)))^2</f>
        <v>0.4449274622058329</v>
      </c>
      <c r="AM313" s="4">
        <f>IF(AND(vp.data[[#This Row],[SDate]]&gt;=DATE(YEAR(vp.data[[#This Row],[SDate]]),5,1),vp.data[[#This Row],[SDate]]&lt;=DATE(YEAR(vp.data[[#This Row],[SDate]]),9,15)),1,0)</f>
        <v>1</v>
      </c>
      <c r="AN313" s="4">
        <f>IF(vp.data[[#This Row],[SDate]]&lt;DATE(2016,12,1),0,1)</f>
        <v>0</v>
      </c>
      <c r="AO313" s="4">
        <f>IFERROR(vp.data[[#This Row],[Sulf]]*vp.data[[#This Row],[Net Dens]],"")</f>
        <v>6081083.3657879997</v>
      </c>
      <c r="AP313">
        <f>IFERROR(vp.data[[#This Row],[Dens]]*vp.data[[#This Row],[VolumeM3]],"")</f>
        <v>3824580.7331999997</v>
      </c>
      <c r="AQ313" s="15">
        <f>IFERROR(vp.data[[#This Row],[VP]]*vp.data[[#This Row],[VolumeM3]],"")</f>
        <v>351213.1776</v>
      </c>
    </row>
    <row r="314" spans="1:43" x14ac:dyDescent="0.25">
      <c r="A314">
        <v>313</v>
      </c>
      <c r="B314" t="s">
        <v>49</v>
      </c>
      <c r="C314" t="s">
        <v>49</v>
      </c>
      <c r="D314" t="s">
        <v>70</v>
      </c>
      <c r="F314" s="1">
        <v>42612</v>
      </c>
      <c r="G314" s="2">
        <v>71.8</v>
      </c>
      <c r="H314" s="2"/>
      <c r="I314" s="2">
        <f t="array" ref="I314">_xlfn.IFNA(IF(vp.data[[#This Row],[Sulf Input]]="",INDEX([1]DATA!$Q$3:$Q$9826,MATCH(1,(vp.data[[#This Row],[Battery]]=[1]DATA!$L$3:$L$9826)*(EOMONTH(vp.data[[#This Row],[SDate]],-1)+1=[1]DATA!$G$3:$G$9826),0)),vp.data[[#This Row],[Sulf Input]]),"")</f>
        <v>0.72</v>
      </c>
      <c r="J314" s="2"/>
      <c r="K314" s="2"/>
      <c r="L314" s="2">
        <v>822.5</v>
      </c>
      <c r="M314" s="2">
        <f t="array" ref="M314">_xlfn.IFNA(IF(vp.data[[#This Row],[Dens Input]]="",INDEX([1]DATA!$O$3:$O$9826,MATCH(1,(vp.data[[#This Row],[Battery]]=[1]DATA!$L$3:$L$9826)*(EOMONTH(vp.data[[#This Row],[SDate]],-1)+1=[1]DATA!$G$3:$G$9826),0)),vp.data[[#This Row],[Dens Input]]),"")</f>
        <v>822.5</v>
      </c>
      <c r="N314" s="2">
        <f ca="1">INDEX(INDIRECT(_xlfn.CONCAT("weather.tbl[",N$1,"]")),MATCH(vp.data[[#This Row],[SDate]],weather.tbl[Date],0))</f>
        <v>18.333333333333332</v>
      </c>
      <c r="O314" s="2">
        <f ca="1">INDEX(INDIRECT(_xlfn.CONCAT("weather.tbl[",O$1,"]")),MATCH(vp.data[[#This Row],[SDate]],weather.tbl[Date],0))</f>
        <v>16.478571428571428</v>
      </c>
      <c r="P314" s="2">
        <f ca="1">INDEX(INDIRECT(_xlfn.CONCAT("weather.tbl[",P$1,"]")),MATCH(vp.data[[#This Row],[SDate]],weather.tbl[Date],0))</f>
        <v>19.3</v>
      </c>
      <c r="Q314" s="2">
        <f ca="1">INDEX(INDIRECT(_xlfn.CONCAT("weather.tbl[",Q$1,"]")),MATCH(vp.data[[#This Row],[SDate]],weather.tbl[Date],0))</f>
        <v>19.8</v>
      </c>
      <c r="R314" s="2">
        <f ca="1">INDEX(INDIRECT(_xlfn.CONCAT("weather.tbl[",R$1,"]")),MATCH(vp.data[[#This Row],[SDate]],weather.tbl[Date],0))</f>
        <v>17.5</v>
      </c>
      <c r="S314" s="2">
        <f ca="1">INDEX(INDIRECT(_xlfn.CONCAT("weather.tbl[",S$1,"]")),MATCH(vp.data[[#This Row],[SDate]],weather.tbl[Date],0))</f>
        <v>19.8</v>
      </c>
      <c r="T314" s="2">
        <f ca="1">INDEX(INDIRECT(_xlfn.CONCAT("weather.tbl[",T$1,"]")),MATCH(vp.data[[#This Row],[SDate]],weather.tbl[Date],0))</f>
        <v>16.8</v>
      </c>
      <c r="U314" s="2">
        <f ca="1">INDEX(INDIRECT(_xlfn.CONCAT("weather.tbl[",U$1,"]")),MATCH(vp.data[[#This Row],[SDate]],weather.tbl[Date],0))</f>
        <v>16.8</v>
      </c>
      <c r="V314" s="2">
        <f t="array" ref="V3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2800.154</v>
      </c>
      <c r="W314" t="s">
        <v>48</v>
      </c>
      <c r="X314">
        <f>IF(OR(vp.data[[#This Row],[Sulf]]="",vp.data[[#This Row],[Dens]]=""),1,0)</f>
        <v>0</v>
      </c>
      <c r="Y314">
        <f>IF(vp.data[[#This Row],[CrudeType]]="C5+",1,0)</f>
        <v>0</v>
      </c>
      <c r="Z314">
        <f>IF(AND(vp.data[[#This Row],[CrudeType]]="Crude",vp.data[[#This Row],[Dens]]&lt;=825,vp.data[[#This Row],[Sulf]]&gt;0.5,vp.data[[#This Row],[Unknown]]=0),1,0)</f>
        <v>1</v>
      </c>
      <c r="AA314">
        <f>IF(AND(vp.data[[#This Row],[CrudeType]]="Crude",vp.data[[#This Row],[Dens]]&lt;=825,vp.data[[#This Row],[Sulf]]&lt;=0.5,vp.data[[#This Row],[Unknown]]=0),1,0)</f>
        <v>0</v>
      </c>
      <c r="AB3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4">
        <f>IF(AND(vp.data[[#This Row],[CrudeType]]="Crude",vp.data[[#This Row],[Dens]]&gt;825,vp.data[[#This Row],[Dens]]&lt;=900,vp.data[[#This Row],[Sulf]]&lt;=0.5,vp.data[[#This Row],[Unknown]]=0),1,0)</f>
        <v>0</v>
      </c>
      <c r="AD314">
        <f>IF(AND(vp.data[[#This Row],[CrudeType]]="Crude",vp.data[[#This Row],[Dens]]&gt;865,vp.data[[#This Row],[Dens]]&lt;=900,vp.data[[#This Row],[Sulf]]&gt;2,vp.data[[#This Row],[Unknown]]=0),1,0)</f>
        <v>0</v>
      </c>
      <c r="AE314">
        <f>IF(AND(vp.data[[#This Row],[CrudeType]]="Crude",vp.data[[#This Row],[Dens]]&gt;900,vp.data[[#This Row],[Sulf]]&lt;=0.5,vp.data[[#This Row],[Unknown]]=0),1,0)</f>
        <v>0</v>
      </c>
      <c r="AF314">
        <f>IF(AND(vp.data[[#This Row],[CrudeType]]="Crude",vp.data[[#This Row],[Dens]]&gt;900,vp.data[[#This Row],[Sulf]]&lt;=0.5,vp.data[[#This Row],[Unknown]]=0),1,0)</f>
        <v>0</v>
      </c>
      <c r="AG314" t="str">
        <f>INDEX(vp.data[[#Headers],[Unknown]:[Heavy_SW]],MATCH(1,vp.data[[#This Row],[Unknown]:[Heavy_SW]],0))</f>
        <v>Light_LSB</v>
      </c>
      <c r="AH314">
        <f>INDEX([3]!crudeBD.lkup[Number],MATCH(vp.data[[#This Row],[Crude_Breakdown]],crudeBD.lkup[Crude Breakdown],0))</f>
        <v>1</v>
      </c>
      <c r="AI314">
        <f>MONTH(vp.data[[#This Row],[SDate]])</f>
        <v>8</v>
      </c>
      <c r="AJ314" s="5">
        <f>(vp.data[[#This Row],[VP]]-INDEX(crudeBD.lkup[Mean_VP],MATCH(vp.data[[#This Row],[Crude_Breakdown]],crudeBD.lkup[Crude Breakdown],0)))^2</f>
        <v>389.91184444680761</v>
      </c>
      <c r="AK314" s="5">
        <f>(vp.data[[#This Row],[Dens]]-INDEX(crudeBD.lkup[Mean_Dens],MATCH(vp.data[[#This Row],[Crude_Breakdown]],crudeBD.lkup[Crude Breakdown],0)))^2</f>
        <v>15.866123149233145</v>
      </c>
      <c r="AL314" s="5">
        <f>(vp.data[[#This Row],[Sulf]]-INDEX(crudeBD.lkup[Mean_Sulf],MATCH(vp.data[[#This Row],[Crude_Breakdown]],crudeBD.lkup[Crude Breakdown],0)))^2</f>
        <v>4.1197295195523106E-2</v>
      </c>
      <c r="AM314" s="4">
        <f>IF(AND(vp.data[[#This Row],[SDate]]&gt;=DATE(YEAR(vp.data[[#This Row],[SDate]]),5,1),vp.data[[#This Row],[SDate]]&lt;=DATE(YEAR(vp.data[[#This Row],[SDate]]),9,15)),1,0)</f>
        <v>1</v>
      </c>
      <c r="AN314" s="4">
        <f>IF(vp.data[[#This Row],[SDate]]&lt;DATE(2016,12,1),0,1)</f>
        <v>0</v>
      </c>
      <c r="AO314" s="4">
        <f>IFERROR(vp.data[[#This Row],[Sulf]]*vp.data[[#This Row],[Net Dens]],"")</f>
        <v>1658251.1987999999</v>
      </c>
      <c r="AP314">
        <f>IFERROR(vp.data[[#This Row],[Dens]]*vp.data[[#This Row],[VolumeM3]],"")</f>
        <v>2303126.665</v>
      </c>
      <c r="AQ314" s="15">
        <f>IFERROR(vp.data[[#This Row],[VP]]*vp.data[[#This Row],[VolumeM3]],"")</f>
        <v>201051.05719999998</v>
      </c>
    </row>
    <row r="315" spans="1:43" x14ac:dyDescent="0.25">
      <c r="A315">
        <v>314</v>
      </c>
      <c r="B315" t="s">
        <v>49</v>
      </c>
      <c r="C315" t="s">
        <v>49</v>
      </c>
      <c r="D315" t="s">
        <v>89</v>
      </c>
      <c r="F315" s="1">
        <v>42612</v>
      </c>
      <c r="G315" s="2">
        <v>77.2</v>
      </c>
      <c r="H315" s="2"/>
      <c r="I315" s="2">
        <f t="array" ref="I315">_xlfn.IFNA(IF(vp.data[[#This Row],[Sulf Input]]="",INDEX([1]DATA!$Q$3:$Q$9826,MATCH(1,(vp.data[[#This Row],[Battery]]=[1]DATA!$L$3:$L$9826)*(EOMONTH(vp.data[[#This Row],[SDate]],-1)+1=[1]DATA!$G$3:$G$9826),0)),vp.data[[#This Row],[Sulf Input]]),"")</f>
        <v>0.21</v>
      </c>
      <c r="J315" s="2"/>
      <c r="K315" s="2"/>
      <c r="L315" s="2">
        <v>825</v>
      </c>
      <c r="M315" s="2">
        <f t="array" ref="M315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315" s="2">
        <f ca="1">INDEX(INDIRECT(_xlfn.CONCAT("weather.tbl[",N$1,"]")),MATCH(vp.data[[#This Row],[SDate]],weather.tbl[Date],0))</f>
        <v>18.333333333333332</v>
      </c>
      <c r="O315" s="2">
        <f ca="1">INDEX(INDIRECT(_xlfn.CONCAT("weather.tbl[",O$1,"]")),MATCH(vp.data[[#This Row],[SDate]],weather.tbl[Date],0))</f>
        <v>16.478571428571428</v>
      </c>
      <c r="P315" s="2">
        <f ca="1">INDEX(INDIRECT(_xlfn.CONCAT("weather.tbl[",P$1,"]")),MATCH(vp.data[[#This Row],[SDate]],weather.tbl[Date],0))</f>
        <v>19.3</v>
      </c>
      <c r="Q315" s="2">
        <f ca="1">INDEX(INDIRECT(_xlfn.CONCAT("weather.tbl[",Q$1,"]")),MATCH(vp.data[[#This Row],[SDate]],weather.tbl[Date],0))</f>
        <v>19.8</v>
      </c>
      <c r="R315" s="2">
        <f ca="1">INDEX(INDIRECT(_xlfn.CONCAT("weather.tbl[",R$1,"]")),MATCH(vp.data[[#This Row],[SDate]],weather.tbl[Date],0))</f>
        <v>17.5</v>
      </c>
      <c r="S315" s="2">
        <f ca="1">INDEX(INDIRECT(_xlfn.CONCAT("weather.tbl[",S$1,"]")),MATCH(vp.data[[#This Row],[SDate]],weather.tbl[Date],0))</f>
        <v>19.8</v>
      </c>
      <c r="T315" s="2">
        <f ca="1">INDEX(INDIRECT(_xlfn.CONCAT("weather.tbl[",T$1,"]")),MATCH(vp.data[[#This Row],[SDate]],weather.tbl[Date],0))</f>
        <v>16.8</v>
      </c>
      <c r="U315" s="2">
        <f ca="1">INDEX(INDIRECT(_xlfn.CONCAT("weather.tbl[",U$1,"]")),MATCH(vp.data[[#This Row],[SDate]],weather.tbl[Date],0))</f>
        <v>16.8</v>
      </c>
      <c r="V315" s="2">
        <f t="array" ref="V3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6690.3270000000002</v>
      </c>
      <c r="W315" t="s">
        <v>48</v>
      </c>
      <c r="X315">
        <f>IF(OR(vp.data[[#This Row],[Sulf]]="",vp.data[[#This Row],[Dens]]=""),1,0)</f>
        <v>0</v>
      </c>
      <c r="Y315">
        <f>IF(vp.data[[#This Row],[CrudeType]]="C5+",1,0)</f>
        <v>0</v>
      </c>
      <c r="Z315">
        <f>IF(AND(vp.data[[#This Row],[CrudeType]]="Crude",vp.data[[#This Row],[Dens]]&lt;=825,vp.data[[#This Row],[Sulf]]&gt;0.5,vp.data[[#This Row],[Unknown]]=0),1,0)</f>
        <v>0</v>
      </c>
      <c r="AA315">
        <f>IF(AND(vp.data[[#This Row],[CrudeType]]="Crude",vp.data[[#This Row],[Dens]]&lt;=825,vp.data[[#This Row],[Sulf]]&lt;=0.5,vp.data[[#This Row],[Unknown]]=0),1,0)</f>
        <v>1</v>
      </c>
      <c r="AB3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5">
        <f>IF(AND(vp.data[[#This Row],[CrudeType]]="Crude",vp.data[[#This Row],[Dens]]&gt;825,vp.data[[#This Row],[Dens]]&lt;=900,vp.data[[#This Row],[Sulf]]&lt;=0.5,vp.data[[#This Row],[Unknown]]=0),1,0)</f>
        <v>0</v>
      </c>
      <c r="AD315">
        <f>IF(AND(vp.data[[#This Row],[CrudeType]]="Crude",vp.data[[#This Row],[Dens]]&gt;865,vp.data[[#This Row],[Dens]]&lt;=900,vp.data[[#This Row],[Sulf]]&gt;2,vp.data[[#This Row],[Unknown]]=0),1,0)</f>
        <v>0</v>
      </c>
      <c r="AE315">
        <f>IF(AND(vp.data[[#This Row],[CrudeType]]="Crude",vp.data[[#This Row],[Dens]]&gt;900,vp.data[[#This Row],[Sulf]]&lt;=0.5,vp.data[[#This Row],[Unknown]]=0),1,0)</f>
        <v>0</v>
      </c>
      <c r="AF315">
        <f>IF(AND(vp.data[[#This Row],[CrudeType]]="Crude",vp.data[[#This Row],[Dens]]&gt;900,vp.data[[#This Row],[Sulf]]&lt;=0.5,vp.data[[#This Row],[Unknown]]=0),1,0)</f>
        <v>0</v>
      </c>
      <c r="AG315" t="str">
        <f>INDEX(vp.data[[#Headers],[Unknown]:[Heavy_SW]],MATCH(1,vp.data[[#This Row],[Unknown]:[Heavy_SW]],0))</f>
        <v>Light_SW</v>
      </c>
      <c r="AH315">
        <f>INDEX([3]!crudeBD.lkup[Number],MATCH(vp.data[[#This Row],[Crude_Breakdown]],crudeBD.lkup[Crude Breakdown],0))</f>
        <v>2</v>
      </c>
      <c r="AI315">
        <f>MONTH(vp.data[[#This Row],[SDate]])</f>
        <v>8</v>
      </c>
      <c r="AJ315" s="5">
        <f>(vp.data[[#This Row],[VP]]-INDEX(crudeBD.lkup[Mean_VP],MATCH(vp.data[[#This Row],[Crude_Breakdown]],crudeBD.lkup[Crude Breakdown],0)))^2</f>
        <v>235.63212727603732</v>
      </c>
      <c r="AK315" s="5">
        <f>(vp.data[[#This Row],[Dens]]-INDEX(crudeBD.lkup[Mean_Dens],MATCH(vp.data[[#This Row],[Crude_Breakdown]],crudeBD.lkup[Crude Breakdown],0)))^2</f>
        <v>278.50609039809393</v>
      </c>
      <c r="AL315" s="5">
        <f>(vp.data[[#This Row],[Sulf]]-INDEX(crudeBD.lkup[Mean_Sulf],MATCH(vp.data[[#This Row],[Crude_Breakdown]],crudeBD.lkup[Crude Breakdown],0)))^2</f>
        <v>6.8863268899706654E-4</v>
      </c>
      <c r="AM315" s="4">
        <f>IF(AND(vp.data[[#This Row],[SDate]]&gt;=DATE(YEAR(vp.data[[#This Row],[SDate]]),5,1),vp.data[[#This Row],[SDate]]&lt;=DATE(YEAR(vp.data[[#This Row],[SDate]]),9,15)),1,0)</f>
        <v>1</v>
      </c>
      <c r="AN315" s="4">
        <f>IF(vp.data[[#This Row],[SDate]]&lt;DATE(2016,12,1),0,1)</f>
        <v>0</v>
      </c>
      <c r="AO315" s="4">
        <f>IFERROR(vp.data[[#This Row],[Sulf]]*vp.data[[#This Row],[Net Dens]],"")</f>
        <v>1159099.1527500001</v>
      </c>
      <c r="AP315">
        <f>IFERROR(vp.data[[#This Row],[Dens]]*vp.data[[#This Row],[VolumeM3]],"")</f>
        <v>5519519.7750000004</v>
      </c>
      <c r="AQ315" s="15">
        <f>IFERROR(vp.data[[#This Row],[VP]]*vp.data[[#This Row],[VolumeM3]],"")</f>
        <v>516493.24440000003</v>
      </c>
    </row>
    <row r="316" spans="1:43" x14ac:dyDescent="0.25">
      <c r="A316">
        <v>315</v>
      </c>
      <c r="B316" t="s">
        <v>51</v>
      </c>
      <c r="C316" t="s">
        <v>51</v>
      </c>
      <c r="D316" t="s">
        <v>72</v>
      </c>
      <c r="F316" s="1">
        <v>42612</v>
      </c>
      <c r="G316" s="2">
        <v>67.3</v>
      </c>
      <c r="H316" s="2"/>
      <c r="I316" s="2">
        <f t="array" ref="I316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316" s="2"/>
      <c r="K316" s="2"/>
      <c r="L316" s="2">
        <v>861.5</v>
      </c>
      <c r="M316" s="2">
        <f t="array" ref="M316">_xlfn.IFNA(IF(vp.data[[#This Row],[Dens Input]]="",INDEX([1]DATA!$O$3:$O$9826,MATCH(1,(vp.data[[#This Row],[Battery]]=[1]DATA!$L$3:$L$9826)*(EOMONTH(vp.data[[#This Row],[SDate]],-1)+1=[1]DATA!$G$3:$G$9826),0)),vp.data[[#This Row],[Dens Input]]),"")</f>
        <v>861.5</v>
      </c>
      <c r="N316" s="2">
        <f ca="1">INDEX(INDIRECT(_xlfn.CONCAT("weather.tbl[",N$1,"]")),MATCH(vp.data[[#This Row],[SDate]],weather.tbl[Date],0))</f>
        <v>18.333333333333332</v>
      </c>
      <c r="O316" s="2">
        <f ca="1">INDEX(INDIRECT(_xlfn.CONCAT("weather.tbl[",O$1,"]")),MATCH(vp.data[[#This Row],[SDate]],weather.tbl[Date],0))</f>
        <v>16.478571428571428</v>
      </c>
      <c r="P316" s="2">
        <f ca="1">INDEX(INDIRECT(_xlfn.CONCAT("weather.tbl[",P$1,"]")),MATCH(vp.data[[#This Row],[SDate]],weather.tbl[Date],0))</f>
        <v>19.3</v>
      </c>
      <c r="Q316" s="2">
        <f ca="1">INDEX(INDIRECT(_xlfn.CONCAT("weather.tbl[",Q$1,"]")),MATCH(vp.data[[#This Row],[SDate]],weather.tbl[Date],0))</f>
        <v>19.8</v>
      </c>
      <c r="R316" s="2">
        <f ca="1">INDEX(INDIRECT(_xlfn.CONCAT("weather.tbl[",R$1,"]")),MATCH(vp.data[[#This Row],[SDate]],weather.tbl[Date],0))</f>
        <v>17.5</v>
      </c>
      <c r="S316" s="2">
        <f ca="1">INDEX(INDIRECT(_xlfn.CONCAT("weather.tbl[",S$1,"]")),MATCH(vp.data[[#This Row],[SDate]],weather.tbl[Date],0))</f>
        <v>19.8</v>
      </c>
      <c r="T316" s="2">
        <f ca="1">INDEX(INDIRECT(_xlfn.CONCAT("weather.tbl[",T$1,"]")),MATCH(vp.data[[#This Row],[SDate]],weather.tbl[Date],0))</f>
        <v>16.8</v>
      </c>
      <c r="U316" s="2">
        <f ca="1">INDEX(INDIRECT(_xlfn.CONCAT("weather.tbl[",U$1,"]")),MATCH(vp.data[[#This Row],[SDate]],weather.tbl[Date],0))</f>
        <v>16.8</v>
      </c>
      <c r="V316" s="2">
        <f t="array" ref="V3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6071.46</v>
      </c>
      <c r="W316" t="s">
        <v>48</v>
      </c>
      <c r="X316">
        <f>IF(OR(vp.data[[#This Row],[Sulf]]="",vp.data[[#This Row],[Dens]]=""),1,0)</f>
        <v>0</v>
      </c>
      <c r="Y316">
        <f>IF(vp.data[[#This Row],[CrudeType]]="C5+",1,0)</f>
        <v>0</v>
      </c>
      <c r="Z316">
        <f>IF(AND(vp.data[[#This Row],[CrudeType]]="Crude",vp.data[[#This Row],[Dens]]&lt;=825,vp.data[[#This Row],[Sulf]]&gt;0.5,vp.data[[#This Row],[Unknown]]=0),1,0)</f>
        <v>0</v>
      </c>
      <c r="AA316">
        <f>IF(AND(vp.data[[#This Row],[CrudeType]]="Crude",vp.data[[#This Row],[Dens]]&lt;=825,vp.data[[#This Row],[Sulf]]&lt;=0.5,vp.data[[#This Row],[Unknown]]=0),1,0)</f>
        <v>0</v>
      </c>
      <c r="AB3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16">
        <f>IF(AND(vp.data[[#This Row],[CrudeType]]="Crude",vp.data[[#This Row],[Dens]]&gt;825,vp.data[[#This Row],[Dens]]&lt;=900,vp.data[[#This Row],[Sulf]]&lt;=0.5,vp.data[[#This Row],[Unknown]]=0),1,0)</f>
        <v>0</v>
      </c>
      <c r="AD316">
        <f>IF(AND(vp.data[[#This Row],[CrudeType]]="Crude",vp.data[[#This Row],[Dens]]&gt;865,vp.data[[#This Row],[Dens]]&lt;=900,vp.data[[#This Row],[Sulf]]&gt;2,vp.data[[#This Row],[Unknown]]=0),1,0)</f>
        <v>0</v>
      </c>
      <c r="AE316">
        <f>IF(AND(vp.data[[#This Row],[CrudeType]]="Crude",vp.data[[#This Row],[Dens]]&gt;900,vp.data[[#This Row],[Sulf]]&lt;=0.5,vp.data[[#This Row],[Unknown]]=0),1,0)</f>
        <v>0</v>
      </c>
      <c r="AF316">
        <f>IF(AND(vp.data[[#This Row],[CrudeType]]="Crude",vp.data[[#This Row],[Dens]]&gt;900,vp.data[[#This Row],[Sulf]]&lt;=0.5,vp.data[[#This Row],[Unknown]]=0),1,0)</f>
        <v>0</v>
      </c>
      <c r="AG316" t="str">
        <f>INDEX(vp.data[[#Headers],[Unknown]:[Heavy_SW]],MATCH(1,vp.data[[#This Row],[Unknown]:[Heavy_SW]],0))</f>
        <v>Medium_LSB</v>
      </c>
      <c r="AH316">
        <f>INDEX([3]!crudeBD.lkup[Number],MATCH(vp.data[[#This Row],[Crude_Breakdown]],crudeBD.lkup[Crude Breakdown],0))</f>
        <v>3</v>
      </c>
      <c r="AI316">
        <f>MONTH(vp.data[[#This Row],[SDate]])</f>
        <v>8</v>
      </c>
      <c r="AJ316" s="5">
        <f>(vp.data[[#This Row],[VP]]-INDEX(crudeBD.lkup[Mean_VP],MATCH(vp.data[[#This Row],[Crude_Breakdown]],crudeBD.lkup[Crude Breakdown],0)))^2</f>
        <v>177.94697045502247</v>
      </c>
      <c r="AK316" s="5">
        <f>(vp.data[[#This Row],[Dens]]-INDEX(crudeBD.lkup[Mean_Dens],MATCH(vp.data[[#This Row],[Crude_Breakdown]],crudeBD.lkup[Crude Breakdown],0)))^2</f>
        <v>309.05640000001745</v>
      </c>
      <c r="AL316" s="5">
        <f>(vp.data[[#This Row],[Sulf]]-INDEX(crudeBD.lkup[Mean_Sulf],MATCH(vp.data[[#This Row],[Crude_Breakdown]],crudeBD.lkup[Crude Breakdown],0)))^2</f>
        <v>9.3274123845019638E-2</v>
      </c>
      <c r="AM316" s="4">
        <f>IF(AND(vp.data[[#This Row],[SDate]]&gt;=DATE(YEAR(vp.data[[#This Row],[SDate]]),5,1),vp.data[[#This Row],[SDate]]&lt;=DATE(YEAR(vp.data[[#This Row],[SDate]]),9,15)),1,0)</f>
        <v>1</v>
      </c>
      <c r="AN316" s="4">
        <f>IF(vp.data[[#This Row],[SDate]]&lt;DATE(2016,12,1),0,1)</f>
        <v>0</v>
      </c>
      <c r="AO316" s="4">
        <f>IFERROR(vp.data[[#This Row],[Sulf]]*vp.data[[#This Row],[Net Dens]],"")</f>
        <v>5649007.8132000007</v>
      </c>
      <c r="AP316">
        <f>IFERROR(vp.data[[#This Row],[Dens]]*vp.data[[#This Row],[VolumeM3]],"")</f>
        <v>5230562.79</v>
      </c>
      <c r="AQ316" s="15">
        <f>IFERROR(vp.data[[#This Row],[VP]]*vp.data[[#This Row],[VolumeM3]],"")</f>
        <v>408609.25799999997</v>
      </c>
    </row>
    <row r="317" spans="1:43" x14ac:dyDescent="0.25">
      <c r="A317">
        <v>316</v>
      </c>
      <c r="B317" t="s">
        <v>53</v>
      </c>
      <c r="C317" t="s">
        <v>53</v>
      </c>
      <c r="D317" t="s">
        <v>54</v>
      </c>
      <c r="E317" t="s">
        <v>55</v>
      </c>
      <c r="F317" s="1">
        <v>42613</v>
      </c>
      <c r="G317" s="2">
        <v>65.5</v>
      </c>
      <c r="H317" s="2"/>
      <c r="I317" s="2">
        <f t="array" ref="I317">_xlfn.IFNA(IF(vp.data[[#This Row],[Sulf Input]]="",INDEX([1]DATA!$Q$3:$Q$9826,MATCH(1,(vp.data[[#This Row],[Battery]]=[1]DATA!$L$3:$L$9826)*(EOMONTH(vp.data[[#This Row],[SDate]],-1)+1=[1]DATA!$G$3:$G$9826),0)),vp.data[[#This Row],[Sulf Input]]),"")</f>
        <v>1.75</v>
      </c>
      <c r="J317" s="2"/>
      <c r="K317" s="2"/>
      <c r="L317" s="2">
        <v>829</v>
      </c>
      <c r="M317" s="2">
        <f t="array" ref="M317">_xlfn.IFNA(IF(vp.data[[#This Row],[Dens Input]]="",INDEX([1]DATA!$O$3:$O$9826,MATCH(1,(vp.data[[#This Row],[Battery]]=[1]DATA!$L$3:$L$9826)*(EOMONTH(vp.data[[#This Row],[SDate]],-1)+1=[1]DATA!$G$3:$G$9826),0)),vp.data[[#This Row],[Dens Input]]),"")</f>
        <v>829</v>
      </c>
      <c r="N317" s="2">
        <f ca="1">INDEX(INDIRECT(_xlfn.CONCAT("weather.tbl[",N$1,"]")),MATCH(vp.data[[#This Row],[SDate]],weather.tbl[Date],0))</f>
        <v>18.583333333333332</v>
      </c>
      <c r="O317" s="2">
        <f ca="1">INDEX(INDIRECT(_xlfn.CONCAT("weather.tbl[",O$1,"]")),MATCH(vp.data[[#This Row],[SDate]],weather.tbl[Date],0))</f>
        <v>17.045238095238094</v>
      </c>
      <c r="P317" s="2">
        <f ca="1">INDEX(INDIRECT(_xlfn.CONCAT("weather.tbl[",P$1,"]")),MATCH(vp.data[[#This Row],[SDate]],weather.tbl[Date],0))</f>
        <v>19.600000000000001</v>
      </c>
      <c r="Q317" s="2">
        <f ca="1">INDEX(INDIRECT(_xlfn.CONCAT("weather.tbl[",Q$1,"]")),MATCH(vp.data[[#This Row],[SDate]],weather.tbl[Date],0))</f>
        <v>20.3</v>
      </c>
      <c r="R317" s="2">
        <f ca="1">INDEX(INDIRECT(_xlfn.CONCAT("weather.tbl[",R$1,"]")),MATCH(vp.data[[#This Row],[SDate]],weather.tbl[Date],0))</f>
        <v>16.8</v>
      </c>
      <c r="S317" s="2">
        <f ca="1">INDEX(INDIRECT(_xlfn.CONCAT("weather.tbl[",S$1,"]")),MATCH(vp.data[[#This Row],[SDate]],weather.tbl[Date],0))</f>
        <v>20.5</v>
      </c>
      <c r="T317" s="2">
        <f ca="1">INDEX(INDIRECT(_xlfn.CONCAT("weather.tbl[",T$1,"]")),MATCH(vp.data[[#This Row],[SDate]],weather.tbl[Date],0))</f>
        <v>17.5</v>
      </c>
      <c r="U317" s="2">
        <f ca="1">INDEX(INDIRECT(_xlfn.CONCAT("weather.tbl[",U$1,"]")),MATCH(vp.data[[#This Row],[SDate]],weather.tbl[Date],0))</f>
        <v>16.8</v>
      </c>
      <c r="V317" s="2">
        <f t="array" ref="V3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62161.747000000003</v>
      </c>
      <c r="W317" t="s">
        <v>48</v>
      </c>
      <c r="X317">
        <f>IF(OR(vp.data[[#This Row],[Sulf]]="",vp.data[[#This Row],[Dens]]=""),1,0)</f>
        <v>0</v>
      </c>
      <c r="Y317">
        <f>IF(vp.data[[#This Row],[CrudeType]]="C5+",1,0)</f>
        <v>0</v>
      </c>
      <c r="Z317">
        <f>IF(AND(vp.data[[#This Row],[CrudeType]]="Crude",vp.data[[#This Row],[Dens]]&lt;=825,vp.data[[#This Row],[Sulf]]&gt;0.5,vp.data[[#This Row],[Unknown]]=0),1,0)</f>
        <v>0</v>
      </c>
      <c r="AA317">
        <f>IF(AND(vp.data[[#This Row],[CrudeType]]="Crude",vp.data[[#This Row],[Dens]]&lt;=825,vp.data[[#This Row],[Sulf]]&lt;=0.5,vp.data[[#This Row],[Unknown]]=0),1,0)</f>
        <v>0</v>
      </c>
      <c r="AB3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17">
        <f>IF(AND(vp.data[[#This Row],[CrudeType]]="Crude",vp.data[[#This Row],[Dens]]&gt;825,vp.data[[#This Row],[Dens]]&lt;=900,vp.data[[#This Row],[Sulf]]&lt;=0.5,vp.data[[#This Row],[Unknown]]=0),1,0)</f>
        <v>0</v>
      </c>
      <c r="AD317">
        <f>IF(AND(vp.data[[#This Row],[CrudeType]]="Crude",vp.data[[#This Row],[Dens]]&gt;865,vp.data[[#This Row],[Dens]]&lt;=900,vp.data[[#This Row],[Sulf]]&gt;2,vp.data[[#This Row],[Unknown]]=0),1,0)</f>
        <v>0</v>
      </c>
      <c r="AE317">
        <f>IF(AND(vp.data[[#This Row],[CrudeType]]="Crude",vp.data[[#This Row],[Dens]]&gt;900,vp.data[[#This Row],[Sulf]]&lt;=0.5,vp.data[[#This Row],[Unknown]]=0),1,0)</f>
        <v>0</v>
      </c>
      <c r="AF317">
        <f>IF(AND(vp.data[[#This Row],[CrudeType]]="Crude",vp.data[[#This Row],[Dens]]&gt;900,vp.data[[#This Row],[Sulf]]&lt;=0.5,vp.data[[#This Row],[Unknown]]=0),1,0)</f>
        <v>0</v>
      </c>
      <c r="AG317" t="str">
        <f>INDEX(vp.data[[#Headers],[Unknown]:[Heavy_SW]],MATCH(1,vp.data[[#This Row],[Unknown]:[Heavy_SW]],0))</f>
        <v>Medium_LSB</v>
      </c>
      <c r="AH317">
        <f>INDEX([3]!crudeBD.lkup[Number],MATCH(vp.data[[#This Row],[Crude_Breakdown]],crudeBD.lkup[Crude Breakdown],0))</f>
        <v>3</v>
      </c>
      <c r="AI317">
        <f>MONTH(vp.data[[#This Row],[SDate]])</f>
        <v>8</v>
      </c>
      <c r="AJ317" s="5">
        <f>(vp.data[[#This Row],[VP]]-INDEX(crudeBD.lkup[Mean_VP],MATCH(vp.data[[#This Row],[Crude_Breakdown]],crudeBD.lkup[Crude Breakdown],0)))^2</f>
        <v>229.20980603453697</v>
      </c>
      <c r="AK317" s="5">
        <f>(vp.data[[#This Row],[Dens]]-INDEX(crudeBD.lkup[Mean_Dens],MATCH(vp.data[[#This Row],[Crude_Breakdown]],crudeBD.lkup[Crude Breakdown],0)))^2</f>
        <v>222.6063999999852</v>
      </c>
      <c r="AL317" s="5">
        <f>(vp.data[[#This Row],[Sulf]]-INDEX(crudeBD.lkup[Mean_Sulf],MATCH(vp.data[[#This Row],[Crude_Breakdown]],crudeBD.lkup[Crude Breakdown],0)))^2</f>
        <v>0.13292723408760523</v>
      </c>
      <c r="AM317" s="4">
        <f>IF(AND(vp.data[[#This Row],[SDate]]&gt;=DATE(YEAR(vp.data[[#This Row],[SDate]]),5,1),vp.data[[#This Row],[SDate]]&lt;=DATE(YEAR(vp.data[[#This Row],[SDate]]),9,15)),1,0)</f>
        <v>1</v>
      </c>
      <c r="AN317" s="4">
        <f>IF(vp.data[[#This Row],[SDate]]&lt;DATE(2016,12,1),0,1)</f>
        <v>0</v>
      </c>
      <c r="AO317" s="4">
        <f>IFERROR(vp.data[[#This Row],[Sulf]]*vp.data[[#This Row],[Net Dens]],"")</f>
        <v>90181154.460250005</v>
      </c>
      <c r="AP317">
        <f>IFERROR(vp.data[[#This Row],[Dens]]*vp.data[[#This Row],[VolumeM3]],"")</f>
        <v>51532088.263000004</v>
      </c>
      <c r="AQ317" s="15">
        <f>IFERROR(vp.data[[#This Row],[VP]]*vp.data[[#This Row],[VolumeM3]],"")</f>
        <v>4071594.4285000004</v>
      </c>
    </row>
    <row r="318" spans="1:43" x14ac:dyDescent="0.25">
      <c r="A318">
        <v>317</v>
      </c>
      <c r="B318" t="s">
        <v>62</v>
      </c>
      <c r="C318" t="s">
        <v>62</v>
      </c>
      <c r="D318" t="s">
        <v>83</v>
      </c>
      <c r="F318" s="1">
        <v>42613</v>
      </c>
      <c r="G318" s="2">
        <v>81.599999999999994</v>
      </c>
      <c r="H318" s="2"/>
      <c r="I318" s="2">
        <f t="array" ref="I318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318" s="2"/>
      <c r="K318" s="2"/>
      <c r="L318" s="2">
        <v>814.7</v>
      </c>
      <c r="M318" s="2">
        <f t="array" ref="M318">_xlfn.IFNA(IF(vp.data[[#This Row],[Dens Input]]="",INDEX([1]DATA!$O$3:$O$9826,MATCH(1,(vp.data[[#This Row],[Battery]]=[1]DATA!$L$3:$L$9826)*(EOMONTH(vp.data[[#This Row],[SDate]],-1)+1=[1]DATA!$G$3:$G$9826),0)),vp.data[[#This Row],[Dens Input]]),"")</f>
        <v>814.7</v>
      </c>
      <c r="N318" s="2">
        <f ca="1">INDEX(INDIRECT(_xlfn.CONCAT("weather.tbl[",N$1,"]")),MATCH(vp.data[[#This Row],[SDate]],weather.tbl[Date],0))</f>
        <v>18.583333333333332</v>
      </c>
      <c r="O318" s="2">
        <f ca="1">INDEX(INDIRECT(_xlfn.CONCAT("weather.tbl[",O$1,"]")),MATCH(vp.data[[#This Row],[SDate]],weather.tbl[Date],0))</f>
        <v>17.045238095238094</v>
      </c>
      <c r="P318" s="2">
        <f ca="1">INDEX(INDIRECT(_xlfn.CONCAT("weather.tbl[",P$1,"]")),MATCH(vp.data[[#This Row],[SDate]],weather.tbl[Date],0))</f>
        <v>19.600000000000001</v>
      </c>
      <c r="Q318" s="2">
        <f ca="1">INDEX(INDIRECT(_xlfn.CONCAT("weather.tbl[",Q$1,"]")),MATCH(vp.data[[#This Row],[SDate]],weather.tbl[Date],0))</f>
        <v>20.3</v>
      </c>
      <c r="R318" s="2">
        <f ca="1">INDEX(INDIRECT(_xlfn.CONCAT("weather.tbl[",R$1,"]")),MATCH(vp.data[[#This Row],[SDate]],weather.tbl[Date],0))</f>
        <v>16.8</v>
      </c>
      <c r="S318" s="2">
        <f ca="1">INDEX(INDIRECT(_xlfn.CONCAT("weather.tbl[",S$1,"]")),MATCH(vp.data[[#This Row],[SDate]],weather.tbl[Date],0))</f>
        <v>20.5</v>
      </c>
      <c r="T318" s="2">
        <f ca="1">INDEX(INDIRECT(_xlfn.CONCAT("weather.tbl[",T$1,"]")),MATCH(vp.data[[#This Row],[SDate]],weather.tbl[Date],0))</f>
        <v>17.5</v>
      </c>
      <c r="U318" s="2">
        <f ca="1">INDEX(INDIRECT(_xlfn.CONCAT("weather.tbl[",U$1,"]")),MATCH(vp.data[[#This Row],[SDate]],weather.tbl[Date],0))</f>
        <v>16.8</v>
      </c>
      <c r="V318" s="2">
        <f t="array" ref="V3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9531.8590000000004</v>
      </c>
      <c r="W318" t="s">
        <v>48</v>
      </c>
      <c r="X318">
        <f>IF(OR(vp.data[[#This Row],[Sulf]]="",vp.data[[#This Row],[Dens]]=""),1,0)</f>
        <v>0</v>
      </c>
      <c r="Y318">
        <f>IF(vp.data[[#This Row],[CrudeType]]="C5+",1,0)</f>
        <v>0</v>
      </c>
      <c r="Z318">
        <f>IF(AND(vp.data[[#This Row],[CrudeType]]="Crude",vp.data[[#This Row],[Dens]]&lt;=825,vp.data[[#This Row],[Sulf]]&gt;0.5,vp.data[[#This Row],[Unknown]]=0),1,0)</f>
        <v>0</v>
      </c>
      <c r="AA318">
        <f>IF(AND(vp.data[[#This Row],[CrudeType]]="Crude",vp.data[[#This Row],[Dens]]&lt;=825,vp.data[[#This Row],[Sulf]]&lt;=0.5,vp.data[[#This Row],[Unknown]]=0),1,0)</f>
        <v>1</v>
      </c>
      <c r="AB3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8">
        <f>IF(AND(vp.data[[#This Row],[CrudeType]]="Crude",vp.data[[#This Row],[Dens]]&gt;825,vp.data[[#This Row],[Dens]]&lt;=900,vp.data[[#This Row],[Sulf]]&lt;=0.5,vp.data[[#This Row],[Unknown]]=0),1,0)</f>
        <v>0</v>
      </c>
      <c r="AD318">
        <f>IF(AND(vp.data[[#This Row],[CrudeType]]="Crude",vp.data[[#This Row],[Dens]]&gt;865,vp.data[[#This Row],[Dens]]&lt;=900,vp.data[[#This Row],[Sulf]]&gt;2,vp.data[[#This Row],[Unknown]]=0),1,0)</f>
        <v>0</v>
      </c>
      <c r="AE318">
        <f>IF(AND(vp.data[[#This Row],[CrudeType]]="Crude",vp.data[[#This Row],[Dens]]&gt;900,vp.data[[#This Row],[Sulf]]&lt;=0.5,vp.data[[#This Row],[Unknown]]=0),1,0)</f>
        <v>0</v>
      </c>
      <c r="AF318">
        <f>IF(AND(vp.data[[#This Row],[CrudeType]]="Crude",vp.data[[#This Row],[Dens]]&gt;900,vp.data[[#This Row],[Sulf]]&lt;=0.5,vp.data[[#This Row],[Unknown]]=0),1,0)</f>
        <v>0</v>
      </c>
      <c r="AG318" t="str">
        <f>INDEX(vp.data[[#Headers],[Unknown]:[Heavy_SW]],MATCH(1,vp.data[[#This Row],[Unknown]:[Heavy_SW]],0))</f>
        <v>Light_SW</v>
      </c>
      <c r="AH318">
        <f>INDEX([3]!crudeBD.lkup[Number],MATCH(vp.data[[#This Row],[Crude_Breakdown]],crudeBD.lkup[Crude Breakdown],0))</f>
        <v>2</v>
      </c>
      <c r="AI318">
        <f>MONTH(vp.data[[#This Row],[SDate]])</f>
        <v>8</v>
      </c>
      <c r="AJ318" s="5">
        <f>(vp.data[[#This Row],[VP]]-INDEX(crudeBD.lkup[Mean_VP],MATCH(vp.data[[#This Row],[Crude_Breakdown]],crudeBD.lkup[Crude Breakdown],0)))^2</f>
        <v>119.90936769415626</v>
      </c>
      <c r="AK318" s="5">
        <f>(vp.data[[#This Row],[Dens]]-INDEX(crudeBD.lkup[Mean_Dens],MATCH(vp.data[[#This Row],[Crude_Breakdown]],crudeBD.lkup[Crude Breakdown],0)))^2</f>
        <v>40.812954509588288</v>
      </c>
      <c r="AL318" s="5">
        <f>(vp.data[[#This Row],[Sulf]]-INDEX(crudeBD.lkup[Mean_Sulf],MATCH(vp.data[[#This Row],[Crude_Breakdown]],crudeBD.lkup[Crude Breakdown],0)))^2</f>
        <v>4.3879776367322437E-3</v>
      </c>
      <c r="AM318" s="4">
        <f>IF(AND(vp.data[[#This Row],[SDate]]&gt;=DATE(YEAR(vp.data[[#This Row],[SDate]]),5,1),vp.data[[#This Row],[SDate]]&lt;=DATE(YEAR(vp.data[[#This Row],[SDate]]),9,15)),1,0)</f>
        <v>1</v>
      </c>
      <c r="AN318" s="4">
        <f>IF(vp.data[[#This Row],[SDate]]&lt;DATE(2016,12,1),0,1)</f>
        <v>0</v>
      </c>
      <c r="AO318" s="4">
        <f>IFERROR(vp.data[[#This Row],[Sulf]]*vp.data[[#This Row],[Net Dens]],"")</f>
        <v>1320152.9396410002</v>
      </c>
      <c r="AP318">
        <f>IFERROR(vp.data[[#This Row],[Dens]]*vp.data[[#This Row],[VolumeM3]],"")</f>
        <v>7765605.5273000011</v>
      </c>
      <c r="AQ318" s="15">
        <f>IFERROR(vp.data[[#This Row],[VP]]*vp.data[[#This Row],[VolumeM3]],"")</f>
        <v>777799.69439999992</v>
      </c>
    </row>
    <row r="319" spans="1:43" x14ac:dyDescent="0.25">
      <c r="A319">
        <v>318</v>
      </c>
      <c r="B319" t="s">
        <v>62</v>
      </c>
      <c r="C319" t="s">
        <v>62</v>
      </c>
      <c r="D319" t="s">
        <v>87</v>
      </c>
      <c r="F319" s="1">
        <v>42613</v>
      </c>
      <c r="G319" s="2">
        <v>75.599999999999994</v>
      </c>
      <c r="H319" s="2"/>
      <c r="I319" s="2">
        <f t="array" ref="I319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319" s="2"/>
      <c r="K319" s="2"/>
      <c r="L319" s="2">
        <v>819.6</v>
      </c>
      <c r="M319" s="2">
        <f t="array" ref="M319">_xlfn.IFNA(IF(vp.data[[#This Row],[Dens Input]]="",INDEX([1]DATA!$O$3:$O$9826,MATCH(1,(vp.data[[#This Row],[Battery]]=[1]DATA!$L$3:$L$9826)*(EOMONTH(vp.data[[#This Row],[SDate]],-1)+1=[1]DATA!$G$3:$G$9826),0)),vp.data[[#This Row],[Dens Input]]),"")</f>
        <v>819.6</v>
      </c>
      <c r="N319" s="2">
        <f ca="1">INDEX(INDIRECT(_xlfn.CONCAT("weather.tbl[",N$1,"]")),MATCH(vp.data[[#This Row],[SDate]],weather.tbl[Date],0))</f>
        <v>18.583333333333332</v>
      </c>
      <c r="O319" s="2">
        <f ca="1">INDEX(INDIRECT(_xlfn.CONCAT("weather.tbl[",O$1,"]")),MATCH(vp.data[[#This Row],[SDate]],weather.tbl[Date],0))</f>
        <v>17.045238095238094</v>
      </c>
      <c r="P319" s="2">
        <f ca="1">INDEX(INDIRECT(_xlfn.CONCAT("weather.tbl[",P$1,"]")),MATCH(vp.data[[#This Row],[SDate]],weather.tbl[Date],0))</f>
        <v>19.600000000000001</v>
      </c>
      <c r="Q319" s="2">
        <f ca="1">INDEX(INDIRECT(_xlfn.CONCAT("weather.tbl[",Q$1,"]")),MATCH(vp.data[[#This Row],[SDate]],weather.tbl[Date],0))</f>
        <v>20.3</v>
      </c>
      <c r="R319" s="2">
        <f ca="1">INDEX(INDIRECT(_xlfn.CONCAT("weather.tbl[",R$1,"]")),MATCH(vp.data[[#This Row],[SDate]],weather.tbl[Date],0))</f>
        <v>16.8</v>
      </c>
      <c r="S319" s="2">
        <f ca="1">INDEX(INDIRECT(_xlfn.CONCAT("weather.tbl[",S$1,"]")),MATCH(vp.data[[#This Row],[SDate]],weather.tbl[Date],0))</f>
        <v>20.5</v>
      </c>
      <c r="T319" s="2">
        <f ca="1">INDEX(INDIRECT(_xlfn.CONCAT("weather.tbl[",T$1,"]")),MATCH(vp.data[[#This Row],[SDate]],weather.tbl[Date],0))</f>
        <v>17.5</v>
      </c>
      <c r="U319" s="2">
        <f ca="1">INDEX(INDIRECT(_xlfn.CONCAT("weather.tbl[",U$1,"]")),MATCH(vp.data[[#This Row],[SDate]],weather.tbl[Date],0))</f>
        <v>16.8</v>
      </c>
      <c r="V319" s="2">
        <f t="array" ref="V3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7819.1639999999998</v>
      </c>
      <c r="W319" t="s">
        <v>48</v>
      </c>
      <c r="X319">
        <f>IF(OR(vp.data[[#This Row],[Sulf]]="",vp.data[[#This Row],[Dens]]=""),1,0)</f>
        <v>0</v>
      </c>
      <c r="Y319">
        <f>IF(vp.data[[#This Row],[CrudeType]]="C5+",1,0)</f>
        <v>0</v>
      </c>
      <c r="Z319">
        <f>IF(AND(vp.data[[#This Row],[CrudeType]]="Crude",vp.data[[#This Row],[Dens]]&lt;=825,vp.data[[#This Row],[Sulf]]&gt;0.5,vp.data[[#This Row],[Unknown]]=0),1,0)</f>
        <v>0</v>
      </c>
      <c r="AA319">
        <f>IF(AND(vp.data[[#This Row],[CrudeType]]="Crude",vp.data[[#This Row],[Dens]]&lt;=825,vp.data[[#This Row],[Sulf]]&lt;=0.5,vp.data[[#This Row],[Unknown]]=0),1,0)</f>
        <v>1</v>
      </c>
      <c r="AB3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19">
        <f>IF(AND(vp.data[[#This Row],[CrudeType]]="Crude",vp.data[[#This Row],[Dens]]&gt;825,vp.data[[#This Row],[Dens]]&lt;=900,vp.data[[#This Row],[Sulf]]&lt;=0.5,vp.data[[#This Row],[Unknown]]=0),1,0)</f>
        <v>0</v>
      </c>
      <c r="AD319">
        <f>IF(AND(vp.data[[#This Row],[CrudeType]]="Crude",vp.data[[#This Row],[Dens]]&gt;865,vp.data[[#This Row],[Dens]]&lt;=900,vp.data[[#This Row],[Sulf]]&gt;2,vp.data[[#This Row],[Unknown]]=0),1,0)</f>
        <v>0</v>
      </c>
      <c r="AE319">
        <f>IF(AND(vp.data[[#This Row],[CrudeType]]="Crude",vp.data[[#This Row],[Dens]]&gt;900,vp.data[[#This Row],[Sulf]]&lt;=0.5,vp.data[[#This Row],[Unknown]]=0),1,0)</f>
        <v>0</v>
      </c>
      <c r="AF319">
        <f>IF(AND(vp.data[[#This Row],[CrudeType]]="Crude",vp.data[[#This Row],[Dens]]&gt;900,vp.data[[#This Row],[Sulf]]&lt;=0.5,vp.data[[#This Row],[Unknown]]=0),1,0)</f>
        <v>0</v>
      </c>
      <c r="AG319" t="str">
        <f>INDEX(vp.data[[#Headers],[Unknown]:[Heavy_SW]],MATCH(1,vp.data[[#This Row],[Unknown]:[Heavy_SW]],0))</f>
        <v>Light_SW</v>
      </c>
      <c r="AH319">
        <f>INDEX([3]!crudeBD.lkup[Number],MATCH(vp.data[[#This Row],[Crude_Breakdown]],crudeBD.lkup[Crude Breakdown],0))</f>
        <v>2</v>
      </c>
      <c r="AI319">
        <f>MONTH(vp.data[[#This Row],[SDate]])</f>
        <v>8</v>
      </c>
      <c r="AJ319" s="5">
        <f>(vp.data[[#This Row],[VP]]-INDEX(crudeBD.lkup[Mean_VP],MATCH(vp.data[[#This Row],[Crude_Breakdown]],crudeBD.lkup[Crude Breakdown],0)))^2</f>
        <v>287.31313076035809</v>
      </c>
      <c r="AK319" s="5">
        <f>(vp.data[[#This Row],[Dens]]-INDEX(crudeBD.lkup[Mean_Dens],MATCH(vp.data[[#This Row],[Crude_Breakdown]],crudeBD.lkup[Crude Breakdown],0)))^2</f>
        <v>127.43027158276109</v>
      </c>
      <c r="AL319" s="5">
        <f>(vp.data[[#This Row],[Sulf]]-INDEX(crudeBD.lkup[Mean_Sulf],MATCH(vp.data[[#This Row],[Crude_Breakdown]],crudeBD.lkup[Crude Breakdown],0)))^2</f>
        <v>5.8128138736660397E-3</v>
      </c>
      <c r="AM319" s="4">
        <f>IF(AND(vp.data[[#This Row],[SDate]]&gt;=DATE(YEAR(vp.data[[#This Row],[SDate]]),5,1),vp.data[[#This Row],[SDate]]&lt;=DATE(YEAR(vp.data[[#This Row],[SDate]]),9,15)),1,0)</f>
        <v>1</v>
      </c>
      <c r="AN319" s="4">
        <f>IF(vp.data[[#This Row],[SDate]]&lt;DATE(2016,12,1),0,1)</f>
        <v>0</v>
      </c>
      <c r="AO319" s="4">
        <f>IFERROR(vp.data[[#This Row],[Sulf]]*vp.data[[#This Row],[Net Dens]],"")</f>
        <v>1025373.890304</v>
      </c>
      <c r="AP319">
        <f>IFERROR(vp.data[[#This Row],[Dens]]*vp.data[[#This Row],[VolumeM3]],"")</f>
        <v>6408586.8143999996</v>
      </c>
      <c r="AQ319" s="15">
        <f>IFERROR(vp.data[[#This Row],[VP]]*vp.data[[#This Row],[VolumeM3]],"")</f>
        <v>591128.79839999997</v>
      </c>
    </row>
    <row r="320" spans="1:43" x14ac:dyDescent="0.25">
      <c r="A320">
        <v>319</v>
      </c>
      <c r="B320" t="s">
        <v>62</v>
      </c>
      <c r="C320" t="s">
        <v>62</v>
      </c>
      <c r="D320" t="s">
        <v>63</v>
      </c>
      <c r="F320" s="1">
        <v>42613</v>
      </c>
      <c r="G320" s="2">
        <v>82.6</v>
      </c>
      <c r="H320" s="2"/>
      <c r="I320" s="2">
        <f t="array" ref="I320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320" s="2"/>
      <c r="K320" s="2"/>
      <c r="L320" s="2">
        <v>833.3</v>
      </c>
      <c r="M320" s="2">
        <f t="array" ref="M320">_xlfn.IFNA(IF(vp.data[[#This Row],[Dens Input]]="",INDEX([1]DATA!$O$3:$O$9826,MATCH(1,(vp.data[[#This Row],[Battery]]=[1]DATA!$L$3:$L$9826)*(EOMONTH(vp.data[[#This Row],[SDate]],-1)+1=[1]DATA!$G$3:$G$9826),0)),vp.data[[#This Row],[Dens Input]]),"")</f>
        <v>833.3</v>
      </c>
      <c r="N320" s="2">
        <f ca="1">INDEX(INDIRECT(_xlfn.CONCAT("weather.tbl[",N$1,"]")),MATCH(vp.data[[#This Row],[SDate]],weather.tbl[Date],0))</f>
        <v>18.583333333333332</v>
      </c>
      <c r="O320" s="2">
        <f ca="1">INDEX(INDIRECT(_xlfn.CONCAT("weather.tbl[",O$1,"]")),MATCH(vp.data[[#This Row],[SDate]],weather.tbl[Date],0))</f>
        <v>17.045238095238094</v>
      </c>
      <c r="P320" s="2">
        <f ca="1">INDEX(INDIRECT(_xlfn.CONCAT("weather.tbl[",P$1,"]")),MATCH(vp.data[[#This Row],[SDate]],weather.tbl[Date],0))</f>
        <v>19.600000000000001</v>
      </c>
      <c r="Q320" s="2">
        <f ca="1">INDEX(INDIRECT(_xlfn.CONCAT("weather.tbl[",Q$1,"]")),MATCH(vp.data[[#This Row],[SDate]],weather.tbl[Date],0))</f>
        <v>20.3</v>
      </c>
      <c r="R320" s="2">
        <f ca="1">INDEX(INDIRECT(_xlfn.CONCAT("weather.tbl[",R$1,"]")),MATCH(vp.data[[#This Row],[SDate]],weather.tbl[Date],0))</f>
        <v>16.8</v>
      </c>
      <c r="S320" s="2">
        <f ca="1">INDEX(INDIRECT(_xlfn.CONCAT("weather.tbl[",S$1,"]")),MATCH(vp.data[[#This Row],[SDate]],weather.tbl[Date],0))</f>
        <v>20.5</v>
      </c>
      <c r="T320" s="2">
        <f ca="1">INDEX(INDIRECT(_xlfn.CONCAT("weather.tbl[",T$1,"]")),MATCH(vp.data[[#This Row],[SDate]],weather.tbl[Date],0))</f>
        <v>17.5</v>
      </c>
      <c r="U320" s="2">
        <f ca="1">INDEX(INDIRECT(_xlfn.CONCAT("weather.tbl[",U$1,"]")),MATCH(vp.data[[#This Row],[SDate]],weather.tbl[Date],0))</f>
        <v>16.8</v>
      </c>
      <c r="V320" s="2">
        <f t="array" ref="V3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5419.0659999999998</v>
      </c>
      <c r="W320" t="s">
        <v>48</v>
      </c>
      <c r="X320">
        <f>IF(OR(vp.data[[#This Row],[Sulf]]="",vp.data[[#This Row],[Dens]]=""),1,0)</f>
        <v>0</v>
      </c>
      <c r="Y320">
        <f>IF(vp.data[[#This Row],[CrudeType]]="C5+",1,0)</f>
        <v>0</v>
      </c>
      <c r="Z320">
        <f>IF(AND(vp.data[[#This Row],[CrudeType]]="Crude",vp.data[[#This Row],[Dens]]&lt;=825,vp.data[[#This Row],[Sulf]]&gt;0.5,vp.data[[#This Row],[Unknown]]=0),1,0)</f>
        <v>0</v>
      </c>
      <c r="AA320">
        <f>IF(AND(vp.data[[#This Row],[CrudeType]]="Crude",vp.data[[#This Row],[Dens]]&lt;=825,vp.data[[#This Row],[Sulf]]&lt;=0.5,vp.data[[#This Row],[Unknown]]=0),1,0)</f>
        <v>0</v>
      </c>
      <c r="AB3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0">
        <f>IF(AND(vp.data[[#This Row],[CrudeType]]="Crude",vp.data[[#This Row],[Dens]]&gt;825,vp.data[[#This Row],[Dens]]&lt;=900,vp.data[[#This Row],[Sulf]]&lt;=0.5,vp.data[[#This Row],[Unknown]]=0),1,0)</f>
        <v>0</v>
      </c>
      <c r="AD320">
        <f>IF(AND(vp.data[[#This Row],[CrudeType]]="Crude",vp.data[[#This Row],[Dens]]&gt;865,vp.data[[#This Row],[Dens]]&lt;=900,vp.data[[#This Row],[Sulf]]&gt;2,vp.data[[#This Row],[Unknown]]=0),1,0)</f>
        <v>0</v>
      </c>
      <c r="AE320">
        <f>IF(AND(vp.data[[#This Row],[CrudeType]]="Crude",vp.data[[#This Row],[Dens]]&gt;900,vp.data[[#This Row],[Sulf]]&lt;=0.5,vp.data[[#This Row],[Unknown]]=0),1,0)</f>
        <v>0</v>
      </c>
      <c r="AF320">
        <f>IF(AND(vp.data[[#This Row],[CrudeType]]="Crude",vp.data[[#This Row],[Dens]]&gt;900,vp.data[[#This Row],[Sulf]]&lt;=0.5,vp.data[[#This Row],[Unknown]]=0),1,0)</f>
        <v>0</v>
      </c>
      <c r="AG320" t="str">
        <f>INDEX(vp.data[[#Headers],[Unknown]:[Heavy_SW]],MATCH(1,vp.data[[#This Row],[Unknown]:[Heavy_SW]],0))</f>
        <v>Medium_LSB</v>
      </c>
      <c r="AH320">
        <f>INDEX([3]!crudeBD.lkup[Number],MATCH(vp.data[[#This Row],[Crude_Breakdown]],crudeBD.lkup[Crude Breakdown],0))</f>
        <v>3</v>
      </c>
      <c r="AI320">
        <f>MONTH(vp.data[[#This Row],[SDate]])</f>
        <v>8</v>
      </c>
      <c r="AJ320" s="5">
        <f>(vp.data[[#This Row],[VP]]-INDEX(crudeBD.lkup[Mean_VP],MATCH(vp.data[[#This Row],[Crude_Breakdown]],crudeBD.lkup[Crude Breakdown],0)))^2</f>
        <v>3.84286802914855</v>
      </c>
      <c r="AK320" s="5">
        <f>(vp.data[[#This Row],[Dens]]-INDEX(crudeBD.lkup[Mean_Dens],MATCH(vp.data[[#This Row],[Crude_Breakdown]],crudeBD.lkup[Crude Breakdown],0)))^2</f>
        <v>112.78439999999044</v>
      </c>
      <c r="AL320" s="5">
        <f>(vp.data[[#This Row],[Sulf]]-INDEX(crudeBD.lkup[Mean_Sulf],MATCH(vp.data[[#This Row],[Crude_Breakdown]],crudeBD.lkup[Crude Breakdown],0)))^2</f>
        <v>1.8114972362538555E-2</v>
      </c>
      <c r="AM320" s="4">
        <f>IF(AND(vp.data[[#This Row],[SDate]]&gt;=DATE(YEAR(vp.data[[#This Row],[SDate]]),5,1),vp.data[[#This Row],[SDate]]&lt;=DATE(YEAR(vp.data[[#This Row],[SDate]]),9,15)),1,0)</f>
        <v>1</v>
      </c>
      <c r="AN320" s="4">
        <f>IF(vp.data[[#This Row],[SDate]]&lt;DATE(2016,12,1),0,1)</f>
        <v>0</v>
      </c>
      <c r="AO320" s="4">
        <f>IFERROR(vp.data[[#This Row],[Sulf]]*vp.data[[#This Row],[Net Dens]],"")</f>
        <v>6863875.7006559987</v>
      </c>
      <c r="AP320">
        <f>IFERROR(vp.data[[#This Row],[Dens]]*vp.data[[#This Row],[VolumeM3]],"")</f>
        <v>4515707.6977999993</v>
      </c>
      <c r="AQ320" s="15">
        <f>IFERROR(vp.data[[#This Row],[VP]]*vp.data[[#This Row],[VolumeM3]],"")</f>
        <v>447614.85159999994</v>
      </c>
    </row>
    <row r="321" spans="1:43" x14ac:dyDescent="0.25">
      <c r="A321">
        <v>320</v>
      </c>
      <c r="B321" t="s">
        <v>64</v>
      </c>
      <c r="C321" t="s">
        <v>64</v>
      </c>
      <c r="D321" t="s">
        <v>65</v>
      </c>
      <c r="F321" s="1">
        <v>42613</v>
      </c>
      <c r="G321" s="2">
        <v>73.2</v>
      </c>
      <c r="H321" s="2"/>
      <c r="I321" s="2">
        <f t="array" ref="I321">_xlfn.IFNA(IF(vp.data[[#This Row],[Sulf Input]]="",INDEX([1]DATA!$Q$3:$Q$9826,MATCH(1,(vp.data[[#This Row],[Battery]]=[1]DATA!$L$3:$L$9826)*(EOMONTH(vp.data[[#This Row],[SDate]],-1)+1=[1]DATA!$G$3:$G$9826),0)),vp.data[[#This Row],[Sulf Input]]),"")</f>
        <v>2.0099999999999998</v>
      </c>
      <c r="J321" s="2"/>
      <c r="K321" s="2"/>
      <c r="L321" s="2">
        <v>876.5</v>
      </c>
      <c r="M321" s="2">
        <f t="array" ref="M321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321" s="2">
        <f ca="1">INDEX(INDIRECT(_xlfn.CONCAT("weather.tbl[",N$1,"]")),MATCH(vp.data[[#This Row],[SDate]],weather.tbl[Date],0))</f>
        <v>18.583333333333332</v>
      </c>
      <c r="O321" s="2">
        <f ca="1">INDEX(INDIRECT(_xlfn.CONCAT("weather.tbl[",O$1,"]")),MATCH(vp.data[[#This Row],[SDate]],weather.tbl[Date],0))</f>
        <v>17.045238095238094</v>
      </c>
      <c r="P321" s="2">
        <f ca="1">INDEX(INDIRECT(_xlfn.CONCAT("weather.tbl[",P$1,"]")),MATCH(vp.data[[#This Row],[SDate]],weather.tbl[Date],0))</f>
        <v>19.600000000000001</v>
      </c>
      <c r="Q321" s="2">
        <f ca="1">INDEX(INDIRECT(_xlfn.CONCAT("weather.tbl[",Q$1,"]")),MATCH(vp.data[[#This Row],[SDate]],weather.tbl[Date],0))</f>
        <v>20.3</v>
      </c>
      <c r="R321" s="2">
        <f ca="1">INDEX(INDIRECT(_xlfn.CONCAT("weather.tbl[",R$1,"]")),MATCH(vp.data[[#This Row],[SDate]],weather.tbl[Date],0))</f>
        <v>16.8</v>
      </c>
      <c r="S321" s="2">
        <f ca="1">INDEX(INDIRECT(_xlfn.CONCAT("weather.tbl[",S$1,"]")),MATCH(vp.data[[#This Row],[SDate]],weather.tbl[Date],0))</f>
        <v>20.5</v>
      </c>
      <c r="T321" s="2">
        <f ca="1">INDEX(INDIRECT(_xlfn.CONCAT("weather.tbl[",T$1,"]")),MATCH(vp.data[[#This Row],[SDate]],weather.tbl[Date],0))</f>
        <v>17.5</v>
      </c>
      <c r="U321" s="2">
        <f ca="1">INDEX(INDIRECT(_xlfn.CONCAT("weather.tbl[",U$1,"]")),MATCH(vp.data[[#This Row],[SDate]],weather.tbl[Date],0))</f>
        <v>16.8</v>
      </c>
      <c r="V321" s="2">
        <f t="array" ref="V3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22300.46</v>
      </c>
      <c r="W321" t="s">
        <v>48</v>
      </c>
      <c r="X321">
        <f>IF(OR(vp.data[[#This Row],[Sulf]]="",vp.data[[#This Row],[Dens]]=""),1,0)</f>
        <v>0</v>
      </c>
      <c r="Y321">
        <f>IF(vp.data[[#This Row],[CrudeType]]="C5+",1,0)</f>
        <v>0</v>
      </c>
      <c r="Z321">
        <f>IF(AND(vp.data[[#This Row],[CrudeType]]="Crude",vp.data[[#This Row],[Dens]]&lt;=825,vp.data[[#This Row],[Sulf]]&gt;0.5,vp.data[[#This Row],[Unknown]]=0),1,0)</f>
        <v>0</v>
      </c>
      <c r="AA321">
        <f>IF(AND(vp.data[[#This Row],[CrudeType]]="Crude",vp.data[[#This Row],[Dens]]&lt;=825,vp.data[[#This Row],[Sulf]]&lt;=0.5,vp.data[[#This Row],[Unknown]]=0),1,0)</f>
        <v>0</v>
      </c>
      <c r="AB3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21">
        <f>IF(AND(vp.data[[#This Row],[CrudeType]]="Crude",vp.data[[#This Row],[Dens]]&gt;825,vp.data[[#This Row],[Dens]]&lt;=900,vp.data[[#This Row],[Sulf]]&lt;=0.5,vp.data[[#This Row],[Unknown]]=0),1,0)</f>
        <v>0</v>
      </c>
      <c r="AD321">
        <f>IF(AND(vp.data[[#This Row],[CrudeType]]="Crude",vp.data[[#This Row],[Dens]]&gt;865,vp.data[[#This Row],[Dens]]&lt;=900,vp.data[[#This Row],[Sulf]]&gt;2,vp.data[[#This Row],[Unknown]]=0),1,0)</f>
        <v>1</v>
      </c>
      <c r="AE321">
        <f>IF(AND(vp.data[[#This Row],[CrudeType]]="Crude",vp.data[[#This Row],[Dens]]&gt;900,vp.data[[#This Row],[Sulf]]&lt;=0.5,vp.data[[#This Row],[Unknown]]=0),1,0)</f>
        <v>0</v>
      </c>
      <c r="AF321">
        <f>IF(AND(vp.data[[#This Row],[CrudeType]]="Crude",vp.data[[#This Row],[Dens]]&gt;900,vp.data[[#This Row],[Sulf]]&lt;=0.5,vp.data[[#This Row],[Unknown]]=0),1,0)</f>
        <v>0</v>
      </c>
      <c r="AG321" t="str">
        <f>INDEX(vp.data[[#Headers],[Unknown]:[Heavy_SW]],MATCH(1,vp.data[[#This Row],[Unknown]:[Heavy_SW]],0))</f>
        <v>Midale</v>
      </c>
      <c r="AH321">
        <f>INDEX([3]!crudeBD.lkup[Number],MATCH(vp.data[[#This Row],[Crude_Breakdown]],crudeBD.lkup[Crude Breakdown],0))</f>
        <v>5</v>
      </c>
      <c r="AI321">
        <f>MONTH(vp.data[[#This Row],[SDate]])</f>
        <v>8</v>
      </c>
      <c r="AJ321" s="5">
        <f>(vp.data[[#This Row],[VP]]-INDEX(crudeBD.lkup[Mean_VP],MATCH(vp.data[[#This Row],[Crude_Breakdown]],crudeBD.lkup[Crude Breakdown],0)))^2</f>
        <v>14.373478850036982</v>
      </c>
      <c r="AK321" s="5">
        <f>(vp.data[[#This Row],[Dens]]-INDEX(crudeBD.lkup[Mean_Dens],MATCH(vp.data[[#This Row],[Crude_Breakdown]],crudeBD.lkup[Crude Breakdown],0)))^2</f>
        <v>2.8324542990743198</v>
      </c>
      <c r="AL321" s="5">
        <f>(vp.data[[#This Row],[Sulf]]-INDEX(crudeBD.lkup[Mean_Sulf],MATCH(vp.data[[#This Row],[Crude_Breakdown]],crudeBD.lkup[Crude Breakdown],0)))^2</f>
        <v>0.18802245995367101</v>
      </c>
      <c r="AM321" s="4">
        <f>IF(AND(vp.data[[#This Row],[SDate]]&gt;=DATE(YEAR(vp.data[[#This Row],[SDate]]),5,1),vp.data[[#This Row],[SDate]]&lt;=DATE(YEAR(vp.data[[#This Row],[SDate]]),9,15)),1,0)</f>
        <v>1</v>
      </c>
      <c r="AN321" s="4">
        <f>IF(vp.data[[#This Row],[SDate]]&lt;DATE(2016,12,1),0,1)</f>
        <v>0</v>
      </c>
      <c r="AO321" s="4">
        <f>IFERROR(vp.data[[#This Row],[Sulf]]*vp.data[[#This Row],[Net Dens]],"")</f>
        <v>39288169.911899991</v>
      </c>
      <c r="AP321">
        <f>IFERROR(vp.data[[#This Row],[Dens]]*vp.data[[#This Row],[VolumeM3]],"")</f>
        <v>19546353.189999998</v>
      </c>
      <c r="AQ321" s="15">
        <f>IFERROR(vp.data[[#This Row],[VP]]*vp.data[[#This Row],[VolumeM3]],"")</f>
        <v>1632393.672</v>
      </c>
    </row>
    <row r="322" spans="1:43" x14ac:dyDescent="0.25">
      <c r="A322">
        <v>321</v>
      </c>
      <c r="B322" t="s">
        <v>62</v>
      </c>
      <c r="C322" t="s">
        <v>62</v>
      </c>
      <c r="D322" t="s">
        <v>63</v>
      </c>
      <c r="F322" s="1">
        <v>42619</v>
      </c>
      <c r="G322" s="2">
        <v>85.2</v>
      </c>
      <c r="H322" s="2"/>
      <c r="I322" s="2">
        <f t="array" ref="I322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322" s="2"/>
      <c r="K322" s="2"/>
      <c r="L322" s="2">
        <v>834.4</v>
      </c>
      <c r="M322" s="2">
        <f t="array" ref="M322">_xlfn.IFNA(IF(vp.data[[#This Row],[Dens Input]]="",INDEX([1]DATA!$O$3:$O$9826,MATCH(1,(vp.data[[#This Row],[Battery]]=[1]DATA!$L$3:$L$9826)*(EOMONTH(vp.data[[#This Row],[SDate]],-1)+1=[1]DATA!$G$3:$G$9826),0)),vp.data[[#This Row],[Dens Input]]),"")</f>
        <v>834.4</v>
      </c>
      <c r="N322" s="2">
        <f ca="1">INDEX(INDIRECT(_xlfn.CONCAT("weather.tbl[",N$1,"]")),MATCH(vp.data[[#This Row],[SDate]],weather.tbl[Date],0))</f>
        <v>11.916666666666666</v>
      </c>
      <c r="O322" s="2">
        <f ca="1">INDEX(INDIRECT(_xlfn.CONCAT("weather.tbl[",O$1,"]")),MATCH(vp.data[[#This Row],[SDate]],weather.tbl[Date],0))</f>
        <v>16.885714285714286</v>
      </c>
      <c r="P322" s="2">
        <f ca="1">INDEX(INDIRECT(_xlfn.CONCAT("weather.tbl[",P$1,"]")),MATCH(vp.data[[#This Row],[SDate]],weather.tbl[Date],0))</f>
        <v>13.2</v>
      </c>
      <c r="Q322" s="2">
        <f ca="1">INDEX(INDIRECT(_xlfn.CONCAT("weather.tbl[",Q$1,"]")),MATCH(vp.data[[#This Row],[SDate]],weather.tbl[Date],0))</f>
        <v>11.6</v>
      </c>
      <c r="R322" s="2">
        <f ca="1">INDEX(INDIRECT(_xlfn.CONCAT("weather.tbl[",R$1,"]")),MATCH(vp.data[[#This Row],[SDate]],weather.tbl[Date],0))</f>
        <v>10.5</v>
      </c>
      <c r="S322" s="2">
        <f ca="1">INDEX(INDIRECT(_xlfn.CONCAT("weather.tbl[",S$1,"]")),MATCH(vp.data[[#This Row],[SDate]],weather.tbl[Date],0))</f>
        <v>11.3</v>
      </c>
      <c r="T322" s="2">
        <f ca="1">INDEX(INDIRECT(_xlfn.CONCAT("weather.tbl[",T$1,"]")),MATCH(vp.data[[#This Row],[SDate]],weather.tbl[Date],0))</f>
        <v>12.9</v>
      </c>
      <c r="U322" s="2">
        <f ca="1">INDEX(INDIRECT(_xlfn.CONCAT("weather.tbl[",U$1,"]")),MATCH(vp.data[[#This Row],[SDate]],weather.tbl[Date],0))</f>
        <v>12</v>
      </c>
      <c r="V322" s="2">
        <f t="array" ref="V3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5406.9110000000001</v>
      </c>
      <c r="W322" t="s">
        <v>48</v>
      </c>
      <c r="X322">
        <f>IF(OR(vp.data[[#This Row],[Sulf]]="",vp.data[[#This Row],[Dens]]=""),1,0)</f>
        <v>0</v>
      </c>
      <c r="Y322">
        <f>IF(vp.data[[#This Row],[CrudeType]]="C5+",1,0)</f>
        <v>0</v>
      </c>
      <c r="Z322">
        <f>IF(AND(vp.data[[#This Row],[CrudeType]]="Crude",vp.data[[#This Row],[Dens]]&lt;=825,vp.data[[#This Row],[Sulf]]&gt;0.5,vp.data[[#This Row],[Unknown]]=0),1,0)</f>
        <v>0</v>
      </c>
      <c r="AA322">
        <f>IF(AND(vp.data[[#This Row],[CrudeType]]="Crude",vp.data[[#This Row],[Dens]]&lt;=825,vp.data[[#This Row],[Sulf]]&lt;=0.5,vp.data[[#This Row],[Unknown]]=0),1,0)</f>
        <v>0</v>
      </c>
      <c r="AB3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2">
        <f>IF(AND(vp.data[[#This Row],[CrudeType]]="Crude",vp.data[[#This Row],[Dens]]&gt;825,vp.data[[#This Row],[Dens]]&lt;=900,vp.data[[#This Row],[Sulf]]&lt;=0.5,vp.data[[#This Row],[Unknown]]=0),1,0)</f>
        <v>0</v>
      </c>
      <c r="AD322">
        <f>IF(AND(vp.data[[#This Row],[CrudeType]]="Crude",vp.data[[#This Row],[Dens]]&gt;865,vp.data[[#This Row],[Dens]]&lt;=900,vp.data[[#This Row],[Sulf]]&gt;2,vp.data[[#This Row],[Unknown]]=0),1,0)</f>
        <v>0</v>
      </c>
      <c r="AE322">
        <f>IF(AND(vp.data[[#This Row],[CrudeType]]="Crude",vp.data[[#This Row],[Dens]]&gt;900,vp.data[[#This Row],[Sulf]]&lt;=0.5,vp.data[[#This Row],[Unknown]]=0),1,0)</f>
        <v>0</v>
      </c>
      <c r="AF322">
        <f>IF(AND(vp.data[[#This Row],[CrudeType]]="Crude",vp.data[[#This Row],[Dens]]&gt;900,vp.data[[#This Row],[Sulf]]&lt;=0.5,vp.data[[#This Row],[Unknown]]=0),1,0)</f>
        <v>0</v>
      </c>
      <c r="AG322" t="str">
        <f>INDEX(vp.data[[#Headers],[Unknown]:[Heavy_SW]],MATCH(1,vp.data[[#This Row],[Unknown]:[Heavy_SW]],0))</f>
        <v>Medium_LSB</v>
      </c>
      <c r="AH322">
        <f>INDEX([3]!crudeBD.lkup[Number],MATCH(vp.data[[#This Row],[Crude_Breakdown]],crudeBD.lkup[Crude Breakdown],0))</f>
        <v>3</v>
      </c>
      <c r="AI322">
        <f>MONTH(vp.data[[#This Row],[SDate]])</f>
        <v>9</v>
      </c>
      <c r="AJ322" s="5">
        <f>(vp.data[[#This Row],[VP]]-INDEX(crudeBD.lkup[Mean_VP],MATCH(vp.data[[#This Row],[Crude_Breakdown]],crudeBD.lkup[Crude Breakdown],0)))^2</f>
        <v>20.796549969849778</v>
      </c>
      <c r="AK322" s="5">
        <f>(vp.data[[#This Row],[Dens]]-INDEX(crudeBD.lkup[Mean_Dens],MATCH(vp.data[[#This Row],[Crude_Breakdown]],crudeBD.lkup[Crude Breakdown],0)))^2</f>
        <v>90.630399999990999</v>
      </c>
      <c r="AL322" s="5">
        <f>(vp.data[[#This Row],[Sulf]]-INDEX(crudeBD.lkup[Mean_Sulf],MATCH(vp.data[[#This Row],[Crude_Breakdown]],crudeBD.lkup[Crude Breakdown],0)))^2</f>
        <v>1.8114972362538555E-2</v>
      </c>
      <c r="AM322" s="4">
        <f>IF(AND(vp.data[[#This Row],[SDate]]&gt;=DATE(YEAR(vp.data[[#This Row],[SDate]]),5,1),vp.data[[#This Row],[SDate]]&lt;=DATE(YEAR(vp.data[[#This Row],[SDate]]),9,15)),1,0)</f>
        <v>1</v>
      </c>
      <c r="AN322" s="4">
        <f>IF(vp.data[[#This Row],[SDate]]&lt;DATE(2016,12,1),0,1)</f>
        <v>0</v>
      </c>
      <c r="AO322" s="4">
        <f>IFERROR(vp.data[[#This Row],[Sulf]]*vp.data[[#This Row],[Net Dens]],"")</f>
        <v>6857520.3383680005</v>
      </c>
      <c r="AP322">
        <f>IFERROR(vp.data[[#This Row],[Dens]]*vp.data[[#This Row],[VolumeM3]],"")</f>
        <v>4511526.5384</v>
      </c>
      <c r="AQ322" s="15">
        <f>IFERROR(vp.data[[#This Row],[VP]]*vp.data[[#This Row],[VolumeM3]],"")</f>
        <v>460668.81720000005</v>
      </c>
    </row>
    <row r="323" spans="1:43" x14ac:dyDescent="0.25">
      <c r="A323">
        <v>322</v>
      </c>
      <c r="B323" t="s">
        <v>49</v>
      </c>
      <c r="C323" t="s">
        <v>49</v>
      </c>
      <c r="D323" t="s">
        <v>75</v>
      </c>
      <c r="F323" s="1">
        <v>42620</v>
      </c>
      <c r="G323" s="2">
        <v>88.6</v>
      </c>
      <c r="H323" s="2"/>
      <c r="I323" s="2">
        <f t="array" ref="I323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23" s="2"/>
      <c r="K323" s="2"/>
      <c r="L323" s="2">
        <v>886</v>
      </c>
      <c r="M323" s="2">
        <f t="array" ref="M323">_xlfn.IFNA(IF(vp.data[[#This Row],[Dens Input]]="",INDEX([1]DATA!$O$3:$O$9826,MATCH(1,(vp.data[[#This Row],[Battery]]=[1]DATA!$L$3:$L$9826)*(EOMONTH(vp.data[[#This Row],[SDate]],-1)+1=[1]DATA!$G$3:$G$9826),0)),vp.data[[#This Row],[Dens Input]]),"")</f>
        <v>886</v>
      </c>
      <c r="N323" s="2">
        <f ca="1">INDEX(INDIRECT(_xlfn.CONCAT("weather.tbl[",N$1,"]")),MATCH(vp.data[[#This Row],[SDate]],weather.tbl[Date],0))</f>
        <v>12.550000000000002</v>
      </c>
      <c r="O323" s="2">
        <f ca="1">INDEX(INDIRECT(_xlfn.CONCAT("weather.tbl[",O$1,"]")),MATCH(vp.data[[#This Row],[SDate]],weather.tbl[Date],0))</f>
        <v>16.023809523809526</v>
      </c>
      <c r="P323" s="2">
        <f ca="1">INDEX(INDIRECT(_xlfn.CONCAT("weather.tbl[",P$1,"]")),MATCH(vp.data[[#This Row],[SDate]],weather.tbl[Date],0))</f>
        <v>12.5</v>
      </c>
      <c r="Q323" s="2">
        <f ca="1">INDEX(INDIRECT(_xlfn.CONCAT("weather.tbl[",Q$1,"]")),MATCH(vp.data[[#This Row],[SDate]],weather.tbl[Date],0))</f>
        <v>13.7</v>
      </c>
      <c r="R323" s="2">
        <f ca="1">INDEX(INDIRECT(_xlfn.CONCAT("weather.tbl[",R$1,"]")),MATCH(vp.data[[#This Row],[SDate]],weather.tbl[Date],0))</f>
        <v>10.5</v>
      </c>
      <c r="S323" s="2">
        <f ca="1">INDEX(INDIRECT(_xlfn.CONCAT("weather.tbl[",S$1,"]")),MATCH(vp.data[[#This Row],[SDate]],weather.tbl[Date],0))</f>
        <v>14.5</v>
      </c>
      <c r="T323" s="2">
        <f ca="1">INDEX(INDIRECT(_xlfn.CONCAT("weather.tbl[",T$1,"]")),MATCH(vp.data[[#This Row],[SDate]],weather.tbl[Date],0))</f>
        <v>12.6</v>
      </c>
      <c r="U323" s="2">
        <f ca="1">INDEX(INDIRECT(_xlfn.CONCAT("weather.tbl[",U$1,"]")),MATCH(vp.data[[#This Row],[SDate]],weather.tbl[Date],0))</f>
        <v>11.5</v>
      </c>
      <c r="V323" s="2">
        <f t="array" ref="V3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21289.401999999998</v>
      </c>
      <c r="W323" t="s">
        <v>48</v>
      </c>
      <c r="X323">
        <f>IF(OR(vp.data[[#This Row],[Sulf]]="",vp.data[[#This Row],[Dens]]=""),1,0)</f>
        <v>0</v>
      </c>
      <c r="Y323">
        <f>IF(vp.data[[#This Row],[CrudeType]]="C5+",1,0)</f>
        <v>0</v>
      </c>
      <c r="Z323">
        <f>IF(AND(vp.data[[#This Row],[CrudeType]]="Crude",vp.data[[#This Row],[Dens]]&lt;=825,vp.data[[#This Row],[Sulf]]&gt;0.5,vp.data[[#This Row],[Unknown]]=0),1,0)</f>
        <v>0</v>
      </c>
      <c r="AA323">
        <f>IF(AND(vp.data[[#This Row],[CrudeType]]="Crude",vp.data[[#This Row],[Dens]]&lt;=825,vp.data[[#This Row],[Sulf]]&lt;=0.5,vp.data[[#This Row],[Unknown]]=0),1,0)</f>
        <v>0</v>
      </c>
      <c r="AB3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23">
        <f>IF(AND(vp.data[[#This Row],[CrudeType]]="Crude",vp.data[[#This Row],[Dens]]&gt;825,vp.data[[#This Row],[Dens]]&lt;=900,vp.data[[#This Row],[Sulf]]&lt;=0.5,vp.data[[#This Row],[Unknown]]=0),1,0)</f>
        <v>1</v>
      </c>
      <c r="AD323">
        <f>IF(AND(vp.data[[#This Row],[CrudeType]]="Crude",vp.data[[#This Row],[Dens]]&gt;865,vp.data[[#This Row],[Dens]]&lt;=900,vp.data[[#This Row],[Sulf]]&gt;2,vp.data[[#This Row],[Unknown]]=0),1,0)</f>
        <v>0</v>
      </c>
      <c r="AE323">
        <f>IF(AND(vp.data[[#This Row],[CrudeType]]="Crude",vp.data[[#This Row],[Dens]]&gt;900,vp.data[[#This Row],[Sulf]]&lt;=0.5,vp.data[[#This Row],[Unknown]]=0),1,0)</f>
        <v>0</v>
      </c>
      <c r="AF323">
        <f>IF(AND(vp.data[[#This Row],[CrudeType]]="Crude",vp.data[[#This Row],[Dens]]&gt;900,vp.data[[#This Row],[Sulf]]&lt;=0.5,vp.data[[#This Row],[Unknown]]=0),1,0)</f>
        <v>0</v>
      </c>
      <c r="AG323" t="str">
        <f>INDEX(vp.data[[#Headers],[Unknown]:[Heavy_SW]],MATCH(1,vp.data[[#This Row],[Unknown]:[Heavy_SW]],0))</f>
        <v>Medium_SW</v>
      </c>
      <c r="AH323">
        <f>INDEX([3]!crudeBD.lkup[Number],MATCH(vp.data[[#This Row],[Crude_Breakdown]],crudeBD.lkup[Crude Breakdown],0))</f>
        <v>4</v>
      </c>
      <c r="AI323">
        <f>MONTH(vp.data[[#This Row],[SDate]])</f>
        <v>9</v>
      </c>
      <c r="AJ323" s="5">
        <f>(vp.data[[#This Row],[VP]]-INDEX(crudeBD.lkup[Mean_VP],MATCH(vp.data[[#This Row],[Crude_Breakdown]],crudeBD.lkup[Crude Breakdown],0)))^2</f>
        <v>18.346944444444308</v>
      </c>
      <c r="AK323" s="5">
        <f>(vp.data[[#This Row],[Dens]]-INDEX(crudeBD.lkup[Mean_Dens],MATCH(vp.data[[#This Row],[Crude_Breakdown]],crudeBD.lkup[Crude Breakdown],0)))^2</f>
        <v>823.68999999999608</v>
      </c>
      <c r="AL323" s="5">
        <f>(vp.data[[#This Row],[Sulf]]-INDEX(crudeBD.lkup[Mean_Sulf],MATCH(vp.data[[#This Row],[Crude_Breakdown]],crudeBD.lkup[Crude Breakdown],0)))^2</f>
        <v>2.3535596822499985E-3</v>
      </c>
      <c r="AM323" s="4">
        <f>IF(AND(vp.data[[#This Row],[SDate]]&gt;=DATE(YEAR(vp.data[[#This Row],[SDate]]),5,1),vp.data[[#This Row],[SDate]]&lt;=DATE(YEAR(vp.data[[#This Row],[SDate]]),9,15)),1,0)</f>
        <v>1</v>
      </c>
      <c r="AN323" s="4">
        <f>IF(vp.data[[#This Row],[SDate]]&lt;DATE(2016,12,1),0,1)</f>
        <v>0</v>
      </c>
      <c r="AO323" s="4">
        <f>IFERROR(vp.data[[#This Row],[Sulf]]*vp.data[[#This Row],[Net Dens]],"")</f>
        <v>2452113.3223599996</v>
      </c>
      <c r="AP323">
        <f>IFERROR(vp.data[[#This Row],[Dens]]*vp.data[[#This Row],[VolumeM3]],"")</f>
        <v>18862410.171999998</v>
      </c>
      <c r="AQ323" s="15">
        <f>IFERROR(vp.data[[#This Row],[VP]]*vp.data[[#This Row],[VolumeM3]],"")</f>
        <v>1886241.0171999997</v>
      </c>
    </row>
    <row r="324" spans="1:43" x14ac:dyDescent="0.25">
      <c r="A324">
        <v>323</v>
      </c>
      <c r="B324" t="s">
        <v>49</v>
      </c>
      <c r="C324" t="s">
        <v>49</v>
      </c>
      <c r="D324" t="s">
        <v>67</v>
      </c>
      <c r="F324" s="1">
        <v>42621</v>
      </c>
      <c r="G324" s="2">
        <v>92.5</v>
      </c>
      <c r="H324" s="2"/>
      <c r="I324" s="2">
        <f t="array" ref="I324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24" s="2"/>
      <c r="K324" s="2"/>
      <c r="L324" s="2">
        <v>805.4</v>
      </c>
      <c r="M324" s="2">
        <f t="array" ref="M324">_xlfn.IFNA(IF(vp.data[[#This Row],[Dens Input]]="",INDEX([1]DATA!$O$3:$O$9826,MATCH(1,(vp.data[[#This Row],[Battery]]=[1]DATA!$L$3:$L$9826)*(EOMONTH(vp.data[[#This Row],[SDate]],-1)+1=[1]DATA!$G$3:$G$9826),0)),vp.data[[#This Row],[Dens Input]]),"")</f>
        <v>805.4</v>
      </c>
      <c r="N324" s="2">
        <f ca="1">INDEX(INDIRECT(_xlfn.CONCAT("weather.tbl[",N$1,"]")),MATCH(vp.data[[#This Row],[SDate]],weather.tbl[Date],0))</f>
        <v>12.366666666666665</v>
      </c>
      <c r="O324" s="2">
        <f ca="1">INDEX(INDIRECT(_xlfn.CONCAT("weather.tbl[",O$1,"]")),MATCH(vp.data[[#This Row],[SDate]],weather.tbl[Date],0))</f>
        <v>14.499999999999998</v>
      </c>
      <c r="P324" s="2">
        <f ca="1">INDEX(INDIRECT(_xlfn.CONCAT("weather.tbl[",P$1,"]")),MATCH(vp.data[[#This Row],[SDate]],weather.tbl[Date],0))</f>
        <v>13</v>
      </c>
      <c r="Q324" s="2">
        <f ca="1">INDEX(INDIRECT(_xlfn.CONCAT("weather.tbl[",Q$1,"]")),MATCH(vp.data[[#This Row],[SDate]],weather.tbl[Date],0))</f>
        <v>12.5</v>
      </c>
      <c r="R324" s="2">
        <f ca="1">INDEX(INDIRECT(_xlfn.CONCAT("weather.tbl[",R$1,"]")),MATCH(vp.data[[#This Row],[SDate]],weather.tbl[Date],0))</f>
        <v>12.5</v>
      </c>
      <c r="S324" s="2">
        <f ca="1">INDEX(INDIRECT(_xlfn.CONCAT("weather.tbl[",S$1,"]")),MATCH(vp.data[[#This Row],[SDate]],weather.tbl[Date],0))</f>
        <v>11.8</v>
      </c>
      <c r="T324" s="2">
        <f ca="1">INDEX(INDIRECT(_xlfn.CONCAT("weather.tbl[",T$1,"]")),MATCH(vp.data[[#This Row],[SDate]],weather.tbl[Date],0))</f>
        <v>12.4</v>
      </c>
      <c r="U324" s="2">
        <f ca="1">INDEX(INDIRECT(_xlfn.CONCAT("weather.tbl[",U$1,"]")),MATCH(vp.data[[#This Row],[SDate]],weather.tbl[Date],0))</f>
        <v>12</v>
      </c>
      <c r="V324" s="2">
        <f t="array" ref="V3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50619.663999999997</v>
      </c>
      <c r="W324" t="s">
        <v>48</v>
      </c>
      <c r="X324">
        <f>IF(OR(vp.data[[#This Row],[Sulf]]="",vp.data[[#This Row],[Dens]]=""),1,0)</f>
        <v>0</v>
      </c>
      <c r="Y324">
        <f>IF(vp.data[[#This Row],[CrudeType]]="C5+",1,0)</f>
        <v>0</v>
      </c>
      <c r="Z324">
        <f>IF(AND(vp.data[[#This Row],[CrudeType]]="Crude",vp.data[[#This Row],[Dens]]&lt;=825,vp.data[[#This Row],[Sulf]]&gt;0.5,vp.data[[#This Row],[Unknown]]=0),1,0)</f>
        <v>0</v>
      </c>
      <c r="AA324">
        <f>IF(AND(vp.data[[#This Row],[CrudeType]]="Crude",vp.data[[#This Row],[Dens]]&lt;=825,vp.data[[#This Row],[Sulf]]&lt;=0.5,vp.data[[#This Row],[Unknown]]=0),1,0)</f>
        <v>1</v>
      </c>
      <c r="AB3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24">
        <f>IF(AND(vp.data[[#This Row],[CrudeType]]="Crude",vp.data[[#This Row],[Dens]]&gt;825,vp.data[[#This Row],[Dens]]&lt;=900,vp.data[[#This Row],[Sulf]]&lt;=0.5,vp.data[[#This Row],[Unknown]]=0),1,0)</f>
        <v>0</v>
      </c>
      <c r="AD324">
        <f>IF(AND(vp.data[[#This Row],[CrudeType]]="Crude",vp.data[[#This Row],[Dens]]&gt;865,vp.data[[#This Row],[Dens]]&lt;=900,vp.data[[#This Row],[Sulf]]&gt;2,vp.data[[#This Row],[Unknown]]=0),1,0)</f>
        <v>0</v>
      </c>
      <c r="AE324">
        <f>IF(AND(vp.data[[#This Row],[CrudeType]]="Crude",vp.data[[#This Row],[Dens]]&gt;900,vp.data[[#This Row],[Sulf]]&lt;=0.5,vp.data[[#This Row],[Unknown]]=0),1,0)</f>
        <v>0</v>
      </c>
      <c r="AF324">
        <f>IF(AND(vp.data[[#This Row],[CrudeType]]="Crude",vp.data[[#This Row],[Dens]]&gt;900,vp.data[[#This Row],[Sulf]]&lt;=0.5,vp.data[[#This Row],[Unknown]]=0),1,0)</f>
        <v>0</v>
      </c>
      <c r="AG324" t="str">
        <f>INDEX(vp.data[[#Headers],[Unknown]:[Heavy_SW]],MATCH(1,vp.data[[#This Row],[Unknown]:[Heavy_SW]],0))</f>
        <v>Light_SW</v>
      </c>
      <c r="AH324">
        <f>INDEX([3]!crudeBD.lkup[Number],MATCH(vp.data[[#This Row],[Crude_Breakdown]],crudeBD.lkup[Crude Breakdown],0))</f>
        <v>2</v>
      </c>
      <c r="AI324">
        <f>MONTH(vp.data[[#This Row],[SDate]])</f>
        <v>9</v>
      </c>
      <c r="AJ324" s="5">
        <f>(vp.data[[#This Row],[VP]]-INDEX(crudeBD.lkup[Mean_VP],MATCH(vp.data[[#This Row],[Crude_Breakdown]],crudeBD.lkup[Crude Breakdown],0)))^2</f>
        <v>2.5314572229814046E-3</v>
      </c>
      <c r="AK324" s="5">
        <f>(vp.data[[#This Row],[Dens]]-INDEX(crudeBD.lkup[Mean_Dens],MATCH(vp.data[[#This Row],[Crude_Breakdown]],crudeBD.lkup[Crude Breakdown],0)))^2</f>
        <v>8.4768221054025936</v>
      </c>
      <c r="AL324" s="5">
        <f>(vp.data[[#This Row],[Sulf]]-INDEX(crudeBD.lkup[Mean_Sulf],MATCH(vp.data[[#This Row],[Crude_Breakdown]],crudeBD.lkup[Crude Breakdown],0)))^2</f>
        <v>1.3134689259308601E-3</v>
      </c>
      <c r="AM324" s="4">
        <f>IF(AND(vp.data[[#This Row],[SDate]]&gt;=DATE(YEAR(vp.data[[#This Row],[SDate]]),5,1),vp.data[[#This Row],[SDate]]&lt;=DATE(YEAR(vp.data[[#This Row],[SDate]]),9,15)),1,0)</f>
        <v>1</v>
      </c>
      <c r="AN324" s="4">
        <f>IF(vp.data[[#This Row],[SDate]]&lt;DATE(2016,12,1),0,1)</f>
        <v>0</v>
      </c>
      <c r="AO324" s="4">
        <f>IFERROR(vp.data[[#This Row],[Sulf]]*vp.data[[#This Row],[Net Dens]],"")</f>
        <v>8153815.477119999</v>
      </c>
      <c r="AP324">
        <f>IFERROR(vp.data[[#This Row],[Dens]]*vp.data[[#This Row],[VolumeM3]],"")</f>
        <v>40769077.385599993</v>
      </c>
      <c r="AQ324" s="15">
        <f>IFERROR(vp.data[[#This Row],[VP]]*vp.data[[#This Row],[VolumeM3]],"")</f>
        <v>4682318.92</v>
      </c>
    </row>
    <row r="325" spans="1:43" x14ac:dyDescent="0.25">
      <c r="A325">
        <v>324</v>
      </c>
      <c r="B325" t="s">
        <v>51</v>
      </c>
      <c r="C325" t="s">
        <v>51</v>
      </c>
      <c r="D325" t="s">
        <v>71</v>
      </c>
      <c r="F325" s="1">
        <v>42625</v>
      </c>
      <c r="G325" s="2">
        <v>55.6</v>
      </c>
      <c r="H325" s="2"/>
      <c r="I325" s="2">
        <f t="array" ref="I325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325" s="2"/>
      <c r="K325" s="2"/>
      <c r="L325" s="2">
        <v>831.5</v>
      </c>
      <c r="M325" s="2">
        <f t="array" ref="M325">_xlfn.IFNA(IF(vp.data[[#This Row],[Dens Input]]="",INDEX([1]DATA!$O$3:$O$9826,MATCH(1,(vp.data[[#This Row],[Battery]]=[1]DATA!$L$3:$L$9826)*(EOMONTH(vp.data[[#This Row],[SDate]],-1)+1=[1]DATA!$G$3:$G$9826),0)),vp.data[[#This Row],[Dens Input]]),"")</f>
        <v>831.5</v>
      </c>
      <c r="N325" s="2">
        <f ca="1">INDEX(INDIRECT(_xlfn.CONCAT("weather.tbl[",N$1,"]")),MATCH(vp.data[[#This Row],[SDate]],weather.tbl[Date],0))</f>
        <v>7.583333333333333</v>
      </c>
      <c r="O325" s="2">
        <f ca="1">INDEX(INDIRECT(_xlfn.CONCAT("weather.tbl[",O$1,"]")),MATCH(vp.data[[#This Row],[SDate]],weather.tbl[Date],0))</f>
        <v>12.211904761904762</v>
      </c>
      <c r="P325" s="2">
        <f ca="1">INDEX(INDIRECT(_xlfn.CONCAT("weather.tbl[",P$1,"]")),MATCH(vp.data[[#This Row],[SDate]],weather.tbl[Date],0))</f>
        <v>8</v>
      </c>
      <c r="Q325" s="2">
        <f ca="1">INDEX(INDIRECT(_xlfn.CONCAT("weather.tbl[",Q$1,"]")),MATCH(vp.data[[#This Row],[SDate]],weather.tbl[Date],0))</f>
        <v>5.6</v>
      </c>
      <c r="R325" s="2">
        <f ca="1">INDEX(INDIRECT(_xlfn.CONCAT("weather.tbl[",R$1,"]")),MATCH(vp.data[[#This Row],[SDate]],weather.tbl[Date],0))</f>
        <v>8.3000000000000007</v>
      </c>
      <c r="S325" s="2">
        <f ca="1">INDEX(INDIRECT(_xlfn.CONCAT("weather.tbl[",S$1,"]")),MATCH(vp.data[[#This Row],[SDate]],weather.tbl[Date],0))</f>
        <v>7.5</v>
      </c>
      <c r="T325" s="2">
        <f ca="1">INDEX(INDIRECT(_xlfn.CONCAT("weather.tbl[",T$1,"]")),MATCH(vp.data[[#This Row],[SDate]],weather.tbl[Date],0))</f>
        <v>9.8000000000000007</v>
      </c>
      <c r="U325" s="2">
        <f ca="1">INDEX(INDIRECT(_xlfn.CONCAT("weather.tbl[",U$1,"]")),MATCH(vp.data[[#This Row],[SDate]],weather.tbl[Date],0))</f>
        <v>6.3</v>
      </c>
      <c r="V325" s="2">
        <f t="array" ref="V3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5161.2309999999998</v>
      </c>
      <c r="W325" t="s">
        <v>48</v>
      </c>
      <c r="X325">
        <f>IF(OR(vp.data[[#This Row],[Sulf]]="",vp.data[[#This Row],[Dens]]=""),1,0)</f>
        <v>0</v>
      </c>
      <c r="Y325">
        <f>IF(vp.data[[#This Row],[CrudeType]]="C5+",1,0)</f>
        <v>0</v>
      </c>
      <c r="Z325">
        <f>IF(AND(vp.data[[#This Row],[CrudeType]]="Crude",vp.data[[#This Row],[Dens]]&lt;=825,vp.data[[#This Row],[Sulf]]&gt;0.5,vp.data[[#This Row],[Unknown]]=0),1,0)</f>
        <v>0</v>
      </c>
      <c r="AA325">
        <f>IF(AND(vp.data[[#This Row],[CrudeType]]="Crude",vp.data[[#This Row],[Dens]]&lt;=825,vp.data[[#This Row],[Sulf]]&lt;=0.5,vp.data[[#This Row],[Unknown]]=0),1,0)</f>
        <v>0</v>
      </c>
      <c r="AB3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5">
        <f>IF(AND(vp.data[[#This Row],[CrudeType]]="Crude",vp.data[[#This Row],[Dens]]&gt;825,vp.data[[#This Row],[Dens]]&lt;=900,vp.data[[#This Row],[Sulf]]&lt;=0.5,vp.data[[#This Row],[Unknown]]=0),1,0)</f>
        <v>0</v>
      </c>
      <c r="AD325">
        <f>IF(AND(vp.data[[#This Row],[CrudeType]]="Crude",vp.data[[#This Row],[Dens]]&gt;865,vp.data[[#This Row],[Dens]]&lt;=900,vp.data[[#This Row],[Sulf]]&gt;2,vp.data[[#This Row],[Unknown]]=0),1,0)</f>
        <v>0</v>
      </c>
      <c r="AE325">
        <f>IF(AND(vp.data[[#This Row],[CrudeType]]="Crude",vp.data[[#This Row],[Dens]]&gt;900,vp.data[[#This Row],[Sulf]]&lt;=0.5,vp.data[[#This Row],[Unknown]]=0),1,0)</f>
        <v>0</v>
      </c>
      <c r="AF325">
        <f>IF(AND(vp.data[[#This Row],[CrudeType]]="Crude",vp.data[[#This Row],[Dens]]&gt;900,vp.data[[#This Row],[Sulf]]&lt;=0.5,vp.data[[#This Row],[Unknown]]=0),1,0)</f>
        <v>0</v>
      </c>
      <c r="AG325" t="str">
        <f>INDEX(vp.data[[#Headers],[Unknown]:[Heavy_SW]],MATCH(1,vp.data[[#This Row],[Unknown]:[Heavy_SW]],0))</f>
        <v>Medium_LSB</v>
      </c>
      <c r="AH325">
        <f>INDEX([3]!crudeBD.lkup[Number],MATCH(vp.data[[#This Row],[Crude_Breakdown]],crudeBD.lkup[Crude Breakdown],0))</f>
        <v>3</v>
      </c>
      <c r="AI325">
        <f>MONTH(vp.data[[#This Row],[SDate]])</f>
        <v>9</v>
      </c>
      <c r="AJ325" s="5">
        <f>(vp.data[[#This Row],[VP]]-INDEX(crudeBD.lkup[Mean_VP],MATCH(vp.data[[#This Row],[Crude_Breakdown]],crudeBD.lkup[Crude Breakdown],0)))^2</f>
        <v>626.98540172186699</v>
      </c>
      <c r="AK325" s="5">
        <f>(vp.data[[#This Row],[Dens]]-INDEX(crudeBD.lkup[Mean_Dens],MATCH(vp.data[[#This Row],[Crude_Breakdown]],crudeBD.lkup[Crude Breakdown],0)))^2</f>
        <v>154.25639999998768</v>
      </c>
      <c r="AL325" s="5">
        <f>(vp.data[[#This Row],[Sulf]]-INDEX(crudeBD.lkup[Mean_Sulf],MATCH(vp.data[[#This Row],[Crude_Breakdown]],crudeBD.lkup[Crude Breakdown],0)))^2</f>
        <v>8.9476224973095587E-3</v>
      </c>
      <c r="AM325" s="4">
        <f>IF(AND(vp.data[[#This Row],[SDate]]&gt;=DATE(YEAR(vp.data[[#This Row],[SDate]]),5,1),vp.data[[#This Row],[SDate]]&lt;=DATE(YEAR(vp.data[[#This Row],[SDate]]),9,15)),1,0)</f>
        <v>1</v>
      </c>
      <c r="AN325" s="4">
        <f>IF(vp.data[[#This Row],[SDate]]&lt;DATE(2016,12,1),0,1)</f>
        <v>0</v>
      </c>
      <c r="AO325" s="4">
        <f>IFERROR(vp.data[[#This Row],[Sulf]]*vp.data[[#This Row],[Net Dens]],"")</f>
        <v>6351514.0932199992</v>
      </c>
      <c r="AP325">
        <f>IFERROR(vp.data[[#This Row],[Dens]]*vp.data[[#This Row],[VolumeM3]],"")</f>
        <v>4291563.5764999995</v>
      </c>
      <c r="AQ325" s="15">
        <f>IFERROR(vp.data[[#This Row],[VP]]*vp.data[[#This Row],[VolumeM3]],"")</f>
        <v>286964.4436</v>
      </c>
    </row>
    <row r="326" spans="1:43" x14ac:dyDescent="0.25">
      <c r="A326">
        <v>325</v>
      </c>
      <c r="B326" t="s">
        <v>49</v>
      </c>
      <c r="C326" t="s">
        <v>49</v>
      </c>
      <c r="D326" t="s">
        <v>67</v>
      </c>
      <c r="F326" s="1">
        <v>42626</v>
      </c>
      <c r="G326" s="2">
        <v>89.1</v>
      </c>
      <c r="H326" s="2"/>
      <c r="I326" s="2">
        <f t="array" ref="I326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26" s="2"/>
      <c r="K326" s="2"/>
      <c r="L326" s="2">
        <v>806.5</v>
      </c>
      <c r="M326" s="2">
        <f t="array" ref="M326">_xlfn.IFNA(IF(vp.data[[#This Row],[Dens Input]]="",INDEX([1]DATA!$O$3:$O$9826,MATCH(1,(vp.data[[#This Row],[Battery]]=[1]DATA!$L$3:$L$9826)*(EOMONTH(vp.data[[#This Row],[SDate]],-1)+1=[1]DATA!$G$3:$G$9826),0)),vp.data[[#This Row],[Dens Input]]),"")</f>
        <v>806.5</v>
      </c>
      <c r="N326" s="2">
        <f ca="1">INDEX(INDIRECT(_xlfn.CONCAT("weather.tbl[",N$1,"]")),MATCH(vp.data[[#This Row],[SDate]],weather.tbl[Date],0))</f>
        <v>7.3833333333333329</v>
      </c>
      <c r="O326" s="2">
        <f ca="1">INDEX(INDIRECT(_xlfn.CONCAT("weather.tbl[",O$1,"]")),MATCH(vp.data[[#This Row],[SDate]],weather.tbl[Date],0))</f>
        <v>11.564285714285713</v>
      </c>
      <c r="P326" s="2">
        <f ca="1">INDEX(INDIRECT(_xlfn.CONCAT("weather.tbl[",P$1,"]")),MATCH(vp.data[[#This Row],[SDate]],weather.tbl[Date],0))</f>
        <v>5.9</v>
      </c>
      <c r="Q326" s="2">
        <f ca="1">INDEX(INDIRECT(_xlfn.CONCAT("weather.tbl[",Q$1,"]")),MATCH(vp.data[[#This Row],[SDate]],weather.tbl[Date],0))</f>
        <v>6.7</v>
      </c>
      <c r="R326" s="2">
        <f ca="1">INDEX(INDIRECT(_xlfn.CONCAT("weather.tbl[",R$1,"]")),MATCH(vp.data[[#This Row],[SDate]],weather.tbl[Date],0))</f>
        <v>7.5</v>
      </c>
      <c r="S326" s="2">
        <f ca="1">INDEX(INDIRECT(_xlfn.CONCAT("weather.tbl[",S$1,"]")),MATCH(vp.data[[#This Row],[SDate]],weather.tbl[Date],0))</f>
        <v>8</v>
      </c>
      <c r="T326" s="2">
        <f ca="1">INDEX(INDIRECT(_xlfn.CONCAT("weather.tbl[",T$1,"]")),MATCH(vp.data[[#This Row],[SDate]],weather.tbl[Date],0))</f>
        <v>8.1999999999999993</v>
      </c>
      <c r="U326" s="2">
        <f ca="1">INDEX(INDIRECT(_xlfn.CONCAT("weather.tbl[",U$1,"]")),MATCH(vp.data[[#This Row],[SDate]],weather.tbl[Date],0))</f>
        <v>8</v>
      </c>
      <c r="V326" s="2">
        <f t="array" ref="V3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50619.663999999997</v>
      </c>
      <c r="W326" t="s">
        <v>48</v>
      </c>
      <c r="X326">
        <f>IF(OR(vp.data[[#This Row],[Sulf]]="",vp.data[[#This Row],[Dens]]=""),1,0)</f>
        <v>0</v>
      </c>
      <c r="Y326">
        <f>IF(vp.data[[#This Row],[CrudeType]]="C5+",1,0)</f>
        <v>0</v>
      </c>
      <c r="Z326">
        <f>IF(AND(vp.data[[#This Row],[CrudeType]]="Crude",vp.data[[#This Row],[Dens]]&lt;=825,vp.data[[#This Row],[Sulf]]&gt;0.5,vp.data[[#This Row],[Unknown]]=0),1,0)</f>
        <v>0</v>
      </c>
      <c r="AA326">
        <f>IF(AND(vp.data[[#This Row],[CrudeType]]="Crude",vp.data[[#This Row],[Dens]]&lt;=825,vp.data[[#This Row],[Sulf]]&lt;=0.5,vp.data[[#This Row],[Unknown]]=0),1,0)</f>
        <v>1</v>
      </c>
      <c r="AB3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26">
        <f>IF(AND(vp.data[[#This Row],[CrudeType]]="Crude",vp.data[[#This Row],[Dens]]&gt;825,vp.data[[#This Row],[Dens]]&lt;=900,vp.data[[#This Row],[Sulf]]&lt;=0.5,vp.data[[#This Row],[Unknown]]=0),1,0)</f>
        <v>0</v>
      </c>
      <c r="AD326">
        <f>IF(AND(vp.data[[#This Row],[CrudeType]]="Crude",vp.data[[#This Row],[Dens]]&gt;865,vp.data[[#This Row],[Dens]]&lt;=900,vp.data[[#This Row],[Sulf]]&gt;2,vp.data[[#This Row],[Unknown]]=0),1,0)</f>
        <v>0</v>
      </c>
      <c r="AE326">
        <f>IF(AND(vp.data[[#This Row],[CrudeType]]="Crude",vp.data[[#This Row],[Dens]]&gt;900,vp.data[[#This Row],[Sulf]]&lt;=0.5,vp.data[[#This Row],[Unknown]]=0),1,0)</f>
        <v>0</v>
      </c>
      <c r="AF326">
        <f>IF(AND(vp.data[[#This Row],[CrudeType]]="Crude",vp.data[[#This Row],[Dens]]&gt;900,vp.data[[#This Row],[Sulf]]&lt;=0.5,vp.data[[#This Row],[Unknown]]=0),1,0)</f>
        <v>0</v>
      </c>
      <c r="AG326" t="str">
        <f>INDEX(vp.data[[#Headers],[Unknown]:[Heavy_SW]],MATCH(1,vp.data[[#This Row],[Unknown]:[Heavy_SW]],0))</f>
        <v>Light_SW</v>
      </c>
      <c r="AH326">
        <f>INDEX([3]!crudeBD.lkup[Number],MATCH(vp.data[[#This Row],[Crude_Breakdown]],crudeBD.lkup[Crude Breakdown],0))</f>
        <v>2</v>
      </c>
      <c r="AI326">
        <f>MONTH(vp.data[[#This Row],[SDate]])</f>
        <v>9</v>
      </c>
      <c r="AJ326" s="5">
        <f>(vp.data[[#This Row],[VP]]-INDEX(crudeBD.lkup[Mean_VP],MATCH(vp.data[[#This Row],[Crude_Breakdown]],crudeBD.lkup[Crude Breakdown],0)))^2</f>
        <v>11.904663861404005</v>
      </c>
      <c r="AK326" s="5">
        <f>(vp.data[[#This Row],[Dens]]-INDEX(crudeBD.lkup[Mean_Dens],MATCH(vp.data[[#This Row],[Crude_Breakdown]],crudeBD.lkup[Crude Breakdown],0)))^2</f>
        <v>3.2815259381555544</v>
      </c>
      <c r="AL326" s="5">
        <f>(vp.data[[#This Row],[Sulf]]-INDEX(crudeBD.lkup[Mean_Sulf],MATCH(vp.data[[#This Row],[Crude_Breakdown]],crudeBD.lkup[Crude Breakdown],0)))^2</f>
        <v>1.3134689259308601E-3</v>
      </c>
      <c r="AM326" s="4">
        <f>IF(AND(vp.data[[#This Row],[SDate]]&gt;=DATE(YEAR(vp.data[[#This Row],[SDate]]),5,1),vp.data[[#This Row],[SDate]]&lt;=DATE(YEAR(vp.data[[#This Row],[SDate]]),9,15)),1,0)</f>
        <v>1</v>
      </c>
      <c r="AN326" s="4">
        <f>IF(vp.data[[#This Row],[SDate]]&lt;DATE(2016,12,1),0,1)</f>
        <v>0</v>
      </c>
      <c r="AO326" s="4">
        <f>IFERROR(vp.data[[#This Row],[Sulf]]*vp.data[[#This Row],[Net Dens]],"")</f>
        <v>8164951.803199999</v>
      </c>
      <c r="AP326">
        <f>IFERROR(vp.data[[#This Row],[Dens]]*vp.data[[#This Row],[VolumeM3]],"")</f>
        <v>40824759.015999995</v>
      </c>
      <c r="AQ326" s="15">
        <f>IFERROR(vp.data[[#This Row],[VP]]*vp.data[[#This Row],[VolumeM3]],"")</f>
        <v>4510212.0623999992</v>
      </c>
    </row>
    <row r="327" spans="1:43" x14ac:dyDescent="0.25">
      <c r="A327">
        <v>326</v>
      </c>
      <c r="B327" t="s">
        <v>68</v>
      </c>
      <c r="C327" t="s">
        <v>68</v>
      </c>
      <c r="D327" t="s">
        <v>69</v>
      </c>
      <c r="F327" s="1">
        <v>42628</v>
      </c>
      <c r="G327" s="2">
        <v>87.9</v>
      </c>
      <c r="H327" s="2"/>
      <c r="I327" s="2">
        <f t="array" ref="I327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327" s="2"/>
      <c r="K327" s="2"/>
      <c r="L327" s="2">
        <v>826.5</v>
      </c>
      <c r="M327" s="2">
        <f t="array" ref="M327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327" s="2">
        <f ca="1">INDEX(INDIRECT(_xlfn.CONCAT("weather.tbl[",N$1,"]")),MATCH(vp.data[[#This Row],[SDate]],weather.tbl[Date],0))</f>
        <v>14.316666666666665</v>
      </c>
      <c r="O327" s="2">
        <f ca="1">INDEX(INDIRECT(_xlfn.CONCAT("weather.tbl[",O$1,"]")),MATCH(vp.data[[#This Row],[SDate]],weather.tbl[Date],0))</f>
        <v>11.654761904761903</v>
      </c>
      <c r="P327" s="2">
        <f ca="1">INDEX(INDIRECT(_xlfn.CONCAT("weather.tbl[",P$1,"]")),MATCH(vp.data[[#This Row],[SDate]],weather.tbl[Date],0))</f>
        <v>14.5</v>
      </c>
      <c r="Q327" s="2">
        <f ca="1">INDEX(INDIRECT(_xlfn.CONCAT("weather.tbl[",Q$1,"]")),MATCH(vp.data[[#This Row],[SDate]],weather.tbl[Date],0))</f>
        <v>15.8</v>
      </c>
      <c r="R327" s="2">
        <f ca="1">INDEX(INDIRECT(_xlfn.CONCAT("weather.tbl[",R$1,"]")),MATCH(vp.data[[#This Row],[SDate]],weather.tbl[Date],0))</f>
        <v>10.3</v>
      </c>
      <c r="S327" s="2">
        <f ca="1">INDEX(INDIRECT(_xlfn.CONCAT("weather.tbl[",S$1,"]")),MATCH(vp.data[[#This Row],[SDate]],weather.tbl[Date],0))</f>
        <v>15.5</v>
      </c>
      <c r="T327" s="2">
        <f ca="1">INDEX(INDIRECT(_xlfn.CONCAT("weather.tbl[",T$1,"]")),MATCH(vp.data[[#This Row],[SDate]],weather.tbl[Date],0))</f>
        <v>14.5</v>
      </c>
      <c r="U327" s="2">
        <f ca="1">INDEX(INDIRECT(_xlfn.CONCAT("weather.tbl[",U$1,"]")),MATCH(vp.data[[#This Row],[SDate]],weather.tbl[Date],0))</f>
        <v>15.3</v>
      </c>
      <c r="V327" s="2">
        <f t="array" ref="V3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1385.6780000000001</v>
      </c>
      <c r="W327" t="s">
        <v>48</v>
      </c>
      <c r="X327">
        <f>IF(OR(vp.data[[#This Row],[Sulf]]="",vp.data[[#This Row],[Dens]]=""),1,0)</f>
        <v>0</v>
      </c>
      <c r="Y327">
        <f>IF(vp.data[[#This Row],[CrudeType]]="C5+",1,0)</f>
        <v>0</v>
      </c>
      <c r="Z327">
        <f>IF(AND(vp.data[[#This Row],[CrudeType]]="Crude",vp.data[[#This Row],[Dens]]&lt;=825,vp.data[[#This Row],[Sulf]]&gt;0.5,vp.data[[#This Row],[Unknown]]=0),1,0)</f>
        <v>0</v>
      </c>
      <c r="AA327">
        <f>IF(AND(vp.data[[#This Row],[CrudeType]]="Crude",vp.data[[#This Row],[Dens]]&lt;=825,vp.data[[#This Row],[Sulf]]&lt;=0.5,vp.data[[#This Row],[Unknown]]=0),1,0)</f>
        <v>0</v>
      </c>
      <c r="AB3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7">
        <f>IF(AND(vp.data[[#This Row],[CrudeType]]="Crude",vp.data[[#This Row],[Dens]]&gt;825,vp.data[[#This Row],[Dens]]&lt;=900,vp.data[[#This Row],[Sulf]]&lt;=0.5,vp.data[[#This Row],[Unknown]]=0),1,0)</f>
        <v>0</v>
      </c>
      <c r="AD327">
        <f>IF(AND(vp.data[[#This Row],[CrudeType]]="Crude",vp.data[[#This Row],[Dens]]&gt;865,vp.data[[#This Row],[Dens]]&lt;=900,vp.data[[#This Row],[Sulf]]&gt;2,vp.data[[#This Row],[Unknown]]=0),1,0)</f>
        <v>0</v>
      </c>
      <c r="AE327">
        <f>IF(AND(vp.data[[#This Row],[CrudeType]]="Crude",vp.data[[#This Row],[Dens]]&gt;900,vp.data[[#This Row],[Sulf]]&lt;=0.5,vp.data[[#This Row],[Unknown]]=0),1,0)</f>
        <v>0</v>
      </c>
      <c r="AF327">
        <f>IF(AND(vp.data[[#This Row],[CrudeType]]="Crude",vp.data[[#This Row],[Dens]]&gt;900,vp.data[[#This Row],[Sulf]]&lt;=0.5,vp.data[[#This Row],[Unknown]]=0),1,0)</f>
        <v>0</v>
      </c>
      <c r="AG327" t="str">
        <f>INDEX(vp.data[[#Headers],[Unknown]:[Heavy_SW]],MATCH(1,vp.data[[#This Row],[Unknown]:[Heavy_SW]],0))</f>
        <v>Medium_LSB</v>
      </c>
      <c r="AH327">
        <f>INDEX([3]!crudeBD.lkup[Number],MATCH(vp.data[[#This Row],[Crude_Breakdown]],crudeBD.lkup[Crude Breakdown],0))</f>
        <v>3</v>
      </c>
      <c r="AI327">
        <f>MONTH(vp.data[[#This Row],[SDate]])</f>
        <v>9</v>
      </c>
      <c r="AJ327" s="5">
        <f>(vp.data[[#This Row],[VP]]-INDEX(crudeBD.lkup[Mean_VP],MATCH(vp.data[[#This Row],[Crude_Breakdown]],crudeBD.lkup[Crude Breakdown],0)))^2</f>
        <v>52.712296600577986</v>
      </c>
      <c r="AK327" s="5">
        <f>(vp.data[[#This Row],[Dens]]-INDEX(crudeBD.lkup[Mean_Dens],MATCH(vp.data[[#This Row],[Crude_Breakdown]],crudeBD.lkup[Crude Breakdown],0)))^2</f>
        <v>303.45639999998275</v>
      </c>
      <c r="AL327" s="5">
        <f>(vp.data[[#This Row],[Sulf]]-INDEX(crudeBD.lkup[Mean_Sulf],MATCH(vp.data[[#This Row],[Crude_Breakdown]],crudeBD.lkup[Crude Breakdown],0)))^2</f>
        <v>0.12573539662129798</v>
      </c>
      <c r="AM327" s="4">
        <f>IF(AND(vp.data[[#This Row],[SDate]]&gt;=DATE(YEAR(vp.data[[#This Row],[SDate]]),5,1),vp.data[[#This Row],[SDate]]&lt;=DATE(YEAR(vp.data[[#This Row],[SDate]]),9,15)),1,0)</f>
        <v>1</v>
      </c>
      <c r="AN327" s="4">
        <f>IF(vp.data[[#This Row],[SDate]]&lt;DATE(2016,12,1),0,1)</f>
        <v>0</v>
      </c>
      <c r="AO327" s="4">
        <f>IFERROR(vp.data[[#This Row],[Sulf]]*vp.data[[#This Row],[Net Dens]],"")</f>
        <v>1992757.38858</v>
      </c>
      <c r="AP327">
        <f>IFERROR(vp.data[[#This Row],[Dens]]*vp.data[[#This Row],[VolumeM3]],"")</f>
        <v>1145262.8670000001</v>
      </c>
      <c r="AQ327" s="15">
        <f>IFERROR(vp.data[[#This Row],[VP]]*vp.data[[#This Row],[VolumeM3]],"")</f>
        <v>121801.09620000001</v>
      </c>
    </row>
    <row r="328" spans="1:43" x14ac:dyDescent="0.25">
      <c r="A328">
        <v>327</v>
      </c>
      <c r="B328" t="s">
        <v>56</v>
      </c>
      <c r="C328" t="s">
        <v>56</v>
      </c>
      <c r="D328" t="s">
        <v>57</v>
      </c>
      <c r="F328" s="1">
        <v>42628</v>
      </c>
      <c r="G328" s="2">
        <v>70.099999999999994</v>
      </c>
      <c r="H328" s="2"/>
      <c r="I328" s="2">
        <f t="array" ref="I328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328" s="2"/>
      <c r="K328" s="2"/>
      <c r="L328" s="2">
        <v>836</v>
      </c>
      <c r="M328" s="2">
        <f t="array" ref="M328">_xlfn.IFNA(IF(vp.data[[#This Row],[Dens Input]]="",INDEX([1]DATA!$O$3:$O$9826,MATCH(1,(vp.data[[#This Row],[Battery]]=[1]DATA!$L$3:$L$9826)*(EOMONTH(vp.data[[#This Row],[SDate]],-1)+1=[1]DATA!$G$3:$G$9826),0)),vp.data[[#This Row],[Dens Input]]),"")</f>
        <v>836</v>
      </c>
      <c r="N328" s="2">
        <f ca="1">INDEX(INDIRECT(_xlfn.CONCAT("weather.tbl[",N$1,"]")),MATCH(vp.data[[#This Row],[SDate]],weather.tbl[Date],0))</f>
        <v>14.316666666666665</v>
      </c>
      <c r="O328" s="2">
        <f ca="1">INDEX(INDIRECT(_xlfn.CONCAT("weather.tbl[",O$1,"]")),MATCH(vp.data[[#This Row],[SDate]],weather.tbl[Date],0))</f>
        <v>11.654761904761903</v>
      </c>
      <c r="P328" s="2">
        <f ca="1">INDEX(INDIRECT(_xlfn.CONCAT("weather.tbl[",P$1,"]")),MATCH(vp.data[[#This Row],[SDate]],weather.tbl[Date],0))</f>
        <v>14.5</v>
      </c>
      <c r="Q328" s="2">
        <f ca="1">INDEX(INDIRECT(_xlfn.CONCAT("weather.tbl[",Q$1,"]")),MATCH(vp.data[[#This Row],[SDate]],weather.tbl[Date],0))</f>
        <v>15.8</v>
      </c>
      <c r="R328" s="2">
        <f ca="1">INDEX(INDIRECT(_xlfn.CONCAT("weather.tbl[",R$1,"]")),MATCH(vp.data[[#This Row],[SDate]],weather.tbl[Date],0))</f>
        <v>10.3</v>
      </c>
      <c r="S328" s="2">
        <f ca="1">INDEX(INDIRECT(_xlfn.CONCAT("weather.tbl[",S$1,"]")),MATCH(vp.data[[#This Row],[SDate]],weather.tbl[Date],0))</f>
        <v>15.5</v>
      </c>
      <c r="T328" s="2">
        <f ca="1">INDEX(INDIRECT(_xlfn.CONCAT("weather.tbl[",T$1,"]")),MATCH(vp.data[[#This Row],[SDate]],weather.tbl[Date],0))</f>
        <v>14.5</v>
      </c>
      <c r="U328" s="2">
        <f ca="1">INDEX(INDIRECT(_xlfn.CONCAT("weather.tbl[",U$1,"]")),MATCH(vp.data[[#This Row],[SDate]],weather.tbl[Date],0))</f>
        <v>15.3</v>
      </c>
      <c r="V328" s="2">
        <f t="array" ref="V3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3245.91</v>
      </c>
      <c r="W328" t="s">
        <v>48</v>
      </c>
      <c r="X328">
        <f>IF(OR(vp.data[[#This Row],[Sulf]]="",vp.data[[#This Row],[Dens]]=""),1,0)</f>
        <v>0</v>
      </c>
      <c r="Y328">
        <f>IF(vp.data[[#This Row],[CrudeType]]="C5+",1,0)</f>
        <v>0</v>
      </c>
      <c r="Z328">
        <f>IF(AND(vp.data[[#This Row],[CrudeType]]="Crude",vp.data[[#This Row],[Dens]]&lt;=825,vp.data[[#This Row],[Sulf]]&gt;0.5,vp.data[[#This Row],[Unknown]]=0),1,0)</f>
        <v>0</v>
      </c>
      <c r="AA328">
        <f>IF(AND(vp.data[[#This Row],[CrudeType]]="Crude",vp.data[[#This Row],[Dens]]&lt;=825,vp.data[[#This Row],[Sulf]]&lt;=0.5,vp.data[[#This Row],[Unknown]]=0),1,0)</f>
        <v>0</v>
      </c>
      <c r="AB3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8">
        <f>IF(AND(vp.data[[#This Row],[CrudeType]]="Crude",vp.data[[#This Row],[Dens]]&gt;825,vp.data[[#This Row],[Dens]]&lt;=900,vp.data[[#This Row],[Sulf]]&lt;=0.5,vp.data[[#This Row],[Unknown]]=0),1,0)</f>
        <v>0</v>
      </c>
      <c r="AD328">
        <f>IF(AND(vp.data[[#This Row],[CrudeType]]="Crude",vp.data[[#This Row],[Dens]]&gt;865,vp.data[[#This Row],[Dens]]&lt;=900,vp.data[[#This Row],[Sulf]]&gt;2,vp.data[[#This Row],[Unknown]]=0),1,0)</f>
        <v>0</v>
      </c>
      <c r="AE328">
        <f>IF(AND(vp.data[[#This Row],[CrudeType]]="Crude",vp.data[[#This Row],[Dens]]&gt;900,vp.data[[#This Row],[Sulf]]&lt;=0.5,vp.data[[#This Row],[Unknown]]=0),1,0)</f>
        <v>0</v>
      </c>
      <c r="AF328">
        <f>IF(AND(vp.data[[#This Row],[CrudeType]]="Crude",vp.data[[#This Row],[Dens]]&gt;900,vp.data[[#This Row],[Sulf]]&lt;=0.5,vp.data[[#This Row],[Unknown]]=0),1,0)</f>
        <v>0</v>
      </c>
      <c r="AG328" t="str">
        <f>INDEX(vp.data[[#Headers],[Unknown]:[Heavy_SW]],MATCH(1,vp.data[[#This Row],[Unknown]:[Heavy_SW]],0))</f>
        <v>Medium_LSB</v>
      </c>
      <c r="AH328">
        <f>INDEX([3]!crudeBD.lkup[Number],MATCH(vp.data[[#This Row],[Crude_Breakdown]],crudeBD.lkup[Crude Breakdown],0))</f>
        <v>3</v>
      </c>
      <c r="AI328">
        <f>MONTH(vp.data[[#This Row],[SDate]])</f>
        <v>9</v>
      </c>
      <c r="AJ328" s="5">
        <f>(vp.data[[#This Row],[VP]]-INDEX(crudeBD.lkup[Mean_VP],MATCH(vp.data[[#This Row],[Crude_Breakdown]],crudeBD.lkup[Crude Breakdown],0)))^2</f>
        <v>111.08478177577763</v>
      </c>
      <c r="AK328" s="5">
        <f>(vp.data[[#This Row],[Dens]]-INDEX(crudeBD.lkup[Mean_Dens],MATCH(vp.data[[#This Row],[Crude_Breakdown]],crudeBD.lkup[Crude Breakdown],0)))^2</f>
        <v>62.726399999992147</v>
      </c>
      <c r="AL328" s="5">
        <f>(vp.data[[#This Row],[Sulf]]-INDEX(crudeBD.lkup[Mean_Sulf],MATCH(vp.data[[#This Row],[Crude_Breakdown]],crudeBD.lkup[Crude Breakdown],0)))^2</f>
        <v>5.9825184491918218E-2</v>
      </c>
      <c r="AM328" s="4">
        <f>IF(AND(vp.data[[#This Row],[SDate]]&gt;=DATE(YEAR(vp.data[[#This Row],[SDate]]),5,1),vp.data[[#This Row],[SDate]]&lt;=DATE(YEAR(vp.data[[#This Row],[SDate]]),9,15)),1,0)</f>
        <v>1</v>
      </c>
      <c r="AN328" s="4">
        <f>IF(vp.data[[#This Row],[SDate]]&lt;DATE(2016,12,1),0,1)</f>
        <v>0</v>
      </c>
      <c r="AO328" s="4">
        <f>IFERROR(vp.data[[#This Row],[Sulf]]*vp.data[[#This Row],[Net Dens]],"")</f>
        <v>4423136.6387999989</v>
      </c>
      <c r="AP328">
        <f>IFERROR(vp.data[[#This Row],[Dens]]*vp.data[[#This Row],[VolumeM3]],"")</f>
        <v>2713580.76</v>
      </c>
      <c r="AQ328" s="15">
        <f>IFERROR(vp.data[[#This Row],[VP]]*vp.data[[#This Row],[VolumeM3]],"")</f>
        <v>227538.29099999997</v>
      </c>
    </row>
    <row r="329" spans="1:43" x14ac:dyDescent="0.25">
      <c r="A329">
        <v>328</v>
      </c>
      <c r="B329" t="s">
        <v>51</v>
      </c>
      <c r="C329" t="s">
        <v>51</v>
      </c>
      <c r="D329" t="s">
        <v>58</v>
      </c>
      <c r="F329" s="1">
        <v>42628</v>
      </c>
      <c r="G329" s="2">
        <v>59.7</v>
      </c>
      <c r="H329" s="2"/>
      <c r="I329" s="2">
        <f t="array" ref="I329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329" s="2"/>
      <c r="K329" s="2"/>
      <c r="L329" s="2">
        <v>856</v>
      </c>
      <c r="M329" s="2">
        <f t="array" ref="M329">_xlfn.IFNA(IF(vp.data[[#This Row],[Dens Input]]="",INDEX([1]DATA!$O$3:$O$9826,MATCH(1,(vp.data[[#This Row],[Battery]]=[1]DATA!$L$3:$L$9826)*(EOMONTH(vp.data[[#This Row],[SDate]],-1)+1=[1]DATA!$G$3:$G$9826),0)),vp.data[[#This Row],[Dens Input]]),"")</f>
        <v>856</v>
      </c>
      <c r="N329" s="2">
        <f ca="1">INDEX(INDIRECT(_xlfn.CONCAT("weather.tbl[",N$1,"]")),MATCH(vp.data[[#This Row],[SDate]],weather.tbl[Date],0))</f>
        <v>14.316666666666665</v>
      </c>
      <c r="O329" s="2">
        <f ca="1">INDEX(INDIRECT(_xlfn.CONCAT("weather.tbl[",O$1,"]")),MATCH(vp.data[[#This Row],[SDate]],weather.tbl[Date],0))</f>
        <v>11.654761904761903</v>
      </c>
      <c r="P329" s="2">
        <f ca="1">INDEX(INDIRECT(_xlfn.CONCAT("weather.tbl[",P$1,"]")),MATCH(vp.data[[#This Row],[SDate]],weather.tbl[Date],0))</f>
        <v>14.5</v>
      </c>
      <c r="Q329" s="2">
        <f ca="1">INDEX(INDIRECT(_xlfn.CONCAT("weather.tbl[",Q$1,"]")),MATCH(vp.data[[#This Row],[SDate]],weather.tbl[Date],0))</f>
        <v>15.8</v>
      </c>
      <c r="R329" s="2">
        <f ca="1">INDEX(INDIRECT(_xlfn.CONCAT("weather.tbl[",R$1,"]")),MATCH(vp.data[[#This Row],[SDate]],weather.tbl[Date],0))</f>
        <v>10.3</v>
      </c>
      <c r="S329" s="2">
        <f ca="1">INDEX(INDIRECT(_xlfn.CONCAT("weather.tbl[",S$1,"]")),MATCH(vp.data[[#This Row],[SDate]],weather.tbl[Date],0))</f>
        <v>15.5</v>
      </c>
      <c r="T329" s="2">
        <f ca="1">INDEX(INDIRECT(_xlfn.CONCAT("weather.tbl[",T$1,"]")),MATCH(vp.data[[#This Row],[SDate]],weather.tbl[Date],0))</f>
        <v>14.5</v>
      </c>
      <c r="U329" s="2">
        <f ca="1">INDEX(INDIRECT(_xlfn.CONCAT("weather.tbl[",U$1,"]")),MATCH(vp.data[[#This Row],[SDate]],weather.tbl[Date],0))</f>
        <v>15.3</v>
      </c>
      <c r="V329" s="2">
        <f t="array" ref="V3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5712.1480000000001</v>
      </c>
      <c r="W329" t="s">
        <v>48</v>
      </c>
      <c r="X329">
        <f>IF(OR(vp.data[[#This Row],[Sulf]]="",vp.data[[#This Row],[Dens]]=""),1,0)</f>
        <v>0</v>
      </c>
      <c r="Y329">
        <f>IF(vp.data[[#This Row],[CrudeType]]="C5+",1,0)</f>
        <v>0</v>
      </c>
      <c r="Z329">
        <f>IF(AND(vp.data[[#This Row],[CrudeType]]="Crude",vp.data[[#This Row],[Dens]]&lt;=825,vp.data[[#This Row],[Sulf]]&gt;0.5,vp.data[[#This Row],[Unknown]]=0),1,0)</f>
        <v>0</v>
      </c>
      <c r="AA329">
        <f>IF(AND(vp.data[[#This Row],[CrudeType]]="Crude",vp.data[[#This Row],[Dens]]&lt;=825,vp.data[[#This Row],[Sulf]]&lt;=0.5,vp.data[[#This Row],[Unknown]]=0),1,0)</f>
        <v>0</v>
      </c>
      <c r="AB3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29">
        <f>IF(AND(vp.data[[#This Row],[CrudeType]]="Crude",vp.data[[#This Row],[Dens]]&gt;825,vp.data[[#This Row],[Dens]]&lt;=900,vp.data[[#This Row],[Sulf]]&lt;=0.5,vp.data[[#This Row],[Unknown]]=0),1,0)</f>
        <v>0</v>
      </c>
      <c r="AD329">
        <f>IF(AND(vp.data[[#This Row],[CrudeType]]="Crude",vp.data[[#This Row],[Dens]]&gt;865,vp.data[[#This Row],[Dens]]&lt;=900,vp.data[[#This Row],[Sulf]]&gt;2,vp.data[[#This Row],[Unknown]]=0),1,0)</f>
        <v>0</v>
      </c>
      <c r="AE329">
        <f>IF(AND(vp.data[[#This Row],[CrudeType]]="Crude",vp.data[[#This Row],[Dens]]&gt;900,vp.data[[#This Row],[Sulf]]&lt;=0.5,vp.data[[#This Row],[Unknown]]=0),1,0)</f>
        <v>0</v>
      </c>
      <c r="AF329">
        <f>IF(AND(vp.data[[#This Row],[CrudeType]]="Crude",vp.data[[#This Row],[Dens]]&gt;900,vp.data[[#This Row],[Sulf]]&lt;=0.5,vp.data[[#This Row],[Unknown]]=0),1,0)</f>
        <v>0</v>
      </c>
      <c r="AG329" t="str">
        <f>INDEX(vp.data[[#Headers],[Unknown]:[Heavy_SW]],MATCH(1,vp.data[[#This Row],[Unknown]:[Heavy_SW]],0))</f>
        <v>Medium_LSB</v>
      </c>
      <c r="AH329">
        <f>INDEX([3]!crudeBD.lkup[Number],MATCH(vp.data[[#This Row],[Crude_Breakdown]],crudeBD.lkup[Crude Breakdown],0))</f>
        <v>3</v>
      </c>
      <c r="AI329">
        <f>MONTH(vp.data[[#This Row],[SDate]])</f>
        <v>9</v>
      </c>
      <c r="AJ329" s="5">
        <f>(vp.data[[#This Row],[VP]]-INDEX(crudeBD.lkup[Mean_VP],MATCH(vp.data[[#This Row],[Crude_Breakdown]],crudeBD.lkup[Crude Breakdown],0)))^2</f>
        <v>438.4700540129727</v>
      </c>
      <c r="AK329" s="5">
        <f>(vp.data[[#This Row],[Dens]]-INDEX(crudeBD.lkup[Mean_Dens],MATCH(vp.data[[#This Row],[Crude_Breakdown]],crudeBD.lkup[Crude Breakdown],0)))^2</f>
        <v>145.92640000001197</v>
      </c>
      <c r="AL329" s="5">
        <f>(vp.data[[#This Row],[Sulf]]-INDEX(crudeBD.lkup[Mean_Sulf],MATCH(vp.data[[#This Row],[Crude_Breakdown]],crudeBD.lkup[Crude Breakdown],0)))^2</f>
        <v>1.1965976994660734E-3</v>
      </c>
      <c r="AM329" s="4">
        <f>IF(AND(vp.data[[#This Row],[SDate]]&gt;=DATE(YEAR(vp.data[[#This Row],[SDate]]),5,1),vp.data[[#This Row],[SDate]]&lt;=DATE(YEAR(vp.data[[#This Row],[SDate]]),9,15)),1,0)</f>
        <v>1</v>
      </c>
      <c r="AN329" s="4">
        <f>IF(vp.data[[#This Row],[SDate]]&lt;DATE(2016,12,1),0,1)</f>
        <v>0</v>
      </c>
      <c r="AO329" s="4">
        <f>IFERROR(vp.data[[#This Row],[Sulf]]*vp.data[[#This Row],[Net Dens]],"")</f>
        <v>6943230.1369599998</v>
      </c>
      <c r="AP329">
        <f>IFERROR(vp.data[[#This Row],[Dens]]*vp.data[[#This Row],[VolumeM3]],"")</f>
        <v>4889598.6880000001</v>
      </c>
      <c r="AQ329" s="15">
        <f>IFERROR(vp.data[[#This Row],[VP]]*vp.data[[#This Row],[VolumeM3]],"")</f>
        <v>341015.23560000001</v>
      </c>
    </row>
    <row r="330" spans="1:43" x14ac:dyDescent="0.25">
      <c r="A330">
        <v>329</v>
      </c>
      <c r="B330" t="s">
        <v>46</v>
      </c>
      <c r="C330" t="s">
        <v>46</v>
      </c>
      <c r="D330" t="s">
        <v>47</v>
      </c>
      <c r="F330" s="1">
        <v>42628</v>
      </c>
      <c r="G330" s="2">
        <v>67.7</v>
      </c>
      <c r="H330" s="2"/>
      <c r="I330" s="2">
        <f t="array" ref="I330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330" s="2"/>
      <c r="K330" s="2"/>
      <c r="L330" s="2">
        <v>869.9</v>
      </c>
      <c r="M330" s="2">
        <f t="array" ref="M330">_xlfn.IFNA(IF(vp.data[[#This Row],[Dens Input]]="",INDEX([1]DATA!$O$3:$O$9826,MATCH(1,(vp.data[[#This Row],[Battery]]=[1]DATA!$L$3:$L$9826)*(EOMONTH(vp.data[[#This Row],[SDate]],-1)+1=[1]DATA!$G$3:$G$9826),0)),vp.data[[#This Row],[Dens Input]]),"")</f>
        <v>869.9</v>
      </c>
      <c r="N330" s="2">
        <f ca="1">INDEX(INDIRECT(_xlfn.CONCAT("weather.tbl[",N$1,"]")),MATCH(vp.data[[#This Row],[SDate]],weather.tbl[Date],0))</f>
        <v>14.316666666666665</v>
      </c>
      <c r="O330" s="2">
        <f ca="1">INDEX(INDIRECT(_xlfn.CONCAT("weather.tbl[",O$1,"]")),MATCH(vp.data[[#This Row],[SDate]],weather.tbl[Date],0))</f>
        <v>11.654761904761903</v>
      </c>
      <c r="P330" s="2">
        <f ca="1">INDEX(INDIRECT(_xlfn.CONCAT("weather.tbl[",P$1,"]")),MATCH(vp.data[[#This Row],[SDate]],weather.tbl[Date],0))</f>
        <v>14.5</v>
      </c>
      <c r="Q330" s="2">
        <f ca="1">INDEX(INDIRECT(_xlfn.CONCAT("weather.tbl[",Q$1,"]")),MATCH(vp.data[[#This Row],[SDate]],weather.tbl[Date],0))</f>
        <v>15.8</v>
      </c>
      <c r="R330" s="2">
        <f ca="1">INDEX(INDIRECT(_xlfn.CONCAT("weather.tbl[",R$1,"]")),MATCH(vp.data[[#This Row],[SDate]],weather.tbl[Date],0))</f>
        <v>10.3</v>
      </c>
      <c r="S330" s="2">
        <f ca="1">INDEX(INDIRECT(_xlfn.CONCAT("weather.tbl[",S$1,"]")),MATCH(vp.data[[#This Row],[SDate]],weather.tbl[Date],0))</f>
        <v>15.5</v>
      </c>
      <c r="T330" s="2">
        <f ca="1">INDEX(INDIRECT(_xlfn.CONCAT("weather.tbl[",T$1,"]")),MATCH(vp.data[[#This Row],[SDate]],weather.tbl[Date],0))</f>
        <v>14.5</v>
      </c>
      <c r="U330" s="2">
        <f ca="1">INDEX(INDIRECT(_xlfn.CONCAT("weather.tbl[",U$1,"]")),MATCH(vp.data[[#This Row],[SDate]],weather.tbl[Date],0))</f>
        <v>15.3</v>
      </c>
      <c r="V330" s="2">
        <f t="array" ref="V3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111219.577</v>
      </c>
      <c r="W330" t="s">
        <v>48</v>
      </c>
      <c r="X330">
        <f>IF(OR(vp.data[[#This Row],[Sulf]]="",vp.data[[#This Row],[Dens]]=""),1,0)</f>
        <v>0</v>
      </c>
      <c r="Y330">
        <f>IF(vp.data[[#This Row],[CrudeType]]="C5+",1,0)</f>
        <v>0</v>
      </c>
      <c r="Z330">
        <f>IF(AND(vp.data[[#This Row],[CrudeType]]="Crude",vp.data[[#This Row],[Dens]]&lt;=825,vp.data[[#This Row],[Sulf]]&gt;0.5,vp.data[[#This Row],[Unknown]]=0),1,0)</f>
        <v>0</v>
      </c>
      <c r="AA330">
        <f>IF(AND(vp.data[[#This Row],[CrudeType]]="Crude",vp.data[[#This Row],[Dens]]&lt;=825,vp.data[[#This Row],[Sulf]]&lt;=0.5,vp.data[[#This Row],[Unknown]]=0),1,0)</f>
        <v>0</v>
      </c>
      <c r="AB3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0">
        <f>IF(AND(vp.data[[#This Row],[CrudeType]]="Crude",vp.data[[#This Row],[Dens]]&gt;825,vp.data[[#This Row],[Dens]]&lt;=900,vp.data[[#This Row],[Sulf]]&lt;=0.5,vp.data[[#This Row],[Unknown]]=0),1,0)</f>
        <v>0</v>
      </c>
      <c r="AD330">
        <f>IF(AND(vp.data[[#This Row],[CrudeType]]="Crude",vp.data[[#This Row],[Dens]]&gt;865,vp.data[[#This Row],[Dens]]&lt;=900,vp.data[[#This Row],[Sulf]]&gt;2,vp.data[[#This Row],[Unknown]]=0),1,0)</f>
        <v>1</v>
      </c>
      <c r="AE330">
        <f>IF(AND(vp.data[[#This Row],[CrudeType]]="Crude",vp.data[[#This Row],[Dens]]&gt;900,vp.data[[#This Row],[Sulf]]&lt;=0.5,vp.data[[#This Row],[Unknown]]=0),1,0)</f>
        <v>0</v>
      </c>
      <c r="AF330">
        <f>IF(AND(vp.data[[#This Row],[CrudeType]]="Crude",vp.data[[#This Row],[Dens]]&gt;900,vp.data[[#This Row],[Sulf]]&lt;=0.5,vp.data[[#This Row],[Unknown]]=0),1,0)</f>
        <v>0</v>
      </c>
      <c r="AG330" t="str">
        <f>INDEX(vp.data[[#Headers],[Unknown]:[Heavy_SW]],MATCH(1,vp.data[[#This Row],[Unknown]:[Heavy_SW]],0))</f>
        <v>Midale</v>
      </c>
      <c r="AH330">
        <f>INDEX([3]!crudeBD.lkup[Number],MATCH(vp.data[[#This Row],[Crude_Breakdown]],crudeBD.lkup[Crude Breakdown],0))</f>
        <v>5</v>
      </c>
      <c r="AI330">
        <f>MONTH(vp.data[[#This Row],[SDate]])</f>
        <v>9</v>
      </c>
      <c r="AJ330" s="5">
        <f>(vp.data[[#This Row],[VP]]-INDEX(crudeBD.lkup[Mean_VP],MATCH(vp.data[[#This Row],[Crude_Breakdown]],crudeBD.lkup[Crude Breakdown],0)))^2</f>
        <v>2.9198706026146155</v>
      </c>
      <c r="AK330" s="5">
        <f>(vp.data[[#This Row],[Dens]]-INDEX(crudeBD.lkup[Mean_Dens],MATCH(vp.data[[#This Row],[Crude_Breakdown]],crudeBD.lkup[Crude Breakdown],0)))^2</f>
        <v>24.176990381552823</v>
      </c>
      <c r="AL330" s="5">
        <f>(vp.data[[#This Row],[Sulf]]-INDEX(crudeBD.lkup[Mean_Sulf],MATCH(vp.data[[#This Row],[Crude_Breakdown]],crudeBD.lkup[Crude Breakdown],0)))^2</f>
        <v>1.785311974748607E-2</v>
      </c>
      <c r="AM330" s="4">
        <f>IF(AND(vp.data[[#This Row],[SDate]]&gt;=DATE(YEAR(vp.data[[#This Row],[SDate]]),5,1),vp.data[[#This Row],[SDate]]&lt;=DATE(YEAR(vp.data[[#This Row],[SDate]]),9,15)),1,0)</f>
        <v>1</v>
      </c>
      <c r="AN330" s="4">
        <f>IF(vp.data[[#This Row],[SDate]]&lt;DATE(2016,12,1),0,1)</f>
        <v>0</v>
      </c>
      <c r="AO330" s="4">
        <f>IFERROR(vp.data[[#This Row],[Sulf]]*vp.data[[#This Row],[Net Dens]],"")</f>
        <v>223492292.174613</v>
      </c>
      <c r="AP330">
        <f>IFERROR(vp.data[[#This Row],[Dens]]*vp.data[[#This Row],[VolumeM3]],"")</f>
        <v>96749910.032299995</v>
      </c>
      <c r="AQ330" s="15">
        <f>IFERROR(vp.data[[#This Row],[VP]]*vp.data[[#This Row],[VolumeM3]],"")</f>
        <v>7529565.362900001</v>
      </c>
    </row>
    <row r="331" spans="1:43" x14ac:dyDescent="0.25">
      <c r="A331">
        <v>330</v>
      </c>
      <c r="B331" t="s">
        <v>51</v>
      </c>
      <c r="C331" t="s">
        <v>51</v>
      </c>
      <c r="D331" t="s">
        <v>52</v>
      </c>
      <c r="F331" s="1">
        <v>42628</v>
      </c>
      <c r="G331" s="2">
        <v>56.2</v>
      </c>
      <c r="H331" s="2"/>
      <c r="I331" s="2">
        <f t="array" ref="I331">_xlfn.IFNA(IF(vp.data[[#This Row],[Sulf Input]]="",INDEX([1]DATA!$Q$3:$Q$9826,MATCH(1,(vp.data[[#This Row],[Battery]]=[1]DATA!$L$3:$L$9826)*(EOMONTH(vp.data[[#This Row],[SDate]],-1)+1=[1]DATA!$G$3:$G$9826),0)),vp.data[[#This Row],[Sulf Input]]),"")</f>
        <v>2.27</v>
      </c>
      <c r="J331" s="2"/>
      <c r="K331" s="2"/>
      <c r="L331" s="2">
        <v>872.5</v>
      </c>
      <c r="M331" s="2">
        <f t="array" ref="M331">_xlfn.IFNA(IF(vp.data[[#This Row],[Dens Input]]="",INDEX([1]DATA!$O$3:$O$9826,MATCH(1,(vp.data[[#This Row],[Battery]]=[1]DATA!$L$3:$L$9826)*(EOMONTH(vp.data[[#This Row],[SDate]],-1)+1=[1]DATA!$G$3:$G$9826),0)),vp.data[[#This Row],[Dens Input]]),"")</f>
        <v>872.5</v>
      </c>
      <c r="N331" s="2">
        <f ca="1">INDEX(INDIRECT(_xlfn.CONCAT("weather.tbl[",N$1,"]")),MATCH(vp.data[[#This Row],[SDate]],weather.tbl[Date],0))</f>
        <v>14.316666666666665</v>
      </c>
      <c r="O331" s="2">
        <f ca="1">INDEX(INDIRECT(_xlfn.CONCAT("weather.tbl[",O$1,"]")),MATCH(vp.data[[#This Row],[SDate]],weather.tbl[Date],0))</f>
        <v>11.654761904761903</v>
      </c>
      <c r="P331" s="2">
        <f ca="1">INDEX(INDIRECT(_xlfn.CONCAT("weather.tbl[",P$1,"]")),MATCH(vp.data[[#This Row],[SDate]],weather.tbl[Date],0))</f>
        <v>14.5</v>
      </c>
      <c r="Q331" s="2">
        <f ca="1">INDEX(INDIRECT(_xlfn.CONCAT("weather.tbl[",Q$1,"]")),MATCH(vp.data[[#This Row],[SDate]],weather.tbl[Date],0))</f>
        <v>15.8</v>
      </c>
      <c r="R331" s="2">
        <f ca="1">INDEX(INDIRECT(_xlfn.CONCAT("weather.tbl[",R$1,"]")),MATCH(vp.data[[#This Row],[SDate]],weather.tbl[Date],0))</f>
        <v>10.3</v>
      </c>
      <c r="S331" s="2">
        <f ca="1">INDEX(INDIRECT(_xlfn.CONCAT("weather.tbl[",S$1,"]")),MATCH(vp.data[[#This Row],[SDate]],weather.tbl[Date],0))</f>
        <v>15.5</v>
      </c>
      <c r="T331" s="2">
        <f ca="1">INDEX(INDIRECT(_xlfn.CONCAT("weather.tbl[",T$1,"]")),MATCH(vp.data[[#This Row],[SDate]],weather.tbl[Date],0))</f>
        <v>14.5</v>
      </c>
      <c r="U331" s="2">
        <f ca="1">INDEX(INDIRECT(_xlfn.CONCAT("weather.tbl[",U$1,"]")),MATCH(vp.data[[#This Row],[SDate]],weather.tbl[Date],0))</f>
        <v>15.3</v>
      </c>
      <c r="V331" s="2">
        <f t="array" ref="V3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7367.5910000000003</v>
      </c>
      <c r="W331" t="s">
        <v>48</v>
      </c>
      <c r="X331">
        <f>IF(OR(vp.data[[#This Row],[Sulf]]="",vp.data[[#This Row],[Dens]]=""),1,0)</f>
        <v>0</v>
      </c>
      <c r="Y331">
        <f>IF(vp.data[[#This Row],[CrudeType]]="C5+",1,0)</f>
        <v>0</v>
      </c>
      <c r="Z331">
        <f>IF(AND(vp.data[[#This Row],[CrudeType]]="Crude",vp.data[[#This Row],[Dens]]&lt;=825,vp.data[[#This Row],[Sulf]]&gt;0.5,vp.data[[#This Row],[Unknown]]=0),1,0)</f>
        <v>0</v>
      </c>
      <c r="AA331">
        <f>IF(AND(vp.data[[#This Row],[CrudeType]]="Crude",vp.data[[#This Row],[Dens]]&lt;=825,vp.data[[#This Row],[Sulf]]&lt;=0.5,vp.data[[#This Row],[Unknown]]=0),1,0)</f>
        <v>0</v>
      </c>
      <c r="AB3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1">
        <f>IF(AND(vp.data[[#This Row],[CrudeType]]="Crude",vp.data[[#This Row],[Dens]]&gt;825,vp.data[[#This Row],[Dens]]&lt;=900,vp.data[[#This Row],[Sulf]]&lt;=0.5,vp.data[[#This Row],[Unknown]]=0),1,0)</f>
        <v>0</v>
      </c>
      <c r="AD331">
        <f>IF(AND(vp.data[[#This Row],[CrudeType]]="Crude",vp.data[[#This Row],[Dens]]&gt;865,vp.data[[#This Row],[Dens]]&lt;=900,vp.data[[#This Row],[Sulf]]&gt;2,vp.data[[#This Row],[Unknown]]=0),1,0)</f>
        <v>1</v>
      </c>
      <c r="AE331">
        <f>IF(AND(vp.data[[#This Row],[CrudeType]]="Crude",vp.data[[#This Row],[Dens]]&gt;900,vp.data[[#This Row],[Sulf]]&lt;=0.5,vp.data[[#This Row],[Unknown]]=0),1,0)</f>
        <v>0</v>
      </c>
      <c r="AF331">
        <f>IF(AND(vp.data[[#This Row],[CrudeType]]="Crude",vp.data[[#This Row],[Dens]]&gt;900,vp.data[[#This Row],[Sulf]]&lt;=0.5,vp.data[[#This Row],[Unknown]]=0),1,0)</f>
        <v>0</v>
      </c>
      <c r="AG331" t="str">
        <f>INDEX(vp.data[[#Headers],[Unknown]:[Heavy_SW]],MATCH(1,vp.data[[#This Row],[Unknown]:[Heavy_SW]],0))</f>
        <v>Midale</v>
      </c>
      <c r="AH331">
        <f>INDEX([3]!crudeBD.lkup[Number],MATCH(vp.data[[#This Row],[Crude_Breakdown]],crudeBD.lkup[Crude Breakdown],0))</f>
        <v>5</v>
      </c>
      <c r="AI331">
        <f>MONTH(vp.data[[#This Row],[SDate]])</f>
        <v>9</v>
      </c>
      <c r="AJ331" s="5">
        <f>(vp.data[[#This Row],[VP]]-INDEX(crudeBD.lkup[Mean_VP],MATCH(vp.data[[#This Row],[Crude_Breakdown]],crudeBD.lkup[Crude Breakdown],0)))^2</f>
        <v>174.47141699436784</v>
      </c>
      <c r="AK331" s="5">
        <f>(vp.data[[#This Row],[Dens]]-INDEX(crudeBD.lkup[Mean_Dens],MATCH(vp.data[[#This Row],[Crude_Breakdown]],crudeBD.lkup[Crude Breakdown],0)))^2</f>
        <v>5.3685367733035809</v>
      </c>
      <c r="AL331" s="5">
        <f>(vp.data[[#This Row],[Sulf]]-INDEX(crudeBD.lkup[Mean_Sulf],MATCH(vp.data[[#This Row],[Crude_Breakdown]],crudeBD.lkup[Crude Breakdown],0)))^2</f>
        <v>3.0142365108310708E-2</v>
      </c>
      <c r="AM331" s="4">
        <f>IF(AND(vp.data[[#This Row],[SDate]]&gt;=DATE(YEAR(vp.data[[#This Row],[SDate]]),5,1),vp.data[[#This Row],[SDate]]&lt;=DATE(YEAR(vp.data[[#This Row],[SDate]]),9,15)),1,0)</f>
        <v>1</v>
      </c>
      <c r="AN331" s="4">
        <f>IF(vp.data[[#This Row],[SDate]]&lt;DATE(2016,12,1),0,1)</f>
        <v>0</v>
      </c>
      <c r="AO331" s="4">
        <f>IFERROR(vp.data[[#This Row],[Sulf]]*vp.data[[#This Row],[Net Dens]],"")</f>
        <v>14592066.544825001</v>
      </c>
      <c r="AP331">
        <f>IFERROR(vp.data[[#This Row],[Dens]]*vp.data[[#This Row],[VolumeM3]],"")</f>
        <v>6428223.1475</v>
      </c>
      <c r="AQ331" s="15">
        <f>IFERROR(vp.data[[#This Row],[VP]]*vp.data[[#This Row],[VolumeM3]],"")</f>
        <v>414058.61420000007</v>
      </c>
    </row>
    <row r="332" spans="1:43" x14ac:dyDescent="0.25">
      <c r="A332">
        <v>331</v>
      </c>
      <c r="B332" t="s">
        <v>49</v>
      </c>
      <c r="C332" t="s">
        <v>49</v>
      </c>
      <c r="D332" t="s">
        <v>50</v>
      </c>
      <c r="F332" s="1">
        <v>42628</v>
      </c>
      <c r="G332" s="2">
        <v>62.6</v>
      </c>
      <c r="H332" s="2"/>
      <c r="I332" s="2">
        <f t="array" ref="I332">_xlfn.IFNA(IF(vp.data[[#This Row],[Sulf Input]]="",INDEX([1]DATA!$Q$3:$Q$9826,MATCH(1,(vp.data[[#This Row],[Battery]]=[1]DATA!$L$3:$L$9826)*(EOMONTH(vp.data[[#This Row],[SDate]],-1)+1=[1]DATA!$G$3:$G$9826),0)),vp.data[[#This Row],[Sulf Input]]),"")</f>
        <v>2.81</v>
      </c>
      <c r="J332" s="2"/>
      <c r="K332" s="2"/>
      <c r="L332" s="2">
        <v>878.4</v>
      </c>
      <c r="M332" s="2">
        <f t="array" ref="M332">_xlfn.IFNA(IF(vp.data[[#This Row],[Dens Input]]="",INDEX([1]DATA!$O$3:$O$9826,MATCH(1,(vp.data[[#This Row],[Battery]]=[1]DATA!$L$3:$L$9826)*(EOMONTH(vp.data[[#This Row],[SDate]],-1)+1=[1]DATA!$G$3:$G$9826),0)),vp.data[[#This Row],[Dens Input]]),"")</f>
        <v>878.4</v>
      </c>
      <c r="N332" s="2">
        <f ca="1">INDEX(INDIRECT(_xlfn.CONCAT("weather.tbl[",N$1,"]")),MATCH(vp.data[[#This Row],[SDate]],weather.tbl[Date],0))</f>
        <v>14.316666666666665</v>
      </c>
      <c r="O332" s="2">
        <f ca="1">INDEX(INDIRECT(_xlfn.CONCAT("weather.tbl[",O$1,"]")),MATCH(vp.data[[#This Row],[SDate]],weather.tbl[Date],0))</f>
        <v>11.654761904761903</v>
      </c>
      <c r="P332" s="2">
        <f ca="1">INDEX(INDIRECT(_xlfn.CONCAT("weather.tbl[",P$1,"]")),MATCH(vp.data[[#This Row],[SDate]],weather.tbl[Date],0))</f>
        <v>14.5</v>
      </c>
      <c r="Q332" s="2">
        <f ca="1">INDEX(INDIRECT(_xlfn.CONCAT("weather.tbl[",Q$1,"]")),MATCH(vp.data[[#This Row],[SDate]],weather.tbl[Date],0))</f>
        <v>15.8</v>
      </c>
      <c r="R332" s="2">
        <f ca="1">INDEX(INDIRECT(_xlfn.CONCAT("weather.tbl[",R$1,"]")),MATCH(vp.data[[#This Row],[SDate]],weather.tbl[Date],0))</f>
        <v>10.3</v>
      </c>
      <c r="S332" s="2">
        <f ca="1">INDEX(INDIRECT(_xlfn.CONCAT("weather.tbl[",S$1,"]")),MATCH(vp.data[[#This Row],[SDate]],weather.tbl[Date],0))</f>
        <v>15.5</v>
      </c>
      <c r="T332" s="2">
        <f ca="1">INDEX(INDIRECT(_xlfn.CONCAT("weather.tbl[",T$1,"]")),MATCH(vp.data[[#This Row],[SDate]],weather.tbl[Date],0))</f>
        <v>14.5</v>
      </c>
      <c r="U332" s="2">
        <f ca="1">INDEX(INDIRECT(_xlfn.CONCAT("weather.tbl[",U$1,"]")),MATCH(vp.data[[#This Row],[SDate]],weather.tbl[Date],0))</f>
        <v>15.3</v>
      </c>
      <c r="V332" s="2">
        <f t="array" ref="V3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5675.5129999999999</v>
      </c>
      <c r="W332" t="s">
        <v>48</v>
      </c>
      <c r="X332">
        <f>IF(OR(vp.data[[#This Row],[Sulf]]="",vp.data[[#This Row],[Dens]]=""),1,0)</f>
        <v>0</v>
      </c>
      <c r="Y332">
        <f>IF(vp.data[[#This Row],[CrudeType]]="C5+",1,0)</f>
        <v>0</v>
      </c>
      <c r="Z332">
        <f>IF(AND(vp.data[[#This Row],[CrudeType]]="Crude",vp.data[[#This Row],[Dens]]&lt;=825,vp.data[[#This Row],[Sulf]]&gt;0.5,vp.data[[#This Row],[Unknown]]=0),1,0)</f>
        <v>0</v>
      </c>
      <c r="AA332">
        <f>IF(AND(vp.data[[#This Row],[CrudeType]]="Crude",vp.data[[#This Row],[Dens]]&lt;=825,vp.data[[#This Row],[Sulf]]&lt;=0.5,vp.data[[#This Row],[Unknown]]=0),1,0)</f>
        <v>0</v>
      </c>
      <c r="AB3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2">
        <f>IF(AND(vp.data[[#This Row],[CrudeType]]="Crude",vp.data[[#This Row],[Dens]]&gt;825,vp.data[[#This Row],[Dens]]&lt;=900,vp.data[[#This Row],[Sulf]]&lt;=0.5,vp.data[[#This Row],[Unknown]]=0),1,0)</f>
        <v>0</v>
      </c>
      <c r="AD332">
        <f>IF(AND(vp.data[[#This Row],[CrudeType]]="Crude",vp.data[[#This Row],[Dens]]&gt;865,vp.data[[#This Row],[Dens]]&lt;=900,vp.data[[#This Row],[Sulf]]&gt;2,vp.data[[#This Row],[Unknown]]=0),1,0)</f>
        <v>1</v>
      </c>
      <c r="AE332">
        <f>IF(AND(vp.data[[#This Row],[CrudeType]]="Crude",vp.data[[#This Row],[Dens]]&gt;900,vp.data[[#This Row],[Sulf]]&lt;=0.5,vp.data[[#This Row],[Unknown]]=0),1,0)</f>
        <v>0</v>
      </c>
      <c r="AF332">
        <f>IF(AND(vp.data[[#This Row],[CrudeType]]="Crude",vp.data[[#This Row],[Dens]]&gt;900,vp.data[[#This Row],[Sulf]]&lt;=0.5,vp.data[[#This Row],[Unknown]]=0),1,0)</f>
        <v>0</v>
      </c>
      <c r="AG332" t="str">
        <f>INDEX(vp.data[[#Headers],[Unknown]:[Heavy_SW]],MATCH(1,vp.data[[#This Row],[Unknown]:[Heavy_SW]],0))</f>
        <v>Midale</v>
      </c>
      <c r="AH332">
        <f>INDEX([3]!crudeBD.lkup[Number],MATCH(vp.data[[#This Row],[Crude_Breakdown]],crudeBD.lkup[Crude Breakdown],0))</f>
        <v>5</v>
      </c>
      <c r="AI332">
        <f>MONTH(vp.data[[#This Row],[SDate]])</f>
        <v>9</v>
      </c>
      <c r="AJ332" s="5">
        <f>(vp.data[[#This Row],[VP]]-INDEX(crudeBD.lkup[Mean_VP],MATCH(vp.data[[#This Row],[Crude_Breakdown]],crudeBD.lkup[Crude Breakdown],0)))^2</f>
        <v>46.359252045913898</v>
      </c>
      <c r="AK332" s="5">
        <f>(vp.data[[#This Row],[Dens]]-INDEX(crudeBD.lkup[Mean_Dens],MATCH(vp.data[[#This Row],[Crude_Breakdown]],crudeBD.lkup[Crude Breakdown],0)))^2</f>
        <v>12.837815123815258</v>
      </c>
      <c r="AL332" s="5">
        <f>(vp.data[[#This Row],[Sulf]]-INDEX(crudeBD.lkup[Mean_Sulf],MATCH(vp.data[[#This Row],[Crude_Breakdown]],crudeBD.lkup[Crude Breakdown],0)))^2</f>
        <v>0.13423755273717822</v>
      </c>
      <c r="AM332" s="4">
        <f>IF(AND(vp.data[[#This Row],[SDate]]&gt;=DATE(YEAR(vp.data[[#This Row],[SDate]]),5,1),vp.data[[#This Row],[SDate]]&lt;=DATE(YEAR(vp.data[[#This Row],[SDate]]),9,15)),1,0)</f>
        <v>1</v>
      </c>
      <c r="AN332" s="4">
        <f>IF(vp.data[[#This Row],[SDate]]&lt;DATE(2016,12,1),0,1)</f>
        <v>0</v>
      </c>
      <c r="AO332" s="4">
        <f>IFERROR(vp.data[[#This Row],[Sulf]]*vp.data[[#This Row],[Net Dens]],"")</f>
        <v>14008891.439951999</v>
      </c>
      <c r="AP332">
        <f>IFERROR(vp.data[[#This Row],[Dens]]*vp.data[[#This Row],[VolumeM3]],"")</f>
        <v>4985370.6191999996</v>
      </c>
      <c r="AQ332" s="15">
        <f>IFERROR(vp.data[[#This Row],[VP]]*vp.data[[#This Row],[VolumeM3]],"")</f>
        <v>355287.11379999999</v>
      </c>
    </row>
    <row r="333" spans="1:43" x14ac:dyDescent="0.25">
      <c r="A333">
        <v>332</v>
      </c>
      <c r="B333" t="s">
        <v>49</v>
      </c>
      <c r="C333" t="s">
        <v>49</v>
      </c>
      <c r="D333" t="s">
        <v>67</v>
      </c>
      <c r="F333" s="1">
        <v>42640</v>
      </c>
      <c r="G333" s="2">
        <v>91.2</v>
      </c>
      <c r="H333" s="2"/>
      <c r="I333" s="2">
        <f t="array" ref="I333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33" s="2"/>
      <c r="K333" s="2"/>
      <c r="L333" s="2">
        <v>806.3</v>
      </c>
      <c r="M333" s="2">
        <f t="array" ref="M333">_xlfn.IFNA(IF(vp.data[[#This Row],[Dens Input]]="",INDEX([1]DATA!$O$3:$O$9826,MATCH(1,(vp.data[[#This Row],[Battery]]=[1]DATA!$L$3:$L$9826)*(EOMONTH(vp.data[[#This Row],[SDate]],-1)+1=[1]DATA!$G$3:$G$9826),0)),vp.data[[#This Row],[Dens Input]]),"")</f>
        <v>806.3</v>
      </c>
      <c r="N333" s="2">
        <f ca="1">INDEX(INDIRECT(_xlfn.CONCAT("weather.tbl[",N$1,"]")),MATCH(vp.data[[#This Row],[SDate]],weather.tbl[Date],0))</f>
        <v>12.549999999999999</v>
      </c>
      <c r="O333" s="2">
        <f ca="1">INDEX(INDIRECT(_xlfn.CONCAT("weather.tbl[",O$1,"]")),MATCH(vp.data[[#This Row],[SDate]],weather.tbl[Date],0))</f>
        <v>11.333333333333332</v>
      </c>
      <c r="P333" s="2">
        <f ca="1">INDEX(INDIRECT(_xlfn.CONCAT("weather.tbl[",P$1,"]")),MATCH(vp.data[[#This Row],[SDate]],weather.tbl[Date],0))</f>
        <v>12.8</v>
      </c>
      <c r="Q333" s="2">
        <f ca="1">INDEX(INDIRECT(_xlfn.CONCAT("weather.tbl[",Q$1,"]")),MATCH(vp.data[[#This Row],[SDate]],weather.tbl[Date],0))</f>
        <v>13.7</v>
      </c>
      <c r="R333" s="2">
        <f ca="1">INDEX(INDIRECT(_xlfn.CONCAT("weather.tbl[",R$1,"]")),MATCH(vp.data[[#This Row],[SDate]],weather.tbl[Date],0))</f>
        <v>11</v>
      </c>
      <c r="S333" s="2">
        <f ca="1">INDEX(INDIRECT(_xlfn.CONCAT("weather.tbl[",S$1,"]")),MATCH(vp.data[[#This Row],[SDate]],weather.tbl[Date],0))</f>
        <v>15</v>
      </c>
      <c r="T333" s="2">
        <f ca="1">INDEX(INDIRECT(_xlfn.CONCAT("weather.tbl[",T$1,"]")),MATCH(vp.data[[#This Row],[SDate]],weather.tbl[Date],0))</f>
        <v>11</v>
      </c>
      <c r="U333" s="2">
        <f ca="1">INDEX(INDIRECT(_xlfn.CONCAT("weather.tbl[",U$1,"]")),MATCH(vp.data[[#This Row],[SDate]],weather.tbl[Date],0))</f>
        <v>11.8</v>
      </c>
      <c r="V333" s="2">
        <f t="array" ref="V3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50619.663999999997</v>
      </c>
      <c r="W333" t="s">
        <v>48</v>
      </c>
      <c r="X333">
        <f>IF(OR(vp.data[[#This Row],[Sulf]]="",vp.data[[#This Row],[Dens]]=""),1,0)</f>
        <v>0</v>
      </c>
      <c r="Y333">
        <f>IF(vp.data[[#This Row],[CrudeType]]="C5+",1,0)</f>
        <v>0</v>
      </c>
      <c r="Z333">
        <f>IF(AND(vp.data[[#This Row],[CrudeType]]="Crude",vp.data[[#This Row],[Dens]]&lt;=825,vp.data[[#This Row],[Sulf]]&gt;0.5,vp.data[[#This Row],[Unknown]]=0),1,0)</f>
        <v>0</v>
      </c>
      <c r="AA333">
        <f>IF(AND(vp.data[[#This Row],[CrudeType]]="Crude",vp.data[[#This Row],[Dens]]&lt;=825,vp.data[[#This Row],[Sulf]]&lt;=0.5,vp.data[[#This Row],[Unknown]]=0),1,0)</f>
        <v>1</v>
      </c>
      <c r="AB3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3">
        <f>IF(AND(vp.data[[#This Row],[CrudeType]]="Crude",vp.data[[#This Row],[Dens]]&gt;825,vp.data[[#This Row],[Dens]]&lt;=900,vp.data[[#This Row],[Sulf]]&lt;=0.5,vp.data[[#This Row],[Unknown]]=0),1,0)</f>
        <v>0</v>
      </c>
      <c r="AD333">
        <f>IF(AND(vp.data[[#This Row],[CrudeType]]="Crude",vp.data[[#This Row],[Dens]]&gt;865,vp.data[[#This Row],[Dens]]&lt;=900,vp.data[[#This Row],[Sulf]]&gt;2,vp.data[[#This Row],[Unknown]]=0),1,0)</f>
        <v>0</v>
      </c>
      <c r="AE333">
        <f>IF(AND(vp.data[[#This Row],[CrudeType]]="Crude",vp.data[[#This Row],[Dens]]&gt;900,vp.data[[#This Row],[Sulf]]&lt;=0.5,vp.data[[#This Row],[Unknown]]=0),1,0)</f>
        <v>0</v>
      </c>
      <c r="AF333">
        <f>IF(AND(vp.data[[#This Row],[CrudeType]]="Crude",vp.data[[#This Row],[Dens]]&gt;900,vp.data[[#This Row],[Sulf]]&lt;=0.5,vp.data[[#This Row],[Unknown]]=0),1,0)</f>
        <v>0</v>
      </c>
      <c r="AG333" t="str">
        <f>INDEX(vp.data[[#Headers],[Unknown]:[Heavy_SW]],MATCH(1,vp.data[[#This Row],[Unknown]:[Heavy_SW]],0))</f>
        <v>Light_SW</v>
      </c>
      <c r="AH333">
        <f>INDEX([3]!crudeBD.lkup[Number],MATCH(vp.data[[#This Row],[Crude_Breakdown]],crudeBD.lkup[Crude Breakdown],0))</f>
        <v>2</v>
      </c>
      <c r="AI333">
        <f>MONTH(vp.data[[#This Row],[SDate]])</f>
        <v>9</v>
      </c>
      <c r="AJ333" s="5">
        <f>(vp.data[[#This Row],[VP]]-INDEX(crudeBD.lkup[Mean_VP],MATCH(vp.data[[#This Row],[Crude_Breakdown]],crudeBD.lkup[Crude Breakdown],0)))^2</f>
        <v>1.8233467882333498</v>
      </c>
      <c r="AK333" s="5">
        <f>(vp.data[[#This Row],[Dens]]-INDEX(crudeBD.lkup[Mean_Dens],MATCH(vp.data[[#This Row],[Crude_Breakdown]],crudeBD.lkup[Crude Breakdown],0)))^2</f>
        <v>4.0461252412915387</v>
      </c>
      <c r="AL333" s="5">
        <f>(vp.data[[#This Row],[Sulf]]-INDEX(crudeBD.lkup[Mean_Sulf],MATCH(vp.data[[#This Row],[Crude_Breakdown]],crudeBD.lkup[Crude Breakdown],0)))^2</f>
        <v>1.3134689259308601E-3</v>
      </c>
      <c r="AM333" s="4">
        <f>IF(AND(vp.data[[#This Row],[SDate]]&gt;=DATE(YEAR(vp.data[[#This Row],[SDate]]),5,1),vp.data[[#This Row],[SDate]]&lt;=DATE(YEAR(vp.data[[#This Row],[SDate]]),9,15)),1,0)</f>
        <v>0</v>
      </c>
      <c r="AN333" s="4">
        <f>IF(vp.data[[#This Row],[SDate]]&lt;DATE(2016,12,1),0,1)</f>
        <v>0</v>
      </c>
      <c r="AO333" s="4">
        <f>IFERROR(vp.data[[#This Row],[Sulf]]*vp.data[[#This Row],[Net Dens]],"")</f>
        <v>8162927.0166399991</v>
      </c>
      <c r="AP333">
        <f>IFERROR(vp.data[[#This Row],[Dens]]*vp.data[[#This Row],[VolumeM3]],"")</f>
        <v>40814635.083199993</v>
      </c>
      <c r="AQ333" s="15">
        <f>IFERROR(vp.data[[#This Row],[VP]]*vp.data[[#This Row],[VolumeM3]],"")</f>
        <v>4616513.3568000002</v>
      </c>
    </row>
    <row r="334" spans="1:43" x14ac:dyDescent="0.25">
      <c r="A334">
        <v>333</v>
      </c>
      <c r="B334" t="s">
        <v>60</v>
      </c>
      <c r="C334" t="s">
        <v>60</v>
      </c>
      <c r="D334" t="s">
        <v>61</v>
      </c>
      <c r="E334" t="s">
        <v>73</v>
      </c>
      <c r="F334" s="1">
        <v>42642</v>
      </c>
      <c r="G334" s="2">
        <v>67</v>
      </c>
      <c r="H334" s="2"/>
      <c r="I334" s="2">
        <f t="array" ref="I334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334" s="2"/>
      <c r="K334" s="2"/>
      <c r="L334" s="2"/>
      <c r="M334" s="2">
        <f t="array" ref="M334">_xlfn.IFNA(IF(vp.data[[#This Row],[Dens Input]]="",INDEX([1]DATA!$O$3:$O$9826,MATCH(1,(vp.data[[#This Row],[Battery]]=[1]DATA!$L$3:$L$9826)*(EOMONTH(vp.data[[#This Row],[SDate]],-1)+1=[1]DATA!$G$3:$G$9826),0)),vp.data[[#This Row],[Dens Input]]),"")</f>
        <v>818.5</v>
      </c>
      <c r="N334" s="2">
        <f ca="1">INDEX(INDIRECT(_xlfn.CONCAT("weather.tbl[",N$1,"]")),MATCH(vp.data[[#This Row],[SDate]],weather.tbl[Date],0))</f>
        <v>15.216666666666667</v>
      </c>
      <c r="O334" s="2">
        <f ca="1">INDEX(INDIRECT(_xlfn.CONCAT("weather.tbl[",O$1,"]")),MATCH(vp.data[[#This Row],[SDate]],weather.tbl[Date],0))</f>
        <v>12.235714285714286</v>
      </c>
      <c r="P334" s="2">
        <f ca="1">INDEX(INDIRECT(_xlfn.CONCAT("weather.tbl[",P$1,"]")),MATCH(vp.data[[#This Row],[SDate]],weather.tbl[Date],0))</f>
        <v>14.7</v>
      </c>
      <c r="Q334" s="2">
        <f ca="1">INDEX(INDIRECT(_xlfn.CONCAT("weather.tbl[",Q$1,"]")),MATCH(vp.data[[#This Row],[SDate]],weather.tbl[Date],0))</f>
        <v>16.8</v>
      </c>
      <c r="R334" s="2">
        <f ca="1">INDEX(INDIRECT(_xlfn.CONCAT("weather.tbl[",R$1,"]")),MATCH(vp.data[[#This Row],[SDate]],weather.tbl[Date],0))</f>
        <v>13.3</v>
      </c>
      <c r="S334" s="2">
        <f ca="1">INDEX(INDIRECT(_xlfn.CONCAT("weather.tbl[",S$1,"]")),MATCH(vp.data[[#This Row],[SDate]],weather.tbl[Date],0))</f>
        <v>18</v>
      </c>
      <c r="T334" s="2">
        <f ca="1">INDEX(INDIRECT(_xlfn.CONCAT("weather.tbl[",T$1,"]")),MATCH(vp.data[[#This Row],[SDate]],weather.tbl[Date],0))</f>
        <v>13.7</v>
      </c>
      <c r="U334" s="2">
        <f ca="1">INDEX(INDIRECT(_xlfn.CONCAT("weather.tbl[",U$1,"]")),MATCH(vp.data[[#This Row],[SDate]],weather.tbl[Date],0))</f>
        <v>14.8</v>
      </c>
      <c r="V334" s="2">
        <f t="array" ref="V3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104382.30499999999</v>
      </c>
      <c r="W334" t="s">
        <v>48</v>
      </c>
      <c r="X334">
        <f>IF(OR(vp.data[[#This Row],[Sulf]]="",vp.data[[#This Row],[Dens]]=""),1,0)</f>
        <v>0</v>
      </c>
      <c r="Y334">
        <f>IF(vp.data[[#This Row],[CrudeType]]="C5+",1,0)</f>
        <v>0</v>
      </c>
      <c r="Z334">
        <f>IF(AND(vp.data[[#This Row],[CrudeType]]="Crude",vp.data[[#This Row],[Dens]]&lt;=825,vp.data[[#This Row],[Sulf]]&gt;0.5,vp.data[[#This Row],[Unknown]]=0),1,0)</f>
        <v>1</v>
      </c>
      <c r="AA334">
        <f>IF(AND(vp.data[[#This Row],[CrudeType]]="Crude",vp.data[[#This Row],[Dens]]&lt;=825,vp.data[[#This Row],[Sulf]]&lt;=0.5,vp.data[[#This Row],[Unknown]]=0),1,0)</f>
        <v>0</v>
      </c>
      <c r="AB3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4">
        <f>IF(AND(vp.data[[#This Row],[CrudeType]]="Crude",vp.data[[#This Row],[Dens]]&gt;825,vp.data[[#This Row],[Dens]]&lt;=900,vp.data[[#This Row],[Sulf]]&lt;=0.5,vp.data[[#This Row],[Unknown]]=0),1,0)</f>
        <v>0</v>
      </c>
      <c r="AD334">
        <f>IF(AND(vp.data[[#This Row],[CrudeType]]="Crude",vp.data[[#This Row],[Dens]]&gt;865,vp.data[[#This Row],[Dens]]&lt;=900,vp.data[[#This Row],[Sulf]]&gt;2,vp.data[[#This Row],[Unknown]]=0),1,0)</f>
        <v>0</v>
      </c>
      <c r="AE334">
        <f>IF(AND(vp.data[[#This Row],[CrudeType]]="Crude",vp.data[[#This Row],[Dens]]&gt;900,vp.data[[#This Row],[Sulf]]&lt;=0.5,vp.data[[#This Row],[Unknown]]=0),1,0)</f>
        <v>0</v>
      </c>
      <c r="AF334">
        <f>IF(AND(vp.data[[#This Row],[CrudeType]]="Crude",vp.data[[#This Row],[Dens]]&gt;900,vp.data[[#This Row],[Sulf]]&lt;=0.5,vp.data[[#This Row],[Unknown]]=0),1,0)</f>
        <v>0</v>
      </c>
      <c r="AG334" t="str">
        <f>INDEX(vp.data[[#Headers],[Unknown]:[Heavy_SW]],MATCH(1,vp.data[[#This Row],[Unknown]:[Heavy_SW]],0))</f>
        <v>Light_LSB</v>
      </c>
      <c r="AH334">
        <f>INDEX([3]!crudeBD.lkup[Number],MATCH(vp.data[[#This Row],[Crude_Breakdown]],crudeBD.lkup[Crude Breakdown],0))</f>
        <v>1</v>
      </c>
      <c r="AI334">
        <f>MONTH(vp.data[[#This Row],[SDate]])</f>
        <v>9</v>
      </c>
      <c r="AJ334" s="5">
        <f>(vp.data[[#This Row],[VP]]-INDEX(crudeBD.lkup[Mean_VP],MATCH(vp.data[[#This Row],[Crude_Breakdown]],crudeBD.lkup[Crude Breakdown],0)))^2</f>
        <v>602.51522589010676</v>
      </c>
      <c r="AK334" s="5">
        <f>(vp.data[[#This Row],[Dens]]-INDEX(crudeBD.lkup[Mean_Dens],MATCH(vp.data[[#This Row],[Crude_Breakdown]],crudeBD.lkup[Crude Breakdown],0)))^2</f>
        <v>2.8122483200609168E-4</v>
      </c>
      <c r="AL334" s="5">
        <f>(vp.data[[#This Row],[Sulf]]-INDEX(crudeBD.lkup[Mean_Sulf],MATCH(vp.data[[#This Row],[Crude_Breakdown]],crudeBD.lkup[Crude Breakdown],0)))^2</f>
        <v>2.8998110617612668E-4</v>
      </c>
      <c r="AM334" s="4">
        <f>IF(AND(vp.data[[#This Row],[SDate]]&gt;=DATE(YEAR(vp.data[[#This Row],[SDate]]),5,1),vp.data[[#This Row],[SDate]]&lt;=DATE(YEAR(vp.data[[#This Row],[SDate]]),9,15)),1,0)</f>
        <v>0</v>
      </c>
      <c r="AN334" s="4">
        <f>IF(vp.data[[#This Row],[SDate]]&lt;DATE(2016,12,1),0,1)</f>
        <v>0</v>
      </c>
      <c r="AO334" s="4">
        <f>IFERROR(vp.data[[#This Row],[Sulf]]*vp.data[[#This Row],[Net Dens]],"")</f>
        <v>80310701.64395</v>
      </c>
      <c r="AP334">
        <f>IFERROR(vp.data[[#This Row],[Dens]]*vp.data[[#This Row],[VolumeM3]],"")</f>
        <v>85436916.642499998</v>
      </c>
      <c r="AQ334" s="15">
        <f>IFERROR(vp.data[[#This Row],[VP]]*vp.data[[#This Row],[VolumeM3]],"")</f>
        <v>6993614.4349999996</v>
      </c>
    </row>
    <row r="335" spans="1:43" x14ac:dyDescent="0.25">
      <c r="A335">
        <v>334</v>
      </c>
      <c r="B335" t="s">
        <v>60</v>
      </c>
      <c r="C335" t="s">
        <v>60</v>
      </c>
      <c r="D335" t="s">
        <v>61</v>
      </c>
      <c r="E335" t="s">
        <v>55</v>
      </c>
      <c r="F335" s="1">
        <v>42642</v>
      </c>
      <c r="G335" s="2">
        <v>85.7</v>
      </c>
      <c r="H335" s="2"/>
      <c r="I335" s="2">
        <f t="array" ref="I335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335" s="2"/>
      <c r="K335" s="2"/>
      <c r="L335" s="2">
        <v>824.3</v>
      </c>
      <c r="M335" s="2">
        <f t="array" ref="M335">_xlfn.IFNA(IF(vp.data[[#This Row],[Dens Input]]="",INDEX([1]DATA!$O$3:$O$9826,MATCH(1,(vp.data[[#This Row],[Battery]]=[1]DATA!$L$3:$L$9826)*(EOMONTH(vp.data[[#This Row],[SDate]],-1)+1=[1]DATA!$G$3:$G$9826),0)),vp.data[[#This Row],[Dens Input]]),"")</f>
        <v>824.3</v>
      </c>
      <c r="N335" s="2">
        <f ca="1">INDEX(INDIRECT(_xlfn.CONCAT("weather.tbl[",N$1,"]")),MATCH(vp.data[[#This Row],[SDate]],weather.tbl[Date],0))</f>
        <v>15.216666666666667</v>
      </c>
      <c r="O335" s="2">
        <f ca="1">INDEX(INDIRECT(_xlfn.CONCAT("weather.tbl[",O$1,"]")),MATCH(vp.data[[#This Row],[SDate]],weather.tbl[Date],0))</f>
        <v>12.235714285714286</v>
      </c>
      <c r="P335" s="2">
        <f ca="1">INDEX(INDIRECT(_xlfn.CONCAT("weather.tbl[",P$1,"]")),MATCH(vp.data[[#This Row],[SDate]],weather.tbl[Date],0))</f>
        <v>14.7</v>
      </c>
      <c r="Q335" s="2">
        <f ca="1">INDEX(INDIRECT(_xlfn.CONCAT("weather.tbl[",Q$1,"]")),MATCH(vp.data[[#This Row],[SDate]],weather.tbl[Date],0))</f>
        <v>16.8</v>
      </c>
      <c r="R335" s="2">
        <f ca="1">INDEX(INDIRECT(_xlfn.CONCAT("weather.tbl[",R$1,"]")),MATCH(vp.data[[#This Row],[SDate]],weather.tbl[Date],0))</f>
        <v>13.3</v>
      </c>
      <c r="S335" s="2">
        <f ca="1">INDEX(INDIRECT(_xlfn.CONCAT("weather.tbl[",S$1,"]")),MATCH(vp.data[[#This Row],[SDate]],weather.tbl[Date],0))</f>
        <v>18</v>
      </c>
      <c r="T335" s="2">
        <f ca="1">INDEX(INDIRECT(_xlfn.CONCAT("weather.tbl[",T$1,"]")),MATCH(vp.data[[#This Row],[SDate]],weather.tbl[Date],0))</f>
        <v>13.7</v>
      </c>
      <c r="U335" s="2">
        <f ca="1">INDEX(INDIRECT(_xlfn.CONCAT("weather.tbl[",U$1,"]")),MATCH(vp.data[[#This Row],[SDate]],weather.tbl[Date],0))</f>
        <v>14.8</v>
      </c>
      <c r="V335" s="2">
        <f t="array" ref="V3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104382.30499999999</v>
      </c>
      <c r="W335" t="s">
        <v>48</v>
      </c>
      <c r="X335">
        <f>IF(OR(vp.data[[#This Row],[Sulf]]="",vp.data[[#This Row],[Dens]]=""),1,0)</f>
        <v>0</v>
      </c>
      <c r="Y335">
        <f>IF(vp.data[[#This Row],[CrudeType]]="C5+",1,0)</f>
        <v>0</v>
      </c>
      <c r="Z335">
        <f>IF(AND(vp.data[[#This Row],[CrudeType]]="Crude",vp.data[[#This Row],[Dens]]&lt;=825,vp.data[[#This Row],[Sulf]]&gt;0.5,vp.data[[#This Row],[Unknown]]=0),1,0)</f>
        <v>1</v>
      </c>
      <c r="AA335">
        <f>IF(AND(vp.data[[#This Row],[CrudeType]]="Crude",vp.data[[#This Row],[Dens]]&lt;=825,vp.data[[#This Row],[Sulf]]&lt;=0.5,vp.data[[#This Row],[Unknown]]=0),1,0)</f>
        <v>0</v>
      </c>
      <c r="AB3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5">
        <f>IF(AND(vp.data[[#This Row],[CrudeType]]="Crude",vp.data[[#This Row],[Dens]]&gt;825,vp.data[[#This Row],[Dens]]&lt;=900,vp.data[[#This Row],[Sulf]]&lt;=0.5,vp.data[[#This Row],[Unknown]]=0),1,0)</f>
        <v>0</v>
      </c>
      <c r="AD335">
        <f>IF(AND(vp.data[[#This Row],[CrudeType]]="Crude",vp.data[[#This Row],[Dens]]&gt;865,vp.data[[#This Row],[Dens]]&lt;=900,vp.data[[#This Row],[Sulf]]&gt;2,vp.data[[#This Row],[Unknown]]=0),1,0)</f>
        <v>0</v>
      </c>
      <c r="AE335">
        <f>IF(AND(vp.data[[#This Row],[CrudeType]]="Crude",vp.data[[#This Row],[Dens]]&gt;900,vp.data[[#This Row],[Sulf]]&lt;=0.5,vp.data[[#This Row],[Unknown]]=0),1,0)</f>
        <v>0</v>
      </c>
      <c r="AF335">
        <f>IF(AND(vp.data[[#This Row],[CrudeType]]="Crude",vp.data[[#This Row],[Dens]]&gt;900,vp.data[[#This Row],[Sulf]]&lt;=0.5,vp.data[[#This Row],[Unknown]]=0),1,0)</f>
        <v>0</v>
      </c>
      <c r="AG335" t="str">
        <f>INDEX(vp.data[[#Headers],[Unknown]:[Heavy_SW]],MATCH(1,vp.data[[#This Row],[Unknown]:[Heavy_SW]],0))</f>
        <v>Light_LSB</v>
      </c>
      <c r="AH335">
        <f>INDEX([3]!crudeBD.lkup[Number],MATCH(vp.data[[#This Row],[Crude_Breakdown]],crudeBD.lkup[Crude Breakdown],0))</f>
        <v>1</v>
      </c>
      <c r="AI335">
        <f>MONTH(vp.data[[#This Row],[SDate]])</f>
        <v>9</v>
      </c>
      <c r="AJ335" s="5">
        <f>(vp.data[[#This Row],[VP]]-INDEX(crudeBD.lkup[Mean_VP],MATCH(vp.data[[#This Row],[Crude_Breakdown]],crudeBD.lkup[Crude Breakdown],0)))^2</f>
        <v>34.177885683919982</v>
      </c>
      <c r="AK335" s="5">
        <f>(vp.data[[#This Row],[Dens]]-INDEX(crudeBD.lkup[Mean_Dens],MATCH(vp.data[[#This Row],[Crude_Breakdown]],crudeBD.lkup[Crude Breakdown],0)))^2</f>
        <v>33.445752015213131</v>
      </c>
      <c r="AL335" s="5">
        <f>(vp.data[[#This Row],[Sulf]]-INDEX(crudeBD.lkup[Mean_Sulf],MATCH(vp.data[[#This Row],[Crude_Breakdown]],crudeBD.lkup[Crude Breakdown],0)))^2</f>
        <v>2.8998110617612668E-4</v>
      </c>
      <c r="AM335" s="4">
        <f>IF(AND(vp.data[[#This Row],[SDate]]&gt;=DATE(YEAR(vp.data[[#This Row],[SDate]]),5,1),vp.data[[#This Row],[SDate]]&lt;=DATE(YEAR(vp.data[[#This Row],[SDate]]),9,15)),1,0)</f>
        <v>0</v>
      </c>
      <c r="AN335" s="4">
        <f>IF(vp.data[[#This Row],[SDate]]&lt;DATE(2016,12,1),0,1)</f>
        <v>0</v>
      </c>
      <c r="AO335" s="4">
        <f>IFERROR(vp.data[[#This Row],[Sulf]]*vp.data[[#This Row],[Net Dens]],"")</f>
        <v>80879793.970809981</v>
      </c>
      <c r="AP335">
        <f>IFERROR(vp.data[[#This Row],[Dens]]*vp.data[[#This Row],[VolumeM3]],"")</f>
        <v>86042334.011499986</v>
      </c>
      <c r="AQ335" s="15">
        <f>IFERROR(vp.data[[#This Row],[VP]]*vp.data[[#This Row],[VolumeM3]],"")</f>
        <v>8945563.5384999998</v>
      </c>
    </row>
    <row r="336" spans="1:43" x14ac:dyDescent="0.25">
      <c r="A336">
        <v>335</v>
      </c>
      <c r="B336" t="s">
        <v>51</v>
      </c>
      <c r="C336" t="s">
        <v>51</v>
      </c>
      <c r="D336" t="s">
        <v>66</v>
      </c>
      <c r="F336" s="1">
        <v>42643</v>
      </c>
      <c r="G336" s="2">
        <v>58.1</v>
      </c>
      <c r="H336" s="2"/>
      <c r="I336" s="2">
        <f t="array" ref="I336">_xlfn.IFNA(IF(vp.data[[#This Row],[Sulf Input]]="",INDEX([1]DATA!$Q$3:$Q$9826,MATCH(1,(vp.data[[#This Row],[Battery]]=[1]DATA!$L$3:$L$9826)*(EOMONTH(vp.data[[#This Row],[SDate]],-1)+1=[1]DATA!$G$3:$G$9826),0)),vp.data[[#This Row],[Sulf Input]]),"")</f>
        <v>0.84</v>
      </c>
      <c r="J336" s="2"/>
      <c r="K336" s="2"/>
      <c r="L336" s="2">
        <v>826</v>
      </c>
      <c r="M336" s="2">
        <f t="array" ref="M336">_xlfn.IFNA(IF(vp.data[[#This Row],[Dens Input]]="",INDEX([1]DATA!$O$3:$O$9826,MATCH(1,(vp.data[[#This Row],[Battery]]=[1]DATA!$L$3:$L$9826)*(EOMONTH(vp.data[[#This Row],[SDate]],-1)+1=[1]DATA!$G$3:$G$9826),0)),vp.data[[#This Row],[Dens Input]]),"")</f>
        <v>826</v>
      </c>
      <c r="N336" s="2">
        <f ca="1">INDEX(INDIRECT(_xlfn.CONCAT("weather.tbl[",N$1,"]")),MATCH(vp.data[[#This Row],[SDate]],weather.tbl[Date],0))</f>
        <v>12.966666666666667</v>
      </c>
      <c r="O336" s="2">
        <f ca="1">INDEX(INDIRECT(_xlfn.CONCAT("weather.tbl[",O$1,"]")),MATCH(vp.data[[#This Row],[SDate]],weather.tbl[Date],0))</f>
        <v>12.62857142857143</v>
      </c>
      <c r="P336" s="2">
        <f ca="1">INDEX(INDIRECT(_xlfn.CONCAT("weather.tbl[",P$1,"]")),MATCH(vp.data[[#This Row],[SDate]],weather.tbl[Date],0))</f>
        <v>11.7</v>
      </c>
      <c r="Q336" s="2">
        <f ca="1">INDEX(INDIRECT(_xlfn.CONCAT("weather.tbl[",Q$1,"]")),MATCH(vp.data[[#This Row],[SDate]],weather.tbl[Date],0))</f>
        <v>12</v>
      </c>
      <c r="R336" s="2">
        <f ca="1">INDEX(INDIRECT(_xlfn.CONCAT("weather.tbl[",R$1,"]")),MATCH(vp.data[[#This Row],[SDate]],weather.tbl[Date],0))</f>
        <v>12</v>
      </c>
      <c r="S336" s="2">
        <f ca="1">INDEX(INDIRECT(_xlfn.CONCAT("weather.tbl[",S$1,"]")),MATCH(vp.data[[#This Row],[SDate]],weather.tbl[Date],0))</f>
        <v>13.8</v>
      </c>
      <c r="T336" s="2">
        <f ca="1">INDEX(INDIRECT(_xlfn.CONCAT("weather.tbl[",T$1,"]")),MATCH(vp.data[[#This Row],[SDate]],weather.tbl[Date],0))</f>
        <v>14</v>
      </c>
      <c r="U336" s="2">
        <f ca="1">INDEX(INDIRECT(_xlfn.CONCAT("weather.tbl[",U$1,"]")),MATCH(vp.data[[#This Row],[SDate]],weather.tbl[Date],0))</f>
        <v>14.3</v>
      </c>
      <c r="V336" s="2">
        <f t="array" ref="V3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3480.3649999999998</v>
      </c>
      <c r="W336" t="s">
        <v>48</v>
      </c>
      <c r="X336">
        <f>IF(OR(vp.data[[#This Row],[Sulf]]="",vp.data[[#This Row],[Dens]]=""),1,0)</f>
        <v>0</v>
      </c>
      <c r="Y336">
        <f>IF(vp.data[[#This Row],[CrudeType]]="C5+",1,0)</f>
        <v>0</v>
      </c>
      <c r="Z336">
        <f>IF(AND(vp.data[[#This Row],[CrudeType]]="Crude",vp.data[[#This Row],[Dens]]&lt;=825,vp.data[[#This Row],[Sulf]]&gt;0.5,vp.data[[#This Row],[Unknown]]=0),1,0)</f>
        <v>0</v>
      </c>
      <c r="AA336">
        <f>IF(AND(vp.data[[#This Row],[CrudeType]]="Crude",vp.data[[#This Row],[Dens]]&lt;=825,vp.data[[#This Row],[Sulf]]&lt;=0.5,vp.data[[#This Row],[Unknown]]=0),1,0)</f>
        <v>0</v>
      </c>
      <c r="AB3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36">
        <f>IF(AND(vp.data[[#This Row],[CrudeType]]="Crude",vp.data[[#This Row],[Dens]]&gt;825,vp.data[[#This Row],[Dens]]&lt;=900,vp.data[[#This Row],[Sulf]]&lt;=0.5,vp.data[[#This Row],[Unknown]]=0),1,0)</f>
        <v>0</v>
      </c>
      <c r="AD336">
        <f>IF(AND(vp.data[[#This Row],[CrudeType]]="Crude",vp.data[[#This Row],[Dens]]&gt;865,vp.data[[#This Row],[Dens]]&lt;=900,vp.data[[#This Row],[Sulf]]&gt;2,vp.data[[#This Row],[Unknown]]=0),1,0)</f>
        <v>0</v>
      </c>
      <c r="AE336">
        <f>IF(AND(vp.data[[#This Row],[CrudeType]]="Crude",vp.data[[#This Row],[Dens]]&gt;900,vp.data[[#This Row],[Sulf]]&lt;=0.5,vp.data[[#This Row],[Unknown]]=0),1,0)</f>
        <v>0</v>
      </c>
      <c r="AF336">
        <f>IF(AND(vp.data[[#This Row],[CrudeType]]="Crude",vp.data[[#This Row],[Dens]]&gt;900,vp.data[[#This Row],[Sulf]]&lt;=0.5,vp.data[[#This Row],[Unknown]]=0),1,0)</f>
        <v>0</v>
      </c>
      <c r="AG336" t="str">
        <f>INDEX(vp.data[[#Headers],[Unknown]:[Heavy_SW]],MATCH(1,vp.data[[#This Row],[Unknown]:[Heavy_SW]],0))</f>
        <v>Medium_LSB</v>
      </c>
      <c r="AH336">
        <f>INDEX([3]!crudeBD.lkup[Number],MATCH(vp.data[[#This Row],[Crude_Breakdown]],crudeBD.lkup[Crude Breakdown],0))</f>
        <v>3</v>
      </c>
      <c r="AI336">
        <f>MONTH(vp.data[[#This Row],[SDate]])</f>
        <v>9</v>
      </c>
      <c r="AJ336" s="5">
        <f>(vp.data[[#This Row],[VP]]-INDEX(crudeBD.lkup[Mean_VP],MATCH(vp.data[[#This Row],[Crude_Breakdown]],crudeBD.lkup[Crude Breakdown],0)))^2</f>
        <v>508.0370189725412</v>
      </c>
      <c r="AK336" s="5">
        <f>(vp.data[[#This Row],[Dens]]-INDEX(crudeBD.lkup[Mean_Dens],MATCH(vp.data[[#This Row],[Crude_Breakdown]],crudeBD.lkup[Crude Breakdown],0)))^2</f>
        <v>321.12639999998225</v>
      </c>
      <c r="AL336" s="5">
        <f>(vp.data[[#This Row],[Sulf]]-INDEX(crudeBD.lkup[Mean_Sulf],MATCH(vp.data[[#This Row],[Crude_Breakdown]],crudeBD.lkup[Crude Breakdown],0)))^2</f>
        <v>0.2974700246536458</v>
      </c>
      <c r="AM336" s="4">
        <f>IF(AND(vp.data[[#This Row],[SDate]]&gt;=DATE(YEAR(vp.data[[#This Row],[SDate]]),5,1),vp.data[[#This Row],[SDate]]&lt;=DATE(YEAR(vp.data[[#This Row],[SDate]]),9,15)),1,0)</f>
        <v>0</v>
      </c>
      <c r="AN336" s="4">
        <f>IF(vp.data[[#This Row],[SDate]]&lt;DATE(2016,12,1),0,1)</f>
        <v>0</v>
      </c>
      <c r="AO336" s="4">
        <f>IFERROR(vp.data[[#This Row],[Sulf]]*vp.data[[#This Row],[Net Dens]],"")</f>
        <v>2414816.4515999998</v>
      </c>
      <c r="AP336">
        <f>IFERROR(vp.data[[#This Row],[Dens]]*vp.data[[#This Row],[VolumeM3]],"")</f>
        <v>2874781.4899999998</v>
      </c>
      <c r="AQ336" s="15">
        <f>IFERROR(vp.data[[#This Row],[VP]]*vp.data[[#This Row],[VolumeM3]],"")</f>
        <v>202209.2065</v>
      </c>
    </row>
    <row r="337" spans="1:43" x14ac:dyDescent="0.25">
      <c r="A337">
        <v>336</v>
      </c>
      <c r="B337" t="s">
        <v>51</v>
      </c>
      <c r="C337" t="s">
        <v>51</v>
      </c>
      <c r="D337" t="s">
        <v>72</v>
      </c>
      <c r="F337" s="1">
        <v>42646</v>
      </c>
      <c r="G337" s="2">
        <v>89.7</v>
      </c>
      <c r="H337" s="2"/>
      <c r="I337" s="2">
        <f t="array" ref="I337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337" s="2"/>
      <c r="K337" s="2"/>
      <c r="L337" s="2">
        <v>853.3</v>
      </c>
      <c r="M337" s="2">
        <f t="array" ref="M337">_xlfn.IFNA(IF(vp.data[[#This Row],[Dens Input]]="",INDEX([1]DATA!$O$3:$O$9826,MATCH(1,(vp.data[[#This Row],[Battery]]=[1]DATA!$L$3:$L$9826)*(EOMONTH(vp.data[[#This Row],[SDate]],-1)+1=[1]DATA!$G$3:$G$9826),0)),vp.data[[#This Row],[Dens Input]]),"")</f>
        <v>853.3</v>
      </c>
      <c r="N337" s="2">
        <f ca="1">INDEX(INDIRECT(_xlfn.CONCAT("weather.tbl[",N$1,"]")),MATCH(vp.data[[#This Row],[SDate]],weather.tbl[Date],0))</f>
        <v>9.9333333333333318</v>
      </c>
      <c r="O337" s="2">
        <f ca="1">INDEX(INDIRECT(_xlfn.CONCAT("weather.tbl[",O$1,"]")),MATCH(vp.data[[#This Row],[SDate]],weather.tbl[Date],0))</f>
        <v>13.24761904761905</v>
      </c>
      <c r="P337" s="2">
        <f ca="1">INDEX(INDIRECT(_xlfn.CONCAT("weather.tbl[",P$1,"]")),MATCH(vp.data[[#This Row],[SDate]],weather.tbl[Date],0))</f>
        <v>10</v>
      </c>
      <c r="Q337" s="2">
        <f ca="1">INDEX(INDIRECT(_xlfn.CONCAT("weather.tbl[",Q$1,"]")),MATCH(vp.data[[#This Row],[SDate]],weather.tbl[Date],0))</f>
        <v>9.6999999999999993</v>
      </c>
      <c r="R337" s="2">
        <f ca="1">INDEX(INDIRECT(_xlfn.CONCAT("weather.tbl[",R$1,"]")),MATCH(vp.data[[#This Row],[SDate]],weather.tbl[Date],0))</f>
        <v>10.3</v>
      </c>
      <c r="S337" s="2">
        <f ca="1">INDEX(INDIRECT(_xlfn.CONCAT("weather.tbl[",S$1,"]")),MATCH(vp.data[[#This Row],[SDate]],weather.tbl[Date],0))</f>
        <v>7.8</v>
      </c>
      <c r="T337" s="2">
        <f ca="1">INDEX(INDIRECT(_xlfn.CONCAT("weather.tbl[",T$1,"]")),MATCH(vp.data[[#This Row],[SDate]],weather.tbl[Date],0))</f>
        <v>12.8</v>
      </c>
      <c r="U337" s="2">
        <f ca="1">INDEX(INDIRECT(_xlfn.CONCAT("weather.tbl[",U$1,"]")),MATCH(vp.data[[#This Row],[SDate]],weather.tbl[Date],0))</f>
        <v>9</v>
      </c>
      <c r="V337" s="2">
        <f t="array" ref="V3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10017.037</v>
      </c>
      <c r="W337" t="s">
        <v>48</v>
      </c>
      <c r="X337">
        <f>IF(OR(vp.data[[#This Row],[Sulf]]="",vp.data[[#This Row],[Dens]]=""),1,0)</f>
        <v>0</v>
      </c>
      <c r="Y337">
        <f>IF(vp.data[[#This Row],[CrudeType]]="C5+",1,0)</f>
        <v>0</v>
      </c>
      <c r="Z337">
        <f>IF(AND(vp.data[[#This Row],[CrudeType]]="Crude",vp.data[[#This Row],[Dens]]&lt;=825,vp.data[[#This Row],[Sulf]]&gt;0.5,vp.data[[#This Row],[Unknown]]=0),1,0)</f>
        <v>0</v>
      </c>
      <c r="AA337">
        <f>IF(AND(vp.data[[#This Row],[CrudeType]]="Crude",vp.data[[#This Row],[Dens]]&lt;=825,vp.data[[#This Row],[Sulf]]&lt;=0.5,vp.data[[#This Row],[Unknown]]=0),1,0)</f>
        <v>0</v>
      </c>
      <c r="AB3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37">
        <f>IF(AND(vp.data[[#This Row],[CrudeType]]="Crude",vp.data[[#This Row],[Dens]]&gt;825,vp.data[[#This Row],[Dens]]&lt;=900,vp.data[[#This Row],[Sulf]]&lt;=0.5,vp.data[[#This Row],[Unknown]]=0),1,0)</f>
        <v>0</v>
      </c>
      <c r="AD337">
        <f>IF(AND(vp.data[[#This Row],[CrudeType]]="Crude",vp.data[[#This Row],[Dens]]&gt;865,vp.data[[#This Row],[Dens]]&lt;=900,vp.data[[#This Row],[Sulf]]&gt;2,vp.data[[#This Row],[Unknown]]=0),1,0)</f>
        <v>0</v>
      </c>
      <c r="AE337">
        <f>IF(AND(vp.data[[#This Row],[CrudeType]]="Crude",vp.data[[#This Row],[Dens]]&gt;900,vp.data[[#This Row],[Sulf]]&lt;=0.5,vp.data[[#This Row],[Unknown]]=0),1,0)</f>
        <v>0</v>
      </c>
      <c r="AF337">
        <f>IF(AND(vp.data[[#This Row],[CrudeType]]="Crude",vp.data[[#This Row],[Dens]]&gt;900,vp.data[[#This Row],[Sulf]]&lt;=0.5,vp.data[[#This Row],[Unknown]]=0),1,0)</f>
        <v>0</v>
      </c>
      <c r="AG337" t="str">
        <f>INDEX(vp.data[[#Headers],[Unknown]:[Heavy_SW]],MATCH(1,vp.data[[#This Row],[Unknown]:[Heavy_SW]],0))</f>
        <v>Medium_LSB</v>
      </c>
      <c r="AH337">
        <f>INDEX([3]!crudeBD.lkup[Number],MATCH(vp.data[[#This Row],[Crude_Breakdown]],crudeBD.lkup[Crude Breakdown],0))</f>
        <v>3</v>
      </c>
      <c r="AI337">
        <f>MONTH(vp.data[[#This Row],[SDate]])</f>
        <v>10</v>
      </c>
      <c r="AJ337" s="5">
        <f>(vp.data[[#This Row],[VP]]-INDEX(crudeBD.lkup[Mean_VP],MATCH(vp.data[[#This Row],[Crude_Breakdown]],crudeBD.lkup[Crude Breakdown],0)))^2</f>
        <v>82.089461021063386</v>
      </c>
      <c r="AK337" s="5">
        <f>(vp.data[[#This Row],[Dens]]-INDEX(crudeBD.lkup[Mean_Dens],MATCH(vp.data[[#This Row],[Crude_Breakdown]],crudeBD.lkup[Crude Breakdown],0)))^2</f>
        <v>87.984400000008449</v>
      </c>
      <c r="AL337" s="5">
        <f>(vp.data[[#This Row],[Sulf]]-INDEX(crudeBD.lkup[Mean_Sulf],MATCH(vp.data[[#This Row],[Crude_Breakdown]],crudeBD.lkup[Crude Breakdown],0)))^2</f>
        <v>1.1965976994660734E-3</v>
      </c>
      <c r="AM337" s="4">
        <f>IF(AND(vp.data[[#This Row],[SDate]]&gt;=DATE(YEAR(vp.data[[#This Row],[SDate]]),5,1),vp.data[[#This Row],[SDate]]&lt;=DATE(YEAR(vp.data[[#This Row],[SDate]]),9,15)),1,0)</f>
        <v>0</v>
      </c>
      <c r="AN337" s="4">
        <f>IF(vp.data[[#This Row],[SDate]]&lt;DATE(2016,12,1),0,1)</f>
        <v>0</v>
      </c>
      <c r="AO337" s="4">
        <f>IFERROR(vp.data[[#This Row],[Sulf]]*vp.data[[#This Row],[Net Dens]],"")</f>
        <v>12137503.494382</v>
      </c>
      <c r="AP337">
        <f>IFERROR(vp.data[[#This Row],[Dens]]*vp.data[[#This Row],[VolumeM3]],"")</f>
        <v>8547537.6721000001</v>
      </c>
      <c r="AQ337" s="15">
        <f>IFERROR(vp.data[[#This Row],[VP]]*vp.data[[#This Row],[VolumeM3]],"")</f>
        <v>898528.21890000009</v>
      </c>
    </row>
    <row r="338" spans="1:43" x14ac:dyDescent="0.25">
      <c r="A338">
        <v>337</v>
      </c>
      <c r="B338" t="s">
        <v>49</v>
      </c>
      <c r="C338" t="s">
        <v>49</v>
      </c>
      <c r="D338" t="s">
        <v>75</v>
      </c>
      <c r="F338" s="1">
        <v>42647</v>
      </c>
      <c r="G338" s="2">
        <v>84.4</v>
      </c>
      <c r="H338" s="2"/>
      <c r="I338" s="2">
        <f t="array" ref="I338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38" s="2"/>
      <c r="K338" s="2"/>
      <c r="L338" s="2">
        <v>806.2</v>
      </c>
      <c r="M338" s="2">
        <f t="array" ref="M338">_xlfn.IFNA(IF(vp.data[[#This Row],[Dens Input]]="",INDEX([1]DATA!$O$3:$O$9826,MATCH(1,(vp.data[[#This Row],[Battery]]=[1]DATA!$L$3:$L$9826)*(EOMONTH(vp.data[[#This Row],[SDate]],-1)+1=[1]DATA!$G$3:$G$9826),0)),vp.data[[#This Row],[Dens Input]]),"")</f>
        <v>806.2</v>
      </c>
      <c r="N338" s="2">
        <f ca="1">INDEX(INDIRECT(_xlfn.CONCAT("weather.tbl[",N$1,"]")),MATCH(vp.data[[#This Row],[SDate]],weather.tbl[Date],0))</f>
        <v>11.6</v>
      </c>
      <c r="O338" s="2">
        <f ca="1">INDEX(INDIRECT(_xlfn.CONCAT("weather.tbl[",O$1,"]")),MATCH(vp.data[[#This Row],[SDate]],weather.tbl[Date],0))</f>
        <v>13.111904761904762</v>
      </c>
      <c r="P338" s="2">
        <f ca="1">INDEX(INDIRECT(_xlfn.CONCAT("weather.tbl[",P$1,"]")),MATCH(vp.data[[#This Row],[SDate]],weather.tbl[Date],0))</f>
        <v>12.7</v>
      </c>
      <c r="Q338" s="2">
        <f ca="1">INDEX(INDIRECT(_xlfn.CONCAT("weather.tbl[",Q$1,"]")),MATCH(vp.data[[#This Row],[SDate]],weather.tbl[Date],0))</f>
        <v>10.7</v>
      </c>
      <c r="R338" s="2">
        <f ca="1">INDEX(INDIRECT(_xlfn.CONCAT("weather.tbl[",R$1,"]")),MATCH(vp.data[[#This Row],[SDate]],weather.tbl[Date],0))</f>
        <v>13.8</v>
      </c>
      <c r="S338" s="2">
        <f ca="1">INDEX(INDIRECT(_xlfn.CONCAT("weather.tbl[",S$1,"]")),MATCH(vp.data[[#This Row],[SDate]],weather.tbl[Date],0))</f>
        <v>8.5</v>
      </c>
      <c r="T338" s="2">
        <f ca="1">INDEX(INDIRECT(_xlfn.CONCAT("weather.tbl[",T$1,"]")),MATCH(vp.data[[#This Row],[SDate]],weather.tbl[Date],0))</f>
        <v>13.4</v>
      </c>
      <c r="U338" s="2">
        <f ca="1">INDEX(INDIRECT(_xlfn.CONCAT("weather.tbl[",U$1,"]")),MATCH(vp.data[[#This Row],[SDate]],weather.tbl[Date],0))</f>
        <v>10.5</v>
      </c>
      <c r="V338" s="2">
        <f t="array" ref="V3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21747.737000000001</v>
      </c>
      <c r="W338" t="s">
        <v>48</v>
      </c>
      <c r="X338">
        <f>IF(OR(vp.data[[#This Row],[Sulf]]="",vp.data[[#This Row],[Dens]]=""),1,0)</f>
        <v>0</v>
      </c>
      <c r="Y338">
        <f>IF(vp.data[[#This Row],[CrudeType]]="C5+",1,0)</f>
        <v>0</v>
      </c>
      <c r="Z338">
        <f>IF(AND(vp.data[[#This Row],[CrudeType]]="Crude",vp.data[[#This Row],[Dens]]&lt;=825,vp.data[[#This Row],[Sulf]]&gt;0.5,vp.data[[#This Row],[Unknown]]=0),1,0)</f>
        <v>0</v>
      </c>
      <c r="AA338">
        <f>IF(AND(vp.data[[#This Row],[CrudeType]]="Crude",vp.data[[#This Row],[Dens]]&lt;=825,vp.data[[#This Row],[Sulf]]&lt;=0.5,vp.data[[#This Row],[Unknown]]=0),1,0)</f>
        <v>1</v>
      </c>
      <c r="AB3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8">
        <f>IF(AND(vp.data[[#This Row],[CrudeType]]="Crude",vp.data[[#This Row],[Dens]]&gt;825,vp.data[[#This Row],[Dens]]&lt;=900,vp.data[[#This Row],[Sulf]]&lt;=0.5,vp.data[[#This Row],[Unknown]]=0),1,0)</f>
        <v>0</v>
      </c>
      <c r="AD338">
        <f>IF(AND(vp.data[[#This Row],[CrudeType]]="Crude",vp.data[[#This Row],[Dens]]&gt;865,vp.data[[#This Row],[Dens]]&lt;=900,vp.data[[#This Row],[Sulf]]&gt;2,vp.data[[#This Row],[Unknown]]=0),1,0)</f>
        <v>0</v>
      </c>
      <c r="AE338">
        <f>IF(AND(vp.data[[#This Row],[CrudeType]]="Crude",vp.data[[#This Row],[Dens]]&gt;900,vp.data[[#This Row],[Sulf]]&lt;=0.5,vp.data[[#This Row],[Unknown]]=0),1,0)</f>
        <v>0</v>
      </c>
      <c r="AF338">
        <f>IF(AND(vp.data[[#This Row],[CrudeType]]="Crude",vp.data[[#This Row],[Dens]]&gt;900,vp.data[[#This Row],[Sulf]]&lt;=0.5,vp.data[[#This Row],[Unknown]]=0),1,0)</f>
        <v>0</v>
      </c>
      <c r="AG338" t="str">
        <f>INDEX(vp.data[[#Headers],[Unknown]:[Heavy_SW]],MATCH(1,vp.data[[#This Row],[Unknown]:[Heavy_SW]],0))</f>
        <v>Light_SW</v>
      </c>
      <c r="AH338">
        <f>INDEX([3]!crudeBD.lkup[Number],MATCH(vp.data[[#This Row],[Crude_Breakdown]],crudeBD.lkup[Crude Breakdown],0))</f>
        <v>2</v>
      </c>
      <c r="AI338">
        <f>MONTH(vp.data[[#This Row],[SDate]])</f>
        <v>10</v>
      </c>
      <c r="AJ338" s="5">
        <f>(vp.data[[#This Row],[VP]]-INDEX(crudeBD.lkup[Mean_VP],MATCH(vp.data[[#This Row],[Crude_Breakdown]],crudeBD.lkup[Crude Breakdown],0)))^2</f>
        <v>66.427611596595227</v>
      </c>
      <c r="AK338" s="5">
        <f>(vp.data[[#This Row],[Dens]]-INDEX(crudeBD.lkup[Mean_Dens],MATCH(vp.data[[#This Row],[Crude_Breakdown]],crudeBD.lkup[Crude Breakdown],0)))^2</f>
        <v>4.458424892859064</v>
      </c>
      <c r="AL338" s="5">
        <f>(vp.data[[#This Row],[Sulf]]-INDEX(crudeBD.lkup[Mean_Sulf],MATCH(vp.data[[#This Row],[Crude_Breakdown]],crudeBD.lkup[Crude Breakdown],0)))^2</f>
        <v>1.1287322584467423E-2</v>
      </c>
      <c r="AM338" s="4">
        <f>IF(AND(vp.data[[#This Row],[SDate]]&gt;=DATE(YEAR(vp.data[[#This Row],[SDate]]),5,1),vp.data[[#This Row],[SDate]]&lt;=DATE(YEAR(vp.data[[#This Row],[SDate]]),9,15)),1,0)</f>
        <v>0</v>
      </c>
      <c r="AN338" s="4">
        <f>IF(vp.data[[#This Row],[SDate]]&lt;DATE(2016,12,1),0,1)</f>
        <v>0</v>
      </c>
      <c r="AO338" s="4">
        <f>IFERROR(vp.data[[#This Row],[Sulf]]*vp.data[[#This Row],[Net Dens]],"")</f>
        <v>2279293.3240220002</v>
      </c>
      <c r="AP338">
        <f>IFERROR(vp.data[[#This Row],[Dens]]*vp.data[[#This Row],[VolumeM3]],"")</f>
        <v>17533025.569400001</v>
      </c>
      <c r="AQ338" s="15">
        <f>IFERROR(vp.data[[#This Row],[VP]]*vp.data[[#This Row],[VolumeM3]],"")</f>
        <v>1835509.0028000001</v>
      </c>
    </row>
    <row r="339" spans="1:43" x14ac:dyDescent="0.25">
      <c r="A339">
        <v>338</v>
      </c>
      <c r="B339" t="s">
        <v>62</v>
      </c>
      <c r="C339" t="s">
        <v>62</v>
      </c>
      <c r="D339" t="s">
        <v>83</v>
      </c>
      <c r="F339" s="1">
        <v>42647</v>
      </c>
      <c r="G339" s="2">
        <v>83.2</v>
      </c>
      <c r="H339" s="2"/>
      <c r="I339" s="2">
        <f t="array" ref="I339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339" s="2"/>
      <c r="K339" s="2"/>
      <c r="L339" s="2">
        <v>815.5</v>
      </c>
      <c r="M339" s="2">
        <f t="array" ref="M339">_xlfn.IFNA(IF(vp.data[[#This Row],[Dens Input]]="",INDEX([1]DATA!$O$3:$O$9826,MATCH(1,(vp.data[[#This Row],[Battery]]=[1]DATA!$L$3:$L$9826)*(EOMONTH(vp.data[[#This Row],[SDate]],-1)+1=[1]DATA!$G$3:$G$9826),0)),vp.data[[#This Row],[Dens Input]]),"")</f>
        <v>815.5</v>
      </c>
      <c r="N339" s="2">
        <f ca="1">INDEX(INDIRECT(_xlfn.CONCAT("weather.tbl[",N$1,"]")),MATCH(vp.data[[#This Row],[SDate]],weather.tbl[Date],0))</f>
        <v>11.6</v>
      </c>
      <c r="O339" s="2">
        <f ca="1">INDEX(INDIRECT(_xlfn.CONCAT("weather.tbl[",O$1,"]")),MATCH(vp.data[[#This Row],[SDate]],weather.tbl[Date],0))</f>
        <v>13.111904761904762</v>
      </c>
      <c r="P339" s="2">
        <f ca="1">INDEX(INDIRECT(_xlfn.CONCAT("weather.tbl[",P$1,"]")),MATCH(vp.data[[#This Row],[SDate]],weather.tbl[Date],0))</f>
        <v>12.7</v>
      </c>
      <c r="Q339" s="2">
        <f ca="1">INDEX(INDIRECT(_xlfn.CONCAT("weather.tbl[",Q$1,"]")),MATCH(vp.data[[#This Row],[SDate]],weather.tbl[Date],0))</f>
        <v>10.7</v>
      </c>
      <c r="R339" s="2">
        <f ca="1">INDEX(INDIRECT(_xlfn.CONCAT("weather.tbl[",R$1,"]")),MATCH(vp.data[[#This Row],[SDate]],weather.tbl[Date],0))</f>
        <v>13.8</v>
      </c>
      <c r="S339" s="2">
        <f ca="1">INDEX(INDIRECT(_xlfn.CONCAT("weather.tbl[",S$1,"]")),MATCH(vp.data[[#This Row],[SDate]],weather.tbl[Date],0))</f>
        <v>8.5</v>
      </c>
      <c r="T339" s="2">
        <f ca="1">INDEX(INDIRECT(_xlfn.CONCAT("weather.tbl[",T$1,"]")),MATCH(vp.data[[#This Row],[SDate]],weather.tbl[Date],0))</f>
        <v>13.4</v>
      </c>
      <c r="U339" s="2">
        <f ca="1">INDEX(INDIRECT(_xlfn.CONCAT("weather.tbl[",U$1,"]")),MATCH(vp.data[[#This Row],[SDate]],weather.tbl[Date],0))</f>
        <v>10.5</v>
      </c>
      <c r="V339" s="2">
        <f t="array" ref="V3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9076.2080000000005</v>
      </c>
      <c r="W339" t="s">
        <v>48</v>
      </c>
      <c r="X339">
        <f>IF(OR(vp.data[[#This Row],[Sulf]]="",vp.data[[#This Row],[Dens]]=""),1,0)</f>
        <v>0</v>
      </c>
      <c r="Y339">
        <f>IF(vp.data[[#This Row],[CrudeType]]="C5+",1,0)</f>
        <v>0</v>
      </c>
      <c r="Z339">
        <f>IF(AND(vp.data[[#This Row],[CrudeType]]="Crude",vp.data[[#This Row],[Dens]]&lt;=825,vp.data[[#This Row],[Sulf]]&gt;0.5,vp.data[[#This Row],[Unknown]]=0),1,0)</f>
        <v>0</v>
      </c>
      <c r="AA339">
        <f>IF(AND(vp.data[[#This Row],[CrudeType]]="Crude",vp.data[[#This Row],[Dens]]&lt;=825,vp.data[[#This Row],[Sulf]]&lt;=0.5,vp.data[[#This Row],[Unknown]]=0),1,0)</f>
        <v>1</v>
      </c>
      <c r="AB3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39">
        <f>IF(AND(vp.data[[#This Row],[CrudeType]]="Crude",vp.data[[#This Row],[Dens]]&gt;825,vp.data[[#This Row],[Dens]]&lt;=900,vp.data[[#This Row],[Sulf]]&lt;=0.5,vp.data[[#This Row],[Unknown]]=0),1,0)</f>
        <v>0</v>
      </c>
      <c r="AD339">
        <f>IF(AND(vp.data[[#This Row],[CrudeType]]="Crude",vp.data[[#This Row],[Dens]]&gt;865,vp.data[[#This Row],[Dens]]&lt;=900,vp.data[[#This Row],[Sulf]]&gt;2,vp.data[[#This Row],[Unknown]]=0),1,0)</f>
        <v>0</v>
      </c>
      <c r="AE339">
        <f>IF(AND(vp.data[[#This Row],[CrudeType]]="Crude",vp.data[[#This Row],[Dens]]&gt;900,vp.data[[#This Row],[Sulf]]&lt;=0.5,vp.data[[#This Row],[Unknown]]=0),1,0)</f>
        <v>0</v>
      </c>
      <c r="AF339">
        <f>IF(AND(vp.data[[#This Row],[CrudeType]]="Crude",vp.data[[#This Row],[Dens]]&gt;900,vp.data[[#This Row],[Sulf]]&lt;=0.5,vp.data[[#This Row],[Unknown]]=0),1,0)</f>
        <v>0</v>
      </c>
      <c r="AG339" t="str">
        <f>INDEX(vp.data[[#Headers],[Unknown]:[Heavy_SW]],MATCH(1,vp.data[[#This Row],[Unknown]:[Heavy_SW]],0))</f>
        <v>Light_SW</v>
      </c>
      <c r="AH339">
        <f>INDEX([3]!crudeBD.lkup[Number],MATCH(vp.data[[#This Row],[Crude_Breakdown]],crudeBD.lkup[Crude Breakdown],0))</f>
        <v>2</v>
      </c>
      <c r="AI339">
        <f>MONTH(vp.data[[#This Row],[SDate]])</f>
        <v>10</v>
      </c>
      <c r="AJ339" s="5">
        <f>(vp.data[[#This Row],[VP]]-INDEX(crudeBD.lkup[Mean_VP],MATCH(vp.data[[#This Row],[Crude_Breakdown]],crudeBD.lkup[Crude Breakdown],0)))^2</f>
        <v>87.428364209835621</v>
      </c>
      <c r="AK339" s="5">
        <f>(vp.data[[#This Row],[Dens]]-INDEX(crudeBD.lkup[Mean_Dens],MATCH(vp.data[[#This Row],[Crude_Breakdown]],crudeBD.lkup[Crude Breakdown],0)))^2</f>
        <v>51.674557297044501</v>
      </c>
      <c r="AL339" s="5">
        <f>(vp.data[[#This Row],[Sulf]]-INDEX(crudeBD.lkup[Mean_Sulf],MATCH(vp.data[[#This Row],[Crude_Breakdown]],crudeBD.lkup[Crude Breakdown],0)))^2</f>
        <v>4.3879776367322437E-3</v>
      </c>
      <c r="AM339" s="4">
        <f>IF(AND(vp.data[[#This Row],[SDate]]&gt;=DATE(YEAR(vp.data[[#This Row],[SDate]]),5,1),vp.data[[#This Row],[SDate]]&lt;=DATE(YEAR(vp.data[[#This Row],[SDate]]),9,15)),1,0)</f>
        <v>0</v>
      </c>
      <c r="AN339" s="4">
        <f>IF(vp.data[[#This Row],[SDate]]&lt;DATE(2016,12,1),0,1)</f>
        <v>0</v>
      </c>
      <c r="AO339" s="4">
        <f>IFERROR(vp.data[[#This Row],[Sulf]]*vp.data[[#This Row],[Net Dens]],"")</f>
        <v>1258280.0960800003</v>
      </c>
      <c r="AP339">
        <f>IFERROR(vp.data[[#This Row],[Dens]]*vp.data[[#This Row],[VolumeM3]],"")</f>
        <v>7401647.6240000008</v>
      </c>
      <c r="AQ339" s="15">
        <f>IFERROR(vp.data[[#This Row],[VP]]*vp.data[[#This Row],[VolumeM3]],"")</f>
        <v>755140.50560000003</v>
      </c>
    </row>
    <row r="340" spans="1:43" x14ac:dyDescent="0.25">
      <c r="A340">
        <v>339</v>
      </c>
      <c r="B340" t="s">
        <v>49</v>
      </c>
      <c r="C340" t="s">
        <v>49</v>
      </c>
      <c r="D340" t="s">
        <v>67</v>
      </c>
      <c r="F340" s="1">
        <v>42648</v>
      </c>
      <c r="G340" s="2">
        <v>84.2</v>
      </c>
      <c r="H340" s="2"/>
      <c r="I340" s="2">
        <f t="array" ref="I340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40" s="2"/>
      <c r="K340" s="2"/>
      <c r="L340" s="2">
        <v>808.1</v>
      </c>
      <c r="M340" s="2">
        <f t="array" ref="M340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340" s="2">
        <f ca="1">INDEX(INDIRECT(_xlfn.CONCAT("weather.tbl[",N$1,"]")),MATCH(vp.data[[#This Row],[SDate]],weather.tbl[Date],0))</f>
        <v>2.9500000000000006</v>
      </c>
      <c r="O340" s="2">
        <f ca="1">INDEX(INDIRECT(_xlfn.CONCAT("weather.tbl[",O$1,"]")),MATCH(vp.data[[#This Row],[SDate]],weather.tbl[Date],0))</f>
        <v>11.664285714285713</v>
      </c>
      <c r="P340" s="2">
        <f ca="1">INDEX(INDIRECT(_xlfn.CONCAT("weather.tbl[",P$1,"]")),MATCH(vp.data[[#This Row],[SDate]],weather.tbl[Date],0))</f>
        <v>3.9</v>
      </c>
      <c r="Q340" s="2">
        <f ca="1">INDEX(INDIRECT(_xlfn.CONCAT("weather.tbl[",Q$1,"]")),MATCH(vp.data[[#This Row],[SDate]],weather.tbl[Date],0))</f>
        <v>4.0999999999999996</v>
      </c>
      <c r="R340" s="2">
        <f ca="1">INDEX(INDIRECT(_xlfn.CONCAT("weather.tbl[",R$1,"]")),MATCH(vp.data[[#This Row],[SDate]],weather.tbl[Date],0))</f>
        <v>2</v>
      </c>
      <c r="S340" s="2">
        <f ca="1">INDEX(INDIRECT(_xlfn.CONCAT("weather.tbl[",S$1,"]")),MATCH(vp.data[[#This Row],[SDate]],weather.tbl[Date],0))</f>
        <v>0.8</v>
      </c>
      <c r="T340" s="2">
        <f ca="1">INDEX(INDIRECT(_xlfn.CONCAT("weather.tbl[",T$1,"]")),MATCH(vp.data[[#This Row],[SDate]],weather.tbl[Date],0))</f>
        <v>4.9000000000000004</v>
      </c>
      <c r="U340" s="2">
        <f ca="1">INDEX(INDIRECT(_xlfn.CONCAT("weather.tbl[",U$1,"]")),MATCH(vp.data[[#This Row],[SDate]],weather.tbl[Date],0))</f>
        <v>2</v>
      </c>
      <c r="V340" s="2">
        <f t="array" ref="V3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46867.624000000003</v>
      </c>
      <c r="W340" t="s">
        <v>48</v>
      </c>
      <c r="X340">
        <f>IF(OR(vp.data[[#This Row],[Sulf]]="",vp.data[[#This Row],[Dens]]=""),1,0)</f>
        <v>0</v>
      </c>
      <c r="Y340">
        <f>IF(vp.data[[#This Row],[CrudeType]]="C5+",1,0)</f>
        <v>0</v>
      </c>
      <c r="Z340">
        <f>IF(AND(vp.data[[#This Row],[CrudeType]]="Crude",vp.data[[#This Row],[Dens]]&lt;=825,vp.data[[#This Row],[Sulf]]&gt;0.5,vp.data[[#This Row],[Unknown]]=0),1,0)</f>
        <v>0</v>
      </c>
      <c r="AA340">
        <f>IF(AND(vp.data[[#This Row],[CrudeType]]="Crude",vp.data[[#This Row],[Dens]]&lt;=825,vp.data[[#This Row],[Sulf]]&lt;=0.5,vp.data[[#This Row],[Unknown]]=0),1,0)</f>
        <v>1</v>
      </c>
      <c r="AB3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0">
        <f>IF(AND(vp.data[[#This Row],[CrudeType]]="Crude",vp.data[[#This Row],[Dens]]&gt;825,vp.data[[#This Row],[Dens]]&lt;=900,vp.data[[#This Row],[Sulf]]&lt;=0.5,vp.data[[#This Row],[Unknown]]=0),1,0)</f>
        <v>0</v>
      </c>
      <c r="AD340">
        <f>IF(AND(vp.data[[#This Row],[CrudeType]]="Crude",vp.data[[#This Row],[Dens]]&gt;865,vp.data[[#This Row],[Dens]]&lt;=900,vp.data[[#This Row],[Sulf]]&gt;2,vp.data[[#This Row],[Unknown]]=0),1,0)</f>
        <v>0</v>
      </c>
      <c r="AE340">
        <f>IF(AND(vp.data[[#This Row],[CrudeType]]="Crude",vp.data[[#This Row],[Dens]]&gt;900,vp.data[[#This Row],[Sulf]]&lt;=0.5,vp.data[[#This Row],[Unknown]]=0),1,0)</f>
        <v>0</v>
      </c>
      <c r="AF340">
        <f>IF(AND(vp.data[[#This Row],[CrudeType]]="Crude",vp.data[[#This Row],[Dens]]&gt;900,vp.data[[#This Row],[Sulf]]&lt;=0.5,vp.data[[#This Row],[Unknown]]=0),1,0)</f>
        <v>0</v>
      </c>
      <c r="AG340" t="str">
        <f>INDEX(vp.data[[#Headers],[Unknown]:[Heavy_SW]],MATCH(1,vp.data[[#This Row],[Unknown]:[Heavy_SW]],0))</f>
        <v>Light_SW</v>
      </c>
      <c r="AH340">
        <f>INDEX([3]!crudeBD.lkup[Number],MATCH(vp.data[[#This Row],[Crude_Breakdown]],crudeBD.lkup[Crude Breakdown],0))</f>
        <v>2</v>
      </c>
      <c r="AI340">
        <f>MONTH(vp.data[[#This Row],[SDate]])</f>
        <v>10</v>
      </c>
      <c r="AJ340" s="5">
        <f>(vp.data[[#This Row],[VP]]-INDEX(crudeBD.lkup[Mean_VP],MATCH(vp.data[[#This Row],[Crude_Breakdown]],crudeBD.lkup[Crude Breakdown],0)))^2</f>
        <v>69.727737032135337</v>
      </c>
      <c r="AK340" s="5">
        <f>(vp.data[[#This Row],[Dens]]-INDEX(crudeBD.lkup[Mean_Dens],MATCH(vp.data[[#This Row],[Crude_Breakdown]],crudeBD.lkup[Crude Breakdown],0)))^2</f>
        <v>4.473151306913524E-2</v>
      </c>
      <c r="AL340" s="5">
        <f>(vp.data[[#This Row],[Sulf]]-INDEX(crudeBD.lkup[Mean_Sulf],MATCH(vp.data[[#This Row],[Crude_Breakdown]],crudeBD.lkup[Crude Breakdown],0)))^2</f>
        <v>1.3134689259308601E-3</v>
      </c>
      <c r="AM340" s="4">
        <f>IF(AND(vp.data[[#This Row],[SDate]]&gt;=DATE(YEAR(vp.data[[#This Row],[SDate]]),5,1),vp.data[[#This Row],[SDate]]&lt;=DATE(YEAR(vp.data[[#This Row],[SDate]]),9,15)),1,0)</f>
        <v>0</v>
      </c>
      <c r="AN340" s="4">
        <f>IF(vp.data[[#This Row],[SDate]]&lt;DATE(2016,12,1),0,1)</f>
        <v>0</v>
      </c>
      <c r="AO340" s="4">
        <f>IFERROR(vp.data[[#This Row],[Sulf]]*vp.data[[#This Row],[Net Dens]],"")</f>
        <v>7574745.3908800008</v>
      </c>
      <c r="AP340">
        <f>IFERROR(vp.data[[#This Row],[Dens]]*vp.data[[#This Row],[VolumeM3]],"")</f>
        <v>37873726.954400003</v>
      </c>
      <c r="AQ340" s="15">
        <f>IFERROR(vp.data[[#This Row],[VP]]*vp.data[[#This Row],[VolumeM3]],"")</f>
        <v>3946253.9408000004</v>
      </c>
    </row>
    <row r="341" spans="1:43" x14ac:dyDescent="0.25">
      <c r="A341">
        <v>340</v>
      </c>
      <c r="B341" t="s">
        <v>62</v>
      </c>
      <c r="C341" t="s">
        <v>62</v>
      </c>
      <c r="D341" t="s">
        <v>63</v>
      </c>
      <c r="F341" s="1">
        <v>42649</v>
      </c>
      <c r="G341" s="2">
        <v>80.7</v>
      </c>
      <c r="H341" s="2"/>
      <c r="I341" s="2">
        <f t="array" ref="I341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341" s="2"/>
      <c r="K341" s="2"/>
      <c r="L341" s="2">
        <v>827</v>
      </c>
      <c r="M341" s="2">
        <f t="array" ref="M341">_xlfn.IFNA(IF(vp.data[[#This Row],[Dens Input]]="",INDEX([1]DATA!$O$3:$O$9826,MATCH(1,(vp.data[[#This Row],[Battery]]=[1]DATA!$L$3:$L$9826)*(EOMONTH(vp.data[[#This Row],[SDate]],-1)+1=[1]DATA!$G$3:$G$9826),0)),vp.data[[#This Row],[Dens Input]]),"")</f>
        <v>827</v>
      </c>
      <c r="N341" s="2">
        <f ca="1">INDEX(INDIRECT(_xlfn.CONCAT("weather.tbl[",N$1,"]")),MATCH(vp.data[[#This Row],[SDate]],weather.tbl[Date],0))</f>
        <v>0.46666666666666662</v>
      </c>
      <c r="O341" s="2">
        <f ca="1">INDEX(INDIRECT(_xlfn.CONCAT("weather.tbl[",O$1,"]")),MATCH(vp.data[[#This Row],[SDate]],weather.tbl[Date],0))</f>
        <v>9.5571428571428587</v>
      </c>
      <c r="P341" s="2">
        <f ca="1">INDEX(INDIRECT(_xlfn.CONCAT("weather.tbl[",P$1,"]")),MATCH(vp.data[[#This Row],[SDate]],weather.tbl[Date],0))</f>
        <v>0.6</v>
      </c>
      <c r="Q341" s="2">
        <f ca="1">INDEX(INDIRECT(_xlfn.CONCAT("weather.tbl[",Q$1,"]")),MATCH(vp.data[[#This Row],[SDate]],weather.tbl[Date],0))</f>
        <v>-0.2</v>
      </c>
      <c r="R341" s="2">
        <f ca="1">INDEX(INDIRECT(_xlfn.CONCAT("weather.tbl[",R$1,"]")),MATCH(vp.data[[#This Row],[SDate]],weather.tbl[Date],0))</f>
        <v>0.3</v>
      </c>
      <c r="S341" s="2">
        <f ca="1">INDEX(INDIRECT(_xlfn.CONCAT("weather.tbl[",S$1,"]")),MATCH(vp.data[[#This Row],[SDate]],weather.tbl[Date],0))</f>
        <v>0.3</v>
      </c>
      <c r="T341" s="2">
        <f ca="1">INDEX(INDIRECT(_xlfn.CONCAT("weather.tbl[",T$1,"]")),MATCH(vp.data[[#This Row],[SDate]],weather.tbl[Date],0))</f>
        <v>2.2999999999999998</v>
      </c>
      <c r="U341" s="2">
        <f ca="1">INDEX(INDIRECT(_xlfn.CONCAT("weather.tbl[",U$1,"]")),MATCH(vp.data[[#This Row],[SDate]],weather.tbl[Date],0))</f>
        <v>-0.5</v>
      </c>
      <c r="V341" s="2">
        <f t="array" ref="V3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5449.4639999999999</v>
      </c>
      <c r="W341" t="s">
        <v>48</v>
      </c>
      <c r="X341">
        <f>IF(OR(vp.data[[#This Row],[Sulf]]="",vp.data[[#This Row],[Dens]]=""),1,0)</f>
        <v>0</v>
      </c>
      <c r="Y341">
        <f>IF(vp.data[[#This Row],[CrudeType]]="C5+",1,0)</f>
        <v>0</v>
      </c>
      <c r="Z341">
        <f>IF(AND(vp.data[[#This Row],[CrudeType]]="Crude",vp.data[[#This Row],[Dens]]&lt;=825,vp.data[[#This Row],[Sulf]]&gt;0.5,vp.data[[#This Row],[Unknown]]=0),1,0)</f>
        <v>0</v>
      </c>
      <c r="AA341">
        <f>IF(AND(vp.data[[#This Row],[CrudeType]]="Crude",vp.data[[#This Row],[Dens]]&lt;=825,vp.data[[#This Row],[Sulf]]&lt;=0.5,vp.data[[#This Row],[Unknown]]=0),1,0)</f>
        <v>0</v>
      </c>
      <c r="AB3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41">
        <f>IF(AND(vp.data[[#This Row],[CrudeType]]="Crude",vp.data[[#This Row],[Dens]]&gt;825,vp.data[[#This Row],[Dens]]&lt;=900,vp.data[[#This Row],[Sulf]]&lt;=0.5,vp.data[[#This Row],[Unknown]]=0),1,0)</f>
        <v>0</v>
      </c>
      <c r="AD341">
        <f>IF(AND(vp.data[[#This Row],[CrudeType]]="Crude",vp.data[[#This Row],[Dens]]&gt;865,vp.data[[#This Row],[Dens]]&lt;=900,vp.data[[#This Row],[Sulf]]&gt;2,vp.data[[#This Row],[Unknown]]=0),1,0)</f>
        <v>0</v>
      </c>
      <c r="AE341">
        <f>IF(AND(vp.data[[#This Row],[CrudeType]]="Crude",vp.data[[#This Row],[Dens]]&gt;900,vp.data[[#This Row],[Sulf]]&lt;=0.5,vp.data[[#This Row],[Unknown]]=0),1,0)</f>
        <v>0</v>
      </c>
      <c r="AF341">
        <f>IF(AND(vp.data[[#This Row],[CrudeType]]="Crude",vp.data[[#This Row],[Dens]]&gt;900,vp.data[[#This Row],[Sulf]]&lt;=0.5,vp.data[[#This Row],[Unknown]]=0),1,0)</f>
        <v>0</v>
      </c>
      <c r="AG341" t="str">
        <f>INDEX(vp.data[[#Headers],[Unknown]:[Heavy_SW]],MATCH(1,vp.data[[#This Row],[Unknown]:[Heavy_SW]],0))</f>
        <v>Medium_LSB</v>
      </c>
      <c r="AH341">
        <f>INDEX([3]!crudeBD.lkup[Number],MATCH(vp.data[[#This Row],[Crude_Breakdown]],crudeBD.lkup[Crude Breakdown],0))</f>
        <v>3</v>
      </c>
      <c r="AI341">
        <f>MONTH(vp.data[[#This Row],[SDate]])</f>
        <v>10</v>
      </c>
      <c r="AJ341" s="5">
        <f>(vp.data[[#This Row],[VP]]-INDEX(crudeBD.lkup[Mean_VP],MATCH(vp.data[[#This Row],[Crude_Breakdown]],crudeBD.lkup[Crude Breakdown],0)))^2</f>
        <v>3.6389186361711679E-3</v>
      </c>
      <c r="AK341" s="5">
        <f>(vp.data[[#This Row],[Dens]]-INDEX(crudeBD.lkup[Mean_Dens],MATCH(vp.data[[#This Row],[Crude_Breakdown]],crudeBD.lkup[Crude Breakdown],0)))^2</f>
        <v>286.28639999998325</v>
      </c>
      <c r="AL341" s="5">
        <f>(vp.data[[#This Row],[Sulf]]-INDEX(crudeBD.lkup[Mean_Sulf],MATCH(vp.data[[#This Row],[Crude_Breakdown]],crudeBD.lkup[Crude Breakdown],0)))^2</f>
        <v>1.8114972362538555E-2</v>
      </c>
      <c r="AM341" s="4">
        <f>IF(AND(vp.data[[#This Row],[SDate]]&gt;=DATE(YEAR(vp.data[[#This Row],[SDate]]),5,1),vp.data[[#This Row],[SDate]]&lt;=DATE(YEAR(vp.data[[#This Row],[SDate]]),9,15)),1,0)</f>
        <v>0</v>
      </c>
      <c r="AN341" s="4">
        <f>IF(vp.data[[#This Row],[SDate]]&lt;DATE(2016,12,1),0,1)</f>
        <v>0</v>
      </c>
      <c r="AO341" s="4">
        <f>IFERROR(vp.data[[#This Row],[Sulf]]*vp.data[[#This Row],[Net Dens]],"")</f>
        <v>6850194.2265600003</v>
      </c>
      <c r="AP341">
        <f>IFERROR(vp.data[[#This Row],[Dens]]*vp.data[[#This Row],[VolumeM3]],"")</f>
        <v>4506706.7280000001</v>
      </c>
      <c r="AQ341" s="15">
        <f>IFERROR(vp.data[[#This Row],[VP]]*vp.data[[#This Row],[VolumeM3]],"")</f>
        <v>439771.74479999999</v>
      </c>
    </row>
    <row r="342" spans="1:43" x14ac:dyDescent="0.25">
      <c r="A342">
        <v>341</v>
      </c>
      <c r="B342" t="s">
        <v>49</v>
      </c>
      <c r="C342" t="s">
        <v>49</v>
      </c>
      <c r="D342" t="s">
        <v>59</v>
      </c>
      <c r="F342" s="1">
        <v>42654</v>
      </c>
      <c r="G342" s="2">
        <v>48.4</v>
      </c>
      <c r="H342" s="2"/>
      <c r="I342" s="2">
        <f t="array" ref="I342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342" s="2"/>
      <c r="K342" s="2"/>
      <c r="L342" s="2">
        <v>857</v>
      </c>
      <c r="M342" s="2">
        <f t="array" ref="M342">_xlfn.IFNA(IF(vp.data[[#This Row],[Dens Input]]="",INDEX([1]DATA!$O$3:$O$9826,MATCH(1,(vp.data[[#This Row],[Battery]]=[1]DATA!$L$3:$L$9826)*(EOMONTH(vp.data[[#This Row],[SDate]],-1)+1=[1]DATA!$G$3:$G$9826),0)),vp.data[[#This Row],[Dens Input]]),"")</f>
        <v>857</v>
      </c>
      <c r="N342" s="2">
        <f ca="1">INDEX(INDIRECT(_xlfn.CONCAT("weather.tbl[",N$1,"]")),MATCH(vp.data[[#This Row],[SDate]],weather.tbl[Date],0))</f>
        <v>0.6333333333333333</v>
      </c>
      <c r="O342" s="2">
        <f ca="1">INDEX(INDIRECT(_xlfn.CONCAT("weather.tbl[",O$1,"]")),MATCH(vp.data[[#This Row],[SDate]],weather.tbl[Date],0))</f>
        <v>2.5357142857142856</v>
      </c>
      <c r="P342" s="2">
        <f ca="1">INDEX(INDIRECT(_xlfn.CONCAT("weather.tbl[",P$1,"]")),MATCH(vp.data[[#This Row],[SDate]],weather.tbl[Date],0))</f>
        <v>1.2</v>
      </c>
      <c r="Q342" s="2">
        <f ca="1">INDEX(INDIRECT(_xlfn.CONCAT("weather.tbl[",Q$1,"]")),MATCH(vp.data[[#This Row],[SDate]],weather.tbl[Date],0))</f>
        <v>-0.2</v>
      </c>
      <c r="R342" s="2">
        <f ca="1">INDEX(INDIRECT(_xlfn.CONCAT("weather.tbl[",R$1,"]")),MATCH(vp.data[[#This Row],[SDate]],weather.tbl[Date],0))</f>
        <v>1.3</v>
      </c>
      <c r="S342" s="2">
        <f ca="1">INDEX(INDIRECT(_xlfn.CONCAT("weather.tbl[",S$1,"]")),MATCH(vp.data[[#This Row],[SDate]],weather.tbl[Date],0))</f>
        <v>0.8</v>
      </c>
      <c r="T342" s="2">
        <f ca="1">INDEX(INDIRECT(_xlfn.CONCAT("weather.tbl[",T$1,"]")),MATCH(vp.data[[#This Row],[SDate]],weather.tbl[Date],0))</f>
        <v>1</v>
      </c>
      <c r="U342" s="2">
        <f ca="1">INDEX(INDIRECT(_xlfn.CONCAT("weather.tbl[",U$1,"]")),MATCH(vp.data[[#This Row],[SDate]],weather.tbl[Date],0))</f>
        <v>-0.3</v>
      </c>
      <c r="V342" s="2">
        <f t="array" ref="V3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1705.174</v>
      </c>
      <c r="W342" t="s">
        <v>48</v>
      </c>
      <c r="X342">
        <f>IF(OR(vp.data[[#This Row],[Sulf]]="",vp.data[[#This Row],[Dens]]=""),1,0)</f>
        <v>0</v>
      </c>
      <c r="Y342">
        <f>IF(vp.data[[#This Row],[CrudeType]]="C5+",1,0)</f>
        <v>0</v>
      </c>
      <c r="Z342">
        <f>IF(AND(vp.data[[#This Row],[CrudeType]]="Crude",vp.data[[#This Row],[Dens]]&lt;=825,vp.data[[#This Row],[Sulf]]&gt;0.5,vp.data[[#This Row],[Unknown]]=0),1,0)</f>
        <v>0</v>
      </c>
      <c r="AA342">
        <f>IF(AND(vp.data[[#This Row],[CrudeType]]="Crude",vp.data[[#This Row],[Dens]]&lt;=825,vp.data[[#This Row],[Sulf]]&lt;=0.5,vp.data[[#This Row],[Unknown]]=0),1,0)</f>
        <v>0</v>
      </c>
      <c r="AB3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42">
        <f>IF(AND(vp.data[[#This Row],[CrudeType]]="Crude",vp.data[[#This Row],[Dens]]&gt;825,vp.data[[#This Row],[Dens]]&lt;=900,vp.data[[#This Row],[Sulf]]&lt;=0.5,vp.data[[#This Row],[Unknown]]=0),1,0)</f>
        <v>0</v>
      </c>
      <c r="AD342">
        <f>IF(AND(vp.data[[#This Row],[CrudeType]]="Crude",vp.data[[#This Row],[Dens]]&gt;865,vp.data[[#This Row],[Dens]]&lt;=900,vp.data[[#This Row],[Sulf]]&gt;2,vp.data[[#This Row],[Unknown]]=0),1,0)</f>
        <v>0</v>
      </c>
      <c r="AE342">
        <f>IF(AND(vp.data[[#This Row],[CrudeType]]="Crude",vp.data[[#This Row],[Dens]]&gt;900,vp.data[[#This Row],[Sulf]]&lt;=0.5,vp.data[[#This Row],[Unknown]]=0),1,0)</f>
        <v>0</v>
      </c>
      <c r="AF342">
        <f>IF(AND(vp.data[[#This Row],[CrudeType]]="Crude",vp.data[[#This Row],[Dens]]&gt;900,vp.data[[#This Row],[Sulf]]&lt;=0.5,vp.data[[#This Row],[Unknown]]=0),1,0)</f>
        <v>0</v>
      </c>
      <c r="AG342" t="str">
        <f>INDEX(vp.data[[#Headers],[Unknown]:[Heavy_SW]],MATCH(1,vp.data[[#This Row],[Unknown]:[Heavy_SW]],0))</f>
        <v>Medium_LSB</v>
      </c>
      <c r="AH342">
        <f>INDEX([3]!crudeBD.lkup[Number],MATCH(vp.data[[#This Row],[Crude_Breakdown]],crudeBD.lkup[Crude Breakdown],0))</f>
        <v>3</v>
      </c>
      <c r="AI342">
        <f>MONTH(vp.data[[#This Row],[SDate]])</f>
        <v>10</v>
      </c>
      <c r="AJ342" s="5">
        <f>(vp.data[[#This Row],[VP]]-INDEX(crudeBD.lkup[Mean_VP],MATCH(vp.data[[#This Row],[Crude_Breakdown]],crudeBD.lkup[Crude Breakdown],0)))^2</f>
        <v>1039.3967440399254</v>
      </c>
      <c r="AK342" s="5">
        <f>(vp.data[[#This Row],[Dens]]-INDEX(crudeBD.lkup[Mean_Dens],MATCH(vp.data[[#This Row],[Crude_Breakdown]],crudeBD.lkup[Crude Breakdown],0)))^2</f>
        <v>171.08640000001296</v>
      </c>
      <c r="AL342" s="5">
        <f>(vp.data[[#This Row],[Sulf]]-INDEX(crudeBD.lkup[Mean_Sulf],MATCH(vp.data[[#This Row],[Crude_Breakdown]],crudeBD.lkup[Crude Breakdown],0)))^2</f>
        <v>8.9476224973095587E-3</v>
      </c>
      <c r="AM342" s="4">
        <f>IF(AND(vp.data[[#This Row],[SDate]]&gt;=DATE(YEAR(vp.data[[#This Row],[SDate]]),5,1),vp.data[[#This Row],[SDate]]&lt;=DATE(YEAR(vp.data[[#This Row],[SDate]]),9,15)),1,0)</f>
        <v>0</v>
      </c>
      <c r="AN342" s="4">
        <f>IF(vp.data[[#This Row],[SDate]]&lt;DATE(2016,12,1),0,1)</f>
        <v>0</v>
      </c>
      <c r="AO342" s="4">
        <f>IFERROR(vp.data[[#This Row],[Sulf]]*vp.data[[#This Row],[Net Dens]],"")</f>
        <v>2162774.4946400002</v>
      </c>
      <c r="AP342">
        <f>IFERROR(vp.data[[#This Row],[Dens]]*vp.data[[#This Row],[VolumeM3]],"")</f>
        <v>1461334.118</v>
      </c>
      <c r="AQ342" s="15">
        <f>IFERROR(vp.data[[#This Row],[VP]]*vp.data[[#This Row],[VolumeM3]],"")</f>
        <v>82530.421600000001</v>
      </c>
    </row>
    <row r="343" spans="1:43" x14ac:dyDescent="0.25">
      <c r="A343">
        <v>342</v>
      </c>
      <c r="B343" t="s">
        <v>49</v>
      </c>
      <c r="C343" t="s">
        <v>49</v>
      </c>
      <c r="D343" t="s">
        <v>86</v>
      </c>
      <c r="F343" s="1">
        <v>42656</v>
      </c>
      <c r="G343" s="2">
        <v>91.3</v>
      </c>
      <c r="H343" s="2"/>
      <c r="I343" s="2">
        <f t="array" ref="I343">_xlfn.IFNA(IF(vp.data[[#This Row],[Sulf Input]]="",INDEX([1]DATA!$Q$3:$Q$9826,MATCH(1,(vp.data[[#This Row],[Battery]]=[1]DATA!$L$3:$L$9826)*(EOMONTH(vp.data[[#This Row],[SDate]],-1)+1=[1]DATA!$G$3:$G$9826),0)),vp.data[[#This Row],[Sulf Input]]),"")</f>
        <v>2.99</v>
      </c>
      <c r="J343" s="2"/>
      <c r="K343" s="2"/>
      <c r="L343" s="2">
        <v>871.3</v>
      </c>
      <c r="M343" s="2">
        <f t="array" ref="M343">_xlfn.IFNA(IF(vp.data[[#This Row],[Dens Input]]="",INDEX([1]DATA!$O$3:$O$9826,MATCH(1,(vp.data[[#This Row],[Battery]]=[1]DATA!$L$3:$L$9826)*(EOMONTH(vp.data[[#This Row],[SDate]],-1)+1=[1]DATA!$G$3:$G$9826),0)),vp.data[[#This Row],[Dens Input]]),"")</f>
        <v>871.3</v>
      </c>
      <c r="N343" s="2">
        <f ca="1">INDEX(INDIRECT(_xlfn.CONCAT("weather.tbl[",N$1,"]")),MATCH(vp.data[[#This Row],[SDate]],weather.tbl[Date],0))</f>
        <v>0.8833333333333333</v>
      </c>
      <c r="O343" s="2">
        <f ca="1">INDEX(INDIRECT(_xlfn.CONCAT("weather.tbl[",O$1,"]")),MATCH(vp.data[[#This Row],[SDate]],weather.tbl[Date],0))</f>
        <v>2.3404761904761906</v>
      </c>
      <c r="P343" s="2">
        <f ca="1">INDEX(INDIRECT(_xlfn.CONCAT("weather.tbl[",P$1,"]")),MATCH(vp.data[[#This Row],[SDate]],weather.tbl[Date],0))</f>
        <v>1.3</v>
      </c>
      <c r="Q343" s="2">
        <f ca="1">INDEX(INDIRECT(_xlfn.CONCAT("weather.tbl[",Q$1,"]")),MATCH(vp.data[[#This Row],[SDate]],weather.tbl[Date],0))</f>
        <v>0.7</v>
      </c>
      <c r="R343" s="2">
        <f ca="1">INDEX(INDIRECT(_xlfn.CONCAT("weather.tbl[",R$1,"]")),MATCH(vp.data[[#This Row],[SDate]],weather.tbl[Date],0))</f>
        <v>0.8</v>
      </c>
      <c r="S343" s="2">
        <f ca="1">INDEX(INDIRECT(_xlfn.CONCAT("weather.tbl[",S$1,"]")),MATCH(vp.data[[#This Row],[SDate]],weather.tbl[Date],0))</f>
        <v>1.8</v>
      </c>
      <c r="T343" s="2">
        <f ca="1">INDEX(INDIRECT(_xlfn.CONCAT("weather.tbl[",T$1,"]")),MATCH(vp.data[[#This Row],[SDate]],weather.tbl[Date],0))</f>
        <v>0.4</v>
      </c>
      <c r="U343" s="2">
        <f ca="1">INDEX(INDIRECT(_xlfn.CONCAT("weather.tbl[",U$1,"]")),MATCH(vp.data[[#This Row],[SDate]],weather.tbl[Date],0))</f>
        <v>0.3</v>
      </c>
      <c r="V343" s="2">
        <f t="array" ref="V3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4445.826</v>
      </c>
      <c r="W343" t="s">
        <v>48</v>
      </c>
      <c r="X343">
        <f>IF(OR(vp.data[[#This Row],[Sulf]]="",vp.data[[#This Row],[Dens]]=""),1,0)</f>
        <v>0</v>
      </c>
      <c r="Y343">
        <f>IF(vp.data[[#This Row],[CrudeType]]="C5+",1,0)</f>
        <v>0</v>
      </c>
      <c r="Z343">
        <f>IF(AND(vp.data[[#This Row],[CrudeType]]="Crude",vp.data[[#This Row],[Dens]]&lt;=825,vp.data[[#This Row],[Sulf]]&gt;0.5,vp.data[[#This Row],[Unknown]]=0),1,0)</f>
        <v>0</v>
      </c>
      <c r="AA343">
        <f>IF(AND(vp.data[[#This Row],[CrudeType]]="Crude",vp.data[[#This Row],[Dens]]&lt;=825,vp.data[[#This Row],[Sulf]]&lt;=0.5,vp.data[[#This Row],[Unknown]]=0),1,0)</f>
        <v>0</v>
      </c>
      <c r="AB3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3">
        <f>IF(AND(vp.data[[#This Row],[CrudeType]]="Crude",vp.data[[#This Row],[Dens]]&gt;825,vp.data[[#This Row],[Dens]]&lt;=900,vp.data[[#This Row],[Sulf]]&lt;=0.5,vp.data[[#This Row],[Unknown]]=0),1,0)</f>
        <v>0</v>
      </c>
      <c r="AD343">
        <f>IF(AND(vp.data[[#This Row],[CrudeType]]="Crude",vp.data[[#This Row],[Dens]]&gt;865,vp.data[[#This Row],[Dens]]&lt;=900,vp.data[[#This Row],[Sulf]]&gt;2,vp.data[[#This Row],[Unknown]]=0),1,0)</f>
        <v>1</v>
      </c>
      <c r="AE343">
        <f>IF(AND(vp.data[[#This Row],[CrudeType]]="Crude",vp.data[[#This Row],[Dens]]&gt;900,vp.data[[#This Row],[Sulf]]&lt;=0.5,vp.data[[#This Row],[Unknown]]=0),1,0)</f>
        <v>0</v>
      </c>
      <c r="AF343">
        <f>IF(AND(vp.data[[#This Row],[CrudeType]]="Crude",vp.data[[#This Row],[Dens]]&gt;900,vp.data[[#This Row],[Sulf]]&lt;=0.5,vp.data[[#This Row],[Unknown]]=0),1,0)</f>
        <v>0</v>
      </c>
      <c r="AG343" t="str">
        <f>INDEX(vp.data[[#Headers],[Unknown]:[Heavy_SW]],MATCH(1,vp.data[[#This Row],[Unknown]:[Heavy_SW]],0))</f>
        <v>Midale</v>
      </c>
      <c r="AH343">
        <f>INDEX([3]!crudeBD.lkup[Number],MATCH(vp.data[[#This Row],[Crude_Breakdown]],crudeBD.lkup[Crude Breakdown],0))</f>
        <v>5</v>
      </c>
      <c r="AI343">
        <f>MONTH(vp.data[[#This Row],[SDate]])</f>
        <v>10</v>
      </c>
      <c r="AJ343" s="5">
        <f>(vp.data[[#This Row],[VP]]-INDEX(crudeBD.lkup[Mean_VP],MATCH(vp.data[[#This Row],[Crude_Breakdown]],crudeBD.lkup[Crude Breakdown],0)))^2</f>
        <v>479.22626235519033</v>
      </c>
      <c r="AK343" s="5">
        <f>(vp.data[[#This Row],[Dens]]-INDEX(crudeBD.lkup[Mean_Dens],MATCH(vp.data[[#This Row],[Crude_Breakdown]],crudeBD.lkup[Crude Breakdown],0)))^2</f>
        <v>12.369361515572679</v>
      </c>
      <c r="AL343" s="5">
        <f>(vp.data[[#This Row],[Sulf]]-INDEX(crudeBD.lkup[Mean_Sulf],MATCH(vp.data[[#This Row],[Crude_Breakdown]],crudeBD.lkup[Crude Breakdown],0)))^2</f>
        <v>0.29853594861346755</v>
      </c>
      <c r="AM343" s="4">
        <f>IF(AND(vp.data[[#This Row],[SDate]]&gt;=DATE(YEAR(vp.data[[#This Row],[SDate]]),5,1),vp.data[[#This Row],[SDate]]&lt;=DATE(YEAR(vp.data[[#This Row],[SDate]]),9,15)),1,0)</f>
        <v>0</v>
      </c>
      <c r="AN343" s="4">
        <f>IF(vp.data[[#This Row],[SDate]]&lt;DATE(2016,12,1),0,1)</f>
        <v>0</v>
      </c>
      <c r="AO343" s="4">
        <f>IFERROR(vp.data[[#This Row],[Sulf]]*vp.data[[#This Row],[Net Dens]],"")</f>
        <v>11582208.099462001</v>
      </c>
      <c r="AP343">
        <f>IFERROR(vp.data[[#This Row],[Dens]]*vp.data[[#This Row],[VolumeM3]],"")</f>
        <v>3873648.1938</v>
      </c>
      <c r="AQ343" s="15">
        <f>IFERROR(vp.data[[#This Row],[VP]]*vp.data[[#This Row],[VolumeM3]],"")</f>
        <v>405903.91379999998</v>
      </c>
    </row>
    <row r="344" spans="1:43" x14ac:dyDescent="0.25">
      <c r="A344">
        <v>343</v>
      </c>
      <c r="B344" t="s">
        <v>49</v>
      </c>
      <c r="C344" t="s">
        <v>49</v>
      </c>
      <c r="D344" t="s">
        <v>74</v>
      </c>
      <c r="F344" s="1">
        <v>42669</v>
      </c>
      <c r="G344" s="2">
        <v>91.6</v>
      </c>
      <c r="H344" s="2"/>
      <c r="I344" s="2">
        <f t="array" ref="I344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344" s="2"/>
      <c r="K344" s="2"/>
      <c r="L344" s="2">
        <v>808.2</v>
      </c>
      <c r="M344" s="2">
        <f t="array" ref="M344">_xlfn.IFNA(IF(vp.data[[#This Row],[Dens Input]]="",INDEX([1]DATA!$O$3:$O$9826,MATCH(1,(vp.data[[#This Row],[Battery]]=[1]DATA!$L$3:$L$9826)*(EOMONTH(vp.data[[#This Row],[SDate]],-1)+1=[1]DATA!$G$3:$G$9826),0)),vp.data[[#This Row],[Dens Input]]),"")</f>
        <v>808.2</v>
      </c>
      <c r="N344" s="2">
        <f ca="1">INDEX(INDIRECT(_xlfn.CONCAT("weather.tbl[",N$1,"]")),MATCH(vp.data[[#This Row],[SDate]],weather.tbl[Date],0))</f>
        <v>4.8166666666666673</v>
      </c>
      <c r="O344" s="2">
        <f ca="1">INDEX(INDIRECT(_xlfn.CONCAT("weather.tbl[",O$1,"]")),MATCH(vp.data[[#This Row],[SDate]],weather.tbl[Date],0))</f>
        <v>5.0785714285714292</v>
      </c>
      <c r="P344" s="2">
        <f ca="1">INDEX(INDIRECT(_xlfn.CONCAT("weather.tbl[",P$1,"]")),MATCH(vp.data[[#This Row],[SDate]],weather.tbl[Date],0))</f>
        <v>5.4</v>
      </c>
      <c r="Q344" s="2">
        <f ca="1">INDEX(INDIRECT(_xlfn.CONCAT("weather.tbl[",Q$1,"]")),MATCH(vp.data[[#This Row],[SDate]],weather.tbl[Date],0))</f>
        <v>3.9</v>
      </c>
      <c r="R344" s="2">
        <f ca="1">INDEX(INDIRECT(_xlfn.CONCAT("weather.tbl[",R$1,"]")),MATCH(vp.data[[#This Row],[SDate]],weather.tbl[Date],0))</f>
        <v>3.8</v>
      </c>
      <c r="S344" s="2">
        <f ca="1">INDEX(INDIRECT(_xlfn.CONCAT("weather.tbl[",S$1,"]")),MATCH(vp.data[[#This Row],[SDate]],weather.tbl[Date],0))</f>
        <v>5.3</v>
      </c>
      <c r="T344" s="2">
        <f ca="1">INDEX(INDIRECT(_xlfn.CONCAT("weather.tbl[",T$1,"]")),MATCH(vp.data[[#This Row],[SDate]],weather.tbl[Date],0))</f>
        <v>5.5</v>
      </c>
      <c r="U344" s="2">
        <f ca="1">INDEX(INDIRECT(_xlfn.CONCAT("weather.tbl[",U$1,"]")),MATCH(vp.data[[#This Row],[SDate]],weather.tbl[Date],0))</f>
        <v>5</v>
      </c>
      <c r="V344" s="2">
        <f t="array" ref="V3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40279.834000000003</v>
      </c>
      <c r="W344" t="s">
        <v>48</v>
      </c>
      <c r="X344">
        <f>IF(OR(vp.data[[#This Row],[Sulf]]="",vp.data[[#This Row],[Dens]]=""),1,0)</f>
        <v>0</v>
      </c>
      <c r="Y344">
        <f>IF(vp.data[[#This Row],[CrudeType]]="C5+",1,0)</f>
        <v>0</v>
      </c>
      <c r="Z344">
        <f>IF(AND(vp.data[[#This Row],[CrudeType]]="Crude",vp.data[[#This Row],[Dens]]&lt;=825,vp.data[[#This Row],[Sulf]]&gt;0.5,vp.data[[#This Row],[Unknown]]=0),1,0)</f>
        <v>0</v>
      </c>
      <c r="AA344">
        <f>IF(AND(vp.data[[#This Row],[CrudeType]]="Crude",vp.data[[#This Row],[Dens]]&lt;=825,vp.data[[#This Row],[Sulf]]&lt;=0.5,vp.data[[#This Row],[Unknown]]=0),1,0)</f>
        <v>1</v>
      </c>
      <c r="AB3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4">
        <f>IF(AND(vp.data[[#This Row],[CrudeType]]="Crude",vp.data[[#This Row],[Dens]]&gt;825,vp.data[[#This Row],[Dens]]&lt;=900,vp.data[[#This Row],[Sulf]]&lt;=0.5,vp.data[[#This Row],[Unknown]]=0),1,0)</f>
        <v>0</v>
      </c>
      <c r="AD344">
        <f>IF(AND(vp.data[[#This Row],[CrudeType]]="Crude",vp.data[[#This Row],[Dens]]&gt;865,vp.data[[#This Row],[Dens]]&lt;=900,vp.data[[#This Row],[Sulf]]&gt;2,vp.data[[#This Row],[Unknown]]=0),1,0)</f>
        <v>0</v>
      </c>
      <c r="AE344">
        <f>IF(AND(vp.data[[#This Row],[CrudeType]]="Crude",vp.data[[#This Row],[Dens]]&gt;900,vp.data[[#This Row],[Sulf]]&lt;=0.5,vp.data[[#This Row],[Unknown]]=0),1,0)</f>
        <v>0</v>
      </c>
      <c r="AF344">
        <f>IF(AND(vp.data[[#This Row],[CrudeType]]="Crude",vp.data[[#This Row],[Dens]]&gt;900,vp.data[[#This Row],[Sulf]]&lt;=0.5,vp.data[[#This Row],[Unknown]]=0),1,0)</f>
        <v>0</v>
      </c>
      <c r="AG344" t="str">
        <f>INDEX(vp.data[[#Headers],[Unknown]:[Heavy_SW]],MATCH(1,vp.data[[#This Row],[Unknown]:[Heavy_SW]],0))</f>
        <v>Light_SW</v>
      </c>
      <c r="AH344">
        <f>INDEX([3]!crudeBD.lkup[Number],MATCH(vp.data[[#This Row],[Crude_Breakdown]],crudeBD.lkup[Crude Breakdown],0))</f>
        <v>2</v>
      </c>
      <c r="AI344">
        <f>MONTH(vp.data[[#This Row],[SDate]])</f>
        <v>10</v>
      </c>
      <c r="AJ344" s="5">
        <f>(vp.data[[#This Row],[VP]]-INDEX(crudeBD.lkup[Mean_VP],MATCH(vp.data[[#This Row],[Crude_Breakdown]],crudeBD.lkup[Crude Breakdown],0)))^2</f>
        <v>0.90309591715325266</v>
      </c>
      <c r="AK344" s="5">
        <f>(vp.data[[#This Row],[Dens]]-INDEX(crudeBD.lkup[Mean_Dens],MATCH(vp.data[[#This Row],[Crude_Breakdown]],crudeBD.lkup[Crude Breakdown],0)))^2</f>
        <v>1.2431861501234131E-2</v>
      </c>
      <c r="AL344" s="5">
        <f>(vp.data[[#This Row],[Sulf]]-INDEX(crudeBD.lkup[Mean_Sulf],MATCH(vp.data[[#This Row],[Crude_Breakdown]],crudeBD.lkup[Crude Breakdown],0)))^2</f>
        <v>7.4376501105998362E-3</v>
      </c>
      <c r="AM344" s="4">
        <f>IF(AND(vp.data[[#This Row],[SDate]]&gt;=DATE(YEAR(vp.data[[#This Row],[SDate]]),5,1),vp.data[[#This Row],[SDate]]&lt;=DATE(YEAR(vp.data[[#This Row],[SDate]]),9,15)),1,0)</f>
        <v>0</v>
      </c>
      <c r="AN344" s="4">
        <f>IF(vp.data[[#This Row],[SDate]]&lt;DATE(2016,12,1),0,1)</f>
        <v>0</v>
      </c>
      <c r="AO344" s="4">
        <f>IFERROR(vp.data[[#This Row],[Sulf]]*vp.data[[#This Row],[Net Dens]],"")</f>
        <v>4883124.275820001</v>
      </c>
      <c r="AP344">
        <f>IFERROR(vp.data[[#This Row],[Dens]]*vp.data[[#This Row],[VolumeM3]],"")</f>
        <v>32554161.838800006</v>
      </c>
      <c r="AQ344" s="15">
        <f>IFERROR(vp.data[[#This Row],[VP]]*vp.data[[#This Row],[VolumeM3]],"")</f>
        <v>3689632.7944</v>
      </c>
    </row>
    <row r="345" spans="1:43" x14ac:dyDescent="0.25">
      <c r="A345">
        <v>344</v>
      </c>
      <c r="B345" t="s">
        <v>49</v>
      </c>
      <c r="C345" t="s">
        <v>49</v>
      </c>
      <c r="D345" t="s">
        <v>92</v>
      </c>
      <c r="F345" s="1">
        <v>42669</v>
      </c>
      <c r="G345" s="2">
        <v>80.599999999999994</v>
      </c>
      <c r="H345" s="2"/>
      <c r="I345" s="2">
        <f t="array" ref="I345">_xlfn.IFNA(IF(vp.data[[#This Row],[Sulf Input]]="",INDEX([1]DATA!$Q$3:$Q$9826,MATCH(1,(vp.data[[#This Row],[Battery]]=[1]DATA!$L$3:$L$9826)*(EOMONTH(vp.data[[#This Row],[SDate]],-1)+1=[1]DATA!$G$3:$G$9826),0)),vp.data[[#This Row],[Sulf Input]]),"")</f>
        <v>0.12</v>
      </c>
      <c r="J345" s="2"/>
      <c r="K345" s="2"/>
      <c r="L345" s="2">
        <v>823</v>
      </c>
      <c r="M345" s="2">
        <f t="array" ref="M345">_xlfn.IFNA(IF(vp.data[[#This Row],[Dens Input]]="",INDEX([1]DATA!$O$3:$O$9826,MATCH(1,(vp.data[[#This Row],[Battery]]=[1]DATA!$L$3:$L$9826)*(EOMONTH(vp.data[[#This Row],[SDate]],-1)+1=[1]DATA!$G$3:$G$9826),0)),vp.data[[#This Row],[Dens Input]]),"")</f>
        <v>823</v>
      </c>
      <c r="N345" s="2">
        <f ca="1">INDEX(INDIRECT(_xlfn.CONCAT("weather.tbl[",N$1,"]")),MATCH(vp.data[[#This Row],[SDate]],weather.tbl[Date],0))</f>
        <v>4.8166666666666673</v>
      </c>
      <c r="O345" s="2">
        <f ca="1">INDEX(INDIRECT(_xlfn.CONCAT("weather.tbl[",O$1,"]")),MATCH(vp.data[[#This Row],[SDate]],weather.tbl[Date],0))</f>
        <v>5.0785714285714292</v>
      </c>
      <c r="P345" s="2">
        <f ca="1">INDEX(INDIRECT(_xlfn.CONCAT("weather.tbl[",P$1,"]")),MATCH(vp.data[[#This Row],[SDate]],weather.tbl[Date],0))</f>
        <v>5.4</v>
      </c>
      <c r="Q345" s="2">
        <f ca="1">INDEX(INDIRECT(_xlfn.CONCAT("weather.tbl[",Q$1,"]")),MATCH(vp.data[[#This Row],[SDate]],weather.tbl[Date],0))</f>
        <v>3.9</v>
      </c>
      <c r="R345" s="2">
        <f ca="1">INDEX(INDIRECT(_xlfn.CONCAT("weather.tbl[",R$1,"]")),MATCH(vp.data[[#This Row],[SDate]],weather.tbl[Date],0))</f>
        <v>3.8</v>
      </c>
      <c r="S345" s="2">
        <f ca="1">INDEX(INDIRECT(_xlfn.CONCAT("weather.tbl[",S$1,"]")),MATCH(vp.data[[#This Row],[SDate]],weather.tbl[Date],0))</f>
        <v>5.3</v>
      </c>
      <c r="T345" s="2">
        <f ca="1">INDEX(INDIRECT(_xlfn.CONCAT("weather.tbl[",T$1,"]")),MATCH(vp.data[[#This Row],[SDate]],weather.tbl[Date],0))</f>
        <v>5.5</v>
      </c>
      <c r="U345" s="2">
        <f ca="1">INDEX(INDIRECT(_xlfn.CONCAT("weather.tbl[",U$1,"]")),MATCH(vp.data[[#This Row],[SDate]],weather.tbl[Date],0))</f>
        <v>5</v>
      </c>
      <c r="V345" s="2">
        <f t="array" ref="V3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18306.618999999999</v>
      </c>
      <c r="W345" t="s">
        <v>48</v>
      </c>
      <c r="X345">
        <f>IF(OR(vp.data[[#This Row],[Sulf]]="",vp.data[[#This Row],[Dens]]=""),1,0)</f>
        <v>0</v>
      </c>
      <c r="Y345">
        <f>IF(vp.data[[#This Row],[CrudeType]]="C5+",1,0)</f>
        <v>0</v>
      </c>
      <c r="Z345">
        <f>IF(AND(vp.data[[#This Row],[CrudeType]]="Crude",vp.data[[#This Row],[Dens]]&lt;=825,vp.data[[#This Row],[Sulf]]&gt;0.5,vp.data[[#This Row],[Unknown]]=0),1,0)</f>
        <v>0</v>
      </c>
      <c r="AA345">
        <f>IF(AND(vp.data[[#This Row],[CrudeType]]="Crude",vp.data[[#This Row],[Dens]]&lt;=825,vp.data[[#This Row],[Sulf]]&lt;=0.5,vp.data[[#This Row],[Unknown]]=0),1,0)</f>
        <v>1</v>
      </c>
      <c r="AB3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5">
        <f>IF(AND(vp.data[[#This Row],[CrudeType]]="Crude",vp.data[[#This Row],[Dens]]&gt;825,vp.data[[#This Row],[Dens]]&lt;=900,vp.data[[#This Row],[Sulf]]&lt;=0.5,vp.data[[#This Row],[Unknown]]=0),1,0)</f>
        <v>0</v>
      </c>
      <c r="AD345">
        <f>IF(AND(vp.data[[#This Row],[CrudeType]]="Crude",vp.data[[#This Row],[Dens]]&gt;865,vp.data[[#This Row],[Dens]]&lt;=900,vp.data[[#This Row],[Sulf]]&gt;2,vp.data[[#This Row],[Unknown]]=0),1,0)</f>
        <v>0</v>
      </c>
      <c r="AE345">
        <f>IF(AND(vp.data[[#This Row],[CrudeType]]="Crude",vp.data[[#This Row],[Dens]]&gt;900,vp.data[[#This Row],[Sulf]]&lt;=0.5,vp.data[[#This Row],[Unknown]]=0),1,0)</f>
        <v>0</v>
      </c>
      <c r="AF345">
        <f>IF(AND(vp.data[[#This Row],[CrudeType]]="Crude",vp.data[[#This Row],[Dens]]&gt;900,vp.data[[#This Row],[Sulf]]&lt;=0.5,vp.data[[#This Row],[Unknown]]=0),1,0)</f>
        <v>0</v>
      </c>
      <c r="AG345" t="str">
        <f>INDEX(vp.data[[#Headers],[Unknown]:[Heavy_SW]],MATCH(1,vp.data[[#This Row],[Unknown]:[Heavy_SW]],0))</f>
        <v>Light_SW</v>
      </c>
      <c r="AH345">
        <f>INDEX([3]!crudeBD.lkup[Number],MATCH(vp.data[[#This Row],[Crude_Breakdown]],crudeBD.lkup[Crude Breakdown],0))</f>
        <v>2</v>
      </c>
      <c r="AI345">
        <f>MONTH(vp.data[[#This Row],[SDate]])</f>
        <v>10</v>
      </c>
      <c r="AJ345" s="5">
        <f>(vp.data[[#This Row],[VP]]-INDEX(crudeBD.lkup[Mean_VP],MATCH(vp.data[[#This Row],[Crude_Breakdown]],crudeBD.lkup[Crude Breakdown],0)))^2</f>
        <v>142.80999487185656</v>
      </c>
      <c r="AK345" s="5">
        <f>(vp.data[[#This Row],[Dens]]-INDEX(crudeBD.lkup[Mean_Dens],MATCH(vp.data[[#This Row],[Crude_Breakdown]],crudeBD.lkup[Crude Breakdown],0)))^2</f>
        <v>215.75208342945197</v>
      </c>
      <c r="AL345" s="5">
        <f>(vp.data[[#This Row],[Sulf]]-INDEX(crudeBD.lkup[Mean_Sulf],MATCH(vp.data[[#This Row],[Crude_Breakdown]],crudeBD.lkup[Crude Breakdown],0)))^2</f>
        <v>1.3512158821401221E-2</v>
      </c>
      <c r="AM345" s="4">
        <f>IF(AND(vp.data[[#This Row],[SDate]]&gt;=DATE(YEAR(vp.data[[#This Row],[SDate]]),5,1),vp.data[[#This Row],[SDate]]&lt;=DATE(YEAR(vp.data[[#This Row],[SDate]]),9,15)),1,0)</f>
        <v>0</v>
      </c>
      <c r="AN345" s="4">
        <f>IF(vp.data[[#This Row],[SDate]]&lt;DATE(2016,12,1),0,1)</f>
        <v>0</v>
      </c>
      <c r="AO345" s="4">
        <f>IFERROR(vp.data[[#This Row],[Sulf]]*vp.data[[#This Row],[Net Dens]],"")</f>
        <v>1807961.6924399999</v>
      </c>
      <c r="AP345">
        <f>IFERROR(vp.data[[#This Row],[Dens]]*vp.data[[#This Row],[VolumeM3]],"")</f>
        <v>15066347.436999999</v>
      </c>
      <c r="AQ345" s="15">
        <f>IFERROR(vp.data[[#This Row],[VP]]*vp.data[[#This Row],[VolumeM3]],"")</f>
        <v>1475513.4913999997</v>
      </c>
    </row>
    <row r="346" spans="1:43" x14ac:dyDescent="0.25">
      <c r="A346">
        <v>345</v>
      </c>
      <c r="B346" t="s">
        <v>51</v>
      </c>
      <c r="C346" t="s">
        <v>51</v>
      </c>
      <c r="D346" t="s">
        <v>58</v>
      </c>
      <c r="F346" s="1">
        <v>42669</v>
      </c>
      <c r="G346" s="2">
        <v>71.599999999999994</v>
      </c>
      <c r="H346" s="2"/>
      <c r="I346" s="2">
        <f t="array" ref="I346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346" s="2"/>
      <c r="K346" s="2"/>
      <c r="L346" s="2">
        <v>857.1</v>
      </c>
      <c r="M346" s="2">
        <f t="array" ref="M346">_xlfn.IFNA(IF(vp.data[[#This Row],[Dens Input]]="",INDEX([1]DATA!$O$3:$O$9826,MATCH(1,(vp.data[[#This Row],[Battery]]=[1]DATA!$L$3:$L$9826)*(EOMONTH(vp.data[[#This Row],[SDate]],-1)+1=[1]DATA!$G$3:$G$9826),0)),vp.data[[#This Row],[Dens Input]]),"")</f>
        <v>857.1</v>
      </c>
      <c r="N346" s="2">
        <f ca="1">INDEX(INDIRECT(_xlfn.CONCAT("weather.tbl[",N$1,"]")),MATCH(vp.data[[#This Row],[SDate]],weather.tbl[Date],0))</f>
        <v>4.8166666666666673</v>
      </c>
      <c r="O346" s="2">
        <f ca="1">INDEX(INDIRECT(_xlfn.CONCAT("weather.tbl[",O$1,"]")),MATCH(vp.data[[#This Row],[SDate]],weather.tbl[Date],0))</f>
        <v>5.0785714285714292</v>
      </c>
      <c r="P346" s="2">
        <f ca="1">INDEX(INDIRECT(_xlfn.CONCAT("weather.tbl[",P$1,"]")),MATCH(vp.data[[#This Row],[SDate]],weather.tbl[Date],0))</f>
        <v>5.4</v>
      </c>
      <c r="Q346" s="2">
        <f ca="1">INDEX(INDIRECT(_xlfn.CONCAT("weather.tbl[",Q$1,"]")),MATCH(vp.data[[#This Row],[SDate]],weather.tbl[Date],0))</f>
        <v>3.9</v>
      </c>
      <c r="R346" s="2">
        <f ca="1">INDEX(INDIRECT(_xlfn.CONCAT("weather.tbl[",R$1,"]")),MATCH(vp.data[[#This Row],[SDate]],weather.tbl[Date],0))</f>
        <v>3.8</v>
      </c>
      <c r="S346" s="2">
        <f ca="1">INDEX(INDIRECT(_xlfn.CONCAT("weather.tbl[",S$1,"]")),MATCH(vp.data[[#This Row],[SDate]],weather.tbl[Date],0))</f>
        <v>5.3</v>
      </c>
      <c r="T346" s="2">
        <f ca="1">INDEX(INDIRECT(_xlfn.CONCAT("weather.tbl[",T$1,"]")),MATCH(vp.data[[#This Row],[SDate]],weather.tbl[Date],0))</f>
        <v>5.5</v>
      </c>
      <c r="U346" s="2">
        <f ca="1">INDEX(INDIRECT(_xlfn.CONCAT("weather.tbl[",U$1,"]")),MATCH(vp.data[[#This Row],[SDate]],weather.tbl[Date],0))</f>
        <v>5</v>
      </c>
      <c r="V346" s="2">
        <f t="array" ref="V3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5497.5420000000004</v>
      </c>
      <c r="W346" t="s">
        <v>48</v>
      </c>
      <c r="X346">
        <f>IF(OR(vp.data[[#This Row],[Sulf]]="",vp.data[[#This Row],[Dens]]=""),1,0)</f>
        <v>0</v>
      </c>
      <c r="Y346">
        <f>IF(vp.data[[#This Row],[CrudeType]]="C5+",1,0)</f>
        <v>0</v>
      </c>
      <c r="Z346">
        <f>IF(AND(vp.data[[#This Row],[CrudeType]]="Crude",vp.data[[#This Row],[Dens]]&lt;=825,vp.data[[#This Row],[Sulf]]&gt;0.5,vp.data[[#This Row],[Unknown]]=0),1,0)</f>
        <v>0</v>
      </c>
      <c r="AA346">
        <f>IF(AND(vp.data[[#This Row],[CrudeType]]="Crude",vp.data[[#This Row],[Dens]]&lt;=825,vp.data[[#This Row],[Sulf]]&lt;=0.5,vp.data[[#This Row],[Unknown]]=0),1,0)</f>
        <v>0</v>
      </c>
      <c r="AB3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46">
        <f>IF(AND(vp.data[[#This Row],[CrudeType]]="Crude",vp.data[[#This Row],[Dens]]&gt;825,vp.data[[#This Row],[Dens]]&lt;=900,vp.data[[#This Row],[Sulf]]&lt;=0.5,vp.data[[#This Row],[Unknown]]=0),1,0)</f>
        <v>0</v>
      </c>
      <c r="AD346">
        <f>IF(AND(vp.data[[#This Row],[CrudeType]]="Crude",vp.data[[#This Row],[Dens]]&gt;865,vp.data[[#This Row],[Dens]]&lt;=900,vp.data[[#This Row],[Sulf]]&gt;2,vp.data[[#This Row],[Unknown]]=0),1,0)</f>
        <v>0</v>
      </c>
      <c r="AE346">
        <f>IF(AND(vp.data[[#This Row],[CrudeType]]="Crude",vp.data[[#This Row],[Dens]]&gt;900,vp.data[[#This Row],[Sulf]]&lt;=0.5,vp.data[[#This Row],[Unknown]]=0),1,0)</f>
        <v>0</v>
      </c>
      <c r="AF346">
        <f>IF(AND(vp.data[[#This Row],[CrudeType]]="Crude",vp.data[[#This Row],[Dens]]&gt;900,vp.data[[#This Row],[Sulf]]&lt;=0.5,vp.data[[#This Row],[Unknown]]=0),1,0)</f>
        <v>0</v>
      </c>
      <c r="AG346" t="str">
        <f>INDEX(vp.data[[#Headers],[Unknown]:[Heavy_SW]],MATCH(1,vp.data[[#This Row],[Unknown]:[Heavy_SW]],0))</f>
        <v>Medium_LSB</v>
      </c>
      <c r="AH346">
        <f>INDEX([3]!crudeBD.lkup[Number],MATCH(vp.data[[#This Row],[Crude_Breakdown]],crudeBD.lkup[Crude Breakdown],0))</f>
        <v>3</v>
      </c>
      <c r="AI346">
        <f>MONTH(vp.data[[#This Row],[SDate]])</f>
        <v>10</v>
      </c>
      <c r="AJ346" s="5">
        <f>(vp.data[[#This Row],[VP]]-INDEX(crudeBD.lkup[Mean_VP],MATCH(vp.data[[#This Row],[Crude_Breakdown]],crudeBD.lkup[Crude Breakdown],0)))^2</f>
        <v>81.715752126182139</v>
      </c>
      <c r="AK346" s="5">
        <f>(vp.data[[#This Row],[Dens]]-INDEX(crudeBD.lkup[Mean_Dens],MATCH(vp.data[[#This Row],[Crude_Breakdown]],crudeBD.lkup[Crude Breakdown],0)))^2</f>
        <v>173.71240000001367</v>
      </c>
      <c r="AL346" s="5">
        <f>(vp.data[[#This Row],[Sulf]]-INDEX(crudeBD.lkup[Mean_Sulf],MATCH(vp.data[[#This Row],[Crude_Breakdown]],crudeBD.lkup[Crude Breakdown],0)))^2</f>
        <v>1.0939459963616806E-2</v>
      </c>
      <c r="AM346" s="4">
        <f>IF(AND(vp.data[[#This Row],[SDate]]&gt;=DATE(YEAR(vp.data[[#This Row],[SDate]]),5,1),vp.data[[#This Row],[SDate]]&lt;=DATE(YEAR(vp.data[[#This Row],[SDate]]),9,15)),1,0)</f>
        <v>0</v>
      </c>
      <c r="AN346" s="4">
        <f>IF(vp.data[[#This Row],[SDate]]&lt;DATE(2016,12,1),0,1)</f>
        <v>0</v>
      </c>
      <c r="AO346" s="4">
        <f>IFERROR(vp.data[[#This Row],[Sulf]]*vp.data[[#This Row],[Net Dens]],"")</f>
        <v>7020795.4398180004</v>
      </c>
      <c r="AP346">
        <f>IFERROR(vp.data[[#This Row],[Dens]]*vp.data[[#This Row],[VolumeM3]],"")</f>
        <v>4711943.2482000003</v>
      </c>
      <c r="AQ346" s="15">
        <f>IFERROR(vp.data[[#This Row],[VP]]*vp.data[[#This Row],[VolumeM3]],"")</f>
        <v>393624.00719999999</v>
      </c>
    </row>
    <row r="347" spans="1:43" x14ac:dyDescent="0.25">
      <c r="A347">
        <v>346</v>
      </c>
      <c r="B347" t="s">
        <v>62</v>
      </c>
      <c r="C347" t="s">
        <v>62</v>
      </c>
      <c r="D347" t="s">
        <v>87</v>
      </c>
      <c r="F347" s="1">
        <v>42670</v>
      </c>
      <c r="G347" s="2">
        <v>87.4</v>
      </c>
      <c r="H347" s="2"/>
      <c r="I347" s="2">
        <f t="array" ref="I347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347" s="2"/>
      <c r="K347" s="2"/>
      <c r="L347" s="2">
        <v>812.4</v>
      </c>
      <c r="M347" s="2">
        <f t="array" ref="M347">_xlfn.IFNA(IF(vp.data[[#This Row],[Dens Input]]="",INDEX([1]DATA!$O$3:$O$9826,MATCH(1,(vp.data[[#This Row],[Battery]]=[1]DATA!$L$3:$L$9826)*(EOMONTH(vp.data[[#This Row],[SDate]],-1)+1=[1]DATA!$G$3:$G$9826),0)),vp.data[[#This Row],[Dens Input]]),"")</f>
        <v>812.4</v>
      </c>
      <c r="N347" s="2">
        <f ca="1">INDEX(INDIRECT(_xlfn.CONCAT("weather.tbl[",N$1,"]")),MATCH(vp.data[[#This Row],[SDate]],weather.tbl[Date],0))</f>
        <v>6.1833333333333336</v>
      </c>
      <c r="O347" s="2">
        <f ca="1">INDEX(INDIRECT(_xlfn.CONCAT("weather.tbl[",O$1,"]")),MATCH(vp.data[[#This Row],[SDate]],weather.tbl[Date],0))</f>
        <v>5.333333333333333</v>
      </c>
      <c r="P347" s="2">
        <f ca="1">INDEX(INDIRECT(_xlfn.CONCAT("weather.tbl[",P$1,"]")),MATCH(vp.data[[#This Row],[SDate]],weather.tbl[Date],0))</f>
        <v>7.4</v>
      </c>
      <c r="Q347" s="2">
        <f ca="1">INDEX(INDIRECT(_xlfn.CONCAT("weather.tbl[",Q$1,"]")),MATCH(vp.data[[#This Row],[SDate]],weather.tbl[Date],0))</f>
        <v>7.2</v>
      </c>
      <c r="R347" s="2">
        <f ca="1">INDEX(INDIRECT(_xlfn.CONCAT("weather.tbl[",R$1,"]")),MATCH(vp.data[[#This Row],[SDate]],weather.tbl[Date],0))</f>
        <v>3.8</v>
      </c>
      <c r="S347" s="2">
        <f ca="1">INDEX(INDIRECT(_xlfn.CONCAT("weather.tbl[",S$1,"]")),MATCH(vp.data[[#This Row],[SDate]],weather.tbl[Date],0))</f>
        <v>7.8</v>
      </c>
      <c r="T347" s="2">
        <f ca="1">INDEX(INDIRECT(_xlfn.CONCAT("weather.tbl[",T$1,"]")),MATCH(vp.data[[#This Row],[SDate]],weather.tbl[Date],0))</f>
        <v>4.9000000000000004</v>
      </c>
      <c r="U347" s="2">
        <f ca="1">INDEX(INDIRECT(_xlfn.CONCAT("weather.tbl[",U$1,"]")),MATCH(vp.data[[#This Row],[SDate]],weather.tbl[Date],0))</f>
        <v>6</v>
      </c>
      <c r="V347" s="2">
        <f t="array" ref="V3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7104.24</v>
      </c>
      <c r="W347" t="s">
        <v>48</v>
      </c>
      <c r="X347">
        <f>IF(OR(vp.data[[#This Row],[Sulf]]="",vp.data[[#This Row],[Dens]]=""),1,0)</f>
        <v>0</v>
      </c>
      <c r="Y347">
        <f>IF(vp.data[[#This Row],[CrudeType]]="C5+",1,0)</f>
        <v>0</v>
      </c>
      <c r="Z347">
        <f>IF(AND(vp.data[[#This Row],[CrudeType]]="Crude",vp.data[[#This Row],[Dens]]&lt;=825,vp.data[[#This Row],[Sulf]]&gt;0.5,vp.data[[#This Row],[Unknown]]=0),1,0)</f>
        <v>0</v>
      </c>
      <c r="AA347">
        <f>IF(AND(vp.data[[#This Row],[CrudeType]]="Crude",vp.data[[#This Row],[Dens]]&lt;=825,vp.data[[#This Row],[Sulf]]&lt;=0.5,vp.data[[#This Row],[Unknown]]=0),1,0)</f>
        <v>1</v>
      </c>
      <c r="AB3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7">
        <f>IF(AND(vp.data[[#This Row],[CrudeType]]="Crude",vp.data[[#This Row],[Dens]]&gt;825,vp.data[[#This Row],[Dens]]&lt;=900,vp.data[[#This Row],[Sulf]]&lt;=0.5,vp.data[[#This Row],[Unknown]]=0),1,0)</f>
        <v>0</v>
      </c>
      <c r="AD347">
        <f>IF(AND(vp.data[[#This Row],[CrudeType]]="Crude",vp.data[[#This Row],[Dens]]&gt;865,vp.data[[#This Row],[Dens]]&lt;=900,vp.data[[#This Row],[Sulf]]&gt;2,vp.data[[#This Row],[Unknown]]=0),1,0)</f>
        <v>0</v>
      </c>
      <c r="AE347">
        <f>IF(AND(vp.data[[#This Row],[CrudeType]]="Crude",vp.data[[#This Row],[Dens]]&gt;900,vp.data[[#This Row],[Sulf]]&lt;=0.5,vp.data[[#This Row],[Unknown]]=0),1,0)</f>
        <v>0</v>
      </c>
      <c r="AF347">
        <f>IF(AND(vp.data[[#This Row],[CrudeType]]="Crude",vp.data[[#This Row],[Dens]]&gt;900,vp.data[[#This Row],[Sulf]]&lt;=0.5,vp.data[[#This Row],[Unknown]]=0),1,0)</f>
        <v>0</v>
      </c>
      <c r="AG347" t="str">
        <f>INDEX(vp.data[[#Headers],[Unknown]:[Heavy_SW]],MATCH(1,vp.data[[#This Row],[Unknown]:[Heavy_SW]],0))</f>
        <v>Light_SW</v>
      </c>
      <c r="AH347">
        <f>INDEX([3]!crudeBD.lkup[Number],MATCH(vp.data[[#This Row],[Crude_Breakdown]],crudeBD.lkup[Crude Breakdown],0))</f>
        <v>2</v>
      </c>
      <c r="AI347">
        <f>MONTH(vp.data[[#This Row],[SDate]])</f>
        <v>10</v>
      </c>
      <c r="AJ347" s="5">
        <f>(vp.data[[#This Row],[VP]]-INDEX(crudeBD.lkup[Mean_VP],MATCH(vp.data[[#This Row],[Crude_Breakdown]],crudeBD.lkup[Crude Breakdown],0)))^2</f>
        <v>26.5257300634944</v>
      </c>
      <c r="AK347" s="5">
        <f>(vp.data[[#This Row],[Dens]]-INDEX(crudeBD.lkup[Mean_Dens],MATCH(vp.data[[#This Row],[Crude_Breakdown]],crudeBD.lkup[Crude Breakdown],0)))^2</f>
        <v>16.715846495649235</v>
      </c>
      <c r="AL347" s="5">
        <f>(vp.data[[#This Row],[Sulf]]-INDEX(crudeBD.lkup[Mean_Sulf],MATCH(vp.data[[#This Row],[Crude_Breakdown]],crudeBD.lkup[Crude Breakdown],0)))^2</f>
        <v>5.8128138736660397E-3</v>
      </c>
      <c r="AM347" s="4">
        <f>IF(AND(vp.data[[#This Row],[SDate]]&gt;=DATE(YEAR(vp.data[[#This Row],[SDate]]),5,1),vp.data[[#This Row],[SDate]]&lt;=DATE(YEAR(vp.data[[#This Row],[SDate]]),9,15)),1,0)</f>
        <v>0</v>
      </c>
      <c r="AN347" s="4">
        <f>IF(vp.data[[#This Row],[SDate]]&lt;DATE(2016,12,1),0,1)</f>
        <v>0</v>
      </c>
      <c r="AO347" s="4">
        <f>IFERROR(vp.data[[#This Row],[Sulf]]*vp.data[[#This Row],[Net Dens]],"")</f>
        <v>923437.53215999994</v>
      </c>
      <c r="AP347">
        <f>IFERROR(vp.data[[#This Row],[Dens]]*vp.data[[#This Row],[VolumeM3]],"")</f>
        <v>5771484.5759999994</v>
      </c>
      <c r="AQ347" s="15">
        <f>IFERROR(vp.data[[#This Row],[VP]]*vp.data[[#This Row],[VolumeM3]],"")</f>
        <v>620910.576</v>
      </c>
    </row>
    <row r="348" spans="1:43" x14ac:dyDescent="0.25">
      <c r="A348">
        <v>347</v>
      </c>
      <c r="B348" t="s">
        <v>49</v>
      </c>
      <c r="C348" t="s">
        <v>49</v>
      </c>
      <c r="D348" t="s">
        <v>75</v>
      </c>
      <c r="F348" s="1">
        <v>42675</v>
      </c>
      <c r="G348" s="2">
        <v>98.9</v>
      </c>
      <c r="H348" s="2"/>
      <c r="I348" s="2">
        <f t="array" ref="I348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48" s="2"/>
      <c r="K348" s="2"/>
      <c r="L348" s="2">
        <v>803.1</v>
      </c>
      <c r="M348" s="2">
        <f t="array" ref="M348">_xlfn.IFNA(IF(vp.data[[#This Row],[Dens Input]]="",INDEX([1]DATA!$O$3:$O$9826,MATCH(1,(vp.data[[#This Row],[Battery]]=[1]DATA!$L$3:$L$9826)*(EOMONTH(vp.data[[#This Row],[SDate]],-1)+1=[1]DATA!$G$3:$G$9826),0)),vp.data[[#This Row],[Dens Input]]),"")</f>
        <v>803.1</v>
      </c>
      <c r="N348" s="2">
        <f ca="1">INDEX(INDIRECT(_xlfn.CONCAT("weather.tbl[",N$1,"]")),MATCH(vp.data[[#This Row],[SDate]],weather.tbl[Date],0))</f>
        <v>6.2666666666666666</v>
      </c>
      <c r="O348" s="2">
        <f ca="1">INDEX(INDIRECT(_xlfn.CONCAT("weather.tbl[",O$1,"]")),MATCH(vp.data[[#This Row],[SDate]],weather.tbl[Date],0))</f>
        <v>5.0904761904761902</v>
      </c>
      <c r="P348" s="2">
        <f ca="1">INDEX(INDIRECT(_xlfn.CONCAT("weather.tbl[",P$1,"]")),MATCH(vp.data[[#This Row],[SDate]],weather.tbl[Date],0))</f>
        <v>6.6</v>
      </c>
      <c r="Q348" s="2">
        <f ca="1">INDEX(INDIRECT(_xlfn.CONCAT("weather.tbl[",Q$1,"]")),MATCH(vp.data[[#This Row],[SDate]],weather.tbl[Date],0))</f>
        <v>6.7</v>
      </c>
      <c r="R348" s="2">
        <f ca="1">INDEX(INDIRECT(_xlfn.CONCAT("weather.tbl[",R$1,"]")),MATCH(vp.data[[#This Row],[SDate]],weather.tbl[Date],0))</f>
        <v>3.8</v>
      </c>
      <c r="S348" s="2">
        <f ca="1">INDEX(INDIRECT(_xlfn.CONCAT("weather.tbl[",S$1,"]")),MATCH(vp.data[[#This Row],[SDate]],weather.tbl[Date],0))</f>
        <v>7</v>
      </c>
      <c r="T348" s="2">
        <f ca="1">INDEX(INDIRECT(_xlfn.CONCAT("weather.tbl[",T$1,"]")),MATCH(vp.data[[#This Row],[SDate]],weather.tbl[Date],0))</f>
        <v>7</v>
      </c>
      <c r="U348" s="2">
        <f ca="1">INDEX(INDIRECT(_xlfn.CONCAT("weather.tbl[",U$1,"]")),MATCH(vp.data[[#This Row],[SDate]],weather.tbl[Date],0))</f>
        <v>6.5</v>
      </c>
      <c r="V348" s="2">
        <f t="array" ref="V3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21292.120999999999</v>
      </c>
      <c r="W348" t="s">
        <v>48</v>
      </c>
      <c r="X348">
        <f>IF(OR(vp.data[[#This Row],[Sulf]]="",vp.data[[#This Row],[Dens]]=""),1,0)</f>
        <v>0</v>
      </c>
      <c r="Y348">
        <f>IF(vp.data[[#This Row],[CrudeType]]="C5+",1,0)</f>
        <v>0</v>
      </c>
      <c r="Z348">
        <f>IF(AND(vp.data[[#This Row],[CrudeType]]="Crude",vp.data[[#This Row],[Dens]]&lt;=825,vp.data[[#This Row],[Sulf]]&gt;0.5,vp.data[[#This Row],[Unknown]]=0),1,0)</f>
        <v>0</v>
      </c>
      <c r="AA348">
        <f>IF(AND(vp.data[[#This Row],[CrudeType]]="Crude",vp.data[[#This Row],[Dens]]&lt;=825,vp.data[[#This Row],[Sulf]]&lt;=0.5,vp.data[[#This Row],[Unknown]]=0),1,0)</f>
        <v>1</v>
      </c>
      <c r="AB3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8">
        <f>IF(AND(vp.data[[#This Row],[CrudeType]]="Crude",vp.data[[#This Row],[Dens]]&gt;825,vp.data[[#This Row],[Dens]]&lt;=900,vp.data[[#This Row],[Sulf]]&lt;=0.5,vp.data[[#This Row],[Unknown]]=0),1,0)</f>
        <v>0</v>
      </c>
      <c r="AD348">
        <f>IF(AND(vp.data[[#This Row],[CrudeType]]="Crude",vp.data[[#This Row],[Dens]]&gt;865,vp.data[[#This Row],[Dens]]&lt;=900,vp.data[[#This Row],[Sulf]]&gt;2,vp.data[[#This Row],[Unknown]]=0),1,0)</f>
        <v>0</v>
      </c>
      <c r="AE348">
        <f>IF(AND(vp.data[[#This Row],[CrudeType]]="Crude",vp.data[[#This Row],[Dens]]&gt;900,vp.data[[#This Row],[Sulf]]&lt;=0.5,vp.data[[#This Row],[Unknown]]=0),1,0)</f>
        <v>0</v>
      </c>
      <c r="AF348">
        <f>IF(AND(vp.data[[#This Row],[CrudeType]]="Crude",vp.data[[#This Row],[Dens]]&gt;900,vp.data[[#This Row],[Sulf]]&lt;=0.5,vp.data[[#This Row],[Unknown]]=0),1,0)</f>
        <v>0</v>
      </c>
      <c r="AG348" t="str">
        <f>INDEX(vp.data[[#Headers],[Unknown]:[Heavy_SW]],MATCH(1,vp.data[[#This Row],[Unknown]:[Heavy_SW]],0))</f>
        <v>Light_SW</v>
      </c>
      <c r="AH348">
        <f>INDEX([3]!crudeBD.lkup[Number],MATCH(vp.data[[#This Row],[Crude_Breakdown]],crudeBD.lkup[Crude Breakdown],0))</f>
        <v>2</v>
      </c>
      <c r="AI348">
        <f>MONTH(vp.data[[#This Row],[SDate]])</f>
        <v>11</v>
      </c>
      <c r="AJ348" s="5">
        <f>(vp.data[[#This Row],[VP]]-INDEX(crudeBD.lkup[Mean_VP],MATCH(vp.data[[#This Row],[Crude_Breakdown]],crudeBD.lkup[Crude Breakdown],0)))^2</f>
        <v>40.318517519941203</v>
      </c>
      <c r="AK348" s="5">
        <f>(vp.data[[#This Row],[Dens]]-INDEX(crudeBD.lkup[Mean_Dens],MATCH(vp.data[[#This Row],[Crude_Breakdown]],crudeBD.lkup[Crude Breakdown],0)))^2</f>
        <v>27.159714091463936</v>
      </c>
      <c r="AL348" s="5">
        <f>(vp.data[[#This Row],[Sulf]]-INDEX(crudeBD.lkup[Mean_Sulf],MATCH(vp.data[[#This Row],[Crude_Breakdown]],crudeBD.lkup[Crude Breakdown],0)))^2</f>
        <v>1.1287322584467423E-2</v>
      </c>
      <c r="AM348" s="4">
        <f>IF(AND(vp.data[[#This Row],[SDate]]&gt;=DATE(YEAR(vp.data[[#This Row],[SDate]]),5,1),vp.data[[#This Row],[SDate]]&lt;=DATE(YEAR(vp.data[[#This Row],[SDate]]),9,15)),1,0)</f>
        <v>0</v>
      </c>
      <c r="AN348" s="4">
        <f>IF(vp.data[[#This Row],[SDate]]&lt;DATE(2016,12,1),0,1)</f>
        <v>0</v>
      </c>
      <c r="AO348" s="4">
        <f>IFERROR(vp.data[[#This Row],[Sulf]]*vp.data[[#This Row],[Net Dens]],"")</f>
        <v>2222961.3087630002</v>
      </c>
      <c r="AP348">
        <f>IFERROR(vp.data[[#This Row],[Dens]]*vp.data[[#This Row],[VolumeM3]],"")</f>
        <v>17099702.375100002</v>
      </c>
      <c r="AQ348" s="15">
        <f>IFERROR(vp.data[[#This Row],[VP]]*vp.data[[#This Row],[VolumeM3]],"")</f>
        <v>2105790.7669000002</v>
      </c>
    </row>
    <row r="349" spans="1:43" x14ac:dyDescent="0.25">
      <c r="A349">
        <v>348</v>
      </c>
      <c r="B349" t="s">
        <v>62</v>
      </c>
      <c r="C349" t="s">
        <v>62</v>
      </c>
      <c r="D349" t="s">
        <v>83</v>
      </c>
      <c r="F349" s="1">
        <v>42675</v>
      </c>
      <c r="G349" s="2">
        <v>113.3</v>
      </c>
      <c r="H349" s="2"/>
      <c r="I349" s="2">
        <f t="array" ref="I349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349" s="2"/>
      <c r="K349" s="2"/>
      <c r="L349" s="2">
        <v>811.6</v>
      </c>
      <c r="M349" s="2">
        <f t="array" ref="M349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349" s="2">
        <f ca="1">INDEX(INDIRECT(_xlfn.CONCAT("weather.tbl[",N$1,"]")),MATCH(vp.data[[#This Row],[SDate]],weather.tbl[Date],0))</f>
        <v>6.2666666666666666</v>
      </c>
      <c r="O349" s="2">
        <f ca="1">INDEX(INDIRECT(_xlfn.CONCAT("weather.tbl[",O$1,"]")),MATCH(vp.data[[#This Row],[SDate]],weather.tbl[Date],0))</f>
        <v>5.0904761904761902</v>
      </c>
      <c r="P349" s="2">
        <f ca="1">INDEX(INDIRECT(_xlfn.CONCAT("weather.tbl[",P$1,"]")),MATCH(vp.data[[#This Row],[SDate]],weather.tbl[Date],0))</f>
        <v>6.6</v>
      </c>
      <c r="Q349" s="2">
        <f ca="1">INDEX(INDIRECT(_xlfn.CONCAT("weather.tbl[",Q$1,"]")),MATCH(vp.data[[#This Row],[SDate]],weather.tbl[Date],0))</f>
        <v>6.7</v>
      </c>
      <c r="R349" s="2">
        <f ca="1">INDEX(INDIRECT(_xlfn.CONCAT("weather.tbl[",R$1,"]")),MATCH(vp.data[[#This Row],[SDate]],weather.tbl[Date],0))</f>
        <v>3.8</v>
      </c>
      <c r="S349" s="2">
        <f ca="1">INDEX(INDIRECT(_xlfn.CONCAT("weather.tbl[",S$1,"]")),MATCH(vp.data[[#This Row],[SDate]],weather.tbl[Date],0))</f>
        <v>7</v>
      </c>
      <c r="T349" s="2">
        <f ca="1">INDEX(INDIRECT(_xlfn.CONCAT("weather.tbl[",T$1,"]")),MATCH(vp.data[[#This Row],[SDate]],weather.tbl[Date],0))</f>
        <v>7</v>
      </c>
      <c r="U349" s="2">
        <f ca="1">INDEX(INDIRECT(_xlfn.CONCAT("weather.tbl[",U$1,"]")),MATCH(vp.data[[#This Row],[SDate]],weather.tbl[Date],0))</f>
        <v>6.5</v>
      </c>
      <c r="V349" s="2">
        <f t="array" ref="V3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9944.7690000000002</v>
      </c>
      <c r="W349" t="s">
        <v>48</v>
      </c>
      <c r="X349">
        <f>IF(OR(vp.data[[#This Row],[Sulf]]="",vp.data[[#This Row],[Dens]]=""),1,0)</f>
        <v>0</v>
      </c>
      <c r="Y349">
        <f>IF(vp.data[[#This Row],[CrudeType]]="C5+",1,0)</f>
        <v>0</v>
      </c>
      <c r="Z349">
        <f>IF(AND(vp.data[[#This Row],[CrudeType]]="Crude",vp.data[[#This Row],[Dens]]&lt;=825,vp.data[[#This Row],[Sulf]]&gt;0.5,vp.data[[#This Row],[Unknown]]=0),1,0)</f>
        <v>0</v>
      </c>
      <c r="AA349">
        <f>IF(AND(vp.data[[#This Row],[CrudeType]]="Crude",vp.data[[#This Row],[Dens]]&lt;=825,vp.data[[#This Row],[Sulf]]&lt;=0.5,vp.data[[#This Row],[Unknown]]=0),1,0)</f>
        <v>1</v>
      </c>
      <c r="AB3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49">
        <f>IF(AND(vp.data[[#This Row],[CrudeType]]="Crude",vp.data[[#This Row],[Dens]]&gt;825,vp.data[[#This Row],[Dens]]&lt;=900,vp.data[[#This Row],[Sulf]]&lt;=0.5,vp.data[[#This Row],[Unknown]]=0),1,0)</f>
        <v>0</v>
      </c>
      <c r="AD349">
        <f>IF(AND(vp.data[[#This Row],[CrudeType]]="Crude",vp.data[[#This Row],[Dens]]&gt;865,vp.data[[#This Row],[Dens]]&lt;=900,vp.data[[#This Row],[Sulf]]&gt;2,vp.data[[#This Row],[Unknown]]=0),1,0)</f>
        <v>0</v>
      </c>
      <c r="AE349">
        <f>IF(AND(vp.data[[#This Row],[CrudeType]]="Crude",vp.data[[#This Row],[Dens]]&gt;900,vp.data[[#This Row],[Sulf]]&lt;=0.5,vp.data[[#This Row],[Unknown]]=0),1,0)</f>
        <v>0</v>
      </c>
      <c r="AF349">
        <f>IF(AND(vp.data[[#This Row],[CrudeType]]="Crude",vp.data[[#This Row],[Dens]]&gt;900,vp.data[[#This Row],[Sulf]]&lt;=0.5,vp.data[[#This Row],[Unknown]]=0),1,0)</f>
        <v>0</v>
      </c>
      <c r="AG349" t="str">
        <f>INDEX(vp.data[[#Headers],[Unknown]:[Heavy_SW]],MATCH(1,vp.data[[#This Row],[Unknown]:[Heavy_SW]],0))</f>
        <v>Light_SW</v>
      </c>
      <c r="AH349">
        <f>INDEX([3]!crudeBD.lkup[Number],MATCH(vp.data[[#This Row],[Crude_Breakdown]],crudeBD.lkup[Crude Breakdown],0))</f>
        <v>2</v>
      </c>
      <c r="AI349">
        <f>MONTH(vp.data[[#This Row],[SDate]])</f>
        <v>11</v>
      </c>
      <c r="AJ349" s="5">
        <f>(vp.data[[#This Row],[VP]]-INDEX(crudeBD.lkup[Mean_VP],MATCH(vp.data[[#This Row],[Crude_Breakdown]],crudeBD.lkup[Crude Breakdown],0)))^2</f>
        <v>430.54948616105685</v>
      </c>
      <c r="AK349" s="5">
        <f>(vp.data[[#This Row],[Dens]]-INDEX(crudeBD.lkup[Mean_Dens],MATCH(vp.data[[#This Row],[Crude_Breakdown]],crudeBD.lkup[Crude Breakdown],0)))^2</f>
        <v>10.814243708192773</v>
      </c>
      <c r="AL349" s="5">
        <f>(vp.data[[#This Row],[Sulf]]-INDEX(crudeBD.lkup[Mean_Sulf],MATCH(vp.data[[#This Row],[Crude_Breakdown]],crudeBD.lkup[Crude Breakdown],0)))^2</f>
        <v>4.3879776367322437E-3</v>
      </c>
      <c r="AM349" s="4">
        <f>IF(AND(vp.data[[#This Row],[SDate]]&gt;=DATE(YEAR(vp.data[[#This Row],[SDate]]),5,1),vp.data[[#This Row],[SDate]]&lt;=DATE(YEAR(vp.data[[#This Row],[SDate]]),9,15)),1,0)</f>
        <v>0</v>
      </c>
      <c r="AN349" s="4">
        <f>IF(vp.data[[#This Row],[SDate]]&lt;DATE(2016,12,1),0,1)</f>
        <v>0</v>
      </c>
      <c r="AO349" s="4">
        <f>IFERROR(vp.data[[#This Row],[Sulf]]*vp.data[[#This Row],[Net Dens]],"")</f>
        <v>1372099.6684680001</v>
      </c>
      <c r="AP349">
        <f>IFERROR(vp.data[[#This Row],[Dens]]*vp.data[[#This Row],[VolumeM3]],"")</f>
        <v>8071174.5204000007</v>
      </c>
      <c r="AQ349" s="15">
        <f>IFERROR(vp.data[[#This Row],[VP]]*vp.data[[#This Row],[VolumeM3]],"")</f>
        <v>1126742.3277</v>
      </c>
    </row>
    <row r="350" spans="1:43" x14ac:dyDescent="0.25">
      <c r="A350">
        <v>349</v>
      </c>
      <c r="B350" t="s">
        <v>49</v>
      </c>
      <c r="C350" t="s">
        <v>49</v>
      </c>
      <c r="D350" t="s">
        <v>75</v>
      </c>
      <c r="F350" s="1">
        <v>42677</v>
      </c>
      <c r="G350" s="2">
        <v>105.1</v>
      </c>
      <c r="H350" s="2"/>
      <c r="I350" s="2">
        <f t="array" ref="I350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50" s="2"/>
      <c r="K350" s="2"/>
      <c r="L350" s="2">
        <v>800.4</v>
      </c>
      <c r="M350" s="2">
        <f t="array" ref="M350">_xlfn.IFNA(IF(vp.data[[#This Row],[Dens Input]]="",INDEX([1]DATA!$O$3:$O$9826,MATCH(1,(vp.data[[#This Row],[Battery]]=[1]DATA!$L$3:$L$9826)*(EOMONTH(vp.data[[#This Row],[SDate]],-1)+1=[1]DATA!$G$3:$G$9826),0)),vp.data[[#This Row],[Dens Input]]),"")</f>
        <v>800.4</v>
      </c>
      <c r="N350" s="2">
        <f ca="1">INDEX(INDIRECT(_xlfn.CONCAT("weather.tbl[",N$1,"]")),MATCH(vp.data[[#This Row],[SDate]],weather.tbl[Date],0))</f>
        <v>6.4666666666666659</v>
      </c>
      <c r="O350" s="2">
        <f ca="1">INDEX(INDIRECT(_xlfn.CONCAT("weather.tbl[",O$1,"]")),MATCH(vp.data[[#This Row],[SDate]],weather.tbl[Date],0))</f>
        <v>5.0904761904761902</v>
      </c>
      <c r="P350" s="2">
        <f ca="1">INDEX(INDIRECT(_xlfn.CONCAT("weather.tbl[",P$1,"]")),MATCH(vp.data[[#This Row],[SDate]],weather.tbl[Date],0))</f>
        <v>7.9</v>
      </c>
      <c r="Q350" s="2">
        <f ca="1">INDEX(INDIRECT(_xlfn.CONCAT("weather.tbl[",Q$1,"]")),MATCH(vp.data[[#This Row],[SDate]],weather.tbl[Date],0))</f>
        <v>7.7</v>
      </c>
      <c r="R350" s="2">
        <f ca="1">INDEX(INDIRECT(_xlfn.CONCAT("weather.tbl[",R$1,"]")),MATCH(vp.data[[#This Row],[SDate]],weather.tbl[Date],0))</f>
        <v>3.8</v>
      </c>
      <c r="S350" s="2">
        <f ca="1">INDEX(INDIRECT(_xlfn.CONCAT("weather.tbl[",S$1,"]")),MATCH(vp.data[[#This Row],[SDate]],weather.tbl[Date],0))</f>
        <v>8.3000000000000007</v>
      </c>
      <c r="T350" s="2">
        <f ca="1">INDEX(INDIRECT(_xlfn.CONCAT("weather.tbl[",T$1,"]")),MATCH(vp.data[[#This Row],[SDate]],weather.tbl[Date],0))</f>
        <v>5.8</v>
      </c>
      <c r="U350" s="2">
        <f ca="1">INDEX(INDIRECT(_xlfn.CONCAT("weather.tbl[",U$1,"]")),MATCH(vp.data[[#This Row],[SDate]],weather.tbl[Date],0))</f>
        <v>5.3</v>
      </c>
      <c r="V350" s="2">
        <f t="array" ref="V3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21292.120999999999</v>
      </c>
      <c r="W350" t="s">
        <v>48</v>
      </c>
      <c r="X350">
        <f>IF(OR(vp.data[[#This Row],[Sulf]]="",vp.data[[#This Row],[Dens]]=""),1,0)</f>
        <v>0</v>
      </c>
      <c r="Y350">
        <f>IF(vp.data[[#This Row],[CrudeType]]="C5+",1,0)</f>
        <v>0</v>
      </c>
      <c r="Z350">
        <f>IF(AND(vp.data[[#This Row],[CrudeType]]="Crude",vp.data[[#This Row],[Dens]]&lt;=825,vp.data[[#This Row],[Sulf]]&gt;0.5,vp.data[[#This Row],[Unknown]]=0),1,0)</f>
        <v>0</v>
      </c>
      <c r="AA350">
        <f>IF(AND(vp.data[[#This Row],[CrudeType]]="Crude",vp.data[[#This Row],[Dens]]&lt;=825,vp.data[[#This Row],[Sulf]]&lt;=0.5,vp.data[[#This Row],[Unknown]]=0),1,0)</f>
        <v>1</v>
      </c>
      <c r="AB3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50">
        <f>IF(AND(vp.data[[#This Row],[CrudeType]]="Crude",vp.data[[#This Row],[Dens]]&gt;825,vp.data[[#This Row],[Dens]]&lt;=900,vp.data[[#This Row],[Sulf]]&lt;=0.5,vp.data[[#This Row],[Unknown]]=0),1,0)</f>
        <v>0</v>
      </c>
      <c r="AD350">
        <f>IF(AND(vp.data[[#This Row],[CrudeType]]="Crude",vp.data[[#This Row],[Dens]]&gt;865,vp.data[[#This Row],[Dens]]&lt;=900,vp.data[[#This Row],[Sulf]]&gt;2,vp.data[[#This Row],[Unknown]]=0),1,0)</f>
        <v>0</v>
      </c>
      <c r="AE350">
        <f>IF(AND(vp.data[[#This Row],[CrudeType]]="Crude",vp.data[[#This Row],[Dens]]&gt;900,vp.data[[#This Row],[Sulf]]&lt;=0.5,vp.data[[#This Row],[Unknown]]=0),1,0)</f>
        <v>0</v>
      </c>
      <c r="AF350">
        <f>IF(AND(vp.data[[#This Row],[CrudeType]]="Crude",vp.data[[#This Row],[Dens]]&gt;900,vp.data[[#This Row],[Sulf]]&lt;=0.5,vp.data[[#This Row],[Unknown]]=0),1,0)</f>
        <v>0</v>
      </c>
      <c r="AG350" t="str">
        <f>INDEX(vp.data[[#Headers],[Unknown]:[Heavy_SW]],MATCH(1,vp.data[[#This Row],[Unknown]:[Heavy_SW]],0))</f>
        <v>Light_SW</v>
      </c>
      <c r="AH350">
        <f>INDEX([3]!crudeBD.lkup[Number],MATCH(vp.data[[#This Row],[Crude_Breakdown]],crudeBD.lkup[Crude Breakdown],0))</f>
        <v>2</v>
      </c>
      <c r="AI350">
        <f>MONTH(vp.data[[#This Row],[SDate]])</f>
        <v>11</v>
      </c>
      <c r="AJ350" s="5">
        <f>(vp.data[[#This Row],[VP]]-INDEX(crudeBD.lkup[Mean_VP],MATCH(vp.data[[#This Row],[Crude_Breakdown]],crudeBD.lkup[Crude Breakdown],0)))^2</f>
        <v>157.49462901819919</v>
      </c>
      <c r="AK350" s="5">
        <f>(vp.data[[#This Row],[Dens]]-INDEX(crudeBD.lkup[Mean_Dens],MATCH(vp.data[[#This Row],[Crude_Breakdown]],crudeBD.lkup[Crude Breakdown],0)))^2</f>
        <v>62.591804683797847</v>
      </c>
      <c r="AL350" s="5">
        <f>(vp.data[[#This Row],[Sulf]]-INDEX(crudeBD.lkup[Mean_Sulf],MATCH(vp.data[[#This Row],[Crude_Breakdown]],crudeBD.lkup[Crude Breakdown],0)))^2</f>
        <v>1.1287322584467423E-2</v>
      </c>
      <c r="AM350" s="4">
        <f>IF(AND(vp.data[[#This Row],[SDate]]&gt;=DATE(YEAR(vp.data[[#This Row],[SDate]]),5,1),vp.data[[#This Row],[SDate]]&lt;=DATE(YEAR(vp.data[[#This Row],[SDate]]),9,15)),1,0)</f>
        <v>0</v>
      </c>
      <c r="AN350" s="4">
        <f>IF(vp.data[[#This Row],[SDate]]&lt;DATE(2016,12,1),0,1)</f>
        <v>0</v>
      </c>
      <c r="AO350" s="4">
        <f>IFERROR(vp.data[[#This Row],[Sulf]]*vp.data[[#This Row],[Net Dens]],"")</f>
        <v>2215487.7742919996</v>
      </c>
      <c r="AP350">
        <f>IFERROR(vp.data[[#This Row],[Dens]]*vp.data[[#This Row],[VolumeM3]],"")</f>
        <v>17042213.648399998</v>
      </c>
      <c r="AQ350" s="15">
        <f>IFERROR(vp.data[[#This Row],[VP]]*vp.data[[#This Row],[VolumeM3]],"")</f>
        <v>2237801.9170999997</v>
      </c>
    </row>
    <row r="351" spans="1:43" x14ac:dyDescent="0.25">
      <c r="A351">
        <v>350</v>
      </c>
      <c r="B351" t="s">
        <v>49</v>
      </c>
      <c r="C351" t="s">
        <v>49</v>
      </c>
      <c r="D351" t="s">
        <v>67</v>
      </c>
      <c r="F351" s="1">
        <v>42677</v>
      </c>
      <c r="G351" s="2">
        <v>90.8</v>
      </c>
      <c r="H351" s="2"/>
      <c r="I351" s="2">
        <f t="array" ref="I351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51" s="2"/>
      <c r="K351" s="2"/>
      <c r="L351" s="2">
        <v>805.9</v>
      </c>
      <c r="M351" s="2">
        <f t="array" ref="M351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351" s="2">
        <f ca="1">INDEX(INDIRECT(_xlfn.CONCAT("weather.tbl[",N$1,"]")),MATCH(vp.data[[#This Row],[SDate]],weather.tbl[Date],0))</f>
        <v>6.4666666666666659</v>
      </c>
      <c r="O351" s="2">
        <f ca="1">INDEX(INDIRECT(_xlfn.CONCAT("weather.tbl[",O$1,"]")),MATCH(vp.data[[#This Row],[SDate]],weather.tbl[Date],0))</f>
        <v>5.0904761904761902</v>
      </c>
      <c r="P351" s="2">
        <f ca="1">INDEX(INDIRECT(_xlfn.CONCAT("weather.tbl[",P$1,"]")),MATCH(vp.data[[#This Row],[SDate]],weather.tbl[Date],0))</f>
        <v>7.9</v>
      </c>
      <c r="Q351" s="2">
        <f ca="1">INDEX(INDIRECT(_xlfn.CONCAT("weather.tbl[",Q$1,"]")),MATCH(vp.data[[#This Row],[SDate]],weather.tbl[Date],0))</f>
        <v>7.7</v>
      </c>
      <c r="R351" s="2">
        <f ca="1">INDEX(INDIRECT(_xlfn.CONCAT("weather.tbl[",R$1,"]")),MATCH(vp.data[[#This Row],[SDate]],weather.tbl[Date],0))</f>
        <v>3.8</v>
      </c>
      <c r="S351" s="2">
        <f ca="1">INDEX(INDIRECT(_xlfn.CONCAT("weather.tbl[",S$1,"]")),MATCH(vp.data[[#This Row],[SDate]],weather.tbl[Date],0))</f>
        <v>8.3000000000000007</v>
      </c>
      <c r="T351" s="2">
        <f ca="1">INDEX(INDIRECT(_xlfn.CONCAT("weather.tbl[",T$1,"]")),MATCH(vp.data[[#This Row],[SDate]],weather.tbl[Date],0))</f>
        <v>5.8</v>
      </c>
      <c r="U351" s="2">
        <f ca="1">INDEX(INDIRECT(_xlfn.CONCAT("weather.tbl[",U$1,"]")),MATCH(vp.data[[#This Row],[SDate]],weather.tbl[Date],0))</f>
        <v>5.3</v>
      </c>
      <c r="V351" s="2">
        <f t="array" ref="V3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52233.78</v>
      </c>
      <c r="W351" t="s">
        <v>48</v>
      </c>
      <c r="X351">
        <f>IF(OR(vp.data[[#This Row],[Sulf]]="",vp.data[[#This Row],[Dens]]=""),1,0)</f>
        <v>0</v>
      </c>
      <c r="Y351">
        <f>IF(vp.data[[#This Row],[CrudeType]]="C5+",1,0)</f>
        <v>0</v>
      </c>
      <c r="Z351">
        <f>IF(AND(vp.data[[#This Row],[CrudeType]]="Crude",vp.data[[#This Row],[Dens]]&lt;=825,vp.data[[#This Row],[Sulf]]&gt;0.5,vp.data[[#This Row],[Unknown]]=0),1,0)</f>
        <v>0</v>
      </c>
      <c r="AA351">
        <f>IF(AND(vp.data[[#This Row],[CrudeType]]="Crude",vp.data[[#This Row],[Dens]]&lt;=825,vp.data[[#This Row],[Sulf]]&lt;=0.5,vp.data[[#This Row],[Unknown]]=0),1,0)</f>
        <v>1</v>
      </c>
      <c r="AB3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51">
        <f>IF(AND(vp.data[[#This Row],[CrudeType]]="Crude",vp.data[[#This Row],[Dens]]&gt;825,vp.data[[#This Row],[Dens]]&lt;=900,vp.data[[#This Row],[Sulf]]&lt;=0.5,vp.data[[#This Row],[Unknown]]=0),1,0)</f>
        <v>0</v>
      </c>
      <c r="AD351">
        <f>IF(AND(vp.data[[#This Row],[CrudeType]]="Crude",vp.data[[#This Row],[Dens]]&gt;865,vp.data[[#This Row],[Dens]]&lt;=900,vp.data[[#This Row],[Sulf]]&gt;2,vp.data[[#This Row],[Unknown]]=0),1,0)</f>
        <v>0</v>
      </c>
      <c r="AE351">
        <f>IF(AND(vp.data[[#This Row],[CrudeType]]="Crude",vp.data[[#This Row],[Dens]]&gt;900,vp.data[[#This Row],[Sulf]]&lt;=0.5,vp.data[[#This Row],[Unknown]]=0),1,0)</f>
        <v>0</v>
      </c>
      <c r="AF351">
        <f>IF(AND(vp.data[[#This Row],[CrudeType]]="Crude",vp.data[[#This Row],[Dens]]&gt;900,vp.data[[#This Row],[Sulf]]&lt;=0.5,vp.data[[#This Row],[Unknown]]=0),1,0)</f>
        <v>0</v>
      </c>
      <c r="AG351" t="str">
        <f>INDEX(vp.data[[#Headers],[Unknown]:[Heavy_SW]],MATCH(1,vp.data[[#This Row],[Unknown]:[Heavy_SW]],0))</f>
        <v>Light_SW</v>
      </c>
      <c r="AH351">
        <f>INDEX([3]!crudeBD.lkup[Number],MATCH(vp.data[[#This Row],[Crude_Breakdown]],crudeBD.lkup[Crude Breakdown],0))</f>
        <v>2</v>
      </c>
      <c r="AI351">
        <f>MONTH(vp.data[[#This Row],[SDate]])</f>
        <v>11</v>
      </c>
      <c r="AJ351" s="5">
        <f>(vp.data[[#This Row],[VP]]-INDEX(crudeBD.lkup[Mean_VP],MATCH(vp.data[[#This Row],[Crude_Breakdown]],crudeBD.lkup[Crude Breakdown],0)))^2</f>
        <v>3.0635976593134835</v>
      </c>
      <c r="AK351" s="5">
        <f>(vp.data[[#This Row],[Dens]]-INDEX(crudeBD.lkup[Mean_Dens],MATCH(vp.data[[#This Row],[Crude_Breakdown]],crudeBD.lkup[Crude Breakdown],0)))^2</f>
        <v>5.8153238475630671</v>
      </c>
      <c r="AL351" s="5">
        <f>(vp.data[[#This Row],[Sulf]]-INDEX(crudeBD.lkup[Mean_Sulf],MATCH(vp.data[[#This Row],[Crude_Breakdown]],crudeBD.lkup[Crude Breakdown],0)))^2</f>
        <v>1.3134689259308601E-3</v>
      </c>
      <c r="AM351" s="4">
        <f>IF(AND(vp.data[[#This Row],[SDate]]&gt;=DATE(YEAR(vp.data[[#This Row],[SDate]]),5,1),vp.data[[#This Row],[SDate]]&lt;=DATE(YEAR(vp.data[[#This Row],[SDate]]),9,15)),1,0)</f>
        <v>0</v>
      </c>
      <c r="AN351" s="4">
        <f>IF(vp.data[[#This Row],[SDate]]&lt;DATE(2016,12,1),0,1)</f>
        <v>0</v>
      </c>
      <c r="AO351" s="4">
        <f>IFERROR(vp.data[[#This Row],[Sulf]]*vp.data[[#This Row],[Net Dens]],"")</f>
        <v>8419040.6604000013</v>
      </c>
      <c r="AP351">
        <f>IFERROR(vp.data[[#This Row],[Dens]]*vp.data[[#This Row],[VolumeM3]],"")</f>
        <v>42095203.302000001</v>
      </c>
      <c r="AQ351" s="15">
        <f>IFERROR(vp.data[[#This Row],[VP]]*vp.data[[#This Row],[VolumeM3]],"")</f>
        <v>4742827.2239999995</v>
      </c>
    </row>
    <row r="352" spans="1:43" x14ac:dyDescent="0.25">
      <c r="A352">
        <v>351</v>
      </c>
      <c r="B352" t="s">
        <v>62</v>
      </c>
      <c r="C352" t="s">
        <v>62</v>
      </c>
      <c r="D352" t="s">
        <v>93</v>
      </c>
      <c r="F352" s="1">
        <v>42677</v>
      </c>
      <c r="G352" s="2">
        <v>90.6</v>
      </c>
      <c r="H352" s="2"/>
      <c r="I352" s="2">
        <f t="array" ref="I352">_xlfn.IFNA(IF(vp.data[[#This Row],[Sulf Input]]="",INDEX([1]DATA!$Q$3:$Q$9826,MATCH(1,(vp.data[[#This Row],[Battery]]=[1]DATA!$L$3:$L$9826)*(EOMONTH(vp.data[[#This Row],[SDate]],-1)+1=[1]DATA!$G$3:$G$9826),0)),vp.data[[#This Row],[Sulf Input]]),"")</f>
        <v>0.48</v>
      </c>
      <c r="J352" s="2"/>
      <c r="K352" s="2"/>
      <c r="L352" s="2">
        <v>812.2</v>
      </c>
      <c r="M352" s="2">
        <f t="array" ref="M352">_xlfn.IFNA(IF(vp.data[[#This Row],[Dens Input]]="",INDEX([1]DATA!$O$3:$O$9826,MATCH(1,(vp.data[[#This Row],[Battery]]=[1]DATA!$L$3:$L$9826)*(EOMONTH(vp.data[[#This Row],[SDate]],-1)+1=[1]DATA!$G$3:$G$9826),0)),vp.data[[#This Row],[Dens Input]]),"")</f>
        <v>812.2</v>
      </c>
      <c r="N352" s="2">
        <f ca="1">INDEX(INDIRECT(_xlfn.CONCAT("weather.tbl[",N$1,"]")),MATCH(vp.data[[#This Row],[SDate]],weather.tbl[Date],0))</f>
        <v>6.4666666666666659</v>
      </c>
      <c r="O352" s="2">
        <f ca="1">INDEX(INDIRECT(_xlfn.CONCAT("weather.tbl[",O$1,"]")),MATCH(vp.data[[#This Row],[SDate]],weather.tbl[Date],0))</f>
        <v>5.0904761904761902</v>
      </c>
      <c r="P352" s="2">
        <f ca="1">INDEX(INDIRECT(_xlfn.CONCAT("weather.tbl[",P$1,"]")),MATCH(vp.data[[#This Row],[SDate]],weather.tbl[Date],0))</f>
        <v>7.9</v>
      </c>
      <c r="Q352" s="2">
        <f ca="1">INDEX(INDIRECT(_xlfn.CONCAT("weather.tbl[",Q$1,"]")),MATCH(vp.data[[#This Row],[SDate]],weather.tbl[Date],0))</f>
        <v>7.7</v>
      </c>
      <c r="R352" s="2">
        <f ca="1">INDEX(INDIRECT(_xlfn.CONCAT("weather.tbl[",R$1,"]")),MATCH(vp.data[[#This Row],[SDate]],weather.tbl[Date],0))</f>
        <v>3.8</v>
      </c>
      <c r="S352" s="2">
        <f ca="1">INDEX(INDIRECT(_xlfn.CONCAT("weather.tbl[",S$1,"]")),MATCH(vp.data[[#This Row],[SDate]],weather.tbl[Date],0))</f>
        <v>8.3000000000000007</v>
      </c>
      <c r="T352" s="2">
        <f ca="1">INDEX(INDIRECT(_xlfn.CONCAT("weather.tbl[",T$1,"]")),MATCH(vp.data[[#This Row],[SDate]],weather.tbl[Date],0))</f>
        <v>5.8</v>
      </c>
      <c r="U352" s="2">
        <f ca="1">INDEX(INDIRECT(_xlfn.CONCAT("weather.tbl[",U$1,"]")),MATCH(vp.data[[#This Row],[SDate]],weather.tbl[Date],0))</f>
        <v>5.3</v>
      </c>
      <c r="V352" s="2">
        <f t="array" ref="V3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583.08600000000001</v>
      </c>
      <c r="W352" t="s">
        <v>48</v>
      </c>
      <c r="X352">
        <f>IF(OR(vp.data[[#This Row],[Sulf]]="",vp.data[[#This Row],[Dens]]=""),1,0)</f>
        <v>0</v>
      </c>
      <c r="Y352">
        <f>IF(vp.data[[#This Row],[CrudeType]]="C5+",1,0)</f>
        <v>0</v>
      </c>
      <c r="Z352">
        <f>IF(AND(vp.data[[#This Row],[CrudeType]]="Crude",vp.data[[#This Row],[Dens]]&lt;=825,vp.data[[#This Row],[Sulf]]&gt;0.5,vp.data[[#This Row],[Unknown]]=0),1,0)</f>
        <v>0</v>
      </c>
      <c r="AA352">
        <f>IF(AND(vp.data[[#This Row],[CrudeType]]="Crude",vp.data[[#This Row],[Dens]]&lt;=825,vp.data[[#This Row],[Sulf]]&lt;=0.5,vp.data[[#This Row],[Unknown]]=0),1,0)</f>
        <v>1</v>
      </c>
      <c r="AB3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52">
        <f>IF(AND(vp.data[[#This Row],[CrudeType]]="Crude",vp.data[[#This Row],[Dens]]&gt;825,vp.data[[#This Row],[Dens]]&lt;=900,vp.data[[#This Row],[Sulf]]&lt;=0.5,vp.data[[#This Row],[Unknown]]=0),1,0)</f>
        <v>0</v>
      </c>
      <c r="AD352">
        <f>IF(AND(vp.data[[#This Row],[CrudeType]]="Crude",vp.data[[#This Row],[Dens]]&gt;865,vp.data[[#This Row],[Dens]]&lt;=900,vp.data[[#This Row],[Sulf]]&gt;2,vp.data[[#This Row],[Unknown]]=0),1,0)</f>
        <v>0</v>
      </c>
      <c r="AE352">
        <f>IF(AND(vp.data[[#This Row],[CrudeType]]="Crude",vp.data[[#This Row],[Dens]]&gt;900,vp.data[[#This Row],[Sulf]]&lt;=0.5,vp.data[[#This Row],[Unknown]]=0),1,0)</f>
        <v>0</v>
      </c>
      <c r="AF352">
        <f>IF(AND(vp.data[[#This Row],[CrudeType]]="Crude",vp.data[[#This Row],[Dens]]&gt;900,vp.data[[#This Row],[Sulf]]&lt;=0.5,vp.data[[#This Row],[Unknown]]=0),1,0)</f>
        <v>0</v>
      </c>
      <c r="AG352" t="str">
        <f>INDEX(vp.data[[#Headers],[Unknown]:[Heavy_SW]],MATCH(1,vp.data[[#This Row],[Unknown]:[Heavy_SW]],0))</f>
        <v>Light_SW</v>
      </c>
      <c r="AH352">
        <f>INDEX([3]!crudeBD.lkup[Number],MATCH(vp.data[[#This Row],[Crude_Breakdown]],crudeBD.lkup[Crude Breakdown],0))</f>
        <v>2</v>
      </c>
      <c r="AI352">
        <f>MONTH(vp.data[[#This Row],[SDate]])</f>
        <v>11</v>
      </c>
      <c r="AJ352" s="5">
        <f>(vp.data[[#This Row],[VP]]-INDEX(crudeBD.lkup[Mean_VP],MATCH(vp.data[[#This Row],[Crude_Breakdown]],crudeBD.lkup[Crude Breakdown],0)))^2</f>
        <v>3.8037230948535536</v>
      </c>
      <c r="AK352" s="5">
        <f>(vp.data[[#This Row],[Dens]]-INDEX(crudeBD.lkup[Mean_Dens],MATCH(vp.data[[#This Row],[Crude_Breakdown]],crudeBD.lkup[Crude Breakdown],0)))^2</f>
        <v>15.120445798785575</v>
      </c>
      <c r="AL352" s="5">
        <f>(vp.data[[#This Row],[Sulf]]-INDEX(crudeBD.lkup[Mean_Sulf],MATCH(vp.data[[#This Row],[Crude_Breakdown]],crudeBD.lkup[Crude Breakdown],0)))^2</f>
        <v>5.9418054291784594E-2</v>
      </c>
      <c r="AM352" s="4">
        <f>IF(AND(vp.data[[#This Row],[SDate]]&gt;=DATE(YEAR(vp.data[[#This Row],[SDate]]),5,1),vp.data[[#This Row],[SDate]]&lt;=DATE(YEAR(vp.data[[#This Row],[SDate]]),9,15)),1,0)</f>
        <v>0</v>
      </c>
      <c r="AN352" s="4">
        <f>IF(vp.data[[#This Row],[SDate]]&lt;DATE(2016,12,1),0,1)</f>
        <v>0</v>
      </c>
      <c r="AO352" s="4">
        <f>IFERROR(vp.data[[#This Row],[Sulf]]*vp.data[[#This Row],[Net Dens]],"")</f>
        <v>227319.57561600002</v>
      </c>
      <c r="AP352">
        <f>IFERROR(vp.data[[#This Row],[Dens]]*vp.data[[#This Row],[VolumeM3]],"")</f>
        <v>473582.44920000003</v>
      </c>
      <c r="AQ352" s="15">
        <f>IFERROR(vp.data[[#This Row],[VP]]*vp.data[[#This Row],[VolumeM3]],"")</f>
        <v>52827.5916</v>
      </c>
    </row>
    <row r="353" spans="1:43" x14ac:dyDescent="0.25">
      <c r="A353">
        <v>352</v>
      </c>
      <c r="B353" t="s">
        <v>62</v>
      </c>
      <c r="C353" t="s">
        <v>62</v>
      </c>
      <c r="D353" t="s">
        <v>63</v>
      </c>
      <c r="F353" s="1">
        <v>42677</v>
      </c>
      <c r="G353" s="2">
        <v>105.5</v>
      </c>
      <c r="H353" s="2"/>
      <c r="I353" s="2">
        <f t="array" ref="I353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353" s="2"/>
      <c r="K353" s="2"/>
      <c r="L353" s="2">
        <v>834.9</v>
      </c>
      <c r="M353" s="2">
        <f t="array" ref="M353">_xlfn.IFNA(IF(vp.data[[#This Row],[Dens Input]]="",INDEX([1]DATA!$O$3:$O$9826,MATCH(1,(vp.data[[#This Row],[Battery]]=[1]DATA!$L$3:$L$9826)*(EOMONTH(vp.data[[#This Row],[SDate]],-1)+1=[1]DATA!$G$3:$G$9826),0)),vp.data[[#This Row],[Dens Input]]),"")</f>
        <v>834.9</v>
      </c>
      <c r="N353" s="2">
        <f ca="1">INDEX(INDIRECT(_xlfn.CONCAT("weather.tbl[",N$1,"]")),MATCH(vp.data[[#This Row],[SDate]],weather.tbl[Date],0))</f>
        <v>6.4666666666666659</v>
      </c>
      <c r="O353" s="2">
        <f ca="1">INDEX(INDIRECT(_xlfn.CONCAT("weather.tbl[",O$1,"]")),MATCH(vp.data[[#This Row],[SDate]],weather.tbl[Date],0))</f>
        <v>5.0904761904761902</v>
      </c>
      <c r="P353" s="2">
        <f ca="1">INDEX(INDIRECT(_xlfn.CONCAT("weather.tbl[",P$1,"]")),MATCH(vp.data[[#This Row],[SDate]],weather.tbl[Date],0))</f>
        <v>7.9</v>
      </c>
      <c r="Q353" s="2">
        <f ca="1">INDEX(INDIRECT(_xlfn.CONCAT("weather.tbl[",Q$1,"]")),MATCH(vp.data[[#This Row],[SDate]],weather.tbl[Date],0))</f>
        <v>7.7</v>
      </c>
      <c r="R353" s="2">
        <f ca="1">INDEX(INDIRECT(_xlfn.CONCAT("weather.tbl[",R$1,"]")),MATCH(vp.data[[#This Row],[SDate]],weather.tbl[Date],0))</f>
        <v>3.8</v>
      </c>
      <c r="S353" s="2">
        <f ca="1">INDEX(INDIRECT(_xlfn.CONCAT("weather.tbl[",S$1,"]")),MATCH(vp.data[[#This Row],[SDate]],weather.tbl[Date],0))</f>
        <v>8.3000000000000007</v>
      </c>
      <c r="T353" s="2">
        <f ca="1">INDEX(INDIRECT(_xlfn.CONCAT("weather.tbl[",T$1,"]")),MATCH(vp.data[[#This Row],[SDate]],weather.tbl[Date],0))</f>
        <v>5.8</v>
      </c>
      <c r="U353" s="2">
        <f ca="1">INDEX(INDIRECT(_xlfn.CONCAT("weather.tbl[",U$1,"]")),MATCH(vp.data[[#This Row],[SDate]],weather.tbl[Date],0))</f>
        <v>5.3</v>
      </c>
      <c r="V353" s="2">
        <f t="array" ref="V3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5210.0280000000002</v>
      </c>
      <c r="W353" t="s">
        <v>48</v>
      </c>
      <c r="X353">
        <f>IF(OR(vp.data[[#This Row],[Sulf]]="",vp.data[[#This Row],[Dens]]=""),1,0)</f>
        <v>0</v>
      </c>
      <c r="Y353">
        <f>IF(vp.data[[#This Row],[CrudeType]]="C5+",1,0)</f>
        <v>0</v>
      </c>
      <c r="Z353">
        <f>IF(AND(vp.data[[#This Row],[CrudeType]]="Crude",vp.data[[#This Row],[Dens]]&lt;=825,vp.data[[#This Row],[Sulf]]&gt;0.5,vp.data[[#This Row],[Unknown]]=0),1,0)</f>
        <v>0</v>
      </c>
      <c r="AA353">
        <f>IF(AND(vp.data[[#This Row],[CrudeType]]="Crude",vp.data[[#This Row],[Dens]]&lt;=825,vp.data[[#This Row],[Sulf]]&lt;=0.5,vp.data[[#This Row],[Unknown]]=0),1,0)</f>
        <v>0</v>
      </c>
      <c r="AB3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3">
        <f>IF(AND(vp.data[[#This Row],[CrudeType]]="Crude",vp.data[[#This Row],[Dens]]&gt;825,vp.data[[#This Row],[Dens]]&lt;=900,vp.data[[#This Row],[Sulf]]&lt;=0.5,vp.data[[#This Row],[Unknown]]=0),1,0)</f>
        <v>0</v>
      </c>
      <c r="AD353">
        <f>IF(AND(vp.data[[#This Row],[CrudeType]]="Crude",vp.data[[#This Row],[Dens]]&gt;865,vp.data[[#This Row],[Dens]]&lt;=900,vp.data[[#This Row],[Sulf]]&gt;2,vp.data[[#This Row],[Unknown]]=0),1,0)</f>
        <v>0</v>
      </c>
      <c r="AE353">
        <f>IF(AND(vp.data[[#This Row],[CrudeType]]="Crude",vp.data[[#This Row],[Dens]]&gt;900,vp.data[[#This Row],[Sulf]]&lt;=0.5,vp.data[[#This Row],[Unknown]]=0),1,0)</f>
        <v>0</v>
      </c>
      <c r="AF353">
        <f>IF(AND(vp.data[[#This Row],[CrudeType]]="Crude",vp.data[[#This Row],[Dens]]&gt;900,vp.data[[#This Row],[Sulf]]&lt;=0.5,vp.data[[#This Row],[Unknown]]=0),1,0)</f>
        <v>0</v>
      </c>
      <c r="AG353" t="str">
        <f>INDEX(vp.data[[#Headers],[Unknown]:[Heavy_SW]],MATCH(1,vp.data[[#This Row],[Unknown]:[Heavy_SW]],0))</f>
        <v>Medium_LSB</v>
      </c>
      <c r="AH353">
        <f>INDEX([3]!crudeBD.lkup[Number],MATCH(vp.data[[#This Row],[Crude_Breakdown]],crudeBD.lkup[Crude Breakdown],0))</f>
        <v>3</v>
      </c>
      <c r="AI353">
        <f>MONTH(vp.data[[#This Row],[SDate]])</f>
        <v>11</v>
      </c>
      <c r="AJ353" s="5">
        <f>(vp.data[[#This Row],[VP]]-INDEX(crudeBD.lkup[Mean_VP],MATCH(vp.data[[#This Row],[Crude_Breakdown]],crudeBD.lkup[Crude Breakdown],0)))^2</f>
        <v>618.03568204532439</v>
      </c>
      <c r="AK353" s="5">
        <f>(vp.data[[#This Row],[Dens]]-INDEX(crudeBD.lkup[Mean_Dens],MATCH(vp.data[[#This Row],[Crude_Breakdown]],crudeBD.lkup[Crude Breakdown],0)))^2</f>
        <v>81.360399999991472</v>
      </c>
      <c r="AL353" s="5">
        <f>(vp.data[[#This Row],[Sulf]]-INDEX(crudeBD.lkup[Mean_Sulf],MATCH(vp.data[[#This Row],[Crude_Breakdown]],crudeBD.lkup[Crude Breakdown],0)))^2</f>
        <v>1.8114972362538555E-2</v>
      </c>
      <c r="AM353" s="4">
        <f>IF(AND(vp.data[[#This Row],[SDate]]&gt;=DATE(YEAR(vp.data[[#This Row],[SDate]]),5,1),vp.data[[#This Row],[SDate]]&lt;=DATE(YEAR(vp.data[[#This Row],[SDate]]),9,15)),1,0)</f>
        <v>0</v>
      </c>
      <c r="AN353" s="4">
        <f>IF(vp.data[[#This Row],[SDate]]&lt;DATE(2016,12,1),0,1)</f>
        <v>0</v>
      </c>
      <c r="AO353" s="4">
        <f>IFERROR(vp.data[[#This Row],[Sulf]]*vp.data[[#This Row],[Net Dens]],"")</f>
        <v>6611775.6133439997</v>
      </c>
      <c r="AP353">
        <f>IFERROR(vp.data[[#This Row],[Dens]]*vp.data[[#This Row],[VolumeM3]],"")</f>
        <v>4349852.3772</v>
      </c>
      <c r="AQ353" s="15">
        <f>IFERROR(vp.data[[#This Row],[VP]]*vp.data[[#This Row],[VolumeM3]],"")</f>
        <v>549657.95400000003</v>
      </c>
    </row>
    <row r="354" spans="1:43" x14ac:dyDescent="0.25">
      <c r="A354">
        <v>353</v>
      </c>
      <c r="B354" t="s">
        <v>51</v>
      </c>
      <c r="C354" t="s">
        <v>51</v>
      </c>
      <c r="D354" t="s">
        <v>58</v>
      </c>
      <c r="F354" s="1">
        <v>42678</v>
      </c>
      <c r="G354" s="2">
        <v>89.5</v>
      </c>
      <c r="H354" s="2"/>
      <c r="I354" s="2">
        <f t="array" ref="I354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354" s="2"/>
      <c r="K354" s="2"/>
      <c r="L354" s="2">
        <v>858.6</v>
      </c>
      <c r="M354" s="2">
        <f t="array" ref="M354">_xlfn.IFNA(IF(vp.data[[#This Row],[Dens Input]]="",INDEX([1]DATA!$O$3:$O$9826,MATCH(1,(vp.data[[#This Row],[Battery]]=[1]DATA!$L$3:$L$9826)*(EOMONTH(vp.data[[#This Row],[SDate]],-1)+1=[1]DATA!$G$3:$G$9826),0)),vp.data[[#This Row],[Dens Input]]),"")</f>
        <v>858.6</v>
      </c>
      <c r="N354" s="2">
        <f ca="1">INDEX(INDIRECT(_xlfn.CONCAT("weather.tbl[",N$1,"]")),MATCH(vp.data[[#This Row],[SDate]],weather.tbl[Date],0))</f>
        <v>8.4</v>
      </c>
      <c r="O354" s="2">
        <f ca="1">INDEX(INDIRECT(_xlfn.CONCAT("weather.tbl[",O$1,"]")),MATCH(vp.data[[#This Row],[SDate]],weather.tbl[Date],0))</f>
        <v>5.4785714285714286</v>
      </c>
      <c r="P354" s="2">
        <f ca="1">INDEX(INDIRECT(_xlfn.CONCAT("weather.tbl[",P$1,"]")),MATCH(vp.data[[#This Row],[SDate]],weather.tbl[Date],0))</f>
        <v>9.4</v>
      </c>
      <c r="Q354" s="2">
        <f ca="1">INDEX(INDIRECT(_xlfn.CONCAT("weather.tbl[",Q$1,"]")),MATCH(vp.data[[#This Row],[SDate]],weather.tbl[Date],0))</f>
        <v>9</v>
      </c>
      <c r="R354" s="2">
        <f ca="1">INDEX(INDIRECT(_xlfn.CONCAT("weather.tbl[",R$1,"]")),MATCH(vp.data[[#This Row],[SDate]],weather.tbl[Date],0))</f>
        <v>3.8</v>
      </c>
      <c r="S354" s="2">
        <f ca="1">INDEX(INDIRECT(_xlfn.CONCAT("weather.tbl[",S$1,"]")),MATCH(vp.data[[#This Row],[SDate]],weather.tbl[Date],0))</f>
        <v>10</v>
      </c>
      <c r="T354" s="2">
        <f ca="1">INDEX(INDIRECT(_xlfn.CONCAT("weather.tbl[",T$1,"]")),MATCH(vp.data[[#This Row],[SDate]],weather.tbl[Date],0))</f>
        <v>9.1999999999999993</v>
      </c>
      <c r="U354" s="2">
        <f ca="1">INDEX(INDIRECT(_xlfn.CONCAT("weather.tbl[",U$1,"]")),MATCH(vp.data[[#This Row],[SDate]],weather.tbl[Date],0))</f>
        <v>9</v>
      </c>
      <c r="V354" s="2">
        <f t="array" ref="V3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5267.8469999999998</v>
      </c>
      <c r="W354" t="s">
        <v>48</v>
      </c>
      <c r="X354">
        <f>IF(OR(vp.data[[#This Row],[Sulf]]="",vp.data[[#This Row],[Dens]]=""),1,0)</f>
        <v>0</v>
      </c>
      <c r="Y354">
        <f>IF(vp.data[[#This Row],[CrudeType]]="C5+",1,0)</f>
        <v>0</v>
      </c>
      <c r="Z354">
        <f>IF(AND(vp.data[[#This Row],[CrudeType]]="Crude",vp.data[[#This Row],[Dens]]&lt;=825,vp.data[[#This Row],[Sulf]]&gt;0.5,vp.data[[#This Row],[Unknown]]=0),1,0)</f>
        <v>0</v>
      </c>
      <c r="AA354">
        <f>IF(AND(vp.data[[#This Row],[CrudeType]]="Crude",vp.data[[#This Row],[Dens]]&lt;=825,vp.data[[#This Row],[Sulf]]&lt;=0.5,vp.data[[#This Row],[Unknown]]=0),1,0)</f>
        <v>0</v>
      </c>
      <c r="AB3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4">
        <f>IF(AND(vp.data[[#This Row],[CrudeType]]="Crude",vp.data[[#This Row],[Dens]]&gt;825,vp.data[[#This Row],[Dens]]&lt;=900,vp.data[[#This Row],[Sulf]]&lt;=0.5,vp.data[[#This Row],[Unknown]]=0),1,0)</f>
        <v>0</v>
      </c>
      <c r="AD354">
        <f>IF(AND(vp.data[[#This Row],[CrudeType]]="Crude",vp.data[[#This Row],[Dens]]&gt;865,vp.data[[#This Row],[Dens]]&lt;=900,vp.data[[#This Row],[Sulf]]&gt;2,vp.data[[#This Row],[Unknown]]=0),1,0)</f>
        <v>0</v>
      </c>
      <c r="AE354">
        <f>IF(AND(vp.data[[#This Row],[CrudeType]]="Crude",vp.data[[#This Row],[Dens]]&gt;900,vp.data[[#This Row],[Sulf]]&lt;=0.5,vp.data[[#This Row],[Unknown]]=0),1,0)</f>
        <v>0</v>
      </c>
      <c r="AF354">
        <f>IF(AND(vp.data[[#This Row],[CrudeType]]="Crude",vp.data[[#This Row],[Dens]]&gt;900,vp.data[[#This Row],[Sulf]]&lt;=0.5,vp.data[[#This Row],[Unknown]]=0),1,0)</f>
        <v>0</v>
      </c>
      <c r="AG354" t="str">
        <f>INDEX(vp.data[[#Headers],[Unknown]:[Heavy_SW]],MATCH(1,vp.data[[#This Row],[Unknown]:[Heavy_SW]],0))</f>
        <v>Medium_LSB</v>
      </c>
      <c r="AH354">
        <f>INDEX([3]!crudeBD.lkup[Number],MATCH(vp.data[[#This Row],[Crude_Breakdown]],crudeBD.lkup[Crude Breakdown],0))</f>
        <v>3</v>
      </c>
      <c r="AI354">
        <f>MONTH(vp.data[[#This Row],[SDate]])</f>
        <v>11</v>
      </c>
      <c r="AJ354" s="5">
        <f>(vp.data[[#This Row],[VP]]-INDEX(crudeBD.lkup[Mean_VP],MATCH(vp.data[[#This Row],[Crude_Breakdown]],crudeBD.lkup[Crude Breakdown],0)))^2</f>
        <v>78.505331641009391</v>
      </c>
      <c r="AK354" s="5">
        <f>(vp.data[[#This Row],[Dens]]-INDEX(crudeBD.lkup[Mean_Dens],MATCH(vp.data[[#This Row],[Crude_Breakdown]],crudeBD.lkup[Crude Breakdown],0)))^2</f>
        <v>215.50240000001523</v>
      </c>
      <c r="AL354" s="5">
        <f>(vp.data[[#This Row],[Sulf]]-INDEX(crudeBD.lkup[Mean_Sulf],MATCH(vp.data[[#This Row],[Crude_Breakdown]],crudeBD.lkup[Crude Breakdown],0)))^2</f>
        <v>1.0939459963616806E-2</v>
      </c>
      <c r="AM354" s="4">
        <f>IF(AND(vp.data[[#This Row],[SDate]]&gt;=DATE(YEAR(vp.data[[#This Row],[SDate]]),5,1),vp.data[[#This Row],[SDate]]&lt;=DATE(YEAR(vp.data[[#This Row],[SDate]]),9,15)),1,0)</f>
        <v>0</v>
      </c>
      <c r="AN354" s="4">
        <f>IF(vp.data[[#This Row],[SDate]]&lt;DATE(2016,12,1),0,1)</f>
        <v>0</v>
      </c>
      <c r="AO354" s="4">
        <f>IFERROR(vp.data[[#This Row],[Sulf]]*vp.data[[#This Row],[Net Dens]],"")</f>
        <v>6739230.4169579996</v>
      </c>
      <c r="AP354">
        <f>IFERROR(vp.data[[#This Row],[Dens]]*vp.data[[#This Row],[VolumeM3]],"")</f>
        <v>4522973.4342</v>
      </c>
      <c r="AQ354" s="15">
        <f>IFERROR(vp.data[[#This Row],[VP]]*vp.data[[#This Row],[VolumeM3]],"")</f>
        <v>471472.30650000001</v>
      </c>
    </row>
    <row r="355" spans="1:43" x14ac:dyDescent="0.25">
      <c r="A355">
        <v>354</v>
      </c>
      <c r="B355" t="s">
        <v>62</v>
      </c>
      <c r="C355" t="s">
        <v>62</v>
      </c>
      <c r="D355" t="s">
        <v>83</v>
      </c>
      <c r="F355" s="1">
        <v>42688</v>
      </c>
      <c r="G355" s="2">
        <v>85.5</v>
      </c>
      <c r="H355" s="2"/>
      <c r="I355" s="2">
        <f t="array" ref="I355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355" s="2"/>
      <c r="K355" s="2"/>
      <c r="L355" s="2">
        <v>811.3</v>
      </c>
      <c r="M355" s="2">
        <f t="array" ref="M355">_xlfn.IFNA(IF(vp.data[[#This Row],[Dens Input]]="",INDEX([1]DATA!$O$3:$O$9826,MATCH(1,(vp.data[[#This Row],[Battery]]=[1]DATA!$L$3:$L$9826)*(EOMONTH(vp.data[[#This Row],[SDate]],-1)+1=[1]DATA!$G$3:$G$9826),0)),vp.data[[#This Row],[Dens Input]]),"")</f>
        <v>811.3</v>
      </c>
      <c r="N355" s="2">
        <f ca="1">INDEX(INDIRECT(_xlfn.CONCAT("weather.tbl[",N$1,"]")),MATCH(vp.data[[#This Row],[SDate]],weather.tbl[Date],0))</f>
        <v>7</v>
      </c>
      <c r="O355" s="2">
        <f ca="1">INDEX(INDIRECT(_xlfn.CONCAT("weather.tbl[",O$1,"]")),MATCH(vp.data[[#This Row],[SDate]],weather.tbl[Date],0))</f>
        <v>6.6880952380952374</v>
      </c>
      <c r="P355" s="2">
        <f ca="1">INDEX(INDIRECT(_xlfn.CONCAT("weather.tbl[",P$1,"]")),MATCH(vp.data[[#This Row],[SDate]],weather.tbl[Date],0))</f>
        <v>7.8</v>
      </c>
      <c r="Q355" s="2">
        <f ca="1">INDEX(INDIRECT(_xlfn.CONCAT("weather.tbl[",Q$1,"]")),MATCH(vp.data[[#This Row],[SDate]],weather.tbl[Date],0))</f>
        <v>8</v>
      </c>
      <c r="R355" s="2">
        <f ca="1">INDEX(INDIRECT(_xlfn.CONCAT("weather.tbl[",R$1,"]")),MATCH(vp.data[[#This Row],[SDate]],weather.tbl[Date],0))</f>
        <v>6</v>
      </c>
      <c r="S355" s="2">
        <f ca="1">INDEX(INDIRECT(_xlfn.CONCAT("weather.tbl[",S$1,"]")),MATCH(vp.data[[#This Row],[SDate]],weather.tbl[Date],0))</f>
        <v>8.5</v>
      </c>
      <c r="T355" s="2">
        <f ca="1">INDEX(INDIRECT(_xlfn.CONCAT("weather.tbl[",T$1,"]")),MATCH(vp.data[[#This Row],[SDate]],weather.tbl[Date],0))</f>
        <v>4.9000000000000004</v>
      </c>
      <c r="U355" s="2">
        <f ca="1">INDEX(INDIRECT(_xlfn.CONCAT("weather.tbl[",U$1,"]")),MATCH(vp.data[[#This Row],[SDate]],weather.tbl[Date],0))</f>
        <v>6.8</v>
      </c>
      <c r="V355" s="2">
        <f t="array" ref="V3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9944.7690000000002</v>
      </c>
      <c r="W355" t="s">
        <v>48</v>
      </c>
      <c r="X355">
        <f>IF(OR(vp.data[[#This Row],[Sulf]]="",vp.data[[#This Row],[Dens]]=""),1,0)</f>
        <v>0</v>
      </c>
      <c r="Y355">
        <f>IF(vp.data[[#This Row],[CrudeType]]="C5+",1,0)</f>
        <v>0</v>
      </c>
      <c r="Z355">
        <f>IF(AND(vp.data[[#This Row],[CrudeType]]="Crude",vp.data[[#This Row],[Dens]]&lt;=825,vp.data[[#This Row],[Sulf]]&gt;0.5,vp.data[[#This Row],[Unknown]]=0),1,0)</f>
        <v>0</v>
      </c>
      <c r="AA355">
        <f>IF(AND(vp.data[[#This Row],[CrudeType]]="Crude",vp.data[[#This Row],[Dens]]&lt;=825,vp.data[[#This Row],[Sulf]]&lt;=0.5,vp.data[[#This Row],[Unknown]]=0),1,0)</f>
        <v>1</v>
      </c>
      <c r="AB3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55">
        <f>IF(AND(vp.data[[#This Row],[CrudeType]]="Crude",vp.data[[#This Row],[Dens]]&gt;825,vp.data[[#This Row],[Dens]]&lt;=900,vp.data[[#This Row],[Sulf]]&lt;=0.5,vp.data[[#This Row],[Unknown]]=0),1,0)</f>
        <v>0</v>
      </c>
      <c r="AD355">
        <f>IF(AND(vp.data[[#This Row],[CrudeType]]="Crude",vp.data[[#This Row],[Dens]]&gt;865,vp.data[[#This Row],[Dens]]&lt;=900,vp.data[[#This Row],[Sulf]]&gt;2,vp.data[[#This Row],[Unknown]]=0),1,0)</f>
        <v>0</v>
      </c>
      <c r="AE355">
        <f>IF(AND(vp.data[[#This Row],[CrudeType]]="Crude",vp.data[[#This Row],[Dens]]&gt;900,vp.data[[#This Row],[Sulf]]&lt;=0.5,vp.data[[#This Row],[Unknown]]=0),1,0)</f>
        <v>0</v>
      </c>
      <c r="AF355">
        <f>IF(AND(vp.data[[#This Row],[CrudeType]]="Crude",vp.data[[#This Row],[Dens]]&gt;900,vp.data[[#This Row],[Sulf]]&lt;=0.5,vp.data[[#This Row],[Unknown]]=0),1,0)</f>
        <v>0</v>
      </c>
      <c r="AG355" t="str">
        <f>INDEX(vp.data[[#Headers],[Unknown]:[Heavy_SW]],MATCH(1,vp.data[[#This Row],[Unknown]:[Heavy_SW]],0))</f>
        <v>Light_SW</v>
      </c>
      <c r="AH355">
        <f>INDEX([3]!crudeBD.lkup[Number],MATCH(vp.data[[#This Row],[Crude_Breakdown]],crudeBD.lkup[Crude Breakdown],0))</f>
        <v>2</v>
      </c>
      <c r="AI355">
        <f>MONTH(vp.data[[#This Row],[SDate]])</f>
        <v>11</v>
      </c>
      <c r="AJ355" s="5">
        <f>(vp.data[[#This Row],[VP]]-INDEX(crudeBD.lkup[Mean_VP],MATCH(vp.data[[#This Row],[Crude_Breakdown]],crudeBD.lkup[Crude Breakdown],0)))^2</f>
        <v>49.706921701125005</v>
      </c>
      <c r="AK355" s="5">
        <f>(vp.data[[#This Row],[Dens]]-INDEX(crudeBD.lkup[Mean_Dens],MATCH(vp.data[[#This Row],[Crude_Breakdown]],crudeBD.lkup[Crude Breakdown],0)))^2</f>
        <v>8.931142662896054</v>
      </c>
      <c r="AL355" s="5">
        <f>(vp.data[[#This Row],[Sulf]]-INDEX(crudeBD.lkup[Mean_Sulf],MATCH(vp.data[[#This Row],[Crude_Breakdown]],crudeBD.lkup[Crude Breakdown],0)))^2</f>
        <v>4.3879776367322437E-3</v>
      </c>
      <c r="AM355" s="4">
        <f>IF(AND(vp.data[[#This Row],[SDate]]&gt;=DATE(YEAR(vp.data[[#This Row],[SDate]]),5,1),vp.data[[#This Row],[SDate]]&lt;=DATE(YEAR(vp.data[[#This Row],[SDate]]),9,15)),1,0)</f>
        <v>0</v>
      </c>
      <c r="AN355" s="4">
        <f>IF(vp.data[[#This Row],[SDate]]&lt;DATE(2016,12,1),0,1)</f>
        <v>0</v>
      </c>
      <c r="AO355" s="4">
        <f>IFERROR(vp.data[[#This Row],[Sulf]]*vp.data[[#This Row],[Net Dens]],"")</f>
        <v>1371592.4852489999</v>
      </c>
      <c r="AP355">
        <f>IFERROR(vp.data[[#This Row],[Dens]]*vp.data[[#This Row],[VolumeM3]],"")</f>
        <v>8068191.0896999994</v>
      </c>
      <c r="AQ355" s="15">
        <f>IFERROR(vp.data[[#This Row],[VP]]*vp.data[[#This Row],[VolumeM3]],"")</f>
        <v>850277.74950000003</v>
      </c>
    </row>
    <row r="356" spans="1:43" x14ac:dyDescent="0.25">
      <c r="A356">
        <v>355</v>
      </c>
      <c r="B356" t="s">
        <v>62</v>
      </c>
      <c r="C356" t="s">
        <v>62</v>
      </c>
      <c r="D356" t="s">
        <v>87</v>
      </c>
      <c r="F356" s="1">
        <v>42688</v>
      </c>
      <c r="G356" s="2">
        <v>97.5</v>
      </c>
      <c r="H356" s="2"/>
      <c r="I356" s="2">
        <f t="array" ref="I356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356" s="2"/>
      <c r="K356" s="2"/>
      <c r="L356" s="2">
        <v>813.6</v>
      </c>
      <c r="M356" s="2">
        <f t="array" ref="M356">_xlfn.IFNA(IF(vp.data[[#This Row],[Dens Input]]="",INDEX([1]DATA!$O$3:$O$9826,MATCH(1,(vp.data[[#This Row],[Battery]]=[1]DATA!$L$3:$L$9826)*(EOMONTH(vp.data[[#This Row],[SDate]],-1)+1=[1]DATA!$G$3:$G$9826),0)),vp.data[[#This Row],[Dens Input]]),"")</f>
        <v>813.6</v>
      </c>
      <c r="N356" s="2">
        <f ca="1">INDEX(INDIRECT(_xlfn.CONCAT("weather.tbl[",N$1,"]")),MATCH(vp.data[[#This Row],[SDate]],weather.tbl[Date],0))</f>
        <v>7</v>
      </c>
      <c r="O356" s="2">
        <f ca="1">INDEX(INDIRECT(_xlfn.CONCAT("weather.tbl[",O$1,"]")),MATCH(vp.data[[#This Row],[SDate]],weather.tbl[Date],0))</f>
        <v>6.6880952380952374</v>
      </c>
      <c r="P356" s="2">
        <f ca="1">INDEX(INDIRECT(_xlfn.CONCAT("weather.tbl[",P$1,"]")),MATCH(vp.data[[#This Row],[SDate]],weather.tbl[Date],0))</f>
        <v>7.8</v>
      </c>
      <c r="Q356" s="2">
        <f ca="1">INDEX(INDIRECT(_xlfn.CONCAT("weather.tbl[",Q$1,"]")),MATCH(vp.data[[#This Row],[SDate]],weather.tbl[Date],0))</f>
        <v>8</v>
      </c>
      <c r="R356" s="2">
        <f ca="1">INDEX(INDIRECT(_xlfn.CONCAT("weather.tbl[",R$1,"]")),MATCH(vp.data[[#This Row],[SDate]],weather.tbl[Date],0))</f>
        <v>6</v>
      </c>
      <c r="S356" s="2">
        <f ca="1">INDEX(INDIRECT(_xlfn.CONCAT("weather.tbl[",S$1,"]")),MATCH(vp.data[[#This Row],[SDate]],weather.tbl[Date],0))</f>
        <v>8.5</v>
      </c>
      <c r="T356" s="2">
        <f ca="1">INDEX(INDIRECT(_xlfn.CONCAT("weather.tbl[",T$1,"]")),MATCH(vp.data[[#This Row],[SDate]],weather.tbl[Date],0))</f>
        <v>4.9000000000000004</v>
      </c>
      <c r="U356" s="2">
        <f ca="1">INDEX(INDIRECT(_xlfn.CONCAT("weather.tbl[",U$1,"]")),MATCH(vp.data[[#This Row],[SDate]],weather.tbl[Date],0))</f>
        <v>6.8</v>
      </c>
      <c r="V356" s="2">
        <f t="array" ref="V3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7601.27</v>
      </c>
      <c r="W356" t="s">
        <v>48</v>
      </c>
      <c r="X356">
        <f>IF(OR(vp.data[[#This Row],[Sulf]]="",vp.data[[#This Row],[Dens]]=""),1,0)</f>
        <v>0</v>
      </c>
      <c r="Y356">
        <f>IF(vp.data[[#This Row],[CrudeType]]="C5+",1,0)</f>
        <v>0</v>
      </c>
      <c r="Z356">
        <f>IF(AND(vp.data[[#This Row],[CrudeType]]="Crude",vp.data[[#This Row],[Dens]]&lt;=825,vp.data[[#This Row],[Sulf]]&gt;0.5,vp.data[[#This Row],[Unknown]]=0),1,0)</f>
        <v>0</v>
      </c>
      <c r="AA356">
        <f>IF(AND(vp.data[[#This Row],[CrudeType]]="Crude",vp.data[[#This Row],[Dens]]&lt;=825,vp.data[[#This Row],[Sulf]]&lt;=0.5,vp.data[[#This Row],[Unknown]]=0),1,0)</f>
        <v>1</v>
      </c>
      <c r="AB3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56">
        <f>IF(AND(vp.data[[#This Row],[CrudeType]]="Crude",vp.data[[#This Row],[Dens]]&gt;825,vp.data[[#This Row],[Dens]]&lt;=900,vp.data[[#This Row],[Sulf]]&lt;=0.5,vp.data[[#This Row],[Unknown]]=0),1,0)</f>
        <v>0</v>
      </c>
      <c r="AD356">
        <f>IF(AND(vp.data[[#This Row],[CrudeType]]="Crude",vp.data[[#This Row],[Dens]]&gt;865,vp.data[[#This Row],[Dens]]&lt;=900,vp.data[[#This Row],[Sulf]]&gt;2,vp.data[[#This Row],[Unknown]]=0),1,0)</f>
        <v>0</v>
      </c>
      <c r="AE356">
        <f>IF(AND(vp.data[[#This Row],[CrudeType]]="Crude",vp.data[[#This Row],[Dens]]&gt;900,vp.data[[#This Row],[Sulf]]&lt;=0.5,vp.data[[#This Row],[Unknown]]=0),1,0)</f>
        <v>0</v>
      </c>
      <c r="AF356">
        <f>IF(AND(vp.data[[#This Row],[CrudeType]]="Crude",vp.data[[#This Row],[Dens]]&gt;900,vp.data[[#This Row],[Sulf]]&lt;=0.5,vp.data[[#This Row],[Unknown]]=0),1,0)</f>
        <v>0</v>
      </c>
      <c r="AG356" t="str">
        <f>INDEX(vp.data[[#Headers],[Unknown]:[Heavy_SW]],MATCH(1,vp.data[[#This Row],[Unknown]:[Heavy_SW]],0))</f>
        <v>Light_SW</v>
      </c>
      <c r="AH356">
        <f>INDEX([3]!crudeBD.lkup[Number],MATCH(vp.data[[#This Row],[Crude_Breakdown]],crudeBD.lkup[Crude Breakdown],0))</f>
        <v>2</v>
      </c>
      <c r="AI356">
        <f>MONTH(vp.data[[#This Row],[SDate]])</f>
        <v>11</v>
      </c>
      <c r="AJ356" s="5">
        <f>(vp.data[[#This Row],[VP]]-INDEX(crudeBD.lkup[Mean_VP],MATCH(vp.data[[#This Row],[Crude_Breakdown]],crudeBD.lkup[Crude Breakdown],0)))^2</f>
        <v>24.499395568721535</v>
      </c>
      <c r="AK356" s="5">
        <f>(vp.data[[#This Row],[Dens]]-INDEX(crudeBD.lkup[Mean_Dens],MATCH(vp.data[[#This Row],[Crude_Breakdown]],crudeBD.lkup[Crude Breakdown],0)))^2</f>
        <v>27.968250676834852</v>
      </c>
      <c r="AL356" s="5">
        <f>(vp.data[[#This Row],[Sulf]]-INDEX(crudeBD.lkup[Mean_Sulf],MATCH(vp.data[[#This Row],[Crude_Breakdown]],crudeBD.lkup[Crude Breakdown],0)))^2</f>
        <v>5.8128138736660397E-3</v>
      </c>
      <c r="AM356" s="4">
        <f>IF(AND(vp.data[[#This Row],[SDate]]&gt;=DATE(YEAR(vp.data[[#This Row],[SDate]]),5,1),vp.data[[#This Row],[SDate]]&lt;=DATE(YEAR(vp.data[[#This Row],[SDate]]),9,15)),1,0)</f>
        <v>0</v>
      </c>
      <c r="AN356" s="4">
        <f>IF(vp.data[[#This Row],[SDate]]&lt;DATE(2016,12,1),0,1)</f>
        <v>0</v>
      </c>
      <c r="AO356" s="4">
        <f>IFERROR(vp.data[[#This Row],[Sulf]]*vp.data[[#This Row],[Net Dens]],"")</f>
        <v>989502.92352000019</v>
      </c>
      <c r="AP356">
        <f>IFERROR(vp.data[[#This Row],[Dens]]*vp.data[[#This Row],[VolumeM3]],"")</f>
        <v>6184393.2720000008</v>
      </c>
      <c r="AQ356" s="15">
        <f>IFERROR(vp.data[[#This Row],[VP]]*vp.data[[#This Row],[VolumeM3]],"")</f>
        <v>741123.82500000007</v>
      </c>
    </row>
    <row r="357" spans="1:43" x14ac:dyDescent="0.25">
      <c r="A357">
        <v>356</v>
      </c>
      <c r="B357" t="s">
        <v>56</v>
      </c>
      <c r="C357" t="s">
        <v>56</v>
      </c>
      <c r="D357" t="s">
        <v>57</v>
      </c>
      <c r="F357" s="1">
        <v>42688</v>
      </c>
      <c r="G357" s="2">
        <v>70</v>
      </c>
      <c r="H357" s="2"/>
      <c r="I357" s="2">
        <f t="array" ref="I357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357" s="2"/>
      <c r="K357" s="2"/>
      <c r="L357" s="2">
        <v>833</v>
      </c>
      <c r="M357" s="2">
        <f t="array" ref="M357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357" s="2">
        <f ca="1">INDEX(INDIRECT(_xlfn.CONCAT("weather.tbl[",N$1,"]")),MATCH(vp.data[[#This Row],[SDate]],weather.tbl[Date],0))</f>
        <v>7</v>
      </c>
      <c r="O357" s="2">
        <f ca="1">INDEX(INDIRECT(_xlfn.CONCAT("weather.tbl[",O$1,"]")),MATCH(vp.data[[#This Row],[SDate]],weather.tbl[Date],0))</f>
        <v>6.6880952380952374</v>
      </c>
      <c r="P357" s="2">
        <f ca="1">INDEX(INDIRECT(_xlfn.CONCAT("weather.tbl[",P$1,"]")),MATCH(vp.data[[#This Row],[SDate]],weather.tbl[Date],0))</f>
        <v>7.8</v>
      </c>
      <c r="Q357" s="2">
        <f ca="1">INDEX(INDIRECT(_xlfn.CONCAT("weather.tbl[",Q$1,"]")),MATCH(vp.data[[#This Row],[SDate]],weather.tbl[Date],0))</f>
        <v>8</v>
      </c>
      <c r="R357" s="2">
        <f ca="1">INDEX(INDIRECT(_xlfn.CONCAT("weather.tbl[",R$1,"]")),MATCH(vp.data[[#This Row],[SDate]],weather.tbl[Date],0))</f>
        <v>6</v>
      </c>
      <c r="S357" s="2">
        <f ca="1">INDEX(INDIRECT(_xlfn.CONCAT("weather.tbl[",S$1,"]")),MATCH(vp.data[[#This Row],[SDate]],weather.tbl[Date],0))</f>
        <v>8.5</v>
      </c>
      <c r="T357" s="2">
        <f ca="1">INDEX(INDIRECT(_xlfn.CONCAT("weather.tbl[",T$1,"]")),MATCH(vp.data[[#This Row],[SDate]],weather.tbl[Date],0))</f>
        <v>4.9000000000000004</v>
      </c>
      <c r="U357" s="2">
        <f ca="1">INDEX(INDIRECT(_xlfn.CONCAT("weather.tbl[",U$1,"]")),MATCH(vp.data[[#This Row],[SDate]],weather.tbl[Date],0))</f>
        <v>6.8</v>
      </c>
      <c r="V357" s="2">
        <f t="array" ref="V3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3148.81</v>
      </c>
      <c r="W357" t="s">
        <v>48</v>
      </c>
      <c r="X357">
        <f>IF(OR(vp.data[[#This Row],[Sulf]]="",vp.data[[#This Row],[Dens]]=""),1,0)</f>
        <v>0</v>
      </c>
      <c r="Y357">
        <f>IF(vp.data[[#This Row],[CrudeType]]="C5+",1,0)</f>
        <v>0</v>
      </c>
      <c r="Z357">
        <f>IF(AND(vp.data[[#This Row],[CrudeType]]="Crude",vp.data[[#This Row],[Dens]]&lt;=825,vp.data[[#This Row],[Sulf]]&gt;0.5,vp.data[[#This Row],[Unknown]]=0),1,0)</f>
        <v>0</v>
      </c>
      <c r="AA357">
        <f>IF(AND(vp.data[[#This Row],[CrudeType]]="Crude",vp.data[[#This Row],[Dens]]&lt;=825,vp.data[[#This Row],[Sulf]]&lt;=0.5,vp.data[[#This Row],[Unknown]]=0),1,0)</f>
        <v>0</v>
      </c>
      <c r="AB3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7">
        <f>IF(AND(vp.data[[#This Row],[CrudeType]]="Crude",vp.data[[#This Row],[Dens]]&gt;825,vp.data[[#This Row],[Dens]]&lt;=900,vp.data[[#This Row],[Sulf]]&lt;=0.5,vp.data[[#This Row],[Unknown]]=0),1,0)</f>
        <v>0</v>
      </c>
      <c r="AD357">
        <f>IF(AND(vp.data[[#This Row],[CrudeType]]="Crude",vp.data[[#This Row],[Dens]]&gt;865,vp.data[[#This Row],[Dens]]&lt;=900,vp.data[[#This Row],[Sulf]]&gt;2,vp.data[[#This Row],[Unknown]]=0),1,0)</f>
        <v>0</v>
      </c>
      <c r="AE357">
        <f>IF(AND(vp.data[[#This Row],[CrudeType]]="Crude",vp.data[[#This Row],[Dens]]&gt;900,vp.data[[#This Row],[Sulf]]&lt;=0.5,vp.data[[#This Row],[Unknown]]=0),1,0)</f>
        <v>0</v>
      </c>
      <c r="AF357">
        <f>IF(AND(vp.data[[#This Row],[CrudeType]]="Crude",vp.data[[#This Row],[Dens]]&gt;900,vp.data[[#This Row],[Sulf]]&lt;=0.5,vp.data[[#This Row],[Unknown]]=0),1,0)</f>
        <v>0</v>
      </c>
      <c r="AG357" t="str">
        <f>INDEX(vp.data[[#Headers],[Unknown]:[Heavy_SW]],MATCH(1,vp.data[[#This Row],[Unknown]:[Heavy_SW]],0))</f>
        <v>Medium_LSB</v>
      </c>
      <c r="AH357">
        <f>INDEX([3]!crudeBD.lkup[Number],MATCH(vp.data[[#This Row],[Crude_Breakdown]],crudeBD.lkup[Crude Breakdown],0))</f>
        <v>3</v>
      </c>
      <c r="AI357">
        <f>MONTH(vp.data[[#This Row],[SDate]])</f>
        <v>11</v>
      </c>
      <c r="AJ357" s="5">
        <f>(vp.data[[#This Row],[VP]]-INDEX(crudeBD.lkup[Mean_VP],MATCH(vp.data[[#This Row],[Crude_Breakdown]],crudeBD.lkup[Crude Breakdown],0)))^2</f>
        <v>113.20271708575054</v>
      </c>
      <c r="AK357" s="5">
        <f>(vp.data[[#This Row],[Dens]]-INDEX(crudeBD.lkup[Mean_Dens],MATCH(vp.data[[#This Row],[Crude_Breakdown]],crudeBD.lkup[Crude Breakdown],0)))^2</f>
        <v>119.24639999998918</v>
      </c>
      <c r="AL357" s="5">
        <f>(vp.data[[#This Row],[Sulf]]-INDEX(crudeBD.lkup[Mean_Sulf],MATCH(vp.data[[#This Row],[Crude_Breakdown]],crudeBD.lkup[Crude Breakdown],0)))^2</f>
        <v>5.9825184491918218E-2</v>
      </c>
      <c r="AM357" s="4">
        <f>IF(AND(vp.data[[#This Row],[SDate]]&gt;=DATE(YEAR(vp.data[[#This Row],[SDate]]),5,1),vp.data[[#This Row],[SDate]]&lt;=DATE(YEAR(vp.data[[#This Row],[SDate]]),9,15)),1,0)</f>
        <v>0</v>
      </c>
      <c r="AN357" s="4">
        <f>IF(vp.data[[#This Row],[SDate]]&lt;DATE(2016,12,1),0,1)</f>
        <v>0</v>
      </c>
      <c r="AO357" s="4">
        <f>IFERROR(vp.data[[#This Row],[Sulf]]*vp.data[[#This Row],[Net Dens]],"")</f>
        <v>4275422.7298999997</v>
      </c>
      <c r="AP357">
        <f>IFERROR(vp.data[[#This Row],[Dens]]*vp.data[[#This Row],[VolumeM3]],"")</f>
        <v>2622958.73</v>
      </c>
      <c r="AQ357" s="15">
        <f>IFERROR(vp.data[[#This Row],[VP]]*vp.data[[#This Row],[VolumeM3]],"")</f>
        <v>220416.69999999998</v>
      </c>
    </row>
    <row r="358" spans="1:43" x14ac:dyDescent="0.25">
      <c r="A358">
        <v>357</v>
      </c>
      <c r="B358" t="s">
        <v>51</v>
      </c>
      <c r="C358" t="s">
        <v>51</v>
      </c>
      <c r="D358" t="s">
        <v>72</v>
      </c>
      <c r="F358" s="1">
        <v>42688</v>
      </c>
      <c r="G358" s="2">
        <v>79.3</v>
      </c>
      <c r="H358" s="2"/>
      <c r="I358" s="2">
        <f t="array" ref="I358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358" s="2"/>
      <c r="K358" s="2"/>
      <c r="L358" s="2">
        <v>838.7</v>
      </c>
      <c r="M358" s="2">
        <f t="array" ref="M358">_xlfn.IFNA(IF(vp.data[[#This Row],[Dens Input]]="",INDEX([1]DATA!$O$3:$O$9826,MATCH(1,(vp.data[[#This Row],[Battery]]=[1]DATA!$L$3:$L$9826)*(EOMONTH(vp.data[[#This Row],[SDate]],-1)+1=[1]DATA!$G$3:$G$9826),0)),vp.data[[#This Row],[Dens Input]]),"")</f>
        <v>838.7</v>
      </c>
      <c r="N358" s="2">
        <f ca="1">INDEX(INDIRECT(_xlfn.CONCAT("weather.tbl[",N$1,"]")),MATCH(vp.data[[#This Row],[SDate]],weather.tbl[Date],0))</f>
        <v>7</v>
      </c>
      <c r="O358" s="2">
        <f ca="1">INDEX(INDIRECT(_xlfn.CONCAT("weather.tbl[",O$1,"]")),MATCH(vp.data[[#This Row],[SDate]],weather.tbl[Date],0))</f>
        <v>6.6880952380952374</v>
      </c>
      <c r="P358" s="2">
        <f ca="1">INDEX(INDIRECT(_xlfn.CONCAT("weather.tbl[",P$1,"]")),MATCH(vp.data[[#This Row],[SDate]],weather.tbl[Date],0))</f>
        <v>7.8</v>
      </c>
      <c r="Q358" s="2">
        <f ca="1">INDEX(INDIRECT(_xlfn.CONCAT("weather.tbl[",Q$1,"]")),MATCH(vp.data[[#This Row],[SDate]],weather.tbl[Date],0))</f>
        <v>8</v>
      </c>
      <c r="R358" s="2">
        <f ca="1">INDEX(INDIRECT(_xlfn.CONCAT("weather.tbl[",R$1,"]")),MATCH(vp.data[[#This Row],[SDate]],weather.tbl[Date],0))</f>
        <v>6</v>
      </c>
      <c r="S358" s="2">
        <f ca="1">INDEX(INDIRECT(_xlfn.CONCAT("weather.tbl[",S$1,"]")),MATCH(vp.data[[#This Row],[SDate]],weather.tbl[Date],0))</f>
        <v>8.5</v>
      </c>
      <c r="T358" s="2">
        <f ca="1">INDEX(INDIRECT(_xlfn.CONCAT("weather.tbl[",T$1,"]")),MATCH(vp.data[[#This Row],[SDate]],weather.tbl[Date],0))</f>
        <v>4.9000000000000004</v>
      </c>
      <c r="U358" s="2">
        <f ca="1">INDEX(INDIRECT(_xlfn.CONCAT("weather.tbl[",U$1,"]")),MATCH(vp.data[[#This Row],[SDate]],weather.tbl[Date],0))</f>
        <v>6.8</v>
      </c>
      <c r="V358" s="2">
        <f t="array" ref="V3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14400.835999999999</v>
      </c>
      <c r="W358" t="s">
        <v>48</v>
      </c>
      <c r="X358">
        <f>IF(OR(vp.data[[#This Row],[Sulf]]="",vp.data[[#This Row],[Dens]]=""),1,0)</f>
        <v>0</v>
      </c>
      <c r="Y358">
        <f>IF(vp.data[[#This Row],[CrudeType]]="C5+",1,0)</f>
        <v>0</v>
      </c>
      <c r="Z358">
        <f>IF(AND(vp.data[[#This Row],[CrudeType]]="Crude",vp.data[[#This Row],[Dens]]&lt;=825,vp.data[[#This Row],[Sulf]]&gt;0.5,vp.data[[#This Row],[Unknown]]=0),1,0)</f>
        <v>0</v>
      </c>
      <c r="AA358">
        <f>IF(AND(vp.data[[#This Row],[CrudeType]]="Crude",vp.data[[#This Row],[Dens]]&lt;=825,vp.data[[#This Row],[Sulf]]&lt;=0.5,vp.data[[#This Row],[Unknown]]=0),1,0)</f>
        <v>0</v>
      </c>
      <c r="AB3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8">
        <f>IF(AND(vp.data[[#This Row],[CrudeType]]="Crude",vp.data[[#This Row],[Dens]]&gt;825,vp.data[[#This Row],[Dens]]&lt;=900,vp.data[[#This Row],[Sulf]]&lt;=0.5,vp.data[[#This Row],[Unknown]]=0),1,0)</f>
        <v>0</v>
      </c>
      <c r="AD358">
        <f>IF(AND(vp.data[[#This Row],[CrudeType]]="Crude",vp.data[[#This Row],[Dens]]&gt;865,vp.data[[#This Row],[Dens]]&lt;=900,vp.data[[#This Row],[Sulf]]&gt;2,vp.data[[#This Row],[Unknown]]=0),1,0)</f>
        <v>0</v>
      </c>
      <c r="AE358">
        <f>IF(AND(vp.data[[#This Row],[CrudeType]]="Crude",vp.data[[#This Row],[Dens]]&gt;900,vp.data[[#This Row],[Sulf]]&lt;=0.5,vp.data[[#This Row],[Unknown]]=0),1,0)</f>
        <v>0</v>
      </c>
      <c r="AF358">
        <f>IF(AND(vp.data[[#This Row],[CrudeType]]="Crude",vp.data[[#This Row],[Dens]]&gt;900,vp.data[[#This Row],[Sulf]]&lt;=0.5,vp.data[[#This Row],[Unknown]]=0),1,0)</f>
        <v>0</v>
      </c>
      <c r="AG358" t="str">
        <f>INDEX(vp.data[[#Headers],[Unknown]:[Heavy_SW]],MATCH(1,vp.data[[#This Row],[Unknown]:[Heavy_SW]],0))</f>
        <v>Medium_LSB</v>
      </c>
      <c r="AH358">
        <f>INDEX([3]!crudeBD.lkup[Number],MATCH(vp.data[[#This Row],[Crude_Breakdown]],crudeBD.lkup[Crude Breakdown],0))</f>
        <v>3</v>
      </c>
      <c r="AI358">
        <f>MONTH(vp.data[[#This Row],[SDate]])</f>
        <v>11</v>
      </c>
      <c r="AJ358" s="5">
        <f>(vp.data[[#This Row],[VP]]-INDEX(crudeBD.lkup[Mean_VP],MATCH(vp.data[[#This Row],[Crude_Breakdown]],crudeBD.lkup[Crude Breakdown],0)))^2</f>
        <v>1.7947332582586195</v>
      </c>
      <c r="AK358" s="5">
        <f>(vp.data[[#This Row],[Dens]]-INDEX(crudeBD.lkup[Mean_Dens],MATCH(vp.data[[#This Row],[Crude_Breakdown]],crudeBD.lkup[Crude Breakdown],0)))^2</f>
        <v>27.248399999994351</v>
      </c>
      <c r="AL358" s="5">
        <f>(vp.data[[#This Row],[Sulf]]-INDEX(crudeBD.lkup[Mean_Sulf],MATCH(vp.data[[#This Row],[Crude_Breakdown]],crudeBD.lkup[Crude Breakdown],0)))^2</f>
        <v>5.6863855700863518E-3</v>
      </c>
      <c r="AM358" s="4">
        <f>IF(AND(vp.data[[#This Row],[SDate]]&gt;=DATE(YEAR(vp.data[[#This Row],[SDate]]),5,1),vp.data[[#This Row],[SDate]]&lt;=DATE(YEAR(vp.data[[#This Row],[SDate]]),9,15)),1,0)</f>
        <v>0</v>
      </c>
      <c r="AN358" s="4">
        <f>IF(vp.data[[#This Row],[SDate]]&lt;DATE(2016,12,1),0,1)</f>
        <v>0</v>
      </c>
      <c r="AO358" s="4">
        <f>IFERROR(vp.data[[#This Row],[Sulf]]*vp.data[[#This Row],[Net Dens]],"")</f>
        <v>15822155.310692001</v>
      </c>
      <c r="AP358">
        <f>IFERROR(vp.data[[#This Row],[Dens]]*vp.data[[#This Row],[VolumeM3]],"")</f>
        <v>12077981.153200001</v>
      </c>
      <c r="AQ358" s="15">
        <f>IFERROR(vp.data[[#This Row],[VP]]*vp.data[[#This Row],[VolumeM3]],"")</f>
        <v>1141986.2947999998</v>
      </c>
    </row>
    <row r="359" spans="1:43" x14ac:dyDescent="0.25">
      <c r="A359">
        <v>358</v>
      </c>
      <c r="B359" t="s">
        <v>56</v>
      </c>
      <c r="C359" t="s">
        <v>56</v>
      </c>
      <c r="D359" t="s">
        <v>94</v>
      </c>
      <c r="F359" s="1">
        <v>42688</v>
      </c>
      <c r="G359" s="2">
        <v>73.099999999999994</v>
      </c>
      <c r="H359" s="2"/>
      <c r="I359" s="2">
        <f t="array" ref="I359">_xlfn.IFNA(IF(vp.data[[#This Row],[Sulf Input]]="",INDEX([1]DATA!$Q$3:$Q$9826,MATCH(1,(vp.data[[#This Row],[Battery]]=[1]DATA!$L$3:$L$9826)*(EOMONTH(vp.data[[#This Row],[SDate]],-1)+1=[1]DATA!$G$3:$G$9826),0)),vp.data[[#This Row],[Sulf Input]]),"")</f>
        <v>2.04</v>
      </c>
      <c r="J359" s="2"/>
      <c r="K359" s="2"/>
      <c r="L359" s="2">
        <v>863</v>
      </c>
      <c r="M359" s="2">
        <f t="array" ref="M359">_xlfn.IFNA(IF(vp.data[[#This Row],[Dens Input]]="",INDEX([1]DATA!$O$3:$O$9826,MATCH(1,(vp.data[[#This Row],[Battery]]=[1]DATA!$L$3:$L$9826)*(EOMONTH(vp.data[[#This Row],[SDate]],-1)+1=[1]DATA!$G$3:$G$9826),0)),vp.data[[#This Row],[Dens Input]]),"")</f>
        <v>863</v>
      </c>
      <c r="N359" s="2">
        <f ca="1">INDEX(INDIRECT(_xlfn.CONCAT("weather.tbl[",N$1,"]")),MATCH(vp.data[[#This Row],[SDate]],weather.tbl[Date],0))</f>
        <v>7</v>
      </c>
      <c r="O359" s="2">
        <f ca="1">INDEX(INDIRECT(_xlfn.CONCAT("weather.tbl[",O$1,"]")),MATCH(vp.data[[#This Row],[SDate]],weather.tbl[Date],0))</f>
        <v>6.6880952380952374</v>
      </c>
      <c r="P359" s="2">
        <f ca="1">INDEX(INDIRECT(_xlfn.CONCAT("weather.tbl[",P$1,"]")),MATCH(vp.data[[#This Row],[SDate]],weather.tbl[Date],0))</f>
        <v>7.8</v>
      </c>
      <c r="Q359" s="2">
        <f ca="1">INDEX(INDIRECT(_xlfn.CONCAT("weather.tbl[",Q$1,"]")),MATCH(vp.data[[#This Row],[SDate]],weather.tbl[Date],0))</f>
        <v>8</v>
      </c>
      <c r="R359" s="2">
        <f ca="1">INDEX(INDIRECT(_xlfn.CONCAT("weather.tbl[",R$1,"]")),MATCH(vp.data[[#This Row],[SDate]],weather.tbl[Date],0))</f>
        <v>6</v>
      </c>
      <c r="S359" s="2">
        <f ca="1">INDEX(INDIRECT(_xlfn.CONCAT("weather.tbl[",S$1,"]")),MATCH(vp.data[[#This Row],[SDate]],weather.tbl[Date],0))</f>
        <v>8.5</v>
      </c>
      <c r="T359" s="2">
        <f ca="1">INDEX(INDIRECT(_xlfn.CONCAT("weather.tbl[",T$1,"]")),MATCH(vp.data[[#This Row],[SDate]],weather.tbl[Date],0))</f>
        <v>4.9000000000000004</v>
      </c>
      <c r="U359" s="2">
        <f ca="1">INDEX(INDIRECT(_xlfn.CONCAT("weather.tbl[",U$1,"]")),MATCH(vp.data[[#This Row],[SDate]],weather.tbl[Date],0))</f>
        <v>6.8</v>
      </c>
      <c r="V359" s="2">
        <f t="array" ref="V3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3573.9189999999999</v>
      </c>
      <c r="W359" t="s">
        <v>48</v>
      </c>
      <c r="X359">
        <f>IF(OR(vp.data[[#This Row],[Sulf]]="",vp.data[[#This Row],[Dens]]=""),1,0)</f>
        <v>0</v>
      </c>
      <c r="Y359">
        <f>IF(vp.data[[#This Row],[CrudeType]]="C5+",1,0)</f>
        <v>0</v>
      </c>
      <c r="Z359">
        <f>IF(AND(vp.data[[#This Row],[CrudeType]]="Crude",vp.data[[#This Row],[Dens]]&lt;=825,vp.data[[#This Row],[Sulf]]&gt;0.5,vp.data[[#This Row],[Unknown]]=0),1,0)</f>
        <v>0</v>
      </c>
      <c r="AA359">
        <f>IF(AND(vp.data[[#This Row],[CrudeType]]="Crude",vp.data[[#This Row],[Dens]]&lt;=825,vp.data[[#This Row],[Sulf]]&lt;=0.5,vp.data[[#This Row],[Unknown]]=0),1,0)</f>
        <v>0</v>
      </c>
      <c r="AB3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59">
        <f>IF(AND(vp.data[[#This Row],[CrudeType]]="Crude",vp.data[[#This Row],[Dens]]&gt;825,vp.data[[#This Row],[Dens]]&lt;=900,vp.data[[#This Row],[Sulf]]&lt;=0.5,vp.data[[#This Row],[Unknown]]=0),1,0)</f>
        <v>0</v>
      </c>
      <c r="AD359">
        <f>IF(AND(vp.data[[#This Row],[CrudeType]]="Crude",vp.data[[#This Row],[Dens]]&gt;865,vp.data[[#This Row],[Dens]]&lt;=900,vp.data[[#This Row],[Sulf]]&gt;2,vp.data[[#This Row],[Unknown]]=0),1,0)</f>
        <v>0</v>
      </c>
      <c r="AE359">
        <f>IF(AND(vp.data[[#This Row],[CrudeType]]="Crude",vp.data[[#This Row],[Dens]]&gt;900,vp.data[[#This Row],[Sulf]]&lt;=0.5,vp.data[[#This Row],[Unknown]]=0),1,0)</f>
        <v>0</v>
      </c>
      <c r="AF359">
        <f>IF(AND(vp.data[[#This Row],[CrudeType]]="Crude",vp.data[[#This Row],[Dens]]&gt;900,vp.data[[#This Row],[Sulf]]&lt;=0.5,vp.data[[#This Row],[Unknown]]=0),1,0)</f>
        <v>0</v>
      </c>
      <c r="AG359" t="str">
        <f>INDEX(vp.data[[#Headers],[Unknown]:[Heavy_SW]],MATCH(1,vp.data[[#This Row],[Unknown]:[Heavy_SW]],0))</f>
        <v>Medium_LSB</v>
      </c>
      <c r="AH359">
        <f>INDEX([3]!crudeBD.lkup[Number],MATCH(vp.data[[#This Row],[Crude_Breakdown]],crudeBD.lkup[Crude Breakdown],0))</f>
        <v>3</v>
      </c>
      <c r="AI359">
        <f>MONTH(vp.data[[#This Row],[SDate]])</f>
        <v>11</v>
      </c>
      <c r="AJ359" s="5">
        <f>(vp.data[[#This Row],[VP]]-INDEX(crudeBD.lkup[Mean_VP],MATCH(vp.data[[#This Row],[Crude_Breakdown]],crudeBD.lkup[Crude Breakdown],0)))^2</f>
        <v>56.846722476586649</v>
      </c>
      <c r="AK359" s="5">
        <f>(vp.data[[#This Row],[Dens]]-INDEX(crudeBD.lkup[Mean_Dens],MATCH(vp.data[[#This Row],[Crude_Breakdown]],crudeBD.lkup[Crude Breakdown],0)))^2</f>
        <v>364.04640000001893</v>
      </c>
      <c r="AL359" s="5">
        <f>(vp.data[[#This Row],[Sulf]]-INDEX(crudeBD.lkup[Mean_Sulf],MATCH(vp.data[[#This Row],[Crude_Breakdown]],crudeBD.lkup[Crude Breakdown],0)))^2</f>
        <v>0.42849052061051546</v>
      </c>
      <c r="AM359" s="4">
        <f>IF(AND(vp.data[[#This Row],[SDate]]&gt;=DATE(YEAR(vp.data[[#This Row],[SDate]]),5,1),vp.data[[#This Row],[SDate]]&lt;=DATE(YEAR(vp.data[[#This Row],[SDate]]),9,15)),1,0)</f>
        <v>0</v>
      </c>
      <c r="AN359" s="4">
        <f>IF(vp.data[[#This Row],[SDate]]&lt;DATE(2016,12,1),0,1)</f>
        <v>0</v>
      </c>
      <c r="AO359" s="4">
        <f>IFERROR(vp.data[[#This Row],[Sulf]]*vp.data[[#This Row],[Net Dens]],"")</f>
        <v>6291955.8778800005</v>
      </c>
      <c r="AP359">
        <f>IFERROR(vp.data[[#This Row],[Dens]]*vp.data[[#This Row],[VolumeM3]],"")</f>
        <v>3084292.0970000001</v>
      </c>
      <c r="AQ359" s="15">
        <f>IFERROR(vp.data[[#This Row],[VP]]*vp.data[[#This Row],[VolumeM3]],"")</f>
        <v>261253.47889999996</v>
      </c>
    </row>
    <row r="360" spans="1:43" x14ac:dyDescent="0.25">
      <c r="A360">
        <v>359</v>
      </c>
      <c r="B360" t="s">
        <v>49</v>
      </c>
      <c r="C360" t="s">
        <v>49</v>
      </c>
      <c r="D360" t="s">
        <v>67</v>
      </c>
      <c r="F360" s="1">
        <v>42689</v>
      </c>
      <c r="G360" s="2">
        <v>89.9</v>
      </c>
      <c r="H360" s="2"/>
      <c r="I360" s="2">
        <f t="array" ref="I360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60" s="2"/>
      <c r="K360" s="2"/>
      <c r="L360" s="2">
        <v>806.3</v>
      </c>
      <c r="M360" s="2">
        <f t="array" ref="M360">_xlfn.IFNA(IF(vp.data[[#This Row],[Dens Input]]="",INDEX([1]DATA!$O$3:$O$9826,MATCH(1,(vp.data[[#This Row],[Battery]]=[1]DATA!$L$3:$L$9826)*(EOMONTH(vp.data[[#This Row],[SDate]],-1)+1=[1]DATA!$G$3:$G$9826),0)),vp.data[[#This Row],[Dens Input]]),"")</f>
        <v>806.3</v>
      </c>
      <c r="N360" s="2">
        <f ca="1">INDEX(INDIRECT(_xlfn.CONCAT("weather.tbl[",N$1,"]")),MATCH(vp.data[[#This Row],[SDate]],weather.tbl[Date],0))</f>
        <v>4.2333333333333334</v>
      </c>
      <c r="O360" s="2">
        <f ca="1">INDEX(INDIRECT(_xlfn.CONCAT("weather.tbl[",O$1,"]")),MATCH(vp.data[[#This Row],[SDate]],weather.tbl[Date],0))</f>
        <v>6.6190476190476186</v>
      </c>
      <c r="P360" s="2">
        <f ca="1">INDEX(INDIRECT(_xlfn.CONCAT("weather.tbl[",P$1,"]")),MATCH(vp.data[[#This Row],[SDate]],weather.tbl[Date],0))</f>
        <v>4.0999999999999996</v>
      </c>
      <c r="Q360" s="2">
        <f ca="1">INDEX(INDIRECT(_xlfn.CONCAT("weather.tbl[",Q$1,"]")),MATCH(vp.data[[#This Row],[SDate]],weather.tbl[Date],0))</f>
        <v>3.5</v>
      </c>
      <c r="R360" s="2">
        <f ca="1">INDEX(INDIRECT(_xlfn.CONCAT("weather.tbl[",R$1,"]")),MATCH(vp.data[[#This Row],[SDate]],weather.tbl[Date],0))</f>
        <v>6</v>
      </c>
      <c r="S360" s="2">
        <f ca="1">INDEX(INDIRECT(_xlfn.CONCAT("weather.tbl[",S$1,"]")),MATCH(vp.data[[#This Row],[SDate]],weather.tbl[Date],0))</f>
        <v>3.8</v>
      </c>
      <c r="T360" s="2">
        <f ca="1">INDEX(INDIRECT(_xlfn.CONCAT("weather.tbl[",T$1,"]")),MATCH(vp.data[[#This Row],[SDate]],weather.tbl[Date],0))</f>
        <v>5.2</v>
      </c>
      <c r="U360" s="2">
        <f ca="1">INDEX(INDIRECT(_xlfn.CONCAT("weather.tbl[",U$1,"]")),MATCH(vp.data[[#This Row],[SDate]],weather.tbl[Date],0))</f>
        <v>2.8</v>
      </c>
      <c r="V360" s="2">
        <f t="array" ref="V3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52233.78</v>
      </c>
      <c r="W360" t="s">
        <v>48</v>
      </c>
      <c r="X360">
        <f>IF(OR(vp.data[[#This Row],[Sulf]]="",vp.data[[#This Row],[Dens]]=""),1,0)</f>
        <v>0</v>
      </c>
      <c r="Y360">
        <f>IF(vp.data[[#This Row],[CrudeType]]="C5+",1,0)</f>
        <v>0</v>
      </c>
      <c r="Z360">
        <f>IF(AND(vp.data[[#This Row],[CrudeType]]="Crude",vp.data[[#This Row],[Dens]]&lt;=825,vp.data[[#This Row],[Sulf]]&gt;0.5,vp.data[[#This Row],[Unknown]]=0),1,0)</f>
        <v>0</v>
      </c>
      <c r="AA360">
        <f>IF(AND(vp.data[[#This Row],[CrudeType]]="Crude",vp.data[[#This Row],[Dens]]&lt;=825,vp.data[[#This Row],[Sulf]]&lt;=0.5,vp.data[[#This Row],[Unknown]]=0),1,0)</f>
        <v>1</v>
      </c>
      <c r="AB3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0">
        <f>IF(AND(vp.data[[#This Row],[CrudeType]]="Crude",vp.data[[#This Row],[Dens]]&gt;825,vp.data[[#This Row],[Dens]]&lt;=900,vp.data[[#This Row],[Sulf]]&lt;=0.5,vp.data[[#This Row],[Unknown]]=0),1,0)</f>
        <v>0</v>
      </c>
      <c r="AD360">
        <f>IF(AND(vp.data[[#This Row],[CrudeType]]="Crude",vp.data[[#This Row],[Dens]]&gt;865,vp.data[[#This Row],[Dens]]&lt;=900,vp.data[[#This Row],[Sulf]]&gt;2,vp.data[[#This Row],[Unknown]]=0),1,0)</f>
        <v>0</v>
      </c>
      <c r="AE360">
        <f>IF(AND(vp.data[[#This Row],[CrudeType]]="Crude",vp.data[[#This Row],[Dens]]&gt;900,vp.data[[#This Row],[Sulf]]&lt;=0.5,vp.data[[#This Row],[Unknown]]=0),1,0)</f>
        <v>0</v>
      </c>
      <c r="AF360">
        <f>IF(AND(vp.data[[#This Row],[CrudeType]]="Crude",vp.data[[#This Row],[Dens]]&gt;900,vp.data[[#This Row],[Sulf]]&lt;=0.5,vp.data[[#This Row],[Unknown]]=0),1,0)</f>
        <v>0</v>
      </c>
      <c r="AG360" t="str">
        <f>INDEX(vp.data[[#Headers],[Unknown]:[Heavy_SW]],MATCH(1,vp.data[[#This Row],[Unknown]:[Heavy_SW]],0))</f>
        <v>Light_SW</v>
      </c>
      <c r="AH360">
        <f>INDEX([3]!crudeBD.lkup[Number],MATCH(vp.data[[#This Row],[Crude_Breakdown]],crudeBD.lkup[Crude Breakdown],0))</f>
        <v>2</v>
      </c>
      <c r="AI360">
        <f>MONTH(vp.data[[#This Row],[SDate]])</f>
        <v>11</v>
      </c>
      <c r="AJ360" s="5">
        <f>(vp.data[[#This Row],[VP]]-INDEX(crudeBD.lkup[Mean_VP],MATCH(vp.data[[#This Row],[Crude_Breakdown]],crudeBD.lkup[Crude Breakdown],0)))^2</f>
        <v>7.0241621192437034</v>
      </c>
      <c r="AK360" s="5">
        <f>(vp.data[[#This Row],[Dens]]-INDEX(crudeBD.lkup[Mean_Dens],MATCH(vp.data[[#This Row],[Crude_Breakdown]],crudeBD.lkup[Crude Breakdown],0)))^2</f>
        <v>4.0461252412915387</v>
      </c>
      <c r="AL360" s="5">
        <f>(vp.data[[#This Row],[Sulf]]-INDEX(crudeBD.lkup[Mean_Sulf],MATCH(vp.data[[#This Row],[Crude_Breakdown]],crudeBD.lkup[Crude Breakdown],0)))^2</f>
        <v>1.3134689259308601E-3</v>
      </c>
      <c r="AM360" s="4">
        <f>IF(AND(vp.data[[#This Row],[SDate]]&gt;=DATE(YEAR(vp.data[[#This Row],[SDate]]),5,1),vp.data[[#This Row],[SDate]]&lt;=DATE(YEAR(vp.data[[#This Row],[SDate]]),9,15)),1,0)</f>
        <v>0</v>
      </c>
      <c r="AN360" s="4">
        <f>IF(vp.data[[#This Row],[SDate]]&lt;DATE(2016,12,1),0,1)</f>
        <v>0</v>
      </c>
      <c r="AO360" s="4">
        <f>IFERROR(vp.data[[#This Row],[Sulf]]*vp.data[[#This Row],[Net Dens]],"")</f>
        <v>8423219.3628000002</v>
      </c>
      <c r="AP360">
        <f>IFERROR(vp.data[[#This Row],[Dens]]*vp.data[[#This Row],[VolumeM3]],"")</f>
        <v>42116096.813999996</v>
      </c>
      <c r="AQ360" s="15">
        <f>IFERROR(vp.data[[#This Row],[VP]]*vp.data[[#This Row],[VolumeM3]],"")</f>
        <v>4695816.8220000006</v>
      </c>
    </row>
    <row r="361" spans="1:43" x14ac:dyDescent="0.25">
      <c r="A361">
        <v>360</v>
      </c>
      <c r="B361" t="s">
        <v>51</v>
      </c>
      <c r="C361" t="s">
        <v>51</v>
      </c>
      <c r="D361" t="s">
        <v>71</v>
      </c>
      <c r="F361" s="1">
        <v>42690</v>
      </c>
      <c r="G361" s="2">
        <v>83.3</v>
      </c>
      <c r="H361" s="2"/>
      <c r="I361" s="2">
        <f t="array" ref="I361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361" s="2"/>
      <c r="K361" s="2"/>
      <c r="L361" s="2">
        <v>823.5</v>
      </c>
      <c r="M361" s="2">
        <f t="array" ref="M361">_xlfn.IFNA(IF(vp.data[[#This Row],[Dens Input]]="",INDEX([1]DATA!$O$3:$O$9826,MATCH(1,(vp.data[[#This Row],[Battery]]=[1]DATA!$L$3:$L$9826)*(EOMONTH(vp.data[[#This Row],[SDate]],-1)+1=[1]DATA!$G$3:$G$9826),0)),vp.data[[#This Row],[Dens Input]]),"")</f>
        <v>823.5</v>
      </c>
      <c r="N361" s="2">
        <f ca="1">INDEX(INDIRECT(_xlfn.CONCAT("weather.tbl[",N$1,"]")),MATCH(vp.data[[#This Row],[SDate]],weather.tbl[Date],0))</f>
        <v>4.1333333333333337</v>
      </c>
      <c r="O361" s="2">
        <f ca="1">INDEX(INDIRECT(_xlfn.CONCAT("weather.tbl[",O$1,"]")),MATCH(vp.data[[#This Row],[SDate]],weather.tbl[Date],0))</f>
        <v>5.6809523809523812</v>
      </c>
      <c r="P361" s="2">
        <f ca="1">INDEX(INDIRECT(_xlfn.CONCAT("weather.tbl[",P$1,"]")),MATCH(vp.data[[#This Row],[SDate]],weather.tbl[Date],0))</f>
        <v>4.5</v>
      </c>
      <c r="Q361" s="2">
        <f ca="1">INDEX(INDIRECT(_xlfn.CONCAT("weather.tbl[",Q$1,"]")),MATCH(vp.data[[#This Row],[SDate]],weather.tbl[Date],0))</f>
        <v>0.8</v>
      </c>
      <c r="R361" s="2">
        <f ca="1">INDEX(INDIRECT(_xlfn.CONCAT("weather.tbl[",R$1,"]")),MATCH(vp.data[[#This Row],[SDate]],weather.tbl[Date],0))</f>
        <v>5.8</v>
      </c>
      <c r="S361" s="2">
        <f ca="1">INDEX(INDIRECT(_xlfn.CONCAT("weather.tbl[",S$1,"]")),MATCH(vp.data[[#This Row],[SDate]],weather.tbl[Date],0))</f>
        <v>3</v>
      </c>
      <c r="T361" s="2">
        <f ca="1">INDEX(INDIRECT(_xlfn.CONCAT("weather.tbl[",T$1,"]")),MATCH(vp.data[[#This Row],[SDate]],weather.tbl[Date],0))</f>
        <v>7.2</v>
      </c>
      <c r="U361" s="2">
        <f ca="1">INDEX(INDIRECT(_xlfn.CONCAT("weather.tbl[",U$1,"]")),MATCH(vp.data[[#This Row],[SDate]],weather.tbl[Date],0))</f>
        <v>3.5</v>
      </c>
      <c r="V361" s="2">
        <f t="array" ref="V3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6443.4089999999997</v>
      </c>
      <c r="W361" t="s">
        <v>48</v>
      </c>
      <c r="X361">
        <f>IF(OR(vp.data[[#This Row],[Sulf]]="",vp.data[[#This Row],[Dens]]=""),1,0)</f>
        <v>0</v>
      </c>
      <c r="Y361">
        <f>IF(vp.data[[#This Row],[CrudeType]]="C5+",1,0)</f>
        <v>0</v>
      </c>
      <c r="Z361">
        <f>IF(AND(vp.data[[#This Row],[CrudeType]]="Crude",vp.data[[#This Row],[Dens]]&lt;=825,vp.data[[#This Row],[Sulf]]&gt;0.5,vp.data[[#This Row],[Unknown]]=0),1,0)</f>
        <v>1</v>
      </c>
      <c r="AA361">
        <f>IF(AND(vp.data[[#This Row],[CrudeType]]="Crude",vp.data[[#This Row],[Dens]]&lt;=825,vp.data[[#This Row],[Sulf]]&lt;=0.5,vp.data[[#This Row],[Unknown]]=0),1,0)</f>
        <v>0</v>
      </c>
      <c r="AB3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1">
        <f>IF(AND(vp.data[[#This Row],[CrudeType]]="Crude",vp.data[[#This Row],[Dens]]&gt;825,vp.data[[#This Row],[Dens]]&lt;=900,vp.data[[#This Row],[Sulf]]&lt;=0.5,vp.data[[#This Row],[Unknown]]=0),1,0)</f>
        <v>0</v>
      </c>
      <c r="AD361">
        <f>IF(AND(vp.data[[#This Row],[CrudeType]]="Crude",vp.data[[#This Row],[Dens]]&gt;865,vp.data[[#This Row],[Dens]]&lt;=900,vp.data[[#This Row],[Sulf]]&gt;2,vp.data[[#This Row],[Unknown]]=0),1,0)</f>
        <v>0</v>
      </c>
      <c r="AE361">
        <f>IF(AND(vp.data[[#This Row],[CrudeType]]="Crude",vp.data[[#This Row],[Dens]]&gt;900,vp.data[[#This Row],[Sulf]]&lt;=0.5,vp.data[[#This Row],[Unknown]]=0),1,0)</f>
        <v>0</v>
      </c>
      <c r="AF361">
        <f>IF(AND(vp.data[[#This Row],[CrudeType]]="Crude",vp.data[[#This Row],[Dens]]&gt;900,vp.data[[#This Row],[Sulf]]&lt;=0.5,vp.data[[#This Row],[Unknown]]=0),1,0)</f>
        <v>0</v>
      </c>
      <c r="AG361" t="str">
        <f>INDEX(vp.data[[#Headers],[Unknown]:[Heavy_SW]],MATCH(1,vp.data[[#This Row],[Unknown]:[Heavy_SW]],0))</f>
        <v>Light_LSB</v>
      </c>
      <c r="AH361">
        <f>INDEX([3]!crudeBD.lkup[Number],MATCH(vp.data[[#This Row],[Crude_Breakdown]],crudeBD.lkup[Crude Breakdown],0))</f>
        <v>1</v>
      </c>
      <c r="AI361">
        <f>MONTH(vp.data[[#This Row],[SDate]])</f>
        <v>11</v>
      </c>
      <c r="AJ361" s="5">
        <f>(vp.data[[#This Row],[VP]]-INDEX(crudeBD.lkup[Mean_VP],MATCH(vp.data[[#This Row],[Crude_Breakdown]],crudeBD.lkup[Crude Breakdown],0)))^2</f>
        <v>67.999576405569698</v>
      </c>
      <c r="AK361" s="5">
        <f>(vp.data[[#This Row],[Dens]]-INDEX(crudeBD.lkup[Mean_Dens],MATCH(vp.data[[#This Row],[Crude_Breakdown]],crudeBD.lkup[Crude Breakdown],0)))^2</f>
        <v>24.832583630333428</v>
      </c>
      <c r="AL361" s="5">
        <f>(vp.data[[#This Row],[Sulf]]-INDEX(crudeBD.lkup[Mean_Sulf],MATCH(vp.data[[#This Row],[Crude_Breakdown]],crudeBD.lkup[Crude Breakdown],0)))^2</f>
        <v>0.24703765945669176</v>
      </c>
      <c r="AM361" s="4">
        <f>IF(AND(vp.data[[#This Row],[SDate]]&gt;=DATE(YEAR(vp.data[[#This Row],[SDate]]),5,1),vp.data[[#This Row],[SDate]]&lt;=DATE(YEAR(vp.data[[#This Row],[SDate]]),9,15)),1,0)</f>
        <v>0</v>
      </c>
      <c r="AN361" s="4">
        <f>IF(vp.data[[#This Row],[SDate]]&lt;DATE(2016,12,1),0,1)</f>
        <v>0</v>
      </c>
      <c r="AO361" s="4">
        <f>IFERROR(vp.data[[#This Row],[Sulf]]*vp.data[[#This Row],[Net Dens]],"")</f>
        <v>7534729.1823299993</v>
      </c>
      <c r="AP361">
        <f>IFERROR(vp.data[[#This Row],[Dens]]*vp.data[[#This Row],[VolumeM3]],"")</f>
        <v>5306147.3114999998</v>
      </c>
      <c r="AQ361" s="15">
        <f>IFERROR(vp.data[[#This Row],[VP]]*vp.data[[#This Row],[VolumeM3]],"")</f>
        <v>536735.9696999999</v>
      </c>
    </row>
    <row r="362" spans="1:43" x14ac:dyDescent="0.25">
      <c r="A362">
        <v>361</v>
      </c>
      <c r="B362" t="s">
        <v>68</v>
      </c>
      <c r="C362" t="s">
        <v>68</v>
      </c>
      <c r="D362" t="s">
        <v>69</v>
      </c>
      <c r="F362" s="1">
        <v>42690</v>
      </c>
      <c r="G362" s="2">
        <v>86.7</v>
      </c>
      <c r="H362" s="2"/>
      <c r="I362" s="2">
        <f t="array" ref="I362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362" s="2"/>
      <c r="K362" s="2"/>
      <c r="L362" s="2">
        <v>825.6</v>
      </c>
      <c r="M362" s="2">
        <f t="array" ref="M362">_xlfn.IFNA(IF(vp.data[[#This Row],[Dens Input]]="",INDEX([1]DATA!$O$3:$O$9826,MATCH(1,(vp.data[[#This Row],[Battery]]=[1]DATA!$L$3:$L$9826)*(EOMONTH(vp.data[[#This Row],[SDate]],-1)+1=[1]DATA!$G$3:$G$9826),0)),vp.data[[#This Row],[Dens Input]]),"")</f>
        <v>825.6</v>
      </c>
      <c r="N362" s="2">
        <f ca="1">INDEX(INDIRECT(_xlfn.CONCAT("weather.tbl[",N$1,"]")),MATCH(vp.data[[#This Row],[SDate]],weather.tbl[Date],0))</f>
        <v>4.1333333333333337</v>
      </c>
      <c r="O362" s="2">
        <f ca="1">INDEX(INDIRECT(_xlfn.CONCAT("weather.tbl[",O$1,"]")),MATCH(vp.data[[#This Row],[SDate]],weather.tbl[Date],0))</f>
        <v>5.6809523809523812</v>
      </c>
      <c r="P362" s="2">
        <f ca="1">INDEX(INDIRECT(_xlfn.CONCAT("weather.tbl[",P$1,"]")),MATCH(vp.data[[#This Row],[SDate]],weather.tbl[Date],0))</f>
        <v>4.5</v>
      </c>
      <c r="Q362" s="2">
        <f ca="1">INDEX(INDIRECT(_xlfn.CONCAT("weather.tbl[",Q$1,"]")),MATCH(vp.data[[#This Row],[SDate]],weather.tbl[Date],0))</f>
        <v>0.8</v>
      </c>
      <c r="R362" s="2">
        <f ca="1">INDEX(INDIRECT(_xlfn.CONCAT("weather.tbl[",R$1,"]")),MATCH(vp.data[[#This Row],[SDate]],weather.tbl[Date],0))</f>
        <v>5.8</v>
      </c>
      <c r="S362" s="2">
        <f ca="1">INDEX(INDIRECT(_xlfn.CONCAT("weather.tbl[",S$1,"]")),MATCH(vp.data[[#This Row],[SDate]],weather.tbl[Date],0))</f>
        <v>3</v>
      </c>
      <c r="T362" s="2">
        <f ca="1">INDEX(INDIRECT(_xlfn.CONCAT("weather.tbl[",T$1,"]")),MATCH(vp.data[[#This Row],[SDate]],weather.tbl[Date],0))</f>
        <v>7.2</v>
      </c>
      <c r="U362" s="2">
        <f ca="1">INDEX(INDIRECT(_xlfn.CONCAT("weather.tbl[",U$1,"]")),MATCH(vp.data[[#This Row],[SDate]],weather.tbl[Date],0))</f>
        <v>3.5</v>
      </c>
      <c r="V362" s="2">
        <f t="array" ref="V3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1318.99</v>
      </c>
      <c r="W362" t="s">
        <v>48</v>
      </c>
      <c r="X362">
        <f>IF(OR(vp.data[[#This Row],[Sulf]]="",vp.data[[#This Row],[Dens]]=""),1,0)</f>
        <v>0</v>
      </c>
      <c r="Y362">
        <f>IF(vp.data[[#This Row],[CrudeType]]="C5+",1,0)</f>
        <v>0</v>
      </c>
      <c r="Z362">
        <f>IF(AND(vp.data[[#This Row],[CrudeType]]="Crude",vp.data[[#This Row],[Dens]]&lt;=825,vp.data[[#This Row],[Sulf]]&gt;0.5,vp.data[[#This Row],[Unknown]]=0),1,0)</f>
        <v>0</v>
      </c>
      <c r="AA362">
        <f>IF(AND(vp.data[[#This Row],[CrudeType]]="Crude",vp.data[[#This Row],[Dens]]&lt;=825,vp.data[[#This Row],[Sulf]]&lt;=0.5,vp.data[[#This Row],[Unknown]]=0),1,0)</f>
        <v>0</v>
      </c>
      <c r="AB3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62">
        <f>IF(AND(vp.data[[#This Row],[CrudeType]]="Crude",vp.data[[#This Row],[Dens]]&gt;825,vp.data[[#This Row],[Dens]]&lt;=900,vp.data[[#This Row],[Sulf]]&lt;=0.5,vp.data[[#This Row],[Unknown]]=0),1,0)</f>
        <v>0</v>
      </c>
      <c r="AD362">
        <f>IF(AND(vp.data[[#This Row],[CrudeType]]="Crude",vp.data[[#This Row],[Dens]]&gt;865,vp.data[[#This Row],[Dens]]&lt;=900,vp.data[[#This Row],[Sulf]]&gt;2,vp.data[[#This Row],[Unknown]]=0),1,0)</f>
        <v>0</v>
      </c>
      <c r="AE362">
        <f>IF(AND(vp.data[[#This Row],[CrudeType]]="Crude",vp.data[[#This Row],[Dens]]&gt;900,vp.data[[#This Row],[Sulf]]&lt;=0.5,vp.data[[#This Row],[Unknown]]=0),1,0)</f>
        <v>0</v>
      </c>
      <c r="AF362">
        <f>IF(AND(vp.data[[#This Row],[CrudeType]]="Crude",vp.data[[#This Row],[Dens]]&gt;900,vp.data[[#This Row],[Sulf]]&lt;=0.5,vp.data[[#This Row],[Unknown]]=0),1,0)</f>
        <v>0</v>
      </c>
      <c r="AG362" t="str">
        <f>INDEX(vp.data[[#Headers],[Unknown]:[Heavy_SW]],MATCH(1,vp.data[[#This Row],[Unknown]:[Heavy_SW]],0))</f>
        <v>Medium_LSB</v>
      </c>
      <c r="AH362">
        <f>INDEX([3]!crudeBD.lkup[Number],MATCH(vp.data[[#This Row],[Crude_Breakdown]],crudeBD.lkup[Crude Breakdown],0))</f>
        <v>3</v>
      </c>
      <c r="AI362">
        <f>MONTH(vp.data[[#This Row],[SDate]])</f>
        <v>11</v>
      </c>
      <c r="AJ362" s="5">
        <f>(vp.data[[#This Row],[VP]]-INDEX(crudeBD.lkup[Mean_VP],MATCH(vp.data[[#This Row],[Crude_Breakdown]],crudeBD.lkup[Crude Breakdown],0)))^2</f>
        <v>36.727520320254314</v>
      </c>
      <c r="AK362" s="5">
        <f>(vp.data[[#This Row],[Dens]]-INDEX(crudeBD.lkup[Mean_Dens],MATCH(vp.data[[#This Row],[Crude_Breakdown]],crudeBD.lkup[Crude Breakdown],0)))^2</f>
        <v>335.62239999998098</v>
      </c>
      <c r="AL362" s="5">
        <f>(vp.data[[#This Row],[Sulf]]-INDEX(crudeBD.lkup[Mean_Sulf],MATCH(vp.data[[#This Row],[Crude_Breakdown]],crudeBD.lkup[Crude Breakdown],0)))^2</f>
        <v>0.12573539662129798</v>
      </c>
      <c r="AM362" s="4">
        <f>IF(AND(vp.data[[#This Row],[SDate]]&gt;=DATE(YEAR(vp.data[[#This Row],[SDate]]),5,1),vp.data[[#This Row],[SDate]]&lt;=DATE(YEAR(vp.data[[#This Row],[SDate]]),9,15)),1,0)</f>
        <v>0</v>
      </c>
      <c r="AN362" s="4">
        <f>IF(vp.data[[#This Row],[SDate]]&lt;DATE(2016,12,1),0,1)</f>
        <v>0</v>
      </c>
      <c r="AO362" s="4">
        <f>IFERROR(vp.data[[#This Row],[Sulf]]*vp.data[[#This Row],[Net Dens]],"")</f>
        <v>1894787.1705600002</v>
      </c>
      <c r="AP362">
        <f>IFERROR(vp.data[[#This Row],[Dens]]*vp.data[[#This Row],[VolumeM3]],"")</f>
        <v>1088958.1440000001</v>
      </c>
      <c r="AQ362" s="15">
        <f>IFERROR(vp.data[[#This Row],[VP]]*vp.data[[#This Row],[VolumeM3]],"")</f>
        <v>114356.433</v>
      </c>
    </row>
    <row r="363" spans="1:43" x14ac:dyDescent="0.25">
      <c r="A363">
        <v>362</v>
      </c>
      <c r="B363" t="s">
        <v>60</v>
      </c>
      <c r="C363" t="s">
        <v>60</v>
      </c>
      <c r="D363" t="s">
        <v>61</v>
      </c>
      <c r="E363" t="s">
        <v>73</v>
      </c>
      <c r="F363" s="1">
        <v>42696</v>
      </c>
      <c r="G363" s="2">
        <v>67.900000000000006</v>
      </c>
      <c r="H363" s="2"/>
      <c r="I363" s="2">
        <f t="array" ref="I363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363" s="2"/>
      <c r="K363" s="2"/>
      <c r="L363" s="2"/>
      <c r="M363" s="2">
        <f t="array" ref="M363">_xlfn.IFNA(IF(vp.data[[#This Row],[Dens Input]]="",INDEX([1]DATA!$O$3:$O$9826,MATCH(1,(vp.data[[#This Row],[Battery]]=[1]DATA!$L$3:$L$9826)*(EOMONTH(vp.data[[#This Row],[SDate]],-1)+1=[1]DATA!$G$3:$G$9826),0)),vp.data[[#This Row],[Dens Input]]),"")</f>
        <v>824.1</v>
      </c>
      <c r="N363" s="2">
        <f ca="1">INDEX(INDIRECT(_xlfn.CONCAT("weather.tbl[",N$1,"]")),MATCH(vp.data[[#This Row],[SDate]],weather.tbl[Date],0))</f>
        <v>-2.3000000000000003</v>
      </c>
      <c r="O363" s="2">
        <f ca="1">INDEX(INDIRECT(_xlfn.CONCAT("weather.tbl[",O$1,"]")),MATCH(vp.data[[#This Row],[SDate]],weather.tbl[Date],0))</f>
        <v>-2.3595238095238096</v>
      </c>
      <c r="P363" s="2">
        <f ca="1">INDEX(INDIRECT(_xlfn.CONCAT("weather.tbl[",P$1,"]")),MATCH(vp.data[[#This Row],[SDate]],weather.tbl[Date],0))</f>
        <v>-1.9</v>
      </c>
      <c r="Q363" s="2">
        <f ca="1">INDEX(INDIRECT(_xlfn.CONCAT("weather.tbl[",Q$1,"]")),MATCH(vp.data[[#This Row],[SDate]],weather.tbl[Date],0))</f>
        <v>-2.6</v>
      </c>
      <c r="R363" s="2">
        <f ca="1">INDEX(INDIRECT(_xlfn.CONCAT("weather.tbl[",R$1,"]")),MATCH(vp.data[[#This Row],[SDate]],weather.tbl[Date],0))</f>
        <v>-2.8</v>
      </c>
      <c r="S363" s="2">
        <f ca="1">INDEX(INDIRECT(_xlfn.CONCAT("weather.tbl[",S$1,"]")),MATCH(vp.data[[#This Row],[SDate]],weather.tbl[Date],0))</f>
        <v>-2.5</v>
      </c>
      <c r="T363" s="2">
        <f ca="1">INDEX(INDIRECT(_xlfn.CONCAT("weather.tbl[",T$1,"]")),MATCH(vp.data[[#This Row],[SDate]],weather.tbl[Date],0))</f>
        <v>-1.7</v>
      </c>
      <c r="U363" s="2">
        <f ca="1">INDEX(INDIRECT(_xlfn.CONCAT("weather.tbl[",U$1,"]")),MATCH(vp.data[[#This Row],[SDate]],weather.tbl[Date],0))</f>
        <v>-2.2999999999999998</v>
      </c>
      <c r="V363" s="2">
        <f t="array" ref="V3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106235.251</v>
      </c>
      <c r="W363" t="s">
        <v>48</v>
      </c>
      <c r="X363">
        <f>IF(OR(vp.data[[#This Row],[Sulf]]="",vp.data[[#This Row],[Dens]]=""),1,0)</f>
        <v>0</v>
      </c>
      <c r="Y363">
        <f>IF(vp.data[[#This Row],[CrudeType]]="C5+",1,0)</f>
        <v>0</v>
      </c>
      <c r="Z363">
        <f>IF(AND(vp.data[[#This Row],[CrudeType]]="Crude",vp.data[[#This Row],[Dens]]&lt;=825,vp.data[[#This Row],[Sulf]]&gt;0.5,vp.data[[#This Row],[Unknown]]=0),1,0)</f>
        <v>1</v>
      </c>
      <c r="AA363">
        <f>IF(AND(vp.data[[#This Row],[CrudeType]]="Crude",vp.data[[#This Row],[Dens]]&lt;=825,vp.data[[#This Row],[Sulf]]&lt;=0.5,vp.data[[#This Row],[Unknown]]=0),1,0)</f>
        <v>0</v>
      </c>
      <c r="AB3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3">
        <f>IF(AND(vp.data[[#This Row],[CrudeType]]="Crude",vp.data[[#This Row],[Dens]]&gt;825,vp.data[[#This Row],[Dens]]&lt;=900,vp.data[[#This Row],[Sulf]]&lt;=0.5,vp.data[[#This Row],[Unknown]]=0),1,0)</f>
        <v>0</v>
      </c>
      <c r="AD363">
        <f>IF(AND(vp.data[[#This Row],[CrudeType]]="Crude",vp.data[[#This Row],[Dens]]&gt;865,vp.data[[#This Row],[Dens]]&lt;=900,vp.data[[#This Row],[Sulf]]&gt;2,vp.data[[#This Row],[Unknown]]=0),1,0)</f>
        <v>0</v>
      </c>
      <c r="AE363">
        <f>IF(AND(vp.data[[#This Row],[CrudeType]]="Crude",vp.data[[#This Row],[Dens]]&gt;900,vp.data[[#This Row],[Sulf]]&lt;=0.5,vp.data[[#This Row],[Unknown]]=0),1,0)</f>
        <v>0</v>
      </c>
      <c r="AF363">
        <f>IF(AND(vp.data[[#This Row],[CrudeType]]="Crude",vp.data[[#This Row],[Dens]]&gt;900,vp.data[[#This Row],[Sulf]]&lt;=0.5,vp.data[[#This Row],[Unknown]]=0),1,0)</f>
        <v>0</v>
      </c>
      <c r="AG363" t="str">
        <f>INDEX(vp.data[[#Headers],[Unknown]:[Heavy_SW]],MATCH(1,vp.data[[#This Row],[Unknown]:[Heavy_SW]],0))</f>
        <v>Light_LSB</v>
      </c>
      <c r="AH363">
        <f>INDEX([3]!crudeBD.lkup[Number],MATCH(vp.data[[#This Row],[Crude_Breakdown]],crudeBD.lkup[Crude Breakdown],0))</f>
        <v>1</v>
      </c>
      <c r="AI363">
        <f>MONTH(vp.data[[#This Row],[SDate]])</f>
        <v>11</v>
      </c>
      <c r="AJ363" s="5">
        <f>(vp.data[[#This Row],[VP]]-INDEX(crudeBD.lkup[Mean_VP],MATCH(vp.data[[#This Row],[Crude_Breakdown]],crudeBD.lkup[Crude Breakdown],0)))^2</f>
        <v>559.1420918694879</v>
      </c>
      <c r="AK363" s="5">
        <f>(vp.data[[#This Row],[Dens]]-INDEX(crudeBD.lkup[Mean_Dens],MATCH(vp.data[[#This Row],[Crude_Breakdown]],crudeBD.lkup[Crude Breakdown],0)))^2</f>
        <v>31.172459918993855</v>
      </c>
      <c r="AL363" s="5">
        <f>(vp.data[[#This Row],[Sulf]]-INDEX(crudeBD.lkup[Mean_Sulf],MATCH(vp.data[[#This Row],[Crude_Breakdown]],crudeBD.lkup[Crude Breakdown],0)))^2</f>
        <v>7.3055773847853663E-4</v>
      </c>
      <c r="AM363" s="4">
        <f>IF(AND(vp.data[[#This Row],[SDate]]&gt;=DATE(YEAR(vp.data[[#This Row],[SDate]]),5,1),vp.data[[#This Row],[SDate]]&lt;=DATE(YEAR(vp.data[[#This Row],[SDate]]),9,15)),1,0)</f>
        <v>0</v>
      </c>
      <c r="AN363" s="4">
        <f>IF(vp.data[[#This Row],[SDate]]&lt;DATE(2016,12,1),0,1)</f>
        <v>0</v>
      </c>
      <c r="AO363" s="4">
        <f>IFERROR(vp.data[[#This Row],[Sulf]]*vp.data[[#This Row],[Net Dens]],"")</f>
        <v>83171046.831644997</v>
      </c>
      <c r="AP363">
        <f>IFERROR(vp.data[[#This Row],[Dens]]*vp.data[[#This Row],[VolumeM3]],"")</f>
        <v>87548470.349100009</v>
      </c>
      <c r="AQ363" s="15">
        <f>IFERROR(vp.data[[#This Row],[VP]]*vp.data[[#This Row],[VolumeM3]],"")</f>
        <v>7213373.5429000007</v>
      </c>
    </row>
    <row r="364" spans="1:43" x14ac:dyDescent="0.25">
      <c r="A364">
        <v>363</v>
      </c>
      <c r="B364" t="s">
        <v>60</v>
      </c>
      <c r="C364" t="s">
        <v>60</v>
      </c>
      <c r="D364" t="s">
        <v>61</v>
      </c>
      <c r="E364" t="s">
        <v>55</v>
      </c>
      <c r="F364" s="1">
        <v>42696</v>
      </c>
      <c r="G364" s="2">
        <v>74.3</v>
      </c>
      <c r="H364" s="2"/>
      <c r="I364" s="2">
        <f t="array" ref="I364">_xlfn.IFNA(IF(vp.data[[#This Row],[Sulf Input]]="",INDEX([1]DATA!$Q$3:$Q$9826,MATCH(1,(vp.data[[#This Row],[Battery]]=[1]DATA!$L$3:$L$9826)*(EOMONTH(vp.data[[#This Row],[SDate]],-1)+1=[1]DATA!$G$3:$G$9826),0)),vp.data[[#This Row],[Sulf Input]]),"")</f>
        <v>0.95</v>
      </c>
      <c r="J364" s="2"/>
      <c r="K364" s="2"/>
      <c r="L364" s="2">
        <v>843</v>
      </c>
      <c r="M364" s="2">
        <f t="array" ref="M364">_xlfn.IFNA(IF(vp.data[[#This Row],[Dens Input]]="",INDEX([1]DATA!$O$3:$O$9826,MATCH(1,(vp.data[[#This Row],[Battery]]=[1]DATA!$L$3:$L$9826)*(EOMONTH(vp.data[[#This Row],[SDate]],-1)+1=[1]DATA!$G$3:$G$9826),0)),vp.data[[#This Row],[Dens Input]]),"")</f>
        <v>843</v>
      </c>
      <c r="N364" s="2">
        <f ca="1">INDEX(INDIRECT(_xlfn.CONCAT("weather.tbl[",N$1,"]")),MATCH(vp.data[[#This Row],[SDate]],weather.tbl[Date],0))</f>
        <v>-2.3000000000000003</v>
      </c>
      <c r="O364" s="2">
        <f ca="1">INDEX(INDIRECT(_xlfn.CONCAT("weather.tbl[",O$1,"]")),MATCH(vp.data[[#This Row],[SDate]],weather.tbl[Date],0))</f>
        <v>-2.3595238095238096</v>
      </c>
      <c r="P364" s="2">
        <f ca="1">INDEX(INDIRECT(_xlfn.CONCAT("weather.tbl[",P$1,"]")),MATCH(vp.data[[#This Row],[SDate]],weather.tbl[Date],0))</f>
        <v>-1.9</v>
      </c>
      <c r="Q364" s="2">
        <f ca="1">INDEX(INDIRECT(_xlfn.CONCAT("weather.tbl[",Q$1,"]")),MATCH(vp.data[[#This Row],[SDate]],weather.tbl[Date],0))</f>
        <v>-2.6</v>
      </c>
      <c r="R364" s="2">
        <f ca="1">INDEX(INDIRECT(_xlfn.CONCAT("weather.tbl[",R$1,"]")),MATCH(vp.data[[#This Row],[SDate]],weather.tbl[Date],0))</f>
        <v>-2.8</v>
      </c>
      <c r="S364" s="2">
        <f ca="1">INDEX(INDIRECT(_xlfn.CONCAT("weather.tbl[",S$1,"]")),MATCH(vp.data[[#This Row],[SDate]],weather.tbl[Date],0))</f>
        <v>-2.5</v>
      </c>
      <c r="T364" s="2">
        <f ca="1">INDEX(INDIRECT(_xlfn.CONCAT("weather.tbl[",T$1,"]")),MATCH(vp.data[[#This Row],[SDate]],weather.tbl[Date],0))</f>
        <v>-1.7</v>
      </c>
      <c r="U364" s="2">
        <f ca="1">INDEX(INDIRECT(_xlfn.CONCAT("weather.tbl[",U$1,"]")),MATCH(vp.data[[#This Row],[SDate]],weather.tbl[Date],0))</f>
        <v>-2.2999999999999998</v>
      </c>
      <c r="V364" s="2">
        <f t="array" ref="V3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106235.251</v>
      </c>
      <c r="W364" t="s">
        <v>48</v>
      </c>
      <c r="X364">
        <f>IF(OR(vp.data[[#This Row],[Sulf]]="",vp.data[[#This Row],[Dens]]=""),1,0)</f>
        <v>0</v>
      </c>
      <c r="Y364">
        <f>IF(vp.data[[#This Row],[CrudeType]]="C5+",1,0)</f>
        <v>0</v>
      </c>
      <c r="Z364">
        <f>IF(AND(vp.data[[#This Row],[CrudeType]]="Crude",vp.data[[#This Row],[Dens]]&lt;=825,vp.data[[#This Row],[Sulf]]&gt;0.5,vp.data[[#This Row],[Unknown]]=0),1,0)</f>
        <v>0</v>
      </c>
      <c r="AA364">
        <f>IF(AND(vp.data[[#This Row],[CrudeType]]="Crude",vp.data[[#This Row],[Dens]]&lt;=825,vp.data[[#This Row],[Sulf]]&lt;=0.5,vp.data[[#This Row],[Unknown]]=0),1,0)</f>
        <v>0</v>
      </c>
      <c r="AB3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64">
        <f>IF(AND(vp.data[[#This Row],[CrudeType]]="Crude",vp.data[[#This Row],[Dens]]&gt;825,vp.data[[#This Row],[Dens]]&lt;=900,vp.data[[#This Row],[Sulf]]&lt;=0.5,vp.data[[#This Row],[Unknown]]=0),1,0)</f>
        <v>0</v>
      </c>
      <c r="AD364">
        <f>IF(AND(vp.data[[#This Row],[CrudeType]]="Crude",vp.data[[#This Row],[Dens]]&gt;865,vp.data[[#This Row],[Dens]]&lt;=900,vp.data[[#This Row],[Sulf]]&gt;2,vp.data[[#This Row],[Unknown]]=0),1,0)</f>
        <v>0</v>
      </c>
      <c r="AE364">
        <f>IF(AND(vp.data[[#This Row],[CrudeType]]="Crude",vp.data[[#This Row],[Dens]]&gt;900,vp.data[[#This Row],[Sulf]]&lt;=0.5,vp.data[[#This Row],[Unknown]]=0),1,0)</f>
        <v>0</v>
      </c>
      <c r="AF364">
        <f>IF(AND(vp.data[[#This Row],[CrudeType]]="Crude",vp.data[[#This Row],[Dens]]&gt;900,vp.data[[#This Row],[Sulf]]&lt;=0.5,vp.data[[#This Row],[Unknown]]=0),1,0)</f>
        <v>0</v>
      </c>
      <c r="AG364" t="str">
        <f>INDEX(vp.data[[#Headers],[Unknown]:[Heavy_SW]],MATCH(1,vp.data[[#This Row],[Unknown]:[Heavy_SW]],0))</f>
        <v>Medium_LSB</v>
      </c>
      <c r="AH364">
        <f>INDEX([3]!crudeBD.lkup[Number],MATCH(vp.data[[#This Row],[Crude_Breakdown]],crudeBD.lkup[Crude Breakdown],0))</f>
        <v>3</v>
      </c>
      <c r="AI364">
        <f>MONTH(vp.data[[#This Row],[SDate]])</f>
        <v>11</v>
      </c>
      <c r="AJ364" s="5">
        <f>(vp.data[[#This Row],[VP]]-INDEX(crudeBD.lkup[Mean_VP],MATCH(vp.data[[#This Row],[Crude_Breakdown]],crudeBD.lkup[Crude Breakdown],0)))^2</f>
        <v>40.191498756910221</v>
      </c>
      <c r="AK364" s="5">
        <f>(vp.data[[#This Row],[Dens]]-INDEX(crudeBD.lkup[Mean_Dens],MATCH(vp.data[[#This Row],[Crude_Breakdown]],crudeBD.lkup[Crude Breakdown],0)))^2</f>
        <v>0.84639999999908799</v>
      </c>
      <c r="AL364" s="5">
        <f>(vp.data[[#This Row],[Sulf]]-INDEX(crudeBD.lkup[Mean_Sulf],MATCH(vp.data[[#This Row],[Crude_Breakdown]],crudeBD.lkup[Crude Breakdown],0)))^2</f>
        <v>0.18958023678302549</v>
      </c>
      <c r="AM364" s="4">
        <f>IF(AND(vp.data[[#This Row],[SDate]]&gt;=DATE(YEAR(vp.data[[#This Row],[SDate]]),5,1),vp.data[[#This Row],[SDate]]&lt;=DATE(YEAR(vp.data[[#This Row],[SDate]]),9,15)),1,0)</f>
        <v>0</v>
      </c>
      <c r="AN364" s="4">
        <f>IF(vp.data[[#This Row],[SDate]]&lt;DATE(2016,12,1),0,1)</f>
        <v>0</v>
      </c>
      <c r="AO364" s="4">
        <f>IFERROR(vp.data[[#This Row],[Sulf]]*vp.data[[#This Row],[Net Dens]],"")</f>
        <v>85078500.76335001</v>
      </c>
      <c r="AP364">
        <f>IFERROR(vp.data[[#This Row],[Dens]]*vp.data[[#This Row],[VolumeM3]],"")</f>
        <v>89556316.59300001</v>
      </c>
      <c r="AQ364" s="15">
        <f>IFERROR(vp.data[[#This Row],[VP]]*vp.data[[#This Row],[VolumeM3]],"")</f>
        <v>7893279.1492999997</v>
      </c>
    </row>
    <row r="365" spans="1:43" x14ac:dyDescent="0.25">
      <c r="A365">
        <v>364</v>
      </c>
      <c r="B365" t="s">
        <v>53</v>
      </c>
      <c r="C365" t="s">
        <v>53</v>
      </c>
      <c r="D365" t="s">
        <v>54</v>
      </c>
      <c r="E365" t="s">
        <v>55</v>
      </c>
      <c r="F365" s="1">
        <v>42697</v>
      </c>
      <c r="G365" s="2">
        <v>78.7</v>
      </c>
      <c r="H365" s="2"/>
      <c r="I365" s="2">
        <f t="array" ref="I365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365" s="2"/>
      <c r="K365" s="2"/>
      <c r="L365" s="2">
        <v>829</v>
      </c>
      <c r="M365" s="2">
        <f t="array" ref="M365">_xlfn.IFNA(IF(vp.data[[#This Row],[Dens Input]]="",INDEX([1]DATA!$O$3:$O$9826,MATCH(1,(vp.data[[#This Row],[Battery]]=[1]DATA!$L$3:$L$9826)*(EOMONTH(vp.data[[#This Row],[SDate]],-1)+1=[1]DATA!$G$3:$G$9826),0)),vp.data[[#This Row],[Dens Input]]),"")</f>
        <v>829</v>
      </c>
      <c r="N365" s="2">
        <f ca="1">INDEX(INDIRECT(_xlfn.CONCAT("weather.tbl[",N$1,"]")),MATCH(vp.data[[#This Row],[SDate]],weather.tbl[Date],0))</f>
        <v>-0.98333333333333328</v>
      </c>
      <c r="O365" s="2">
        <f ca="1">INDEX(INDIRECT(_xlfn.CONCAT("weather.tbl[",O$1,"]")),MATCH(vp.data[[#This Row],[SDate]],weather.tbl[Date],0))</f>
        <v>-3.090476190476191</v>
      </c>
      <c r="P365" s="2">
        <f ca="1">INDEX(INDIRECT(_xlfn.CONCAT("weather.tbl[",P$1,"]")),MATCH(vp.data[[#This Row],[SDate]],weather.tbl[Date],0))</f>
        <v>-0.9</v>
      </c>
      <c r="Q365" s="2">
        <f ca="1">INDEX(INDIRECT(_xlfn.CONCAT("weather.tbl[",Q$1,"]")),MATCH(vp.data[[#This Row],[SDate]],weather.tbl[Date],0))</f>
        <v>-1.3</v>
      </c>
      <c r="R365" s="2">
        <f ca="1">INDEX(INDIRECT(_xlfn.CONCAT("weather.tbl[",R$1,"]")),MATCH(vp.data[[#This Row],[SDate]],weather.tbl[Date],0))</f>
        <v>-0.8</v>
      </c>
      <c r="S365" s="2">
        <f ca="1">INDEX(INDIRECT(_xlfn.CONCAT("weather.tbl[",S$1,"]")),MATCH(vp.data[[#This Row],[SDate]],weather.tbl[Date],0))</f>
        <v>-1.8</v>
      </c>
      <c r="T365" s="2">
        <f ca="1">INDEX(INDIRECT(_xlfn.CONCAT("weather.tbl[",T$1,"]")),MATCH(vp.data[[#This Row],[SDate]],weather.tbl[Date],0))</f>
        <v>-0.1</v>
      </c>
      <c r="U365" s="2">
        <f ca="1">INDEX(INDIRECT(_xlfn.CONCAT("weather.tbl[",U$1,"]")),MATCH(vp.data[[#This Row],[SDate]],weather.tbl[Date],0))</f>
        <v>-1</v>
      </c>
      <c r="V365" s="2">
        <f t="array" ref="V3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55218.54</v>
      </c>
      <c r="W365" t="s">
        <v>48</v>
      </c>
      <c r="X365">
        <f>IF(OR(vp.data[[#This Row],[Sulf]]="",vp.data[[#This Row],[Dens]]=""),1,0)</f>
        <v>0</v>
      </c>
      <c r="Y365">
        <f>IF(vp.data[[#This Row],[CrudeType]]="C5+",1,0)</f>
        <v>0</v>
      </c>
      <c r="Z365">
        <f>IF(AND(vp.data[[#This Row],[CrudeType]]="Crude",vp.data[[#This Row],[Dens]]&lt;=825,vp.data[[#This Row],[Sulf]]&gt;0.5,vp.data[[#This Row],[Unknown]]=0),1,0)</f>
        <v>0</v>
      </c>
      <c r="AA365">
        <f>IF(AND(vp.data[[#This Row],[CrudeType]]="Crude",vp.data[[#This Row],[Dens]]&lt;=825,vp.data[[#This Row],[Sulf]]&lt;=0.5,vp.data[[#This Row],[Unknown]]=0),1,0)</f>
        <v>0</v>
      </c>
      <c r="AB3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65">
        <f>IF(AND(vp.data[[#This Row],[CrudeType]]="Crude",vp.data[[#This Row],[Dens]]&gt;825,vp.data[[#This Row],[Dens]]&lt;=900,vp.data[[#This Row],[Sulf]]&lt;=0.5,vp.data[[#This Row],[Unknown]]=0),1,0)</f>
        <v>0</v>
      </c>
      <c r="AD365">
        <f>IF(AND(vp.data[[#This Row],[CrudeType]]="Crude",vp.data[[#This Row],[Dens]]&gt;865,vp.data[[#This Row],[Dens]]&lt;=900,vp.data[[#This Row],[Sulf]]&gt;2,vp.data[[#This Row],[Unknown]]=0),1,0)</f>
        <v>0</v>
      </c>
      <c r="AE365">
        <f>IF(AND(vp.data[[#This Row],[CrudeType]]="Crude",vp.data[[#This Row],[Dens]]&gt;900,vp.data[[#This Row],[Sulf]]&lt;=0.5,vp.data[[#This Row],[Unknown]]=0),1,0)</f>
        <v>0</v>
      </c>
      <c r="AF365">
        <f>IF(AND(vp.data[[#This Row],[CrudeType]]="Crude",vp.data[[#This Row],[Dens]]&gt;900,vp.data[[#This Row],[Sulf]]&lt;=0.5,vp.data[[#This Row],[Unknown]]=0),1,0)</f>
        <v>0</v>
      </c>
      <c r="AG365" t="str">
        <f>INDEX(vp.data[[#Headers],[Unknown]:[Heavy_SW]],MATCH(1,vp.data[[#This Row],[Unknown]:[Heavy_SW]],0))</f>
        <v>Medium_LSB</v>
      </c>
      <c r="AH365">
        <f>INDEX([3]!crudeBD.lkup[Number],MATCH(vp.data[[#This Row],[Crude_Breakdown]],crudeBD.lkup[Crude Breakdown],0))</f>
        <v>3</v>
      </c>
      <c r="AI365">
        <f>MONTH(vp.data[[#This Row],[SDate]])</f>
        <v>11</v>
      </c>
      <c r="AJ365" s="5">
        <f>(vp.data[[#This Row],[VP]]-INDEX(crudeBD.lkup[Mean_VP],MATCH(vp.data[[#This Row],[Crude_Breakdown]],crudeBD.lkup[Crude Breakdown],0)))^2</f>
        <v>3.76234511809679</v>
      </c>
      <c r="AK365" s="5">
        <f>(vp.data[[#This Row],[Dens]]-INDEX(crudeBD.lkup[Mean_Dens],MATCH(vp.data[[#This Row],[Crude_Breakdown]],crudeBD.lkup[Crude Breakdown],0)))^2</f>
        <v>222.6063999999852</v>
      </c>
      <c r="AL365" s="5">
        <f>(vp.data[[#This Row],[Sulf]]-INDEX(crudeBD.lkup[Mean_Sulf],MATCH(vp.data[[#This Row],[Crude_Breakdown]],crudeBD.lkup[Crude Breakdown],0)))^2</f>
        <v>9.8968046756068975E-2</v>
      </c>
      <c r="AM365" s="4">
        <f>IF(AND(vp.data[[#This Row],[SDate]]&gt;=DATE(YEAR(vp.data[[#This Row],[SDate]]),5,1),vp.data[[#This Row],[SDate]]&lt;=DATE(YEAR(vp.data[[#This Row],[SDate]]),9,15)),1,0)</f>
        <v>0</v>
      </c>
      <c r="AN365" s="4">
        <f>IF(vp.data[[#This Row],[SDate]]&lt;DATE(2016,12,1),0,1)</f>
        <v>0</v>
      </c>
      <c r="AO365" s="4">
        <f>IFERROR(vp.data[[#This Row],[Sulf]]*vp.data[[#This Row],[Net Dens]],"")</f>
        <v>77819488.422000006</v>
      </c>
      <c r="AP365">
        <f>IFERROR(vp.data[[#This Row],[Dens]]*vp.data[[#This Row],[VolumeM3]],"")</f>
        <v>45776169.660000004</v>
      </c>
      <c r="AQ365" s="15">
        <f>IFERROR(vp.data[[#This Row],[VP]]*vp.data[[#This Row],[VolumeM3]],"")</f>
        <v>4345699.0980000002</v>
      </c>
    </row>
    <row r="366" spans="1:43" x14ac:dyDescent="0.25">
      <c r="A366">
        <v>365</v>
      </c>
      <c r="B366" t="s">
        <v>49</v>
      </c>
      <c r="C366" t="s">
        <v>49</v>
      </c>
      <c r="D366" t="s">
        <v>50</v>
      </c>
      <c r="F366" s="1">
        <v>42697</v>
      </c>
      <c r="G366" s="2">
        <v>73.2</v>
      </c>
      <c r="H366" s="2"/>
      <c r="I366" s="2">
        <f t="array" ref="I366">_xlfn.IFNA(IF(vp.data[[#This Row],[Sulf Input]]="",INDEX([1]DATA!$Q$3:$Q$9826,MATCH(1,(vp.data[[#This Row],[Battery]]=[1]DATA!$L$3:$L$9826)*(EOMONTH(vp.data[[#This Row],[SDate]],-1)+1=[1]DATA!$G$3:$G$9826),0)),vp.data[[#This Row],[Sulf Input]]),"")</f>
        <v>2.81</v>
      </c>
      <c r="J366" s="2"/>
      <c r="K366" s="2"/>
      <c r="L366" s="2">
        <v>863.9</v>
      </c>
      <c r="M366" s="2">
        <f t="array" ref="M366">_xlfn.IFNA(IF(vp.data[[#This Row],[Dens Input]]="",INDEX([1]DATA!$O$3:$O$9826,MATCH(1,(vp.data[[#This Row],[Battery]]=[1]DATA!$L$3:$L$9826)*(EOMONTH(vp.data[[#This Row],[SDate]],-1)+1=[1]DATA!$G$3:$G$9826),0)),vp.data[[#This Row],[Dens Input]]),"")</f>
        <v>863.9</v>
      </c>
      <c r="N366" s="2">
        <f ca="1">INDEX(INDIRECT(_xlfn.CONCAT("weather.tbl[",N$1,"]")),MATCH(vp.data[[#This Row],[SDate]],weather.tbl[Date],0))</f>
        <v>-0.98333333333333328</v>
      </c>
      <c r="O366" s="2">
        <f ca="1">INDEX(INDIRECT(_xlfn.CONCAT("weather.tbl[",O$1,"]")),MATCH(vp.data[[#This Row],[SDate]],weather.tbl[Date],0))</f>
        <v>-3.090476190476191</v>
      </c>
      <c r="P366" s="2">
        <f ca="1">INDEX(INDIRECT(_xlfn.CONCAT("weather.tbl[",P$1,"]")),MATCH(vp.data[[#This Row],[SDate]],weather.tbl[Date],0))</f>
        <v>-0.9</v>
      </c>
      <c r="Q366" s="2">
        <f ca="1">INDEX(INDIRECT(_xlfn.CONCAT("weather.tbl[",Q$1,"]")),MATCH(vp.data[[#This Row],[SDate]],weather.tbl[Date],0))</f>
        <v>-1.3</v>
      </c>
      <c r="R366" s="2">
        <f ca="1">INDEX(INDIRECT(_xlfn.CONCAT("weather.tbl[",R$1,"]")),MATCH(vp.data[[#This Row],[SDate]],weather.tbl[Date],0))</f>
        <v>-0.8</v>
      </c>
      <c r="S366" s="2">
        <f ca="1">INDEX(INDIRECT(_xlfn.CONCAT("weather.tbl[",S$1,"]")),MATCH(vp.data[[#This Row],[SDate]],weather.tbl[Date],0))</f>
        <v>-1.8</v>
      </c>
      <c r="T366" s="2">
        <f ca="1">INDEX(INDIRECT(_xlfn.CONCAT("weather.tbl[",T$1,"]")),MATCH(vp.data[[#This Row],[SDate]],weather.tbl[Date],0))</f>
        <v>-0.1</v>
      </c>
      <c r="U366" s="2">
        <f ca="1">INDEX(INDIRECT(_xlfn.CONCAT("weather.tbl[",U$1,"]")),MATCH(vp.data[[#This Row],[SDate]],weather.tbl[Date],0))</f>
        <v>-1</v>
      </c>
      <c r="V366" s="2">
        <f t="array" ref="V3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5829.4459999999999</v>
      </c>
      <c r="W366" t="s">
        <v>48</v>
      </c>
      <c r="X366">
        <f>IF(OR(vp.data[[#This Row],[Sulf]]="",vp.data[[#This Row],[Dens]]=""),1,0)</f>
        <v>0</v>
      </c>
      <c r="Y366">
        <f>IF(vp.data[[#This Row],[CrudeType]]="C5+",1,0)</f>
        <v>0</v>
      </c>
      <c r="Z366">
        <f>IF(AND(vp.data[[#This Row],[CrudeType]]="Crude",vp.data[[#This Row],[Dens]]&lt;=825,vp.data[[#This Row],[Sulf]]&gt;0.5,vp.data[[#This Row],[Unknown]]=0),1,0)</f>
        <v>0</v>
      </c>
      <c r="AA366">
        <f>IF(AND(vp.data[[#This Row],[CrudeType]]="Crude",vp.data[[#This Row],[Dens]]&lt;=825,vp.data[[#This Row],[Sulf]]&lt;=0.5,vp.data[[#This Row],[Unknown]]=0),1,0)</f>
        <v>0</v>
      </c>
      <c r="AB3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66">
        <f>IF(AND(vp.data[[#This Row],[CrudeType]]="Crude",vp.data[[#This Row],[Dens]]&gt;825,vp.data[[#This Row],[Dens]]&lt;=900,vp.data[[#This Row],[Sulf]]&lt;=0.5,vp.data[[#This Row],[Unknown]]=0),1,0)</f>
        <v>0</v>
      </c>
      <c r="AD366">
        <f>IF(AND(vp.data[[#This Row],[CrudeType]]="Crude",vp.data[[#This Row],[Dens]]&gt;865,vp.data[[#This Row],[Dens]]&lt;=900,vp.data[[#This Row],[Sulf]]&gt;2,vp.data[[#This Row],[Unknown]]=0),1,0)</f>
        <v>0</v>
      </c>
      <c r="AE366">
        <f>IF(AND(vp.data[[#This Row],[CrudeType]]="Crude",vp.data[[#This Row],[Dens]]&gt;900,vp.data[[#This Row],[Sulf]]&lt;=0.5,vp.data[[#This Row],[Unknown]]=0),1,0)</f>
        <v>0</v>
      </c>
      <c r="AF366">
        <f>IF(AND(vp.data[[#This Row],[CrudeType]]="Crude",vp.data[[#This Row],[Dens]]&gt;900,vp.data[[#This Row],[Sulf]]&lt;=0.5,vp.data[[#This Row],[Unknown]]=0),1,0)</f>
        <v>0</v>
      </c>
      <c r="AG366" t="str">
        <f>INDEX(vp.data[[#Headers],[Unknown]:[Heavy_SW]],MATCH(1,vp.data[[#This Row],[Unknown]:[Heavy_SW]],0))</f>
        <v>Medium_LSB</v>
      </c>
      <c r="AH366">
        <f>INDEX([3]!crudeBD.lkup[Number],MATCH(vp.data[[#This Row],[Crude_Breakdown]],crudeBD.lkup[Crude Breakdown],0))</f>
        <v>3</v>
      </c>
      <c r="AI366">
        <f>MONTH(vp.data[[#This Row],[SDate]])</f>
        <v>11</v>
      </c>
      <c r="AJ366" s="5">
        <f>(vp.data[[#This Row],[VP]]-INDEX(crudeBD.lkup[Mean_VP],MATCH(vp.data[[#This Row],[Crude_Breakdown]],crudeBD.lkup[Crude Breakdown],0)))^2</f>
        <v>55.348787166613491</v>
      </c>
      <c r="AK366" s="5">
        <f>(vp.data[[#This Row],[Dens]]-INDEX(crudeBD.lkup[Mean_Dens],MATCH(vp.data[[#This Row],[Crude_Breakdown]],crudeBD.lkup[Crude Breakdown],0)))^2</f>
        <v>399.20040000001887</v>
      </c>
      <c r="AL366" s="5">
        <f>(vp.data[[#This Row],[Sulf]]-INDEX(crudeBD.lkup[Mean_Sulf],MATCH(vp.data[[#This Row],[Crude_Breakdown]],crudeBD.lkup[Crude Breakdown],0)))^2</f>
        <v>2.0294620055161734</v>
      </c>
      <c r="AM366" s="4">
        <f>IF(AND(vp.data[[#This Row],[SDate]]&gt;=DATE(YEAR(vp.data[[#This Row],[SDate]]),5,1),vp.data[[#This Row],[SDate]]&lt;=DATE(YEAR(vp.data[[#This Row],[SDate]]),9,15)),1,0)</f>
        <v>0</v>
      </c>
      <c r="AN366" s="4">
        <f>IF(vp.data[[#This Row],[SDate]]&lt;DATE(2016,12,1),0,1)</f>
        <v>0</v>
      </c>
      <c r="AO366" s="4">
        <f>IFERROR(vp.data[[#This Row],[Sulf]]*vp.data[[#This Row],[Net Dens]],"")</f>
        <v>14151324.102313999</v>
      </c>
      <c r="AP366">
        <f>IFERROR(vp.data[[#This Row],[Dens]]*vp.data[[#This Row],[VolumeM3]],"")</f>
        <v>5036058.3993999995</v>
      </c>
      <c r="AQ366" s="15">
        <f>IFERROR(vp.data[[#This Row],[VP]]*vp.data[[#This Row],[VolumeM3]],"")</f>
        <v>426715.4472</v>
      </c>
    </row>
    <row r="367" spans="1:43" x14ac:dyDescent="0.25">
      <c r="A367">
        <v>366</v>
      </c>
      <c r="B367" t="s">
        <v>46</v>
      </c>
      <c r="C367" t="s">
        <v>46</v>
      </c>
      <c r="D367" t="s">
        <v>47</v>
      </c>
      <c r="F367" s="1">
        <v>42697</v>
      </c>
      <c r="G367" s="2">
        <v>78</v>
      </c>
      <c r="H367" s="2"/>
      <c r="I367" s="2">
        <f t="array" ref="I367">_xlfn.IFNA(IF(vp.data[[#This Row],[Sulf Input]]="",INDEX([1]DATA!$Q$3:$Q$9826,MATCH(1,(vp.data[[#This Row],[Battery]]=[1]DATA!$L$3:$L$9826)*(EOMONTH(vp.data[[#This Row],[SDate]],-1)+1=[1]DATA!$G$3:$G$9826),0)),vp.data[[#This Row],[Sulf Input]]),"")</f>
        <v>2.31</v>
      </c>
      <c r="J367" s="2"/>
      <c r="K367" s="2"/>
      <c r="L367" s="2">
        <v>867.9</v>
      </c>
      <c r="M367" s="2">
        <f t="array" ref="M367">_xlfn.IFNA(IF(vp.data[[#This Row],[Dens Input]]="",INDEX([1]DATA!$O$3:$O$9826,MATCH(1,(vp.data[[#This Row],[Battery]]=[1]DATA!$L$3:$L$9826)*(EOMONTH(vp.data[[#This Row],[SDate]],-1)+1=[1]DATA!$G$3:$G$9826),0)),vp.data[[#This Row],[Dens Input]]),"")</f>
        <v>867.9</v>
      </c>
      <c r="N367" s="2">
        <f ca="1">INDEX(INDIRECT(_xlfn.CONCAT("weather.tbl[",N$1,"]")),MATCH(vp.data[[#This Row],[SDate]],weather.tbl[Date],0))</f>
        <v>-0.98333333333333328</v>
      </c>
      <c r="O367" s="2">
        <f ca="1">INDEX(INDIRECT(_xlfn.CONCAT("weather.tbl[",O$1,"]")),MATCH(vp.data[[#This Row],[SDate]],weather.tbl[Date],0))</f>
        <v>-3.090476190476191</v>
      </c>
      <c r="P367" s="2">
        <f ca="1">INDEX(INDIRECT(_xlfn.CONCAT("weather.tbl[",P$1,"]")),MATCH(vp.data[[#This Row],[SDate]],weather.tbl[Date],0))</f>
        <v>-0.9</v>
      </c>
      <c r="Q367" s="2">
        <f ca="1">INDEX(INDIRECT(_xlfn.CONCAT("weather.tbl[",Q$1,"]")),MATCH(vp.data[[#This Row],[SDate]],weather.tbl[Date],0))</f>
        <v>-1.3</v>
      </c>
      <c r="R367" s="2">
        <f ca="1">INDEX(INDIRECT(_xlfn.CONCAT("weather.tbl[",R$1,"]")),MATCH(vp.data[[#This Row],[SDate]],weather.tbl[Date],0))</f>
        <v>-0.8</v>
      </c>
      <c r="S367" s="2">
        <f ca="1">INDEX(INDIRECT(_xlfn.CONCAT("weather.tbl[",S$1,"]")),MATCH(vp.data[[#This Row],[SDate]],weather.tbl[Date],0))</f>
        <v>-1.8</v>
      </c>
      <c r="T367" s="2">
        <f ca="1">INDEX(INDIRECT(_xlfn.CONCAT("weather.tbl[",T$1,"]")),MATCH(vp.data[[#This Row],[SDate]],weather.tbl[Date],0))</f>
        <v>-0.1</v>
      </c>
      <c r="U367" s="2">
        <f ca="1">INDEX(INDIRECT(_xlfn.CONCAT("weather.tbl[",U$1,"]")),MATCH(vp.data[[#This Row],[SDate]],weather.tbl[Date],0))</f>
        <v>-1</v>
      </c>
      <c r="V367" s="2">
        <f t="array" ref="V3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115186.371</v>
      </c>
      <c r="W367" t="s">
        <v>48</v>
      </c>
      <c r="X367">
        <f>IF(OR(vp.data[[#This Row],[Sulf]]="",vp.data[[#This Row],[Dens]]=""),1,0)</f>
        <v>0</v>
      </c>
      <c r="Y367">
        <f>IF(vp.data[[#This Row],[CrudeType]]="C5+",1,0)</f>
        <v>0</v>
      </c>
      <c r="Z367">
        <f>IF(AND(vp.data[[#This Row],[CrudeType]]="Crude",vp.data[[#This Row],[Dens]]&lt;=825,vp.data[[#This Row],[Sulf]]&gt;0.5,vp.data[[#This Row],[Unknown]]=0),1,0)</f>
        <v>0</v>
      </c>
      <c r="AA367">
        <f>IF(AND(vp.data[[#This Row],[CrudeType]]="Crude",vp.data[[#This Row],[Dens]]&lt;=825,vp.data[[#This Row],[Sulf]]&lt;=0.5,vp.data[[#This Row],[Unknown]]=0),1,0)</f>
        <v>0</v>
      </c>
      <c r="AB3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7">
        <f>IF(AND(vp.data[[#This Row],[CrudeType]]="Crude",vp.data[[#This Row],[Dens]]&gt;825,vp.data[[#This Row],[Dens]]&lt;=900,vp.data[[#This Row],[Sulf]]&lt;=0.5,vp.data[[#This Row],[Unknown]]=0),1,0)</f>
        <v>0</v>
      </c>
      <c r="AD367">
        <f>IF(AND(vp.data[[#This Row],[CrudeType]]="Crude",vp.data[[#This Row],[Dens]]&gt;865,vp.data[[#This Row],[Dens]]&lt;=900,vp.data[[#This Row],[Sulf]]&gt;2,vp.data[[#This Row],[Unknown]]=0),1,0)</f>
        <v>1</v>
      </c>
      <c r="AE367">
        <f>IF(AND(vp.data[[#This Row],[CrudeType]]="Crude",vp.data[[#This Row],[Dens]]&gt;900,vp.data[[#This Row],[Sulf]]&lt;=0.5,vp.data[[#This Row],[Unknown]]=0),1,0)</f>
        <v>0</v>
      </c>
      <c r="AF367">
        <f>IF(AND(vp.data[[#This Row],[CrudeType]]="Crude",vp.data[[#This Row],[Dens]]&gt;900,vp.data[[#This Row],[Sulf]]&lt;=0.5,vp.data[[#This Row],[Unknown]]=0),1,0)</f>
        <v>0</v>
      </c>
      <c r="AG367" t="str">
        <f>INDEX(vp.data[[#Headers],[Unknown]:[Heavy_SW]],MATCH(1,vp.data[[#This Row],[Unknown]:[Heavy_SW]],0))</f>
        <v>Midale</v>
      </c>
      <c r="AH367">
        <f>INDEX([3]!crudeBD.lkup[Number],MATCH(vp.data[[#This Row],[Crude_Breakdown]],crudeBD.lkup[Crude Breakdown],0))</f>
        <v>5</v>
      </c>
      <c r="AI367">
        <f>MONTH(vp.data[[#This Row],[SDate]])</f>
        <v>11</v>
      </c>
      <c r="AJ367" s="5">
        <f>(vp.data[[#This Row],[VP]]-INDEX(crudeBD.lkup[Mean_VP],MATCH(vp.data[[#This Row],[Crude_Breakdown]],crudeBD.lkup[Crude Breakdown],0)))^2</f>
        <v>73.809355138696446</v>
      </c>
      <c r="AK367" s="5">
        <f>(vp.data[[#This Row],[Dens]]-INDEX(crudeBD.lkup[Mean_Dens],MATCH(vp.data[[#This Row],[Crude_Breakdown]],crudeBD.lkup[Crude Breakdown],0)))^2</f>
        <v>47.845031618667548</v>
      </c>
      <c r="AL367" s="5">
        <f>(vp.data[[#This Row],[Sulf]]-INDEX(crudeBD.lkup[Mean_Sulf],MATCH(vp.data[[#This Row],[Crude_Breakdown]],crudeBD.lkup[Crude Breakdown],0)))^2</f>
        <v>1.785311974748607E-2</v>
      </c>
      <c r="AM367" s="4">
        <f>IF(AND(vp.data[[#This Row],[SDate]]&gt;=DATE(YEAR(vp.data[[#This Row],[SDate]]),5,1),vp.data[[#This Row],[SDate]]&lt;=DATE(YEAR(vp.data[[#This Row],[SDate]]),9,15)),1,0)</f>
        <v>0</v>
      </c>
      <c r="AN367" s="4">
        <f>IF(vp.data[[#This Row],[SDate]]&lt;DATE(2016,12,1),0,1)</f>
        <v>0</v>
      </c>
      <c r="AO367" s="4">
        <f>IFERROR(vp.data[[#This Row],[Sulf]]*vp.data[[#This Row],[Net Dens]],"")</f>
        <v>230931280.71297902</v>
      </c>
      <c r="AP367">
        <f>IFERROR(vp.data[[#This Row],[Dens]]*vp.data[[#This Row],[VolumeM3]],"")</f>
        <v>99970251.390900001</v>
      </c>
      <c r="AQ367" s="15">
        <f>IFERROR(vp.data[[#This Row],[VP]]*vp.data[[#This Row],[VolumeM3]],"")</f>
        <v>8984536.9379999992</v>
      </c>
    </row>
    <row r="368" spans="1:43" x14ac:dyDescent="0.25">
      <c r="A368">
        <v>367</v>
      </c>
      <c r="B368" t="s">
        <v>51</v>
      </c>
      <c r="C368" t="s">
        <v>51</v>
      </c>
      <c r="D368" t="s">
        <v>52</v>
      </c>
      <c r="F368" s="1">
        <v>42697</v>
      </c>
      <c r="G368" s="2">
        <v>72.2</v>
      </c>
      <c r="H368" s="2"/>
      <c r="I368" s="2">
        <f t="array" ref="I368">_xlfn.IFNA(IF(vp.data[[#This Row],[Sulf Input]]="",INDEX([1]DATA!$Q$3:$Q$9826,MATCH(1,(vp.data[[#This Row],[Battery]]=[1]DATA!$L$3:$L$9826)*(EOMONTH(vp.data[[#This Row],[SDate]],-1)+1=[1]DATA!$G$3:$G$9826),0)),vp.data[[#This Row],[Sulf Input]]),"")</f>
        <v>2.27</v>
      </c>
      <c r="J368" s="2"/>
      <c r="K368" s="2"/>
      <c r="L368" s="2">
        <v>868.8</v>
      </c>
      <c r="M368" s="2">
        <f t="array" ref="M368">_xlfn.IFNA(IF(vp.data[[#This Row],[Dens Input]]="",INDEX([1]DATA!$O$3:$O$9826,MATCH(1,(vp.data[[#This Row],[Battery]]=[1]DATA!$L$3:$L$9826)*(EOMONTH(vp.data[[#This Row],[SDate]],-1)+1=[1]DATA!$G$3:$G$9826),0)),vp.data[[#This Row],[Dens Input]]),"")</f>
        <v>868.8</v>
      </c>
      <c r="N368" s="2">
        <f ca="1">INDEX(INDIRECT(_xlfn.CONCAT("weather.tbl[",N$1,"]")),MATCH(vp.data[[#This Row],[SDate]],weather.tbl[Date],0))</f>
        <v>-0.98333333333333328</v>
      </c>
      <c r="O368" s="2">
        <f ca="1">INDEX(INDIRECT(_xlfn.CONCAT("weather.tbl[",O$1,"]")),MATCH(vp.data[[#This Row],[SDate]],weather.tbl[Date],0))</f>
        <v>-3.090476190476191</v>
      </c>
      <c r="P368" s="2">
        <f ca="1">INDEX(INDIRECT(_xlfn.CONCAT("weather.tbl[",P$1,"]")),MATCH(vp.data[[#This Row],[SDate]],weather.tbl[Date],0))</f>
        <v>-0.9</v>
      </c>
      <c r="Q368" s="2">
        <f ca="1">INDEX(INDIRECT(_xlfn.CONCAT("weather.tbl[",Q$1,"]")),MATCH(vp.data[[#This Row],[SDate]],weather.tbl[Date],0))</f>
        <v>-1.3</v>
      </c>
      <c r="R368" s="2">
        <f ca="1">INDEX(INDIRECT(_xlfn.CONCAT("weather.tbl[",R$1,"]")),MATCH(vp.data[[#This Row],[SDate]],weather.tbl[Date],0))</f>
        <v>-0.8</v>
      </c>
      <c r="S368" s="2">
        <f ca="1">INDEX(INDIRECT(_xlfn.CONCAT("weather.tbl[",S$1,"]")),MATCH(vp.data[[#This Row],[SDate]],weather.tbl[Date],0))</f>
        <v>-1.8</v>
      </c>
      <c r="T368" s="2">
        <f ca="1">INDEX(INDIRECT(_xlfn.CONCAT("weather.tbl[",T$1,"]")),MATCH(vp.data[[#This Row],[SDate]],weather.tbl[Date],0))</f>
        <v>-0.1</v>
      </c>
      <c r="U368" s="2">
        <f ca="1">INDEX(INDIRECT(_xlfn.CONCAT("weather.tbl[",U$1,"]")),MATCH(vp.data[[#This Row],[SDate]],weather.tbl[Date],0))</f>
        <v>-1</v>
      </c>
      <c r="V368" s="2">
        <f t="array" ref="V3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7337.21</v>
      </c>
      <c r="W368" t="s">
        <v>48</v>
      </c>
      <c r="X368">
        <f>IF(OR(vp.data[[#This Row],[Sulf]]="",vp.data[[#This Row],[Dens]]=""),1,0)</f>
        <v>0</v>
      </c>
      <c r="Y368">
        <f>IF(vp.data[[#This Row],[CrudeType]]="C5+",1,0)</f>
        <v>0</v>
      </c>
      <c r="Z368">
        <f>IF(AND(vp.data[[#This Row],[CrudeType]]="Crude",vp.data[[#This Row],[Dens]]&lt;=825,vp.data[[#This Row],[Sulf]]&gt;0.5,vp.data[[#This Row],[Unknown]]=0),1,0)</f>
        <v>0</v>
      </c>
      <c r="AA368">
        <f>IF(AND(vp.data[[#This Row],[CrudeType]]="Crude",vp.data[[#This Row],[Dens]]&lt;=825,vp.data[[#This Row],[Sulf]]&lt;=0.5,vp.data[[#This Row],[Unknown]]=0),1,0)</f>
        <v>0</v>
      </c>
      <c r="AB3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8">
        <f>IF(AND(vp.data[[#This Row],[CrudeType]]="Crude",vp.data[[#This Row],[Dens]]&gt;825,vp.data[[#This Row],[Dens]]&lt;=900,vp.data[[#This Row],[Sulf]]&lt;=0.5,vp.data[[#This Row],[Unknown]]=0),1,0)</f>
        <v>0</v>
      </c>
      <c r="AD368">
        <f>IF(AND(vp.data[[#This Row],[CrudeType]]="Crude",vp.data[[#This Row],[Dens]]&gt;865,vp.data[[#This Row],[Dens]]&lt;=900,vp.data[[#This Row],[Sulf]]&gt;2,vp.data[[#This Row],[Unknown]]=0),1,0)</f>
        <v>1</v>
      </c>
      <c r="AE368">
        <f>IF(AND(vp.data[[#This Row],[CrudeType]]="Crude",vp.data[[#This Row],[Dens]]&gt;900,vp.data[[#This Row],[Sulf]]&lt;=0.5,vp.data[[#This Row],[Unknown]]=0),1,0)</f>
        <v>0</v>
      </c>
      <c r="AF368">
        <f>IF(AND(vp.data[[#This Row],[CrudeType]]="Crude",vp.data[[#This Row],[Dens]]&gt;900,vp.data[[#This Row],[Sulf]]&lt;=0.5,vp.data[[#This Row],[Unknown]]=0),1,0)</f>
        <v>0</v>
      </c>
      <c r="AG368" t="str">
        <f>INDEX(vp.data[[#Headers],[Unknown]:[Heavy_SW]],MATCH(1,vp.data[[#This Row],[Unknown]:[Heavy_SW]],0))</f>
        <v>Midale</v>
      </c>
      <c r="AH368">
        <f>INDEX([3]!crudeBD.lkup[Number],MATCH(vp.data[[#This Row],[Crude_Breakdown]],crudeBD.lkup[Crude Breakdown],0))</f>
        <v>5</v>
      </c>
      <c r="AI368">
        <f>MONTH(vp.data[[#This Row],[SDate]])</f>
        <v>11</v>
      </c>
      <c r="AJ368" s="5">
        <f>(vp.data[[#This Row],[VP]]-INDEX(crudeBD.lkup[Mean_VP],MATCH(vp.data[[#This Row],[Crude_Breakdown]],crudeBD.lkup[Crude Breakdown],0)))^2</f>
        <v>7.7910046232329151</v>
      </c>
      <c r="AK368" s="5">
        <f>(vp.data[[#This Row],[Dens]]-INDEX(crudeBD.lkup[Mean_Dens],MATCH(vp.data[[#This Row],[Crude_Breakdown]],crudeBD.lkup[Crude Breakdown],0)))^2</f>
        <v>36.204413061966193</v>
      </c>
      <c r="AL368" s="5">
        <f>(vp.data[[#This Row],[Sulf]]-INDEX(crudeBD.lkup[Mean_Sulf],MATCH(vp.data[[#This Row],[Crude_Breakdown]],crudeBD.lkup[Crude Breakdown],0)))^2</f>
        <v>3.0142365108310708E-2</v>
      </c>
      <c r="AM368" s="4">
        <f>IF(AND(vp.data[[#This Row],[SDate]]&gt;=DATE(YEAR(vp.data[[#This Row],[SDate]]),5,1),vp.data[[#This Row],[SDate]]&lt;=DATE(YEAR(vp.data[[#This Row],[SDate]]),9,15)),1,0)</f>
        <v>0</v>
      </c>
      <c r="AN368" s="4">
        <f>IF(vp.data[[#This Row],[SDate]]&lt;DATE(2016,12,1),0,1)</f>
        <v>0</v>
      </c>
      <c r="AO368" s="4">
        <f>IFERROR(vp.data[[#This Row],[Sulf]]*vp.data[[#This Row],[Net Dens]],"")</f>
        <v>14470269.468959998</v>
      </c>
      <c r="AP368">
        <f>IFERROR(vp.data[[#This Row],[Dens]]*vp.data[[#This Row],[VolumeM3]],"")</f>
        <v>6374568.0479999995</v>
      </c>
      <c r="AQ368" s="15">
        <f>IFERROR(vp.data[[#This Row],[VP]]*vp.data[[#This Row],[VolumeM3]],"")</f>
        <v>529746.56200000003</v>
      </c>
    </row>
    <row r="369" spans="1:43" x14ac:dyDescent="0.25">
      <c r="A369">
        <v>368</v>
      </c>
      <c r="B369" t="s">
        <v>64</v>
      </c>
      <c r="C369" t="s">
        <v>64</v>
      </c>
      <c r="D369" t="s">
        <v>65</v>
      </c>
      <c r="F369" s="1">
        <v>42697</v>
      </c>
      <c r="G369" s="2">
        <v>68.599999999999994</v>
      </c>
      <c r="H369" s="2"/>
      <c r="I369" s="2">
        <f t="array" ref="I369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369" s="2"/>
      <c r="K369" s="2"/>
      <c r="L369" s="2">
        <v>878.5</v>
      </c>
      <c r="M369" s="2">
        <f t="array" ref="M369">_xlfn.IFNA(IF(vp.data[[#This Row],[Dens Input]]="",INDEX([1]DATA!$O$3:$O$9826,MATCH(1,(vp.data[[#This Row],[Battery]]=[1]DATA!$L$3:$L$9826)*(EOMONTH(vp.data[[#This Row],[SDate]],-1)+1=[1]DATA!$G$3:$G$9826),0)),vp.data[[#This Row],[Dens Input]]),"")</f>
        <v>878.5</v>
      </c>
      <c r="N369" s="2">
        <f ca="1">INDEX(INDIRECT(_xlfn.CONCAT("weather.tbl[",N$1,"]")),MATCH(vp.data[[#This Row],[SDate]],weather.tbl[Date],0))</f>
        <v>-0.98333333333333328</v>
      </c>
      <c r="O369" s="2">
        <f ca="1">INDEX(INDIRECT(_xlfn.CONCAT("weather.tbl[",O$1,"]")),MATCH(vp.data[[#This Row],[SDate]],weather.tbl[Date],0))</f>
        <v>-3.090476190476191</v>
      </c>
      <c r="P369" s="2">
        <f ca="1">INDEX(INDIRECT(_xlfn.CONCAT("weather.tbl[",P$1,"]")),MATCH(vp.data[[#This Row],[SDate]],weather.tbl[Date],0))</f>
        <v>-0.9</v>
      </c>
      <c r="Q369" s="2">
        <f ca="1">INDEX(INDIRECT(_xlfn.CONCAT("weather.tbl[",Q$1,"]")),MATCH(vp.data[[#This Row],[SDate]],weather.tbl[Date],0))</f>
        <v>-1.3</v>
      </c>
      <c r="R369" s="2">
        <f ca="1">INDEX(INDIRECT(_xlfn.CONCAT("weather.tbl[",R$1,"]")),MATCH(vp.data[[#This Row],[SDate]],weather.tbl[Date],0))</f>
        <v>-0.8</v>
      </c>
      <c r="S369" s="2">
        <f ca="1">INDEX(INDIRECT(_xlfn.CONCAT("weather.tbl[",S$1,"]")),MATCH(vp.data[[#This Row],[SDate]],weather.tbl[Date],0))</f>
        <v>-1.8</v>
      </c>
      <c r="T369" s="2">
        <f ca="1">INDEX(INDIRECT(_xlfn.CONCAT("weather.tbl[",T$1,"]")),MATCH(vp.data[[#This Row],[SDate]],weather.tbl[Date],0))</f>
        <v>-0.1</v>
      </c>
      <c r="U369" s="2">
        <f ca="1">INDEX(INDIRECT(_xlfn.CONCAT("weather.tbl[",U$1,"]")),MATCH(vp.data[[#This Row],[SDate]],weather.tbl[Date],0))</f>
        <v>-1</v>
      </c>
      <c r="V369" s="2">
        <f t="array" ref="V3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21099.701000000001</v>
      </c>
      <c r="W369" t="s">
        <v>48</v>
      </c>
      <c r="X369">
        <f>IF(OR(vp.data[[#This Row],[Sulf]]="",vp.data[[#This Row],[Dens]]=""),1,0)</f>
        <v>0</v>
      </c>
      <c r="Y369">
        <f>IF(vp.data[[#This Row],[CrudeType]]="C5+",1,0)</f>
        <v>0</v>
      </c>
      <c r="Z369">
        <f>IF(AND(vp.data[[#This Row],[CrudeType]]="Crude",vp.data[[#This Row],[Dens]]&lt;=825,vp.data[[#This Row],[Sulf]]&gt;0.5,vp.data[[#This Row],[Unknown]]=0),1,0)</f>
        <v>0</v>
      </c>
      <c r="AA369">
        <f>IF(AND(vp.data[[#This Row],[CrudeType]]="Crude",vp.data[[#This Row],[Dens]]&lt;=825,vp.data[[#This Row],[Sulf]]&lt;=0.5,vp.data[[#This Row],[Unknown]]=0),1,0)</f>
        <v>0</v>
      </c>
      <c r="AB3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69">
        <f>IF(AND(vp.data[[#This Row],[CrudeType]]="Crude",vp.data[[#This Row],[Dens]]&gt;825,vp.data[[#This Row],[Dens]]&lt;=900,vp.data[[#This Row],[Sulf]]&lt;=0.5,vp.data[[#This Row],[Unknown]]=0),1,0)</f>
        <v>0</v>
      </c>
      <c r="AD369">
        <f>IF(AND(vp.data[[#This Row],[CrudeType]]="Crude",vp.data[[#This Row],[Dens]]&gt;865,vp.data[[#This Row],[Dens]]&lt;=900,vp.data[[#This Row],[Sulf]]&gt;2,vp.data[[#This Row],[Unknown]]=0),1,0)</f>
        <v>1</v>
      </c>
      <c r="AE369">
        <f>IF(AND(vp.data[[#This Row],[CrudeType]]="Crude",vp.data[[#This Row],[Dens]]&gt;900,vp.data[[#This Row],[Sulf]]&lt;=0.5,vp.data[[#This Row],[Unknown]]=0),1,0)</f>
        <v>0</v>
      </c>
      <c r="AF369">
        <f>IF(AND(vp.data[[#This Row],[CrudeType]]="Crude",vp.data[[#This Row],[Dens]]&gt;900,vp.data[[#This Row],[Sulf]]&lt;=0.5,vp.data[[#This Row],[Unknown]]=0),1,0)</f>
        <v>0</v>
      </c>
      <c r="AG369" t="str">
        <f>INDEX(vp.data[[#Headers],[Unknown]:[Heavy_SW]],MATCH(1,vp.data[[#This Row],[Unknown]:[Heavy_SW]],0))</f>
        <v>Midale</v>
      </c>
      <c r="AH369">
        <f>INDEX([3]!crudeBD.lkup[Number],MATCH(vp.data[[#This Row],[Crude_Breakdown]],crudeBD.lkup[Crude Breakdown],0))</f>
        <v>5</v>
      </c>
      <c r="AI369">
        <f>MONTH(vp.data[[#This Row],[SDate]])</f>
        <v>11</v>
      </c>
      <c r="AJ369" s="5">
        <f>(vp.data[[#This Row],[VP]]-INDEX(crudeBD.lkup[Mean_VP],MATCH(vp.data[[#This Row],[Crude_Breakdown]],crudeBD.lkup[Crude Breakdown],0)))^2</f>
        <v>0.65409740673828931</v>
      </c>
      <c r="AK369" s="5">
        <f>(vp.data[[#This Row],[Dens]]-INDEX(crudeBD.lkup[Mean_Dens],MATCH(vp.data[[#This Row],[Crude_Breakdown]],crudeBD.lkup[Crude Breakdown],0)))^2</f>
        <v>13.564413061959689</v>
      </c>
      <c r="AL369" s="5">
        <f>(vp.data[[#This Row],[Sulf]]-INDEX(crudeBD.lkup[Mean_Sulf],MATCH(vp.data[[#This Row],[Crude_Breakdown]],crudeBD.lkup[Crude Breakdown],0)))^2</f>
        <v>0.12504396923202166</v>
      </c>
      <c r="AM369" s="4">
        <f>IF(AND(vp.data[[#This Row],[SDate]]&gt;=DATE(YEAR(vp.data[[#This Row],[SDate]]),5,1),vp.data[[#This Row],[SDate]]&lt;=DATE(YEAR(vp.data[[#This Row],[SDate]]),9,15)),1,0)</f>
        <v>0</v>
      </c>
      <c r="AN369" s="4">
        <f>IF(vp.data[[#This Row],[SDate]]&lt;DATE(2016,12,1),0,1)</f>
        <v>0</v>
      </c>
      <c r="AO369" s="4">
        <f>IFERROR(vp.data[[#This Row],[Sulf]]*vp.data[[#This Row],[Net Dens]],"")</f>
        <v>38740422.516565003</v>
      </c>
      <c r="AP369">
        <f>IFERROR(vp.data[[#This Row],[Dens]]*vp.data[[#This Row],[VolumeM3]],"")</f>
        <v>18536087.328500003</v>
      </c>
      <c r="AQ369" s="15">
        <f>IFERROR(vp.data[[#This Row],[VP]]*vp.data[[#This Row],[VolumeM3]],"")</f>
        <v>1447439.4886</v>
      </c>
    </row>
    <row r="370" spans="1:43" x14ac:dyDescent="0.25">
      <c r="A370">
        <v>369</v>
      </c>
      <c r="B370" t="s">
        <v>49</v>
      </c>
      <c r="C370" t="s">
        <v>49</v>
      </c>
      <c r="D370" t="s">
        <v>67</v>
      </c>
      <c r="F370" s="1">
        <v>42702</v>
      </c>
      <c r="G370" s="2">
        <v>98.6</v>
      </c>
      <c r="H370" s="2"/>
      <c r="I370" s="2">
        <f t="array" ref="I370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370" s="2"/>
      <c r="K370" s="2"/>
      <c r="L370" s="2">
        <v>807.2</v>
      </c>
      <c r="M370" s="2">
        <f t="array" ref="M370">_xlfn.IFNA(IF(vp.data[[#This Row],[Dens Input]]="",INDEX([1]DATA!$O$3:$O$9826,MATCH(1,(vp.data[[#This Row],[Battery]]=[1]DATA!$L$3:$L$9826)*(EOMONTH(vp.data[[#This Row],[SDate]],-1)+1=[1]DATA!$G$3:$G$9826),0)),vp.data[[#This Row],[Dens Input]]),"")</f>
        <v>807.2</v>
      </c>
      <c r="N370" s="2">
        <f ca="1">INDEX(INDIRECT(_xlfn.CONCAT("weather.tbl[",N$1,"]")),MATCH(vp.data[[#This Row],[SDate]],weather.tbl[Date],0))</f>
        <v>-2.583333333333333</v>
      </c>
      <c r="O370" s="2">
        <f ca="1">INDEX(INDIRECT(_xlfn.CONCAT("weather.tbl[",O$1,"]")),MATCH(vp.data[[#This Row],[SDate]],weather.tbl[Date],0))</f>
        <v>-0.82857142857142863</v>
      </c>
      <c r="P370" s="2">
        <f ca="1">INDEX(INDIRECT(_xlfn.CONCAT("weather.tbl[",P$1,"]")),MATCH(vp.data[[#This Row],[SDate]],weather.tbl[Date],0))</f>
        <v>-2.6</v>
      </c>
      <c r="Q370" s="2">
        <f ca="1">INDEX(INDIRECT(_xlfn.CONCAT("weather.tbl[",Q$1,"]")),MATCH(vp.data[[#This Row],[SDate]],weather.tbl[Date],0))</f>
        <v>-2.5</v>
      </c>
      <c r="R370" s="2">
        <f ca="1">INDEX(INDIRECT(_xlfn.CONCAT("weather.tbl[",R$1,"]")),MATCH(vp.data[[#This Row],[SDate]],weather.tbl[Date],0))</f>
        <v>-2.8</v>
      </c>
      <c r="S370" s="2">
        <f ca="1">INDEX(INDIRECT(_xlfn.CONCAT("weather.tbl[",S$1,"]")),MATCH(vp.data[[#This Row],[SDate]],weather.tbl[Date],0))</f>
        <v>-2.5</v>
      </c>
      <c r="T370" s="2">
        <f ca="1">INDEX(INDIRECT(_xlfn.CONCAT("weather.tbl[",T$1,"]")),MATCH(vp.data[[#This Row],[SDate]],weather.tbl[Date],0))</f>
        <v>-1.6</v>
      </c>
      <c r="U370" s="2">
        <f ca="1">INDEX(INDIRECT(_xlfn.CONCAT("weather.tbl[",U$1,"]")),MATCH(vp.data[[#This Row],[SDate]],weather.tbl[Date],0))</f>
        <v>-3.5</v>
      </c>
      <c r="V370" s="2">
        <f t="array" ref="V3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52233.78</v>
      </c>
      <c r="W370" t="s">
        <v>48</v>
      </c>
      <c r="X370">
        <f>IF(OR(vp.data[[#This Row],[Sulf]]="",vp.data[[#This Row],[Dens]]=""),1,0)</f>
        <v>0</v>
      </c>
      <c r="Y370">
        <f>IF(vp.data[[#This Row],[CrudeType]]="C5+",1,0)</f>
        <v>0</v>
      </c>
      <c r="Z370">
        <f>IF(AND(vp.data[[#This Row],[CrudeType]]="Crude",vp.data[[#This Row],[Dens]]&lt;=825,vp.data[[#This Row],[Sulf]]&gt;0.5,vp.data[[#This Row],[Unknown]]=0),1,0)</f>
        <v>0</v>
      </c>
      <c r="AA370">
        <f>IF(AND(vp.data[[#This Row],[CrudeType]]="Crude",vp.data[[#This Row],[Dens]]&lt;=825,vp.data[[#This Row],[Sulf]]&lt;=0.5,vp.data[[#This Row],[Unknown]]=0),1,0)</f>
        <v>1</v>
      </c>
      <c r="AB3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0">
        <f>IF(AND(vp.data[[#This Row],[CrudeType]]="Crude",vp.data[[#This Row],[Dens]]&gt;825,vp.data[[#This Row],[Dens]]&lt;=900,vp.data[[#This Row],[Sulf]]&lt;=0.5,vp.data[[#This Row],[Unknown]]=0),1,0)</f>
        <v>0</v>
      </c>
      <c r="AD370">
        <f>IF(AND(vp.data[[#This Row],[CrudeType]]="Crude",vp.data[[#This Row],[Dens]]&gt;865,vp.data[[#This Row],[Dens]]&lt;=900,vp.data[[#This Row],[Sulf]]&gt;2,vp.data[[#This Row],[Unknown]]=0),1,0)</f>
        <v>0</v>
      </c>
      <c r="AE370">
        <f>IF(AND(vp.data[[#This Row],[CrudeType]]="Crude",vp.data[[#This Row],[Dens]]&gt;900,vp.data[[#This Row],[Sulf]]&lt;=0.5,vp.data[[#This Row],[Unknown]]=0),1,0)</f>
        <v>0</v>
      </c>
      <c r="AF370">
        <f>IF(AND(vp.data[[#This Row],[CrudeType]]="Crude",vp.data[[#This Row],[Dens]]&gt;900,vp.data[[#This Row],[Sulf]]&lt;=0.5,vp.data[[#This Row],[Unknown]]=0),1,0)</f>
        <v>0</v>
      </c>
      <c r="AG370" t="str">
        <f>INDEX(vp.data[[#Headers],[Unknown]:[Heavy_SW]],MATCH(1,vp.data[[#This Row],[Unknown]:[Heavy_SW]],0))</f>
        <v>Light_SW</v>
      </c>
      <c r="AH370">
        <f>INDEX([3]!crudeBD.lkup[Number],MATCH(vp.data[[#This Row],[Crude_Breakdown]],crudeBD.lkup[Crude Breakdown],0))</f>
        <v>2</v>
      </c>
      <c r="AI370">
        <f>MONTH(vp.data[[#This Row],[SDate]])</f>
        <v>11</v>
      </c>
      <c r="AJ370" s="5">
        <f>(vp.data[[#This Row],[VP]]-INDEX(crudeBD.lkup[Mean_VP],MATCH(vp.data[[#This Row],[Crude_Breakdown]],crudeBD.lkup[Crude Breakdown],0)))^2</f>
        <v>36.598705673251146</v>
      </c>
      <c r="AK370" s="5">
        <f>(vp.data[[#This Row],[Dens]]-INDEX(crudeBD.lkup[Mean_Dens],MATCH(vp.data[[#This Row],[Crude_Breakdown]],crudeBD.lkup[Crude Breakdown],0)))^2</f>
        <v>1.2354283771801491</v>
      </c>
      <c r="AL370" s="5">
        <f>(vp.data[[#This Row],[Sulf]]-INDEX(crudeBD.lkup[Mean_Sulf],MATCH(vp.data[[#This Row],[Crude_Breakdown]],crudeBD.lkup[Crude Breakdown],0)))^2</f>
        <v>1.3134689259308601E-3</v>
      </c>
      <c r="AM370" s="4">
        <f>IF(AND(vp.data[[#This Row],[SDate]]&gt;=DATE(YEAR(vp.data[[#This Row],[SDate]]),5,1),vp.data[[#This Row],[SDate]]&lt;=DATE(YEAR(vp.data[[#This Row],[SDate]]),9,15)),1,0)</f>
        <v>0</v>
      </c>
      <c r="AN370" s="4">
        <f>IF(vp.data[[#This Row],[SDate]]&lt;DATE(2016,12,1),0,1)</f>
        <v>0</v>
      </c>
      <c r="AO370" s="4">
        <f>IFERROR(vp.data[[#This Row],[Sulf]]*vp.data[[#This Row],[Net Dens]],"")</f>
        <v>8432621.4431999996</v>
      </c>
      <c r="AP370">
        <f>IFERROR(vp.data[[#This Row],[Dens]]*vp.data[[#This Row],[VolumeM3]],"")</f>
        <v>42163107.215999998</v>
      </c>
      <c r="AQ370" s="15">
        <f>IFERROR(vp.data[[#This Row],[VP]]*vp.data[[#This Row],[VolumeM3]],"")</f>
        <v>5150250.7079999996</v>
      </c>
    </row>
    <row r="371" spans="1:43" x14ac:dyDescent="0.25">
      <c r="A371">
        <v>370</v>
      </c>
      <c r="B371" t="s">
        <v>49</v>
      </c>
      <c r="C371" t="s">
        <v>49</v>
      </c>
      <c r="D371" t="s">
        <v>88</v>
      </c>
      <c r="F371" s="1">
        <v>42702</v>
      </c>
      <c r="G371" s="2">
        <v>87.8</v>
      </c>
      <c r="H371" s="2"/>
      <c r="I371" s="2">
        <f t="array" ref="I371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371" s="2"/>
      <c r="K371" s="2"/>
      <c r="L371" s="2">
        <v>831.4</v>
      </c>
      <c r="M371" s="2">
        <f t="array" ref="M371">_xlfn.IFNA(IF(vp.data[[#This Row],[Dens Input]]="",INDEX([1]DATA!$O$3:$O$9826,MATCH(1,(vp.data[[#This Row],[Battery]]=[1]DATA!$L$3:$L$9826)*(EOMONTH(vp.data[[#This Row],[SDate]],-1)+1=[1]DATA!$G$3:$G$9826),0)),vp.data[[#This Row],[Dens Input]]),"")</f>
        <v>831.4</v>
      </c>
      <c r="N371" s="2">
        <f ca="1">INDEX(INDIRECT(_xlfn.CONCAT("weather.tbl[",N$1,"]")),MATCH(vp.data[[#This Row],[SDate]],weather.tbl[Date],0))</f>
        <v>-2.583333333333333</v>
      </c>
      <c r="O371" s="2">
        <f ca="1">INDEX(INDIRECT(_xlfn.CONCAT("weather.tbl[",O$1,"]")),MATCH(vp.data[[#This Row],[SDate]],weather.tbl[Date],0))</f>
        <v>-0.82857142857142863</v>
      </c>
      <c r="P371" s="2">
        <f ca="1">INDEX(INDIRECT(_xlfn.CONCAT("weather.tbl[",P$1,"]")),MATCH(vp.data[[#This Row],[SDate]],weather.tbl[Date],0))</f>
        <v>-2.6</v>
      </c>
      <c r="Q371" s="2">
        <f ca="1">INDEX(INDIRECT(_xlfn.CONCAT("weather.tbl[",Q$1,"]")),MATCH(vp.data[[#This Row],[SDate]],weather.tbl[Date],0))</f>
        <v>-2.5</v>
      </c>
      <c r="R371" s="2">
        <f ca="1">INDEX(INDIRECT(_xlfn.CONCAT("weather.tbl[",R$1,"]")),MATCH(vp.data[[#This Row],[SDate]],weather.tbl[Date],0))</f>
        <v>-2.8</v>
      </c>
      <c r="S371" s="2">
        <f ca="1">INDEX(INDIRECT(_xlfn.CONCAT("weather.tbl[",S$1,"]")),MATCH(vp.data[[#This Row],[SDate]],weather.tbl[Date],0))</f>
        <v>-2.5</v>
      </c>
      <c r="T371" s="2">
        <f ca="1">INDEX(INDIRECT(_xlfn.CONCAT("weather.tbl[",T$1,"]")),MATCH(vp.data[[#This Row],[SDate]],weather.tbl[Date],0))</f>
        <v>-1.6</v>
      </c>
      <c r="U371" s="2">
        <f ca="1">INDEX(INDIRECT(_xlfn.CONCAT("weather.tbl[",U$1,"]")),MATCH(vp.data[[#This Row],[SDate]],weather.tbl[Date],0))</f>
        <v>-3.5</v>
      </c>
      <c r="V371" s="2">
        <f t="array" ref="V3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4275.634</v>
      </c>
      <c r="W371" t="s">
        <v>48</v>
      </c>
      <c r="X371">
        <f>IF(OR(vp.data[[#This Row],[Sulf]]="",vp.data[[#This Row],[Dens]]=""),1,0)</f>
        <v>0</v>
      </c>
      <c r="Y371">
        <f>IF(vp.data[[#This Row],[CrudeType]]="C5+",1,0)</f>
        <v>0</v>
      </c>
      <c r="Z371">
        <f>IF(AND(vp.data[[#This Row],[CrudeType]]="Crude",vp.data[[#This Row],[Dens]]&lt;=825,vp.data[[#This Row],[Sulf]]&gt;0.5,vp.data[[#This Row],[Unknown]]=0),1,0)</f>
        <v>0</v>
      </c>
      <c r="AA371">
        <f>IF(AND(vp.data[[#This Row],[CrudeType]]="Crude",vp.data[[#This Row],[Dens]]&lt;=825,vp.data[[#This Row],[Sulf]]&lt;=0.5,vp.data[[#This Row],[Unknown]]=0),1,0)</f>
        <v>0</v>
      </c>
      <c r="AB3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71">
        <f>IF(AND(vp.data[[#This Row],[CrudeType]]="Crude",vp.data[[#This Row],[Dens]]&gt;825,vp.data[[#This Row],[Dens]]&lt;=900,vp.data[[#This Row],[Sulf]]&lt;=0.5,vp.data[[#This Row],[Unknown]]=0),1,0)</f>
        <v>0</v>
      </c>
      <c r="AD371">
        <f>IF(AND(vp.data[[#This Row],[CrudeType]]="Crude",vp.data[[#This Row],[Dens]]&gt;865,vp.data[[#This Row],[Dens]]&lt;=900,vp.data[[#This Row],[Sulf]]&gt;2,vp.data[[#This Row],[Unknown]]=0),1,0)</f>
        <v>0</v>
      </c>
      <c r="AE371">
        <f>IF(AND(vp.data[[#This Row],[CrudeType]]="Crude",vp.data[[#This Row],[Dens]]&gt;900,vp.data[[#This Row],[Sulf]]&lt;=0.5,vp.data[[#This Row],[Unknown]]=0),1,0)</f>
        <v>0</v>
      </c>
      <c r="AF371">
        <f>IF(AND(vp.data[[#This Row],[CrudeType]]="Crude",vp.data[[#This Row],[Dens]]&gt;900,vp.data[[#This Row],[Sulf]]&lt;=0.5,vp.data[[#This Row],[Unknown]]=0),1,0)</f>
        <v>0</v>
      </c>
      <c r="AG371" t="str">
        <f>INDEX(vp.data[[#Headers],[Unknown]:[Heavy_SW]],MATCH(1,vp.data[[#This Row],[Unknown]:[Heavy_SW]],0))</f>
        <v>Medium_LSB</v>
      </c>
      <c r="AH371">
        <f>INDEX([3]!crudeBD.lkup[Number],MATCH(vp.data[[#This Row],[Crude_Breakdown]],crudeBD.lkup[Crude Breakdown],0))</f>
        <v>3</v>
      </c>
      <c r="AI371">
        <f>MONTH(vp.data[[#This Row],[SDate]])</f>
        <v>11</v>
      </c>
      <c r="AJ371" s="5">
        <f>(vp.data[[#This Row],[VP]]-INDEX(crudeBD.lkup[Mean_VP],MATCH(vp.data[[#This Row],[Crude_Breakdown]],crudeBD.lkup[Crude Breakdown],0)))^2</f>
        <v>51.270231910550891</v>
      </c>
      <c r="AK371" s="5">
        <f>(vp.data[[#This Row],[Dens]]-INDEX(crudeBD.lkup[Mean_Dens],MATCH(vp.data[[#This Row],[Crude_Breakdown]],crudeBD.lkup[Crude Breakdown],0)))^2</f>
        <v>156.75039999998816</v>
      </c>
      <c r="AL371" s="5">
        <f>(vp.data[[#This Row],[Sulf]]-INDEX(crudeBD.lkup[Mean_Sulf],MATCH(vp.data[[#This Row],[Crude_Breakdown]],crudeBD.lkup[Crude Breakdown],0)))^2</f>
        <v>4.1857834626689315E-2</v>
      </c>
      <c r="AM371" s="4">
        <f>IF(AND(vp.data[[#This Row],[SDate]]&gt;=DATE(YEAR(vp.data[[#This Row],[SDate]]),5,1),vp.data[[#This Row],[SDate]]&lt;=DATE(YEAR(vp.data[[#This Row],[SDate]]),9,15)),1,0)</f>
        <v>0</v>
      </c>
      <c r="AN371" s="4">
        <f>IF(vp.data[[#This Row],[SDate]]&lt;DATE(2016,12,1),0,1)</f>
        <v>0</v>
      </c>
      <c r="AO371" s="4">
        <f>IFERROR(vp.data[[#This Row],[Sulf]]*vp.data[[#This Row],[Net Dens]],"")</f>
        <v>5652071.7510839999</v>
      </c>
      <c r="AP371">
        <f>IFERROR(vp.data[[#This Row],[Dens]]*vp.data[[#This Row],[VolumeM3]],"")</f>
        <v>3554762.1075999998</v>
      </c>
      <c r="AQ371" s="15">
        <f>IFERROR(vp.data[[#This Row],[VP]]*vp.data[[#This Row],[VolumeM3]],"")</f>
        <v>375400.66519999999</v>
      </c>
    </row>
    <row r="372" spans="1:43" x14ac:dyDescent="0.25">
      <c r="A372">
        <v>371</v>
      </c>
      <c r="B372" t="s">
        <v>51</v>
      </c>
      <c r="C372" t="s">
        <v>51</v>
      </c>
      <c r="D372" t="s">
        <v>72</v>
      </c>
      <c r="F372" s="1">
        <v>42703</v>
      </c>
      <c r="G372" s="2">
        <v>95.2</v>
      </c>
      <c r="H372" s="2"/>
      <c r="I372" s="2">
        <f t="array" ref="I372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372" s="2"/>
      <c r="K372" s="2"/>
      <c r="L372" s="2">
        <v>839.5</v>
      </c>
      <c r="M372" s="2">
        <f t="array" ref="M372">_xlfn.IFNA(IF(vp.data[[#This Row],[Dens Input]]="",INDEX([1]DATA!$O$3:$O$9826,MATCH(1,(vp.data[[#This Row],[Battery]]=[1]DATA!$L$3:$L$9826)*(EOMONTH(vp.data[[#This Row],[SDate]],-1)+1=[1]DATA!$G$3:$G$9826),0)),vp.data[[#This Row],[Dens Input]]),"")</f>
        <v>839.5</v>
      </c>
      <c r="N372" s="2">
        <f ca="1">INDEX(INDIRECT(_xlfn.CONCAT("weather.tbl[",N$1,"]")),MATCH(vp.data[[#This Row],[SDate]],weather.tbl[Date],0))</f>
        <v>-3.2333333333333329</v>
      </c>
      <c r="O372" s="2">
        <f ca="1">INDEX(INDIRECT(_xlfn.CONCAT("weather.tbl[",O$1,"]")),MATCH(vp.data[[#This Row],[SDate]],weather.tbl[Date],0))</f>
        <v>-0.96190476190476182</v>
      </c>
      <c r="P372" s="2">
        <f ca="1">INDEX(INDIRECT(_xlfn.CONCAT("weather.tbl[",P$1,"]")),MATCH(vp.data[[#This Row],[SDate]],weather.tbl[Date],0))</f>
        <v>-3.7</v>
      </c>
      <c r="Q372" s="2">
        <f ca="1">INDEX(INDIRECT(_xlfn.CONCAT("weather.tbl[",Q$1,"]")),MATCH(vp.data[[#This Row],[SDate]],weather.tbl[Date],0))</f>
        <v>-3.7</v>
      </c>
      <c r="R372" s="2">
        <f ca="1">INDEX(INDIRECT(_xlfn.CONCAT("weather.tbl[",R$1,"]")),MATCH(vp.data[[#This Row],[SDate]],weather.tbl[Date],0))</f>
        <v>-2.8</v>
      </c>
      <c r="S372" s="2">
        <f ca="1">INDEX(INDIRECT(_xlfn.CONCAT("weather.tbl[",S$1,"]")),MATCH(vp.data[[#This Row],[SDate]],weather.tbl[Date],0))</f>
        <v>-3.5</v>
      </c>
      <c r="T372" s="2">
        <f ca="1">INDEX(INDIRECT(_xlfn.CONCAT("weather.tbl[",T$1,"]")),MATCH(vp.data[[#This Row],[SDate]],weather.tbl[Date],0))</f>
        <v>-1.4</v>
      </c>
      <c r="U372" s="2">
        <f ca="1">INDEX(INDIRECT(_xlfn.CONCAT("weather.tbl[",U$1,"]")),MATCH(vp.data[[#This Row],[SDate]],weather.tbl[Date],0))</f>
        <v>-4.3</v>
      </c>
      <c r="V372" s="2">
        <f t="array" ref="V3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14400.835999999999</v>
      </c>
      <c r="W372" t="s">
        <v>48</v>
      </c>
      <c r="X372">
        <f>IF(OR(vp.data[[#This Row],[Sulf]]="",vp.data[[#This Row],[Dens]]=""),1,0)</f>
        <v>0</v>
      </c>
      <c r="Y372">
        <f>IF(vp.data[[#This Row],[CrudeType]]="C5+",1,0)</f>
        <v>0</v>
      </c>
      <c r="Z372">
        <f>IF(AND(vp.data[[#This Row],[CrudeType]]="Crude",vp.data[[#This Row],[Dens]]&lt;=825,vp.data[[#This Row],[Sulf]]&gt;0.5,vp.data[[#This Row],[Unknown]]=0),1,0)</f>
        <v>0</v>
      </c>
      <c r="AA372">
        <f>IF(AND(vp.data[[#This Row],[CrudeType]]="Crude",vp.data[[#This Row],[Dens]]&lt;=825,vp.data[[#This Row],[Sulf]]&lt;=0.5,vp.data[[#This Row],[Unknown]]=0),1,0)</f>
        <v>0</v>
      </c>
      <c r="AB3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72">
        <f>IF(AND(vp.data[[#This Row],[CrudeType]]="Crude",vp.data[[#This Row],[Dens]]&gt;825,vp.data[[#This Row],[Dens]]&lt;=900,vp.data[[#This Row],[Sulf]]&lt;=0.5,vp.data[[#This Row],[Unknown]]=0),1,0)</f>
        <v>0</v>
      </c>
      <c r="AD372">
        <f>IF(AND(vp.data[[#This Row],[CrudeType]]="Crude",vp.data[[#This Row],[Dens]]&gt;865,vp.data[[#This Row],[Dens]]&lt;=900,vp.data[[#This Row],[Sulf]]&gt;2,vp.data[[#This Row],[Unknown]]=0),1,0)</f>
        <v>0</v>
      </c>
      <c r="AE372">
        <f>IF(AND(vp.data[[#This Row],[CrudeType]]="Crude",vp.data[[#This Row],[Dens]]&gt;900,vp.data[[#This Row],[Sulf]]&lt;=0.5,vp.data[[#This Row],[Unknown]]=0),1,0)</f>
        <v>0</v>
      </c>
      <c r="AF372">
        <f>IF(AND(vp.data[[#This Row],[CrudeType]]="Crude",vp.data[[#This Row],[Dens]]&gt;900,vp.data[[#This Row],[Sulf]]&lt;=0.5,vp.data[[#This Row],[Unknown]]=0),1,0)</f>
        <v>0</v>
      </c>
      <c r="AG372" t="str">
        <f>INDEX(vp.data[[#Headers],[Unknown]:[Heavy_SW]],MATCH(1,vp.data[[#This Row],[Unknown]:[Heavy_SW]],0))</f>
        <v>Medium_LSB</v>
      </c>
      <c r="AH372">
        <f>INDEX([3]!crudeBD.lkup[Number],MATCH(vp.data[[#This Row],[Crude_Breakdown]],crudeBD.lkup[Crude Breakdown],0))</f>
        <v>3</v>
      </c>
      <c r="AI372">
        <f>MONTH(vp.data[[#This Row],[SDate]])</f>
        <v>11</v>
      </c>
      <c r="AJ372" s="5">
        <f>(vp.data[[#This Row],[VP]]-INDEX(crudeBD.lkup[Mean_VP],MATCH(vp.data[[#This Row],[Crude_Breakdown]],crudeBD.lkup[Crude Breakdown],0)))^2</f>
        <v>212.0030189725467</v>
      </c>
      <c r="AK372" s="5">
        <f>(vp.data[[#This Row],[Dens]]-INDEX(crudeBD.lkup[Mean_Dens],MATCH(vp.data[[#This Row],[Crude_Breakdown]],crudeBD.lkup[Crude Breakdown],0)))^2</f>
        <v>19.53639999999562</v>
      </c>
      <c r="AL372" s="5">
        <f>(vp.data[[#This Row],[Sulf]]-INDEX(crudeBD.lkup[Mean_Sulf],MATCH(vp.data[[#This Row],[Crude_Breakdown]],crudeBD.lkup[Crude Breakdown],0)))^2</f>
        <v>5.6863855700863518E-3</v>
      </c>
      <c r="AM372" s="4">
        <f>IF(AND(vp.data[[#This Row],[SDate]]&gt;=DATE(YEAR(vp.data[[#This Row],[SDate]]),5,1),vp.data[[#This Row],[SDate]]&lt;=DATE(YEAR(vp.data[[#This Row],[SDate]]),9,15)),1,0)</f>
        <v>0</v>
      </c>
      <c r="AN372" s="4">
        <f>IF(vp.data[[#This Row],[SDate]]&lt;DATE(2016,12,1),0,1)</f>
        <v>0</v>
      </c>
      <c r="AO372" s="4">
        <f>IFERROR(vp.data[[#This Row],[Sulf]]*vp.data[[#This Row],[Net Dens]],"")</f>
        <v>15837247.38682</v>
      </c>
      <c r="AP372">
        <f>IFERROR(vp.data[[#This Row],[Dens]]*vp.data[[#This Row],[VolumeM3]],"")</f>
        <v>12089501.821999999</v>
      </c>
      <c r="AQ372" s="15">
        <f>IFERROR(vp.data[[#This Row],[VP]]*vp.data[[#This Row],[VolumeM3]],"")</f>
        <v>1370959.5872</v>
      </c>
    </row>
    <row r="373" spans="1:43" x14ac:dyDescent="0.25">
      <c r="A373">
        <v>372</v>
      </c>
      <c r="B373" t="s">
        <v>49</v>
      </c>
      <c r="C373" t="s">
        <v>49</v>
      </c>
      <c r="D373" t="s">
        <v>75</v>
      </c>
      <c r="F373" s="1">
        <v>42704</v>
      </c>
      <c r="G373" s="2">
        <v>109.5</v>
      </c>
      <c r="H373" s="2"/>
      <c r="I373" s="2">
        <f t="array" ref="I373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73" s="2"/>
      <c r="K373" s="2"/>
      <c r="L373" s="2">
        <v>802.4</v>
      </c>
      <c r="M373" s="2">
        <f t="array" ref="M373">_xlfn.IFNA(IF(vp.data[[#This Row],[Dens Input]]="",INDEX([1]DATA!$O$3:$O$9826,MATCH(1,(vp.data[[#This Row],[Battery]]=[1]DATA!$L$3:$L$9826)*(EOMONTH(vp.data[[#This Row],[SDate]],-1)+1=[1]DATA!$G$3:$G$9826),0)),vp.data[[#This Row],[Dens Input]]),"")</f>
        <v>802.4</v>
      </c>
      <c r="N373" s="2">
        <f ca="1">INDEX(INDIRECT(_xlfn.CONCAT("weather.tbl[",N$1,"]")),MATCH(vp.data[[#This Row],[SDate]],weather.tbl[Date],0))</f>
        <v>-3.6833333333333331</v>
      </c>
      <c r="O373" s="2">
        <f ca="1">INDEX(INDIRECT(_xlfn.CONCAT("weather.tbl[",O$1,"]")),MATCH(vp.data[[#This Row],[SDate]],weather.tbl[Date],0))</f>
        <v>-1.3476190476190477</v>
      </c>
      <c r="P373" s="2">
        <f ca="1">INDEX(INDIRECT(_xlfn.CONCAT("weather.tbl[",P$1,"]")),MATCH(vp.data[[#This Row],[SDate]],weather.tbl[Date],0))</f>
        <v>-4.0999999999999996</v>
      </c>
      <c r="Q373" s="2">
        <f ca="1">INDEX(INDIRECT(_xlfn.CONCAT("weather.tbl[",Q$1,"]")),MATCH(vp.data[[#This Row],[SDate]],weather.tbl[Date],0))</f>
        <v>-4</v>
      </c>
      <c r="R373" s="2">
        <f ca="1">INDEX(INDIRECT(_xlfn.CONCAT("weather.tbl[",R$1,"]")),MATCH(vp.data[[#This Row],[SDate]],weather.tbl[Date],0))</f>
        <v>-3.5</v>
      </c>
      <c r="S373" s="2">
        <f ca="1">INDEX(INDIRECT(_xlfn.CONCAT("weather.tbl[",S$1,"]")),MATCH(vp.data[[#This Row],[SDate]],weather.tbl[Date],0))</f>
        <v>-3.8</v>
      </c>
      <c r="T373" s="2">
        <f ca="1">INDEX(INDIRECT(_xlfn.CONCAT("weather.tbl[",T$1,"]")),MATCH(vp.data[[#This Row],[SDate]],weather.tbl[Date],0))</f>
        <v>-2.2000000000000002</v>
      </c>
      <c r="U373" s="2">
        <f ca="1">INDEX(INDIRECT(_xlfn.CONCAT("weather.tbl[",U$1,"]")),MATCH(vp.data[[#This Row],[SDate]],weather.tbl[Date],0))</f>
        <v>-4.5</v>
      </c>
      <c r="V373" s="2">
        <f t="array" ref="V3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21292.120999999999</v>
      </c>
      <c r="W373" t="s">
        <v>48</v>
      </c>
      <c r="X373">
        <f>IF(OR(vp.data[[#This Row],[Sulf]]="",vp.data[[#This Row],[Dens]]=""),1,0)</f>
        <v>0</v>
      </c>
      <c r="Y373">
        <f>IF(vp.data[[#This Row],[CrudeType]]="C5+",1,0)</f>
        <v>0</v>
      </c>
      <c r="Z373">
        <f>IF(AND(vp.data[[#This Row],[CrudeType]]="Crude",vp.data[[#This Row],[Dens]]&lt;=825,vp.data[[#This Row],[Sulf]]&gt;0.5,vp.data[[#This Row],[Unknown]]=0),1,0)</f>
        <v>0</v>
      </c>
      <c r="AA373">
        <f>IF(AND(vp.data[[#This Row],[CrudeType]]="Crude",vp.data[[#This Row],[Dens]]&lt;=825,vp.data[[#This Row],[Sulf]]&lt;=0.5,vp.data[[#This Row],[Unknown]]=0),1,0)</f>
        <v>1</v>
      </c>
      <c r="AB3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3">
        <f>IF(AND(vp.data[[#This Row],[CrudeType]]="Crude",vp.data[[#This Row],[Dens]]&gt;825,vp.data[[#This Row],[Dens]]&lt;=900,vp.data[[#This Row],[Sulf]]&lt;=0.5,vp.data[[#This Row],[Unknown]]=0),1,0)</f>
        <v>0</v>
      </c>
      <c r="AD373">
        <f>IF(AND(vp.data[[#This Row],[CrudeType]]="Crude",vp.data[[#This Row],[Dens]]&gt;865,vp.data[[#This Row],[Dens]]&lt;=900,vp.data[[#This Row],[Sulf]]&gt;2,vp.data[[#This Row],[Unknown]]=0),1,0)</f>
        <v>0</v>
      </c>
      <c r="AE373">
        <f>IF(AND(vp.data[[#This Row],[CrudeType]]="Crude",vp.data[[#This Row],[Dens]]&gt;900,vp.data[[#This Row],[Sulf]]&lt;=0.5,vp.data[[#This Row],[Unknown]]=0),1,0)</f>
        <v>0</v>
      </c>
      <c r="AF373">
        <f>IF(AND(vp.data[[#This Row],[CrudeType]]="Crude",vp.data[[#This Row],[Dens]]&gt;900,vp.data[[#This Row],[Sulf]]&lt;=0.5,vp.data[[#This Row],[Unknown]]=0),1,0)</f>
        <v>0</v>
      </c>
      <c r="AG373" t="str">
        <f>INDEX(vp.data[[#Headers],[Unknown]:[Heavy_SW]],MATCH(1,vp.data[[#This Row],[Unknown]:[Heavy_SW]],0))</f>
        <v>Light_SW</v>
      </c>
      <c r="AH373">
        <f>INDEX([3]!crudeBD.lkup[Number],MATCH(vp.data[[#This Row],[Crude_Breakdown]],crudeBD.lkup[Crude Breakdown],0))</f>
        <v>2</v>
      </c>
      <c r="AI373">
        <f>MONTH(vp.data[[#This Row],[SDate]])</f>
        <v>11</v>
      </c>
      <c r="AJ373" s="5">
        <f>(vp.data[[#This Row],[VP]]-INDEX(crudeBD.lkup[Mean_VP],MATCH(vp.data[[#This Row],[Crude_Breakdown]],crudeBD.lkup[Crude Breakdown],0)))^2</f>
        <v>287.29186943631805</v>
      </c>
      <c r="AK373" s="5">
        <f>(vp.data[[#This Row],[Dens]]-INDEX(crudeBD.lkup[Mean_Dens],MATCH(vp.data[[#This Row],[Crude_Breakdown]],crudeBD.lkup[Crude Breakdown],0)))^2</f>
        <v>34.945811652439744</v>
      </c>
      <c r="AL373" s="5">
        <f>(vp.data[[#This Row],[Sulf]]-INDEX(crudeBD.lkup[Mean_Sulf],MATCH(vp.data[[#This Row],[Crude_Breakdown]],crudeBD.lkup[Crude Breakdown],0)))^2</f>
        <v>1.1287322584467423E-2</v>
      </c>
      <c r="AM373" s="4">
        <f>IF(AND(vp.data[[#This Row],[SDate]]&gt;=DATE(YEAR(vp.data[[#This Row],[SDate]]),5,1),vp.data[[#This Row],[SDate]]&lt;=DATE(YEAR(vp.data[[#This Row],[SDate]]),9,15)),1,0)</f>
        <v>0</v>
      </c>
      <c r="AN373" s="4">
        <f>IF(vp.data[[#This Row],[SDate]]&lt;DATE(2016,12,1),0,1)</f>
        <v>0</v>
      </c>
      <c r="AO373" s="4">
        <f>IFERROR(vp.data[[#This Row],[Sulf]]*vp.data[[#This Row],[Net Dens]],"")</f>
        <v>2221023.7257520002</v>
      </c>
      <c r="AP373">
        <f>IFERROR(vp.data[[#This Row],[Dens]]*vp.data[[#This Row],[VolumeM3]],"")</f>
        <v>17084797.8904</v>
      </c>
      <c r="AQ373" s="15">
        <f>IFERROR(vp.data[[#This Row],[VP]]*vp.data[[#This Row],[VolumeM3]],"")</f>
        <v>2331487.2494999999</v>
      </c>
    </row>
    <row r="374" spans="1:43" x14ac:dyDescent="0.25">
      <c r="A374">
        <v>373</v>
      </c>
      <c r="B374" t="s">
        <v>62</v>
      </c>
      <c r="C374" t="s">
        <v>62</v>
      </c>
      <c r="D374" t="s">
        <v>83</v>
      </c>
      <c r="F374" s="1">
        <v>42704</v>
      </c>
      <c r="G374" s="2">
        <v>96.3</v>
      </c>
      <c r="H374" s="2"/>
      <c r="I374" s="2">
        <f t="array" ref="I374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374" s="2"/>
      <c r="K374" s="2"/>
      <c r="L374" s="2">
        <v>808</v>
      </c>
      <c r="M374" s="2">
        <f t="array" ref="M374">_xlfn.IFNA(IF(vp.data[[#This Row],[Dens Input]]="",INDEX([1]DATA!$O$3:$O$9826,MATCH(1,(vp.data[[#This Row],[Battery]]=[1]DATA!$L$3:$L$9826)*(EOMONTH(vp.data[[#This Row],[SDate]],-1)+1=[1]DATA!$G$3:$G$9826),0)),vp.data[[#This Row],[Dens Input]]),"")</f>
        <v>808</v>
      </c>
      <c r="N374" s="2">
        <f ca="1">INDEX(INDIRECT(_xlfn.CONCAT("weather.tbl[",N$1,"]")),MATCH(vp.data[[#This Row],[SDate]],weather.tbl[Date],0))</f>
        <v>-3.6833333333333331</v>
      </c>
      <c r="O374" s="2">
        <f ca="1">INDEX(INDIRECT(_xlfn.CONCAT("weather.tbl[",O$1,"]")),MATCH(vp.data[[#This Row],[SDate]],weather.tbl[Date],0))</f>
        <v>-1.3476190476190477</v>
      </c>
      <c r="P374" s="2">
        <f ca="1">INDEX(INDIRECT(_xlfn.CONCAT("weather.tbl[",P$1,"]")),MATCH(vp.data[[#This Row],[SDate]],weather.tbl[Date],0))</f>
        <v>-4.0999999999999996</v>
      </c>
      <c r="Q374" s="2">
        <f ca="1">INDEX(INDIRECT(_xlfn.CONCAT("weather.tbl[",Q$1,"]")),MATCH(vp.data[[#This Row],[SDate]],weather.tbl[Date],0))</f>
        <v>-4</v>
      </c>
      <c r="R374" s="2">
        <f ca="1">INDEX(INDIRECT(_xlfn.CONCAT("weather.tbl[",R$1,"]")),MATCH(vp.data[[#This Row],[SDate]],weather.tbl[Date],0))</f>
        <v>-3.5</v>
      </c>
      <c r="S374" s="2">
        <f ca="1">INDEX(INDIRECT(_xlfn.CONCAT("weather.tbl[",S$1,"]")),MATCH(vp.data[[#This Row],[SDate]],weather.tbl[Date],0))</f>
        <v>-3.8</v>
      </c>
      <c r="T374" s="2">
        <f ca="1">INDEX(INDIRECT(_xlfn.CONCAT("weather.tbl[",T$1,"]")),MATCH(vp.data[[#This Row],[SDate]],weather.tbl[Date],0))</f>
        <v>-2.2000000000000002</v>
      </c>
      <c r="U374" s="2">
        <f ca="1">INDEX(INDIRECT(_xlfn.CONCAT("weather.tbl[",U$1,"]")),MATCH(vp.data[[#This Row],[SDate]],weather.tbl[Date],0))</f>
        <v>-4.5</v>
      </c>
      <c r="V374" s="2">
        <f t="array" ref="V3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9944.7690000000002</v>
      </c>
      <c r="W374" t="s">
        <v>48</v>
      </c>
      <c r="X374">
        <f>IF(OR(vp.data[[#This Row],[Sulf]]="",vp.data[[#This Row],[Dens]]=""),1,0)</f>
        <v>0</v>
      </c>
      <c r="Y374">
        <f>IF(vp.data[[#This Row],[CrudeType]]="C5+",1,0)</f>
        <v>0</v>
      </c>
      <c r="Z374">
        <f>IF(AND(vp.data[[#This Row],[CrudeType]]="Crude",vp.data[[#This Row],[Dens]]&lt;=825,vp.data[[#This Row],[Sulf]]&gt;0.5,vp.data[[#This Row],[Unknown]]=0),1,0)</f>
        <v>0</v>
      </c>
      <c r="AA374">
        <f>IF(AND(vp.data[[#This Row],[CrudeType]]="Crude",vp.data[[#This Row],[Dens]]&lt;=825,vp.data[[#This Row],[Sulf]]&lt;=0.5,vp.data[[#This Row],[Unknown]]=0),1,0)</f>
        <v>1</v>
      </c>
      <c r="AB3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4">
        <f>IF(AND(vp.data[[#This Row],[CrudeType]]="Crude",vp.data[[#This Row],[Dens]]&gt;825,vp.data[[#This Row],[Dens]]&lt;=900,vp.data[[#This Row],[Sulf]]&lt;=0.5,vp.data[[#This Row],[Unknown]]=0),1,0)</f>
        <v>0</v>
      </c>
      <c r="AD374">
        <f>IF(AND(vp.data[[#This Row],[CrudeType]]="Crude",vp.data[[#This Row],[Dens]]&gt;865,vp.data[[#This Row],[Dens]]&lt;=900,vp.data[[#This Row],[Sulf]]&gt;2,vp.data[[#This Row],[Unknown]]=0),1,0)</f>
        <v>0</v>
      </c>
      <c r="AE374">
        <f>IF(AND(vp.data[[#This Row],[CrudeType]]="Crude",vp.data[[#This Row],[Dens]]&gt;900,vp.data[[#This Row],[Sulf]]&lt;=0.5,vp.data[[#This Row],[Unknown]]=0),1,0)</f>
        <v>0</v>
      </c>
      <c r="AF374">
        <f>IF(AND(vp.data[[#This Row],[CrudeType]]="Crude",vp.data[[#This Row],[Dens]]&gt;900,vp.data[[#This Row],[Sulf]]&lt;=0.5,vp.data[[#This Row],[Unknown]]=0),1,0)</f>
        <v>0</v>
      </c>
      <c r="AG374" t="str">
        <f>INDEX(vp.data[[#Headers],[Unknown]:[Heavy_SW]],MATCH(1,vp.data[[#This Row],[Unknown]:[Heavy_SW]],0))</f>
        <v>Light_SW</v>
      </c>
      <c r="AH374">
        <f>INDEX([3]!crudeBD.lkup[Number],MATCH(vp.data[[#This Row],[Crude_Breakdown]],crudeBD.lkup[Crude Breakdown],0))</f>
        <v>2</v>
      </c>
      <c r="AI374">
        <f>MONTH(vp.data[[#This Row],[SDate]])</f>
        <v>11</v>
      </c>
      <c r="AJ374" s="5">
        <f>(vp.data[[#This Row],[VP]]-INDEX(crudeBD.lkup[Mean_VP],MATCH(vp.data[[#This Row],[Crude_Breakdown]],crudeBD.lkup[Crude Breakdown],0)))^2</f>
        <v>14.060148181961861</v>
      </c>
      <c r="AK374" s="5">
        <f>(vp.data[[#This Row],[Dens]]-INDEX(crudeBD.lkup[Mean_Dens],MATCH(vp.data[[#This Row],[Crude_Breakdown]],crudeBD.lkup[Crude Breakdown],0)))^2</f>
        <v>9.7031164637045433E-2</v>
      </c>
      <c r="AL374" s="5">
        <f>(vp.data[[#This Row],[Sulf]]-INDEX(crudeBD.lkup[Mean_Sulf],MATCH(vp.data[[#This Row],[Crude_Breakdown]],crudeBD.lkup[Crude Breakdown],0)))^2</f>
        <v>4.3879776367322437E-3</v>
      </c>
      <c r="AM374" s="4">
        <f>IF(AND(vp.data[[#This Row],[SDate]]&gt;=DATE(YEAR(vp.data[[#This Row],[SDate]]),5,1),vp.data[[#This Row],[SDate]]&lt;=DATE(YEAR(vp.data[[#This Row],[SDate]]),9,15)),1,0)</f>
        <v>0</v>
      </c>
      <c r="AN374" s="4">
        <f>IF(vp.data[[#This Row],[SDate]]&lt;DATE(2016,12,1),0,1)</f>
        <v>0</v>
      </c>
      <c r="AO374" s="4">
        <f>IFERROR(vp.data[[#This Row],[Sulf]]*vp.data[[#This Row],[Net Dens]],"")</f>
        <v>1366013.4698400002</v>
      </c>
      <c r="AP374">
        <f>IFERROR(vp.data[[#This Row],[Dens]]*vp.data[[#This Row],[VolumeM3]],"")</f>
        <v>8035373.352</v>
      </c>
      <c r="AQ374" s="15">
        <f>IFERROR(vp.data[[#This Row],[VP]]*vp.data[[#This Row],[VolumeM3]],"")</f>
        <v>957681.25470000005</v>
      </c>
    </row>
    <row r="375" spans="1:43" x14ac:dyDescent="0.25">
      <c r="A375">
        <v>374</v>
      </c>
      <c r="B375" t="s">
        <v>62</v>
      </c>
      <c r="C375" t="s">
        <v>62</v>
      </c>
      <c r="D375" t="s">
        <v>63</v>
      </c>
      <c r="F375" s="1">
        <v>42704</v>
      </c>
      <c r="G375" s="2">
        <v>89.4</v>
      </c>
      <c r="H375" s="2"/>
      <c r="I375" s="2">
        <f t="array" ref="I375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375" s="2"/>
      <c r="K375" s="2"/>
      <c r="L375" s="2">
        <v>833</v>
      </c>
      <c r="M375" s="2">
        <f t="array" ref="M375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375" s="2">
        <f ca="1">INDEX(INDIRECT(_xlfn.CONCAT("weather.tbl[",N$1,"]")),MATCH(vp.data[[#This Row],[SDate]],weather.tbl[Date],0))</f>
        <v>-3.6833333333333331</v>
      </c>
      <c r="O375" s="2">
        <f ca="1">INDEX(INDIRECT(_xlfn.CONCAT("weather.tbl[",O$1,"]")),MATCH(vp.data[[#This Row],[SDate]],weather.tbl[Date],0))</f>
        <v>-1.3476190476190477</v>
      </c>
      <c r="P375" s="2">
        <f ca="1">INDEX(INDIRECT(_xlfn.CONCAT("weather.tbl[",P$1,"]")),MATCH(vp.data[[#This Row],[SDate]],weather.tbl[Date],0))</f>
        <v>-4.0999999999999996</v>
      </c>
      <c r="Q375" s="2">
        <f ca="1">INDEX(INDIRECT(_xlfn.CONCAT("weather.tbl[",Q$1,"]")),MATCH(vp.data[[#This Row],[SDate]],weather.tbl[Date],0))</f>
        <v>-4</v>
      </c>
      <c r="R375" s="2">
        <f ca="1">INDEX(INDIRECT(_xlfn.CONCAT("weather.tbl[",R$1,"]")),MATCH(vp.data[[#This Row],[SDate]],weather.tbl[Date],0))</f>
        <v>-3.5</v>
      </c>
      <c r="S375" s="2">
        <f ca="1">INDEX(INDIRECT(_xlfn.CONCAT("weather.tbl[",S$1,"]")),MATCH(vp.data[[#This Row],[SDate]],weather.tbl[Date],0))</f>
        <v>-3.8</v>
      </c>
      <c r="T375" s="2">
        <f ca="1">INDEX(INDIRECT(_xlfn.CONCAT("weather.tbl[",T$1,"]")),MATCH(vp.data[[#This Row],[SDate]],weather.tbl[Date],0))</f>
        <v>-2.2000000000000002</v>
      </c>
      <c r="U375" s="2">
        <f ca="1">INDEX(INDIRECT(_xlfn.CONCAT("weather.tbl[",U$1,"]")),MATCH(vp.data[[#This Row],[SDate]],weather.tbl[Date],0))</f>
        <v>-4.5</v>
      </c>
      <c r="V375" s="2">
        <f t="array" ref="V3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5210.0280000000002</v>
      </c>
      <c r="W375" t="s">
        <v>48</v>
      </c>
      <c r="X375">
        <f>IF(OR(vp.data[[#This Row],[Sulf]]="",vp.data[[#This Row],[Dens]]=""),1,0)</f>
        <v>0</v>
      </c>
      <c r="Y375">
        <f>IF(vp.data[[#This Row],[CrudeType]]="C5+",1,0)</f>
        <v>0</v>
      </c>
      <c r="Z375">
        <f>IF(AND(vp.data[[#This Row],[CrudeType]]="Crude",vp.data[[#This Row],[Dens]]&lt;=825,vp.data[[#This Row],[Sulf]]&gt;0.5,vp.data[[#This Row],[Unknown]]=0),1,0)</f>
        <v>0</v>
      </c>
      <c r="AA375">
        <f>IF(AND(vp.data[[#This Row],[CrudeType]]="Crude",vp.data[[#This Row],[Dens]]&lt;=825,vp.data[[#This Row],[Sulf]]&lt;=0.5,vp.data[[#This Row],[Unknown]]=0),1,0)</f>
        <v>0</v>
      </c>
      <c r="AB3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75">
        <f>IF(AND(vp.data[[#This Row],[CrudeType]]="Crude",vp.data[[#This Row],[Dens]]&gt;825,vp.data[[#This Row],[Dens]]&lt;=900,vp.data[[#This Row],[Sulf]]&lt;=0.5,vp.data[[#This Row],[Unknown]]=0),1,0)</f>
        <v>0</v>
      </c>
      <c r="AD375">
        <f>IF(AND(vp.data[[#This Row],[CrudeType]]="Crude",vp.data[[#This Row],[Dens]]&gt;865,vp.data[[#This Row],[Dens]]&lt;=900,vp.data[[#This Row],[Sulf]]&gt;2,vp.data[[#This Row],[Unknown]]=0),1,0)</f>
        <v>0</v>
      </c>
      <c r="AE375">
        <f>IF(AND(vp.data[[#This Row],[CrudeType]]="Crude",vp.data[[#This Row],[Dens]]&gt;900,vp.data[[#This Row],[Sulf]]&lt;=0.5,vp.data[[#This Row],[Unknown]]=0),1,0)</f>
        <v>0</v>
      </c>
      <c r="AF375">
        <f>IF(AND(vp.data[[#This Row],[CrudeType]]="Crude",vp.data[[#This Row],[Dens]]&gt;900,vp.data[[#This Row],[Sulf]]&lt;=0.5,vp.data[[#This Row],[Unknown]]=0),1,0)</f>
        <v>0</v>
      </c>
      <c r="AG375" t="str">
        <f>INDEX(vp.data[[#Headers],[Unknown]:[Heavy_SW]],MATCH(1,vp.data[[#This Row],[Unknown]:[Heavy_SW]],0))</f>
        <v>Medium_LSB</v>
      </c>
      <c r="AH375">
        <f>INDEX([3]!crudeBD.lkup[Number],MATCH(vp.data[[#This Row],[Crude_Breakdown]],crudeBD.lkup[Crude Breakdown],0))</f>
        <v>3</v>
      </c>
      <c r="AI375">
        <f>MONTH(vp.data[[#This Row],[SDate]])</f>
        <v>11</v>
      </c>
      <c r="AJ375" s="5">
        <f>(vp.data[[#This Row],[VP]]-INDEX(crudeBD.lkup[Mean_VP],MATCH(vp.data[[#This Row],[Crude_Breakdown]],crudeBD.lkup[Crude Breakdown],0)))^2</f>
        <v>76.74326695098253</v>
      </c>
      <c r="AK375" s="5">
        <f>(vp.data[[#This Row],[Dens]]-INDEX(crudeBD.lkup[Mean_Dens],MATCH(vp.data[[#This Row],[Crude_Breakdown]],crudeBD.lkup[Crude Breakdown],0)))^2</f>
        <v>119.24639999998918</v>
      </c>
      <c r="AL375" s="5">
        <f>(vp.data[[#This Row],[Sulf]]-INDEX(crudeBD.lkup[Mean_Sulf],MATCH(vp.data[[#This Row],[Crude_Breakdown]],crudeBD.lkup[Crude Breakdown],0)))^2</f>
        <v>1.8114972362538555E-2</v>
      </c>
      <c r="AM375" s="4">
        <f>IF(AND(vp.data[[#This Row],[SDate]]&gt;=DATE(YEAR(vp.data[[#This Row],[SDate]]),5,1),vp.data[[#This Row],[SDate]]&lt;=DATE(YEAR(vp.data[[#This Row],[SDate]]),9,15)),1,0)</f>
        <v>0</v>
      </c>
      <c r="AN375" s="4">
        <f>IF(vp.data[[#This Row],[SDate]]&lt;DATE(2016,12,1),0,1)</f>
        <v>0</v>
      </c>
      <c r="AO375" s="4">
        <f>IFERROR(vp.data[[#This Row],[Sulf]]*vp.data[[#This Row],[Net Dens]],"")</f>
        <v>6596729.0524800001</v>
      </c>
      <c r="AP375">
        <f>IFERROR(vp.data[[#This Row],[Dens]]*vp.data[[#This Row],[VolumeM3]],"")</f>
        <v>4339953.324</v>
      </c>
      <c r="AQ375" s="15">
        <f>IFERROR(vp.data[[#This Row],[VP]]*vp.data[[#This Row],[VolumeM3]],"")</f>
        <v>465776.50320000004</v>
      </c>
    </row>
    <row r="376" spans="1:43" x14ac:dyDescent="0.25">
      <c r="A376">
        <v>375</v>
      </c>
      <c r="B376" t="s">
        <v>49</v>
      </c>
      <c r="C376" t="s">
        <v>49</v>
      </c>
      <c r="D376" t="s">
        <v>74</v>
      </c>
      <c r="F376" s="1">
        <v>42704</v>
      </c>
      <c r="G376" s="2">
        <v>110.5</v>
      </c>
      <c r="H376" s="2"/>
      <c r="I376" s="2">
        <f t="array" ref="I376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376" s="2"/>
      <c r="K376" s="2"/>
      <c r="L376" s="2">
        <v>863.6</v>
      </c>
      <c r="M376" s="2">
        <f t="array" ref="M376">_xlfn.IFNA(IF(vp.data[[#This Row],[Dens Input]]="",INDEX([1]DATA!$O$3:$O$9826,MATCH(1,(vp.data[[#This Row],[Battery]]=[1]DATA!$L$3:$L$9826)*(EOMONTH(vp.data[[#This Row],[SDate]],-1)+1=[1]DATA!$G$3:$G$9826),0)),vp.data[[#This Row],[Dens Input]]),"")</f>
        <v>863.6</v>
      </c>
      <c r="N376" s="2">
        <f ca="1">INDEX(INDIRECT(_xlfn.CONCAT("weather.tbl[",N$1,"]")),MATCH(vp.data[[#This Row],[SDate]],weather.tbl[Date],0))</f>
        <v>-3.6833333333333331</v>
      </c>
      <c r="O376" s="2">
        <f ca="1">INDEX(INDIRECT(_xlfn.CONCAT("weather.tbl[",O$1,"]")),MATCH(vp.data[[#This Row],[SDate]],weather.tbl[Date],0))</f>
        <v>-1.3476190476190477</v>
      </c>
      <c r="P376" s="2">
        <f ca="1">INDEX(INDIRECT(_xlfn.CONCAT("weather.tbl[",P$1,"]")),MATCH(vp.data[[#This Row],[SDate]],weather.tbl[Date],0))</f>
        <v>-4.0999999999999996</v>
      </c>
      <c r="Q376" s="2">
        <f ca="1">INDEX(INDIRECT(_xlfn.CONCAT("weather.tbl[",Q$1,"]")),MATCH(vp.data[[#This Row],[SDate]],weather.tbl[Date],0))</f>
        <v>-4</v>
      </c>
      <c r="R376" s="2">
        <f ca="1">INDEX(INDIRECT(_xlfn.CONCAT("weather.tbl[",R$1,"]")),MATCH(vp.data[[#This Row],[SDate]],weather.tbl[Date],0))</f>
        <v>-3.5</v>
      </c>
      <c r="S376" s="2">
        <f ca="1">INDEX(INDIRECT(_xlfn.CONCAT("weather.tbl[",S$1,"]")),MATCH(vp.data[[#This Row],[SDate]],weather.tbl[Date],0))</f>
        <v>-3.8</v>
      </c>
      <c r="T376" s="2">
        <f ca="1">INDEX(INDIRECT(_xlfn.CONCAT("weather.tbl[",T$1,"]")),MATCH(vp.data[[#This Row],[SDate]],weather.tbl[Date],0))</f>
        <v>-2.2000000000000002</v>
      </c>
      <c r="U376" s="2">
        <f ca="1">INDEX(INDIRECT(_xlfn.CONCAT("weather.tbl[",U$1,"]")),MATCH(vp.data[[#This Row],[SDate]],weather.tbl[Date],0))</f>
        <v>-4.5</v>
      </c>
      <c r="V376" s="2">
        <f t="array" ref="V3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41352.192999999999</v>
      </c>
      <c r="W376" t="s">
        <v>48</v>
      </c>
      <c r="X376">
        <f>IF(OR(vp.data[[#This Row],[Sulf]]="",vp.data[[#This Row],[Dens]]=""),1,0)</f>
        <v>0</v>
      </c>
      <c r="Y376">
        <f>IF(vp.data[[#This Row],[CrudeType]]="C5+",1,0)</f>
        <v>0</v>
      </c>
      <c r="Z376">
        <f>IF(AND(vp.data[[#This Row],[CrudeType]]="Crude",vp.data[[#This Row],[Dens]]&lt;=825,vp.data[[#This Row],[Sulf]]&gt;0.5,vp.data[[#This Row],[Unknown]]=0),1,0)</f>
        <v>0</v>
      </c>
      <c r="AA376">
        <f>IF(AND(vp.data[[#This Row],[CrudeType]]="Crude",vp.data[[#This Row],[Dens]]&lt;=825,vp.data[[#This Row],[Sulf]]&lt;=0.5,vp.data[[#This Row],[Unknown]]=0),1,0)</f>
        <v>0</v>
      </c>
      <c r="AB3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6">
        <f>IF(AND(vp.data[[#This Row],[CrudeType]]="Crude",vp.data[[#This Row],[Dens]]&gt;825,vp.data[[#This Row],[Dens]]&lt;=900,vp.data[[#This Row],[Sulf]]&lt;=0.5,vp.data[[#This Row],[Unknown]]=0),1,0)</f>
        <v>1</v>
      </c>
      <c r="AD376">
        <f>IF(AND(vp.data[[#This Row],[CrudeType]]="Crude",vp.data[[#This Row],[Dens]]&gt;865,vp.data[[#This Row],[Dens]]&lt;=900,vp.data[[#This Row],[Sulf]]&gt;2,vp.data[[#This Row],[Unknown]]=0),1,0)</f>
        <v>0</v>
      </c>
      <c r="AE376">
        <f>IF(AND(vp.data[[#This Row],[CrudeType]]="Crude",vp.data[[#This Row],[Dens]]&gt;900,vp.data[[#This Row],[Sulf]]&lt;=0.5,vp.data[[#This Row],[Unknown]]=0),1,0)</f>
        <v>0</v>
      </c>
      <c r="AF376">
        <f>IF(AND(vp.data[[#This Row],[CrudeType]]="Crude",vp.data[[#This Row],[Dens]]&gt;900,vp.data[[#This Row],[Sulf]]&lt;=0.5,vp.data[[#This Row],[Unknown]]=0),1,0)</f>
        <v>0</v>
      </c>
      <c r="AG376" t="str">
        <f>INDEX(vp.data[[#Headers],[Unknown]:[Heavy_SW]],MATCH(1,vp.data[[#This Row],[Unknown]:[Heavy_SW]],0))</f>
        <v>Medium_SW</v>
      </c>
      <c r="AH376">
        <f>INDEX([3]!crudeBD.lkup[Number],MATCH(vp.data[[#This Row],[Crude_Breakdown]],crudeBD.lkup[Crude Breakdown],0))</f>
        <v>4</v>
      </c>
      <c r="AI376">
        <f>MONTH(vp.data[[#This Row],[SDate]])</f>
        <v>11</v>
      </c>
      <c r="AJ376" s="5">
        <f>(vp.data[[#This Row],[VP]]-INDEX(crudeBD.lkup[Mean_VP],MATCH(vp.data[[#This Row],[Crude_Breakdown]],crudeBD.lkup[Crude Breakdown],0)))^2</f>
        <v>685.56694444444395</v>
      </c>
      <c r="AK376" s="5">
        <f>(vp.data[[#This Row],[Dens]]-INDEX(crudeBD.lkup[Mean_Dens],MATCH(vp.data[[#This Row],[Crude_Breakdown]],crudeBD.lkup[Crude Breakdown],0)))^2</f>
        <v>39.689999999999429</v>
      </c>
      <c r="AL376" s="5">
        <f>(vp.data[[#This Row],[Sulf]]-INDEX(crudeBD.lkup[Mean_Sulf],MATCH(vp.data[[#This Row],[Crude_Breakdown]],crudeBD.lkup[Crude Breakdown],0)))^2</f>
        <v>8.1301968224999988E-4</v>
      </c>
      <c r="AM376" s="4">
        <f>IF(AND(vp.data[[#This Row],[SDate]]&gt;=DATE(YEAR(vp.data[[#This Row],[SDate]]),5,1),vp.data[[#This Row],[SDate]]&lt;=DATE(YEAR(vp.data[[#This Row],[SDate]]),9,15)),1,0)</f>
        <v>0</v>
      </c>
      <c r="AN376" s="4">
        <f>IF(vp.data[[#This Row],[SDate]]&lt;DATE(2016,12,1),0,1)</f>
        <v>0</v>
      </c>
      <c r="AO376" s="4">
        <f>IFERROR(vp.data[[#This Row],[Sulf]]*vp.data[[#This Row],[Net Dens]],"")</f>
        <v>5356763.0812199991</v>
      </c>
      <c r="AP376">
        <f>IFERROR(vp.data[[#This Row],[Dens]]*vp.data[[#This Row],[VolumeM3]],"")</f>
        <v>35711753.874799997</v>
      </c>
      <c r="AQ376" s="15">
        <f>IFERROR(vp.data[[#This Row],[VP]]*vp.data[[#This Row],[VolumeM3]],"")</f>
        <v>4569417.3264999995</v>
      </c>
    </row>
    <row r="377" spans="1:43" x14ac:dyDescent="0.25">
      <c r="A377">
        <v>376</v>
      </c>
      <c r="B377" t="s">
        <v>49</v>
      </c>
      <c r="C377" t="s">
        <v>49</v>
      </c>
      <c r="D377" t="s">
        <v>74</v>
      </c>
      <c r="F377" s="1">
        <v>42706</v>
      </c>
      <c r="G377" s="2">
        <v>107.7</v>
      </c>
      <c r="H377" s="2"/>
      <c r="I377" s="2">
        <f t="array" ref="I377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377" s="2"/>
      <c r="K377" s="2"/>
      <c r="L377" s="2">
        <v>803.6</v>
      </c>
      <c r="M377" s="2">
        <f t="array" ref="M377">_xlfn.IFNA(IF(vp.data[[#This Row],[Dens Input]]="",INDEX([1]DATA!$O$3:$O$9826,MATCH(1,(vp.data[[#This Row],[Battery]]=[1]DATA!$L$3:$L$9826)*(EOMONTH(vp.data[[#This Row],[SDate]],-1)+1=[1]DATA!$G$3:$G$9826),0)),vp.data[[#This Row],[Dens Input]]),"")</f>
        <v>803.6</v>
      </c>
      <c r="N377" s="2">
        <f ca="1">INDEX(INDIRECT(_xlfn.CONCAT("weather.tbl[",N$1,"]")),MATCH(vp.data[[#This Row],[SDate]],weather.tbl[Date],0))</f>
        <v>-3.3166666666666669</v>
      </c>
      <c r="O377" s="2">
        <f ca="1">INDEX(INDIRECT(_xlfn.CONCAT("weather.tbl[",O$1,"]")),MATCH(vp.data[[#This Row],[SDate]],weather.tbl[Date],0))</f>
        <v>-2.0714285714285716</v>
      </c>
      <c r="P377" s="2">
        <f ca="1">INDEX(INDIRECT(_xlfn.CONCAT("weather.tbl[",P$1,"]")),MATCH(vp.data[[#This Row],[SDate]],weather.tbl[Date],0))</f>
        <v>-2.7</v>
      </c>
      <c r="Q377" s="2">
        <f ca="1">INDEX(INDIRECT(_xlfn.CONCAT("weather.tbl[",Q$1,"]")),MATCH(vp.data[[#This Row],[SDate]],weather.tbl[Date],0))</f>
        <v>-3.4</v>
      </c>
      <c r="R377" s="2">
        <f ca="1">INDEX(INDIRECT(_xlfn.CONCAT("weather.tbl[",R$1,"]")),MATCH(vp.data[[#This Row],[SDate]],weather.tbl[Date],0))</f>
        <v>-4</v>
      </c>
      <c r="S377" s="2">
        <f ca="1">INDEX(INDIRECT(_xlfn.CONCAT("weather.tbl[",S$1,"]")),MATCH(vp.data[[#This Row],[SDate]],weather.tbl[Date],0))</f>
        <v>-3.5</v>
      </c>
      <c r="T377" s="2">
        <f ca="1">INDEX(INDIRECT(_xlfn.CONCAT("weather.tbl[",T$1,"]")),MATCH(vp.data[[#This Row],[SDate]],weather.tbl[Date],0))</f>
        <v>-3</v>
      </c>
      <c r="U377" s="2">
        <f ca="1">INDEX(INDIRECT(_xlfn.CONCAT("weather.tbl[",U$1,"]")),MATCH(vp.data[[#This Row],[SDate]],weather.tbl[Date],0))</f>
        <v>-3.3</v>
      </c>
      <c r="V377" s="2">
        <f t="array" ref="V3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377" t="s">
        <v>48</v>
      </c>
      <c r="X377">
        <f>IF(OR(vp.data[[#This Row],[Sulf]]="",vp.data[[#This Row],[Dens]]=""),1,0)</f>
        <v>0</v>
      </c>
      <c r="Y377">
        <f>IF(vp.data[[#This Row],[CrudeType]]="C5+",1,0)</f>
        <v>0</v>
      </c>
      <c r="Z377">
        <f>IF(AND(vp.data[[#This Row],[CrudeType]]="Crude",vp.data[[#This Row],[Dens]]&lt;=825,vp.data[[#This Row],[Sulf]]&gt;0.5,vp.data[[#This Row],[Unknown]]=0),1,0)</f>
        <v>0</v>
      </c>
      <c r="AA377">
        <f>IF(AND(vp.data[[#This Row],[CrudeType]]="Crude",vp.data[[#This Row],[Dens]]&lt;=825,vp.data[[#This Row],[Sulf]]&lt;=0.5,vp.data[[#This Row],[Unknown]]=0),1,0)</f>
        <v>1</v>
      </c>
      <c r="AB3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7">
        <f>IF(AND(vp.data[[#This Row],[CrudeType]]="Crude",vp.data[[#This Row],[Dens]]&gt;825,vp.data[[#This Row],[Dens]]&lt;=900,vp.data[[#This Row],[Sulf]]&lt;=0.5,vp.data[[#This Row],[Unknown]]=0),1,0)</f>
        <v>0</v>
      </c>
      <c r="AD377">
        <f>IF(AND(vp.data[[#This Row],[CrudeType]]="Crude",vp.data[[#This Row],[Dens]]&gt;865,vp.data[[#This Row],[Dens]]&lt;=900,vp.data[[#This Row],[Sulf]]&gt;2,vp.data[[#This Row],[Unknown]]=0),1,0)</f>
        <v>0</v>
      </c>
      <c r="AE377">
        <f>IF(AND(vp.data[[#This Row],[CrudeType]]="Crude",vp.data[[#This Row],[Dens]]&gt;900,vp.data[[#This Row],[Sulf]]&lt;=0.5,vp.data[[#This Row],[Unknown]]=0),1,0)</f>
        <v>0</v>
      </c>
      <c r="AF377">
        <f>IF(AND(vp.data[[#This Row],[CrudeType]]="Crude",vp.data[[#This Row],[Dens]]&gt;900,vp.data[[#This Row],[Sulf]]&lt;=0.5,vp.data[[#This Row],[Unknown]]=0),1,0)</f>
        <v>0</v>
      </c>
      <c r="AG377" t="str">
        <f>INDEX(vp.data[[#Headers],[Unknown]:[Heavy_SW]],MATCH(1,vp.data[[#This Row],[Unknown]:[Heavy_SW]],0))</f>
        <v>Light_SW</v>
      </c>
      <c r="AH377">
        <f>INDEX([3]!crudeBD.lkup[Number],MATCH(vp.data[[#This Row],[Crude_Breakdown]],crudeBD.lkup[Crude Breakdown],0))</f>
        <v>2</v>
      </c>
      <c r="AI377">
        <f>MONTH(vp.data[[#This Row],[SDate]])</f>
        <v>12</v>
      </c>
      <c r="AJ377" s="5">
        <f>(vp.data[[#This Row],[VP]]-INDEX(crudeBD.lkup[Mean_VP],MATCH(vp.data[[#This Row],[Crude_Breakdown]],crudeBD.lkup[Crude Breakdown],0)))^2</f>
        <v>229.51299835617866</v>
      </c>
      <c r="AK377" s="5">
        <f>(vp.data[[#This Row],[Dens]]-INDEX(crudeBD.lkup[Mean_Dens],MATCH(vp.data[[#This Row],[Crude_Breakdown]],crudeBD.lkup[Crude Breakdown],0)))^2</f>
        <v>22.198215833624456</v>
      </c>
      <c r="AL377" s="5">
        <f>(vp.data[[#This Row],[Sulf]]-INDEX(crudeBD.lkup[Mean_Sulf],MATCH(vp.data[[#This Row],[Crude_Breakdown]],crudeBD.lkup[Crude Breakdown],0)))^2</f>
        <v>7.4376501105998362E-3</v>
      </c>
      <c r="AM377" s="4">
        <f>IF(AND(vp.data[[#This Row],[SDate]]&gt;=DATE(YEAR(vp.data[[#This Row],[SDate]]),5,1),vp.data[[#This Row],[SDate]]&lt;=DATE(YEAR(vp.data[[#This Row],[SDate]]),9,15)),1,0)</f>
        <v>0</v>
      </c>
      <c r="AN377" s="4">
        <f>IF(vp.data[[#This Row],[SDate]]&lt;DATE(2016,12,1),0,1)</f>
        <v>1</v>
      </c>
      <c r="AO377" s="4">
        <f>IFERROR(vp.data[[#This Row],[Sulf]]*vp.data[[#This Row],[Net Dens]],"")</f>
        <v>3640237.0019399999</v>
      </c>
      <c r="AP377">
        <f>IFERROR(vp.data[[#This Row],[Dens]]*vp.data[[#This Row],[VolumeM3]],"")</f>
        <v>24268246.6796</v>
      </c>
      <c r="AQ377" s="15">
        <f>IFERROR(vp.data[[#This Row],[VP]]*vp.data[[#This Row],[VolumeM3]],"")</f>
        <v>3252476.5647</v>
      </c>
    </row>
    <row r="378" spans="1:43" x14ac:dyDescent="0.25">
      <c r="A378">
        <v>377</v>
      </c>
      <c r="B378" t="s">
        <v>49</v>
      </c>
      <c r="C378" t="s">
        <v>49</v>
      </c>
      <c r="D378" t="s">
        <v>75</v>
      </c>
      <c r="F378" s="1">
        <v>42710</v>
      </c>
      <c r="G378" s="2">
        <v>104.6</v>
      </c>
      <c r="H378" s="2"/>
      <c r="I378" s="2">
        <f t="array" ref="I378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78" s="2"/>
      <c r="K378" s="2"/>
      <c r="L378" s="2">
        <v>795.5</v>
      </c>
      <c r="M378" s="2">
        <f t="array" ref="M378">_xlfn.IFNA(IF(vp.data[[#This Row],[Dens Input]]="",INDEX([1]DATA!$O$3:$O$9826,MATCH(1,(vp.data[[#This Row],[Battery]]=[1]DATA!$L$3:$L$9826)*(EOMONTH(vp.data[[#This Row],[SDate]],-1)+1=[1]DATA!$G$3:$G$9826),0)),vp.data[[#This Row],[Dens Input]]),"")</f>
        <v>795.5</v>
      </c>
      <c r="N378" s="2">
        <f ca="1">INDEX(INDIRECT(_xlfn.CONCAT("weather.tbl[",N$1,"]")),MATCH(vp.data[[#This Row],[SDate]],weather.tbl[Date],0))</f>
        <v>-13.166666666666666</v>
      </c>
      <c r="O378" s="2">
        <f ca="1">INDEX(INDIRECT(_xlfn.CONCAT("weather.tbl[",O$1,"]")),MATCH(vp.data[[#This Row],[SDate]],weather.tbl[Date],0))</f>
        <v>-5.954761904761904</v>
      </c>
      <c r="P378" s="2">
        <f ca="1">INDEX(INDIRECT(_xlfn.CONCAT("weather.tbl[",P$1,"]")),MATCH(vp.data[[#This Row],[SDate]],weather.tbl[Date],0))</f>
        <v>-14.3</v>
      </c>
      <c r="Q378" s="2">
        <f ca="1">INDEX(INDIRECT(_xlfn.CONCAT("weather.tbl[",Q$1,"]")),MATCH(vp.data[[#This Row],[SDate]],weather.tbl[Date],0))</f>
        <v>-14.9</v>
      </c>
      <c r="R378" s="2">
        <f ca="1">INDEX(INDIRECT(_xlfn.CONCAT("weather.tbl[",R$1,"]")),MATCH(vp.data[[#This Row],[SDate]],weather.tbl[Date],0))</f>
        <v>-9.8000000000000007</v>
      </c>
      <c r="S378" s="2">
        <f ca="1">INDEX(INDIRECT(_xlfn.CONCAT("weather.tbl[",S$1,"]")),MATCH(vp.data[[#This Row],[SDate]],weather.tbl[Date],0))</f>
        <v>-15.5</v>
      </c>
      <c r="T378" s="2">
        <f ca="1">INDEX(INDIRECT(_xlfn.CONCAT("weather.tbl[",T$1,"]")),MATCH(vp.data[[#This Row],[SDate]],weather.tbl[Date],0))</f>
        <v>-9.5</v>
      </c>
      <c r="U378" s="2">
        <f ca="1">INDEX(INDIRECT(_xlfn.CONCAT("weather.tbl[",U$1,"]")),MATCH(vp.data[[#This Row],[SDate]],weather.tbl[Date],0))</f>
        <v>-15</v>
      </c>
      <c r="V378" s="2">
        <f t="array" ref="V3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378" t="s">
        <v>48</v>
      </c>
      <c r="X378">
        <f>IF(OR(vp.data[[#This Row],[Sulf]]="",vp.data[[#This Row],[Dens]]=""),1,0)</f>
        <v>0</v>
      </c>
      <c r="Y378">
        <f>IF(vp.data[[#This Row],[CrudeType]]="C5+",1,0)</f>
        <v>0</v>
      </c>
      <c r="Z378">
        <f>IF(AND(vp.data[[#This Row],[CrudeType]]="Crude",vp.data[[#This Row],[Dens]]&lt;=825,vp.data[[#This Row],[Sulf]]&gt;0.5,vp.data[[#This Row],[Unknown]]=0),1,0)</f>
        <v>0</v>
      </c>
      <c r="AA378">
        <f>IF(AND(vp.data[[#This Row],[CrudeType]]="Crude",vp.data[[#This Row],[Dens]]&lt;=825,vp.data[[#This Row],[Sulf]]&lt;=0.5,vp.data[[#This Row],[Unknown]]=0),1,0)</f>
        <v>1</v>
      </c>
      <c r="AB3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78">
        <f>IF(AND(vp.data[[#This Row],[CrudeType]]="Crude",vp.data[[#This Row],[Dens]]&gt;825,vp.data[[#This Row],[Dens]]&lt;=900,vp.data[[#This Row],[Sulf]]&lt;=0.5,vp.data[[#This Row],[Unknown]]=0),1,0)</f>
        <v>0</v>
      </c>
      <c r="AD378">
        <f>IF(AND(vp.data[[#This Row],[CrudeType]]="Crude",vp.data[[#This Row],[Dens]]&gt;865,vp.data[[#This Row],[Dens]]&lt;=900,vp.data[[#This Row],[Sulf]]&gt;2,vp.data[[#This Row],[Unknown]]=0),1,0)</f>
        <v>0</v>
      </c>
      <c r="AE378">
        <f>IF(AND(vp.data[[#This Row],[CrudeType]]="Crude",vp.data[[#This Row],[Dens]]&gt;900,vp.data[[#This Row],[Sulf]]&lt;=0.5,vp.data[[#This Row],[Unknown]]=0),1,0)</f>
        <v>0</v>
      </c>
      <c r="AF378">
        <f>IF(AND(vp.data[[#This Row],[CrudeType]]="Crude",vp.data[[#This Row],[Dens]]&gt;900,vp.data[[#This Row],[Sulf]]&lt;=0.5,vp.data[[#This Row],[Unknown]]=0),1,0)</f>
        <v>0</v>
      </c>
      <c r="AG378" t="str">
        <f>INDEX(vp.data[[#Headers],[Unknown]:[Heavy_SW]],MATCH(1,vp.data[[#This Row],[Unknown]:[Heavy_SW]],0))</f>
        <v>Light_SW</v>
      </c>
      <c r="AH378">
        <f>INDEX([3]!crudeBD.lkup[Number],MATCH(vp.data[[#This Row],[Crude_Breakdown]],crudeBD.lkup[Crude Breakdown],0))</f>
        <v>2</v>
      </c>
      <c r="AI378">
        <f>MONTH(vp.data[[#This Row],[SDate]])</f>
        <v>12</v>
      </c>
      <c r="AJ378" s="5">
        <f>(vp.data[[#This Row],[VP]]-INDEX(crudeBD.lkup[Mean_VP],MATCH(vp.data[[#This Row],[Crude_Breakdown]],crudeBD.lkup[Crude Breakdown],0)))^2</f>
        <v>145.19494260704934</v>
      </c>
      <c r="AK378" s="5">
        <f>(vp.data[[#This Row],[Dens]]-INDEX(crudeBD.lkup[Mean_Dens],MATCH(vp.data[[#This Row],[Crude_Breakdown]],crudeBD.lkup[Crude Breakdown],0)))^2</f>
        <v>164.13448761062463</v>
      </c>
      <c r="AL378" s="5">
        <f>(vp.data[[#This Row],[Sulf]]-INDEX(crudeBD.lkup[Mean_Sulf],MATCH(vp.data[[#This Row],[Crude_Breakdown]],crudeBD.lkup[Crude Breakdown],0)))^2</f>
        <v>1.1287322584467423E-2</v>
      </c>
      <c r="AM378" s="4">
        <f>IF(AND(vp.data[[#This Row],[SDate]]&gt;=DATE(YEAR(vp.data[[#This Row],[SDate]]),5,1),vp.data[[#This Row],[SDate]]&lt;=DATE(YEAR(vp.data[[#This Row],[SDate]]),9,15)),1,0)</f>
        <v>0</v>
      </c>
      <c r="AN378" s="4">
        <f>IF(vp.data[[#This Row],[SDate]]&lt;DATE(2016,12,1),0,1)</f>
        <v>1</v>
      </c>
      <c r="AO378" s="4">
        <f>IFERROR(vp.data[[#This Row],[Sulf]]*vp.data[[#This Row],[Net Dens]],"")</f>
        <v>2237423.0295300004</v>
      </c>
      <c r="AP378">
        <f>IFERROR(vp.data[[#This Row],[Dens]]*vp.data[[#This Row],[VolumeM3]],"")</f>
        <v>17210946.381000001</v>
      </c>
      <c r="AQ378" s="15">
        <f>IFERROR(vp.data[[#This Row],[VP]]*vp.data[[#This Row],[VolumeM3]],"")</f>
        <v>2263060.9572000001</v>
      </c>
    </row>
    <row r="379" spans="1:43" x14ac:dyDescent="0.25">
      <c r="A379">
        <v>378</v>
      </c>
      <c r="B379" t="s">
        <v>56</v>
      </c>
      <c r="C379" t="s">
        <v>56</v>
      </c>
      <c r="D379" t="s">
        <v>94</v>
      </c>
      <c r="F379" s="1">
        <v>42711</v>
      </c>
      <c r="G379" s="2">
        <v>76.400000000000006</v>
      </c>
      <c r="H379" s="2">
        <v>1.99624</v>
      </c>
      <c r="I379" s="2">
        <f t="array" ref="I379">_xlfn.IFNA(IF(vp.data[[#This Row],[Sulf Input]]="",INDEX([1]DATA!$Q$3:$Q$9826,MATCH(1,(vp.data[[#This Row],[Battery]]=[1]DATA!$L$3:$L$9826)*(EOMONTH(vp.data[[#This Row],[SDate]],-1)+1=[1]DATA!$G$3:$G$9826),0)),vp.data[[#This Row],[Sulf Input]]),"")</f>
        <v>1.99624</v>
      </c>
      <c r="J379" s="2">
        <v>15.5</v>
      </c>
      <c r="K379" s="2">
        <v>-25</v>
      </c>
      <c r="L379" s="2">
        <v>867.7</v>
      </c>
      <c r="M379" s="2">
        <f t="array" ref="M379">_xlfn.IFNA(IF(vp.data[[#This Row],[Dens Input]]="",INDEX([1]DATA!$O$3:$O$9826,MATCH(1,(vp.data[[#This Row],[Battery]]=[1]DATA!$L$3:$L$9826)*(EOMONTH(vp.data[[#This Row],[SDate]],-1)+1=[1]DATA!$G$3:$G$9826),0)),vp.data[[#This Row],[Dens Input]]),"")</f>
        <v>867.7</v>
      </c>
      <c r="N379" s="2">
        <f ca="1">INDEX(INDIRECT(_xlfn.CONCAT("weather.tbl[",N$1,"]")),MATCH(vp.data[[#This Row],[SDate]],weather.tbl[Date],0))</f>
        <v>-16.333333333333332</v>
      </c>
      <c r="O379" s="2">
        <f ca="1">INDEX(INDIRECT(_xlfn.CONCAT("weather.tbl[",O$1,"]")),MATCH(vp.data[[#This Row],[SDate]],weather.tbl[Date],0))</f>
        <v>-7.761904761904761</v>
      </c>
      <c r="P379" s="2">
        <f ca="1">INDEX(INDIRECT(_xlfn.CONCAT("weather.tbl[",P$1,"]")),MATCH(vp.data[[#This Row],[SDate]],weather.tbl[Date],0))</f>
        <v>-17.2</v>
      </c>
      <c r="Q379" s="2">
        <f ca="1">INDEX(INDIRECT(_xlfn.CONCAT("weather.tbl[",Q$1,"]")),MATCH(vp.data[[#This Row],[SDate]],weather.tbl[Date],0))</f>
        <v>-17.5</v>
      </c>
      <c r="R379" s="2">
        <f ca="1">INDEX(INDIRECT(_xlfn.CONCAT("weather.tbl[",R$1,"]")),MATCH(vp.data[[#This Row],[SDate]],weather.tbl[Date],0))</f>
        <v>-16.3</v>
      </c>
      <c r="S379" s="2">
        <f ca="1">INDEX(INDIRECT(_xlfn.CONCAT("weather.tbl[",S$1,"]")),MATCH(vp.data[[#This Row],[SDate]],weather.tbl[Date],0))</f>
        <v>-17</v>
      </c>
      <c r="T379" s="2">
        <f ca="1">INDEX(INDIRECT(_xlfn.CONCAT("weather.tbl[",T$1,"]")),MATCH(vp.data[[#This Row],[SDate]],weather.tbl[Date],0))</f>
        <v>-13.5</v>
      </c>
      <c r="U379" s="2">
        <f ca="1">INDEX(INDIRECT(_xlfn.CONCAT("weather.tbl[",U$1,"]")),MATCH(vp.data[[#This Row],[SDate]],weather.tbl[Date],0))</f>
        <v>-16.5</v>
      </c>
      <c r="V379" s="2">
        <f t="array" ref="V3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3726.9639999999999</v>
      </c>
      <c r="W379" t="s">
        <v>48</v>
      </c>
      <c r="X379">
        <f>IF(OR(vp.data[[#This Row],[Sulf]]="",vp.data[[#This Row],[Dens]]=""),1,0)</f>
        <v>0</v>
      </c>
      <c r="Y379">
        <f>IF(vp.data[[#This Row],[CrudeType]]="C5+",1,0)</f>
        <v>0</v>
      </c>
      <c r="Z379">
        <f>IF(AND(vp.data[[#This Row],[CrudeType]]="Crude",vp.data[[#This Row],[Dens]]&lt;=825,vp.data[[#This Row],[Sulf]]&gt;0.5,vp.data[[#This Row],[Unknown]]=0),1,0)</f>
        <v>0</v>
      </c>
      <c r="AA379">
        <f>IF(AND(vp.data[[#This Row],[CrudeType]]="Crude",vp.data[[#This Row],[Dens]]&lt;=825,vp.data[[#This Row],[Sulf]]&lt;=0.5,vp.data[[#This Row],[Unknown]]=0),1,0)</f>
        <v>0</v>
      </c>
      <c r="AB3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79">
        <f>IF(AND(vp.data[[#This Row],[CrudeType]]="Crude",vp.data[[#This Row],[Dens]]&gt;825,vp.data[[#This Row],[Dens]]&lt;=900,vp.data[[#This Row],[Sulf]]&lt;=0.5,vp.data[[#This Row],[Unknown]]=0),1,0)</f>
        <v>0</v>
      </c>
      <c r="AD379">
        <f>IF(AND(vp.data[[#This Row],[CrudeType]]="Crude",vp.data[[#This Row],[Dens]]&gt;865,vp.data[[#This Row],[Dens]]&lt;=900,vp.data[[#This Row],[Sulf]]&gt;2,vp.data[[#This Row],[Unknown]]=0),1,0)</f>
        <v>0</v>
      </c>
      <c r="AE379">
        <f>IF(AND(vp.data[[#This Row],[CrudeType]]="Crude",vp.data[[#This Row],[Dens]]&gt;900,vp.data[[#This Row],[Sulf]]&lt;=0.5,vp.data[[#This Row],[Unknown]]=0),1,0)</f>
        <v>0</v>
      </c>
      <c r="AF379">
        <f>IF(AND(vp.data[[#This Row],[CrudeType]]="Crude",vp.data[[#This Row],[Dens]]&gt;900,vp.data[[#This Row],[Sulf]]&lt;=0.5,vp.data[[#This Row],[Unknown]]=0),1,0)</f>
        <v>0</v>
      </c>
      <c r="AG379" t="str">
        <f>INDEX(vp.data[[#Headers],[Unknown]:[Heavy_SW]],MATCH(1,vp.data[[#This Row],[Unknown]:[Heavy_SW]],0))</f>
        <v>Medium_LSB</v>
      </c>
      <c r="AH379">
        <f>INDEX([3]!crudeBD.lkup[Number],MATCH(vp.data[[#This Row],[Crude_Breakdown]],crudeBD.lkup[Crude Breakdown],0))</f>
        <v>3</v>
      </c>
      <c r="AI379">
        <f>MONTH(vp.data[[#This Row],[SDate]])</f>
        <v>12</v>
      </c>
      <c r="AJ379" s="5">
        <f>(vp.data[[#This Row],[VP]]-INDEX(crudeBD.lkup[Mean_VP],MATCH(vp.data[[#This Row],[Crude_Breakdown]],crudeBD.lkup[Crude Breakdown],0)))^2</f>
        <v>17.974857247476479</v>
      </c>
      <c r="AK379" s="5">
        <f>(vp.data[[#This Row],[Dens]]-INDEX(crudeBD.lkup[Mean_Dens],MATCH(vp.data[[#This Row],[Crude_Breakdown]],crudeBD.lkup[Crude Breakdown],0)))^2</f>
        <v>565.48840000002576</v>
      </c>
      <c r="AL379" s="5">
        <f>(vp.data[[#This Row],[Sulf]]-INDEX(crudeBD.lkup[Mean_Sulf],MATCH(vp.data[[#This Row],[Crude_Breakdown]],crudeBD.lkup[Crude Breakdown],0)))^2</f>
        <v>0.37311557745795493</v>
      </c>
      <c r="AM379" s="4">
        <f>IF(AND(vp.data[[#This Row],[SDate]]&gt;=DATE(YEAR(vp.data[[#This Row],[SDate]]),5,1),vp.data[[#This Row],[SDate]]&lt;=DATE(YEAR(vp.data[[#This Row],[SDate]]),9,15)),1,0)</f>
        <v>0</v>
      </c>
      <c r="AN379" s="4">
        <f>IF(vp.data[[#This Row],[SDate]]&lt;DATE(2016,12,1),0,1)</f>
        <v>1</v>
      </c>
      <c r="AO379" s="4">
        <f>IFERROR(vp.data[[#This Row],[Sulf]]*vp.data[[#This Row],[Net Dens]],"")</f>
        <v>6455613.9117478719</v>
      </c>
      <c r="AP379">
        <f>IFERROR(vp.data[[#This Row],[Dens]]*vp.data[[#This Row],[VolumeM3]],"")</f>
        <v>3233886.6628</v>
      </c>
      <c r="AQ379" s="15">
        <f>IFERROR(vp.data[[#This Row],[VP]]*vp.data[[#This Row],[VolumeM3]],"")</f>
        <v>284740.04960000003</v>
      </c>
    </row>
    <row r="380" spans="1:43" x14ac:dyDescent="0.25">
      <c r="A380">
        <v>379</v>
      </c>
      <c r="B380" t="s">
        <v>46</v>
      </c>
      <c r="C380" t="s">
        <v>46</v>
      </c>
      <c r="D380" t="s">
        <v>47</v>
      </c>
      <c r="F380" s="1">
        <v>42711</v>
      </c>
      <c r="G380" s="2">
        <v>63.6</v>
      </c>
      <c r="H380" s="2">
        <v>2.3065000000000002</v>
      </c>
      <c r="I380" s="2">
        <f t="array" ref="I380">_xlfn.IFNA(IF(vp.data[[#This Row],[Sulf Input]]="",INDEX([1]DATA!$Q$3:$Q$9826,MATCH(1,(vp.data[[#This Row],[Battery]]=[1]DATA!$L$3:$L$9826)*(EOMONTH(vp.data[[#This Row],[SDate]],-1)+1=[1]DATA!$G$3:$G$9826),0)),vp.data[[#This Row],[Sulf Input]]),"")</f>
        <v>2.3065000000000002</v>
      </c>
      <c r="J380" s="2">
        <v>27.1</v>
      </c>
      <c r="K380" s="2">
        <v>-20</v>
      </c>
      <c r="L380" s="2">
        <v>867.7</v>
      </c>
      <c r="M380" s="2">
        <f t="array" ref="M380">_xlfn.IFNA(IF(vp.data[[#This Row],[Dens Input]]="",INDEX([1]DATA!$O$3:$O$9826,MATCH(1,(vp.data[[#This Row],[Battery]]=[1]DATA!$L$3:$L$9826)*(EOMONTH(vp.data[[#This Row],[SDate]],-1)+1=[1]DATA!$G$3:$G$9826),0)),vp.data[[#This Row],[Dens Input]]),"")</f>
        <v>867.7</v>
      </c>
      <c r="N380" s="2">
        <f ca="1">INDEX(INDIRECT(_xlfn.CONCAT("weather.tbl[",N$1,"]")),MATCH(vp.data[[#This Row],[SDate]],weather.tbl[Date],0))</f>
        <v>-16.333333333333332</v>
      </c>
      <c r="O380" s="2">
        <f ca="1">INDEX(INDIRECT(_xlfn.CONCAT("weather.tbl[",O$1,"]")),MATCH(vp.data[[#This Row],[SDate]],weather.tbl[Date],0))</f>
        <v>-7.761904761904761</v>
      </c>
      <c r="P380" s="2">
        <f ca="1">INDEX(INDIRECT(_xlfn.CONCAT("weather.tbl[",P$1,"]")),MATCH(vp.data[[#This Row],[SDate]],weather.tbl[Date],0))</f>
        <v>-17.2</v>
      </c>
      <c r="Q380" s="2">
        <f ca="1">INDEX(INDIRECT(_xlfn.CONCAT("weather.tbl[",Q$1,"]")),MATCH(vp.data[[#This Row],[SDate]],weather.tbl[Date],0))</f>
        <v>-17.5</v>
      </c>
      <c r="R380" s="2">
        <f ca="1">INDEX(INDIRECT(_xlfn.CONCAT("weather.tbl[",R$1,"]")),MATCH(vp.data[[#This Row],[SDate]],weather.tbl[Date],0))</f>
        <v>-16.3</v>
      </c>
      <c r="S380" s="2">
        <f ca="1">INDEX(INDIRECT(_xlfn.CONCAT("weather.tbl[",S$1,"]")),MATCH(vp.data[[#This Row],[SDate]],weather.tbl[Date],0))</f>
        <v>-17</v>
      </c>
      <c r="T380" s="2">
        <f ca="1">INDEX(INDIRECT(_xlfn.CONCAT("weather.tbl[",T$1,"]")),MATCH(vp.data[[#This Row],[SDate]],weather.tbl[Date],0))</f>
        <v>-13.5</v>
      </c>
      <c r="U380" s="2">
        <f ca="1">INDEX(INDIRECT(_xlfn.CONCAT("weather.tbl[",U$1,"]")),MATCH(vp.data[[#This Row],[SDate]],weather.tbl[Date],0))</f>
        <v>-16.5</v>
      </c>
      <c r="V380" s="2">
        <f t="array" ref="V3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118264.61500000001</v>
      </c>
      <c r="W380" t="s">
        <v>48</v>
      </c>
      <c r="X380">
        <f>IF(OR(vp.data[[#This Row],[Sulf]]="",vp.data[[#This Row],[Dens]]=""),1,0)</f>
        <v>0</v>
      </c>
      <c r="Y380">
        <f>IF(vp.data[[#This Row],[CrudeType]]="C5+",1,0)</f>
        <v>0</v>
      </c>
      <c r="Z380">
        <f>IF(AND(vp.data[[#This Row],[CrudeType]]="Crude",vp.data[[#This Row],[Dens]]&lt;=825,vp.data[[#This Row],[Sulf]]&gt;0.5,vp.data[[#This Row],[Unknown]]=0),1,0)</f>
        <v>0</v>
      </c>
      <c r="AA380">
        <f>IF(AND(vp.data[[#This Row],[CrudeType]]="Crude",vp.data[[#This Row],[Dens]]&lt;=825,vp.data[[#This Row],[Sulf]]&lt;=0.5,vp.data[[#This Row],[Unknown]]=0),1,0)</f>
        <v>0</v>
      </c>
      <c r="AB3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0">
        <f>IF(AND(vp.data[[#This Row],[CrudeType]]="Crude",vp.data[[#This Row],[Dens]]&gt;825,vp.data[[#This Row],[Dens]]&lt;=900,vp.data[[#This Row],[Sulf]]&lt;=0.5,vp.data[[#This Row],[Unknown]]=0),1,0)</f>
        <v>0</v>
      </c>
      <c r="AD380">
        <f>IF(AND(vp.data[[#This Row],[CrudeType]]="Crude",vp.data[[#This Row],[Dens]]&gt;865,vp.data[[#This Row],[Dens]]&lt;=900,vp.data[[#This Row],[Sulf]]&gt;2,vp.data[[#This Row],[Unknown]]=0),1,0)</f>
        <v>1</v>
      </c>
      <c r="AE380">
        <f>IF(AND(vp.data[[#This Row],[CrudeType]]="Crude",vp.data[[#This Row],[Dens]]&gt;900,vp.data[[#This Row],[Sulf]]&lt;=0.5,vp.data[[#This Row],[Unknown]]=0),1,0)</f>
        <v>0</v>
      </c>
      <c r="AF380">
        <f>IF(AND(vp.data[[#This Row],[CrudeType]]="Crude",vp.data[[#This Row],[Dens]]&gt;900,vp.data[[#This Row],[Sulf]]&lt;=0.5,vp.data[[#This Row],[Unknown]]=0),1,0)</f>
        <v>0</v>
      </c>
      <c r="AG380" t="str">
        <f>INDEX(vp.data[[#Headers],[Unknown]:[Heavy_SW]],MATCH(1,vp.data[[#This Row],[Unknown]:[Heavy_SW]],0))</f>
        <v>Midale</v>
      </c>
      <c r="AH380">
        <f>INDEX([3]!crudeBD.lkup[Number],MATCH(vp.data[[#This Row],[Crude_Breakdown]],crudeBD.lkup[Crude Breakdown],0))</f>
        <v>5</v>
      </c>
      <c r="AI380">
        <f>MONTH(vp.data[[#This Row],[SDate]])</f>
        <v>12</v>
      </c>
      <c r="AJ380" s="5">
        <f>(vp.data[[#This Row],[VP]]-INDEX(crudeBD.lkup[Mean_VP],MATCH(vp.data[[#This Row],[Crude_Breakdown]],crudeBD.lkup[Crude Breakdown],0)))^2</f>
        <v>33.741726272717962</v>
      </c>
      <c r="AK380" s="5">
        <f>(vp.data[[#This Row],[Dens]]-INDEX(crudeBD.lkup[Mean_Dens],MATCH(vp.data[[#This Row],[Crude_Breakdown]],crudeBD.lkup[Crude Breakdown],0)))^2</f>
        <v>50.651835742378047</v>
      </c>
      <c r="AL380" s="5">
        <f>(vp.data[[#This Row],[Sulf]]-INDEX(crudeBD.lkup[Mean_Sulf],MATCH(vp.data[[#This Row],[Crude_Breakdown]],crudeBD.lkup[Crude Breakdown],0)))^2</f>
        <v>1.8800678716558179E-2</v>
      </c>
      <c r="AM380" s="4">
        <f>IF(AND(vp.data[[#This Row],[SDate]]&gt;=DATE(YEAR(vp.data[[#This Row],[SDate]]),5,1),vp.data[[#This Row],[SDate]]&lt;=DATE(YEAR(vp.data[[#This Row],[SDate]]),9,15)),1,0)</f>
        <v>0</v>
      </c>
      <c r="AN380" s="4">
        <f>IF(vp.data[[#This Row],[SDate]]&lt;DATE(2016,12,1),0,1)</f>
        <v>1</v>
      </c>
      <c r="AO380" s="4">
        <f>IFERROR(vp.data[[#This Row],[Sulf]]*vp.data[[#This Row],[Net Dens]],"")</f>
        <v>236688893.14348081</v>
      </c>
      <c r="AP380">
        <f>IFERROR(vp.data[[#This Row],[Dens]]*vp.data[[#This Row],[VolumeM3]],"")</f>
        <v>102618206.43550001</v>
      </c>
      <c r="AQ380" s="15">
        <f>IFERROR(vp.data[[#This Row],[VP]]*vp.data[[#This Row],[VolumeM3]],"")</f>
        <v>7521629.5140000004</v>
      </c>
    </row>
    <row r="381" spans="1:43" x14ac:dyDescent="0.25">
      <c r="A381">
        <v>380</v>
      </c>
      <c r="B381" t="s">
        <v>51</v>
      </c>
      <c r="C381" t="s">
        <v>51</v>
      </c>
      <c r="D381" t="s">
        <v>52</v>
      </c>
      <c r="F381" s="1">
        <v>42711</v>
      </c>
      <c r="G381" s="2">
        <v>74.099999999999994</v>
      </c>
      <c r="H381" s="2">
        <v>2.3452600000000001</v>
      </c>
      <c r="I381" s="2">
        <f t="array" ref="I381">_xlfn.IFNA(IF(vp.data[[#This Row],[Sulf Input]]="",INDEX([1]DATA!$Q$3:$Q$9826,MATCH(1,(vp.data[[#This Row],[Battery]]=[1]DATA!$L$3:$L$9826)*(EOMONTH(vp.data[[#This Row],[SDate]],-1)+1=[1]DATA!$G$3:$G$9826),0)),vp.data[[#This Row],[Sulf Input]]),"")</f>
        <v>2.3452600000000001</v>
      </c>
      <c r="J381" s="2">
        <v>31</v>
      </c>
      <c r="K381" s="2">
        <v>-20</v>
      </c>
      <c r="L381" s="2">
        <v>868</v>
      </c>
      <c r="M381" s="2">
        <f t="array" ref="M381">_xlfn.IFNA(IF(vp.data[[#This Row],[Dens Input]]="",INDEX([1]DATA!$O$3:$O$9826,MATCH(1,(vp.data[[#This Row],[Battery]]=[1]DATA!$L$3:$L$9826)*(EOMONTH(vp.data[[#This Row],[SDate]],-1)+1=[1]DATA!$G$3:$G$9826),0)),vp.data[[#This Row],[Dens Input]]),"")</f>
        <v>868</v>
      </c>
      <c r="N381" s="2">
        <f ca="1">INDEX(INDIRECT(_xlfn.CONCAT("weather.tbl[",N$1,"]")),MATCH(vp.data[[#This Row],[SDate]],weather.tbl[Date],0))</f>
        <v>-16.333333333333332</v>
      </c>
      <c r="O381" s="2">
        <f ca="1">INDEX(INDIRECT(_xlfn.CONCAT("weather.tbl[",O$1,"]")),MATCH(vp.data[[#This Row],[SDate]],weather.tbl[Date],0))</f>
        <v>-7.761904761904761</v>
      </c>
      <c r="P381" s="2">
        <f ca="1">INDEX(INDIRECT(_xlfn.CONCAT("weather.tbl[",P$1,"]")),MATCH(vp.data[[#This Row],[SDate]],weather.tbl[Date],0))</f>
        <v>-17.2</v>
      </c>
      <c r="Q381" s="2">
        <f ca="1">INDEX(INDIRECT(_xlfn.CONCAT("weather.tbl[",Q$1,"]")),MATCH(vp.data[[#This Row],[SDate]],weather.tbl[Date],0))</f>
        <v>-17.5</v>
      </c>
      <c r="R381" s="2">
        <f ca="1">INDEX(INDIRECT(_xlfn.CONCAT("weather.tbl[",R$1,"]")),MATCH(vp.data[[#This Row],[SDate]],weather.tbl[Date],0))</f>
        <v>-16.3</v>
      </c>
      <c r="S381" s="2">
        <f ca="1">INDEX(INDIRECT(_xlfn.CONCAT("weather.tbl[",S$1,"]")),MATCH(vp.data[[#This Row],[SDate]],weather.tbl[Date],0))</f>
        <v>-17</v>
      </c>
      <c r="T381" s="2">
        <f ca="1">INDEX(INDIRECT(_xlfn.CONCAT("weather.tbl[",T$1,"]")),MATCH(vp.data[[#This Row],[SDate]],weather.tbl[Date],0))</f>
        <v>-13.5</v>
      </c>
      <c r="U381" s="2">
        <f ca="1">INDEX(INDIRECT(_xlfn.CONCAT("weather.tbl[",U$1,"]")),MATCH(vp.data[[#This Row],[SDate]],weather.tbl[Date],0))</f>
        <v>-16.5</v>
      </c>
      <c r="V381" s="2">
        <f t="array" ref="V3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7324.1409999999996</v>
      </c>
      <c r="W381" t="s">
        <v>48</v>
      </c>
      <c r="X381">
        <f>IF(OR(vp.data[[#This Row],[Sulf]]="",vp.data[[#This Row],[Dens]]=""),1,0)</f>
        <v>0</v>
      </c>
      <c r="Y381">
        <f>IF(vp.data[[#This Row],[CrudeType]]="C5+",1,0)</f>
        <v>0</v>
      </c>
      <c r="Z381">
        <f>IF(AND(vp.data[[#This Row],[CrudeType]]="Crude",vp.data[[#This Row],[Dens]]&lt;=825,vp.data[[#This Row],[Sulf]]&gt;0.5,vp.data[[#This Row],[Unknown]]=0),1,0)</f>
        <v>0</v>
      </c>
      <c r="AA381">
        <f>IF(AND(vp.data[[#This Row],[CrudeType]]="Crude",vp.data[[#This Row],[Dens]]&lt;=825,vp.data[[#This Row],[Sulf]]&lt;=0.5,vp.data[[#This Row],[Unknown]]=0),1,0)</f>
        <v>0</v>
      </c>
      <c r="AB3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1">
        <f>IF(AND(vp.data[[#This Row],[CrudeType]]="Crude",vp.data[[#This Row],[Dens]]&gt;825,vp.data[[#This Row],[Dens]]&lt;=900,vp.data[[#This Row],[Sulf]]&lt;=0.5,vp.data[[#This Row],[Unknown]]=0),1,0)</f>
        <v>0</v>
      </c>
      <c r="AD381">
        <f>IF(AND(vp.data[[#This Row],[CrudeType]]="Crude",vp.data[[#This Row],[Dens]]&gt;865,vp.data[[#This Row],[Dens]]&lt;=900,vp.data[[#This Row],[Sulf]]&gt;2,vp.data[[#This Row],[Unknown]]=0),1,0)</f>
        <v>1</v>
      </c>
      <c r="AE381">
        <f>IF(AND(vp.data[[#This Row],[CrudeType]]="Crude",vp.data[[#This Row],[Dens]]&gt;900,vp.data[[#This Row],[Sulf]]&lt;=0.5,vp.data[[#This Row],[Unknown]]=0),1,0)</f>
        <v>0</v>
      </c>
      <c r="AF381">
        <f>IF(AND(vp.data[[#This Row],[CrudeType]]="Crude",vp.data[[#This Row],[Dens]]&gt;900,vp.data[[#This Row],[Sulf]]&lt;=0.5,vp.data[[#This Row],[Unknown]]=0),1,0)</f>
        <v>0</v>
      </c>
      <c r="AG381" t="str">
        <f>INDEX(vp.data[[#Headers],[Unknown]:[Heavy_SW]],MATCH(1,vp.data[[#This Row],[Unknown]:[Heavy_SW]],0))</f>
        <v>Midale</v>
      </c>
      <c r="AH381">
        <f>INDEX([3]!crudeBD.lkup[Number],MATCH(vp.data[[#This Row],[Crude_Breakdown]],crudeBD.lkup[Crude Breakdown],0))</f>
        <v>5</v>
      </c>
      <c r="AI381">
        <f>MONTH(vp.data[[#This Row],[SDate]])</f>
        <v>12</v>
      </c>
      <c r="AJ381" s="5">
        <f>(vp.data[[#This Row],[VP]]-INDEX(crudeBD.lkup[Mean_VP],MATCH(vp.data[[#This Row],[Crude_Breakdown]],crudeBD.lkup[Crude Breakdown],0)))^2</f>
        <v>22.00770565416056</v>
      </c>
      <c r="AK381" s="5">
        <f>(vp.data[[#This Row],[Dens]]-INDEX(crudeBD.lkup[Mean_Dens],MATCH(vp.data[[#This Row],[Crude_Breakdown]],crudeBD.lkup[Crude Breakdown],0)))^2</f>
        <v>46.4716295568115</v>
      </c>
      <c r="AL381" s="5">
        <f>(vp.data[[#This Row],[Sulf]]-INDEX(crudeBD.lkup[Mean_Sulf],MATCH(vp.data[[#This Row],[Crude_Breakdown]],crudeBD.lkup[Crude Breakdown],0)))^2</f>
        <v>9.6738175619191461E-3</v>
      </c>
      <c r="AM381" s="4">
        <f>IF(AND(vp.data[[#This Row],[SDate]]&gt;=DATE(YEAR(vp.data[[#This Row],[SDate]]),5,1),vp.data[[#This Row],[SDate]]&lt;=DATE(YEAR(vp.data[[#This Row],[SDate]]),9,15)),1,0)</f>
        <v>0</v>
      </c>
      <c r="AN381" s="4">
        <f>IF(vp.data[[#This Row],[SDate]]&lt;DATE(2016,12,1),0,1)</f>
        <v>1</v>
      </c>
      <c r="AO381" s="4">
        <f>IFERROR(vp.data[[#This Row],[Sulf]]*vp.data[[#This Row],[Net Dens]],"")</f>
        <v>14909648.952000879</v>
      </c>
      <c r="AP381">
        <f>IFERROR(vp.data[[#This Row],[Dens]]*vp.data[[#This Row],[VolumeM3]],"")</f>
        <v>6357354.3879999993</v>
      </c>
      <c r="AQ381" s="15">
        <f>IFERROR(vp.data[[#This Row],[VP]]*vp.data[[#This Row],[VolumeM3]],"")</f>
        <v>542718.84809999994</v>
      </c>
    </row>
    <row r="382" spans="1:43" x14ac:dyDescent="0.25">
      <c r="A382">
        <v>381</v>
      </c>
      <c r="B382" t="s">
        <v>49</v>
      </c>
      <c r="C382" t="s">
        <v>49</v>
      </c>
      <c r="D382" t="s">
        <v>78</v>
      </c>
      <c r="F382" s="1">
        <v>42712</v>
      </c>
      <c r="G382" s="2">
        <v>112</v>
      </c>
      <c r="H382" s="2">
        <v>0.28571000000000002</v>
      </c>
      <c r="I382" s="2">
        <f t="array" ref="I382">_xlfn.IFNA(IF(vp.data[[#This Row],[Sulf Input]]="",INDEX([1]DATA!$Q$3:$Q$9826,MATCH(1,(vp.data[[#This Row],[Battery]]=[1]DATA!$L$3:$L$9826)*(EOMONTH(vp.data[[#This Row],[SDate]],-1)+1=[1]DATA!$G$3:$G$9826),0)),vp.data[[#This Row],[Sulf Input]]),"")</f>
        <v>0.28571000000000002</v>
      </c>
      <c r="J382" s="2">
        <v>-1.5</v>
      </c>
      <c r="K382" s="2">
        <v>-25</v>
      </c>
      <c r="L382" s="2">
        <v>804</v>
      </c>
      <c r="M382" s="2">
        <f t="array" ref="M382">_xlfn.IFNA(IF(vp.data[[#This Row],[Dens Input]]="",INDEX([1]DATA!$O$3:$O$9826,MATCH(1,(vp.data[[#This Row],[Battery]]=[1]DATA!$L$3:$L$9826)*(EOMONTH(vp.data[[#This Row],[SDate]],-1)+1=[1]DATA!$G$3:$G$9826),0)),vp.data[[#This Row],[Dens Input]]),"")</f>
        <v>804</v>
      </c>
      <c r="N382" s="2">
        <f ca="1">INDEX(INDIRECT(_xlfn.CONCAT("weather.tbl[",N$1,"]")),MATCH(vp.data[[#This Row],[SDate]],weather.tbl[Date],0))</f>
        <v>-21.183333333333334</v>
      </c>
      <c r="O382" s="2">
        <f ca="1">INDEX(INDIRECT(_xlfn.CONCAT("weather.tbl[",O$1,"]")),MATCH(vp.data[[#This Row],[SDate]],weather.tbl[Date],0))</f>
        <v>-10.37857142857143</v>
      </c>
      <c r="P382" s="2">
        <f ca="1">INDEX(INDIRECT(_xlfn.CONCAT("weather.tbl[",P$1,"]")),MATCH(vp.data[[#This Row],[SDate]],weather.tbl[Date],0))</f>
        <v>-22.7</v>
      </c>
      <c r="Q382" s="2">
        <f ca="1">INDEX(INDIRECT(_xlfn.CONCAT("weather.tbl[",Q$1,"]")),MATCH(vp.data[[#This Row],[SDate]],weather.tbl[Date],0))</f>
        <v>-23.3</v>
      </c>
      <c r="R382" s="2">
        <f ca="1">INDEX(INDIRECT(_xlfn.CONCAT("weather.tbl[",R$1,"]")),MATCH(vp.data[[#This Row],[SDate]],weather.tbl[Date],0))</f>
        <v>-20.5</v>
      </c>
      <c r="S382" s="2">
        <f ca="1">INDEX(INDIRECT(_xlfn.CONCAT("weather.tbl[",S$1,"]")),MATCH(vp.data[[#This Row],[SDate]],weather.tbl[Date],0))</f>
        <v>-20.5</v>
      </c>
      <c r="T382" s="2">
        <f ca="1">INDEX(INDIRECT(_xlfn.CONCAT("weather.tbl[",T$1,"]")),MATCH(vp.data[[#This Row],[SDate]],weather.tbl[Date],0))</f>
        <v>-20.3</v>
      </c>
      <c r="U382" s="2">
        <f ca="1">INDEX(INDIRECT(_xlfn.CONCAT("weather.tbl[",U$1,"]")),MATCH(vp.data[[#This Row],[SDate]],weather.tbl[Date],0))</f>
        <v>-19.8</v>
      </c>
      <c r="V382" s="2">
        <f t="array" ref="V3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15481.353999999999</v>
      </c>
      <c r="W382" t="s">
        <v>48</v>
      </c>
      <c r="X382">
        <f>IF(OR(vp.data[[#This Row],[Sulf]]="",vp.data[[#This Row],[Dens]]=""),1,0)</f>
        <v>0</v>
      </c>
      <c r="Y382">
        <f>IF(vp.data[[#This Row],[CrudeType]]="C5+",1,0)</f>
        <v>0</v>
      </c>
      <c r="Z382">
        <f>IF(AND(vp.data[[#This Row],[CrudeType]]="Crude",vp.data[[#This Row],[Dens]]&lt;=825,vp.data[[#This Row],[Sulf]]&gt;0.5,vp.data[[#This Row],[Unknown]]=0),1,0)</f>
        <v>0</v>
      </c>
      <c r="AA382">
        <f>IF(AND(vp.data[[#This Row],[CrudeType]]="Crude",vp.data[[#This Row],[Dens]]&lt;=825,vp.data[[#This Row],[Sulf]]&lt;=0.5,vp.data[[#This Row],[Unknown]]=0),1,0)</f>
        <v>1</v>
      </c>
      <c r="AB3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2">
        <f>IF(AND(vp.data[[#This Row],[CrudeType]]="Crude",vp.data[[#This Row],[Dens]]&gt;825,vp.data[[#This Row],[Dens]]&lt;=900,vp.data[[#This Row],[Sulf]]&lt;=0.5,vp.data[[#This Row],[Unknown]]=0),1,0)</f>
        <v>0</v>
      </c>
      <c r="AD382">
        <f>IF(AND(vp.data[[#This Row],[CrudeType]]="Crude",vp.data[[#This Row],[Dens]]&gt;865,vp.data[[#This Row],[Dens]]&lt;=900,vp.data[[#This Row],[Sulf]]&gt;2,vp.data[[#This Row],[Unknown]]=0),1,0)</f>
        <v>0</v>
      </c>
      <c r="AE382">
        <f>IF(AND(vp.data[[#This Row],[CrudeType]]="Crude",vp.data[[#This Row],[Dens]]&gt;900,vp.data[[#This Row],[Sulf]]&lt;=0.5,vp.data[[#This Row],[Unknown]]=0),1,0)</f>
        <v>0</v>
      </c>
      <c r="AF382">
        <f>IF(AND(vp.data[[#This Row],[CrudeType]]="Crude",vp.data[[#This Row],[Dens]]&gt;900,vp.data[[#This Row],[Sulf]]&lt;=0.5,vp.data[[#This Row],[Unknown]]=0),1,0)</f>
        <v>0</v>
      </c>
      <c r="AG382" t="str">
        <f>INDEX(vp.data[[#Headers],[Unknown]:[Heavy_SW]],MATCH(1,vp.data[[#This Row],[Unknown]:[Heavy_SW]],0))</f>
        <v>Light_SW</v>
      </c>
      <c r="AH382">
        <f>INDEX([3]!crudeBD.lkup[Number],MATCH(vp.data[[#This Row],[Crude_Breakdown]],crudeBD.lkup[Crude Breakdown],0))</f>
        <v>2</v>
      </c>
      <c r="AI382">
        <f>MONTH(vp.data[[#This Row],[SDate]])</f>
        <v>12</v>
      </c>
      <c r="AJ382" s="5">
        <f>(vp.data[[#This Row],[VP]]-INDEX(crudeBD.lkup[Mean_VP],MATCH(vp.data[[#This Row],[Crude_Breakdown]],crudeBD.lkup[Crude Breakdown],0)))^2</f>
        <v>378.29030149206733</v>
      </c>
      <c r="AK382" s="5">
        <f>(vp.data[[#This Row],[Dens]]-INDEX(crudeBD.lkup[Mean_Dens],MATCH(vp.data[[#This Row],[Crude_Breakdown]],crudeBD.lkup[Crude Breakdown],0)))^2</f>
        <v>18.589017227353068</v>
      </c>
      <c r="AL382" s="5">
        <f>(vp.data[[#This Row],[Sulf]]-INDEX(crudeBD.lkup[Mean_Sulf],MATCH(vp.data[[#This Row],[Crude_Breakdown]],crudeBD.lkup[Crude Breakdown],0)))^2</f>
        <v>2.4471016391713072E-3</v>
      </c>
      <c r="AM382" s="4">
        <f>IF(AND(vp.data[[#This Row],[SDate]]&gt;=DATE(YEAR(vp.data[[#This Row],[SDate]]),5,1),vp.data[[#This Row],[SDate]]&lt;=DATE(YEAR(vp.data[[#This Row],[SDate]]),9,15)),1,0)</f>
        <v>0</v>
      </c>
      <c r="AN382" s="4">
        <f>IF(vp.data[[#This Row],[SDate]]&lt;DATE(2016,12,1),0,1)</f>
        <v>1</v>
      </c>
      <c r="AO382" s="4">
        <f>IFERROR(vp.data[[#This Row],[Sulf]]*vp.data[[#This Row],[Net Dens]],"")</f>
        <v>3556234.8316773605</v>
      </c>
      <c r="AP382">
        <f>IFERROR(vp.data[[#This Row],[Dens]]*vp.data[[#This Row],[VolumeM3]],"")</f>
        <v>12447008.616</v>
      </c>
      <c r="AQ382" s="15">
        <f>IFERROR(vp.data[[#This Row],[VP]]*vp.data[[#This Row],[VolumeM3]],"")</f>
        <v>1733911.648</v>
      </c>
    </row>
    <row r="383" spans="1:43" x14ac:dyDescent="0.25">
      <c r="A383">
        <v>382</v>
      </c>
      <c r="B383" t="s">
        <v>49</v>
      </c>
      <c r="C383" t="s">
        <v>49</v>
      </c>
      <c r="D383" t="s">
        <v>92</v>
      </c>
      <c r="F383" s="1">
        <v>42712</v>
      </c>
      <c r="G383" s="2">
        <v>102.9</v>
      </c>
      <c r="H383" s="2">
        <v>0.39244000000000001</v>
      </c>
      <c r="I383" s="2">
        <f t="array" ref="I383">_xlfn.IFNA(IF(vp.data[[#This Row],[Sulf Input]]="",INDEX([1]DATA!$Q$3:$Q$9826,MATCH(1,(vp.data[[#This Row],[Battery]]=[1]DATA!$L$3:$L$9826)*(EOMONTH(vp.data[[#This Row],[SDate]],-1)+1=[1]DATA!$G$3:$G$9826),0)),vp.data[[#This Row],[Sulf Input]]),"")</f>
        <v>0.39244000000000001</v>
      </c>
      <c r="J383" s="2">
        <v>7</v>
      </c>
      <c r="K383" s="2">
        <v>-25</v>
      </c>
      <c r="L383" s="2">
        <v>819</v>
      </c>
      <c r="M383" s="2">
        <f t="array" ref="M383">_xlfn.IFNA(IF(vp.data[[#This Row],[Dens Input]]="",INDEX([1]DATA!$O$3:$O$9826,MATCH(1,(vp.data[[#This Row],[Battery]]=[1]DATA!$L$3:$L$9826)*(EOMONTH(vp.data[[#This Row],[SDate]],-1)+1=[1]DATA!$G$3:$G$9826),0)),vp.data[[#This Row],[Dens Input]]),"")</f>
        <v>819</v>
      </c>
      <c r="N383" s="2">
        <f ca="1">INDEX(INDIRECT(_xlfn.CONCAT("weather.tbl[",N$1,"]")),MATCH(vp.data[[#This Row],[SDate]],weather.tbl[Date],0))</f>
        <v>-21.183333333333334</v>
      </c>
      <c r="O383" s="2">
        <f ca="1">INDEX(INDIRECT(_xlfn.CONCAT("weather.tbl[",O$1,"]")),MATCH(vp.data[[#This Row],[SDate]],weather.tbl[Date],0))</f>
        <v>-10.37857142857143</v>
      </c>
      <c r="P383" s="2">
        <f ca="1">INDEX(INDIRECT(_xlfn.CONCAT("weather.tbl[",P$1,"]")),MATCH(vp.data[[#This Row],[SDate]],weather.tbl[Date],0))</f>
        <v>-22.7</v>
      </c>
      <c r="Q383" s="2">
        <f ca="1">INDEX(INDIRECT(_xlfn.CONCAT("weather.tbl[",Q$1,"]")),MATCH(vp.data[[#This Row],[SDate]],weather.tbl[Date],0))</f>
        <v>-23.3</v>
      </c>
      <c r="R383" s="2">
        <f ca="1">INDEX(INDIRECT(_xlfn.CONCAT("weather.tbl[",R$1,"]")),MATCH(vp.data[[#This Row],[SDate]],weather.tbl[Date],0))</f>
        <v>-20.5</v>
      </c>
      <c r="S383" s="2">
        <f ca="1">INDEX(INDIRECT(_xlfn.CONCAT("weather.tbl[",S$1,"]")),MATCH(vp.data[[#This Row],[SDate]],weather.tbl[Date],0))</f>
        <v>-20.5</v>
      </c>
      <c r="T383" s="2">
        <f ca="1">INDEX(INDIRECT(_xlfn.CONCAT("weather.tbl[",T$1,"]")),MATCH(vp.data[[#This Row],[SDate]],weather.tbl[Date],0))</f>
        <v>-20.3</v>
      </c>
      <c r="U383" s="2">
        <f ca="1">INDEX(INDIRECT(_xlfn.CONCAT("weather.tbl[",U$1,"]")),MATCH(vp.data[[#This Row],[SDate]],weather.tbl[Date],0))</f>
        <v>-19.8</v>
      </c>
      <c r="V383" s="2">
        <f t="array" ref="V3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21171.823</v>
      </c>
      <c r="W383" t="s">
        <v>48</v>
      </c>
      <c r="X383">
        <f>IF(OR(vp.data[[#This Row],[Sulf]]="",vp.data[[#This Row],[Dens]]=""),1,0)</f>
        <v>0</v>
      </c>
      <c r="Y383">
        <f>IF(vp.data[[#This Row],[CrudeType]]="C5+",1,0)</f>
        <v>0</v>
      </c>
      <c r="Z383">
        <f>IF(AND(vp.data[[#This Row],[CrudeType]]="Crude",vp.data[[#This Row],[Dens]]&lt;=825,vp.data[[#This Row],[Sulf]]&gt;0.5,vp.data[[#This Row],[Unknown]]=0),1,0)</f>
        <v>0</v>
      </c>
      <c r="AA383">
        <f>IF(AND(vp.data[[#This Row],[CrudeType]]="Crude",vp.data[[#This Row],[Dens]]&lt;=825,vp.data[[#This Row],[Sulf]]&lt;=0.5,vp.data[[#This Row],[Unknown]]=0),1,0)</f>
        <v>1</v>
      </c>
      <c r="AB3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3">
        <f>IF(AND(vp.data[[#This Row],[CrudeType]]="Crude",vp.data[[#This Row],[Dens]]&gt;825,vp.data[[#This Row],[Dens]]&lt;=900,vp.data[[#This Row],[Sulf]]&lt;=0.5,vp.data[[#This Row],[Unknown]]=0),1,0)</f>
        <v>0</v>
      </c>
      <c r="AD383">
        <f>IF(AND(vp.data[[#This Row],[CrudeType]]="Crude",vp.data[[#This Row],[Dens]]&gt;865,vp.data[[#This Row],[Dens]]&lt;=900,vp.data[[#This Row],[Sulf]]&gt;2,vp.data[[#This Row],[Unknown]]=0),1,0)</f>
        <v>0</v>
      </c>
      <c r="AE383">
        <f>IF(AND(vp.data[[#This Row],[CrudeType]]="Crude",vp.data[[#This Row],[Dens]]&gt;900,vp.data[[#This Row],[Sulf]]&lt;=0.5,vp.data[[#This Row],[Unknown]]=0),1,0)</f>
        <v>0</v>
      </c>
      <c r="AF383">
        <f>IF(AND(vp.data[[#This Row],[CrudeType]]="Crude",vp.data[[#This Row],[Dens]]&gt;900,vp.data[[#This Row],[Sulf]]&lt;=0.5,vp.data[[#This Row],[Unknown]]=0),1,0)</f>
        <v>0</v>
      </c>
      <c r="AG383" t="str">
        <f>INDEX(vp.data[[#Headers],[Unknown]:[Heavy_SW]],MATCH(1,vp.data[[#This Row],[Unknown]:[Heavy_SW]],0))</f>
        <v>Light_SW</v>
      </c>
      <c r="AH383">
        <f>INDEX([3]!crudeBD.lkup[Number],MATCH(vp.data[[#This Row],[Crude_Breakdown]],crudeBD.lkup[Crude Breakdown],0))</f>
        <v>2</v>
      </c>
      <c r="AI383">
        <f>MONTH(vp.data[[#This Row],[SDate]])</f>
        <v>12</v>
      </c>
      <c r="AJ383" s="5">
        <f>(vp.data[[#This Row],[VP]]-INDEX(crudeBD.lkup[Mean_VP],MATCH(vp.data[[#This Row],[Crude_Breakdown]],crudeBD.lkup[Crude Breakdown],0)))^2</f>
        <v>107.11600880914008</v>
      </c>
      <c r="AK383" s="5">
        <f>(vp.data[[#This Row],[Dens]]-INDEX(crudeBD.lkup[Mean_Dens],MATCH(vp.data[[#This Row],[Crude_Breakdown]],crudeBD.lkup[Crude Breakdown],0)))^2</f>
        <v>114.24406949216798</v>
      </c>
      <c r="AL383" s="5">
        <f>(vp.data[[#This Row],[Sulf]]-INDEX(crudeBD.lkup[Mean_Sulf],MATCH(vp.data[[#This Row],[Crude_Breakdown]],crudeBD.lkup[Crude Breakdown],0)))^2</f>
        <v>2.4397873982376916E-2</v>
      </c>
      <c r="AM383" s="4">
        <f>IF(AND(vp.data[[#This Row],[SDate]]&gt;=DATE(YEAR(vp.data[[#This Row],[SDate]]),5,1),vp.data[[#This Row],[SDate]]&lt;=DATE(YEAR(vp.data[[#This Row],[SDate]]),9,15)),1,0)</f>
        <v>0</v>
      </c>
      <c r="AN383" s="4">
        <f>IF(vp.data[[#This Row],[SDate]]&lt;DATE(2016,12,1),0,1)</f>
        <v>1</v>
      </c>
      <c r="AO383" s="4">
        <f>IFERROR(vp.data[[#This Row],[Sulf]]*vp.data[[#This Row],[Net Dens]],"")</f>
        <v>6804800.9086402804</v>
      </c>
      <c r="AP383">
        <f>IFERROR(vp.data[[#This Row],[Dens]]*vp.data[[#This Row],[VolumeM3]],"")</f>
        <v>17339723.037</v>
      </c>
      <c r="AQ383" s="15">
        <f>IFERROR(vp.data[[#This Row],[VP]]*vp.data[[#This Row],[VolumeM3]],"")</f>
        <v>2178580.5867000003</v>
      </c>
    </row>
    <row r="384" spans="1:43" x14ac:dyDescent="0.25">
      <c r="A384">
        <v>383</v>
      </c>
      <c r="B384" t="s">
        <v>51</v>
      </c>
      <c r="C384" t="s">
        <v>51</v>
      </c>
      <c r="D384" t="s">
        <v>58</v>
      </c>
      <c r="F384" s="1">
        <v>42712</v>
      </c>
      <c r="G384" s="2">
        <v>89.2</v>
      </c>
      <c r="H384" s="2">
        <v>1.5316399999999999</v>
      </c>
      <c r="I384" s="2">
        <f t="array" ref="I384">_xlfn.IFNA(IF(vp.data[[#This Row],[Sulf Input]]="",INDEX([1]DATA!$Q$3:$Q$9826,MATCH(1,(vp.data[[#This Row],[Battery]]=[1]DATA!$L$3:$L$9826)*(EOMONTH(vp.data[[#This Row],[SDate]],-1)+1=[1]DATA!$G$3:$G$9826),0)),vp.data[[#This Row],[Sulf Input]]),"")</f>
        <v>1.5316399999999999</v>
      </c>
      <c r="J384" s="2">
        <v>21.7</v>
      </c>
      <c r="K384" s="2">
        <v>-25</v>
      </c>
      <c r="L384" s="2">
        <v>854.9</v>
      </c>
      <c r="M384" s="2">
        <f t="array" ref="M384">_xlfn.IFNA(IF(vp.data[[#This Row],[Dens Input]]="",INDEX([1]DATA!$O$3:$O$9826,MATCH(1,(vp.data[[#This Row],[Battery]]=[1]DATA!$L$3:$L$9826)*(EOMONTH(vp.data[[#This Row],[SDate]],-1)+1=[1]DATA!$G$3:$G$9826),0)),vp.data[[#This Row],[Dens Input]]),"")</f>
        <v>854.9</v>
      </c>
      <c r="N384" s="2">
        <f ca="1">INDEX(INDIRECT(_xlfn.CONCAT("weather.tbl[",N$1,"]")),MATCH(vp.data[[#This Row],[SDate]],weather.tbl[Date],0))</f>
        <v>-21.183333333333334</v>
      </c>
      <c r="O384" s="2">
        <f ca="1">INDEX(INDIRECT(_xlfn.CONCAT("weather.tbl[",O$1,"]")),MATCH(vp.data[[#This Row],[SDate]],weather.tbl[Date],0))</f>
        <v>-10.37857142857143</v>
      </c>
      <c r="P384" s="2">
        <f ca="1">INDEX(INDIRECT(_xlfn.CONCAT("weather.tbl[",P$1,"]")),MATCH(vp.data[[#This Row],[SDate]],weather.tbl[Date],0))</f>
        <v>-22.7</v>
      </c>
      <c r="Q384" s="2">
        <f ca="1">INDEX(INDIRECT(_xlfn.CONCAT("weather.tbl[",Q$1,"]")),MATCH(vp.data[[#This Row],[SDate]],weather.tbl[Date],0))</f>
        <v>-23.3</v>
      </c>
      <c r="R384" s="2">
        <f ca="1">INDEX(INDIRECT(_xlfn.CONCAT("weather.tbl[",R$1,"]")),MATCH(vp.data[[#This Row],[SDate]],weather.tbl[Date],0))</f>
        <v>-20.5</v>
      </c>
      <c r="S384" s="2">
        <f ca="1">INDEX(INDIRECT(_xlfn.CONCAT("weather.tbl[",S$1,"]")),MATCH(vp.data[[#This Row],[SDate]],weather.tbl[Date],0))</f>
        <v>-20.5</v>
      </c>
      <c r="T384" s="2">
        <f ca="1">INDEX(INDIRECT(_xlfn.CONCAT("weather.tbl[",T$1,"]")),MATCH(vp.data[[#This Row],[SDate]],weather.tbl[Date],0))</f>
        <v>-20.3</v>
      </c>
      <c r="U384" s="2">
        <f ca="1">INDEX(INDIRECT(_xlfn.CONCAT("weather.tbl[",U$1,"]")),MATCH(vp.data[[#This Row],[SDate]],weather.tbl[Date],0))</f>
        <v>-19.8</v>
      </c>
      <c r="V384" s="2">
        <f t="array" ref="V3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5257.84</v>
      </c>
      <c r="W384" t="s">
        <v>48</v>
      </c>
      <c r="X384">
        <f>IF(OR(vp.data[[#This Row],[Sulf]]="",vp.data[[#This Row],[Dens]]=""),1,0)</f>
        <v>0</v>
      </c>
      <c r="Y384">
        <f>IF(vp.data[[#This Row],[CrudeType]]="C5+",1,0)</f>
        <v>0</v>
      </c>
      <c r="Z384">
        <f>IF(AND(vp.data[[#This Row],[CrudeType]]="Crude",vp.data[[#This Row],[Dens]]&lt;=825,vp.data[[#This Row],[Sulf]]&gt;0.5,vp.data[[#This Row],[Unknown]]=0),1,0)</f>
        <v>0</v>
      </c>
      <c r="AA384">
        <f>IF(AND(vp.data[[#This Row],[CrudeType]]="Crude",vp.data[[#This Row],[Dens]]&lt;=825,vp.data[[#This Row],[Sulf]]&lt;=0.5,vp.data[[#This Row],[Unknown]]=0),1,0)</f>
        <v>0</v>
      </c>
      <c r="AB3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84">
        <f>IF(AND(vp.data[[#This Row],[CrudeType]]="Crude",vp.data[[#This Row],[Dens]]&gt;825,vp.data[[#This Row],[Dens]]&lt;=900,vp.data[[#This Row],[Sulf]]&lt;=0.5,vp.data[[#This Row],[Unknown]]=0),1,0)</f>
        <v>0</v>
      </c>
      <c r="AD384">
        <f>IF(AND(vp.data[[#This Row],[CrudeType]]="Crude",vp.data[[#This Row],[Dens]]&gt;865,vp.data[[#This Row],[Dens]]&lt;=900,vp.data[[#This Row],[Sulf]]&gt;2,vp.data[[#This Row],[Unknown]]=0),1,0)</f>
        <v>0</v>
      </c>
      <c r="AE384">
        <f>IF(AND(vp.data[[#This Row],[CrudeType]]="Crude",vp.data[[#This Row],[Dens]]&gt;900,vp.data[[#This Row],[Sulf]]&lt;=0.5,vp.data[[#This Row],[Unknown]]=0),1,0)</f>
        <v>0</v>
      </c>
      <c r="AF384">
        <f>IF(AND(vp.data[[#This Row],[CrudeType]]="Crude",vp.data[[#This Row],[Dens]]&gt;900,vp.data[[#This Row],[Sulf]]&lt;=0.5,vp.data[[#This Row],[Unknown]]=0),1,0)</f>
        <v>0</v>
      </c>
      <c r="AG384" t="str">
        <f>INDEX(vp.data[[#Headers],[Unknown]:[Heavy_SW]],MATCH(1,vp.data[[#This Row],[Unknown]:[Heavy_SW]],0))</f>
        <v>Medium_LSB</v>
      </c>
      <c r="AH384">
        <f>INDEX([3]!crudeBD.lkup[Number],MATCH(vp.data[[#This Row],[Crude_Breakdown]],crudeBD.lkup[Crude Breakdown],0))</f>
        <v>3</v>
      </c>
      <c r="AI384">
        <f>MONTH(vp.data[[#This Row],[SDate]])</f>
        <v>12</v>
      </c>
      <c r="AJ384" s="5">
        <f>(vp.data[[#This Row],[VP]]-INDEX(crudeBD.lkup[Mean_VP],MATCH(vp.data[[#This Row],[Crude_Breakdown]],crudeBD.lkup[Crude Breakdown],0)))^2</f>
        <v>73.27913757092854</v>
      </c>
      <c r="AK384" s="5">
        <f>(vp.data[[#This Row],[Dens]]-INDEX(crudeBD.lkup[Mean_Dens],MATCH(vp.data[[#This Row],[Crude_Breakdown]],crudeBD.lkup[Crude Breakdown],0)))^2</f>
        <v>120.56040000001039</v>
      </c>
      <c r="AL384" s="5">
        <f>(vp.data[[#This Row],[Sulf]]-INDEX(crudeBD.lkup[Mean_Sulf],MATCH(vp.data[[#This Row],[Crude_Breakdown]],crudeBD.lkup[Crude Breakdown],0)))^2</f>
        <v>2.1383760773320153E-2</v>
      </c>
      <c r="AM384" s="4">
        <f>IF(AND(vp.data[[#This Row],[SDate]]&gt;=DATE(YEAR(vp.data[[#This Row],[SDate]]),5,1),vp.data[[#This Row],[SDate]]&lt;=DATE(YEAR(vp.data[[#This Row],[SDate]]),9,15)),1,0)</f>
        <v>0</v>
      </c>
      <c r="AN384" s="4">
        <f>IF(vp.data[[#This Row],[SDate]]&lt;DATE(2016,12,1),0,1)</f>
        <v>1</v>
      </c>
      <c r="AO384" s="4">
        <f>IFERROR(vp.data[[#This Row],[Sulf]]*vp.data[[#This Row],[Net Dens]],"")</f>
        <v>6884610.6274422398</v>
      </c>
      <c r="AP384">
        <f>IFERROR(vp.data[[#This Row],[Dens]]*vp.data[[#This Row],[VolumeM3]],"")</f>
        <v>4494927.4160000002</v>
      </c>
      <c r="AQ384" s="15">
        <f>IFERROR(vp.data[[#This Row],[VP]]*vp.data[[#This Row],[VolumeM3]],"")</f>
        <v>468999.32800000004</v>
      </c>
    </row>
    <row r="385" spans="1:43" x14ac:dyDescent="0.25">
      <c r="A385">
        <v>384</v>
      </c>
      <c r="B385" t="s">
        <v>56</v>
      </c>
      <c r="C385" t="s">
        <v>56</v>
      </c>
      <c r="D385" t="s">
        <v>57</v>
      </c>
      <c r="F385" s="1">
        <v>42712</v>
      </c>
      <c r="G385" s="2">
        <v>116.4</v>
      </c>
      <c r="H385" s="2">
        <v>1.7058899999999999</v>
      </c>
      <c r="I385" s="2">
        <f t="array" ref="I385">_xlfn.IFNA(IF(vp.data[[#This Row],[Sulf Input]]="",INDEX([1]DATA!$Q$3:$Q$9826,MATCH(1,(vp.data[[#This Row],[Battery]]=[1]DATA!$L$3:$L$9826)*(EOMONTH(vp.data[[#This Row],[SDate]],-1)+1=[1]DATA!$G$3:$G$9826),0)),vp.data[[#This Row],[Sulf Input]]),"")</f>
        <v>1.7058899999999999</v>
      </c>
      <c r="J385" s="2">
        <v>5.6</v>
      </c>
      <c r="K385" s="2">
        <v>-25</v>
      </c>
      <c r="L385" s="2">
        <v>846.4</v>
      </c>
      <c r="M385" s="2">
        <f t="array" ref="M385">_xlfn.IFNA(IF(vp.data[[#This Row],[Dens Input]]="",INDEX([1]DATA!$O$3:$O$9826,MATCH(1,(vp.data[[#This Row],[Battery]]=[1]DATA!$L$3:$L$9826)*(EOMONTH(vp.data[[#This Row],[SDate]],-1)+1=[1]DATA!$G$3:$G$9826),0)),vp.data[[#This Row],[Dens Input]]),"")</f>
        <v>846.4</v>
      </c>
      <c r="N385" s="2">
        <f ca="1">INDEX(INDIRECT(_xlfn.CONCAT("weather.tbl[",N$1,"]")),MATCH(vp.data[[#This Row],[SDate]],weather.tbl[Date],0))</f>
        <v>-21.183333333333334</v>
      </c>
      <c r="O385" s="2">
        <f ca="1">INDEX(INDIRECT(_xlfn.CONCAT("weather.tbl[",O$1,"]")),MATCH(vp.data[[#This Row],[SDate]],weather.tbl[Date],0))</f>
        <v>-10.37857142857143</v>
      </c>
      <c r="P385" s="2">
        <f ca="1">INDEX(INDIRECT(_xlfn.CONCAT("weather.tbl[",P$1,"]")),MATCH(vp.data[[#This Row],[SDate]],weather.tbl[Date],0))</f>
        <v>-22.7</v>
      </c>
      <c r="Q385" s="2">
        <f ca="1">INDEX(INDIRECT(_xlfn.CONCAT("weather.tbl[",Q$1,"]")),MATCH(vp.data[[#This Row],[SDate]],weather.tbl[Date],0))</f>
        <v>-23.3</v>
      </c>
      <c r="R385" s="2">
        <f ca="1">INDEX(INDIRECT(_xlfn.CONCAT("weather.tbl[",R$1,"]")),MATCH(vp.data[[#This Row],[SDate]],weather.tbl[Date],0))</f>
        <v>-20.5</v>
      </c>
      <c r="S385" s="2">
        <f ca="1">INDEX(INDIRECT(_xlfn.CONCAT("weather.tbl[",S$1,"]")),MATCH(vp.data[[#This Row],[SDate]],weather.tbl[Date],0))</f>
        <v>-20.5</v>
      </c>
      <c r="T385" s="2">
        <f ca="1">INDEX(INDIRECT(_xlfn.CONCAT("weather.tbl[",T$1,"]")),MATCH(vp.data[[#This Row],[SDate]],weather.tbl[Date],0))</f>
        <v>-20.3</v>
      </c>
      <c r="U385" s="2">
        <f ca="1">INDEX(INDIRECT(_xlfn.CONCAT("weather.tbl[",U$1,"]")),MATCH(vp.data[[#This Row],[SDate]],weather.tbl[Date],0))</f>
        <v>-19.8</v>
      </c>
      <c r="V385" s="2">
        <f t="array" ref="V3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3105.3330000000001</v>
      </c>
      <c r="W385" t="s">
        <v>48</v>
      </c>
      <c r="X385">
        <f>IF(OR(vp.data[[#This Row],[Sulf]]="",vp.data[[#This Row],[Dens]]=""),1,0)</f>
        <v>0</v>
      </c>
      <c r="Y385">
        <f>IF(vp.data[[#This Row],[CrudeType]]="C5+",1,0)</f>
        <v>0</v>
      </c>
      <c r="Z385">
        <f>IF(AND(vp.data[[#This Row],[CrudeType]]="Crude",vp.data[[#This Row],[Dens]]&lt;=825,vp.data[[#This Row],[Sulf]]&gt;0.5,vp.data[[#This Row],[Unknown]]=0),1,0)</f>
        <v>0</v>
      </c>
      <c r="AA385">
        <f>IF(AND(vp.data[[#This Row],[CrudeType]]="Crude",vp.data[[#This Row],[Dens]]&lt;=825,vp.data[[#This Row],[Sulf]]&lt;=0.5,vp.data[[#This Row],[Unknown]]=0),1,0)</f>
        <v>0</v>
      </c>
      <c r="AB3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85">
        <f>IF(AND(vp.data[[#This Row],[CrudeType]]="Crude",vp.data[[#This Row],[Dens]]&gt;825,vp.data[[#This Row],[Dens]]&lt;=900,vp.data[[#This Row],[Sulf]]&lt;=0.5,vp.data[[#This Row],[Unknown]]=0),1,0)</f>
        <v>0</v>
      </c>
      <c r="AD385">
        <f>IF(AND(vp.data[[#This Row],[CrudeType]]="Crude",vp.data[[#This Row],[Dens]]&gt;865,vp.data[[#This Row],[Dens]]&lt;=900,vp.data[[#This Row],[Sulf]]&gt;2,vp.data[[#This Row],[Unknown]]=0),1,0)</f>
        <v>0</v>
      </c>
      <c r="AE385">
        <f>IF(AND(vp.data[[#This Row],[CrudeType]]="Crude",vp.data[[#This Row],[Dens]]&gt;900,vp.data[[#This Row],[Sulf]]&lt;=0.5,vp.data[[#This Row],[Unknown]]=0),1,0)</f>
        <v>0</v>
      </c>
      <c r="AF385">
        <f>IF(AND(vp.data[[#This Row],[CrudeType]]="Crude",vp.data[[#This Row],[Dens]]&gt;900,vp.data[[#This Row],[Sulf]]&lt;=0.5,vp.data[[#This Row],[Unknown]]=0),1,0)</f>
        <v>0</v>
      </c>
      <c r="AG385" t="str">
        <f>INDEX(vp.data[[#Headers],[Unknown]:[Heavy_SW]],MATCH(1,vp.data[[#This Row],[Unknown]:[Heavy_SW]],0))</f>
        <v>Medium_LSB</v>
      </c>
      <c r="AH385">
        <f>INDEX([3]!crudeBD.lkup[Number],MATCH(vp.data[[#This Row],[Crude_Breakdown]],crudeBD.lkup[Crude Breakdown],0))</f>
        <v>3</v>
      </c>
      <c r="AI385">
        <f>MONTH(vp.data[[#This Row],[SDate]])</f>
        <v>12</v>
      </c>
      <c r="AJ385" s="5">
        <f>(vp.data[[#This Row],[VP]]-INDEX(crudeBD.lkup[Mean_VP],MATCH(vp.data[[#This Row],[Crude_Breakdown]],crudeBD.lkup[Crude Breakdown],0)))^2</f>
        <v>1278.8007332582642</v>
      </c>
      <c r="AK385" s="5">
        <f>(vp.data[[#This Row],[Dens]]-INDEX(crudeBD.lkup[Mean_Dens],MATCH(vp.data[[#This Row],[Crude_Breakdown]],crudeBD.lkup[Crude Breakdown],0)))^2</f>
        <v>6.150400000002346</v>
      </c>
      <c r="AL385" s="5">
        <f>(vp.data[[#This Row],[Sulf]]-INDEX(crudeBD.lkup[Mean_Sulf],MATCH(vp.data[[#This Row],[Crude_Breakdown]],crudeBD.lkup[Crude Breakdown],0)))^2</f>
        <v>0.1027086311237239</v>
      </c>
      <c r="AM385" s="4">
        <f>IF(AND(vp.data[[#This Row],[SDate]]&gt;=DATE(YEAR(vp.data[[#This Row],[SDate]]),5,1),vp.data[[#This Row],[SDate]]&lt;=DATE(YEAR(vp.data[[#This Row],[SDate]]),9,15)),1,0)</f>
        <v>0</v>
      </c>
      <c r="AN385" s="4">
        <f>IF(vp.data[[#This Row],[SDate]]&lt;DATE(2016,12,1),0,1)</f>
        <v>1</v>
      </c>
      <c r="AO385" s="4">
        <f>IFERROR(vp.data[[#This Row],[Sulf]]*vp.data[[#This Row],[Net Dens]],"")</f>
        <v>4483682.5512235677</v>
      </c>
      <c r="AP385">
        <f>IFERROR(vp.data[[#This Row],[Dens]]*vp.data[[#This Row],[VolumeM3]],"")</f>
        <v>2628353.8511999999</v>
      </c>
      <c r="AQ385" s="15">
        <f>IFERROR(vp.data[[#This Row],[VP]]*vp.data[[#This Row],[VolumeM3]],"")</f>
        <v>361460.76120000001</v>
      </c>
    </row>
    <row r="386" spans="1:43" x14ac:dyDescent="0.25">
      <c r="A386">
        <v>385</v>
      </c>
      <c r="B386" t="s">
        <v>49</v>
      </c>
      <c r="C386" t="s">
        <v>49</v>
      </c>
      <c r="D386" t="s">
        <v>50</v>
      </c>
      <c r="F386" s="1">
        <v>42712</v>
      </c>
      <c r="G386" s="2">
        <v>80.5</v>
      </c>
      <c r="H386" s="2">
        <v>2.88476</v>
      </c>
      <c r="I386" s="2">
        <f t="array" ref="I386">_xlfn.IFNA(IF(vp.data[[#This Row],[Sulf Input]]="",INDEX([1]DATA!$Q$3:$Q$9826,MATCH(1,(vp.data[[#This Row],[Battery]]=[1]DATA!$L$3:$L$9826)*(EOMONTH(vp.data[[#This Row],[SDate]],-1)+1=[1]DATA!$G$3:$G$9826),0)),vp.data[[#This Row],[Sulf Input]]),"")</f>
        <v>2.88476</v>
      </c>
      <c r="J386" s="2">
        <v>20.5</v>
      </c>
      <c r="K386" s="2">
        <v>-25</v>
      </c>
      <c r="L386" s="2">
        <v>872</v>
      </c>
      <c r="M386" s="2">
        <f t="array" ref="M386">_xlfn.IFNA(IF(vp.data[[#This Row],[Dens Input]]="",INDEX([1]DATA!$O$3:$O$9826,MATCH(1,(vp.data[[#This Row],[Battery]]=[1]DATA!$L$3:$L$9826)*(EOMONTH(vp.data[[#This Row],[SDate]],-1)+1=[1]DATA!$G$3:$G$9826),0)),vp.data[[#This Row],[Dens Input]]),"")</f>
        <v>872</v>
      </c>
      <c r="N386" s="2">
        <f ca="1">INDEX(INDIRECT(_xlfn.CONCAT("weather.tbl[",N$1,"]")),MATCH(vp.data[[#This Row],[SDate]],weather.tbl[Date],0))</f>
        <v>-21.183333333333334</v>
      </c>
      <c r="O386" s="2">
        <f ca="1">INDEX(INDIRECT(_xlfn.CONCAT("weather.tbl[",O$1,"]")),MATCH(vp.data[[#This Row],[SDate]],weather.tbl[Date],0))</f>
        <v>-10.37857142857143</v>
      </c>
      <c r="P386" s="2">
        <f ca="1">INDEX(INDIRECT(_xlfn.CONCAT("weather.tbl[",P$1,"]")),MATCH(vp.data[[#This Row],[SDate]],weather.tbl[Date],0))</f>
        <v>-22.7</v>
      </c>
      <c r="Q386" s="2">
        <f ca="1">INDEX(INDIRECT(_xlfn.CONCAT("weather.tbl[",Q$1,"]")),MATCH(vp.data[[#This Row],[SDate]],weather.tbl[Date],0))</f>
        <v>-23.3</v>
      </c>
      <c r="R386" s="2">
        <f ca="1">INDEX(INDIRECT(_xlfn.CONCAT("weather.tbl[",R$1,"]")),MATCH(vp.data[[#This Row],[SDate]],weather.tbl[Date],0))</f>
        <v>-20.5</v>
      </c>
      <c r="S386" s="2">
        <f ca="1">INDEX(INDIRECT(_xlfn.CONCAT("weather.tbl[",S$1,"]")),MATCH(vp.data[[#This Row],[SDate]],weather.tbl[Date],0))</f>
        <v>-20.5</v>
      </c>
      <c r="T386" s="2">
        <f ca="1">INDEX(INDIRECT(_xlfn.CONCAT("weather.tbl[",T$1,"]")),MATCH(vp.data[[#This Row],[SDate]],weather.tbl[Date],0))</f>
        <v>-20.3</v>
      </c>
      <c r="U386" s="2">
        <f ca="1">INDEX(INDIRECT(_xlfn.CONCAT("weather.tbl[",U$1,"]")),MATCH(vp.data[[#This Row],[SDate]],weather.tbl[Date],0))</f>
        <v>-19.8</v>
      </c>
      <c r="V386" s="2">
        <f t="array" ref="V3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4517.9579999999996</v>
      </c>
      <c r="W386" t="s">
        <v>48</v>
      </c>
      <c r="X386">
        <f>IF(OR(vp.data[[#This Row],[Sulf]]="",vp.data[[#This Row],[Dens]]=""),1,0)</f>
        <v>0</v>
      </c>
      <c r="Y386">
        <f>IF(vp.data[[#This Row],[CrudeType]]="C5+",1,0)</f>
        <v>0</v>
      </c>
      <c r="Z386">
        <f>IF(AND(vp.data[[#This Row],[CrudeType]]="Crude",vp.data[[#This Row],[Dens]]&lt;=825,vp.data[[#This Row],[Sulf]]&gt;0.5,vp.data[[#This Row],[Unknown]]=0),1,0)</f>
        <v>0</v>
      </c>
      <c r="AA386">
        <f>IF(AND(vp.data[[#This Row],[CrudeType]]="Crude",vp.data[[#This Row],[Dens]]&lt;=825,vp.data[[#This Row],[Sulf]]&lt;=0.5,vp.data[[#This Row],[Unknown]]=0),1,0)</f>
        <v>0</v>
      </c>
      <c r="AB3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6">
        <f>IF(AND(vp.data[[#This Row],[CrudeType]]="Crude",vp.data[[#This Row],[Dens]]&gt;825,vp.data[[#This Row],[Dens]]&lt;=900,vp.data[[#This Row],[Sulf]]&lt;=0.5,vp.data[[#This Row],[Unknown]]=0),1,0)</f>
        <v>0</v>
      </c>
      <c r="AD386">
        <f>IF(AND(vp.data[[#This Row],[CrudeType]]="Crude",vp.data[[#This Row],[Dens]]&gt;865,vp.data[[#This Row],[Dens]]&lt;=900,vp.data[[#This Row],[Sulf]]&gt;2,vp.data[[#This Row],[Unknown]]=0),1,0)</f>
        <v>1</v>
      </c>
      <c r="AE386">
        <f>IF(AND(vp.data[[#This Row],[CrudeType]]="Crude",vp.data[[#This Row],[Dens]]&gt;900,vp.data[[#This Row],[Sulf]]&lt;=0.5,vp.data[[#This Row],[Unknown]]=0),1,0)</f>
        <v>0</v>
      </c>
      <c r="AF386">
        <f>IF(AND(vp.data[[#This Row],[CrudeType]]="Crude",vp.data[[#This Row],[Dens]]&gt;900,vp.data[[#This Row],[Sulf]]&lt;=0.5,vp.data[[#This Row],[Unknown]]=0),1,0)</f>
        <v>0</v>
      </c>
      <c r="AG386" t="str">
        <f>INDEX(vp.data[[#Headers],[Unknown]:[Heavy_SW]],MATCH(1,vp.data[[#This Row],[Unknown]:[Heavy_SW]],0))</f>
        <v>Midale</v>
      </c>
      <c r="AH386">
        <f>INDEX([3]!crudeBD.lkup[Number],MATCH(vp.data[[#This Row],[Crude_Breakdown]],crudeBD.lkup[Crude Breakdown],0))</f>
        <v>5</v>
      </c>
      <c r="AI386">
        <f>MONTH(vp.data[[#This Row],[SDate]])</f>
        <v>12</v>
      </c>
      <c r="AJ386" s="5">
        <f>(vp.data[[#This Row],[VP]]-INDEX(crudeBD.lkup[Mean_VP],MATCH(vp.data[[#This Row],[Crude_Breakdown]],crudeBD.lkup[Crude Breakdown],0)))^2</f>
        <v>123.0155407057066</v>
      </c>
      <c r="AK386" s="5">
        <f>(vp.data[[#This Row],[Dens]]-INDEX(crudeBD.lkup[Mean_Dens],MATCH(vp.data[[#This Row],[Crude_Breakdown]],crudeBD.lkup[Crude Breakdown],0)))^2</f>
        <v>7.9355470825822385</v>
      </c>
      <c r="AL386" s="5">
        <f>(vp.data[[#This Row],[Sulf]]-INDEX(crudeBD.lkup[Mean_Sulf],MATCH(vp.data[[#This Row],[Crude_Breakdown]],crudeBD.lkup[Crude Breakdown],0)))^2</f>
        <v>0.19460841075779692</v>
      </c>
      <c r="AM386" s="4">
        <f>IF(AND(vp.data[[#This Row],[SDate]]&gt;=DATE(YEAR(vp.data[[#This Row],[SDate]]),5,1),vp.data[[#This Row],[SDate]]&lt;=DATE(YEAR(vp.data[[#This Row],[SDate]]),9,15)),1,0)</f>
        <v>0</v>
      </c>
      <c r="AN386" s="4">
        <f>IF(vp.data[[#This Row],[SDate]]&lt;DATE(2016,12,1),0,1)</f>
        <v>1</v>
      </c>
      <c r="AO386" s="4">
        <f>IFERROR(vp.data[[#This Row],[Sulf]]*vp.data[[#This Row],[Net Dens]],"")</f>
        <v>11364971.781509759</v>
      </c>
      <c r="AP386">
        <f>IFERROR(vp.data[[#This Row],[Dens]]*vp.data[[#This Row],[VolumeM3]],"")</f>
        <v>3939659.3759999997</v>
      </c>
      <c r="AQ386" s="15">
        <f>IFERROR(vp.data[[#This Row],[VP]]*vp.data[[#This Row],[VolumeM3]],"")</f>
        <v>363695.61899999995</v>
      </c>
    </row>
    <row r="387" spans="1:43" x14ac:dyDescent="0.25">
      <c r="A387">
        <v>386</v>
      </c>
      <c r="B387" t="s">
        <v>60</v>
      </c>
      <c r="C387" t="s">
        <v>60</v>
      </c>
      <c r="D387" t="s">
        <v>61</v>
      </c>
      <c r="E387" t="s">
        <v>73</v>
      </c>
      <c r="F387" s="1">
        <v>42716</v>
      </c>
      <c r="G387" s="2">
        <v>82</v>
      </c>
      <c r="H387" s="2">
        <v>1.0085500000000001</v>
      </c>
      <c r="I387" s="2">
        <f t="array" ref="I387">_xlfn.IFNA(IF(vp.data[[#This Row],[Sulf Input]]="",INDEX([1]DATA!$Q$3:$Q$9826,MATCH(1,(vp.data[[#This Row],[Battery]]=[1]DATA!$L$3:$L$9826)*(EOMONTH(vp.data[[#This Row],[SDate]],-1)+1=[1]DATA!$G$3:$G$9826),0)),vp.data[[#This Row],[Sulf Input]]),"")</f>
        <v>1.0085500000000001</v>
      </c>
      <c r="J387" s="2">
        <v>6</v>
      </c>
      <c r="K387" s="2">
        <v>-24</v>
      </c>
      <c r="L387" s="2">
        <v>839.7</v>
      </c>
      <c r="M387" s="2">
        <f t="array" ref="M387">_xlfn.IFNA(IF(vp.data[[#This Row],[Dens Input]]="",INDEX([1]DATA!$O$3:$O$9826,MATCH(1,(vp.data[[#This Row],[Battery]]=[1]DATA!$L$3:$L$9826)*(EOMONTH(vp.data[[#This Row],[SDate]],-1)+1=[1]DATA!$G$3:$G$9826),0)),vp.data[[#This Row],[Dens Input]]),"")</f>
        <v>839.7</v>
      </c>
      <c r="N387" s="2">
        <f ca="1">INDEX(INDIRECT(_xlfn.CONCAT("weather.tbl[",N$1,"]")),MATCH(vp.data[[#This Row],[SDate]],weather.tbl[Date],0))</f>
        <v>-20.716666666666665</v>
      </c>
      <c r="O387" s="2">
        <f ca="1">INDEX(INDIRECT(_xlfn.CONCAT("weather.tbl[",O$1,"]")),MATCH(vp.data[[#This Row],[SDate]],weather.tbl[Date],0))</f>
        <v>-21.040476190476191</v>
      </c>
      <c r="P387" s="2">
        <f ca="1">INDEX(INDIRECT(_xlfn.CONCAT("weather.tbl[",P$1,"]")),MATCH(vp.data[[#This Row],[SDate]],weather.tbl[Date],0))</f>
        <v>-21.2</v>
      </c>
      <c r="Q387" s="2">
        <f ca="1">INDEX(INDIRECT(_xlfn.CONCAT("weather.tbl[",Q$1,"]")),MATCH(vp.data[[#This Row],[SDate]],weather.tbl[Date],0))</f>
        <v>-19.399999999999999</v>
      </c>
      <c r="R387" s="2">
        <f ca="1">INDEX(INDIRECT(_xlfn.CONCAT("weather.tbl[",R$1,"]")),MATCH(vp.data[[#This Row],[SDate]],weather.tbl[Date],0))</f>
        <v>-21.8</v>
      </c>
      <c r="S387" s="2">
        <f ca="1">INDEX(INDIRECT(_xlfn.CONCAT("weather.tbl[",S$1,"]")),MATCH(vp.data[[#This Row],[SDate]],weather.tbl[Date],0))</f>
        <v>-19.3</v>
      </c>
      <c r="T387" s="2">
        <f ca="1">INDEX(INDIRECT(_xlfn.CONCAT("weather.tbl[",T$1,"]")),MATCH(vp.data[[#This Row],[SDate]],weather.tbl[Date],0))</f>
        <v>-21.1</v>
      </c>
      <c r="U387" s="2">
        <f ca="1">INDEX(INDIRECT(_xlfn.CONCAT("weather.tbl[",U$1,"]")),MATCH(vp.data[[#This Row],[SDate]],weather.tbl[Date],0))</f>
        <v>-21.5</v>
      </c>
      <c r="V387" s="2">
        <f t="array" ref="V3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387" t="s">
        <v>48</v>
      </c>
      <c r="X387">
        <f>IF(OR(vp.data[[#This Row],[Sulf]]="",vp.data[[#This Row],[Dens]]=""),1,0)</f>
        <v>0</v>
      </c>
      <c r="Y387">
        <f>IF(vp.data[[#This Row],[CrudeType]]="C5+",1,0)</f>
        <v>0</v>
      </c>
      <c r="Z387">
        <f>IF(AND(vp.data[[#This Row],[CrudeType]]="Crude",vp.data[[#This Row],[Dens]]&lt;=825,vp.data[[#This Row],[Sulf]]&gt;0.5,vp.data[[#This Row],[Unknown]]=0),1,0)</f>
        <v>0</v>
      </c>
      <c r="AA387">
        <f>IF(AND(vp.data[[#This Row],[CrudeType]]="Crude",vp.data[[#This Row],[Dens]]&lt;=825,vp.data[[#This Row],[Sulf]]&lt;=0.5,vp.data[[#This Row],[Unknown]]=0),1,0)</f>
        <v>0</v>
      </c>
      <c r="AB3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87">
        <f>IF(AND(vp.data[[#This Row],[CrudeType]]="Crude",vp.data[[#This Row],[Dens]]&gt;825,vp.data[[#This Row],[Dens]]&lt;=900,vp.data[[#This Row],[Sulf]]&lt;=0.5,vp.data[[#This Row],[Unknown]]=0),1,0)</f>
        <v>0</v>
      </c>
      <c r="AD387">
        <f>IF(AND(vp.data[[#This Row],[CrudeType]]="Crude",vp.data[[#This Row],[Dens]]&gt;865,vp.data[[#This Row],[Dens]]&lt;=900,vp.data[[#This Row],[Sulf]]&gt;2,vp.data[[#This Row],[Unknown]]=0),1,0)</f>
        <v>0</v>
      </c>
      <c r="AE387">
        <f>IF(AND(vp.data[[#This Row],[CrudeType]]="Crude",vp.data[[#This Row],[Dens]]&gt;900,vp.data[[#This Row],[Sulf]]&lt;=0.5,vp.data[[#This Row],[Unknown]]=0),1,0)</f>
        <v>0</v>
      </c>
      <c r="AF387">
        <f>IF(AND(vp.data[[#This Row],[CrudeType]]="Crude",vp.data[[#This Row],[Dens]]&gt;900,vp.data[[#This Row],[Sulf]]&lt;=0.5,vp.data[[#This Row],[Unknown]]=0),1,0)</f>
        <v>0</v>
      </c>
      <c r="AG387" t="str">
        <f>INDEX(vp.data[[#Headers],[Unknown]:[Heavy_SW]],MATCH(1,vp.data[[#This Row],[Unknown]:[Heavy_SW]],0))</f>
        <v>Medium_LSB</v>
      </c>
      <c r="AH387">
        <f>INDEX([3]!crudeBD.lkup[Number],MATCH(vp.data[[#This Row],[Crude_Breakdown]],crudeBD.lkup[Crude Breakdown],0))</f>
        <v>3</v>
      </c>
      <c r="AI387">
        <f>MONTH(vp.data[[#This Row],[SDate]])</f>
        <v>12</v>
      </c>
      <c r="AJ387" s="5">
        <f>(vp.data[[#This Row],[VP]]-INDEX(crudeBD.lkup[Mean_VP],MATCH(vp.data[[#This Row],[Crude_Breakdown]],crudeBD.lkup[Crude Breakdown],0)))^2</f>
        <v>1.8504798889867613</v>
      </c>
      <c r="AK387" s="5">
        <f>(vp.data[[#This Row],[Dens]]-INDEX(crudeBD.lkup[Mean_Dens],MATCH(vp.data[[#This Row],[Crude_Breakdown]],crudeBD.lkup[Crude Breakdown],0)))^2</f>
        <v>17.808399999995434</v>
      </c>
      <c r="AL387" s="5">
        <f>(vp.data[[#This Row],[Sulf]]-INDEX(crudeBD.lkup[Mean_Sulf],MATCH(vp.data[[#This Row],[Crude_Breakdown]],crudeBD.lkup[Crude Breakdown],0)))^2</f>
        <v>0.14202204764825435</v>
      </c>
      <c r="AM387" s="4">
        <f>IF(AND(vp.data[[#This Row],[SDate]]&gt;=DATE(YEAR(vp.data[[#This Row],[SDate]]),5,1),vp.data[[#This Row],[SDate]]&lt;=DATE(YEAR(vp.data[[#This Row],[SDate]]),9,15)),1,0)</f>
        <v>0</v>
      </c>
      <c r="AN387" s="4">
        <f>IF(vp.data[[#This Row],[SDate]]&lt;DATE(2016,12,1),0,1)</f>
        <v>1</v>
      </c>
      <c r="AO387" s="4">
        <f>IFERROR(vp.data[[#This Row],[Sulf]]*vp.data[[#This Row],[Net Dens]],"")</f>
        <v>90491230.559827</v>
      </c>
      <c r="AP387">
        <f>IFERROR(vp.data[[#This Row],[Dens]]*vp.data[[#This Row],[VolumeM3]],"")</f>
        <v>89724089.593800008</v>
      </c>
      <c r="AQ387" s="15">
        <f>IFERROR(vp.data[[#This Row],[VP]]*vp.data[[#This Row],[VolumeM3]],"")</f>
        <v>8761909.4279999994</v>
      </c>
    </row>
    <row r="388" spans="1:43" x14ac:dyDescent="0.25">
      <c r="A388">
        <v>387</v>
      </c>
      <c r="B388" t="s">
        <v>62</v>
      </c>
      <c r="C388" t="s">
        <v>62</v>
      </c>
      <c r="D388" t="s">
        <v>87</v>
      </c>
      <c r="F388" s="1">
        <v>42716</v>
      </c>
      <c r="G388" s="2">
        <v>85.9</v>
      </c>
      <c r="H388" s="2">
        <v>0.16916999999999999</v>
      </c>
      <c r="I388" s="2">
        <f t="array" ref="I388">_xlfn.IFNA(IF(vp.data[[#This Row],[Sulf Input]]="",INDEX([1]DATA!$Q$3:$Q$9826,MATCH(1,(vp.data[[#This Row],[Battery]]=[1]DATA!$L$3:$L$9826)*(EOMONTH(vp.data[[#This Row],[SDate]],-1)+1=[1]DATA!$G$3:$G$9826),0)),vp.data[[#This Row],[Sulf Input]]),"")</f>
        <v>0.16916999999999999</v>
      </c>
      <c r="J388" s="2">
        <v>20.399999999999999</v>
      </c>
      <c r="K388" s="2">
        <v>-24</v>
      </c>
      <c r="L388" s="2">
        <v>812</v>
      </c>
      <c r="M388" s="2">
        <f t="array" ref="M388">_xlfn.IFNA(IF(vp.data[[#This Row],[Dens Input]]="",INDEX([1]DATA!$O$3:$O$9826,MATCH(1,(vp.data[[#This Row],[Battery]]=[1]DATA!$L$3:$L$9826)*(EOMONTH(vp.data[[#This Row],[SDate]],-1)+1=[1]DATA!$G$3:$G$9826),0)),vp.data[[#This Row],[Dens Input]]),"")</f>
        <v>812</v>
      </c>
      <c r="N388" s="2">
        <f ca="1">INDEX(INDIRECT(_xlfn.CONCAT("weather.tbl[",N$1,"]")),MATCH(vp.data[[#This Row],[SDate]],weather.tbl[Date],0))</f>
        <v>-20.716666666666665</v>
      </c>
      <c r="O388" s="2">
        <f ca="1">INDEX(INDIRECT(_xlfn.CONCAT("weather.tbl[",O$1,"]")),MATCH(vp.data[[#This Row],[SDate]],weather.tbl[Date],0))</f>
        <v>-21.040476190476191</v>
      </c>
      <c r="P388" s="2">
        <f ca="1">INDEX(INDIRECT(_xlfn.CONCAT("weather.tbl[",P$1,"]")),MATCH(vp.data[[#This Row],[SDate]],weather.tbl[Date],0))</f>
        <v>-21.2</v>
      </c>
      <c r="Q388" s="2">
        <f ca="1">INDEX(INDIRECT(_xlfn.CONCAT("weather.tbl[",Q$1,"]")),MATCH(vp.data[[#This Row],[SDate]],weather.tbl[Date],0))</f>
        <v>-19.399999999999999</v>
      </c>
      <c r="R388" s="2">
        <f ca="1">INDEX(INDIRECT(_xlfn.CONCAT("weather.tbl[",R$1,"]")),MATCH(vp.data[[#This Row],[SDate]],weather.tbl[Date],0))</f>
        <v>-21.8</v>
      </c>
      <c r="S388" s="2">
        <f ca="1">INDEX(INDIRECT(_xlfn.CONCAT("weather.tbl[",S$1,"]")),MATCH(vp.data[[#This Row],[SDate]],weather.tbl[Date],0))</f>
        <v>-19.3</v>
      </c>
      <c r="T388" s="2">
        <f ca="1">INDEX(INDIRECT(_xlfn.CONCAT("weather.tbl[",T$1,"]")),MATCH(vp.data[[#This Row],[SDate]],weather.tbl[Date],0))</f>
        <v>-21.1</v>
      </c>
      <c r="U388" s="2">
        <f ca="1">INDEX(INDIRECT(_xlfn.CONCAT("weather.tbl[",U$1,"]")),MATCH(vp.data[[#This Row],[SDate]],weather.tbl[Date],0))</f>
        <v>-21.5</v>
      </c>
      <c r="V388" s="2">
        <f t="array" ref="V3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6988.2160000000003</v>
      </c>
      <c r="W388" t="s">
        <v>48</v>
      </c>
      <c r="X388">
        <f>IF(OR(vp.data[[#This Row],[Sulf]]="",vp.data[[#This Row],[Dens]]=""),1,0)</f>
        <v>0</v>
      </c>
      <c r="Y388">
        <f>IF(vp.data[[#This Row],[CrudeType]]="C5+",1,0)</f>
        <v>0</v>
      </c>
      <c r="Z388">
        <f>IF(AND(vp.data[[#This Row],[CrudeType]]="Crude",vp.data[[#This Row],[Dens]]&lt;=825,vp.data[[#This Row],[Sulf]]&gt;0.5,vp.data[[#This Row],[Unknown]]=0),1,0)</f>
        <v>0</v>
      </c>
      <c r="AA388">
        <f>IF(AND(vp.data[[#This Row],[CrudeType]]="Crude",vp.data[[#This Row],[Dens]]&lt;=825,vp.data[[#This Row],[Sulf]]&lt;=0.5,vp.data[[#This Row],[Unknown]]=0),1,0)</f>
        <v>1</v>
      </c>
      <c r="AB3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8">
        <f>IF(AND(vp.data[[#This Row],[CrudeType]]="Crude",vp.data[[#This Row],[Dens]]&gt;825,vp.data[[#This Row],[Dens]]&lt;=900,vp.data[[#This Row],[Sulf]]&lt;=0.5,vp.data[[#This Row],[Unknown]]=0),1,0)</f>
        <v>0</v>
      </c>
      <c r="AD388">
        <f>IF(AND(vp.data[[#This Row],[CrudeType]]="Crude",vp.data[[#This Row],[Dens]]&gt;865,vp.data[[#This Row],[Dens]]&lt;=900,vp.data[[#This Row],[Sulf]]&gt;2,vp.data[[#This Row],[Unknown]]=0),1,0)</f>
        <v>0</v>
      </c>
      <c r="AE388">
        <f>IF(AND(vp.data[[#This Row],[CrudeType]]="Crude",vp.data[[#This Row],[Dens]]&gt;900,vp.data[[#This Row],[Sulf]]&lt;=0.5,vp.data[[#This Row],[Unknown]]=0),1,0)</f>
        <v>0</v>
      </c>
      <c r="AF388">
        <f>IF(AND(vp.data[[#This Row],[CrudeType]]="Crude",vp.data[[#This Row],[Dens]]&gt;900,vp.data[[#This Row],[Sulf]]&lt;=0.5,vp.data[[#This Row],[Unknown]]=0),1,0)</f>
        <v>0</v>
      </c>
      <c r="AG388" t="str">
        <f>INDEX(vp.data[[#Headers],[Unknown]:[Heavy_SW]],MATCH(1,vp.data[[#This Row],[Unknown]:[Heavy_SW]],0))</f>
        <v>Light_SW</v>
      </c>
      <c r="AH388">
        <f>INDEX([3]!crudeBD.lkup[Number],MATCH(vp.data[[#This Row],[Crude_Breakdown]],crudeBD.lkup[Crude Breakdown],0))</f>
        <v>2</v>
      </c>
      <c r="AI388">
        <f>MONTH(vp.data[[#This Row],[SDate]])</f>
        <v>12</v>
      </c>
      <c r="AJ388" s="5">
        <f>(vp.data[[#This Row],[VP]]-INDEX(crudeBD.lkup[Mean_VP],MATCH(vp.data[[#This Row],[Crude_Breakdown]],crudeBD.lkup[Crude Breakdown],0)))^2</f>
        <v>44.226670830044817</v>
      </c>
      <c r="AK388" s="5">
        <f>(vp.data[[#This Row],[Dens]]-INDEX(crudeBD.lkup[Mean_Dens],MATCH(vp.data[[#This Row],[Crude_Breakdown]],crudeBD.lkup[Crude Breakdown],0)))^2</f>
        <v>13.605045101921021</v>
      </c>
      <c r="AL388" s="5">
        <f>(vp.data[[#This Row],[Sulf]]-INDEX(crudeBD.lkup[Mean_Sulf],MATCH(vp.data[[#This Row],[Crude_Breakdown]],crudeBD.lkup[Crude Breakdown],0)))^2</f>
        <v>4.4986279443977525E-3</v>
      </c>
      <c r="AM388" s="4">
        <f>IF(AND(vp.data[[#This Row],[SDate]]&gt;=DATE(YEAR(vp.data[[#This Row],[SDate]]),5,1),vp.data[[#This Row],[SDate]]&lt;=DATE(YEAR(vp.data[[#This Row],[SDate]]),9,15)),1,0)</f>
        <v>0</v>
      </c>
      <c r="AN388" s="4">
        <f>IF(vp.data[[#This Row],[SDate]]&lt;DATE(2016,12,1),0,1)</f>
        <v>1</v>
      </c>
      <c r="AO388" s="4">
        <f>IFERROR(vp.data[[#This Row],[Sulf]]*vp.data[[#This Row],[Net Dens]],"")</f>
        <v>959943.55858463992</v>
      </c>
      <c r="AP388">
        <f>IFERROR(vp.data[[#This Row],[Dens]]*vp.data[[#This Row],[VolumeM3]],"")</f>
        <v>5674431.392</v>
      </c>
      <c r="AQ388" s="15">
        <f>IFERROR(vp.data[[#This Row],[VP]]*vp.data[[#This Row],[VolumeM3]],"")</f>
        <v>600287.75440000009</v>
      </c>
    </row>
    <row r="389" spans="1:43" x14ac:dyDescent="0.25">
      <c r="A389">
        <v>388</v>
      </c>
      <c r="B389" t="s">
        <v>49</v>
      </c>
      <c r="C389" t="s">
        <v>49</v>
      </c>
      <c r="D389" t="s">
        <v>74</v>
      </c>
      <c r="F389" s="1">
        <v>42716</v>
      </c>
      <c r="G389" s="2">
        <v>121.1</v>
      </c>
      <c r="H389" s="2">
        <v>0.19148999999999999</v>
      </c>
      <c r="I389" s="2">
        <f t="array" ref="I389">_xlfn.IFNA(IF(vp.data[[#This Row],[Sulf Input]]="",INDEX([1]DATA!$Q$3:$Q$9826,MATCH(1,(vp.data[[#This Row],[Battery]]=[1]DATA!$L$3:$L$9826)*(EOMONTH(vp.data[[#This Row],[SDate]],-1)+1=[1]DATA!$G$3:$G$9826),0)),vp.data[[#This Row],[Sulf Input]]),"")</f>
        <v>0.19148999999999999</v>
      </c>
      <c r="J389" s="2">
        <v>5.7</v>
      </c>
      <c r="K389" s="2">
        <v>-24</v>
      </c>
      <c r="L389" s="2">
        <v>802</v>
      </c>
      <c r="M389" s="2">
        <f t="array" ref="M389">_xlfn.IFNA(IF(vp.data[[#This Row],[Dens Input]]="",INDEX([1]DATA!$O$3:$O$9826,MATCH(1,(vp.data[[#This Row],[Battery]]=[1]DATA!$L$3:$L$9826)*(EOMONTH(vp.data[[#This Row],[SDate]],-1)+1=[1]DATA!$G$3:$G$9826),0)),vp.data[[#This Row],[Dens Input]]),"")</f>
        <v>802</v>
      </c>
      <c r="N389" s="2">
        <f ca="1">INDEX(INDIRECT(_xlfn.CONCAT("weather.tbl[",N$1,"]")),MATCH(vp.data[[#This Row],[SDate]],weather.tbl[Date],0))</f>
        <v>-20.716666666666665</v>
      </c>
      <c r="O389" s="2">
        <f ca="1">INDEX(INDIRECT(_xlfn.CONCAT("weather.tbl[",O$1,"]")),MATCH(vp.data[[#This Row],[SDate]],weather.tbl[Date],0))</f>
        <v>-21.040476190476191</v>
      </c>
      <c r="P389" s="2">
        <f ca="1">INDEX(INDIRECT(_xlfn.CONCAT("weather.tbl[",P$1,"]")),MATCH(vp.data[[#This Row],[SDate]],weather.tbl[Date],0))</f>
        <v>-21.2</v>
      </c>
      <c r="Q389" s="2">
        <f ca="1">INDEX(INDIRECT(_xlfn.CONCAT("weather.tbl[",Q$1,"]")),MATCH(vp.data[[#This Row],[SDate]],weather.tbl[Date],0))</f>
        <v>-19.399999999999999</v>
      </c>
      <c r="R389" s="2">
        <f ca="1">INDEX(INDIRECT(_xlfn.CONCAT("weather.tbl[",R$1,"]")),MATCH(vp.data[[#This Row],[SDate]],weather.tbl[Date],0))</f>
        <v>-21.8</v>
      </c>
      <c r="S389" s="2">
        <f ca="1">INDEX(INDIRECT(_xlfn.CONCAT("weather.tbl[",S$1,"]")),MATCH(vp.data[[#This Row],[SDate]],weather.tbl[Date],0))</f>
        <v>-19.3</v>
      </c>
      <c r="T389" s="2">
        <f ca="1">INDEX(INDIRECT(_xlfn.CONCAT("weather.tbl[",T$1,"]")),MATCH(vp.data[[#This Row],[SDate]],weather.tbl[Date],0))</f>
        <v>-21.1</v>
      </c>
      <c r="U389" s="2">
        <f ca="1">INDEX(INDIRECT(_xlfn.CONCAT("weather.tbl[",U$1,"]")),MATCH(vp.data[[#This Row],[SDate]],weather.tbl[Date],0))</f>
        <v>-21.5</v>
      </c>
      <c r="V389" s="2">
        <f t="array" ref="V3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389" t="s">
        <v>48</v>
      </c>
      <c r="X389">
        <f>IF(OR(vp.data[[#This Row],[Sulf]]="",vp.data[[#This Row],[Dens]]=""),1,0)</f>
        <v>0</v>
      </c>
      <c r="Y389">
        <f>IF(vp.data[[#This Row],[CrudeType]]="C5+",1,0)</f>
        <v>0</v>
      </c>
      <c r="Z389">
        <f>IF(AND(vp.data[[#This Row],[CrudeType]]="Crude",vp.data[[#This Row],[Dens]]&lt;=825,vp.data[[#This Row],[Sulf]]&gt;0.5,vp.data[[#This Row],[Unknown]]=0),1,0)</f>
        <v>0</v>
      </c>
      <c r="AA389">
        <f>IF(AND(vp.data[[#This Row],[CrudeType]]="Crude",vp.data[[#This Row],[Dens]]&lt;=825,vp.data[[#This Row],[Sulf]]&lt;=0.5,vp.data[[#This Row],[Unknown]]=0),1,0)</f>
        <v>1</v>
      </c>
      <c r="AB3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89">
        <f>IF(AND(vp.data[[#This Row],[CrudeType]]="Crude",vp.data[[#This Row],[Dens]]&gt;825,vp.data[[#This Row],[Dens]]&lt;=900,vp.data[[#This Row],[Sulf]]&lt;=0.5,vp.data[[#This Row],[Unknown]]=0),1,0)</f>
        <v>0</v>
      </c>
      <c r="AD389">
        <f>IF(AND(vp.data[[#This Row],[CrudeType]]="Crude",vp.data[[#This Row],[Dens]]&gt;865,vp.data[[#This Row],[Dens]]&lt;=900,vp.data[[#This Row],[Sulf]]&gt;2,vp.data[[#This Row],[Unknown]]=0),1,0)</f>
        <v>0</v>
      </c>
      <c r="AE389">
        <f>IF(AND(vp.data[[#This Row],[CrudeType]]="Crude",vp.data[[#This Row],[Dens]]&gt;900,vp.data[[#This Row],[Sulf]]&lt;=0.5,vp.data[[#This Row],[Unknown]]=0),1,0)</f>
        <v>0</v>
      </c>
      <c r="AF389">
        <f>IF(AND(vp.data[[#This Row],[CrudeType]]="Crude",vp.data[[#This Row],[Dens]]&gt;900,vp.data[[#This Row],[Sulf]]&lt;=0.5,vp.data[[#This Row],[Unknown]]=0),1,0)</f>
        <v>0</v>
      </c>
      <c r="AG389" t="str">
        <f>INDEX(vp.data[[#Headers],[Unknown]:[Heavy_SW]],MATCH(1,vp.data[[#This Row],[Unknown]:[Heavy_SW]],0))</f>
        <v>Light_SW</v>
      </c>
      <c r="AH389">
        <f>INDEX([3]!crudeBD.lkup[Number],MATCH(vp.data[[#This Row],[Crude_Breakdown]],crudeBD.lkup[Crude Breakdown],0))</f>
        <v>2</v>
      </c>
      <c r="AI389">
        <f>MONTH(vp.data[[#This Row],[SDate]])</f>
        <v>12</v>
      </c>
      <c r="AJ389" s="5">
        <f>(vp.data[[#This Row],[VP]]-INDEX(crudeBD.lkup[Mean_VP],MATCH(vp.data[[#This Row],[Crude_Breakdown]],crudeBD.lkup[Crude Breakdown],0)))^2</f>
        <v>815.08459417499444</v>
      </c>
      <c r="AK389" s="5">
        <f>(vp.data[[#This Row],[Dens]]-INDEX(crudeBD.lkup[Mean_Dens],MATCH(vp.data[[#This Row],[Crude_Breakdown]],crudeBD.lkup[Crude Breakdown],0)))^2</f>
        <v>39.83501025871108</v>
      </c>
      <c r="AL389" s="5">
        <f>(vp.data[[#This Row],[Sulf]]-INDEX(crudeBD.lkup[Mean_Sulf],MATCH(vp.data[[#This Row],[Crude_Breakdown]],crudeBD.lkup[Crude Breakdown],0)))^2</f>
        <v>2.0027246635615208E-3</v>
      </c>
      <c r="AM389" s="4">
        <f>IF(AND(vp.data[[#This Row],[SDate]]&gt;=DATE(YEAR(vp.data[[#This Row],[SDate]]),5,1),vp.data[[#This Row],[SDate]]&lt;=DATE(YEAR(vp.data[[#This Row],[SDate]]),9,15)),1,0)</f>
        <v>0</v>
      </c>
      <c r="AN389" s="4">
        <f>IF(vp.data[[#This Row],[SDate]]&lt;DATE(2016,12,1),0,1)</f>
        <v>1</v>
      </c>
      <c r="AO389" s="4">
        <f>IFERROR(vp.data[[#This Row],[Sulf]]*vp.data[[#This Row],[Net Dens]],"")</f>
        <v>4637873.9403367797</v>
      </c>
      <c r="AP389">
        <f>IFERROR(vp.data[[#This Row],[Dens]]*vp.data[[#This Row],[VolumeM3]],"")</f>
        <v>24219927.622000001</v>
      </c>
      <c r="AQ389" s="15">
        <f>IFERROR(vp.data[[#This Row],[VP]]*vp.data[[#This Row],[VolumeM3]],"")</f>
        <v>3657148.6720999996</v>
      </c>
    </row>
    <row r="390" spans="1:43" x14ac:dyDescent="0.25">
      <c r="A390">
        <v>389</v>
      </c>
      <c r="B390" t="s">
        <v>49</v>
      </c>
      <c r="C390" t="s">
        <v>49</v>
      </c>
      <c r="D390" t="s">
        <v>67</v>
      </c>
      <c r="F390" s="1">
        <v>42716</v>
      </c>
      <c r="G390" s="2">
        <v>111.3</v>
      </c>
      <c r="H390" s="2">
        <v>0.27205000000000001</v>
      </c>
      <c r="I390" s="2">
        <f t="array" ref="I390">_xlfn.IFNA(IF(vp.data[[#This Row],[Sulf Input]]="",INDEX([1]DATA!$Q$3:$Q$9826,MATCH(1,(vp.data[[#This Row],[Battery]]=[1]DATA!$L$3:$L$9826)*(EOMONTH(vp.data[[#This Row],[SDate]],-1)+1=[1]DATA!$G$3:$G$9826),0)),vp.data[[#This Row],[Sulf Input]]),"")</f>
        <v>0.27205000000000001</v>
      </c>
      <c r="J390" s="2">
        <v>-7</v>
      </c>
      <c r="K390" s="2">
        <v>-24</v>
      </c>
      <c r="L390" s="2">
        <v>807.2</v>
      </c>
      <c r="M390" s="2">
        <f t="array" ref="M390">_xlfn.IFNA(IF(vp.data[[#This Row],[Dens Input]]="",INDEX([1]DATA!$O$3:$O$9826,MATCH(1,(vp.data[[#This Row],[Battery]]=[1]DATA!$L$3:$L$9826)*(EOMONTH(vp.data[[#This Row],[SDate]],-1)+1=[1]DATA!$G$3:$G$9826),0)),vp.data[[#This Row],[Dens Input]]),"")</f>
        <v>807.2</v>
      </c>
      <c r="N390" s="2">
        <f ca="1">INDEX(INDIRECT(_xlfn.CONCAT("weather.tbl[",N$1,"]")),MATCH(vp.data[[#This Row],[SDate]],weather.tbl[Date],0))</f>
        <v>-20.716666666666665</v>
      </c>
      <c r="O390" s="2">
        <f ca="1">INDEX(INDIRECT(_xlfn.CONCAT("weather.tbl[",O$1,"]")),MATCH(vp.data[[#This Row],[SDate]],weather.tbl[Date],0))</f>
        <v>-21.040476190476191</v>
      </c>
      <c r="P390" s="2">
        <f ca="1">INDEX(INDIRECT(_xlfn.CONCAT("weather.tbl[",P$1,"]")),MATCH(vp.data[[#This Row],[SDate]],weather.tbl[Date],0))</f>
        <v>-21.2</v>
      </c>
      <c r="Q390" s="2">
        <f ca="1">INDEX(INDIRECT(_xlfn.CONCAT("weather.tbl[",Q$1,"]")),MATCH(vp.data[[#This Row],[SDate]],weather.tbl[Date],0))</f>
        <v>-19.399999999999999</v>
      </c>
      <c r="R390" s="2">
        <f ca="1">INDEX(INDIRECT(_xlfn.CONCAT("weather.tbl[",R$1,"]")),MATCH(vp.data[[#This Row],[SDate]],weather.tbl[Date],0))</f>
        <v>-21.8</v>
      </c>
      <c r="S390" s="2">
        <f ca="1">INDEX(INDIRECT(_xlfn.CONCAT("weather.tbl[",S$1,"]")),MATCH(vp.data[[#This Row],[SDate]],weather.tbl[Date],0))</f>
        <v>-19.3</v>
      </c>
      <c r="T390" s="2">
        <f ca="1">INDEX(INDIRECT(_xlfn.CONCAT("weather.tbl[",T$1,"]")),MATCH(vp.data[[#This Row],[SDate]],weather.tbl[Date],0))</f>
        <v>-21.1</v>
      </c>
      <c r="U390" s="2">
        <f ca="1">INDEX(INDIRECT(_xlfn.CONCAT("weather.tbl[",U$1,"]")),MATCH(vp.data[[#This Row],[SDate]],weather.tbl[Date],0))</f>
        <v>-21.5</v>
      </c>
      <c r="V390" s="2">
        <f t="array" ref="V3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390" t="s">
        <v>48</v>
      </c>
      <c r="X390">
        <f>IF(OR(vp.data[[#This Row],[Sulf]]="",vp.data[[#This Row],[Dens]]=""),1,0)</f>
        <v>0</v>
      </c>
      <c r="Y390">
        <f>IF(vp.data[[#This Row],[CrudeType]]="C5+",1,0)</f>
        <v>0</v>
      </c>
      <c r="Z390">
        <f>IF(AND(vp.data[[#This Row],[CrudeType]]="Crude",vp.data[[#This Row],[Dens]]&lt;=825,vp.data[[#This Row],[Sulf]]&gt;0.5,vp.data[[#This Row],[Unknown]]=0),1,0)</f>
        <v>0</v>
      </c>
      <c r="AA390">
        <f>IF(AND(vp.data[[#This Row],[CrudeType]]="Crude",vp.data[[#This Row],[Dens]]&lt;=825,vp.data[[#This Row],[Sulf]]&lt;=0.5,vp.data[[#This Row],[Unknown]]=0),1,0)</f>
        <v>1</v>
      </c>
      <c r="AB3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0">
        <f>IF(AND(vp.data[[#This Row],[CrudeType]]="Crude",vp.data[[#This Row],[Dens]]&gt;825,vp.data[[#This Row],[Dens]]&lt;=900,vp.data[[#This Row],[Sulf]]&lt;=0.5,vp.data[[#This Row],[Unknown]]=0),1,0)</f>
        <v>0</v>
      </c>
      <c r="AD390">
        <f>IF(AND(vp.data[[#This Row],[CrudeType]]="Crude",vp.data[[#This Row],[Dens]]&gt;865,vp.data[[#This Row],[Dens]]&lt;=900,vp.data[[#This Row],[Sulf]]&gt;2,vp.data[[#This Row],[Unknown]]=0),1,0)</f>
        <v>0</v>
      </c>
      <c r="AE390">
        <f>IF(AND(vp.data[[#This Row],[CrudeType]]="Crude",vp.data[[#This Row],[Dens]]&gt;900,vp.data[[#This Row],[Sulf]]&lt;=0.5,vp.data[[#This Row],[Unknown]]=0),1,0)</f>
        <v>0</v>
      </c>
      <c r="AF390">
        <f>IF(AND(vp.data[[#This Row],[CrudeType]]="Crude",vp.data[[#This Row],[Dens]]&gt;900,vp.data[[#This Row],[Sulf]]&lt;=0.5,vp.data[[#This Row],[Unknown]]=0),1,0)</f>
        <v>0</v>
      </c>
      <c r="AG390" t="str">
        <f>INDEX(vp.data[[#Headers],[Unknown]:[Heavy_SW]],MATCH(1,vp.data[[#This Row],[Unknown]:[Heavy_SW]],0))</f>
        <v>Light_SW</v>
      </c>
      <c r="AH390">
        <f>INDEX([3]!crudeBD.lkup[Number],MATCH(vp.data[[#This Row],[Crude_Breakdown]],crudeBD.lkup[Crude Breakdown],0))</f>
        <v>2</v>
      </c>
      <c r="AI390">
        <f>MONTH(vp.data[[#This Row],[SDate]])</f>
        <v>12</v>
      </c>
      <c r="AJ390" s="5">
        <f>(vp.data[[#This Row],[VP]]-INDEX(crudeBD.lkup[Mean_VP],MATCH(vp.data[[#This Row],[Crude_Breakdown]],crudeBD.lkup[Crude Breakdown],0)))^2</f>
        <v>351.55074051645744</v>
      </c>
      <c r="AK390" s="5">
        <f>(vp.data[[#This Row],[Dens]]-INDEX(crudeBD.lkup[Mean_Dens],MATCH(vp.data[[#This Row],[Crude_Breakdown]],crudeBD.lkup[Crude Breakdown],0)))^2</f>
        <v>1.2354283771801491</v>
      </c>
      <c r="AL390" s="5">
        <f>(vp.data[[#This Row],[Sulf]]-INDEX(crudeBD.lkup[Mean_Sulf],MATCH(vp.data[[#This Row],[Crude_Breakdown]],crudeBD.lkup[Crude Breakdown],0)))^2</f>
        <v>1.2822263388228702E-3</v>
      </c>
      <c r="AM390" s="4">
        <f>IF(AND(vp.data[[#This Row],[SDate]]&gt;=DATE(YEAR(vp.data[[#This Row],[SDate]]),5,1),vp.data[[#This Row],[SDate]]&lt;=DATE(YEAR(vp.data[[#This Row],[SDate]]),9,15)),1,0)</f>
        <v>0</v>
      </c>
      <c r="AN390" s="4">
        <f>IF(vp.data[[#This Row],[SDate]]&lt;DATE(2016,12,1),0,1)</f>
        <v>1</v>
      </c>
      <c r="AO390" s="4">
        <f>IFERROR(vp.data[[#This Row],[Sulf]]*vp.data[[#This Row],[Net Dens]],"")</f>
        <v>16685997.669809001</v>
      </c>
      <c r="AP390">
        <f>IFERROR(vp.data[[#This Row],[Dens]]*vp.data[[#This Row],[VolumeM3]],"")</f>
        <v>61334304.979999997</v>
      </c>
      <c r="AQ390" s="15">
        <f>IFERROR(vp.data[[#This Row],[VP]]*vp.data[[#This Row],[VolumeM3]],"")</f>
        <v>8457021.9824999999</v>
      </c>
    </row>
    <row r="391" spans="1:43" x14ac:dyDescent="0.25">
      <c r="A391">
        <v>390</v>
      </c>
      <c r="B391" t="s">
        <v>62</v>
      </c>
      <c r="C391" t="s">
        <v>62</v>
      </c>
      <c r="D391" t="s">
        <v>79</v>
      </c>
      <c r="F391" s="1">
        <v>42716</v>
      </c>
      <c r="G391" s="2">
        <v>107.9</v>
      </c>
      <c r="H391" s="2">
        <v>0.34421000000000002</v>
      </c>
      <c r="I391" s="2">
        <f t="array" ref="I391">_xlfn.IFNA(IF(vp.data[[#This Row],[Sulf Input]]="",INDEX([1]DATA!$Q$3:$Q$9826,MATCH(1,(vp.data[[#This Row],[Battery]]=[1]DATA!$L$3:$L$9826)*(EOMONTH(vp.data[[#This Row],[SDate]],-1)+1=[1]DATA!$G$3:$G$9826),0)),vp.data[[#This Row],[Sulf Input]]),"")</f>
        <v>0.34421000000000002</v>
      </c>
      <c r="J391" s="2">
        <v>8.9</v>
      </c>
      <c r="K391" s="2">
        <v>-24</v>
      </c>
      <c r="L391" s="2">
        <v>804.3</v>
      </c>
      <c r="M391" s="2">
        <f t="array" ref="M391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391" s="2">
        <f ca="1">INDEX(INDIRECT(_xlfn.CONCAT("weather.tbl[",N$1,"]")),MATCH(vp.data[[#This Row],[SDate]],weather.tbl[Date],0))</f>
        <v>-20.716666666666665</v>
      </c>
      <c r="O391" s="2">
        <f ca="1">INDEX(INDIRECT(_xlfn.CONCAT("weather.tbl[",O$1,"]")),MATCH(vp.data[[#This Row],[SDate]],weather.tbl[Date],0))</f>
        <v>-21.040476190476191</v>
      </c>
      <c r="P391" s="2">
        <f ca="1">INDEX(INDIRECT(_xlfn.CONCAT("weather.tbl[",P$1,"]")),MATCH(vp.data[[#This Row],[SDate]],weather.tbl[Date],0))</f>
        <v>-21.2</v>
      </c>
      <c r="Q391" s="2">
        <f ca="1">INDEX(INDIRECT(_xlfn.CONCAT("weather.tbl[",Q$1,"]")),MATCH(vp.data[[#This Row],[SDate]],weather.tbl[Date],0))</f>
        <v>-19.399999999999999</v>
      </c>
      <c r="R391" s="2">
        <f ca="1">INDEX(INDIRECT(_xlfn.CONCAT("weather.tbl[",R$1,"]")),MATCH(vp.data[[#This Row],[SDate]],weather.tbl[Date],0))</f>
        <v>-21.8</v>
      </c>
      <c r="S391" s="2">
        <f ca="1">INDEX(INDIRECT(_xlfn.CONCAT("weather.tbl[",S$1,"]")),MATCH(vp.data[[#This Row],[SDate]],weather.tbl[Date],0))</f>
        <v>-19.3</v>
      </c>
      <c r="T391" s="2">
        <f ca="1">INDEX(INDIRECT(_xlfn.CONCAT("weather.tbl[",T$1,"]")),MATCH(vp.data[[#This Row],[SDate]],weather.tbl[Date],0))</f>
        <v>-21.1</v>
      </c>
      <c r="U391" s="2">
        <f ca="1">INDEX(INDIRECT(_xlfn.CONCAT("weather.tbl[",U$1,"]")),MATCH(vp.data[[#This Row],[SDate]],weather.tbl[Date],0))</f>
        <v>-21.5</v>
      </c>
      <c r="V391" s="2">
        <f t="array" ref="V3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13104.25</v>
      </c>
      <c r="W391" t="s">
        <v>48</v>
      </c>
      <c r="X391">
        <f>IF(OR(vp.data[[#This Row],[Sulf]]="",vp.data[[#This Row],[Dens]]=""),1,0)</f>
        <v>0</v>
      </c>
      <c r="Y391">
        <f>IF(vp.data[[#This Row],[CrudeType]]="C5+",1,0)</f>
        <v>0</v>
      </c>
      <c r="Z391">
        <f>IF(AND(vp.data[[#This Row],[CrudeType]]="Crude",vp.data[[#This Row],[Dens]]&lt;=825,vp.data[[#This Row],[Sulf]]&gt;0.5,vp.data[[#This Row],[Unknown]]=0),1,0)</f>
        <v>0</v>
      </c>
      <c r="AA391">
        <f>IF(AND(vp.data[[#This Row],[CrudeType]]="Crude",vp.data[[#This Row],[Dens]]&lt;=825,vp.data[[#This Row],[Sulf]]&lt;=0.5,vp.data[[#This Row],[Unknown]]=0),1,0)</f>
        <v>1</v>
      </c>
      <c r="AB3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1">
        <f>IF(AND(vp.data[[#This Row],[CrudeType]]="Crude",vp.data[[#This Row],[Dens]]&gt;825,vp.data[[#This Row],[Dens]]&lt;=900,vp.data[[#This Row],[Sulf]]&lt;=0.5,vp.data[[#This Row],[Unknown]]=0),1,0)</f>
        <v>0</v>
      </c>
      <c r="AD391">
        <f>IF(AND(vp.data[[#This Row],[CrudeType]]="Crude",vp.data[[#This Row],[Dens]]&gt;865,vp.data[[#This Row],[Dens]]&lt;=900,vp.data[[#This Row],[Sulf]]&gt;2,vp.data[[#This Row],[Unknown]]=0),1,0)</f>
        <v>0</v>
      </c>
      <c r="AE391">
        <f>IF(AND(vp.data[[#This Row],[CrudeType]]="Crude",vp.data[[#This Row],[Dens]]&gt;900,vp.data[[#This Row],[Sulf]]&lt;=0.5,vp.data[[#This Row],[Unknown]]=0),1,0)</f>
        <v>0</v>
      </c>
      <c r="AF391">
        <f>IF(AND(vp.data[[#This Row],[CrudeType]]="Crude",vp.data[[#This Row],[Dens]]&gt;900,vp.data[[#This Row],[Sulf]]&lt;=0.5,vp.data[[#This Row],[Unknown]]=0),1,0)</f>
        <v>0</v>
      </c>
      <c r="AG391" t="str">
        <f>INDEX(vp.data[[#Headers],[Unknown]:[Heavy_SW]],MATCH(1,vp.data[[#This Row],[Unknown]:[Heavy_SW]],0))</f>
        <v>Light_SW</v>
      </c>
      <c r="AH391">
        <f>INDEX([3]!crudeBD.lkup[Number],MATCH(vp.data[[#This Row],[Crude_Breakdown]],crudeBD.lkup[Crude Breakdown],0))</f>
        <v>2</v>
      </c>
      <c r="AI391">
        <f>MONTH(vp.data[[#This Row],[SDate]])</f>
        <v>12</v>
      </c>
      <c r="AJ391" s="5">
        <f>(vp.data[[#This Row],[VP]]-INDEX(crudeBD.lkup[Mean_VP],MATCH(vp.data[[#This Row],[Crude_Breakdown]],crudeBD.lkup[Crude Breakdown],0)))^2</f>
        <v>235.61287292063869</v>
      </c>
      <c r="AK391" s="5">
        <f>(vp.data[[#This Row],[Dens]]-INDEX(crudeBD.lkup[Mean_Dens],MATCH(vp.data[[#This Row],[Crude_Breakdown]],crudeBD.lkup[Crude Breakdown],0)))^2</f>
        <v>16.092118272649731</v>
      </c>
      <c r="AL391" s="5">
        <f>(vp.data[[#This Row],[Sulf]]-INDEX(crudeBD.lkup[Mean_Sulf],MATCH(vp.data[[#This Row],[Crude_Breakdown]],crudeBD.lkup[Crude Breakdown],0)))^2</f>
        <v>1.1657129653108609E-2</v>
      </c>
      <c r="AM391" s="4">
        <f>IF(AND(vp.data[[#This Row],[SDate]]&gt;=DATE(YEAR(vp.data[[#This Row],[SDate]]),5,1),vp.data[[#This Row],[SDate]]&lt;=DATE(YEAR(vp.data[[#This Row],[SDate]]),9,15)),1,0)</f>
        <v>0</v>
      </c>
      <c r="AN391" s="4">
        <f>IF(vp.data[[#This Row],[SDate]]&lt;DATE(2016,12,1),0,1)</f>
        <v>1</v>
      </c>
      <c r="AO391" s="4">
        <f>IFERROR(vp.data[[#This Row],[Sulf]]*vp.data[[#This Row],[Net Dens]],"")</f>
        <v>3627886.7537377495</v>
      </c>
      <c r="AP391">
        <f>IFERROR(vp.data[[#This Row],[Dens]]*vp.data[[#This Row],[VolumeM3]],"")</f>
        <v>10539748.274999999</v>
      </c>
      <c r="AQ391" s="15">
        <f>IFERROR(vp.data[[#This Row],[VP]]*vp.data[[#This Row],[VolumeM3]],"")</f>
        <v>1413948.5750000002</v>
      </c>
    </row>
    <row r="392" spans="1:43" x14ac:dyDescent="0.25">
      <c r="A392">
        <v>391</v>
      </c>
      <c r="B392" t="s">
        <v>49</v>
      </c>
      <c r="C392" t="s">
        <v>49</v>
      </c>
      <c r="D392" t="s">
        <v>67</v>
      </c>
      <c r="F392" s="1">
        <v>42716</v>
      </c>
      <c r="G392" s="2">
        <v>112</v>
      </c>
      <c r="H392" s="2">
        <v>0.37223000000000001</v>
      </c>
      <c r="I392" s="2">
        <f t="array" ref="I392">_xlfn.IFNA(IF(vp.data[[#This Row],[Sulf Input]]="",INDEX([1]DATA!$Q$3:$Q$9826,MATCH(1,(vp.data[[#This Row],[Battery]]=[1]DATA!$L$3:$L$9826)*(EOMONTH(vp.data[[#This Row],[SDate]],-1)+1=[1]DATA!$G$3:$G$9826),0)),vp.data[[#This Row],[Sulf Input]]),"")</f>
        <v>0.37223000000000001</v>
      </c>
      <c r="J392" s="2">
        <v>-6.8</v>
      </c>
      <c r="K392" s="2">
        <v>-24</v>
      </c>
      <c r="L392" s="2">
        <v>807.1</v>
      </c>
      <c r="M392" s="2">
        <f t="array" ref="M392">_xlfn.IFNA(IF(vp.data[[#This Row],[Dens Input]]="",INDEX([1]DATA!$O$3:$O$9826,MATCH(1,(vp.data[[#This Row],[Battery]]=[1]DATA!$L$3:$L$9826)*(EOMONTH(vp.data[[#This Row],[SDate]],-1)+1=[1]DATA!$G$3:$G$9826),0)),vp.data[[#This Row],[Dens Input]]),"")</f>
        <v>807.1</v>
      </c>
      <c r="N392" s="2">
        <f ca="1">INDEX(INDIRECT(_xlfn.CONCAT("weather.tbl[",N$1,"]")),MATCH(vp.data[[#This Row],[SDate]],weather.tbl[Date],0))</f>
        <v>-20.716666666666665</v>
      </c>
      <c r="O392" s="2">
        <f ca="1">INDEX(INDIRECT(_xlfn.CONCAT("weather.tbl[",O$1,"]")),MATCH(vp.data[[#This Row],[SDate]],weather.tbl[Date],0))</f>
        <v>-21.040476190476191</v>
      </c>
      <c r="P392" s="2">
        <f ca="1">INDEX(INDIRECT(_xlfn.CONCAT("weather.tbl[",P$1,"]")),MATCH(vp.data[[#This Row],[SDate]],weather.tbl[Date],0))</f>
        <v>-21.2</v>
      </c>
      <c r="Q392" s="2">
        <f ca="1">INDEX(INDIRECT(_xlfn.CONCAT("weather.tbl[",Q$1,"]")),MATCH(vp.data[[#This Row],[SDate]],weather.tbl[Date],0))</f>
        <v>-19.399999999999999</v>
      </c>
      <c r="R392" s="2">
        <f ca="1">INDEX(INDIRECT(_xlfn.CONCAT("weather.tbl[",R$1,"]")),MATCH(vp.data[[#This Row],[SDate]],weather.tbl[Date],0))</f>
        <v>-21.8</v>
      </c>
      <c r="S392" s="2">
        <f ca="1">INDEX(INDIRECT(_xlfn.CONCAT("weather.tbl[",S$1,"]")),MATCH(vp.data[[#This Row],[SDate]],weather.tbl[Date],0))</f>
        <v>-19.3</v>
      </c>
      <c r="T392" s="2">
        <f ca="1">INDEX(INDIRECT(_xlfn.CONCAT("weather.tbl[",T$1,"]")),MATCH(vp.data[[#This Row],[SDate]],weather.tbl[Date],0))</f>
        <v>-21.1</v>
      </c>
      <c r="U392" s="2">
        <f ca="1">INDEX(INDIRECT(_xlfn.CONCAT("weather.tbl[",U$1,"]")),MATCH(vp.data[[#This Row],[SDate]],weather.tbl[Date],0))</f>
        <v>-21.5</v>
      </c>
      <c r="V392" s="2">
        <f t="array" ref="V3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392" t="s">
        <v>48</v>
      </c>
      <c r="X392">
        <f>IF(OR(vp.data[[#This Row],[Sulf]]="",vp.data[[#This Row],[Dens]]=""),1,0)</f>
        <v>0</v>
      </c>
      <c r="Y392">
        <f>IF(vp.data[[#This Row],[CrudeType]]="C5+",1,0)</f>
        <v>0</v>
      </c>
      <c r="Z392">
        <f>IF(AND(vp.data[[#This Row],[CrudeType]]="Crude",vp.data[[#This Row],[Dens]]&lt;=825,vp.data[[#This Row],[Sulf]]&gt;0.5,vp.data[[#This Row],[Unknown]]=0),1,0)</f>
        <v>0</v>
      </c>
      <c r="AA392">
        <f>IF(AND(vp.data[[#This Row],[CrudeType]]="Crude",vp.data[[#This Row],[Dens]]&lt;=825,vp.data[[#This Row],[Sulf]]&lt;=0.5,vp.data[[#This Row],[Unknown]]=0),1,0)</f>
        <v>1</v>
      </c>
      <c r="AB3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2">
        <f>IF(AND(vp.data[[#This Row],[CrudeType]]="Crude",vp.data[[#This Row],[Dens]]&gt;825,vp.data[[#This Row],[Dens]]&lt;=900,vp.data[[#This Row],[Sulf]]&lt;=0.5,vp.data[[#This Row],[Unknown]]=0),1,0)</f>
        <v>0</v>
      </c>
      <c r="AD392">
        <f>IF(AND(vp.data[[#This Row],[CrudeType]]="Crude",vp.data[[#This Row],[Dens]]&gt;865,vp.data[[#This Row],[Dens]]&lt;=900,vp.data[[#This Row],[Sulf]]&gt;2,vp.data[[#This Row],[Unknown]]=0),1,0)</f>
        <v>0</v>
      </c>
      <c r="AE392">
        <f>IF(AND(vp.data[[#This Row],[CrudeType]]="Crude",vp.data[[#This Row],[Dens]]&gt;900,vp.data[[#This Row],[Sulf]]&lt;=0.5,vp.data[[#This Row],[Unknown]]=0),1,0)</f>
        <v>0</v>
      </c>
      <c r="AF392">
        <f>IF(AND(vp.data[[#This Row],[CrudeType]]="Crude",vp.data[[#This Row],[Dens]]&gt;900,vp.data[[#This Row],[Sulf]]&lt;=0.5,vp.data[[#This Row],[Unknown]]=0),1,0)</f>
        <v>0</v>
      </c>
      <c r="AG392" t="str">
        <f>INDEX(vp.data[[#Headers],[Unknown]:[Heavy_SW]],MATCH(1,vp.data[[#This Row],[Unknown]:[Heavy_SW]],0))</f>
        <v>Light_SW</v>
      </c>
      <c r="AH392">
        <f>INDEX([3]!crudeBD.lkup[Number],MATCH(vp.data[[#This Row],[Crude_Breakdown]],crudeBD.lkup[Crude Breakdown],0))</f>
        <v>2</v>
      </c>
      <c r="AI392">
        <f>MONTH(vp.data[[#This Row],[SDate]])</f>
        <v>12</v>
      </c>
      <c r="AJ392" s="5">
        <f>(vp.data[[#This Row],[VP]]-INDEX(crudeBD.lkup[Mean_VP],MATCH(vp.data[[#This Row],[Crude_Breakdown]],crudeBD.lkup[Crude Breakdown],0)))^2</f>
        <v>378.29030149206733</v>
      </c>
      <c r="AK392" s="5">
        <f>(vp.data[[#This Row],[Dens]]-INDEX(crudeBD.lkup[Mean_Dens],MATCH(vp.data[[#This Row],[Crude_Breakdown]],crudeBD.lkup[Crude Breakdown],0)))^2</f>
        <v>1.4677280287480956</v>
      </c>
      <c r="AL392" s="5">
        <f>(vp.data[[#This Row],[Sulf]]-INDEX(crudeBD.lkup[Mean_Sulf],MATCH(vp.data[[#This Row],[Crude_Breakdown]],crudeBD.lkup[Crude Breakdown],0)))^2</f>
        <v>1.8492787317220115E-2</v>
      </c>
      <c r="AM392" s="4">
        <f>IF(AND(vp.data[[#This Row],[SDate]]&gt;=DATE(YEAR(vp.data[[#This Row],[SDate]]),5,1),vp.data[[#This Row],[SDate]]&lt;=DATE(YEAR(vp.data[[#This Row],[SDate]]),9,15)),1,0)</f>
        <v>0</v>
      </c>
      <c r="AN392" s="4">
        <f>IF(vp.data[[#This Row],[SDate]]&lt;DATE(2016,12,1),0,1)</f>
        <v>1</v>
      </c>
      <c r="AO392" s="4">
        <f>IFERROR(vp.data[[#This Row],[Sulf]]*vp.data[[#This Row],[Net Dens]],"")</f>
        <v>22827639.989342827</v>
      </c>
      <c r="AP392">
        <f>IFERROR(vp.data[[#This Row],[Dens]]*vp.data[[#This Row],[VolumeM3]],"")</f>
        <v>61326706.577500001</v>
      </c>
      <c r="AQ392" s="15">
        <f>IFERROR(vp.data[[#This Row],[VP]]*vp.data[[#This Row],[VolumeM3]],"")</f>
        <v>8510210.7999999989</v>
      </c>
    </row>
    <row r="393" spans="1:43" x14ac:dyDescent="0.25">
      <c r="A393">
        <v>392</v>
      </c>
      <c r="B393" t="s">
        <v>49</v>
      </c>
      <c r="C393" t="s">
        <v>49</v>
      </c>
      <c r="D393" t="s">
        <v>67</v>
      </c>
      <c r="F393" s="1">
        <v>42716</v>
      </c>
      <c r="G393" s="2">
        <v>111.1</v>
      </c>
      <c r="H393" s="2">
        <v>0.37223000000000001</v>
      </c>
      <c r="I393" s="2">
        <f t="array" ref="I393">_xlfn.IFNA(IF(vp.data[[#This Row],[Sulf Input]]="",INDEX([1]DATA!$Q$3:$Q$9826,MATCH(1,(vp.data[[#This Row],[Battery]]=[1]DATA!$L$3:$L$9826)*(EOMONTH(vp.data[[#This Row],[SDate]],-1)+1=[1]DATA!$G$3:$G$9826),0)),vp.data[[#This Row],[Sulf Input]]),"")</f>
        <v>0.37223000000000001</v>
      </c>
      <c r="J393" s="2">
        <v>-6.8</v>
      </c>
      <c r="K393" s="2">
        <v>-24</v>
      </c>
      <c r="L393" s="2">
        <v>807.8</v>
      </c>
      <c r="M393" s="2">
        <f t="array" ref="M393">_xlfn.IFNA(IF(vp.data[[#This Row],[Dens Input]]="",INDEX([1]DATA!$O$3:$O$9826,MATCH(1,(vp.data[[#This Row],[Battery]]=[1]DATA!$L$3:$L$9826)*(EOMONTH(vp.data[[#This Row],[SDate]],-1)+1=[1]DATA!$G$3:$G$9826),0)),vp.data[[#This Row],[Dens Input]]),"")</f>
        <v>807.8</v>
      </c>
      <c r="N393" s="2">
        <f ca="1">INDEX(INDIRECT(_xlfn.CONCAT("weather.tbl[",N$1,"]")),MATCH(vp.data[[#This Row],[SDate]],weather.tbl[Date],0))</f>
        <v>-20.716666666666665</v>
      </c>
      <c r="O393" s="2">
        <f ca="1">INDEX(INDIRECT(_xlfn.CONCAT("weather.tbl[",O$1,"]")),MATCH(vp.data[[#This Row],[SDate]],weather.tbl[Date],0))</f>
        <v>-21.040476190476191</v>
      </c>
      <c r="P393" s="2">
        <f ca="1">INDEX(INDIRECT(_xlfn.CONCAT("weather.tbl[",P$1,"]")),MATCH(vp.data[[#This Row],[SDate]],weather.tbl[Date],0))</f>
        <v>-21.2</v>
      </c>
      <c r="Q393" s="2">
        <f ca="1">INDEX(INDIRECT(_xlfn.CONCAT("weather.tbl[",Q$1,"]")),MATCH(vp.data[[#This Row],[SDate]],weather.tbl[Date],0))</f>
        <v>-19.399999999999999</v>
      </c>
      <c r="R393" s="2">
        <f ca="1">INDEX(INDIRECT(_xlfn.CONCAT("weather.tbl[",R$1,"]")),MATCH(vp.data[[#This Row],[SDate]],weather.tbl[Date],0))</f>
        <v>-21.8</v>
      </c>
      <c r="S393" s="2">
        <f ca="1">INDEX(INDIRECT(_xlfn.CONCAT("weather.tbl[",S$1,"]")),MATCH(vp.data[[#This Row],[SDate]],weather.tbl[Date],0))</f>
        <v>-19.3</v>
      </c>
      <c r="T393" s="2">
        <f ca="1">INDEX(INDIRECT(_xlfn.CONCAT("weather.tbl[",T$1,"]")),MATCH(vp.data[[#This Row],[SDate]],weather.tbl[Date],0))</f>
        <v>-21.1</v>
      </c>
      <c r="U393" s="2">
        <f ca="1">INDEX(INDIRECT(_xlfn.CONCAT("weather.tbl[",U$1,"]")),MATCH(vp.data[[#This Row],[SDate]],weather.tbl[Date],0))</f>
        <v>-21.5</v>
      </c>
      <c r="V393" s="2">
        <f t="array" ref="V3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393" t="s">
        <v>48</v>
      </c>
      <c r="X393">
        <f>IF(OR(vp.data[[#This Row],[Sulf]]="",vp.data[[#This Row],[Dens]]=""),1,0)</f>
        <v>0</v>
      </c>
      <c r="Y393">
        <f>IF(vp.data[[#This Row],[CrudeType]]="C5+",1,0)</f>
        <v>0</v>
      </c>
      <c r="Z393">
        <f>IF(AND(vp.data[[#This Row],[CrudeType]]="Crude",vp.data[[#This Row],[Dens]]&lt;=825,vp.data[[#This Row],[Sulf]]&gt;0.5,vp.data[[#This Row],[Unknown]]=0),1,0)</f>
        <v>0</v>
      </c>
      <c r="AA393">
        <f>IF(AND(vp.data[[#This Row],[CrudeType]]="Crude",vp.data[[#This Row],[Dens]]&lt;=825,vp.data[[#This Row],[Sulf]]&lt;=0.5,vp.data[[#This Row],[Unknown]]=0),1,0)</f>
        <v>1</v>
      </c>
      <c r="AB3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3">
        <f>IF(AND(vp.data[[#This Row],[CrudeType]]="Crude",vp.data[[#This Row],[Dens]]&gt;825,vp.data[[#This Row],[Dens]]&lt;=900,vp.data[[#This Row],[Sulf]]&lt;=0.5,vp.data[[#This Row],[Unknown]]=0),1,0)</f>
        <v>0</v>
      </c>
      <c r="AD393">
        <f>IF(AND(vp.data[[#This Row],[CrudeType]]="Crude",vp.data[[#This Row],[Dens]]&gt;865,vp.data[[#This Row],[Dens]]&lt;=900,vp.data[[#This Row],[Sulf]]&gt;2,vp.data[[#This Row],[Unknown]]=0),1,0)</f>
        <v>0</v>
      </c>
      <c r="AE393">
        <f>IF(AND(vp.data[[#This Row],[CrudeType]]="Crude",vp.data[[#This Row],[Dens]]&gt;900,vp.data[[#This Row],[Sulf]]&lt;=0.5,vp.data[[#This Row],[Unknown]]=0),1,0)</f>
        <v>0</v>
      </c>
      <c r="AF393">
        <f>IF(AND(vp.data[[#This Row],[CrudeType]]="Crude",vp.data[[#This Row],[Dens]]&gt;900,vp.data[[#This Row],[Sulf]]&lt;=0.5,vp.data[[#This Row],[Unknown]]=0),1,0)</f>
        <v>0</v>
      </c>
      <c r="AG393" t="str">
        <f>INDEX(vp.data[[#Headers],[Unknown]:[Heavy_SW]],MATCH(1,vp.data[[#This Row],[Unknown]:[Heavy_SW]],0))</f>
        <v>Light_SW</v>
      </c>
      <c r="AH393">
        <f>INDEX([3]!crudeBD.lkup[Number],MATCH(vp.data[[#This Row],[Crude_Breakdown]],crudeBD.lkup[Crude Breakdown],0))</f>
        <v>2</v>
      </c>
      <c r="AI393">
        <f>MONTH(vp.data[[#This Row],[SDate]])</f>
        <v>12</v>
      </c>
      <c r="AJ393" s="5">
        <f>(vp.data[[#This Row],[VP]]-INDEX(crudeBD.lkup[Mean_VP],MATCH(vp.data[[#This Row],[Crude_Breakdown]],crudeBD.lkup[Crude Breakdown],0)))^2</f>
        <v>344.09086595199739</v>
      </c>
      <c r="AK393" s="5">
        <f>(vp.data[[#This Row],[Dens]]-INDEX(crudeBD.lkup[Mean_Dens],MATCH(vp.data[[#This Row],[Crude_Breakdown]],crudeBD.lkup[Crude Breakdown],0)))^2</f>
        <v>0.26163046777289312</v>
      </c>
      <c r="AL393" s="5">
        <f>(vp.data[[#This Row],[Sulf]]-INDEX(crudeBD.lkup[Mean_Sulf],MATCH(vp.data[[#This Row],[Crude_Breakdown]],crudeBD.lkup[Crude Breakdown],0)))^2</f>
        <v>1.8492787317220115E-2</v>
      </c>
      <c r="AM393" s="4">
        <f>IF(AND(vp.data[[#This Row],[SDate]]&gt;=DATE(YEAR(vp.data[[#This Row],[SDate]]),5,1),vp.data[[#This Row],[SDate]]&lt;=DATE(YEAR(vp.data[[#This Row],[SDate]]),9,15)),1,0)</f>
        <v>0</v>
      </c>
      <c r="AN393" s="4">
        <f>IF(vp.data[[#This Row],[SDate]]&lt;DATE(2016,12,1),0,1)</f>
        <v>1</v>
      </c>
      <c r="AO393" s="4">
        <f>IFERROR(vp.data[[#This Row],[Sulf]]*vp.data[[#This Row],[Net Dens]],"")</f>
        <v>22847438.462880846</v>
      </c>
      <c r="AP393">
        <f>IFERROR(vp.data[[#This Row],[Dens]]*vp.data[[#This Row],[VolumeM3]],"")</f>
        <v>61379895.394999988</v>
      </c>
      <c r="AQ393" s="15">
        <f>IFERROR(vp.data[[#This Row],[VP]]*vp.data[[#This Row],[VolumeM3]],"")</f>
        <v>8441825.1774999984</v>
      </c>
    </row>
    <row r="394" spans="1:43" x14ac:dyDescent="0.25">
      <c r="A394">
        <v>393</v>
      </c>
      <c r="B394" t="s">
        <v>62</v>
      </c>
      <c r="C394" t="s">
        <v>62</v>
      </c>
      <c r="D394" t="s">
        <v>83</v>
      </c>
      <c r="F394" s="1">
        <v>42716</v>
      </c>
      <c r="G394" s="2">
        <v>107</v>
      </c>
      <c r="H394" s="2">
        <v>0.56927000000000005</v>
      </c>
      <c r="I394" s="2">
        <f t="array" ref="I394">_xlfn.IFNA(IF(vp.data[[#This Row],[Sulf Input]]="",INDEX([1]DATA!$Q$3:$Q$9826,MATCH(1,(vp.data[[#This Row],[Battery]]=[1]DATA!$L$3:$L$9826)*(EOMONTH(vp.data[[#This Row],[SDate]],-1)+1=[1]DATA!$G$3:$G$9826),0)),vp.data[[#This Row],[Sulf Input]]),"")</f>
        <v>0.56927000000000005</v>
      </c>
      <c r="J394" s="2">
        <v>-2</v>
      </c>
      <c r="K394" s="2">
        <v>-24</v>
      </c>
      <c r="L394" s="2">
        <v>805</v>
      </c>
      <c r="M394" s="2">
        <f t="array" ref="M394">_xlfn.IFNA(IF(vp.data[[#This Row],[Dens Input]]="",INDEX([1]DATA!$O$3:$O$9826,MATCH(1,(vp.data[[#This Row],[Battery]]=[1]DATA!$L$3:$L$9826)*(EOMONTH(vp.data[[#This Row],[SDate]],-1)+1=[1]DATA!$G$3:$G$9826),0)),vp.data[[#This Row],[Dens Input]]),"")</f>
        <v>805</v>
      </c>
      <c r="N394" s="2">
        <f ca="1">INDEX(INDIRECT(_xlfn.CONCAT("weather.tbl[",N$1,"]")),MATCH(vp.data[[#This Row],[SDate]],weather.tbl[Date],0))</f>
        <v>-20.716666666666665</v>
      </c>
      <c r="O394" s="2">
        <f ca="1">INDEX(INDIRECT(_xlfn.CONCAT("weather.tbl[",O$1,"]")),MATCH(vp.data[[#This Row],[SDate]],weather.tbl[Date],0))</f>
        <v>-21.040476190476191</v>
      </c>
      <c r="P394" s="2">
        <f ca="1">INDEX(INDIRECT(_xlfn.CONCAT("weather.tbl[",P$1,"]")),MATCH(vp.data[[#This Row],[SDate]],weather.tbl[Date],0))</f>
        <v>-21.2</v>
      </c>
      <c r="Q394" s="2">
        <f ca="1">INDEX(INDIRECT(_xlfn.CONCAT("weather.tbl[",Q$1,"]")),MATCH(vp.data[[#This Row],[SDate]],weather.tbl[Date],0))</f>
        <v>-19.399999999999999</v>
      </c>
      <c r="R394" s="2">
        <f ca="1">INDEX(INDIRECT(_xlfn.CONCAT("weather.tbl[",R$1,"]")),MATCH(vp.data[[#This Row],[SDate]],weather.tbl[Date],0))</f>
        <v>-21.8</v>
      </c>
      <c r="S394" s="2">
        <f ca="1">INDEX(INDIRECT(_xlfn.CONCAT("weather.tbl[",S$1,"]")),MATCH(vp.data[[#This Row],[SDate]],weather.tbl[Date],0))</f>
        <v>-19.3</v>
      </c>
      <c r="T394" s="2">
        <f ca="1">INDEX(INDIRECT(_xlfn.CONCAT("weather.tbl[",T$1,"]")),MATCH(vp.data[[#This Row],[SDate]],weather.tbl[Date],0))</f>
        <v>-21.1</v>
      </c>
      <c r="U394" s="2">
        <f ca="1">INDEX(INDIRECT(_xlfn.CONCAT("weather.tbl[",U$1,"]")),MATCH(vp.data[[#This Row],[SDate]],weather.tbl[Date],0))</f>
        <v>-21.5</v>
      </c>
      <c r="V394" s="2">
        <f t="array" ref="V3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9482.9609999999993</v>
      </c>
      <c r="W394" t="s">
        <v>48</v>
      </c>
      <c r="X394">
        <f>IF(OR(vp.data[[#This Row],[Sulf]]="",vp.data[[#This Row],[Dens]]=""),1,0)</f>
        <v>0</v>
      </c>
      <c r="Y394">
        <f>IF(vp.data[[#This Row],[CrudeType]]="C5+",1,0)</f>
        <v>0</v>
      </c>
      <c r="Z394">
        <f>IF(AND(vp.data[[#This Row],[CrudeType]]="Crude",vp.data[[#This Row],[Dens]]&lt;=825,vp.data[[#This Row],[Sulf]]&gt;0.5,vp.data[[#This Row],[Unknown]]=0),1,0)</f>
        <v>1</v>
      </c>
      <c r="AA394">
        <f>IF(AND(vp.data[[#This Row],[CrudeType]]="Crude",vp.data[[#This Row],[Dens]]&lt;=825,vp.data[[#This Row],[Sulf]]&lt;=0.5,vp.data[[#This Row],[Unknown]]=0),1,0)</f>
        <v>0</v>
      </c>
      <c r="AB3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4">
        <f>IF(AND(vp.data[[#This Row],[CrudeType]]="Crude",vp.data[[#This Row],[Dens]]&gt;825,vp.data[[#This Row],[Dens]]&lt;=900,vp.data[[#This Row],[Sulf]]&lt;=0.5,vp.data[[#This Row],[Unknown]]=0),1,0)</f>
        <v>0</v>
      </c>
      <c r="AD394">
        <f>IF(AND(vp.data[[#This Row],[CrudeType]]="Crude",vp.data[[#This Row],[Dens]]&gt;865,vp.data[[#This Row],[Dens]]&lt;=900,vp.data[[#This Row],[Sulf]]&gt;2,vp.data[[#This Row],[Unknown]]=0),1,0)</f>
        <v>0</v>
      </c>
      <c r="AE394">
        <f>IF(AND(vp.data[[#This Row],[CrudeType]]="Crude",vp.data[[#This Row],[Dens]]&gt;900,vp.data[[#This Row],[Sulf]]&lt;=0.5,vp.data[[#This Row],[Unknown]]=0),1,0)</f>
        <v>0</v>
      </c>
      <c r="AF394">
        <f>IF(AND(vp.data[[#This Row],[CrudeType]]="Crude",vp.data[[#This Row],[Dens]]&gt;900,vp.data[[#This Row],[Sulf]]&lt;=0.5,vp.data[[#This Row],[Unknown]]=0),1,0)</f>
        <v>0</v>
      </c>
      <c r="AG394" t="str">
        <f>INDEX(vp.data[[#Headers],[Unknown]:[Heavy_SW]],MATCH(1,vp.data[[#This Row],[Unknown]:[Heavy_SW]],0))</f>
        <v>Light_LSB</v>
      </c>
      <c r="AH394">
        <f>INDEX([3]!crudeBD.lkup[Number],MATCH(vp.data[[#This Row],[Crude_Breakdown]],crudeBD.lkup[Crude Breakdown],0))</f>
        <v>1</v>
      </c>
      <c r="AI394">
        <f>MONTH(vp.data[[#This Row],[SDate]])</f>
        <v>12</v>
      </c>
      <c r="AJ394" s="5">
        <f>(vp.data[[#This Row],[VP]]-INDEX(crudeBD.lkup[Mean_VP],MATCH(vp.data[[#This Row],[Crude_Breakdown]],crudeBD.lkup[Crude Breakdown],0)))^2</f>
        <v>238.8203805292795</v>
      </c>
      <c r="AK394" s="5">
        <f>(vp.data[[#This Row],[Dens]]-INDEX(crudeBD.lkup[Mean_Dens],MATCH(vp.data[[#This Row],[Crude_Breakdown]],crudeBD.lkup[Crude Breakdown],0)))^2</f>
        <v>182.70306472997817</v>
      </c>
      <c r="AL394" s="5">
        <f>(vp.data[[#This Row],[Sulf]]-INDEX(crudeBD.lkup[Mean_Sulf],MATCH(vp.data[[#This Row],[Crude_Breakdown]],crudeBD.lkup[Crude Breakdown],0)))^2</f>
        <v>0.12510451651682883</v>
      </c>
      <c r="AM394" s="4">
        <f>IF(AND(vp.data[[#This Row],[SDate]]&gt;=DATE(YEAR(vp.data[[#This Row],[SDate]]),5,1),vp.data[[#This Row],[SDate]]&lt;=DATE(YEAR(vp.data[[#This Row],[SDate]]),9,15)),1,0)</f>
        <v>0</v>
      </c>
      <c r="AN394" s="4">
        <f>IF(vp.data[[#This Row],[SDate]]&lt;DATE(2016,12,1),0,1)</f>
        <v>1</v>
      </c>
      <c r="AO394" s="4">
        <f>IFERROR(vp.data[[#This Row],[Sulf]]*vp.data[[#This Row],[Net Dens]],"")</f>
        <v>4345683.99281835</v>
      </c>
      <c r="AP394">
        <f>IFERROR(vp.data[[#This Row],[Dens]]*vp.data[[#This Row],[VolumeM3]],"")</f>
        <v>7633783.6049999995</v>
      </c>
      <c r="AQ394" s="15">
        <f>IFERROR(vp.data[[#This Row],[VP]]*vp.data[[#This Row],[VolumeM3]],"")</f>
        <v>1014676.8269999999</v>
      </c>
    </row>
    <row r="395" spans="1:43" x14ac:dyDescent="0.25">
      <c r="A395">
        <v>394</v>
      </c>
      <c r="B395" t="s">
        <v>49</v>
      </c>
      <c r="C395" t="s">
        <v>49</v>
      </c>
      <c r="D395" t="s">
        <v>90</v>
      </c>
      <c r="F395" s="1">
        <v>42716</v>
      </c>
      <c r="G395" s="2">
        <v>81.099999999999994</v>
      </c>
      <c r="H395" s="2">
        <v>1.27773</v>
      </c>
      <c r="I395" s="2">
        <f t="array" ref="I395">_xlfn.IFNA(IF(vp.data[[#This Row],[Sulf Input]]="",INDEX([1]DATA!$Q$3:$Q$9826,MATCH(1,(vp.data[[#This Row],[Battery]]=[1]DATA!$L$3:$L$9826)*(EOMONTH(vp.data[[#This Row],[SDate]],-1)+1=[1]DATA!$G$3:$G$9826),0)),vp.data[[#This Row],[Sulf Input]]),"")</f>
        <v>1.27773</v>
      </c>
      <c r="J395" s="2">
        <v>8</v>
      </c>
      <c r="K395" s="2">
        <v>-24</v>
      </c>
      <c r="L395" s="2">
        <v>850</v>
      </c>
      <c r="M395" s="2">
        <f t="array" ref="M395">_xlfn.IFNA(IF(vp.data[[#This Row],[Dens Input]]="",INDEX([1]DATA!$O$3:$O$9826,MATCH(1,(vp.data[[#This Row],[Battery]]=[1]DATA!$L$3:$L$9826)*(EOMONTH(vp.data[[#This Row],[SDate]],-1)+1=[1]DATA!$G$3:$G$9826),0)),vp.data[[#This Row],[Dens Input]]),"")</f>
        <v>850</v>
      </c>
      <c r="N395" s="2">
        <f ca="1">INDEX(INDIRECT(_xlfn.CONCAT("weather.tbl[",N$1,"]")),MATCH(vp.data[[#This Row],[SDate]],weather.tbl[Date],0))</f>
        <v>-20.716666666666665</v>
      </c>
      <c r="O395" s="2">
        <f ca="1">INDEX(INDIRECT(_xlfn.CONCAT("weather.tbl[",O$1,"]")),MATCH(vp.data[[#This Row],[SDate]],weather.tbl[Date],0))</f>
        <v>-21.040476190476191</v>
      </c>
      <c r="P395" s="2">
        <f ca="1">INDEX(INDIRECT(_xlfn.CONCAT("weather.tbl[",P$1,"]")),MATCH(vp.data[[#This Row],[SDate]],weather.tbl[Date],0))</f>
        <v>-21.2</v>
      </c>
      <c r="Q395" s="2">
        <f ca="1">INDEX(INDIRECT(_xlfn.CONCAT("weather.tbl[",Q$1,"]")),MATCH(vp.data[[#This Row],[SDate]],weather.tbl[Date],0))</f>
        <v>-19.399999999999999</v>
      </c>
      <c r="R395" s="2">
        <f ca="1">INDEX(INDIRECT(_xlfn.CONCAT("weather.tbl[",R$1,"]")),MATCH(vp.data[[#This Row],[SDate]],weather.tbl[Date],0))</f>
        <v>-21.8</v>
      </c>
      <c r="S395" s="2">
        <f ca="1">INDEX(INDIRECT(_xlfn.CONCAT("weather.tbl[",S$1,"]")),MATCH(vp.data[[#This Row],[SDate]],weather.tbl[Date],0))</f>
        <v>-19.3</v>
      </c>
      <c r="T395" s="2">
        <f ca="1">INDEX(INDIRECT(_xlfn.CONCAT("weather.tbl[",T$1,"]")),MATCH(vp.data[[#This Row],[SDate]],weather.tbl[Date],0))</f>
        <v>-21.1</v>
      </c>
      <c r="U395" s="2">
        <f ca="1">INDEX(INDIRECT(_xlfn.CONCAT("weather.tbl[",U$1,"]")),MATCH(vp.data[[#This Row],[SDate]],weather.tbl[Date],0))</f>
        <v>-21.5</v>
      </c>
      <c r="V395" s="2">
        <f t="array" ref="V3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4977.4170000000004</v>
      </c>
      <c r="W395" t="s">
        <v>48</v>
      </c>
      <c r="X395">
        <f>IF(OR(vp.data[[#This Row],[Sulf]]="",vp.data[[#This Row],[Dens]]=""),1,0)</f>
        <v>0</v>
      </c>
      <c r="Y395">
        <f>IF(vp.data[[#This Row],[CrudeType]]="C5+",1,0)</f>
        <v>0</v>
      </c>
      <c r="Z395">
        <f>IF(AND(vp.data[[#This Row],[CrudeType]]="Crude",vp.data[[#This Row],[Dens]]&lt;=825,vp.data[[#This Row],[Sulf]]&gt;0.5,vp.data[[#This Row],[Unknown]]=0),1,0)</f>
        <v>0</v>
      </c>
      <c r="AA395">
        <f>IF(AND(vp.data[[#This Row],[CrudeType]]="Crude",vp.data[[#This Row],[Dens]]&lt;=825,vp.data[[#This Row],[Sulf]]&lt;=0.5,vp.data[[#This Row],[Unknown]]=0),1,0)</f>
        <v>0</v>
      </c>
      <c r="AB3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95">
        <f>IF(AND(vp.data[[#This Row],[CrudeType]]="Crude",vp.data[[#This Row],[Dens]]&gt;825,vp.data[[#This Row],[Dens]]&lt;=900,vp.data[[#This Row],[Sulf]]&lt;=0.5,vp.data[[#This Row],[Unknown]]=0),1,0)</f>
        <v>0</v>
      </c>
      <c r="AD395">
        <f>IF(AND(vp.data[[#This Row],[CrudeType]]="Crude",vp.data[[#This Row],[Dens]]&gt;865,vp.data[[#This Row],[Dens]]&lt;=900,vp.data[[#This Row],[Sulf]]&gt;2,vp.data[[#This Row],[Unknown]]=0),1,0)</f>
        <v>0</v>
      </c>
      <c r="AE395">
        <f>IF(AND(vp.data[[#This Row],[CrudeType]]="Crude",vp.data[[#This Row],[Dens]]&gt;900,vp.data[[#This Row],[Sulf]]&lt;=0.5,vp.data[[#This Row],[Unknown]]=0),1,0)</f>
        <v>0</v>
      </c>
      <c r="AF395">
        <f>IF(AND(vp.data[[#This Row],[CrudeType]]="Crude",vp.data[[#This Row],[Dens]]&gt;900,vp.data[[#This Row],[Sulf]]&lt;=0.5,vp.data[[#This Row],[Unknown]]=0),1,0)</f>
        <v>0</v>
      </c>
      <c r="AG395" t="str">
        <f>INDEX(vp.data[[#Headers],[Unknown]:[Heavy_SW]],MATCH(1,vp.data[[#This Row],[Unknown]:[Heavy_SW]],0))</f>
        <v>Medium_LSB</v>
      </c>
      <c r="AH395">
        <f>INDEX([3]!crudeBD.lkup[Number],MATCH(vp.data[[#This Row],[Crude_Breakdown]],crudeBD.lkup[Crude Breakdown],0))</f>
        <v>3</v>
      </c>
      <c r="AI395">
        <f>MONTH(vp.data[[#This Row],[SDate]])</f>
        <v>12</v>
      </c>
      <c r="AJ395" s="5">
        <f>(vp.data[[#This Row],[VP]]-INDEX(crudeBD.lkup[Mean_VP],MATCH(vp.data[[#This Row],[Crude_Breakdown]],crudeBD.lkup[Crude Breakdown],0)))^2</f>
        <v>0.21189767874403956</v>
      </c>
      <c r="AK395" s="5">
        <f>(vp.data[[#This Row],[Dens]]-INDEX(crudeBD.lkup[Mean_Dens],MATCH(vp.data[[#This Row],[Crude_Breakdown]],crudeBD.lkup[Crude Breakdown],0)))^2</f>
        <v>36.966400000006026</v>
      </c>
      <c r="AL395" s="5">
        <f>(vp.data[[#This Row],[Sulf]]-INDEX(crudeBD.lkup[Mean_Sulf],MATCH(vp.data[[#This Row],[Crude_Breakdown]],crudeBD.lkup[Crude Breakdown],0)))^2</f>
        <v>1.1594578966312866E-2</v>
      </c>
      <c r="AM395" s="4">
        <f>IF(AND(vp.data[[#This Row],[SDate]]&gt;=DATE(YEAR(vp.data[[#This Row],[SDate]]),5,1),vp.data[[#This Row],[SDate]]&lt;=DATE(YEAR(vp.data[[#This Row],[SDate]]),9,15)),1,0)</f>
        <v>0</v>
      </c>
      <c r="AN395" s="4">
        <f>IF(vp.data[[#This Row],[SDate]]&lt;DATE(2016,12,1),0,1)</f>
        <v>1</v>
      </c>
      <c r="AO395" s="4">
        <f>IFERROR(vp.data[[#This Row],[Sulf]]*vp.data[[#This Row],[Net Dens]],"")</f>
        <v>5405825.7698985003</v>
      </c>
      <c r="AP395">
        <f>IFERROR(vp.data[[#This Row],[Dens]]*vp.data[[#This Row],[VolumeM3]],"")</f>
        <v>4230804.45</v>
      </c>
      <c r="AQ395" s="15">
        <f>IFERROR(vp.data[[#This Row],[VP]]*vp.data[[#This Row],[VolumeM3]],"")</f>
        <v>403668.51870000002</v>
      </c>
    </row>
    <row r="396" spans="1:43" x14ac:dyDescent="0.25">
      <c r="A396">
        <v>395</v>
      </c>
      <c r="B396" t="s">
        <v>51</v>
      </c>
      <c r="C396" t="s">
        <v>51</v>
      </c>
      <c r="D396" t="s">
        <v>71</v>
      </c>
      <c r="F396" s="1">
        <v>42716</v>
      </c>
      <c r="G396" s="2">
        <v>86.3</v>
      </c>
      <c r="H396" s="2">
        <v>1.5715600000000001</v>
      </c>
      <c r="I396" s="2">
        <f t="array" ref="I396">_xlfn.IFNA(IF(vp.data[[#This Row],[Sulf Input]]="",INDEX([1]DATA!$Q$3:$Q$9826,MATCH(1,(vp.data[[#This Row],[Battery]]=[1]DATA!$L$3:$L$9826)*(EOMONTH(vp.data[[#This Row],[SDate]],-1)+1=[1]DATA!$G$3:$G$9826),0)),vp.data[[#This Row],[Sulf Input]]),"")</f>
        <v>1.5715600000000001</v>
      </c>
      <c r="J396" s="2">
        <v>4.2</v>
      </c>
      <c r="K396" s="2">
        <v>-24</v>
      </c>
      <c r="L396" s="2">
        <v>852.7</v>
      </c>
      <c r="M396" s="2">
        <f t="array" ref="M396">_xlfn.IFNA(IF(vp.data[[#This Row],[Dens Input]]="",INDEX([1]DATA!$O$3:$O$9826,MATCH(1,(vp.data[[#This Row],[Battery]]=[1]DATA!$L$3:$L$9826)*(EOMONTH(vp.data[[#This Row],[SDate]],-1)+1=[1]DATA!$G$3:$G$9826),0)),vp.data[[#This Row],[Dens Input]]),"")</f>
        <v>852.7</v>
      </c>
      <c r="N396" s="2">
        <f ca="1">INDEX(INDIRECT(_xlfn.CONCAT("weather.tbl[",N$1,"]")),MATCH(vp.data[[#This Row],[SDate]],weather.tbl[Date],0))</f>
        <v>-20.716666666666665</v>
      </c>
      <c r="O396" s="2">
        <f ca="1">INDEX(INDIRECT(_xlfn.CONCAT("weather.tbl[",O$1,"]")),MATCH(vp.data[[#This Row],[SDate]],weather.tbl[Date],0))</f>
        <v>-21.040476190476191</v>
      </c>
      <c r="P396" s="2">
        <f ca="1">INDEX(INDIRECT(_xlfn.CONCAT("weather.tbl[",P$1,"]")),MATCH(vp.data[[#This Row],[SDate]],weather.tbl[Date],0))</f>
        <v>-21.2</v>
      </c>
      <c r="Q396" s="2">
        <f ca="1">INDEX(INDIRECT(_xlfn.CONCAT("weather.tbl[",Q$1,"]")),MATCH(vp.data[[#This Row],[SDate]],weather.tbl[Date],0))</f>
        <v>-19.399999999999999</v>
      </c>
      <c r="R396" s="2">
        <f ca="1">INDEX(INDIRECT(_xlfn.CONCAT("weather.tbl[",R$1,"]")),MATCH(vp.data[[#This Row],[SDate]],weather.tbl[Date],0))</f>
        <v>-21.8</v>
      </c>
      <c r="S396" s="2">
        <f ca="1">INDEX(INDIRECT(_xlfn.CONCAT("weather.tbl[",S$1,"]")),MATCH(vp.data[[#This Row],[SDate]],weather.tbl[Date],0))</f>
        <v>-19.3</v>
      </c>
      <c r="T396" s="2">
        <f ca="1">INDEX(INDIRECT(_xlfn.CONCAT("weather.tbl[",T$1,"]")),MATCH(vp.data[[#This Row],[SDate]],weather.tbl[Date],0))</f>
        <v>-21.1</v>
      </c>
      <c r="U396" s="2">
        <f ca="1">INDEX(INDIRECT(_xlfn.CONCAT("weather.tbl[",U$1,"]")),MATCH(vp.data[[#This Row],[SDate]],weather.tbl[Date],0))</f>
        <v>-21.5</v>
      </c>
      <c r="V396" s="2">
        <f t="array" ref="V3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7387.0110000000004</v>
      </c>
      <c r="W396" t="s">
        <v>48</v>
      </c>
      <c r="X396">
        <f>IF(OR(vp.data[[#This Row],[Sulf]]="",vp.data[[#This Row],[Dens]]=""),1,0)</f>
        <v>0</v>
      </c>
      <c r="Y396">
        <f>IF(vp.data[[#This Row],[CrudeType]]="C5+",1,0)</f>
        <v>0</v>
      </c>
      <c r="Z396">
        <f>IF(AND(vp.data[[#This Row],[CrudeType]]="Crude",vp.data[[#This Row],[Dens]]&lt;=825,vp.data[[#This Row],[Sulf]]&gt;0.5,vp.data[[#This Row],[Unknown]]=0),1,0)</f>
        <v>0</v>
      </c>
      <c r="AA396">
        <f>IF(AND(vp.data[[#This Row],[CrudeType]]="Crude",vp.data[[#This Row],[Dens]]&lt;=825,vp.data[[#This Row],[Sulf]]&lt;=0.5,vp.data[[#This Row],[Unknown]]=0),1,0)</f>
        <v>0</v>
      </c>
      <c r="AB3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96">
        <f>IF(AND(vp.data[[#This Row],[CrudeType]]="Crude",vp.data[[#This Row],[Dens]]&gt;825,vp.data[[#This Row],[Dens]]&lt;=900,vp.data[[#This Row],[Sulf]]&lt;=0.5,vp.data[[#This Row],[Unknown]]=0),1,0)</f>
        <v>0</v>
      </c>
      <c r="AD396">
        <f>IF(AND(vp.data[[#This Row],[CrudeType]]="Crude",vp.data[[#This Row],[Dens]]&gt;865,vp.data[[#This Row],[Dens]]&lt;=900,vp.data[[#This Row],[Sulf]]&gt;2,vp.data[[#This Row],[Unknown]]=0),1,0)</f>
        <v>0</v>
      </c>
      <c r="AE396">
        <f>IF(AND(vp.data[[#This Row],[CrudeType]]="Crude",vp.data[[#This Row],[Dens]]&gt;900,vp.data[[#This Row],[Sulf]]&lt;=0.5,vp.data[[#This Row],[Unknown]]=0),1,0)</f>
        <v>0</v>
      </c>
      <c r="AF396">
        <f>IF(AND(vp.data[[#This Row],[CrudeType]]="Crude",vp.data[[#This Row],[Dens]]&gt;900,vp.data[[#This Row],[Sulf]]&lt;=0.5,vp.data[[#This Row],[Unknown]]=0),1,0)</f>
        <v>0</v>
      </c>
      <c r="AG396" t="str">
        <f>INDEX(vp.data[[#Headers],[Unknown]:[Heavy_SW]],MATCH(1,vp.data[[#This Row],[Unknown]:[Heavy_SW]],0))</f>
        <v>Medium_LSB</v>
      </c>
      <c r="AH396">
        <f>INDEX([3]!crudeBD.lkup[Number],MATCH(vp.data[[#This Row],[Crude_Breakdown]],crudeBD.lkup[Crude Breakdown],0))</f>
        <v>3</v>
      </c>
      <c r="AI396">
        <f>MONTH(vp.data[[#This Row],[SDate]])</f>
        <v>12</v>
      </c>
      <c r="AJ396" s="5">
        <f>(vp.data[[#This Row],[VP]]-INDEX(crudeBD.lkup[Mean_VP],MATCH(vp.data[[#This Row],[Crude_Breakdown]],crudeBD.lkup[Crude Breakdown],0)))^2</f>
        <v>32.039261560146372</v>
      </c>
      <c r="AK396" s="5">
        <f>(vp.data[[#This Row],[Dens]]-INDEX(crudeBD.lkup[Mean_Dens],MATCH(vp.data[[#This Row],[Crude_Breakdown]],crudeBD.lkup[Crude Breakdown],0)))^2</f>
        <v>77.0884000000095</v>
      </c>
      <c r="AL396" s="5">
        <f>(vp.data[[#This Row],[Sulf]]-INDEX(crudeBD.lkup[Mean_Sulf],MATCH(vp.data[[#This Row],[Crude_Breakdown]],crudeBD.lkup[Crude Breakdown],0)))^2</f>
        <v>3.4652519938818745E-2</v>
      </c>
      <c r="AM396" s="4">
        <f>IF(AND(vp.data[[#This Row],[SDate]]&gt;=DATE(YEAR(vp.data[[#This Row],[SDate]]),5,1),vp.data[[#This Row],[SDate]]&lt;=DATE(YEAR(vp.data[[#This Row],[SDate]]),9,15)),1,0)</f>
        <v>0</v>
      </c>
      <c r="AN396" s="4">
        <f>IF(vp.data[[#This Row],[SDate]]&lt;DATE(2016,12,1),0,1)</f>
        <v>1</v>
      </c>
      <c r="AO396" s="4">
        <f>IFERROR(vp.data[[#This Row],[Sulf]]*vp.data[[#This Row],[Net Dens]],"")</f>
        <v>9899106.0098053329</v>
      </c>
      <c r="AP396">
        <f>IFERROR(vp.data[[#This Row],[Dens]]*vp.data[[#This Row],[VolumeM3]],"")</f>
        <v>6298904.2797000008</v>
      </c>
      <c r="AQ396" s="15">
        <f>IFERROR(vp.data[[#This Row],[VP]]*vp.data[[#This Row],[VolumeM3]],"")</f>
        <v>637499.04930000007</v>
      </c>
    </row>
    <row r="397" spans="1:43" x14ac:dyDescent="0.25">
      <c r="A397">
        <v>396</v>
      </c>
      <c r="B397" t="s">
        <v>49</v>
      </c>
      <c r="C397" t="s">
        <v>49</v>
      </c>
      <c r="D397" t="s">
        <v>75</v>
      </c>
      <c r="F397" s="1">
        <v>42716</v>
      </c>
      <c r="G397" s="2">
        <v>129.1</v>
      </c>
      <c r="H397" s="2"/>
      <c r="I397" s="2">
        <f t="array" ref="I397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397" s="2"/>
      <c r="K397" s="2"/>
      <c r="L397" s="2">
        <v>800</v>
      </c>
      <c r="M397" s="2">
        <f t="array" ref="M397">_xlfn.IFNA(IF(vp.data[[#This Row],[Dens Input]]="",INDEX([1]DATA!$O$3:$O$9826,MATCH(1,(vp.data[[#This Row],[Battery]]=[1]DATA!$L$3:$L$9826)*(EOMONTH(vp.data[[#This Row],[SDate]],-1)+1=[1]DATA!$G$3:$G$9826),0)),vp.data[[#This Row],[Dens Input]]),"")</f>
        <v>800</v>
      </c>
      <c r="N397" s="2">
        <f ca="1">INDEX(INDIRECT(_xlfn.CONCAT("weather.tbl[",N$1,"]")),MATCH(vp.data[[#This Row],[SDate]],weather.tbl[Date],0))</f>
        <v>-20.716666666666665</v>
      </c>
      <c r="O397" s="2">
        <f ca="1">INDEX(INDIRECT(_xlfn.CONCAT("weather.tbl[",O$1,"]")),MATCH(vp.data[[#This Row],[SDate]],weather.tbl[Date],0))</f>
        <v>-21.040476190476191</v>
      </c>
      <c r="P397" s="2">
        <f ca="1">INDEX(INDIRECT(_xlfn.CONCAT("weather.tbl[",P$1,"]")),MATCH(vp.data[[#This Row],[SDate]],weather.tbl[Date],0))</f>
        <v>-21.2</v>
      </c>
      <c r="Q397" s="2">
        <f ca="1">INDEX(INDIRECT(_xlfn.CONCAT("weather.tbl[",Q$1,"]")),MATCH(vp.data[[#This Row],[SDate]],weather.tbl[Date],0))</f>
        <v>-19.399999999999999</v>
      </c>
      <c r="R397" s="2">
        <f ca="1">INDEX(INDIRECT(_xlfn.CONCAT("weather.tbl[",R$1,"]")),MATCH(vp.data[[#This Row],[SDate]],weather.tbl[Date],0))</f>
        <v>-21.8</v>
      </c>
      <c r="S397" s="2">
        <f ca="1">INDEX(INDIRECT(_xlfn.CONCAT("weather.tbl[",S$1,"]")),MATCH(vp.data[[#This Row],[SDate]],weather.tbl[Date],0))</f>
        <v>-19.3</v>
      </c>
      <c r="T397" s="2">
        <f ca="1">INDEX(INDIRECT(_xlfn.CONCAT("weather.tbl[",T$1,"]")),MATCH(vp.data[[#This Row],[SDate]],weather.tbl[Date],0))</f>
        <v>-21.1</v>
      </c>
      <c r="U397" s="2">
        <f ca="1">INDEX(INDIRECT(_xlfn.CONCAT("weather.tbl[",U$1,"]")),MATCH(vp.data[[#This Row],[SDate]],weather.tbl[Date],0))</f>
        <v>-21.5</v>
      </c>
      <c r="V397" s="2">
        <f t="array" ref="V3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397" t="s">
        <v>48</v>
      </c>
      <c r="X397">
        <f>IF(OR(vp.data[[#This Row],[Sulf]]="",vp.data[[#This Row],[Dens]]=""),1,0)</f>
        <v>0</v>
      </c>
      <c r="Y397">
        <f>IF(vp.data[[#This Row],[CrudeType]]="C5+",1,0)</f>
        <v>0</v>
      </c>
      <c r="Z397">
        <f>IF(AND(vp.data[[#This Row],[CrudeType]]="Crude",vp.data[[#This Row],[Dens]]&lt;=825,vp.data[[#This Row],[Sulf]]&gt;0.5,vp.data[[#This Row],[Unknown]]=0),1,0)</f>
        <v>0</v>
      </c>
      <c r="AA397">
        <f>IF(AND(vp.data[[#This Row],[CrudeType]]="Crude",vp.data[[#This Row],[Dens]]&lt;=825,vp.data[[#This Row],[Sulf]]&lt;=0.5,vp.data[[#This Row],[Unknown]]=0),1,0)</f>
        <v>1</v>
      </c>
      <c r="AB3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7">
        <f>IF(AND(vp.data[[#This Row],[CrudeType]]="Crude",vp.data[[#This Row],[Dens]]&gt;825,vp.data[[#This Row],[Dens]]&lt;=900,vp.data[[#This Row],[Sulf]]&lt;=0.5,vp.data[[#This Row],[Unknown]]=0),1,0)</f>
        <v>0</v>
      </c>
      <c r="AD397">
        <f>IF(AND(vp.data[[#This Row],[CrudeType]]="Crude",vp.data[[#This Row],[Dens]]&gt;865,vp.data[[#This Row],[Dens]]&lt;=900,vp.data[[#This Row],[Sulf]]&gt;2,vp.data[[#This Row],[Unknown]]=0),1,0)</f>
        <v>0</v>
      </c>
      <c r="AE397">
        <f>IF(AND(vp.data[[#This Row],[CrudeType]]="Crude",vp.data[[#This Row],[Dens]]&gt;900,vp.data[[#This Row],[Sulf]]&lt;=0.5,vp.data[[#This Row],[Unknown]]=0),1,0)</f>
        <v>0</v>
      </c>
      <c r="AF397">
        <f>IF(AND(vp.data[[#This Row],[CrudeType]]="Crude",vp.data[[#This Row],[Dens]]&gt;900,vp.data[[#This Row],[Sulf]]&lt;=0.5,vp.data[[#This Row],[Unknown]]=0),1,0)</f>
        <v>0</v>
      </c>
      <c r="AG397" t="str">
        <f>INDEX(vp.data[[#Headers],[Unknown]:[Heavy_SW]],MATCH(1,vp.data[[#This Row],[Unknown]:[Heavy_SW]],0))</f>
        <v>Light_SW</v>
      </c>
      <c r="AH397">
        <f>INDEX([3]!crudeBD.lkup[Number],MATCH(vp.data[[#This Row],[Crude_Breakdown]],crudeBD.lkup[Crude Breakdown],0))</f>
        <v>2</v>
      </c>
      <c r="AI397">
        <f>MONTH(vp.data[[#This Row],[SDate]])</f>
        <v>12</v>
      </c>
      <c r="AJ397" s="5">
        <f>(vp.data[[#This Row],[VP]]-INDEX(crudeBD.lkup[Mean_VP],MATCH(vp.data[[#This Row],[Crude_Breakdown]],crudeBD.lkup[Crude Breakdown],0)))^2</f>
        <v>1335.879576753392</v>
      </c>
      <c r="AK397" s="5">
        <f>(vp.data[[#This Row],[Dens]]-INDEX(crudeBD.lkup[Mean_Dens],MATCH(vp.data[[#This Row],[Crude_Breakdown]],crudeBD.lkup[Crude Breakdown],0)))^2</f>
        <v>69.081003290069091</v>
      </c>
      <c r="AL397" s="5">
        <f>(vp.data[[#This Row],[Sulf]]-INDEX(crudeBD.lkup[Mean_Sulf],MATCH(vp.data[[#This Row],[Crude_Breakdown]],crudeBD.lkup[Crude Breakdown],0)))^2</f>
        <v>1.1287322584467423E-2</v>
      </c>
      <c r="AM397" s="4">
        <f>IF(AND(vp.data[[#This Row],[SDate]]&gt;=DATE(YEAR(vp.data[[#This Row],[SDate]]),5,1),vp.data[[#This Row],[SDate]]&lt;=DATE(YEAR(vp.data[[#This Row],[SDate]]),9,15)),1,0)</f>
        <v>0</v>
      </c>
      <c r="AN397" s="4">
        <f>IF(vp.data[[#This Row],[SDate]]&lt;DATE(2016,12,1),0,1)</f>
        <v>1</v>
      </c>
      <c r="AO397" s="4">
        <f>IFERROR(vp.data[[#This Row],[Sulf]]*vp.data[[#This Row],[Net Dens]],"")</f>
        <v>2250079.7280000001</v>
      </c>
      <c r="AP397">
        <f>IFERROR(vp.data[[#This Row],[Dens]]*vp.data[[#This Row],[VolumeM3]],"")</f>
        <v>17308305.600000001</v>
      </c>
      <c r="AQ397" s="15">
        <f>IFERROR(vp.data[[#This Row],[VP]]*vp.data[[#This Row],[VolumeM3]],"")</f>
        <v>2793127.8162000002</v>
      </c>
    </row>
    <row r="398" spans="1:43" x14ac:dyDescent="0.25">
      <c r="A398">
        <v>397</v>
      </c>
      <c r="B398" t="s">
        <v>51</v>
      </c>
      <c r="C398" t="s">
        <v>51</v>
      </c>
      <c r="D398" t="s">
        <v>95</v>
      </c>
      <c r="F398" s="1">
        <v>42716</v>
      </c>
      <c r="G398" s="2">
        <v>76.2</v>
      </c>
      <c r="H398" s="2"/>
      <c r="I398" s="2">
        <f t="array" ref="I398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398" s="2"/>
      <c r="K398" s="2"/>
      <c r="L398" s="2">
        <v>822</v>
      </c>
      <c r="M398" s="2">
        <f t="array" ref="M398">_xlfn.IFNA(IF(vp.data[[#This Row],[Dens Input]]="",INDEX([1]DATA!$O$3:$O$9826,MATCH(1,(vp.data[[#This Row],[Battery]]=[1]DATA!$L$3:$L$9826)*(EOMONTH(vp.data[[#This Row],[SDate]],-1)+1=[1]DATA!$G$3:$G$9826),0)),vp.data[[#This Row],[Dens Input]]),"")</f>
        <v>822</v>
      </c>
      <c r="N398" s="2">
        <f ca="1">INDEX(INDIRECT(_xlfn.CONCAT("weather.tbl[",N$1,"]")),MATCH(vp.data[[#This Row],[SDate]],weather.tbl[Date],0))</f>
        <v>-20.716666666666665</v>
      </c>
      <c r="O398" s="2">
        <f ca="1">INDEX(INDIRECT(_xlfn.CONCAT("weather.tbl[",O$1,"]")),MATCH(vp.data[[#This Row],[SDate]],weather.tbl[Date],0))</f>
        <v>-21.040476190476191</v>
      </c>
      <c r="P398" s="2">
        <f ca="1">INDEX(INDIRECT(_xlfn.CONCAT("weather.tbl[",P$1,"]")),MATCH(vp.data[[#This Row],[SDate]],weather.tbl[Date],0))</f>
        <v>-21.2</v>
      </c>
      <c r="Q398" s="2">
        <f ca="1">INDEX(INDIRECT(_xlfn.CONCAT("weather.tbl[",Q$1,"]")),MATCH(vp.data[[#This Row],[SDate]],weather.tbl[Date],0))</f>
        <v>-19.399999999999999</v>
      </c>
      <c r="R398" s="2">
        <f ca="1">INDEX(INDIRECT(_xlfn.CONCAT("weather.tbl[",R$1,"]")),MATCH(vp.data[[#This Row],[SDate]],weather.tbl[Date],0))</f>
        <v>-21.8</v>
      </c>
      <c r="S398" s="2">
        <f ca="1">INDEX(INDIRECT(_xlfn.CONCAT("weather.tbl[",S$1,"]")),MATCH(vp.data[[#This Row],[SDate]],weather.tbl[Date],0))</f>
        <v>-19.3</v>
      </c>
      <c r="T398" s="2">
        <f ca="1">INDEX(INDIRECT(_xlfn.CONCAT("weather.tbl[",T$1,"]")),MATCH(vp.data[[#This Row],[SDate]],weather.tbl[Date],0))</f>
        <v>-21.1</v>
      </c>
      <c r="U398" s="2">
        <f ca="1">INDEX(INDIRECT(_xlfn.CONCAT("weather.tbl[",U$1,"]")),MATCH(vp.data[[#This Row],[SDate]],weather.tbl[Date],0))</f>
        <v>-21.5</v>
      </c>
      <c r="V398" s="2">
        <f t="array" ref="V3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6459.1369999999997</v>
      </c>
      <c r="W398" t="s">
        <v>48</v>
      </c>
      <c r="X398">
        <f>IF(OR(vp.data[[#This Row],[Sulf]]="",vp.data[[#This Row],[Dens]]=""),1,0)</f>
        <v>0</v>
      </c>
      <c r="Y398">
        <f>IF(vp.data[[#This Row],[CrudeType]]="C5+",1,0)</f>
        <v>0</v>
      </c>
      <c r="Z398">
        <f>IF(AND(vp.data[[#This Row],[CrudeType]]="Crude",vp.data[[#This Row],[Dens]]&lt;=825,vp.data[[#This Row],[Sulf]]&gt;0.5,vp.data[[#This Row],[Unknown]]=0),1,0)</f>
        <v>1</v>
      </c>
      <c r="AA398">
        <f>IF(AND(vp.data[[#This Row],[CrudeType]]="Crude",vp.data[[#This Row],[Dens]]&lt;=825,vp.data[[#This Row],[Sulf]]&lt;=0.5,vp.data[[#This Row],[Unknown]]=0),1,0)</f>
        <v>0</v>
      </c>
      <c r="AB3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398">
        <f>IF(AND(vp.data[[#This Row],[CrudeType]]="Crude",vp.data[[#This Row],[Dens]]&gt;825,vp.data[[#This Row],[Dens]]&lt;=900,vp.data[[#This Row],[Sulf]]&lt;=0.5,vp.data[[#This Row],[Unknown]]=0),1,0)</f>
        <v>0</v>
      </c>
      <c r="AD398">
        <f>IF(AND(vp.data[[#This Row],[CrudeType]]="Crude",vp.data[[#This Row],[Dens]]&gt;865,vp.data[[#This Row],[Dens]]&lt;=900,vp.data[[#This Row],[Sulf]]&gt;2,vp.data[[#This Row],[Unknown]]=0),1,0)</f>
        <v>0</v>
      </c>
      <c r="AE398">
        <f>IF(AND(vp.data[[#This Row],[CrudeType]]="Crude",vp.data[[#This Row],[Dens]]&gt;900,vp.data[[#This Row],[Sulf]]&lt;=0.5,vp.data[[#This Row],[Unknown]]=0),1,0)</f>
        <v>0</v>
      </c>
      <c r="AF398">
        <f>IF(AND(vp.data[[#This Row],[CrudeType]]="Crude",vp.data[[#This Row],[Dens]]&gt;900,vp.data[[#This Row],[Sulf]]&lt;=0.5,vp.data[[#This Row],[Unknown]]=0),1,0)</f>
        <v>0</v>
      </c>
      <c r="AG398" t="str">
        <f>INDEX(vp.data[[#Headers],[Unknown]:[Heavy_SW]],MATCH(1,vp.data[[#This Row],[Unknown]:[Heavy_SW]],0))</f>
        <v>Light_LSB</v>
      </c>
      <c r="AH398">
        <f>INDEX([3]!crudeBD.lkup[Number],MATCH(vp.data[[#This Row],[Crude_Breakdown]],crudeBD.lkup[Crude Breakdown],0))</f>
        <v>1</v>
      </c>
      <c r="AI398">
        <f>MONTH(vp.data[[#This Row],[SDate]])</f>
        <v>12</v>
      </c>
      <c r="AJ398" s="5">
        <f>(vp.data[[#This Row],[VP]]-INDEX(crudeBD.lkup[Mean_VP],MATCH(vp.data[[#This Row],[Crude_Breakdown]],crudeBD.lkup[Crude Breakdown],0)))^2</f>
        <v>235.5054114571164</v>
      </c>
      <c r="AK398" s="5">
        <f>(vp.data[[#This Row],[Dens]]-INDEX(crudeBD.lkup[Mean_Dens],MATCH(vp.data[[#This Row],[Crude_Breakdown]],crudeBD.lkup[Crude Breakdown],0)))^2</f>
        <v>12.132892908683003</v>
      </c>
      <c r="AL398" s="5">
        <f>(vp.data[[#This Row],[Sulf]]-INDEX(crudeBD.lkup[Mean_Sulf],MATCH(vp.data[[#This Row],[Crude_Breakdown]],crudeBD.lkup[Crude Breakdown],0)))^2</f>
        <v>7.130439691373637E-2</v>
      </c>
      <c r="AM398" s="4">
        <f>IF(AND(vp.data[[#This Row],[SDate]]&gt;=DATE(YEAR(vp.data[[#This Row],[SDate]]),5,1),vp.data[[#This Row],[SDate]]&lt;=DATE(YEAR(vp.data[[#This Row],[SDate]]),9,15)),1,0)</f>
        <v>0</v>
      </c>
      <c r="AN398" s="4">
        <f>IF(vp.data[[#This Row],[SDate]]&lt;DATE(2016,12,1),0,1)</f>
        <v>1</v>
      </c>
      <c r="AO398" s="4">
        <f>IFERROR(vp.data[[#This Row],[Sulf]]*vp.data[[#This Row],[Net Dens]],"")</f>
        <v>6318198.6306599993</v>
      </c>
      <c r="AP398">
        <f>IFERROR(vp.data[[#This Row],[Dens]]*vp.data[[#This Row],[VolumeM3]],"")</f>
        <v>5309410.6140000001</v>
      </c>
      <c r="AQ398" s="15">
        <f>IFERROR(vp.data[[#This Row],[VP]]*vp.data[[#This Row],[VolumeM3]],"")</f>
        <v>492186.23940000002</v>
      </c>
    </row>
    <row r="399" spans="1:43" x14ac:dyDescent="0.25">
      <c r="A399">
        <v>398</v>
      </c>
      <c r="B399" t="s">
        <v>51</v>
      </c>
      <c r="C399" t="s">
        <v>51</v>
      </c>
      <c r="D399" t="s">
        <v>71</v>
      </c>
      <c r="F399" s="1">
        <v>42716</v>
      </c>
      <c r="G399" s="2">
        <v>98.1</v>
      </c>
      <c r="H399" s="2"/>
      <c r="I399" s="2">
        <f t="array" ref="I399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399" s="2"/>
      <c r="K399" s="2"/>
      <c r="L399" s="2">
        <v>849.9</v>
      </c>
      <c r="M399" s="2">
        <f t="array" ref="M399">_xlfn.IFNA(IF(vp.data[[#This Row],[Dens Input]]="",INDEX([1]DATA!$O$3:$O$9826,MATCH(1,(vp.data[[#This Row],[Battery]]=[1]DATA!$L$3:$L$9826)*(EOMONTH(vp.data[[#This Row],[SDate]],-1)+1=[1]DATA!$G$3:$G$9826),0)),vp.data[[#This Row],[Dens Input]]),"")</f>
        <v>849.9</v>
      </c>
      <c r="N399" s="2">
        <f ca="1">INDEX(INDIRECT(_xlfn.CONCAT("weather.tbl[",N$1,"]")),MATCH(vp.data[[#This Row],[SDate]],weather.tbl[Date],0))</f>
        <v>-20.716666666666665</v>
      </c>
      <c r="O399" s="2">
        <f ca="1">INDEX(INDIRECT(_xlfn.CONCAT("weather.tbl[",O$1,"]")),MATCH(vp.data[[#This Row],[SDate]],weather.tbl[Date],0))</f>
        <v>-21.040476190476191</v>
      </c>
      <c r="P399" s="2">
        <f ca="1">INDEX(INDIRECT(_xlfn.CONCAT("weather.tbl[",P$1,"]")),MATCH(vp.data[[#This Row],[SDate]],weather.tbl[Date],0))</f>
        <v>-21.2</v>
      </c>
      <c r="Q399" s="2">
        <f ca="1">INDEX(INDIRECT(_xlfn.CONCAT("weather.tbl[",Q$1,"]")),MATCH(vp.data[[#This Row],[SDate]],weather.tbl[Date],0))</f>
        <v>-19.399999999999999</v>
      </c>
      <c r="R399" s="2">
        <f ca="1">INDEX(INDIRECT(_xlfn.CONCAT("weather.tbl[",R$1,"]")),MATCH(vp.data[[#This Row],[SDate]],weather.tbl[Date],0))</f>
        <v>-21.8</v>
      </c>
      <c r="S399" s="2">
        <f ca="1">INDEX(INDIRECT(_xlfn.CONCAT("weather.tbl[",S$1,"]")),MATCH(vp.data[[#This Row],[SDate]],weather.tbl[Date],0))</f>
        <v>-19.3</v>
      </c>
      <c r="T399" s="2">
        <f ca="1">INDEX(INDIRECT(_xlfn.CONCAT("weather.tbl[",T$1,"]")),MATCH(vp.data[[#This Row],[SDate]],weather.tbl[Date],0))</f>
        <v>-21.1</v>
      </c>
      <c r="U399" s="2">
        <f ca="1">INDEX(INDIRECT(_xlfn.CONCAT("weather.tbl[",U$1,"]")),MATCH(vp.data[[#This Row],[SDate]],weather.tbl[Date],0))</f>
        <v>-21.5</v>
      </c>
      <c r="V399" s="2">
        <f t="array" ref="V3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7387.0110000000004</v>
      </c>
      <c r="W399" t="s">
        <v>48</v>
      </c>
      <c r="X399">
        <f>IF(OR(vp.data[[#This Row],[Sulf]]="",vp.data[[#This Row],[Dens]]=""),1,0)</f>
        <v>0</v>
      </c>
      <c r="Y399">
        <f>IF(vp.data[[#This Row],[CrudeType]]="C5+",1,0)</f>
        <v>0</v>
      </c>
      <c r="Z399">
        <f>IF(AND(vp.data[[#This Row],[CrudeType]]="Crude",vp.data[[#This Row],[Dens]]&lt;=825,vp.data[[#This Row],[Sulf]]&gt;0.5,vp.data[[#This Row],[Unknown]]=0),1,0)</f>
        <v>0</v>
      </c>
      <c r="AA399">
        <f>IF(AND(vp.data[[#This Row],[CrudeType]]="Crude",vp.data[[#This Row],[Dens]]&lt;=825,vp.data[[#This Row],[Sulf]]&lt;=0.5,vp.data[[#This Row],[Unknown]]=0),1,0)</f>
        <v>0</v>
      </c>
      <c r="AB3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399">
        <f>IF(AND(vp.data[[#This Row],[CrudeType]]="Crude",vp.data[[#This Row],[Dens]]&gt;825,vp.data[[#This Row],[Dens]]&lt;=900,vp.data[[#This Row],[Sulf]]&lt;=0.5,vp.data[[#This Row],[Unknown]]=0),1,0)</f>
        <v>0</v>
      </c>
      <c r="AD399">
        <f>IF(AND(vp.data[[#This Row],[CrudeType]]="Crude",vp.data[[#This Row],[Dens]]&gt;865,vp.data[[#This Row],[Dens]]&lt;=900,vp.data[[#This Row],[Sulf]]&gt;2,vp.data[[#This Row],[Unknown]]=0),1,0)</f>
        <v>0</v>
      </c>
      <c r="AE399">
        <f>IF(AND(vp.data[[#This Row],[CrudeType]]="Crude",vp.data[[#This Row],[Dens]]&gt;900,vp.data[[#This Row],[Sulf]]&lt;=0.5,vp.data[[#This Row],[Unknown]]=0),1,0)</f>
        <v>0</v>
      </c>
      <c r="AF399">
        <f>IF(AND(vp.data[[#This Row],[CrudeType]]="Crude",vp.data[[#This Row],[Dens]]&gt;900,vp.data[[#This Row],[Sulf]]&lt;=0.5,vp.data[[#This Row],[Unknown]]=0),1,0)</f>
        <v>0</v>
      </c>
      <c r="AG399" t="str">
        <f>INDEX(vp.data[[#Headers],[Unknown]:[Heavy_SW]],MATCH(1,vp.data[[#This Row],[Unknown]:[Heavy_SW]],0))</f>
        <v>Medium_LSB</v>
      </c>
      <c r="AH399">
        <f>INDEX([3]!crudeBD.lkup[Number],MATCH(vp.data[[#This Row],[Crude_Breakdown]],crudeBD.lkup[Crude Breakdown],0))</f>
        <v>3</v>
      </c>
      <c r="AI399">
        <f>MONTH(vp.data[[#This Row],[SDate]])</f>
        <v>12</v>
      </c>
      <c r="AJ399" s="5">
        <f>(vp.data[[#This Row],[VP]]-INDEX(crudeBD.lkup[Mean_VP],MATCH(vp.data[[#This Row],[Crude_Breakdown]],crudeBD.lkup[Crude Breakdown],0)))^2</f>
        <v>304.86289498332849</v>
      </c>
      <c r="AK399" s="5">
        <f>(vp.data[[#This Row],[Dens]]-INDEX(crudeBD.lkup[Mean_Dens],MATCH(vp.data[[#This Row],[Crude_Breakdown]],crudeBD.lkup[Crude Breakdown],0)))^2</f>
        <v>35.760400000005653</v>
      </c>
      <c r="AL399" s="5">
        <f>(vp.data[[#This Row],[Sulf]]-INDEX(crudeBD.lkup[Mean_Sulf],MATCH(vp.data[[#This Row],[Crude_Breakdown]],crudeBD.lkup[Crude Breakdown],0)))^2</f>
        <v>1.1965976994660734E-3</v>
      </c>
      <c r="AM399" s="4">
        <f>IF(AND(vp.data[[#This Row],[SDate]]&gt;=DATE(YEAR(vp.data[[#This Row],[SDate]]),5,1),vp.data[[#This Row],[SDate]]&lt;=DATE(YEAR(vp.data[[#This Row],[SDate]]),9,15)),1,0)</f>
        <v>0</v>
      </c>
      <c r="AN399" s="4">
        <f>IF(vp.data[[#This Row],[SDate]]&lt;DATE(2016,12,1),0,1)</f>
        <v>1</v>
      </c>
      <c r="AO399" s="4">
        <f>IFERROR(vp.data[[#This Row],[Sulf]]*vp.data[[#This Row],[Net Dens]],"")</f>
        <v>8915073.3214379996</v>
      </c>
      <c r="AP399">
        <f>IFERROR(vp.data[[#This Row],[Dens]]*vp.data[[#This Row],[VolumeM3]],"")</f>
        <v>6278220.6489000004</v>
      </c>
      <c r="AQ399" s="15">
        <f>IFERROR(vp.data[[#This Row],[VP]]*vp.data[[#This Row],[VolumeM3]],"")</f>
        <v>724665.77910000004</v>
      </c>
    </row>
    <row r="400" spans="1:43" x14ac:dyDescent="0.25">
      <c r="A400">
        <v>399</v>
      </c>
      <c r="B400" t="s">
        <v>60</v>
      </c>
      <c r="C400" t="s">
        <v>60</v>
      </c>
      <c r="D400" t="s">
        <v>61</v>
      </c>
      <c r="E400" t="s">
        <v>55</v>
      </c>
      <c r="F400" s="1">
        <v>42716</v>
      </c>
      <c r="G400" s="2">
        <v>113.3</v>
      </c>
      <c r="H400" s="2">
        <v>1.2964</v>
      </c>
      <c r="I400" s="2">
        <f t="array" ref="I400">_xlfn.IFNA(IF(vp.data[[#This Row],[Sulf Input]]="",INDEX([1]DATA!$Q$3:$Q$9826,MATCH(1,(vp.data[[#This Row],[Battery]]=[1]DATA!$L$3:$L$9826)*(EOMONTH(vp.data[[#This Row],[SDate]],-1)+1=[1]DATA!$G$3:$G$9826),0)),vp.data[[#This Row],[Sulf Input]]),"")</f>
        <v>1.2964</v>
      </c>
      <c r="J400" s="2">
        <v>4</v>
      </c>
      <c r="K400" s="2">
        <v>-24</v>
      </c>
      <c r="L400" s="2">
        <v>838.7</v>
      </c>
      <c r="M400" s="2">
        <f t="array" ref="M400">_xlfn.IFNA(IF(vp.data[[#This Row],[Dens Input]]="",INDEX([1]DATA!$O$3:$O$9826,MATCH(1,(vp.data[[#This Row],[Battery]]=[1]DATA!$L$3:$L$9826)*(EOMONTH(vp.data[[#This Row],[SDate]],-1)+1=[1]DATA!$G$3:$G$9826),0)),vp.data[[#This Row],[Dens Input]]),"")</f>
        <v>838.7</v>
      </c>
      <c r="N400" s="2">
        <f ca="1">INDEX(INDIRECT(_xlfn.CONCAT("weather.tbl[",N$1,"]")),MATCH(vp.data[[#This Row],[SDate]],weather.tbl[Date],0))</f>
        <v>-20.716666666666665</v>
      </c>
      <c r="O400" s="2">
        <f ca="1">INDEX(INDIRECT(_xlfn.CONCAT("weather.tbl[",O$1,"]")),MATCH(vp.data[[#This Row],[SDate]],weather.tbl[Date],0))</f>
        <v>-21.040476190476191</v>
      </c>
      <c r="P400" s="2">
        <f ca="1">INDEX(INDIRECT(_xlfn.CONCAT("weather.tbl[",P$1,"]")),MATCH(vp.data[[#This Row],[SDate]],weather.tbl[Date],0))</f>
        <v>-21.2</v>
      </c>
      <c r="Q400" s="2">
        <f ca="1">INDEX(INDIRECT(_xlfn.CONCAT("weather.tbl[",Q$1,"]")),MATCH(vp.data[[#This Row],[SDate]],weather.tbl[Date],0))</f>
        <v>-19.399999999999999</v>
      </c>
      <c r="R400" s="2">
        <f ca="1">INDEX(INDIRECT(_xlfn.CONCAT("weather.tbl[",R$1,"]")),MATCH(vp.data[[#This Row],[SDate]],weather.tbl[Date],0))</f>
        <v>-21.8</v>
      </c>
      <c r="S400" s="2">
        <f ca="1">INDEX(INDIRECT(_xlfn.CONCAT("weather.tbl[",S$1,"]")),MATCH(vp.data[[#This Row],[SDate]],weather.tbl[Date],0))</f>
        <v>-19.3</v>
      </c>
      <c r="T400" s="2">
        <f ca="1">INDEX(INDIRECT(_xlfn.CONCAT("weather.tbl[",T$1,"]")),MATCH(vp.data[[#This Row],[SDate]],weather.tbl[Date],0))</f>
        <v>-21.1</v>
      </c>
      <c r="U400" s="2">
        <f ca="1">INDEX(INDIRECT(_xlfn.CONCAT("weather.tbl[",U$1,"]")),MATCH(vp.data[[#This Row],[SDate]],weather.tbl[Date],0))</f>
        <v>-21.5</v>
      </c>
      <c r="V400" s="2">
        <f t="array" ref="V4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00" t="s">
        <v>48</v>
      </c>
      <c r="X400">
        <f>IF(OR(vp.data[[#This Row],[Sulf]]="",vp.data[[#This Row],[Dens]]=""),1,0)</f>
        <v>0</v>
      </c>
      <c r="Y400">
        <f>IF(vp.data[[#This Row],[CrudeType]]="C5+",1,0)</f>
        <v>0</v>
      </c>
      <c r="Z400">
        <f>IF(AND(vp.data[[#This Row],[CrudeType]]="Crude",vp.data[[#This Row],[Dens]]&lt;=825,vp.data[[#This Row],[Sulf]]&gt;0.5,vp.data[[#This Row],[Unknown]]=0),1,0)</f>
        <v>0</v>
      </c>
      <c r="AA400">
        <f>IF(AND(vp.data[[#This Row],[CrudeType]]="Crude",vp.data[[#This Row],[Dens]]&lt;=825,vp.data[[#This Row],[Sulf]]&lt;=0.5,vp.data[[#This Row],[Unknown]]=0),1,0)</f>
        <v>0</v>
      </c>
      <c r="AB4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0">
        <f>IF(AND(vp.data[[#This Row],[CrudeType]]="Crude",vp.data[[#This Row],[Dens]]&gt;825,vp.data[[#This Row],[Dens]]&lt;=900,vp.data[[#This Row],[Sulf]]&lt;=0.5,vp.data[[#This Row],[Unknown]]=0),1,0)</f>
        <v>0</v>
      </c>
      <c r="AD400">
        <f>IF(AND(vp.data[[#This Row],[CrudeType]]="Crude",vp.data[[#This Row],[Dens]]&gt;865,vp.data[[#This Row],[Dens]]&lt;=900,vp.data[[#This Row],[Sulf]]&gt;2,vp.data[[#This Row],[Unknown]]=0),1,0)</f>
        <v>0</v>
      </c>
      <c r="AE400">
        <f>IF(AND(vp.data[[#This Row],[CrudeType]]="Crude",vp.data[[#This Row],[Dens]]&gt;900,vp.data[[#This Row],[Sulf]]&lt;=0.5,vp.data[[#This Row],[Unknown]]=0),1,0)</f>
        <v>0</v>
      </c>
      <c r="AF400">
        <f>IF(AND(vp.data[[#This Row],[CrudeType]]="Crude",vp.data[[#This Row],[Dens]]&gt;900,vp.data[[#This Row],[Sulf]]&lt;=0.5,vp.data[[#This Row],[Unknown]]=0),1,0)</f>
        <v>0</v>
      </c>
      <c r="AG400" t="str">
        <f>INDEX(vp.data[[#Headers],[Unknown]:[Heavy_SW]],MATCH(1,vp.data[[#This Row],[Unknown]:[Heavy_SW]],0))</f>
        <v>Medium_LSB</v>
      </c>
      <c r="AH400">
        <f>INDEX([3]!crudeBD.lkup[Number],MATCH(vp.data[[#This Row],[Crude_Breakdown]],crudeBD.lkup[Crude Breakdown],0))</f>
        <v>3</v>
      </c>
      <c r="AI400">
        <f>MONTH(vp.data[[#This Row],[SDate]])</f>
        <v>12</v>
      </c>
      <c r="AJ400" s="5">
        <f>(vp.data[[#This Row],[VP]]-INDEX(crudeBD.lkup[Mean_VP],MATCH(vp.data[[#This Row],[Crude_Breakdown]],crudeBD.lkup[Crude Breakdown],0)))^2</f>
        <v>1066.6967278674276</v>
      </c>
      <c r="AK400" s="5">
        <f>(vp.data[[#This Row],[Dens]]-INDEX(crudeBD.lkup[Mean_Dens],MATCH(vp.data[[#This Row],[Crude_Breakdown]],crudeBD.lkup[Crude Breakdown],0)))^2</f>
        <v>27.248399999994351</v>
      </c>
      <c r="AL400" s="5">
        <f>(vp.data[[#This Row],[Sulf]]-INDEX(crudeBD.lkup[Mean_Sulf],MATCH(vp.data[[#This Row],[Crude_Breakdown]],crudeBD.lkup[Crude Breakdown],0)))^2</f>
        <v>7.9224466159085044E-3</v>
      </c>
      <c r="AM400" s="4">
        <f>IF(AND(vp.data[[#This Row],[SDate]]&gt;=DATE(YEAR(vp.data[[#This Row],[SDate]]),5,1),vp.data[[#This Row],[SDate]]&lt;=DATE(YEAR(vp.data[[#This Row],[SDate]]),9,15)),1,0)</f>
        <v>0</v>
      </c>
      <c r="AN400" s="4">
        <f>IF(vp.data[[#This Row],[SDate]]&lt;DATE(2016,12,1),0,1)</f>
        <v>1</v>
      </c>
      <c r="AO400" s="4">
        <f>IFERROR(vp.data[[#This Row],[Sulf]]*vp.data[[#This Row],[Net Dens]],"")</f>
        <v>116179786.09839672</v>
      </c>
      <c r="AP400">
        <f>IFERROR(vp.data[[#This Row],[Dens]]*vp.data[[#This Row],[VolumeM3]],"")</f>
        <v>89617237.039800003</v>
      </c>
      <c r="AQ400" s="15">
        <f>IFERROR(vp.data[[#This Row],[VP]]*vp.data[[#This Row],[VolumeM3]],"")</f>
        <v>12106394.3682</v>
      </c>
    </row>
    <row r="401" spans="1:43" x14ac:dyDescent="0.25">
      <c r="A401">
        <v>400</v>
      </c>
      <c r="B401" t="s">
        <v>49</v>
      </c>
      <c r="C401" t="s">
        <v>49</v>
      </c>
      <c r="D401" t="s">
        <v>81</v>
      </c>
      <c r="F401" s="1">
        <v>42717</v>
      </c>
      <c r="G401" s="2">
        <v>95.3</v>
      </c>
      <c r="H401" s="2">
        <v>0.50931999999999999</v>
      </c>
      <c r="I401" s="2">
        <f t="array" ref="I401">_xlfn.IFNA(IF(vp.data[[#This Row],[Sulf Input]]="",INDEX([1]DATA!$Q$3:$Q$9826,MATCH(1,(vp.data[[#This Row],[Battery]]=[1]DATA!$L$3:$L$9826)*(EOMONTH(vp.data[[#This Row],[SDate]],-1)+1=[1]DATA!$G$3:$G$9826),0)),vp.data[[#This Row],[Sulf Input]]),"")</f>
        <v>0.50931999999999999</v>
      </c>
      <c r="J401" s="2">
        <v>1.9</v>
      </c>
      <c r="K401" s="2">
        <v>-25</v>
      </c>
      <c r="L401" s="2">
        <v>812</v>
      </c>
      <c r="M401" s="2">
        <f t="array" ref="M401">_xlfn.IFNA(IF(vp.data[[#This Row],[Dens Input]]="",INDEX([1]DATA!$O$3:$O$9826,MATCH(1,(vp.data[[#This Row],[Battery]]=[1]DATA!$L$3:$L$9826)*(EOMONTH(vp.data[[#This Row],[SDate]],-1)+1=[1]DATA!$G$3:$G$9826),0)),vp.data[[#This Row],[Dens Input]]),"")</f>
        <v>812</v>
      </c>
      <c r="N401" s="2">
        <f ca="1">INDEX(INDIRECT(_xlfn.CONCAT("weather.tbl[",N$1,"]")),MATCH(vp.data[[#This Row],[SDate]],weather.tbl[Date],0))</f>
        <v>-17.95</v>
      </c>
      <c r="O401" s="2">
        <f ca="1">INDEX(INDIRECT(_xlfn.CONCAT("weather.tbl[",O$1,"]")),MATCH(vp.data[[#This Row],[SDate]],weather.tbl[Date],0))</f>
        <v>-21.723809523809525</v>
      </c>
      <c r="P401" s="2">
        <f ca="1">INDEX(INDIRECT(_xlfn.CONCAT("weather.tbl[",P$1,"]")),MATCH(vp.data[[#This Row],[SDate]],weather.tbl[Date],0))</f>
        <v>-18.100000000000001</v>
      </c>
      <c r="Q401" s="2">
        <f ca="1">INDEX(INDIRECT(_xlfn.CONCAT("weather.tbl[",Q$1,"]")),MATCH(vp.data[[#This Row],[SDate]],weather.tbl[Date],0))</f>
        <v>-17.8</v>
      </c>
      <c r="R401" s="2">
        <f ca="1">INDEX(INDIRECT(_xlfn.CONCAT("weather.tbl[",R$1,"]")),MATCH(vp.data[[#This Row],[SDate]],weather.tbl[Date],0))</f>
        <v>-18.3</v>
      </c>
      <c r="S401" s="2">
        <f ca="1">INDEX(INDIRECT(_xlfn.CONCAT("weather.tbl[",S$1,"]")),MATCH(vp.data[[#This Row],[SDate]],weather.tbl[Date],0))</f>
        <v>-17</v>
      </c>
      <c r="T401" s="2">
        <f ca="1">INDEX(INDIRECT(_xlfn.CONCAT("weather.tbl[",T$1,"]")),MATCH(vp.data[[#This Row],[SDate]],weather.tbl[Date],0))</f>
        <v>-18</v>
      </c>
      <c r="U401" s="2">
        <f ca="1">INDEX(INDIRECT(_xlfn.CONCAT("weather.tbl[",U$1,"]")),MATCH(vp.data[[#This Row],[SDate]],weather.tbl[Date],0))</f>
        <v>-18.5</v>
      </c>
      <c r="V401" s="2">
        <f t="array" ref="V4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18538.562000000002</v>
      </c>
      <c r="W401" t="s">
        <v>48</v>
      </c>
      <c r="X401">
        <f>IF(OR(vp.data[[#This Row],[Sulf]]="",vp.data[[#This Row],[Dens]]=""),1,0)</f>
        <v>0</v>
      </c>
      <c r="Y401">
        <f>IF(vp.data[[#This Row],[CrudeType]]="C5+",1,0)</f>
        <v>0</v>
      </c>
      <c r="Z401">
        <f>IF(AND(vp.data[[#This Row],[CrudeType]]="Crude",vp.data[[#This Row],[Dens]]&lt;=825,vp.data[[#This Row],[Sulf]]&gt;0.5,vp.data[[#This Row],[Unknown]]=0),1,0)</f>
        <v>1</v>
      </c>
      <c r="AA401">
        <f>IF(AND(vp.data[[#This Row],[CrudeType]]="Crude",vp.data[[#This Row],[Dens]]&lt;=825,vp.data[[#This Row],[Sulf]]&lt;=0.5,vp.data[[#This Row],[Unknown]]=0),1,0)</f>
        <v>0</v>
      </c>
      <c r="AB4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01">
        <f>IF(AND(vp.data[[#This Row],[CrudeType]]="Crude",vp.data[[#This Row],[Dens]]&gt;825,vp.data[[#This Row],[Dens]]&lt;=900,vp.data[[#This Row],[Sulf]]&lt;=0.5,vp.data[[#This Row],[Unknown]]=0),1,0)</f>
        <v>0</v>
      </c>
      <c r="AD401">
        <f>IF(AND(vp.data[[#This Row],[CrudeType]]="Crude",vp.data[[#This Row],[Dens]]&gt;865,vp.data[[#This Row],[Dens]]&lt;=900,vp.data[[#This Row],[Sulf]]&gt;2,vp.data[[#This Row],[Unknown]]=0),1,0)</f>
        <v>0</v>
      </c>
      <c r="AE401">
        <f>IF(AND(vp.data[[#This Row],[CrudeType]]="Crude",vp.data[[#This Row],[Dens]]&gt;900,vp.data[[#This Row],[Sulf]]&lt;=0.5,vp.data[[#This Row],[Unknown]]=0),1,0)</f>
        <v>0</v>
      </c>
      <c r="AF401">
        <f>IF(AND(vp.data[[#This Row],[CrudeType]]="Crude",vp.data[[#This Row],[Dens]]&gt;900,vp.data[[#This Row],[Sulf]]&lt;=0.5,vp.data[[#This Row],[Unknown]]=0),1,0)</f>
        <v>0</v>
      </c>
      <c r="AG401" t="str">
        <f>INDEX(vp.data[[#Headers],[Unknown]:[Heavy_SW]],MATCH(1,vp.data[[#This Row],[Unknown]:[Heavy_SW]],0))</f>
        <v>Light_LSB</v>
      </c>
      <c r="AH401">
        <f>INDEX([3]!crudeBD.lkup[Number],MATCH(vp.data[[#This Row],[Crude_Breakdown]],crudeBD.lkup[Crude Breakdown],0))</f>
        <v>1</v>
      </c>
      <c r="AI401">
        <f>MONTH(vp.data[[#This Row],[SDate]])</f>
        <v>12</v>
      </c>
      <c r="AJ401" s="5">
        <f>(vp.data[[#This Row],[VP]]-INDEX(crudeBD.lkup[Mean_VP],MATCH(vp.data[[#This Row],[Crude_Breakdown]],crudeBD.lkup[Crude Breakdown],0)))^2</f>
        <v>14.091122797321459</v>
      </c>
      <c r="AK401" s="5">
        <f>(vp.data[[#This Row],[Dens]]-INDEX(crudeBD.lkup[Mean_Dens],MATCH(vp.data[[#This Row],[Crude_Breakdown]],crudeBD.lkup[Crude Breakdown],0)))^2</f>
        <v>42.468288097680158</v>
      </c>
      <c r="AL401" s="5">
        <f>(vp.data[[#This Row],[Sulf]]-INDEX(crudeBD.lkup[Mean_Sulf],MATCH(vp.data[[#This Row],[Crude_Breakdown]],crudeBD.lkup[Crude Breakdown],0)))^2</f>
        <v>0.17110728910617592</v>
      </c>
      <c r="AM401" s="4">
        <f>IF(AND(vp.data[[#This Row],[SDate]]&gt;=DATE(YEAR(vp.data[[#This Row],[SDate]]),5,1),vp.data[[#This Row],[SDate]]&lt;=DATE(YEAR(vp.data[[#This Row],[SDate]]),9,15)),1,0)</f>
        <v>0</v>
      </c>
      <c r="AN401" s="4">
        <f>IF(vp.data[[#This Row],[SDate]]&lt;DATE(2016,12,1),0,1)</f>
        <v>1</v>
      </c>
      <c r="AO401" s="4">
        <f>IFERROR(vp.data[[#This Row],[Sulf]]*vp.data[[#This Row],[Net Dens]],"")</f>
        <v>7666953.0430460805</v>
      </c>
      <c r="AP401">
        <f>IFERROR(vp.data[[#This Row],[Dens]]*vp.data[[#This Row],[VolumeM3]],"")</f>
        <v>15053312.344000001</v>
      </c>
      <c r="AQ401" s="15">
        <f>IFERROR(vp.data[[#This Row],[VP]]*vp.data[[#This Row],[VolumeM3]],"")</f>
        <v>1766724.9586</v>
      </c>
    </row>
    <row r="402" spans="1:43" x14ac:dyDescent="0.25">
      <c r="A402">
        <v>401</v>
      </c>
      <c r="B402" t="s">
        <v>96</v>
      </c>
      <c r="C402" t="s">
        <v>96</v>
      </c>
      <c r="D402" t="s">
        <v>97</v>
      </c>
      <c r="F402" s="1">
        <v>42717</v>
      </c>
      <c r="G402" s="2">
        <v>93.9</v>
      </c>
      <c r="H402" s="2">
        <v>0.80218999999999996</v>
      </c>
      <c r="I402" s="2">
        <f t="array" ref="I402">_xlfn.IFNA(IF(vp.data[[#This Row],[Sulf Input]]="",INDEX([1]DATA!$Q$3:$Q$9826,MATCH(1,(vp.data[[#This Row],[Battery]]=[1]DATA!$L$3:$L$9826)*(EOMONTH(vp.data[[#This Row],[SDate]],-1)+1=[1]DATA!$G$3:$G$9826),0)),vp.data[[#This Row],[Sulf Input]]),"")</f>
        <v>0.80218999999999996</v>
      </c>
      <c r="J402" s="2">
        <v>16</v>
      </c>
      <c r="K402" s="2">
        <v>-25</v>
      </c>
      <c r="L402" s="2">
        <v>825.7</v>
      </c>
      <c r="M402" s="2">
        <f t="array" ref="M402">_xlfn.IFNA(IF(vp.data[[#This Row],[Dens Input]]="",INDEX([1]DATA!$O$3:$O$9826,MATCH(1,(vp.data[[#This Row],[Battery]]=[1]DATA!$L$3:$L$9826)*(EOMONTH(vp.data[[#This Row],[SDate]],-1)+1=[1]DATA!$G$3:$G$9826),0)),vp.data[[#This Row],[Dens Input]]),"")</f>
        <v>825.7</v>
      </c>
      <c r="N402" s="2">
        <f ca="1">INDEX(INDIRECT(_xlfn.CONCAT("weather.tbl[",N$1,"]")),MATCH(vp.data[[#This Row],[SDate]],weather.tbl[Date],0))</f>
        <v>-17.95</v>
      </c>
      <c r="O402" s="2">
        <f ca="1">INDEX(INDIRECT(_xlfn.CONCAT("weather.tbl[",O$1,"]")),MATCH(vp.data[[#This Row],[SDate]],weather.tbl[Date],0))</f>
        <v>-21.723809523809525</v>
      </c>
      <c r="P402" s="2">
        <f ca="1">INDEX(INDIRECT(_xlfn.CONCAT("weather.tbl[",P$1,"]")),MATCH(vp.data[[#This Row],[SDate]],weather.tbl[Date],0))</f>
        <v>-18.100000000000001</v>
      </c>
      <c r="Q402" s="2">
        <f ca="1">INDEX(INDIRECT(_xlfn.CONCAT("weather.tbl[",Q$1,"]")),MATCH(vp.data[[#This Row],[SDate]],weather.tbl[Date],0))</f>
        <v>-17.8</v>
      </c>
      <c r="R402" s="2">
        <f ca="1">INDEX(INDIRECT(_xlfn.CONCAT("weather.tbl[",R$1,"]")),MATCH(vp.data[[#This Row],[SDate]],weather.tbl[Date],0))</f>
        <v>-18.3</v>
      </c>
      <c r="S402" s="2">
        <f ca="1">INDEX(INDIRECT(_xlfn.CONCAT("weather.tbl[",S$1,"]")),MATCH(vp.data[[#This Row],[SDate]],weather.tbl[Date],0))</f>
        <v>-17</v>
      </c>
      <c r="T402" s="2">
        <f ca="1">INDEX(INDIRECT(_xlfn.CONCAT("weather.tbl[",T$1,"]")),MATCH(vp.data[[#This Row],[SDate]],weather.tbl[Date],0))</f>
        <v>-18</v>
      </c>
      <c r="U402" s="2">
        <f ca="1">INDEX(INDIRECT(_xlfn.CONCAT("weather.tbl[",U$1,"]")),MATCH(vp.data[[#This Row],[SDate]],weather.tbl[Date],0))</f>
        <v>-18.5</v>
      </c>
      <c r="V402" s="2">
        <f t="array" ref="V4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8019.8959999999997</v>
      </c>
      <c r="W402" t="s">
        <v>48</v>
      </c>
      <c r="X402">
        <f>IF(OR(vp.data[[#This Row],[Sulf]]="",vp.data[[#This Row],[Dens]]=""),1,0)</f>
        <v>0</v>
      </c>
      <c r="Y402">
        <f>IF(vp.data[[#This Row],[CrudeType]]="C5+",1,0)</f>
        <v>0</v>
      </c>
      <c r="Z402">
        <f>IF(AND(vp.data[[#This Row],[CrudeType]]="Crude",vp.data[[#This Row],[Dens]]&lt;=825,vp.data[[#This Row],[Sulf]]&gt;0.5,vp.data[[#This Row],[Unknown]]=0),1,0)</f>
        <v>0</v>
      </c>
      <c r="AA402">
        <f>IF(AND(vp.data[[#This Row],[CrudeType]]="Crude",vp.data[[#This Row],[Dens]]&lt;=825,vp.data[[#This Row],[Sulf]]&lt;=0.5,vp.data[[#This Row],[Unknown]]=0),1,0)</f>
        <v>0</v>
      </c>
      <c r="AB4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2">
        <f>IF(AND(vp.data[[#This Row],[CrudeType]]="Crude",vp.data[[#This Row],[Dens]]&gt;825,vp.data[[#This Row],[Dens]]&lt;=900,vp.data[[#This Row],[Sulf]]&lt;=0.5,vp.data[[#This Row],[Unknown]]=0),1,0)</f>
        <v>0</v>
      </c>
      <c r="AD402">
        <f>IF(AND(vp.data[[#This Row],[CrudeType]]="Crude",vp.data[[#This Row],[Dens]]&gt;865,vp.data[[#This Row],[Dens]]&lt;=900,vp.data[[#This Row],[Sulf]]&gt;2,vp.data[[#This Row],[Unknown]]=0),1,0)</f>
        <v>0</v>
      </c>
      <c r="AE402">
        <f>IF(AND(vp.data[[#This Row],[CrudeType]]="Crude",vp.data[[#This Row],[Dens]]&gt;900,vp.data[[#This Row],[Sulf]]&lt;=0.5,vp.data[[#This Row],[Unknown]]=0),1,0)</f>
        <v>0</v>
      </c>
      <c r="AF402">
        <f>IF(AND(vp.data[[#This Row],[CrudeType]]="Crude",vp.data[[#This Row],[Dens]]&gt;900,vp.data[[#This Row],[Sulf]]&lt;=0.5,vp.data[[#This Row],[Unknown]]=0),1,0)</f>
        <v>0</v>
      </c>
      <c r="AG402" t="str">
        <f>INDEX(vp.data[[#Headers],[Unknown]:[Heavy_SW]],MATCH(1,vp.data[[#This Row],[Unknown]:[Heavy_SW]],0))</f>
        <v>Medium_LSB</v>
      </c>
      <c r="AH402">
        <f>INDEX([3]!crudeBD.lkup[Number],MATCH(vp.data[[#This Row],[Crude_Breakdown]],crudeBD.lkup[Crude Breakdown],0))</f>
        <v>3</v>
      </c>
      <c r="AI402">
        <f>MONTH(vp.data[[#This Row],[SDate]])</f>
        <v>12</v>
      </c>
      <c r="AJ402" s="5">
        <f>(vp.data[[#This Row],[VP]]-INDEX(crudeBD.lkup[Mean_VP],MATCH(vp.data[[#This Row],[Crude_Breakdown]],crudeBD.lkup[Crude Breakdown],0)))^2</f>
        <v>175.83617800219616</v>
      </c>
      <c r="AK402" s="5">
        <f>(vp.data[[#This Row],[Dens]]-INDEX(crudeBD.lkup[Mean_Dens],MATCH(vp.data[[#This Row],[Crude_Breakdown]],crudeBD.lkup[Crude Breakdown],0)))^2</f>
        <v>331.96839999998031</v>
      </c>
      <c r="AL402" s="5">
        <f>(vp.data[[#This Row],[Sulf]]-INDEX(crudeBD.lkup[Mean_Sulf],MATCH(vp.data[[#This Row],[Crude_Breakdown]],crudeBD.lkup[Crude Breakdown],0)))^2</f>
        <v>0.3401433832935381</v>
      </c>
      <c r="AM402" s="4">
        <f>IF(AND(vp.data[[#This Row],[SDate]]&gt;=DATE(YEAR(vp.data[[#This Row],[SDate]]),5,1),vp.data[[#This Row],[SDate]]&lt;=DATE(YEAR(vp.data[[#This Row],[SDate]]),9,15)),1,0)</f>
        <v>0</v>
      </c>
      <c r="AN402" s="4">
        <f>IF(vp.data[[#This Row],[SDate]]&lt;DATE(2016,12,1),0,1)</f>
        <v>1</v>
      </c>
      <c r="AO402" s="4">
        <f>IFERROR(vp.data[[#This Row],[Sulf]]*vp.data[[#This Row],[Net Dens]],"")</f>
        <v>5312124.7433585674</v>
      </c>
      <c r="AP402">
        <f>IFERROR(vp.data[[#This Row],[Dens]]*vp.data[[#This Row],[VolumeM3]],"")</f>
        <v>6622028.1272</v>
      </c>
      <c r="AQ402" s="15">
        <f>IFERROR(vp.data[[#This Row],[VP]]*vp.data[[#This Row],[VolumeM3]],"")</f>
        <v>753068.23440000007</v>
      </c>
    </row>
    <row r="403" spans="1:43" x14ac:dyDescent="0.25">
      <c r="A403">
        <v>402</v>
      </c>
      <c r="B403" t="s">
        <v>51</v>
      </c>
      <c r="C403" t="s">
        <v>51</v>
      </c>
      <c r="D403" t="s">
        <v>72</v>
      </c>
      <c r="F403" s="1">
        <v>42717</v>
      </c>
      <c r="G403" s="2">
        <v>104.4</v>
      </c>
      <c r="H403" s="2">
        <v>0.97926999999999997</v>
      </c>
      <c r="I403" s="2">
        <f t="array" ref="I403">_xlfn.IFNA(IF(vp.data[[#This Row],[Sulf Input]]="",INDEX([1]DATA!$Q$3:$Q$9826,MATCH(1,(vp.data[[#This Row],[Battery]]=[1]DATA!$L$3:$L$9826)*(EOMONTH(vp.data[[#This Row],[SDate]],-1)+1=[1]DATA!$G$3:$G$9826),0)),vp.data[[#This Row],[Sulf Input]]),"")</f>
        <v>0.97926999999999997</v>
      </c>
      <c r="J403" s="2">
        <v>10.7</v>
      </c>
      <c r="K403" s="2">
        <v>-25</v>
      </c>
      <c r="L403" s="2">
        <v>832</v>
      </c>
      <c r="M403" s="2">
        <f t="array" ref="M403">_xlfn.IFNA(IF(vp.data[[#This Row],[Dens Input]]="",INDEX([1]DATA!$O$3:$O$9826,MATCH(1,(vp.data[[#This Row],[Battery]]=[1]DATA!$L$3:$L$9826)*(EOMONTH(vp.data[[#This Row],[SDate]],-1)+1=[1]DATA!$G$3:$G$9826),0)),vp.data[[#This Row],[Dens Input]]),"")</f>
        <v>832</v>
      </c>
      <c r="N403" s="2">
        <f ca="1">INDEX(INDIRECT(_xlfn.CONCAT("weather.tbl[",N$1,"]")),MATCH(vp.data[[#This Row],[SDate]],weather.tbl[Date],0))</f>
        <v>-17.95</v>
      </c>
      <c r="O403" s="2">
        <f ca="1">INDEX(INDIRECT(_xlfn.CONCAT("weather.tbl[",O$1,"]")),MATCH(vp.data[[#This Row],[SDate]],weather.tbl[Date],0))</f>
        <v>-21.723809523809525</v>
      </c>
      <c r="P403" s="2">
        <f ca="1">INDEX(INDIRECT(_xlfn.CONCAT("weather.tbl[",P$1,"]")),MATCH(vp.data[[#This Row],[SDate]],weather.tbl[Date],0))</f>
        <v>-18.100000000000001</v>
      </c>
      <c r="Q403" s="2">
        <f ca="1">INDEX(INDIRECT(_xlfn.CONCAT("weather.tbl[",Q$1,"]")),MATCH(vp.data[[#This Row],[SDate]],weather.tbl[Date],0))</f>
        <v>-17.8</v>
      </c>
      <c r="R403" s="2">
        <f ca="1">INDEX(INDIRECT(_xlfn.CONCAT("weather.tbl[",R$1,"]")),MATCH(vp.data[[#This Row],[SDate]],weather.tbl[Date],0))</f>
        <v>-18.3</v>
      </c>
      <c r="S403" s="2">
        <f ca="1">INDEX(INDIRECT(_xlfn.CONCAT("weather.tbl[",S$1,"]")),MATCH(vp.data[[#This Row],[SDate]],weather.tbl[Date],0))</f>
        <v>-17</v>
      </c>
      <c r="T403" s="2">
        <f ca="1">INDEX(INDIRECT(_xlfn.CONCAT("weather.tbl[",T$1,"]")),MATCH(vp.data[[#This Row],[SDate]],weather.tbl[Date],0))</f>
        <v>-18</v>
      </c>
      <c r="U403" s="2">
        <f ca="1">INDEX(INDIRECT(_xlfn.CONCAT("weather.tbl[",U$1,"]")),MATCH(vp.data[[#This Row],[SDate]],weather.tbl[Date],0))</f>
        <v>-18.5</v>
      </c>
      <c r="V403" s="2">
        <f t="array" ref="V4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13705.843999999999</v>
      </c>
      <c r="W403" t="s">
        <v>48</v>
      </c>
      <c r="X403">
        <f>IF(OR(vp.data[[#This Row],[Sulf]]="",vp.data[[#This Row],[Dens]]=""),1,0)</f>
        <v>0</v>
      </c>
      <c r="Y403">
        <f>IF(vp.data[[#This Row],[CrudeType]]="C5+",1,0)</f>
        <v>0</v>
      </c>
      <c r="Z403">
        <f>IF(AND(vp.data[[#This Row],[CrudeType]]="Crude",vp.data[[#This Row],[Dens]]&lt;=825,vp.data[[#This Row],[Sulf]]&gt;0.5,vp.data[[#This Row],[Unknown]]=0),1,0)</f>
        <v>0</v>
      </c>
      <c r="AA403">
        <f>IF(AND(vp.data[[#This Row],[CrudeType]]="Crude",vp.data[[#This Row],[Dens]]&lt;=825,vp.data[[#This Row],[Sulf]]&lt;=0.5,vp.data[[#This Row],[Unknown]]=0),1,0)</f>
        <v>0</v>
      </c>
      <c r="AB4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3">
        <f>IF(AND(vp.data[[#This Row],[CrudeType]]="Crude",vp.data[[#This Row],[Dens]]&gt;825,vp.data[[#This Row],[Dens]]&lt;=900,vp.data[[#This Row],[Sulf]]&lt;=0.5,vp.data[[#This Row],[Unknown]]=0),1,0)</f>
        <v>0</v>
      </c>
      <c r="AD403">
        <f>IF(AND(vp.data[[#This Row],[CrudeType]]="Crude",vp.data[[#This Row],[Dens]]&gt;865,vp.data[[#This Row],[Dens]]&lt;=900,vp.data[[#This Row],[Sulf]]&gt;2,vp.data[[#This Row],[Unknown]]=0),1,0)</f>
        <v>0</v>
      </c>
      <c r="AE403">
        <f>IF(AND(vp.data[[#This Row],[CrudeType]]="Crude",vp.data[[#This Row],[Dens]]&gt;900,vp.data[[#This Row],[Sulf]]&lt;=0.5,vp.data[[#This Row],[Unknown]]=0),1,0)</f>
        <v>0</v>
      </c>
      <c r="AF403">
        <f>IF(AND(vp.data[[#This Row],[CrudeType]]="Crude",vp.data[[#This Row],[Dens]]&gt;900,vp.data[[#This Row],[Sulf]]&lt;=0.5,vp.data[[#This Row],[Unknown]]=0),1,0)</f>
        <v>0</v>
      </c>
      <c r="AG403" t="str">
        <f>INDEX(vp.data[[#Headers],[Unknown]:[Heavy_SW]],MATCH(1,vp.data[[#This Row],[Unknown]:[Heavy_SW]],0))</f>
        <v>Medium_LSB</v>
      </c>
      <c r="AH403">
        <f>INDEX([3]!crudeBD.lkup[Number],MATCH(vp.data[[#This Row],[Crude_Breakdown]],crudeBD.lkup[Crude Breakdown],0))</f>
        <v>3</v>
      </c>
      <c r="AI403">
        <f>MONTH(vp.data[[#This Row],[SDate]])</f>
        <v>12</v>
      </c>
      <c r="AJ403" s="5">
        <f>(vp.data[[#This Row],[VP]]-INDEX(crudeBD.lkup[Mean_VP],MATCH(vp.data[[#This Row],[Crude_Breakdown]],crudeBD.lkup[Crude Breakdown],0)))^2</f>
        <v>564.552970455028</v>
      </c>
      <c r="AK403" s="5">
        <f>(vp.data[[#This Row],[Dens]]-INDEX(crudeBD.lkup[Mean_Dens],MATCH(vp.data[[#This Row],[Crude_Breakdown]],crudeBD.lkup[Crude Breakdown],0)))^2</f>
        <v>142.08639999998817</v>
      </c>
      <c r="AL403" s="5">
        <f>(vp.data[[#This Row],[Sulf]]-INDEX(crudeBD.lkup[Mean_Sulf],MATCH(vp.data[[#This Row],[Crude_Breakdown]],crudeBD.lkup[Crude Breakdown],0)))^2</f>
        <v>0.1649481779469068</v>
      </c>
      <c r="AM403" s="4">
        <f>IF(AND(vp.data[[#This Row],[SDate]]&gt;=DATE(YEAR(vp.data[[#This Row],[SDate]]),5,1),vp.data[[#This Row],[SDate]]&lt;=DATE(YEAR(vp.data[[#This Row],[SDate]]),9,15)),1,0)</f>
        <v>0</v>
      </c>
      <c r="AN403" s="4">
        <f>IF(vp.data[[#This Row],[SDate]]&lt;DATE(2016,12,1),0,1)</f>
        <v>1</v>
      </c>
      <c r="AO403" s="4">
        <f>IFERROR(vp.data[[#This Row],[Sulf]]*vp.data[[#This Row],[Net Dens]],"")</f>
        <v>11166872.582428159</v>
      </c>
      <c r="AP403">
        <f>IFERROR(vp.data[[#This Row],[Dens]]*vp.data[[#This Row],[VolumeM3]],"")</f>
        <v>11403262.207999999</v>
      </c>
      <c r="AQ403" s="15">
        <f>IFERROR(vp.data[[#This Row],[VP]]*vp.data[[#This Row],[VolumeM3]],"")</f>
        <v>1430890.1136</v>
      </c>
    </row>
    <row r="404" spans="1:43" x14ac:dyDescent="0.25">
      <c r="A404">
        <v>403</v>
      </c>
      <c r="B404" t="s">
        <v>49</v>
      </c>
      <c r="C404" t="s">
        <v>49</v>
      </c>
      <c r="D404" t="s">
        <v>70</v>
      </c>
      <c r="F404" s="1">
        <v>42717</v>
      </c>
      <c r="G404" s="2">
        <v>88.9</v>
      </c>
      <c r="H404" s="2">
        <v>1.0921799999999999</v>
      </c>
      <c r="I404" s="2">
        <f t="array" ref="I404">_xlfn.IFNA(IF(vp.data[[#This Row],[Sulf Input]]="",INDEX([1]DATA!$Q$3:$Q$9826,MATCH(1,(vp.data[[#This Row],[Battery]]=[1]DATA!$L$3:$L$9826)*(EOMONTH(vp.data[[#This Row],[SDate]],-1)+1=[1]DATA!$G$3:$G$9826),0)),vp.data[[#This Row],[Sulf Input]]),"")</f>
        <v>1.0921799999999999</v>
      </c>
      <c r="J404" s="2">
        <v>5</v>
      </c>
      <c r="K404" s="2">
        <v>-25</v>
      </c>
      <c r="L404" s="2">
        <v>834</v>
      </c>
      <c r="M404" s="2">
        <f t="array" ref="M404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404" s="2">
        <f ca="1">INDEX(INDIRECT(_xlfn.CONCAT("weather.tbl[",N$1,"]")),MATCH(vp.data[[#This Row],[SDate]],weather.tbl[Date],0))</f>
        <v>-17.95</v>
      </c>
      <c r="O404" s="2">
        <f ca="1">INDEX(INDIRECT(_xlfn.CONCAT("weather.tbl[",O$1,"]")),MATCH(vp.data[[#This Row],[SDate]],weather.tbl[Date],0))</f>
        <v>-21.723809523809525</v>
      </c>
      <c r="P404" s="2">
        <f ca="1">INDEX(INDIRECT(_xlfn.CONCAT("weather.tbl[",P$1,"]")),MATCH(vp.data[[#This Row],[SDate]],weather.tbl[Date],0))</f>
        <v>-18.100000000000001</v>
      </c>
      <c r="Q404" s="2">
        <f ca="1">INDEX(INDIRECT(_xlfn.CONCAT("weather.tbl[",Q$1,"]")),MATCH(vp.data[[#This Row],[SDate]],weather.tbl[Date],0))</f>
        <v>-17.8</v>
      </c>
      <c r="R404" s="2">
        <f ca="1">INDEX(INDIRECT(_xlfn.CONCAT("weather.tbl[",R$1,"]")),MATCH(vp.data[[#This Row],[SDate]],weather.tbl[Date],0))</f>
        <v>-18.3</v>
      </c>
      <c r="S404" s="2">
        <f ca="1">INDEX(INDIRECT(_xlfn.CONCAT("weather.tbl[",S$1,"]")),MATCH(vp.data[[#This Row],[SDate]],weather.tbl[Date],0))</f>
        <v>-17</v>
      </c>
      <c r="T404" s="2">
        <f ca="1">INDEX(INDIRECT(_xlfn.CONCAT("weather.tbl[",T$1,"]")),MATCH(vp.data[[#This Row],[SDate]],weather.tbl[Date],0))</f>
        <v>-18</v>
      </c>
      <c r="U404" s="2">
        <f ca="1">INDEX(INDIRECT(_xlfn.CONCAT("weather.tbl[",U$1,"]")),MATCH(vp.data[[#This Row],[SDate]],weather.tbl[Date],0))</f>
        <v>-18.5</v>
      </c>
      <c r="V404" s="2">
        <f t="array" ref="V4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3704.3679999999999</v>
      </c>
      <c r="W404" t="s">
        <v>48</v>
      </c>
      <c r="X404">
        <f>IF(OR(vp.data[[#This Row],[Sulf]]="",vp.data[[#This Row],[Dens]]=""),1,0)</f>
        <v>0</v>
      </c>
      <c r="Y404">
        <f>IF(vp.data[[#This Row],[CrudeType]]="C5+",1,0)</f>
        <v>0</v>
      </c>
      <c r="Z404">
        <f>IF(AND(vp.data[[#This Row],[CrudeType]]="Crude",vp.data[[#This Row],[Dens]]&lt;=825,vp.data[[#This Row],[Sulf]]&gt;0.5,vp.data[[#This Row],[Unknown]]=0),1,0)</f>
        <v>0</v>
      </c>
      <c r="AA404">
        <f>IF(AND(vp.data[[#This Row],[CrudeType]]="Crude",vp.data[[#This Row],[Dens]]&lt;=825,vp.data[[#This Row],[Sulf]]&lt;=0.5,vp.data[[#This Row],[Unknown]]=0),1,0)</f>
        <v>0</v>
      </c>
      <c r="AB4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4">
        <f>IF(AND(vp.data[[#This Row],[CrudeType]]="Crude",vp.data[[#This Row],[Dens]]&gt;825,vp.data[[#This Row],[Dens]]&lt;=900,vp.data[[#This Row],[Sulf]]&lt;=0.5,vp.data[[#This Row],[Unknown]]=0),1,0)</f>
        <v>0</v>
      </c>
      <c r="AD404">
        <f>IF(AND(vp.data[[#This Row],[CrudeType]]="Crude",vp.data[[#This Row],[Dens]]&gt;865,vp.data[[#This Row],[Dens]]&lt;=900,vp.data[[#This Row],[Sulf]]&gt;2,vp.data[[#This Row],[Unknown]]=0),1,0)</f>
        <v>0</v>
      </c>
      <c r="AE404">
        <f>IF(AND(vp.data[[#This Row],[CrudeType]]="Crude",vp.data[[#This Row],[Dens]]&gt;900,vp.data[[#This Row],[Sulf]]&lt;=0.5,vp.data[[#This Row],[Unknown]]=0),1,0)</f>
        <v>0</v>
      </c>
      <c r="AF404">
        <f>IF(AND(vp.data[[#This Row],[CrudeType]]="Crude",vp.data[[#This Row],[Dens]]&gt;900,vp.data[[#This Row],[Sulf]]&lt;=0.5,vp.data[[#This Row],[Unknown]]=0),1,0)</f>
        <v>0</v>
      </c>
      <c r="AG404" t="str">
        <f>INDEX(vp.data[[#Headers],[Unknown]:[Heavy_SW]],MATCH(1,vp.data[[#This Row],[Unknown]:[Heavy_SW]],0))</f>
        <v>Medium_LSB</v>
      </c>
      <c r="AH404">
        <f>INDEX([3]!crudeBD.lkup[Number],MATCH(vp.data[[#This Row],[Crude_Breakdown]],crudeBD.lkup[Crude Breakdown],0))</f>
        <v>3</v>
      </c>
      <c r="AI404">
        <f>MONTH(vp.data[[#This Row],[SDate]])</f>
        <v>12</v>
      </c>
      <c r="AJ404" s="5">
        <f>(vp.data[[#This Row],[VP]]-INDEX(crudeBD.lkup[Mean_VP],MATCH(vp.data[[#This Row],[Crude_Breakdown]],crudeBD.lkup[Crude Breakdown],0)))^2</f>
        <v>68.232943500847682</v>
      </c>
      <c r="AK404" s="5">
        <f>(vp.data[[#This Row],[Dens]]-INDEX(crudeBD.lkup[Mean_Dens],MATCH(vp.data[[#This Row],[Crude_Breakdown]],crudeBD.lkup[Crude Breakdown],0)))^2</f>
        <v>98.406399999990171</v>
      </c>
      <c r="AL404" s="5">
        <f>(vp.data[[#This Row],[Sulf]]-INDEX(crudeBD.lkup[Mean_Sulf],MATCH(vp.data[[#This Row],[Crude_Breakdown]],crudeBD.lkup[Crude Breakdown],0)))^2</f>
        <v>8.598273427898194E-2</v>
      </c>
      <c r="AM404" s="4">
        <f>IF(AND(vp.data[[#This Row],[SDate]]&gt;=DATE(YEAR(vp.data[[#This Row],[SDate]]),5,1),vp.data[[#This Row],[SDate]]&lt;=DATE(YEAR(vp.data[[#This Row],[SDate]]),9,15)),1,0)</f>
        <v>0</v>
      </c>
      <c r="AN404" s="4">
        <f>IF(vp.data[[#This Row],[SDate]]&lt;DATE(2016,12,1),0,1)</f>
        <v>1</v>
      </c>
      <c r="AO404" s="4">
        <f>IFERROR(vp.data[[#This Row],[Sulf]]*vp.data[[#This Row],[Net Dens]],"")</f>
        <v>3374227.7596281599</v>
      </c>
      <c r="AP404">
        <f>IFERROR(vp.data[[#This Row],[Dens]]*vp.data[[#This Row],[VolumeM3]],"")</f>
        <v>3089442.912</v>
      </c>
      <c r="AQ404" s="15">
        <f>IFERROR(vp.data[[#This Row],[VP]]*vp.data[[#This Row],[VolumeM3]],"")</f>
        <v>329318.31520000001</v>
      </c>
    </row>
    <row r="405" spans="1:43" x14ac:dyDescent="0.25">
      <c r="A405">
        <v>404</v>
      </c>
      <c r="B405" t="s">
        <v>68</v>
      </c>
      <c r="C405" t="s">
        <v>68</v>
      </c>
      <c r="D405" t="s">
        <v>98</v>
      </c>
      <c r="F405" s="1">
        <v>42717</v>
      </c>
      <c r="G405" s="2">
        <v>64.900000000000006</v>
      </c>
      <c r="H405" s="2">
        <v>1.1419999999999999</v>
      </c>
      <c r="I405" s="2">
        <f t="array" ref="I405">_xlfn.IFNA(IF(vp.data[[#This Row],[Sulf Input]]="",INDEX([1]DATA!$Q$3:$Q$9826,MATCH(1,(vp.data[[#This Row],[Battery]]=[1]DATA!$L$3:$L$9826)*(EOMONTH(vp.data[[#This Row],[SDate]],-1)+1=[1]DATA!$G$3:$G$9826),0)),vp.data[[#This Row],[Sulf Input]]),"")</f>
        <v>1.1419999999999999</v>
      </c>
      <c r="J405" s="2">
        <v>26</v>
      </c>
      <c r="K405" s="2">
        <v>-25</v>
      </c>
      <c r="L405" s="2">
        <v>849.4</v>
      </c>
      <c r="M405" s="2">
        <f t="array" ref="M405">_xlfn.IFNA(IF(vp.data[[#This Row],[Dens Input]]="",INDEX([1]DATA!$O$3:$O$9826,MATCH(1,(vp.data[[#This Row],[Battery]]=[1]DATA!$L$3:$L$9826)*(EOMONTH(vp.data[[#This Row],[SDate]],-1)+1=[1]DATA!$G$3:$G$9826),0)),vp.data[[#This Row],[Dens Input]]),"")</f>
        <v>849.4</v>
      </c>
      <c r="N405" s="2">
        <f ca="1">INDEX(INDIRECT(_xlfn.CONCAT("weather.tbl[",N$1,"]")),MATCH(vp.data[[#This Row],[SDate]],weather.tbl[Date],0))</f>
        <v>-17.95</v>
      </c>
      <c r="O405" s="2">
        <f ca="1">INDEX(INDIRECT(_xlfn.CONCAT("weather.tbl[",O$1,"]")),MATCH(vp.data[[#This Row],[SDate]],weather.tbl[Date],0))</f>
        <v>-21.723809523809525</v>
      </c>
      <c r="P405" s="2">
        <f ca="1">INDEX(INDIRECT(_xlfn.CONCAT("weather.tbl[",P$1,"]")),MATCH(vp.data[[#This Row],[SDate]],weather.tbl[Date],0))</f>
        <v>-18.100000000000001</v>
      </c>
      <c r="Q405" s="2">
        <f ca="1">INDEX(INDIRECT(_xlfn.CONCAT("weather.tbl[",Q$1,"]")),MATCH(vp.data[[#This Row],[SDate]],weather.tbl[Date],0))</f>
        <v>-17.8</v>
      </c>
      <c r="R405" s="2">
        <f ca="1">INDEX(INDIRECT(_xlfn.CONCAT("weather.tbl[",R$1,"]")),MATCH(vp.data[[#This Row],[SDate]],weather.tbl[Date],0))</f>
        <v>-18.3</v>
      </c>
      <c r="S405" s="2">
        <f ca="1">INDEX(INDIRECT(_xlfn.CONCAT("weather.tbl[",S$1,"]")),MATCH(vp.data[[#This Row],[SDate]],weather.tbl[Date],0))</f>
        <v>-17</v>
      </c>
      <c r="T405" s="2">
        <f ca="1">INDEX(INDIRECT(_xlfn.CONCAT("weather.tbl[",T$1,"]")),MATCH(vp.data[[#This Row],[SDate]],weather.tbl[Date],0))</f>
        <v>-18</v>
      </c>
      <c r="U405" s="2">
        <f ca="1">INDEX(INDIRECT(_xlfn.CONCAT("weather.tbl[",U$1,"]")),MATCH(vp.data[[#This Row],[SDate]],weather.tbl[Date],0))</f>
        <v>-18.5</v>
      </c>
      <c r="V405" s="2">
        <f t="array" ref="V4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6151.0479999999998</v>
      </c>
      <c r="W405" t="s">
        <v>48</v>
      </c>
      <c r="X405">
        <f>IF(OR(vp.data[[#This Row],[Sulf]]="",vp.data[[#This Row],[Dens]]=""),1,0)</f>
        <v>0</v>
      </c>
      <c r="Y405">
        <f>IF(vp.data[[#This Row],[CrudeType]]="C5+",1,0)</f>
        <v>0</v>
      </c>
      <c r="Z405">
        <f>IF(AND(vp.data[[#This Row],[CrudeType]]="Crude",vp.data[[#This Row],[Dens]]&lt;=825,vp.data[[#This Row],[Sulf]]&gt;0.5,vp.data[[#This Row],[Unknown]]=0),1,0)</f>
        <v>0</v>
      </c>
      <c r="AA405">
        <f>IF(AND(vp.data[[#This Row],[CrudeType]]="Crude",vp.data[[#This Row],[Dens]]&lt;=825,vp.data[[#This Row],[Sulf]]&lt;=0.5,vp.data[[#This Row],[Unknown]]=0),1,0)</f>
        <v>0</v>
      </c>
      <c r="AB4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5">
        <f>IF(AND(vp.data[[#This Row],[CrudeType]]="Crude",vp.data[[#This Row],[Dens]]&gt;825,vp.data[[#This Row],[Dens]]&lt;=900,vp.data[[#This Row],[Sulf]]&lt;=0.5,vp.data[[#This Row],[Unknown]]=0),1,0)</f>
        <v>0</v>
      </c>
      <c r="AD405">
        <f>IF(AND(vp.data[[#This Row],[CrudeType]]="Crude",vp.data[[#This Row],[Dens]]&gt;865,vp.data[[#This Row],[Dens]]&lt;=900,vp.data[[#This Row],[Sulf]]&gt;2,vp.data[[#This Row],[Unknown]]=0),1,0)</f>
        <v>0</v>
      </c>
      <c r="AE405">
        <f>IF(AND(vp.data[[#This Row],[CrudeType]]="Crude",vp.data[[#This Row],[Dens]]&gt;900,vp.data[[#This Row],[Sulf]]&lt;=0.5,vp.data[[#This Row],[Unknown]]=0),1,0)</f>
        <v>0</v>
      </c>
      <c r="AF405">
        <f>IF(AND(vp.data[[#This Row],[CrudeType]]="Crude",vp.data[[#This Row],[Dens]]&gt;900,vp.data[[#This Row],[Sulf]]&lt;=0.5,vp.data[[#This Row],[Unknown]]=0),1,0)</f>
        <v>0</v>
      </c>
      <c r="AG405" t="str">
        <f>INDEX(vp.data[[#Headers],[Unknown]:[Heavy_SW]],MATCH(1,vp.data[[#This Row],[Unknown]:[Heavy_SW]],0))</f>
        <v>Medium_LSB</v>
      </c>
      <c r="AH405">
        <f>INDEX([3]!crudeBD.lkup[Number],MATCH(vp.data[[#This Row],[Crude_Breakdown]],crudeBD.lkup[Crude Breakdown],0))</f>
        <v>3</v>
      </c>
      <c r="AI405">
        <f>MONTH(vp.data[[#This Row],[SDate]])</f>
        <v>12</v>
      </c>
      <c r="AJ405" s="5">
        <f>(vp.data[[#This Row],[VP]]-INDEX(crudeBD.lkup[Mean_VP],MATCH(vp.data[[#This Row],[Crude_Breakdown]],crudeBD.lkup[Crude Breakdown],0)))^2</f>
        <v>247.73741789437497</v>
      </c>
      <c r="AK405" s="5">
        <f>(vp.data[[#This Row],[Dens]]-INDEX(crudeBD.lkup[Mean_Dens],MATCH(vp.data[[#This Row],[Crude_Breakdown]],crudeBD.lkup[Crude Breakdown],0)))^2</f>
        <v>30.030400000005184</v>
      </c>
      <c r="AL405" s="5">
        <f>(vp.data[[#This Row],[Sulf]]-INDEX(crudeBD.lkup[Mean_Sulf],MATCH(vp.data[[#This Row],[Crude_Breakdown]],crudeBD.lkup[Crude Breakdown],0)))^2</f>
        <v>5.9247516136124653E-2</v>
      </c>
      <c r="AM405" s="4">
        <f>IF(AND(vp.data[[#This Row],[SDate]]&gt;=DATE(YEAR(vp.data[[#This Row],[SDate]]),5,1),vp.data[[#This Row],[SDate]]&lt;=DATE(YEAR(vp.data[[#This Row],[SDate]]),9,15)),1,0)</f>
        <v>0</v>
      </c>
      <c r="AN405" s="4">
        <f>IF(vp.data[[#This Row],[SDate]]&lt;DATE(2016,12,1),0,1)</f>
        <v>1</v>
      </c>
      <c r="AO405" s="4">
        <f>IFERROR(vp.data[[#This Row],[Sulf]]*vp.data[[#This Row],[Net Dens]],"")</f>
        <v>5966607.595510399</v>
      </c>
      <c r="AP405">
        <f>IFERROR(vp.data[[#This Row],[Dens]]*vp.data[[#This Row],[VolumeM3]],"")</f>
        <v>5224700.1711999997</v>
      </c>
      <c r="AQ405" s="15">
        <f>IFERROR(vp.data[[#This Row],[VP]]*vp.data[[#This Row],[VolumeM3]],"")</f>
        <v>399203.01520000002</v>
      </c>
    </row>
    <row r="406" spans="1:43" x14ac:dyDescent="0.25">
      <c r="A406">
        <v>405</v>
      </c>
      <c r="B406" t="s">
        <v>49</v>
      </c>
      <c r="C406" t="s">
        <v>49</v>
      </c>
      <c r="D406" t="s">
        <v>59</v>
      </c>
      <c r="F406" s="1">
        <v>42717</v>
      </c>
      <c r="G406" s="2">
        <v>87.9</v>
      </c>
      <c r="H406" s="2">
        <v>1.4367700000000001</v>
      </c>
      <c r="I406" s="2">
        <f t="array" ref="I406">_xlfn.IFNA(IF(vp.data[[#This Row],[Sulf Input]]="",INDEX([1]DATA!$Q$3:$Q$9826,MATCH(1,(vp.data[[#This Row],[Battery]]=[1]DATA!$L$3:$L$9826)*(EOMONTH(vp.data[[#This Row],[SDate]],-1)+1=[1]DATA!$G$3:$G$9826),0)),vp.data[[#This Row],[Sulf Input]]),"")</f>
        <v>1.4367700000000001</v>
      </c>
      <c r="J406" s="2">
        <v>18</v>
      </c>
      <c r="K406" s="2">
        <v>-25</v>
      </c>
      <c r="L406" s="2">
        <v>845</v>
      </c>
      <c r="M406" s="2">
        <f t="array" ref="M406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406" s="2">
        <f ca="1">INDEX(INDIRECT(_xlfn.CONCAT("weather.tbl[",N$1,"]")),MATCH(vp.data[[#This Row],[SDate]],weather.tbl[Date],0))</f>
        <v>-17.95</v>
      </c>
      <c r="O406" s="2">
        <f ca="1">INDEX(INDIRECT(_xlfn.CONCAT("weather.tbl[",O$1,"]")),MATCH(vp.data[[#This Row],[SDate]],weather.tbl[Date],0))</f>
        <v>-21.723809523809525</v>
      </c>
      <c r="P406" s="2">
        <f ca="1">INDEX(INDIRECT(_xlfn.CONCAT("weather.tbl[",P$1,"]")),MATCH(vp.data[[#This Row],[SDate]],weather.tbl[Date],0))</f>
        <v>-18.100000000000001</v>
      </c>
      <c r="Q406" s="2">
        <f ca="1">INDEX(INDIRECT(_xlfn.CONCAT("weather.tbl[",Q$1,"]")),MATCH(vp.data[[#This Row],[SDate]],weather.tbl[Date],0))</f>
        <v>-17.8</v>
      </c>
      <c r="R406" s="2">
        <f ca="1">INDEX(INDIRECT(_xlfn.CONCAT("weather.tbl[",R$1,"]")),MATCH(vp.data[[#This Row],[SDate]],weather.tbl[Date],0))</f>
        <v>-18.3</v>
      </c>
      <c r="S406" s="2">
        <f ca="1">INDEX(INDIRECT(_xlfn.CONCAT("weather.tbl[",S$1,"]")),MATCH(vp.data[[#This Row],[SDate]],weather.tbl[Date],0))</f>
        <v>-17</v>
      </c>
      <c r="T406" s="2">
        <f ca="1">INDEX(INDIRECT(_xlfn.CONCAT("weather.tbl[",T$1,"]")),MATCH(vp.data[[#This Row],[SDate]],weather.tbl[Date],0))</f>
        <v>-18</v>
      </c>
      <c r="U406" s="2">
        <f ca="1">INDEX(INDIRECT(_xlfn.CONCAT("weather.tbl[",U$1,"]")),MATCH(vp.data[[#This Row],[SDate]],weather.tbl[Date],0))</f>
        <v>-18.5</v>
      </c>
      <c r="V406" s="2">
        <f t="array" ref="V4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1579.0039999999999</v>
      </c>
      <c r="W406" t="s">
        <v>48</v>
      </c>
      <c r="X406">
        <f>IF(OR(vp.data[[#This Row],[Sulf]]="",vp.data[[#This Row],[Dens]]=""),1,0)</f>
        <v>0</v>
      </c>
      <c r="Y406">
        <f>IF(vp.data[[#This Row],[CrudeType]]="C5+",1,0)</f>
        <v>0</v>
      </c>
      <c r="Z406">
        <f>IF(AND(vp.data[[#This Row],[CrudeType]]="Crude",vp.data[[#This Row],[Dens]]&lt;=825,vp.data[[#This Row],[Sulf]]&gt;0.5,vp.data[[#This Row],[Unknown]]=0),1,0)</f>
        <v>0</v>
      </c>
      <c r="AA406">
        <f>IF(AND(vp.data[[#This Row],[CrudeType]]="Crude",vp.data[[#This Row],[Dens]]&lt;=825,vp.data[[#This Row],[Sulf]]&lt;=0.5,vp.data[[#This Row],[Unknown]]=0),1,0)</f>
        <v>0</v>
      </c>
      <c r="AB4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6">
        <f>IF(AND(vp.data[[#This Row],[CrudeType]]="Crude",vp.data[[#This Row],[Dens]]&gt;825,vp.data[[#This Row],[Dens]]&lt;=900,vp.data[[#This Row],[Sulf]]&lt;=0.5,vp.data[[#This Row],[Unknown]]=0),1,0)</f>
        <v>0</v>
      </c>
      <c r="AD406">
        <f>IF(AND(vp.data[[#This Row],[CrudeType]]="Crude",vp.data[[#This Row],[Dens]]&gt;865,vp.data[[#This Row],[Dens]]&lt;=900,vp.data[[#This Row],[Sulf]]&gt;2,vp.data[[#This Row],[Unknown]]=0),1,0)</f>
        <v>0</v>
      </c>
      <c r="AE406">
        <f>IF(AND(vp.data[[#This Row],[CrudeType]]="Crude",vp.data[[#This Row],[Dens]]&gt;900,vp.data[[#This Row],[Sulf]]&lt;=0.5,vp.data[[#This Row],[Unknown]]=0),1,0)</f>
        <v>0</v>
      </c>
      <c r="AF406">
        <f>IF(AND(vp.data[[#This Row],[CrudeType]]="Crude",vp.data[[#This Row],[Dens]]&gt;900,vp.data[[#This Row],[Sulf]]&lt;=0.5,vp.data[[#This Row],[Unknown]]=0),1,0)</f>
        <v>0</v>
      </c>
      <c r="AG406" t="str">
        <f>INDEX(vp.data[[#Headers],[Unknown]:[Heavy_SW]],MATCH(1,vp.data[[#This Row],[Unknown]:[Heavy_SW]],0))</f>
        <v>Medium_LSB</v>
      </c>
      <c r="AH406">
        <f>INDEX([3]!crudeBD.lkup[Number],MATCH(vp.data[[#This Row],[Crude_Breakdown]],crudeBD.lkup[Crude Breakdown],0))</f>
        <v>3</v>
      </c>
      <c r="AI406">
        <f>MONTH(vp.data[[#This Row],[SDate]])</f>
        <v>12</v>
      </c>
      <c r="AJ406" s="5">
        <f>(vp.data[[#This Row],[VP]]-INDEX(crudeBD.lkup[Mean_VP],MATCH(vp.data[[#This Row],[Crude_Breakdown]],crudeBD.lkup[Crude Breakdown],0)))^2</f>
        <v>52.712296600577986</v>
      </c>
      <c r="AK406" s="5">
        <f>(vp.data[[#This Row],[Dens]]-INDEX(crudeBD.lkup[Mean_Dens],MATCH(vp.data[[#This Row],[Crude_Breakdown]],crudeBD.lkup[Crude Breakdown],0)))^2</f>
        <v>1.1664000000010706</v>
      </c>
      <c r="AL406" s="5">
        <f>(vp.data[[#This Row],[Sulf]]-INDEX(crudeBD.lkup[Mean_Sulf],MATCH(vp.data[[#This Row],[Crude_Breakdown]],crudeBD.lkup[Crude Breakdown],0)))^2</f>
        <v>2.6380420304633425E-3</v>
      </c>
      <c r="AM406" s="4">
        <f>IF(AND(vp.data[[#This Row],[SDate]]&gt;=DATE(YEAR(vp.data[[#This Row],[SDate]]),5,1),vp.data[[#This Row],[SDate]]&lt;=DATE(YEAR(vp.data[[#This Row],[SDate]]),9,15)),1,0)</f>
        <v>0</v>
      </c>
      <c r="AN406" s="4">
        <f>IF(vp.data[[#This Row],[SDate]]&lt;DATE(2016,12,1),0,1)</f>
        <v>1</v>
      </c>
      <c r="AO406" s="4">
        <f>IFERROR(vp.data[[#This Row],[Sulf]]*vp.data[[#This Row],[Net Dens]],"")</f>
        <v>1917022.4126325999</v>
      </c>
      <c r="AP406">
        <f>IFERROR(vp.data[[#This Row],[Dens]]*vp.data[[#This Row],[VolumeM3]],"")</f>
        <v>1334258.3799999999</v>
      </c>
      <c r="AQ406" s="15">
        <f>IFERROR(vp.data[[#This Row],[VP]]*vp.data[[#This Row],[VolumeM3]],"")</f>
        <v>138794.4516</v>
      </c>
    </row>
    <row r="407" spans="1:43" x14ac:dyDescent="0.25">
      <c r="A407">
        <v>406</v>
      </c>
      <c r="B407" t="s">
        <v>51</v>
      </c>
      <c r="C407" t="s">
        <v>51</v>
      </c>
      <c r="D407" t="s">
        <v>66</v>
      </c>
      <c r="F407" s="1">
        <v>42717</v>
      </c>
      <c r="G407" s="2">
        <v>102.3</v>
      </c>
      <c r="H407" s="2">
        <v>1.70048</v>
      </c>
      <c r="I407" s="2">
        <f t="array" ref="I407">_xlfn.IFNA(IF(vp.data[[#This Row],[Sulf Input]]="",INDEX([1]DATA!$Q$3:$Q$9826,MATCH(1,(vp.data[[#This Row],[Battery]]=[1]DATA!$L$3:$L$9826)*(EOMONTH(vp.data[[#This Row],[SDate]],-1)+1=[1]DATA!$G$3:$G$9826),0)),vp.data[[#This Row],[Sulf Input]]),"")</f>
        <v>1.70048</v>
      </c>
      <c r="J407" s="2">
        <v>-8.6999999999999993</v>
      </c>
      <c r="K407" s="2">
        <v>-25</v>
      </c>
      <c r="L407" s="2">
        <v>825</v>
      </c>
      <c r="M407" s="2">
        <f t="array" ref="M407">_xlfn.IFNA(IF(vp.data[[#This Row],[Dens Input]]="",INDEX([1]DATA!$O$3:$O$9826,MATCH(1,(vp.data[[#This Row],[Battery]]=[1]DATA!$L$3:$L$9826)*(EOMONTH(vp.data[[#This Row],[SDate]],-1)+1=[1]DATA!$G$3:$G$9826),0)),vp.data[[#This Row],[Dens Input]]),"")</f>
        <v>825</v>
      </c>
      <c r="N407" s="2">
        <f ca="1">INDEX(INDIRECT(_xlfn.CONCAT("weather.tbl[",N$1,"]")),MATCH(vp.data[[#This Row],[SDate]],weather.tbl[Date],0))</f>
        <v>-17.95</v>
      </c>
      <c r="O407" s="2">
        <f ca="1">INDEX(INDIRECT(_xlfn.CONCAT("weather.tbl[",O$1,"]")),MATCH(vp.data[[#This Row],[SDate]],weather.tbl[Date],0))</f>
        <v>-21.723809523809525</v>
      </c>
      <c r="P407" s="2">
        <f ca="1">INDEX(INDIRECT(_xlfn.CONCAT("weather.tbl[",P$1,"]")),MATCH(vp.data[[#This Row],[SDate]],weather.tbl[Date],0))</f>
        <v>-18.100000000000001</v>
      </c>
      <c r="Q407" s="2">
        <f ca="1">INDEX(INDIRECT(_xlfn.CONCAT("weather.tbl[",Q$1,"]")),MATCH(vp.data[[#This Row],[SDate]],weather.tbl[Date],0))</f>
        <v>-17.8</v>
      </c>
      <c r="R407" s="2">
        <f ca="1">INDEX(INDIRECT(_xlfn.CONCAT("weather.tbl[",R$1,"]")),MATCH(vp.data[[#This Row],[SDate]],weather.tbl[Date],0))</f>
        <v>-18.3</v>
      </c>
      <c r="S407" s="2">
        <f ca="1">INDEX(INDIRECT(_xlfn.CONCAT("weather.tbl[",S$1,"]")),MATCH(vp.data[[#This Row],[SDate]],weather.tbl[Date],0))</f>
        <v>-17</v>
      </c>
      <c r="T407" s="2">
        <f ca="1">INDEX(INDIRECT(_xlfn.CONCAT("weather.tbl[",T$1,"]")),MATCH(vp.data[[#This Row],[SDate]],weather.tbl[Date],0))</f>
        <v>-18</v>
      </c>
      <c r="U407" s="2">
        <f ca="1">INDEX(INDIRECT(_xlfn.CONCAT("weather.tbl[",U$1,"]")),MATCH(vp.data[[#This Row],[SDate]],weather.tbl[Date],0))</f>
        <v>-18.5</v>
      </c>
      <c r="V407" s="2">
        <f t="array" ref="V4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4410.2439999999997</v>
      </c>
      <c r="W407" t="s">
        <v>48</v>
      </c>
      <c r="X407">
        <f>IF(OR(vp.data[[#This Row],[Sulf]]="",vp.data[[#This Row],[Dens]]=""),1,0)</f>
        <v>0</v>
      </c>
      <c r="Y407">
        <f>IF(vp.data[[#This Row],[CrudeType]]="C5+",1,0)</f>
        <v>0</v>
      </c>
      <c r="Z407">
        <f>IF(AND(vp.data[[#This Row],[CrudeType]]="Crude",vp.data[[#This Row],[Dens]]&lt;=825,vp.data[[#This Row],[Sulf]]&gt;0.5,vp.data[[#This Row],[Unknown]]=0),1,0)</f>
        <v>1</v>
      </c>
      <c r="AA407">
        <f>IF(AND(vp.data[[#This Row],[CrudeType]]="Crude",vp.data[[#This Row],[Dens]]&lt;=825,vp.data[[#This Row],[Sulf]]&lt;=0.5,vp.data[[#This Row],[Unknown]]=0),1,0)</f>
        <v>0</v>
      </c>
      <c r="AB4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07">
        <f>IF(AND(vp.data[[#This Row],[CrudeType]]="Crude",vp.data[[#This Row],[Dens]]&gt;825,vp.data[[#This Row],[Dens]]&lt;=900,vp.data[[#This Row],[Sulf]]&lt;=0.5,vp.data[[#This Row],[Unknown]]=0),1,0)</f>
        <v>0</v>
      </c>
      <c r="AD407">
        <f>IF(AND(vp.data[[#This Row],[CrudeType]]="Crude",vp.data[[#This Row],[Dens]]&gt;865,vp.data[[#This Row],[Dens]]&lt;=900,vp.data[[#This Row],[Sulf]]&gt;2,vp.data[[#This Row],[Unknown]]=0),1,0)</f>
        <v>0</v>
      </c>
      <c r="AE407">
        <f>IF(AND(vp.data[[#This Row],[CrudeType]]="Crude",vp.data[[#This Row],[Dens]]&gt;900,vp.data[[#This Row],[Sulf]]&lt;=0.5,vp.data[[#This Row],[Unknown]]=0),1,0)</f>
        <v>0</v>
      </c>
      <c r="AF407">
        <f>IF(AND(vp.data[[#This Row],[CrudeType]]="Crude",vp.data[[#This Row],[Dens]]&gt;900,vp.data[[#This Row],[Sulf]]&lt;=0.5,vp.data[[#This Row],[Unknown]]=0),1,0)</f>
        <v>0</v>
      </c>
      <c r="AG407" t="str">
        <f>INDEX(vp.data[[#Headers],[Unknown]:[Heavy_SW]],MATCH(1,vp.data[[#This Row],[Unknown]:[Heavy_SW]],0))</f>
        <v>Light_LSB</v>
      </c>
      <c r="AH407">
        <f>INDEX([3]!crudeBD.lkup[Number],MATCH(vp.data[[#This Row],[Crude_Breakdown]],crudeBD.lkup[Crude Breakdown],0))</f>
        <v>1</v>
      </c>
      <c r="AI407">
        <f>MONTH(vp.data[[#This Row],[SDate]])</f>
        <v>12</v>
      </c>
      <c r="AJ407" s="5">
        <f>(vp.data[[#This Row],[VP]]-INDEX(crudeBD.lkup[Mean_VP],MATCH(vp.data[[#This Row],[Crude_Breakdown]],crudeBD.lkup[Crude Breakdown],0)))^2</f>
        <v>115.64452485917666</v>
      </c>
      <c r="AK407" s="5">
        <f>(vp.data[[#This Row],[Dens]]-INDEX(crudeBD.lkup[Mean_Dens],MATCH(vp.data[[#This Row],[Crude_Breakdown]],crudeBD.lkup[Crude Breakdown],0)))^2</f>
        <v>42.032274351983858</v>
      </c>
      <c r="AL407" s="5">
        <f>(vp.data[[#This Row],[Sulf]]-INDEX(crudeBD.lkup[Mean_Sulf],MATCH(vp.data[[#This Row],[Crude_Breakdown]],crudeBD.lkup[Crude Breakdown],0)))^2</f>
        <v>0.60451998323950984</v>
      </c>
      <c r="AM407" s="4">
        <f>IF(AND(vp.data[[#This Row],[SDate]]&gt;=DATE(YEAR(vp.data[[#This Row],[SDate]]),5,1),vp.data[[#This Row],[SDate]]&lt;=DATE(YEAR(vp.data[[#This Row],[SDate]]),9,15)),1,0)</f>
        <v>0</v>
      </c>
      <c r="AN407" s="4">
        <f>IF(vp.data[[#This Row],[SDate]]&lt;DATE(2016,12,1),0,1)</f>
        <v>1</v>
      </c>
      <c r="AO407" s="4">
        <f>IFERROR(vp.data[[#This Row],[Sulf]]*vp.data[[#This Row],[Net Dens]],"")</f>
        <v>6187113.6666239994</v>
      </c>
      <c r="AP407">
        <f>IFERROR(vp.data[[#This Row],[Dens]]*vp.data[[#This Row],[VolumeM3]],"")</f>
        <v>3638451.3</v>
      </c>
      <c r="AQ407" s="15">
        <f>IFERROR(vp.data[[#This Row],[VP]]*vp.data[[#This Row],[VolumeM3]],"")</f>
        <v>451167.96119999996</v>
      </c>
    </row>
    <row r="408" spans="1:43" x14ac:dyDescent="0.25">
      <c r="A408">
        <v>407</v>
      </c>
      <c r="B408" t="s">
        <v>68</v>
      </c>
      <c r="C408" t="s">
        <v>68</v>
      </c>
      <c r="D408" t="s">
        <v>69</v>
      </c>
      <c r="F408" s="1">
        <v>42717</v>
      </c>
      <c r="G408" s="2">
        <v>79.900000000000006</v>
      </c>
      <c r="H408" s="2">
        <v>1.7335700000000001</v>
      </c>
      <c r="I408" s="2">
        <f t="array" ref="I408">_xlfn.IFNA(IF(vp.data[[#This Row],[Sulf Input]]="",INDEX([1]DATA!$Q$3:$Q$9826,MATCH(1,(vp.data[[#This Row],[Battery]]=[1]DATA!$L$3:$L$9826)*(EOMONTH(vp.data[[#This Row],[SDate]],-1)+1=[1]DATA!$G$3:$G$9826),0)),vp.data[[#This Row],[Sulf Input]]),"")</f>
        <v>1.7335700000000001</v>
      </c>
      <c r="J408" s="2">
        <v>6.7</v>
      </c>
      <c r="K408" s="2">
        <v>-25</v>
      </c>
      <c r="L408" s="2">
        <v>862.8</v>
      </c>
      <c r="M408" s="2">
        <f t="array" ref="M408">_xlfn.IFNA(IF(vp.data[[#This Row],[Dens Input]]="",INDEX([1]DATA!$O$3:$O$9826,MATCH(1,(vp.data[[#This Row],[Battery]]=[1]DATA!$L$3:$L$9826)*(EOMONTH(vp.data[[#This Row],[SDate]],-1)+1=[1]DATA!$G$3:$G$9826),0)),vp.data[[#This Row],[Dens Input]]),"")</f>
        <v>862.8</v>
      </c>
      <c r="N408" s="2">
        <f ca="1">INDEX(INDIRECT(_xlfn.CONCAT("weather.tbl[",N$1,"]")),MATCH(vp.data[[#This Row],[SDate]],weather.tbl[Date],0))</f>
        <v>-17.95</v>
      </c>
      <c r="O408" s="2">
        <f ca="1">INDEX(INDIRECT(_xlfn.CONCAT("weather.tbl[",O$1,"]")),MATCH(vp.data[[#This Row],[SDate]],weather.tbl[Date],0))</f>
        <v>-21.723809523809525</v>
      </c>
      <c r="P408" s="2">
        <f ca="1">INDEX(INDIRECT(_xlfn.CONCAT("weather.tbl[",P$1,"]")),MATCH(vp.data[[#This Row],[SDate]],weather.tbl[Date],0))</f>
        <v>-18.100000000000001</v>
      </c>
      <c r="Q408" s="2">
        <f ca="1">INDEX(INDIRECT(_xlfn.CONCAT("weather.tbl[",Q$1,"]")),MATCH(vp.data[[#This Row],[SDate]],weather.tbl[Date],0))</f>
        <v>-17.8</v>
      </c>
      <c r="R408" s="2">
        <f ca="1">INDEX(INDIRECT(_xlfn.CONCAT("weather.tbl[",R$1,"]")),MATCH(vp.data[[#This Row],[SDate]],weather.tbl[Date],0))</f>
        <v>-18.3</v>
      </c>
      <c r="S408" s="2">
        <f ca="1">INDEX(INDIRECT(_xlfn.CONCAT("weather.tbl[",S$1,"]")),MATCH(vp.data[[#This Row],[SDate]],weather.tbl[Date],0))</f>
        <v>-17</v>
      </c>
      <c r="T408" s="2">
        <f ca="1">INDEX(INDIRECT(_xlfn.CONCAT("weather.tbl[",T$1,"]")),MATCH(vp.data[[#This Row],[SDate]],weather.tbl[Date],0))</f>
        <v>-18</v>
      </c>
      <c r="U408" s="2">
        <f ca="1">INDEX(INDIRECT(_xlfn.CONCAT("weather.tbl[",U$1,"]")),MATCH(vp.data[[#This Row],[SDate]],weather.tbl[Date],0))</f>
        <v>-18.5</v>
      </c>
      <c r="V408" s="2">
        <f t="array" ref="V4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1520.0329999999999</v>
      </c>
      <c r="W408" t="s">
        <v>48</v>
      </c>
      <c r="X408">
        <f>IF(OR(vp.data[[#This Row],[Sulf]]="",vp.data[[#This Row],[Dens]]=""),1,0)</f>
        <v>0</v>
      </c>
      <c r="Y408">
        <f>IF(vp.data[[#This Row],[CrudeType]]="C5+",1,0)</f>
        <v>0</v>
      </c>
      <c r="Z408">
        <f>IF(AND(vp.data[[#This Row],[CrudeType]]="Crude",vp.data[[#This Row],[Dens]]&lt;=825,vp.data[[#This Row],[Sulf]]&gt;0.5,vp.data[[#This Row],[Unknown]]=0),1,0)</f>
        <v>0</v>
      </c>
      <c r="AA408">
        <f>IF(AND(vp.data[[#This Row],[CrudeType]]="Crude",vp.data[[#This Row],[Dens]]&lt;=825,vp.data[[#This Row],[Sulf]]&lt;=0.5,vp.data[[#This Row],[Unknown]]=0),1,0)</f>
        <v>0</v>
      </c>
      <c r="AB4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8">
        <f>IF(AND(vp.data[[#This Row],[CrudeType]]="Crude",vp.data[[#This Row],[Dens]]&gt;825,vp.data[[#This Row],[Dens]]&lt;=900,vp.data[[#This Row],[Sulf]]&lt;=0.5,vp.data[[#This Row],[Unknown]]=0),1,0)</f>
        <v>0</v>
      </c>
      <c r="AD408">
        <f>IF(AND(vp.data[[#This Row],[CrudeType]]="Crude",vp.data[[#This Row],[Dens]]&gt;865,vp.data[[#This Row],[Dens]]&lt;=900,vp.data[[#This Row],[Sulf]]&gt;2,vp.data[[#This Row],[Unknown]]=0),1,0)</f>
        <v>0</v>
      </c>
      <c r="AE408">
        <f>IF(AND(vp.data[[#This Row],[CrudeType]]="Crude",vp.data[[#This Row],[Dens]]&gt;900,vp.data[[#This Row],[Sulf]]&lt;=0.5,vp.data[[#This Row],[Unknown]]=0),1,0)</f>
        <v>0</v>
      </c>
      <c r="AF408">
        <f>IF(AND(vp.data[[#This Row],[CrudeType]]="Crude",vp.data[[#This Row],[Dens]]&gt;900,vp.data[[#This Row],[Sulf]]&lt;=0.5,vp.data[[#This Row],[Unknown]]=0),1,0)</f>
        <v>0</v>
      </c>
      <c r="AG408" t="str">
        <f>INDEX(vp.data[[#Headers],[Unknown]:[Heavy_SW]],MATCH(1,vp.data[[#This Row],[Unknown]:[Heavy_SW]],0))</f>
        <v>Medium_LSB</v>
      </c>
      <c r="AH408">
        <f>INDEX([3]!crudeBD.lkup[Number],MATCH(vp.data[[#This Row],[Crude_Breakdown]],crudeBD.lkup[Crude Breakdown],0))</f>
        <v>3</v>
      </c>
      <c r="AI408">
        <f>MONTH(vp.data[[#This Row],[SDate]])</f>
        <v>12</v>
      </c>
      <c r="AJ408" s="5">
        <f>(vp.data[[#This Row],[VP]]-INDEX(crudeBD.lkup[Mean_VP],MATCH(vp.data[[#This Row],[Crude_Breakdown]],crudeBD.lkup[Crude Breakdown],0)))^2</f>
        <v>0.54712139842041452</v>
      </c>
      <c r="AK408" s="5">
        <f>(vp.data[[#This Row],[Dens]]-INDEX(crudeBD.lkup[Mean_Dens],MATCH(vp.data[[#This Row],[Crude_Breakdown]],crudeBD.lkup[Crude Breakdown],0)))^2</f>
        <v>356.45440000001702</v>
      </c>
      <c r="AL408" s="5">
        <f>(vp.data[[#This Row],[Sulf]]-INDEX(crudeBD.lkup[Mean_Sulf],MATCH(vp.data[[#This Row],[Crude_Breakdown]],crudeBD.lkup[Crude Breakdown],0)))^2</f>
        <v>0.12121669003046247</v>
      </c>
      <c r="AM408" s="4">
        <f>IF(AND(vp.data[[#This Row],[SDate]]&gt;=DATE(YEAR(vp.data[[#This Row],[SDate]]),5,1),vp.data[[#This Row],[SDate]]&lt;=DATE(YEAR(vp.data[[#This Row],[SDate]]),9,15)),1,0)</f>
        <v>0</v>
      </c>
      <c r="AN408" s="4">
        <f>IF(vp.data[[#This Row],[SDate]]&lt;DATE(2016,12,1),0,1)</f>
        <v>1</v>
      </c>
      <c r="AO408" s="4">
        <f>IFERROR(vp.data[[#This Row],[Sulf]]*vp.data[[#This Row],[Net Dens]],"")</f>
        <v>2273550.1368184676</v>
      </c>
      <c r="AP408">
        <f>IFERROR(vp.data[[#This Row],[Dens]]*vp.data[[#This Row],[VolumeM3]],"")</f>
        <v>1311484.4723999999</v>
      </c>
      <c r="AQ408" s="15">
        <f>IFERROR(vp.data[[#This Row],[VP]]*vp.data[[#This Row],[VolumeM3]],"")</f>
        <v>121450.6367</v>
      </c>
    </row>
    <row r="409" spans="1:43" x14ac:dyDescent="0.25">
      <c r="A409">
        <v>408</v>
      </c>
      <c r="B409" t="s">
        <v>68</v>
      </c>
      <c r="C409" t="s">
        <v>68</v>
      </c>
      <c r="D409" t="s">
        <v>69</v>
      </c>
      <c r="F409" s="1">
        <v>42717</v>
      </c>
      <c r="G409" s="2">
        <v>104.4</v>
      </c>
      <c r="H409" s="2"/>
      <c r="I409" s="2">
        <f t="array" ref="I409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409" s="2"/>
      <c r="K409" s="2"/>
      <c r="L409" s="2">
        <v>864.4</v>
      </c>
      <c r="M409" s="2">
        <f t="array" ref="M409">_xlfn.IFNA(IF(vp.data[[#This Row],[Dens Input]]="",INDEX([1]DATA!$O$3:$O$9826,MATCH(1,(vp.data[[#This Row],[Battery]]=[1]DATA!$L$3:$L$9826)*(EOMONTH(vp.data[[#This Row],[SDate]],-1)+1=[1]DATA!$G$3:$G$9826),0)),vp.data[[#This Row],[Dens Input]]),"")</f>
        <v>864.4</v>
      </c>
      <c r="N409" s="2">
        <f ca="1">INDEX(INDIRECT(_xlfn.CONCAT("weather.tbl[",N$1,"]")),MATCH(vp.data[[#This Row],[SDate]],weather.tbl[Date],0))</f>
        <v>-17.95</v>
      </c>
      <c r="O409" s="2">
        <f ca="1">INDEX(INDIRECT(_xlfn.CONCAT("weather.tbl[",O$1,"]")),MATCH(vp.data[[#This Row],[SDate]],weather.tbl[Date],0))</f>
        <v>-21.723809523809525</v>
      </c>
      <c r="P409" s="2">
        <f ca="1">INDEX(INDIRECT(_xlfn.CONCAT("weather.tbl[",P$1,"]")),MATCH(vp.data[[#This Row],[SDate]],weather.tbl[Date],0))</f>
        <v>-18.100000000000001</v>
      </c>
      <c r="Q409" s="2">
        <f ca="1">INDEX(INDIRECT(_xlfn.CONCAT("weather.tbl[",Q$1,"]")),MATCH(vp.data[[#This Row],[SDate]],weather.tbl[Date],0))</f>
        <v>-17.8</v>
      </c>
      <c r="R409" s="2">
        <f ca="1">INDEX(INDIRECT(_xlfn.CONCAT("weather.tbl[",R$1,"]")),MATCH(vp.data[[#This Row],[SDate]],weather.tbl[Date],0))</f>
        <v>-18.3</v>
      </c>
      <c r="S409" s="2">
        <f ca="1">INDEX(INDIRECT(_xlfn.CONCAT("weather.tbl[",S$1,"]")),MATCH(vp.data[[#This Row],[SDate]],weather.tbl[Date],0))</f>
        <v>-17</v>
      </c>
      <c r="T409" s="2">
        <f ca="1">INDEX(INDIRECT(_xlfn.CONCAT("weather.tbl[",T$1,"]")),MATCH(vp.data[[#This Row],[SDate]],weather.tbl[Date],0))</f>
        <v>-18</v>
      </c>
      <c r="U409" s="2">
        <f ca="1">INDEX(INDIRECT(_xlfn.CONCAT("weather.tbl[",U$1,"]")),MATCH(vp.data[[#This Row],[SDate]],weather.tbl[Date],0))</f>
        <v>-18.5</v>
      </c>
      <c r="V409" s="2">
        <f t="array" ref="V4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1520.0329999999999</v>
      </c>
      <c r="W409" t="s">
        <v>48</v>
      </c>
      <c r="X409">
        <f>IF(OR(vp.data[[#This Row],[Sulf]]="",vp.data[[#This Row],[Dens]]=""),1,0)</f>
        <v>0</v>
      </c>
      <c r="Y409">
        <f>IF(vp.data[[#This Row],[CrudeType]]="C5+",1,0)</f>
        <v>0</v>
      </c>
      <c r="Z409">
        <f>IF(AND(vp.data[[#This Row],[CrudeType]]="Crude",vp.data[[#This Row],[Dens]]&lt;=825,vp.data[[#This Row],[Sulf]]&gt;0.5,vp.data[[#This Row],[Unknown]]=0),1,0)</f>
        <v>0</v>
      </c>
      <c r="AA409">
        <f>IF(AND(vp.data[[#This Row],[CrudeType]]="Crude",vp.data[[#This Row],[Dens]]&lt;=825,vp.data[[#This Row],[Sulf]]&lt;=0.5,vp.data[[#This Row],[Unknown]]=0),1,0)</f>
        <v>0</v>
      </c>
      <c r="AB4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09">
        <f>IF(AND(vp.data[[#This Row],[CrudeType]]="Crude",vp.data[[#This Row],[Dens]]&gt;825,vp.data[[#This Row],[Dens]]&lt;=900,vp.data[[#This Row],[Sulf]]&lt;=0.5,vp.data[[#This Row],[Unknown]]=0),1,0)</f>
        <v>0</v>
      </c>
      <c r="AD409">
        <f>IF(AND(vp.data[[#This Row],[CrudeType]]="Crude",vp.data[[#This Row],[Dens]]&gt;865,vp.data[[#This Row],[Dens]]&lt;=900,vp.data[[#This Row],[Sulf]]&gt;2,vp.data[[#This Row],[Unknown]]=0),1,0)</f>
        <v>0</v>
      </c>
      <c r="AE409">
        <f>IF(AND(vp.data[[#This Row],[CrudeType]]="Crude",vp.data[[#This Row],[Dens]]&gt;900,vp.data[[#This Row],[Sulf]]&lt;=0.5,vp.data[[#This Row],[Unknown]]=0),1,0)</f>
        <v>0</v>
      </c>
      <c r="AF409">
        <f>IF(AND(vp.data[[#This Row],[CrudeType]]="Crude",vp.data[[#This Row],[Dens]]&gt;900,vp.data[[#This Row],[Sulf]]&lt;=0.5,vp.data[[#This Row],[Unknown]]=0),1,0)</f>
        <v>0</v>
      </c>
      <c r="AG409" t="str">
        <f>INDEX(vp.data[[#Headers],[Unknown]:[Heavy_SW]],MATCH(1,vp.data[[#This Row],[Unknown]:[Heavy_SW]],0))</f>
        <v>Medium_LSB</v>
      </c>
      <c r="AH409">
        <f>INDEX([3]!crudeBD.lkup[Number],MATCH(vp.data[[#This Row],[Crude_Breakdown]],crudeBD.lkup[Crude Breakdown],0))</f>
        <v>3</v>
      </c>
      <c r="AI409">
        <f>MONTH(vp.data[[#This Row],[SDate]])</f>
        <v>12</v>
      </c>
      <c r="AJ409" s="5">
        <f>(vp.data[[#This Row],[VP]]-INDEX(crudeBD.lkup[Mean_VP],MATCH(vp.data[[#This Row],[Crude_Breakdown]],crudeBD.lkup[Crude Breakdown],0)))^2</f>
        <v>564.552970455028</v>
      </c>
      <c r="AK409" s="5">
        <f>(vp.data[[#This Row],[Dens]]-INDEX(crudeBD.lkup[Mean_Dens],MATCH(vp.data[[#This Row],[Crude_Breakdown]],crudeBD.lkup[Crude Breakdown],0)))^2</f>
        <v>419.43040000001935</v>
      </c>
      <c r="AL409" s="5">
        <f>(vp.data[[#This Row],[Sulf]]-INDEX(crudeBD.lkup[Mean_Sulf],MATCH(vp.data[[#This Row],[Crude_Breakdown]],crudeBD.lkup[Crude Breakdown],0)))^2</f>
        <v>0.12573539662129798</v>
      </c>
      <c r="AM409" s="4">
        <f>IF(AND(vp.data[[#This Row],[SDate]]&gt;=DATE(YEAR(vp.data[[#This Row],[SDate]]),5,1),vp.data[[#This Row],[SDate]]&lt;=DATE(YEAR(vp.data[[#This Row],[SDate]]),9,15)),1,0)</f>
        <v>0</v>
      </c>
      <c r="AN409" s="4">
        <f>IF(vp.data[[#This Row],[SDate]]&lt;DATE(2016,12,1),0,1)</f>
        <v>1</v>
      </c>
      <c r="AO409" s="4">
        <f>IFERROR(vp.data[[#This Row],[Sulf]]*vp.data[[#This Row],[Net Dens]],"")</f>
        <v>2286214.7538479995</v>
      </c>
      <c r="AP409">
        <f>IFERROR(vp.data[[#This Row],[Dens]]*vp.data[[#This Row],[VolumeM3]],"")</f>
        <v>1313916.5251999998</v>
      </c>
      <c r="AQ409" s="15">
        <f>IFERROR(vp.data[[#This Row],[VP]]*vp.data[[#This Row],[VolumeM3]],"")</f>
        <v>158691.44519999999</v>
      </c>
    </row>
    <row r="410" spans="1:43" x14ac:dyDescent="0.25">
      <c r="A410">
        <v>409</v>
      </c>
      <c r="B410" t="s">
        <v>53</v>
      </c>
      <c r="C410" t="s">
        <v>53</v>
      </c>
      <c r="D410" t="s">
        <v>54</v>
      </c>
      <c r="E410" t="s">
        <v>73</v>
      </c>
      <c r="F410" s="1">
        <v>42718</v>
      </c>
      <c r="G410" s="2">
        <v>53.7</v>
      </c>
      <c r="H410" s="2">
        <v>0.35604999999999998</v>
      </c>
      <c r="I410" s="2">
        <f t="array" ref="I410">_xlfn.IFNA(IF(vp.data[[#This Row],[Sulf Input]]="",INDEX([1]DATA!$Q$3:$Q$9826,MATCH(1,(vp.data[[#This Row],[Battery]]=[1]DATA!$L$3:$L$9826)*(EOMONTH(vp.data[[#This Row],[SDate]],-1)+1=[1]DATA!$G$3:$G$9826),0)),vp.data[[#This Row],[Sulf Input]]),"")</f>
        <v>0.35604999999999998</v>
      </c>
      <c r="J410" s="2">
        <v>3</v>
      </c>
      <c r="K410" s="2">
        <v>-25</v>
      </c>
      <c r="L410" s="2">
        <v>830</v>
      </c>
      <c r="M410" s="2">
        <f t="array" ref="M410">_xlfn.IFNA(IF(vp.data[[#This Row],[Dens Input]]="",INDEX([1]DATA!$O$3:$O$9826,MATCH(1,(vp.data[[#This Row],[Battery]]=[1]DATA!$L$3:$L$9826)*(EOMONTH(vp.data[[#This Row],[SDate]],-1)+1=[1]DATA!$G$3:$G$9826),0)),vp.data[[#This Row],[Dens Input]]),"")</f>
        <v>830</v>
      </c>
      <c r="N410" s="2">
        <f ca="1">INDEX(INDIRECT(_xlfn.CONCAT("weather.tbl[",N$1,"]")),MATCH(vp.data[[#This Row],[SDate]],weather.tbl[Date],0))</f>
        <v>-23.216666666666669</v>
      </c>
      <c r="O410" s="2">
        <f ca="1">INDEX(INDIRECT(_xlfn.CONCAT("weather.tbl[",O$1,"]")),MATCH(vp.data[[#This Row],[SDate]],weather.tbl[Date],0))</f>
        <v>-22.707142857142859</v>
      </c>
      <c r="P410" s="2">
        <f ca="1">INDEX(INDIRECT(_xlfn.CONCAT("weather.tbl[",P$1,"]")),MATCH(vp.data[[#This Row],[SDate]],weather.tbl[Date],0))</f>
        <v>-24.1</v>
      </c>
      <c r="Q410" s="2">
        <f ca="1">INDEX(INDIRECT(_xlfn.CONCAT("weather.tbl[",Q$1,"]")),MATCH(vp.data[[#This Row],[SDate]],weather.tbl[Date],0))</f>
        <v>-24.3</v>
      </c>
      <c r="R410" s="2">
        <f ca="1">INDEX(INDIRECT(_xlfn.CONCAT("weather.tbl[",R$1,"]")),MATCH(vp.data[[#This Row],[SDate]],weather.tbl[Date],0))</f>
        <v>-23</v>
      </c>
      <c r="S410" s="2">
        <f ca="1">INDEX(INDIRECT(_xlfn.CONCAT("weather.tbl[",S$1,"]")),MATCH(vp.data[[#This Row],[SDate]],weather.tbl[Date],0))</f>
        <v>-20.8</v>
      </c>
      <c r="T410" s="2">
        <f ca="1">INDEX(INDIRECT(_xlfn.CONCAT("weather.tbl[",T$1,"]")),MATCH(vp.data[[#This Row],[SDate]],weather.tbl[Date],0))</f>
        <v>-23.6</v>
      </c>
      <c r="U410" s="2">
        <f ca="1">INDEX(INDIRECT(_xlfn.CONCAT("weather.tbl[",U$1,"]")),MATCH(vp.data[[#This Row],[SDate]],weather.tbl[Date],0))</f>
        <v>-23.5</v>
      </c>
      <c r="V410" s="2">
        <f t="array" ref="V4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53327.86</v>
      </c>
      <c r="W410" t="s">
        <v>48</v>
      </c>
      <c r="X410">
        <f>IF(OR(vp.data[[#This Row],[Sulf]]="",vp.data[[#This Row],[Dens]]=""),1,0)</f>
        <v>0</v>
      </c>
      <c r="Y410">
        <f>IF(vp.data[[#This Row],[CrudeType]]="C5+",1,0)</f>
        <v>0</v>
      </c>
      <c r="Z410">
        <f>IF(AND(vp.data[[#This Row],[CrudeType]]="Crude",vp.data[[#This Row],[Dens]]&lt;=825,vp.data[[#This Row],[Sulf]]&gt;0.5,vp.data[[#This Row],[Unknown]]=0),1,0)</f>
        <v>0</v>
      </c>
      <c r="AA410">
        <f>IF(AND(vp.data[[#This Row],[CrudeType]]="Crude",vp.data[[#This Row],[Dens]]&lt;=825,vp.data[[#This Row],[Sulf]]&lt;=0.5,vp.data[[#This Row],[Unknown]]=0),1,0)</f>
        <v>0</v>
      </c>
      <c r="AB4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0">
        <f>IF(AND(vp.data[[#This Row],[CrudeType]]="Crude",vp.data[[#This Row],[Dens]]&gt;825,vp.data[[#This Row],[Dens]]&lt;=900,vp.data[[#This Row],[Sulf]]&lt;=0.5,vp.data[[#This Row],[Unknown]]=0),1,0)</f>
        <v>1</v>
      </c>
      <c r="AD410">
        <f>IF(AND(vp.data[[#This Row],[CrudeType]]="Crude",vp.data[[#This Row],[Dens]]&gt;865,vp.data[[#This Row],[Dens]]&lt;=900,vp.data[[#This Row],[Sulf]]&gt;2,vp.data[[#This Row],[Unknown]]=0),1,0)</f>
        <v>0</v>
      </c>
      <c r="AE410">
        <f>IF(AND(vp.data[[#This Row],[CrudeType]]="Crude",vp.data[[#This Row],[Dens]]&gt;900,vp.data[[#This Row],[Sulf]]&lt;=0.5,vp.data[[#This Row],[Unknown]]=0),1,0)</f>
        <v>0</v>
      </c>
      <c r="AF410">
        <f>IF(AND(vp.data[[#This Row],[CrudeType]]="Crude",vp.data[[#This Row],[Dens]]&gt;900,vp.data[[#This Row],[Sulf]]&lt;=0.5,vp.data[[#This Row],[Unknown]]=0),1,0)</f>
        <v>0</v>
      </c>
      <c r="AG410" t="str">
        <f>INDEX(vp.data[[#Headers],[Unknown]:[Heavy_SW]],MATCH(1,vp.data[[#This Row],[Unknown]:[Heavy_SW]],0))</f>
        <v>Medium_SW</v>
      </c>
      <c r="AH410">
        <f>INDEX([3]!crudeBD.lkup[Number],MATCH(vp.data[[#This Row],[Crude_Breakdown]],crudeBD.lkup[Crude Breakdown],0))</f>
        <v>4</v>
      </c>
      <c r="AI410">
        <f>MONTH(vp.data[[#This Row],[SDate]])</f>
        <v>12</v>
      </c>
      <c r="AJ410" s="5">
        <f>(vp.data[[#This Row],[VP]]-INDEX(crudeBD.lkup[Mean_VP],MATCH(vp.data[[#This Row],[Crude_Breakdown]],crudeBD.lkup[Crude Breakdown],0)))^2</f>
        <v>937.38027777777825</v>
      </c>
      <c r="AK410" s="5">
        <f>(vp.data[[#This Row],[Dens]]-INDEX(crudeBD.lkup[Mean_Dens],MATCH(vp.data[[#This Row],[Crude_Breakdown]],crudeBD.lkup[Crude Breakdown],0)))^2</f>
        <v>745.29000000000372</v>
      </c>
      <c r="AL410" s="5">
        <f>(vp.data[[#This Row],[Sulf]]-INDEX(crudeBD.lkup[Mean_Sulf],MATCH(vp.data[[#This Row],[Crude_Breakdown]],crudeBD.lkup[Crude Breakdown],0)))^2</f>
        <v>3.1519208832249998E-2</v>
      </c>
      <c r="AM410" s="4">
        <f>IF(AND(vp.data[[#This Row],[SDate]]&gt;=DATE(YEAR(vp.data[[#This Row],[SDate]]),5,1),vp.data[[#This Row],[SDate]]&lt;=DATE(YEAR(vp.data[[#This Row],[SDate]]),9,15)),1,0)</f>
        <v>0</v>
      </c>
      <c r="AN410" s="4">
        <f>IF(vp.data[[#This Row],[SDate]]&lt;DATE(2016,12,1),0,1)</f>
        <v>1</v>
      </c>
      <c r="AO410" s="4">
        <f>IFERROR(vp.data[[#This Row],[Sulf]]*vp.data[[#This Row],[Net Dens]],"")</f>
        <v>15759529.178989997</v>
      </c>
      <c r="AP410">
        <f>IFERROR(vp.data[[#This Row],[Dens]]*vp.data[[#This Row],[VolumeM3]],"")</f>
        <v>44262123.799999997</v>
      </c>
      <c r="AQ410" s="15">
        <f>IFERROR(vp.data[[#This Row],[VP]]*vp.data[[#This Row],[VolumeM3]],"")</f>
        <v>2863706.0820000004</v>
      </c>
    </row>
    <row r="411" spans="1:43" x14ac:dyDescent="0.25">
      <c r="A411">
        <v>410</v>
      </c>
      <c r="B411" t="s">
        <v>53</v>
      </c>
      <c r="C411" t="s">
        <v>53</v>
      </c>
      <c r="D411" t="s">
        <v>54</v>
      </c>
      <c r="E411" t="s">
        <v>55</v>
      </c>
      <c r="F411" s="1">
        <v>42718</v>
      </c>
      <c r="G411" s="2">
        <v>97.5</v>
      </c>
      <c r="H411" s="2">
        <v>1.6127100000000001</v>
      </c>
      <c r="I411" s="2">
        <f t="array" ref="I411">_xlfn.IFNA(IF(vp.data[[#This Row],[Sulf Input]]="",INDEX([1]DATA!$Q$3:$Q$9826,MATCH(1,(vp.data[[#This Row],[Battery]]=[1]DATA!$L$3:$L$9826)*(EOMONTH(vp.data[[#This Row],[SDate]],-1)+1=[1]DATA!$G$3:$G$9826),0)),vp.data[[#This Row],[Sulf Input]]),"")</f>
        <v>1.6127100000000001</v>
      </c>
      <c r="J411" s="2">
        <v>0.5</v>
      </c>
      <c r="K411" s="2">
        <v>-25</v>
      </c>
      <c r="L411" s="2">
        <v>833</v>
      </c>
      <c r="M411" s="2">
        <f t="array" ref="M411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411" s="2">
        <f ca="1">INDEX(INDIRECT(_xlfn.CONCAT("weather.tbl[",N$1,"]")),MATCH(vp.data[[#This Row],[SDate]],weather.tbl[Date],0))</f>
        <v>-23.216666666666669</v>
      </c>
      <c r="O411" s="2">
        <f ca="1">INDEX(INDIRECT(_xlfn.CONCAT("weather.tbl[",O$1,"]")),MATCH(vp.data[[#This Row],[SDate]],weather.tbl[Date],0))</f>
        <v>-22.707142857142859</v>
      </c>
      <c r="P411" s="2">
        <f ca="1">INDEX(INDIRECT(_xlfn.CONCAT("weather.tbl[",P$1,"]")),MATCH(vp.data[[#This Row],[SDate]],weather.tbl[Date],0))</f>
        <v>-24.1</v>
      </c>
      <c r="Q411" s="2">
        <f ca="1">INDEX(INDIRECT(_xlfn.CONCAT("weather.tbl[",Q$1,"]")),MATCH(vp.data[[#This Row],[SDate]],weather.tbl[Date],0))</f>
        <v>-24.3</v>
      </c>
      <c r="R411" s="2">
        <f ca="1">INDEX(INDIRECT(_xlfn.CONCAT("weather.tbl[",R$1,"]")),MATCH(vp.data[[#This Row],[SDate]],weather.tbl[Date],0))</f>
        <v>-23</v>
      </c>
      <c r="S411" s="2">
        <f ca="1">INDEX(INDIRECT(_xlfn.CONCAT("weather.tbl[",S$1,"]")),MATCH(vp.data[[#This Row],[SDate]],weather.tbl[Date],0))</f>
        <v>-20.8</v>
      </c>
      <c r="T411" s="2">
        <f ca="1">INDEX(INDIRECT(_xlfn.CONCAT("weather.tbl[",T$1,"]")),MATCH(vp.data[[#This Row],[SDate]],weather.tbl[Date],0))</f>
        <v>-23.6</v>
      </c>
      <c r="U411" s="2">
        <f ca="1">INDEX(INDIRECT(_xlfn.CONCAT("weather.tbl[",U$1,"]")),MATCH(vp.data[[#This Row],[SDate]],weather.tbl[Date],0))</f>
        <v>-23.5</v>
      </c>
      <c r="V411" s="2">
        <f t="array" ref="V4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53327.86</v>
      </c>
      <c r="W411" t="s">
        <v>48</v>
      </c>
      <c r="X411">
        <f>IF(OR(vp.data[[#This Row],[Sulf]]="",vp.data[[#This Row],[Dens]]=""),1,0)</f>
        <v>0</v>
      </c>
      <c r="Y411">
        <f>IF(vp.data[[#This Row],[CrudeType]]="C5+",1,0)</f>
        <v>0</v>
      </c>
      <c r="Z411">
        <f>IF(AND(vp.data[[#This Row],[CrudeType]]="Crude",vp.data[[#This Row],[Dens]]&lt;=825,vp.data[[#This Row],[Sulf]]&gt;0.5,vp.data[[#This Row],[Unknown]]=0),1,0)</f>
        <v>0</v>
      </c>
      <c r="AA411">
        <f>IF(AND(vp.data[[#This Row],[CrudeType]]="Crude",vp.data[[#This Row],[Dens]]&lt;=825,vp.data[[#This Row],[Sulf]]&lt;=0.5,vp.data[[#This Row],[Unknown]]=0),1,0)</f>
        <v>0</v>
      </c>
      <c r="AB4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11">
        <f>IF(AND(vp.data[[#This Row],[CrudeType]]="Crude",vp.data[[#This Row],[Dens]]&gt;825,vp.data[[#This Row],[Dens]]&lt;=900,vp.data[[#This Row],[Sulf]]&lt;=0.5,vp.data[[#This Row],[Unknown]]=0),1,0)</f>
        <v>0</v>
      </c>
      <c r="AD411">
        <f>IF(AND(vp.data[[#This Row],[CrudeType]]="Crude",vp.data[[#This Row],[Dens]]&gt;865,vp.data[[#This Row],[Dens]]&lt;=900,vp.data[[#This Row],[Sulf]]&gt;2,vp.data[[#This Row],[Unknown]]=0),1,0)</f>
        <v>0</v>
      </c>
      <c r="AE411">
        <f>IF(AND(vp.data[[#This Row],[CrudeType]]="Crude",vp.data[[#This Row],[Dens]]&gt;900,vp.data[[#This Row],[Sulf]]&lt;=0.5,vp.data[[#This Row],[Unknown]]=0),1,0)</f>
        <v>0</v>
      </c>
      <c r="AF411">
        <f>IF(AND(vp.data[[#This Row],[CrudeType]]="Crude",vp.data[[#This Row],[Dens]]&gt;900,vp.data[[#This Row],[Sulf]]&lt;=0.5,vp.data[[#This Row],[Unknown]]=0),1,0)</f>
        <v>0</v>
      </c>
      <c r="AG411" t="str">
        <f>INDEX(vp.data[[#Headers],[Unknown]:[Heavy_SW]],MATCH(1,vp.data[[#This Row],[Unknown]:[Heavy_SW]],0))</f>
        <v>Medium_LSB</v>
      </c>
      <c r="AH411">
        <f>INDEX([3]!crudeBD.lkup[Number],MATCH(vp.data[[#This Row],[Crude_Breakdown]],crudeBD.lkup[Crude Breakdown],0))</f>
        <v>3</v>
      </c>
      <c r="AI411">
        <f>MONTH(vp.data[[#This Row],[SDate]])</f>
        <v>12</v>
      </c>
      <c r="AJ411" s="5">
        <f>(vp.data[[#This Row],[VP]]-INDEX(crudeBD.lkup[Mean_VP],MATCH(vp.data[[#This Row],[Crude_Breakdown]],crudeBD.lkup[Crude Breakdown],0)))^2</f>
        <v>284.27050684316686</v>
      </c>
      <c r="AK411" s="5">
        <f>(vp.data[[#This Row],[Dens]]-INDEX(crudeBD.lkup[Mean_Dens],MATCH(vp.data[[#This Row],[Crude_Breakdown]],crudeBD.lkup[Crude Breakdown],0)))^2</f>
        <v>119.24639999998918</v>
      </c>
      <c r="AL411" s="5">
        <f>(vp.data[[#This Row],[Sulf]]-INDEX(crudeBD.lkup[Mean_Sulf],MATCH(vp.data[[#This Row],[Crude_Breakdown]],crudeBD.lkup[Crude Breakdown],0)))^2</f>
        <v>5.1666141612673078E-2</v>
      </c>
      <c r="AM411" s="4">
        <f>IF(AND(vp.data[[#This Row],[SDate]]&gt;=DATE(YEAR(vp.data[[#This Row],[SDate]]),5,1),vp.data[[#This Row],[SDate]]&lt;=DATE(YEAR(vp.data[[#This Row],[SDate]]),9,15)),1,0)</f>
        <v>0</v>
      </c>
      <c r="AN411" s="4">
        <f>IF(vp.data[[#This Row],[SDate]]&lt;DATE(2016,12,1),0,1)</f>
        <v>1</v>
      </c>
      <c r="AO411" s="4">
        <f>IFERROR(vp.data[[#This Row],[Sulf]]*vp.data[[#This Row],[Net Dens]],"")</f>
        <v>71639976.792799816</v>
      </c>
      <c r="AP411">
        <f>IFERROR(vp.data[[#This Row],[Dens]]*vp.data[[#This Row],[VolumeM3]],"")</f>
        <v>44422107.380000003</v>
      </c>
      <c r="AQ411" s="15">
        <f>IFERROR(vp.data[[#This Row],[VP]]*vp.data[[#This Row],[VolumeM3]],"")</f>
        <v>5199466.3499999996</v>
      </c>
    </row>
    <row r="412" spans="1:43" x14ac:dyDescent="0.25">
      <c r="A412">
        <v>411</v>
      </c>
      <c r="B412" t="s">
        <v>49</v>
      </c>
      <c r="C412" t="s">
        <v>49</v>
      </c>
      <c r="D412" t="s">
        <v>89</v>
      </c>
      <c r="F412" s="1">
        <v>42718</v>
      </c>
      <c r="G412" s="2">
        <v>99.8</v>
      </c>
      <c r="H412" s="2">
        <v>0.23268</v>
      </c>
      <c r="I412" s="2">
        <f t="array" ref="I412">_xlfn.IFNA(IF(vp.data[[#This Row],[Sulf Input]]="",INDEX([1]DATA!$Q$3:$Q$9826,MATCH(1,(vp.data[[#This Row],[Battery]]=[1]DATA!$L$3:$L$9826)*(EOMONTH(vp.data[[#This Row],[SDate]],-1)+1=[1]DATA!$G$3:$G$9826),0)),vp.data[[#This Row],[Sulf Input]]),"")</f>
        <v>0.23268</v>
      </c>
      <c r="J412" s="2">
        <v>-4</v>
      </c>
      <c r="K412" s="2">
        <v>-25</v>
      </c>
      <c r="L412" s="2">
        <v>822</v>
      </c>
      <c r="M412" s="2">
        <f t="array" ref="M412">_xlfn.IFNA(IF(vp.data[[#This Row],[Dens Input]]="",INDEX([1]DATA!$O$3:$O$9826,MATCH(1,(vp.data[[#This Row],[Battery]]=[1]DATA!$L$3:$L$9826)*(EOMONTH(vp.data[[#This Row],[SDate]],-1)+1=[1]DATA!$G$3:$G$9826),0)),vp.data[[#This Row],[Dens Input]]),"")</f>
        <v>822</v>
      </c>
      <c r="N412" s="2">
        <f ca="1">INDEX(INDIRECT(_xlfn.CONCAT("weather.tbl[",N$1,"]")),MATCH(vp.data[[#This Row],[SDate]],weather.tbl[Date],0))</f>
        <v>-23.216666666666669</v>
      </c>
      <c r="O412" s="2">
        <f ca="1">INDEX(INDIRECT(_xlfn.CONCAT("weather.tbl[",O$1,"]")),MATCH(vp.data[[#This Row],[SDate]],weather.tbl[Date],0))</f>
        <v>-22.707142857142859</v>
      </c>
      <c r="P412" s="2">
        <f ca="1">INDEX(INDIRECT(_xlfn.CONCAT("weather.tbl[",P$1,"]")),MATCH(vp.data[[#This Row],[SDate]],weather.tbl[Date],0))</f>
        <v>-24.1</v>
      </c>
      <c r="Q412" s="2">
        <f ca="1">INDEX(INDIRECT(_xlfn.CONCAT("weather.tbl[",Q$1,"]")),MATCH(vp.data[[#This Row],[SDate]],weather.tbl[Date],0))</f>
        <v>-24.3</v>
      </c>
      <c r="R412" s="2">
        <f ca="1">INDEX(INDIRECT(_xlfn.CONCAT("weather.tbl[",R$1,"]")),MATCH(vp.data[[#This Row],[SDate]],weather.tbl[Date],0))</f>
        <v>-23</v>
      </c>
      <c r="S412" s="2">
        <f ca="1">INDEX(INDIRECT(_xlfn.CONCAT("weather.tbl[",S$1,"]")),MATCH(vp.data[[#This Row],[SDate]],weather.tbl[Date],0))</f>
        <v>-20.8</v>
      </c>
      <c r="T412" s="2">
        <f ca="1">INDEX(INDIRECT(_xlfn.CONCAT("weather.tbl[",T$1,"]")),MATCH(vp.data[[#This Row],[SDate]],weather.tbl[Date],0))</f>
        <v>-23.6</v>
      </c>
      <c r="U412" s="2">
        <f ca="1">INDEX(INDIRECT(_xlfn.CONCAT("weather.tbl[",U$1,"]")),MATCH(vp.data[[#This Row],[SDate]],weather.tbl[Date],0))</f>
        <v>-23.5</v>
      </c>
      <c r="V412" s="2">
        <f t="array" ref="V4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5355.0209999999997</v>
      </c>
      <c r="W412" t="s">
        <v>48</v>
      </c>
      <c r="X412">
        <f>IF(OR(vp.data[[#This Row],[Sulf]]="",vp.data[[#This Row],[Dens]]=""),1,0)</f>
        <v>0</v>
      </c>
      <c r="Y412">
        <f>IF(vp.data[[#This Row],[CrudeType]]="C5+",1,0)</f>
        <v>0</v>
      </c>
      <c r="Z412">
        <f>IF(AND(vp.data[[#This Row],[CrudeType]]="Crude",vp.data[[#This Row],[Dens]]&lt;=825,vp.data[[#This Row],[Sulf]]&gt;0.5,vp.data[[#This Row],[Unknown]]=0),1,0)</f>
        <v>0</v>
      </c>
      <c r="AA412">
        <f>IF(AND(vp.data[[#This Row],[CrudeType]]="Crude",vp.data[[#This Row],[Dens]]&lt;=825,vp.data[[#This Row],[Sulf]]&lt;=0.5,vp.data[[#This Row],[Unknown]]=0),1,0)</f>
        <v>1</v>
      </c>
      <c r="AB4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2">
        <f>IF(AND(vp.data[[#This Row],[CrudeType]]="Crude",vp.data[[#This Row],[Dens]]&gt;825,vp.data[[#This Row],[Dens]]&lt;=900,vp.data[[#This Row],[Sulf]]&lt;=0.5,vp.data[[#This Row],[Unknown]]=0),1,0)</f>
        <v>0</v>
      </c>
      <c r="AD412">
        <f>IF(AND(vp.data[[#This Row],[CrudeType]]="Crude",vp.data[[#This Row],[Dens]]&gt;865,vp.data[[#This Row],[Dens]]&lt;=900,vp.data[[#This Row],[Sulf]]&gt;2,vp.data[[#This Row],[Unknown]]=0),1,0)</f>
        <v>0</v>
      </c>
      <c r="AE412">
        <f>IF(AND(vp.data[[#This Row],[CrudeType]]="Crude",vp.data[[#This Row],[Dens]]&gt;900,vp.data[[#This Row],[Sulf]]&lt;=0.5,vp.data[[#This Row],[Unknown]]=0),1,0)</f>
        <v>0</v>
      </c>
      <c r="AF412">
        <f>IF(AND(vp.data[[#This Row],[CrudeType]]="Crude",vp.data[[#This Row],[Dens]]&gt;900,vp.data[[#This Row],[Sulf]]&lt;=0.5,vp.data[[#This Row],[Unknown]]=0),1,0)</f>
        <v>0</v>
      </c>
      <c r="AG412" t="str">
        <f>INDEX(vp.data[[#Headers],[Unknown]:[Heavy_SW]],MATCH(1,vp.data[[#This Row],[Unknown]:[Heavy_SW]],0))</f>
        <v>Light_SW</v>
      </c>
      <c r="AH412">
        <f>INDEX([3]!crudeBD.lkup[Number],MATCH(vp.data[[#This Row],[Crude_Breakdown]],crudeBD.lkup[Crude Breakdown],0))</f>
        <v>2</v>
      </c>
      <c r="AI412">
        <f>MONTH(vp.data[[#This Row],[SDate]])</f>
        <v>12</v>
      </c>
      <c r="AJ412" s="5">
        <f>(vp.data[[#This Row],[VP]]-INDEX(crudeBD.lkup[Mean_VP],MATCH(vp.data[[#This Row],[Crude_Breakdown]],crudeBD.lkup[Crude Breakdown],0)))^2</f>
        <v>52.557953060010824</v>
      </c>
      <c r="AK412" s="5">
        <f>(vp.data[[#This Row],[Dens]]-INDEX(crudeBD.lkup[Mean_Dens],MATCH(vp.data[[#This Row],[Crude_Breakdown]],crudeBD.lkup[Crude Breakdown],0)))^2</f>
        <v>187.37507994513098</v>
      </c>
      <c r="AL412" s="5">
        <f>(vp.data[[#This Row],[Sulf]]-INDEX(crudeBD.lkup[Mean_Sulf],MATCH(vp.data[[#This Row],[Crude_Breakdown]],crudeBD.lkup[Crude Breakdown],0)))^2</f>
        <v>1.2686503631219406E-5</v>
      </c>
      <c r="AM412" s="4">
        <f>IF(AND(vp.data[[#This Row],[SDate]]&gt;=DATE(YEAR(vp.data[[#This Row],[SDate]]),5,1),vp.data[[#This Row],[SDate]]&lt;=DATE(YEAR(vp.data[[#This Row],[SDate]]),9,15)),1,0)</f>
        <v>0</v>
      </c>
      <c r="AN412" s="4">
        <f>IF(vp.data[[#This Row],[SDate]]&lt;DATE(2016,12,1),0,1)</f>
        <v>1</v>
      </c>
      <c r="AO412" s="4">
        <f>IFERROR(vp.data[[#This Row],[Sulf]]*vp.data[[#This Row],[Net Dens]],"")</f>
        <v>1024217.16732216</v>
      </c>
      <c r="AP412">
        <f>IFERROR(vp.data[[#This Row],[Dens]]*vp.data[[#This Row],[VolumeM3]],"")</f>
        <v>4401827.2620000001</v>
      </c>
      <c r="AQ412" s="15">
        <f>IFERROR(vp.data[[#This Row],[VP]]*vp.data[[#This Row],[VolumeM3]],"")</f>
        <v>534431.09580000001</v>
      </c>
    </row>
    <row r="413" spans="1:43" x14ac:dyDescent="0.25">
      <c r="A413">
        <v>412</v>
      </c>
      <c r="B413" t="s">
        <v>49</v>
      </c>
      <c r="C413" t="s">
        <v>49</v>
      </c>
      <c r="D413" t="s">
        <v>99</v>
      </c>
      <c r="F413" s="1">
        <v>42718</v>
      </c>
      <c r="G413" s="2">
        <v>113.5</v>
      </c>
      <c r="H413" s="2">
        <v>0.38735000000000003</v>
      </c>
      <c r="I413" s="2">
        <f t="array" ref="I413">_xlfn.IFNA(IF(vp.data[[#This Row],[Sulf Input]]="",INDEX([1]DATA!$Q$3:$Q$9826,MATCH(1,(vp.data[[#This Row],[Battery]]=[1]DATA!$L$3:$L$9826)*(EOMONTH(vp.data[[#This Row],[SDate]],-1)+1=[1]DATA!$G$3:$G$9826),0)),vp.data[[#This Row],[Sulf Input]]),"")</f>
        <v>0.38735000000000003</v>
      </c>
      <c r="J413" s="2">
        <v>-11</v>
      </c>
      <c r="K413" s="2">
        <v>-25</v>
      </c>
      <c r="L413" s="2">
        <v>815</v>
      </c>
      <c r="M413" s="2">
        <f t="array" ref="M413">_xlfn.IFNA(IF(vp.data[[#This Row],[Dens Input]]="",INDEX([1]DATA!$O$3:$O$9826,MATCH(1,(vp.data[[#This Row],[Battery]]=[1]DATA!$L$3:$L$9826)*(EOMONTH(vp.data[[#This Row],[SDate]],-1)+1=[1]DATA!$G$3:$G$9826),0)),vp.data[[#This Row],[Dens Input]]),"")</f>
        <v>815</v>
      </c>
      <c r="N413" s="2">
        <f ca="1">INDEX(INDIRECT(_xlfn.CONCAT("weather.tbl[",N$1,"]")),MATCH(vp.data[[#This Row],[SDate]],weather.tbl[Date],0))</f>
        <v>-23.216666666666669</v>
      </c>
      <c r="O413" s="2">
        <f ca="1">INDEX(INDIRECT(_xlfn.CONCAT("weather.tbl[",O$1,"]")),MATCH(vp.data[[#This Row],[SDate]],weather.tbl[Date],0))</f>
        <v>-22.707142857142859</v>
      </c>
      <c r="P413" s="2">
        <f ca="1">INDEX(INDIRECT(_xlfn.CONCAT("weather.tbl[",P$1,"]")),MATCH(vp.data[[#This Row],[SDate]],weather.tbl[Date],0))</f>
        <v>-24.1</v>
      </c>
      <c r="Q413" s="2">
        <f ca="1">INDEX(INDIRECT(_xlfn.CONCAT("weather.tbl[",Q$1,"]")),MATCH(vp.data[[#This Row],[SDate]],weather.tbl[Date],0))</f>
        <v>-24.3</v>
      </c>
      <c r="R413" s="2">
        <f ca="1">INDEX(INDIRECT(_xlfn.CONCAT("weather.tbl[",R$1,"]")),MATCH(vp.data[[#This Row],[SDate]],weather.tbl[Date],0))</f>
        <v>-23</v>
      </c>
      <c r="S413" s="2">
        <f ca="1">INDEX(INDIRECT(_xlfn.CONCAT("weather.tbl[",S$1,"]")),MATCH(vp.data[[#This Row],[SDate]],weather.tbl[Date],0))</f>
        <v>-20.8</v>
      </c>
      <c r="T413" s="2">
        <f ca="1">INDEX(INDIRECT(_xlfn.CONCAT("weather.tbl[",T$1,"]")),MATCH(vp.data[[#This Row],[SDate]],weather.tbl[Date],0))</f>
        <v>-23.6</v>
      </c>
      <c r="U413" s="2">
        <f ca="1">INDEX(INDIRECT(_xlfn.CONCAT("weather.tbl[",U$1,"]")),MATCH(vp.data[[#This Row],[SDate]],weather.tbl[Date],0))</f>
        <v>-23.5</v>
      </c>
      <c r="V413" s="2">
        <f t="array" ref="V4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2747.39</v>
      </c>
      <c r="W413" t="s">
        <v>48</v>
      </c>
      <c r="X413">
        <f>IF(OR(vp.data[[#This Row],[Sulf]]="",vp.data[[#This Row],[Dens]]=""),1,0)</f>
        <v>0</v>
      </c>
      <c r="Y413">
        <f>IF(vp.data[[#This Row],[CrudeType]]="C5+",1,0)</f>
        <v>0</v>
      </c>
      <c r="Z413">
        <f>IF(AND(vp.data[[#This Row],[CrudeType]]="Crude",vp.data[[#This Row],[Dens]]&lt;=825,vp.data[[#This Row],[Sulf]]&gt;0.5,vp.data[[#This Row],[Unknown]]=0),1,0)</f>
        <v>0</v>
      </c>
      <c r="AA413">
        <f>IF(AND(vp.data[[#This Row],[CrudeType]]="Crude",vp.data[[#This Row],[Dens]]&lt;=825,vp.data[[#This Row],[Sulf]]&lt;=0.5,vp.data[[#This Row],[Unknown]]=0),1,0)</f>
        <v>1</v>
      </c>
      <c r="AB4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3">
        <f>IF(AND(vp.data[[#This Row],[CrudeType]]="Crude",vp.data[[#This Row],[Dens]]&gt;825,vp.data[[#This Row],[Dens]]&lt;=900,vp.data[[#This Row],[Sulf]]&lt;=0.5,vp.data[[#This Row],[Unknown]]=0),1,0)</f>
        <v>0</v>
      </c>
      <c r="AD413">
        <f>IF(AND(vp.data[[#This Row],[CrudeType]]="Crude",vp.data[[#This Row],[Dens]]&gt;865,vp.data[[#This Row],[Dens]]&lt;=900,vp.data[[#This Row],[Sulf]]&gt;2,vp.data[[#This Row],[Unknown]]=0),1,0)</f>
        <v>0</v>
      </c>
      <c r="AE413">
        <f>IF(AND(vp.data[[#This Row],[CrudeType]]="Crude",vp.data[[#This Row],[Dens]]&gt;900,vp.data[[#This Row],[Sulf]]&lt;=0.5,vp.data[[#This Row],[Unknown]]=0),1,0)</f>
        <v>0</v>
      </c>
      <c r="AF413">
        <f>IF(AND(vp.data[[#This Row],[CrudeType]]="Crude",vp.data[[#This Row],[Dens]]&gt;900,vp.data[[#This Row],[Sulf]]&lt;=0.5,vp.data[[#This Row],[Unknown]]=0),1,0)</f>
        <v>0</v>
      </c>
      <c r="AG413" t="str">
        <f>INDEX(vp.data[[#Headers],[Unknown]:[Heavy_SW]],MATCH(1,vp.data[[#This Row],[Unknown]:[Heavy_SW]],0))</f>
        <v>Light_SW</v>
      </c>
      <c r="AH413">
        <f>INDEX([3]!crudeBD.lkup[Number],MATCH(vp.data[[#This Row],[Crude_Breakdown]],crudeBD.lkup[Crude Breakdown],0))</f>
        <v>2</v>
      </c>
      <c r="AI413">
        <f>MONTH(vp.data[[#This Row],[SDate]])</f>
        <v>12</v>
      </c>
      <c r="AJ413" s="5">
        <f>(vp.data[[#This Row],[VP]]-INDEX(crudeBD.lkup[Mean_VP],MATCH(vp.data[[#This Row],[Crude_Breakdown]],crudeBD.lkup[Crude Breakdown],0)))^2</f>
        <v>438.88936072551689</v>
      </c>
      <c r="AK413" s="5">
        <f>(vp.data[[#This Row],[Dens]]-INDEX(crudeBD.lkup[Mean_Dens],MATCH(vp.data[[#This Row],[Crude_Breakdown]],crudeBD.lkup[Crude Breakdown],0)))^2</f>
        <v>44.736055554884004</v>
      </c>
      <c r="AL413" s="5">
        <f>(vp.data[[#This Row],[Sulf]]-INDEX(crudeBD.lkup[Mean_Sulf],MATCH(vp.data[[#This Row],[Crude_Breakdown]],crudeBD.lkup[Crude Breakdown],0)))^2</f>
        <v>2.2833684526976223E-2</v>
      </c>
      <c r="AM413" s="4">
        <f>IF(AND(vp.data[[#This Row],[SDate]]&gt;=DATE(YEAR(vp.data[[#This Row],[SDate]]),5,1),vp.data[[#This Row],[SDate]]&lt;=DATE(YEAR(vp.data[[#This Row],[SDate]]),9,15)),1,0)</f>
        <v>0</v>
      </c>
      <c r="AN413" s="4">
        <f>IF(vp.data[[#This Row],[SDate]]&lt;DATE(2016,12,1),0,1)</f>
        <v>1</v>
      </c>
      <c r="AO413" s="4">
        <f>IFERROR(vp.data[[#This Row],[Sulf]]*vp.data[[#This Row],[Net Dens]],"")</f>
        <v>867324.2359475001</v>
      </c>
      <c r="AP413">
        <f>IFERROR(vp.data[[#This Row],[Dens]]*vp.data[[#This Row],[VolumeM3]],"")</f>
        <v>2239122.85</v>
      </c>
      <c r="AQ413" s="15">
        <f>IFERROR(vp.data[[#This Row],[VP]]*vp.data[[#This Row],[VolumeM3]],"")</f>
        <v>311828.76500000001</v>
      </c>
    </row>
    <row r="414" spans="1:43" x14ac:dyDescent="0.25">
      <c r="A414">
        <v>413</v>
      </c>
      <c r="B414" t="s">
        <v>49</v>
      </c>
      <c r="C414" t="s">
        <v>49</v>
      </c>
      <c r="D414" t="s">
        <v>80</v>
      </c>
      <c r="F414" s="1">
        <v>42718</v>
      </c>
      <c r="G414" s="2">
        <v>118.4</v>
      </c>
      <c r="H414" s="2">
        <v>0.47223999999999999</v>
      </c>
      <c r="I414" s="2">
        <f t="array" ref="I414">_xlfn.IFNA(IF(vp.data[[#This Row],[Sulf Input]]="",INDEX([1]DATA!$Q$3:$Q$9826,MATCH(1,(vp.data[[#This Row],[Battery]]=[1]DATA!$L$3:$L$9826)*(EOMONTH(vp.data[[#This Row],[SDate]],-1)+1=[1]DATA!$G$3:$G$9826),0)),vp.data[[#This Row],[Sulf Input]]),"")</f>
        <v>0.47223999999999999</v>
      </c>
      <c r="J414" s="2">
        <v>5</v>
      </c>
      <c r="K414" s="2">
        <v>-25</v>
      </c>
      <c r="L414" s="2">
        <v>803.1</v>
      </c>
      <c r="M414" s="2">
        <f t="array" ref="M414">_xlfn.IFNA(IF(vp.data[[#This Row],[Dens Input]]="",INDEX([1]DATA!$O$3:$O$9826,MATCH(1,(vp.data[[#This Row],[Battery]]=[1]DATA!$L$3:$L$9826)*(EOMONTH(vp.data[[#This Row],[SDate]],-1)+1=[1]DATA!$G$3:$G$9826),0)),vp.data[[#This Row],[Dens Input]]),"")</f>
        <v>803.1</v>
      </c>
      <c r="N414" s="2">
        <f ca="1">INDEX(INDIRECT(_xlfn.CONCAT("weather.tbl[",N$1,"]")),MATCH(vp.data[[#This Row],[SDate]],weather.tbl[Date],0))</f>
        <v>-23.216666666666669</v>
      </c>
      <c r="O414" s="2">
        <f ca="1">INDEX(INDIRECT(_xlfn.CONCAT("weather.tbl[",O$1,"]")),MATCH(vp.data[[#This Row],[SDate]],weather.tbl[Date],0))</f>
        <v>-22.707142857142859</v>
      </c>
      <c r="P414" s="2">
        <f ca="1">INDEX(INDIRECT(_xlfn.CONCAT("weather.tbl[",P$1,"]")),MATCH(vp.data[[#This Row],[SDate]],weather.tbl[Date],0))</f>
        <v>-24.1</v>
      </c>
      <c r="Q414" s="2">
        <f ca="1">INDEX(INDIRECT(_xlfn.CONCAT("weather.tbl[",Q$1,"]")),MATCH(vp.data[[#This Row],[SDate]],weather.tbl[Date],0))</f>
        <v>-24.3</v>
      </c>
      <c r="R414" s="2">
        <f ca="1">INDEX(INDIRECT(_xlfn.CONCAT("weather.tbl[",R$1,"]")),MATCH(vp.data[[#This Row],[SDate]],weather.tbl[Date],0))</f>
        <v>-23</v>
      </c>
      <c r="S414" s="2">
        <f ca="1">INDEX(INDIRECT(_xlfn.CONCAT("weather.tbl[",S$1,"]")),MATCH(vp.data[[#This Row],[SDate]],weather.tbl[Date],0))</f>
        <v>-20.8</v>
      </c>
      <c r="T414" s="2">
        <f ca="1">INDEX(INDIRECT(_xlfn.CONCAT("weather.tbl[",T$1,"]")),MATCH(vp.data[[#This Row],[SDate]],weather.tbl[Date],0))</f>
        <v>-23.6</v>
      </c>
      <c r="U414" s="2">
        <f ca="1">INDEX(INDIRECT(_xlfn.CONCAT("weather.tbl[",U$1,"]")),MATCH(vp.data[[#This Row],[SDate]],weather.tbl[Date],0))</f>
        <v>-23.5</v>
      </c>
      <c r="V414" s="2">
        <f t="array" ref="V4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22011.311000000002</v>
      </c>
      <c r="W414" t="s">
        <v>48</v>
      </c>
      <c r="X414">
        <f>IF(OR(vp.data[[#This Row],[Sulf]]="",vp.data[[#This Row],[Dens]]=""),1,0)</f>
        <v>0</v>
      </c>
      <c r="Y414">
        <f>IF(vp.data[[#This Row],[CrudeType]]="C5+",1,0)</f>
        <v>0</v>
      </c>
      <c r="Z414">
        <f>IF(AND(vp.data[[#This Row],[CrudeType]]="Crude",vp.data[[#This Row],[Dens]]&lt;=825,vp.data[[#This Row],[Sulf]]&gt;0.5,vp.data[[#This Row],[Unknown]]=0),1,0)</f>
        <v>0</v>
      </c>
      <c r="AA414">
        <f>IF(AND(vp.data[[#This Row],[CrudeType]]="Crude",vp.data[[#This Row],[Dens]]&lt;=825,vp.data[[#This Row],[Sulf]]&lt;=0.5,vp.data[[#This Row],[Unknown]]=0),1,0)</f>
        <v>1</v>
      </c>
      <c r="AB4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4">
        <f>IF(AND(vp.data[[#This Row],[CrudeType]]="Crude",vp.data[[#This Row],[Dens]]&gt;825,vp.data[[#This Row],[Dens]]&lt;=900,vp.data[[#This Row],[Sulf]]&lt;=0.5,vp.data[[#This Row],[Unknown]]=0),1,0)</f>
        <v>0</v>
      </c>
      <c r="AD414">
        <f>IF(AND(vp.data[[#This Row],[CrudeType]]="Crude",vp.data[[#This Row],[Dens]]&gt;865,vp.data[[#This Row],[Dens]]&lt;=900,vp.data[[#This Row],[Sulf]]&gt;2,vp.data[[#This Row],[Unknown]]=0),1,0)</f>
        <v>0</v>
      </c>
      <c r="AE414">
        <f>IF(AND(vp.data[[#This Row],[CrudeType]]="Crude",vp.data[[#This Row],[Dens]]&gt;900,vp.data[[#This Row],[Sulf]]&lt;=0.5,vp.data[[#This Row],[Unknown]]=0),1,0)</f>
        <v>0</v>
      </c>
      <c r="AF414">
        <f>IF(AND(vp.data[[#This Row],[CrudeType]]="Crude",vp.data[[#This Row],[Dens]]&gt;900,vp.data[[#This Row],[Sulf]]&lt;=0.5,vp.data[[#This Row],[Unknown]]=0),1,0)</f>
        <v>0</v>
      </c>
      <c r="AG414" t="str">
        <f>INDEX(vp.data[[#Headers],[Unknown]:[Heavy_SW]],MATCH(1,vp.data[[#This Row],[Unknown]:[Heavy_SW]],0))</f>
        <v>Light_SW</v>
      </c>
      <c r="AH414">
        <f>INDEX([3]!crudeBD.lkup[Number],MATCH(vp.data[[#This Row],[Crude_Breakdown]],crudeBD.lkup[Crude Breakdown],0))</f>
        <v>2</v>
      </c>
      <c r="AI414">
        <f>MONTH(vp.data[[#This Row],[SDate]])</f>
        <v>12</v>
      </c>
      <c r="AJ414" s="5">
        <f>(vp.data[[#This Row],[VP]]-INDEX(crudeBD.lkup[Mean_VP],MATCH(vp.data[[#This Row],[Crude_Breakdown]],crudeBD.lkup[Crude Breakdown],0)))^2</f>
        <v>668.20628755478583</v>
      </c>
      <c r="AK414" s="5">
        <f>(vp.data[[#This Row],[Dens]]-INDEX(crudeBD.lkup[Mean_Dens],MATCH(vp.data[[#This Row],[Crude_Breakdown]],crudeBD.lkup[Crude Breakdown],0)))^2</f>
        <v>27.159714091463936</v>
      </c>
      <c r="AL414" s="5">
        <f>(vp.data[[#This Row],[Sulf]]-INDEX(crudeBD.lkup[Mean_Sulf],MATCH(vp.data[[#This Row],[Crude_Breakdown]],crudeBD.lkup[Crude Breakdown],0)))^2</f>
        <v>5.5695144811645225E-2</v>
      </c>
      <c r="AM414" s="4">
        <f>IF(AND(vp.data[[#This Row],[SDate]]&gt;=DATE(YEAR(vp.data[[#This Row],[SDate]]),5,1),vp.data[[#This Row],[SDate]]&lt;=DATE(YEAR(vp.data[[#This Row],[SDate]]),9,15)),1,0)</f>
        <v>0</v>
      </c>
      <c r="AN414" s="4">
        <f>IF(vp.data[[#This Row],[SDate]]&lt;DATE(2016,12,1),0,1)</f>
        <v>1</v>
      </c>
      <c r="AO414" s="4">
        <f>IFERROR(vp.data[[#This Row],[Sulf]]*vp.data[[#This Row],[Net Dens]],"")</f>
        <v>8347920.5319825849</v>
      </c>
      <c r="AP414">
        <f>IFERROR(vp.data[[#This Row],[Dens]]*vp.data[[#This Row],[VolumeM3]],"")</f>
        <v>17677283.864100002</v>
      </c>
      <c r="AQ414" s="15">
        <f>IFERROR(vp.data[[#This Row],[VP]]*vp.data[[#This Row],[VolumeM3]],"")</f>
        <v>2606139.2224000003</v>
      </c>
    </row>
    <row r="415" spans="1:43" x14ac:dyDescent="0.25">
      <c r="A415">
        <v>414</v>
      </c>
      <c r="B415" t="s">
        <v>49</v>
      </c>
      <c r="C415" t="s">
        <v>49</v>
      </c>
      <c r="D415" t="s">
        <v>100</v>
      </c>
      <c r="F415" s="1">
        <v>42718</v>
      </c>
      <c r="G415" s="2">
        <v>99.6</v>
      </c>
      <c r="H415" s="2">
        <v>0.56723999999999997</v>
      </c>
      <c r="I415" s="2">
        <f t="array" ref="I415">_xlfn.IFNA(IF(vp.data[[#This Row],[Sulf Input]]="",INDEX([1]DATA!$Q$3:$Q$9826,MATCH(1,(vp.data[[#This Row],[Battery]]=[1]DATA!$L$3:$L$9826)*(EOMONTH(vp.data[[#This Row],[SDate]],-1)+1=[1]DATA!$G$3:$G$9826),0)),vp.data[[#This Row],[Sulf Input]]),"")</f>
        <v>0.56723999999999997</v>
      </c>
      <c r="J415" s="2">
        <v>-9</v>
      </c>
      <c r="K415" s="2">
        <v>-25</v>
      </c>
      <c r="L415" s="2">
        <v>803</v>
      </c>
      <c r="M415" s="2">
        <f t="array" ref="M415">_xlfn.IFNA(IF(vp.data[[#This Row],[Dens Input]]="",INDEX([1]DATA!$O$3:$O$9826,MATCH(1,(vp.data[[#This Row],[Battery]]=[1]DATA!$L$3:$L$9826)*(EOMONTH(vp.data[[#This Row],[SDate]],-1)+1=[1]DATA!$G$3:$G$9826),0)),vp.data[[#This Row],[Dens Input]]),"")</f>
        <v>803</v>
      </c>
      <c r="N415" s="2">
        <f ca="1">INDEX(INDIRECT(_xlfn.CONCAT("weather.tbl[",N$1,"]")),MATCH(vp.data[[#This Row],[SDate]],weather.tbl[Date],0))</f>
        <v>-23.216666666666669</v>
      </c>
      <c r="O415" s="2">
        <f ca="1">INDEX(INDIRECT(_xlfn.CONCAT("weather.tbl[",O$1,"]")),MATCH(vp.data[[#This Row],[SDate]],weather.tbl[Date],0))</f>
        <v>-22.707142857142859</v>
      </c>
      <c r="P415" s="2">
        <f ca="1">INDEX(INDIRECT(_xlfn.CONCAT("weather.tbl[",P$1,"]")),MATCH(vp.data[[#This Row],[SDate]],weather.tbl[Date],0))</f>
        <v>-24.1</v>
      </c>
      <c r="Q415" s="2">
        <f ca="1">INDEX(INDIRECT(_xlfn.CONCAT("weather.tbl[",Q$1,"]")),MATCH(vp.data[[#This Row],[SDate]],weather.tbl[Date],0))</f>
        <v>-24.3</v>
      </c>
      <c r="R415" s="2">
        <f ca="1">INDEX(INDIRECT(_xlfn.CONCAT("weather.tbl[",R$1,"]")),MATCH(vp.data[[#This Row],[SDate]],weather.tbl[Date],0))</f>
        <v>-23</v>
      </c>
      <c r="S415" s="2">
        <f ca="1">INDEX(INDIRECT(_xlfn.CONCAT("weather.tbl[",S$1,"]")),MATCH(vp.data[[#This Row],[SDate]],weather.tbl[Date],0))</f>
        <v>-20.8</v>
      </c>
      <c r="T415" s="2">
        <f ca="1">INDEX(INDIRECT(_xlfn.CONCAT("weather.tbl[",T$1,"]")),MATCH(vp.data[[#This Row],[SDate]],weather.tbl[Date],0))</f>
        <v>-23.6</v>
      </c>
      <c r="U415" s="2">
        <f ca="1">INDEX(INDIRECT(_xlfn.CONCAT("weather.tbl[",U$1,"]")),MATCH(vp.data[[#This Row],[SDate]],weather.tbl[Date],0))</f>
        <v>-23.5</v>
      </c>
      <c r="V415" s="2">
        <f t="array" ref="V4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9665.3340000000007</v>
      </c>
      <c r="W415" t="s">
        <v>48</v>
      </c>
      <c r="X415">
        <f>IF(OR(vp.data[[#This Row],[Sulf]]="",vp.data[[#This Row],[Dens]]=""),1,0)</f>
        <v>0</v>
      </c>
      <c r="Y415">
        <f>IF(vp.data[[#This Row],[CrudeType]]="C5+",1,0)</f>
        <v>0</v>
      </c>
      <c r="Z415">
        <f>IF(AND(vp.data[[#This Row],[CrudeType]]="Crude",vp.data[[#This Row],[Dens]]&lt;=825,vp.data[[#This Row],[Sulf]]&gt;0.5,vp.data[[#This Row],[Unknown]]=0),1,0)</f>
        <v>1</v>
      </c>
      <c r="AA415">
        <f>IF(AND(vp.data[[#This Row],[CrudeType]]="Crude",vp.data[[#This Row],[Dens]]&lt;=825,vp.data[[#This Row],[Sulf]]&lt;=0.5,vp.data[[#This Row],[Unknown]]=0),1,0)</f>
        <v>0</v>
      </c>
      <c r="AB4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5">
        <f>IF(AND(vp.data[[#This Row],[CrudeType]]="Crude",vp.data[[#This Row],[Dens]]&gt;825,vp.data[[#This Row],[Dens]]&lt;=900,vp.data[[#This Row],[Sulf]]&lt;=0.5,vp.data[[#This Row],[Unknown]]=0),1,0)</f>
        <v>0</v>
      </c>
      <c r="AD415">
        <f>IF(AND(vp.data[[#This Row],[CrudeType]]="Crude",vp.data[[#This Row],[Dens]]&gt;865,vp.data[[#This Row],[Dens]]&lt;=900,vp.data[[#This Row],[Sulf]]&gt;2,vp.data[[#This Row],[Unknown]]=0),1,0)</f>
        <v>0</v>
      </c>
      <c r="AE415">
        <f>IF(AND(vp.data[[#This Row],[CrudeType]]="Crude",vp.data[[#This Row],[Dens]]&gt;900,vp.data[[#This Row],[Sulf]]&lt;=0.5,vp.data[[#This Row],[Unknown]]=0),1,0)</f>
        <v>0</v>
      </c>
      <c r="AF415">
        <f>IF(AND(vp.data[[#This Row],[CrudeType]]="Crude",vp.data[[#This Row],[Dens]]&gt;900,vp.data[[#This Row],[Sulf]]&lt;=0.5,vp.data[[#This Row],[Unknown]]=0),1,0)</f>
        <v>0</v>
      </c>
      <c r="AG415" t="str">
        <f>INDEX(vp.data[[#Headers],[Unknown]:[Heavy_SW]],MATCH(1,vp.data[[#This Row],[Unknown]:[Heavy_SW]],0))</f>
        <v>Light_LSB</v>
      </c>
      <c r="AH415">
        <f>INDEX([3]!crudeBD.lkup[Number],MATCH(vp.data[[#This Row],[Crude_Breakdown]],crudeBD.lkup[Crude Breakdown],0))</f>
        <v>1</v>
      </c>
      <c r="AI415">
        <f>MONTH(vp.data[[#This Row],[SDate]])</f>
        <v>12</v>
      </c>
      <c r="AJ415" s="5">
        <f>(vp.data[[#This Row],[VP]]-INDEX(crudeBD.lkup[Mean_VP],MATCH(vp.data[[#This Row],[Crude_Breakdown]],crudeBD.lkup[Crude Breakdown],0)))^2</f>
        <v>64.863926921032458</v>
      </c>
      <c r="AK415" s="5">
        <f>(vp.data[[#This Row],[Dens]]-INDEX(crudeBD.lkup[Mean_Dens],MATCH(vp.data[[#This Row],[Crude_Breakdown]],crudeBD.lkup[Crude Breakdown],0)))^2</f>
        <v>240.7701437677776</v>
      </c>
      <c r="AL415" s="5">
        <f>(vp.data[[#This Row],[Sulf]]-INDEX(crudeBD.lkup[Mean_Sulf],MATCH(vp.data[[#This Row],[Crude_Breakdown]],crudeBD.lkup[Crude Breakdown],0)))^2</f>
        <v>0.1265446641604715</v>
      </c>
      <c r="AM415" s="4">
        <f>IF(AND(vp.data[[#This Row],[SDate]]&gt;=DATE(YEAR(vp.data[[#This Row],[SDate]]),5,1),vp.data[[#This Row],[SDate]]&lt;=DATE(YEAR(vp.data[[#This Row],[SDate]]),9,15)),1,0)</f>
        <v>0</v>
      </c>
      <c r="AN415" s="4">
        <f>IF(vp.data[[#This Row],[SDate]]&lt;DATE(2016,12,1),0,1)</f>
        <v>1</v>
      </c>
      <c r="AO415" s="4">
        <f>IFERROR(vp.data[[#This Row],[Sulf]]*vp.data[[#This Row],[Net Dens]],"")</f>
        <v>4402498.9387024799</v>
      </c>
      <c r="AP415">
        <f>IFERROR(vp.data[[#This Row],[Dens]]*vp.data[[#This Row],[VolumeM3]],"")</f>
        <v>7761263.2020000005</v>
      </c>
      <c r="AQ415" s="15">
        <f>IFERROR(vp.data[[#This Row],[VP]]*vp.data[[#This Row],[VolumeM3]],"")</f>
        <v>962667.26639999996</v>
      </c>
    </row>
    <row r="416" spans="1:43" x14ac:dyDescent="0.25">
      <c r="A416">
        <v>415</v>
      </c>
      <c r="B416" t="s">
        <v>49</v>
      </c>
      <c r="C416" t="s">
        <v>49</v>
      </c>
      <c r="D416" t="s">
        <v>101</v>
      </c>
      <c r="F416" s="1">
        <v>42718</v>
      </c>
      <c r="G416" s="2">
        <v>44.3</v>
      </c>
      <c r="H416" s="2">
        <v>2.1169500000000001</v>
      </c>
      <c r="I416" s="2">
        <f t="array" ref="I416">_xlfn.IFNA(IF(vp.data[[#This Row],[Sulf Input]]="",INDEX([1]DATA!$Q$3:$Q$9826,MATCH(1,(vp.data[[#This Row],[Battery]]=[1]DATA!$L$3:$L$9826)*(EOMONTH(vp.data[[#This Row],[SDate]],-1)+1=[1]DATA!$G$3:$G$9826),0)),vp.data[[#This Row],[Sulf Input]]),"")</f>
        <v>2.1169500000000001</v>
      </c>
      <c r="J416" s="2">
        <v>28.5</v>
      </c>
      <c r="K416" s="2">
        <v>-25</v>
      </c>
      <c r="L416" s="2">
        <v>873</v>
      </c>
      <c r="M416" s="2">
        <f t="array" ref="M416">_xlfn.IFNA(IF(vp.data[[#This Row],[Dens Input]]="",INDEX([1]DATA!$O$3:$O$9826,MATCH(1,(vp.data[[#This Row],[Battery]]=[1]DATA!$L$3:$L$9826)*(EOMONTH(vp.data[[#This Row],[SDate]],-1)+1=[1]DATA!$G$3:$G$9826),0)),vp.data[[#This Row],[Dens Input]]),"")</f>
        <v>873</v>
      </c>
      <c r="N416" s="2">
        <f ca="1">INDEX(INDIRECT(_xlfn.CONCAT("weather.tbl[",N$1,"]")),MATCH(vp.data[[#This Row],[SDate]],weather.tbl[Date],0))</f>
        <v>-23.216666666666669</v>
      </c>
      <c r="O416" s="2">
        <f ca="1">INDEX(INDIRECT(_xlfn.CONCAT("weather.tbl[",O$1,"]")),MATCH(vp.data[[#This Row],[SDate]],weather.tbl[Date],0))</f>
        <v>-22.707142857142859</v>
      </c>
      <c r="P416" s="2">
        <f ca="1">INDEX(INDIRECT(_xlfn.CONCAT("weather.tbl[",P$1,"]")),MATCH(vp.data[[#This Row],[SDate]],weather.tbl[Date],0))</f>
        <v>-24.1</v>
      </c>
      <c r="Q416" s="2">
        <f ca="1">INDEX(INDIRECT(_xlfn.CONCAT("weather.tbl[",Q$1,"]")),MATCH(vp.data[[#This Row],[SDate]],weather.tbl[Date],0))</f>
        <v>-24.3</v>
      </c>
      <c r="R416" s="2">
        <f ca="1">INDEX(INDIRECT(_xlfn.CONCAT("weather.tbl[",R$1,"]")),MATCH(vp.data[[#This Row],[SDate]],weather.tbl[Date],0))</f>
        <v>-23</v>
      </c>
      <c r="S416" s="2">
        <f ca="1">INDEX(INDIRECT(_xlfn.CONCAT("weather.tbl[",S$1,"]")),MATCH(vp.data[[#This Row],[SDate]],weather.tbl[Date],0))</f>
        <v>-20.8</v>
      </c>
      <c r="T416" s="2">
        <f ca="1">INDEX(INDIRECT(_xlfn.CONCAT("weather.tbl[",T$1,"]")),MATCH(vp.data[[#This Row],[SDate]],weather.tbl[Date],0))</f>
        <v>-23.6</v>
      </c>
      <c r="U416" s="2">
        <f ca="1">INDEX(INDIRECT(_xlfn.CONCAT("weather.tbl[",U$1,"]")),MATCH(vp.data[[#This Row],[SDate]],weather.tbl[Date],0))</f>
        <v>-23.5</v>
      </c>
      <c r="V416" s="2">
        <f t="array" ref="V4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411.43799999999999</v>
      </c>
      <c r="W416" t="s">
        <v>48</v>
      </c>
      <c r="X416">
        <f>IF(OR(vp.data[[#This Row],[Sulf]]="",vp.data[[#This Row],[Dens]]=""),1,0)</f>
        <v>0</v>
      </c>
      <c r="Y416">
        <f>IF(vp.data[[#This Row],[CrudeType]]="C5+",1,0)</f>
        <v>0</v>
      </c>
      <c r="Z416">
        <f>IF(AND(vp.data[[#This Row],[CrudeType]]="Crude",vp.data[[#This Row],[Dens]]&lt;=825,vp.data[[#This Row],[Sulf]]&gt;0.5,vp.data[[#This Row],[Unknown]]=0),1,0)</f>
        <v>0</v>
      </c>
      <c r="AA416">
        <f>IF(AND(vp.data[[#This Row],[CrudeType]]="Crude",vp.data[[#This Row],[Dens]]&lt;=825,vp.data[[#This Row],[Sulf]]&lt;=0.5,vp.data[[#This Row],[Unknown]]=0),1,0)</f>
        <v>0</v>
      </c>
      <c r="AB4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6">
        <f>IF(AND(vp.data[[#This Row],[CrudeType]]="Crude",vp.data[[#This Row],[Dens]]&gt;825,vp.data[[#This Row],[Dens]]&lt;=900,vp.data[[#This Row],[Sulf]]&lt;=0.5,vp.data[[#This Row],[Unknown]]=0),1,0)</f>
        <v>0</v>
      </c>
      <c r="AD416">
        <f>IF(AND(vp.data[[#This Row],[CrudeType]]="Crude",vp.data[[#This Row],[Dens]]&gt;865,vp.data[[#This Row],[Dens]]&lt;=900,vp.data[[#This Row],[Sulf]]&gt;2,vp.data[[#This Row],[Unknown]]=0),1,0)</f>
        <v>1</v>
      </c>
      <c r="AE416">
        <f>IF(AND(vp.data[[#This Row],[CrudeType]]="Crude",vp.data[[#This Row],[Dens]]&gt;900,vp.data[[#This Row],[Sulf]]&lt;=0.5,vp.data[[#This Row],[Unknown]]=0),1,0)</f>
        <v>0</v>
      </c>
      <c r="AF416">
        <f>IF(AND(vp.data[[#This Row],[CrudeType]]="Crude",vp.data[[#This Row],[Dens]]&gt;900,vp.data[[#This Row],[Sulf]]&lt;=0.5,vp.data[[#This Row],[Unknown]]=0),1,0)</f>
        <v>0</v>
      </c>
      <c r="AG416" t="str">
        <f>INDEX(vp.data[[#Headers],[Unknown]:[Heavy_SW]],MATCH(1,vp.data[[#This Row],[Unknown]:[Heavy_SW]],0))</f>
        <v>Midale</v>
      </c>
      <c r="AH416">
        <f>INDEX([3]!crudeBD.lkup[Number],MATCH(vp.data[[#This Row],[Crude_Breakdown]],crudeBD.lkup[Crude Breakdown],0))</f>
        <v>5</v>
      </c>
      <c r="AI416">
        <f>MONTH(vp.data[[#This Row],[SDate]])</f>
        <v>12</v>
      </c>
      <c r="AJ416" s="5">
        <f>(vp.data[[#This Row],[VP]]-INDEX(crudeBD.lkup[Mean_VP],MATCH(vp.data[[#This Row],[Crude_Breakdown]],crudeBD.lkup[Crude Breakdown],0)))^2</f>
        <v>630.44997369539976</v>
      </c>
      <c r="AK416" s="5">
        <f>(vp.data[[#This Row],[Dens]]-INDEX(crudeBD.lkup[Mean_Dens],MATCH(vp.data[[#This Row],[Crude_Breakdown]],crudeBD.lkup[Crude Breakdown],0)))^2</f>
        <v>3.3015264640249229</v>
      </c>
      <c r="AL416" s="5">
        <f>(vp.data[[#This Row],[Sulf]]-INDEX(crudeBD.lkup[Mean_Sulf],MATCH(vp.data[[#This Row],[Crude_Breakdown]],crudeBD.lkup[Crude Breakdown],0)))^2</f>
        <v>0.1067103926701659</v>
      </c>
      <c r="AM416" s="4">
        <f>IF(AND(vp.data[[#This Row],[SDate]]&gt;=DATE(YEAR(vp.data[[#This Row],[SDate]]),5,1),vp.data[[#This Row],[SDate]]&lt;=DATE(YEAR(vp.data[[#This Row],[SDate]]),9,15)),1,0)</f>
        <v>0</v>
      </c>
      <c r="AN416" s="4">
        <f>IF(vp.data[[#This Row],[SDate]]&lt;DATE(2016,12,1),0,1)</f>
        <v>1</v>
      </c>
      <c r="AO416" s="4">
        <f>IFERROR(vp.data[[#This Row],[Sulf]]*vp.data[[#This Row],[Net Dens]],"")</f>
        <v>760377.47748930007</v>
      </c>
      <c r="AP416">
        <f>IFERROR(vp.data[[#This Row],[Dens]]*vp.data[[#This Row],[VolumeM3]],"")</f>
        <v>359185.37400000001</v>
      </c>
      <c r="AQ416" s="15">
        <f>IFERROR(vp.data[[#This Row],[VP]]*vp.data[[#This Row],[VolumeM3]],"")</f>
        <v>18226.703399999999</v>
      </c>
    </row>
    <row r="417" spans="1:43" x14ac:dyDescent="0.25">
      <c r="A417">
        <v>416</v>
      </c>
      <c r="B417" t="s">
        <v>64</v>
      </c>
      <c r="C417" t="s">
        <v>64</v>
      </c>
      <c r="D417" t="s">
        <v>65</v>
      </c>
      <c r="F417" s="1">
        <v>42718</v>
      </c>
      <c r="G417" s="2">
        <v>44.3</v>
      </c>
      <c r="H417" s="2">
        <v>2.1169500000000001</v>
      </c>
      <c r="I417" s="2">
        <f t="array" ref="I417">_xlfn.IFNA(IF(vp.data[[#This Row],[Sulf Input]]="",INDEX([1]DATA!$Q$3:$Q$9826,MATCH(1,(vp.data[[#This Row],[Battery]]=[1]DATA!$L$3:$L$9826)*(EOMONTH(vp.data[[#This Row],[SDate]],-1)+1=[1]DATA!$G$3:$G$9826),0)),vp.data[[#This Row],[Sulf Input]]),"")</f>
        <v>2.1169500000000001</v>
      </c>
      <c r="J417" s="2">
        <v>28.5</v>
      </c>
      <c r="K417" s="2">
        <v>-25</v>
      </c>
      <c r="L417" s="2">
        <v>873</v>
      </c>
      <c r="M417" s="2">
        <f t="array" ref="M417">_xlfn.IFNA(IF(vp.data[[#This Row],[Dens Input]]="",INDEX([1]DATA!$O$3:$O$9826,MATCH(1,(vp.data[[#This Row],[Battery]]=[1]DATA!$L$3:$L$9826)*(EOMONTH(vp.data[[#This Row],[SDate]],-1)+1=[1]DATA!$G$3:$G$9826),0)),vp.data[[#This Row],[Dens Input]]),"")</f>
        <v>873</v>
      </c>
      <c r="N417" s="2">
        <f ca="1">INDEX(INDIRECT(_xlfn.CONCAT("weather.tbl[",N$1,"]")),MATCH(vp.data[[#This Row],[SDate]],weather.tbl[Date],0))</f>
        <v>-23.216666666666669</v>
      </c>
      <c r="O417" s="2">
        <f ca="1">INDEX(INDIRECT(_xlfn.CONCAT("weather.tbl[",O$1,"]")),MATCH(vp.data[[#This Row],[SDate]],weather.tbl[Date],0))</f>
        <v>-22.707142857142859</v>
      </c>
      <c r="P417" s="2">
        <f ca="1">INDEX(INDIRECT(_xlfn.CONCAT("weather.tbl[",P$1,"]")),MATCH(vp.data[[#This Row],[SDate]],weather.tbl[Date],0))</f>
        <v>-24.1</v>
      </c>
      <c r="Q417" s="2">
        <f ca="1">INDEX(INDIRECT(_xlfn.CONCAT("weather.tbl[",Q$1,"]")),MATCH(vp.data[[#This Row],[SDate]],weather.tbl[Date],0))</f>
        <v>-24.3</v>
      </c>
      <c r="R417" s="2">
        <f ca="1">INDEX(INDIRECT(_xlfn.CONCAT("weather.tbl[",R$1,"]")),MATCH(vp.data[[#This Row],[SDate]],weather.tbl[Date],0))</f>
        <v>-23</v>
      </c>
      <c r="S417" s="2">
        <f ca="1">INDEX(INDIRECT(_xlfn.CONCAT("weather.tbl[",S$1,"]")),MATCH(vp.data[[#This Row],[SDate]],weather.tbl[Date],0))</f>
        <v>-20.8</v>
      </c>
      <c r="T417" s="2">
        <f ca="1">INDEX(INDIRECT(_xlfn.CONCAT("weather.tbl[",T$1,"]")),MATCH(vp.data[[#This Row],[SDate]],weather.tbl[Date],0))</f>
        <v>-23.6</v>
      </c>
      <c r="U417" s="2">
        <f ca="1">INDEX(INDIRECT(_xlfn.CONCAT("weather.tbl[",U$1,"]")),MATCH(vp.data[[#This Row],[SDate]],weather.tbl[Date],0))</f>
        <v>-23.5</v>
      </c>
      <c r="V417" s="2">
        <f t="array" ref="V4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21372.330999999998</v>
      </c>
      <c r="W417" t="s">
        <v>48</v>
      </c>
      <c r="X417">
        <f>IF(OR(vp.data[[#This Row],[Sulf]]="",vp.data[[#This Row],[Dens]]=""),1,0)</f>
        <v>0</v>
      </c>
      <c r="Y417">
        <f>IF(vp.data[[#This Row],[CrudeType]]="C5+",1,0)</f>
        <v>0</v>
      </c>
      <c r="Z417">
        <f>IF(AND(vp.data[[#This Row],[CrudeType]]="Crude",vp.data[[#This Row],[Dens]]&lt;=825,vp.data[[#This Row],[Sulf]]&gt;0.5,vp.data[[#This Row],[Unknown]]=0),1,0)</f>
        <v>0</v>
      </c>
      <c r="AA417">
        <f>IF(AND(vp.data[[#This Row],[CrudeType]]="Crude",vp.data[[#This Row],[Dens]]&lt;=825,vp.data[[#This Row],[Sulf]]&lt;=0.5,vp.data[[#This Row],[Unknown]]=0),1,0)</f>
        <v>0</v>
      </c>
      <c r="AB4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17">
        <f>IF(AND(vp.data[[#This Row],[CrudeType]]="Crude",vp.data[[#This Row],[Dens]]&gt;825,vp.data[[#This Row],[Dens]]&lt;=900,vp.data[[#This Row],[Sulf]]&lt;=0.5,vp.data[[#This Row],[Unknown]]=0),1,0)</f>
        <v>0</v>
      </c>
      <c r="AD417">
        <f>IF(AND(vp.data[[#This Row],[CrudeType]]="Crude",vp.data[[#This Row],[Dens]]&gt;865,vp.data[[#This Row],[Dens]]&lt;=900,vp.data[[#This Row],[Sulf]]&gt;2,vp.data[[#This Row],[Unknown]]=0),1,0)</f>
        <v>1</v>
      </c>
      <c r="AE417">
        <f>IF(AND(vp.data[[#This Row],[CrudeType]]="Crude",vp.data[[#This Row],[Dens]]&gt;900,vp.data[[#This Row],[Sulf]]&lt;=0.5,vp.data[[#This Row],[Unknown]]=0),1,0)</f>
        <v>0</v>
      </c>
      <c r="AF417">
        <f>IF(AND(vp.data[[#This Row],[CrudeType]]="Crude",vp.data[[#This Row],[Dens]]&gt;900,vp.data[[#This Row],[Sulf]]&lt;=0.5,vp.data[[#This Row],[Unknown]]=0),1,0)</f>
        <v>0</v>
      </c>
      <c r="AG417" t="str">
        <f>INDEX(vp.data[[#Headers],[Unknown]:[Heavy_SW]],MATCH(1,vp.data[[#This Row],[Unknown]:[Heavy_SW]],0))</f>
        <v>Midale</v>
      </c>
      <c r="AH417">
        <f>INDEX([3]!crudeBD.lkup[Number],MATCH(vp.data[[#This Row],[Crude_Breakdown]],crudeBD.lkup[Crude Breakdown],0))</f>
        <v>5</v>
      </c>
      <c r="AI417">
        <f>MONTH(vp.data[[#This Row],[SDate]])</f>
        <v>12</v>
      </c>
      <c r="AJ417" s="5">
        <f>(vp.data[[#This Row],[VP]]-INDEX(crudeBD.lkup[Mean_VP],MATCH(vp.data[[#This Row],[Crude_Breakdown]],crudeBD.lkup[Crude Breakdown],0)))^2</f>
        <v>630.44997369539976</v>
      </c>
      <c r="AK417" s="5">
        <f>(vp.data[[#This Row],[Dens]]-INDEX(crudeBD.lkup[Mean_Dens],MATCH(vp.data[[#This Row],[Crude_Breakdown]],crudeBD.lkup[Crude Breakdown],0)))^2</f>
        <v>3.3015264640249229</v>
      </c>
      <c r="AL417" s="5">
        <f>(vp.data[[#This Row],[Sulf]]-INDEX(crudeBD.lkup[Mean_Sulf],MATCH(vp.data[[#This Row],[Crude_Breakdown]],crudeBD.lkup[Crude Breakdown],0)))^2</f>
        <v>0.1067103926701659</v>
      </c>
      <c r="AM417" s="4">
        <f>IF(AND(vp.data[[#This Row],[SDate]]&gt;=DATE(YEAR(vp.data[[#This Row],[SDate]]),5,1),vp.data[[#This Row],[SDate]]&lt;=DATE(YEAR(vp.data[[#This Row],[SDate]]),9,15)),1,0)</f>
        <v>0</v>
      </c>
      <c r="AN417" s="4">
        <f>IF(vp.data[[#This Row],[SDate]]&lt;DATE(2016,12,1),0,1)</f>
        <v>1</v>
      </c>
      <c r="AO417" s="4">
        <f>IFERROR(vp.data[[#This Row],[Sulf]]*vp.data[[#This Row],[Net Dens]],"")</f>
        <v>39498148.284422852</v>
      </c>
      <c r="AP417">
        <f>IFERROR(vp.data[[#This Row],[Dens]]*vp.data[[#This Row],[VolumeM3]],"")</f>
        <v>18658044.963</v>
      </c>
      <c r="AQ417" s="15">
        <f>IFERROR(vp.data[[#This Row],[VP]]*vp.data[[#This Row],[VolumeM3]],"")</f>
        <v>946794.26329999988</v>
      </c>
    </row>
    <row r="418" spans="1:43" x14ac:dyDescent="0.25">
      <c r="A418">
        <v>417</v>
      </c>
      <c r="B418" t="s">
        <v>62</v>
      </c>
      <c r="C418" t="s">
        <v>62</v>
      </c>
      <c r="D418" t="s">
        <v>63</v>
      </c>
      <c r="F418" s="1">
        <v>42718</v>
      </c>
      <c r="G418" s="2">
        <v>83.2</v>
      </c>
      <c r="H418" s="2">
        <v>2.1859299999999999</v>
      </c>
      <c r="I418" s="2">
        <f t="array" ref="I418">_xlfn.IFNA(IF(vp.data[[#This Row],[Sulf Input]]="",INDEX([1]DATA!$Q$3:$Q$9826,MATCH(1,(vp.data[[#This Row],[Battery]]=[1]DATA!$L$3:$L$9826)*(EOMONTH(vp.data[[#This Row],[SDate]],-1)+1=[1]DATA!$G$3:$G$9826),0)),vp.data[[#This Row],[Sulf Input]]),"")</f>
        <v>2.1859299999999999</v>
      </c>
      <c r="J418" s="2">
        <v>-2.5</v>
      </c>
      <c r="K418" s="2">
        <v>-25</v>
      </c>
      <c r="L418" s="2">
        <v>828</v>
      </c>
      <c r="M418" s="2">
        <f t="array" ref="M418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418" s="2">
        <f ca="1">INDEX(INDIRECT(_xlfn.CONCAT("weather.tbl[",N$1,"]")),MATCH(vp.data[[#This Row],[SDate]],weather.tbl[Date],0))</f>
        <v>-23.216666666666669</v>
      </c>
      <c r="O418" s="2">
        <f ca="1">INDEX(INDIRECT(_xlfn.CONCAT("weather.tbl[",O$1,"]")),MATCH(vp.data[[#This Row],[SDate]],weather.tbl[Date],0))</f>
        <v>-22.707142857142859</v>
      </c>
      <c r="P418" s="2">
        <f ca="1">INDEX(INDIRECT(_xlfn.CONCAT("weather.tbl[",P$1,"]")),MATCH(vp.data[[#This Row],[SDate]],weather.tbl[Date],0))</f>
        <v>-24.1</v>
      </c>
      <c r="Q418" s="2">
        <f ca="1">INDEX(INDIRECT(_xlfn.CONCAT("weather.tbl[",Q$1,"]")),MATCH(vp.data[[#This Row],[SDate]],weather.tbl[Date],0))</f>
        <v>-24.3</v>
      </c>
      <c r="R418" s="2">
        <f ca="1">INDEX(INDIRECT(_xlfn.CONCAT("weather.tbl[",R$1,"]")),MATCH(vp.data[[#This Row],[SDate]],weather.tbl[Date],0))</f>
        <v>-23</v>
      </c>
      <c r="S418" s="2">
        <f ca="1">INDEX(INDIRECT(_xlfn.CONCAT("weather.tbl[",S$1,"]")),MATCH(vp.data[[#This Row],[SDate]],weather.tbl[Date],0))</f>
        <v>-20.8</v>
      </c>
      <c r="T418" s="2">
        <f ca="1">INDEX(INDIRECT(_xlfn.CONCAT("weather.tbl[",T$1,"]")),MATCH(vp.data[[#This Row],[SDate]],weather.tbl[Date],0))</f>
        <v>-23.6</v>
      </c>
      <c r="U418" s="2">
        <f ca="1">INDEX(INDIRECT(_xlfn.CONCAT("weather.tbl[",U$1,"]")),MATCH(vp.data[[#This Row],[SDate]],weather.tbl[Date],0))</f>
        <v>-23.5</v>
      </c>
      <c r="V418" s="2">
        <f t="array" ref="V4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5268.48</v>
      </c>
      <c r="W418" t="s">
        <v>48</v>
      </c>
      <c r="X418">
        <f>IF(OR(vp.data[[#This Row],[Sulf]]="",vp.data[[#This Row],[Dens]]=""),1,0)</f>
        <v>0</v>
      </c>
      <c r="Y418">
        <f>IF(vp.data[[#This Row],[CrudeType]]="C5+",1,0)</f>
        <v>0</v>
      </c>
      <c r="Z418">
        <f>IF(AND(vp.data[[#This Row],[CrudeType]]="Crude",vp.data[[#This Row],[Dens]]&lt;=825,vp.data[[#This Row],[Sulf]]&gt;0.5,vp.data[[#This Row],[Unknown]]=0),1,0)</f>
        <v>0</v>
      </c>
      <c r="AA418">
        <f>IF(AND(vp.data[[#This Row],[CrudeType]]="Crude",vp.data[[#This Row],[Dens]]&lt;=825,vp.data[[#This Row],[Sulf]]&lt;=0.5,vp.data[[#This Row],[Unknown]]=0),1,0)</f>
        <v>0</v>
      </c>
      <c r="AB4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18">
        <f>IF(AND(vp.data[[#This Row],[CrudeType]]="Crude",vp.data[[#This Row],[Dens]]&gt;825,vp.data[[#This Row],[Dens]]&lt;=900,vp.data[[#This Row],[Sulf]]&lt;=0.5,vp.data[[#This Row],[Unknown]]=0),1,0)</f>
        <v>0</v>
      </c>
      <c r="AD418">
        <f>IF(AND(vp.data[[#This Row],[CrudeType]]="Crude",vp.data[[#This Row],[Dens]]&gt;865,vp.data[[#This Row],[Dens]]&lt;=900,vp.data[[#This Row],[Sulf]]&gt;2,vp.data[[#This Row],[Unknown]]=0),1,0)</f>
        <v>0</v>
      </c>
      <c r="AE418">
        <f>IF(AND(vp.data[[#This Row],[CrudeType]]="Crude",vp.data[[#This Row],[Dens]]&gt;900,vp.data[[#This Row],[Sulf]]&lt;=0.5,vp.data[[#This Row],[Unknown]]=0),1,0)</f>
        <v>0</v>
      </c>
      <c r="AF418">
        <f>IF(AND(vp.data[[#This Row],[CrudeType]]="Crude",vp.data[[#This Row],[Dens]]&gt;900,vp.data[[#This Row],[Sulf]]&lt;=0.5,vp.data[[#This Row],[Unknown]]=0),1,0)</f>
        <v>0</v>
      </c>
      <c r="AG418" t="str">
        <f>INDEX(vp.data[[#Headers],[Unknown]:[Heavy_SW]],MATCH(1,vp.data[[#This Row],[Unknown]:[Heavy_SW]],0))</f>
        <v>Medium_LSB</v>
      </c>
      <c r="AH418">
        <f>INDEX([3]!crudeBD.lkup[Number],MATCH(vp.data[[#This Row],[Crude_Breakdown]],crudeBD.lkup[Crude Breakdown],0))</f>
        <v>3</v>
      </c>
      <c r="AI418">
        <f>MONTH(vp.data[[#This Row],[SDate]])</f>
        <v>12</v>
      </c>
      <c r="AJ418" s="5">
        <f>(vp.data[[#This Row],[VP]]-INDEX(crudeBD.lkup[Mean_VP],MATCH(vp.data[[#This Row],[Crude_Breakdown]],crudeBD.lkup[Crude Breakdown],0)))^2</f>
        <v>6.5552561693103977</v>
      </c>
      <c r="AK418" s="5">
        <f>(vp.data[[#This Row],[Dens]]-INDEX(crudeBD.lkup[Mean_Dens],MATCH(vp.data[[#This Row],[Crude_Breakdown]],crudeBD.lkup[Crude Breakdown],0)))^2</f>
        <v>253.44639999998421</v>
      </c>
      <c r="AL418" s="5">
        <f>(vp.data[[#This Row],[Sulf]]-INDEX(crudeBD.lkup[Mean_Sulf],MATCH(vp.data[[#This Row],[Crude_Breakdown]],crudeBD.lkup[Crude Breakdown],0)))^2</f>
        <v>0.64083526965633697</v>
      </c>
      <c r="AM418" s="4">
        <f>IF(AND(vp.data[[#This Row],[SDate]]&gt;=DATE(YEAR(vp.data[[#This Row],[SDate]]),5,1),vp.data[[#This Row],[SDate]]&lt;=DATE(YEAR(vp.data[[#This Row],[SDate]]),9,15)),1,0)</f>
        <v>0</v>
      </c>
      <c r="AN418" s="4">
        <f>IF(vp.data[[#This Row],[SDate]]&lt;DATE(2016,12,1),0,1)</f>
        <v>1</v>
      </c>
      <c r="AO418" s="4">
        <f>IFERROR(vp.data[[#This Row],[Sulf]]*vp.data[[#This Row],[Net Dens]],"")</f>
        <v>9535685.5867391992</v>
      </c>
      <c r="AP418">
        <f>IFERROR(vp.data[[#This Row],[Dens]]*vp.data[[#This Row],[VolumeM3]],"")</f>
        <v>4362301.4399999995</v>
      </c>
      <c r="AQ418" s="15">
        <f>IFERROR(vp.data[[#This Row],[VP]]*vp.data[[#This Row],[VolumeM3]],"")</f>
        <v>438337.53599999996</v>
      </c>
    </row>
    <row r="419" spans="1:43" x14ac:dyDescent="0.25">
      <c r="A419">
        <v>418</v>
      </c>
      <c r="B419" t="s">
        <v>51</v>
      </c>
      <c r="C419" t="s">
        <v>51</v>
      </c>
      <c r="D419" t="s">
        <v>72</v>
      </c>
      <c r="F419" s="1">
        <v>42718</v>
      </c>
      <c r="G419" s="2">
        <v>89.5</v>
      </c>
      <c r="H419" s="2"/>
      <c r="I419" s="2">
        <f t="array" ref="I419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419" s="2"/>
      <c r="K419" s="2"/>
      <c r="L419" s="2">
        <v>836.3</v>
      </c>
      <c r="M419" s="2">
        <f t="array" ref="M419">_xlfn.IFNA(IF(vp.data[[#This Row],[Dens Input]]="",INDEX([1]DATA!$O$3:$O$9826,MATCH(1,(vp.data[[#This Row],[Battery]]=[1]DATA!$L$3:$L$9826)*(EOMONTH(vp.data[[#This Row],[SDate]],-1)+1=[1]DATA!$G$3:$G$9826),0)),vp.data[[#This Row],[Dens Input]]),"")</f>
        <v>836.3</v>
      </c>
      <c r="N419" s="2">
        <f ca="1">INDEX(INDIRECT(_xlfn.CONCAT("weather.tbl[",N$1,"]")),MATCH(vp.data[[#This Row],[SDate]],weather.tbl[Date],0))</f>
        <v>-23.216666666666669</v>
      </c>
      <c r="O419" s="2">
        <f ca="1">INDEX(INDIRECT(_xlfn.CONCAT("weather.tbl[",O$1,"]")),MATCH(vp.data[[#This Row],[SDate]],weather.tbl[Date],0))</f>
        <v>-22.707142857142859</v>
      </c>
      <c r="P419" s="2">
        <f ca="1">INDEX(INDIRECT(_xlfn.CONCAT("weather.tbl[",P$1,"]")),MATCH(vp.data[[#This Row],[SDate]],weather.tbl[Date],0))</f>
        <v>-24.1</v>
      </c>
      <c r="Q419" s="2">
        <f ca="1">INDEX(INDIRECT(_xlfn.CONCAT("weather.tbl[",Q$1,"]")),MATCH(vp.data[[#This Row],[SDate]],weather.tbl[Date],0))</f>
        <v>-24.3</v>
      </c>
      <c r="R419" s="2">
        <f ca="1">INDEX(INDIRECT(_xlfn.CONCAT("weather.tbl[",R$1,"]")),MATCH(vp.data[[#This Row],[SDate]],weather.tbl[Date],0))</f>
        <v>-23</v>
      </c>
      <c r="S419" s="2">
        <f ca="1">INDEX(INDIRECT(_xlfn.CONCAT("weather.tbl[",S$1,"]")),MATCH(vp.data[[#This Row],[SDate]],weather.tbl[Date],0))</f>
        <v>-20.8</v>
      </c>
      <c r="T419" s="2">
        <f ca="1">INDEX(INDIRECT(_xlfn.CONCAT("weather.tbl[",T$1,"]")),MATCH(vp.data[[#This Row],[SDate]],weather.tbl[Date],0))</f>
        <v>-23.6</v>
      </c>
      <c r="U419" s="2">
        <f ca="1">INDEX(INDIRECT(_xlfn.CONCAT("weather.tbl[",U$1,"]")),MATCH(vp.data[[#This Row],[SDate]],weather.tbl[Date],0))</f>
        <v>-23.5</v>
      </c>
      <c r="V419" s="2">
        <f t="array" ref="V4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13705.843999999999</v>
      </c>
      <c r="W419" t="s">
        <v>48</v>
      </c>
      <c r="X419">
        <f>IF(OR(vp.data[[#This Row],[Sulf]]="",vp.data[[#This Row],[Dens]]=""),1,0)</f>
        <v>0</v>
      </c>
      <c r="Y419">
        <f>IF(vp.data[[#This Row],[CrudeType]]="C5+",1,0)</f>
        <v>0</v>
      </c>
      <c r="Z419">
        <f>IF(AND(vp.data[[#This Row],[CrudeType]]="Crude",vp.data[[#This Row],[Dens]]&lt;=825,vp.data[[#This Row],[Sulf]]&gt;0.5,vp.data[[#This Row],[Unknown]]=0),1,0)</f>
        <v>0</v>
      </c>
      <c r="AA419">
        <f>IF(AND(vp.data[[#This Row],[CrudeType]]="Crude",vp.data[[#This Row],[Dens]]&lt;=825,vp.data[[#This Row],[Sulf]]&lt;=0.5,vp.data[[#This Row],[Unknown]]=0),1,0)</f>
        <v>0</v>
      </c>
      <c r="AB4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19">
        <f>IF(AND(vp.data[[#This Row],[CrudeType]]="Crude",vp.data[[#This Row],[Dens]]&gt;825,vp.data[[#This Row],[Dens]]&lt;=900,vp.data[[#This Row],[Sulf]]&lt;=0.5,vp.data[[#This Row],[Unknown]]=0),1,0)</f>
        <v>0</v>
      </c>
      <c r="AD419">
        <f>IF(AND(vp.data[[#This Row],[CrudeType]]="Crude",vp.data[[#This Row],[Dens]]&gt;865,vp.data[[#This Row],[Dens]]&lt;=900,vp.data[[#This Row],[Sulf]]&gt;2,vp.data[[#This Row],[Unknown]]=0),1,0)</f>
        <v>0</v>
      </c>
      <c r="AE419">
        <f>IF(AND(vp.data[[#This Row],[CrudeType]]="Crude",vp.data[[#This Row],[Dens]]&gt;900,vp.data[[#This Row],[Sulf]]&lt;=0.5,vp.data[[#This Row],[Unknown]]=0),1,0)</f>
        <v>0</v>
      </c>
      <c r="AF419">
        <f>IF(AND(vp.data[[#This Row],[CrudeType]]="Crude",vp.data[[#This Row],[Dens]]&gt;900,vp.data[[#This Row],[Sulf]]&lt;=0.5,vp.data[[#This Row],[Unknown]]=0),1,0)</f>
        <v>0</v>
      </c>
      <c r="AG419" t="str">
        <f>INDEX(vp.data[[#Headers],[Unknown]:[Heavy_SW]],MATCH(1,vp.data[[#This Row],[Unknown]:[Heavy_SW]],0))</f>
        <v>Medium_LSB</v>
      </c>
      <c r="AH419">
        <f>INDEX([3]!crudeBD.lkup[Number],MATCH(vp.data[[#This Row],[Crude_Breakdown]],crudeBD.lkup[Crude Breakdown],0))</f>
        <v>3</v>
      </c>
      <c r="AI419">
        <f>MONTH(vp.data[[#This Row],[SDate]])</f>
        <v>12</v>
      </c>
      <c r="AJ419" s="5">
        <f>(vp.data[[#This Row],[VP]]-INDEX(crudeBD.lkup[Mean_VP],MATCH(vp.data[[#This Row],[Crude_Breakdown]],crudeBD.lkup[Crude Breakdown],0)))^2</f>
        <v>78.505331641009391</v>
      </c>
      <c r="AK419" s="5">
        <f>(vp.data[[#This Row],[Dens]]-INDEX(crudeBD.lkup[Mean_Dens],MATCH(vp.data[[#This Row],[Crude_Breakdown]],crudeBD.lkup[Crude Breakdown],0)))^2</f>
        <v>58.064399999993142</v>
      </c>
      <c r="AL419" s="5">
        <f>(vp.data[[#This Row],[Sulf]]-INDEX(crudeBD.lkup[Mean_Sulf],MATCH(vp.data[[#This Row],[Crude_Breakdown]],crudeBD.lkup[Crude Breakdown],0)))^2</f>
        <v>3.4376173440706655E-2</v>
      </c>
      <c r="AM419" s="4">
        <f>IF(AND(vp.data[[#This Row],[SDate]]&gt;=DATE(YEAR(vp.data[[#This Row],[SDate]]),5,1),vp.data[[#This Row],[SDate]]&lt;=DATE(YEAR(vp.data[[#This Row],[SDate]]),9,15)),1,0)</f>
        <v>0</v>
      </c>
      <c r="AN419" s="4">
        <f>IF(vp.data[[#This Row],[SDate]]&lt;DATE(2016,12,1),0,1)</f>
        <v>1</v>
      </c>
      <c r="AO419" s="4">
        <f>IFERROR(vp.data[[#This Row],[Sulf]]*vp.data[[#This Row],[Net Dens]],"")</f>
        <v>13754636.804639999</v>
      </c>
      <c r="AP419">
        <f>IFERROR(vp.data[[#This Row],[Dens]]*vp.data[[#This Row],[VolumeM3]],"")</f>
        <v>11462197.337199999</v>
      </c>
      <c r="AQ419" s="15">
        <f>IFERROR(vp.data[[#This Row],[VP]]*vp.data[[#This Row],[VolumeM3]],"")</f>
        <v>1226673.0379999999</v>
      </c>
    </row>
    <row r="420" spans="1:43" x14ac:dyDescent="0.25">
      <c r="A420">
        <v>419</v>
      </c>
      <c r="B420" t="s">
        <v>49</v>
      </c>
      <c r="C420" t="s">
        <v>49</v>
      </c>
      <c r="D420" t="s">
        <v>74</v>
      </c>
      <c r="F420" s="1">
        <v>42719</v>
      </c>
      <c r="G420" s="2">
        <v>111.3</v>
      </c>
      <c r="H420" s="2"/>
      <c r="I420" s="2">
        <f t="array" ref="I420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420" s="2"/>
      <c r="K420" s="2"/>
      <c r="L420" s="2">
        <v>799.3</v>
      </c>
      <c r="M420" s="2">
        <f t="array" ref="M420">_xlfn.IFNA(IF(vp.data[[#This Row],[Dens Input]]="",INDEX([1]DATA!$O$3:$O$9826,MATCH(1,(vp.data[[#This Row],[Battery]]=[1]DATA!$L$3:$L$9826)*(EOMONTH(vp.data[[#This Row],[SDate]],-1)+1=[1]DATA!$G$3:$G$9826),0)),vp.data[[#This Row],[Dens Input]]),"")</f>
        <v>799.3</v>
      </c>
      <c r="N420" s="2">
        <f ca="1">INDEX(INDIRECT(_xlfn.CONCAT("weather.tbl[",N$1,"]")),MATCH(vp.data[[#This Row],[SDate]],weather.tbl[Date],0))</f>
        <v>-23.349999999999998</v>
      </c>
      <c r="O420" s="2">
        <f ca="1">INDEX(INDIRECT(_xlfn.CONCAT("weather.tbl[",O$1,"]")),MATCH(vp.data[[#This Row],[SDate]],weather.tbl[Date],0))</f>
        <v>-23.016666666666669</v>
      </c>
      <c r="P420" s="2">
        <f ca="1">INDEX(INDIRECT(_xlfn.CONCAT("weather.tbl[",P$1,"]")),MATCH(vp.data[[#This Row],[SDate]],weather.tbl[Date],0))</f>
        <v>-22.4</v>
      </c>
      <c r="Q420" s="2">
        <f ca="1">INDEX(INDIRECT(_xlfn.CONCAT("weather.tbl[",Q$1,"]")),MATCH(vp.data[[#This Row],[SDate]],weather.tbl[Date],0))</f>
        <v>-24.1</v>
      </c>
      <c r="R420" s="2">
        <f ca="1">INDEX(INDIRECT(_xlfn.CONCAT("weather.tbl[",R$1,"]")),MATCH(vp.data[[#This Row],[SDate]],weather.tbl[Date],0))</f>
        <v>-25.3</v>
      </c>
      <c r="S420" s="2">
        <f ca="1">INDEX(INDIRECT(_xlfn.CONCAT("weather.tbl[",S$1,"]")),MATCH(vp.data[[#This Row],[SDate]],weather.tbl[Date],0))</f>
        <v>-21.5</v>
      </c>
      <c r="T420" s="2">
        <f ca="1">INDEX(INDIRECT(_xlfn.CONCAT("weather.tbl[",T$1,"]")),MATCH(vp.data[[#This Row],[SDate]],weather.tbl[Date],0))</f>
        <v>-24.5</v>
      </c>
      <c r="U420" s="2">
        <f ca="1">INDEX(INDIRECT(_xlfn.CONCAT("weather.tbl[",U$1,"]")),MATCH(vp.data[[#This Row],[SDate]],weather.tbl[Date],0))</f>
        <v>-22.3</v>
      </c>
      <c r="V420" s="2">
        <f t="array" ref="V4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420" t="s">
        <v>48</v>
      </c>
      <c r="X420">
        <f>IF(OR(vp.data[[#This Row],[Sulf]]="",vp.data[[#This Row],[Dens]]=""),1,0)</f>
        <v>0</v>
      </c>
      <c r="Y420">
        <f>IF(vp.data[[#This Row],[CrudeType]]="C5+",1,0)</f>
        <v>0</v>
      </c>
      <c r="Z420">
        <f>IF(AND(vp.data[[#This Row],[CrudeType]]="Crude",vp.data[[#This Row],[Dens]]&lt;=825,vp.data[[#This Row],[Sulf]]&gt;0.5,vp.data[[#This Row],[Unknown]]=0),1,0)</f>
        <v>0</v>
      </c>
      <c r="AA420">
        <f>IF(AND(vp.data[[#This Row],[CrudeType]]="Crude",vp.data[[#This Row],[Dens]]&lt;=825,vp.data[[#This Row],[Sulf]]&lt;=0.5,vp.data[[#This Row],[Unknown]]=0),1,0)</f>
        <v>1</v>
      </c>
      <c r="AB4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0">
        <f>IF(AND(vp.data[[#This Row],[CrudeType]]="Crude",vp.data[[#This Row],[Dens]]&gt;825,vp.data[[#This Row],[Dens]]&lt;=900,vp.data[[#This Row],[Sulf]]&lt;=0.5,vp.data[[#This Row],[Unknown]]=0),1,0)</f>
        <v>0</v>
      </c>
      <c r="AD420">
        <f>IF(AND(vp.data[[#This Row],[CrudeType]]="Crude",vp.data[[#This Row],[Dens]]&gt;865,vp.data[[#This Row],[Dens]]&lt;=900,vp.data[[#This Row],[Sulf]]&gt;2,vp.data[[#This Row],[Unknown]]=0),1,0)</f>
        <v>0</v>
      </c>
      <c r="AE420">
        <f>IF(AND(vp.data[[#This Row],[CrudeType]]="Crude",vp.data[[#This Row],[Dens]]&gt;900,vp.data[[#This Row],[Sulf]]&lt;=0.5,vp.data[[#This Row],[Unknown]]=0),1,0)</f>
        <v>0</v>
      </c>
      <c r="AF420">
        <f>IF(AND(vp.data[[#This Row],[CrudeType]]="Crude",vp.data[[#This Row],[Dens]]&gt;900,vp.data[[#This Row],[Sulf]]&lt;=0.5,vp.data[[#This Row],[Unknown]]=0),1,0)</f>
        <v>0</v>
      </c>
      <c r="AG420" t="str">
        <f>INDEX(vp.data[[#Headers],[Unknown]:[Heavy_SW]],MATCH(1,vp.data[[#This Row],[Unknown]:[Heavy_SW]],0))</f>
        <v>Light_SW</v>
      </c>
      <c r="AH420">
        <f>INDEX([3]!crudeBD.lkup[Number],MATCH(vp.data[[#This Row],[Crude_Breakdown]],crudeBD.lkup[Crude Breakdown],0))</f>
        <v>2</v>
      </c>
      <c r="AI420">
        <f>MONTH(vp.data[[#This Row],[SDate]])</f>
        <v>12</v>
      </c>
      <c r="AJ420" s="5">
        <f>(vp.data[[#This Row],[VP]]-INDEX(crudeBD.lkup[Mean_VP],MATCH(vp.data[[#This Row],[Crude_Breakdown]],crudeBD.lkup[Crude Breakdown],0)))^2</f>
        <v>351.55074051645744</v>
      </c>
      <c r="AK420" s="5">
        <f>(vp.data[[#This Row],[Dens]]-INDEX(crudeBD.lkup[Mean_Dens],MATCH(vp.data[[#This Row],[Crude_Breakdown]],crudeBD.lkup[Crude Breakdown],0)))^2</f>
        <v>81.207100851045212</v>
      </c>
      <c r="AL420" s="5">
        <f>(vp.data[[#This Row],[Sulf]]-INDEX(crudeBD.lkup[Mean_Sulf],MATCH(vp.data[[#This Row],[Crude_Breakdown]],crudeBD.lkup[Crude Breakdown],0)))^2</f>
        <v>7.4376501105998362E-3</v>
      </c>
      <c r="AM420" s="4">
        <f>IF(AND(vp.data[[#This Row],[SDate]]&gt;=DATE(YEAR(vp.data[[#This Row],[SDate]]),5,1),vp.data[[#This Row],[SDate]]&lt;=DATE(YEAR(vp.data[[#This Row],[SDate]]),9,15)),1,0)</f>
        <v>0</v>
      </c>
      <c r="AN420" s="4">
        <f>IF(vp.data[[#This Row],[SDate]]&lt;DATE(2016,12,1),0,1)</f>
        <v>1</v>
      </c>
      <c r="AO420" s="4">
        <f>IFERROR(vp.data[[#This Row],[Sulf]]*vp.data[[#This Row],[Net Dens]],"")</f>
        <v>3620758.3818449997</v>
      </c>
      <c r="AP420">
        <f>IFERROR(vp.data[[#This Row],[Dens]]*vp.data[[#This Row],[VolumeM3]],"")</f>
        <v>24138389.212299999</v>
      </c>
      <c r="AQ420" s="15">
        <f>IFERROR(vp.data[[#This Row],[VP]]*vp.data[[#This Row],[VolumeM3]],"")</f>
        <v>3361194.4443000001</v>
      </c>
    </row>
    <row r="421" spans="1:43" x14ac:dyDescent="0.25">
      <c r="A421">
        <v>420</v>
      </c>
      <c r="B421" t="s">
        <v>62</v>
      </c>
      <c r="C421" t="s">
        <v>62</v>
      </c>
      <c r="D421" t="s">
        <v>79</v>
      </c>
      <c r="F421" s="1">
        <v>42719</v>
      </c>
      <c r="G421" s="2">
        <v>105.2</v>
      </c>
      <c r="H421" s="2"/>
      <c r="I421" s="2">
        <f t="array" ref="I42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421" s="2"/>
      <c r="K421" s="2"/>
      <c r="L421" s="2">
        <v>805.1</v>
      </c>
      <c r="M421" s="2">
        <f t="array" ref="M421">_xlfn.IFNA(IF(vp.data[[#This Row],[Dens Input]]="",INDEX([1]DATA!$O$3:$O$9826,MATCH(1,(vp.data[[#This Row],[Battery]]=[1]DATA!$L$3:$L$9826)*(EOMONTH(vp.data[[#This Row],[SDate]],-1)+1=[1]DATA!$G$3:$G$9826),0)),vp.data[[#This Row],[Dens Input]]),"")</f>
        <v>805.1</v>
      </c>
      <c r="N421" s="2">
        <f ca="1">INDEX(INDIRECT(_xlfn.CONCAT("weather.tbl[",N$1,"]")),MATCH(vp.data[[#This Row],[SDate]],weather.tbl[Date],0))</f>
        <v>-23.349999999999998</v>
      </c>
      <c r="O421" s="2">
        <f ca="1">INDEX(INDIRECT(_xlfn.CONCAT("weather.tbl[",O$1,"]")),MATCH(vp.data[[#This Row],[SDate]],weather.tbl[Date],0))</f>
        <v>-23.016666666666669</v>
      </c>
      <c r="P421" s="2">
        <f ca="1">INDEX(INDIRECT(_xlfn.CONCAT("weather.tbl[",P$1,"]")),MATCH(vp.data[[#This Row],[SDate]],weather.tbl[Date],0))</f>
        <v>-22.4</v>
      </c>
      <c r="Q421" s="2">
        <f ca="1">INDEX(INDIRECT(_xlfn.CONCAT("weather.tbl[",Q$1,"]")),MATCH(vp.data[[#This Row],[SDate]],weather.tbl[Date],0))</f>
        <v>-24.1</v>
      </c>
      <c r="R421" s="2">
        <f ca="1">INDEX(INDIRECT(_xlfn.CONCAT("weather.tbl[",R$1,"]")),MATCH(vp.data[[#This Row],[SDate]],weather.tbl[Date],0))</f>
        <v>-25.3</v>
      </c>
      <c r="S421" s="2">
        <f ca="1">INDEX(INDIRECT(_xlfn.CONCAT("weather.tbl[",S$1,"]")),MATCH(vp.data[[#This Row],[SDate]],weather.tbl[Date],0))</f>
        <v>-21.5</v>
      </c>
      <c r="T421" s="2">
        <f ca="1">INDEX(INDIRECT(_xlfn.CONCAT("weather.tbl[",T$1,"]")),MATCH(vp.data[[#This Row],[SDate]],weather.tbl[Date],0))</f>
        <v>-24.5</v>
      </c>
      <c r="U421" s="2">
        <f ca="1">INDEX(INDIRECT(_xlfn.CONCAT("weather.tbl[",U$1,"]")),MATCH(vp.data[[#This Row],[SDate]],weather.tbl[Date],0))</f>
        <v>-22.3</v>
      </c>
      <c r="V421" s="2">
        <f t="array" ref="V4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13104.25</v>
      </c>
      <c r="W421" t="s">
        <v>48</v>
      </c>
      <c r="X421">
        <f>IF(OR(vp.data[[#This Row],[Sulf]]="",vp.data[[#This Row],[Dens]]=""),1,0)</f>
        <v>0</v>
      </c>
      <c r="Y421">
        <f>IF(vp.data[[#This Row],[CrudeType]]="C5+",1,0)</f>
        <v>0</v>
      </c>
      <c r="Z421">
        <f>IF(AND(vp.data[[#This Row],[CrudeType]]="Crude",vp.data[[#This Row],[Dens]]&lt;=825,vp.data[[#This Row],[Sulf]]&gt;0.5,vp.data[[#This Row],[Unknown]]=0),1,0)</f>
        <v>0</v>
      </c>
      <c r="AA421">
        <f>IF(AND(vp.data[[#This Row],[CrudeType]]="Crude",vp.data[[#This Row],[Dens]]&lt;=825,vp.data[[#This Row],[Sulf]]&lt;=0.5,vp.data[[#This Row],[Unknown]]=0),1,0)</f>
        <v>1</v>
      </c>
      <c r="AB4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1">
        <f>IF(AND(vp.data[[#This Row],[CrudeType]]="Crude",vp.data[[#This Row],[Dens]]&gt;825,vp.data[[#This Row],[Dens]]&lt;=900,vp.data[[#This Row],[Sulf]]&lt;=0.5,vp.data[[#This Row],[Unknown]]=0),1,0)</f>
        <v>0</v>
      </c>
      <c r="AD421">
        <f>IF(AND(vp.data[[#This Row],[CrudeType]]="Crude",vp.data[[#This Row],[Dens]]&gt;865,vp.data[[#This Row],[Dens]]&lt;=900,vp.data[[#This Row],[Sulf]]&gt;2,vp.data[[#This Row],[Unknown]]=0),1,0)</f>
        <v>0</v>
      </c>
      <c r="AE421">
        <f>IF(AND(vp.data[[#This Row],[CrudeType]]="Crude",vp.data[[#This Row],[Dens]]&gt;900,vp.data[[#This Row],[Sulf]]&lt;=0.5,vp.data[[#This Row],[Unknown]]=0),1,0)</f>
        <v>0</v>
      </c>
      <c r="AF421">
        <f>IF(AND(vp.data[[#This Row],[CrudeType]]="Crude",vp.data[[#This Row],[Dens]]&gt;900,vp.data[[#This Row],[Sulf]]&lt;=0.5,vp.data[[#This Row],[Unknown]]=0),1,0)</f>
        <v>0</v>
      </c>
      <c r="AG421" t="str">
        <f>INDEX(vp.data[[#Headers],[Unknown]:[Heavy_SW]],MATCH(1,vp.data[[#This Row],[Unknown]:[Heavy_SW]],0))</f>
        <v>Light_SW</v>
      </c>
      <c r="AH421">
        <f>INDEX([3]!crudeBD.lkup[Number],MATCH(vp.data[[#This Row],[Crude_Breakdown]],crudeBD.lkup[Crude Breakdown],0))</f>
        <v>2</v>
      </c>
      <c r="AI421">
        <f>MONTH(vp.data[[#This Row],[SDate]])</f>
        <v>12</v>
      </c>
      <c r="AJ421" s="5">
        <f>(vp.data[[#This Row],[VP]]-INDEX(crudeBD.lkup[Mean_VP],MATCH(vp.data[[#This Row],[Crude_Breakdown]],crudeBD.lkup[Crude Breakdown],0)))^2</f>
        <v>160.01456630042938</v>
      </c>
      <c r="AK421" s="5">
        <f>(vp.data[[#This Row],[Dens]]-INDEX(crudeBD.lkup[Mean_Dens],MATCH(vp.data[[#This Row],[Crude_Breakdown]],crudeBD.lkup[Crude Breakdown],0)))^2</f>
        <v>10.313721060106015</v>
      </c>
      <c r="AL421" s="5">
        <f>(vp.data[[#This Row],[Sulf]]-INDEX(crudeBD.lkup[Mean_Sulf],MATCH(vp.data[[#This Row],[Crude_Breakdown]],crudeBD.lkup[Crude Breakdown],0)))^2</f>
        <v>2.1383051628646554E-3</v>
      </c>
      <c r="AM421" s="4">
        <f>IF(AND(vp.data[[#This Row],[SDate]]&gt;=DATE(YEAR(vp.data[[#This Row],[SDate]]),5,1),vp.data[[#This Row],[SDate]]&lt;=DATE(YEAR(vp.data[[#This Row],[SDate]]),9,15)),1,0)</f>
        <v>0</v>
      </c>
      <c r="AN421" s="4">
        <f>IF(vp.data[[#This Row],[SDate]]&lt;DATE(2016,12,1),0,1)</f>
        <v>1</v>
      </c>
      <c r="AO421" s="4">
        <f>IFERROR(vp.data[[#This Row],[Sulf]]*vp.data[[#This Row],[Net Dens]],"")</f>
        <v>2004544.0182500002</v>
      </c>
      <c r="AP421">
        <f>IFERROR(vp.data[[#This Row],[Dens]]*vp.data[[#This Row],[VolumeM3]],"")</f>
        <v>10550231.675000001</v>
      </c>
      <c r="AQ421" s="15">
        <f>IFERROR(vp.data[[#This Row],[VP]]*vp.data[[#This Row],[VolumeM3]],"")</f>
        <v>1378567.1</v>
      </c>
    </row>
    <row r="422" spans="1:43" x14ac:dyDescent="0.25">
      <c r="A422">
        <v>421</v>
      </c>
      <c r="B422" t="s">
        <v>62</v>
      </c>
      <c r="C422" t="s">
        <v>62</v>
      </c>
      <c r="D422" t="s">
        <v>83</v>
      </c>
      <c r="F422" s="1">
        <v>42719</v>
      </c>
      <c r="G422" s="2">
        <v>110</v>
      </c>
      <c r="H422" s="2"/>
      <c r="I422" s="2">
        <f t="array" ref="I42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422" s="2"/>
      <c r="K422" s="2"/>
      <c r="L422" s="2">
        <v>805.5</v>
      </c>
      <c r="M422" s="2">
        <f t="array" ref="M422">_xlfn.IFNA(IF(vp.data[[#This Row],[Dens Input]]="",INDEX([1]DATA!$O$3:$O$9826,MATCH(1,(vp.data[[#This Row],[Battery]]=[1]DATA!$L$3:$L$9826)*(EOMONTH(vp.data[[#This Row],[SDate]],-1)+1=[1]DATA!$G$3:$G$9826),0)),vp.data[[#This Row],[Dens Input]]),"")</f>
        <v>805.5</v>
      </c>
      <c r="N422" s="2">
        <f ca="1">INDEX(INDIRECT(_xlfn.CONCAT("weather.tbl[",N$1,"]")),MATCH(vp.data[[#This Row],[SDate]],weather.tbl[Date],0))</f>
        <v>-23.349999999999998</v>
      </c>
      <c r="O422" s="2">
        <f ca="1">INDEX(INDIRECT(_xlfn.CONCAT("weather.tbl[",O$1,"]")),MATCH(vp.data[[#This Row],[SDate]],weather.tbl[Date],0))</f>
        <v>-23.016666666666669</v>
      </c>
      <c r="P422" s="2">
        <f ca="1">INDEX(INDIRECT(_xlfn.CONCAT("weather.tbl[",P$1,"]")),MATCH(vp.data[[#This Row],[SDate]],weather.tbl[Date],0))</f>
        <v>-22.4</v>
      </c>
      <c r="Q422" s="2">
        <f ca="1">INDEX(INDIRECT(_xlfn.CONCAT("weather.tbl[",Q$1,"]")),MATCH(vp.data[[#This Row],[SDate]],weather.tbl[Date],0))</f>
        <v>-24.1</v>
      </c>
      <c r="R422" s="2">
        <f ca="1">INDEX(INDIRECT(_xlfn.CONCAT("weather.tbl[",R$1,"]")),MATCH(vp.data[[#This Row],[SDate]],weather.tbl[Date],0))</f>
        <v>-25.3</v>
      </c>
      <c r="S422" s="2">
        <f ca="1">INDEX(INDIRECT(_xlfn.CONCAT("weather.tbl[",S$1,"]")),MATCH(vp.data[[#This Row],[SDate]],weather.tbl[Date],0))</f>
        <v>-21.5</v>
      </c>
      <c r="T422" s="2">
        <f ca="1">INDEX(INDIRECT(_xlfn.CONCAT("weather.tbl[",T$1,"]")),MATCH(vp.data[[#This Row],[SDate]],weather.tbl[Date],0))</f>
        <v>-24.5</v>
      </c>
      <c r="U422" s="2">
        <f ca="1">INDEX(INDIRECT(_xlfn.CONCAT("weather.tbl[",U$1,"]")),MATCH(vp.data[[#This Row],[SDate]],weather.tbl[Date],0))</f>
        <v>-22.3</v>
      </c>
      <c r="V422" s="2">
        <f t="array" ref="V4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9482.9609999999993</v>
      </c>
      <c r="W422" t="s">
        <v>48</v>
      </c>
      <c r="X422">
        <f>IF(OR(vp.data[[#This Row],[Sulf]]="",vp.data[[#This Row],[Dens]]=""),1,0)</f>
        <v>0</v>
      </c>
      <c r="Y422">
        <f>IF(vp.data[[#This Row],[CrudeType]]="C5+",1,0)</f>
        <v>0</v>
      </c>
      <c r="Z422">
        <f>IF(AND(vp.data[[#This Row],[CrudeType]]="Crude",vp.data[[#This Row],[Dens]]&lt;=825,vp.data[[#This Row],[Sulf]]&gt;0.5,vp.data[[#This Row],[Unknown]]=0),1,0)</f>
        <v>0</v>
      </c>
      <c r="AA422">
        <f>IF(AND(vp.data[[#This Row],[CrudeType]]="Crude",vp.data[[#This Row],[Dens]]&lt;=825,vp.data[[#This Row],[Sulf]]&lt;=0.5,vp.data[[#This Row],[Unknown]]=0),1,0)</f>
        <v>1</v>
      </c>
      <c r="AB4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2">
        <f>IF(AND(vp.data[[#This Row],[CrudeType]]="Crude",vp.data[[#This Row],[Dens]]&gt;825,vp.data[[#This Row],[Dens]]&lt;=900,vp.data[[#This Row],[Sulf]]&lt;=0.5,vp.data[[#This Row],[Unknown]]=0),1,0)</f>
        <v>0</v>
      </c>
      <c r="AD422">
        <f>IF(AND(vp.data[[#This Row],[CrudeType]]="Crude",vp.data[[#This Row],[Dens]]&gt;865,vp.data[[#This Row],[Dens]]&lt;=900,vp.data[[#This Row],[Sulf]]&gt;2,vp.data[[#This Row],[Unknown]]=0),1,0)</f>
        <v>0</v>
      </c>
      <c r="AE422">
        <f>IF(AND(vp.data[[#This Row],[CrudeType]]="Crude",vp.data[[#This Row],[Dens]]&gt;900,vp.data[[#This Row],[Sulf]]&lt;=0.5,vp.data[[#This Row],[Unknown]]=0),1,0)</f>
        <v>0</v>
      </c>
      <c r="AF422">
        <f>IF(AND(vp.data[[#This Row],[CrudeType]]="Crude",vp.data[[#This Row],[Dens]]&gt;900,vp.data[[#This Row],[Sulf]]&lt;=0.5,vp.data[[#This Row],[Unknown]]=0),1,0)</f>
        <v>0</v>
      </c>
      <c r="AG422" t="str">
        <f>INDEX(vp.data[[#Headers],[Unknown]:[Heavy_SW]],MATCH(1,vp.data[[#This Row],[Unknown]:[Heavy_SW]],0))</f>
        <v>Light_SW</v>
      </c>
      <c r="AH422">
        <f>INDEX([3]!crudeBD.lkup[Number],MATCH(vp.data[[#This Row],[Crude_Breakdown]],crudeBD.lkup[Crude Breakdown],0))</f>
        <v>2</v>
      </c>
      <c r="AI422">
        <f>MONTH(vp.data[[#This Row],[SDate]])</f>
        <v>12</v>
      </c>
      <c r="AJ422" s="5">
        <f>(vp.data[[#This Row],[VP]]-INDEX(crudeBD.lkup[Mean_VP],MATCH(vp.data[[#This Row],[Crude_Breakdown]],crudeBD.lkup[Crude Breakdown],0)))^2</f>
        <v>304.49155584746791</v>
      </c>
      <c r="AK422" s="5">
        <f>(vp.data[[#This Row],[Dens]]-INDEX(crudeBD.lkup[Mean_Dens],MATCH(vp.data[[#This Row],[Crude_Breakdown]],crudeBD.lkup[Crude Breakdown],0)))^2</f>
        <v>7.9045224538345602</v>
      </c>
      <c r="AL422" s="5">
        <f>(vp.data[[#This Row],[Sulf]]-INDEX(crudeBD.lkup[Mean_Sulf],MATCH(vp.data[[#This Row],[Crude_Breakdown]],crudeBD.lkup[Crude Breakdown],0)))^2</f>
        <v>4.3879776367322437E-3</v>
      </c>
      <c r="AM422" s="4">
        <f>IF(AND(vp.data[[#This Row],[SDate]]&gt;=DATE(YEAR(vp.data[[#This Row],[SDate]]),5,1),vp.data[[#This Row],[SDate]]&lt;=DATE(YEAR(vp.data[[#This Row],[SDate]]),9,15)),1,0)</f>
        <v>0</v>
      </c>
      <c r="AN422" s="4">
        <f>IF(vp.data[[#This Row],[SDate]]&lt;DATE(2016,12,1),0,1)</f>
        <v>1</v>
      </c>
      <c r="AO422" s="4">
        <f>IFERROR(vp.data[[#This Row],[Sulf]]*vp.data[[#This Row],[Net Dens]],"")</f>
        <v>1298549.2645349998</v>
      </c>
      <c r="AP422">
        <f>IFERROR(vp.data[[#This Row],[Dens]]*vp.data[[#This Row],[VolumeM3]],"")</f>
        <v>7638525.0854999991</v>
      </c>
      <c r="AQ422" s="15">
        <f>IFERROR(vp.data[[#This Row],[VP]]*vp.data[[#This Row],[VolumeM3]],"")</f>
        <v>1043125.71</v>
      </c>
    </row>
    <row r="423" spans="1:43" x14ac:dyDescent="0.25">
      <c r="A423">
        <v>422</v>
      </c>
      <c r="B423" t="s">
        <v>49</v>
      </c>
      <c r="C423" t="s">
        <v>49</v>
      </c>
      <c r="D423" t="s">
        <v>75</v>
      </c>
      <c r="F423" s="1">
        <v>42719</v>
      </c>
      <c r="G423" s="2">
        <v>116.8</v>
      </c>
      <c r="H423" s="2"/>
      <c r="I423" s="2">
        <f t="array" ref="I423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423" s="2"/>
      <c r="K423" s="2"/>
      <c r="L423" s="2">
        <v>809.1</v>
      </c>
      <c r="M423" s="2">
        <f t="array" ref="M423">_xlfn.IFNA(IF(vp.data[[#This Row],[Dens Input]]="",INDEX([1]DATA!$O$3:$O$9826,MATCH(1,(vp.data[[#This Row],[Battery]]=[1]DATA!$L$3:$L$9826)*(EOMONTH(vp.data[[#This Row],[SDate]],-1)+1=[1]DATA!$G$3:$G$9826),0)),vp.data[[#This Row],[Dens Input]]),"")</f>
        <v>809.1</v>
      </c>
      <c r="N423" s="2">
        <f ca="1">INDEX(INDIRECT(_xlfn.CONCAT("weather.tbl[",N$1,"]")),MATCH(vp.data[[#This Row],[SDate]],weather.tbl[Date],0))</f>
        <v>-23.349999999999998</v>
      </c>
      <c r="O423" s="2">
        <f ca="1">INDEX(INDIRECT(_xlfn.CONCAT("weather.tbl[",O$1,"]")),MATCH(vp.data[[#This Row],[SDate]],weather.tbl[Date],0))</f>
        <v>-23.016666666666669</v>
      </c>
      <c r="P423" s="2">
        <f ca="1">INDEX(INDIRECT(_xlfn.CONCAT("weather.tbl[",P$1,"]")),MATCH(vp.data[[#This Row],[SDate]],weather.tbl[Date],0))</f>
        <v>-22.4</v>
      </c>
      <c r="Q423" s="2">
        <f ca="1">INDEX(INDIRECT(_xlfn.CONCAT("weather.tbl[",Q$1,"]")),MATCH(vp.data[[#This Row],[SDate]],weather.tbl[Date],0))</f>
        <v>-24.1</v>
      </c>
      <c r="R423" s="2">
        <f ca="1">INDEX(INDIRECT(_xlfn.CONCAT("weather.tbl[",R$1,"]")),MATCH(vp.data[[#This Row],[SDate]],weather.tbl[Date],0))</f>
        <v>-25.3</v>
      </c>
      <c r="S423" s="2">
        <f ca="1">INDEX(INDIRECT(_xlfn.CONCAT("weather.tbl[",S$1,"]")),MATCH(vp.data[[#This Row],[SDate]],weather.tbl[Date],0))</f>
        <v>-21.5</v>
      </c>
      <c r="T423" s="2">
        <f ca="1">INDEX(INDIRECT(_xlfn.CONCAT("weather.tbl[",T$1,"]")),MATCH(vp.data[[#This Row],[SDate]],weather.tbl[Date],0))</f>
        <v>-24.5</v>
      </c>
      <c r="U423" s="2">
        <f ca="1">INDEX(INDIRECT(_xlfn.CONCAT("weather.tbl[",U$1,"]")),MATCH(vp.data[[#This Row],[SDate]],weather.tbl[Date],0))</f>
        <v>-22.3</v>
      </c>
      <c r="V423" s="2">
        <f t="array" ref="V4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423" t="s">
        <v>48</v>
      </c>
      <c r="X423">
        <f>IF(OR(vp.data[[#This Row],[Sulf]]="",vp.data[[#This Row],[Dens]]=""),1,0)</f>
        <v>0</v>
      </c>
      <c r="Y423">
        <f>IF(vp.data[[#This Row],[CrudeType]]="C5+",1,0)</f>
        <v>0</v>
      </c>
      <c r="Z423">
        <f>IF(AND(vp.data[[#This Row],[CrudeType]]="Crude",vp.data[[#This Row],[Dens]]&lt;=825,vp.data[[#This Row],[Sulf]]&gt;0.5,vp.data[[#This Row],[Unknown]]=0),1,0)</f>
        <v>0</v>
      </c>
      <c r="AA423">
        <f>IF(AND(vp.data[[#This Row],[CrudeType]]="Crude",vp.data[[#This Row],[Dens]]&lt;=825,vp.data[[#This Row],[Sulf]]&lt;=0.5,vp.data[[#This Row],[Unknown]]=0),1,0)</f>
        <v>1</v>
      </c>
      <c r="AB4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3">
        <f>IF(AND(vp.data[[#This Row],[CrudeType]]="Crude",vp.data[[#This Row],[Dens]]&gt;825,vp.data[[#This Row],[Dens]]&lt;=900,vp.data[[#This Row],[Sulf]]&lt;=0.5,vp.data[[#This Row],[Unknown]]=0),1,0)</f>
        <v>0</v>
      </c>
      <c r="AD423">
        <f>IF(AND(vp.data[[#This Row],[CrudeType]]="Crude",vp.data[[#This Row],[Dens]]&gt;865,vp.data[[#This Row],[Dens]]&lt;=900,vp.data[[#This Row],[Sulf]]&gt;2,vp.data[[#This Row],[Unknown]]=0),1,0)</f>
        <v>0</v>
      </c>
      <c r="AE423">
        <f>IF(AND(vp.data[[#This Row],[CrudeType]]="Crude",vp.data[[#This Row],[Dens]]&gt;900,vp.data[[#This Row],[Sulf]]&lt;=0.5,vp.data[[#This Row],[Unknown]]=0),1,0)</f>
        <v>0</v>
      </c>
      <c r="AF423">
        <f>IF(AND(vp.data[[#This Row],[CrudeType]]="Crude",vp.data[[#This Row],[Dens]]&gt;900,vp.data[[#This Row],[Sulf]]&lt;=0.5,vp.data[[#This Row],[Unknown]]=0),1,0)</f>
        <v>0</v>
      </c>
      <c r="AG423" t="str">
        <f>INDEX(vp.data[[#Headers],[Unknown]:[Heavy_SW]],MATCH(1,vp.data[[#This Row],[Unknown]:[Heavy_SW]],0))</f>
        <v>Light_SW</v>
      </c>
      <c r="AH423">
        <f>INDEX([3]!crudeBD.lkup[Number],MATCH(vp.data[[#This Row],[Crude_Breakdown]],crudeBD.lkup[Crude Breakdown],0))</f>
        <v>2</v>
      </c>
      <c r="AI423">
        <f>MONTH(vp.data[[#This Row],[SDate]])</f>
        <v>12</v>
      </c>
      <c r="AJ423" s="5">
        <f>(vp.data[[#This Row],[VP]]-INDEX(crudeBD.lkup[Mean_VP],MATCH(vp.data[[#This Row],[Crude_Breakdown]],crudeBD.lkup[Crude Breakdown],0)))^2</f>
        <v>588.04729103910586</v>
      </c>
      <c r="AK423" s="5">
        <f>(vp.data[[#This Row],[Dens]]-INDEX(crudeBD.lkup[Mean_Dens],MATCH(vp.data[[#This Row],[Crude_Breakdown]],crudeBD.lkup[Crude Breakdown],0)))^2</f>
        <v>0.6217349973901749</v>
      </c>
      <c r="AL423" s="5">
        <f>(vp.data[[#This Row],[Sulf]]-INDEX(crudeBD.lkup[Mean_Sulf],MATCH(vp.data[[#This Row],[Crude_Breakdown]],crudeBD.lkup[Crude Breakdown],0)))^2</f>
        <v>1.1287322584467423E-2</v>
      </c>
      <c r="AM423" s="4">
        <f>IF(AND(vp.data[[#This Row],[SDate]]&gt;=DATE(YEAR(vp.data[[#This Row],[SDate]]),5,1),vp.data[[#This Row],[SDate]]&lt;=DATE(YEAR(vp.data[[#This Row],[SDate]]),9,15)),1,0)</f>
        <v>0</v>
      </c>
      <c r="AN423" s="4">
        <f>IF(vp.data[[#This Row],[SDate]]&lt;DATE(2016,12,1),0,1)</f>
        <v>1</v>
      </c>
      <c r="AO423" s="4">
        <f>IFERROR(vp.data[[#This Row],[Sulf]]*vp.data[[#This Row],[Net Dens]],"")</f>
        <v>2275674.384906</v>
      </c>
      <c r="AP423">
        <f>IFERROR(vp.data[[#This Row],[Dens]]*vp.data[[#This Row],[VolumeM3]],"")</f>
        <v>17505187.576200001</v>
      </c>
      <c r="AQ423" s="15">
        <f>IFERROR(vp.data[[#This Row],[VP]]*vp.data[[#This Row],[VolumeM3]],"")</f>
        <v>2527012.6176</v>
      </c>
    </row>
    <row r="424" spans="1:43" x14ac:dyDescent="0.25">
      <c r="A424">
        <v>423</v>
      </c>
      <c r="B424" t="s">
        <v>56</v>
      </c>
      <c r="C424" t="s">
        <v>56</v>
      </c>
      <c r="D424" t="s">
        <v>57</v>
      </c>
      <c r="F424" s="1">
        <v>42719</v>
      </c>
      <c r="G424" s="2">
        <v>81.599999999999994</v>
      </c>
      <c r="H424" s="2"/>
      <c r="I424" s="2">
        <f t="array" ref="I424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424" s="2"/>
      <c r="K424" s="2"/>
      <c r="L424" s="2">
        <v>832.7</v>
      </c>
      <c r="M424" s="2">
        <f t="array" ref="M424">_xlfn.IFNA(IF(vp.data[[#This Row],[Dens Input]]="",INDEX([1]DATA!$O$3:$O$9826,MATCH(1,(vp.data[[#This Row],[Battery]]=[1]DATA!$L$3:$L$9826)*(EOMONTH(vp.data[[#This Row],[SDate]],-1)+1=[1]DATA!$G$3:$G$9826),0)),vp.data[[#This Row],[Dens Input]]),"")</f>
        <v>832.7</v>
      </c>
      <c r="N424" s="2">
        <f ca="1">INDEX(INDIRECT(_xlfn.CONCAT("weather.tbl[",N$1,"]")),MATCH(vp.data[[#This Row],[SDate]],weather.tbl[Date],0))</f>
        <v>-23.349999999999998</v>
      </c>
      <c r="O424" s="2">
        <f ca="1">INDEX(INDIRECT(_xlfn.CONCAT("weather.tbl[",O$1,"]")),MATCH(vp.data[[#This Row],[SDate]],weather.tbl[Date],0))</f>
        <v>-23.016666666666669</v>
      </c>
      <c r="P424" s="2">
        <f ca="1">INDEX(INDIRECT(_xlfn.CONCAT("weather.tbl[",P$1,"]")),MATCH(vp.data[[#This Row],[SDate]],weather.tbl[Date],0))</f>
        <v>-22.4</v>
      </c>
      <c r="Q424" s="2">
        <f ca="1">INDEX(INDIRECT(_xlfn.CONCAT("weather.tbl[",Q$1,"]")),MATCH(vp.data[[#This Row],[SDate]],weather.tbl[Date],0))</f>
        <v>-24.1</v>
      </c>
      <c r="R424" s="2">
        <f ca="1">INDEX(INDIRECT(_xlfn.CONCAT("weather.tbl[",R$1,"]")),MATCH(vp.data[[#This Row],[SDate]],weather.tbl[Date],0))</f>
        <v>-25.3</v>
      </c>
      <c r="S424" s="2">
        <f ca="1">INDEX(INDIRECT(_xlfn.CONCAT("weather.tbl[",S$1,"]")),MATCH(vp.data[[#This Row],[SDate]],weather.tbl[Date],0))</f>
        <v>-21.5</v>
      </c>
      <c r="T424" s="2">
        <f ca="1">INDEX(INDIRECT(_xlfn.CONCAT("weather.tbl[",T$1,"]")),MATCH(vp.data[[#This Row],[SDate]],weather.tbl[Date],0))</f>
        <v>-24.5</v>
      </c>
      <c r="U424" s="2">
        <f ca="1">INDEX(INDIRECT(_xlfn.CONCAT("weather.tbl[",U$1,"]")),MATCH(vp.data[[#This Row],[SDate]],weather.tbl[Date],0))</f>
        <v>-22.3</v>
      </c>
      <c r="V424" s="2">
        <f t="array" ref="V4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3105.3330000000001</v>
      </c>
      <c r="W424" t="s">
        <v>48</v>
      </c>
      <c r="X424">
        <f>IF(OR(vp.data[[#This Row],[Sulf]]="",vp.data[[#This Row],[Dens]]=""),1,0)</f>
        <v>0</v>
      </c>
      <c r="Y424">
        <f>IF(vp.data[[#This Row],[CrudeType]]="C5+",1,0)</f>
        <v>0</v>
      </c>
      <c r="Z424">
        <f>IF(AND(vp.data[[#This Row],[CrudeType]]="Crude",vp.data[[#This Row],[Dens]]&lt;=825,vp.data[[#This Row],[Sulf]]&gt;0.5,vp.data[[#This Row],[Unknown]]=0),1,0)</f>
        <v>0</v>
      </c>
      <c r="AA424">
        <f>IF(AND(vp.data[[#This Row],[CrudeType]]="Crude",vp.data[[#This Row],[Dens]]&lt;=825,vp.data[[#This Row],[Sulf]]&lt;=0.5,vp.data[[#This Row],[Unknown]]=0),1,0)</f>
        <v>0</v>
      </c>
      <c r="AB4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24">
        <f>IF(AND(vp.data[[#This Row],[CrudeType]]="Crude",vp.data[[#This Row],[Dens]]&gt;825,vp.data[[#This Row],[Dens]]&lt;=900,vp.data[[#This Row],[Sulf]]&lt;=0.5,vp.data[[#This Row],[Unknown]]=0),1,0)</f>
        <v>0</v>
      </c>
      <c r="AD424">
        <f>IF(AND(vp.data[[#This Row],[CrudeType]]="Crude",vp.data[[#This Row],[Dens]]&gt;865,vp.data[[#This Row],[Dens]]&lt;=900,vp.data[[#This Row],[Sulf]]&gt;2,vp.data[[#This Row],[Unknown]]=0),1,0)</f>
        <v>0</v>
      </c>
      <c r="AE424">
        <f>IF(AND(vp.data[[#This Row],[CrudeType]]="Crude",vp.data[[#This Row],[Dens]]&gt;900,vp.data[[#This Row],[Sulf]]&lt;=0.5,vp.data[[#This Row],[Unknown]]=0),1,0)</f>
        <v>0</v>
      </c>
      <c r="AF424">
        <f>IF(AND(vp.data[[#This Row],[CrudeType]]="Crude",vp.data[[#This Row],[Dens]]&gt;900,vp.data[[#This Row],[Sulf]]&lt;=0.5,vp.data[[#This Row],[Unknown]]=0),1,0)</f>
        <v>0</v>
      </c>
      <c r="AG424" t="str">
        <f>INDEX(vp.data[[#Headers],[Unknown]:[Heavy_SW]],MATCH(1,vp.data[[#This Row],[Unknown]:[Heavy_SW]],0))</f>
        <v>Medium_LSB</v>
      </c>
      <c r="AH424">
        <f>INDEX([3]!crudeBD.lkup[Number],MATCH(vp.data[[#This Row],[Crude_Breakdown]],crudeBD.lkup[Crude Breakdown],0))</f>
        <v>3</v>
      </c>
      <c r="AI424">
        <f>MONTH(vp.data[[#This Row],[SDate]])</f>
        <v>12</v>
      </c>
      <c r="AJ424" s="5">
        <f>(vp.data[[#This Row],[VP]]-INDEX(crudeBD.lkup[Mean_VP],MATCH(vp.data[[#This Row],[Crude_Breakdown]],crudeBD.lkup[Crude Breakdown],0)))^2</f>
        <v>0.92222112887887631</v>
      </c>
      <c r="AK424" s="5">
        <f>(vp.data[[#This Row],[Dens]]-INDEX(crudeBD.lkup[Mean_Dens],MATCH(vp.data[[#This Row],[Crude_Breakdown]],crudeBD.lkup[Crude Breakdown],0)))^2</f>
        <v>125.88839999998785</v>
      </c>
      <c r="AL424" s="5">
        <f>(vp.data[[#This Row],[Sulf]]-INDEX(crudeBD.lkup[Mean_Sulf],MATCH(vp.data[[#This Row],[Crude_Breakdown]],crudeBD.lkup[Crude Breakdown],0)))^2</f>
        <v>5.9825184491918218E-2</v>
      </c>
      <c r="AM424" s="4">
        <f>IF(AND(vp.data[[#This Row],[SDate]]&gt;=DATE(YEAR(vp.data[[#This Row],[SDate]]),5,1),vp.data[[#This Row],[SDate]]&lt;=DATE(YEAR(vp.data[[#This Row],[SDate]]),9,15)),1,0)</f>
        <v>0</v>
      </c>
      <c r="AN424" s="4">
        <f>IF(vp.data[[#This Row],[SDate]]&lt;DATE(2016,12,1),0,1)</f>
        <v>1</v>
      </c>
      <c r="AO424" s="4">
        <f>IFERROR(vp.data[[#This Row],[Sulf]]*vp.data[[#This Row],[Net Dens]],"")</f>
        <v>4214871.5862330003</v>
      </c>
      <c r="AP424">
        <f>IFERROR(vp.data[[#This Row],[Dens]]*vp.data[[#This Row],[VolumeM3]],"")</f>
        <v>2585810.7891000002</v>
      </c>
      <c r="AQ424" s="15">
        <f>IFERROR(vp.data[[#This Row],[VP]]*vp.data[[#This Row],[VolumeM3]],"")</f>
        <v>253395.1728</v>
      </c>
    </row>
    <row r="425" spans="1:43" x14ac:dyDescent="0.25">
      <c r="A425">
        <v>424</v>
      </c>
      <c r="B425" t="s">
        <v>56</v>
      </c>
      <c r="C425" t="s">
        <v>56</v>
      </c>
      <c r="D425" t="s">
        <v>94</v>
      </c>
      <c r="F425" s="1">
        <v>42719</v>
      </c>
      <c r="G425" s="2">
        <v>92.2</v>
      </c>
      <c r="H425" s="2"/>
      <c r="I425" s="2">
        <f t="array" ref="I425">_xlfn.IFNA(IF(vp.data[[#This Row],[Sulf Input]]="",INDEX([1]DATA!$Q$3:$Q$9826,MATCH(1,(vp.data[[#This Row],[Battery]]=[1]DATA!$L$3:$L$9826)*(EOMONTH(vp.data[[#This Row],[SDate]],-1)+1=[1]DATA!$G$3:$G$9826),0)),vp.data[[#This Row],[Sulf Input]]),"")</f>
        <v>2.04</v>
      </c>
      <c r="J425" s="2"/>
      <c r="K425" s="2"/>
      <c r="L425" s="2">
        <v>861.5</v>
      </c>
      <c r="M425" s="2">
        <f t="array" ref="M425">_xlfn.IFNA(IF(vp.data[[#This Row],[Dens Input]]="",INDEX([1]DATA!$O$3:$O$9826,MATCH(1,(vp.data[[#This Row],[Battery]]=[1]DATA!$L$3:$L$9826)*(EOMONTH(vp.data[[#This Row],[SDate]],-1)+1=[1]DATA!$G$3:$G$9826),0)),vp.data[[#This Row],[Dens Input]]),"")</f>
        <v>861.5</v>
      </c>
      <c r="N425" s="2">
        <f ca="1">INDEX(INDIRECT(_xlfn.CONCAT("weather.tbl[",N$1,"]")),MATCH(vp.data[[#This Row],[SDate]],weather.tbl[Date],0))</f>
        <v>-23.349999999999998</v>
      </c>
      <c r="O425" s="2">
        <f ca="1">INDEX(INDIRECT(_xlfn.CONCAT("weather.tbl[",O$1,"]")),MATCH(vp.data[[#This Row],[SDate]],weather.tbl[Date],0))</f>
        <v>-23.016666666666669</v>
      </c>
      <c r="P425" s="2">
        <f ca="1">INDEX(INDIRECT(_xlfn.CONCAT("weather.tbl[",P$1,"]")),MATCH(vp.data[[#This Row],[SDate]],weather.tbl[Date],0))</f>
        <v>-22.4</v>
      </c>
      <c r="Q425" s="2">
        <f ca="1">INDEX(INDIRECT(_xlfn.CONCAT("weather.tbl[",Q$1,"]")),MATCH(vp.data[[#This Row],[SDate]],weather.tbl[Date],0))</f>
        <v>-24.1</v>
      </c>
      <c r="R425" s="2">
        <f ca="1">INDEX(INDIRECT(_xlfn.CONCAT("weather.tbl[",R$1,"]")),MATCH(vp.data[[#This Row],[SDate]],weather.tbl[Date],0))</f>
        <v>-25.3</v>
      </c>
      <c r="S425" s="2">
        <f ca="1">INDEX(INDIRECT(_xlfn.CONCAT("weather.tbl[",S$1,"]")),MATCH(vp.data[[#This Row],[SDate]],weather.tbl[Date],0))</f>
        <v>-21.5</v>
      </c>
      <c r="T425" s="2">
        <f ca="1">INDEX(INDIRECT(_xlfn.CONCAT("weather.tbl[",T$1,"]")),MATCH(vp.data[[#This Row],[SDate]],weather.tbl[Date],0))</f>
        <v>-24.5</v>
      </c>
      <c r="U425" s="2">
        <f ca="1">INDEX(INDIRECT(_xlfn.CONCAT("weather.tbl[",U$1,"]")),MATCH(vp.data[[#This Row],[SDate]],weather.tbl[Date],0))</f>
        <v>-22.3</v>
      </c>
      <c r="V425" s="2">
        <f t="array" ref="V4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3726.9639999999999</v>
      </c>
      <c r="W425" t="s">
        <v>48</v>
      </c>
      <c r="X425">
        <f>IF(OR(vp.data[[#This Row],[Sulf]]="",vp.data[[#This Row],[Dens]]=""),1,0)</f>
        <v>0</v>
      </c>
      <c r="Y425">
        <f>IF(vp.data[[#This Row],[CrudeType]]="C5+",1,0)</f>
        <v>0</v>
      </c>
      <c r="Z425">
        <f>IF(AND(vp.data[[#This Row],[CrudeType]]="Crude",vp.data[[#This Row],[Dens]]&lt;=825,vp.data[[#This Row],[Sulf]]&gt;0.5,vp.data[[#This Row],[Unknown]]=0),1,0)</f>
        <v>0</v>
      </c>
      <c r="AA425">
        <f>IF(AND(vp.data[[#This Row],[CrudeType]]="Crude",vp.data[[#This Row],[Dens]]&lt;=825,vp.data[[#This Row],[Sulf]]&lt;=0.5,vp.data[[#This Row],[Unknown]]=0),1,0)</f>
        <v>0</v>
      </c>
      <c r="AB4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25">
        <f>IF(AND(vp.data[[#This Row],[CrudeType]]="Crude",vp.data[[#This Row],[Dens]]&gt;825,vp.data[[#This Row],[Dens]]&lt;=900,vp.data[[#This Row],[Sulf]]&lt;=0.5,vp.data[[#This Row],[Unknown]]=0),1,0)</f>
        <v>0</v>
      </c>
      <c r="AD425">
        <f>IF(AND(vp.data[[#This Row],[CrudeType]]="Crude",vp.data[[#This Row],[Dens]]&gt;865,vp.data[[#This Row],[Dens]]&lt;=900,vp.data[[#This Row],[Sulf]]&gt;2,vp.data[[#This Row],[Unknown]]=0),1,0)</f>
        <v>0</v>
      </c>
      <c r="AE425">
        <f>IF(AND(vp.data[[#This Row],[CrudeType]]="Crude",vp.data[[#This Row],[Dens]]&gt;900,vp.data[[#This Row],[Sulf]]&lt;=0.5,vp.data[[#This Row],[Unknown]]=0),1,0)</f>
        <v>0</v>
      </c>
      <c r="AF425">
        <f>IF(AND(vp.data[[#This Row],[CrudeType]]="Crude",vp.data[[#This Row],[Dens]]&gt;900,vp.data[[#This Row],[Sulf]]&lt;=0.5,vp.data[[#This Row],[Unknown]]=0),1,0)</f>
        <v>0</v>
      </c>
      <c r="AG425" t="str">
        <f>INDEX(vp.data[[#Headers],[Unknown]:[Heavy_SW]],MATCH(1,vp.data[[#This Row],[Unknown]:[Heavy_SW]],0))</f>
        <v>Medium_LSB</v>
      </c>
      <c r="AH425">
        <f>INDEX([3]!crudeBD.lkup[Number],MATCH(vp.data[[#This Row],[Crude_Breakdown]],crudeBD.lkup[Crude Breakdown],0))</f>
        <v>3</v>
      </c>
      <c r="AI425">
        <f>MONTH(vp.data[[#This Row],[SDate]])</f>
        <v>12</v>
      </c>
      <c r="AJ425" s="5">
        <f>(vp.data[[#This Row],[VP]]-INDEX(crudeBD.lkup[Mean_VP],MATCH(vp.data[[#This Row],[Crude_Breakdown]],crudeBD.lkup[Crude Breakdown],0)))^2</f>
        <v>133.64107827173763</v>
      </c>
      <c r="AK425" s="5">
        <f>(vp.data[[#This Row],[Dens]]-INDEX(crudeBD.lkup[Mean_Dens],MATCH(vp.data[[#This Row],[Crude_Breakdown]],crudeBD.lkup[Crude Breakdown],0)))^2</f>
        <v>309.05640000001745</v>
      </c>
      <c r="AL425" s="5">
        <f>(vp.data[[#This Row],[Sulf]]-INDEX(crudeBD.lkup[Mean_Sulf],MATCH(vp.data[[#This Row],[Crude_Breakdown]],crudeBD.lkup[Crude Breakdown],0)))^2</f>
        <v>0.42849052061051546</v>
      </c>
      <c r="AM425" s="4">
        <f>IF(AND(vp.data[[#This Row],[SDate]]&gt;=DATE(YEAR(vp.data[[#This Row],[SDate]]),5,1),vp.data[[#This Row],[SDate]]&lt;=DATE(YEAR(vp.data[[#This Row],[SDate]]),9,15)),1,0)</f>
        <v>0</v>
      </c>
      <c r="AN425" s="4">
        <f>IF(vp.data[[#This Row],[SDate]]&lt;DATE(2016,12,1),0,1)</f>
        <v>1</v>
      </c>
      <c r="AO425" s="4">
        <f>IFERROR(vp.data[[#This Row],[Sulf]]*vp.data[[#This Row],[Net Dens]],"")</f>
        <v>6549990.1514400002</v>
      </c>
      <c r="AP425">
        <f>IFERROR(vp.data[[#This Row],[Dens]]*vp.data[[#This Row],[VolumeM3]],"")</f>
        <v>3210779.486</v>
      </c>
      <c r="AQ425" s="15">
        <f>IFERROR(vp.data[[#This Row],[VP]]*vp.data[[#This Row],[VolumeM3]],"")</f>
        <v>343626.0808</v>
      </c>
    </row>
    <row r="426" spans="1:43" x14ac:dyDescent="0.25">
      <c r="A426">
        <v>425</v>
      </c>
      <c r="B426" t="s">
        <v>49</v>
      </c>
      <c r="C426" t="s">
        <v>49</v>
      </c>
      <c r="D426" t="s">
        <v>80</v>
      </c>
      <c r="F426" s="1">
        <v>42720</v>
      </c>
      <c r="G426" s="2">
        <v>102.1</v>
      </c>
      <c r="H426" s="2"/>
      <c r="I426" s="2">
        <f t="array" ref="I426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426" s="2"/>
      <c r="K426" s="2"/>
      <c r="L426" s="2">
        <v>803.5</v>
      </c>
      <c r="M426" s="2">
        <f t="array" ref="M426">_xlfn.IFNA(IF(vp.data[[#This Row],[Dens Input]]="",INDEX([1]DATA!$O$3:$O$9826,MATCH(1,(vp.data[[#This Row],[Battery]]=[1]DATA!$L$3:$L$9826)*(EOMONTH(vp.data[[#This Row],[SDate]],-1)+1=[1]DATA!$G$3:$G$9826),0)),vp.data[[#This Row],[Dens Input]]),"")</f>
        <v>803.5</v>
      </c>
      <c r="N426" s="2">
        <f ca="1">INDEX(INDIRECT(_xlfn.CONCAT("weather.tbl[",N$1,"]")),MATCH(vp.data[[#This Row],[SDate]],weather.tbl[Date],0))</f>
        <v>-24.566666666666666</v>
      </c>
      <c r="O426" s="2">
        <f ca="1">INDEX(INDIRECT(_xlfn.CONCAT("weather.tbl[",O$1,"]")),MATCH(vp.data[[#This Row],[SDate]],weather.tbl[Date],0))</f>
        <v>-22.690476190476193</v>
      </c>
      <c r="P426" s="2">
        <f ca="1">INDEX(INDIRECT(_xlfn.CONCAT("weather.tbl[",P$1,"]")),MATCH(vp.data[[#This Row],[SDate]],weather.tbl[Date],0))</f>
        <v>-24.6</v>
      </c>
      <c r="Q426" s="2">
        <f ca="1">INDEX(INDIRECT(_xlfn.CONCAT("weather.tbl[",Q$1,"]")),MATCH(vp.data[[#This Row],[SDate]],weather.tbl[Date],0))</f>
        <v>-25.7</v>
      </c>
      <c r="R426" s="2">
        <f ca="1">INDEX(INDIRECT(_xlfn.CONCAT("weather.tbl[",R$1,"]")),MATCH(vp.data[[#This Row],[SDate]],weather.tbl[Date],0))</f>
        <v>-24.3</v>
      </c>
      <c r="S426" s="2">
        <f ca="1">INDEX(INDIRECT(_xlfn.CONCAT("weather.tbl[",S$1,"]")),MATCH(vp.data[[#This Row],[SDate]],weather.tbl[Date],0))</f>
        <v>-23.5</v>
      </c>
      <c r="T426" s="2">
        <f ca="1">INDEX(INDIRECT(_xlfn.CONCAT("weather.tbl[",T$1,"]")),MATCH(vp.data[[#This Row],[SDate]],weather.tbl[Date],0))</f>
        <v>-24</v>
      </c>
      <c r="U426" s="2">
        <f ca="1">INDEX(INDIRECT(_xlfn.CONCAT("weather.tbl[",U$1,"]")),MATCH(vp.data[[#This Row],[SDate]],weather.tbl[Date],0))</f>
        <v>-25.3</v>
      </c>
      <c r="V426" s="2">
        <f t="array" ref="V4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22011.311000000002</v>
      </c>
      <c r="W426" t="s">
        <v>48</v>
      </c>
      <c r="X426">
        <f>IF(OR(vp.data[[#This Row],[Sulf]]="",vp.data[[#This Row],[Dens]]=""),1,0)</f>
        <v>0</v>
      </c>
      <c r="Y426">
        <f>IF(vp.data[[#This Row],[CrudeType]]="C5+",1,0)</f>
        <v>0</v>
      </c>
      <c r="Z426">
        <f>IF(AND(vp.data[[#This Row],[CrudeType]]="Crude",vp.data[[#This Row],[Dens]]&lt;=825,vp.data[[#This Row],[Sulf]]&gt;0.5,vp.data[[#This Row],[Unknown]]=0),1,0)</f>
        <v>0</v>
      </c>
      <c r="AA426">
        <f>IF(AND(vp.data[[#This Row],[CrudeType]]="Crude",vp.data[[#This Row],[Dens]]&lt;=825,vp.data[[#This Row],[Sulf]]&lt;=0.5,vp.data[[#This Row],[Unknown]]=0),1,0)</f>
        <v>1</v>
      </c>
      <c r="AB4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6">
        <f>IF(AND(vp.data[[#This Row],[CrudeType]]="Crude",vp.data[[#This Row],[Dens]]&gt;825,vp.data[[#This Row],[Dens]]&lt;=900,vp.data[[#This Row],[Sulf]]&lt;=0.5,vp.data[[#This Row],[Unknown]]=0),1,0)</f>
        <v>0</v>
      </c>
      <c r="AD426">
        <f>IF(AND(vp.data[[#This Row],[CrudeType]]="Crude",vp.data[[#This Row],[Dens]]&gt;865,vp.data[[#This Row],[Dens]]&lt;=900,vp.data[[#This Row],[Sulf]]&gt;2,vp.data[[#This Row],[Unknown]]=0),1,0)</f>
        <v>0</v>
      </c>
      <c r="AE426">
        <f>IF(AND(vp.data[[#This Row],[CrudeType]]="Crude",vp.data[[#This Row],[Dens]]&gt;900,vp.data[[#This Row],[Sulf]]&lt;=0.5,vp.data[[#This Row],[Unknown]]=0),1,0)</f>
        <v>0</v>
      </c>
      <c r="AF426">
        <f>IF(AND(vp.data[[#This Row],[CrudeType]]="Crude",vp.data[[#This Row],[Dens]]&gt;900,vp.data[[#This Row],[Sulf]]&lt;=0.5,vp.data[[#This Row],[Unknown]]=0),1,0)</f>
        <v>0</v>
      </c>
      <c r="AG426" t="str">
        <f>INDEX(vp.data[[#Headers],[Unknown]:[Heavy_SW]],MATCH(1,vp.data[[#This Row],[Unknown]:[Heavy_SW]],0))</f>
        <v>Light_SW</v>
      </c>
      <c r="AH426">
        <f>INDEX([3]!crudeBD.lkup[Number],MATCH(vp.data[[#This Row],[Crude_Breakdown]],crudeBD.lkup[Crude Breakdown],0))</f>
        <v>2</v>
      </c>
      <c r="AI426">
        <f>MONTH(vp.data[[#This Row],[SDate]])</f>
        <v>12</v>
      </c>
      <c r="AJ426" s="5">
        <f>(vp.data[[#This Row],[VP]]-INDEX(crudeBD.lkup[Mean_VP],MATCH(vp.data[[#This Row],[Crude_Breakdown]],crudeBD.lkup[Crude Breakdown],0)))^2</f>
        <v>91.196510551300094</v>
      </c>
      <c r="AK426" s="5">
        <f>(vp.data[[#This Row],[Dens]]-INDEX(crudeBD.lkup[Mean_Dens],MATCH(vp.data[[#This Row],[Crude_Breakdown]],crudeBD.lkup[Crude Breakdown],0)))^2</f>
        <v>23.150515485192571</v>
      </c>
      <c r="AL426" s="5">
        <f>(vp.data[[#This Row],[Sulf]]-INDEX(crudeBD.lkup[Mean_Sulf],MATCH(vp.data[[#This Row],[Crude_Breakdown]],crudeBD.lkup[Crude Breakdown],0)))^2</f>
        <v>1.7891252898056348E-2</v>
      </c>
      <c r="AM426" s="4">
        <f>IF(AND(vp.data[[#This Row],[SDate]]&gt;=DATE(YEAR(vp.data[[#This Row],[SDate]]),5,1),vp.data[[#This Row],[SDate]]&lt;=DATE(YEAR(vp.data[[#This Row],[SDate]]),9,15)),1,0)</f>
        <v>0</v>
      </c>
      <c r="AN426" s="4">
        <f>IF(vp.data[[#This Row],[SDate]]&lt;DATE(2016,12,1),0,1)</f>
        <v>1</v>
      </c>
      <c r="AO426" s="4">
        <f>IFERROR(vp.data[[#This Row],[Sulf]]*vp.data[[#This Row],[Net Dens]],"")</f>
        <v>6543852.7037450001</v>
      </c>
      <c r="AP426">
        <f>IFERROR(vp.data[[#This Row],[Dens]]*vp.data[[#This Row],[VolumeM3]],"")</f>
        <v>17686088.388500001</v>
      </c>
      <c r="AQ426" s="15">
        <f>IFERROR(vp.data[[#This Row],[VP]]*vp.data[[#This Row],[VolumeM3]],"")</f>
        <v>2247354.8530999999</v>
      </c>
    </row>
    <row r="427" spans="1:43" x14ac:dyDescent="0.25">
      <c r="A427">
        <v>426</v>
      </c>
      <c r="B427" t="s">
        <v>49</v>
      </c>
      <c r="C427" t="s">
        <v>49</v>
      </c>
      <c r="D427" t="s">
        <v>78</v>
      </c>
      <c r="F427" s="1">
        <v>42720</v>
      </c>
      <c r="G427" s="2">
        <v>84.2</v>
      </c>
      <c r="H427" s="2"/>
      <c r="I427" s="2">
        <f t="array" ref="I427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427" s="2"/>
      <c r="K427" s="2"/>
      <c r="L427" s="2">
        <v>808.4</v>
      </c>
      <c r="M427" s="2">
        <f t="array" ref="M427">_xlfn.IFNA(IF(vp.data[[#This Row],[Dens Input]]="",INDEX([1]DATA!$O$3:$O$9826,MATCH(1,(vp.data[[#This Row],[Battery]]=[1]DATA!$L$3:$L$9826)*(EOMONTH(vp.data[[#This Row],[SDate]],-1)+1=[1]DATA!$G$3:$G$9826),0)),vp.data[[#This Row],[Dens Input]]),"")</f>
        <v>808.4</v>
      </c>
      <c r="N427" s="2">
        <f ca="1">INDEX(INDIRECT(_xlfn.CONCAT("weather.tbl[",N$1,"]")),MATCH(vp.data[[#This Row],[SDate]],weather.tbl[Date],0))</f>
        <v>-24.566666666666666</v>
      </c>
      <c r="O427" s="2">
        <f ca="1">INDEX(INDIRECT(_xlfn.CONCAT("weather.tbl[",O$1,"]")),MATCH(vp.data[[#This Row],[SDate]],weather.tbl[Date],0))</f>
        <v>-22.690476190476193</v>
      </c>
      <c r="P427" s="2">
        <f ca="1">INDEX(INDIRECT(_xlfn.CONCAT("weather.tbl[",P$1,"]")),MATCH(vp.data[[#This Row],[SDate]],weather.tbl[Date],0))</f>
        <v>-24.6</v>
      </c>
      <c r="Q427" s="2">
        <f ca="1">INDEX(INDIRECT(_xlfn.CONCAT("weather.tbl[",Q$1,"]")),MATCH(vp.data[[#This Row],[SDate]],weather.tbl[Date],0))</f>
        <v>-25.7</v>
      </c>
      <c r="R427" s="2">
        <f ca="1">INDEX(INDIRECT(_xlfn.CONCAT("weather.tbl[",R$1,"]")),MATCH(vp.data[[#This Row],[SDate]],weather.tbl[Date],0))</f>
        <v>-24.3</v>
      </c>
      <c r="S427" s="2">
        <f ca="1">INDEX(INDIRECT(_xlfn.CONCAT("weather.tbl[",S$1,"]")),MATCH(vp.data[[#This Row],[SDate]],weather.tbl[Date],0))</f>
        <v>-23.5</v>
      </c>
      <c r="T427" s="2">
        <f ca="1">INDEX(INDIRECT(_xlfn.CONCAT("weather.tbl[",T$1,"]")),MATCH(vp.data[[#This Row],[SDate]],weather.tbl[Date],0))</f>
        <v>-24</v>
      </c>
      <c r="U427" s="2">
        <f ca="1">INDEX(INDIRECT(_xlfn.CONCAT("weather.tbl[",U$1,"]")),MATCH(vp.data[[#This Row],[SDate]],weather.tbl[Date],0))</f>
        <v>-25.3</v>
      </c>
      <c r="V427" s="2">
        <f t="array" ref="V4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15481.353999999999</v>
      </c>
      <c r="W427" t="s">
        <v>48</v>
      </c>
      <c r="X427">
        <f>IF(OR(vp.data[[#This Row],[Sulf]]="",vp.data[[#This Row],[Dens]]=""),1,0)</f>
        <v>0</v>
      </c>
      <c r="Y427">
        <f>IF(vp.data[[#This Row],[CrudeType]]="C5+",1,0)</f>
        <v>0</v>
      </c>
      <c r="Z427">
        <f>IF(AND(vp.data[[#This Row],[CrudeType]]="Crude",vp.data[[#This Row],[Dens]]&lt;=825,vp.data[[#This Row],[Sulf]]&gt;0.5,vp.data[[#This Row],[Unknown]]=0),1,0)</f>
        <v>0</v>
      </c>
      <c r="AA427">
        <f>IF(AND(vp.data[[#This Row],[CrudeType]]="Crude",vp.data[[#This Row],[Dens]]&lt;=825,vp.data[[#This Row],[Sulf]]&lt;=0.5,vp.data[[#This Row],[Unknown]]=0),1,0)</f>
        <v>1</v>
      </c>
      <c r="AB4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7">
        <f>IF(AND(vp.data[[#This Row],[CrudeType]]="Crude",vp.data[[#This Row],[Dens]]&gt;825,vp.data[[#This Row],[Dens]]&lt;=900,vp.data[[#This Row],[Sulf]]&lt;=0.5,vp.data[[#This Row],[Unknown]]=0),1,0)</f>
        <v>0</v>
      </c>
      <c r="AD427">
        <f>IF(AND(vp.data[[#This Row],[CrudeType]]="Crude",vp.data[[#This Row],[Dens]]&gt;865,vp.data[[#This Row],[Dens]]&lt;=900,vp.data[[#This Row],[Sulf]]&gt;2,vp.data[[#This Row],[Unknown]]=0),1,0)</f>
        <v>0</v>
      </c>
      <c r="AE427">
        <f>IF(AND(vp.data[[#This Row],[CrudeType]]="Crude",vp.data[[#This Row],[Dens]]&gt;900,vp.data[[#This Row],[Sulf]]&lt;=0.5,vp.data[[#This Row],[Unknown]]=0),1,0)</f>
        <v>0</v>
      </c>
      <c r="AF427">
        <f>IF(AND(vp.data[[#This Row],[CrudeType]]="Crude",vp.data[[#This Row],[Dens]]&gt;900,vp.data[[#This Row],[Sulf]]&lt;=0.5,vp.data[[#This Row],[Unknown]]=0),1,0)</f>
        <v>0</v>
      </c>
      <c r="AG427" t="str">
        <f>INDEX(vp.data[[#Headers],[Unknown]:[Heavy_SW]],MATCH(1,vp.data[[#This Row],[Unknown]:[Heavy_SW]],0))</f>
        <v>Light_SW</v>
      </c>
      <c r="AH427">
        <f>INDEX([3]!crudeBD.lkup[Number],MATCH(vp.data[[#This Row],[Crude_Breakdown]],crudeBD.lkup[Crude Breakdown],0))</f>
        <v>2</v>
      </c>
      <c r="AI427">
        <f>MONTH(vp.data[[#This Row],[SDate]])</f>
        <v>12</v>
      </c>
      <c r="AJ427" s="5">
        <f>(vp.data[[#This Row],[VP]]-INDEX(crudeBD.lkup[Mean_VP],MATCH(vp.data[[#This Row],[Crude_Breakdown]],crudeBD.lkup[Crude Breakdown],0)))^2</f>
        <v>69.727737032135337</v>
      </c>
      <c r="AK427" s="5">
        <f>(vp.data[[#This Row],[Dens]]-INDEX(crudeBD.lkup[Mean_Dens],MATCH(vp.data[[#This Row],[Crude_Breakdown]],crudeBD.lkup[Crude Breakdown],0)))^2</f>
        <v>7.8325583654390834E-3</v>
      </c>
      <c r="AL427" s="5">
        <f>(vp.data[[#This Row],[Sulf]]-INDEX(crudeBD.lkup[Mean_Sulf],MATCH(vp.data[[#This Row],[Crude_Breakdown]],crudeBD.lkup[Crude Breakdown],0)))^2</f>
        <v>9.2624863475336272E-3</v>
      </c>
      <c r="AM427" s="4">
        <f>IF(AND(vp.data[[#This Row],[SDate]]&gt;=DATE(YEAR(vp.data[[#This Row],[SDate]]),5,1),vp.data[[#This Row],[SDate]]&lt;=DATE(YEAR(vp.data[[#This Row],[SDate]]),9,15)),1,0)</f>
        <v>0</v>
      </c>
      <c r="AN427" s="4">
        <f>IF(vp.data[[#This Row],[SDate]]&lt;DATE(2016,12,1),0,1)</f>
        <v>1</v>
      </c>
      <c r="AO427" s="4">
        <f>IFERROR(vp.data[[#This Row],[Sulf]]*vp.data[[#This Row],[Net Dens]],"")</f>
        <v>1752117.7203040002</v>
      </c>
      <c r="AP427">
        <f>IFERROR(vp.data[[#This Row],[Dens]]*vp.data[[#This Row],[VolumeM3]],"")</f>
        <v>12515126.5736</v>
      </c>
      <c r="AQ427" s="15">
        <f>IFERROR(vp.data[[#This Row],[VP]]*vp.data[[#This Row],[VolumeM3]],"")</f>
        <v>1303530.0068000001</v>
      </c>
    </row>
    <row r="428" spans="1:43" x14ac:dyDescent="0.25">
      <c r="A428">
        <v>427</v>
      </c>
      <c r="B428" t="s">
        <v>62</v>
      </c>
      <c r="C428" t="s">
        <v>62</v>
      </c>
      <c r="D428" t="s">
        <v>63</v>
      </c>
      <c r="F428" s="1">
        <v>42720</v>
      </c>
      <c r="G428" s="2">
        <v>130.19999999999999</v>
      </c>
      <c r="H428" s="2"/>
      <c r="I428" s="2">
        <f t="array" ref="I428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428" s="2"/>
      <c r="K428" s="2"/>
      <c r="L428" s="2">
        <v>817</v>
      </c>
      <c r="M428" s="2">
        <f t="array" ref="M428">_xlfn.IFNA(IF(vp.data[[#This Row],[Dens Input]]="",INDEX([1]DATA!$O$3:$O$9826,MATCH(1,(vp.data[[#This Row],[Battery]]=[1]DATA!$L$3:$L$9826)*(EOMONTH(vp.data[[#This Row],[SDate]],-1)+1=[1]DATA!$G$3:$G$9826),0)),vp.data[[#This Row],[Dens Input]]),"")</f>
        <v>817</v>
      </c>
      <c r="N428" s="2">
        <f ca="1">INDEX(INDIRECT(_xlfn.CONCAT("weather.tbl[",N$1,"]")),MATCH(vp.data[[#This Row],[SDate]],weather.tbl[Date],0))</f>
        <v>-24.566666666666666</v>
      </c>
      <c r="O428" s="2">
        <f ca="1">INDEX(INDIRECT(_xlfn.CONCAT("weather.tbl[",O$1,"]")),MATCH(vp.data[[#This Row],[SDate]],weather.tbl[Date],0))</f>
        <v>-22.690476190476193</v>
      </c>
      <c r="P428" s="2">
        <f ca="1">INDEX(INDIRECT(_xlfn.CONCAT("weather.tbl[",P$1,"]")),MATCH(vp.data[[#This Row],[SDate]],weather.tbl[Date],0))</f>
        <v>-24.6</v>
      </c>
      <c r="Q428" s="2">
        <f ca="1">INDEX(INDIRECT(_xlfn.CONCAT("weather.tbl[",Q$1,"]")),MATCH(vp.data[[#This Row],[SDate]],weather.tbl[Date],0))</f>
        <v>-25.7</v>
      </c>
      <c r="R428" s="2">
        <f ca="1">INDEX(INDIRECT(_xlfn.CONCAT("weather.tbl[",R$1,"]")),MATCH(vp.data[[#This Row],[SDate]],weather.tbl[Date],0))</f>
        <v>-24.3</v>
      </c>
      <c r="S428" s="2">
        <f ca="1">INDEX(INDIRECT(_xlfn.CONCAT("weather.tbl[",S$1,"]")),MATCH(vp.data[[#This Row],[SDate]],weather.tbl[Date],0))</f>
        <v>-23.5</v>
      </c>
      <c r="T428" s="2">
        <f ca="1">INDEX(INDIRECT(_xlfn.CONCAT("weather.tbl[",T$1,"]")),MATCH(vp.data[[#This Row],[SDate]],weather.tbl[Date],0))</f>
        <v>-24</v>
      </c>
      <c r="U428" s="2">
        <f ca="1">INDEX(INDIRECT(_xlfn.CONCAT("weather.tbl[",U$1,"]")),MATCH(vp.data[[#This Row],[SDate]],weather.tbl[Date],0))</f>
        <v>-25.3</v>
      </c>
      <c r="V428" s="2">
        <f t="array" ref="V4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5268.48</v>
      </c>
      <c r="W428" t="s">
        <v>48</v>
      </c>
      <c r="X428">
        <f>IF(OR(vp.data[[#This Row],[Sulf]]="",vp.data[[#This Row],[Dens]]=""),1,0)</f>
        <v>0</v>
      </c>
      <c r="Y428">
        <f>IF(vp.data[[#This Row],[CrudeType]]="C5+",1,0)</f>
        <v>0</v>
      </c>
      <c r="Z428">
        <f>IF(AND(vp.data[[#This Row],[CrudeType]]="Crude",vp.data[[#This Row],[Dens]]&lt;=825,vp.data[[#This Row],[Sulf]]&gt;0.5,vp.data[[#This Row],[Unknown]]=0),1,0)</f>
        <v>1</v>
      </c>
      <c r="AA428">
        <f>IF(AND(vp.data[[#This Row],[CrudeType]]="Crude",vp.data[[#This Row],[Dens]]&lt;=825,vp.data[[#This Row],[Sulf]]&lt;=0.5,vp.data[[#This Row],[Unknown]]=0),1,0)</f>
        <v>0</v>
      </c>
      <c r="AB4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28">
        <f>IF(AND(vp.data[[#This Row],[CrudeType]]="Crude",vp.data[[#This Row],[Dens]]&gt;825,vp.data[[#This Row],[Dens]]&lt;=900,vp.data[[#This Row],[Sulf]]&lt;=0.5,vp.data[[#This Row],[Unknown]]=0),1,0)</f>
        <v>0</v>
      </c>
      <c r="AD428">
        <f>IF(AND(vp.data[[#This Row],[CrudeType]]="Crude",vp.data[[#This Row],[Dens]]&gt;865,vp.data[[#This Row],[Dens]]&lt;=900,vp.data[[#This Row],[Sulf]]&gt;2,vp.data[[#This Row],[Unknown]]=0),1,0)</f>
        <v>0</v>
      </c>
      <c r="AE428">
        <f>IF(AND(vp.data[[#This Row],[CrudeType]]="Crude",vp.data[[#This Row],[Dens]]&gt;900,vp.data[[#This Row],[Sulf]]&lt;=0.5,vp.data[[#This Row],[Unknown]]=0),1,0)</f>
        <v>0</v>
      </c>
      <c r="AF428">
        <f>IF(AND(vp.data[[#This Row],[CrudeType]]="Crude",vp.data[[#This Row],[Dens]]&gt;900,vp.data[[#This Row],[Sulf]]&lt;=0.5,vp.data[[#This Row],[Unknown]]=0),1,0)</f>
        <v>0</v>
      </c>
      <c r="AG428" t="str">
        <f>INDEX(vp.data[[#Headers],[Unknown]:[Heavy_SW]],MATCH(1,vp.data[[#This Row],[Unknown]:[Heavy_SW]],0))</f>
        <v>Light_LSB</v>
      </c>
      <c r="AH428">
        <f>INDEX([3]!crudeBD.lkup[Number],MATCH(vp.data[[#This Row],[Crude_Breakdown]],crudeBD.lkup[Crude Breakdown],0))</f>
        <v>1</v>
      </c>
      <c r="AI428">
        <f>MONTH(vp.data[[#This Row],[SDate]])</f>
        <v>12</v>
      </c>
      <c r="AJ428" s="5">
        <f>(vp.data[[#This Row],[VP]]-INDEX(crudeBD.lkup[Mean_VP],MATCH(vp.data[[#This Row],[Crude_Breakdown]],crudeBD.lkup[Crude Breakdown],0)))^2</f>
        <v>1494.1173702199987</v>
      </c>
      <c r="AK428" s="5">
        <f>(vp.data[[#This Row],[Dens]]-INDEX(crudeBD.lkup[Mean_Dens],MATCH(vp.data[[#This Row],[Crude_Breakdown]],crudeBD.lkup[Crude Breakdown],0)))^2</f>
        <v>2.3005905031815792</v>
      </c>
      <c r="AL428" s="5">
        <f>(vp.data[[#This Row],[Sulf]]-INDEX(crudeBD.lkup[Mean_Sulf],MATCH(vp.data[[#This Row],[Crude_Breakdown]],crudeBD.lkup[Crude Breakdown],0)))^2</f>
        <v>0.35644342577971594</v>
      </c>
      <c r="AM428" s="4">
        <f>IF(AND(vp.data[[#This Row],[SDate]]&gt;=DATE(YEAR(vp.data[[#This Row],[SDate]]),5,1),vp.data[[#This Row],[SDate]]&lt;=DATE(YEAR(vp.data[[#This Row],[SDate]]),9,15)),1,0)</f>
        <v>0</v>
      </c>
      <c r="AN428" s="4">
        <f>IF(vp.data[[#This Row],[SDate]]&lt;DATE(2016,12,1),0,1)</f>
        <v>1</v>
      </c>
      <c r="AO428" s="4">
        <f>IFERROR(vp.data[[#This Row],[Sulf]]*vp.data[[#This Row],[Net Dens]],"")</f>
        <v>6542609.2031999985</v>
      </c>
      <c r="AP428">
        <f>IFERROR(vp.data[[#This Row],[Dens]]*vp.data[[#This Row],[VolumeM3]],"")</f>
        <v>4304348.1599999992</v>
      </c>
      <c r="AQ428" s="15">
        <f>IFERROR(vp.data[[#This Row],[VP]]*vp.data[[#This Row],[VolumeM3]],"")</f>
        <v>685956.0959999999</v>
      </c>
    </row>
    <row r="429" spans="1:43" x14ac:dyDescent="0.25">
      <c r="A429">
        <v>428</v>
      </c>
      <c r="B429" t="s">
        <v>51</v>
      </c>
      <c r="C429" t="s">
        <v>51</v>
      </c>
      <c r="D429" t="s">
        <v>66</v>
      </c>
      <c r="F429" s="1">
        <v>42720</v>
      </c>
      <c r="G429" s="2">
        <v>109</v>
      </c>
      <c r="H429" s="2"/>
      <c r="I429" s="2">
        <f t="array" ref="I429">_xlfn.IFNA(IF(vp.data[[#This Row],[Sulf Input]]="",INDEX([1]DATA!$Q$3:$Q$9826,MATCH(1,(vp.data[[#This Row],[Battery]]=[1]DATA!$L$3:$L$9826)*(EOMONTH(vp.data[[#This Row],[SDate]],-1)+1=[1]DATA!$G$3:$G$9826),0)),vp.data[[#This Row],[Sulf Input]]),"")</f>
        <v>1.66</v>
      </c>
      <c r="J429" s="2"/>
      <c r="K429" s="2"/>
      <c r="L429" s="2">
        <v>825.3</v>
      </c>
      <c r="M429" s="2">
        <f t="array" ref="M429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429" s="2">
        <f ca="1">INDEX(INDIRECT(_xlfn.CONCAT("weather.tbl[",N$1,"]")),MATCH(vp.data[[#This Row],[SDate]],weather.tbl[Date],0))</f>
        <v>-24.566666666666666</v>
      </c>
      <c r="O429" s="2">
        <f ca="1">INDEX(INDIRECT(_xlfn.CONCAT("weather.tbl[",O$1,"]")),MATCH(vp.data[[#This Row],[SDate]],weather.tbl[Date],0))</f>
        <v>-22.690476190476193</v>
      </c>
      <c r="P429" s="2">
        <f ca="1">INDEX(INDIRECT(_xlfn.CONCAT("weather.tbl[",P$1,"]")),MATCH(vp.data[[#This Row],[SDate]],weather.tbl[Date],0))</f>
        <v>-24.6</v>
      </c>
      <c r="Q429" s="2">
        <f ca="1">INDEX(INDIRECT(_xlfn.CONCAT("weather.tbl[",Q$1,"]")),MATCH(vp.data[[#This Row],[SDate]],weather.tbl[Date],0))</f>
        <v>-25.7</v>
      </c>
      <c r="R429" s="2">
        <f ca="1">INDEX(INDIRECT(_xlfn.CONCAT("weather.tbl[",R$1,"]")),MATCH(vp.data[[#This Row],[SDate]],weather.tbl[Date],0))</f>
        <v>-24.3</v>
      </c>
      <c r="S429" s="2">
        <f ca="1">INDEX(INDIRECT(_xlfn.CONCAT("weather.tbl[",S$1,"]")),MATCH(vp.data[[#This Row],[SDate]],weather.tbl[Date],0))</f>
        <v>-23.5</v>
      </c>
      <c r="T429" s="2">
        <f ca="1">INDEX(INDIRECT(_xlfn.CONCAT("weather.tbl[",T$1,"]")),MATCH(vp.data[[#This Row],[SDate]],weather.tbl[Date],0))</f>
        <v>-24</v>
      </c>
      <c r="U429" s="2">
        <f ca="1">INDEX(INDIRECT(_xlfn.CONCAT("weather.tbl[",U$1,"]")),MATCH(vp.data[[#This Row],[SDate]],weather.tbl[Date],0))</f>
        <v>-25.3</v>
      </c>
      <c r="V429" s="2">
        <f t="array" ref="V4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4410.2439999999997</v>
      </c>
      <c r="W429" t="s">
        <v>48</v>
      </c>
      <c r="X429">
        <f>IF(OR(vp.data[[#This Row],[Sulf]]="",vp.data[[#This Row],[Dens]]=""),1,0)</f>
        <v>0</v>
      </c>
      <c r="Y429">
        <f>IF(vp.data[[#This Row],[CrudeType]]="C5+",1,0)</f>
        <v>0</v>
      </c>
      <c r="Z429">
        <f>IF(AND(vp.data[[#This Row],[CrudeType]]="Crude",vp.data[[#This Row],[Dens]]&lt;=825,vp.data[[#This Row],[Sulf]]&gt;0.5,vp.data[[#This Row],[Unknown]]=0),1,0)</f>
        <v>0</v>
      </c>
      <c r="AA429">
        <f>IF(AND(vp.data[[#This Row],[CrudeType]]="Crude",vp.data[[#This Row],[Dens]]&lt;=825,vp.data[[#This Row],[Sulf]]&lt;=0.5,vp.data[[#This Row],[Unknown]]=0),1,0)</f>
        <v>0</v>
      </c>
      <c r="AB4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29">
        <f>IF(AND(vp.data[[#This Row],[CrudeType]]="Crude",vp.data[[#This Row],[Dens]]&gt;825,vp.data[[#This Row],[Dens]]&lt;=900,vp.data[[#This Row],[Sulf]]&lt;=0.5,vp.data[[#This Row],[Unknown]]=0),1,0)</f>
        <v>0</v>
      </c>
      <c r="AD429">
        <f>IF(AND(vp.data[[#This Row],[CrudeType]]="Crude",vp.data[[#This Row],[Dens]]&gt;865,vp.data[[#This Row],[Dens]]&lt;=900,vp.data[[#This Row],[Sulf]]&gt;2,vp.data[[#This Row],[Unknown]]=0),1,0)</f>
        <v>0</v>
      </c>
      <c r="AE429">
        <f>IF(AND(vp.data[[#This Row],[CrudeType]]="Crude",vp.data[[#This Row],[Dens]]&gt;900,vp.data[[#This Row],[Sulf]]&lt;=0.5,vp.data[[#This Row],[Unknown]]=0),1,0)</f>
        <v>0</v>
      </c>
      <c r="AF429">
        <f>IF(AND(vp.data[[#This Row],[CrudeType]]="Crude",vp.data[[#This Row],[Dens]]&gt;900,vp.data[[#This Row],[Sulf]]&lt;=0.5,vp.data[[#This Row],[Unknown]]=0),1,0)</f>
        <v>0</v>
      </c>
      <c r="AG429" t="str">
        <f>INDEX(vp.data[[#Headers],[Unknown]:[Heavy_SW]],MATCH(1,vp.data[[#This Row],[Unknown]:[Heavy_SW]],0))</f>
        <v>Medium_LSB</v>
      </c>
      <c r="AH429">
        <f>INDEX([3]!crudeBD.lkup[Number],MATCH(vp.data[[#This Row],[Crude_Breakdown]],crudeBD.lkup[Crude Breakdown],0))</f>
        <v>3</v>
      </c>
      <c r="AI429">
        <f>MONTH(vp.data[[#This Row],[SDate]])</f>
        <v>12</v>
      </c>
      <c r="AJ429" s="5">
        <f>(vp.data[[#This Row],[VP]]-INDEX(crudeBD.lkup[Mean_VP],MATCH(vp.data[[#This Row],[Crude_Breakdown]],crudeBD.lkup[Crude Breakdown],0)))^2</f>
        <v>804.30794619626829</v>
      </c>
      <c r="AK429" s="5">
        <f>(vp.data[[#This Row],[Dens]]-INDEX(crudeBD.lkup[Mean_Dens],MATCH(vp.data[[#This Row],[Crude_Breakdown]],crudeBD.lkup[Crude Breakdown],0)))^2</f>
        <v>346.70439999998325</v>
      </c>
      <c r="AL429" s="5">
        <f>(vp.data[[#This Row],[Sulf]]-INDEX(crudeBD.lkup[Mean_Sulf],MATCH(vp.data[[#This Row],[Crude_Breakdown]],crudeBD.lkup[Crude Breakdown],0)))^2</f>
        <v>7.5400696890839961E-2</v>
      </c>
      <c r="AM429" s="4">
        <f>IF(AND(vp.data[[#This Row],[SDate]]&gt;=DATE(YEAR(vp.data[[#This Row],[SDate]]),5,1),vp.data[[#This Row],[SDate]]&lt;=DATE(YEAR(vp.data[[#This Row],[SDate]]),9,15)),1,0)</f>
        <v>0</v>
      </c>
      <c r="AN429" s="4">
        <f>IF(vp.data[[#This Row],[SDate]]&lt;DATE(2016,12,1),0,1)</f>
        <v>1</v>
      </c>
      <c r="AO429" s="4">
        <f>IFERROR(vp.data[[#This Row],[Sulf]]*vp.data[[#This Row],[Net Dens]],"")</f>
        <v>6042025.459511999</v>
      </c>
      <c r="AP429">
        <f>IFERROR(vp.data[[#This Row],[Dens]]*vp.data[[#This Row],[VolumeM3]],"")</f>
        <v>3639774.3731999993</v>
      </c>
      <c r="AQ429" s="15">
        <f>IFERROR(vp.data[[#This Row],[VP]]*vp.data[[#This Row],[VolumeM3]],"")</f>
        <v>480716.59599999996</v>
      </c>
    </row>
    <row r="430" spans="1:43" x14ac:dyDescent="0.25">
      <c r="A430">
        <v>429</v>
      </c>
      <c r="B430" t="s">
        <v>51</v>
      </c>
      <c r="C430" t="s">
        <v>51</v>
      </c>
      <c r="D430" t="s">
        <v>58</v>
      </c>
      <c r="F430" s="1">
        <v>42720</v>
      </c>
      <c r="G430" s="2">
        <v>102</v>
      </c>
      <c r="H430" s="2"/>
      <c r="I430" s="2">
        <f t="array" ref="I430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430" s="2"/>
      <c r="K430" s="2"/>
      <c r="L430" s="2">
        <v>841</v>
      </c>
      <c r="M430" s="2">
        <f t="array" ref="M430">_xlfn.IFNA(IF(vp.data[[#This Row],[Dens Input]]="",INDEX([1]DATA!$O$3:$O$9826,MATCH(1,(vp.data[[#This Row],[Battery]]=[1]DATA!$L$3:$L$9826)*(EOMONTH(vp.data[[#This Row],[SDate]],-1)+1=[1]DATA!$G$3:$G$9826),0)),vp.data[[#This Row],[Dens Input]]),"")</f>
        <v>841</v>
      </c>
      <c r="N430" s="2">
        <f ca="1">INDEX(INDIRECT(_xlfn.CONCAT("weather.tbl[",N$1,"]")),MATCH(vp.data[[#This Row],[SDate]],weather.tbl[Date],0))</f>
        <v>-24.566666666666666</v>
      </c>
      <c r="O430" s="2">
        <f ca="1">INDEX(INDIRECT(_xlfn.CONCAT("weather.tbl[",O$1,"]")),MATCH(vp.data[[#This Row],[SDate]],weather.tbl[Date],0))</f>
        <v>-22.690476190476193</v>
      </c>
      <c r="P430" s="2">
        <f ca="1">INDEX(INDIRECT(_xlfn.CONCAT("weather.tbl[",P$1,"]")),MATCH(vp.data[[#This Row],[SDate]],weather.tbl[Date],0))</f>
        <v>-24.6</v>
      </c>
      <c r="Q430" s="2">
        <f ca="1">INDEX(INDIRECT(_xlfn.CONCAT("weather.tbl[",Q$1,"]")),MATCH(vp.data[[#This Row],[SDate]],weather.tbl[Date],0))</f>
        <v>-25.7</v>
      </c>
      <c r="R430" s="2">
        <f ca="1">INDEX(INDIRECT(_xlfn.CONCAT("weather.tbl[",R$1,"]")),MATCH(vp.data[[#This Row],[SDate]],weather.tbl[Date],0))</f>
        <v>-24.3</v>
      </c>
      <c r="S430" s="2">
        <f ca="1">INDEX(INDIRECT(_xlfn.CONCAT("weather.tbl[",S$1,"]")),MATCH(vp.data[[#This Row],[SDate]],weather.tbl[Date],0))</f>
        <v>-23.5</v>
      </c>
      <c r="T430" s="2">
        <f ca="1">INDEX(INDIRECT(_xlfn.CONCAT("weather.tbl[",T$1,"]")),MATCH(vp.data[[#This Row],[SDate]],weather.tbl[Date],0))</f>
        <v>-24</v>
      </c>
      <c r="U430" s="2">
        <f ca="1">INDEX(INDIRECT(_xlfn.CONCAT("weather.tbl[",U$1,"]")),MATCH(vp.data[[#This Row],[SDate]],weather.tbl[Date],0))</f>
        <v>-25.3</v>
      </c>
      <c r="V430" s="2">
        <f t="array" ref="V4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5257.84</v>
      </c>
      <c r="W430" t="s">
        <v>48</v>
      </c>
      <c r="X430">
        <f>IF(OR(vp.data[[#This Row],[Sulf]]="",vp.data[[#This Row],[Dens]]=""),1,0)</f>
        <v>0</v>
      </c>
      <c r="Y430">
        <f>IF(vp.data[[#This Row],[CrudeType]]="C5+",1,0)</f>
        <v>0</v>
      </c>
      <c r="Z430">
        <f>IF(AND(vp.data[[#This Row],[CrudeType]]="Crude",vp.data[[#This Row],[Dens]]&lt;=825,vp.data[[#This Row],[Sulf]]&gt;0.5,vp.data[[#This Row],[Unknown]]=0),1,0)</f>
        <v>0</v>
      </c>
      <c r="AA430">
        <f>IF(AND(vp.data[[#This Row],[CrudeType]]="Crude",vp.data[[#This Row],[Dens]]&lt;=825,vp.data[[#This Row],[Sulf]]&lt;=0.5,vp.data[[#This Row],[Unknown]]=0),1,0)</f>
        <v>0</v>
      </c>
      <c r="AB4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30">
        <f>IF(AND(vp.data[[#This Row],[CrudeType]]="Crude",vp.data[[#This Row],[Dens]]&gt;825,vp.data[[#This Row],[Dens]]&lt;=900,vp.data[[#This Row],[Sulf]]&lt;=0.5,vp.data[[#This Row],[Unknown]]=0),1,0)</f>
        <v>0</v>
      </c>
      <c r="AD430">
        <f>IF(AND(vp.data[[#This Row],[CrudeType]]="Crude",vp.data[[#This Row],[Dens]]&gt;865,vp.data[[#This Row],[Dens]]&lt;=900,vp.data[[#This Row],[Sulf]]&gt;2,vp.data[[#This Row],[Unknown]]=0),1,0)</f>
        <v>0</v>
      </c>
      <c r="AE430">
        <f>IF(AND(vp.data[[#This Row],[CrudeType]]="Crude",vp.data[[#This Row],[Dens]]&gt;900,vp.data[[#This Row],[Sulf]]&lt;=0.5,vp.data[[#This Row],[Unknown]]=0),1,0)</f>
        <v>0</v>
      </c>
      <c r="AF430">
        <f>IF(AND(vp.data[[#This Row],[CrudeType]]="Crude",vp.data[[#This Row],[Dens]]&gt;900,vp.data[[#This Row],[Sulf]]&lt;=0.5,vp.data[[#This Row],[Unknown]]=0),1,0)</f>
        <v>0</v>
      </c>
      <c r="AG430" t="str">
        <f>INDEX(vp.data[[#Headers],[Unknown]:[Heavy_SW]],MATCH(1,vp.data[[#This Row],[Unknown]:[Heavy_SW]],0))</f>
        <v>Medium_LSB</v>
      </c>
      <c r="AH430">
        <f>INDEX([3]!crudeBD.lkup[Number],MATCH(vp.data[[#This Row],[Crude_Breakdown]],crudeBD.lkup[Crude Breakdown],0))</f>
        <v>3</v>
      </c>
      <c r="AI430">
        <f>MONTH(vp.data[[#This Row],[SDate]])</f>
        <v>12</v>
      </c>
      <c r="AJ430" s="5">
        <f>(vp.data[[#This Row],[VP]]-INDEX(crudeBD.lkup[Mean_VP],MATCH(vp.data[[#This Row],[Crude_Breakdown]],crudeBD.lkup[Crude Breakdown],0)))^2</f>
        <v>456.26341789438044</v>
      </c>
      <c r="AK430" s="5">
        <f>(vp.data[[#This Row],[Dens]]-INDEX(crudeBD.lkup[Mean_Dens],MATCH(vp.data[[#This Row],[Crude_Breakdown]],crudeBD.lkup[Crude Breakdown],0)))^2</f>
        <v>8.5263999999971052</v>
      </c>
      <c r="AL430" s="5">
        <f>(vp.data[[#This Row],[Sulf]]-INDEX(crudeBD.lkup[Mean_Sulf],MATCH(vp.data[[#This Row],[Crude_Breakdown]],crudeBD.lkup[Crude Breakdown],0)))^2</f>
        <v>3.4074159694074811E-2</v>
      </c>
      <c r="AM430" s="4">
        <f>IF(AND(vp.data[[#This Row],[SDate]]&gt;=DATE(YEAR(vp.data[[#This Row],[SDate]]),5,1),vp.data[[#This Row],[SDate]]&lt;=DATE(YEAR(vp.data[[#This Row],[SDate]]),9,15)),1,0)</f>
        <v>0</v>
      </c>
      <c r="AN430" s="4">
        <f>IF(vp.data[[#This Row],[SDate]]&lt;DATE(2016,12,1),0,1)</f>
        <v>1</v>
      </c>
      <c r="AO430" s="4">
        <f>IFERROR(vp.data[[#This Row],[Sulf]]*vp.data[[#This Row],[Net Dens]],"")</f>
        <v>6942294.2008000007</v>
      </c>
      <c r="AP430">
        <f>IFERROR(vp.data[[#This Row],[Dens]]*vp.data[[#This Row],[VolumeM3]],"")</f>
        <v>4421843.4400000004</v>
      </c>
      <c r="AQ430" s="15">
        <f>IFERROR(vp.data[[#This Row],[VP]]*vp.data[[#This Row],[VolumeM3]],"")</f>
        <v>536299.68000000005</v>
      </c>
    </row>
    <row r="431" spans="1:43" x14ac:dyDescent="0.25">
      <c r="A431">
        <v>430</v>
      </c>
      <c r="B431" t="s">
        <v>60</v>
      </c>
      <c r="C431" t="s">
        <v>60</v>
      </c>
      <c r="D431" t="s">
        <v>61</v>
      </c>
      <c r="E431" t="s">
        <v>55</v>
      </c>
      <c r="F431" s="1">
        <v>42720</v>
      </c>
      <c r="G431" s="2">
        <v>96.1</v>
      </c>
      <c r="H431" s="2"/>
      <c r="I431" s="2">
        <f t="array" ref="I431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31" s="2"/>
      <c r="K431" s="2"/>
      <c r="L431" s="2">
        <v>836.6</v>
      </c>
      <c r="M431" s="2">
        <f t="array" ref="M431">_xlfn.IFNA(IF(vp.data[[#This Row],[Dens Input]]="",INDEX([1]DATA!$O$3:$O$9826,MATCH(1,(vp.data[[#This Row],[Battery]]=[1]DATA!$L$3:$L$9826)*(EOMONTH(vp.data[[#This Row],[SDate]],-1)+1=[1]DATA!$G$3:$G$9826),0)),vp.data[[#This Row],[Dens Input]]),"")</f>
        <v>836.6</v>
      </c>
      <c r="N431" s="2">
        <f ca="1">INDEX(INDIRECT(_xlfn.CONCAT("weather.tbl[",N$1,"]")),MATCH(vp.data[[#This Row],[SDate]],weather.tbl[Date],0))</f>
        <v>-24.566666666666666</v>
      </c>
      <c r="O431" s="2">
        <f ca="1">INDEX(INDIRECT(_xlfn.CONCAT("weather.tbl[",O$1,"]")),MATCH(vp.data[[#This Row],[SDate]],weather.tbl[Date],0))</f>
        <v>-22.690476190476193</v>
      </c>
      <c r="P431" s="2">
        <f ca="1">INDEX(INDIRECT(_xlfn.CONCAT("weather.tbl[",P$1,"]")),MATCH(vp.data[[#This Row],[SDate]],weather.tbl[Date],0))</f>
        <v>-24.6</v>
      </c>
      <c r="Q431" s="2">
        <f ca="1">INDEX(INDIRECT(_xlfn.CONCAT("weather.tbl[",Q$1,"]")),MATCH(vp.data[[#This Row],[SDate]],weather.tbl[Date],0))</f>
        <v>-25.7</v>
      </c>
      <c r="R431" s="2">
        <f ca="1">INDEX(INDIRECT(_xlfn.CONCAT("weather.tbl[",R$1,"]")),MATCH(vp.data[[#This Row],[SDate]],weather.tbl[Date],0))</f>
        <v>-24.3</v>
      </c>
      <c r="S431" s="2">
        <f ca="1">INDEX(INDIRECT(_xlfn.CONCAT("weather.tbl[",S$1,"]")),MATCH(vp.data[[#This Row],[SDate]],weather.tbl[Date],0))</f>
        <v>-23.5</v>
      </c>
      <c r="T431" s="2">
        <f ca="1">INDEX(INDIRECT(_xlfn.CONCAT("weather.tbl[",T$1,"]")),MATCH(vp.data[[#This Row],[SDate]],weather.tbl[Date],0))</f>
        <v>-24</v>
      </c>
      <c r="U431" s="2">
        <f ca="1">INDEX(INDIRECT(_xlfn.CONCAT("weather.tbl[",U$1,"]")),MATCH(vp.data[[#This Row],[SDate]],weather.tbl[Date],0))</f>
        <v>-25.3</v>
      </c>
      <c r="V431" s="2">
        <f t="array" ref="V4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31" t="s">
        <v>48</v>
      </c>
      <c r="X431">
        <f>IF(OR(vp.data[[#This Row],[Sulf]]="",vp.data[[#This Row],[Dens]]=""),1,0)</f>
        <v>0</v>
      </c>
      <c r="Y431">
        <f>IF(vp.data[[#This Row],[CrudeType]]="C5+",1,0)</f>
        <v>0</v>
      </c>
      <c r="Z431">
        <f>IF(AND(vp.data[[#This Row],[CrudeType]]="Crude",vp.data[[#This Row],[Dens]]&lt;=825,vp.data[[#This Row],[Sulf]]&gt;0.5,vp.data[[#This Row],[Unknown]]=0),1,0)</f>
        <v>0</v>
      </c>
      <c r="AA431">
        <f>IF(AND(vp.data[[#This Row],[CrudeType]]="Crude",vp.data[[#This Row],[Dens]]&lt;=825,vp.data[[#This Row],[Sulf]]&lt;=0.5,vp.data[[#This Row],[Unknown]]=0),1,0)</f>
        <v>0</v>
      </c>
      <c r="AB4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31">
        <f>IF(AND(vp.data[[#This Row],[CrudeType]]="Crude",vp.data[[#This Row],[Dens]]&gt;825,vp.data[[#This Row],[Dens]]&lt;=900,vp.data[[#This Row],[Sulf]]&lt;=0.5,vp.data[[#This Row],[Unknown]]=0),1,0)</f>
        <v>0</v>
      </c>
      <c r="AD431">
        <f>IF(AND(vp.data[[#This Row],[CrudeType]]="Crude",vp.data[[#This Row],[Dens]]&gt;865,vp.data[[#This Row],[Dens]]&lt;=900,vp.data[[#This Row],[Sulf]]&gt;2,vp.data[[#This Row],[Unknown]]=0),1,0)</f>
        <v>0</v>
      </c>
      <c r="AE431">
        <f>IF(AND(vp.data[[#This Row],[CrudeType]]="Crude",vp.data[[#This Row],[Dens]]&gt;900,vp.data[[#This Row],[Sulf]]&lt;=0.5,vp.data[[#This Row],[Unknown]]=0),1,0)</f>
        <v>0</v>
      </c>
      <c r="AF431">
        <f>IF(AND(vp.data[[#This Row],[CrudeType]]="Crude",vp.data[[#This Row],[Dens]]&gt;900,vp.data[[#This Row],[Sulf]]&lt;=0.5,vp.data[[#This Row],[Unknown]]=0),1,0)</f>
        <v>0</v>
      </c>
      <c r="AG431" t="str">
        <f>INDEX(vp.data[[#Headers],[Unknown]:[Heavy_SW]],MATCH(1,vp.data[[#This Row],[Unknown]:[Heavy_SW]],0))</f>
        <v>Medium_LSB</v>
      </c>
      <c r="AH431">
        <f>INDEX([3]!crudeBD.lkup[Number],MATCH(vp.data[[#This Row],[Crude_Breakdown]],crudeBD.lkup[Crude Breakdown],0))</f>
        <v>3</v>
      </c>
      <c r="AI431">
        <f>MONTH(vp.data[[#This Row],[SDate]])</f>
        <v>12</v>
      </c>
      <c r="AJ431" s="5">
        <f>(vp.data[[#This Row],[VP]]-INDEX(crudeBD.lkup[Mean_VP],MATCH(vp.data[[#This Row],[Crude_Breakdown]],crudeBD.lkup[Crude Breakdown],0)))^2</f>
        <v>239.02160118278914</v>
      </c>
      <c r="AK431" s="5">
        <f>(vp.data[[#This Row],[Dens]]-INDEX(crudeBD.lkup[Mean_Dens],MATCH(vp.data[[#This Row],[Crude_Breakdown]],crudeBD.lkup[Crude Breakdown],0)))^2</f>
        <v>53.582399999992411</v>
      </c>
      <c r="AL431" s="5">
        <f>(vp.data[[#This Row],[Sulf]]-INDEX(crudeBD.lkup[Mean_Sulf],MATCH(vp.data[[#This Row],[Crude_Breakdown]],crudeBD.lkup[Crude Breakdown],0)))^2</f>
        <v>0.17256391171563998</v>
      </c>
      <c r="AM431" s="4">
        <f>IF(AND(vp.data[[#This Row],[SDate]]&gt;=DATE(YEAR(vp.data[[#This Row],[SDate]]),5,1),vp.data[[#This Row],[SDate]]&lt;=DATE(YEAR(vp.data[[#This Row],[SDate]]),9,15)),1,0)</f>
        <v>0</v>
      </c>
      <c r="AN431" s="4">
        <f>IF(vp.data[[#This Row],[SDate]]&lt;DATE(2016,12,1),0,1)</f>
        <v>1</v>
      </c>
      <c r="AO431" s="4">
        <f>IFERROR(vp.data[[#This Row],[Sulf]]*vp.data[[#This Row],[Net Dens]],"")</f>
        <v>86711061.276107997</v>
      </c>
      <c r="AP431">
        <f>IFERROR(vp.data[[#This Row],[Dens]]*vp.data[[#This Row],[VolumeM3]],"")</f>
        <v>89392846.676400006</v>
      </c>
      <c r="AQ431" s="15">
        <f>IFERROR(vp.data[[#This Row],[VP]]*vp.data[[#This Row],[VolumeM3]],"")</f>
        <v>10268530.4394</v>
      </c>
    </row>
    <row r="432" spans="1:43" x14ac:dyDescent="0.25">
      <c r="A432">
        <v>431</v>
      </c>
      <c r="B432" t="s">
        <v>49</v>
      </c>
      <c r="C432" t="s">
        <v>49</v>
      </c>
      <c r="D432" t="s">
        <v>78</v>
      </c>
      <c r="F432" s="1">
        <v>42723</v>
      </c>
      <c r="G432" s="2">
        <v>98.3</v>
      </c>
      <c r="H432" s="2"/>
      <c r="I432" s="2">
        <f t="array" ref="I432">_xlfn.IFNA(IF(vp.data[[#This Row],[Sulf Input]]="",INDEX([1]DATA!$Q$3:$Q$9826,MATCH(1,(vp.data[[#This Row],[Battery]]=[1]DATA!$L$3:$L$9826)*(EOMONTH(vp.data[[#This Row],[SDate]],-1)+1=[1]DATA!$G$3:$G$9826),0)),vp.data[[#This Row],[Sulf Input]]),"")</f>
        <v>0.14000000000000001</v>
      </c>
      <c r="J432" s="2">
        <v>-3</v>
      </c>
      <c r="K432" s="2">
        <v>-10</v>
      </c>
      <c r="L432" s="2">
        <v>810.3</v>
      </c>
      <c r="M432" s="2">
        <f t="array" ref="M432">_xlfn.IFNA(IF(vp.data[[#This Row],[Dens Input]]="",INDEX([1]DATA!$O$3:$O$9826,MATCH(1,(vp.data[[#This Row],[Battery]]=[1]DATA!$L$3:$L$9826)*(EOMONTH(vp.data[[#This Row],[SDate]],-1)+1=[1]DATA!$G$3:$G$9826),0)),vp.data[[#This Row],[Dens Input]]),"")</f>
        <v>810.3</v>
      </c>
      <c r="N432" s="2">
        <f ca="1">INDEX(INDIRECT(_xlfn.CONCAT("weather.tbl[",N$1,"]")),MATCH(vp.data[[#This Row],[SDate]],weather.tbl[Date],0))</f>
        <v>-3.65</v>
      </c>
      <c r="O432" s="2">
        <f ca="1">INDEX(INDIRECT(_xlfn.CONCAT("weather.tbl[",O$1,"]")),MATCH(vp.data[[#This Row],[SDate]],weather.tbl[Date],0))</f>
        <v>-20.095238095238095</v>
      </c>
      <c r="P432" s="2">
        <f ca="1">INDEX(INDIRECT(_xlfn.CONCAT("weather.tbl[",P$1,"]")),MATCH(vp.data[[#This Row],[SDate]],weather.tbl[Date],0))</f>
        <v>-3.3</v>
      </c>
      <c r="Q432" s="2">
        <f ca="1">INDEX(INDIRECT(_xlfn.CONCAT("weather.tbl[",Q$1,"]")),MATCH(vp.data[[#This Row],[SDate]],weather.tbl[Date],0))</f>
        <v>-1.8</v>
      </c>
      <c r="R432" s="2">
        <f ca="1">INDEX(INDIRECT(_xlfn.CONCAT("weather.tbl[",R$1,"]")),MATCH(vp.data[[#This Row],[SDate]],weather.tbl[Date],0))</f>
        <v>-7.3</v>
      </c>
      <c r="S432" s="2">
        <f ca="1">INDEX(INDIRECT(_xlfn.CONCAT("weather.tbl[",S$1,"]")),MATCH(vp.data[[#This Row],[SDate]],weather.tbl[Date],0))</f>
        <v>-1.5</v>
      </c>
      <c r="T432" s="2">
        <f ca="1">INDEX(INDIRECT(_xlfn.CONCAT("weather.tbl[",T$1,"]")),MATCH(vp.data[[#This Row],[SDate]],weather.tbl[Date],0))</f>
        <v>-2.5</v>
      </c>
      <c r="U432" s="2">
        <f ca="1">INDEX(INDIRECT(_xlfn.CONCAT("weather.tbl[",U$1,"]")),MATCH(vp.data[[#This Row],[SDate]],weather.tbl[Date],0))</f>
        <v>-5.5</v>
      </c>
      <c r="V432" s="2">
        <f t="array" ref="V4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15481.353999999999</v>
      </c>
      <c r="W432" t="s">
        <v>48</v>
      </c>
      <c r="X432">
        <f>IF(OR(vp.data[[#This Row],[Sulf]]="",vp.data[[#This Row],[Dens]]=""),1,0)</f>
        <v>0</v>
      </c>
      <c r="Y432">
        <f>IF(vp.data[[#This Row],[CrudeType]]="C5+",1,0)</f>
        <v>0</v>
      </c>
      <c r="Z432">
        <f>IF(AND(vp.data[[#This Row],[CrudeType]]="Crude",vp.data[[#This Row],[Dens]]&lt;=825,vp.data[[#This Row],[Sulf]]&gt;0.5,vp.data[[#This Row],[Unknown]]=0),1,0)</f>
        <v>0</v>
      </c>
      <c r="AA432">
        <f>IF(AND(vp.data[[#This Row],[CrudeType]]="Crude",vp.data[[#This Row],[Dens]]&lt;=825,vp.data[[#This Row],[Sulf]]&lt;=0.5,vp.data[[#This Row],[Unknown]]=0),1,0)</f>
        <v>1</v>
      </c>
      <c r="AB4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2">
        <f>IF(AND(vp.data[[#This Row],[CrudeType]]="Crude",vp.data[[#This Row],[Dens]]&gt;825,vp.data[[#This Row],[Dens]]&lt;=900,vp.data[[#This Row],[Sulf]]&lt;=0.5,vp.data[[#This Row],[Unknown]]=0),1,0)</f>
        <v>0</v>
      </c>
      <c r="AD432">
        <f>IF(AND(vp.data[[#This Row],[CrudeType]]="Crude",vp.data[[#This Row],[Dens]]&gt;865,vp.data[[#This Row],[Dens]]&lt;=900,vp.data[[#This Row],[Sulf]]&gt;2,vp.data[[#This Row],[Unknown]]=0),1,0)</f>
        <v>0</v>
      </c>
      <c r="AE432">
        <f>IF(AND(vp.data[[#This Row],[CrudeType]]="Crude",vp.data[[#This Row],[Dens]]&gt;900,vp.data[[#This Row],[Sulf]]&lt;=0.5,vp.data[[#This Row],[Unknown]]=0),1,0)</f>
        <v>0</v>
      </c>
      <c r="AF432">
        <f>IF(AND(vp.data[[#This Row],[CrudeType]]="Crude",vp.data[[#This Row],[Dens]]&gt;900,vp.data[[#This Row],[Sulf]]&lt;=0.5,vp.data[[#This Row],[Unknown]]=0),1,0)</f>
        <v>0</v>
      </c>
      <c r="AG432" t="str">
        <f>INDEX(vp.data[[#Headers],[Unknown]:[Heavy_SW]],MATCH(1,vp.data[[#This Row],[Unknown]:[Heavy_SW]],0))</f>
        <v>Light_SW</v>
      </c>
      <c r="AH432">
        <f>INDEX([3]!crudeBD.lkup[Number],MATCH(vp.data[[#This Row],[Crude_Breakdown]],crudeBD.lkup[Crude Breakdown],0))</f>
        <v>2</v>
      </c>
      <c r="AI432">
        <f>MONTH(vp.data[[#This Row],[SDate]])</f>
        <v>12</v>
      </c>
      <c r="AJ432" s="5">
        <f>(vp.data[[#This Row],[VP]]-INDEX(crudeBD.lkup[Mean_VP],MATCH(vp.data[[#This Row],[Crude_Breakdown]],crudeBD.lkup[Crude Breakdown],0)))^2</f>
        <v>33.058893826561267</v>
      </c>
      <c r="AK432" s="5">
        <f>(vp.data[[#This Row],[Dens]]-INDEX(crudeBD.lkup[Mean_Dens],MATCH(vp.data[[#This Row],[Crude_Breakdown]],crudeBD.lkup[Crude Breakdown],0)))^2</f>
        <v>3.9541391785751512</v>
      </c>
      <c r="AL432" s="5">
        <f>(vp.data[[#This Row],[Sulf]]-INDEX(crudeBD.lkup[Mean_Sulf],MATCH(vp.data[[#This Row],[Crude_Breakdown]],crudeBD.lkup[Crude Breakdown],0)))^2</f>
        <v>9.2624863475336272E-3</v>
      </c>
      <c r="AM432" s="4">
        <f>IF(AND(vp.data[[#This Row],[SDate]]&gt;=DATE(YEAR(vp.data[[#This Row],[SDate]]),5,1),vp.data[[#This Row],[SDate]]&lt;=DATE(YEAR(vp.data[[#This Row],[SDate]]),9,15)),1,0)</f>
        <v>0</v>
      </c>
      <c r="AN432" s="4">
        <f>IF(vp.data[[#This Row],[SDate]]&lt;DATE(2016,12,1),0,1)</f>
        <v>1</v>
      </c>
      <c r="AO432" s="4">
        <f>IFERROR(vp.data[[#This Row],[Sulf]]*vp.data[[#This Row],[Net Dens]],"")</f>
        <v>1756235.7604680001</v>
      </c>
      <c r="AP432">
        <f>IFERROR(vp.data[[#This Row],[Dens]]*vp.data[[#This Row],[VolumeM3]],"")</f>
        <v>12544541.146199999</v>
      </c>
      <c r="AQ432" s="15">
        <f>IFERROR(vp.data[[#This Row],[VP]]*vp.data[[#This Row],[VolumeM3]],"")</f>
        <v>1521817.0981999999</v>
      </c>
    </row>
    <row r="433" spans="1:43" x14ac:dyDescent="0.25">
      <c r="A433">
        <v>432</v>
      </c>
      <c r="B433" t="s">
        <v>49</v>
      </c>
      <c r="C433" t="s">
        <v>49</v>
      </c>
      <c r="D433" t="s">
        <v>92</v>
      </c>
      <c r="F433" s="1">
        <v>42723</v>
      </c>
      <c r="G433" s="2">
        <v>90.5</v>
      </c>
      <c r="H433" s="2"/>
      <c r="I433" s="2">
        <f t="array" ref="I433">_xlfn.IFNA(IF(vp.data[[#This Row],[Sulf Input]]="",INDEX([1]DATA!$Q$3:$Q$9826,MATCH(1,(vp.data[[#This Row],[Battery]]=[1]DATA!$L$3:$L$9826)*(EOMONTH(vp.data[[#This Row],[SDate]],-1)+1=[1]DATA!$G$3:$G$9826),0)),vp.data[[#This Row],[Sulf Input]]),"")</f>
        <v>0.12</v>
      </c>
      <c r="J433" s="2">
        <v>14</v>
      </c>
      <c r="K433" s="2">
        <v>-10</v>
      </c>
      <c r="L433" s="2">
        <v>816.4</v>
      </c>
      <c r="M433" s="2">
        <f t="array" ref="M433">_xlfn.IFNA(IF(vp.data[[#This Row],[Dens Input]]="",INDEX([1]DATA!$O$3:$O$9826,MATCH(1,(vp.data[[#This Row],[Battery]]=[1]DATA!$L$3:$L$9826)*(EOMONTH(vp.data[[#This Row],[SDate]],-1)+1=[1]DATA!$G$3:$G$9826),0)),vp.data[[#This Row],[Dens Input]]),"")</f>
        <v>816.4</v>
      </c>
      <c r="N433" s="2">
        <f ca="1">INDEX(INDIRECT(_xlfn.CONCAT("weather.tbl[",N$1,"]")),MATCH(vp.data[[#This Row],[SDate]],weather.tbl[Date],0))</f>
        <v>-3.65</v>
      </c>
      <c r="O433" s="2">
        <f ca="1">INDEX(INDIRECT(_xlfn.CONCAT("weather.tbl[",O$1,"]")),MATCH(vp.data[[#This Row],[SDate]],weather.tbl[Date],0))</f>
        <v>-20.095238095238095</v>
      </c>
      <c r="P433" s="2">
        <f ca="1">INDEX(INDIRECT(_xlfn.CONCAT("weather.tbl[",P$1,"]")),MATCH(vp.data[[#This Row],[SDate]],weather.tbl[Date],0))</f>
        <v>-3.3</v>
      </c>
      <c r="Q433" s="2">
        <f ca="1">INDEX(INDIRECT(_xlfn.CONCAT("weather.tbl[",Q$1,"]")),MATCH(vp.data[[#This Row],[SDate]],weather.tbl[Date],0))</f>
        <v>-1.8</v>
      </c>
      <c r="R433" s="2">
        <f ca="1">INDEX(INDIRECT(_xlfn.CONCAT("weather.tbl[",R$1,"]")),MATCH(vp.data[[#This Row],[SDate]],weather.tbl[Date],0))</f>
        <v>-7.3</v>
      </c>
      <c r="S433" s="2">
        <f ca="1">INDEX(INDIRECT(_xlfn.CONCAT("weather.tbl[",S$1,"]")),MATCH(vp.data[[#This Row],[SDate]],weather.tbl[Date],0))</f>
        <v>-1.5</v>
      </c>
      <c r="T433" s="2">
        <f ca="1">INDEX(INDIRECT(_xlfn.CONCAT("weather.tbl[",T$1,"]")),MATCH(vp.data[[#This Row],[SDate]],weather.tbl[Date],0))</f>
        <v>-2.5</v>
      </c>
      <c r="U433" s="2">
        <f ca="1">INDEX(INDIRECT(_xlfn.CONCAT("weather.tbl[",U$1,"]")),MATCH(vp.data[[#This Row],[SDate]],weather.tbl[Date],0))</f>
        <v>-5.5</v>
      </c>
      <c r="V433" s="2">
        <f t="array" ref="V4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21171.823</v>
      </c>
      <c r="W433" t="s">
        <v>48</v>
      </c>
      <c r="X433">
        <f>IF(OR(vp.data[[#This Row],[Sulf]]="",vp.data[[#This Row],[Dens]]=""),1,0)</f>
        <v>0</v>
      </c>
      <c r="Y433">
        <f>IF(vp.data[[#This Row],[CrudeType]]="C5+",1,0)</f>
        <v>0</v>
      </c>
      <c r="Z433">
        <f>IF(AND(vp.data[[#This Row],[CrudeType]]="Crude",vp.data[[#This Row],[Dens]]&lt;=825,vp.data[[#This Row],[Sulf]]&gt;0.5,vp.data[[#This Row],[Unknown]]=0),1,0)</f>
        <v>0</v>
      </c>
      <c r="AA433">
        <f>IF(AND(vp.data[[#This Row],[CrudeType]]="Crude",vp.data[[#This Row],[Dens]]&lt;=825,vp.data[[#This Row],[Sulf]]&lt;=0.5,vp.data[[#This Row],[Unknown]]=0),1,0)</f>
        <v>1</v>
      </c>
      <c r="AB4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3">
        <f>IF(AND(vp.data[[#This Row],[CrudeType]]="Crude",vp.data[[#This Row],[Dens]]&gt;825,vp.data[[#This Row],[Dens]]&lt;=900,vp.data[[#This Row],[Sulf]]&lt;=0.5,vp.data[[#This Row],[Unknown]]=0),1,0)</f>
        <v>0</v>
      </c>
      <c r="AD433">
        <f>IF(AND(vp.data[[#This Row],[CrudeType]]="Crude",vp.data[[#This Row],[Dens]]&gt;865,vp.data[[#This Row],[Dens]]&lt;=900,vp.data[[#This Row],[Sulf]]&gt;2,vp.data[[#This Row],[Unknown]]=0),1,0)</f>
        <v>0</v>
      </c>
      <c r="AE433">
        <f>IF(AND(vp.data[[#This Row],[CrudeType]]="Crude",vp.data[[#This Row],[Dens]]&gt;900,vp.data[[#This Row],[Sulf]]&lt;=0.5,vp.data[[#This Row],[Unknown]]=0),1,0)</f>
        <v>0</v>
      </c>
      <c r="AF433">
        <f>IF(AND(vp.data[[#This Row],[CrudeType]]="Crude",vp.data[[#This Row],[Dens]]&gt;900,vp.data[[#This Row],[Sulf]]&lt;=0.5,vp.data[[#This Row],[Unknown]]=0),1,0)</f>
        <v>0</v>
      </c>
      <c r="AG433" t="str">
        <f>INDEX(vp.data[[#Headers],[Unknown]:[Heavy_SW]],MATCH(1,vp.data[[#This Row],[Unknown]:[Heavy_SW]],0))</f>
        <v>Light_SW</v>
      </c>
      <c r="AH433">
        <f>INDEX([3]!crudeBD.lkup[Number],MATCH(vp.data[[#This Row],[Crude_Breakdown]],crudeBD.lkup[Crude Breakdown],0))</f>
        <v>2</v>
      </c>
      <c r="AI433">
        <f>MONTH(vp.data[[#This Row],[SDate]])</f>
        <v>12</v>
      </c>
      <c r="AJ433" s="5">
        <f>(vp.data[[#This Row],[VP]]-INDEX(crudeBD.lkup[Mean_VP],MATCH(vp.data[[#This Row],[Crude_Breakdown]],crudeBD.lkup[Crude Breakdown],0)))^2</f>
        <v>4.2037858126235603</v>
      </c>
      <c r="AK433" s="5">
        <f>(vp.data[[#This Row],[Dens]]-INDEX(crudeBD.lkup[Mean_Dens],MATCH(vp.data[[#This Row],[Crude_Breakdown]],crudeBD.lkup[Crude Breakdown],0)))^2</f>
        <v>65.423860432933026</v>
      </c>
      <c r="AL433" s="5">
        <f>(vp.data[[#This Row],[Sulf]]-INDEX(crudeBD.lkup[Mean_Sulf],MATCH(vp.data[[#This Row],[Crude_Breakdown]],crudeBD.lkup[Crude Breakdown],0)))^2</f>
        <v>1.3512158821401221E-2</v>
      </c>
      <c r="AM433" s="4">
        <f>IF(AND(vp.data[[#This Row],[SDate]]&gt;=DATE(YEAR(vp.data[[#This Row],[SDate]]),5,1),vp.data[[#This Row],[SDate]]&lt;=DATE(YEAR(vp.data[[#This Row],[SDate]]),9,15)),1,0)</f>
        <v>0</v>
      </c>
      <c r="AN433" s="4">
        <f>IF(vp.data[[#This Row],[SDate]]&lt;DATE(2016,12,1),0,1)</f>
        <v>1</v>
      </c>
      <c r="AO433" s="4">
        <f>IFERROR(vp.data[[#This Row],[Sulf]]*vp.data[[#This Row],[Net Dens]],"")</f>
        <v>2074161.1556639997</v>
      </c>
      <c r="AP433">
        <f>IFERROR(vp.data[[#This Row],[Dens]]*vp.data[[#This Row],[VolumeM3]],"")</f>
        <v>17284676.297199998</v>
      </c>
      <c r="AQ433" s="15">
        <f>IFERROR(vp.data[[#This Row],[VP]]*vp.data[[#This Row],[VolumeM3]],"")</f>
        <v>1916049.9815</v>
      </c>
    </row>
    <row r="434" spans="1:43" x14ac:dyDescent="0.25">
      <c r="A434">
        <v>433</v>
      </c>
      <c r="B434" t="s">
        <v>49</v>
      </c>
      <c r="C434" t="s">
        <v>49</v>
      </c>
      <c r="D434" t="s">
        <v>92</v>
      </c>
      <c r="F434" s="1">
        <v>42723</v>
      </c>
      <c r="G434" s="2">
        <v>73.2</v>
      </c>
      <c r="H434" s="2"/>
      <c r="I434" s="2">
        <f t="array" ref="I434">_xlfn.IFNA(IF(vp.data[[#This Row],[Sulf Input]]="",INDEX([1]DATA!$Q$3:$Q$9826,MATCH(1,(vp.data[[#This Row],[Battery]]=[1]DATA!$L$3:$L$9826)*(EOMONTH(vp.data[[#This Row],[SDate]],-1)+1=[1]DATA!$G$3:$G$9826),0)),vp.data[[#This Row],[Sulf Input]]),"")</f>
        <v>0.12</v>
      </c>
      <c r="J434" s="2"/>
      <c r="K434" s="2"/>
      <c r="L434" s="2">
        <v>816.6</v>
      </c>
      <c r="M434" s="2">
        <f t="array" ref="M434">_xlfn.IFNA(IF(vp.data[[#This Row],[Dens Input]]="",INDEX([1]DATA!$O$3:$O$9826,MATCH(1,(vp.data[[#This Row],[Battery]]=[1]DATA!$L$3:$L$9826)*(EOMONTH(vp.data[[#This Row],[SDate]],-1)+1=[1]DATA!$G$3:$G$9826),0)),vp.data[[#This Row],[Dens Input]]),"")</f>
        <v>816.6</v>
      </c>
      <c r="N434" s="2">
        <f ca="1">INDEX(INDIRECT(_xlfn.CONCAT("weather.tbl[",N$1,"]")),MATCH(vp.data[[#This Row],[SDate]],weather.tbl[Date],0))</f>
        <v>-3.65</v>
      </c>
      <c r="O434" s="2">
        <f ca="1">INDEX(INDIRECT(_xlfn.CONCAT("weather.tbl[",O$1,"]")),MATCH(vp.data[[#This Row],[SDate]],weather.tbl[Date],0))</f>
        <v>-20.095238095238095</v>
      </c>
      <c r="P434" s="2">
        <f ca="1">INDEX(INDIRECT(_xlfn.CONCAT("weather.tbl[",P$1,"]")),MATCH(vp.data[[#This Row],[SDate]],weather.tbl[Date],0))</f>
        <v>-3.3</v>
      </c>
      <c r="Q434" s="2">
        <f ca="1">INDEX(INDIRECT(_xlfn.CONCAT("weather.tbl[",Q$1,"]")),MATCH(vp.data[[#This Row],[SDate]],weather.tbl[Date],0))</f>
        <v>-1.8</v>
      </c>
      <c r="R434" s="2">
        <f ca="1">INDEX(INDIRECT(_xlfn.CONCAT("weather.tbl[",R$1,"]")),MATCH(vp.data[[#This Row],[SDate]],weather.tbl[Date],0))</f>
        <v>-7.3</v>
      </c>
      <c r="S434" s="2">
        <f ca="1">INDEX(INDIRECT(_xlfn.CONCAT("weather.tbl[",S$1,"]")),MATCH(vp.data[[#This Row],[SDate]],weather.tbl[Date],0))</f>
        <v>-1.5</v>
      </c>
      <c r="T434" s="2">
        <f ca="1">INDEX(INDIRECT(_xlfn.CONCAT("weather.tbl[",T$1,"]")),MATCH(vp.data[[#This Row],[SDate]],weather.tbl[Date],0))</f>
        <v>-2.5</v>
      </c>
      <c r="U434" s="2">
        <f ca="1">INDEX(INDIRECT(_xlfn.CONCAT("weather.tbl[",U$1,"]")),MATCH(vp.data[[#This Row],[SDate]],weather.tbl[Date],0))</f>
        <v>-5.5</v>
      </c>
      <c r="V434" s="2">
        <f t="array" ref="V4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21171.823</v>
      </c>
      <c r="W434" t="s">
        <v>48</v>
      </c>
      <c r="X434">
        <f>IF(OR(vp.data[[#This Row],[Sulf]]="",vp.data[[#This Row],[Dens]]=""),1,0)</f>
        <v>0</v>
      </c>
      <c r="Y434">
        <f>IF(vp.data[[#This Row],[CrudeType]]="C5+",1,0)</f>
        <v>0</v>
      </c>
      <c r="Z434">
        <f>IF(AND(vp.data[[#This Row],[CrudeType]]="Crude",vp.data[[#This Row],[Dens]]&lt;=825,vp.data[[#This Row],[Sulf]]&gt;0.5,vp.data[[#This Row],[Unknown]]=0),1,0)</f>
        <v>0</v>
      </c>
      <c r="AA434">
        <f>IF(AND(vp.data[[#This Row],[CrudeType]]="Crude",vp.data[[#This Row],[Dens]]&lt;=825,vp.data[[#This Row],[Sulf]]&lt;=0.5,vp.data[[#This Row],[Unknown]]=0),1,0)</f>
        <v>1</v>
      </c>
      <c r="AB4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4">
        <f>IF(AND(vp.data[[#This Row],[CrudeType]]="Crude",vp.data[[#This Row],[Dens]]&gt;825,vp.data[[#This Row],[Dens]]&lt;=900,vp.data[[#This Row],[Sulf]]&lt;=0.5,vp.data[[#This Row],[Unknown]]=0),1,0)</f>
        <v>0</v>
      </c>
      <c r="AD434">
        <f>IF(AND(vp.data[[#This Row],[CrudeType]]="Crude",vp.data[[#This Row],[Dens]]&gt;865,vp.data[[#This Row],[Dens]]&lt;=900,vp.data[[#This Row],[Sulf]]&gt;2,vp.data[[#This Row],[Unknown]]=0),1,0)</f>
        <v>0</v>
      </c>
      <c r="AE434">
        <f>IF(AND(vp.data[[#This Row],[CrudeType]]="Crude",vp.data[[#This Row],[Dens]]&gt;900,vp.data[[#This Row],[Sulf]]&lt;=0.5,vp.data[[#This Row],[Unknown]]=0),1,0)</f>
        <v>0</v>
      </c>
      <c r="AF434">
        <f>IF(AND(vp.data[[#This Row],[CrudeType]]="Crude",vp.data[[#This Row],[Dens]]&gt;900,vp.data[[#This Row],[Sulf]]&lt;=0.5,vp.data[[#This Row],[Unknown]]=0),1,0)</f>
        <v>0</v>
      </c>
      <c r="AG434" t="str">
        <f>INDEX(vp.data[[#Headers],[Unknown]:[Heavy_SW]],MATCH(1,vp.data[[#This Row],[Unknown]:[Heavy_SW]],0))</f>
        <v>Light_SW</v>
      </c>
      <c r="AH434">
        <f>INDEX([3]!crudeBD.lkup[Number],MATCH(vp.data[[#This Row],[Crude_Breakdown]],crudeBD.lkup[Crude Breakdown],0))</f>
        <v>2</v>
      </c>
      <c r="AI434">
        <f>MONTH(vp.data[[#This Row],[SDate]])</f>
        <v>12</v>
      </c>
      <c r="AJ434" s="5">
        <f>(vp.data[[#This Row],[VP]]-INDEX(crudeBD.lkup[Mean_VP],MATCH(vp.data[[#This Row],[Crude_Breakdown]],crudeBD.lkup[Crude Breakdown],0)))^2</f>
        <v>374.43463598683843</v>
      </c>
      <c r="AK434" s="5">
        <f>(vp.data[[#This Row],[Dens]]-INDEX(crudeBD.lkup[Mean_Dens],MATCH(vp.data[[#This Row],[Crude_Breakdown]],crudeBD.lkup[Crude Breakdown],0)))^2</f>
        <v>68.699261129797975</v>
      </c>
      <c r="AL434" s="5">
        <f>(vp.data[[#This Row],[Sulf]]-INDEX(crudeBD.lkup[Mean_Sulf],MATCH(vp.data[[#This Row],[Crude_Breakdown]],crudeBD.lkup[Crude Breakdown],0)))^2</f>
        <v>1.3512158821401221E-2</v>
      </c>
      <c r="AM434" s="4">
        <f>IF(AND(vp.data[[#This Row],[SDate]]&gt;=DATE(YEAR(vp.data[[#This Row],[SDate]]),5,1),vp.data[[#This Row],[SDate]]&lt;=DATE(YEAR(vp.data[[#This Row],[SDate]]),9,15)),1,0)</f>
        <v>0</v>
      </c>
      <c r="AN434" s="4">
        <f>IF(vp.data[[#This Row],[SDate]]&lt;DATE(2016,12,1),0,1)</f>
        <v>1</v>
      </c>
      <c r="AO434" s="4">
        <f>IFERROR(vp.data[[#This Row],[Sulf]]*vp.data[[#This Row],[Net Dens]],"")</f>
        <v>2074669.279416</v>
      </c>
      <c r="AP434">
        <f>IFERROR(vp.data[[#This Row],[Dens]]*vp.data[[#This Row],[VolumeM3]],"")</f>
        <v>17288910.661800001</v>
      </c>
      <c r="AQ434" s="15">
        <f>IFERROR(vp.data[[#This Row],[VP]]*vp.data[[#This Row],[VolumeM3]],"")</f>
        <v>1549777.4436000001</v>
      </c>
    </row>
    <row r="435" spans="1:43" x14ac:dyDescent="0.25">
      <c r="A435">
        <v>434</v>
      </c>
      <c r="B435" t="s">
        <v>49</v>
      </c>
      <c r="C435" t="s">
        <v>49</v>
      </c>
      <c r="D435" t="s">
        <v>86</v>
      </c>
      <c r="F435" s="1">
        <v>42724</v>
      </c>
      <c r="G435" s="2">
        <v>72.900000000000006</v>
      </c>
      <c r="H435" s="2">
        <v>2.5031000000000001E-2</v>
      </c>
      <c r="I435" s="2">
        <f t="array" ref="I435">_xlfn.IFNA(IF(vp.data[[#This Row],[Sulf Input]]="",INDEX([1]DATA!$Q$3:$Q$9826,MATCH(1,(vp.data[[#This Row],[Battery]]=[1]DATA!$L$3:$L$9826)*(EOMONTH(vp.data[[#This Row],[SDate]],-1)+1=[1]DATA!$G$3:$G$9826),0)),vp.data[[#This Row],[Sulf Input]]),"")</f>
        <v>2.5031000000000001E-2</v>
      </c>
      <c r="J435" s="2">
        <v>28</v>
      </c>
      <c r="K435" s="2">
        <v>-6</v>
      </c>
      <c r="L435" s="2">
        <v>892.7</v>
      </c>
      <c r="M435" s="2">
        <f t="array" ref="M435">_xlfn.IFNA(IF(vp.data[[#This Row],[Dens Input]]="",INDEX([1]DATA!$O$3:$O$9826,MATCH(1,(vp.data[[#This Row],[Battery]]=[1]DATA!$L$3:$L$9826)*(EOMONTH(vp.data[[#This Row],[SDate]],-1)+1=[1]DATA!$G$3:$G$9826),0)),vp.data[[#This Row],[Dens Input]]),"")</f>
        <v>892.7</v>
      </c>
      <c r="N435" s="2">
        <f ca="1">INDEX(INDIRECT(_xlfn.CONCAT("weather.tbl[",N$1,"]")),MATCH(vp.data[[#This Row],[SDate]],weather.tbl[Date],0))</f>
        <v>-5.416666666666667</v>
      </c>
      <c r="O435" s="2">
        <f ca="1">INDEX(INDIRECT(_xlfn.CONCAT("weather.tbl[",O$1,"]")),MATCH(vp.data[[#This Row],[SDate]],weather.tbl[Date],0))</f>
        <v>-18.304761904761904</v>
      </c>
      <c r="P435" s="2">
        <f ca="1">INDEX(INDIRECT(_xlfn.CONCAT("weather.tbl[",P$1,"]")),MATCH(vp.data[[#This Row],[SDate]],weather.tbl[Date],0))</f>
        <v>-6</v>
      </c>
      <c r="Q435" s="2">
        <f ca="1">INDEX(INDIRECT(_xlfn.CONCAT("weather.tbl[",Q$1,"]")),MATCH(vp.data[[#This Row],[SDate]],weather.tbl[Date],0))</f>
        <v>-5.2</v>
      </c>
      <c r="R435" s="2">
        <f ca="1">INDEX(INDIRECT(_xlfn.CONCAT("weather.tbl[",R$1,"]")),MATCH(vp.data[[#This Row],[SDate]],weather.tbl[Date],0))</f>
        <v>-5.5</v>
      </c>
      <c r="S435" s="2">
        <f ca="1">INDEX(INDIRECT(_xlfn.CONCAT("weather.tbl[",S$1,"]")),MATCH(vp.data[[#This Row],[SDate]],weather.tbl[Date],0))</f>
        <v>-3.8</v>
      </c>
      <c r="T435" s="2">
        <f ca="1">INDEX(INDIRECT(_xlfn.CONCAT("weather.tbl[",T$1,"]")),MATCH(vp.data[[#This Row],[SDate]],weather.tbl[Date],0))</f>
        <v>-5.5</v>
      </c>
      <c r="U435" s="2">
        <f ca="1">INDEX(INDIRECT(_xlfn.CONCAT("weather.tbl[",U$1,"]")),MATCH(vp.data[[#This Row],[SDate]],weather.tbl[Date],0))</f>
        <v>-6.5</v>
      </c>
      <c r="V435" s="2">
        <f t="array" ref="V4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4638.45</v>
      </c>
      <c r="W435" t="s">
        <v>48</v>
      </c>
      <c r="X435">
        <f>IF(OR(vp.data[[#This Row],[Sulf]]="",vp.data[[#This Row],[Dens]]=""),1,0)</f>
        <v>0</v>
      </c>
      <c r="Y435">
        <f>IF(vp.data[[#This Row],[CrudeType]]="C5+",1,0)</f>
        <v>0</v>
      </c>
      <c r="Z435">
        <f>IF(AND(vp.data[[#This Row],[CrudeType]]="Crude",vp.data[[#This Row],[Dens]]&lt;=825,vp.data[[#This Row],[Sulf]]&gt;0.5,vp.data[[#This Row],[Unknown]]=0),1,0)</f>
        <v>0</v>
      </c>
      <c r="AA435">
        <f>IF(AND(vp.data[[#This Row],[CrudeType]]="Crude",vp.data[[#This Row],[Dens]]&lt;=825,vp.data[[#This Row],[Sulf]]&lt;=0.5,vp.data[[#This Row],[Unknown]]=0),1,0)</f>
        <v>0</v>
      </c>
      <c r="AB4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5">
        <f>IF(AND(vp.data[[#This Row],[CrudeType]]="Crude",vp.data[[#This Row],[Dens]]&gt;825,vp.data[[#This Row],[Dens]]&lt;=900,vp.data[[#This Row],[Sulf]]&lt;=0.5,vp.data[[#This Row],[Unknown]]=0),1,0)</f>
        <v>1</v>
      </c>
      <c r="AD435">
        <f>IF(AND(vp.data[[#This Row],[CrudeType]]="Crude",vp.data[[#This Row],[Dens]]&gt;865,vp.data[[#This Row],[Dens]]&lt;=900,vp.data[[#This Row],[Sulf]]&gt;2,vp.data[[#This Row],[Unknown]]=0),1,0)</f>
        <v>0</v>
      </c>
      <c r="AE435">
        <f>IF(AND(vp.data[[#This Row],[CrudeType]]="Crude",vp.data[[#This Row],[Dens]]&gt;900,vp.data[[#This Row],[Sulf]]&lt;=0.5,vp.data[[#This Row],[Unknown]]=0),1,0)</f>
        <v>0</v>
      </c>
      <c r="AF435">
        <f>IF(AND(vp.data[[#This Row],[CrudeType]]="Crude",vp.data[[#This Row],[Dens]]&gt;900,vp.data[[#This Row],[Sulf]]&lt;=0.5,vp.data[[#This Row],[Unknown]]=0),1,0)</f>
        <v>0</v>
      </c>
      <c r="AG435" t="str">
        <f>INDEX(vp.data[[#Headers],[Unknown]:[Heavy_SW]],MATCH(1,vp.data[[#This Row],[Unknown]:[Heavy_SW]],0))</f>
        <v>Medium_SW</v>
      </c>
      <c r="AH435">
        <f>INDEX([3]!crudeBD.lkup[Number],MATCH(vp.data[[#This Row],[Crude_Breakdown]],crudeBD.lkup[Crude Breakdown],0))</f>
        <v>4</v>
      </c>
      <c r="AI435">
        <f>MONTH(vp.data[[#This Row],[SDate]])</f>
        <v>12</v>
      </c>
      <c r="AJ435" s="5">
        <f>(vp.data[[#This Row],[VP]]-INDEX(crudeBD.lkup[Mean_VP],MATCH(vp.data[[#This Row],[Crude_Breakdown]],crudeBD.lkup[Crude Breakdown],0)))^2</f>
        <v>130.34027777777789</v>
      </c>
      <c r="AK435" s="5">
        <f>(vp.data[[#This Row],[Dens]]-INDEX(crudeBD.lkup[Mean_Dens],MATCH(vp.data[[#This Row],[Crude_Breakdown]],crudeBD.lkup[Crude Breakdown],0)))^2</f>
        <v>1253.1599999999985</v>
      </c>
      <c r="AL435" s="5">
        <f>(vp.data[[#This Row],[Sulf]]-INDEX(crudeBD.lkup[Mean_Sulf],MATCH(vp.data[[#This Row],[Crude_Breakdown]],crudeBD.lkup[Crude Breakdown],0)))^2</f>
        <v>2.3556877806249998E-2</v>
      </c>
      <c r="AM435" s="4">
        <f>IF(AND(vp.data[[#This Row],[SDate]]&gt;=DATE(YEAR(vp.data[[#This Row],[SDate]]),5,1),vp.data[[#This Row],[SDate]]&lt;=DATE(YEAR(vp.data[[#This Row],[SDate]]),9,15)),1,0)</f>
        <v>0</v>
      </c>
      <c r="AN435" s="4">
        <f>IF(vp.data[[#This Row],[SDate]]&lt;DATE(2016,12,1),0,1)</f>
        <v>1</v>
      </c>
      <c r="AO435" s="4">
        <f>IFERROR(vp.data[[#This Row],[Sulf]]*vp.data[[#This Row],[Net Dens]],"")</f>
        <v>103646.97094876501</v>
      </c>
      <c r="AP435">
        <f>IFERROR(vp.data[[#This Row],[Dens]]*vp.data[[#This Row],[VolumeM3]],"")</f>
        <v>4140744.3149999999</v>
      </c>
      <c r="AQ435" s="15">
        <f>IFERROR(vp.data[[#This Row],[VP]]*vp.data[[#This Row],[VolumeM3]],"")</f>
        <v>338143.005</v>
      </c>
    </row>
    <row r="436" spans="1:43" x14ac:dyDescent="0.25">
      <c r="A436">
        <v>435</v>
      </c>
      <c r="B436" t="s">
        <v>49</v>
      </c>
      <c r="C436" t="s">
        <v>49</v>
      </c>
      <c r="D436" t="s">
        <v>75</v>
      </c>
      <c r="F436" s="1">
        <v>42724</v>
      </c>
      <c r="G436" s="2">
        <v>125.9</v>
      </c>
      <c r="H436" s="2"/>
      <c r="I436" s="2">
        <f t="array" ref="I436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436" s="2">
        <v>13</v>
      </c>
      <c r="K436" s="2">
        <v>-6</v>
      </c>
      <c r="L436" s="2">
        <v>801.5</v>
      </c>
      <c r="M436" s="2">
        <f t="array" ref="M436">_xlfn.IFNA(IF(vp.data[[#This Row],[Dens Input]]="",INDEX([1]DATA!$O$3:$O$9826,MATCH(1,(vp.data[[#This Row],[Battery]]=[1]DATA!$L$3:$L$9826)*(EOMONTH(vp.data[[#This Row],[SDate]],-1)+1=[1]DATA!$G$3:$G$9826),0)),vp.data[[#This Row],[Dens Input]]),"")</f>
        <v>801.5</v>
      </c>
      <c r="N436" s="2">
        <f ca="1">INDEX(INDIRECT(_xlfn.CONCAT("weather.tbl[",N$1,"]")),MATCH(vp.data[[#This Row],[SDate]],weather.tbl[Date],0))</f>
        <v>-5.416666666666667</v>
      </c>
      <c r="O436" s="2">
        <f ca="1">INDEX(INDIRECT(_xlfn.CONCAT("weather.tbl[",O$1,"]")),MATCH(vp.data[[#This Row],[SDate]],weather.tbl[Date],0))</f>
        <v>-18.304761904761904</v>
      </c>
      <c r="P436" s="2">
        <f ca="1">INDEX(INDIRECT(_xlfn.CONCAT("weather.tbl[",P$1,"]")),MATCH(vp.data[[#This Row],[SDate]],weather.tbl[Date],0))</f>
        <v>-6</v>
      </c>
      <c r="Q436" s="2">
        <f ca="1">INDEX(INDIRECT(_xlfn.CONCAT("weather.tbl[",Q$1,"]")),MATCH(vp.data[[#This Row],[SDate]],weather.tbl[Date],0))</f>
        <v>-5.2</v>
      </c>
      <c r="R436" s="2">
        <f ca="1">INDEX(INDIRECT(_xlfn.CONCAT("weather.tbl[",R$1,"]")),MATCH(vp.data[[#This Row],[SDate]],weather.tbl[Date],0))</f>
        <v>-5.5</v>
      </c>
      <c r="S436" s="2">
        <f ca="1">INDEX(INDIRECT(_xlfn.CONCAT("weather.tbl[",S$1,"]")),MATCH(vp.data[[#This Row],[SDate]],weather.tbl[Date],0))</f>
        <v>-3.8</v>
      </c>
      <c r="T436" s="2">
        <f ca="1">INDEX(INDIRECT(_xlfn.CONCAT("weather.tbl[",T$1,"]")),MATCH(vp.data[[#This Row],[SDate]],weather.tbl[Date],0))</f>
        <v>-5.5</v>
      </c>
      <c r="U436" s="2">
        <f ca="1">INDEX(INDIRECT(_xlfn.CONCAT("weather.tbl[",U$1,"]")),MATCH(vp.data[[#This Row],[SDate]],weather.tbl[Date],0))</f>
        <v>-6.5</v>
      </c>
      <c r="V436" s="2">
        <f t="array" ref="V4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436" t="s">
        <v>48</v>
      </c>
      <c r="X436">
        <f>IF(OR(vp.data[[#This Row],[Sulf]]="",vp.data[[#This Row],[Dens]]=""),1,0)</f>
        <v>0</v>
      </c>
      <c r="Y436">
        <f>IF(vp.data[[#This Row],[CrudeType]]="C5+",1,0)</f>
        <v>0</v>
      </c>
      <c r="Z436">
        <f>IF(AND(vp.data[[#This Row],[CrudeType]]="Crude",vp.data[[#This Row],[Dens]]&lt;=825,vp.data[[#This Row],[Sulf]]&gt;0.5,vp.data[[#This Row],[Unknown]]=0),1,0)</f>
        <v>0</v>
      </c>
      <c r="AA436">
        <f>IF(AND(vp.data[[#This Row],[CrudeType]]="Crude",vp.data[[#This Row],[Dens]]&lt;=825,vp.data[[#This Row],[Sulf]]&lt;=0.5,vp.data[[#This Row],[Unknown]]=0),1,0)</f>
        <v>1</v>
      </c>
      <c r="AB4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6">
        <f>IF(AND(vp.data[[#This Row],[CrudeType]]="Crude",vp.data[[#This Row],[Dens]]&gt;825,vp.data[[#This Row],[Dens]]&lt;=900,vp.data[[#This Row],[Sulf]]&lt;=0.5,vp.data[[#This Row],[Unknown]]=0),1,0)</f>
        <v>0</v>
      </c>
      <c r="AD436">
        <f>IF(AND(vp.data[[#This Row],[CrudeType]]="Crude",vp.data[[#This Row],[Dens]]&gt;865,vp.data[[#This Row],[Dens]]&lt;=900,vp.data[[#This Row],[Sulf]]&gt;2,vp.data[[#This Row],[Unknown]]=0),1,0)</f>
        <v>0</v>
      </c>
      <c r="AE436">
        <f>IF(AND(vp.data[[#This Row],[CrudeType]]="Crude",vp.data[[#This Row],[Dens]]&gt;900,vp.data[[#This Row],[Sulf]]&lt;=0.5,vp.data[[#This Row],[Unknown]]=0),1,0)</f>
        <v>0</v>
      </c>
      <c r="AF436">
        <f>IF(AND(vp.data[[#This Row],[CrudeType]]="Crude",vp.data[[#This Row],[Dens]]&gt;900,vp.data[[#This Row],[Sulf]]&lt;=0.5,vp.data[[#This Row],[Unknown]]=0),1,0)</f>
        <v>0</v>
      </c>
      <c r="AG436" t="str">
        <f>INDEX(vp.data[[#Headers],[Unknown]:[Heavy_SW]],MATCH(1,vp.data[[#This Row],[Unknown]:[Heavy_SW]],0))</f>
        <v>Light_SW</v>
      </c>
      <c r="AH436">
        <f>INDEX([3]!crudeBD.lkup[Number],MATCH(vp.data[[#This Row],[Crude_Breakdown]],crudeBD.lkup[Crude Breakdown],0))</f>
        <v>2</v>
      </c>
      <c r="AI436">
        <f>MONTH(vp.data[[#This Row],[SDate]])</f>
        <v>12</v>
      </c>
      <c r="AJ436" s="5">
        <f>(vp.data[[#This Row],[VP]]-INDEX(crudeBD.lkup[Mean_VP],MATCH(vp.data[[#This Row],[Crude_Breakdown]],crudeBD.lkup[Crude Breakdown],0)))^2</f>
        <v>1112.2015837220338</v>
      </c>
      <c r="AK436" s="5">
        <f>(vp.data[[#This Row],[Dens]]-INDEX(crudeBD.lkup[Mean_Dens],MATCH(vp.data[[#This Row],[Crude_Breakdown]],crudeBD.lkup[Crude Breakdown],0)))^2</f>
        <v>46.396508516550583</v>
      </c>
      <c r="AL436" s="5">
        <f>(vp.data[[#This Row],[Sulf]]-INDEX(crudeBD.lkup[Mean_Sulf],MATCH(vp.data[[#This Row],[Crude_Breakdown]],crudeBD.lkup[Crude Breakdown],0)))^2</f>
        <v>1.1287322584467423E-2</v>
      </c>
      <c r="AM436" s="4">
        <f>IF(AND(vp.data[[#This Row],[SDate]]&gt;=DATE(YEAR(vp.data[[#This Row],[SDate]]),5,1),vp.data[[#This Row],[SDate]]&lt;=DATE(YEAR(vp.data[[#This Row],[SDate]]),9,15)),1,0)</f>
        <v>0</v>
      </c>
      <c r="AN436" s="4">
        <f>IF(vp.data[[#This Row],[SDate]]&lt;DATE(2016,12,1),0,1)</f>
        <v>1</v>
      </c>
      <c r="AO436" s="4">
        <f>IFERROR(vp.data[[#This Row],[Sulf]]*vp.data[[#This Row],[Net Dens]],"")</f>
        <v>2254298.6274900003</v>
      </c>
      <c r="AP436">
        <f>IFERROR(vp.data[[#This Row],[Dens]]*vp.data[[#This Row],[VolumeM3]],"")</f>
        <v>17340758.673</v>
      </c>
      <c r="AQ436" s="15">
        <f>IFERROR(vp.data[[#This Row],[VP]]*vp.data[[#This Row],[VolumeM3]],"")</f>
        <v>2723894.5938000004</v>
      </c>
    </row>
    <row r="437" spans="1:43" x14ac:dyDescent="0.25">
      <c r="A437">
        <v>436</v>
      </c>
      <c r="B437" t="s">
        <v>49</v>
      </c>
      <c r="C437" t="s">
        <v>49</v>
      </c>
      <c r="D437" t="s">
        <v>74</v>
      </c>
      <c r="F437" s="1">
        <v>42724</v>
      </c>
      <c r="G437" s="2">
        <v>123.4</v>
      </c>
      <c r="H437" s="2"/>
      <c r="I437" s="2">
        <f t="array" ref="I437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437" s="2">
        <v>10</v>
      </c>
      <c r="K437" s="2">
        <v>-8</v>
      </c>
      <c r="L437" s="2">
        <v>802.6</v>
      </c>
      <c r="M437" s="2">
        <f t="array" ref="M437">_xlfn.IFNA(IF(vp.data[[#This Row],[Dens Input]]="",INDEX([1]DATA!$O$3:$O$9826,MATCH(1,(vp.data[[#This Row],[Battery]]=[1]DATA!$L$3:$L$9826)*(EOMONTH(vp.data[[#This Row],[SDate]],-1)+1=[1]DATA!$G$3:$G$9826),0)),vp.data[[#This Row],[Dens Input]]),"")</f>
        <v>802.6</v>
      </c>
      <c r="N437" s="2">
        <f ca="1">INDEX(INDIRECT(_xlfn.CONCAT("weather.tbl[",N$1,"]")),MATCH(vp.data[[#This Row],[SDate]],weather.tbl[Date],0))</f>
        <v>-5.416666666666667</v>
      </c>
      <c r="O437" s="2">
        <f ca="1">INDEX(INDIRECT(_xlfn.CONCAT("weather.tbl[",O$1,"]")),MATCH(vp.data[[#This Row],[SDate]],weather.tbl[Date],0))</f>
        <v>-18.304761904761904</v>
      </c>
      <c r="P437" s="2">
        <f ca="1">INDEX(INDIRECT(_xlfn.CONCAT("weather.tbl[",P$1,"]")),MATCH(vp.data[[#This Row],[SDate]],weather.tbl[Date],0))</f>
        <v>-6</v>
      </c>
      <c r="Q437" s="2">
        <f ca="1">INDEX(INDIRECT(_xlfn.CONCAT("weather.tbl[",Q$1,"]")),MATCH(vp.data[[#This Row],[SDate]],weather.tbl[Date],0))</f>
        <v>-5.2</v>
      </c>
      <c r="R437" s="2">
        <f ca="1">INDEX(INDIRECT(_xlfn.CONCAT("weather.tbl[",R$1,"]")),MATCH(vp.data[[#This Row],[SDate]],weather.tbl[Date],0))</f>
        <v>-5.5</v>
      </c>
      <c r="S437" s="2">
        <f ca="1">INDEX(INDIRECT(_xlfn.CONCAT("weather.tbl[",S$1,"]")),MATCH(vp.data[[#This Row],[SDate]],weather.tbl[Date],0))</f>
        <v>-3.8</v>
      </c>
      <c r="T437" s="2">
        <f ca="1">INDEX(INDIRECT(_xlfn.CONCAT("weather.tbl[",T$1,"]")),MATCH(vp.data[[#This Row],[SDate]],weather.tbl[Date],0))</f>
        <v>-5.5</v>
      </c>
      <c r="U437" s="2">
        <f ca="1">INDEX(INDIRECT(_xlfn.CONCAT("weather.tbl[",U$1,"]")),MATCH(vp.data[[#This Row],[SDate]],weather.tbl[Date],0))</f>
        <v>-6.5</v>
      </c>
      <c r="V437" s="2">
        <f t="array" ref="V4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437" t="s">
        <v>48</v>
      </c>
      <c r="X437">
        <f>IF(OR(vp.data[[#This Row],[Sulf]]="",vp.data[[#This Row],[Dens]]=""),1,0)</f>
        <v>0</v>
      </c>
      <c r="Y437">
        <f>IF(vp.data[[#This Row],[CrudeType]]="C5+",1,0)</f>
        <v>0</v>
      </c>
      <c r="Z437">
        <f>IF(AND(vp.data[[#This Row],[CrudeType]]="Crude",vp.data[[#This Row],[Dens]]&lt;=825,vp.data[[#This Row],[Sulf]]&gt;0.5,vp.data[[#This Row],[Unknown]]=0),1,0)</f>
        <v>0</v>
      </c>
      <c r="AA437">
        <f>IF(AND(vp.data[[#This Row],[CrudeType]]="Crude",vp.data[[#This Row],[Dens]]&lt;=825,vp.data[[#This Row],[Sulf]]&lt;=0.5,vp.data[[#This Row],[Unknown]]=0),1,0)</f>
        <v>1</v>
      </c>
      <c r="AB4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7">
        <f>IF(AND(vp.data[[#This Row],[CrudeType]]="Crude",vp.data[[#This Row],[Dens]]&gt;825,vp.data[[#This Row],[Dens]]&lt;=900,vp.data[[#This Row],[Sulf]]&lt;=0.5,vp.data[[#This Row],[Unknown]]=0),1,0)</f>
        <v>0</v>
      </c>
      <c r="AD437">
        <f>IF(AND(vp.data[[#This Row],[CrudeType]]="Crude",vp.data[[#This Row],[Dens]]&gt;865,vp.data[[#This Row],[Dens]]&lt;=900,vp.data[[#This Row],[Sulf]]&gt;2,vp.data[[#This Row],[Unknown]]=0),1,0)</f>
        <v>0</v>
      </c>
      <c r="AE437">
        <f>IF(AND(vp.data[[#This Row],[CrudeType]]="Crude",vp.data[[#This Row],[Dens]]&gt;900,vp.data[[#This Row],[Sulf]]&lt;=0.5,vp.data[[#This Row],[Unknown]]=0),1,0)</f>
        <v>0</v>
      </c>
      <c r="AF437">
        <f>IF(AND(vp.data[[#This Row],[CrudeType]]="Crude",vp.data[[#This Row],[Dens]]&gt;900,vp.data[[#This Row],[Sulf]]&lt;=0.5,vp.data[[#This Row],[Unknown]]=0),1,0)</f>
        <v>0</v>
      </c>
      <c r="AG437" t="str">
        <f>INDEX(vp.data[[#Headers],[Unknown]:[Heavy_SW]],MATCH(1,vp.data[[#This Row],[Unknown]:[Heavy_SW]],0))</f>
        <v>Light_SW</v>
      </c>
      <c r="AH437">
        <f>INDEX([3]!crudeBD.lkup[Number],MATCH(vp.data[[#This Row],[Crude_Breakdown]],crudeBD.lkup[Crude Breakdown],0))</f>
        <v>2</v>
      </c>
      <c r="AI437">
        <f>MONTH(vp.data[[#This Row],[SDate]])</f>
        <v>12</v>
      </c>
      <c r="AJ437" s="5">
        <f>(vp.data[[#This Row],[VP]]-INDEX(crudeBD.lkup[Mean_VP],MATCH(vp.data[[#This Row],[Crude_Breakdown]],crudeBD.lkup[Crude Breakdown],0)))^2</f>
        <v>951.70315166628438</v>
      </c>
      <c r="AK437" s="5">
        <f>(vp.data[[#This Row],[Dens]]-INDEX(crudeBD.lkup[Mean_Dens],MATCH(vp.data[[#This Row],[Crude_Breakdown]],crudeBD.lkup[Crude Breakdown],0)))^2</f>
        <v>32.62121234930342</v>
      </c>
      <c r="AL437" s="5">
        <f>(vp.data[[#This Row],[Sulf]]-INDEX(crudeBD.lkup[Mean_Sulf],MATCH(vp.data[[#This Row],[Crude_Breakdown]],crudeBD.lkup[Crude Breakdown],0)))^2</f>
        <v>7.4376501105998362E-3</v>
      </c>
      <c r="AM437" s="4">
        <f>IF(AND(vp.data[[#This Row],[SDate]]&gt;=DATE(YEAR(vp.data[[#This Row],[SDate]]),5,1),vp.data[[#This Row],[SDate]]&lt;=DATE(YEAR(vp.data[[#This Row],[SDate]]),9,15)),1,0)</f>
        <v>0</v>
      </c>
      <c r="AN437" s="4">
        <f>IF(vp.data[[#This Row],[SDate]]&lt;DATE(2016,12,1),0,1)</f>
        <v>1</v>
      </c>
      <c r="AO437" s="4">
        <f>IFERROR(vp.data[[#This Row],[Sulf]]*vp.data[[#This Row],[Net Dens]],"")</f>
        <v>3635707.0902900002</v>
      </c>
      <c r="AP437">
        <f>IFERROR(vp.data[[#This Row],[Dens]]*vp.data[[#This Row],[VolumeM3]],"")</f>
        <v>24238047.268600002</v>
      </c>
      <c r="AQ437" s="15">
        <f>IFERROR(vp.data[[#This Row],[VP]]*vp.data[[#This Row],[VolumeM3]],"")</f>
        <v>3726607.3174000001</v>
      </c>
    </row>
    <row r="438" spans="1:43" x14ac:dyDescent="0.25">
      <c r="A438">
        <v>437</v>
      </c>
      <c r="B438" t="s">
        <v>49</v>
      </c>
      <c r="C438" t="s">
        <v>49</v>
      </c>
      <c r="D438" t="s">
        <v>80</v>
      </c>
      <c r="F438" s="1">
        <v>42724</v>
      </c>
      <c r="G438" s="2">
        <v>99.8</v>
      </c>
      <c r="H438" s="2"/>
      <c r="I438" s="2">
        <f t="array" ref="I438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438" s="2">
        <v>12</v>
      </c>
      <c r="K438" s="2">
        <v>-6</v>
      </c>
      <c r="L438" s="2">
        <v>803.1</v>
      </c>
      <c r="M438" s="2">
        <f t="array" ref="M438">_xlfn.IFNA(IF(vp.data[[#This Row],[Dens Input]]="",INDEX([1]DATA!$O$3:$O$9826,MATCH(1,(vp.data[[#This Row],[Battery]]=[1]DATA!$L$3:$L$9826)*(EOMONTH(vp.data[[#This Row],[SDate]],-1)+1=[1]DATA!$G$3:$G$9826),0)),vp.data[[#This Row],[Dens Input]]),"")</f>
        <v>803.1</v>
      </c>
      <c r="N438" s="2">
        <f ca="1">INDEX(INDIRECT(_xlfn.CONCAT("weather.tbl[",N$1,"]")),MATCH(vp.data[[#This Row],[SDate]],weather.tbl[Date],0))</f>
        <v>-5.416666666666667</v>
      </c>
      <c r="O438" s="2">
        <f ca="1">INDEX(INDIRECT(_xlfn.CONCAT("weather.tbl[",O$1,"]")),MATCH(vp.data[[#This Row],[SDate]],weather.tbl[Date],0))</f>
        <v>-18.304761904761904</v>
      </c>
      <c r="P438" s="2">
        <f ca="1">INDEX(INDIRECT(_xlfn.CONCAT("weather.tbl[",P$1,"]")),MATCH(vp.data[[#This Row],[SDate]],weather.tbl[Date],0))</f>
        <v>-6</v>
      </c>
      <c r="Q438" s="2">
        <f ca="1">INDEX(INDIRECT(_xlfn.CONCAT("weather.tbl[",Q$1,"]")),MATCH(vp.data[[#This Row],[SDate]],weather.tbl[Date],0))</f>
        <v>-5.2</v>
      </c>
      <c r="R438" s="2">
        <f ca="1">INDEX(INDIRECT(_xlfn.CONCAT("weather.tbl[",R$1,"]")),MATCH(vp.data[[#This Row],[SDate]],weather.tbl[Date],0))</f>
        <v>-5.5</v>
      </c>
      <c r="S438" s="2">
        <f ca="1">INDEX(INDIRECT(_xlfn.CONCAT("weather.tbl[",S$1,"]")),MATCH(vp.data[[#This Row],[SDate]],weather.tbl[Date],0))</f>
        <v>-3.8</v>
      </c>
      <c r="T438" s="2">
        <f ca="1">INDEX(INDIRECT(_xlfn.CONCAT("weather.tbl[",T$1,"]")),MATCH(vp.data[[#This Row],[SDate]],weather.tbl[Date],0))</f>
        <v>-5.5</v>
      </c>
      <c r="U438" s="2">
        <f ca="1">INDEX(INDIRECT(_xlfn.CONCAT("weather.tbl[",U$1,"]")),MATCH(vp.data[[#This Row],[SDate]],weather.tbl[Date],0))</f>
        <v>-6.5</v>
      </c>
      <c r="V438" s="2">
        <f t="array" ref="V4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22011.311000000002</v>
      </c>
      <c r="W438" t="s">
        <v>48</v>
      </c>
      <c r="X438">
        <f>IF(OR(vp.data[[#This Row],[Sulf]]="",vp.data[[#This Row],[Dens]]=""),1,0)</f>
        <v>0</v>
      </c>
      <c r="Y438">
        <f>IF(vp.data[[#This Row],[CrudeType]]="C5+",1,0)</f>
        <v>0</v>
      </c>
      <c r="Z438">
        <f>IF(AND(vp.data[[#This Row],[CrudeType]]="Crude",vp.data[[#This Row],[Dens]]&lt;=825,vp.data[[#This Row],[Sulf]]&gt;0.5,vp.data[[#This Row],[Unknown]]=0),1,0)</f>
        <v>0</v>
      </c>
      <c r="AA438">
        <f>IF(AND(vp.data[[#This Row],[CrudeType]]="Crude",vp.data[[#This Row],[Dens]]&lt;=825,vp.data[[#This Row],[Sulf]]&lt;=0.5,vp.data[[#This Row],[Unknown]]=0),1,0)</f>
        <v>1</v>
      </c>
      <c r="AB4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8">
        <f>IF(AND(vp.data[[#This Row],[CrudeType]]="Crude",vp.data[[#This Row],[Dens]]&gt;825,vp.data[[#This Row],[Dens]]&lt;=900,vp.data[[#This Row],[Sulf]]&lt;=0.5,vp.data[[#This Row],[Unknown]]=0),1,0)</f>
        <v>0</v>
      </c>
      <c r="AD438">
        <f>IF(AND(vp.data[[#This Row],[CrudeType]]="Crude",vp.data[[#This Row],[Dens]]&gt;865,vp.data[[#This Row],[Dens]]&lt;=900,vp.data[[#This Row],[Sulf]]&gt;2,vp.data[[#This Row],[Unknown]]=0),1,0)</f>
        <v>0</v>
      </c>
      <c r="AE438">
        <f>IF(AND(vp.data[[#This Row],[CrudeType]]="Crude",vp.data[[#This Row],[Dens]]&gt;900,vp.data[[#This Row],[Sulf]]&lt;=0.5,vp.data[[#This Row],[Unknown]]=0),1,0)</f>
        <v>0</v>
      </c>
      <c r="AF438">
        <f>IF(AND(vp.data[[#This Row],[CrudeType]]="Crude",vp.data[[#This Row],[Dens]]&gt;900,vp.data[[#This Row],[Sulf]]&lt;=0.5,vp.data[[#This Row],[Unknown]]=0),1,0)</f>
        <v>0</v>
      </c>
      <c r="AG438" t="str">
        <f>INDEX(vp.data[[#Headers],[Unknown]:[Heavy_SW]],MATCH(1,vp.data[[#This Row],[Unknown]:[Heavy_SW]],0))</f>
        <v>Light_SW</v>
      </c>
      <c r="AH438">
        <f>INDEX([3]!crudeBD.lkup[Number],MATCH(vp.data[[#This Row],[Crude_Breakdown]],crudeBD.lkup[Crude Breakdown],0))</f>
        <v>2</v>
      </c>
      <c r="AI438">
        <f>MONTH(vp.data[[#This Row],[SDate]])</f>
        <v>12</v>
      </c>
      <c r="AJ438" s="5">
        <f>(vp.data[[#This Row],[VP]]-INDEX(crudeBD.lkup[Mean_VP],MATCH(vp.data[[#This Row],[Crude_Breakdown]],crudeBD.lkup[Crude Breakdown],0)))^2</f>
        <v>52.557953060010824</v>
      </c>
      <c r="AK438" s="5">
        <f>(vp.data[[#This Row],[Dens]]-INDEX(crudeBD.lkup[Mean_Dens],MATCH(vp.data[[#This Row],[Crude_Breakdown]],crudeBD.lkup[Crude Breakdown],0)))^2</f>
        <v>27.159714091463936</v>
      </c>
      <c r="AL438" s="5">
        <f>(vp.data[[#This Row],[Sulf]]-INDEX(crudeBD.lkup[Mean_Sulf],MATCH(vp.data[[#This Row],[Crude_Breakdown]],crudeBD.lkup[Crude Breakdown],0)))^2</f>
        <v>1.7891252898056348E-2</v>
      </c>
      <c r="AM438" s="4">
        <f>IF(AND(vp.data[[#This Row],[SDate]]&gt;=DATE(YEAR(vp.data[[#This Row],[SDate]]),5,1),vp.data[[#This Row],[SDate]]&lt;=DATE(YEAR(vp.data[[#This Row],[SDate]]),9,15)),1,0)</f>
        <v>0</v>
      </c>
      <c r="AN438" s="4">
        <f>IF(vp.data[[#This Row],[SDate]]&lt;DATE(2016,12,1),0,1)</f>
        <v>1</v>
      </c>
      <c r="AO438" s="4">
        <f>IFERROR(vp.data[[#This Row],[Sulf]]*vp.data[[#This Row],[Net Dens]],"")</f>
        <v>6540595.0297170002</v>
      </c>
      <c r="AP438">
        <f>IFERROR(vp.data[[#This Row],[Dens]]*vp.data[[#This Row],[VolumeM3]],"")</f>
        <v>17677283.864100002</v>
      </c>
      <c r="AQ438" s="15">
        <f>IFERROR(vp.data[[#This Row],[VP]]*vp.data[[#This Row],[VolumeM3]],"")</f>
        <v>2196728.8377999999</v>
      </c>
    </row>
    <row r="439" spans="1:43" x14ac:dyDescent="0.25">
      <c r="A439">
        <v>438</v>
      </c>
      <c r="B439" t="s">
        <v>62</v>
      </c>
      <c r="C439" t="s">
        <v>62</v>
      </c>
      <c r="D439" t="s">
        <v>79</v>
      </c>
      <c r="F439" s="1">
        <v>42724</v>
      </c>
      <c r="G439" s="2">
        <v>101</v>
      </c>
      <c r="H439" s="2"/>
      <c r="I439" s="2">
        <f t="array" ref="I439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439" s="2">
        <v>12</v>
      </c>
      <c r="K439" s="2">
        <v>-6</v>
      </c>
      <c r="L439" s="2">
        <v>804.3</v>
      </c>
      <c r="M439" s="2">
        <f t="array" ref="M439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439" s="2">
        <f ca="1">INDEX(INDIRECT(_xlfn.CONCAT("weather.tbl[",N$1,"]")),MATCH(vp.data[[#This Row],[SDate]],weather.tbl[Date],0))</f>
        <v>-5.416666666666667</v>
      </c>
      <c r="O439" s="2">
        <f ca="1">INDEX(INDIRECT(_xlfn.CONCAT("weather.tbl[",O$1,"]")),MATCH(vp.data[[#This Row],[SDate]],weather.tbl[Date],0))</f>
        <v>-18.304761904761904</v>
      </c>
      <c r="P439" s="2">
        <f ca="1">INDEX(INDIRECT(_xlfn.CONCAT("weather.tbl[",P$1,"]")),MATCH(vp.data[[#This Row],[SDate]],weather.tbl[Date],0))</f>
        <v>-6</v>
      </c>
      <c r="Q439" s="2">
        <f ca="1">INDEX(INDIRECT(_xlfn.CONCAT("weather.tbl[",Q$1,"]")),MATCH(vp.data[[#This Row],[SDate]],weather.tbl[Date],0))</f>
        <v>-5.2</v>
      </c>
      <c r="R439" s="2">
        <f ca="1">INDEX(INDIRECT(_xlfn.CONCAT("weather.tbl[",R$1,"]")),MATCH(vp.data[[#This Row],[SDate]],weather.tbl[Date],0))</f>
        <v>-5.5</v>
      </c>
      <c r="S439" s="2">
        <f ca="1">INDEX(INDIRECT(_xlfn.CONCAT("weather.tbl[",S$1,"]")),MATCH(vp.data[[#This Row],[SDate]],weather.tbl[Date],0))</f>
        <v>-3.8</v>
      </c>
      <c r="T439" s="2">
        <f ca="1">INDEX(INDIRECT(_xlfn.CONCAT("weather.tbl[",T$1,"]")),MATCH(vp.data[[#This Row],[SDate]],weather.tbl[Date],0))</f>
        <v>-5.5</v>
      </c>
      <c r="U439" s="2">
        <f ca="1">INDEX(INDIRECT(_xlfn.CONCAT("weather.tbl[",U$1,"]")),MATCH(vp.data[[#This Row],[SDate]],weather.tbl[Date],0))</f>
        <v>-6.5</v>
      </c>
      <c r="V439" s="2">
        <f t="array" ref="V4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13104.25</v>
      </c>
      <c r="W439" t="s">
        <v>48</v>
      </c>
      <c r="X439">
        <f>IF(OR(vp.data[[#This Row],[Sulf]]="",vp.data[[#This Row],[Dens]]=""),1,0)</f>
        <v>0</v>
      </c>
      <c r="Y439">
        <f>IF(vp.data[[#This Row],[CrudeType]]="C5+",1,0)</f>
        <v>0</v>
      </c>
      <c r="Z439">
        <f>IF(AND(vp.data[[#This Row],[CrudeType]]="Crude",vp.data[[#This Row],[Dens]]&lt;=825,vp.data[[#This Row],[Sulf]]&gt;0.5,vp.data[[#This Row],[Unknown]]=0),1,0)</f>
        <v>0</v>
      </c>
      <c r="AA439">
        <f>IF(AND(vp.data[[#This Row],[CrudeType]]="Crude",vp.data[[#This Row],[Dens]]&lt;=825,vp.data[[#This Row],[Sulf]]&lt;=0.5,vp.data[[#This Row],[Unknown]]=0),1,0)</f>
        <v>1</v>
      </c>
      <c r="AB4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39">
        <f>IF(AND(vp.data[[#This Row],[CrudeType]]="Crude",vp.data[[#This Row],[Dens]]&gt;825,vp.data[[#This Row],[Dens]]&lt;=900,vp.data[[#This Row],[Sulf]]&lt;=0.5,vp.data[[#This Row],[Unknown]]=0),1,0)</f>
        <v>0</v>
      </c>
      <c r="AD439">
        <f>IF(AND(vp.data[[#This Row],[CrudeType]]="Crude",vp.data[[#This Row],[Dens]]&gt;865,vp.data[[#This Row],[Dens]]&lt;=900,vp.data[[#This Row],[Sulf]]&gt;2,vp.data[[#This Row],[Unknown]]=0),1,0)</f>
        <v>0</v>
      </c>
      <c r="AE439">
        <f>IF(AND(vp.data[[#This Row],[CrudeType]]="Crude",vp.data[[#This Row],[Dens]]&gt;900,vp.data[[#This Row],[Sulf]]&lt;=0.5,vp.data[[#This Row],[Unknown]]=0),1,0)</f>
        <v>0</v>
      </c>
      <c r="AF439">
        <f>IF(AND(vp.data[[#This Row],[CrudeType]]="Crude",vp.data[[#This Row],[Dens]]&gt;900,vp.data[[#This Row],[Sulf]]&lt;=0.5,vp.data[[#This Row],[Unknown]]=0),1,0)</f>
        <v>0</v>
      </c>
      <c r="AG439" t="str">
        <f>INDEX(vp.data[[#Headers],[Unknown]:[Heavy_SW]],MATCH(1,vp.data[[#This Row],[Unknown]:[Heavy_SW]],0))</f>
        <v>Light_SW</v>
      </c>
      <c r="AH439">
        <f>INDEX([3]!crudeBD.lkup[Number],MATCH(vp.data[[#This Row],[Crude_Breakdown]],crudeBD.lkup[Crude Breakdown],0))</f>
        <v>2</v>
      </c>
      <c r="AI439">
        <f>MONTH(vp.data[[#This Row],[SDate]])</f>
        <v>12</v>
      </c>
      <c r="AJ439" s="5">
        <f>(vp.data[[#This Row],[VP]]-INDEX(crudeBD.lkup[Mean_VP],MATCH(vp.data[[#This Row],[Crude_Breakdown]],crudeBD.lkup[Crude Breakdown],0)))^2</f>
        <v>71.397200446770526</v>
      </c>
      <c r="AK439" s="5">
        <f>(vp.data[[#This Row],[Dens]]-INDEX(crudeBD.lkup[Mean_Dens],MATCH(vp.data[[#This Row],[Crude_Breakdown]],crudeBD.lkup[Crude Breakdown],0)))^2</f>
        <v>16.092118272649731</v>
      </c>
      <c r="AL439" s="5">
        <f>(vp.data[[#This Row],[Sulf]]-INDEX(crudeBD.lkup[Mean_Sulf],MATCH(vp.data[[#This Row],[Crude_Breakdown]],crudeBD.lkup[Crude Breakdown],0)))^2</f>
        <v>2.1383051628646554E-3</v>
      </c>
      <c r="AM439" s="4">
        <f>IF(AND(vp.data[[#This Row],[SDate]]&gt;=DATE(YEAR(vp.data[[#This Row],[SDate]]),5,1),vp.data[[#This Row],[SDate]]&lt;=DATE(YEAR(vp.data[[#This Row],[SDate]]),9,15)),1,0)</f>
        <v>0</v>
      </c>
      <c r="AN439" s="4">
        <f>IF(vp.data[[#This Row],[SDate]]&lt;DATE(2016,12,1),0,1)</f>
        <v>1</v>
      </c>
      <c r="AO439" s="4">
        <f>IFERROR(vp.data[[#This Row],[Sulf]]*vp.data[[#This Row],[Net Dens]],"")</f>
        <v>2002552.1722499998</v>
      </c>
      <c r="AP439">
        <f>IFERROR(vp.data[[#This Row],[Dens]]*vp.data[[#This Row],[VolumeM3]],"")</f>
        <v>10539748.274999999</v>
      </c>
      <c r="AQ439" s="15">
        <f>IFERROR(vp.data[[#This Row],[VP]]*vp.data[[#This Row],[VolumeM3]],"")</f>
        <v>1323529.25</v>
      </c>
    </row>
    <row r="440" spans="1:43" x14ac:dyDescent="0.25">
      <c r="A440">
        <v>439</v>
      </c>
      <c r="B440" t="s">
        <v>62</v>
      </c>
      <c r="C440" t="s">
        <v>62</v>
      </c>
      <c r="D440" t="s">
        <v>83</v>
      </c>
      <c r="F440" s="1">
        <v>42724</v>
      </c>
      <c r="G440" s="2">
        <v>102.4</v>
      </c>
      <c r="H440" s="2"/>
      <c r="I440" s="2">
        <f t="array" ref="I440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440" s="2">
        <v>1.5</v>
      </c>
      <c r="K440" s="2">
        <v>-8</v>
      </c>
      <c r="L440" s="2">
        <v>805</v>
      </c>
      <c r="M440" s="2">
        <f t="array" ref="M440">_xlfn.IFNA(IF(vp.data[[#This Row],[Dens Input]]="",INDEX([1]DATA!$O$3:$O$9826,MATCH(1,(vp.data[[#This Row],[Battery]]=[1]DATA!$L$3:$L$9826)*(EOMONTH(vp.data[[#This Row],[SDate]],-1)+1=[1]DATA!$G$3:$G$9826),0)),vp.data[[#This Row],[Dens Input]]),"")</f>
        <v>805</v>
      </c>
      <c r="N440" s="2">
        <f ca="1">INDEX(INDIRECT(_xlfn.CONCAT("weather.tbl[",N$1,"]")),MATCH(vp.data[[#This Row],[SDate]],weather.tbl[Date],0))</f>
        <v>-5.416666666666667</v>
      </c>
      <c r="O440" s="2">
        <f ca="1">INDEX(INDIRECT(_xlfn.CONCAT("weather.tbl[",O$1,"]")),MATCH(vp.data[[#This Row],[SDate]],weather.tbl[Date],0))</f>
        <v>-18.304761904761904</v>
      </c>
      <c r="P440" s="2">
        <f ca="1">INDEX(INDIRECT(_xlfn.CONCAT("weather.tbl[",P$1,"]")),MATCH(vp.data[[#This Row],[SDate]],weather.tbl[Date],0))</f>
        <v>-6</v>
      </c>
      <c r="Q440" s="2">
        <f ca="1">INDEX(INDIRECT(_xlfn.CONCAT("weather.tbl[",Q$1,"]")),MATCH(vp.data[[#This Row],[SDate]],weather.tbl[Date],0))</f>
        <v>-5.2</v>
      </c>
      <c r="R440" s="2">
        <f ca="1">INDEX(INDIRECT(_xlfn.CONCAT("weather.tbl[",R$1,"]")),MATCH(vp.data[[#This Row],[SDate]],weather.tbl[Date],0))</f>
        <v>-5.5</v>
      </c>
      <c r="S440" s="2">
        <f ca="1">INDEX(INDIRECT(_xlfn.CONCAT("weather.tbl[",S$1,"]")),MATCH(vp.data[[#This Row],[SDate]],weather.tbl[Date],0))</f>
        <v>-3.8</v>
      </c>
      <c r="T440" s="2">
        <f ca="1">INDEX(INDIRECT(_xlfn.CONCAT("weather.tbl[",T$1,"]")),MATCH(vp.data[[#This Row],[SDate]],weather.tbl[Date],0))</f>
        <v>-5.5</v>
      </c>
      <c r="U440" s="2">
        <f ca="1">INDEX(INDIRECT(_xlfn.CONCAT("weather.tbl[",U$1,"]")),MATCH(vp.data[[#This Row],[SDate]],weather.tbl[Date],0))</f>
        <v>-6.5</v>
      </c>
      <c r="V440" s="2">
        <f t="array" ref="V4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9482.9609999999993</v>
      </c>
      <c r="W440" t="s">
        <v>48</v>
      </c>
      <c r="X440">
        <f>IF(OR(vp.data[[#This Row],[Sulf]]="",vp.data[[#This Row],[Dens]]=""),1,0)</f>
        <v>0</v>
      </c>
      <c r="Y440">
        <f>IF(vp.data[[#This Row],[CrudeType]]="C5+",1,0)</f>
        <v>0</v>
      </c>
      <c r="Z440">
        <f>IF(AND(vp.data[[#This Row],[CrudeType]]="Crude",vp.data[[#This Row],[Dens]]&lt;=825,vp.data[[#This Row],[Sulf]]&gt;0.5,vp.data[[#This Row],[Unknown]]=0),1,0)</f>
        <v>0</v>
      </c>
      <c r="AA440">
        <f>IF(AND(vp.data[[#This Row],[CrudeType]]="Crude",vp.data[[#This Row],[Dens]]&lt;=825,vp.data[[#This Row],[Sulf]]&lt;=0.5,vp.data[[#This Row],[Unknown]]=0),1,0)</f>
        <v>1</v>
      </c>
      <c r="AB4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40">
        <f>IF(AND(vp.data[[#This Row],[CrudeType]]="Crude",vp.data[[#This Row],[Dens]]&gt;825,vp.data[[#This Row],[Dens]]&lt;=900,vp.data[[#This Row],[Sulf]]&lt;=0.5,vp.data[[#This Row],[Unknown]]=0),1,0)</f>
        <v>0</v>
      </c>
      <c r="AD440">
        <f>IF(AND(vp.data[[#This Row],[CrudeType]]="Crude",vp.data[[#This Row],[Dens]]&gt;865,vp.data[[#This Row],[Dens]]&lt;=900,vp.data[[#This Row],[Sulf]]&gt;2,vp.data[[#This Row],[Unknown]]=0),1,0)</f>
        <v>0</v>
      </c>
      <c r="AE440">
        <f>IF(AND(vp.data[[#This Row],[CrudeType]]="Crude",vp.data[[#This Row],[Dens]]&gt;900,vp.data[[#This Row],[Sulf]]&lt;=0.5,vp.data[[#This Row],[Unknown]]=0),1,0)</f>
        <v>0</v>
      </c>
      <c r="AF440">
        <f>IF(AND(vp.data[[#This Row],[CrudeType]]="Crude",vp.data[[#This Row],[Dens]]&gt;900,vp.data[[#This Row],[Sulf]]&lt;=0.5,vp.data[[#This Row],[Unknown]]=0),1,0)</f>
        <v>0</v>
      </c>
      <c r="AG440" t="str">
        <f>INDEX(vp.data[[#Headers],[Unknown]:[Heavy_SW]],MATCH(1,vp.data[[#This Row],[Unknown]:[Heavy_SW]],0))</f>
        <v>Light_SW</v>
      </c>
      <c r="AH440">
        <f>INDEX([3]!crudeBD.lkup[Number],MATCH(vp.data[[#This Row],[Crude_Breakdown]],crudeBD.lkup[Crude Breakdown],0))</f>
        <v>2</v>
      </c>
      <c r="AI440">
        <f>MONTH(vp.data[[#This Row],[SDate]])</f>
        <v>12</v>
      </c>
      <c r="AJ440" s="5">
        <f>(vp.data[[#This Row],[VP]]-INDEX(crudeBD.lkup[Mean_VP],MATCH(vp.data[[#This Row],[Crude_Breakdown]],crudeBD.lkup[Crude Breakdown],0)))^2</f>
        <v>97.016322397990223</v>
      </c>
      <c r="AK440" s="5">
        <f>(vp.data[[#This Row],[Dens]]-INDEX(crudeBD.lkup[Mean_Dens],MATCH(vp.data[[#This Row],[Crude_Breakdown]],crudeBD.lkup[Crude Breakdown],0)))^2</f>
        <v>10.966020711674062</v>
      </c>
      <c r="AL440" s="5">
        <f>(vp.data[[#This Row],[Sulf]]-INDEX(crudeBD.lkup[Mean_Sulf],MATCH(vp.data[[#This Row],[Crude_Breakdown]],crudeBD.lkup[Crude Breakdown],0)))^2</f>
        <v>4.3879776367322437E-3</v>
      </c>
      <c r="AM440" s="4">
        <f>IF(AND(vp.data[[#This Row],[SDate]]&gt;=DATE(YEAR(vp.data[[#This Row],[SDate]]),5,1),vp.data[[#This Row],[SDate]]&lt;=DATE(YEAR(vp.data[[#This Row],[SDate]]),9,15)),1,0)</f>
        <v>0</v>
      </c>
      <c r="AN440" s="4">
        <f>IF(vp.data[[#This Row],[SDate]]&lt;DATE(2016,12,1),0,1)</f>
        <v>1</v>
      </c>
      <c r="AO440" s="4">
        <f>IFERROR(vp.data[[#This Row],[Sulf]]*vp.data[[#This Row],[Net Dens]],"")</f>
        <v>1297743.21285</v>
      </c>
      <c r="AP440">
        <f>IFERROR(vp.data[[#This Row],[Dens]]*vp.data[[#This Row],[VolumeM3]],"")</f>
        <v>7633783.6049999995</v>
      </c>
      <c r="AQ440" s="15">
        <f>IFERROR(vp.data[[#This Row],[VP]]*vp.data[[#This Row],[VolumeM3]],"")</f>
        <v>971055.20640000002</v>
      </c>
    </row>
    <row r="441" spans="1:43" x14ac:dyDescent="0.25">
      <c r="A441">
        <v>440</v>
      </c>
      <c r="B441" t="s">
        <v>49</v>
      </c>
      <c r="C441" t="s">
        <v>49</v>
      </c>
      <c r="D441" t="s">
        <v>67</v>
      </c>
      <c r="F441" s="1">
        <v>42724</v>
      </c>
      <c r="G441" s="2">
        <v>110.8</v>
      </c>
      <c r="H441" s="2"/>
      <c r="I441" s="2">
        <f t="array" ref="I441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441" s="2">
        <v>0</v>
      </c>
      <c r="K441" s="2">
        <v>-6</v>
      </c>
      <c r="L441" s="2">
        <v>806.4</v>
      </c>
      <c r="M441" s="2">
        <f t="array" ref="M441">_xlfn.IFNA(IF(vp.data[[#This Row],[Dens Input]]="",INDEX([1]DATA!$O$3:$O$9826,MATCH(1,(vp.data[[#This Row],[Battery]]=[1]DATA!$L$3:$L$9826)*(EOMONTH(vp.data[[#This Row],[SDate]],-1)+1=[1]DATA!$G$3:$G$9826),0)),vp.data[[#This Row],[Dens Input]]),"")</f>
        <v>806.4</v>
      </c>
      <c r="N441" s="2">
        <f ca="1">INDEX(INDIRECT(_xlfn.CONCAT("weather.tbl[",N$1,"]")),MATCH(vp.data[[#This Row],[SDate]],weather.tbl[Date],0))</f>
        <v>-5.416666666666667</v>
      </c>
      <c r="O441" s="2">
        <f ca="1">INDEX(INDIRECT(_xlfn.CONCAT("weather.tbl[",O$1,"]")),MATCH(vp.data[[#This Row],[SDate]],weather.tbl[Date],0))</f>
        <v>-18.304761904761904</v>
      </c>
      <c r="P441" s="2">
        <f ca="1">INDEX(INDIRECT(_xlfn.CONCAT("weather.tbl[",P$1,"]")),MATCH(vp.data[[#This Row],[SDate]],weather.tbl[Date],0))</f>
        <v>-6</v>
      </c>
      <c r="Q441" s="2">
        <f ca="1">INDEX(INDIRECT(_xlfn.CONCAT("weather.tbl[",Q$1,"]")),MATCH(vp.data[[#This Row],[SDate]],weather.tbl[Date],0))</f>
        <v>-5.2</v>
      </c>
      <c r="R441" s="2">
        <f ca="1">INDEX(INDIRECT(_xlfn.CONCAT("weather.tbl[",R$1,"]")),MATCH(vp.data[[#This Row],[SDate]],weather.tbl[Date],0))</f>
        <v>-5.5</v>
      </c>
      <c r="S441" s="2">
        <f ca="1">INDEX(INDIRECT(_xlfn.CONCAT("weather.tbl[",S$1,"]")),MATCH(vp.data[[#This Row],[SDate]],weather.tbl[Date],0))</f>
        <v>-3.8</v>
      </c>
      <c r="T441" s="2">
        <f ca="1">INDEX(INDIRECT(_xlfn.CONCAT("weather.tbl[",T$1,"]")),MATCH(vp.data[[#This Row],[SDate]],weather.tbl[Date],0))</f>
        <v>-5.5</v>
      </c>
      <c r="U441" s="2">
        <f ca="1">INDEX(INDIRECT(_xlfn.CONCAT("weather.tbl[",U$1,"]")),MATCH(vp.data[[#This Row],[SDate]],weather.tbl[Date],0))</f>
        <v>-6.5</v>
      </c>
      <c r="V441" s="2">
        <f t="array" ref="V4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441" t="s">
        <v>48</v>
      </c>
      <c r="X441">
        <f>IF(OR(vp.data[[#This Row],[Sulf]]="",vp.data[[#This Row],[Dens]]=""),1,0)</f>
        <v>0</v>
      </c>
      <c r="Y441">
        <f>IF(vp.data[[#This Row],[CrudeType]]="C5+",1,0)</f>
        <v>0</v>
      </c>
      <c r="Z441">
        <f>IF(AND(vp.data[[#This Row],[CrudeType]]="Crude",vp.data[[#This Row],[Dens]]&lt;=825,vp.data[[#This Row],[Sulf]]&gt;0.5,vp.data[[#This Row],[Unknown]]=0),1,0)</f>
        <v>0</v>
      </c>
      <c r="AA441">
        <f>IF(AND(vp.data[[#This Row],[CrudeType]]="Crude",vp.data[[#This Row],[Dens]]&lt;=825,vp.data[[#This Row],[Sulf]]&lt;=0.5,vp.data[[#This Row],[Unknown]]=0),1,0)</f>
        <v>1</v>
      </c>
      <c r="AB4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41">
        <f>IF(AND(vp.data[[#This Row],[CrudeType]]="Crude",vp.data[[#This Row],[Dens]]&gt;825,vp.data[[#This Row],[Dens]]&lt;=900,vp.data[[#This Row],[Sulf]]&lt;=0.5,vp.data[[#This Row],[Unknown]]=0),1,0)</f>
        <v>0</v>
      </c>
      <c r="AD441">
        <f>IF(AND(vp.data[[#This Row],[CrudeType]]="Crude",vp.data[[#This Row],[Dens]]&gt;865,vp.data[[#This Row],[Dens]]&lt;=900,vp.data[[#This Row],[Sulf]]&gt;2,vp.data[[#This Row],[Unknown]]=0),1,0)</f>
        <v>0</v>
      </c>
      <c r="AE441">
        <f>IF(AND(vp.data[[#This Row],[CrudeType]]="Crude",vp.data[[#This Row],[Dens]]&gt;900,vp.data[[#This Row],[Sulf]]&lt;=0.5,vp.data[[#This Row],[Unknown]]=0),1,0)</f>
        <v>0</v>
      </c>
      <c r="AF441">
        <f>IF(AND(vp.data[[#This Row],[CrudeType]]="Crude",vp.data[[#This Row],[Dens]]&gt;900,vp.data[[#This Row],[Sulf]]&lt;=0.5,vp.data[[#This Row],[Unknown]]=0),1,0)</f>
        <v>0</v>
      </c>
      <c r="AG441" t="str">
        <f>INDEX(vp.data[[#Headers],[Unknown]:[Heavy_SW]],MATCH(1,vp.data[[#This Row],[Unknown]:[Heavy_SW]],0))</f>
        <v>Light_SW</v>
      </c>
      <c r="AH441">
        <f>INDEX([3]!crudeBD.lkup[Number],MATCH(vp.data[[#This Row],[Crude_Breakdown]],crudeBD.lkup[Crude Breakdown],0))</f>
        <v>2</v>
      </c>
      <c r="AI441">
        <f>MONTH(vp.data[[#This Row],[SDate]])</f>
        <v>12</v>
      </c>
      <c r="AJ441" s="5">
        <f>(vp.data[[#This Row],[VP]]-INDEX(crudeBD.lkup[Mean_VP],MATCH(vp.data[[#This Row],[Crude_Breakdown]],crudeBD.lkup[Crude Breakdown],0)))^2</f>
        <v>333.05105410530757</v>
      </c>
      <c r="AK441" s="5">
        <f>(vp.data[[#This Row],[Dens]]-INDEX(crudeBD.lkup[Mean_Dens],MATCH(vp.data[[#This Row],[Crude_Breakdown]],crudeBD.lkup[Crude Breakdown],0)))^2</f>
        <v>3.6538255897235419</v>
      </c>
      <c r="AL441" s="5">
        <f>(vp.data[[#This Row],[Sulf]]-INDEX(crudeBD.lkup[Mean_Sulf],MATCH(vp.data[[#This Row],[Crude_Breakdown]],crudeBD.lkup[Crude Breakdown],0)))^2</f>
        <v>1.3134689259308601E-3</v>
      </c>
      <c r="AM441" s="4">
        <f>IF(AND(vp.data[[#This Row],[SDate]]&gt;=DATE(YEAR(vp.data[[#This Row],[SDate]]),5,1),vp.data[[#This Row],[SDate]]&lt;=DATE(YEAR(vp.data[[#This Row],[SDate]]),9,15)),1,0)</f>
        <v>0</v>
      </c>
      <c r="AN441" s="4">
        <f>IF(vp.data[[#This Row],[SDate]]&lt;DATE(2016,12,1),0,1)</f>
        <v>1</v>
      </c>
      <c r="AO441" s="4">
        <f>IFERROR(vp.data[[#This Row],[Sulf]]*vp.data[[#This Row],[Net Dens]],"")</f>
        <v>12254703.551999999</v>
      </c>
      <c r="AP441">
        <f>IFERROR(vp.data[[#This Row],[Dens]]*vp.data[[#This Row],[VolumeM3]],"")</f>
        <v>61273517.75999999</v>
      </c>
      <c r="AQ441" s="15">
        <f>IFERROR(vp.data[[#This Row],[VP]]*vp.data[[#This Row],[VolumeM3]],"")</f>
        <v>8419029.9699999988</v>
      </c>
    </row>
    <row r="442" spans="1:43" x14ac:dyDescent="0.25">
      <c r="A442">
        <v>441</v>
      </c>
      <c r="B442" t="s">
        <v>49</v>
      </c>
      <c r="C442" t="s">
        <v>49</v>
      </c>
      <c r="D442" t="s">
        <v>89</v>
      </c>
      <c r="F442" s="1">
        <v>42724</v>
      </c>
      <c r="G442" s="2">
        <v>103.5</v>
      </c>
      <c r="H442" s="2"/>
      <c r="I442" s="2">
        <f t="array" ref="I442">_xlfn.IFNA(IF(vp.data[[#This Row],[Sulf Input]]="",INDEX([1]DATA!$Q$3:$Q$9826,MATCH(1,(vp.data[[#This Row],[Battery]]=[1]DATA!$L$3:$L$9826)*(EOMONTH(vp.data[[#This Row],[SDate]],-1)+1=[1]DATA!$G$3:$G$9826),0)),vp.data[[#This Row],[Sulf Input]]),"")</f>
        <v>0.55000000000000004</v>
      </c>
      <c r="J442" s="2">
        <v>4</v>
      </c>
      <c r="K442" s="2">
        <v>-6</v>
      </c>
      <c r="L442" s="2">
        <v>822.4</v>
      </c>
      <c r="M442" s="2">
        <f t="array" ref="M442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442" s="2">
        <f ca="1">INDEX(INDIRECT(_xlfn.CONCAT("weather.tbl[",N$1,"]")),MATCH(vp.data[[#This Row],[SDate]],weather.tbl[Date],0))</f>
        <v>-5.416666666666667</v>
      </c>
      <c r="O442" s="2">
        <f ca="1">INDEX(INDIRECT(_xlfn.CONCAT("weather.tbl[",O$1,"]")),MATCH(vp.data[[#This Row],[SDate]],weather.tbl[Date],0))</f>
        <v>-18.304761904761904</v>
      </c>
      <c r="P442" s="2">
        <f ca="1">INDEX(INDIRECT(_xlfn.CONCAT("weather.tbl[",P$1,"]")),MATCH(vp.data[[#This Row],[SDate]],weather.tbl[Date],0))</f>
        <v>-6</v>
      </c>
      <c r="Q442" s="2">
        <f ca="1">INDEX(INDIRECT(_xlfn.CONCAT("weather.tbl[",Q$1,"]")),MATCH(vp.data[[#This Row],[SDate]],weather.tbl[Date],0))</f>
        <v>-5.2</v>
      </c>
      <c r="R442" s="2">
        <f ca="1">INDEX(INDIRECT(_xlfn.CONCAT("weather.tbl[",R$1,"]")),MATCH(vp.data[[#This Row],[SDate]],weather.tbl[Date],0))</f>
        <v>-5.5</v>
      </c>
      <c r="S442" s="2">
        <f ca="1">INDEX(INDIRECT(_xlfn.CONCAT("weather.tbl[",S$1,"]")),MATCH(vp.data[[#This Row],[SDate]],weather.tbl[Date],0))</f>
        <v>-3.8</v>
      </c>
      <c r="T442" s="2">
        <f ca="1">INDEX(INDIRECT(_xlfn.CONCAT("weather.tbl[",T$1,"]")),MATCH(vp.data[[#This Row],[SDate]],weather.tbl[Date],0))</f>
        <v>-5.5</v>
      </c>
      <c r="U442" s="2">
        <f ca="1">INDEX(INDIRECT(_xlfn.CONCAT("weather.tbl[",U$1,"]")),MATCH(vp.data[[#This Row],[SDate]],weather.tbl[Date],0))</f>
        <v>-6.5</v>
      </c>
      <c r="V442" s="2">
        <f t="array" ref="V4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5355.0209999999997</v>
      </c>
      <c r="W442" t="s">
        <v>48</v>
      </c>
      <c r="X442">
        <f>IF(OR(vp.data[[#This Row],[Sulf]]="",vp.data[[#This Row],[Dens]]=""),1,0)</f>
        <v>0</v>
      </c>
      <c r="Y442">
        <f>IF(vp.data[[#This Row],[CrudeType]]="C5+",1,0)</f>
        <v>0</v>
      </c>
      <c r="Z442">
        <f>IF(AND(vp.data[[#This Row],[CrudeType]]="Crude",vp.data[[#This Row],[Dens]]&lt;=825,vp.data[[#This Row],[Sulf]]&gt;0.5,vp.data[[#This Row],[Unknown]]=0),1,0)</f>
        <v>1</v>
      </c>
      <c r="AA442">
        <f>IF(AND(vp.data[[#This Row],[CrudeType]]="Crude",vp.data[[#This Row],[Dens]]&lt;=825,vp.data[[#This Row],[Sulf]]&lt;=0.5,vp.data[[#This Row],[Unknown]]=0),1,0)</f>
        <v>0</v>
      </c>
      <c r="AB4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42">
        <f>IF(AND(vp.data[[#This Row],[CrudeType]]="Crude",vp.data[[#This Row],[Dens]]&gt;825,vp.data[[#This Row],[Dens]]&lt;=900,vp.data[[#This Row],[Sulf]]&lt;=0.5,vp.data[[#This Row],[Unknown]]=0),1,0)</f>
        <v>0</v>
      </c>
      <c r="AD442">
        <f>IF(AND(vp.data[[#This Row],[CrudeType]]="Crude",vp.data[[#This Row],[Dens]]&gt;865,vp.data[[#This Row],[Dens]]&lt;=900,vp.data[[#This Row],[Sulf]]&gt;2,vp.data[[#This Row],[Unknown]]=0),1,0)</f>
        <v>0</v>
      </c>
      <c r="AE442">
        <f>IF(AND(vp.data[[#This Row],[CrudeType]]="Crude",vp.data[[#This Row],[Dens]]&gt;900,vp.data[[#This Row],[Sulf]]&lt;=0.5,vp.data[[#This Row],[Unknown]]=0),1,0)</f>
        <v>0</v>
      </c>
      <c r="AF442">
        <f>IF(AND(vp.data[[#This Row],[CrudeType]]="Crude",vp.data[[#This Row],[Dens]]&gt;900,vp.data[[#This Row],[Sulf]]&lt;=0.5,vp.data[[#This Row],[Unknown]]=0),1,0)</f>
        <v>0</v>
      </c>
      <c r="AG442" t="str">
        <f>INDEX(vp.data[[#Headers],[Unknown]:[Heavy_SW]],MATCH(1,vp.data[[#This Row],[Unknown]:[Heavy_SW]],0))</f>
        <v>Light_LSB</v>
      </c>
      <c r="AH442">
        <f>INDEX([3]!crudeBD.lkup[Number],MATCH(vp.data[[#This Row],[Crude_Breakdown]],crudeBD.lkup[Crude Breakdown],0))</f>
        <v>1</v>
      </c>
      <c r="AI442">
        <f>MONTH(vp.data[[#This Row],[SDate]])</f>
        <v>12</v>
      </c>
      <c r="AJ442" s="5">
        <f>(vp.data[[#This Row],[VP]]-INDEX(crudeBD.lkup[Mean_VP],MATCH(vp.data[[#This Row],[Crude_Breakdown]],crudeBD.lkup[Crude Breakdown],0)))^2</f>
        <v>142.8936794983519</v>
      </c>
      <c r="AK442" s="5">
        <f>(vp.data[[#This Row],[Dens]]-INDEX(crudeBD.lkup[Mean_Dens],MATCH(vp.data[[#This Row],[Crude_Breakdown]],crudeBD.lkup[Crude Breakdown],0)))^2</f>
        <v>15.07947710112294</v>
      </c>
      <c r="AL442" s="5">
        <f>(vp.data[[#This Row],[Sulf]]-INDEX(crudeBD.lkup[Mean_Sulf],MATCH(vp.data[[#This Row],[Crude_Breakdown]],crudeBD.lkup[Crude Breakdown],0)))^2</f>
        <v>0.13910749244638207</v>
      </c>
      <c r="AM442" s="4">
        <f>IF(AND(vp.data[[#This Row],[SDate]]&gt;=DATE(YEAR(vp.data[[#This Row],[SDate]]),5,1),vp.data[[#This Row],[SDate]]&lt;=DATE(YEAR(vp.data[[#This Row],[SDate]]),9,15)),1,0)</f>
        <v>0</v>
      </c>
      <c r="AN442" s="4">
        <f>IF(vp.data[[#This Row],[SDate]]&lt;DATE(2016,12,1),0,1)</f>
        <v>1</v>
      </c>
      <c r="AO442" s="4">
        <f>IFERROR(vp.data[[#This Row],[Sulf]]*vp.data[[#This Row],[Net Dens]],"")</f>
        <v>2422183.0987200001</v>
      </c>
      <c r="AP442">
        <f>IFERROR(vp.data[[#This Row],[Dens]]*vp.data[[#This Row],[VolumeM3]],"")</f>
        <v>4403969.2703999998</v>
      </c>
      <c r="AQ442" s="15">
        <f>IFERROR(vp.data[[#This Row],[VP]]*vp.data[[#This Row],[VolumeM3]],"")</f>
        <v>554244.67349999992</v>
      </c>
    </row>
    <row r="443" spans="1:43" x14ac:dyDescent="0.25">
      <c r="A443">
        <v>442</v>
      </c>
      <c r="B443" t="s">
        <v>56</v>
      </c>
      <c r="C443" t="s">
        <v>56</v>
      </c>
      <c r="D443" t="s">
        <v>57</v>
      </c>
      <c r="F443" s="1">
        <v>42724</v>
      </c>
      <c r="G443" s="2">
        <v>114.4</v>
      </c>
      <c r="H443" s="2"/>
      <c r="I443" s="2">
        <f t="array" ref="I443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443" s="2">
        <v>7</v>
      </c>
      <c r="K443" s="2">
        <v>-6</v>
      </c>
      <c r="L443" s="2">
        <v>833.8</v>
      </c>
      <c r="M443" s="2">
        <f t="array" ref="M443">_xlfn.IFNA(IF(vp.data[[#This Row],[Dens Input]]="",INDEX([1]DATA!$O$3:$O$9826,MATCH(1,(vp.data[[#This Row],[Battery]]=[1]DATA!$L$3:$L$9826)*(EOMONTH(vp.data[[#This Row],[SDate]],-1)+1=[1]DATA!$G$3:$G$9826),0)),vp.data[[#This Row],[Dens Input]]),"")</f>
        <v>833.8</v>
      </c>
      <c r="N443" s="2">
        <f ca="1">INDEX(INDIRECT(_xlfn.CONCAT("weather.tbl[",N$1,"]")),MATCH(vp.data[[#This Row],[SDate]],weather.tbl[Date],0))</f>
        <v>-5.416666666666667</v>
      </c>
      <c r="O443" s="2">
        <f ca="1">INDEX(INDIRECT(_xlfn.CONCAT("weather.tbl[",O$1,"]")),MATCH(vp.data[[#This Row],[SDate]],weather.tbl[Date],0))</f>
        <v>-18.304761904761904</v>
      </c>
      <c r="P443" s="2">
        <f ca="1">INDEX(INDIRECT(_xlfn.CONCAT("weather.tbl[",P$1,"]")),MATCH(vp.data[[#This Row],[SDate]],weather.tbl[Date],0))</f>
        <v>-6</v>
      </c>
      <c r="Q443" s="2">
        <f ca="1">INDEX(INDIRECT(_xlfn.CONCAT("weather.tbl[",Q$1,"]")),MATCH(vp.data[[#This Row],[SDate]],weather.tbl[Date],0))</f>
        <v>-5.2</v>
      </c>
      <c r="R443" s="2">
        <f ca="1">INDEX(INDIRECT(_xlfn.CONCAT("weather.tbl[",R$1,"]")),MATCH(vp.data[[#This Row],[SDate]],weather.tbl[Date],0))</f>
        <v>-5.5</v>
      </c>
      <c r="S443" s="2">
        <f ca="1">INDEX(INDIRECT(_xlfn.CONCAT("weather.tbl[",S$1,"]")),MATCH(vp.data[[#This Row],[SDate]],weather.tbl[Date],0))</f>
        <v>-3.8</v>
      </c>
      <c r="T443" s="2">
        <f ca="1">INDEX(INDIRECT(_xlfn.CONCAT("weather.tbl[",T$1,"]")),MATCH(vp.data[[#This Row],[SDate]],weather.tbl[Date],0))</f>
        <v>-5.5</v>
      </c>
      <c r="U443" s="2">
        <f ca="1">INDEX(INDIRECT(_xlfn.CONCAT("weather.tbl[",U$1,"]")),MATCH(vp.data[[#This Row],[SDate]],weather.tbl[Date],0))</f>
        <v>-6.5</v>
      </c>
      <c r="V443" s="2">
        <f t="array" ref="V4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3105.3330000000001</v>
      </c>
      <c r="W443" t="s">
        <v>48</v>
      </c>
      <c r="X443">
        <f>IF(OR(vp.data[[#This Row],[Sulf]]="",vp.data[[#This Row],[Dens]]=""),1,0)</f>
        <v>0</v>
      </c>
      <c r="Y443">
        <f>IF(vp.data[[#This Row],[CrudeType]]="C5+",1,0)</f>
        <v>0</v>
      </c>
      <c r="Z443">
        <f>IF(AND(vp.data[[#This Row],[CrudeType]]="Crude",vp.data[[#This Row],[Dens]]&lt;=825,vp.data[[#This Row],[Sulf]]&gt;0.5,vp.data[[#This Row],[Unknown]]=0),1,0)</f>
        <v>0</v>
      </c>
      <c r="AA443">
        <f>IF(AND(vp.data[[#This Row],[CrudeType]]="Crude",vp.data[[#This Row],[Dens]]&lt;=825,vp.data[[#This Row],[Sulf]]&lt;=0.5,vp.data[[#This Row],[Unknown]]=0),1,0)</f>
        <v>0</v>
      </c>
      <c r="AB4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3">
        <f>IF(AND(vp.data[[#This Row],[CrudeType]]="Crude",vp.data[[#This Row],[Dens]]&gt;825,vp.data[[#This Row],[Dens]]&lt;=900,vp.data[[#This Row],[Sulf]]&lt;=0.5,vp.data[[#This Row],[Unknown]]=0),1,0)</f>
        <v>0</v>
      </c>
      <c r="AD443">
        <f>IF(AND(vp.data[[#This Row],[CrudeType]]="Crude",vp.data[[#This Row],[Dens]]&gt;865,vp.data[[#This Row],[Dens]]&lt;=900,vp.data[[#This Row],[Sulf]]&gt;2,vp.data[[#This Row],[Unknown]]=0),1,0)</f>
        <v>0</v>
      </c>
      <c r="AE443">
        <f>IF(AND(vp.data[[#This Row],[CrudeType]]="Crude",vp.data[[#This Row],[Dens]]&gt;900,vp.data[[#This Row],[Sulf]]&lt;=0.5,vp.data[[#This Row],[Unknown]]=0),1,0)</f>
        <v>0</v>
      </c>
      <c r="AF443">
        <f>IF(AND(vp.data[[#This Row],[CrudeType]]="Crude",vp.data[[#This Row],[Dens]]&gt;900,vp.data[[#This Row],[Sulf]]&lt;=0.5,vp.data[[#This Row],[Unknown]]=0),1,0)</f>
        <v>0</v>
      </c>
      <c r="AG443" t="str">
        <f>INDEX(vp.data[[#Headers],[Unknown]:[Heavy_SW]],MATCH(1,vp.data[[#This Row],[Unknown]:[Heavy_SW]],0))</f>
        <v>Medium_LSB</v>
      </c>
      <c r="AH443">
        <f>INDEX([3]!crudeBD.lkup[Number],MATCH(vp.data[[#This Row],[Crude_Breakdown]],crudeBD.lkup[Crude Breakdown],0))</f>
        <v>3</v>
      </c>
      <c r="AI443">
        <f>MONTH(vp.data[[#This Row],[SDate]])</f>
        <v>12</v>
      </c>
      <c r="AJ443" s="5">
        <f>(vp.data[[#This Row],[VP]]-INDEX(crudeBD.lkup[Mean_VP],MATCH(vp.data[[#This Row],[Crude_Breakdown]],crudeBD.lkup[Crude Breakdown],0)))^2</f>
        <v>1139.759439457725</v>
      </c>
      <c r="AK443" s="5">
        <f>(vp.data[[#This Row],[Dens]]-INDEX(crudeBD.lkup[Mean_Dens],MATCH(vp.data[[#This Row],[Crude_Breakdown]],crudeBD.lkup[Crude Breakdown],0)))^2</f>
        <v>102.41439999999089</v>
      </c>
      <c r="AL443" s="5">
        <f>(vp.data[[#This Row],[Sulf]]-INDEX(crudeBD.lkup[Mean_Sulf],MATCH(vp.data[[#This Row],[Crude_Breakdown]],crudeBD.lkup[Crude Breakdown],0)))^2</f>
        <v>5.9825184491918218E-2</v>
      </c>
      <c r="AM443" s="4">
        <f>IF(AND(vp.data[[#This Row],[SDate]]&gt;=DATE(YEAR(vp.data[[#This Row],[SDate]]),5,1),vp.data[[#This Row],[SDate]]&lt;=DATE(YEAR(vp.data[[#This Row],[SDate]]),9,15)),1,0)</f>
        <v>0</v>
      </c>
      <c r="AN443" s="4">
        <f>IF(vp.data[[#This Row],[SDate]]&lt;DATE(2016,12,1),0,1)</f>
        <v>1</v>
      </c>
      <c r="AO443" s="4">
        <f>IFERROR(vp.data[[#This Row],[Sulf]]*vp.data[[#This Row],[Net Dens]],"")</f>
        <v>4220439.4483019998</v>
      </c>
      <c r="AP443">
        <f>IFERROR(vp.data[[#This Row],[Dens]]*vp.data[[#This Row],[VolumeM3]],"")</f>
        <v>2589226.6554</v>
      </c>
      <c r="AQ443" s="15">
        <f>IFERROR(vp.data[[#This Row],[VP]]*vp.data[[#This Row],[VolumeM3]],"")</f>
        <v>355250.09520000004</v>
      </c>
    </row>
    <row r="444" spans="1:43" x14ac:dyDescent="0.25">
      <c r="A444">
        <v>443</v>
      </c>
      <c r="B444" t="s">
        <v>60</v>
      </c>
      <c r="C444" t="s">
        <v>60</v>
      </c>
      <c r="D444" t="s">
        <v>61</v>
      </c>
      <c r="E444" t="s">
        <v>73</v>
      </c>
      <c r="F444" s="1">
        <v>42725</v>
      </c>
      <c r="G444" s="2">
        <v>77</v>
      </c>
      <c r="H444" s="2"/>
      <c r="I444" s="2">
        <f t="array" ref="I444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44" s="2">
        <v>8</v>
      </c>
      <c r="K444" s="2">
        <v>-8</v>
      </c>
      <c r="L444" s="2">
        <v>848.1</v>
      </c>
      <c r="M444" s="2">
        <f t="array" ref="M444">_xlfn.IFNA(IF(vp.data[[#This Row],[Dens Input]]="",INDEX([1]DATA!$O$3:$O$9826,MATCH(1,(vp.data[[#This Row],[Battery]]=[1]DATA!$L$3:$L$9826)*(EOMONTH(vp.data[[#This Row],[SDate]],-1)+1=[1]DATA!$G$3:$G$9826),0)),vp.data[[#This Row],[Dens Input]]),"")</f>
        <v>848.1</v>
      </c>
      <c r="N444" s="2">
        <f ca="1">INDEX(INDIRECT(_xlfn.CONCAT("weather.tbl[",N$1,"]")),MATCH(vp.data[[#This Row],[SDate]],weather.tbl[Date],0))</f>
        <v>-6.1166666666666671</v>
      </c>
      <c r="O444" s="2">
        <f ca="1">INDEX(INDIRECT(_xlfn.CONCAT("weather.tbl[",O$1,"]")),MATCH(vp.data[[#This Row],[SDate]],weather.tbl[Date],0))</f>
        <v>-15.861904761904766</v>
      </c>
      <c r="P444" s="2">
        <f ca="1">INDEX(INDIRECT(_xlfn.CONCAT("weather.tbl[",P$1,"]")),MATCH(vp.data[[#This Row],[SDate]],weather.tbl[Date],0))</f>
        <v>-4.5</v>
      </c>
      <c r="Q444" s="2">
        <f ca="1">INDEX(INDIRECT(_xlfn.CONCAT("weather.tbl[",Q$1,"]")),MATCH(vp.data[[#This Row],[SDate]],weather.tbl[Date],0))</f>
        <v>-5.8</v>
      </c>
      <c r="R444" s="2">
        <f ca="1">INDEX(INDIRECT(_xlfn.CONCAT("weather.tbl[",R$1,"]")),MATCH(vp.data[[#This Row],[SDate]],weather.tbl[Date],0))</f>
        <v>-8</v>
      </c>
      <c r="S444" s="2">
        <f ca="1">INDEX(INDIRECT(_xlfn.CONCAT("weather.tbl[",S$1,"]")),MATCH(vp.data[[#This Row],[SDate]],weather.tbl[Date],0))</f>
        <v>-6</v>
      </c>
      <c r="T444" s="2">
        <f ca="1">INDEX(INDIRECT(_xlfn.CONCAT("weather.tbl[",T$1,"]")),MATCH(vp.data[[#This Row],[SDate]],weather.tbl[Date],0))</f>
        <v>-4.9000000000000004</v>
      </c>
      <c r="U444" s="2">
        <f ca="1">INDEX(INDIRECT(_xlfn.CONCAT("weather.tbl[",U$1,"]")),MATCH(vp.data[[#This Row],[SDate]],weather.tbl[Date],0))</f>
        <v>-7.5</v>
      </c>
      <c r="V444" s="2">
        <f t="array" ref="V4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44" t="s">
        <v>48</v>
      </c>
      <c r="X444">
        <f>IF(OR(vp.data[[#This Row],[Sulf]]="",vp.data[[#This Row],[Dens]]=""),1,0)</f>
        <v>0</v>
      </c>
      <c r="Y444">
        <f>IF(vp.data[[#This Row],[CrudeType]]="C5+",1,0)</f>
        <v>0</v>
      </c>
      <c r="Z444">
        <f>IF(AND(vp.data[[#This Row],[CrudeType]]="Crude",vp.data[[#This Row],[Dens]]&lt;=825,vp.data[[#This Row],[Sulf]]&gt;0.5,vp.data[[#This Row],[Unknown]]=0),1,0)</f>
        <v>0</v>
      </c>
      <c r="AA444">
        <f>IF(AND(vp.data[[#This Row],[CrudeType]]="Crude",vp.data[[#This Row],[Dens]]&lt;=825,vp.data[[#This Row],[Sulf]]&lt;=0.5,vp.data[[#This Row],[Unknown]]=0),1,0)</f>
        <v>0</v>
      </c>
      <c r="AB4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4">
        <f>IF(AND(vp.data[[#This Row],[CrudeType]]="Crude",vp.data[[#This Row],[Dens]]&gt;825,vp.data[[#This Row],[Dens]]&lt;=900,vp.data[[#This Row],[Sulf]]&lt;=0.5,vp.data[[#This Row],[Unknown]]=0),1,0)</f>
        <v>0</v>
      </c>
      <c r="AD444">
        <f>IF(AND(vp.data[[#This Row],[CrudeType]]="Crude",vp.data[[#This Row],[Dens]]&gt;865,vp.data[[#This Row],[Dens]]&lt;=900,vp.data[[#This Row],[Sulf]]&gt;2,vp.data[[#This Row],[Unknown]]=0),1,0)</f>
        <v>0</v>
      </c>
      <c r="AE444">
        <f>IF(AND(vp.data[[#This Row],[CrudeType]]="Crude",vp.data[[#This Row],[Dens]]&gt;900,vp.data[[#This Row],[Sulf]]&lt;=0.5,vp.data[[#This Row],[Unknown]]=0),1,0)</f>
        <v>0</v>
      </c>
      <c r="AF444">
        <f>IF(AND(vp.data[[#This Row],[CrudeType]]="Crude",vp.data[[#This Row],[Dens]]&gt;900,vp.data[[#This Row],[Sulf]]&lt;=0.5,vp.data[[#This Row],[Unknown]]=0),1,0)</f>
        <v>0</v>
      </c>
      <c r="AG444" t="str">
        <f>INDEX(vp.data[[#Headers],[Unknown]:[Heavy_SW]],MATCH(1,vp.data[[#This Row],[Unknown]:[Heavy_SW]],0))</f>
        <v>Medium_LSB</v>
      </c>
      <c r="AH444">
        <f>INDEX([3]!crudeBD.lkup[Number],MATCH(vp.data[[#This Row],[Crude_Breakdown]],crudeBD.lkup[Crude Breakdown],0))</f>
        <v>3</v>
      </c>
      <c r="AI444">
        <f>MONTH(vp.data[[#This Row],[SDate]])</f>
        <v>12</v>
      </c>
      <c r="AJ444" s="5">
        <f>(vp.data[[#This Row],[VP]]-INDEX(crudeBD.lkup[Mean_VP],MATCH(vp.data[[#This Row],[Crude_Breakdown]],crudeBD.lkup[Crude Breakdown],0)))^2</f>
        <v>13.247245387638337</v>
      </c>
      <c r="AK444" s="5">
        <f>(vp.data[[#This Row],[Dens]]-INDEX(crudeBD.lkup[Mean_Dens],MATCH(vp.data[[#This Row],[Crude_Breakdown]],crudeBD.lkup[Crude Breakdown],0)))^2</f>
        <v>17.472400000004335</v>
      </c>
      <c r="AL444" s="5">
        <f>(vp.data[[#This Row],[Sulf]]-INDEX(crudeBD.lkup[Mean_Sulf],MATCH(vp.data[[#This Row],[Crude_Breakdown]],crudeBD.lkup[Crude Breakdown],0)))^2</f>
        <v>0.17256391171563998</v>
      </c>
      <c r="AM444" s="4">
        <f>IF(AND(vp.data[[#This Row],[SDate]]&gt;=DATE(YEAR(vp.data[[#This Row],[SDate]]),5,1),vp.data[[#This Row],[SDate]]&lt;=DATE(YEAR(vp.data[[#This Row],[SDate]]),9,15)),1,0)</f>
        <v>0</v>
      </c>
      <c r="AN444" s="4">
        <f>IF(vp.data[[#This Row],[SDate]]&lt;DATE(2016,12,1),0,1)</f>
        <v>1</v>
      </c>
      <c r="AO444" s="4">
        <f>IFERROR(vp.data[[#This Row],[Sulf]]*vp.data[[#This Row],[Net Dens]],"")</f>
        <v>87903001.515978009</v>
      </c>
      <c r="AP444">
        <f>IFERROR(vp.data[[#This Row],[Dens]]*vp.data[[#This Row],[VolumeM3]],"")</f>
        <v>90621651.047400013</v>
      </c>
      <c r="AQ444" s="15">
        <f>IFERROR(vp.data[[#This Row],[VP]]*vp.data[[#This Row],[VolumeM3]],"")</f>
        <v>8227646.6579999998</v>
      </c>
    </row>
    <row r="445" spans="1:43" x14ac:dyDescent="0.25">
      <c r="A445">
        <v>444</v>
      </c>
      <c r="B445" t="s">
        <v>49</v>
      </c>
      <c r="C445" t="s">
        <v>49</v>
      </c>
      <c r="D445" t="s">
        <v>99</v>
      </c>
      <c r="F445" s="1">
        <v>42725</v>
      </c>
      <c r="G445" s="2">
        <v>86.4</v>
      </c>
      <c r="H445" s="2"/>
      <c r="I445" s="2">
        <f t="array" ref="I445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445" s="2">
        <v>7</v>
      </c>
      <c r="K445" s="2">
        <v>-5</v>
      </c>
      <c r="L445" s="2">
        <v>812.8</v>
      </c>
      <c r="M445" s="2">
        <f t="array" ref="M445">_xlfn.IFNA(IF(vp.data[[#This Row],[Dens Input]]="",INDEX([1]DATA!$O$3:$O$9826,MATCH(1,(vp.data[[#This Row],[Battery]]=[1]DATA!$L$3:$L$9826)*(EOMONTH(vp.data[[#This Row],[SDate]],-1)+1=[1]DATA!$G$3:$G$9826),0)),vp.data[[#This Row],[Dens Input]]),"")</f>
        <v>812.8</v>
      </c>
      <c r="N445" s="2">
        <f ca="1">INDEX(INDIRECT(_xlfn.CONCAT("weather.tbl[",N$1,"]")),MATCH(vp.data[[#This Row],[SDate]],weather.tbl[Date],0))</f>
        <v>-6.1166666666666671</v>
      </c>
      <c r="O445" s="2">
        <f ca="1">INDEX(INDIRECT(_xlfn.CONCAT("weather.tbl[",O$1,"]")),MATCH(vp.data[[#This Row],[SDate]],weather.tbl[Date],0))</f>
        <v>-15.861904761904766</v>
      </c>
      <c r="P445" s="2">
        <f ca="1">INDEX(INDIRECT(_xlfn.CONCAT("weather.tbl[",P$1,"]")),MATCH(vp.data[[#This Row],[SDate]],weather.tbl[Date],0))</f>
        <v>-4.5</v>
      </c>
      <c r="Q445" s="2">
        <f ca="1">INDEX(INDIRECT(_xlfn.CONCAT("weather.tbl[",Q$1,"]")),MATCH(vp.data[[#This Row],[SDate]],weather.tbl[Date],0))</f>
        <v>-5.8</v>
      </c>
      <c r="R445" s="2">
        <f ca="1">INDEX(INDIRECT(_xlfn.CONCAT("weather.tbl[",R$1,"]")),MATCH(vp.data[[#This Row],[SDate]],weather.tbl[Date],0))</f>
        <v>-8</v>
      </c>
      <c r="S445" s="2">
        <f ca="1">INDEX(INDIRECT(_xlfn.CONCAT("weather.tbl[",S$1,"]")),MATCH(vp.data[[#This Row],[SDate]],weather.tbl[Date],0))</f>
        <v>-6</v>
      </c>
      <c r="T445" s="2">
        <f ca="1">INDEX(INDIRECT(_xlfn.CONCAT("weather.tbl[",T$1,"]")),MATCH(vp.data[[#This Row],[SDate]],weather.tbl[Date],0))</f>
        <v>-4.9000000000000004</v>
      </c>
      <c r="U445" s="2">
        <f ca="1">INDEX(INDIRECT(_xlfn.CONCAT("weather.tbl[",U$1,"]")),MATCH(vp.data[[#This Row],[SDate]],weather.tbl[Date],0))</f>
        <v>-7.5</v>
      </c>
      <c r="V445" s="2">
        <f t="array" ref="V4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2747.39</v>
      </c>
      <c r="W445" t="s">
        <v>48</v>
      </c>
      <c r="X445">
        <f>IF(OR(vp.data[[#This Row],[Sulf]]="",vp.data[[#This Row],[Dens]]=""),1,0)</f>
        <v>0</v>
      </c>
      <c r="Y445">
        <f>IF(vp.data[[#This Row],[CrudeType]]="C5+",1,0)</f>
        <v>0</v>
      </c>
      <c r="Z445">
        <f>IF(AND(vp.data[[#This Row],[CrudeType]]="Crude",vp.data[[#This Row],[Dens]]&lt;=825,vp.data[[#This Row],[Sulf]]&gt;0.5,vp.data[[#This Row],[Unknown]]=0),1,0)</f>
        <v>0</v>
      </c>
      <c r="AA445">
        <f>IF(AND(vp.data[[#This Row],[CrudeType]]="Crude",vp.data[[#This Row],[Dens]]&lt;=825,vp.data[[#This Row],[Sulf]]&lt;=0.5,vp.data[[#This Row],[Unknown]]=0),1,0)</f>
        <v>1</v>
      </c>
      <c r="AB4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45">
        <f>IF(AND(vp.data[[#This Row],[CrudeType]]="Crude",vp.data[[#This Row],[Dens]]&gt;825,vp.data[[#This Row],[Dens]]&lt;=900,vp.data[[#This Row],[Sulf]]&lt;=0.5,vp.data[[#This Row],[Unknown]]=0),1,0)</f>
        <v>0</v>
      </c>
      <c r="AD445">
        <f>IF(AND(vp.data[[#This Row],[CrudeType]]="Crude",vp.data[[#This Row],[Dens]]&gt;865,vp.data[[#This Row],[Dens]]&lt;=900,vp.data[[#This Row],[Sulf]]&gt;2,vp.data[[#This Row],[Unknown]]=0),1,0)</f>
        <v>0</v>
      </c>
      <c r="AE445">
        <f>IF(AND(vp.data[[#This Row],[CrudeType]]="Crude",vp.data[[#This Row],[Dens]]&gt;900,vp.data[[#This Row],[Sulf]]&lt;=0.5,vp.data[[#This Row],[Unknown]]=0),1,0)</f>
        <v>0</v>
      </c>
      <c r="AF445">
        <f>IF(AND(vp.data[[#This Row],[CrudeType]]="Crude",vp.data[[#This Row],[Dens]]&gt;900,vp.data[[#This Row],[Sulf]]&lt;=0.5,vp.data[[#This Row],[Unknown]]=0),1,0)</f>
        <v>0</v>
      </c>
      <c r="AG445" t="str">
        <f>INDEX(vp.data[[#Headers],[Unknown]:[Heavy_SW]],MATCH(1,vp.data[[#This Row],[Unknown]:[Heavy_SW]],0))</f>
        <v>Light_SW</v>
      </c>
      <c r="AH445">
        <f>INDEX([3]!crudeBD.lkup[Number],MATCH(vp.data[[#This Row],[Crude_Breakdown]],crudeBD.lkup[Crude Breakdown],0))</f>
        <v>2</v>
      </c>
      <c r="AI445">
        <f>MONTH(vp.data[[#This Row],[SDate]])</f>
        <v>12</v>
      </c>
      <c r="AJ445" s="5">
        <f>(vp.data[[#This Row],[VP]]-INDEX(crudeBD.lkup[Mean_VP],MATCH(vp.data[[#This Row],[Crude_Breakdown]],crudeBD.lkup[Crude Breakdown],0)))^2</f>
        <v>37.826357241194678</v>
      </c>
      <c r="AK445" s="5">
        <f>(vp.data[[#This Row],[Dens]]-INDEX(crudeBD.lkup[Mean_Dens],MATCH(vp.data[[#This Row],[Crude_Breakdown]],crudeBD.lkup[Crude Breakdown],0)))^2</f>
        <v>20.146647889377409</v>
      </c>
      <c r="AL445" s="5">
        <f>(vp.data[[#This Row],[Sulf]]-INDEX(crudeBD.lkup[Mean_Sulf],MATCH(vp.data[[#This Row],[Crude_Breakdown]],crudeBD.lkup[Crude Breakdown],0)))^2</f>
        <v>8.7905978457915313E-3</v>
      </c>
      <c r="AM445" s="4">
        <f>IF(AND(vp.data[[#This Row],[SDate]]&gt;=DATE(YEAR(vp.data[[#This Row],[SDate]]),5,1),vp.data[[#This Row],[SDate]]&lt;=DATE(YEAR(vp.data[[#This Row],[SDate]]),9,15)),1,0)</f>
        <v>0</v>
      </c>
      <c r="AN445" s="4">
        <f>IF(vp.data[[#This Row],[SDate]]&lt;DATE(2016,12,1),0,1)</f>
        <v>1</v>
      </c>
      <c r="AO445" s="4">
        <f>IFERROR(vp.data[[#This Row],[Sulf]]*vp.data[[#This Row],[Net Dens]],"")</f>
        <v>736915.93535999989</v>
      </c>
      <c r="AP445">
        <f>IFERROR(vp.data[[#This Row],[Dens]]*vp.data[[#This Row],[VolumeM3]],"")</f>
        <v>2233078.5919999997</v>
      </c>
      <c r="AQ445" s="15">
        <f>IFERROR(vp.data[[#This Row],[VP]]*vp.data[[#This Row],[VolumeM3]],"")</f>
        <v>237374.49600000001</v>
      </c>
    </row>
    <row r="446" spans="1:43" x14ac:dyDescent="0.25">
      <c r="A446">
        <v>445</v>
      </c>
      <c r="B446" t="s">
        <v>51</v>
      </c>
      <c r="C446" t="s">
        <v>51</v>
      </c>
      <c r="D446" t="s">
        <v>72</v>
      </c>
      <c r="F446" s="1">
        <v>42725</v>
      </c>
      <c r="G446" s="2">
        <v>92.2</v>
      </c>
      <c r="H446" s="2"/>
      <c r="I446" s="2">
        <f t="array" ref="I446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446" s="2">
        <v>24</v>
      </c>
      <c r="K446" s="2">
        <v>-8</v>
      </c>
      <c r="L446" s="2">
        <v>834.4</v>
      </c>
      <c r="M446" s="2">
        <f t="array" ref="M446">_xlfn.IFNA(IF(vp.data[[#This Row],[Dens Input]]="",INDEX([1]DATA!$O$3:$O$9826,MATCH(1,(vp.data[[#This Row],[Battery]]=[1]DATA!$L$3:$L$9826)*(EOMONTH(vp.data[[#This Row],[SDate]],-1)+1=[1]DATA!$G$3:$G$9826),0)),vp.data[[#This Row],[Dens Input]]),"")</f>
        <v>834.4</v>
      </c>
      <c r="N446" s="2">
        <f ca="1">INDEX(INDIRECT(_xlfn.CONCAT("weather.tbl[",N$1,"]")),MATCH(vp.data[[#This Row],[SDate]],weather.tbl[Date],0))</f>
        <v>-6.1166666666666671</v>
      </c>
      <c r="O446" s="2">
        <f ca="1">INDEX(INDIRECT(_xlfn.CONCAT("weather.tbl[",O$1,"]")),MATCH(vp.data[[#This Row],[SDate]],weather.tbl[Date],0))</f>
        <v>-15.861904761904766</v>
      </c>
      <c r="P446" s="2">
        <f ca="1">INDEX(INDIRECT(_xlfn.CONCAT("weather.tbl[",P$1,"]")),MATCH(vp.data[[#This Row],[SDate]],weather.tbl[Date],0))</f>
        <v>-4.5</v>
      </c>
      <c r="Q446" s="2">
        <f ca="1">INDEX(INDIRECT(_xlfn.CONCAT("weather.tbl[",Q$1,"]")),MATCH(vp.data[[#This Row],[SDate]],weather.tbl[Date],0))</f>
        <v>-5.8</v>
      </c>
      <c r="R446" s="2">
        <f ca="1">INDEX(INDIRECT(_xlfn.CONCAT("weather.tbl[",R$1,"]")),MATCH(vp.data[[#This Row],[SDate]],weather.tbl[Date],0))</f>
        <v>-8</v>
      </c>
      <c r="S446" s="2">
        <f ca="1">INDEX(INDIRECT(_xlfn.CONCAT("weather.tbl[",S$1,"]")),MATCH(vp.data[[#This Row],[SDate]],weather.tbl[Date],0))</f>
        <v>-6</v>
      </c>
      <c r="T446" s="2">
        <f ca="1">INDEX(INDIRECT(_xlfn.CONCAT("weather.tbl[",T$1,"]")),MATCH(vp.data[[#This Row],[SDate]],weather.tbl[Date],0))</f>
        <v>-4.9000000000000004</v>
      </c>
      <c r="U446" s="2">
        <f ca="1">INDEX(INDIRECT(_xlfn.CONCAT("weather.tbl[",U$1,"]")),MATCH(vp.data[[#This Row],[SDate]],weather.tbl[Date],0))</f>
        <v>-7.5</v>
      </c>
      <c r="V446" s="2">
        <f t="array" ref="V4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13705.843999999999</v>
      </c>
      <c r="W446" t="s">
        <v>48</v>
      </c>
      <c r="X446">
        <f>IF(OR(vp.data[[#This Row],[Sulf]]="",vp.data[[#This Row],[Dens]]=""),1,0)</f>
        <v>0</v>
      </c>
      <c r="Y446">
        <f>IF(vp.data[[#This Row],[CrudeType]]="C5+",1,0)</f>
        <v>0</v>
      </c>
      <c r="Z446">
        <f>IF(AND(vp.data[[#This Row],[CrudeType]]="Crude",vp.data[[#This Row],[Dens]]&lt;=825,vp.data[[#This Row],[Sulf]]&gt;0.5,vp.data[[#This Row],[Unknown]]=0),1,0)</f>
        <v>0</v>
      </c>
      <c r="AA446">
        <f>IF(AND(vp.data[[#This Row],[CrudeType]]="Crude",vp.data[[#This Row],[Dens]]&lt;=825,vp.data[[#This Row],[Sulf]]&lt;=0.5,vp.data[[#This Row],[Unknown]]=0),1,0)</f>
        <v>0</v>
      </c>
      <c r="AB4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6">
        <f>IF(AND(vp.data[[#This Row],[CrudeType]]="Crude",vp.data[[#This Row],[Dens]]&gt;825,vp.data[[#This Row],[Dens]]&lt;=900,vp.data[[#This Row],[Sulf]]&lt;=0.5,vp.data[[#This Row],[Unknown]]=0),1,0)</f>
        <v>0</v>
      </c>
      <c r="AD446">
        <f>IF(AND(vp.data[[#This Row],[CrudeType]]="Crude",vp.data[[#This Row],[Dens]]&gt;865,vp.data[[#This Row],[Dens]]&lt;=900,vp.data[[#This Row],[Sulf]]&gt;2,vp.data[[#This Row],[Unknown]]=0),1,0)</f>
        <v>0</v>
      </c>
      <c r="AE446">
        <f>IF(AND(vp.data[[#This Row],[CrudeType]]="Crude",vp.data[[#This Row],[Dens]]&gt;900,vp.data[[#This Row],[Sulf]]&lt;=0.5,vp.data[[#This Row],[Unknown]]=0),1,0)</f>
        <v>0</v>
      </c>
      <c r="AF446">
        <f>IF(AND(vp.data[[#This Row],[CrudeType]]="Crude",vp.data[[#This Row],[Dens]]&gt;900,vp.data[[#This Row],[Sulf]]&lt;=0.5,vp.data[[#This Row],[Unknown]]=0),1,0)</f>
        <v>0</v>
      </c>
      <c r="AG446" t="str">
        <f>INDEX(vp.data[[#Headers],[Unknown]:[Heavy_SW]],MATCH(1,vp.data[[#This Row],[Unknown]:[Heavy_SW]],0))</f>
        <v>Medium_LSB</v>
      </c>
      <c r="AH446">
        <f>INDEX([3]!crudeBD.lkup[Number],MATCH(vp.data[[#This Row],[Crude_Breakdown]],crudeBD.lkup[Crude Breakdown],0))</f>
        <v>3</v>
      </c>
      <c r="AI446">
        <f>MONTH(vp.data[[#This Row],[SDate]])</f>
        <v>12</v>
      </c>
      <c r="AJ446" s="5">
        <f>(vp.data[[#This Row],[VP]]-INDEX(crudeBD.lkup[Mean_VP],MATCH(vp.data[[#This Row],[Crude_Breakdown]],crudeBD.lkup[Crude Breakdown],0)))^2</f>
        <v>133.64107827173763</v>
      </c>
      <c r="AK446" s="5">
        <f>(vp.data[[#This Row],[Dens]]-INDEX(crudeBD.lkup[Mean_Dens],MATCH(vp.data[[#This Row],[Crude_Breakdown]],crudeBD.lkup[Crude Breakdown],0)))^2</f>
        <v>90.630399999990999</v>
      </c>
      <c r="AL446" s="5">
        <f>(vp.data[[#This Row],[Sulf]]-INDEX(crudeBD.lkup[Mean_Sulf],MATCH(vp.data[[#This Row],[Crude_Breakdown]],crudeBD.lkup[Crude Breakdown],0)))^2</f>
        <v>3.4376173440706655E-2</v>
      </c>
      <c r="AM446" s="4">
        <f>IF(AND(vp.data[[#This Row],[SDate]]&gt;=DATE(YEAR(vp.data[[#This Row],[SDate]]),5,1),vp.data[[#This Row],[SDate]]&lt;=DATE(YEAR(vp.data[[#This Row],[SDate]]),9,15)),1,0)</f>
        <v>0</v>
      </c>
      <c r="AN446" s="4">
        <f>IF(vp.data[[#This Row],[SDate]]&lt;DATE(2016,12,1),0,1)</f>
        <v>1</v>
      </c>
      <c r="AO446" s="4">
        <f>IFERROR(vp.data[[#This Row],[Sulf]]*vp.data[[#This Row],[Net Dens]],"")</f>
        <v>13723387.480319997</v>
      </c>
      <c r="AP446">
        <f>IFERROR(vp.data[[#This Row],[Dens]]*vp.data[[#This Row],[VolumeM3]],"")</f>
        <v>11436156.233599998</v>
      </c>
      <c r="AQ446" s="15">
        <f>IFERROR(vp.data[[#This Row],[VP]]*vp.data[[#This Row],[VolumeM3]],"")</f>
        <v>1263678.8167999999</v>
      </c>
    </row>
    <row r="447" spans="1:43" x14ac:dyDescent="0.25">
      <c r="A447">
        <v>446</v>
      </c>
      <c r="B447" t="s">
        <v>49</v>
      </c>
      <c r="C447" t="s">
        <v>49</v>
      </c>
      <c r="D447" t="s">
        <v>59</v>
      </c>
      <c r="F447" s="1">
        <v>42725</v>
      </c>
      <c r="G447" s="2">
        <v>88.6</v>
      </c>
      <c r="H447" s="2"/>
      <c r="I447" s="2">
        <f t="array" ref="I447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447" s="2">
        <v>20</v>
      </c>
      <c r="K447" s="2">
        <v>-8</v>
      </c>
      <c r="L447" s="2">
        <v>846</v>
      </c>
      <c r="M447" s="2">
        <f t="array" ref="M447">_xlfn.IFNA(IF(vp.data[[#This Row],[Dens Input]]="",INDEX([1]DATA!$O$3:$O$9826,MATCH(1,(vp.data[[#This Row],[Battery]]=[1]DATA!$L$3:$L$9826)*(EOMONTH(vp.data[[#This Row],[SDate]],-1)+1=[1]DATA!$G$3:$G$9826),0)),vp.data[[#This Row],[Dens Input]]),"")</f>
        <v>846</v>
      </c>
      <c r="N447" s="2">
        <f ca="1">INDEX(INDIRECT(_xlfn.CONCAT("weather.tbl[",N$1,"]")),MATCH(vp.data[[#This Row],[SDate]],weather.tbl[Date],0))</f>
        <v>-6.1166666666666671</v>
      </c>
      <c r="O447" s="2">
        <f ca="1">INDEX(INDIRECT(_xlfn.CONCAT("weather.tbl[",O$1,"]")),MATCH(vp.data[[#This Row],[SDate]],weather.tbl[Date],0))</f>
        <v>-15.861904761904766</v>
      </c>
      <c r="P447" s="2">
        <f ca="1">INDEX(INDIRECT(_xlfn.CONCAT("weather.tbl[",P$1,"]")),MATCH(vp.data[[#This Row],[SDate]],weather.tbl[Date],0))</f>
        <v>-4.5</v>
      </c>
      <c r="Q447" s="2">
        <f ca="1">INDEX(INDIRECT(_xlfn.CONCAT("weather.tbl[",Q$1,"]")),MATCH(vp.data[[#This Row],[SDate]],weather.tbl[Date],0))</f>
        <v>-5.8</v>
      </c>
      <c r="R447" s="2">
        <f ca="1">INDEX(INDIRECT(_xlfn.CONCAT("weather.tbl[",R$1,"]")),MATCH(vp.data[[#This Row],[SDate]],weather.tbl[Date],0))</f>
        <v>-8</v>
      </c>
      <c r="S447" s="2">
        <f ca="1">INDEX(INDIRECT(_xlfn.CONCAT("weather.tbl[",S$1,"]")),MATCH(vp.data[[#This Row],[SDate]],weather.tbl[Date],0))</f>
        <v>-6</v>
      </c>
      <c r="T447" s="2">
        <f ca="1">INDEX(INDIRECT(_xlfn.CONCAT("weather.tbl[",T$1,"]")),MATCH(vp.data[[#This Row],[SDate]],weather.tbl[Date],0))</f>
        <v>-4.9000000000000004</v>
      </c>
      <c r="U447" s="2">
        <f ca="1">INDEX(INDIRECT(_xlfn.CONCAT("weather.tbl[",U$1,"]")),MATCH(vp.data[[#This Row],[SDate]],weather.tbl[Date],0))</f>
        <v>-7.5</v>
      </c>
      <c r="V447" s="2">
        <f t="array" ref="V4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1579.0039999999999</v>
      </c>
      <c r="W447" t="s">
        <v>48</v>
      </c>
      <c r="X447">
        <f>IF(OR(vp.data[[#This Row],[Sulf]]="",vp.data[[#This Row],[Dens]]=""),1,0)</f>
        <v>0</v>
      </c>
      <c r="Y447">
        <f>IF(vp.data[[#This Row],[CrudeType]]="C5+",1,0)</f>
        <v>0</v>
      </c>
      <c r="Z447">
        <f>IF(AND(vp.data[[#This Row],[CrudeType]]="Crude",vp.data[[#This Row],[Dens]]&lt;=825,vp.data[[#This Row],[Sulf]]&gt;0.5,vp.data[[#This Row],[Unknown]]=0),1,0)</f>
        <v>0</v>
      </c>
      <c r="AA447">
        <f>IF(AND(vp.data[[#This Row],[CrudeType]]="Crude",vp.data[[#This Row],[Dens]]&lt;=825,vp.data[[#This Row],[Sulf]]&lt;=0.5,vp.data[[#This Row],[Unknown]]=0),1,0)</f>
        <v>0</v>
      </c>
      <c r="AB4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7">
        <f>IF(AND(vp.data[[#This Row],[CrudeType]]="Crude",vp.data[[#This Row],[Dens]]&gt;825,vp.data[[#This Row],[Dens]]&lt;=900,vp.data[[#This Row],[Sulf]]&lt;=0.5,vp.data[[#This Row],[Unknown]]=0),1,0)</f>
        <v>0</v>
      </c>
      <c r="AD447">
        <f>IF(AND(vp.data[[#This Row],[CrudeType]]="Crude",vp.data[[#This Row],[Dens]]&gt;865,vp.data[[#This Row],[Dens]]&lt;=900,vp.data[[#This Row],[Sulf]]&gt;2,vp.data[[#This Row],[Unknown]]=0),1,0)</f>
        <v>0</v>
      </c>
      <c r="AE447">
        <f>IF(AND(vp.data[[#This Row],[CrudeType]]="Crude",vp.data[[#This Row],[Dens]]&gt;900,vp.data[[#This Row],[Sulf]]&lt;=0.5,vp.data[[#This Row],[Unknown]]=0),1,0)</f>
        <v>0</v>
      </c>
      <c r="AF447">
        <f>IF(AND(vp.data[[#This Row],[CrudeType]]="Crude",vp.data[[#This Row],[Dens]]&gt;900,vp.data[[#This Row],[Sulf]]&lt;=0.5,vp.data[[#This Row],[Unknown]]=0),1,0)</f>
        <v>0</v>
      </c>
      <c r="AG447" t="str">
        <f>INDEX(vp.data[[#Headers],[Unknown]:[Heavy_SW]],MATCH(1,vp.data[[#This Row],[Unknown]:[Heavy_SW]],0))</f>
        <v>Medium_LSB</v>
      </c>
      <c r="AH447">
        <f>INDEX([3]!crudeBD.lkup[Number],MATCH(vp.data[[#This Row],[Crude_Breakdown]],crudeBD.lkup[Crude Breakdown],0))</f>
        <v>3</v>
      </c>
      <c r="AI447">
        <f>MONTH(vp.data[[#This Row],[SDate]])</f>
        <v>12</v>
      </c>
      <c r="AJ447" s="5">
        <f>(vp.data[[#This Row],[VP]]-INDEX(crudeBD.lkup[Mean_VP],MATCH(vp.data[[#This Row],[Crude_Breakdown]],crudeBD.lkup[Crude Breakdown],0)))^2</f>
        <v>63.366749430766589</v>
      </c>
      <c r="AK447" s="5">
        <f>(vp.data[[#This Row],[Dens]]-INDEX(crudeBD.lkup[Mean_Dens],MATCH(vp.data[[#This Row],[Crude_Breakdown]],crudeBD.lkup[Crude Breakdown],0)))^2</f>
        <v>4.3264000000020619</v>
      </c>
      <c r="AL447" s="5">
        <f>(vp.data[[#This Row],[Sulf]]-INDEX(crudeBD.lkup[Mean_Sulf],MATCH(vp.data[[#This Row],[Crude_Breakdown]],crudeBD.lkup[Crude Breakdown],0)))^2</f>
        <v>8.9476224973095587E-3</v>
      </c>
      <c r="AM447" s="4">
        <f>IF(AND(vp.data[[#This Row],[SDate]]&gt;=DATE(YEAR(vp.data[[#This Row],[SDate]]),5,1),vp.data[[#This Row],[SDate]]&lt;=DATE(YEAR(vp.data[[#This Row],[SDate]]),9,15)),1,0)</f>
        <v>0</v>
      </c>
      <c r="AN447" s="4">
        <f>IF(vp.data[[#This Row],[SDate]]&lt;DATE(2016,12,1),0,1)</f>
        <v>1</v>
      </c>
      <c r="AO447" s="4">
        <f>IFERROR(vp.data[[#This Row],[Sulf]]*vp.data[[#This Row],[Net Dens]],"")</f>
        <v>1977039.3283199999</v>
      </c>
      <c r="AP447">
        <f>IFERROR(vp.data[[#This Row],[Dens]]*vp.data[[#This Row],[VolumeM3]],"")</f>
        <v>1335837.3839999998</v>
      </c>
      <c r="AQ447" s="15">
        <f>IFERROR(vp.data[[#This Row],[VP]]*vp.data[[#This Row],[VolumeM3]],"")</f>
        <v>139899.75439999998</v>
      </c>
    </row>
    <row r="448" spans="1:43" x14ac:dyDescent="0.25">
      <c r="A448">
        <v>447</v>
      </c>
      <c r="B448" t="s">
        <v>60</v>
      </c>
      <c r="C448" t="s">
        <v>60</v>
      </c>
      <c r="D448" t="s">
        <v>61</v>
      </c>
      <c r="E448" t="s">
        <v>55</v>
      </c>
      <c r="F448" s="1">
        <v>42725</v>
      </c>
      <c r="G448" s="2">
        <v>102.2</v>
      </c>
      <c r="H448" s="2"/>
      <c r="I448" s="2">
        <f t="array" ref="I448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48" s="2">
        <v>7</v>
      </c>
      <c r="K448" s="2">
        <v>-8</v>
      </c>
      <c r="L448" s="2">
        <v>840.2</v>
      </c>
      <c r="M448" s="2">
        <f t="array" ref="M448">_xlfn.IFNA(IF(vp.data[[#This Row],[Dens Input]]="",INDEX([1]DATA!$O$3:$O$9826,MATCH(1,(vp.data[[#This Row],[Battery]]=[1]DATA!$L$3:$L$9826)*(EOMONTH(vp.data[[#This Row],[SDate]],-1)+1=[1]DATA!$G$3:$G$9826),0)),vp.data[[#This Row],[Dens Input]]),"")</f>
        <v>840.2</v>
      </c>
      <c r="N448" s="2">
        <f ca="1">INDEX(INDIRECT(_xlfn.CONCAT("weather.tbl[",N$1,"]")),MATCH(vp.data[[#This Row],[SDate]],weather.tbl[Date],0))</f>
        <v>-6.1166666666666671</v>
      </c>
      <c r="O448" s="2">
        <f ca="1">INDEX(INDIRECT(_xlfn.CONCAT("weather.tbl[",O$1,"]")),MATCH(vp.data[[#This Row],[SDate]],weather.tbl[Date],0))</f>
        <v>-15.861904761904766</v>
      </c>
      <c r="P448" s="2">
        <f ca="1">INDEX(INDIRECT(_xlfn.CONCAT("weather.tbl[",P$1,"]")),MATCH(vp.data[[#This Row],[SDate]],weather.tbl[Date],0))</f>
        <v>-4.5</v>
      </c>
      <c r="Q448" s="2">
        <f ca="1">INDEX(INDIRECT(_xlfn.CONCAT("weather.tbl[",Q$1,"]")),MATCH(vp.data[[#This Row],[SDate]],weather.tbl[Date],0))</f>
        <v>-5.8</v>
      </c>
      <c r="R448" s="2">
        <f ca="1">INDEX(INDIRECT(_xlfn.CONCAT("weather.tbl[",R$1,"]")),MATCH(vp.data[[#This Row],[SDate]],weather.tbl[Date],0))</f>
        <v>-8</v>
      </c>
      <c r="S448" s="2">
        <f ca="1">INDEX(INDIRECT(_xlfn.CONCAT("weather.tbl[",S$1,"]")),MATCH(vp.data[[#This Row],[SDate]],weather.tbl[Date],0))</f>
        <v>-6</v>
      </c>
      <c r="T448" s="2">
        <f ca="1">INDEX(INDIRECT(_xlfn.CONCAT("weather.tbl[",T$1,"]")),MATCH(vp.data[[#This Row],[SDate]],weather.tbl[Date],0))</f>
        <v>-4.9000000000000004</v>
      </c>
      <c r="U448" s="2">
        <f ca="1">INDEX(INDIRECT(_xlfn.CONCAT("weather.tbl[",U$1,"]")),MATCH(vp.data[[#This Row],[SDate]],weather.tbl[Date],0))</f>
        <v>-7.5</v>
      </c>
      <c r="V448" s="2">
        <f t="array" ref="V4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48" t="s">
        <v>48</v>
      </c>
      <c r="X448">
        <f>IF(OR(vp.data[[#This Row],[Sulf]]="",vp.data[[#This Row],[Dens]]=""),1,0)</f>
        <v>0</v>
      </c>
      <c r="Y448">
        <f>IF(vp.data[[#This Row],[CrudeType]]="C5+",1,0)</f>
        <v>0</v>
      </c>
      <c r="Z448">
        <f>IF(AND(vp.data[[#This Row],[CrudeType]]="Crude",vp.data[[#This Row],[Dens]]&lt;=825,vp.data[[#This Row],[Sulf]]&gt;0.5,vp.data[[#This Row],[Unknown]]=0),1,0)</f>
        <v>0</v>
      </c>
      <c r="AA448">
        <f>IF(AND(vp.data[[#This Row],[CrudeType]]="Crude",vp.data[[#This Row],[Dens]]&lt;=825,vp.data[[#This Row],[Sulf]]&lt;=0.5,vp.data[[#This Row],[Unknown]]=0),1,0)</f>
        <v>0</v>
      </c>
      <c r="AB4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8">
        <f>IF(AND(vp.data[[#This Row],[CrudeType]]="Crude",vp.data[[#This Row],[Dens]]&gt;825,vp.data[[#This Row],[Dens]]&lt;=900,vp.data[[#This Row],[Sulf]]&lt;=0.5,vp.data[[#This Row],[Unknown]]=0),1,0)</f>
        <v>0</v>
      </c>
      <c r="AD448">
        <f>IF(AND(vp.data[[#This Row],[CrudeType]]="Crude",vp.data[[#This Row],[Dens]]&gt;865,vp.data[[#This Row],[Dens]]&lt;=900,vp.data[[#This Row],[Sulf]]&gt;2,vp.data[[#This Row],[Unknown]]=0),1,0)</f>
        <v>0</v>
      </c>
      <c r="AE448">
        <f>IF(AND(vp.data[[#This Row],[CrudeType]]="Crude",vp.data[[#This Row],[Dens]]&gt;900,vp.data[[#This Row],[Sulf]]&lt;=0.5,vp.data[[#This Row],[Unknown]]=0),1,0)</f>
        <v>0</v>
      </c>
      <c r="AF448">
        <f>IF(AND(vp.data[[#This Row],[CrudeType]]="Crude",vp.data[[#This Row],[Dens]]&gt;900,vp.data[[#This Row],[Sulf]]&lt;=0.5,vp.data[[#This Row],[Unknown]]=0),1,0)</f>
        <v>0</v>
      </c>
      <c r="AG448" t="str">
        <f>INDEX(vp.data[[#Headers],[Unknown]:[Heavy_SW]],MATCH(1,vp.data[[#This Row],[Unknown]:[Heavy_SW]],0))</f>
        <v>Medium_LSB</v>
      </c>
      <c r="AH448">
        <f>INDEX([3]!crudeBD.lkup[Number],MATCH(vp.data[[#This Row],[Crude_Breakdown]],crudeBD.lkup[Crude Breakdown],0))</f>
        <v>3</v>
      </c>
      <c r="AI448">
        <f>MONTH(vp.data[[#This Row],[SDate]])</f>
        <v>12</v>
      </c>
      <c r="AJ448" s="5">
        <f>(vp.data[[#This Row],[VP]]-INDEX(crudeBD.lkup[Mean_VP],MATCH(vp.data[[#This Row],[Crude_Breakdown]],crudeBD.lkup[Crude Breakdown],0)))^2</f>
        <v>464.84754727443453</v>
      </c>
      <c r="AK448" s="5">
        <f>(vp.data[[#This Row],[Dens]]-INDEX(crudeBD.lkup[Mean_Dens],MATCH(vp.data[[#This Row],[Crude_Breakdown]],crudeBD.lkup[Crude Breakdown],0)))^2</f>
        <v>13.838399999995973</v>
      </c>
      <c r="AL448" s="5">
        <f>(vp.data[[#This Row],[Sulf]]-INDEX(crudeBD.lkup[Mean_Sulf],MATCH(vp.data[[#This Row],[Crude_Breakdown]],crudeBD.lkup[Crude Breakdown],0)))^2</f>
        <v>0.17256391171563998</v>
      </c>
      <c r="AM448" s="4">
        <f>IF(AND(vp.data[[#This Row],[SDate]]&gt;=DATE(YEAR(vp.data[[#This Row],[SDate]]),5,1),vp.data[[#This Row],[SDate]]&lt;=DATE(YEAR(vp.data[[#This Row],[SDate]]),9,15)),1,0)</f>
        <v>0</v>
      </c>
      <c r="AN448" s="4">
        <f>IF(vp.data[[#This Row],[SDate]]&lt;DATE(2016,12,1),0,1)</f>
        <v>1</v>
      </c>
      <c r="AO448" s="4">
        <f>IFERROR(vp.data[[#This Row],[Sulf]]*vp.data[[#This Row],[Net Dens]],"")</f>
        <v>87084190.394676</v>
      </c>
      <c r="AP448">
        <f>IFERROR(vp.data[[#This Row],[Dens]]*vp.data[[#This Row],[VolumeM3]],"")</f>
        <v>89777515.870800003</v>
      </c>
      <c r="AQ448" s="15">
        <f>IFERROR(vp.data[[#This Row],[VP]]*vp.data[[#This Row],[VolumeM3]],"")</f>
        <v>10920331.018800002</v>
      </c>
    </row>
    <row r="449" spans="1:43" x14ac:dyDescent="0.25">
      <c r="A449">
        <v>448</v>
      </c>
      <c r="B449" t="s">
        <v>60</v>
      </c>
      <c r="C449" t="s">
        <v>60</v>
      </c>
      <c r="D449" t="s">
        <v>61</v>
      </c>
      <c r="E449" t="s">
        <v>73</v>
      </c>
      <c r="F449" s="1">
        <v>42726</v>
      </c>
      <c r="G449" s="2">
        <v>76.2</v>
      </c>
      <c r="H449" s="2"/>
      <c r="I449" s="2">
        <f t="array" ref="I449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49" s="2">
        <v>9.1</v>
      </c>
      <c r="K449" s="2">
        <v>-3</v>
      </c>
      <c r="L449" s="2">
        <v>843.5</v>
      </c>
      <c r="M449" s="2">
        <f t="array" ref="M449">_xlfn.IFNA(IF(vp.data[[#This Row],[Dens Input]]="",INDEX([1]DATA!$O$3:$O$9826,MATCH(1,(vp.data[[#This Row],[Battery]]=[1]DATA!$L$3:$L$9826)*(EOMONTH(vp.data[[#This Row],[SDate]],-1)+1=[1]DATA!$G$3:$G$9826),0)),vp.data[[#This Row],[Dens Input]]),"")</f>
        <v>843.5</v>
      </c>
      <c r="N449" s="2">
        <f ca="1">INDEX(INDIRECT(_xlfn.CONCAT("weather.tbl[",N$1,"]")),MATCH(vp.data[[#This Row],[SDate]],weather.tbl[Date],0))</f>
        <v>-4.8833333333333337</v>
      </c>
      <c r="O449" s="2">
        <f ca="1">INDEX(INDIRECT(_xlfn.CONCAT("weather.tbl[",O$1,"]")),MATCH(vp.data[[#This Row],[SDate]],weather.tbl[Date],0))</f>
        <v>-13.223809523809525</v>
      </c>
      <c r="P449" s="2">
        <f ca="1">INDEX(INDIRECT(_xlfn.CONCAT("weather.tbl[",P$1,"]")),MATCH(vp.data[[#This Row],[SDate]],weather.tbl[Date],0))</f>
        <v>-5</v>
      </c>
      <c r="Q449" s="2">
        <f ca="1">INDEX(INDIRECT(_xlfn.CONCAT("weather.tbl[",Q$1,"]")),MATCH(vp.data[[#This Row],[SDate]],weather.tbl[Date],0))</f>
        <v>-5.5</v>
      </c>
      <c r="R449" s="2">
        <f ca="1">INDEX(INDIRECT(_xlfn.CONCAT("weather.tbl[",R$1,"]")),MATCH(vp.data[[#This Row],[SDate]],weather.tbl[Date],0))</f>
        <v>-4.8</v>
      </c>
      <c r="S449" s="2">
        <f ca="1">INDEX(INDIRECT(_xlfn.CONCAT("weather.tbl[",S$1,"]")),MATCH(vp.data[[#This Row],[SDate]],weather.tbl[Date],0))</f>
        <v>-2</v>
      </c>
      <c r="T449" s="2">
        <f ca="1">INDEX(INDIRECT(_xlfn.CONCAT("weather.tbl[",T$1,"]")),MATCH(vp.data[[#This Row],[SDate]],weather.tbl[Date],0))</f>
        <v>-6.2</v>
      </c>
      <c r="U449" s="2">
        <f ca="1">INDEX(INDIRECT(_xlfn.CONCAT("weather.tbl[",U$1,"]")),MATCH(vp.data[[#This Row],[SDate]],weather.tbl[Date],0))</f>
        <v>-5.8</v>
      </c>
      <c r="V449" s="2">
        <f t="array" ref="V4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49" t="s">
        <v>48</v>
      </c>
      <c r="X449">
        <f>IF(OR(vp.data[[#This Row],[Sulf]]="",vp.data[[#This Row],[Dens]]=""),1,0)</f>
        <v>0</v>
      </c>
      <c r="Y449">
        <f>IF(vp.data[[#This Row],[CrudeType]]="C5+",1,0)</f>
        <v>0</v>
      </c>
      <c r="Z449">
        <f>IF(AND(vp.data[[#This Row],[CrudeType]]="Crude",vp.data[[#This Row],[Dens]]&lt;=825,vp.data[[#This Row],[Sulf]]&gt;0.5,vp.data[[#This Row],[Unknown]]=0),1,0)</f>
        <v>0</v>
      </c>
      <c r="AA449">
        <f>IF(AND(vp.data[[#This Row],[CrudeType]]="Crude",vp.data[[#This Row],[Dens]]&lt;=825,vp.data[[#This Row],[Sulf]]&lt;=0.5,vp.data[[#This Row],[Unknown]]=0),1,0)</f>
        <v>0</v>
      </c>
      <c r="AB4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49">
        <f>IF(AND(vp.data[[#This Row],[CrudeType]]="Crude",vp.data[[#This Row],[Dens]]&gt;825,vp.data[[#This Row],[Dens]]&lt;=900,vp.data[[#This Row],[Sulf]]&lt;=0.5,vp.data[[#This Row],[Unknown]]=0),1,0)</f>
        <v>0</v>
      </c>
      <c r="AD449">
        <f>IF(AND(vp.data[[#This Row],[CrudeType]]="Crude",vp.data[[#This Row],[Dens]]&gt;865,vp.data[[#This Row],[Dens]]&lt;=900,vp.data[[#This Row],[Sulf]]&gt;2,vp.data[[#This Row],[Unknown]]=0),1,0)</f>
        <v>0</v>
      </c>
      <c r="AE449">
        <f>IF(AND(vp.data[[#This Row],[CrudeType]]="Crude",vp.data[[#This Row],[Dens]]&gt;900,vp.data[[#This Row],[Sulf]]&lt;=0.5,vp.data[[#This Row],[Unknown]]=0),1,0)</f>
        <v>0</v>
      </c>
      <c r="AF449">
        <f>IF(AND(vp.data[[#This Row],[CrudeType]]="Crude",vp.data[[#This Row],[Dens]]&gt;900,vp.data[[#This Row],[Sulf]]&lt;=0.5,vp.data[[#This Row],[Unknown]]=0),1,0)</f>
        <v>0</v>
      </c>
      <c r="AG449" t="str">
        <f>INDEX(vp.data[[#Headers],[Unknown]:[Heavy_SW]],MATCH(1,vp.data[[#This Row],[Unknown]:[Heavy_SW]],0))</f>
        <v>Medium_LSB</v>
      </c>
      <c r="AH449">
        <f>INDEX([3]!crudeBD.lkup[Number],MATCH(vp.data[[#This Row],[Crude_Breakdown]],crudeBD.lkup[Crude Breakdown],0))</f>
        <v>3</v>
      </c>
      <c r="AI449">
        <f>MONTH(vp.data[[#This Row],[SDate]])</f>
        <v>12</v>
      </c>
      <c r="AJ449" s="5">
        <f>(vp.data[[#This Row],[VP]]-INDEX(crudeBD.lkup[Mean_VP],MATCH(vp.data[[#This Row],[Crude_Breakdown]],crudeBD.lkup[Crude Breakdown],0)))^2</f>
        <v>19.710727867422563</v>
      </c>
      <c r="AK449" s="5">
        <f>(vp.data[[#This Row],[Dens]]-INDEX(crudeBD.lkup[Mean_Dens],MATCH(vp.data[[#This Row],[Crude_Breakdown]],crudeBD.lkup[Crude Breakdown],0)))^2</f>
        <v>0.17639999999958364</v>
      </c>
      <c r="AL449" s="5">
        <f>(vp.data[[#This Row],[Sulf]]-INDEX(crudeBD.lkup[Mean_Sulf],MATCH(vp.data[[#This Row],[Crude_Breakdown]],crudeBD.lkup[Crude Breakdown],0)))^2</f>
        <v>0.17256391171563998</v>
      </c>
      <c r="AM449" s="4">
        <f>IF(AND(vp.data[[#This Row],[SDate]]&gt;=DATE(YEAR(vp.data[[#This Row],[SDate]]),5,1),vp.data[[#This Row],[SDate]]&lt;=DATE(YEAR(vp.data[[#This Row],[SDate]]),9,15)),1,0)</f>
        <v>0</v>
      </c>
      <c r="AN449" s="4">
        <f>IF(vp.data[[#This Row],[SDate]]&lt;DATE(2016,12,1),0,1)</f>
        <v>1</v>
      </c>
      <c r="AO449" s="4">
        <f>IFERROR(vp.data[[#This Row],[Sulf]]*vp.data[[#This Row],[Net Dens]],"")</f>
        <v>87426225.420030013</v>
      </c>
      <c r="AP449">
        <f>IFERROR(vp.data[[#This Row],[Dens]]*vp.data[[#This Row],[VolumeM3]],"")</f>
        <v>90130129.29900001</v>
      </c>
      <c r="AQ449" s="15">
        <f>IFERROR(vp.data[[#This Row],[VP]]*vp.data[[#This Row],[VolumeM3]],"")</f>
        <v>8142164.6148000006</v>
      </c>
    </row>
    <row r="450" spans="1:43" x14ac:dyDescent="0.25">
      <c r="A450">
        <v>449</v>
      </c>
      <c r="B450" t="s">
        <v>49</v>
      </c>
      <c r="C450" t="s">
        <v>49</v>
      </c>
      <c r="D450" t="s">
        <v>75</v>
      </c>
      <c r="F450" s="1">
        <v>42726</v>
      </c>
      <c r="G450" s="2">
        <v>123.8</v>
      </c>
      <c r="H450" s="2"/>
      <c r="I450" s="2">
        <f t="array" ref="I450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450" s="2">
        <v>14.1</v>
      </c>
      <c r="K450" s="2">
        <v>-3</v>
      </c>
      <c r="L450" s="2">
        <v>795.3</v>
      </c>
      <c r="M450" s="2">
        <f t="array" ref="M450">_xlfn.IFNA(IF(vp.data[[#This Row],[Dens Input]]="",INDEX([1]DATA!$O$3:$O$9826,MATCH(1,(vp.data[[#This Row],[Battery]]=[1]DATA!$L$3:$L$9826)*(EOMONTH(vp.data[[#This Row],[SDate]],-1)+1=[1]DATA!$G$3:$G$9826),0)),vp.data[[#This Row],[Dens Input]]),"")</f>
        <v>795.3</v>
      </c>
      <c r="N450" s="2">
        <f ca="1">INDEX(INDIRECT(_xlfn.CONCAT("weather.tbl[",N$1,"]")),MATCH(vp.data[[#This Row],[SDate]],weather.tbl[Date],0))</f>
        <v>-4.8833333333333337</v>
      </c>
      <c r="O450" s="2">
        <f ca="1">INDEX(INDIRECT(_xlfn.CONCAT("weather.tbl[",O$1,"]")),MATCH(vp.data[[#This Row],[SDate]],weather.tbl[Date],0))</f>
        <v>-13.223809523809525</v>
      </c>
      <c r="P450" s="2">
        <f ca="1">INDEX(INDIRECT(_xlfn.CONCAT("weather.tbl[",P$1,"]")),MATCH(vp.data[[#This Row],[SDate]],weather.tbl[Date],0))</f>
        <v>-5</v>
      </c>
      <c r="Q450" s="2">
        <f ca="1">INDEX(INDIRECT(_xlfn.CONCAT("weather.tbl[",Q$1,"]")),MATCH(vp.data[[#This Row],[SDate]],weather.tbl[Date],0))</f>
        <v>-5.5</v>
      </c>
      <c r="R450" s="2">
        <f ca="1">INDEX(INDIRECT(_xlfn.CONCAT("weather.tbl[",R$1,"]")),MATCH(vp.data[[#This Row],[SDate]],weather.tbl[Date],0))</f>
        <v>-4.8</v>
      </c>
      <c r="S450" s="2">
        <f ca="1">INDEX(INDIRECT(_xlfn.CONCAT("weather.tbl[",S$1,"]")),MATCH(vp.data[[#This Row],[SDate]],weather.tbl[Date],0))</f>
        <v>-2</v>
      </c>
      <c r="T450" s="2">
        <f ca="1">INDEX(INDIRECT(_xlfn.CONCAT("weather.tbl[",T$1,"]")),MATCH(vp.data[[#This Row],[SDate]],weather.tbl[Date],0))</f>
        <v>-6.2</v>
      </c>
      <c r="U450" s="2">
        <f ca="1">INDEX(INDIRECT(_xlfn.CONCAT("weather.tbl[",U$1,"]")),MATCH(vp.data[[#This Row],[SDate]],weather.tbl[Date],0))</f>
        <v>-5.8</v>
      </c>
      <c r="V450" s="2">
        <f t="array" ref="V4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450" t="s">
        <v>48</v>
      </c>
      <c r="X450">
        <f>IF(OR(vp.data[[#This Row],[Sulf]]="",vp.data[[#This Row],[Dens]]=""),1,0)</f>
        <v>0</v>
      </c>
      <c r="Y450">
        <f>IF(vp.data[[#This Row],[CrudeType]]="C5+",1,0)</f>
        <v>0</v>
      </c>
      <c r="Z450">
        <f>IF(AND(vp.data[[#This Row],[CrudeType]]="Crude",vp.data[[#This Row],[Dens]]&lt;=825,vp.data[[#This Row],[Sulf]]&gt;0.5,vp.data[[#This Row],[Unknown]]=0),1,0)</f>
        <v>0</v>
      </c>
      <c r="AA450">
        <f>IF(AND(vp.data[[#This Row],[CrudeType]]="Crude",vp.data[[#This Row],[Dens]]&lt;=825,vp.data[[#This Row],[Sulf]]&lt;=0.5,vp.data[[#This Row],[Unknown]]=0),1,0)</f>
        <v>1</v>
      </c>
      <c r="AB4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0">
        <f>IF(AND(vp.data[[#This Row],[CrudeType]]="Crude",vp.data[[#This Row],[Dens]]&gt;825,vp.data[[#This Row],[Dens]]&lt;=900,vp.data[[#This Row],[Sulf]]&lt;=0.5,vp.data[[#This Row],[Unknown]]=0),1,0)</f>
        <v>0</v>
      </c>
      <c r="AD450">
        <f>IF(AND(vp.data[[#This Row],[CrudeType]]="Crude",vp.data[[#This Row],[Dens]]&gt;865,vp.data[[#This Row],[Dens]]&lt;=900,vp.data[[#This Row],[Sulf]]&gt;2,vp.data[[#This Row],[Unknown]]=0),1,0)</f>
        <v>0</v>
      </c>
      <c r="AE450">
        <f>IF(AND(vp.data[[#This Row],[CrudeType]]="Crude",vp.data[[#This Row],[Dens]]&gt;900,vp.data[[#This Row],[Sulf]]&lt;=0.5,vp.data[[#This Row],[Unknown]]=0),1,0)</f>
        <v>0</v>
      </c>
      <c r="AF450">
        <f>IF(AND(vp.data[[#This Row],[CrudeType]]="Crude",vp.data[[#This Row],[Dens]]&gt;900,vp.data[[#This Row],[Sulf]]&lt;=0.5,vp.data[[#This Row],[Unknown]]=0),1,0)</f>
        <v>0</v>
      </c>
      <c r="AG450" t="str">
        <f>INDEX(vp.data[[#Headers],[Unknown]:[Heavy_SW]],MATCH(1,vp.data[[#This Row],[Unknown]:[Heavy_SW]],0))</f>
        <v>Light_SW</v>
      </c>
      <c r="AH450">
        <f>INDEX([3]!crudeBD.lkup[Number],MATCH(vp.data[[#This Row],[Crude_Breakdown]],crudeBD.lkup[Crude Breakdown],0))</f>
        <v>2</v>
      </c>
      <c r="AI450">
        <f>MONTH(vp.data[[#This Row],[SDate]])</f>
        <v>12</v>
      </c>
      <c r="AJ450" s="5">
        <f>(vp.data[[#This Row],[VP]]-INDEX(crudeBD.lkup[Mean_VP],MATCH(vp.data[[#This Row],[Crude_Breakdown]],crudeBD.lkup[Crude Breakdown],0)))^2</f>
        <v>976.54290079520376</v>
      </c>
      <c r="AK450" s="5">
        <f>(vp.data[[#This Row],[Dens]]-INDEX(crudeBD.lkup[Mean_Dens],MATCH(vp.data[[#This Row],[Crude_Breakdown]],crudeBD.lkup[Crude Breakdown],0)))^2</f>
        <v>169.29908691376161</v>
      </c>
      <c r="AL450" s="5">
        <f>(vp.data[[#This Row],[Sulf]]-INDEX(crudeBD.lkup[Mean_Sulf],MATCH(vp.data[[#This Row],[Crude_Breakdown]],crudeBD.lkup[Crude Breakdown],0)))^2</f>
        <v>1.1287322584467423E-2</v>
      </c>
      <c r="AM450" s="4">
        <f>IF(AND(vp.data[[#This Row],[SDate]]&gt;=DATE(YEAR(vp.data[[#This Row],[SDate]]),5,1),vp.data[[#This Row],[SDate]]&lt;=DATE(YEAR(vp.data[[#This Row],[SDate]]),9,15)),1,0)</f>
        <v>0</v>
      </c>
      <c r="AN450" s="4">
        <f>IF(vp.data[[#This Row],[SDate]]&lt;DATE(2016,12,1),0,1)</f>
        <v>1</v>
      </c>
      <c r="AO450" s="4">
        <f>IFERROR(vp.data[[#This Row],[Sulf]]*vp.data[[#This Row],[Net Dens]],"")</f>
        <v>2236860.509598</v>
      </c>
      <c r="AP450">
        <f>IFERROR(vp.data[[#This Row],[Dens]]*vp.data[[#This Row],[VolumeM3]],"")</f>
        <v>17206619.3046</v>
      </c>
      <c r="AQ450" s="15">
        <f>IFERROR(vp.data[[#This Row],[VP]]*vp.data[[#This Row],[VolumeM3]],"")</f>
        <v>2678460.2916000001</v>
      </c>
    </row>
    <row r="451" spans="1:43" x14ac:dyDescent="0.25">
      <c r="A451">
        <v>450</v>
      </c>
      <c r="B451" t="s">
        <v>49</v>
      </c>
      <c r="C451" t="s">
        <v>49</v>
      </c>
      <c r="D451" t="s">
        <v>74</v>
      </c>
      <c r="F451" s="1">
        <v>42726</v>
      </c>
      <c r="G451" s="2">
        <v>123.7</v>
      </c>
      <c r="H451" s="2"/>
      <c r="I451" s="2">
        <f t="array" ref="I451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451" s="2">
        <v>10.9</v>
      </c>
      <c r="K451" s="2">
        <v>-3</v>
      </c>
      <c r="L451" s="2">
        <v>798.5</v>
      </c>
      <c r="M451" s="2">
        <f t="array" ref="M451">_xlfn.IFNA(IF(vp.data[[#This Row],[Dens Input]]="",INDEX([1]DATA!$O$3:$O$9826,MATCH(1,(vp.data[[#This Row],[Battery]]=[1]DATA!$L$3:$L$9826)*(EOMONTH(vp.data[[#This Row],[SDate]],-1)+1=[1]DATA!$G$3:$G$9826),0)),vp.data[[#This Row],[Dens Input]]),"")</f>
        <v>798.5</v>
      </c>
      <c r="N451" s="2">
        <f ca="1">INDEX(INDIRECT(_xlfn.CONCAT("weather.tbl[",N$1,"]")),MATCH(vp.data[[#This Row],[SDate]],weather.tbl[Date],0))</f>
        <v>-4.8833333333333337</v>
      </c>
      <c r="O451" s="2">
        <f ca="1">INDEX(INDIRECT(_xlfn.CONCAT("weather.tbl[",O$1,"]")),MATCH(vp.data[[#This Row],[SDate]],weather.tbl[Date],0))</f>
        <v>-13.223809523809525</v>
      </c>
      <c r="P451" s="2">
        <f ca="1">INDEX(INDIRECT(_xlfn.CONCAT("weather.tbl[",P$1,"]")),MATCH(vp.data[[#This Row],[SDate]],weather.tbl[Date],0))</f>
        <v>-5</v>
      </c>
      <c r="Q451" s="2">
        <f ca="1">INDEX(INDIRECT(_xlfn.CONCAT("weather.tbl[",Q$1,"]")),MATCH(vp.data[[#This Row],[SDate]],weather.tbl[Date],0))</f>
        <v>-5.5</v>
      </c>
      <c r="R451" s="2">
        <f ca="1">INDEX(INDIRECT(_xlfn.CONCAT("weather.tbl[",R$1,"]")),MATCH(vp.data[[#This Row],[SDate]],weather.tbl[Date],0))</f>
        <v>-4.8</v>
      </c>
      <c r="S451" s="2">
        <f ca="1">INDEX(INDIRECT(_xlfn.CONCAT("weather.tbl[",S$1,"]")),MATCH(vp.data[[#This Row],[SDate]],weather.tbl[Date],0))</f>
        <v>-2</v>
      </c>
      <c r="T451" s="2">
        <f ca="1">INDEX(INDIRECT(_xlfn.CONCAT("weather.tbl[",T$1,"]")),MATCH(vp.data[[#This Row],[SDate]],weather.tbl[Date],0))</f>
        <v>-6.2</v>
      </c>
      <c r="U451" s="2">
        <f ca="1">INDEX(INDIRECT(_xlfn.CONCAT("weather.tbl[",U$1,"]")),MATCH(vp.data[[#This Row],[SDate]],weather.tbl[Date],0))</f>
        <v>-5.8</v>
      </c>
      <c r="V451" s="2">
        <f t="array" ref="V4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451" t="s">
        <v>48</v>
      </c>
      <c r="X451">
        <f>IF(OR(vp.data[[#This Row],[Sulf]]="",vp.data[[#This Row],[Dens]]=""),1,0)</f>
        <v>0</v>
      </c>
      <c r="Y451">
        <f>IF(vp.data[[#This Row],[CrudeType]]="C5+",1,0)</f>
        <v>0</v>
      </c>
      <c r="Z451">
        <f>IF(AND(vp.data[[#This Row],[CrudeType]]="Crude",vp.data[[#This Row],[Dens]]&lt;=825,vp.data[[#This Row],[Sulf]]&gt;0.5,vp.data[[#This Row],[Unknown]]=0),1,0)</f>
        <v>0</v>
      </c>
      <c r="AA451">
        <f>IF(AND(vp.data[[#This Row],[CrudeType]]="Crude",vp.data[[#This Row],[Dens]]&lt;=825,vp.data[[#This Row],[Sulf]]&lt;=0.5,vp.data[[#This Row],[Unknown]]=0),1,0)</f>
        <v>1</v>
      </c>
      <c r="AB4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1">
        <f>IF(AND(vp.data[[#This Row],[CrudeType]]="Crude",vp.data[[#This Row],[Dens]]&gt;825,vp.data[[#This Row],[Dens]]&lt;=900,vp.data[[#This Row],[Sulf]]&lt;=0.5,vp.data[[#This Row],[Unknown]]=0),1,0)</f>
        <v>0</v>
      </c>
      <c r="AD451">
        <f>IF(AND(vp.data[[#This Row],[CrudeType]]="Crude",vp.data[[#This Row],[Dens]]&gt;865,vp.data[[#This Row],[Dens]]&lt;=900,vp.data[[#This Row],[Sulf]]&gt;2,vp.data[[#This Row],[Unknown]]=0),1,0)</f>
        <v>0</v>
      </c>
      <c r="AE451">
        <f>IF(AND(vp.data[[#This Row],[CrudeType]]="Crude",vp.data[[#This Row],[Dens]]&gt;900,vp.data[[#This Row],[Sulf]]&lt;=0.5,vp.data[[#This Row],[Unknown]]=0),1,0)</f>
        <v>0</v>
      </c>
      <c r="AF451">
        <f>IF(AND(vp.data[[#This Row],[CrudeType]]="Crude",vp.data[[#This Row],[Dens]]&gt;900,vp.data[[#This Row],[Sulf]]&lt;=0.5,vp.data[[#This Row],[Unknown]]=0),1,0)</f>
        <v>0</v>
      </c>
      <c r="AG451" t="str">
        <f>INDEX(vp.data[[#Headers],[Unknown]:[Heavy_SW]],MATCH(1,vp.data[[#This Row],[Unknown]:[Heavy_SW]],0))</f>
        <v>Light_SW</v>
      </c>
      <c r="AH451">
        <f>INDEX([3]!crudeBD.lkup[Number],MATCH(vp.data[[#This Row],[Crude_Breakdown]],crudeBD.lkup[Crude Breakdown],0))</f>
        <v>2</v>
      </c>
      <c r="AI451">
        <f>MONTH(vp.data[[#This Row],[SDate]])</f>
        <v>12</v>
      </c>
      <c r="AJ451" s="5">
        <f>(vp.data[[#This Row],[VP]]-INDEX(crudeBD.lkup[Mean_VP],MATCH(vp.data[[#This Row],[Crude_Breakdown]],crudeBD.lkup[Crude Breakdown],0)))^2</f>
        <v>970.30296351297409</v>
      </c>
      <c r="AK451" s="5">
        <f>(vp.data[[#This Row],[Dens]]-INDEX(crudeBD.lkup[Mean_Dens],MATCH(vp.data[[#This Row],[Crude_Breakdown]],crudeBD.lkup[Crude Breakdown],0)))^2</f>
        <v>96.2654980635876</v>
      </c>
      <c r="AL451" s="5">
        <f>(vp.data[[#This Row],[Sulf]]-INDEX(crudeBD.lkup[Mean_Sulf],MATCH(vp.data[[#This Row],[Crude_Breakdown]],crudeBD.lkup[Crude Breakdown],0)))^2</f>
        <v>7.4376501105998362E-3</v>
      </c>
      <c r="AM451" s="4">
        <f>IF(AND(vp.data[[#This Row],[SDate]]&gt;=DATE(YEAR(vp.data[[#This Row],[SDate]]),5,1),vp.data[[#This Row],[SDate]]&lt;=DATE(YEAR(vp.data[[#This Row],[SDate]]),9,15)),1,0)</f>
        <v>0</v>
      </c>
      <c r="AN451" s="4">
        <f>IF(vp.data[[#This Row],[SDate]]&lt;DATE(2016,12,1),0,1)</f>
        <v>1</v>
      </c>
      <c r="AO451" s="4">
        <f>IFERROR(vp.data[[#This Row],[Sulf]]*vp.data[[#This Row],[Net Dens]],"")</f>
        <v>3617134.4525249996</v>
      </c>
      <c r="AP451">
        <f>IFERROR(vp.data[[#This Row],[Dens]]*vp.data[[#This Row],[VolumeM3]],"")</f>
        <v>24114229.683499999</v>
      </c>
      <c r="AQ451" s="15">
        <f>IFERROR(vp.data[[#This Row],[VP]]*vp.data[[#This Row],[VolumeM3]],"")</f>
        <v>3735667.1406999999</v>
      </c>
    </row>
    <row r="452" spans="1:43" x14ac:dyDescent="0.25">
      <c r="A452">
        <v>451</v>
      </c>
      <c r="B452" t="s">
        <v>62</v>
      </c>
      <c r="C452" t="s">
        <v>62</v>
      </c>
      <c r="D452" t="s">
        <v>83</v>
      </c>
      <c r="F452" s="1">
        <v>42726</v>
      </c>
      <c r="G452" s="2">
        <v>112.2</v>
      </c>
      <c r="H452" s="2"/>
      <c r="I452" s="2">
        <f t="array" ref="I45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452" s="2">
        <v>2.7</v>
      </c>
      <c r="K452" s="2">
        <v>-3</v>
      </c>
      <c r="L452" s="2">
        <v>803.3</v>
      </c>
      <c r="M452" s="2">
        <f t="array" ref="M452">_xlfn.IFNA(IF(vp.data[[#This Row],[Dens Input]]="",INDEX([1]DATA!$O$3:$O$9826,MATCH(1,(vp.data[[#This Row],[Battery]]=[1]DATA!$L$3:$L$9826)*(EOMONTH(vp.data[[#This Row],[SDate]],-1)+1=[1]DATA!$G$3:$G$9826),0)),vp.data[[#This Row],[Dens Input]]),"")</f>
        <v>803.3</v>
      </c>
      <c r="N452" s="2">
        <f ca="1">INDEX(INDIRECT(_xlfn.CONCAT("weather.tbl[",N$1,"]")),MATCH(vp.data[[#This Row],[SDate]],weather.tbl[Date],0))</f>
        <v>-4.8833333333333337</v>
      </c>
      <c r="O452" s="2">
        <f ca="1">INDEX(INDIRECT(_xlfn.CONCAT("weather.tbl[",O$1,"]")),MATCH(vp.data[[#This Row],[SDate]],weather.tbl[Date],0))</f>
        <v>-13.223809523809525</v>
      </c>
      <c r="P452" s="2">
        <f ca="1">INDEX(INDIRECT(_xlfn.CONCAT("weather.tbl[",P$1,"]")),MATCH(vp.data[[#This Row],[SDate]],weather.tbl[Date],0))</f>
        <v>-5</v>
      </c>
      <c r="Q452" s="2">
        <f ca="1">INDEX(INDIRECT(_xlfn.CONCAT("weather.tbl[",Q$1,"]")),MATCH(vp.data[[#This Row],[SDate]],weather.tbl[Date],0))</f>
        <v>-5.5</v>
      </c>
      <c r="R452" s="2">
        <f ca="1">INDEX(INDIRECT(_xlfn.CONCAT("weather.tbl[",R$1,"]")),MATCH(vp.data[[#This Row],[SDate]],weather.tbl[Date],0))</f>
        <v>-4.8</v>
      </c>
      <c r="S452" s="2">
        <f ca="1">INDEX(INDIRECT(_xlfn.CONCAT("weather.tbl[",S$1,"]")),MATCH(vp.data[[#This Row],[SDate]],weather.tbl[Date],0))</f>
        <v>-2</v>
      </c>
      <c r="T452" s="2">
        <f ca="1">INDEX(INDIRECT(_xlfn.CONCAT("weather.tbl[",T$1,"]")),MATCH(vp.data[[#This Row],[SDate]],weather.tbl[Date],0))</f>
        <v>-6.2</v>
      </c>
      <c r="U452" s="2">
        <f ca="1">INDEX(INDIRECT(_xlfn.CONCAT("weather.tbl[",U$1,"]")),MATCH(vp.data[[#This Row],[SDate]],weather.tbl[Date],0))</f>
        <v>-5.8</v>
      </c>
      <c r="V452" s="2">
        <f t="array" ref="V4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9482.9609999999993</v>
      </c>
      <c r="W452" t="s">
        <v>48</v>
      </c>
      <c r="X452">
        <f>IF(OR(vp.data[[#This Row],[Sulf]]="",vp.data[[#This Row],[Dens]]=""),1,0)</f>
        <v>0</v>
      </c>
      <c r="Y452">
        <f>IF(vp.data[[#This Row],[CrudeType]]="C5+",1,0)</f>
        <v>0</v>
      </c>
      <c r="Z452">
        <f>IF(AND(vp.data[[#This Row],[CrudeType]]="Crude",vp.data[[#This Row],[Dens]]&lt;=825,vp.data[[#This Row],[Sulf]]&gt;0.5,vp.data[[#This Row],[Unknown]]=0),1,0)</f>
        <v>0</v>
      </c>
      <c r="AA452">
        <f>IF(AND(vp.data[[#This Row],[CrudeType]]="Crude",vp.data[[#This Row],[Dens]]&lt;=825,vp.data[[#This Row],[Sulf]]&lt;=0.5,vp.data[[#This Row],[Unknown]]=0),1,0)</f>
        <v>1</v>
      </c>
      <c r="AB4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2">
        <f>IF(AND(vp.data[[#This Row],[CrudeType]]="Crude",vp.data[[#This Row],[Dens]]&gt;825,vp.data[[#This Row],[Dens]]&lt;=900,vp.data[[#This Row],[Sulf]]&lt;=0.5,vp.data[[#This Row],[Unknown]]=0),1,0)</f>
        <v>0</v>
      </c>
      <c r="AD452">
        <f>IF(AND(vp.data[[#This Row],[CrudeType]]="Crude",vp.data[[#This Row],[Dens]]&gt;865,vp.data[[#This Row],[Dens]]&lt;=900,vp.data[[#This Row],[Sulf]]&gt;2,vp.data[[#This Row],[Unknown]]=0),1,0)</f>
        <v>0</v>
      </c>
      <c r="AE452">
        <f>IF(AND(vp.data[[#This Row],[CrudeType]]="Crude",vp.data[[#This Row],[Dens]]&gt;900,vp.data[[#This Row],[Sulf]]&lt;=0.5,vp.data[[#This Row],[Unknown]]=0),1,0)</f>
        <v>0</v>
      </c>
      <c r="AF452">
        <f>IF(AND(vp.data[[#This Row],[CrudeType]]="Crude",vp.data[[#This Row],[Dens]]&gt;900,vp.data[[#This Row],[Sulf]]&lt;=0.5,vp.data[[#This Row],[Unknown]]=0),1,0)</f>
        <v>0</v>
      </c>
      <c r="AG452" t="str">
        <f>INDEX(vp.data[[#Headers],[Unknown]:[Heavy_SW]],MATCH(1,vp.data[[#This Row],[Unknown]:[Heavy_SW]],0))</f>
        <v>Light_SW</v>
      </c>
      <c r="AH452">
        <f>INDEX([3]!crudeBD.lkup[Number],MATCH(vp.data[[#This Row],[Crude_Breakdown]],crudeBD.lkup[Crude Breakdown],0))</f>
        <v>2</v>
      </c>
      <c r="AI452">
        <f>MONTH(vp.data[[#This Row],[SDate]])</f>
        <v>12</v>
      </c>
      <c r="AJ452" s="5">
        <f>(vp.data[[#This Row],[VP]]-INDEX(crudeBD.lkup[Mean_VP],MATCH(vp.data[[#This Row],[Crude_Breakdown]],crudeBD.lkup[Crude Breakdown],0)))^2</f>
        <v>386.11017605652739</v>
      </c>
      <c r="AK452" s="5">
        <f>(vp.data[[#This Row],[Dens]]-INDEX(crudeBD.lkup[Mean_Dens],MATCH(vp.data[[#This Row],[Crude_Breakdown]],crudeBD.lkup[Crude Breakdown],0)))^2</f>
        <v>25.115114788328828</v>
      </c>
      <c r="AL452" s="5">
        <f>(vp.data[[#This Row],[Sulf]]-INDEX(crudeBD.lkup[Mean_Sulf],MATCH(vp.data[[#This Row],[Crude_Breakdown]],crudeBD.lkup[Crude Breakdown],0)))^2</f>
        <v>4.3879776367322437E-3</v>
      </c>
      <c r="AM452" s="4">
        <f>IF(AND(vp.data[[#This Row],[SDate]]&gt;=DATE(YEAR(vp.data[[#This Row],[SDate]]),5,1),vp.data[[#This Row],[SDate]]&lt;=DATE(YEAR(vp.data[[#This Row],[SDate]]),9,15)),1,0)</f>
        <v>0</v>
      </c>
      <c r="AN452" s="4">
        <f>IF(vp.data[[#This Row],[SDate]]&lt;DATE(2016,12,1),0,1)</f>
        <v>1</v>
      </c>
      <c r="AO452" s="4">
        <f>IFERROR(vp.data[[#This Row],[Sulf]]*vp.data[[#This Row],[Net Dens]],"")</f>
        <v>1295002.6371209999</v>
      </c>
      <c r="AP452">
        <f>IFERROR(vp.data[[#This Row],[Dens]]*vp.data[[#This Row],[VolumeM3]],"")</f>
        <v>7617662.571299999</v>
      </c>
      <c r="AQ452" s="15">
        <f>IFERROR(vp.data[[#This Row],[VP]]*vp.data[[#This Row],[VolumeM3]],"")</f>
        <v>1063988.2242000001</v>
      </c>
    </row>
    <row r="453" spans="1:43" x14ac:dyDescent="0.25">
      <c r="A453">
        <v>452</v>
      </c>
      <c r="B453" t="s">
        <v>62</v>
      </c>
      <c r="C453" t="s">
        <v>62</v>
      </c>
      <c r="D453" t="s">
        <v>79</v>
      </c>
      <c r="F453" s="1">
        <v>42726</v>
      </c>
      <c r="G453" s="2">
        <v>90.3</v>
      </c>
      <c r="H453" s="2"/>
      <c r="I453" s="2">
        <f t="array" ref="I453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453" s="2">
        <v>19.600000000000001</v>
      </c>
      <c r="K453" s="2">
        <v>-3</v>
      </c>
      <c r="L453" s="2">
        <v>806.9</v>
      </c>
      <c r="M453" s="2">
        <f t="array" ref="M453">_xlfn.IFNA(IF(vp.data[[#This Row],[Dens Input]]="",INDEX([1]DATA!$O$3:$O$9826,MATCH(1,(vp.data[[#This Row],[Battery]]=[1]DATA!$L$3:$L$9826)*(EOMONTH(vp.data[[#This Row],[SDate]],-1)+1=[1]DATA!$G$3:$G$9826),0)),vp.data[[#This Row],[Dens Input]]),"")</f>
        <v>806.9</v>
      </c>
      <c r="N453" s="2">
        <f ca="1">INDEX(INDIRECT(_xlfn.CONCAT("weather.tbl[",N$1,"]")),MATCH(vp.data[[#This Row],[SDate]],weather.tbl[Date],0))</f>
        <v>-4.8833333333333337</v>
      </c>
      <c r="O453" s="2">
        <f ca="1">INDEX(INDIRECT(_xlfn.CONCAT("weather.tbl[",O$1,"]")),MATCH(vp.data[[#This Row],[SDate]],weather.tbl[Date],0))</f>
        <v>-13.223809523809525</v>
      </c>
      <c r="P453" s="2">
        <f ca="1">INDEX(INDIRECT(_xlfn.CONCAT("weather.tbl[",P$1,"]")),MATCH(vp.data[[#This Row],[SDate]],weather.tbl[Date],0))</f>
        <v>-5</v>
      </c>
      <c r="Q453" s="2">
        <f ca="1">INDEX(INDIRECT(_xlfn.CONCAT("weather.tbl[",Q$1,"]")),MATCH(vp.data[[#This Row],[SDate]],weather.tbl[Date],0))</f>
        <v>-5.5</v>
      </c>
      <c r="R453" s="2">
        <f ca="1">INDEX(INDIRECT(_xlfn.CONCAT("weather.tbl[",R$1,"]")),MATCH(vp.data[[#This Row],[SDate]],weather.tbl[Date],0))</f>
        <v>-4.8</v>
      </c>
      <c r="S453" s="2">
        <f ca="1">INDEX(INDIRECT(_xlfn.CONCAT("weather.tbl[",S$1,"]")),MATCH(vp.data[[#This Row],[SDate]],weather.tbl[Date],0))</f>
        <v>-2</v>
      </c>
      <c r="T453" s="2">
        <f ca="1">INDEX(INDIRECT(_xlfn.CONCAT("weather.tbl[",T$1,"]")),MATCH(vp.data[[#This Row],[SDate]],weather.tbl[Date],0))</f>
        <v>-6.2</v>
      </c>
      <c r="U453" s="2">
        <f ca="1">INDEX(INDIRECT(_xlfn.CONCAT("weather.tbl[",U$1,"]")),MATCH(vp.data[[#This Row],[SDate]],weather.tbl[Date],0))</f>
        <v>-5.8</v>
      </c>
      <c r="V453" s="2">
        <f t="array" ref="V4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13104.25</v>
      </c>
      <c r="W453" t="s">
        <v>48</v>
      </c>
      <c r="X453">
        <f>IF(OR(vp.data[[#This Row],[Sulf]]="",vp.data[[#This Row],[Dens]]=""),1,0)</f>
        <v>0</v>
      </c>
      <c r="Y453">
        <f>IF(vp.data[[#This Row],[CrudeType]]="C5+",1,0)</f>
        <v>0</v>
      </c>
      <c r="Z453">
        <f>IF(AND(vp.data[[#This Row],[CrudeType]]="Crude",vp.data[[#This Row],[Dens]]&lt;=825,vp.data[[#This Row],[Sulf]]&gt;0.5,vp.data[[#This Row],[Unknown]]=0),1,0)</f>
        <v>0</v>
      </c>
      <c r="AA453">
        <f>IF(AND(vp.data[[#This Row],[CrudeType]]="Crude",vp.data[[#This Row],[Dens]]&lt;=825,vp.data[[#This Row],[Sulf]]&lt;=0.5,vp.data[[#This Row],[Unknown]]=0),1,0)</f>
        <v>1</v>
      </c>
      <c r="AB4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3">
        <f>IF(AND(vp.data[[#This Row],[CrudeType]]="Crude",vp.data[[#This Row],[Dens]]&gt;825,vp.data[[#This Row],[Dens]]&lt;=900,vp.data[[#This Row],[Sulf]]&lt;=0.5,vp.data[[#This Row],[Unknown]]=0),1,0)</f>
        <v>0</v>
      </c>
      <c r="AD453">
        <f>IF(AND(vp.data[[#This Row],[CrudeType]]="Crude",vp.data[[#This Row],[Dens]]&gt;865,vp.data[[#This Row],[Dens]]&lt;=900,vp.data[[#This Row],[Sulf]]&gt;2,vp.data[[#This Row],[Unknown]]=0),1,0)</f>
        <v>0</v>
      </c>
      <c r="AE453">
        <f>IF(AND(vp.data[[#This Row],[CrudeType]]="Crude",vp.data[[#This Row],[Dens]]&gt;900,vp.data[[#This Row],[Sulf]]&lt;=0.5,vp.data[[#This Row],[Unknown]]=0),1,0)</f>
        <v>0</v>
      </c>
      <c r="AF453">
        <f>IF(AND(vp.data[[#This Row],[CrudeType]]="Crude",vp.data[[#This Row],[Dens]]&gt;900,vp.data[[#This Row],[Sulf]]&lt;=0.5,vp.data[[#This Row],[Unknown]]=0),1,0)</f>
        <v>0</v>
      </c>
      <c r="AG453" t="str">
        <f>INDEX(vp.data[[#Headers],[Unknown]:[Heavy_SW]],MATCH(1,vp.data[[#This Row],[Unknown]:[Heavy_SW]],0))</f>
        <v>Light_SW</v>
      </c>
      <c r="AH453">
        <f>INDEX([3]!crudeBD.lkup[Number],MATCH(vp.data[[#This Row],[Crude_Breakdown]],crudeBD.lkup[Crude Breakdown],0))</f>
        <v>2</v>
      </c>
      <c r="AI453">
        <f>MONTH(vp.data[[#This Row],[SDate]])</f>
        <v>12</v>
      </c>
      <c r="AJ453" s="5">
        <f>(vp.data[[#This Row],[VP]]-INDEX(crudeBD.lkup[Mean_VP],MATCH(vp.data[[#This Row],[Crude_Breakdown]],crudeBD.lkup[Crude Breakdown],0)))^2</f>
        <v>5.063911248163631</v>
      </c>
      <c r="AK453" s="5">
        <f>(vp.data[[#This Row],[Dens]]-INDEX(crudeBD.lkup[Mean_Dens],MATCH(vp.data[[#This Row],[Crude_Breakdown]],crudeBD.lkup[Crude Breakdown],0)))^2</f>
        <v>1.992327331884016</v>
      </c>
      <c r="AL453" s="5">
        <f>(vp.data[[#This Row],[Sulf]]-INDEX(crudeBD.lkup[Mean_Sulf],MATCH(vp.data[[#This Row],[Crude_Breakdown]],crudeBD.lkup[Crude Breakdown],0)))^2</f>
        <v>2.1383051628646554E-3</v>
      </c>
      <c r="AM453" s="4">
        <f>IF(AND(vp.data[[#This Row],[SDate]]&gt;=DATE(YEAR(vp.data[[#This Row],[SDate]]),5,1),vp.data[[#This Row],[SDate]]&lt;=DATE(YEAR(vp.data[[#This Row],[SDate]]),9,15)),1,0)</f>
        <v>0</v>
      </c>
      <c r="AN453" s="4">
        <f>IF(vp.data[[#This Row],[SDate]]&lt;DATE(2016,12,1),0,1)</f>
        <v>1</v>
      </c>
      <c r="AO453" s="4">
        <f>IFERROR(vp.data[[#This Row],[Sulf]]*vp.data[[#This Row],[Net Dens]],"")</f>
        <v>2009025.67175</v>
      </c>
      <c r="AP453">
        <f>IFERROR(vp.data[[#This Row],[Dens]]*vp.data[[#This Row],[VolumeM3]],"")</f>
        <v>10573819.324999999</v>
      </c>
      <c r="AQ453" s="15">
        <f>IFERROR(vp.data[[#This Row],[VP]]*vp.data[[#This Row],[VolumeM3]],"")</f>
        <v>1183313.7749999999</v>
      </c>
    </row>
    <row r="454" spans="1:43" x14ac:dyDescent="0.25">
      <c r="A454">
        <v>453</v>
      </c>
      <c r="B454" t="s">
        <v>49</v>
      </c>
      <c r="C454" t="s">
        <v>49</v>
      </c>
      <c r="D454" t="s">
        <v>99</v>
      </c>
      <c r="F454" s="1">
        <v>42726</v>
      </c>
      <c r="G454" s="2">
        <v>84.9</v>
      </c>
      <c r="H454" s="2"/>
      <c r="I454" s="2">
        <f t="array" ref="I454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454" s="2">
        <v>5.4</v>
      </c>
      <c r="K454" s="2">
        <v>-3</v>
      </c>
      <c r="L454" s="2">
        <v>807</v>
      </c>
      <c r="M454" s="2">
        <f t="array" ref="M454">_xlfn.IFNA(IF(vp.data[[#This Row],[Dens Input]]="",INDEX([1]DATA!$O$3:$O$9826,MATCH(1,(vp.data[[#This Row],[Battery]]=[1]DATA!$L$3:$L$9826)*(EOMONTH(vp.data[[#This Row],[SDate]],-1)+1=[1]DATA!$G$3:$G$9826),0)),vp.data[[#This Row],[Dens Input]]),"")</f>
        <v>807</v>
      </c>
      <c r="N454" s="2">
        <f ca="1">INDEX(INDIRECT(_xlfn.CONCAT("weather.tbl[",N$1,"]")),MATCH(vp.data[[#This Row],[SDate]],weather.tbl[Date],0))</f>
        <v>-4.8833333333333337</v>
      </c>
      <c r="O454" s="2">
        <f ca="1">INDEX(INDIRECT(_xlfn.CONCAT("weather.tbl[",O$1,"]")),MATCH(vp.data[[#This Row],[SDate]],weather.tbl[Date],0))</f>
        <v>-13.223809523809525</v>
      </c>
      <c r="P454" s="2">
        <f ca="1">INDEX(INDIRECT(_xlfn.CONCAT("weather.tbl[",P$1,"]")),MATCH(vp.data[[#This Row],[SDate]],weather.tbl[Date],0))</f>
        <v>-5</v>
      </c>
      <c r="Q454" s="2">
        <f ca="1">INDEX(INDIRECT(_xlfn.CONCAT("weather.tbl[",Q$1,"]")),MATCH(vp.data[[#This Row],[SDate]],weather.tbl[Date],0))</f>
        <v>-5.5</v>
      </c>
      <c r="R454" s="2">
        <f ca="1">INDEX(INDIRECT(_xlfn.CONCAT("weather.tbl[",R$1,"]")),MATCH(vp.data[[#This Row],[SDate]],weather.tbl[Date],0))</f>
        <v>-4.8</v>
      </c>
      <c r="S454" s="2">
        <f ca="1">INDEX(INDIRECT(_xlfn.CONCAT("weather.tbl[",S$1,"]")),MATCH(vp.data[[#This Row],[SDate]],weather.tbl[Date],0))</f>
        <v>-2</v>
      </c>
      <c r="T454" s="2">
        <f ca="1">INDEX(INDIRECT(_xlfn.CONCAT("weather.tbl[",T$1,"]")),MATCH(vp.data[[#This Row],[SDate]],weather.tbl[Date],0))</f>
        <v>-6.2</v>
      </c>
      <c r="U454" s="2">
        <f ca="1">INDEX(INDIRECT(_xlfn.CONCAT("weather.tbl[",U$1,"]")),MATCH(vp.data[[#This Row],[SDate]],weather.tbl[Date],0))</f>
        <v>-5.8</v>
      </c>
      <c r="V454" s="2">
        <f t="array" ref="V4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2747.39</v>
      </c>
      <c r="W454" t="s">
        <v>48</v>
      </c>
      <c r="X454">
        <f>IF(OR(vp.data[[#This Row],[Sulf]]="",vp.data[[#This Row],[Dens]]=""),1,0)</f>
        <v>0</v>
      </c>
      <c r="Y454">
        <f>IF(vp.data[[#This Row],[CrudeType]]="C5+",1,0)</f>
        <v>0</v>
      </c>
      <c r="Z454">
        <f>IF(AND(vp.data[[#This Row],[CrudeType]]="Crude",vp.data[[#This Row],[Dens]]&lt;=825,vp.data[[#This Row],[Sulf]]&gt;0.5,vp.data[[#This Row],[Unknown]]=0),1,0)</f>
        <v>0</v>
      </c>
      <c r="AA454">
        <f>IF(AND(vp.data[[#This Row],[CrudeType]]="Crude",vp.data[[#This Row],[Dens]]&lt;=825,vp.data[[#This Row],[Sulf]]&lt;=0.5,vp.data[[#This Row],[Unknown]]=0),1,0)</f>
        <v>1</v>
      </c>
      <c r="AB4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4">
        <f>IF(AND(vp.data[[#This Row],[CrudeType]]="Crude",vp.data[[#This Row],[Dens]]&gt;825,vp.data[[#This Row],[Dens]]&lt;=900,vp.data[[#This Row],[Sulf]]&lt;=0.5,vp.data[[#This Row],[Unknown]]=0),1,0)</f>
        <v>0</v>
      </c>
      <c r="AD454">
        <f>IF(AND(vp.data[[#This Row],[CrudeType]]="Crude",vp.data[[#This Row],[Dens]]&gt;865,vp.data[[#This Row],[Dens]]&lt;=900,vp.data[[#This Row],[Sulf]]&gt;2,vp.data[[#This Row],[Unknown]]=0),1,0)</f>
        <v>0</v>
      </c>
      <c r="AE454">
        <f>IF(AND(vp.data[[#This Row],[CrudeType]]="Crude",vp.data[[#This Row],[Dens]]&gt;900,vp.data[[#This Row],[Sulf]]&lt;=0.5,vp.data[[#This Row],[Unknown]]=0),1,0)</f>
        <v>0</v>
      </c>
      <c r="AF454">
        <f>IF(AND(vp.data[[#This Row],[CrudeType]]="Crude",vp.data[[#This Row],[Dens]]&gt;900,vp.data[[#This Row],[Sulf]]&lt;=0.5,vp.data[[#This Row],[Unknown]]=0),1,0)</f>
        <v>0</v>
      </c>
      <c r="AG454" t="str">
        <f>INDEX(vp.data[[#Headers],[Unknown]:[Heavy_SW]],MATCH(1,vp.data[[#This Row],[Unknown]:[Heavy_SW]],0))</f>
        <v>Light_SW</v>
      </c>
      <c r="AH454">
        <f>INDEX([3]!crudeBD.lkup[Number],MATCH(vp.data[[#This Row],[Crude_Breakdown]],crudeBD.lkup[Crude Breakdown],0))</f>
        <v>2</v>
      </c>
      <c r="AI454">
        <f>MONTH(vp.data[[#This Row],[SDate]])</f>
        <v>12</v>
      </c>
      <c r="AJ454" s="5">
        <f>(vp.data[[#This Row],[VP]]-INDEX(crudeBD.lkup[Mean_VP],MATCH(vp.data[[#This Row],[Crude_Breakdown]],crudeBD.lkup[Crude Breakdown],0)))^2</f>
        <v>58.527298007745095</v>
      </c>
      <c r="AK454" s="5">
        <f>(vp.data[[#This Row],[Dens]]-INDEX(crudeBD.lkup[Mean_Dens],MATCH(vp.data[[#This Row],[Crude_Breakdown]],crudeBD.lkup[Crude Breakdown],0)))^2</f>
        <v>1.7200276803160512</v>
      </c>
      <c r="AL454" s="5">
        <f>(vp.data[[#This Row],[Sulf]]-INDEX(crudeBD.lkup[Mean_Sulf],MATCH(vp.data[[#This Row],[Crude_Breakdown]],crudeBD.lkup[Crude Breakdown],0)))^2</f>
        <v>8.7905978457915313E-3</v>
      </c>
      <c r="AM454" s="4">
        <f>IF(AND(vp.data[[#This Row],[SDate]]&gt;=DATE(YEAR(vp.data[[#This Row],[SDate]]),5,1),vp.data[[#This Row],[SDate]]&lt;=DATE(YEAR(vp.data[[#This Row],[SDate]]),9,15)),1,0)</f>
        <v>0</v>
      </c>
      <c r="AN454" s="4">
        <f>IF(vp.data[[#This Row],[SDate]]&lt;DATE(2016,12,1),0,1)</f>
        <v>1</v>
      </c>
      <c r="AO454" s="4">
        <f>IFERROR(vp.data[[#This Row],[Sulf]]*vp.data[[#This Row],[Net Dens]],"")</f>
        <v>731657.43090000004</v>
      </c>
      <c r="AP454">
        <f>IFERROR(vp.data[[#This Row],[Dens]]*vp.data[[#This Row],[VolumeM3]],"")</f>
        <v>2217143.73</v>
      </c>
      <c r="AQ454" s="15">
        <f>IFERROR(vp.data[[#This Row],[VP]]*vp.data[[#This Row],[VolumeM3]],"")</f>
        <v>233253.41099999999</v>
      </c>
    </row>
    <row r="455" spans="1:43" x14ac:dyDescent="0.25">
      <c r="A455">
        <v>454</v>
      </c>
      <c r="B455" t="s">
        <v>51</v>
      </c>
      <c r="C455" t="s">
        <v>51</v>
      </c>
      <c r="D455" t="s">
        <v>66</v>
      </c>
      <c r="F455" s="1">
        <v>42726</v>
      </c>
      <c r="G455" s="2">
        <v>84.4</v>
      </c>
      <c r="H455" s="2"/>
      <c r="I455" s="2">
        <f t="array" ref="I455">_xlfn.IFNA(IF(vp.data[[#This Row],[Sulf Input]]="",INDEX([1]DATA!$Q$3:$Q$9826,MATCH(1,(vp.data[[#This Row],[Battery]]=[1]DATA!$L$3:$L$9826)*(EOMONTH(vp.data[[#This Row],[SDate]],-1)+1=[1]DATA!$G$3:$G$9826),0)),vp.data[[#This Row],[Sulf Input]]),"")</f>
        <v>1.66</v>
      </c>
      <c r="J455" s="2">
        <v>-1.49</v>
      </c>
      <c r="K455" s="2">
        <v>-3</v>
      </c>
      <c r="L455" s="2">
        <v>826.3</v>
      </c>
      <c r="M455" s="2">
        <f t="array" ref="M455">_xlfn.IFNA(IF(vp.data[[#This Row],[Dens Input]]="",INDEX([1]DATA!$O$3:$O$9826,MATCH(1,(vp.data[[#This Row],[Battery]]=[1]DATA!$L$3:$L$9826)*(EOMONTH(vp.data[[#This Row],[SDate]],-1)+1=[1]DATA!$G$3:$G$9826),0)),vp.data[[#This Row],[Dens Input]]),"")</f>
        <v>826.3</v>
      </c>
      <c r="N455" s="2">
        <f ca="1">INDEX(INDIRECT(_xlfn.CONCAT("weather.tbl[",N$1,"]")),MATCH(vp.data[[#This Row],[SDate]],weather.tbl[Date],0))</f>
        <v>-4.8833333333333337</v>
      </c>
      <c r="O455" s="2">
        <f ca="1">INDEX(INDIRECT(_xlfn.CONCAT("weather.tbl[",O$1,"]")),MATCH(vp.data[[#This Row],[SDate]],weather.tbl[Date],0))</f>
        <v>-13.223809523809525</v>
      </c>
      <c r="P455" s="2">
        <f ca="1">INDEX(INDIRECT(_xlfn.CONCAT("weather.tbl[",P$1,"]")),MATCH(vp.data[[#This Row],[SDate]],weather.tbl[Date],0))</f>
        <v>-5</v>
      </c>
      <c r="Q455" s="2">
        <f ca="1">INDEX(INDIRECT(_xlfn.CONCAT("weather.tbl[",Q$1,"]")),MATCH(vp.data[[#This Row],[SDate]],weather.tbl[Date],0))</f>
        <v>-5.5</v>
      </c>
      <c r="R455" s="2">
        <f ca="1">INDEX(INDIRECT(_xlfn.CONCAT("weather.tbl[",R$1,"]")),MATCH(vp.data[[#This Row],[SDate]],weather.tbl[Date],0))</f>
        <v>-4.8</v>
      </c>
      <c r="S455" s="2">
        <f ca="1">INDEX(INDIRECT(_xlfn.CONCAT("weather.tbl[",S$1,"]")),MATCH(vp.data[[#This Row],[SDate]],weather.tbl[Date],0))</f>
        <v>-2</v>
      </c>
      <c r="T455" s="2">
        <f ca="1">INDEX(INDIRECT(_xlfn.CONCAT("weather.tbl[",T$1,"]")),MATCH(vp.data[[#This Row],[SDate]],weather.tbl[Date],0))</f>
        <v>-6.2</v>
      </c>
      <c r="U455" s="2">
        <f ca="1">INDEX(INDIRECT(_xlfn.CONCAT("weather.tbl[",U$1,"]")),MATCH(vp.data[[#This Row],[SDate]],weather.tbl[Date],0))</f>
        <v>-5.8</v>
      </c>
      <c r="V455" s="2">
        <f t="array" ref="V4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4410.2439999999997</v>
      </c>
      <c r="W455" t="s">
        <v>48</v>
      </c>
      <c r="X455">
        <f>IF(OR(vp.data[[#This Row],[Sulf]]="",vp.data[[#This Row],[Dens]]=""),1,0)</f>
        <v>0</v>
      </c>
      <c r="Y455">
        <f>IF(vp.data[[#This Row],[CrudeType]]="C5+",1,0)</f>
        <v>0</v>
      </c>
      <c r="Z455">
        <f>IF(AND(vp.data[[#This Row],[CrudeType]]="Crude",vp.data[[#This Row],[Dens]]&lt;=825,vp.data[[#This Row],[Sulf]]&gt;0.5,vp.data[[#This Row],[Unknown]]=0),1,0)</f>
        <v>0</v>
      </c>
      <c r="AA455">
        <f>IF(AND(vp.data[[#This Row],[CrudeType]]="Crude",vp.data[[#This Row],[Dens]]&lt;=825,vp.data[[#This Row],[Sulf]]&lt;=0.5,vp.data[[#This Row],[Unknown]]=0),1,0)</f>
        <v>0</v>
      </c>
      <c r="AB4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55">
        <f>IF(AND(vp.data[[#This Row],[CrudeType]]="Crude",vp.data[[#This Row],[Dens]]&gt;825,vp.data[[#This Row],[Dens]]&lt;=900,vp.data[[#This Row],[Sulf]]&lt;=0.5,vp.data[[#This Row],[Unknown]]=0),1,0)</f>
        <v>0</v>
      </c>
      <c r="AD455">
        <f>IF(AND(vp.data[[#This Row],[CrudeType]]="Crude",vp.data[[#This Row],[Dens]]&gt;865,vp.data[[#This Row],[Dens]]&lt;=900,vp.data[[#This Row],[Sulf]]&gt;2,vp.data[[#This Row],[Unknown]]=0),1,0)</f>
        <v>0</v>
      </c>
      <c r="AE455">
        <f>IF(AND(vp.data[[#This Row],[CrudeType]]="Crude",vp.data[[#This Row],[Dens]]&gt;900,vp.data[[#This Row],[Sulf]]&lt;=0.5,vp.data[[#This Row],[Unknown]]=0),1,0)</f>
        <v>0</v>
      </c>
      <c r="AF455">
        <f>IF(AND(vp.data[[#This Row],[CrudeType]]="Crude",vp.data[[#This Row],[Dens]]&gt;900,vp.data[[#This Row],[Sulf]]&lt;=0.5,vp.data[[#This Row],[Unknown]]=0),1,0)</f>
        <v>0</v>
      </c>
      <c r="AG455" t="str">
        <f>INDEX(vp.data[[#Headers],[Unknown]:[Heavy_SW]],MATCH(1,vp.data[[#This Row],[Unknown]:[Heavy_SW]],0))</f>
        <v>Medium_LSB</v>
      </c>
      <c r="AH455">
        <f>INDEX([3]!crudeBD.lkup[Number],MATCH(vp.data[[#This Row],[Crude_Breakdown]],crudeBD.lkup[Crude Breakdown],0))</f>
        <v>3</v>
      </c>
      <c r="AI455">
        <f>MONTH(vp.data[[#This Row],[SDate]])</f>
        <v>12</v>
      </c>
      <c r="AJ455" s="5">
        <f>(vp.data[[#This Row],[VP]]-INDEX(crudeBD.lkup[Mean_VP],MATCH(vp.data[[#This Row],[Crude_Breakdown]],crudeBD.lkup[Crude Breakdown],0)))^2</f>
        <v>14.140032449634047</v>
      </c>
      <c r="AK455" s="5">
        <f>(vp.data[[#This Row],[Dens]]-INDEX(crudeBD.lkup[Mean_Dens],MATCH(vp.data[[#This Row],[Crude_Breakdown]],crudeBD.lkup[Crude Breakdown],0)))^2</f>
        <v>310.46439999998415</v>
      </c>
      <c r="AL455" s="5">
        <f>(vp.data[[#This Row],[Sulf]]-INDEX(crudeBD.lkup[Mean_Sulf],MATCH(vp.data[[#This Row],[Crude_Breakdown]],crudeBD.lkup[Crude Breakdown],0)))^2</f>
        <v>7.5400696890839961E-2</v>
      </c>
      <c r="AM455" s="4">
        <f>IF(AND(vp.data[[#This Row],[SDate]]&gt;=DATE(YEAR(vp.data[[#This Row],[SDate]]),5,1),vp.data[[#This Row],[SDate]]&lt;=DATE(YEAR(vp.data[[#This Row],[SDate]]),9,15)),1,0)</f>
        <v>0</v>
      </c>
      <c r="AN455" s="4">
        <f>IF(vp.data[[#This Row],[SDate]]&lt;DATE(2016,12,1),0,1)</f>
        <v>1</v>
      </c>
      <c r="AO455" s="4">
        <f>IFERROR(vp.data[[#This Row],[Sulf]]*vp.data[[#This Row],[Net Dens]],"")</f>
        <v>6049346.4645519992</v>
      </c>
      <c r="AP455">
        <f>IFERROR(vp.data[[#This Row],[Dens]]*vp.data[[#This Row],[VolumeM3]],"")</f>
        <v>3644184.6171999997</v>
      </c>
      <c r="AQ455" s="15">
        <f>IFERROR(vp.data[[#This Row],[VP]]*vp.data[[#This Row],[VolumeM3]],"")</f>
        <v>372224.59360000002</v>
      </c>
    </row>
    <row r="456" spans="1:43" x14ac:dyDescent="0.25">
      <c r="A456">
        <v>455</v>
      </c>
      <c r="B456" t="s">
        <v>62</v>
      </c>
      <c r="C456" t="s">
        <v>62</v>
      </c>
      <c r="D456" t="s">
        <v>63</v>
      </c>
      <c r="F456" s="1">
        <v>42726</v>
      </c>
      <c r="G456" s="2">
        <v>106.3</v>
      </c>
      <c r="H456" s="2"/>
      <c r="I456" s="2">
        <f t="array" ref="I456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456" s="2">
        <v>15.4</v>
      </c>
      <c r="K456" s="2">
        <v>-3</v>
      </c>
      <c r="L456" s="2">
        <v>828</v>
      </c>
      <c r="M456" s="2">
        <f t="array" ref="M456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456" s="2">
        <f ca="1">INDEX(INDIRECT(_xlfn.CONCAT("weather.tbl[",N$1,"]")),MATCH(vp.data[[#This Row],[SDate]],weather.tbl[Date],0))</f>
        <v>-4.8833333333333337</v>
      </c>
      <c r="O456" s="2">
        <f ca="1">INDEX(INDIRECT(_xlfn.CONCAT("weather.tbl[",O$1,"]")),MATCH(vp.data[[#This Row],[SDate]],weather.tbl[Date],0))</f>
        <v>-13.223809523809525</v>
      </c>
      <c r="P456" s="2">
        <f ca="1">INDEX(INDIRECT(_xlfn.CONCAT("weather.tbl[",P$1,"]")),MATCH(vp.data[[#This Row],[SDate]],weather.tbl[Date],0))</f>
        <v>-5</v>
      </c>
      <c r="Q456" s="2">
        <f ca="1">INDEX(INDIRECT(_xlfn.CONCAT("weather.tbl[",Q$1,"]")),MATCH(vp.data[[#This Row],[SDate]],weather.tbl[Date],0))</f>
        <v>-5.5</v>
      </c>
      <c r="R456" s="2">
        <f ca="1">INDEX(INDIRECT(_xlfn.CONCAT("weather.tbl[",R$1,"]")),MATCH(vp.data[[#This Row],[SDate]],weather.tbl[Date],0))</f>
        <v>-4.8</v>
      </c>
      <c r="S456" s="2">
        <f ca="1">INDEX(INDIRECT(_xlfn.CONCAT("weather.tbl[",S$1,"]")),MATCH(vp.data[[#This Row],[SDate]],weather.tbl[Date],0))</f>
        <v>-2</v>
      </c>
      <c r="T456" s="2">
        <f ca="1">INDEX(INDIRECT(_xlfn.CONCAT("weather.tbl[",T$1,"]")),MATCH(vp.data[[#This Row],[SDate]],weather.tbl[Date],0))</f>
        <v>-6.2</v>
      </c>
      <c r="U456" s="2">
        <f ca="1">INDEX(INDIRECT(_xlfn.CONCAT("weather.tbl[",U$1,"]")),MATCH(vp.data[[#This Row],[SDate]],weather.tbl[Date],0))</f>
        <v>-5.8</v>
      </c>
      <c r="V456" s="2">
        <f t="array" ref="V4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5268.48</v>
      </c>
      <c r="W456" t="s">
        <v>48</v>
      </c>
      <c r="X456">
        <f>IF(OR(vp.data[[#This Row],[Sulf]]="",vp.data[[#This Row],[Dens]]=""),1,0)</f>
        <v>0</v>
      </c>
      <c r="Y456">
        <f>IF(vp.data[[#This Row],[CrudeType]]="C5+",1,0)</f>
        <v>0</v>
      </c>
      <c r="Z456">
        <f>IF(AND(vp.data[[#This Row],[CrudeType]]="Crude",vp.data[[#This Row],[Dens]]&lt;=825,vp.data[[#This Row],[Sulf]]&gt;0.5,vp.data[[#This Row],[Unknown]]=0),1,0)</f>
        <v>0</v>
      </c>
      <c r="AA456">
        <f>IF(AND(vp.data[[#This Row],[CrudeType]]="Crude",vp.data[[#This Row],[Dens]]&lt;=825,vp.data[[#This Row],[Sulf]]&lt;=0.5,vp.data[[#This Row],[Unknown]]=0),1,0)</f>
        <v>0</v>
      </c>
      <c r="AB4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56">
        <f>IF(AND(vp.data[[#This Row],[CrudeType]]="Crude",vp.data[[#This Row],[Dens]]&gt;825,vp.data[[#This Row],[Dens]]&lt;=900,vp.data[[#This Row],[Sulf]]&lt;=0.5,vp.data[[#This Row],[Unknown]]=0),1,0)</f>
        <v>0</v>
      </c>
      <c r="AD456">
        <f>IF(AND(vp.data[[#This Row],[CrudeType]]="Crude",vp.data[[#This Row],[Dens]]&gt;865,vp.data[[#This Row],[Dens]]&lt;=900,vp.data[[#This Row],[Sulf]]&gt;2,vp.data[[#This Row],[Unknown]]=0),1,0)</f>
        <v>0</v>
      </c>
      <c r="AE456">
        <f>IF(AND(vp.data[[#This Row],[CrudeType]]="Crude",vp.data[[#This Row],[Dens]]&gt;900,vp.data[[#This Row],[Sulf]]&lt;=0.5,vp.data[[#This Row],[Unknown]]=0),1,0)</f>
        <v>0</v>
      </c>
      <c r="AF456">
        <f>IF(AND(vp.data[[#This Row],[CrudeType]]="Crude",vp.data[[#This Row],[Dens]]&gt;900,vp.data[[#This Row],[Sulf]]&lt;=0.5,vp.data[[#This Row],[Unknown]]=0),1,0)</f>
        <v>0</v>
      </c>
      <c r="AG456" t="str">
        <f>INDEX(vp.data[[#Headers],[Unknown]:[Heavy_SW]],MATCH(1,vp.data[[#This Row],[Unknown]:[Heavy_SW]],0))</f>
        <v>Medium_LSB</v>
      </c>
      <c r="AH456">
        <f>INDEX([3]!crudeBD.lkup[Number],MATCH(vp.data[[#This Row],[Crude_Breakdown]],crudeBD.lkup[Crude Breakdown],0))</f>
        <v>3</v>
      </c>
      <c r="AI456">
        <f>MONTH(vp.data[[#This Row],[SDate]])</f>
        <v>12</v>
      </c>
      <c r="AJ456" s="5">
        <f>(vp.data[[#This Row],[VP]]-INDEX(crudeBD.lkup[Mean_VP],MATCH(vp.data[[#This Row],[Crude_Breakdown]],crudeBD.lkup[Crude Breakdown],0)))^2</f>
        <v>658.45219956554001</v>
      </c>
      <c r="AK456" s="5">
        <f>(vp.data[[#This Row],[Dens]]-INDEX(crudeBD.lkup[Mean_Dens],MATCH(vp.data[[#This Row],[Crude_Breakdown]],crudeBD.lkup[Crude Breakdown],0)))^2</f>
        <v>253.44639999998421</v>
      </c>
      <c r="AL456" s="5">
        <f>(vp.data[[#This Row],[Sulf]]-INDEX(crudeBD.lkup[Mean_Sulf],MATCH(vp.data[[#This Row],[Crude_Breakdown]],crudeBD.lkup[Crude Breakdown],0)))^2</f>
        <v>1.8114972362538555E-2</v>
      </c>
      <c r="AM456" s="4">
        <f>IF(AND(vp.data[[#This Row],[SDate]]&gt;=DATE(YEAR(vp.data[[#This Row],[SDate]]),5,1),vp.data[[#This Row],[SDate]]&lt;=DATE(YEAR(vp.data[[#This Row],[SDate]]),9,15)),1,0)</f>
        <v>0</v>
      </c>
      <c r="AN456" s="4">
        <f>IF(vp.data[[#This Row],[SDate]]&lt;DATE(2016,12,1),0,1)</f>
        <v>1</v>
      </c>
      <c r="AO456" s="4">
        <f>IFERROR(vp.data[[#This Row],[Sulf]]*vp.data[[#This Row],[Net Dens]],"")</f>
        <v>6630698.1887999997</v>
      </c>
      <c r="AP456">
        <f>IFERROR(vp.data[[#This Row],[Dens]]*vp.data[[#This Row],[VolumeM3]],"")</f>
        <v>4362301.4399999995</v>
      </c>
      <c r="AQ456" s="15">
        <f>IFERROR(vp.data[[#This Row],[VP]]*vp.data[[#This Row],[VolumeM3]],"")</f>
        <v>560039.42399999988</v>
      </c>
    </row>
    <row r="457" spans="1:43" x14ac:dyDescent="0.25">
      <c r="A457">
        <v>456</v>
      </c>
      <c r="B457" t="s">
        <v>51</v>
      </c>
      <c r="C457" t="s">
        <v>51</v>
      </c>
      <c r="D457" t="s">
        <v>72</v>
      </c>
      <c r="F457" s="1">
        <v>42726</v>
      </c>
      <c r="G457" s="2">
        <v>85.2</v>
      </c>
      <c r="H457" s="2"/>
      <c r="I457" s="2">
        <f t="array" ref="I457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457" s="2">
        <v>25.9</v>
      </c>
      <c r="K457" s="2">
        <v>-3</v>
      </c>
      <c r="L457" s="2">
        <v>836.9</v>
      </c>
      <c r="M457" s="2">
        <f t="array" ref="M457">_xlfn.IFNA(IF(vp.data[[#This Row],[Dens Input]]="",INDEX([1]DATA!$O$3:$O$9826,MATCH(1,(vp.data[[#This Row],[Battery]]=[1]DATA!$L$3:$L$9826)*(EOMONTH(vp.data[[#This Row],[SDate]],-1)+1=[1]DATA!$G$3:$G$9826),0)),vp.data[[#This Row],[Dens Input]]),"")</f>
        <v>836.9</v>
      </c>
      <c r="N457" s="2">
        <f ca="1">INDEX(INDIRECT(_xlfn.CONCAT("weather.tbl[",N$1,"]")),MATCH(vp.data[[#This Row],[SDate]],weather.tbl[Date],0))</f>
        <v>-4.8833333333333337</v>
      </c>
      <c r="O457" s="2">
        <f ca="1">INDEX(INDIRECT(_xlfn.CONCAT("weather.tbl[",O$1,"]")),MATCH(vp.data[[#This Row],[SDate]],weather.tbl[Date],0))</f>
        <v>-13.223809523809525</v>
      </c>
      <c r="P457" s="2">
        <f ca="1">INDEX(INDIRECT(_xlfn.CONCAT("weather.tbl[",P$1,"]")),MATCH(vp.data[[#This Row],[SDate]],weather.tbl[Date],0))</f>
        <v>-5</v>
      </c>
      <c r="Q457" s="2">
        <f ca="1">INDEX(INDIRECT(_xlfn.CONCAT("weather.tbl[",Q$1,"]")),MATCH(vp.data[[#This Row],[SDate]],weather.tbl[Date],0))</f>
        <v>-5.5</v>
      </c>
      <c r="R457" s="2">
        <f ca="1">INDEX(INDIRECT(_xlfn.CONCAT("weather.tbl[",R$1,"]")),MATCH(vp.data[[#This Row],[SDate]],weather.tbl[Date],0))</f>
        <v>-4.8</v>
      </c>
      <c r="S457" s="2">
        <f ca="1">INDEX(INDIRECT(_xlfn.CONCAT("weather.tbl[",S$1,"]")),MATCH(vp.data[[#This Row],[SDate]],weather.tbl[Date],0))</f>
        <v>-2</v>
      </c>
      <c r="T457" s="2">
        <f ca="1">INDEX(INDIRECT(_xlfn.CONCAT("weather.tbl[",T$1,"]")),MATCH(vp.data[[#This Row],[SDate]],weather.tbl[Date],0))</f>
        <v>-6.2</v>
      </c>
      <c r="U457" s="2">
        <f ca="1">INDEX(INDIRECT(_xlfn.CONCAT("weather.tbl[",U$1,"]")),MATCH(vp.data[[#This Row],[SDate]],weather.tbl[Date],0))</f>
        <v>-5.8</v>
      </c>
      <c r="V457" s="2">
        <f t="array" ref="V4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13705.843999999999</v>
      </c>
      <c r="W457" t="s">
        <v>48</v>
      </c>
      <c r="X457">
        <f>IF(OR(vp.data[[#This Row],[Sulf]]="",vp.data[[#This Row],[Dens]]=""),1,0)</f>
        <v>0</v>
      </c>
      <c r="Y457">
        <f>IF(vp.data[[#This Row],[CrudeType]]="C5+",1,0)</f>
        <v>0</v>
      </c>
      <c r="Z457">
        <f>IF(AND(vp.data[[#This Row],[CrudeType]]="Crude",vp.data[[#This Row],[Dens]]&lt;=825,vp.data[[#This Row],[Sulf]]&gt;0.5,vp.data[[#This Row],[Unknown]]=0),1,0)</f>
        <v>0</v>
      </c>
      <c r="AA457">
        <f>IF(AND(vp.data[[#This Row],[CrudeType]]="Crude",vp.data[[#This Row],[Dens]]&lt;=825,vp.data[[#This Row],[Sulf]]&lt;=0.5,vp.data[[#This Row],[Unknown]]=0),1,0)</f>
        <v>0</v>
      </c>
      <c r="AB4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57">
        <f>IF(AND(vp.data[[#This Row],[CrudeType]]="Crude",vp.data[[#This Row],[Dens]]&gt;825,vp.data[[#This Row],[Dens]]&lt;=900,vp.data[[#This Row],[Sulf]]&lt;=0.5,vp.data[[#This Row],[Unknown]]=0),1,0)</f>
        <v>0</v>
      </c>
      <c r="AD457">
        <f>IF(AND(vp.data[[#This Row],[CrudeType]]="Crude",vp.data[[#This Row],[Dens]]&gt;865,vp.data[[#This Row],[Dens]]&lt;=900,vp.data[[#This Row],[Sulf]]&gt;2,vp.data[[#This Row],[Unknown]]=0),1,0)</f>
        <v>0</v>
      </c>
      <c r="AE457">
        <f>IF(AND(vp.data[[#This Row],[CrudeType]]="Crude",vp.data[[#This Row],[Dens]]&gt;900,vp.data[[#This Row],[Sulf]]&lt;=0.5,vp.data[[#This Row],[Unknown]]=0),1,0)</f>
        <v>0</v>
      </c>
      <c r="AF457">
        <f>IF(AND(vp.data[[#This Row],[CrudeType]]="Crude",vp.data[[#This Row],[Dens]]&gt;900,vp.data[[#This Row],[Sulf]]&lt;=0.5,vp.data[[#This Row],[Unknown]]=0),1,0)</f>
        <v>0</v>
      </c>
      <c r="AG457" t="str">
        <f>INDEX(vp.data[[#Headers],[Unknown]:[Heavy_SW]],MATCH(1,vp.data[[#This Row],[Unknown]:[Heavy_SW]],0))</f>
        <v>Medium_LSB</v>
      </c>
      <c r="AH457">
        <f>INDEX([3]!crudeBD.lkup[Number],MATCH(vp.data[[#This Row],[Crude_Breakdown]],crudeBD.lkup[Crude Breakdown],0))</f>
        <v>3</v>
      </c>
      <c r="AI457">
        <f>MONTH(vp.data[[#This Row],[SDate]])</f>
        <v>12</v>
      </c>
      <c r="AJ457" s="5">
        <f>(vp.data[[#This Row],[VP]]-INDEX(crudeBD.lkup[Mean_VP],MATCH(vp.data[[#This Row],[Crude_Breakdown]],crudeBD.lkup[Crude Breakdown],0)))^2</f>
        <v>20.796549969849778</v>
      </c>
      <c r="AK457" s="5">
        <f>(vp.data[[#This Row],[Dens]]-INDEX(crudeBD.lkup[Mean_Dens],MATCH(vp.data[[#This Row],[Crude_Breakdown]],crudeBD.lkup[Crude Breakdown],0)))^2</f>
        <v>49.280399999993357</v>
      </c>
      <c r="AL457" s="5">
        <f>(vp.data[[#This Row],[Sulf]]-INDEX(crudeBD.lkup[Mean_Sulf],MATCH(vp.data[[#This Row],[Crude_Breakdown]],crudeBD.lkup[Crude Breakdown],0)))^2</f>
        <v>3.4376173440706655E-2</v>
      </c>
      <c r="AM457" s="4">
        <f>IF(AND(vp.data[[#This Row],[SDate]]&gt;=DATE(YEAR(vp.data[[#This Row],[SDate]]),5,1),vp.data[[#This Row],[SDate]]&lt;=DATE(YEAR(vp.data[[#This Row],[SDate]]),9,15)),1,0)</f>
        <v>0</v>
      </c>
      <c r="AN457" s="4">
        <f>IF(vp.data[[#This Row],[SDate]]&lt;DATE(2016,12,1),0,1)</f>
        <v>1</v>
      </c>
      <c r="AO457" s="4">
        <f>IFERROR(vp.data[[#This Row],[Sulf]]*vp.data[[#This Row],[Net Dens]],"")</f>
        <v>13764505.012319999</v>
      </c>
      <c r="AP457">
        <f>IFERROR(vp.data[[#This Row],[Dens]]*vp.data[[#This Row],[VolumeM3]],"")</f>
        <v>11470420.843599999</v>
      </c>
      <c r="AQ457" s="15">
        <f>IFERROR(vp.data[[#This Row],[VP]]*vp.data[[#This Row],[VolumeM3]],"")</f>
        <v>1167737.9087999999</v>
      </c>
    </row>
    <row r="458" spans="1:43" x14ac:dyDescent="0.25">
      <c r="A458">
        <v>457</v>
      </c>
      <c r="B458" t="s">
        <v>60</v>
      </c>
      <c r="C458" t="s">
        <v>60</v>
      </c>
      <c r="D458" t="s">
        <v>61</v>
      </c>
      <c r="E458" t="s">
        <v>55</v>
      </c>
      <c r="F458" s="1">
        <v>42726</v>
      </c>
      <c r="G458" s="2">
        <v>99.4</v>
      </c>
      <c r="H458" s="2"/>
      <c r="I458" s="2">
        <f t="array" ref="I458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58" s="2">
        <v>10.7</v>
      </c>
      <c r="K458" s="2">
        <v>-3</v>
      </c>
      <c r="L458" s="2">
        <v>847.5</v>
      </c>
      <c r="M458" s="2">
        <f t="array" ref="M458">_xlfn.IFNA(IF(vp.data[[#This Row],[Dens Input]]="",INDEX([1]DATA!$O$3:$O$9826,MATCH(1,(vp.data[[#This Row],[Battery]]=[1]DATA!$L$3:$L$9826)*(EOMONTH(vp.data[[#This Row],[SDate]],-1)+1=[1]DATA!$G$3:$G$9826),0)),vp.data[[#This Row],[Dens Input]]),"")</f>
        <v>847.5</v>
      </c>
      <c r="N458" s="2">
        <f ca="1">INDEX(INDIRECT(_xlfn.CONCAT("weather.tbl[",N$1,"]")),MATCH(vp.data[[#This Row],[SDate]],weather.tbl[Date],0))</f>
        <v>-4.8833333333333337</v>
      </c>
      <c r="O458" s="2">
        <f ca="1">INDEX(INDIRECT(_xlfn.CONCAT("weather.tbl[",O$1,"]")),MATCH(vp.data[[#This Row],[SDate]],weather.tbl[Date],0))</f>
        <v>-13.223809523809525</v>
      </c>
      <c r="P458" s="2">
        <f ca="1">INDEX(INDIRECT(_xlfn.CONCAT("weather.tbl[",P$1,"]")),MATCH(vp.data[[#This Row],[SDate]],weather.tbl[Date],0))</f>
        <v>-5</v>
      </c>
      <c r="Q458" s="2">
        <f ca="1">INDEX(INDIRECT(_xlfn.CONCAT("weather.tbl[",Q$1,"]")),MATCH(vp.data[[#This Row],[SDate]],weather.tbl[Date],0))</f>
        <v>-5.5</v>
      </c>
      <c r="R458" s="2">
        <f ca="1">INDEX(INDIRECT(_xlfn.CONCAT("weather.tbl[",R$1,"]")),MATCH(vp.data[[#This Row],[SDate]],weather.tbl[Date],0))</f>
        <v>-4.8</v>
      </c>
      <c r="S458" s="2">
        <f ca="1">INDEX(INDIRECT(_xlfn.CONCAT("weather.tbl[",S$1,"]")),MATCH(vp.data[[#This Row],[SDate]],weather.tbl[Date],0))</f>
        <v>-2</v>
      </c>
      <c r="T458" s="2">
        <f ca="1">INDEX(INDIRECT(_xlfn.CONCAT("weather.tbl[",T$1,"]")),MATCH(vp.data[[#This Row],[SDate]],weather.tbl[Date],0))</f>
        <v>-6.2</v>
      </c>
      <c r="U458" s="2">
        <f ca="1">INDEX(INDIRECT(_xlfn.CONCAT("weather.tbl[",U$1,"]")),MATCH(vp.data[[#This Row],[SDate]],weather.tbl[Date],0))</f>
        <v>-5.8</v>
      </c>
      <c r="V458" s="2">
        <f t="array" ref="V4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58" t="s">
        <v>48</v>
      </c>
      <c r="X458">
        <f>IF(OR(vp.data[[#This Row],[Sulf]]="",vp.data[[#This Row],[Dens]]=""),1,0)</f>
        <v>0</v>
      </c>
      <c r="Y458">
        <f>IF(vp.data[[#This Row],[CrudeType]]="C5+",1,0)</f>
        <v>0</v>
      </c>
      <c r="Z458">
        <f>IF(AND(vp.data[[#This Row],[CrudeType]]="Crude",vp.data[[#This Row],[Dens]]&lt;=825,vp.data[[#This Row],[Sulf]]&gt;0.5,vp.data[[#This Row],[Unknown]]=0),1,0)</f>
        <v>0</v>
      </c>
      <c r="AA458">
        <f>IF(AND(vp.data[[#This Row],[CrudeType]]="Crude",vp.data[[#This Row],[Dens]]&lt;=825,vp.data[[#This Row],[Sulf]]&lt;=0.5,vp.data[[#This Row],[Unknown]]=0),1,0)</f>
        <v>0</v>
      </c>
      <c r="AB4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58">
        <f>IF(AND(vp.data[[#This Row],[CrudeType]]="Crude",vp.data[[#This Row],[Dens]]&gt;825,vp.data[[#This Row],[Dens]]&lt;=900,vp.data[[#This Row],[Sulf]]&lt;=0.5,vp.data[[#This Row],[Unknown]]=0),1,0)</f>
        <v>0</v>
      </c>
      <c r="AD458">
        <f>IF(AND(vp.data[[#This Row],[CrudeType]]="Crude",vp.data[[#This Row],[Dens]]&gt;865,vp.data[[#This Row],[Dens]]&lt;=900,vp.data[[#This Row],[Sulf]]&gt;2,vp.data[[#This Row],[Unknown]]=0),1,0)</f>
        <v>0</v>
      </c>
      <c r="AE458">
        <f>IF(AND(vp.data[[#This Row],[CrudeType]]="Crude",vp.data[[#This Row],[Dens]]&gt;900,vp.data[[#This Row],[Sulf]]&lt;=0.5,vp.data[[#This Row],[Unknown]]=0),1,0)</f>
        <v>0</v>
      </c>
      <c r="AF458">
        <f>IF(AND(vp.data[[#This Row],[CrudeType]]="Crude",vp.data[[#This Row],[Dens]]&gt;900,vp.data[[#This Row],[Sulf]]&lt;=0.5,vp.data[[#This Row],[Unknown]]=0),1,0)</f>
        <v>0</v>
      </c>
      <c r="AG458" t="str">
        <f>INDEX(vp.data[[#Headers],[Unknown]:[Heavy_SW]],MATCH(1,vp.data[[#This Row],[Unknown]:[Heavy_SW]],0))</f>
        <v>Medium_LSB</v>
      </c>
      <c r="AH458">
        <f>INDEX([3]!crudeBD.lkup[Number],MATCH(vp.data[[#This Row],[Crude_Breakdown]],crudeBD.lkup[Crude Breakdown],0))</f>
        <v>3</v>
      </c>
      <c r="AI458">
        <f>MONTH(vp.data[[#This Row],[SDate]])</f>
        <v>12</v>
      </c>
      <c r="AJ458" s="5">
        <f>(vp.data[[#This Row],[VP]]-INDEX(crudeBD.lkup[Mean_VP],MATCH(vp.data[[#This Row],[Crude_Breakdown]],crudeBD.lkup[Crude Breakdown],0)))^2</f>
        <v>351.94973595367946</v>
      </c>
      <c r="AK458" s="5">
        <f>(vp.data[[#This Row],[Dens]]-INDEX(crudeBD.lkup[Mean_Dens],MATCH(vp.data[[#This Row],[Crude_Breakdown]],crudeBD.lkup[Crude Breakdown],0)))^2</f>
        <v>12.816400000003549</v>
      </c>
      <c r="AL458" s="5">
        <f>(vp.data[[#This Row],[Sulf]]-INDEX(crudeBD.lkup[Mean_Sulf],MATCH(vp.data[[#This Row],[Crude_Breakdown]],crudeBD.lkup[Crude Breakdown],0)))^2</f>
        <v>0.17256391171563998</v>
      </c>
      <c r="AM458" s="4">
        <f>IF(AND(vp.data[[#This Row],[SDate]]&gt;=DATE(YEAR(vp.data[[#This Row],[SDate]]),5,1),vp.data[[#This Row],[SDate]]&lt;=DATE(YEAR(vp.data[[#This Row],[SDate]]),9,15)),1,0)</f>
        <v>0</v>
      </c>
      <c r="AN458" s="4">
        <f>IF(vp.data[[#This Row],[SDate]]&lt;DATE(2016,12,1),0,1)</f>
        <v>1</v>
      </c>
      <c r="AO458" s="4">
        <f>IFERROR(vp.data[[#This Row],[Sulf]]*vp.data[[#This Row],[Net Dens]],"")</f>
        <v>87840813.329549998</v>
      </c>
      <c r="AP458">
        <f>IFERROR(vp.data[[#This Row],[Dens]]*vp.data[[#This Row],[VolumeM3]],"")</f>
        <v>90557539.515000001</v>
      </c>
      <c r="AQ458" s="15">
        <f>IFERROR(vp.data[[#This Row],[VP]]*vp.data[[#This Row],[VolumeM3]],"")</f>
        <v>10621143.867600001</v>
      </c>
    </row>
    <row r="459" spans="1:43" x14ac:dyDescent="0.25">
      <c r="A459">
        <v>458</v>
      </c>
      <c r="B459" t="s">
        <v>49</v>
      </c>
      <c r="C459" t="s">
        <v>49</v>
      </c>
      <c r="D459" t="s">
        <v>75</v>
      </c>
      <c r="F459" s="1">
        <v>42727</v>
      </c>
      <c r="G459" s="2">
        <v>120.9</v>
      </c>
      <c r="H459" s="2"/>
      <c r="I459" s="2">
        <f t="array" ref="I459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459" s="2">
        <v>13.2</v>
      </c>
      <c r="K459" s="2">
        <v>-7</v>
      </c>
      <c r="L459" s="2">
        <v>801.5</v>
      </c>
      <c r="M459" s="2">
        <f t="array" ref="M459">_xlfn.IFNA(IF(vp.data[[#This Row],[Dens Input]]="",INDEX([1]DATA!$O$3:$O$9826,MATCH(1,(vp.data[[#This Row],[Battery]]=[1]DATA!$L$3:$L$9826)*(EOMONTH(vp.data[[#This Row],[SDate]],-1)+1=[1]DATA!$G$3:$G$9826),0)),vp.data[[#This Row],[Dens Input]]),"")</f>
        <v>801.5</v>
      </c>
      <c r="N459" s="2">
        <f ca="1">INDEX(INDIRECT(_xlfn.CONCAT("weather.tbl[",N$1,"]")),MATCH(vp.data[[#This Row],[SDate]],weather.tbl[Date],0))</f>
        <v>-9.5500000000000025</v>
      </c>
      <c r="O459" s="2">
        <f ca="1">INDEX(INDIRECT(_xlfn.CONCAT("weather.tbl[",O$1,"]")),MATCH(vp.data[[#This Row],[SDate]],weather.tbl[Date],0))</f>
        <v>-11.078571428571427</v>
      </c>
      <c r="P459" s="2">
        <f ca="1">INDEX(INDIRECT(_xlfn.CONCAT("weather.tbl[",P$1,"]")),MATCH(vp.data[[#This Row],[SDate]],weather.tbl[Date],0))</f>
        <v>-10.8</v>
      </c>
      <c r="Q459" s="2">
        <f ca="1">INDEX(INDIRECT(_xlfn.CONCAT("weather.tbl[",Q$1,"]")),MATCH(vp.data[[#This Row],[SDate]],weather.tbl[Date],0))</f>
        <v>-9.8000000000000007</v>
      </c>
      <c r="R459" s="2">
        <f ca="1">INDEX(INDIRECT(_xlfn.CONCAT("weather.tbl[",R$1,"]")),MATCH(vp.data[[#This Row],[SDate]],weather.tbl[Date],0))</f>
        <v>-11.3</v>
      </c>
      <c r="S459" s="2">
        <f ca="1">INDEX(INDIRECT(_xlfn.CONCAT("weather.tbl[",S$1,"]")),MATCH(vp.data[[#This Row],[SDate]],weather.tbl[Date],0))</f>
        <v>-8</v>
      </c>
      <c r="T459" s="2">
        <f ca="1">INDEX(INDIRECT(_xlfn.CONCAT("weather.tbl[",T$1,"]")),MATCH(vp.data[[#This Row],[SDate]],weather.tbl[Date],0))</f>
        <v>-9.1</v>
      </c>
      <c r="U459" s="2">
        <f ca="1">INDEX(INDIRECT(_xlfn.CONCAT("weather.tbl[",U$1,"]")),MATCH(vp.data[[#This Row],[SDate]],weather.tbl[Date],0))</f>
        <v>-8.3000000000000007</v>
      </c>
      <c r="V459" s="2">
        <f t="array" ref="V4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459" t="s">
        <v>48</v>
      </c>
      <c r="X459">
        <f>IF(OR(vp.data[[#This Row],[Sulf]]="",vp.data[[#This Row],[Dens]]=""),1,0)</f>
        <v>0</v>
      </c>
      <c r="Y459">
        <f>IF(vp.data[[#This Row],[CrudeType]]="C5+",1,0)</f>
        <v>0</v>
      </c>
      <c r="Z459">
        <f>IF(AND(vp.data[[#This Row],[CrudeType]]="Crude",vp.data[[#This Row],[Dens]]&lt;=825,vp.data[[#This Row],[Sulf]]&gt;0.5,vp.data[[#This Row],[Unknown]]=0),1,0)</f>
        <v>0</v>
      </c>
      <c r="AA459">
        <f>IF(AND(vp.data[[#This Row],[CrudeType]]="Crude",vp.data[[#This Row],[Dens]]&lt;=825,vp.data[[#This Row],[Sulf]]&lt;=0.5,vp.data[[#This Row],[Unknown]]=0),1,0)</f>
        <v>1</v>
      </c>
      <c r="AB4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59">
        <f>IF(AND(vp.data[[#This Row],[CrudeType]]="Crude",vp.data[[#This Row],[Dens]]&gt;825,vp.data[[#This Row],[Dens]]&lt;=900,vp.data[[#This Row],[Sulf]]&lt;=0.5,vp.data[[#This Row],[Unknown]]=0),1,0)</f>
        <v>0</v>
      </c>
      <c r="AD459">
        <f>IF(AND(vp.data[[#This Row],[CrudeType]]="Crude",vp.data[[#This Row],[Dens]]&gt;865,vp.data[[#This Row],[Dens]]&lt;=900,vp.data[[#This Row],[Sulf]]&gt;2,vp.data[[#This Row],[Unknown]]=0),1,0)</f>
        <v>0</v>
      </c>
      <c r="AE459">
        <f>IF(AND(vp.data[[#This Row],[CrudeType]]="Crude",vp.data[[#This Row],[Dens]]&gt;900,vp.data[[#This Row],[Sulf]]&lt;=0.5,vp.data[[#This Row],[Unknown]]=0),1,0)</f>
        <v>0</v>
      </c>
      <c r="AF459">
        <f>IF(AND(vp.data[[#This Row],[CrudeType]]="Crude",vp.data[[#This Row],[Dens]]&gt;900,vp.data[[#This Row],[Sulf]]&lt;=0.5,vp.data[[#This Row],[Unknown]]=0),1,0)</f>
        <v>0</v>
      </c>
      <c r="AG459" t="str">
        <f>INDEX(vp.data[[#Headers],[Unknown]:[Heavy_SW]],MATCH(1,vp.data[[#This Row],[Unknown]:[Heavy_SW]],0))</f>
        <v>Light_SW</v>
      </c>
      <c r="AH459">
        <f>INDEX([3]!crudeBD.lkup[Number],MATCH(vp.data[[#This Row],[Crude_Breakdown]],crudeBD.lkup[Crude Breakdown],0))</f>
        <v>2</v>
      </c>
      <c r="AI459">
        <f>MONTH(vp.data[[#This Row],[SDate]])</f>
        <v>12</v>
      </c>
      <c r="AJ459" s="5">
        <f>(vp.data[[#This Row],[VP]]-INDEX(crudeBD.lkup[Mean_VP],MATCH(vp.data[[#This Row],[Crude_Breakdown]],crudeBD.lkup[Crude Breakdown],0)))^2</f>
        <v>803.70471961053511</v>
      </c>
      <c r="AK459" s="5">
        <f>(vp.data[[#This Row],[Dens]]-INDEX(crudeBD.lkup[Mean_Dens],MATCH(vp.data[[#This Row],[Crude_Breakdown]],crudeBD.lkup[Crude Breakdown],0)))^2</f>
        <v>46.396508516550583</v>
      </c>
      <c r="AL459" s="5">
        <f>(vp.data[[#This Row],[Sulf]]-INDEX(crudeBD.lkup[Mean_Sulf],MATCH(vp.data[[#This Row],[Crude_Breakdown]],crudeBD.lkup[Crude Breakdown],0)))^2</f>
        <v>1.1287322584467423E-2</v>
      </c>
      <c r="AM459" s="4">
        <f>IF(AND(vp.data[[#This Row],[SDate]]&gt;=DATE(YEAR(vp.data[[#This Row],[SDate]]),5,1),vp.data[[#This Row],[SDate]]&lt;=DATE(YEAR(vp.data[[#This Row],[SDate]]),9,15)),1,0)</f>
        <v>0</v>
      </c>
      <c r="AN459" s="4">
        <f>IF(vp.data[[#This Row],[SDate]]&lt;DATE(2016,12,1),0,1)</f>
        <v>1</v>
      </c>
      <c r="AO459" s="4">
        <f>IFERROR(vp.data[[#This Row],[Sulf]]*vp.data[[#This Row],[Net Dens]],"")</f>
        <v>2254298.6274900003</v>
      </c>
      <c r="AP459">
        <f>IFERROR(vp.data[[#This Row],[Dens]]*vp.data[[#This Row],[VolumeM3]],"")</f>
        <v>17340758.673</v>
      </c>
      <c r="AQ459" s="15">
        <f>IFERROR(vp.data[[#This Row],[VP]]*vp.data[[#This Row],[VolumeM3]],"")</f>
        <v>2615717.6838000002</v>
      </c>
    </row>
    <row r="460" spans="1:43" x14ac:dyDescent="0.25">
      <c r="A460">
        <v>459</v>
      </c>
      <c r="B460" t="s">
        <v>49</v>
      </c>
      <c r="C460" t="s">
        <v>49</v>
      </c>
      <c r="D460" t="s">
        <v>80</v>
      </c>
      <c r="F460" s="1">
        <v>42727</v>
      </c>
      <c r="G460" s="2">
        <v>96.6</v>
      </c>
      <c r="H460" s="2"/>
      <c r="I460" s="2">
        <f t="array" ref="I460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460" s="2">
        <v>17.5</v>
      </c>
      <c r="K460" s="2">
        <v>-7</v>
      </c>
      <c r="L460" s="2">
        <v>803.1</v>
      </c>
      <c r="M460" s="2">
        <f t="array" ref="M460">_xlfn.IFNA(IF(vp.data[[#This Row],[Dens Input]]="",INDEX([1]DATA!$O$3:$O$9826,MATCH(1,(vp.data[[#This Row],[Battery]]=[1]DATA!$L$3:$L$9826)*(EOMONTH(vp.data[[#This Row],[SDate]],-1)+1=[1]DATA!$G$3:$G$9826),0)),vp.data[[#This Row],[Dens Input]]),"")</f>
        <v>803.1</v>
      </c>
      <c r="N460" s="2">
        <f ca="1">INDEX(INDIRECT(_xlfn.CONCAT("weather.tbl[",N$1,"]")),MATCH(vp.data[[#This Row],[SDate]],weather.tbl[Date],0))</f>
        <v>-9.5500000000000025</v>
      </c>
      <c r="O460" s="2">
        <f ca="1">INDEX(INDIRECT(_xlfn.CONCAT("weather.tbl[",O$1,"]")),MATCH(vp.data[[#This Row],[SDate]],weather.tbl[Date],0))</f>
        <v>-11.078571428571427</v>
      </c>
      <c r="P460" s="2">
        <f ca="1">INDEX(INDIRECT(_xlfn.CONCAT("weather.tbl[",P$1,"]")),MATCH(vp.data[[#This Row],[SDate]],weather.tbl[Date],0))</f>
        <v>-10.8</v>
      </c>
      <c r="Q460" s="2">
        <f ca="1">INDEX(INDIRECT(_xlfn.CONCAT("weather.tbl[",Q$1,"]")),MATCH(vp.data[[#This Row],[SDate]],weather.tbl[Date],0))</f>
        <v>-9.8000000000000007</v>
      </c>
      <c r="R460" s="2">
        <f ca="1">INDEX(INDIRECT(_xlfn.CONCAT("weather.tbl[",R$1,"]")),MATCH(vp.data[[#This Row],[SDate]],weather.tbl[Date],0))</f>
        <v>-11.3</v>
      </c>
      <c r="S460" s="2">
        <f ca="1">INDEX(INDIRECT(_xlfn.CONCAT("weather.tbl[",S$1,"]")),MATCH(vp.data[[#This Row],[SDate]],weather.tbl[Date],0))</f>
        <v>-8</v>
      </c>
      <c r="T460" s="2">
        <f ca="1">INDEX(INDIRECT(_xlfn.CONCAT("weather.tbl[",T$1,"]")),MATCH(vp.data[[#This Row],[SDate]],weather.tbl[Date],0))</f>
        <v>-9.1</v>
      </c>
      <c r="U460" s="2">
        <f ca="1">INDEX(INDIRECT(_xlfn.CONCAT("weather.tbl[",U$1,"]")),MATCH(vp.data[[#This Row],[SDate]],weather.tbl[Date],0))</f>
        <v>-8.3000000000000007</v>
      </c>
      <c r="V460" s="2">
        <f t="array" ref="V4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22011.311000000002</v>
      </c>
      <c r="W460" t="s">
        <v>48</v>
      </c>
      <c r="X460">
        <f>IF(OR(vp.data[[#This Row],[Sulf]]="",vp.data[[#This Row],[Dens]]=""),1,0)</f>
        <v>0</v>
      </c>
      <c r="Y460">
        <f>IF(vp.data[[#This Row],[CrudeType]]="C5+",1,0)</f>
        <v>0</v>
      </c>
      <c r="Z460">
        <f>IF(AND(vp.data[[#This Row],[CrudeType]]="Crude",vp.data[[#This Row],[Dens]]&lt;=825,vp.data[[#This Row],[Sulf]]&gt;0.5,vp.data[[#This Row],[Unknown]]=0),1,0)</f>
        <v>0</v>
      </c>
      <c r="AA460">
        <f>IF(AND(vp.data[[#This Row],[CrudeType]]="Crude",vp.data[[#This Row],[Dens]]&lt;=825,vp.data[[#This Row],[Sulf]]&lt;=0.5,vp.data[[#This Row],[Unknown]]=0),1,0)</f>
        <v>1</v>
      </c>
      <c r="AB4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60">
        <f>IF(AND(vp.data[[#This Row],[CrudeType]]="Crude",vp.data[[#This Row],[Dens]]&gt;825,vp.data[[#This Row],[Dens]]&lt;=900,vp.data[[#This Row],[Sulf]]&lt;=0.5,vp.data[[#This Row],[Unknown]]=0),1,0)</f>
        <v>0</v>
      </c>
      <c r="AD460">
        <f>IF(AND(vp.data[[#This Row],[CrudeType]]="Crude",vp.data[[#This Row],[Dens]]&gt;865,vp.data[[#This Row],[Dens]]&lt;=900,vp.data[[#This Row],[Sulf]]&gt;2,vp.data[[#This Row],[Unknown]]=0),1,0)</f>
        <v>0</v>
      </c>
      <c r="AE460">
        <f>IF(AND(vp.data[[#This Row],[CrudeType]]="Crude",vp.data[[#This Row],[Dens]]&gt;900,vp.data[[#This Row],[Sulf]]&lt;=0.5,vp.data[[#This Row],[Unknown]]=0),1,0)</f>
        <v>0</v>
      </c>
      <c r="AF460">
        <f>IF(AND(vp.data[[#This Row],[CrudeType]]="Crude",vp.data[[#This Row],[Dens]]&gt;900,vp.data[[#This Row],[Sulf]]&lt;=0.5,vp.data[[#This Row],[Unknown]]=0),1,0)</f>
        <v>0</v>
      </c>
      <c r="AG460" t="str">
        <f>INDEX(vp.data[[#Headers],[Unknown]:[Heavy_SW]],MATCH(1,vp.data[[#This Row],[Unknown]:[Heavy_SW]],0))</f>
        <v>Light_SW</v>
      </c>
      <c r="AH460">
        <f>INDEX([3]!crudeBD.lkup[Number],MATCH(vp.data[[#This Row],[Crude_Breakdown]],crudeBD.lkup[Crude Breakdown],0))</f>
        <v>2</v>
      </c>
      <c r="AI460">
        <f>MONTH(vp.data[[#This Row],[SDate]])</f>
        <v>12</v>
      </c>
      <c r="AJ460" s="5">
        <f>(vp.data[[#This Row],[VP]]-INDEX(crudeBD.lkup[Mean_VP],MATCH(vp.data[[#This Row],[Crude_Breakdown]],crudeBD.lkup[Crude Breakdown],0)))^2</f>
        <v>16.399960028651748</v>
      </c>
      <c r="AK460" s="5">
        <f>(vp.data[[#This Row],[Dens]]-INDEX(crudeBD.lkup[Mean_Dens],MATCH(vp.data[[#This Row],[Crude_Breakdown]],crudeBD.lkup[Crude Breakdown],0)))^2</f>
        <v>27.159714091463936</v>
      </c>
      <c r="AL460" s="5">
        <f>(vp.data[[#This Row],[Sulf]]-INDEX(crudeBD.lkup[Mean_Sulf],MATCH(vp.data[[#This Row],[Crude_Breakdown]],crudeBD.lkup[Crude Breakdown],0)))^2</f>
        <v>1.7891252898056348E-2</v>
      </c>
      <c r="AM460" s="4">
        <f>IF(AND(vp.data[[#This Row],[SDate]]&gt;=DATE(YEAR(vp.data[[#This Row],[SDate]]),5,1),vp.data[[#This Row],[SDate]]&lt;=DATE(YEAR(vp.data[[#This Row],[SDate]]),9,15)),1,0)</f>
        <v>0</v>
      </c>
      <c r="AN460" s="4">
        <f>IF(vp.data[[#This Row],[SDate]]&lt;DATE(2016,12,1),0,1)</f>
        <v>1</v>
      </c>
      <c r="AO460" s="4">
        <f>IFERROR(vp.data[[#This Row],[Sulf]]*vp.data[[#This Row],[Net Dens]],"")</f>
        <v>6540595.0297170002</v>
      </c>
      <c r="AP460">
        <f>IFERROR(vp.data[[#This Row],[Dens]]*vp.data[[#This Row],[VolumeM3]],"")</f>
        <v>17677283.864100002</v>
      </c>
      <c r="AQ460" s="15">
        <f>IFERROR(vp.data[[#This Row],[VP]]*vp.data[[#This Row],[VolumeM3]],"")</f>
        <v>2126292.6425999999</v>
      </c>
    </row>
    <row r="461" spans="1:43" x14ac:dyDescent="0.25">
      <c r="A461">
        <v>460</v>
      </c>
      <c r="B461" t="s">
        <v>49</v>
      </c>
      <c r="C461" t="s">
        <v>49</v>
      </c>
      <c r="D461" t="s">
        <v>74</v>
      </c>
      <c r="F461" s="1">
        <v>42727</v>
      </c>
      <c r="G461" s="2">
        <v>120.1</v>
      </c>
      <c r="H461" s="2"/>
      <c r="I461" s="2">
        <f t="array" ref="I461">_xlfn.IFNA(IF(vp.data[[#This Row],[Sulf Input]]="",INDEX([1]DATA!$Q$3:$Q$9826,MATCH(1,(vp.data[[#This Row],[Battery]]=[1]DATA!$L$3:$L$9826)*(EOMONTH(vp.data[[#This Row],[SDate]],-1)+1=[1]DATA!$G$3:$G$9826),0)),vp.data[[#This Row],[Sulf Input]]),"")</f>
        <v>0.15</v>
      </c>
      <c r="J461" s="2">
        <v>12.8</v>
      </c>
      <c r="K461" s="2">
        <v>-7</v>
      </c>
      <c r="L461" s="2">
        <v>805.2</v>
      </c>
      <c r="M461" s="2">
        <f t="array" ref="M461">_xlfn.IFNA(IF(vp.data[[#This Row],[Dens Input]]="",INDEX([1]DATA!$O$3:$O$9826,MATCH(1,(vp.data[[#This Row],[Battery]]=[1]DATA!$L$3:$L$9826)*(EOMONTH(vp.data[[#This Row],[SDate]],-1)+1=[1]DATA!$G$3:$G$9826),0)),vp.data[[#This Row],[Dens Input]]),"")</f>
        <v>805.2</v>
      </c>
      <c r="N461" s="2">
        <f ca="1">INDEX(INDIRECT(_xlfn.CONCAT("weather.tbl[",N$1,"]")),MATCH(vp.data[[#This Row],[SDate]],weather.tbl[Date],0))</f>
        <v>-9.5500000000000025</v>
      </c>
      <c r="O461" s="2">
        <f ca="1">INDEX(INDIRECT(_xlfn.CONCAT("weather.tbl[",O$1,"]")),MATCH(vp.data[[#This Row],[SDate]],weather.tbl[Date],0))</f>
        <v>-11.078571428571427</v>
      </c>
      <c r="P461" s="2">
        <f ca="1">INDEX(INDIRECT(_xlfn.CONCAT("weather.tbl[",P$1,"]")),MATCH(vp.data[[#This Row],[SDate]],weather.tbl[Date],0))</f>
        <v>-10.8</v>
      </c>
      <c r="Q461" s="2">
        <f ca="1">INDEX(INDIRECT(_xlfn.CONCAT("weather.tbl[",Q$1,"]")),MATCH(vp.data[[#This Row],[SDate]],weather.tbl[Date],0))</f>
        <v>-9.8000000000000007</v>
      </c>
      <c r="R461" s="2">
        <f ca="1">INDEX(INDIRECT(_xlfn.CONCAT("weather.tbl[",R$1,"]")),MATCH(vp.data[[#This Row],[SDate]],weather.tbl[Date],0))</f>
        <v>-11.3</v>
      </c>
      <c r="S461" s="2">
        <f ca="1">INDEX(INDIRECT(_xlfn.CONCAT("weather.tbl[",S$1,"]")),MATCH(vp.data[[#This Row],[SDate]],weather.tbl[Date],0))</f>
        <v>-8</v>
      </c>
      <c r="T461" s="2">
        <f ca="1">INDEX(INDIRECT(_xlfn.CONCAT("weather.tbl[",T$1,"]")),MATCH(vp.data[[#This Row],[SDate]],weather.tbl[Date],0))</f>
        <v>-9.1</v>
      </c>
      <c r="U461" s="2">
        <f ca="1">INDEX(INDIRECT(_xlfn.CONCAT("weather.tbl[",U$1,"]")),MATCH(vp.data[[#This Row],[SDate]],weather.tbl[Date],0))</f>
        <v>-8.3000000000000007</v>
      </c>
      <c r="V461" s="2">
        <f t="array" ref="V4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30199.411</v>
      </c>
      <c r="W461" t="s">
        <v>48</v>
      </c>
      <c r="X461">
        <f>IF(OR(vp.data[[#This Row],[Sulf]]="",vp.data[[#This Row],[Dens]]=""),1,0)</f>
        <v>0</v>
      </c>
      <c r="Y461">
        <f>IF(vp.data[[#This Row],[CrudeType]]="C5+",1,0)</f>
        <v>0</v>
      </c>
      <c r="Z461">
        <f>IF(AND(vp.data[[#This Row],[CrudeType]]="Crude",vp.data[[#This Row],[Dens]]&lt;=825,vp.data[[#This Row],[Sulf]]&gt;0.5,vp.data[[#This Row],[Unknown]]=0),1,0)</f>
        <v>0</v>
      </c>
      <c r="AA461">
        <f>IF(AND(vp.data[[#This Row],[CrudeType]]="Crude",vp.data[[#This Row],[Dens]]&lt;=825,vp.data[[#This Row],[Sulf]]&lt;=0.5,vp.data[[#This Row],[Unknown]]=0),1,0)</f>
        <v>1</v>
      </c>
      <c r="AB4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61">
        <f>IF(AND(vp.data[[#This Row],[CrudeType]]="Crude",vp.data[[#This Row],[Dens]]&gt;825,vp.data[[#This Row],[Dens]]&lt;=900,vp.data[[#This Row],[Sulf]]&lt;=0.5,vp.data[[#This Row],[Unknown]]=0),1,0)</f>
        <v>0</v>
      </c>
      <c r="AD461">
        <f>IF(AND(vp.data[[#This Row],[CrudeType]]="Crude",vp.data[[#This Row],[Dens]]&gt;865,vp.data[[#This Row],[Dens]]&lt;=900,vp.data[[#This Row],[Sulf]]&gt;2,vp.data[[#This Row],[Unknown]]=0),1,0)</f>
        <v>0</v>
      </c>
      <c r="AE461">
        <f>IF(AND(vp.data[[#This Row],[CrudeType]]="Crude",vp.data[[#This Row],[Dens]]&gt;900,vp.data[[#This Row],[Sulf]]&lt;=0.5,vp.data[[#This Row],[Unknown]]=0),1,0)</f>
        <v>0</v>
      </c>
      <c r="AF461">
        <f>IF(AND(vp.data[[#This Row],[CrudeType]]="Crude",vp.data[[#This Row],[Dens]]&gt;900,vp.data[[#This Row],[Sulf]]&lt;=0.5,vp.data[[#This Row],[Unknown]]=0),1,0)</f>
        <v>0</v>
      </c>
      <c r="AG461" t="str">
        <f>INDEX(vp.data[[#Headers],[Unknown]:[Heavy_SW]],MATCH(1,vp.data[[#This Row],[Unknown]:[Heavy_SW]],0))</f>
        <v>Light_SW</v>
      </c>
      <c r="AH461">
        <f>INDEX([3]!crudeBD.lkup[Number],MATCH(vp.data[[#This Row],[Crude_Breakdown]],crudeBD.lkup[Crude Breakdown],0))</f>
        <v>2</v>
      </c>
      <c r="AI461">
        <f>MONTH(vp.data[[#This Row],[SDate]])</f>
        <v>12</v>
      </c>
      <c r="AJ461" s="5">
        <f>(vp.data[[#This Row],[VP]]-INDEX(crudeBD.lkup[Mean_VP],MATCH(vp.data[[#This Row],[Crude_Breakdown]],crudeBD.lkup[Crude Breakdown],0)))^2</f>
        <v>758.98522135269468</v>
      </c>
      <c r="AK461" s="5">
        <f>(vp.data[[#This Row],[Dens]]-INDEX(crudeBD.lkup[Mean_Dens],MATCH(vp.data[[#This Row],[Crude_Breakdown]],crudeBD.lkup[Crude Breakdown],0)))^2</f>
        <v>9.6814214085379788</v>
      </c>
      <c r="AL461" s="5">
        <f>(vp.data[[#This Row],[Sulf]]-INDEX(crudeBD.lkup[Mean_Sulf],MATCH(vp.data[[#This Row],[Crude_Breakdown]],crudeBD.lkup[Crude Breakdown],0)))^2</f>
        <v>7.4376501105998362E-3</v>
      </c>
      <c r="AM461" s="4">
        <f>IF(AND(vp.data[[#This Row],[SDate]]&gt;=DATE(YEAR(vp.data[[#This Row],[SDate]]),5,1),vp.data[[#This Row],[SDate]]&lt;=DATE(YEAR(vp.data[[#This Row],[SDate]]),9,15)),1,0)</f>
        <v>0</v>
      </c>
      <c r="AN461" s="4">
        <f>IF(vp.data[[#This Row],[SDate]]&lt;DATE(2016,12,1),0,1)</f>
        <v>1</v>
      </c>
      <c r="AO461" s="4">
        <f>IFERROR(vp.data[[#This Row],[Sulf]]*vp.data[[#This Row],[Net Dens]],"")</f>
        <v>3647484.8605800006</v>
      </c>
      <c r="AP461">
        <f>IFERROR(vp.data[[#This Row],[Dens]]*vp.data[[#This Row],[VolumeM3]],"")</f>
        <v>24316565.737200003</v>
      </c>
      <c r="AQ461" s="15">
        <f>IFERROR(vp.data[[#This Row],[VP]]*vp.data[[#This Row],[VolumeM3]],"")</f>
        <v>3626949.2610999998</v>
      </c>
    </row>
    <row r="462" spans="1:43" x14ac:dyDescent="0.25">
      <c r="A462">
        <v>461</v>
      </c>
      <c r="B462" t="s">
        <v>49</v>
      </c>
      <c r="C462" t="s">
        <v>49</v>
      </c>
      <c r="D462" t="s">
        <v>67</v>
      </c>
      <c r="F462" s="1">
        <v>42727</v>
      </c>
      <c r="G462" s="2">
        <v>105.6</v>
      </c>
      <c r="H462" s="2"/>
      <c r="I462" s="2">
        <f t="array" ref="I462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462" s="2">
        <v>3.6</v>
      </c>
      <c r="K462" s="2">
        <v>-7</v>
      </c>
      <c r="L462" s="2">
        <v>818.8</v>
      </c>
      <c r="M462" s="2">
        <f t="array" ref="M462">_xlfn.IFNA(IF(vp.data[[#This Row],[Dens Input]]="",INDEX([1]DATA!$O$3:$O$9826,MATCH(1,(vp.data[[#This Row],[Battery]]=[1]DATA!$L$3:$L$9826)*(EOMONTH(vp.data[[#This Row],[SDate]],-1)+1=[1]DATA!$G$3:$G$9826),0)),vp.data[[#This Row],[Dens Input]]),"")</f>
        <v>818.8</v>
      </c>
      <c r="N462" s="2">
        <f ca="1">INDEX(INDIRECT(_xlfn.CONCAT("weather.tbl[",N$1,"]")),MATCH(vp.data[[#This Row],[SDate]],weather.tbl[Date],0))</f>
        <v>-9.5500000000000025</v>
      </c>
      <c r="O462" s="2">
        <f ca="1">INDEX(INDIRECT(_xlfn.CONCAT("weather.tbl[",O$1,"]")),MATCH(vp.data[[#This Row],[SDate]],weather.tbl[Date],0))</f>
        <v>-11.078571428571427</v>
      </c>
      <c r="P462" s="2">
        <f ca="1">INDEX(INDIRECT(_xlfn.CONCAT("weather.tbl[",P$1,"]")),MATCH(vp.data[[#This Row],[SDate]],weather.tbl[Date],0))</f>
        <v>-10.8</v>
      </c>
      <c r="Q462" s="2">
        <f ca="1">INDEX(INDIRECT(_xlfn.CONCAT("weather.tbl[",Q$1,"]")),MATCH(vp.data[[#This Row],[SDate]],weather.tbl[Date],0))</f>
        <v>-9.8000000000000007</v>
      </c>
      <c r="R462" s="2">
        <f ca="1">INDEX(INDIRECT(_xlfn.CONCAT("weather.tbl[",R$1,"]")),MATCH(vp.data[[#This Row],[SDate]],weather.tbl[Date],0))</f>
        <v>-11.3</v>
      </c>
      <c r="S462" s="2">
        <f ca="1">INDEX(INDIRECT(_xlfn.CONCAT("weather.tbl[",S$1,"]")),MATCH(vp.data[[#This Row],[SDate]],weather.tbl[Date],0))</f>
        <v>-8</v>
      </c>
      <c r="T462" s="2">
        <f ca="1">INDEX(INDIRECT(_xlfn.CONCAT("weather.tbl[",T$1,"]")),MATCH(vp.data[[#This Row],[SDate]],weather.tbl[Date],0))</f>
        <v>-9.1</v>
      </c>
      <c r="U462" s="2">
        <f ca="1">INDEX(INDIRECT(_xlfn.CONCAT("weather.tbl[",U$1,"]")),MATCH(vp.data[[#This Row],[SDate]],weather.tbl[Date],0))</f>
        <v>-8.3000000000000007</v>
      </c>
      <c r="V462" s="2">
        <f t="array" ref="V4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462" t="s">
        <v>48</v>
      </c>
      <c r="X462">
        <f>IF(OR(vp.data[[#This Row],[Sulf]]="",vp.data[[#This Row],[Dens]]=""),1,0)</f>
        <v>0</v>
      </c>
      <c r="Y462">
        <f>IF(vp.data[[#This Row],[CrudeType]]="C5+",1,0)</f>
        <v>0</v>
      </c>
      <c r="Z462">
        <f>IF(AND(vp.data[[#This Row],[CrudeType]]="Crude",vp.data[[#This Row],[Dens]]&lt;=825,vp.data[[#This Row],[Sulf]]&gt;0.5,vp.data[[#This Row],[Unknown]]=0),1,0)</f>
        <v>0</v>
      </c>
      <c r="AA462">
        <f>IF(AND(vp.data[[#This Row],[CrudeType]]="Crude",vp.data[[#This Row],[Dens]]&lt;=825,vp.data[[#This Row],[Sulf]]&lt;=0.5,vp.data[[#This Row],[Unknown]]=0),1,0)</f>
        <v>1</v>
      </c>
      <c r="AB4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62">
        <f>IF(AND(vp.data[[#This Row],[CrudeType]]="Crude",vp.data[[#This Row],[Dens]]&gt;825,vp.data[[#This Row],[Dens]]&lt;=900,vp.data[[#This Row],[Sulf]]&lt;=0.5,vp.data[[#This Row],[Unknown]]=0),1,0)</f>
        <v>0</v>
      </c>
      <c r="AD462">
        <f>IF(AND(vp.data[[#This Row],[CrudeType]]="Crude",vp.data[[#This Row],[Dens]]&gt;865,vp.data[[#This Row],[Dens]]&lt;=900,vp.data[[#This Row],[Sulf]]&gt;2,vp.data[[#This Row],[Unknown]]=0),1,0)</f>
        <v>0</v>
      </c>
      <c r="AE462">
        <f>IF(AND(vp.data[[#This Row],[CrudeType]]="Crude",vp.data[[#This Row],[Dens]]&gt;900,vp.data[[#This Row],[Sulf]]&lt;=0.5,vp.data[[#This Row],[Unknown]]=0),1,0)</f>
        <v>0</v>
      </c>
      <c r="AF462">
        <f>IF(AND(vp.data[[#This Row],[CrudeType]]="Crude",vp.data[[#This Row],[Dens]]&gt;900,vp.data[[#This Row],[Sulf]]&lt;=0.5,vp.data[[#This Row],[Unknown]]=0),1,0)</f>
        <v>0</v>
      </c>
      <c r="AG462" t="str">
        <f>INDEX(vp.data[[#Headers],[Unknown]:[Heavy_SW]],MATCH(1,vp.data[[#This Row],[Unknown]:[Heavy_SW]],0))</f>
        <v>Light_SW</v>
      </c>
      <c r="AH462">
        <f>INDEX([3]!crudeBD.lkup[Number],MATCH(vp.data[[#This Row],[Crude_Breakdown]],crudeBD.lkup[Crude Breakdown],0))</f>
        <v>2</v>
      </c>
      <c r="AI462">
        <f>MONTH(vp.data[[#This Row],[SDate]])</f>
        <v>12</v>
      </c>
      <c r="AJ462" s="5">
        <f>(vp.data[[#This Row],[VP]]-INDEX(crudeBD.lkup[Mean_VP],MATCH(vp.data[[#This Row],[Crude_Breakdown]],crudeBD.lkup[Crude Breakdown],0)))^2</f>
        <v>170.29431542934904</v>
      </c>
      <c r="AK462" s="5">
        <f>(vp.data[[#This Row],[Dens]]-INDEX(crudeBD.lkup[Mean_Dens],MATCH(vp.data[[#This Row],[Crude_Breakdown]],crudeBD.lkup[Crude Breakdown],0)))^2</f>
        <v>110.00866879530282</v>
      </c>
      <c r="AL462" s="5">
        <f>(vp.data[[#This Row],[Sulf]]-INDEX(crudeBD.lkup[Mean_Sulf],MATCH(vp.data[[#This Row],[Crude_Breakdown]],crudeBD.lkup[Crude Breakdown],0)))^2</f>
        <v>1.3134689259308601E-3</v>
      </c>
      <c r="AM462" s="4">
        <f>IF(AND(vp.data[[#This Row],[SDate]]&gt;=DATE(YEAR(vp.data[[#This Row],[SDate]]),5,1),vp.data[[#This Row],[SDate]]&lt;=DATE(YEAR(vp.data[[#This Row],[SDate]]),9,15)),1,0)</f>
        <v>0</v>
      </c>
      <c r="AN462" s="4">
        <f>IF(vp.data[[#This Row],[SDate]]&lt;DATE(2016,12,1),0,1)</f>
        <v>1</v>
      </c>
      <c r="AO462" s="4">
        <f>IFERROR(vp.data[[#This Row],[Sulf]]*vp.data[[#This Row],[Net Dens]],"")</f>
        <v>12443143.934</v>
      </c>
      <c r="AP462">
        <f>IFERROR(vp.data[[#This Row],[Dens]]*vp.data[[#This Row],[VolumeM3]],"")</f>
        <v>62215719.669999994</v>
      </c>
      <c r="AQ462" s="15">
        <f>IFERROR(vp.data[[#This Row],[VP]]*vp.data[[#This Row],[VolumeM3]],"")</f>
        <v>8023913.0399999991</v>
      </c>
    </row>
    <row r="463" spans="1:43" x14ac:dyDescent="0.25">
      <c r="A463">
        <v>462</v>
      </c>
      <c r="B463" t="s">
        <v>49</v>
      </c>
      <c r="C463" t="s">
        <v>49</v>
      </c>
      <c r="D463" t="s">
        <v>89</v>
      </c>
      <c r="F463" s="1">
        <v>42727</v>
      </c>
      <c r="G463" s="2">
        <v>102.7</v>
      </c>
      <c r="H463" s="2"/>
      <c r="I463" s="2">
        <f t="array" ref="I463">_xlfn.IFNA(IF(vp.data[[#This Row],[Sulf Input]]="",INDEX([1]DATA!$Q$3:$Q$9826,MATCH(1,(vp.data[[#This Row],[Battery]]=[1]DATA!$L$3:$L$9826)*(EOMONTH(vp.data[[#This Row],[SDate]],-1)+1=[1]DATA!$G$3:$G$9826),0)),vp.data[[#This Row],[Sulf Input]]),"")</f>
        <v>0.55000000000000004</v>
      </c>
      <c r="J463" s="2">
        <v>4.7</v>
      </c>
      <c r="K463" s="2">
        <v>-7</v>
      </c>
      <c r="L463" s="2">
        <v>822.4</v>
      </c>
      <c r="M463" s="2">
        <f t="array" ref="M463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463" s="2">
        <f ca="1">INDEX(INDIRECT(_xlfn.CONCAT("weather.tbl[",N$1,"]")),MATCH(vp.data[[#This Row],[SDate]],weather.tbl[Date],0))</f>
        <v>-9.5500000000000025</v>
      </c>
      <c r="O463" s="2">
        <f ca="1">INDEX(INDIRECT(_xlfn.CONCAT("weather.tbl[",O$1,"]")),MATCH(vp.data[[#This Row],[SDate]],weather.tbl[Date],0))</f>
        <v>-11.078571428571427</v>
      </c>
      <c r="P463" s="2">
        <f ca="1">INDEX(INDIRECT(_xlfn.CONCAT("weather.tbl[",P$1,"]")),MATCH(vp.data[[#This Row],[SDate]],weather.tbl[Date],0))</f>
        <v>-10.8</v>
      </c>
      <c r="Q463" s="2">
        <f ca="1">INDEX(INDIRECT(_xlfn.CONCAT("weather.tbl[",Q$1,"]")),MATCH(vp.data[[#This Row],[SDate]],weather.tbl[Date],0))</f>
        <v>-9.8000000000000007</v>
      </c>
      <c r="R463" s="2">
        <f ca="1">INDEX(INDIRECT(_xlfn.CONCAT("weather.tbl[",R$1,"]")),MATCH(vp.data[[#This Row],[SDate]],weather.tbl[Date],0))</f>
        <v>-11.3</v>
      </c>
      <c r="S463" s="2">
        <f ca="1">INDEX(INDIRECT(_xlfn.CONCAT("weather.tbl[",S$1,"]")),MATCH(vp.data[[#This Row],[SDate]],weather.tbl[Date],0))</f>
        <v>-8</v>
      </c>
      <c r="T463" s="2">
        <f ca="1">INDEX(INDIRECT(_xlfn.CONCAT("weather.tbl[",T$1,"]")),MATCH(vp.data[[#This Row],[SDate]],weather.tbl[Date],0))</f>
        <v>-9.1</v>
      </c>
      <c r="U463" s="2">
        <f ca="1">INDEX(INDIRECT(_xlfn.CONCAT("weather.tbl[",U$1,"]")),MATCH(vp.data[[#This Row],[SDate]],weather.tbl[Date],0))</f>
        <v>-8.3000000000000007</v>
      </c>
      <c r="V463" s="2">
        <f t="array" ref="V4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5355.0209999999997</v>
      </c>
      <c r="W463" t="s">
        <v>48</v>
      </c>
      <c r="X463">
        <f>IF(OR(vp.data[[#This Row],[Sulf]]="",vp.data[[#This Row],[Dens]]=""),1,0)</f>
        <v>0</v>
      </c>
      <c r="Y463">
        <f>IF(vp.data[[#This Row],[CrudeType]]="C5+",1,0)</f>
        <v>0</v>
      </c>
      <c r="Z463">
        <f>IF(AND(vp.data[[#This Row],[CrudeType]]="Crude",vp.data[[#This Row],[Dens]]&lt;=825,vp.data[[#This Row],[Sulf]]&gt;0.5,vp.data[[#This Row],[Unknown]]=0),1,0)</f>
        <v>1</v>
      </c>
      <c r="AA463">
        <f>IF(AND(vp.data[[#This Row],[CrudeType]]="Crude",vp.data[[#This Row],[Dens]]&lt;=825,vp.data[[#This Row],[Sulf]]&lt;=0.5,vp.data[[#This Row],[Unknown]]=0),1,0)</f>
        <v>0</v>
      </c>
      <c r="AB4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63">
        <f>IF(AND(vp.data[[#This Row],[CrudeType]]="Crude",vp.data[[#This Row],[Dens]]&gt;825,vp.data[[#This Row],[Dens]]&lt;=900,vp.data[[#This Row],[Sulf]]&lt;=0.5,vp.data[[#This Row],[Unknown]]=0),1,0)</f>
        <v>0</v>
      </c>
      <c r="AD463">
        <f>IF(AND(vp.data[[#This Row],[CrudeType]]="Crude",vp.data[[#This Row],[Dens]]&gt;865,vp.data[[#This Row],[Dens]]&lt;=900,vp.data[[#This Row],[Sulf]]&gt;2,vp.data[[#This Row],[Unknown]]=0),1,0)</f>
        <v>0</v>
      </c>
      <c r="AE463">
        <f>IF(AND(vp.data[[#This Row],[CrudeType]]="Crude",vp.data[[#This Row],[Dens]]&gt;900,vp.data[[#This Row],[Sulf]]&lt;=0.5,vp.data[[#This Row],[Unknown]]=0),1,0)</f>
        <v>0</v>
      </c>
      <c r="AF463">
        <f>IF(AND(vp.data[[#This Row],[CrudeType]]="Crude",vp.data[[#This Row],[Dens]]&gt;900,vp.data[[#This Row],[Sulf]]&lt;=0.5,vp.data[[#This Row],[Unknown]]=0),1,0)</f>
        <v>0</v>
      </c>
      <c r="AG463" t="str">
        <f>INDEX(vp.data[[#Headers],[Unknown]:[Heavy_SW]],MATCH(1,vp.data[[#This Row],[Unknown]:[Heavy_SW]],0))</f>
        <v>Light_LSB</v>
      </c>
      <c r="AH463">
        <f>INDEX([3]!crudeBD.lkup[Number],MATCH(vp.data[[#This Row],[Crude_Breakdown]],crudeBD.lkup[Crude Breakdown],0))</f>
        <v>1</v>
      </c>
      <c r="AI463">
        <f>MONTH(vp.data[[#This Row],[SDate]])</f>
        <v>12</v>
      </c>
      <c r="AJ463" s="5">
        <f>(vp.data[[#This Row],[VP]]-INDEX(crudeBD.lkup[Mean_VP],MATCH(vp.data[[#This Row],[Crude_Breakdown]],crudeBD.lkup[Crude Breakdown],0)))^2</f>
        <v>124.40757640556851</v>
      </c>
      <c r="AK463" s="5">
        <f>(vp.data[[#This Row],[Dens]]-INDEX(crudeBD.lkup[Mean_Dens],MATCH(vp.data[[#This Row],[Crude_Breakdown]],crudeBD.lkup[Crude Breakdown],0)))^2</f>
        <v>15.07947710112294</v>
      </c>
      <c r="AL463" s="5">
        <f>(vp.data[[#This Row],[Sulf]]-INDEX(crudeBD.lkup[Mean_Sulf],MATCH(vp.data[[#This Row],[Crude_Breakdown]],crudeBD.lkup[Crude Breakdown],0)))^2</f>
        <v>0.13910749244638207</v>
      </c>
      <c r="AM463" s="4">
        <f>IF(AND(vp.data[[#This Row],[SDate]]&gt;=DATE(YEAR(vp.data[[#This Row],[SDate]]),5,1),vp.data[[#This Row],[SDate]]&lt;=DATE(YEAR(vp.data[[#This Row],[SDate]]),9,15)),1,0)</f>
        <v>0</v>
      </c>
      <c r="AN463" s="4">
        <f>IF(vp.data[[#This Row],[SDate]]&lt;DATE(2016,12,1),0,1)</f>
        <v>1</v>
      </c>
      <c r="AO463" s="4">
        <f>IFERROR(vp.data[[#This Row],[Sulf]]*vp.data[[#This Row],[Net Dens]],"")</f>
        <v>2422183.0987200001</v>
      </c>
      <c r="AP463">
        <f>IFERROR(vp.data[[#This Row],[Dens]]*vp.data[[#This Row],[VolumeM3]],"")</f>
        <v>4403969.2703999998</v>
      </c>
      <c r="AQ463" s="15">
        <f>IFERROR(vp.data[[#This Row],[VP]]*vp.data[[#This Row],[VolumeM3]],"")</f>
        <v>549960.65669999993</v>
      </c>
    </row>
    <row r="464" spans="1:43" x14ac:dyDescent="0.25">
      <c r="A464">
        <v>463</v>
      </c>
      <c r="B464" t="s">
        <v>56</v>
      </c>
      <c r="C464" t="s">
        <v>56</v>
      </c>
      <c r="D464" t="s">
        <v>57</v>
      </c>
      <c r="F464" s="1">
        <v>42727</v>
      </c>
      <c r="G464" s="2">
        <v>93.3</v>
      </c>
      <c r="H464" s="2"/>
      <c r="I464" s="2">
        <f t="array" ref="I464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464" s="2">
        <v>10.5</v>
      </c>
      <c r="K464" s="2">
        <v>-7</v>
      </c>
      <c r="L464" s="2">
        <v>839.4</v>
      </c>
      <c r="M464" s="2">
        <f t="array" ref="M464">_xlfn.IFNA(IF(vp.data[[#This Row],[Dens Input]]="",INDEX([1]DATA!$O$3:$O$9826,MATCH(1,(vp.data[[#This Row],[Battery]]=[1]DATA!$L$3:$L$9826)*(EOMONTH(vp.data[[#This Row],[SDate]],-1)+1=[1]DATA!$G$3:$G$9826),0)),vp.data[[#This Row],[Dens Input]]),"")</f>
        <v>839.4</v>
      </c>
      <c r="N464" s="2">
        <f ca="1">INDEX(INDIRECT(_xlfn.CONCAT("weather.tbl[",N$1,"]")),MATCH(vp.data[[#This Row],[SDate]],weather.tbl[Date],0))</f>
        <v>-9.5500000000000025</v>
      </c>
      <c r="O464" s="2">
        <f ca="1">INDEX(INDIRECT(_xlfn.CONCAT("weather.tbl[",O$1,"]")),MATCH(vp.data[[#This Row],[SDate]],weather.tbl[Date],0))</f>
        <v>-11.078571428571427</v>
      </c>
      <c r="P464" s="2">
        <f ca="1">INDEX(INDIRECT(_xlfn.CONCAT("weather.tbl[",P$1,"]")),MATCH(vp.data[[#This Row],[SDate]],weather.tbl[Date],0))</f>
        <v>-10.8</v>
      </c>
      <c r="Q464" s="2">
        <f ca="1">INDEX(INDIRECT(_xlfn.CONCAT("weather.tbl[",Q$1,"]")),MATCH(vp.data[[#This Row],[SDate]],weather.tbl[Date],0))</f>
        <v>-9.8000000000000007</v>
      </c>
      <c r="R464" s="2">
        <f ca="1">INDEX(INDIRECT(_xlfn.CONCAT("weather.tbl[",R$1,"]")),MATCH(vp.data[[#This Row],[SDate]],weather.tbl[Date],0))</f>
        <v>-11.3</v>
      </c>
      <c r="S464" s="2">
        <f ca="1">INDEX(INDIRECT(_xlfn.CONCAT("weather.tbl[",S$1,"]")),MATCH(vp.data[[#This Row],[SDate]],weather.tbl[Date],0))</f>
        <v>-8</v>
      </c>
      <c r="T464" s="2">
        <f ca="1">INDEX(INDIRECT(_xlfn.CONCAT("weather.tbl[",T$1,"]")),MATCH(vp.data[[#This Row],[SDate]],weather.tbl[Date],0))</f>
        <v>-9.1</v>
      </c>
      <c r="U464" s="2">
        <f ca="1">INDEX(INDIRECT(_xlfn.CONCAT("weather.tbl[",U$1,"]")),MATCH(vp.data[[#This Row],[SDate]],weather.tbl[Date],0))</f>
        <v>-8.3000000000000007</v>
      </c>
      <c r="V464" s="2">
        <f t="array" ref="V4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3105.3330000000001</v>
      </c>
      <c r="W464" t="s">
        <v>48</v>
      </c>
      <c r="X464">
        <f>IF(OR(vp.data[[#This Row],[Sulf]]="",vp.data[[#This Row],[Dens]]=""),1,0)</f>
        <v>0</v>
      </c>
      <c r="Y464">
        <f>IF(vp.data[[#This Row],[CrudeType]]="C5+",1,0)</f>
        <v>0</v>
      </c>
      <c r="Z464">
        <f>IF(AND(vp.data[[#This Row],[CrudeType]]="Crude",vp.data[[#This Row],[Dens]]&lt;=825,vp.data[[#This Row],[Sulf]]&gt;0.5,vp.data[[#This Row],[Unknown]]=0),1,0)</f>
        <v>0</v>
      </c>
      <c r="AA464">
        <f>IF(AND(vp.data[[#This Row],[CrudeType]]="Crude",vp.data[[#This Row],[Dens]]&lt;=825,vp.data[[#This Row],[Sulf]]&lt;=0.5,vp.data[[#This Row],[Unknown]]=0),1,0)</f>
        <v>0</v>
      </c>
      <c r="AB4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4">
        <f>IF(AND(vp.data[[#This Row],[CrudeType]]="Crude",vp.data[[#This Row],[Dens]]&gt;825,vp.data[[#This Row],[Dens]]&lt;=900,vp.data[[#This Row],[Sulf]]&lt;=0.5,vp.data[[#This Row],[Unknown]]=0),1,0)</f>
        <v>0</v>
      </c>
      <c r="AD464">
        <f>IF(AND(vp.data[[#This Row],[CrudeType]]="Crude",vp.data[[#This Row],[Dens]]&gt;865,vp.data[[#This Row],[Dens]]&lt;=900,vp.data[[#This Row],[Sulf]]&gt;2,vp.data[[#This Row],[Unknown]]=0),1,0)</f>
        <v>0</v>
      </c>
      <c r="AE464">
        <f>IF(AND(vp.data[[#This Row],[CrudeType]]="Crude",vp.data[[#This Row],[Dens]]&gt;900,vp.data[[#This Row],[Sulf]]&lt;=0.5,vp.data[[#This Row],[Unknown]]=0),1,0)</f>
        <v>0</v>
      </c>
      <c r="AF464">
        <f>IF(AND(vp.data[[#This Row],[CrudeType]]="Crude",vp.data[[#This Row],[Dens]]&gt;900,vp.data[[#This Row],[Sulf]]&lt;=0.5,vp.data[[#This Row],[Unknown]]=0),1,0)</f>
        <v>0</v>
      </c>
      <c r="AG464" t="str">
        <f>INDEX(vp.data[[#Headers],[Unknown]:[Heavy_SW]],MATCH(1,vp.data[[#This Row],[Unknown]:[Heavy_SW]],0))</f>
        <v>Medium_LSB</v>
      </c>
      <c r="AH464">
        <f>INDEX([3]!crudeBD.lkup[Number],MATCH(vp.data[[#This Row],[Crude_Breakdown]],crudeBD.lkup[Crude Breakdown],0))</f>
        <v>3</v>
      </c>
      <c r="AI464">
        <f>MONTH(vp.data[[#This Row],[SDate]])</f>
        <v>12</v>
      </c>
      <c r="AJ464" s="5">
        <f>(vp.data[[#This Row],[VP]]-INDEX(crudeBD.lkup[Mean_VP],MATCH(vp.data[[#This Row],[Crude_Breakdown]],crudeBD.lkup[Crude Breakdown],0)))^2</f>
        <v>160.28378986203413</v>
      </c>
      <c r="AK464" s="5">
        <f>(vp.data[[#This Row],[Dens]]-INDEX(crudeBD.lkup[Mean_Dens],MATCH(vp.data[[#This Row],[Crude_Breakdown]],crudeBD.lkup[Crude Breakdown],0)))^2</f>
        <v>20.430399999995725</v>
      </c>
      <c r="AL464" s="5">
        <f>(vp.data[[#This Row],[Sulf]]-INDEX(crudeBD.lkup[Mean_Sulf],MATCH(vp.data[[#This Row],[Crude_Breakdown]],crudeBD.lkup[Crude Breakdown],0)))^2</f>
        <v>5.9825184491918218E-2</v>
      </c>
      <c r="AM464" s="4">
        <f>IF(AND(vp.data[[#This Row],[SDate]]&gt;=DATE(YEAR(vp.data[[#This Row],[SDate]]),5,1),vp.data[[#This Row],[SDate]]&lt;=DATE(YEAR(vp.data[[#This Row],[SDate]]),9,15)),1,0)</f>
        <v>0</v>
      </c>
      <c r="AN464" s="4">
        <f>IF(vp.data[[#This Row],[SDate]]&lt;DATE(2016,12,1),0,1)</f>
        <v>1</v>
      </c>
      <c r="AO464" s="4">
        <f>IFERROR(vp.data[[#This Row],[Sulf]]*vp.data[[#This Row],[Net Dens]],"")</f>
        <v>4248784.9279260002</v>
      </c>
      <c r="AP464">
        <f>IFERROR(vp.data[[#This Row],[Dens]]*vp.data[[#This Row],[VolumeM3]],"")</f>
        <v>2606616.5202000001</v>
      </c>
      <c r="AQ464" s="15">
        <f>IFERROR(vp.data[[#This Row],[VP]]*vp.data[[#This Row],[VolumeM3]],"")</f>
        <v>289727.56890000001</v>
      </c>
    </row>
    <row r="465" spans="1:43" x14ac:dyDescent="0.25">
      <c r="A465">
        <v>464</v>
      </c>
      <c r="B465" t="s">
        <v>49</v>
      </c>
      <c r="C465" t="s">
        <v>49</v>
      </c>
      <c r="D465" t="s">
        <v>102</v>
      </c>
      <c r="F465" s="1">
        <v>42727</v>
      </c>
      <c r="G465" s="2">
        <v>62.3</v>
      </c>
      <c r="H465" s="2"/>
      <c r="I465" s="2">
        <f t="array" ref="I465">_xlfn.IFNA(IF(vp.data[[#This Row],[Sulf Input]]="",INDEX([1]DATA!$Q$3:$Q$9826,MATCH(1,(vp.data[[#This Row],[Battery]]=[1]DATA!$L$3:$L$9826)*(EOMONTH(vp.data[[#This Row],[SDate]],-1)+1=[1]DATA!$G$3:$G$9826),0)),vp.data[[#This Row],[Sulf Input]]),"")</f>
        <v>2.29</v>
      </c>
      <c r="J465" s="2">
        <v>17.899999999999999</v>
      </c>
      <c r="K465" s="2">
        <v>-7</v>
      </c>
      <c r="L465" s="2">
        <v>853.1</v>
      </c>
      <c r="M465" s="2">
        <f t="array" ref="M465">_xlfn.IFNA(IF(vp.data[[#This Row],[Dens Input]]="",INDEX([1]DATA!$O$3:$O$9826,MATCH(1,(vp.data[[#This Row],[Battery]]=[1]DATA!$L$3:$L$9826)*(EOMONTH(vp.data[[#This Row],[SDate]],-1)+1=[1]DATA!$G$3:$G$9826),0)),vp.data[[#This Row],[Dens Input]]),"")</f>
        <v>853.1</v>
      </c>
      <c r="N465" s="2">
        <f ca="1">INDEX(INDIRECT(_xlfn.CONCAT("weather.tbl[",N$1,"]")),MATCH(vp.data[[#This Row],[SDate]],weather.tbl[Date],0))</f>
        <v>-9.5500000000000025</v>
      </c>
      <c r="O465" s="2">
        <f ca="1">INDEX(INDIRECT(_xlfn.CONCAT("weather.tbl[",O$1,"]")),MATCH(vp.data[[#This Row],[SDate]],weather.tbl[Date],0))</f>
        <v>-11.078571428571427</v>
      </c>
      <c r="P465" s="2">
        <f ca="1">INDEX(INDIRECT(_xlfn.CONCAT("weather.tbl[",P$1,"]")),MATCH(vp.data[[#This Row],[SDate]],weather.tbl[Date],0))</f>
        <v>-10.8</v>
      </c>
      <c r="Q465" s="2">
        <f ca="1">INDEX(INDIRECT(_xlfn.CONCAT("weather.tbl[",Q$1,"]")),MATCH(vp.data[[#This Row],[SDate]],weather.tbl[Date],0))</f>
        <v>-9.8000000000000007</v>
      </c>
      <c r="R465" s="2">
        <f ca="1">INDEX(INDIRECT(_xlfn.CONCAT("weather.tbl[",R$1,"]")),MATCH(vp.data[[#This Row],[SDate]],weather.tbl[Date],0))</f>
        <v>-11.3</v>
      </c>
      <c r="S465" s="2">
        <f ca="1">INDEX(INDIRECT(_xlfn.CONCAT("weather.tbl[",S$1,"]")),MATCH(vp.data[[#This Row],[SDate]],weather.tbl[Date],0))</f>
        <v>-8</v>
      </c>
      <c r="T465" s="2">
        <f ca="1">INDEX(INDIRECT(_xlfn.CONCAT("weather.tbl[",T$1,"]")),MATCH(vp.data[[#This Row],[SDate]],weather.tbl[Date],0))</f>
        <v>-9.1</v>
      </c>
      <c r="U465" s="2">
        <f ca="1">INDEX(INDIRECT(_xlfn.CONCAT("weather.tbl[",U$1,"]")),MATCH(vp.data[[#This Row],[SDate]],weather.tbl[Date],0))</f>
        <v>-8.3000000000000007</v>
      </c>
      <c r="V465" s="2">
        <f t="array" ref="V4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1656.4649999999999</v>
      </c>
      <c r="W465" t="s">
        <v>48</v>
      </c>
      <c r="X465">
        <f>IF(OR(vp.data[[#This Row],[Sulf]]="",vp.data[[#This Row],[Dens]]=""),1,0)</f>
        <v>0</v>
      </c>
      <c r="Y465">
        <f>IF(vp.data[[#This Row],[CrudeType]]="C5+",1,0)</f>
        <v>0</v>
      </c>
      <c r="Z465">
        <f>IF(AND(vp.data[[#This Row],[CrudeType]]="Crude",vp.data[[#This Row],[Dens]]&lt;=825,vp.data[[#This Row],[Sulf]]&gt;0.5,vp.data[[#This Row],[Unknown]]=0),1,0)</f>
        <v>0</v>
      </c>
      <c r="AA465">
        <f>IF(AND(vp.data[[#This Row],[CrudeType]]="Crude",vp.data[[#This Row],[Dens]]&lt;=825,vp.data[[#This Row],[Sulf]]&lt;=0.5,vp.data[[#This Row],[Unknown]]=0),1,0)</f>
        <v>0</v>
      </c>
      <c r="AB4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5">
        <f>IF(AND(vp.data[[#This Row],[CrudeType]]="Crude",vp.data[[#This Row],[Dens]]&gt;825,vp.data[[#This Row],[Dens]]&lt;=900,vp.data[[#This Row],[Sulf]]&lt;=0.5,vp.data[[#This Row],[Unknown]]=0),1,0)</f>
        <v>0</v>
      </c>
      <c r="AD465">
        <f>IF(AND(vp.data[[#This Row],[CrudeType]]="Crude",vp.data[[#This Row],[Dens]]&gt;865,vp.data[[#This Row],[Dens]]&lt;=900,vp.data[[#This Row],[Sulf]]&gt;2,vp.data[[#This Row],[Unknown]]=0),1,0)</f>
        <v>0</v>
      </c>
      <c r="AE465">
        <f>IF(AND(vp.data[[#This Row],[CrudeType]]="Crude",vp.data[[#This Row],[Dens]]&gt;900,vp.data[[#This Row],[Sulf]]&lt;=0.5,vp.data[[#This Row],[Unknown]]=0),1,0)</f>
        <v>0</v>
      </c>
      <c r="AF465">
        <f>IF(AND(vp.data[[#This Row],[CrudeType]]="Crude",vp.data[[#This Row],[Dens]]&gt;900,vp.data[[#This Row],[Sulf]]&lt;=0.5,vp.data[[#This Row],[Unknown]]=0),1,0)</f>
        <v>0</v>
      </c>
      <c r="AG465" t="str">
        <f>INDEX(vp.data[[#Headers],[Unknown]:[Heavy_SW]],MATCH(1,vp.data[[#This Row],[Unknown]:[Heavy_SW]],0))</f>
        <v>Medium_LSB</v>
      </c>
      <c r="AH465">
        <f>INDEX([3]!crudeBD.lkup[Number],MATCH(vp.data[[#This Row],[Crude_Breakdown]],crudeBD.lkup[Crude Breakdown],0))</f>
        <v>3</v>
      </c>
      <c r="AI465">
        <f>MONTH(vp.data[[#This Row],[SDate]])</f>
        <v>12</v>
      </c>
      <c r="AJ465" s="5">
        <f>(vp.data[[#This Row],[VP]]-INDEX(crudeBD.lkup[Mean_VP],MATCH(vp.data[[#This Row],[Crude_Breakdown]],crudeBD.lkup[Crude Breakdown],0)))^2</f>
        <v>336.34373595367407</v>
      </c>
      <c r="AK465" s="5">
        <f>(vp.data[[#This Row],[Dens]]-INDEX(crudeBD.lkup[Mean_Dens],MATCH(vp.data[[#This Row],[Crude_Breakdown]],crudeBD.lkup[Crude Breakdown],0)))^2</f>
        <v>84.272400000009512</v>
      </c>
      <c r="AL465" s="5">
        <f>(vp.data[[#This Row],[Sulf]]-INDEX(crudeBD.lkup[Mean_Sulf],MATCH(vp.data[[#This Row],[Crude_Breakdown]],crudeBD.lkup[Crude Breakdown],0)))^2</f>
        <v>0.8182864572681966</v>
      </c>
      <c r="AM465" s="4">
        <f>IF(AND(vp.data[[#This Row],[SDate]]&gt;=DATE(YEAR(vp.data[[#This Row],[SDate]]),5,1),vp.data[[#This Row],[SDate]]&lt;=DATE(YEAR(vp.data[[#This Row],[SDate]]),9,15)),1,0)</f>
        <v>0</v>
      </c>
      <c r="AN465" s="4">
        <f>IF(vp.data[[#This Row],[SDate]]&lt;DATE(2016,12,1),0,1)</f>
        <v>1</v>
      </c>
      <c r="AO465" s="4">
        <f>IFERROR(vp.data[[#This Row],[Sulf]]*vp.data[[#This Row],[Net Dens]],"")</f>
        <v>3236068.3675350002</v>
      </c>
      <c r="AP465">
        <f>IFERROR(vp.data[[#This Row],[Dens]]*vp.data[[#This Row],[VolumeM3]],"")</f>
        <v>1413130.2915000001</v>
      </c>
      <c r="AQ465" s="15">
        <f>IFERROR(vp.data[[#This Row],[VP]]*vp.data[[#This Row],[VolumeM3]],"")</f>
        <v>103197.76949999999</v>
      </c>
    </row>
    <row r="466" spans="1:43" x14ac:dyDescent="0.25">
      <c r="A466">
        <v>465</v>
      </c>
      <c r="B466" t="s">
        <v>49</v>
      </c>
      <c r="C466" t="s">
        <v>49</v>
      </c>
      <c r="D466" t="s">
        <v>103</v>
      </c>
      <c r="F466" s="1">
        <v>42727</v>
      </c>
      <c r="G466" s="2">
        <v>60.8</v>
      </c>
      <c r="H466" s="2"/>
      <c r="I466" s="2">
        <f t="array" ref="I466">_xlfn.IFNA(IF(vp.data[[#This Row],[Sulf Input]]="",INDEX([1]DATA!$Q$3:$Q$9826,MATCH(1,(vp.data[[#This Row],[Battery]]=[1]DATA!$L$3:$L$9826)*(EOMONTH(vp.data[[#This Row],[SDate]],-1)+1=[1]DATA!$G$3:$G$9826),0)),vp.data[[#This Row],[Sulf Input]]),"")</f>
        <v>2.1</v>
      </c>
      <c r="J466" s="2">
        <v>22</v>
      </c>
      <c r="K466" s="2">
        <v>-7</v>
      </c>
      <c r="L466" s="2">
        <v>854.1</v>
      </c>
      <c r="M466" s="2">
        <f t="array" ref="M466">_xlfn.IFNA(IF(vp.data[[#This Row],[Dens Input]]="",INDEX([1]DATA!$O$3:$O$9826,MATCH(1,(vp.data[[#This Row],[Battery]]=[1]DATA!$L$3:$L$9826)*(EOMONTH(vp.data[[#This Row],[SDate]],-1)+1=[1]DATA!$G$3:$G$9826),0)),vp.data[[#This Row],[Dens Input]]),"")</f>
        <v>854.1</v>
      </c>
      <c r="N466" s="2">
        <f ca="1">INDEX(INDIRECT(_xlfn.CONCAT("weather.tbl[",N$1,"]")),MATCH(vp.data[[#This Row],[SDate]],weather.tbl[Date],0))</f>
        <v>-9.5500000000000025</v>
      </c>
      <c r="O466" s="2">
        <f ca="1">INDEX(INDIRECT(_xlfn.CONCAT("weather.tbl[",O$1,"]")),MATCH(vp.data[[#This Row],[SDate]],weather.tbl[Date],0))</f>
        <v>-11.078571428571427</v>
      </c>
      <c r="P466" s="2">
        <f ca="1">INDEX(INDIRECT(_xlfn.CONCAT("weather.tbl[",P$1,"]")),MATCH(vp.data[[#This Row],[SDate]],weather.tbl[Date],0))</f>
        <v>-10.8</v>
      </c>
      <c r="Q466" s="2">
        <f ca="1">INDEX(INDIRECT(_xlfn.CONCAT("weather.tbl[",Q$1,"]")),MATCH(vp.data[[#This Row],[SDate]],weather.tbl[Date],0))</f>
        <v>-9.8000000000000007</v>
      </c>
      <c r="R466" s="2">
        <f ca="1">INDEX(INDIRECT(_xlfn.CONCAT("weather.tbl[",R$1,"]")),MATCH(vp.data[[#This Row],[SDate]],weather.tbl[Date],0))</f>
        <v>-11.3</v>
      </c>
      <c r="S466" s="2">
        <f ca="1">INDEX(INDIRECT(_xlfn.CONCAT("weather.tbl[",S$1,"]")),MATCH(vp.data[[#This Row],[SDate]],weather.tbl[Date],0))</f>
        <v>-8</v>
      </c>
      <c r="T466" s="2">
        <f ca="1">INDEX(INDIRECT(_xlfn.CONCAT("weather.tbl[",T$1,"]")),MATCH(vp.data[[#This Row],[SDate]],weather.tbl[Date],0))</f>
        <v>-9.1</v>
      </c>
      <c r="U466" s="2">
        <f ca="1">INDEX(INDIRECT(_xlfn.CONCAT("weather.tbl[",U$1,"]")),MATCH(vp.data[[#This Row],[SDate]],weather.tbl[Date],0))</f>
        <v>-8.3000000000000007</v>
      </c>
      <c r="V466" s="2">
        <f t="array" ref="V4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1109.9079999999999</v>
      </c>
      <c r="W466" t="s">
        <v>48</v>
      </c>
      <c r="X466">
        <f>IF(OR(vp.data[[#This Row],[Sulf]]="",vp.data[[#This Row],[Dens]]=""),1,0)</f>
        <v>0</v>
      </c>
      <c r="Y466">
        <f>IF(vp.data[[#This Row],[CrudeType]]="C5+",1,0)</f>
        <v>0</v>
      </c>
      <c r="Z466">
        <f>IF(AND(vp.data[[#This Row],[CrudeType]]="Crude",vp.data[[#This Row],[Dens]]&lt;=825,vp.data[[#This Row],[Sulf]]&gt;0.5,vp.data[[#This Row],[Unknown]]=0),1,0)</f>
        <v>0</v>
      </c>
      <c r="AA466">
        <f>IF(AND(vp.data[[#This Row],[CrudeType]]="Crude",vp.data[[#This Row],[Dens]]&lt;=825,vp.data[[#This Row],[Sulf]]&lt;=0.5,vp.data[[#This Row],[Unknown]]=0),1,0)</f>
        <v>0</v>
      </c>
      <c r="AB4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6">
        <f>IF(AND(vp.data[[#This Row],[CrudeType]]="Crude",vp.data[[#This Row],[Dens]]&gt;825,vp.data[[#This Row],[Dens]]&lt;=900,vp.data[[#This Row],[Sulf]]&lt;=0.5,vp.data[[#This Row],[Unknown]]=0),1,0)</f>
        <v>0</v>
      </c>
      <c r="AD466">
        <f>IF(AND(vp.data[[#This Row],[CrudeType]]="Crude",vp.data[[#This Row],[Dens]]&gt;865,vp.data[[#This Row],[Dens]]&lt;=900,vp.data[[#This Row],[Sulf]]&gt;2,vp.data[[#This Row],[Unknown]]=0),1,0)</f>
        <v>0</v>
      </c>
      <c r="AE466">
        <f>IF(AND(vp.data[[#This Row],[CrudeType]]="Crude",vp.data[[#This Row],[Dens]]&gt;900,vp.data[[#This Row],[Sulf]]&lt;=0.5,vp.data[[#This Row],[Unknown]]=0),1,0)</f>
        <v>0</v>
      </c>
      <c r="AF466">
        <f>IF(AND(vp.data[[#This Row],[CrudeType]]="Crude",vp.data[[#This Row],[Dens]]&gt;900,vp.data[[#This Row],[Sulf]]&lt;=0.5,vp.data[[#This Row],[Unknown]]=0),1,0)</f>
        <v>0</v>
      </c>
      <c r="AG466" t="str">
        <f>INDEX(vp.data[[#Headers],[Unknown]:[Heavy_SW]],MATCH(1,vp.data[[#This Row],[Unknown]:[Heavy_SW]],0))</f>
        <v>Medium_LSB</v>
      </c>
      <c r="AH466">
        <f>INDEX([3]!crudeBD.lkup[Number],MATCH(vp.data[[#This Row],[Crude_Breakdown]],crudeBD.lkup[Crude Breakdown],0))</f>
        <v>3</v>
      </c>
      <c r="AI466">
        <f>MONTH(vp.data[[#This Row],[SDate]])</f>
        <v>12</v>
      </c>
      <c r="AJ466" s="5">
        <f>(vp.data[[#This Row],[VP]]-INDEX(crudeBD.lkup[Mean_VP],MATCH(vp.data[[#This Row],[Crude_Breakdown]],crudeBD.lkup[Crude Breakdown],0)))^2</f>
        <v>393.61276560326957</v>
      </c>
      <c r="AK466" s="5">
        <f>(vp.data[[#This Row],[Dens]]-INDEX(crudeBD.lkup[Mean_Dens],MATCH(vp.data[[#This Row],[Crude_Breakdown]],crudeBD.lkup[Crude Breakdown],0)))^2</f>
        <v>103.63240000001055</v>
      </c>
      <c r="AL466" s="5">
        <f>(vp.data[[#This Row],[Sulf]]-INDEX(crudeBD.lkup[Mean_Sulf],MATCH(vp.data[[#This Row],[Crude_Breakdown]],crudeBD.lkup[Crude Breakdown],0)))^2</f>
        <v>0.51064154540835904</v>
      </c>
      <c r="AM466" s="4">
        <f>IF(AND(vp.data[[#This Row],[SDate]]&gt;=DATE(YEAR(vp.data[[#This Row],[SDate]]),5,1),vp.data[[#This Row],[SDate]]&lt;=DATE(YEAR(vp.data[[#This Row],[SDate]]),9,15)),1,0)</f>
        <v>0</v>
      </c>
      <c r="AN466" s="4">
        <f>IF(vp.data[[#This Row],[SDate]]&lt;DATE(2016,12,1),0,1)</f>
        <v>1</v>
      </c>
      <c r="AO466" s="4">
        <f>IFERROR(vp.data[[#This Row],[Sulf]]*vp.data[[#This Row],[Net Dens]],"")</f>
        <v>1990742.08788</v>
      </c>
      <c r="AP466">
        <f>IFERROR(vp.data[[#This Row],[Dens]]*vp.data[[#This Row],[VolumeM3]],"")</f>
        <v>947972.42279999994</v>
      </c>
      <c r="AQ466" s="15">
        <f>IFERROR(vp.data[[#This Row],[VP]]*vp.data[[#This Row],[VolumeM3]],"")</f>
        <v>67482.406399999993</v>
      </c>
    </row>
    <row r="467" spans="1:43" x14ac:dyDescent="0.25">
      <c r="A467">
        <v>466</v>
      </c>
      <c r="B467" t="s">
        <v>49</v>
      </c>
      <c r="C467" t="s">
        <v>49</v>
      </c>
      <c r="D467" t="s">
        <v>104</v>
      </c>
      <c r="F467" s="1">
        <v>42727</v>
      </c>
      <c r="G467" s="2">
        <v>66.3</v>
      </c>
      <c r="H467" s="2"/>
      <c r="I467" s="2">
        <f t="array" ref="I467">_xlfn.IFNA(IF(vp.data[[#This Row],[Sulf Input]]="",INDEX([1]DATA!$Q$3:$Q$9826,MATCH(1,(vp.data[[#This Row],[Battery]]=[1]DATA!$L$3:$L$9826)*(EOMONTH(vp.data[[#This Row],[SDate]],-1)+1=[1]DATA!$G$3:$G$9826),0)),vp.data[[#This Row],[Sulf Input]]),"")</f>
        <v>1.83</v>
      </c>
      <c r="J467" s="2">
        <v>6</v>
      </c>
      <c r="K467" s="2">
        <v>-7</v>
      </c>
      <c r="L467" s="2">
        <v>860</v>
      </c>
      <c r="M467" s="2">
        <f t="array" ref="M467">_xlfn.IFNA(IF(vp.data[[#This Row],[Dens Input]]="",INDEX([1]DATA!$O$3:$O$9826,MATCH(1,(vp.data[[#This Row],[Battery]]=[1]DATA!$L$3:$L$9826)*(EOMONTH(vp.data[[#This Row],[SDate]],-1)+1=[1]DATA!$G$3:$G$9826),0)),vp.data[[#This Row],[Dens Input]]),"")</f>
        <v>860</v>
      </c>
      <c r="N467" s="2">
        <f ca="1">INDEX(INDIRECT(_xlfn.CONCAT("weather.tbl[",N$1,"]")),MATCH(vp.data[[#This Row],[SDate]],weather.tbl[Date],0))</f>
        <v>-9.5500000000000025</v>
      </c>
      <c r="O467" s="2">
        <f ca="1">INDEX(INDIRECT(_xlfn.CONCAT("weather.tbl[",O$1,"]")),MATCH(vp.data[[#This Row],[SDate]],weather.tbl[Date],0))</f>
        <v>-11.078571428571427</v>
      </c>
      <c r="P467" s="2">
        <f ca="1">INDEX(INDIRECT(_xlfn.CONCAT("weather.tbl[",P$1,"]")),MATCH(vp.data[[#This Row],[SDate]],weather.tbl[Date],0))</f>
        <v>-10.8</v>
      </c>
      <c r="Q467" s="2">
        <f ca="1">INDEX(INDIRECT(_xlfn.CONCAT("weather.tbl[",Q$1,"]")),MATCH(vp.data[[#This Row],[SDate]],weather.tbl[Date],0))</f>
        <v>-9.8000000000000007</v>
      </c>
      <c r="R467" s="2">
        <f ca="1">INDEX(INDIRECT(_xlfn.CONCAT("weather.tbl[",R$1,"]")),MATCH(vp.data[[#This Row],[SDate]],weather.tbl[Date],0))</f>
        <v>-11.3</v>
      </c>
      <c r="S467" s="2">
        <f ca="1">INDEX(INDIRECT(_xlfn.CONCAT("weather.tbl[",S$1,"]")),MATCH(vp.data[[#This Row],[SDate]],weather.tbl[Date],0))</f>
        <v>-8</v>
      </c>
      <c r="T467" s="2">
        <f ca="1">INDEX(INDIRECT(_xlfn.CONCAT("weather.tbl[",T$1,"]")),MATCH(vp.data[[#This Row],[SDate]],weather.tbl[Date],0))</f>
        <v>-9.1</v>
      </c>
      <c r="U467" s="2">
        <f ca="1">INDEX(INDIRECT(_xlfn.CONCAT("weather.tbl[",U$1,"]")),MATCH(vp.data[[#This Row],[SDate]],weather.tbl[Date],0))</f>
        <v>-8.3000000000000007</v>
      </c>
      <c r="V467" s="2">
        <f t="array" ref="V4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673.84900000000005</v>
      </c>
      <c r="W467" t="s">
        <v>48</v>
      </c>
      <c r="X467">
        <f>IF(OR(vp.data[[#This Row],[Sulf]]="",vp.data[[#This Row],[Dens]]=""),1,0)</f>
        <v>0</v>
      </c>
      <c r="Y467">
        <f>IF(vp.data[[#This Row],[CrudeType]]="C5+",1,0)</f>
        <v>0</v>
      </c>
      <c r="Z467">
        <f>IF(AND(vp.data[[#This Row],[CrudeType]]="Crude",vp.data[[#This Row],[Dens]]&lt;=825,vp.data[[#This Row],[Sulf]]&gt;0.5,vp.data[[#This Row],[Unknown]]=0),1,0)</f>
        <v>0</v>
      </c>
      <c r="AA467">
        <f>IF(AND(vp.data[[#This Row],[CrudeType]]="Crude",vp.data[[#This Row],[Dens]]&lt;=825,vp.data[[#This Row],[Sulf]]&lt;=0.5,vp.data[[#This Row],[Unknown]]=0),1,0)</f>
        <v>0</v>
      </c>
      <c r="AB4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7">
        <f>IF(AND(vp.data[[#This Row],[CrudeType]]="Crude",vp.data[[#This Row],[Dens]]&gt;825,vp.data[[#This Row],[Dens]]&lt;=900,vp.data[[#This Row],[Sulf]]&lt;=0.5,vp.data[[#This Row],[Unknown]]=0),1,0)</f>
        <v>0</v>
      </c>
      <c r="AD467">
        <f>IF(AND(vp.data[[#This Row],[CrudeType]]="Crude",vp.data[[#This Row],[Dens]]&gt;865,vp.data[[#This Row],[Dens]]&lt;=900,vp.data[[#This Row],[Sulf]]&gt;2,vp.data[[#This Row],[Unknown]]=0),1,0)</f>
        <v>0</v>
      </c>
      <c r="AE467">
        <f>IF(AND(vp.data[[#This Row],[CrudeType]]="Crude",vp.data[[#This Row],[Dens]]&gt;900,vp.data[[#This Row],[Sulf]]&lt;=0.5,vp.data[[#This Row],[Unknown]]=0),1,0)</f>
        <v>0</v>
      </c>
      <c r="AF467">
        <f>IF(AND(vp.data[[#This Row],[CrudeType]]="Crude",vp.data[[#This Row],[Dens]]&gt;900,vp.data[[#This Row],[Sulf]]&lt;=0.5,vp.data[[#This Row],[Unknown]]=0),1,0)</f>
        <v>0</v>
      </c>
      <c r="AG467" t="str">
        <f>INDEX(vp.data[[#Headers],[Unknown]:[Heavy_SW]],MATCH(1,vp.data[[#This Row],[Unknown]:[Heavy_SW]],0))</f>
        <v>Medium_LSB</v>
      </c>
      <c r="AH467">
        <f>INDEX([3]!crudeBD.lkup[Number],MATCH(vp.data[[#This Row],[Crude_Breakdown]],crudeBD.lkup[Crude Breakdown],0))</f>
        <v>3</v>
      </c>
      <c r="AI467">
        <f>MONTH(vp.data[[#This Row],[SDate]])</f>
        <v>12</v>
      </c>
      <c r="AJ467" s="5">
        <f>(vp.data[[#This Row],[VP]]-INDEX(crudeBD.lkup[Mean_VP],MATCH(vp.data[[#This Row],[Crude_Breakdown]],crudeBD.lkup[Crude Breakdown],0)))^2</f>
        <v>205.62632355475279</v>
      </c>
      <c r="AK467" s="5">
        <f>(vp.data[[#This Row],[Dens]]-INDEX(crudeBD.lkup[Mean_Dens],MATCH(vp.data[[#This Row],[Crude_Breakdown]],crudeBD.lkup[Crude Breakdown],0)))^2</f>
        <v>258.56640000001596</v>
      </c>
      <c r="AL467" s="5">
        <f>(vp.data[[#This Row],[Sulf]]-INDEX(crudeBD.lkup[Mean_Sulf],MATCH(vp.data[[#This Row],[Crude_Breakdown]],crudeBD.lkup[Crude Breakdown],0)))^2</f>
        <v>0.19766193381806327</v>
      </c>
      <c r="AM467" s="4">
        <f>IF(AND(vp.data[[#This Row],[SDate]]&gt;=DATE(YEAR(vp.data[[#This Row],[SDate]]),5,1),vp.data[[#This Row],[SDate]]&lt;=DATE(YEAR(vp.data[[#This Row],[SDate]]),9,15)),1,0)</f>
        <v>0</v>
      </c>
      <c r="AN467" s="4">
        <f>IF(vp.data[[#This Row],[SDate]]&lt;DATE(2016,12,1),0,1)</f>
        <v>1</v>
      </c>
      <c r="AO467" s="4">
        <f>IFERROR(vp.data[[#This Row],[Sulf]]*vp.data[[#This Row],[Net Dens]],"")</f>
        <v>1060503.5562</v>
      </c>
      <c r="AP467">
        <f>IFERROR(vp.data[[#This Row],[Dens]]*vp.data[[#This Row],[VolumeM3]],"")</f>
        <v>579510.14</v>
      </c>
      <c r="AQ467" s="15">
        <f>IFERROR(vp.data[[#This Row],[VP]]*vp.data[[#This Row],[VolumeM3]],"")</f>
        <v>44676.188699999999</v>
      </c>
    </row>
    <row r="468" spans="1:43" x14ac:dyDescent="0.25">
      <c r="A468">
        <v>467</v>
      </c>
      <c r="B468" t="s">
        <v>60</v>
      </c>
      <c r="C468" t="s">
        <v>60</v>
      </c>
      <c r="D468" t="s">
        <v>61</v>
      </c>
      <c r="E468" t="s">
        <v>73</v>
      </c>
      <c r="F468" s="1">
        <v>42733</v>
      </c>
      <c r="G468" s="2">
        <v>85.3</v>
      </c>
      <c r="H468" s="2"/>
      <c r="I468" s="2">
        <f t="array" ref="I468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68" s="2">
        <v>2</v>
      </c>
      <c r="K468" s="2">
        <v>-9</v>
      </c>
      <c r="L468" s="2">
        <v>843.4</v>
      </c>
      <c r="M468" s="2">
        <f t="array" ref="M468">_xlfn.IFNA(IF(vp.data[[#This Row],[Dens Input]]="",INDEX([1]DATA!$O$3:$O$9826,MATCH(1,(vp.data[[#This Row],[Battery]]=[1]DATA!$L$3:$L$9826)*(EOMONTH(vp.data[[#This Row],[SDate]],-1)+1=[1]DATA!$G$3:$G$9826),0)),vp.data[[#This Row],[Dens Input]]),"")</f>
        <v>843.4</v>
      </c>
      <c r="N468" s="2">
        <f ca="1">INDEX(INDIRECT(_xlfn.CONCAT("weather.tbl[",N$1,"]")),MATCH(vp.data[[#This Row],[SDate]],weather.tbl[Date],0))</f>
        <v>-10.200000000000001</v>
      </c>
      <c r="O468" s="2">
        <f ca="1">INDEX(INDIRECT(_xlfn.CONCAT("weather.tbl[",O$1,"]")),MATCH(vp.data[[#This Row],[SDate]],weather.tbl[Date],0))</f>
        <v>-12.359523809523809</v>
      </c>
      <c r="P468" s="2">
        <f ca="1">INDEX(INDIRECT(_xlfn.CONCAT("weather.tbl[",P$1,"]")),MATCH(vp.data[[#This Row],[SDate]],weather.tbl[Date],0))</f>
        <v>-9.9</v>
      </c>
      <c r="Q468" s="2">
        <f ca="1">INDEX(INDIRECT(_xlfn.CONCAT("weather.tbl[",Q$1,"]")),MATCH(vp.data[[#This Row],[SDate]],weather.tbl[Date],0))</f>
        <v>-9.9</v>
      </c>
      <c r="R468" s="2">
        <f ca="1">INDEX(INDIRECT(_xlfn.CONCAT("weather.tbl[",R$1,"]")),MATCH(vp.data[[#This Row],[SDate]],weather.tbl[Date],0))</f>
        <v>-16.5</v>
      </c>
      <c r="S468" s="2">
        <f ca="1">INDEX(INDIRECT(_xlfn.CONCAT("weather.tbl[",S$1,"]")),MATCH(vp.data[[#This Row],[SDate]],weather.tbl[Date],0))</f>
        <v>-7.5</v>
      </c>
      <c r="T468" s="2">
        <f ca="1">INDEX(INDIRECT(_xlfn.CONCAT("weather.tbl[",T$1,"]")),MATCH(vp.data[[#This Row],[SDate]],weather.tbl[Date],0))</f>
        <v>-8.1</v>
      </c>
      <c r="U468" s="2">
        <f ca="1">INDEX(INDIRECT(_xlfn.CONCAT("weather.tbl[",U$1,"]")),MATCH(vp.data[[#This Row],[SDate]],weather.tbl[Date],0))</f>
        <v>-9.3000000000000007</v>
      </c>
      <c r="V468" s="2">
        <f t="array" ref="V4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68" t="s">
        <v>48</v>
      </c>
      <c r="X468">
        <f>IF(OR(vp.data[[#This Row],[Sulf]]="",vp.data[[#This Row],[Dens]]=""),1,0)</f>
        <v>0</v>
      </c>
      <c r="Y468">
        <f>IF(vp.data[[#This Row],[CrudeType]]="C5+",1,0)</f>
        <v>0</v>
      </c>
      <c r="Z468">
        <f>IF(AND(vp.data[[#This Row],[CrudeType]]="Crude",vp.data[[#This Row],[Dens]]&lt;=825,vp.data[[#This Row],[Sulf]]&gt;0.5,vp.data[[#This Row],[Unknown]]=0),1,0)</f>
        <v>0</v>
      </c>
      <c r="AA468">
        <f>IF(AND(vp.data[[#This Row],[CrudeType]]="Crude",vp.data[[#This Row],[Dens]]&lt;=825,vp.data[[#This Row],[Sulf]]&lt;=0.5,vp.data[[#This Row],[Unknown]]=0),1,0)</f>
        <v>0</v>
      </c>
      <c r="AB4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8">
        <f>IF(AND(vp.data[[#This Row],[CrudeType]]="Crude",vp.data[[#This Row],[Dens]]&gt;825,vp.data[[#This Row],[Dens]]&lt;=900,vp.data[[#This Row],[Sulf]]&lt;=0.5,vp.data[[#This Row],[Unknown]]=0),1,0)</f>
        <v>0</v>
      </c>
      <c r="AD468">
        <f>IF(AND(vp.data[[#This Row],[CrudeType]]="Crude",vp.data[[#This Row],[Dens]]&gt;865,vp.data[[#This Row],[Dens]]&lt;=900,vp.data[[#This Row],[Sulf]]&gt;2,vp.data[[#This Row],[Unknown]]=0),1,0)</f>
        <v>0</v>
      </c>
      <c r="AE468">
        <f>IF(AND(vp.data[[#This Row],[CrudeType]]="Crude",vp.data[[#This Row],[Dens]]&gt;900,vp.data[[#This Row],[Sulf]]&lt;=0.5,vp.data[[#This Row],[Unknown]]=0),1,0)</f>
        <v>0</v>
      </c>
      <c r="AF468">
        <f>IF(AND(vp.data[[#This Row],[CrudeType]]="Crude",vp.data[[#This Row],[Dens]]&gt;900,vp.data[[#This Row],[Sulf]]&lt;=0.5,vp.data[[#This Row],[Unknown]]=0),1,0)</f>
        <v>0</v>
      </c>
      <c r="AG468" t="str">
        <f>INDEX(vp.data[[#Headers],[Unknown]:[Heavy_SW]],MATCH(1,vp.data[[#This Row],[Unknown]:[Heavy_SW]],0))</f>
        <v>Medium_LSB</v>
      </c>
      <c r="AH468">
        <f>INDEX([3]!crudeBD.lkup[Number],MATCH(vp.data[[#This Row],[Crude_Breakdown]],crudeBD.lkup[Crude Breakdown],0))</f>
        <v>3</v>
      </c>
      <c r="AI468">
        <f>MONTH(vp.data[[#This Row],[SDate]])</f>
        <v>12</v>
      </c>
      <c r="AJ468" s="5">
        <f>(vp.data[[#This Row],[VP]]-INDEX(crudeBD.lkup[Mean_VP],MATCH(vp.data[[#This Row],[Crude_Breakdown]],crudeBD.lkup[Crude Breakdown],0)))^2</f>
        <v>21.718614659876696</v>
      </c>
      <c r="AK468" s="5">
        <f>(vp.data[[#This Row],[Dens]]-INDEX(crudeBD.lkup[Mean_Dens],MATCH(vp.data[[#This Row],[Crude_Breakdown]],crudeBD.lkup[Crude Breakdown],0)))^2</f>
        <v>0.27039999999950814</v>
      </c>
      <c r="AL468" s="5">
        <f>(vp.data[[#This Row],[Sulf]]-INDEX(crudeBD.lkup[Mean_Sulf],MATCH(vp.data[[#This Row],[Crude_Breakdown]],crudeBD.lkup[Crude Breakdown],0)))^2</f>
        <v>0.17256391171563998</v>
      </c>
      <c r="AM468" s="4">
        <f>IF(AND(vp.data[[#This Row],[SDate]]&gt;=DATE(YEAR(vp.data[[#This Row],[SDate]]),5,1),vp.data[[#This Row],[SDate]]&lt;=DATE(YEAR(vp.data[[#This Row],[SDate]]),9,15)),1,0)</f>
        <v>0</v>
      </c>
      <c r="AN468" s="4">
        <f>IF(vp.data[[#This Row],[SDate]]&lt;DATE(2016,12,1),0,1)</f>
        <v>1</v>
      </c>
      <c r="AO468" s="4">
        <f>IFERROR(vp.data[[#This Row],[Sulf]]*vp.data[[#This Row],[Net Dens]],"")</f>
        <v>87415860.722292006</v>
      </c>
      <c r="AP468">
        <f>IFERROR(vp.data[[#This Row],[Dens]]*vp.data[[#This Row],[VolumeM3]],"")</f>
        <v>90119444.043600008</v>
      </c>
      <c r="AQ468" s="15">
        <f>IFERROR(vp.data[[#This Row],[VP]]*vp.data[[#This Row],[VolumeM3]],"")</f>
        <v>9114522.8562000003</v>
      </c>
    </row>
    <row r="469" spans="1:43" x14ac:dyDescent="0.25">
      <c r="A469">
        <v>468</v>
      </c>
      <c r="B469" t="s">
        <v>51</v>
      </c>
      <c r="C469" t="s">
        <v>51</v>
      </c>
      <c r="D469" t="s">
        <v>66</v>
      </c>
      <c r="F469" s="1">
        <v>42733</v>
      </c>
      <c r="G469" s="2">
        <v>97.4</v>
      </c>
      <c r="H469" s="2">
        <v>1.4283999999999999</v>
      </c>
      <c r="I469" s="2">
        <f t="array" ref="I469">_xlfn.IFNA(IF(vp.data[[#This Row],[Sulf Input]]="",INDEX([1]DATA!$Q$3:$Q$9826,MATCH(1,(vp.data[[#This Row],[Battery]]=[1]DATA!$L$3:$L$9826)*(EOMONTH(vp.data[[#This Row],[SDate]],-1)+1=[1]DATA!$G$3:$G$9826),0)),vp.data[[#This Row],[Sulf Input]]),"")</f>
        <v>1.4283999999999999</v>
      </c>
      <c r="J469" s="2">
        <v>1</v>
      </c>
      <c r="K469" s="2">
        <v>-9</v>
      </c>
      <c r="L469" s="2">
        <v>825.2</v>
      </c>
      <c r="M469" s="2">
        <f t="array" ref="M469">_xlfn.IFNA(IF(vp.data[[#This Row],[Dens Input]]="",INDEX([1]DATA!$O$3:$O$9826,MATCH(1,(vp.data[[#This Row],[Battery]]=[1]DATA!$L$3:$L$9826)*(EOMONTH(vp.data[[#This Row],[SDate]],-1)+1=[1]DATA!$G$3:$G$9826),0)),vp.data[[#This Row],[Dens Input]]),"")</f>
        <v>825.2</v>
      </c>
      <c r="N469" s="2">
        <f ca="1">INDEX(INDIRECT(_xlfn.CONCAT("weather.tbl[",N$1,"]")),MATCH(vp.data[[#This Row],[SDate]],weather.tbl[Date],0))</f>
        <v>-10.200000000000001</v>
      </c>
      <c r="O469" s="2">
        <f ca="1">INDEX(INDIRECT(_xlfn.CONCAT("weather.tbl[",O$1,"]")),MATCH(vp.data[[#This Row],[SDate]],weather.tbl[Date],0))</f>
        <v>-12.359523809523809</v>
      </c>
      <c r="P469" s="2">
        <f ca="1">INDEX(INDIRECT(_xlfn.CONCAT("weather.tbl[",P$1,"]")),MATCH(vp.data[[#This Row],[SDate]],weather.tbl[Date],0))</f>
        <v>-9.9</v>
      </c>
      <c r="Q469" s="2">
        <f ca="1">INDEX(INDIRECT(_xlfn.CONCAT("weather.tbl[",Q$1,"]")),MATCH(vp.data[[#This Row],[SDate]],weather.tbl[Date],0))</f>
        <v>-9.9</v>
      </c>
      <c r="R469" s="2">
        <f ca="1">INDEX(INDIRECT(_xlfn.CONCAT("weather.tbl[",R$1,"]")),MATCH(vp.data[[#This Row],[SDate]],weather.tbl[Date],0))</f>
        <v>-16.5</v>
      </c>
      <c r="S469" s="2">
        <f ca="1">INDEX(INDIRECT(_xlfn.CONCAT("weather.tbl[",S$1,"]")),MATCH(vp.data[[#This Row],[SDate]],weather.tbl[Date],0))</f>
        <v>-7.5</v>
      </c>
      <c r="T469" s="2">
        <f ca="1">INDEX(INDIRECT(_xlfn.CONCAT("weather.tbl[",T$1,"]")),MATCH(vp.data[[#This Row],[SDate]],weather.tbl[Date],0))</f>
        <v>-8.1</v>
      </c>
      <c r="U469" s="2">
        <f ca="1">INDEX(INDIRECT(_xlfn.CONCAT("weather.tbl[",U$1,"]")),MATCH(vp.data[[#This Row],[SDate]],weather.tbl[Date],0))</f>
        <v>-9.3000000000000007</v>
      </c>
      <c r="V469" s="2">
        <f t="array" ref="V4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4410.2439999999997</v>
      </c>
      <c r="W469" t="s">
        <v>48</v>
      </c>
      <c r="X469">
        <f>IF(OR(vp.data[[#This Row],[Sulf]]="",vp.data[[#This Row],[Dens]]=""),1,0)</f>
        <v>0</v>
      </c>
      <c r="Y469">
        <f>IF(vp.data[[#This Row],[CrudeType]]="C5+",1,0)</f>
        <v>0</v>
      </c>
      <c r="Z469">
        <f>IF(AND(vp.data[[#This Row],[CrudeType]]="Crude",vp.data[[#This Row],[Dens]]&lt;=825,vp.data[[#This Row],[Sulf]]&gt;0.5,vp.data[[#This Row],[Unknown]]=0),1,0)</f>
        <v>0</v>
      </c>
      <c r="AA469">
        <f>IF(AND(vp.data[[#This Row],[CrudeType]]="Crude",vp.data[[#This Row],[Dens]]&lt;=825,vp.data[[#This Row],[Sulf]]&lt;=0.5,vp.data[[#This Row],[Unknown]]=0),1,0)</f>
        <v>0</v>
      </c>
      <c r="AB4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69">
        <f>IF(AND(vp.data[[#This Row],[CrudeType]]="Crude",vp.data[[#This Row],[Dens]]&gt;825,vp.data[[#This Row],[Dens]]&lt;=900,vp.data[[#This Row],[Sulf]]&lt;=0.5,vp.data[[#This Row],[Unknown]]=0),1,0)</f>
        <v>0</v>
      </c>
      <c r="AD469">
        <f>IF(AND(vp.data[[#This Row],[CrudeType]]="Crude",vp.data[[#This Row],[Dens]]&gt;865,vp.data[[#This Row],[Dens]]&lt;=900,vp.data[[#This Row],[Sulf]]&gt;2,vp.data[[#This Row],[Unknown]]=0),1,0)</f>
        <v>0</v>
      </c>
      <c r="AE469">
        <f>IF(AND(vp.data[[#This Row],[CrudeType]]="Crude",vp.data[[#This Row],[Dens]]&gt;900,vp.data[[#This Row],[Sulf]]&lt;=0.5,vp.data[[#This Row],[Unknown]]=0),1,0)</f>
        <v>0</v>
      </c>
      <c r="AF469">
        <f>IF(AND(vp.data[[#This Row],[CrudeType]]="Crude",vp.data[[#This Row],[Dens]]&gt;900,vp.data[[#This Row],[Sulf]]&lt;=0.5,vp.data[[#This Row],[Unknown]]=0),1,0)</f>
        <v>0</v>
      </c>
      <c r="AG469" t="str">
        <f>INDEX(vp.data[[#Headers],[Unknown]:[Heavy_SW]],MATCH(1,vp.data[[#This Row],[Unknown]:[Heavy_SW]],0))</f>
        <v>Medium_LSB</v>
      </c>
      <c r="AH469">
        <f>INDEX([3]!crudeBD.lkup[Number],MATCH(vp.data[[#This Row],[Crude_Breakdown]],crudeBD.lkup[Crude Breakdown],0))</f>
        <v>3</v>
      </c>
      <c r="AI469">
        <f>MONTH(vp.data[[#This Row],[SDate]])</f>
        <v>12</v>
      </c>
      <c r="AJ469" s="5">
        <f>(vp.data[[#This Row],[VP]]-INDEX(crudeBD.lkup[Mean_VP],MATCH(vp.data[[#This Row],[Crude_Breakdown]],crudeBD.lkup[Crude Breakdown],0)))^2</f>
        <v>280.90844215314007</v>
      </c>
      <c r="AK469" s="5">
        <f>(vp.data[[#This Row],[Dens]]-INDEX(crudeBD.lkup[Mean_Dens],MATCH(vp.data[[#This Row],[Crude_Breakdown]],crudeBD.lkup[Crude Breakdown],0)))^2</f>
        <v>350.43839999997977</v>
      </c>
      <c r="AL469" s="5">
        <f>(vp.data[[#This Row],[Sulf]]-INDEX(crudeBD.lkup[Mean_Sulf],MATCH(vp.data[[#This Row],[Crude_Breakdown]],crudeBD.lkup[Crude Breakdown],0)))^2</f>
        <v>1.8483011711641567E-3</v>
      </c>
      <c r="AM469" s="4">
        <f>IF(AND(vp.data[[#This Row],[SDate]]&gt;=DATE(YEAR(vp.data[[#This Row],[SDate]]),5,1),vp.data[[#This Row],[SDate]]&lt;=DATE(YEAR(vp.data[[#This Row],[SDate]]),9,15)),1,0)</f>
        <v>0</v>
      </c>
      <c r="AN469" s="4">
        <f>IF(vp.data[[#This Row],[SDate]]&lt;DATE(2016,12,1),0,1)</f>
        <v>1</v>
      </c>
      <c r="AO469" s="4">
        <f>IFERROR(vp.data[[#This Row],[Sulf]]*vp.data[[#This Row],[Net Dens]],"")</f>
        <v>5198423.7554259198</v>
      </c>
      <c r="AP469">
        <f>IFERROR(vp.data[[#This Row],[Dens]]*vp.data[[#This Row],[VolumeM3]],"")</f>
        <v>3639333.3487999998</v>
      </c>
      <c r="AQ469" s="15">
        <f>IFERROR(vp.data[[#This Row],[VP]]*vp.data[[#This Row],[VolumeM3]],"")</f>
        <v>429557.76559999998</v>
      </c>
    </row>
    <row r="470" spans="1:43" x14ac:dyDescent="0.25">
      <c r="A470">
        <v>469</v>
      </c>
      <c r="B470" t="s">
        <v>49</v>
      </c>
      <c r="C470" t="s">
        <v>49</v>
      </c>
      <c r="D470" t="s">
        <v>75</v>
      </c>
      <c r="F470" s="1">
        <v>42733</v>
      </c>
      <c r="G470" s="2">
        <v>104.3</v>
      </c>
      <c r="H470" s="2"/>
      <c r="I470" s="2">
        <f t="array" ref="I470">_xlfn.IFNA(IF(vp.data[[#This Row],[Sulf Input]]="",INDEX([1]DATA!$Q$3:$Q$9826,MATCH(1,(vp.data[[#This Row],[Battery]]=[1]DATA!$L$3:$L$9826)*(EOMONTH(vp.data[[#This Row],[SDate]],-1)+1=[1]DATA!$G$3:$G$9826),0)),vp.data[[#This Row],[Sulf Input]]),"")</f>
        <v>0.13</v>
      </c>
      <c r="J470" s="2">
        <v>10</v>
      </c>
      <c r="K470" s="2">
        <v>-9</v>
      </c>
      <c r="L470" s="2">
        <v>797.7</v>
      </c>
      <c r="M470" s="2">
        <f t="array" ref="M470">_xlfn.IFNA(IF(vp.data[[#This Row],[Dens Input]]="",INDEX([1]DATA!$O$3:$O$9826,MATCH(1,(vp.data[[#This Row],[Battery]]=[1]DATA!$L$3:$L$9826)*(EOMONTH(vp.data[[#This Row],[SDate]],-1)+1=[1]DATA!$G$3:$G$9826),0)),vp.data[[#This Row],[Dens Input]]),"")</f>
        <v>797.7</v>
      </c>
      <c r="N470" s="2">
        <f ca="1">INDEX(INDIRECT(_xlfn.CONCAT("weather.tbl[",N$1,"]")),MATCH(vp.data[[#This Row],[SDate]],weather.tbl[Date],0))</f>
        <v>-10.200000000000001</v>
      </c>
      <c r="O470" s="2">
        <f ca="1">INDEX(INDIRECT(_xlfn.CONCAT("weather.tbl[",O$1,"]")),MATCH(vp.data[[#This Row],[SDate]],weather.tbl[Date],0))</f>
        <v>-12.359523809523809</v>
      </c>
      <c r="P470" s="2">
        <f ca="1">INDEX(INDIRECT(_xlfn.CONCAT("weather.tbl[",P$1,"]")),MATCH(vp.data[[#This Row],[SDate]],weather.tbl[Date],0))</f>
        <v>-9.9</v>
      </c>
      <c r="Q470" s="2">
        <f ca="1">INDEX(INDIRECT(_xlfn.CONCAT("weather.tbl[",Q$1,"]")),MATCH(vp.data[[#This Row],[SDate]],weather.tbl[Date],0))</f>
        <v>-9.9</v>
      </c>
      <c r="R470" s="2">
        <f ca="1">INDEX(INDIRECT(_xlfn.CONCAT("weather.tbl[",R$1,"]")),MATCH(vp.data[[#This Row],[SDate]],weather.tbl[Date],0))</f>
        <v>-16.5</v>
      </c>
      <c r="S470" s="2">
        <f ca="1">INDEX(INDIRECT(_xlfn.CONCAT("weather.tbl[",S$1,"]")),MATCH(vp.data[[#This Row],[SDate]],weather.tbl[Date],0))</f>
        <v>-7.5</v>
      </c>
      <c r="T470" s="2">
        <f ca="1">INDEX(INDIRECT(_xlfn.CONCAT("weather.tbl[",T$1,"]")),MATCH(vp.data[[#This Row],[SDate]],weather.tbl[Date],0))</f>
        <v>-8.1</v>
      </c>
      <c r="U470" s="2">
        <f ca="1">INDEX(INDIRECT(_xlfn.CONCAT("weather.tbl[",U$1,"]")),MATCH(vp.data[[#This Row],[SDate]],weather.tbl[Date],0))</f>
        <v>-9.3000000000000007</v>
      </c>
      <c r="V470" s="2">
        <f t="array" ref="V4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21635.382000000001</v>
      </c>
      <c r="W470" t="s">
        <v>48</v>
      </c>
      <c r="X470">
        <f>IF(OR(vp.data[[#This Row],[Sulf]]="",vp.data[[#This Row],[Dens]]=""),1,0)</f>
        <v>0</v>
      </c>
      <c r="Y470">
        <f>IF(vp.data[[#This Row],[CrudeType]]="C5+",1,0)</f>
        <v>0</v>
      </c>
      <c r="Z470">
        <f>IF(AND(vp.data[[#This Row],[CrudeType]]="Crude",vp.data[[#This Row],[Dens]]&lt;=825,vp.data[[#This Row],[Sulf]]&gt;0.5,vp.data[[#This Row],[Unknown]]=0),1,0)</f>
        <v>0</v>
      </c>
      <c r="AA470">
        <f>IF(AND(vp.data[[#This Row],[CrudeType]]="Crude",vp.data[[#This Row],[Dens]]&lt;=825,vp.data[[#This Row],[Sulf]]&lt;=0.5,vp.data[[#This Row],[Unknown]]=0),1,0)</f>
        <v>1</v>
      </c>
      <c r="AB4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0">
        <f>IF(AND(vp.data[[#This Row],[CrudeType]]="Crude",vp.data[[#This Row],[Dens]]&gt;825,vp.data[[#This Row],[Dens]]&lt;=900,vp.data[[#This Row],[Sulf]]&lt;=0.5,vp.data[[#This Row],[Unknown]]=0),1,0)</f>
        <v>0</v>
      </c>
      <c r="AD470">
        <f>IF(AND(vp.data[[#This Row],[CrudeType]]="Crude",vp.data[[#This Row],[Dens]]&gt;865,vp.data[[#This Row],[Dens]]&lt;=900,vp.data[[#This Row],[Sulf]]&gt;2,vp.data[[#This Row],[Unknown]]=0),1,0)</f>
        <v>0</v>
      </c>
      <c r="AE470">
        <f>IF(AND(vp.data[[#This Row],[CrudeType]]="Crude",vp.data[[#This Row],[Dens]]&gt;900,vp.data[[#This Row],[Sulf]]&lt;=0.5,vp.data[[#This Row],[Unknown]]=0),1,0)</f>
        <v>0</v>
      </c>
      <c r="AF470">
        <f>IF(AND(vp.data[[#This Row],[CrudeType]]="Crude",vp.data[[#This Row],[Dens]]&gt;900,vp.data[[#This Row],[Sulf]]&lt;=0.5,vp.data[[#This Row],[Unknown]]=0),1,0)</f>
        <v>0</v>
      </c>
      <c r="AG470" t="str">
        <f>INDEX(vp.data[[#Headers],[Unknown]:[Heavy_SW]],MATCH(1,vp.data[[#This Row],[Unknown]:[Heavy_SW]],0))</f>
        <v>Light_SW</v>
      </c>
      <c r="AH470">
        <f>INDEX([3]!crudeBD.lkup[Number],MATCH(vp.data[[#This Row],[Crude_Breakdown]],crudeBD.lkup[Crude Breakdown],0))</f>
        <v>2</v>
      </c>
      <c r="AI470">
        <f>MONTH(vp.data[[#This Row],[SDate]])</f>
        <v>12</v>
      </c>
      <c r="AJ470" s="5">
        <f>(vp.data[[#This Row],[VP]]-INDEX(crudeBD.lkup[Mean_VP],MATCH(vp.data[[#This Row],[Crude_Breakdown]],crudeBD.lkup[Crude Breakdown],0)))^2</f>
        <v>138.0551307603595</v>
      </c>
      <c r="AK470" s="5">
        <f>(vp.data[[#This Row],[Dens]]-INDEX(crudeBD.lkup[Mean_Dens],MATCH(vp.data[[#This Row],[Crude_Breakdown]],crudeBD.lkup[Crude Breakdown],0)))^2</f>
        <v>112.60389527612983</v>
      </c>
      <c r="AL470" s="5">
        <f>(vp.data[[#This Row],[Sulf]]-INDEX(crudeBD.lkup[Mean_Sulf],MATCH(vp.data[[#This Row],[Crude_Breakdown]],crudeBD.lkup[Crude Breakdown],0)))^2</f>
        <v>1.1287322584467423E-2</v>
      </c>
      <c r="AM470" s="4">
        <f>IF(AND(vp.data[[#This Row],[SDate]]&gt;=DATE(YEAR(vp.data[[#This Row],[SDate]]),5,1),vp.data[[#This Row],[SDate]]&lt;=DATE(YEAR(vp.data[[#This Row],[SDate]]),9,15)),1,0)</f>
        <v>0</v>
      </c>
      <c r="AN470" s="4">
        <f>IF(vp.data[[#This Row],[SDate]]&lt;DATE(2016,12,1),0,1)</f>
        <v>1</v>
      </c>
      <c r="AO470" s="4">
        <f>IFERROR(vp.data[[#This Row],[Sulf]]*vp.data[[#This Row],[Net Dens]],"")</f>
        <v>2243610.7487820005</v>
      </c>
      <c r="AP470">
        <f>IFERROR(vp.data[[#This Row],[Dens]]*vp.data[[#This Row],[VolumeM3]],"")</f>
        <v>17258544.221400004</v>
      </c>
      <c r="AQ470" s="15">
        <f>IFERROR(vp.data[[#This Row],[VP]]*vp.data[[#This Row],[VolumeM3]],"")</f>
        <v>2256570.3426000001</v>
      </c>
    </row>
    <row r="471" spans="1:43" x14ac:dyDescent="0.25">
      <c r="A471">
        <v>470</v>
      </c>
      <c r="B471" t="s">
        <v>62</v>
      </c>
      <c r="C471" t="s">
        <v>62</v>
      </c>
      <c r="D471" t="s">
        <v>79</v>
      </c>
      <c r="F471" s="1">
        <v>42733</v>
      </c>
      <c r="G471" s="2">
        <v>101.4</v>
      </c>
      <c r="H471" s="2"/>
      <c r="I471" s="2">
        <f t="array" ref="I47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471" s="2">
        <v>8</v>
      </c>
      <c r="K471" s="2">
        <v>-9</v>
      </c>
      <c r="L471" s="2">
        <v>799.9</v>
      </c>
      <c r="M471" s="2">
        <f t="array" ref="M471">_xlfn.IFNA(IF(vp.data[[#This Row],[Dens Input]]="",INDEX([1]DATA!$O$3:$O$9826,MATCH(1,(vp.data[[#This Row],[Battery]]=[1]DATA!$L$3:$L$9826)*(EOMONTH(vp.data[[#This Row],[SDate]],-1)+1=[1]DATA!$G$3:$G$9826),0)),vp.data[[#This Row],[Dens Input]]),"")</f>
        <v>799.9</v>
      </c>
      <c r="N471" s="2">
        <f ca="1">INDEX(INDIRECT(_xlfn.CONCAT("weather.tbl[",N$1,"]")),MATCH(vp.data[[#This Row],[SDate]],weather.tbl[Date],0))</f>
        <v>-10.200000000000001</v>
      </c>
      <c r="O471" s="2">
        <f ca="1">INDEX(INDIRECT(_xlfn.CONCAT("weather.tbl[",O$1,"]")),MATCH(vp.data[[#This Row],[SDate]],weather.tbl[Date],0))</f>
        <v>-12.359523809523809</v>
      </c>
      <c r="P471" s="2">
        <f ca="1">INDEX(INDIRECT(_xlfn.CONCAT("weather.tbl[",P$1,"]")),MATCH(vp.data[[#This Row],[SDate]],weather.tbl[Date],0))</f>
        <v>-9.9</v>
      </c>
      <c r="Q471" s="2">
        <f ca="1">INDEX(INDIRECT(_xlfn.CONCAT("weather.tbl[",Q$1,"]")),MATCH(vp.data[[#This Row],[SDate]],weather.tbl[Date],0))</f>
        <v>-9.9</v>
      </c>
      <c r="R471" s="2">
        <f ca="1">INDEX(INDIRECT(_xlfn.CONCAT("weather.tbl[",R$1,"]")),MATCH(vp.data[[#This Row],[SDate]],weather.tbl[Date],0))</f>
        <v>-16.5</v>
      </c>
      <c r="S471" s="2">
        <f ca="1">INDEX(INDIRECT(_xlfn.CONCAT("weather.tbl[",S$1,"]")),MATCH(vp.data[[#This Row],[SDate]],weather.tbl[Date],0))</f>
        <v>-7.5</v>
      </c>
      <c r="T471" s="2">
        <f ca="1">INDEX(INDIRECT(_xlfn.CONCAT("weather.tbl[",T$1,"]")),MATCH(vp.data[[#This Row],[SDate]],weather.tbl[Date],0))</f>
        <v>-8.1</v>
      </c>
      <c r="U471" s="2">
        <f ca="1">INDEX(INDIRECT(_xlfn.CONCAT("weather.tbl[",U$1,"]")),MATCH(vp.data[[#This Row],[SDate]],weather.tbl[Date],0))</f>
        <v>-9.3000000000000007</v>
      </c>
      <c r="V471" s="2">
        <f t="array" ref="V4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13104.25</v>
      </c>
      <c r="W471" t="s">
        <v>48</v>
      </c>
      <c r="X471">
        <f>IF(OR(vp.data[[#This Row],[Sulf]]="",vp.data[[#This Row],[Dens]]=""),1,0)</f>
        <v>0</v>
      </c>
      <c r="Y471">
        <f>IF(vp.data[[#This Row],[CrudeType]]="C5+",1,0)</f>
        <v>0</v>
      </c>
      <c r="Z471">
        <f>IF(AND(vp.data[[#This Row],[CrudeType]]="Crude",vp.data[[#This Row],[Dens]]&lt;=825,vp.data[[#This Row],[Sulf]]&gt;0.5,vp.data[[#This Row],[Unknown]]=0),1,0)</f>
        <v>0</v>
      </c>
      <c r="AA471">
        <f>IF(AND(vp.data[[#This Row],[CrudeType]]="Crude",vp.data[[#This Row],[Dens]]&lt;=825,vp.data[[#This Row],[Sulf]]&lt;=0.5,vp.data[[#This Row],[Unknown]]=0),1,0)</f>
        <v>1</v>
      </c>
      <c r="AB4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1">
        <f>IF(AND(vp.data[[#This Row],[CrudeType]]="Crude",vp.data[[#This Row],[Dens]]&gt;825,vp.data[[#This Row],[Dens]]&lt;=900,vp.data[[#This Row],[Sulf]]&lt;=0.5,vp.data[[#This Row],[Unknown]]=0),1,0)</f>
        <v>0</v>
      </c>
      <c r="AD471">
        <f>IF(AND(vp.data[[#This Row],[CrudeType]]="Crude",vp.data[[#This Row],[Dens]]&gt;865,vp.data[[#This Row],[Dens]]&lt;=900,vp.data[[#This Row],[Sulf]]&gt;2,vp.data[[#This Row],[Unknown]]=0),1,0)</f>
        <v>0</v>
      </c>
      <c r="AE471">
        <f>IF(AND(vp.data[[#This Row],[CrudeType]]="Crude",vp.data[[#This Row],[Dens]]&gt;900,vp.data[[#This Row],[Sulf]]&lt;=0.5,vp.data[[#This Row],[Unknown]]=0),1,0)</f>
        <v>0</v>
      </c>
      <c r="AF471">
        <f>IF(AND(vp.data[[#This Row],[CrudeType]]="Crude",vp.data[[#This Row],[Dens]]&gt;900,vp.data[[#This Row],[Sulf]]&lt;=0.5,vp.data[[#This Row],[Unknown]]=0),1,0)</f>
        <v>0</v>
      </c>
      <c r="AG471" t="str">
        <f>INDEX(vp.data[[#Headers],[Unknown]:[Heavy_SW]],MATCH(1,vp.data[[#This Row],[Unknown]:[Heavy_SW]],0))</f>
        <v>Light_SW</v>
      </c>
      <c r="AH471">
        <f>INDEX([3]!crudeBD.lkup[Number],MATCH(vp.data[[#This Row],[Crude_Breakdown]],crudeBD.lkup[Crude Breakdown],0))</f>
        <v>2</v>
      </c>
      <c r="AI471">
        <f>MONTH(vp.data[[#This Row],[SDate]])</f>
        <v>12</v>
      </c>
      <c r="AJ471" s="5">
        <f>(vp.data[[#This Row],[VP]]-INDEX(crudeBD.lkup[Mean_VP],MATCH(vp.data[[#This Row],[Crude_Breakdown]],crudeBD.lkup[Crude Breakdown],0)))^2</f>
        <v>78.316949575690501</v>
      </c>
      <c r="AK471" s="5">
        <f>(vp.data[[#This Row],[Dens]]-INDEX(crudeBD.lkup[Mean_Dens],MATCH(vp.data[[#This Row],[Crude_Breakdown]],crudeBD.lkup[Crude Breakdown],0)))^2</f>
        <v>70.753302941637372</v>
      </c>
      <c r="AL471" s="5">
        <f>(vp.data[[#This Row],[Sulf]]-INDEX(crudeBD.lkup[Mean_Sulf],MATCH(vp.data[[#This Row],[Crude_Breakdown]],crudeBD.lkup[Crude Breakdown],0)))^2</f>
        <v>2.1383051628646554E-3</v>
      </c>
      <c r="AM471" s="4">
        <f>IF(AND(vp.data[[#This Row],[SDate]]&gt;=DATE(YEAR(vp.data[[#This Row],[SDate]]),5,1),vp.data[[#This Row],[SDate]]&lt;=DATE(YEAR(vp.data[[#This Row],[SDate]]),9,15)),1,0)</f>
        <v>0</v>
      </c>
      <c r="AN471" s="4">
        <f>IF(vp.data[[#This Row],[SDate]]&lt;DATE(2016,12,1),0,1)</f>
        <v>1</v>
      </c>
      <c r="AO471" s="4">
        <f>IFERROR(vp.data[[#This Row],[Sulf]]*vp.data[[#This Row],[Net Dens]],"")</f>
        <v>1991597.0192499999</v>
      </c>
      <c r="AP471">
        <f>IFERROR(vp.data[[#This Row],[Dens]]*vp.data[[#This Row],[VolumeM3]],"")</f>
        <v>10482089.574999999</v>
      </c>
      <c r="AQ471" s="15">
        <f>IFERROR(vp.data[[#This Row],[VP]]*vp.data[[#This Row],[VolumeM3]],"")</f>
        <v>1328770.9500000002</v>
      </c>
    </row>
    <row r="472" spans="1:43" x14ac:dyDescent="0.25">
      <c r="A472">
        <v>471</v>
      </c>
      <c r="B472" t="s">
        <v>62</v>
      </c>
      <c r="C472" t="s">
        <v>62</v>
      </c>
      <c r="D472" t="s">
        <v>83</v>
      </c>
      <c r="F472" s="1">
        <v>42733</v>
      </c>
      <c r="G472" s="2">
        <v>89.4</v>
      </c>
      <c r="H472" s="2"/>
      <c r="I472" s="2">
        <f t="array" ref="I47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472" s="2">
        <v>0</v>
      </c>
      <c r="K472" s="2">
        <v>-9</v>
      </c>
      <c r="L472" s="2">
        <v>806.8</v>
      </c>
      <c r="M472" s="2">
        <f t="array" ref="M472">_xlfn.IFNA(IF(vp.data[[#This Row],[Dens Input]]="",INDEX([1]DATA!$O$3:$O$9826,MATCH(1,(vp.data[[#This Row],[Battery]]=[1]DATA!$L$3:$L$9826)*(EOMONTH(vp.data[[#This Row],[SDate]],-1)+1=[1]DATA!$G$3:$G$9826),0)),vp.data[[#This Row],[Dens Input]]),"")</f>
        <v>806.8</v>
      </c>
      <c r="N472" s="2">
        <f ca="1">INDEX(INDIRECT(_xlfn.CONCAT("weather.tbl[",N$1,"]")),MATCH(vp.data[[#This Row],[SDate]],weather.tbl[Date],0))</f>
        <v>-10.200000000000001</v>
      </c>
      <c r="O472" s="2">
        <f ca="1">INDEX(INDIRECT(_xlfn.CONCAT("weather.tbl[",O$1,"]")),MATCH(vp.data[[#This Row],[SDate]],weather.tbl[Date],0))</f>
        <v>-12.359523809523809</v>
      </c>
      <c r="P472" s="2">
        <f ca="1">INDEX(INDIRECT(_xlfn.CONCAT("weather.tbl[",P$1,"]")),MATCH(vp.data[[#This Row],[SDate]],weather.tbl[Date],0))</f>
        <v>-9.9</v>
      </c>
      <c r="Q472" s="2">
        <f ca="1">INDEX(INDIRECT(_xlfn.CONCAT("weather.tbl[",Q$1,"]")),MATCH(vp.data[[#This Row],[SDate]],weather.tbl[Date],0))</f>
        <v>-9.9</v>
      </c>
      <c r="R472" s="2">
        <f ca="1">INDEX(INDIRECT(_xlfn.CONCAT("weather.tbl[",R$1,"]")),MATCH(vp.data[[#This Row],[SDate]],weather.tbl[Date],0))</f>
        <v>-16.5</v>
      </c>
      <c r="S472" s="2">
        <f ca="1">INDEX(INDIRECT(_xlfn.CONCAT("weather.tbl[",S$1,"]")),MATCH(vp.data[[#This Row],[SDate]],weather.tbl[Date],0))</f>
        <v>-7.5</v>
      </c>
      <c r="T472" s="2">
        <f ca="1">INDEX(INDIRECT(_xlfn.CONCAT("weather.tbl[",T$1,"]")),MATCH(vp.data[[#This Row],[SDate]],weather.tbl[Date],0))</f>
        <v>-8.1</v>
      </c>
      <c r="U472" s="2">
        <f ca="1">INDEX(INDIRECT(_xlfn.CONCAT("weather.tbl[",U$1,"]")),MATCH(vp.data[[#This Row],[SDate]],weather.tbl[Date],0))</f>
        <v>-9.3000000000000007</v>
      </c>
      <c r="V472" s="2">
        <f t="array" ref="V4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9482.9609999999993</v>
      </c>
      <c r="W472" t="s">
        <v>48</v>
      </c>
      <c r="X472">
        <f>IF(OR(vp.data[[#This Row],[Sulf]]="",vp.data[[#This Row],[Dens]]=""),1,0)</f>
        <v>0</v>
      </c>
      <c r="Y472">
        <f>IF(vp.data[[#This Row],[CrudeType]]="C5+",1,0)</f>
        <v>0</v>
      </c>
      <c r="Z472">
        <f>IF(AND(vp.data[[#This Row],[CrudeType]]="Crude",vp.data[[#This Row],[Dens]]&lt;=825,vp.data[[#This Row],[Sulf]]&gt;0.5,vp.data[[#This Row],[Unknown]]=0),1,0)</f>
        <v>0</v>
      </c>
      <c r="AA472">
        <f>IF(AND(vp.data[[#This Row],[CrudeType]]="Crude",vp.data[[#This Row],[Dens]]&lt;=825,vp.data[[#This Row],[Sulf]]&lt;=0.5,vp.data[[#This Row],[Unknown]]=0),1,0)</f>
        <v>1</v>
      </c>
      <c r="AB4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2">
        <f>IF(AND(vp.data[[#This Row],[CrudeType]]="Crude",vp.data[[#This Row],[Dens]]&gt;825,vp.data[[#This Row],[Dens]]&lt;=900,vp.data[[#This Row],[Sulf]]&lt;=0.5,vp.data[[#This Row],[Unknown]]=0),1,0)</f>
        <v>0</v>
      </c>
      <c r="AD472">
        <f>IF(AND(vp.data[[#This Row],[CrudeType]]="Crude",vp.data[[#This Row],[Dens]]&gt;865,vp.data[[#This Row],[Dens]]&lt;=900,vp.data[[#This Row],[Sulf]]&gt;2,vp.data[[#This Row],[Unknown]]=0),1,0)</f>
        <v>0</v>
      </c>
      <c r="AE472">
        <f>IF(AND(vp.data[[#This Row],[CrudeType]]="Crude",vp.data[[#This Row],[Dens]]&gt;900,vp.data[[#This Row],[Sulf]]&lt;=0.5,vp.data[[#This Row],[Unknown]]=0),1,0)</f>
        <v>0</v>
      </c>
      <c r="AF472">
        <f>IF(AND(vp.data[[#This Row],[CrudeType]]="Crude",vp.data[[#This Row],[Dens]]&gt;900,vp.data[[#This Row],[Sulf]]&lt;=0.5,vp.data[[#This Row],[Unknown]]=0),1,0)</f>
        <v>0</v>
      </c>
      <c r="AG472" t="str">
        <f>INDEX(vp.data[[#Headers],[Unknown]:[Heavy_SW]],MATCH(1,vp.data[[#This Row],[Unknown]:[Heavy_SW]],0))</f>
        <v>Light_SW</v>
      </c>
      <c r="AH472">
        <f>INDEX([3]!crudeBD.lkup[Number],MATCH(vp.data[[#This Row],[Crude_Breakdown]],crudeBD.lkup[Crude Breakdown],0))</f>
        <v>2</v>
      </c>
      <c r="AI472">
        <f>MONTH(vp.data[[#This Row],[SDate]])</f>
        <v>12</v>
      </c>
      <c r="AJ472" s="5">
        <f>(vp.data[[#This Row],[VP]]-INDEX(crudeBD.lkup[Mean_VP],MATCH(vp.data[[#This Row],[Crude_Breakdown]],crudeBD.lkup[Crude Breakdown],0)))^2</f>
        <v>9.9244757080938424</v>
      </c>
      <c r="AK472" s="5">
        <f>(vp.data[[#This Row],[Dens]]-INDEX(crudeBD.lkup[Mean_Dens],MATCH(vp.data[[#This Row],[Crude_Breakdown]],crudeBD.lkup[Crude Breakdown],0)))^2</f>
        <v>2.2846269834519899</v>
      </c>
      <c r="AL472" s="5">
        <f>(vp.data[[#This Row],[Sulf]]-INDEX(crudeBD.lkup[Mean_Sulf],MATCH(vp.data[[#This Row],[Crude_Breakdown]],crudeBD.lkup[Crude Breakdown],0)))^2</f>
        <v>4.3879776367322437E-3</v>
      </c>
      <c r="AM472" s="4">
        <f>IF(AND(vp.data[[#This Row],[SDate]]&gt;=DATE(YEAR(vp.data[[#This Row],[SDate]]),5,1),vp.data[[#This Row],[SDate]]&lt;=DATE(YEAR(vp.data[[#This Row],[SDate]]),9,15)),1,0)</f>
        <v>0</v>
      </c>
      <c r="AN472" s="4">
        <f>IF(vp.data[[#This Row],[SDate]]&lt;DATE(2016,12,1),0,1)</f>
        <v>1</v>
      </c>
      <c r="AO472" s="4">
        <f>IFERROR(vp.data[[#This Row],[Sulf]]*vp.data[[#This Row],[Net Dens]],"")</f>
        <v>1300644.9989159999</v>
      </c>
      <c r="AP472">
        <f>IFERROR(vp.data[[#This Row],[Dens]]*vp.data[[#This Row],[VolumeM3]],"")</f>
        <v>7650852.934799999</v>
      </c>
      <c r="AQ472" s="15">
        <f>IFERROR(vp.data[[#This Row],[VP]]*vp.data[[#This Row],[VolumeM3]],"")</f>
        <v>847776.71340000001</v>
      </c>
    </row>
    <row r="473" spans="1:43" x14ac:dyDescent="0.25">
      <c r="A473">
        <v>472</v>
      </c>
      <c r="B473" t="s">
        <v>49</v>
      </c>
      <c r="C473" t="s">
        <v>49</v>
      </c>
      <c r="D473" t="s">
        <v>99</v>
      </c>
      <c r="F473" s="1">
        <v>42733</v>
      </c>
      <c r="G473" s="2">
        <v>100.2</v>
      </c>
      <c r="H473" s="2"/>
      <c r="I473" s="2">
        <f t="array" ref="I473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473" s="2">
        <v>0</v>
      </c>
      <c r="K473" s="2">
        <v>-9</v>
      </c>
      <c r="L473" s="2">
        <v>809.7</v>
      </c>
      <c r="M473" s="2">
        <f t="array" ref="M473">_xlfn.IFNA(IF(vp.data[[#This Row],[Dens Input]]="",INDEX([1]DATA!$O$3:$O$9826,MATCH(1,(vp.data[[#This Row],[Battery]]=[1]DATA!$L$3:$L$9826)*(EOMONTH(vp.data[[#This Row],[SDate]],-1)+1=[1]DATA!$G$3:$G$9826),0)),vp.data[[#This Row],[Dens Input]]),"")</f>
        <v>809.7</v>
      </c>
      <c r="N473" s="2">
        <f ca="1">INDEX(INDIRECT(_xlfn.CONCAT("weather.tbl[",N$1,"]")),MATCH(vp.data[[#This Row],[SDate]],weather.tbl[Date],0))</f>
        <v>-10.200000000000001</v>
      </c>
      <c r="O473" s="2">
        <f ca="1">INDEX(INDIRECT(_xlfn.CONCAT("weather.tbl[",O$1,"]")),MATCH(vp.data[[#This Row],[SDate]],weather.tbl[Date],0))</f>
        <v>-12.359523809523809</v>
      </c>
      <c r="P473" s="2">
        <f ca="1">INDEX(INDIRECT(_xlfn.CONCAT("weather.tbl[",P$1,"]")),MATCH(vp.data[[#This Row],[SDate]],weather.tbl[Date],0))</f>
        <v>-9.9</v>
      </c>
      <c r="Q473" s="2">
        <f ca="1">INDEX(INDIRECT(_xlfn.CONCAT("weather.tbl[",Q$1,"]")),MATCH(vp.data[[#This Row],[SDate]],weather.tbl[Date],0))</f>
        <v>-9.9</v>
      </c>
      <c r="R473" s="2">
        <f ca="1">INDEX(INDIRECT(_xlfn.CONCAT("weather.tbl[",R$1,"]")),MATCH(vp.data[[#This Row],[SDate]],weather.tbl[Date],0))</f>
        <v>-16.5</v>
      </c>
      <c r="S473" s="2">
        <f ca="1">INDEX(INDIRECT(_xlfn.CONCAT("weather.tbl[",S$1,"]")),MATCH(vp.data[[#This Row],[SDate]],weather.tbl[Date],0))</f>
        <v>-7.5</v>
      </c>
      <c r="T473" s="2">
        <f ca="1">INDEX(INDIRECT(_xlfn.CONCAT("weather.tbl[",T$1,"]")),MATCH(vp.data[[#This Row],[SDate]],weather.tbl[Date],0))</f>
        <v>-8.1</v>
      </c>
      <c r="U473" s="2">
        <f ca="1">INDEX(INDIRECT(_xlfn.CONCAT("weather.tbl[",U$1,"]")),MATCH(vp.data[[#This Row],[SDate]],weather.tbl[Date],0))</f>
        <v>-9.3000000000000007</v>
      </c>
      <c r="V473" s="2">
        <f t="array" ref="V4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2747.39</v>
      </c>
      <c r="W473" t="s">
        <v>48</v>
      </c>
      <c r="X473">
        <f>IF(OR(vp.data[[#This Row],[Sulf]]="",vp.data[[#This Row],[Dens]]=""),1,0)</f>
        <v>0</v>
      </c>
      <c r="Y473">
        <f>IF(vp.data[[#This Row],[CrudeType]]="C5+",1,0)</f>
        <v>0</v>
      </c>
      <c r="Z473">
        <f>IF(AND(vp.data[[#This Row],[CrudeType]]="Crude",vp.data[[#This Row],[Dens]]&lt;=825,vp.data[[#This Row],[Sulf]]&gt;0.5,vp.data[[#This Row],[Unknown]]=0),1,0)</f>
        <v>0</v>
      </c>
      <c r="AA473">
        <f>IF(AND(vp.data[[#This Row],[CrudeType]]="Crude",vp.data[[#This Row],[Dens]]&lt;=825,vp.data[[#This Row],[Sulf]]&lt;=0.5,vp.data[[#This Row],[Unknown]]=0),1,0)</f>
        <v>1</v>
      </c>
      <c r="AB4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3">
        <f>IF(AND(vp.data[[#This Row],[CrudeType]]="Crude",vp.data[[#This Row],[Dens]]&gt;825,vp.data[[#This Row],[Dens]]&lt;=900,vp.data[[#This Row],[Sulf]]&lt;=0.5,vp.data[[#This Row],[Unknown]]=0),1,0)</f>
        <v>0</v>
      </c>
      <c r="AD473">
        <f>IF(AND(vp.data[[#This Row],[CrudeType]]="Crude",vp.data[[#This Row],[Dens]]&gt;865,vp.data[[#This Row],[Dens]]&lt;=900,vp.data[[#This Row],[Sulf]]&gt;2,vp.data[[#This Row],[Unknown]]=0),1,0)</f>
        <v>0</v>
      </c>
      <c r="AE473">
        <f>IF(AND(vp.data[[#This Row],[CrudeType]]="Crude",vp.data[[#This Row],[Dens]]&gt;900,vp.data[[#This Row],[Sulf]]&lt;=0.5,vp.data[[#This Row],[Unknown]]=0),1,0)</f>
        <v>0</v>
      </c>
      <c r="AF473">
        <f>IF(AND(vp.data[[#This Row],[CrudeType]]="Crude",vp.data[[#This Row],[Dens]]&gt;900,vp.data[[#This Row],[Sulf]]&lt;=0.5,vp.data[[#This Row],[Unknown]]=0),1,0)</f>
        <v>0</v>
      </c>
      <c r="AG473" t="str">
        <f>INDEX(vp.data[[#Headers],[Unknown]:[Heavy_SW]],MATCH(1,vp.data[[#This Row],[Unknown]:[Heavy_SW]],0))</f>
        <v>Light_SW</v>
      </c>
      <c r="AH473">
        <f>INDEX([3]!crudeBD.lkup[Number],MATCH(vp.data[[#This Row],[Crude_Breakdown]],crudeBD.lkup[Crude Breakdown],0))</f>
        <v>2</v>
      </c>
      <c r="AI473">
        <f>MONTH(vp.data[[#This Row],[SDate]])</f>
        <v>12</v>
      </c>
      <c r="AJ473" s="5">
        <f>(vp.data[[#This Row],[VP]]-INDEX(crudeBD.lkup[Mean_VP],MATCH(vp.data[[#This Row],[Crude_Breakdown]],crudeBD.lkup[Crude Breakdown],0)))^2</f>
        <v>58.517702188930798</v>
      </c>
      <c r="AK473" s="5">
        <f>(vp.data[[#This Row],[Dens]]-INDEX(crudeBD.lkup[Mean_Dens],MATCH(vp.data[[#This Row],[Crude_Breakdown]],crudeBD.lkup[Crude Breakdown],0)))^2</f>
        <v>1.9279370879828619</v>
      </c>
      <c r="AL473" s="5">
        <f>(vp.data[[#This Row],[Sulf]]-INDEX(crudeBD.lkup[Mean_Sulf],MATCH(vp.data[[#This Row],[Crude_Breakdown]],crudeBD.lkup[Crude Breakdown],0)))^2</f>
        <v>8.7905978457915313E-3</v>
      </c>
      <c r="AM473" s="4">
        <f>IF(AND(vp.data[[#This Row],[SDate]]&gt;=DATE(YEAR(vp.data[[#This Row],[SDate]]),5,1),vp.data[[#This Row],[SDate]]&lt;=DATE(YEAR(vp.data[[#This Row],[SDate]]),9,15)),1,0)</f>
        <v>0</v>
      </c>
      <c r="AN473" s="4">
        <f>IF(vp.data[[#This Row],[SDate]]&lt;DATE(2016,12,1),0,1)</f>
        <v>1</v>
      </c>
      <c r="AO473" s="4">
        <f>IFERROR(vp.data[[#This Row],[Sulf]]*vp.data[[#This Row],[Net Dens]],"")</f>
        <v>734105.35539000004</v>
      </c>
      <c r="AP473">
        <f>IFERROR(vp.data[[#This Row],[Dens]]*vp.data[[#This Row],[VolumeM3]],"")</f>
        <v>2224561.6830000002</v>
      </c>
      <c r="AQ473" s="15">
        <f>IFERROR(vp.data[[#This Row],[VP]]*vp.data[[#This Row],[VolumeM3]],"")</f>
        <v>275288.478</v>
      </c>
    </row>
    <row r="474" spans="1:43" x14ac:dyDescent="0.25">
      <c r="A474">
        <v>473</v>
      </c>
      <c r="B474" t="s">
        <v>49</v>
      </c>
      <c r="C474" t="s">
        <v>49</v>
      </c>
      <c r="D474" t="s">
        <v>67</v>
      </c>
      <c r="F474" s="1">
        <v>42733</v>
      </c>
      <c r="G474" s="2">
        <v>109.2</v>
      </c>
      <c r="H474" s="2"/>
      <c r="I474" s="2">
        <f t="array" ref="I474">_xlfn.IFNA(IF(vp.data[[#This Row],[Sulf Input]]="",INDEX([1]DATA!$Q$3:$Q$9826,MATCH(1,(vp.data[[#This Row],[Battery]]=[1]DATA!$L$3:$L$9826)*(EOMONTH(vp.data[[#This Row],[SDate]],-1)+1=[1]DATA!$G$3:$G$9826),0)),vp.data[[#This Row],[Sulf Input]]),"")</f>
        <v>0.2</v>
      </c>
      <c r="J474" s="2">
        <v>5</v>
      </c>
      <c r="K474" s="2">
        <v>-9</v>
      </c>
      <c r="L474" s="2">
        <v>817.7</v>
      </c>
      <c r="M474" s="2">
        <f t="array" ref="M474">_xlfn.IFNA(IF(vp.data[[#This Row],[Dens Input]]="",INDEX([1]DATA!$O$3:$O$9826,MATCH(1,(vp.data[[#This Row],[Battery]]=[1]DATA!$L$3:$L$9826)*(EOMONTH(vp.data[[#This Row],[SDate]],-1)+1=[1]DATA!$G$3:$G$9826),0)),vp.data[[#This Row],[Dens Input]]),"")</f>
        <v>817.7</v>
      </c>
      <c r="N474" s="2">
        <f ca="1">INDEX(INDIRECT(_xlfn.CONCAT("weather.tbl[",N$1,"]")),MATCH(vp.data[[#This Row],[SDate]],weather.tbl[Date],0))</f>
        <v>-10.200000000000001</v>
      </c>
      <c r="O474" s="2">
        <f ca="1">INDEX(INDIRECT(_xlfn.CONCAT("weather.tbl[",O$1,"]")),MATCH(vp.data[[#This Row],[SDate]],weather.tbl[Date],0))</f>
        <v>-12.359523809523809</v>
      </c>
      <c r="P474" s="2">
        <f ca="1">INDEX(INDIRECT(_xlfn.CONCAT("weather.tbl[",P$1,"]")),MATCH(vp.data[[#This Row],[SDate]],weather.tbl[Date],0))</f>
        <v>-9.9</v>
      </c>
      <c r="Q474" s="2">
        <f ca="1">INDEX(INDIRECT(_xlfn.CONCAT("weather.tbl[",Q$1,"]")),MATCH(vp.data[[#This Row],[SDate]],weather.tbl[Date],0))</f>
        <v>-9.9</v>
      </c>
      <c r="R474" s="2">
        <f ca="1">INDEX(INDIRECT(_xlfn.CONCAT("weather.tbl[",R$1,"]")),MATCH(vp.data[[#This Row],[SDate]],weather.tbl[Date],0))</f>
        <v>-16.5</v>
      </c>
      <c r="S474" s="2">
        <f ca="1">INDEX(INDIRECT(_xlfn.CONCAT("weather.tbl[",S$1,"]")),MATCH(vp.data[[#This Row],[SDate]],weather.tbl[Date],0))</f>
        <v>-7.5</v>
      </c>
      <c r="T474" s="2">
        <f ca="1">INDEX(INDIRECT(_xlfn.CONCAT("weather.tbl[",T$1,"]")),MATCH(vp.data[[#This Row],[SDate]],weather.tbl[Date],0))</f>
        <v>-8.1</v>
      </c>
      <c r="U474" s="2">
        <f ca="1">INDEX(INDIRECT(_xlfn.CONCAT("weather.tbl[",U$1,"]")),MATCH(vp.data[[#This Row],[SDate]],weather.tbl[Date],0))</f>
        <v>-9.3000000000000007</v>
      </c>
      <c r="V474" s="2">
        <f t="array" ref="V4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75984.024999999994</v>
      </c>
      <c r="W474" t="s">
        <v>48</v>
      </c>
      <c r="X474">
        <f>IF(OR(vp.data[[#This Row],[Sulf]]="",vp.data[[#This Row],[Dens]]=""),1,0)</f>
        <v>0</v>
      </c>
      <c r="Y474">
        <f>IF(vp.data[[#This Row],[CrudeType]]="C5+",1,0)</f>
        <v>0</v>
      </c>
      <c r="Z474">
        <f>IF(AND(vp.data[[#This Row],[CrudeType]]="Crude",vp.data[[#This Row],[Dens]]&lt;=825,vp.data[[#This Row],[Sulf]]&gt;0.5,vp.data[[#This Row],[Unknown]]=0),1,0)</f>
        <v>0</v>
      </c>
      <c r="AA474">
        <f>IF(AND(vp.data[[#This Row],[CrudeType]]="Crude",vp.data[[#This Row],[Dens]]&lt;=825,vp.data[[#This Row],[Sulf]]&lt;=0.5,vp.data[[#This Row],[Unknown]]=0),1,0)</f>
        <v>1</v>
      </c>
      <c r="AB4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4">
        <f>IF(AND(vp.data[[#This Row],[CrudeType]]="Crude",vp.data[[#This Row],[Dens]]&gt;825,vp.data[[#This Row],[Dens]]&lt;=900,vp.data[[#This Row],[Sulf]]&lt;=0.5,vp.data[[#This Row],[Unknown]]=0),1,0)</f>
        <v>0</v>
      </c>
      <c r="AD474">
        <f>IF(AND(vp.data[[#This Row],[CrudeType]]="Crude",vp.data[[#This Row],[Dens]]&gt;865,vp.data[[#This Row],[Dens]]&lt;=900,vp.data[[#This Row],[Sulf]]&gt;2,vp.data[[#This Row],[Unknown]]=0),1,0)</f>
        <v>0</v>
      </c>
      <c r="AE474">
        <f>IF(AND(vp.data[[#This Row],[CrudeType]]="Crude",vp.data[[#This Row],[Dens]]&gt;900,vp.data[[#This Row],[Sulf]]&lt;=0.5,vp.data[[#This Row],[Unknown]]=0),1,0)</f>
        <v>0</v>
      </c>
      <c r="AF474">
        <f>IF(AND(vp.data[[#This Row],[CrudeType]]="Crude",vp.data[[#This Row],[Dens]]&gt;900,vp.data[[#This Row],[Sulf]]&lt;=0.5,vp.data[[#This Row],[Unknown]]=0),1,0)</f>
        <v>0</v>
      </c>
      <c r="AG474" t="str">
        <f>INDEX(vp.data[[#Headers],[Unknown]:[Heavy_SW]],MATCH(1,vp.data[[#This Row],[Unknown]:[Heavy_SW]],0))</f>
        <v>Light_SW</v>
      </c>
      <c r="AH474">
        <f>INDEX([3]!crudeBD.lkup[Number],MATCH(vp.data[[#This Row],[Crude_Breakdown]],crudeBD.lkup[Crude Breakdown],0))</f>
        <v>2</v>
      </c>
      <c r="AI474">
        <f>MONTH(vp.data[[#This Row],[SDate]])</f>
        <v>12</v>
      </c>
      <c r="AJ474" s="5">
        <f>(vp.data[[#This Row],[VP]]-INDEX(crudeBD.lkup[Mean_VP],MATCH(vp.data[[#This Row],[Crude_Breakdown]],crudeBD.lkup[Crude Breakdown],0)))^2</f>
        <v>277.21205758962822</v>
      </c>
      <c r="AK474" s="5">
        <f>(vp.data[[#This Row],[Dens]]-INDEX(crudeBD.lkup[Mean_Dens],MATCH(vp.data[[#This Row],[Crude_Breakdown]],crudeBD.lkup[Crude Breakdown],0)))^2</f>
        <v>88.143964962551536</v>
      </c>
      <c r="AL474" s="5">
        <f>(vp.data[[#This Row],[Sulf]]-INDEX(crudeBD.lkup[Mean_Sulf],MATCH(vp.data[[#This Row],[Crude_Breakdown]],crudeBD.lkup[Crude Breakdown],0)))^2</f>
        <v>1.3134689259308601E-3</v>
      </c>
      <c r="AM474" s="4">
        <f>IF(AND(vp.data[[#This Row],[SDate]]&gt;=DATE(YEAR(vp.data[[#This Row],[SDate]]),5,1),vp.data[[#This Row],[SDate]]&lt;=DATE(YEAR(vp.data[[#This Row],[SDate]]),9,15)),1,0)</f>
        <v>0</v>
      </c>
      <c r="AN474" s="4">
        <f>IF(vp.data[[#This Row],[SDate]]&lt;DATE(2016,12,1),0,1)</f>
        <v>1</v>
      </c>
      <c r="AO474" s="4">
        <f>IFERROR(vp.data[[#This Row],[Sulf]]*vp.data[[#This Row],[Net Dens]],"")</f>
        <v>12426427.4485</v>
      </c>
      <c r="AP474">
        <f>IFERROR(vp.data[[#This Row],[Dens]]*vp.data[[#This Row],[VolumeM3]],"")</f>
        <v>62132137.2425</v>
      </c>
      <c r="AQ474" s="15">
        <f>IFERROR(vp.data[[#This Row],[VP]]*vp.data[[#This Row],[VolumeM3]],"")</f>
        <v>8297455.5299999993</v>
      </c>
    </row>
    <row r="475" spans="1:43" x14ac:dyDescent="0.25">
      <c r="A475">
        <v>474</v>
      </c>
      <c r="B475" t="s">
        <v>60</v>
      </c>
      <c r="C475" t="s">
        <v>60</v>
      </c>
      <c r="D475" t="s">
        <v>61</v>
      </c>
      <c r="E475" t="s">
        <v>55</v>
      </c>
      <c r="F475" s="1">
        <v>42733</v>
      </c>
      <c r="G475" s="2">
        <v>104.2</v>
      </c>
      <c r="H475" s="2"/>
      <c r="I475" s="2">
        <f t="array" ref="I475">_xlfn.IFNA(IF(vp.data[[#This Row],[Sulf Input]]="",INDEX([1]DATA!$Q$3:$Q$9826,MATCH(1,(vp.data[[#This Row],[Battery]]=[1]DATA!$L$3:$L$9826)*(EOMONTH(vp.data[[#This Row],[SDate]],-1)+1=[1]DATA!$G$3:$G$9826),0)),vp.data[[#This Row],[Sulf Input]]),"")</f>
        <v>0.97</v>
      </c>
      <c r="J475" s="2">
        <v>5</v>
      </c>
      <c r="K475" s="2">
        <v>-9</v>
      </c>
      <c r="L475" s="2">
        <v>850.3</v>
      </c>
      <c r="M475" s="2">
        <f t="array" ref="M475">_xlfn.IFNA(IF(vp.data[[#This Row],[Dens Input]]="",INDEX([1]DATA!$O$3:$O$9826,MATCH(1,(vp.data[[#This Row],[Battery]]=[1]DATA!$L$3:$L$9826)*(EOMONTH(vp.data[[#This Row],[SDate]],-1)+1=[1]DATA!$G$3:$G$9826),0)),vp.data[[#This Row],[Dens Input]]),"")</f>
        <v>850.3</v>
      </c>
      <c r="N475" s="2">
        <f ca="1">INDEX(INDIRECT(_xlfn.CONCAT("weather.tbl[",N$1,"]")),MATCH(vp.data[[#This Row],[SDate]],weather.tbl[Date],0))</f>
        <v>-10.200000000000001</v>
      </c>
      <c r="O475" s="2">
        <f ca="1">INDEX(INDIRECT(_xlfn.CONCAT("weather.tbl[",O$1,"]")),MATCH(vp.data[[#This Row],[SDate]],weather.tbl[Date],0))</f>
        <v>-12.359523809523809</v>
      </c>
      <c r="P475" s="2">
        <f ca="1">INDEX(INDIRECT(_xlfn.CONCAT("weather.tbl[",P$1,"]")),MATCH(vp.data[[#This Row],[SDate]],weather.tbl[Date],0))</f>
        <v>-9.9</v>
      </c>
      <c r="Q475" s="2">
        <f ca="1">INDEX(INDIRECT(_xlfn.CONCAT("weather.tbl[",Q$1,"]")),MATCH(vp.data[[#This Row],[SDate]],weather.tbl[Date],0))</f>
        <v>-9.9</v>
      </c>
      <c r="R475" s="2">
        <f ca="1">INDEX(INDIRECT(_xlfn.CONCAT("weather.tbl[",R$1,"]")),MATCH(vp.data[[#This Row],[SDate]],weather.tbl[Date],0))</f>
        <v>-16.5</v>
      </c>
      <c r="S475" s="2">
        <f ca="1">INDEX(INDIRECT(_xlfn.CONCAT("weather.tbl[",S$1,"]")),MATCH(vp.data[[#This Row],[SDate]],weather.tbl[Date],0))</f>
        <v>-7.5</v>
      </c>
      <c r="T475" s="2">
        <f ca="1">INDEX(INDIRECT(_xlfn.CONCAT("weather.tbl[",T$1,"]")),MATCH(vp.data[[#This Row],[SDate]],weather.tbl[Date],0))</f>
        <v>-8.1</v>
      </c>
      <c r="U475" s="2">
        <f ca="1">INDEX(INDIRECT(_xlfn.CONCAT("weather.tbl[",U$1,"]")),MATCH(vp.data[[#This Row],[SDate]],weather.tbl[Date],0))</f>
        <v>-9.3000000000000007</v>
      </c>
      <c r="V475" s="2">
        <f t="array" ref="V4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106852.554</v>
      </c>
      <c r="W475" t="s">
        <v>48</v>
      </c>
      <c r="X475">
        <f>IF(OR(vp.data[[#This Row],[Sulf]]="",vp.data[[#This Row],[Dens]]=""),1,0)</f>
        <v>0</v>
      </c>
      <c r="Y475">
        <f>IF(vp.data[[#This Row],[CrudeType]]="C5+",1,0)</f>
        <v>0</v>
      </c>
      <c r="Z475">
        <f>IF(AND(vp.data[[#This Row],[CrudeType]]="Crude",vp.data[[#This Row],[Dens]]&lt;=825,vp.data[[#This Row],[Sulf]]&gt;0.5,vp.data[[#This Row],[Unknown]]=0),1,0)</f>
        <v>0</v>
      </c>
      <c r="AA475">
        <f>IF(AND(vp.data[[#This Row],[CrudeType]]="Crude",vp.data[[#This Row],[Dens]]&lt;=825,vp.data[[#This Row],[Sulf]]&lt;=0.5,vp.data[[#This Row],[Unknown]]=0),1,0)</f>
        <v>0</v>
      </c>
      <c r="AB4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75">
        <f>IF(AND(vp.data[[#This Row],[CrudeType]]="Crude",vp.data[[#This Row],[Dens]]&gt;825,vp.data[[#This Row],[Dens]]&lt;=900,vp.data[[#This Row],[Sulf]]&lt;=0.5,vp.data[[#This Row],[Unknown]]=0),1,0)</f>
        <v>0</v>
      </c>
      <c r="AD475">
        <f>IF(AND(vp.data[[#This Row],[CrudeType]]="Crude",vp.data[[#This Row],[Dens]]&gt;865,vp.data[[#This Row],[Dens]]&lt;=900,vp.data[[#This Row],[Sulf]]&gt;2,vp.data[[#This Row],[Unknown]]=0),1,0)</f>
        <v>0</v>
      </c>
      <c r="AE475">
        <f>IF(AND(vp.data[[#This Row],[CrudeType]]="Crude",vp.data[[#This Row],[Dens]]&gt;900,vp.data[[#This Row],[Sulf]]&lt;=0.5,vp.data[[#This Row],[Unknown]]=0),1,0)</f>
        <v>0</v>
      </c>
      <c r="AF475">
        <f>IF(AND(vp.data[[#This Row],[CrudeType]]="Crude",vp.data[[#This Row],[Dens]]&gt;900,vp.data[[#This Row],[Sulf]]&lt;=0.5,vp.data[[#This Row],[Unknown]]=0),1,0)</f>
        <v>0</v>
      </c>
      <c r="AG475" t="str">
        <f>INDEX(vp.data[[#Headers],[Unknown]:[Heavy_SW]],MATCH(1,vp.data[[#This Row],[Unknown]:[Heavy_SW]],0))</f>
        <v>Medium_LSB</v>
      </c>
      <c r="AH475">
        <f>INDEX([3]!crudeBD.lkup[Number],MATCH(vp.data[[#This Row],[Crude_Breakdown]],crudeBD.lkup[Crude Breakdown],0))</f>
        <v>3</v>
      </c>
      <c r="AI475">
        <f>MONTH(vp.data[[#This Row],[SDate]])</f>
        <v>12</v>
      </c>
      <c r="AJ475" s="5">
        <f>(vp.data[[#This Row],[VP]]-INDEX(crudeBD.lkup[Mean_VP],MATCH(vp.data[[#This Row],[Crude_Breakdown]],crudeBD.lkup[Crude Breakdown],0)))^2</f>
        <v>555.08884107497386</v>
      </c>
      <c r="AK475" s="5">
        <f>(vp.data[[#This Row],[Dens]]-INDEX(crudeBD.lkup[Mean_Dens],MATCH(vp.data[[#This Row],[Crude_Breakdown]],crudeBD.lkup[Crude Breakdown],0)))^2</f>
        <v>40.704400000005748</v>
      </c>
      <c r="AL475" s="5">
        <f>(vp.data[[#This Row],[Sulf]]-INDEX(crudeBD.lkup[Mean_Sulf],MATCH(vp.data[[#This Row],[Crude_Breakdown]],crudeBD.lkup[Crude Breakdown],0)))^2</f>
        <v>0.17256391171563998</v>
      </c>
      <c r="AM475" s="4">
        <f>IF(AND(vp.data[[#This Row],[SDate]]&gt;=DATE(YEAR(vp.data[[#This Row],[SDate]]),5,1),vp.data[[#This Row],[SDate]]&lt;=DATE(YEAR(vp.data[[#This Row],[SDate]]),9,15)),1,0)</f>
        <v>0</v>
      </c>
      <c r="AN475" s="4">
        <f>IF(vp.data[[#This Row],[SDate]]&lt;DATE(2016,12,1),0,1)</f>
        <v>1</v>
      </c>
      <c r="AO475" s="4">
        <f>IFERROR(vp.data[[#This Row],[Sulf]]*vp.data[[#This Row],[Net Dens]],"")</f>
        <v>88131024.866213992</v>
      </c>
      <c r="AP475">
        <f>IFERROR(vp.data[[#This Row],[Dens]]*vp.data[[#This Row],[VolumeM3]],"")</f>
        <v>90856726.666199997</v>
      </c>
      <c r="AQ475" s="15">
        <f>IFERROR(vp.data[[#This Row],[VP]]*vp.data[[#This Row],[VolumeM3]],"")</f>
        <v>11134036.126800001</v>
      </c>
    </row>
    <row r="476" spans="1:43" x14ac:dyDescent="0.25">
      <c r="A476">
        <v>475</v>
      </c>
      <c r="B476" t="s">
        <v>51</v>
      </c>
      <c r="C476" t="s">
        <v>51</v>
      </c>
      <c r="D476" t="s">
        <v>72</v>
      </c>
      <c r="F476" s="1">
        <v>42734</v>
      </c>
      <c r="G476" s="2">
        <v>87.8</v>
      </c>
      <c r="H476" s="2">
        <v>1.1688000000000001</v>
      </c>
      <c r="I476" s="2">
        <f t="array" ref="I476">_xlfn.IFNA(IF(vp.data[[#This Row],[Sulf Input]]="",INDEX([1]DATA!$Q$3:$Q$9826,MATCH(1,(vp.data[[#This Row],[Battery]]=[1]DATA!$L$3:$L$9826)*(EOMONTH(vp.data[[#This Row],[SDate]],-1)+1=[1]DATA!$G$3:$G$9826),0)),vp.data[[#This Row],[Sulf Input]]),"")</f>
        <v>1.1688000000000001</v>
      </c>
      <c r="J476" s="2">
        <v>21</v>
      </c>
      <c r="K476" s="2">
        <v>-11</v>
      </c>
      <c r="L476" s="2">
        <v>839</v>
      </c>
      <c r="M476" s="2">
        <f t="array" ref="M476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476" s="2">
        <f ca="1">INDEX(INDIRECT(_xlfn.CONCAT("weather.tbl[",N$1,"]")),MATCH(vp.data[[#This Row],[SDate]],weather.tbl[Date],0))</f>
        <v>-11.233333333333334</v>
      </c>
      <c r="O476" s="2">
        <f ca="1">INDEX(INDIRECT(_xlfn.CONCAT("weather.tbl[",O$1,"]")),MATCH(vp.data[[#This Row],[SDate]],weather.tbl[Date],0))</f>
        <v>-12.6</v>
      </c>
      <c r="P476" s="2">
        <f ca="1">INDEX(INDIRECT(_xlfn.CONCAT("weather.tbl[",P$1,"]")),MATCH(vp.data[[#This Row],[SDate]],weather.tbl[Date],0))</f>
        <v>-10</v>
      </c>
      <c r="Q476" s="2">
        <f ca="1">INDEX(INDIRECT(_xlfn.CONCAT("weather.tbl[",Q$1,"]")),MATCH(vp.data[[#This Row],[SDate]],weather.tbl[Date],0))</f>
        <v>-9.6999999999999993</v>
      </c>
      <c r="R476" s="2">
        <f ca="1">INDEX(INDIRECT(_xlfn.CONCAT("weather.tbl[",R$1,"]")),MATCH(vp.data[[#This Row],[SDate]],weather.tbl[Date],0))</f>
        <v>-16.5</v>
      </c>
      <c r="S476" s="2">
        <f ca="1">INDEX(INDIRECT(_xlfn.CONCAT("weather.tbl[",S$1,"]")),MATCH(vp.data[[#This Row],[SDate]],weather.tbl[Date],0))</f>
        <v>-8.5</v>
      </c>
      <c r="T476" s="2">
        <f ca="1">INDEX(INDIRECT(_xlfn.CONCAT("weather.tbl[",T$1,"]")),MATCH(vp.data[[#This Row],[SDate]],weather.tbl[Date],0))</f>
        <v>-12.4</v>
      </c>
      <c r="U476" s="2">
        <f ca="1">INDEX(INDIRECT(_xlfn.CONCAT("weather.tbl[",U$1,"]")),MATCH(vp.data[[#This Row],[SDate]],weather.tbl[Date],0))</f>
        <v>-10.3</v>
      </c>
      <c r="V476" s="2">
        <f t="array" ref="V4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13705.843999999999</v>
      </c>
      <c r="W476" t="s">
        <v>48</v>
      </c>
      <c r="X476">
        <f>IF(OR(vp.data[[#This Row],[Sulf]]="",vp.data[[#This Row],[Dens]]=""),1,0)</f>
        <v>0</v>
      </c>
      <c r="Y476">
        <f>IF(vp.data[[#This Row],[CrudeType]]="C5+",1,0)</f>
        <v>0</v>
      </c>
      <c r="Z476">
        <f>IF(AND(vp.data[[#This Row],[CrudeType]]="Crude",vp.data[[#This Row],[Dens]]&lt;=825,vp.data[[#This Row],[Sulf]]&gt;0.5,vp.data[[#This Row],[Unknown]]=0),1,0)</f>
        <v>0</v>
      </c>
      <c r="AA476">
        <f>IF(AND(vp.data[[#This Row],[CrudeType]]="Crude",vp.data[[#This Row],[Dens]]&lt;=825,vp.data[[#This Row],[Sulf]]&lt;=0.5,vp.data[[#This Row],[Unknown]]=0),1,0)</f>
        <v>0</v>
      </c>
      <c r="AB4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76">
        <f>IF(AND(vp.data[[#This Row],[CrudeType]]="Crude",vp.data[[#This Row],[Dens]]&gt;825,vp.data[[#This Row],[Dens]]&lt;=900,vp.data[[#This Row],[Sulf]]&lt;=0.5,vp.data[[#This Row],[Unknown]]=0),1,0)</f>
        <v>0</v>
      </c>
      <c r="AD476">
        <f>IF(AND(vp.data[[#This Row],[CrudeType]]="Crude",vp.data[[#This Row],[Dens]]&gt;865,vp.data[[#This Row],[Dens]]&lt;=900,vp.data[[#This Row],[Sulf]]&gt;2,vp.data[[#This Row],[Unknown]]=0),1,0)</f>
        <v>0</v>
      </c>
      <c r="AE476">
        <f>IF(AND(vp.data[[#This Row],[CrudeType]]="Crude",vp.data[[#This Row],[Dens]]&gt;900,vp.data[[#This Row],[Sulf]]&lt;=0.5,vp.data[[#This Row],[Unknown]]=0),1,0)</f>
        <v>0</v>
      </c>
      <c r="AF476">
        <f>IF(AND(vp.data[[#This Row],[CrudeType]]="Crude",vp.data[[#This Row],[Dens]]&gt;900,vp.data[[#This Row],[Sulf]]&lt;=0.5,vp.data[[#This Row],[Unknown]]=0),1,0)</f>
        <v>0</v>
      </c>
      <c r="AG476" t="str">
        <f>INDEX(vp.data[[#Headers],[Unknown]:[Heavy_SW]],MATCH(1,vp.data[[#This Row],[Unknown]:[Heavy_SW]],0))</f>
        <v>Medium_LSB</v>
      </c>
      <c r="AH476">
        <f>INDEX([3]!crudeBD.lkup[Number],MATCH(vp.data[[#This Row],[Crude_Breakdown]],crudeBD.lkup[Crude Breakdown],0))</f>
        <v>3</v>
      </c>
      <c r="AI476">
        <f>MONTH(vp.data[[#This Row],[SDate]])</f>
        <v>12</v>
      </c>
      <c r="AJ476" s="5">
        <f>(vp.data[[#This Row],[VP]]-INDEX(crudeBD.lkup[Mean_VP],MATCH(vp.data[[#This Row],[Crude_Breakdown]],crudeBD.lkup[Crude Breakdown],0)))^2</f>
        <v>51.270231910550891</v>
      </c>
      <c r="AK476" s="5">
        <f>(vp.data[[#This Row],[Dens]]-INDEX(crudeBD.lkup[Mean_Dens],MATCH(vp.data[[#This Row],[Crude_Breakdown]],crudeBD.lkup[Crude Breakdown],0)))^2</f>
        <v>24.206399999995124</v>
      </c>
      <c r="AL476" s="5">
        <f>(vp.data[[#This Row],[Sulf]]-INDEX(crudeBD.lkup[Mean_Sulf],MATCH(vp.data[[#This Row],[Crude_Breakdown]],crudeBD.lkup[Crude Breakdown],0)))^2</f>
        <v>4.6919080545828003E-2</v>
      </c>
      <c r="AM476" s="4">
        <f>IF(AND(vp.data[[#This Row],[SDate]]&gt;=DATE(YEAR(vp.data[[#This Row],[SDate]]),5,1),vp.data[[#This Row],[SDate]]&lt;=DATE(YEAR(vp.data[[#This Row],[SDate]]),9,15)),1,0)</f>
        <v>0</v>
      </c>
      <c r="AN476" s="4">
        <f>IF(vp.data[[#This Row],[SDate]]&lt;DATE(2016,12,1),0,1)</f>
        <v>1</v>
      </c>
      <c r="AO476" s="4">
        <f>IFERROR(vp.data[[#This Row],[Sulf]]*vp.data[[#This Row],[Net Dens]],"")</f>
        <v>13440268.6019808</v>
      </c>
      <c r="AP476">
        <f>IFERROR(vp.data[[#This Row],[Dens]]*vp.data[[#This Row],[VolumeM3]],"")</f>
        <v>11499203.115999999</v>
      </c>
      <c r="AQ476" s="15">
        <f>IFERROR(vp.data[[#This Row],[VP]]*vp.data[[#This Row],[VolumeM3]],"")</f>
        <v>1203373.1031999998</v>
      </c>
    </row>
    <row r="477" spans="1:43" x14ac:dyDescent="0.25">
      <c r="A477">
        <v>476</v>
      </c>
      <c r="B477" t="s">
        <v>49</v>
      </c>
      <c r="C477" t="s">
        <v>49</v>
      </c>
      <c r="D477" t="s">
        <v>80</v>
      </c>
      <c r="F477" s="1">
        <v>42734</v>
      </c>
      <c r="G477" s="2">
        <v>92.2</v>
      </c>
      <c r="H477" s="2"/>
      <c r="I477" s="2">
        <f t="array" ref="I477">_xlfn.IFNA(IF(vp.data[[#This Row],[Sulf Input]]="",INDEX([1]DATA!$Q$3:$Q$9826,MATCH(1,(vp.data[[#This Row],[Battery]]=[1]DATA!$L$3:$L$9826)*(EOMONTH(vp.data[[#This Row],[SDate]],-1)+1=[1]DATA!$G$3:$G$9826),0)),vp.data[[#This Row],[Sulf Input]]),"")</f>
        <v>0.37</v>
      </c>
      <c r="J477" s="2">
        <v>11</v>
      </c>
      <c r="K477" s="2">
        <v>-11</v>
      </c>
      <c r="L477" s="2">
        <v>803.1</v>
      </c>
      <c r="M477" s="2">
        <f t="array" ref="M477">_xlfn.IFNA(IF(vp.data[[#This Row],[Dens Input]]="",INDEX([1]DATA!$O$3:$O$9826,MATCH(1,(vp.data[[#This Row],[Battery]]=[1]DATA!$L$3:$L$9826)*(EOMONTH(vp.data[[#This Row],[SDate]],-1)+1=[1]DATA!$G$3:$G$9826),0)),vp.data[[#This Row],[Dens Input]]),"")</f>
        <v>803.1</v>
      </c>
      <c r="N477" s="2">
        <f ca="1">INDEX(INDIRECT(_xlfn.CONCAT("weather.tbl[",N$1,"]")),MATCH(vp.data[[#This Row],[SDate]],weather.tbl[Date],0))</f>
        <v>-11.233333333333334</v>
      </c>
      <c r="O477" s="2">
        <f ca="1">INDEX(INDIRECT(_xlfn.CONCAT("weather.tbl[",O$1,"]")),MATCH(vp.data[[#This Row],[SDate]],weather.tbl[Date],0))</f>
        <v>-12.6</v>
      </c>
      <c r="P477" s="2">
        <f ca="1">INDEX(INDIRECT(_xlfn.CONCAT("weather.tbl[",P$1,"]")),MATCH(vp.data[[#This Row],[SDate]],weather.tbl[Date],0))</f>
        <v>-10</v>
      </c>
      <c r="Q477" s="2">
        <f ca="1">INDEX(INDIRECT(_xlfn.CONCAT("weather.tbl[",Q$1,"]")),MATCH(vp.data[[#This Row],[SDate]],weather.tbl[Date],0))</f>
        <v>-9.6999999999999993</v>
      </c>
      <c r="R477" s="2">
        <f ca="1">INDEX(INDIRECT(_xlfn.CONCAT("weather.tbl[",R$1,"]")),MATCH(vp.data[[#This Row],[SDate]],weather.tbl[Date],0))</f>
        <v>-16.5</v>
      </c>
      <c r="S477" s="2">
        <f ca="1">INDEX(INDIRECT(_xlfn.CONCAT("weather.tbl[",S$1,"]")),MATCH(vp.data[[#This Row],[SDate]],weather.tbl[Date],0))</f>
        <v>-8.5</v>
      </c>
      <c r="T477" s="2">
        <f ca="1">INDEX(INDIRECT(_xlfn.CONCAT("weather.tbl[",T$1,"]")),MATCH(vp.data[[#This Row],[SDate]],weather.tbl[Date],0))</f>
        <v>-12.4</v>
      </c>
      <c r="U477" s="2">
        <f ca="1">INDEX(INDIRECT(_xlfn.CONCAT("weather.tbl[",U$1,"]")),MATCH(vp.data[[#This Row],[SDate]],weather.tbl[Date],0))</f>
        <v>-10.3</v>
      </c>
      <c r="V477" s="2">
        <f t="array" ref="V4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22011.311000000002</v>
      </c>
      <c r="W477" t="s">
        <v>48</v>
      </c>
      <c r="X477">
        <f>IF(OR(vp.data[[#This Row],[Sulf]]="",vp.data[[#This Row],[Dens]]=""),1,0)</f>
        <v>0</v>
      </c>
      <c r="Y477">
        <f>IF(vp.data[[#This Row],[CrudeType]]="C5+",1,0)</f>
        <v>0</v>
      </c>
      <c r="Z477">
        <f>IF(AND(vp.data[[#This Row],[CrudeType]]="Crude",vp.data[[#This Row],[Dens]]&lt;=825,vp.data[[#This Row],[Sulf]]&gt;0.5,vp.data[[#This Row],[Unknown]]=0),1,0)</f>
        <v>0</v>
      </c>
      <c r="AA477">
        <f>IF(AND(vp.data[[#This Row],[CrudeType]]="Crude",vp.data[[#This Row],[Dens]]&lt;=825,vp.data[[#This Row],[Sulf]]&lt;=0.5,vp.data[[#This Row],[Unknown]]=0),1,0)</f>
        <v>1</v>
      </c>
      <c r="AB4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77">
        <f>IF(AND(vp.data[[#This Row],[CrudeType]]="Crude",vp.data[[#This Row],[Dens]]&gt;825,vp.data[[#This Row],[Dens]]&lt;=900,vp.data[[#This Row],[Sulf]]&lt;=0.5,vp.data[[#This Row],[Unknown]]=0),1,0)</f>
        <v>0</v>
      </c>
      <c r="AD477">
        <f>IF(AND(vp.data[[#This Row],[CrudeType]]="Crude",vp.data[[#This Row],[Dens]]&gt;865,vp.data[[#This Row],[Dens]]&lt;=900,vp.data[[#This Row],[Sulf]]&gt;2,vp.data[[#This Row],[Unknown]]=0),1,0)</f>
        <v>0</v>
      </c>
      <c r="AE477">
        <f>IF(AND(vp.data[[#This Row],[CrudeType]]="Crude",vp.data[[#This Row],[Dens]]&gt;900,vp.data[[#This Row],[Sulf]]&lt;=0.5,vp.data[[#This Row],[Unknown]]=0),1,0)</f>
        <v>0</v>
      </c>
      <c r="AF477">
        <f>IF(AND(vp.data[[#This Row],[CrudeType]]="Crude",vp.data[[#This Row],[Dens]]&gt;900,vp.data[[#This Row],[Sulf]]&lt;=0.5,vp.data[[#This Row],[Unknown]]=0),1,0)</f>
        <v>0</v>
      </c>
      <c r="AG477" t="str">
        <f>INDEX(vp.data[[#Headers],[Unknown]:[Heavy_SW]],MATCH(1,vp.data[[#This Row],[Unknown]:[Heavy_SW]],0))</f>
        <v>Light_SW</v>
      </c>
      <c r="AH477">
        <f>INDEX([3]!crudeBD.lkup[Number],MATCH(vp.data[[#This Row],[Crude_Breakdown]],crudeBD.lkup[Crude Breakdown],0))</f>
        <v>2</v>
      </c>
      <c r="AI477">
        <f>MONTH(vp.data[[#This Row],[SDate]])</f>
        <v>12</v>
      </c>
      <c r="AJ477" s="5">
        <f>(vp.data[[#This Row],[VP]]-INDEX(crudeBD.lkup[Mean_VP],MATCH(vp.data[[#This Row],[Crude_Breakdown]],crudeBD.lkup[Crude Breakdown],0)))^2</f>
        <v>0.12271961053306624</v>
      </c>
      <c r="AK477" s="5">
        <f>(vp.data[[#This Row],[Dens]]-INDEX(crudeBD.lkup[Mean_Dens],MATCH(vp.data[[#This Row],[Crude_Breakdown]],crudeBD.lkup[Crude Breakdown],0)))^2</f>
        <v>27.159714091463936</v>
      </c>
      <c r="AL477" s="5">
        <f>(vp.data[[#This Row],[Sulf]]-INDEX(crudeBD.lkup[Mean_Sulf],MATCH(vp.data[[#This Row],[Crude_Breakdown]],crudeBD.lkup[Crude Breakdown],0)))^2</f>
        <v>1.7891252898056348E-2</v>
      </c>
      <c r="AM477" s="4">
        <f>IF(AND(vp.data[[#This Row],[SDate]]&gt;=DATE(YEAR(vp.data[[#This Row],[SDate]]),5,1),vp.data[[#This Row],[SDate]]&lt;=DATE(YEAR(vp.data[[#This Row],[SDate]]),9,15)),1,0)</f>
        <v>0</v>
      </c>
      <c r="AN477" s="4">
        <f>IF(vp.data[[#This Row],[SDate]]&lt;DATE(2016,12,1),0,1)</f>
        <v>1</v>
      </c>
      <c r="AO477" s="4">
        <f>IFERROR(vp.data[[#This Row],[Sulf]]*vp.data[[#This Row],[Net Dens]],"")</f>
        <v>6540595.0297170002</v>
      </c>
      <c r="AP477">
        <f>IFERROR(vp.data[[#This Row],[Dens]]*vp.data[[#This Row],[VolumeM3]],"")</f>
        <v>17677283.864100002</v>
      </c>
      <c r="AQ477" s="15">
        <f>IFERROR(vp.data[[#This Row],[VP]]*vp.data[[#This Row],[VolumeM3]],"")</f>
        <v>2029442.8742000002</v>
      </c>
    </row>
    <row r="478" spans="1:43" x14ac:dyDescent="0.25">
      <c r="A478">
        <v>477</v>
      </c>
      <c r="B478" t="s">
        <v>62</v>
      </c>
      <c r="C478" t="s">
        <v>62</v>
      </c>
      <c r="D478" t="s">
        <v>63</v>
      </c>
      <c r="F478" s="1">
        <v>42734</v>
      </c>
      <c r="G478" s="2">
        <v>91.8</v>
      </c>
      <c r="H478" s="2"/>
      <c r="I478" s="2">
        <f t="array" ref="I478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478" s="2">
        <v>8</v>
      </c>
      <c r="K478" s="2">
        <v>-11</v>
      </c>
      <c r="L478" s="2">
        <v>828</v>
      </c>
      <c r="M478" s="2">
        <f t="array" ref="M478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478" s="2">
        <f ca="1">INDEX(INDIRECT(_xlfn.CONCAT("weather.tbl[",N$1,"]")),MATCH(vp.data[[#This Row],[SDate]],weather.tbl[Date],0))</f>
        <v>-11.233333333333334</v>
      </c>
      <c r="O478" s="2">
        <f ca="1">INDEX(INDIRECT(_xlfn.CONCAT("weather.tbl[",O$1,"]")),MATCH(vp.data[[#This Row],[SDate]],weather.tbl[Date],0))</f>
        <v>-12.6</v>
      </c>
      <c r="P478" s="2">
        <f ca="1">INDEX(INDIRECT(_xlfn.CONCAT("weather.tbl[",P$1,"]")),MATCH(vp.data[[#This Row],[SDate]],weather.tbl[Date],0))</f>
        <v>-10</v>
      </c>
      <c r="Q478" s="2">
        <f ca="1">INDEX(INDIRECT(_xlfn.CONCAT("weather.tbl[",Q$1,"]")),MATCH(vp.data[[#This Row],[SDate]],weather.tbl[Date],0))</f>
        <v>-9.6999999999999993</v>
      </c>
      <c r="R478" s="2">
        <f ca="1">INDEX(INDIRECT(_xlfn.CONCAT("weather.tbl[",R$1,"]")),MATCH(vp.data[[#This Row],[SDate]],weather.tbl[Date],0))</f>
        <v>-16.5</v>
      </c>
      <c r="S478" s="2">
        <f ca="1">INDEX(INDIRECT(_xlfn.CONCAT("weather.tbl[",S$1,"]")),MATCH(vp.data[[#This Row],[SDate]],weather.tbl[Date],0))</f>
        <v>-8.5</v>
      </c>
      <c r="T478" s="2">
        <f ca="1">INDEX(INDIRECT(_xlfn.CONCAT("weather.tbl[",T$1,"]")),MATCH(vp.data[[#This Row],[SDate]],weather.tbl[Date],0))</f>
        <v>-12.4</v>
      </c>
      <c r="U478" s="2">
        <f ca="1">INDEX(INDIRECT(_xlfn.CONCAT("weather.tbl[",U$1,"]")),MATCH(vp.data[[#This Row],[SDate]],weather.tbl[Date],0))</f>
        <v>-10.3</v>
      </c>
      <c r="V478" s="2">
        <f t="array" ref="V4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5268.48</v>
      </c>
      <c r="W478" t="s">
        <v>48</v>
      </c>
      <c r="X478">
        <f>IF(OR(vp.data[[#This Row],[Sulf]]="",vp.data[[#This Row],[Dens]]=""),1,0)</f>
        <v>0</v>
      </c>
      <c r="Y478">
        <f>IF(vp.data[[#This Row],[CrudeType]]="C5+",1,0)</f>
        <v>0</v>
      </c>
      <c r="Z478">
        <f>IF(AND(vp.data[[#This Row],[CrudeType]]="Crude",vp.data[[#This Row],[Dens]]&lt;=825,vp.data[[#This Row],[Sulf]]&gt;0.5,vp.data[[#This Row],[Unknown]]=0),1,0)</f>
        <v>0</v>
      </c>
      <c r="AA478">
        <f>IF(AND(vp.data[[#This Row],[CrudeType]]="Crude",vp.data[[#This Row],[Dens]]&lt;=825,vp.data[[#This Row],[Sulf]]&lt;=0.5,vp.data[[#This Row],[Unknown]]=0),1,0)</f>
        <v>0</v>
      </c>
      <c r="AB4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78">
        <f>IF(AND(vp.data[[#This Row],[CrudeType]]="Crude",vp.data[[#This Row],[Dens]]&gt;825,vp.data[[#This Row],[Dens]]&lt;=900,vp.data[[#This Row],[Sulf]]&lt;=0.5,vp.data[[#This Row],[Unknown]]=0),1,0)</f>
        <v>0</v>
      </c>
      <c r="AD478">
        <f>IF(AND(vp.data[[#This Row],[CrudeType]]="Crude",vp.data[[#This Row],[Dens]]&gt;865,vp.data[[#This Row],[Dens]]&lt;=900,vp.data[[#This Row],[Sulf]]&gt;2,vp.data[[#This Row],[Unknown]]=0),1,0)</f>
        <v>0</v>
      </c>
      <c r="AE478">
        <f>IF(AND(vp.data[[#This Row],[CrudeType]]="Crude",vp.data[[#This Row],[Dens]]&gt;900,vp.data[[#This Row],[Sulf]]&lt;=0.5,vp.data[[#This Row],[Unknown]]=0),1,0)</f>
        <v>0</v>
      </c>
      <c r="AF478">
        <f>IF(AND(vp.data[[#This Row],[CrudeType]]="Crude",vp.data[[#This Row],[Dens]]&gt;900,vp.data[[#This Row],[Sulf]]&lt;=0.5,vp.data[[#This Row],[Unknown]]=0),1,0)</f>
        <v>0</v>
      </c>
      <c r="AG478" t="str">
        <f>INDEX(vp.data[[#Headers],[Unknown]:[Heavy_SW]],MATCH(1,vp.data[[#This Row],[Unknown]:[Heavy_SW]],0))</f>
        <v>Medium_LSB</v>
      </c>
      <c r="AH478">
        <f>INDEX([3]!crudeBD.lkup[Number],MATCH(vp.data[[#This Row],[Crude_Breakdown]],crudeBD.lkup[Crude Breakdown],0))</f>
        <v>3</v>
      </c>
      <c r="AI478">
        <f>MONTH(vp.data[[#This Row],[SDate]])</f>
        <v>12</v>
      </c>
      <c r="AJ478" s="5">
        <f>(vp.data[[#This Row],[VP]]-INDEX(crudeBD.lkup[Mean_VP],MATCH(vp.data[[#This Row],[Crude_Breakdown]],crudeBD.lkup[Crude Breakdown],0)))^2</f>
        <v>124.55281951162961</v>
      </c>
      <c r="AK478" s="5">
        <f>(vp.data[[#This Row],[Dens]]-INDEX(crudeBD.lkup[Mean_Dens],MATCH(vp.data[[#This Row],[Crude_Breakdown]],crudeBD.lkup[Crude Breakdown],0)))^2</f>
        <v>253.44639999998421</v>
      </c>
      <c r="AL478" s="5">
        <f>(vp.data[[#This Row],[Sulf]]-INDEX(crudeBD.lkup[Mean_Sulf],MATCH(vp.data[[#This Row],[Crude_Breakdown]],crudeBD.lkup[Crude Breakdown],0)))^2</f>
        <v>1.8114972362538555E-2</v>
      </c>
      <c r="AM478" s="4">
        <f>IF(AND(vp.data[[#This Row],[SDate]]&gt;=DATE(YEAR(vp.data[[#This Row],[SDate]]),5,1),vp.data[[#This Row],[SDate]]&lt;=DATE(YEAR(vp.data[[#This Row],[SDate]]),9,15)),1,0)</f>
        <v>0</v>
      </c>
      <c r="AN478" s="4">
        <f>IF(vp.data[[#This Row],[SDate]]&lt;DATE(2016,12,1),0,1)</f>
        <v>1</v>
      </c>
      <c r="AO478" s="4">
        <f>IFERROR(vp.data[[#This Row],[Sulf]]*vp.data[[#This Row],[Net Dens]],"")</f>
        <v>6630698.1887999997</v>
      </c>
      <c r="AP478">
        <f>IFERROR(vp.data[[#This Row],[Dens]]*vp.data[[#This Row],[VolumeM3]],"")</f>
        <v>4362301.4399999995</v>
      </c>
      <c r="AQ478" s="15">
        <f>IFERROR(vp.data[[#This Row],[VP]]*vp.data[[#This Row],[VolumeM3]],"")</f>
        <v>483646.46399999992</v>
      </c>
    </row>
    <row r="479" spans="1:43" x14ac:dyDescent="0.25">
      <c r="A479">
        <v>478</v>
      </c>
      <c r="B479" t="s">
        <v>53</v>
      </c>
      <c r="C479" t="s">
        <v>53</v>
      </c>
      <c r="D479" t="s">
        <v>54</v>
      </c>
      <c r="E479" t="s">
        <v>73</v>
      </c>
      <c r="F479" s="1">
        <v>42737</v>
      </c>
      <c r="G479" s="2">
        <v>88.9</v>
      </c>
      <c r="H479" s="2"/>
      <c r="I479" s="2">
        <f t="array" ref="I479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479" s="2">
        <v>0.5</v>
      </c>
      <c r="K479" s="2">
        <v>-29</v>
      </c>
      <c r="L479" s="2">
        <v>842.3</v>
      </c>
      <c r="M479" s="2">
        <f t="array" ref="M479">_xlfn.IFNA(IF(vp.data[[#This Row],[Dens Input]]="",INDEX([1]DATA!$O$3:$O$9826,MATCH(1,(vp.data[[#This Row],[Battery]]=[1]DATA!$L$3:$L$9826)*(EOMONTH(vp.data[[#This Row],[SDate]],-1)+1=[1]DATA!$G$3:$G$9826),0)),vp.data[[#This Row],[Dens Input]]),"")</f>
        <v>842.3</v>
      </c>
      <c r="N479" s="2">
        <f ca="1">INDEX(INDIRECT(_xlfn.CONCAT("weather.tbl[",N$1,"]")),MATCH(vp.data[[#This Row],[SDate]],weather.tbl[Date],0))</f>
        <v>-17.766666666666669</v>
      </c>
      <c r="O479" s="2">
        <f ca="1">INDEX(INDIRECT(_xlfn.CONCAT("weather.tbl[",O$1,"]")),MATCH(vp.data[[#This Row],[SDate]],weather.tbl[Date],0))</f>
        <v>-12.373809523809525</v>
      </c>
      <c r="P479" s="2">
        <f ca="1">INDEX(INDIRECT(_xlfn.CONCAT("weather.tbl[",P$1,"]")),MATCH(vp.data[[#This Row],[SDate]],weather.tbl[Date],0))</f>
        <v>-16.399999999999999</v>
      </c>
      <c r="Q479" s="2">
        <f ca="1">INDEX(INDIRECT(_xlfn.CONCAT("weather.tbl[",Q$1,"]")),MATCH(vp.data[[#This Row],[SDate]],weather.tbl[Date],0))</f>
        <v>-18.100000000000001</v>
      </c>
      <c r="R479" s="2">
        <f ca="1">INDEX(INDIRECT(_xlfn.CONCAT("weather.tbl[",R$1,"]")),MATCH(vp.data[[#This Row],[SDate]],weather.tbl[Date],0))</f>
        <v>-16.5</v>
      </c>
      <c r="S479" s="2">
        <f ca="1">INDEX(INDIRECT(_xlfn.CONCAT("weather.tbl[",S$1,"]")),MATCH(vp.data[[#This Row],[SDate]],weather.tbl[Date],0))</f>
        <v>-18.7</v>
      </c>
      <c r="T479" s="2">
        <f ca="1">INDEX(INDIRECT(_xlfn.CONCAT("weather.tbl[",T$1,"]")),MATCH(vp.data[[#This Row],[SDate]],weather.tbl[Date],0))</f>
        <v>-17.100000000000001</v>
      </c>
      <c r="U479" s="2">
        <f ca="1">INDEX(INDIRECT(_xlfn.CONCAT("weather.tbl[",U$1,"]")),MATCH(vp.data[[#This Row],[SDate]],weather.tbl[Date],0))</f>
        <v>-19.8</v>
      </c>
      <c r="V479" s="2">
        <f t="array" ref="V4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479" t="s">
        <v>48</v>
      </c>
      <c r="X479">
        <f>IF(OR(vp.data[[#This Row],[Sulf]]="",vp.data[[#This Row],[Dens]]=""),1,0)</f>
        <v>0</v>
      </c>
      <c r="Y479">
        <f>IF(vp.data[[#This Row],[CrudeType]]="C5+",1,0)</f>
        <v>0</v>
      </c>
      <c r="Z479">
        <f>IF(AND(vp.data[[#This Row],[CrudeType]]="Crude",vp.data[[#This Row],[Dens]]&lt;=825,vp.data[[#This Row],[Sulf]]&gt;0.5,vp.data[[#This Row],[Unknown]]=0),1,0)</f>
        <v>0</v>
      </c>
      <c r="AA479">
        <f>IF(AND(vp.data[[#This Row],[CrudeType]]="Crude",vp.data[[#This Row],[Dens]]&lt;=825,vp.data[[#This Row],[Sulf]]&lt;=0.5,vp.data[[#This Row],[Unknown]]=0),1,0)</f>
        <v>0</v>
      </c>
      <c r="AB4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79">
        <f>IF(AND(vp.data[[#This Row],[CrudeType]]="Crude",vp.data[[#This Row],[Dens]]&gt;825,vp.data[[#This Row],[Dens]]&lt;=900,vp.data[[#This Row],[Sulf]]&lt;=0.5,vp.data[[#This Row],[Unknown]]=0),1,0)</f>
        <v>0</v>
      </c>
      <c r="AD479">
        <f>IF(AND(vp.data[[#This Row],[CrudeType]]="Crude",vp.data[[#This Row],[Dens]]&gt;865,vp.data[[#This Row],[Dens]]&lt;=900,vp.data[[#This Row],[Sulf]]&gt;2,vp.data[[#This Row],[Unknown]]=0),1,0)</f>
        <v>0</v>
      </c>
      <c r="AE479">
        <f>IF(AND(vp.data[[#This Row],[CrudeType]]="Crude",vp.data[[#This Row],[Dens]]&gt;900,vp.data[[#This Row],[Sulf]]&lt;=0.5,vp.data[[#This Row],[Unknown]]=0),1,0)</f>
        <v>0</v>
      </c>
      <c r="AF479">
        <f>IF(AND(vp.data[[#This Row],[CrudeType]]="Crude",vp.data[[#This Row],[Dens]]&gt;900,vp.data[[#This Row],[Sulf]]&lt;=0.5,vp.data[[#This Row],[Unknown]]=0),1,0)</f>
        <v>0</v>
      </c>
      <c r="AG479" t="str">
        <f>INDEX(vp.data[[#Headers],[Unknown]:[Heavy_SW]],MATCH(1,vp.data[[#This Row],[Unknown]:[Heavy_SW]],0))</f>
        <v>Medium_LSB</v>
      </c>
      <c r="AH479">
        <f>INDEX([3]!crudeBD.lkup[Number],MATCH(vp.data[[#This Row],[Crude_Breakdown]],crudeBD.lkup[Crude Breakdown],0))</f>
        <v>3</v>
      </c>
      <c r="AI479">
        <f>MONTH(vp.data[[#This Row],[SDate]])</f>
        <v>1</v>
      </c>
      <c r="AJ479" s="5">
        <f>(vp.data[[#This Row],[VP]]-INDEX(crudeBD.lkup[Mean_VP],MATCH(vp.data[[#This Row],[Crude_Breakdown]],crudeBD.lkup[Crude Breakdown],0)))^2</f>
        <v>68.232943500847682</v>
      </c>
      <c r="AK479" s="5">
        <f>(vp.data[[#This Row],[Dens]]-INDEX(crudeBD.lkup[Mean_Dens],MATCH(vp.data[[#This Row],[Crude_Breakdown]],crudeBD.lkup[Crude Breakdown],0)))^2</f>
        <v>2.6243999999985412</v>
      </c>
      <c r="AL479" s="5">
        <f>(vp.data[[#This Row],[Sulf]]-INDEX(crudeBD.lkup[Mean_Sulf],MATCH(vp.data[[#This Row],[Crude_Breakdown]],crudeBD.lkup[Crude Breakdown],0)))^2</f>
        <v>2.3898647295153057E-2</v>
      </c>
      <c r="AM479" s="4">
        <f>IF(AND(vp.data[[#This Row],[SDate]]&gt;=DATE(YEAR(vp.data[[#This Row],[SDate]]),5,1),vp.data[[#This Row],[SDate]]&lt;=DATE(YEAR(vp.data[[#This Row],[SDate]]),9,15)),1,0)</f>
        <v>0</v>
      </c>
      <c r="AN479" s="4">
        <f>IF(vp.data[[#This Row],[SDate]]&lt;DATE(2016,12,1),0,1)</f>
        <v>1</v>
      </c>
      <c r="AO479" s="4">
        <f>IFERROR(vp.data[[#This Row],[Sulf]]*vp.data[[#This Row],[Net Dens]],"")</f>
        <v>65917334.579403996</v>
      </c>
      <c r="AP479">
        <f>IFERROR(vp.data[[#This Row],[Dens]]*vp.data[[#This Row],[VolumeM3]],"")</f>
        <v>42803464.012599997</v>
      </c>
      <c r="AQ479" s="15">
        <f>IFERROR(vp.data[[#This Row],[VP]]*vp.data[[#This Row],[VolumeM3]],"")</f>
        <v>4517663.4818000002</v>
      </c>
    </row>
    <row r="480" spans="1:43" x14ac:dyDescent="0.25">
      <c r="A480">
        <v>479</v>
      </c>
      <c r="B480" t="s">
        <v>53</v>
      </c>
      <c r="C480" t="s">
        <v>53</v>
      </c>
      <c r="D480" t="s">
        <v>54</v>
      </c>
      <c r="E480" t="s">
        <v>55</v>
      </c>
      <c r="F480" s="1">
        <v>42737</v>
      </c>
      <c r="G480" s="2">
        <v>96</v>
      </c>
      <c r="H480" s="2"/>
      <c r="I480" s="2">
        <f t="array" ref="I480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480" s="2">
        <v>4</v>
      </c>
      <c r="K480" s="2">
        <v>-29</v>
      </c>
      <c r="L480" s="2">
        <v>824.3</v>
      </c>
      <c r="M480" s="2">
        <f t="array" ref="M480">_xlfn.IFNA(IF(vp.data[[#This Row],[Dens Input]]="",INDEX([1]DATA!$O$3:$O$9826,MATCH(1,(vp.data[[#This Row],[Battery]]=[1]DATA!$L$3:$L$9826)*(EOMONTH(vp.data[[#This Row],[SDate]],-1)+1=[1]DATA!$G$3:$G$9826),0)),vp.data[[#This Row],[Dens Input]]),"")</f>
        <v>824.3</v>
      </c>
      <c r="N480" s="2">
        <f ca="1">INDEX(INDIRECT(_xlfn.CONCAT("weather.tbl[",N$1,"]")),MATCH(vp.data[[#This Row],[SDate]],weather.tbl[Date],0))</f>
        <v>-17.766666666666669</v>
      </c>
      <c r="O480" s="2">
        <f ca="1">INDEX(INDIRECT(_xlfn.CONCAT("weather.tbl[",O$1,"]")),MATCH(vp.data[[#This Row],[SDate]],weather.tbl[Date],0))</f>
        <v>-12.373809523809525</v>
      </c>
      <c r="P480" s="2">
        <f ca="1">INDEX(INDIRECT(_xlfn.CONCAT("weather.tbl[",P$1,"]")),MATCH(vp.data[[#This Row],[SDate]],weather.tbl[Date],0))</f>
        <v>-16.399999999999999</v>
      </c>
      <c r="Q480" s="2">
        <f ca="1">INDEX(INDIRECT(_xlfn.CONCAT("weather.tbl[",Q$1,"]")),MATCH(vp.data[[#This Row],[SDate]],weather.tbl[Date],0))</f>
        <v>-18.100000000000001</v>
      </c>
      <c r="R480" s="2">
        <f ca="1">INDEX(INDIRECT(_xlfn.CONCAT("weather.tbl[",R$1,"]")),MATCH(vp.data[[#This Row],[SDate]],weather.tbl[Date],0))</f>
        <v>-16.5</v>
      </c>
      <c r="S480" s="2">
        <f ca="1">INDEX(INDIRECT(_xlfn.CONCAT("weather.tbl[",S$1,"]")),MATCH(vp.data[[#This Row],[SDate]],weather.tbl[Date],0))</f>
        <v>-18.7</v>
      </c>
      <c r="T480" s="2">
        <f ca="1">INDEX(INDIRECT(_xlfn.CONCAT("weather.tbl[",T$1,"]")),MATCH(vp.data[[#This Row],[SDate]],weather.tbl[Date],0))</f>
        <v>-17.100000000000001</v>
      </c>
      <c r="U480" s="2">
        <f ca="1">INDEX(INDIRECT(_xlfn.CONCAT("weather.tbl[",U$1,"]")),MATCH(vp.data[[#This Row],[SDate]],weather.tbl[Date],0))</f>
        <v>-19.8</v>
      </c>
      <c r="V480" s="2">
        <f t="array" ref="V4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480" t="s">
        <v>48</v>
      </c>
      <c r="X480">
        <f>IF(OR(vp.data[[#This Row],[Sulf]]="",vp.data[[#This Row],[Dens]]=""),1,0)</f>
        <v>0</v>
      </c>
      <c r="Y480">
        <f>IF(vp.data[[#This Row],[CrudeType]]="C5+",1,0)</f>
        <v>0</v>
      </c>
      <c r="Z480">
        <f>IF(AND(vp.data[[#This Row],[CrudeType]]="Crude",vp.data[[#This Row],[Dens]]&lt;=825,vp.data[[#This Row],[Sulf]]&gt;0.5,vp.data[[#This Row],[Unknown]]=0),1,0)</f>
        <v>1</v>
      </c>
      <c r="AA480">
        <f>IF(AND(vp.data[[#This Row],[CrudeType]]="Crude",vp.data[[#This Row],[Dens]]&lt;=825,vp.data[[#This Row],[Sulf]]&lt;=0.5,vp.data[[#This Row],[Unknown]]=0),1,0)</f>
        <v>0</v>
      </c>
      <c r="AB4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0">
        <f>IF(AND(vp.data[[#This Row],[CrudeType]]="Crude",vp.data[[#This Row],[Dens]]&gt;825,vp.data[[#This Row],[Dens]]&lt;=900,vp.data[[#This Row],[Sulf]]&lt;=0.5,vp.data[[#This Row],[Unknown]]=0),1,0)</f>
        <v>0</v>
      </c>
      <c r="AD480">
        <f>IF(AND(vp.data[[#This Row],[CrudeType]]="Crude",vp.data[[#This Row],[Dens]]&gt;865,vp.data[[#This Row],[Dens]]&lt;=900,vp.data[[#This Row],[Sulf]]&gt;2,vp.data[[#This Row],[Unknown]]=0),1,0)</f>
        <v>0</v>
      </c>
      <c r="AE480">
        <f>IF(AND(vp.data[[#This Row],[CrudeType]]="Crude",vp.data[[#This Row],[Dens]]&gt;900,vp.data[[#This Row],[Sulf]]&lt;=0.5,vp.data[[#This Row],[Unknown]]=0),1,0)</f>
        <v>0</v>
      </c>
      <c r="AF480">
        <f>IF(AND(vp.data[[#This Row],[CrudeType]]="Crude",vp.data[[#This Row],[Dens]]&gt;900,vp.data[[#This Row],[Sulf]]&lt;=0.5,vp.data[[#This Row],[Unknown]]=0),1,0)</f>
        <v>0</v>
      </c>
      <c r="AG480" t="str">
        <f>INDEX(vp.data[[#Headers],[Unknown]:[Heavy_SW]],MATCH(1,vp.data[[#This Row],[Unknown]:[Heavy_SW]],0))</f>
        <v>Light_LSB</v>
      </c>
      <c r="AH480">
        <f>INDEX([3]!crudeBD.lkup[Number],MATCH(vp.data[[#This Row],[Crude_Breakdown]],crudeBD.lkup[Crude Breakdown],0))</f>
        <v>1</v>
      </c>
      <c r="AI480">
        <f>MONTH(vp.data[[#This Row],[SDate]])</f>
        <v>1</v>
      </c>
      <c r="AJ480" s="5">
        <f>(vp.data[[#This Row],[VP]]-INDEX(crudeBD.lkup[Mean_VP],MATCH(vp.data[[#This Row],[Crude_Breakdown]],crudeBD.lkup[Crude Breakdown],0)))^2</f>
        <v>19.836463003507003</v>
      </c>
      <c r="AK480" s="5">
        <f>(vp.data[[#This Row],[Dens]]-INDEX(crudeBD.lkup[Mean_Dens],MATCH(vp.data[[#This Row],[Crude_Breakdown]],crudeBD.lkup[Crude Breakdown],0)))^2</f>
        <v>33.445752015213131</v>
      </c>
      <c r="AL480" s="5">
        <f>(vp.data[[#This Row],[Sulf]]-INDEX(crudeBD.lkup[Mean_Sulf],MATCH(vp.data[[#This Row],[Crude_Breakdown]],crudeBD.lkup[Crude Breakdown],0)))^2</f>
        <v>0.38072457904432083</v>
      </c>
      <c r="AM480" s="4">
        <f>IF(AND(vp.data[[#This Row],[SDate]]&gt;=DATE(YEAR(vp.data[[#This Row],[SDate]]),5,1),vp.data[[#This Row],[SDate]]&lt;=DATE(YEAR(vp.data[[#This Row],[SDate]]),9,15)),1,0)</f>
        <v>0</v>
      </c>
      <c r="AN480" s="4">
        <f>IF(vp.data[[#This Row],[SDate]]&lt;DATE(2016,12,1),0,1)</f>
        <v>1</v>
      </c>
      <c r="AO480" s="4">
        <f>IFERROR(vp.data[[#This Row],[Sulf]]*vp.data[[#This Row],[Net Dens]],"")</f>
        <v>64508677.304764003</v>
      </c>
      <c r="AP480">
        <f>IFERROR(vp.data[[#This Row],[Dens]]*vp.data[[#This Row],[VolumeM3]],"")</f>
        <v>41888751.496600002</v>
      </c>
      <c r="AQ480" s="15">
        <f>IFERROR(vp.data[[#This Row],[VP]]*vp.data[[#This Row],[VolumeM3]],"")</f>
        <v>4878466.7520000003</v>
      </c>
    </row>
    <row r="481" spans="1:43" x14ac:dyDescent="0.25">
      <c r="A481">
        <v>480</v>
      </c>
      <c r="B481" t="s">
        <v>49</v>
      </c>
      <c r="C481" t="s">
        <v>49</v>
      </c>
      <c r="D481" t="s">
        <v>80</v>
      </c>
      <c r="F481" s="1">
        <v>42737</v>
      </c>
      <c r="G481" s="2">
        <v>102.4</v>
      </c>
      <c r="H481" s="2"/>
      <c r="I481" s="2">
        <f t="array" ref="I481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481" s="2">
        <v>10.5</v>
      </c>
      <c r="K481" s="2">
        <v>-29</v>
      </c>
      <c r="L481" s="2">
        <v>809</v>
      </c>
      <c r="M481" s="2">
        <f t="array" ref="M481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481" s="2">
        <f ca="1">INDEX(INDIRECT(_xlfn.CONCAT("weather.tbl[",N$1,"]")),MATCH(vp.data[[#This Row],[SDate]],weather.tbl[Date],0))</f>
        <v>-17.766666666666669</v>
      </c>
      <c r="O481" s="2">
        <f ca="1">INDEX(INDIRECT(_xlfn.CONCAT("weather.tbl[",O$1,"]")),MATCH(vp.data[[#This Row],[SDate]],weather.tbl[Date],0))</f>
        <v>-12.373809523809525</v>
      </c>
      <c r="P481" s="2">
        <f ca="1">INDEX(INDIRECT(_xlfn.CONCAT("weather.tbl[",P$1,"]")),MATCH(vp.data[[#This Row],[SDate]],weather.tbl[Date],0))</f>
        <v>-16.399999999999999</v>
      </c>
      <c r="Q481" s="2">
        <f ca="1">INDEX(INDIRECT(_xlfn.CONCAT("weather.tbl[",Q$1,"]")),MATCH(vp.data[[#This Row],[SDate]],weather.tbl[Date],0))</f>
        <v>-18.100000000000001</v>
      </c>
      <c r="R481" s="2">
        <f ca="1">INDEX(INDIRECT(_xlfn.CONCAT("weather.tbl[",R$1,"]")),MATCH(vp.data[[#This Row],[SDate]],weather.tbl[Date],0))</f>
        <v>-16.5</v>
      </c>
      <c r="S481" s="2">
        <f ca="1">INDEX(INDIRECT(_xlfn.CONCAT("weather.tbl[",S$1,"]")),MATCH(vp.data[[#This Row],[SDate]],weather.tbl[Date],0))</f>
        <v>-18.7</v>
      </c>
      <c r="T481" s="2">
        <f ca="1">INDEX(INDIRECT(_xlfn.CONCAT("weather.tbl[",T$1,"]")),MATCH(vp.data[[#This Row],[SDate]],weather.tbl[Date],0))</f>
        <v>-17.100000000000001</v>
      </c>
      <c r="U481" s="2">
        <f ca="1">INDEX(INDIRECT(_xlfn.CONCAT("weather.tbl[",U$1,"]")),MATCH(vp.data[[#This Row],[SDate]],weather.tbl[Date],0))</f>
        <v>-19.8</v>
      </c>
      <c r="V481" s="2">
        <f t="array" ref="V4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481" t="s">
        <v>48</v>
      </c>
      <c r="X481">
        <f>IF(OR(vp.data[[#This Row],[Sulf]]="",vp.data[[#This Row],[Dens]]=""),1,0)</f>
        <v>0</v>
      </c>
      <c r="Y481">
        <f>IF(vp.data[[#This Row],[CrudeType]]="C5+",1,0)</f>
        <v>0</v>
      </c>
      <c r="Z481">
        <f>IF(AND(vp.data[[#This Row],[CrudeType]]="Crude",vp.data[[#This Row],[Dens]]&lt;=825,vp.data[[#This Row],[Sulf]]&gt;0.5,vp.data[[#This Row],[Unknown]]=0),1,0)</f>
        <v>1</v>
      </c>
      <c r="AA481">
        <f>IF(AND(vp.data[[#This Row],[CrudeType]]="Crude",vp.data[[#This Row],[Dens]]&lt;=825,vp.data[[#This Row],[Sulf]]&lt;=0.5,vp.data[[#This Row],[Unknown]]=0),1,0)</f>
        <v>0</v>
      </c>
      <c r="AB4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1">
        <f>IF(AND(vp.data[[#This Row],[CrudeType]]="Crude",vp.data[[#This Row],[Dens]]&gt;825,vp.data[[#This Row],[Dens]]&lt;=900,vp.data[[#This Row],[Sulf]]&lt;=0.5,vp.data[[#This Row],[Unknown]]=0),1,0)</f>
        <v>0</v>
      </c>
      <c r="AD481">
        <f>IF(AND(vp.data[[#This Row],[CrudeType]]="Crude",vp.data[[#This Row],[Dens]]&gt;865,vp.data[[#This Row],[Dens]]&lt;=900,vp.data[[#This Row],[Sulf]]&gt;2,vp.data[[#This Row],[Unknown]]=0),1,0)</f>
        <v>0</v>
      </c>
      <c r="AE481">
        <f>IF(AND(vp.data[[#This Row],[CrudeType]]="Crude",vp.data[[#This Row],[Dens]]&gt;900,vp.data[[#This Row],[Sulf]]&lt;=0.5,vp.data[[#This Row],[Unknown]]=0),1,0)</f>
        <v>0</v>
      </c>
      <c r="AF481">
        <f>IF(AND(vp.data[[#This Row],[CrudeType]]="Crude",vp.data[[#This Row],[Dens]]&gt;900,vp.data[[#This Row],[Sulf]]&lt;=0.5,vp.data[[#This Row],[Unknown]]=0),1,0)</f>
        <v>0</v>
      </c>
      <c r="AG481" t="str">
        <f>INDEX(vp.data[[#Headers],[Unknown]:[Heavy_SW]],MATCH(1,vp.data[[#This Row],[Unknown]:[Heavy_SW]],0))</f>
        <v>Light_LSB</v>
      </c>
      <c r="AH481">
        <f>INDEX([3]!crudeBD.lkup[Number],MATCH(vp.data[[#This Row],[Crude_Breakdown]],crudeBD.lkup[Crude Breakdown],0))</f>
        <v>1</v>
      </c>
      <c r="AI481">
        <f>MONTH(vp.data[[#This Row],[SDate]])</f>
        <v>1</v>
      </c>
      <c r="AJ481" s="5">
        <f>(vp.data[[#This Row],[VP]]-INDEX(crudeBD.lkup[Mean_VP],MATCH(vp.data[[#This Row],[Crude_Breakdown]],crudeBD.lkup[Crude Breakdown],0)))^2</f>
        <v>117.80528774577476</v>
      </c>
      <c r="AK481" s="5">
        <f>(vp.data[[#This Row],[Dens]]-INDEX(crudeBD.lkup[Mean_Dens],MATCH(vp.data[[#This Row],[Crude_Breakdown]],crudeBD.lkup[Crude Breakdown],0)))^2</f>
        <v>90.568906654379305</v>
      </c>
      <c r="AL481" s="5">
        <f>(vp.data[[#This Row],[Sulf]]-INDEX(crudeBD.lkup[Mean_Sulf],MATCH(vp.data[[#This Row],[Crude_Breakdown]],crudeBD.lkup[Crude Breakdown],0)))^2</f>
        <v>0.11086979897559178</v>
      </c>
      <c r="AM481" s="4">
        <f>IF(AND(vp.data[[#This Row],[SDate]]&gt;=DATE(YEAR(vp.data[[#This Row],[SDate]]),5,1),vp.data[[#This Row],[SDate]]&lt;=DATE(YEAR(vp.data[[#This Row],[SDate]]),9,15)),1,0)</f>
        <v>0</v>
      </c>
      <c r="AN481" s="4">
        <f>IF(vp.data[[#This Row],[SDate]]&lt;DATE(2016,12,1),0,1)</f>
        <v>1</v>
      </c>
      <c r="AO481" s="4">
        <f>IFERROR(vp.data[[#This Row],[Sulf]]*vp.data[[#This Row],[Net Dens]],"")</f>
        <v>10038264.129410001</v>
      </c>
      <c r="AP481">
        <f>IFERROR(vp.data[[#This Row],[Dens]]*vp.data[[#This Row],[VolumeM3]],"")</f>
        <v>17014006.999000002</v>
      </c>
      <c r="AQ481" s="15">
        <f>IFERROR(vp.data[[#This Row],[VP]]*vp.data[[#This Row],[VolumeM3]],"")</f>
        <v>2153565.2864000001</v>
      </c>
    </row>
    <row r="482" spans="1:43" x14ac:dyDescent="0.25">
      <c r="A482">
        <v>481</v>
      </c>
      <c r="B482" t="s">
        <v>49</v>
      </c>
      <c r="C482" t="s">
        <v>49</v>
      </c>
      <c r="D482" t="s">
        <v>86</v>
      </c>
      <c r="F482" s="1">
        <v>42737</v>
      </c>
      <c r="G482" s="2">
        <v>90.1</v>
      </c>
      <c r="H482" s="2"/>
      <c r="I482" s="2">
        <f t="array" ref="I482">_xlfn.IFNA(IF(vp.data[[#This Row],[Sulf Input]]="",INDEX([1]DATA!$Q$3:$Q$9826,MATCH(1,(vp.data[[#This Row],[Battery]]=[1]DATA!$L$3:$L$9826)*(EOMONTH(vp.data[[#This Row],[SDate]],-1)+1=[1]DATA!$G$3:$G$9826),0)),vp.data[[#This Row],[Sulf Input]]),"")</f>
        <v>2.86</v>
      </c>
      <c r="J482" s="2">
        <v>7.2</v>
      </c>
      <c r="K482" s="2">
        <v>-29</v>
      </c>
      <c r="L482" s="2">
        <v>814</v>
      </c>
      <c r="M482" s="2">
        <f t="array" ref="M482">_xlfn.IFNA(IF(vp.data[[#This Row],[Dens Input]]="",INDEX([1]DATA!$O$3:$O$9826,MATCH(1,(vp.data[[#This Row],[Battery]]=[1]DATA!$L$3:$L$9826)*(EOMONTH(vp.data[[#This Row],[SDate]],-1)+1=[1]DATA!$G$3:$G$9826),0)),vp.data[[#This Row],[Dens Input]]),"")</f>
        <v>814</v>
      </c>
      <c r="N482" s="2">
        <f ca="1">INDEX(INDIRECT(_xlfn.CONCAT("weather.tbl[",N$1,"]")),MATCH(vp.data[[#This Row],[SDate]],weather.tbl[Date],0))</f>
        <v>-17.766666666666669</v>
      </c>
      <c r="O482" s="2">
        <f ca="1">INDEX(INDIRECT(_xlfn.CONCAT("weather.tbl[",O$1,"]")),MATCH(vp.data[[#This Row],[SDate]],weather.tbl[Date],0))</f>
        <v>-12.373809523809525</v>
      </c>
      <c r="P482" s="2">
        <f ca="1">INDEX(INDIRECT(_xlfn.CONCAT("weather.tbl[",P$1,"]")),MATCH(vp.data[[#This Row],[SDate]],weather.tbl[Date],0))</f>
        <v>-16.399999999999999</v>
      </c>
      <c r="Q482" s="2">
        <f ca="1">INDEX(INDIRECT(_xlfn.CONCAT("weather.tbl[",Q$1,"]")),MATCH(vp.data[[#This Row],[SDate]],weather.tbl[Date],0))</f>
        <v>-18.100000000000001</v>
      </c>
      <c r="R482" s="2">
        <f ca="1">INDEX(INDIRECT(_xlfn.CONCAT("weather.tbl[",R$1,"]")),MATCH(vp.data[[#This Row],[SDate]],weather.tbl[Date],0))</f>
        <v>-16.5</v>
      </c>
      <c r="S482" s="2">
        <f ca="1">INDEX(INDIRECT(_xlfn.CONCAT("weather.tbl[",S$1,"]")),MATCH(vp.data[[#This Row],[SDate]],weather.tbl[Date],0))</f>
        <v>-18.7</v>
      </c>
      <c r="T482" s="2">
        <f ca="1">INDEX(INDIRECT(_xlfn.CONCAT("weather.tbl[",T$1,"]")),MATCH(vp.data[[#This Row],[SDate]],weather.tbl[Date],0))</f>
        <v>-17.100000000000001</v>
      </c>
      <c r="U482" s="2">
        <f ca="1">INDEX(INDIRECT(_xlfn.CONCAT("weather.tbl[",U$1,"]")),MATCH(vp.data[[#This Row],[SDate]],weather.tbl[Date],0))</f>
        <v>-19.8</v>
      </c>
      <c r="V482" s="2">
        <f t="array" ref="V4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4800.4960000000001</v>
      </c>
      <c r="W482" t="s">
        <v>48</v>
      </c>
      <c r="X482">
        <f>IF(OR(vp.data[[#This Row],[Sulf]]="",vp.data[[#This Row],[Dens]]=""),1,0)</f>
        <v>0</v>
      </c>
      <c r="Y482">
        <f>IF(vp.data[[#This Row],[CrudeType]]="C5+",1,0)</f>
        <v>0</v>
      </c>
      <c r="Z482">
        <f>IF(AND(vp.data[[#This Row],[CrudeType]]="Crude",vp.data[[#This Row],[Dens]]&lt;=825,vp.data[[#This Row],[Sulf]]&gt;0.5,vp.data[[#This Row],[Unknown]]=0),1,0)</f>
        <v>1</v>
      </c>
      <c r="AA482">
        <f>IF(AND(vp.data[[#This Row],[CrudeType]]="Crude",vp.data[[#This Row],[Dens]]&lt;=825,vp.data[[#This Row],[Sulf]]&lt;=0.5,vp.data[[#This Row],[Unknown]]=0),1,0)</f>
        <v>0</v>
      </c>
      <c r="AB4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2">
        <f>IF(AND(vp.data[[#This Row],[CrudeType]]="Crude",vp.data[[#This Row],[Dens]]&gt;825,vp.data[[#This Row],[Dens]]&lt;=900,vp.data[[#This Row],[Sulf]]&lt;=0.5,vp.data[[#This Row],[Unknown]]=0),1,0)</f>
        <v>0</v>
      </c>
      <c r="AD482">
        <f>IF(AND(vp.data[[#This Row],[CrudeType]]="Crude",vp.data[[#This Row],[Dens]]&gt;865,vp.data[[#This Row],[Dens]]&lt;=900,vp.data[[#This Row],[Sulf]]&gt;2,vp.data[[#This Row],[Unknown]]=0),1,0)</f>
        <v>0</v>
      </c>
      <c r="AE482">
        <f>IF(AND(vp.data[[#This Row],[CrudeType]]="Crude",vp.data[[#This Row],[Dens]]&gt;900,vp.data[[#This Row],[Sulf]]&lt;=0.5,vp.data[[#This Row],[Unknown]]=0),1,0)</f>
        <v>0</v>
      </c>
      <c r="AF482">
        <f>IF(AND(vp.data[[#This Row],[CrudeType]]="Crude",vp.data[[#This Row],[Dens]]&gt;900,vp.data[[#This Row],[Sulf]]&lt;=0.5,vp.data[[#This Row],[Unknown]]=0),1,0)</f>
        <v>0</v>
      </c>
      <c r="AG482" t="str">
        <f>INDEX(vp.data[[#Headers],[Unknown]:[Heavy_SW]],MATCH(1,vp.data[[#This Row],[Unknown]:[Heavy_SW]],0))</f>
        <v>Light_LSB</v>
      </c>
      <c r="AH482">
        <f>INDEX([3]!crudeBD.lkup[Number],MATCH(vp.data[[#This Row],[Crude_Breakdown]],crudeBD.lkup[Crude Breakdown],0))</f>
        <v>1</v>
      </c>
      <c r="AI482">
        <f>MONTH(vp.data[[#This Row],[SDate]])</f>
        <v>1</v>
      </c>
      <c r="AJ482" s="5">
        <f>(vp.data[[#This Row],[VP]]-INDEX(crudeBD.lkup[Mean_VP],MATCH(vp.data[[#This Row],[Crude_Breakdown]],crudeBD.lkup[Crude Breakdown],0)))^2</f>
        <v>2.0914526942290363</v>
      </c>
      <c r="AK482" s="5">
        <f>(vp.data[[#This Row],[Dens]]-INDEX(crudeBD.lkup[Mean_Dens],MATCH(vp.data[[#This Row],[Crude_Breakdown]],crudeBD.lkup[Crude Breakdown],0)))^2</f>
        <v>20.401209059880724</v>
      </c>
      <c r="AL482" s="5">
        <f>(vp.data[[#This Row],[Sulf]]-INDEX(crudeBD.lkup[Mean_Sulf],MATCH(vp.data[[#This Row],[Crude_Breakdown]],crudeBD.lkup[Crude Breakdown],0)))^2</f>
        <v>3.7520806945082388</v>
      </c>
      <c r="AM482" s="4">
        <f>IF(AND(vp.data[[#This Row],[SDate]]&gt;=DATE(YEAR(vp.data[[#This Row],[SDate]]),5,1),vp.data[[#This Row],[SDate]]&lt;=DATE(YEAR(vp.data[[#This Row],[SDate]]),9,15)),1,0)</f>
        <v>0</v>
      </c>
      <c r="AN482" s="4">
        <f>IF(vp.data[[#This Row],[SDate]]&lt;DATE(2016,12,1),0,1)</f>
        <v>1</v>
      </c>
      <c r="AO482" s="4">
        <f>IFERROR(vp.data[[#This Row],[Sulf]]*vp.data[[#This Row],[Net Dens]],"")</f>
        <v>11175746.707839999</v>
      </c>
      <c r="AP482">
        <f>IFERROR(vp.data[[#This Row],[Dens]]*vp.data[[#This Row],[VolumeM3]],"")</f>
        <v>3907603.7439999999</v>
      </c>
      <c r="AQ482" s="15">
        <f>IFERROR(vp.data[[#This Row],[VP]]*vp.data[[#This Row],[VolumeM3]],"")</f>
        <v>432524.68959999998</v>
      </c>
    </row>
    <row r="483" spans="1:43" x14ac:dyDescent="0.25">
      <c r="A483">
        <v>482</v>
      </c>
      <c r="B483" t="s">
        <v>49</v>
      </c>
      <c r="C483" t="s">
        <v>49</v>
      </c>
      <c r="D483" t="s">
        <v>100</v>
      </c>
      <c r="F483" s="1">
        <v>42737</v>
      </c>
      <c r="G483" s="2">
        <v>97.4</v>
      </c>
      <c r="H483" s="2"/>
      <c r="I483" s="2">
        <f t="array" ref="I483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483" s="2">
        <v>8.1</v>
      </c>
      <c r="K483" s="2">
        <v>-29</v>
      </c>
      <c r="L483" s="2">
        <v>814</v>
      </c>
      <c r="M483" s="2">
        <f t="array" ref="M483">_xlfn.IFNA(IF(vp.data[[#This Row],[Dens Input]]="",INDEX([1]DATA!$O$3:$O$9826,MATCH(1,(vp.data[[#This Row],[Battery]]=[1]DATA!$L$3:$L$9826)*(EOMONTH(vp.data[[#This Row],[SDate]],-1)+1=[1]DATA!$G$3:$G$9826),0)),vp.data[[#This Row],[Dens Input]]),"")</f>
        <v>814</v>
      </c>
      <c r="N483" s="2">
        <f ca="1">INDEX(INDIRECT(_xlfn.CONCAT("weather.tbl[",N$1,"]")),MATCH(vp.data[[#This Row],[SDate]],weather.tbl[Date],0))</f>
        <v>-17.766666666666669</v>
      </c>
      <c r="O483" s="2">
        <f ca="1">INDEX(INDIRECT(_xlfn.CONCAT("weather.tbl[",O$1,"]")),MATCH(vp.data[[#This Row],[SDate]],weather.tbl[Date],0))</f>
        <v>-12.373809523809525</v>
      </c>
      <c r="P483" s="2">
        <f ca="1">INDEX(INDIRECT(_xlfn.CONCAT("weather.tbl[",P$1,"]")),MATCH(vp.data[[#This Row],[SDate]],weather.tbl[Date],0))</f>
        <v>-16.399999999999999</v>
      </c>
      <c r="Q483" s="2">
        <f ca="1">INDEX(INDIRECT(_xlfn.CONCAT("weather.tbl[",Q$1,"]")),MATCH(vp.data[[#This Row],[SDate]],weather.tbl[Date],0))</f>
        <v>-18.100000000000001</v>
      </c>
      <c r="R483" s="2">
        <f ca="1">INDEX(INDIRECT(_xlfn.CONCAT("weather.tbl[",R$1,"]")),MATCH(vp.data[[#This Row],[SDate]],weather.tbl[Date],0))</f>
        <v>-16.5</v>
      </c>
      <c r="S483" s="2">
        <f ca="1">INDEX(INDIRECT(_xlfn.CONCAT("weather.tbl[",S$1,"]")),MATCH(vp.data[[#This Row],[SDate]],weather.tbl[Date],0))</f>
        <v>-18.7</v>
      </c>
      <c r="T483" s="2">
        <f ca="1">INDEX(INDIRECT(_xlfn.CONCAT("weather.tbl[",T$1,"]")),MATCH(vp.data[[#This Row],[SDate]],weather.tbl[Date],0))</f>
        <v>-17.100000000000001</v>
      </c>
      <c r="U483" s="2">
        <f ca="1">INDEX(INDIRECT(_xlfn.CONCAT("weather.tbl[",U$1,"]")),MATCH(vp.data[[#This Row],[SDate]],weather.tbl[Date],0))</f>
        <v>-19.8</v>
      </c>
      <c r="V483" s="2">
        <f t="array" ref="V4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483" t="s">
        <v>48</v>
      </c>
      <c r="X483">
        <f>IF(OR(vp.data[[#This Row],[Sulf]]="",vp.data[[#This Row],[Dens]]=""),1,0)</f>
        <v>0</v>
      </c>
      <c r="Y483">
        <f>IF(vp.data[[#This Row],[CrudeType]]="C5+",1,0)</f>
        <v>0</v>
      </c>
      <c r="Z483">
        <f>IF(AND(vp.data[[#This Row],[CrudeType]]="Crude",vp.data[[#This Row],[Dens]]&lt;=825,vp.data[[#This Row],[Sulf]]&gt;0.5,vp.data[[#This Row],[Unknown]]=0),1,0)</f>
        <v>1</v>
      </c>
      <c r="AA483">
        <f>IF(AND(vp.data[[#This Row],[CrudeType]]="Crude",vp.data[[#This Row],[Dens]]&lt;=825,vp.data[[#This Row],[Sulf]]&lt;=0.5,vp.data[[#This Row],[Unknown]]=0),1,0)</f>
        <v>0</v>
      </c>
      <c r="AB4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3">
        <f>IF(AND(vp.data[[#This Row],[CrudeType]]="Crude",vp.data[[#This Row],[Dens]]&gt;825,vp.data[[#This Row],[Dens]]&lt;=900,vp.data[[#This Row],[Sulf]]&lt;=0.5,vp.data[[#This Row],[Unknown]]=0),1,0)</f>
        <v>0</v>
      </c>
      <c r="AD483">
        <f>IF(AND(vp.data[[#This Row],[CrudeType]]="Crude",vp.data[[#This Row],[Dens]]&gt;865,vp.data[[#This Row],[Dens]]&lt;=900,vp.data[[#This Row],[Sulf]]&gt;2,vp.data[[#This Row],[Unknown]]=0),1,0)</f>
        <v>0</v>
      </c>
      <c r="AE483">
        <f>IF(AND(vp.data[[#This Row],[CrudeType]]="Crude",vp.data[[#This Row],[Dens]]&gt;900,vp.data[[#This Row],[Sulf]]&lt;=0.5,vp.data[[#This Row],[Unknown]]=0),1,0)</f>
        <v>0</v>
      </c>
      <c r="AF483">
        <f>IF(AND(vp.data[[#This Row],[CrudeType]]="Crude",vp.data[[#This Row],[Dens]]&gt;900,vp.data[[#This Row],[Sulf]]&lt;=0.5,vp.data[[#This Row],[Unknown]]=0),1,0)</f>
        <v>0</v>
      </c>
      <c r="AG483" t="str">
        <f>INDEX(vp.data[[#Headers],[Unknown]:[Heavy_SW]],MATCH(1,vp.data[[#This Row],[Unknown]:[Heavy_SW]],0))</f>
        <v>Light_LSB</v>
      </c>
      <c r="AH483">
        <f>INDEX([3]!crudeBD.lkup[Number],MATCH(vp.data[[#This Row],[Crude_Breakdown]],crudeBD.lkup[Crude Breakdown],0))</f>
        <v>1</v>
      </c>
      <c r="AI483">
        <f>MONTH(vp.data[[#This Row],[SDate]])</f>
        <v>1</v>
      </c>
      <c r="AJ483" s="5">
        <f>(vp.data[[#This Row],[VP]]-INDEX(crudeBD.lkup[Mean_VP],MATCH(vp.data[[#This Row],[Crude_Breakdown]],crudeBD.lkup[Crude Breakdown],0)))^2</f>
        <v>34.267143415878117</v>
      </c>
      <c r="AK483" s="5">
        <f>(vp.data[[#This Row],[Dens]]-INDEX(crudeBD.lkup[Mean_Dens],MATCH(vp.data[[#This Row],[Crude_Breakdown]],crudeBD.lkup[Crude Breakdown],0)))^2</f>
        <v>20.401209059880724</v>
      </c>
      <c r="AL483" s="5">
        <f>(vp.data[[#This Row],[Sulf]]-INDEX(crudeBD.lkup[Mean_Sulf],MATCH(vp.data[[#This Row],[Crude_Breakdown]],crudeBD.lkup[Crude Breakdown],0)))^2</f>
        <v>6.9153835401708622E-2</v>
      </c>
      <c r="AM483" s="4">
        <f>IF(AND(vp.data[[#This Row],[SDate]]&gt;=DATE(YEAR(vp.data[[#This Row],[SDate]]),5,1),vp.data[[#This Row],[SDate]]&lt;=DATE(YEAR(vp.data[[#This Row],[SDate]]),9,15)),1,0)</f>
        <v>0</v>
      </c>
      <c r="AN483" s="4">
        <f>IF(vp.data[[#This Row],[SDate]]&lt;DATE(2016,12,1),0,1)</f>
        <v>1</v>
      </c>
      <c r="AO483" s="4">
        <f>IFERROR(vp.data[[#This Row],[Sulf]]*vp.data[[#This Row],[Net Dens]],"")</f>
        <v>6026163.0580799999</v>
      </c>
      <c r="AP483">
        <f>IFERROR(vp.data[[#This Row],[Dens]]*vp.data[[#This Row],[VolumeM3]],"")</f>
        <v>9130550.0879999995</v>
      </c>
      <c r="AQ483" s="15">
        <f>IFERROR(vp.data[[#This Row],[VP]]*vp.data[[#This Row],[VolumeM3]],"")</f>
        <v>1092525.2808000001</v>
      </c>
    </row>
    <row r="484" spans="1:43" x14ac:dyDescent="0.25">
      <c r="A484">
        <v>483</v>
      </c>
      <c r="B484" t="s">
        <v>62</v>
      </c>
      <c r="C484" t="s">
        <v>62</v>
      </c>
      <c r="D484" t="s">
        <v>63</v>
      </c>
      <c r="F484" s="1">
        <v>42737</v>
      </c>
      <c r="G484" s="2">
        <v>84.9</v>
      </c>
      <c r="H484" s="2"/>
      <c r="I484" s="2">
        <f t="array" ref="I484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484" s="2">
        <v>13.6</v>
      </c>
      <c r="K484" s="2">
        <v>-29</v>
      </c>
      <c r="L484" s="2">
        <v>815.3</v>
      </c>
      <c r="M484" s="2">
        <f t="array" ref="M484">_xlfn.IFNA(IF(vp.data[[#This Row],[Dens Input]]="",INDEX([1]DATA!$O$3:$O$9826,MATCH(1,(vp.data[[#This Row],[Battery]]=[1]DATA!$L$3:$L$9826)*(EOMONTH(vp.data[[#This Row],[SDate]],-1)+1=[1]DATA!$G$3:$G$9826),0)),vp.data[[#This Row],[Dens Input]]),"")</f>
        <v>815.3</v>
      </c>
      <c r="N484" s="2">
        <f ca="1">INDEX(INDIRECT(_xlfn.CONCAT("weather.tbl[",N$1,"]")),MATCH(vp.data[[#This Row],[SDate]],weather.tbl[Date],0))</f>
        <v>-17.766666666666669</v>
      </c>
      <c r="O484" s="2">
        <f ca="1">INDEX(INDIRECT(_xlfn.CONCAT("weather.tbl[",O$1,"]")),MATCH(vp.data[[#This Row],[SDate]],weather.tbl[Date],0))</f>
        <v>-12.373809523809525</v>
      </c>
      <c r="P484" s="2">
        <f ca="1">INDEX(INDIRECT(_xlfn.CONCAT("weather.tbl[",P$1,"]")),MATCH(vp.data[[#This Row],[SDate]],weather.tbl[Date],0))</f>
        <v>-16.399999999999999</v>
      </c>
      <c r="Q484" s="2">
        <f ca="1">INDEX(INDIRECT(_xlfn.CONCAT("weather.tbl[",Q$1,"]")),MATCH(vp.data[[#This Row],[SDate]],weather.tbl[Date],0))</f>
        <v>-18.100000000000001</v>
      </c>
      <c r="R484" s="2">
        <f ca="1">INDEX(INDIRECT(_xlfn.CONCAT("weather.tbl[",R$1,"]")),MATCH(vp.data[[#This Row],[SDate]],weather.tbl[Date],0))</f>
        <v>-16.5</v>
      </c>
      <c r="S484" s="2">
        <f ca="1">INDEX(INDIRECT(_xlfn.CONCAT("weather.tbl[",S$1,"]")),MATCH(vp.data[[#This Row],[SDate]],weather.tbl[Date],0))</f>
        <v>-18.7</v>
      </c>
      <c r="T484" s="2">
        <f ca="1">INDEX(INDIRECT(_xlfn.CONCAT("weather.tbl[",T$1,"]")),MATCH(vp.data[[#This Row],[SDate]],weather.tbl[Date],0))</f>
        <v>-17.100000000000001</v>
      </c>
      <c r="U484" s="2">
        <f ca="1">INDEX(INDIRECT(_xlfn.CONCAT("weather.tbl[",U$1,"]")),MATCH(vp.data[[#This Row],[SDate]],weather.tbl[Date],0))</f>
        <v>-19.8</v>
      </c>
      <c r="V484" s="2">
        <f t="array" ref="V4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484" t="s">
        <v>48</v>
      </c>
      <c r="X484">
        <f>IF(OR(vp.data[[#This Row],[Sulf]]="",vp.data[[#This Row],[Dens]]=""),1,0)</f>
        <v>0</v>
      </c>
      <c r="Y484">
        <f>IF(vp.data[[#This Row],[CrudeType]]="C5+",1,0)</f>
        <v>0</v>
      </c>
      <c r="Z484">
        <f>IF(AND(vp.data[[#This Row],[CrudeType]]="Crude",vp.data[[#This Row],[Dens]]&lt;=825,vp.data[[#This Row],[Sulf]]&gt;0.5,vp.data[[#This Row],[Unknown]]=0),1,0)</f>
        <v>1</v>
      </c>
      <c r="AA484">
        <f>IF(AND(vp.data[[#This Row],[CrudeType]]="Crude",vp.data[[#This Row],[Dens]]&lt;=825,vp.data[[#This Row],[Sulf]]&lt;=0.5,vp.data[[#This Row],[Unknown]]=0),1,0)</f>
        <v>0</v>
      </c>
      <c r="AB4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4">
        <f>IF(AND(vp.data[[#This Row],[CrudeType]]="Crude",vp.data[[#This Row],[Dens]]&gt;825,vp.data[[#This Row],[Dens]]&lt;=900,vp.data[[#This Row],[Sulf]]&lt;=0.5,vp.data[[#This Row],[Unknown]]=0),1,0)</f>
        <v>0</v>
      </c>
      <c r="AD484">
        <f>IF(AND(vp.data[[#This Row],[CrudeType]]="Crude",vp.data[[#This Row],[Dens]]&gt;865,vp.data[[#This Row],[Dens]]&lt;=900,vp.data[[#This Row],[Sulf]]&gt;2,vp.data[[#This Row],[Unknown]]=0),1,0)</f>
        <v>0</v>
      </c>
      <c r="AE484">
        <f>IF(AND(vp.data[[#This Row],[CrudeType]]="Crude",vp.data[[#This Row],[Dens]]&gt;900,vp.data[[#This Row],[Sulf]]&lt;=0.5,vp.data[[#This Row],[Unknown]]=0),1,0)</f>
        <v>0</v>
      </c>
      <c r="AF484">
        <f>IF(AND(vp.data[[#This Row],[CrudeType]]="Crude",vp.data[[#This Row],[Dens]]&gt;900,vp.data[[#This Row],[Sulf]]&lt;=0.5,vp.data[[#This Row],[Unknown]]=0),1,0)</f>
        <v>0</v>
      </c>
      <c r="AG484" t="str">
        <f>INDEX(vp.data[[#Headers],[Unknown]:[Heavy_SW]],MATCH(1,vp.data[[#This Row],[Unknown]:[Heavy_SW]],0))</f>
        <v>Light_LSB</v>
      </c>
      <c r="AH484">
        <f>INDEX([3]!crudeBD.lkup[Number],MATCH(vp.data[[#This Row],[Crude_Breakdown]],crudeBD.lkup[Crude Breakdown],0))</f>
        <v>1</v>
      </c>
      <c r="AI484">
        <f>MONTH(vp.data[[#This Row],[SDate]])</f>
        <v>1</v>
      </c>
      <c r="AJ484" s="5">
        <f>(vp.data[[#This Row],[VP]]-INDEX(crudeBD.lkup[Mean_VP],MATCH(vp.data[[#This Row],[Crude_Breakdown]],crudeBD.lkup[Crude Breakdown],0)))^2</f>
        <v>44.171782591136484</v>
      </c>
      <c r="AK484" s="5">
        <f>(vp.data[[#This Row],[Dens]]-INDEX(crudeBD.lkup[Mean_Dens],MATCH(vp.data[[#This Row],[Crude_Breakdown]],crudeBD.lkup[Crude Breakdown],0)))^2</f>
        <v>10.347607685311388</v>
      </c>
      <c r="AL484" s="5">
        <f>(vp.data[[#This Row],[Sulf]]-INDEX(crudeBD.lkup[Mean_Sulf],MATCH(vp.data[[#This Row],[Crude_Breakdown]],crudeBD.lkup[Crude Breakdown],0)))^2</f>
        <v>0.31028111925050628</v>
      </c>
      <c r="AM484" s="4">
        <f>IF(AND(vp.data[[#This Row],[SDate]]&gt;=DATE(YEAR(vp.data[[#This Row],[SDate]]),5,1),vp.data[[#This Row],[SDate]]&lt;=DATE(YEAR(vp.data[[#This Row],[SDate]]),9,15)),1,0)</f>
        <v>0</v>
      </c>
      <c r="AN484" s="4">
        <f>IF(vp.data[[#This Row],[SDate]]&lt;DATE(2016,12,1),0,1)</f>
        <v>1</v>
      </c>
      <c r="AO484" s="4">
        <f>IFERROR(vp.data[[#This Row],[Sulf]]*vp.data[[#This Row],[Net Dens]],"")</f>
        <v>5905016.4882880002</v>
      </c>
      <c r="AP484">
        <f>IFERROR(vp.data[[#This Row],[Dens]]*vp.data[[#This Row],[VolumeM3]],"")</f>
        <v>3989876.0056000003</v>
      </c>
      <c r="AQ484" s="15">
        <f>IFERROR(vp.data[[#This Row],[VP]]*vp.data[[#This Row],[VolumeM3]],"")</f>
        <v>415479.54480000009</v>
      </c>
    </row>
    <row r="485" spans="1:43" x14ac:dyDescent="0.25">
      <c r="A485">
        <v>484</v>
      </c>
      <c r="B485" t="s">
        <v>49</v>
      </c>
      <c r="C485" t="s">
        <v>49</v>
      </c>
      <c r="D485" t="s">
        <v>67</v>
      </c>
      <c r="F485" s="1">
        <v>42737</v>
      </c>
      <c r="G485" s="2">
        <v>105.6</v>
      </c>
      <c r="H485" s="2"/>
      <c r="I485" s="2">
        <f t="array" ref="I485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485" s="2">
        <v>8.3000000000000007</v>
      </c>
      <c r="K485" s="2">
        <v>-29</v>
      </c>
      <c r="L485" s="2">
        <v>816</v>
      </c>
      <c r="M485" s="2">
        <f t="array" ref="M485">_xlfn.IFNA(IF(vp.data[[#This Row],[Dens Input]]="",INDEX([1]DATA!$O$3:$O$9826,MATCH(1,(vp.data[[#This Row],[Battery]]=[1]DATA!$L$3:$L$9826)*(EOMONTH(vp.data[[#This Row],[SDate]],-1)+1=[1]DATA!$G$3:$G$9826),0)),vp.data[[#This Row],[Dens Input]]),"")</f>
        <v>816</v>
      </c>
      <c r="N485" s="2">
        <f ca="1">INDEX(INDIRECT(_xlfn.CONCAT("weather.tbl[",N$1,"]")),MATCH(vp.data[[#This Row],[SDate]],weather.tbl[Date],0))</f>
        <v>-17.766666666666669</v>
      </c>
      <c r="O485" s="2">
        <f ca="1">INDEX(INDIRECT(_xlfn.CONCAT("weather.tbl[",O$1,"]")),MATCH(vp.data[[#This Row],[SDate]],weather.tbl[Date],0))</f>
        <v>-12.373809523809525</v>
      </c>
      <c r="P485" s="2">
        <f ca="1">INDEX(INDIRECT(_xlfn.CONCAT("weather.tbl[",P$1,"]")),MATCH(vp.data[[#This Row],[SDate]],weather.tbl[Date],0))</f>
        <v>-16.399999999999999</v>
      </c>
      <c r="Q485" s="2">
        <f ca="1">INDEX(INDIRECT(_xlfn.CONCAT("weather.tbl[",Q$1,"]")),MATCH(vp.data[[#This Row],[SDate]],weather.tbl[Date],0))</f>
        <v>-18.100000000000001</v>
      </c>
      <c r="R485" s="2">
        <f ca="1">INDEX(INDIRECT(_xlfn.CONCAT("weather.tbl[",R$1,"]")),MATCH(vp.data[[#This Row],[SDate]],weather.tbl[Date],0))</f>
        <v>-16.5</v>
      </c>
      <c r="S485" s="2">
        <f ca="1">INDEX(INDIRECT(_xlfn.CONCAT("weather.tbl[",S$1,"]")),MATCH(vp.data[[#This Row],[SDate]],weather.tbl[Date],0))</f>
        <v>-18.7</v>
      </c>
      <c r="T485" s="2">
        <f ca="1">INDEX(INDIRECT(_xlfn.CONCAT("weather.tbl[",T$1,"]")),MATCH(vp.data[[#This Row],[SDate]],weather.tbl[Date],0))</f>
        <v>-17.100000000000001</v>
      </c>
      <c r="U485" s="2">
        <f ca="1">INDEX(INDIRECT(_xlfn.CONCAT("weather.tbl[",U$1,"]")),MATCH(vp.data[[#This Row],[SDate]],weather.tbl[Date],0))</f>
        <v>-19.8</v>
      </c>
      <c r="V485" s="2">
        <f t="array" ref="V4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485" t="s">
        <v>48</v>
      </c>
      <c r="X485">
        <f>IF(OR(vp.data[[#This Row],[Sulf]]="",vp.data[[#This Row],[Dens]]=""),1,0)</f>
        <v>0</v>
      </c>
      <c r="Y485">
        <f>IF(vp.data[[#This Row],[CrudeType]]="C5+",1,0)</f>
        <v>0</v>
      </c>
      <c r="Z485">
        <f>IF(AND(vp.data[[#This Row],[CrudeType]]="Crude",vp.data[[#This Row],[Dens]]&lt;=825,vp.data[[#This Row],[Sulf]]&gt;0.5,vp.data[[#This Row],[Unknown]]=0),1,0)</f>
        <v>1</v>
      </c>
      <c r="AA485">
        <f>IF(AND(vp.data[[#This Row],[CrudeType]]="Crude",vp.data[[#This Row],[Dens]]&lt;=825,vp.data[[#This Row],[Sulf]]&lt;=0.5,vp.data[[#This Row],[Unknown]]=0),1,0)</f>
        <v>0</v>
      </c>
      <c r="AB4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5">
        <f>IF(AND(vp.data[[#This Row],[CrudeType]]="Crude",vp.data[[#This Row],[Dens]]&gt;825,vp.data[[#This Row],[Dens]]&lt;=900,vp.data[[#This Row],[Sulf]]&lt;=0.5,vp.data[[#This Row],[Unknown]]=0),1,0)</f>
        <v>0</v>
      </c>
      <c r="AD485">
        <f>IF(AND(vp.data[[#This Row],[CrudeType]]="Crude",vp.data[[#This Row],[Dens]]&gt;865,vp.data[[#This Row],[Dens]]&lt;=900,vp.data[[#This Row],[Sulf]]&gt;2,vp.data[[#This Row],[Unknown]]=0),1,0)</f>
        <v>0</v>
      </c>
      <c r="AE485">
        <f>IF(AND(vp.data[[#This Row],[CrudeType]]="Crude",vp.data[[#This Row],[Dens]]&gt;900,vp.data[[#This Row],[Sulf]]&lt;=0.5,vp.data[[#This Row],[Unknown]]=0),1,0)</f>
        <v>0</v>
      </c>
      <c r="AF485">
        <f>IF(AND(vp.data[[#This Row],[CrudeType]]="Crude",vp.data[[#This Row],[Dens]]&gt;900,vp.data[[#This Row],[Sulf]]&lt;=0.5,vp.data[[#This Row],[Unknown]]=0),1,0)</f>
        <v>0</v>
      </c>
      <c r="AG485" t="str">
        <f>INDEX(vp.data[[#Headers],[Unknown]:[Heavy_SW]],MATCH(1,vp.data[[#This Row],[Unknown]:[Heavy_SW]],0))</f>
        <v>Light_LSB</v>
      </c>
      <c r="AH485">
        <f>INDEX([3]!crudeBD.lkup[Number],MATCH(vp.data[[#This Row],[Crude_Breakdown]],crudeBD.lkup[Crude Breakdown],0))</f>
        <v>1</v>
      </c>
      <c r="AI485">
        <f>MONTH(vp.data[[#This Row],[SDate]])</f>
        <v>1</v>
      </c>
      <c r="AJ485" s="5">
        <f>(vp.data[[#This Row],[VP]]-INDEX(crudeBD.lkup[Mean_VP],MATCH(vp.data[[#This Row],[Crude_Breakdown]],crudeBD.lkup[Crude Breakdown],0)))^2</f>
        <v>197.50970011690831</v>
      </c>
      <c r="AK485" s="5">
        <f>(vp.data[[#This Row],[Dens]]-INDEX(crudeBD.lkup[Mean_Dens],MATCH(vp.data[[#This Row],[Crude_Breakdown]],crudeBD.lkup[Crude Breakdown],0)))^2</f>
        <v>6.3341300220812942</v>
      </c>
      <c r="AL485" s="5">
        <f>(vp.data[[#This Row],[Sulf]]-INDEX(crudeBD.lkup[Mean_Sulf],MATCH(vp.data[[#This Row],[Crude_Breakdown]],crudeBD.lkup[Crude Breakdown],0)))^2</f>
        <v>0.11086979897559178</v>
      </c>
      <c r="AM485" s="4">
        <f>IF(AND(vp.data[[#This Row],[SDate]]&gt;=DATE(YEAR(vp.data[[#This Row],[SDate]]),5,1),vp.data[[#This Row],[SDate]]&lt;=DATE(YEAR(vp.data[[#This Row],[SDate]]),9,15)),1,0)</f>
        <v>0</v>
      </c>
      <c r="AN485" s="4">
        <f>IF(vp.data[[#This Row],[SDate]]&lt;DATE(2016,12,1),0,1)</f>
        <v>1</v>
      </c>
      <c r="AO485" s="4">
        <f>IFERROR(vp.data[[#This Row],[Sulf]]*vp.data[[#This Row],[Net Dens]],"")</f>
        <v>58803019.012800001</v>
      </c>
      <c r="AP485">
        <f>IFERROR(vp.data[[#This Row],[Dens]]*vp.data[[#This Row],[VolumeM3]],"")</f>
        <v>99666133.920000002</v>
      </c>
      <c r="AQ485" s="15">
        <f>IFERROR(vp.data[[#This Row],[VP]]*vp.data[[#This Row],[VolumeM3]],"")</f>
        <v>12897970.271999998</v>
      </c>
    </row>
    <row r="486" spans="1:43" x14ac:dyDescent="0.25">
      <c r="A486">
        <v>485</v>
      </c>
      <c r="B486" t="s">
        <v>49</v>
      </c>
      <c r="C486" t="s">
        <v>49</v>
      </c>
      <c r="D486" t="s">
        <v>89</v>
      </c>
      <c r="F486" s="1">
        <v>42737</v>
      </c>
      <c r="G486" s="2">
        <v>104.1</v>
      </c>
      <c r="H486" s="2"/>
      <c r="I486" s="2">
        <f t="array" ref="I486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486" s="2">
        <v>0.45</v>
      </c>
      <c r="K486" s="2">
        <v>-29</v>
      </c>
      <c r="L486" s="2">
        <v>820.6</v>
      </c>
      <c r="M486" s="2">
        <f t="array" ref="M486">_xlfn.IFNA(IF(vp.data[[#This Row],[Dens Input]]="",INDEX([1]DATA!$O$3:$O$9826,MATCH(1,(vp.data[[#This Row],[Battery]]=[1]DATA!$L$3:$L$9826)*(EOMONTH(vp.data[[#This Row],[SDate]],-1)+1=[1]DATA!$G$3:$G$9826),0)),vp.data[[#This Row],[Dens Input]]),"")</f>
        <v>820.6</v>
      </c>
      <c r="N486" s="2">
        <f ca="1">INDEX(INDIRECT(_xlfn.CONCAT("weather.tbl[",N$1,"]")),MATCH(vp.data[[#This Row],[SDate]],weather.tbl[Date],0))</f>
        <v>-17.766666666666669</v>
      </c>
      <c r="O486" s="2">
        <f ca="1">INDEX(INDIRECT(_xlfn.CONCAT("weather.tbl[",O$1,"]")),MATCH(vp.data[[#This Row],[SDate]],weather.tbl[Date],0))</f>
        <v>-12.373809523809525</v>
      </c>
      <c r="P486" s="2">
        <f ca="1">INDEX(INDIRECT(_xlfn.CONCAT("weather.tbl[",P$1,"]")),MATCH(vp.data[[#This Row],[SDate]],weather.tbl[Date],0))</f>
        <v>-16.399999999999999</v>
      </c>
      <c r="Q486" s="2">
        <f ca="1">INDEX(INDIRECT(_xlfn.CONCAT("weather.tbl[",Q$1,"]")),MATCH(vp.data[[#This Row],[SDate]],weather.tbl[Date],0))</f>
        <v>-18.100000000000001</v>
      </c>
      <c r="R486" s="2">
        <f ca="1">INDEX(INDIRECT(_xlfn.CONCAT("weather.tbl[",R$1,"]")),MATCH(vp.data[[#This Row],[SDate]],weather.tbl[Date],0))</f>
        <v>-16.5</v>
      </c>
      <c r="S486" s="2">
        <f ca="1">INDEX(INDIRECT(_xlfn.CONCAT("weather.tbl[",S$1,"]")),MATCH(vp.data[[#This Row],[SDate]],weather.tbl[Date],0))</f>
        <v>-18.7</v>
      </c>
      <c r="T486" s="2">
        <f ca="1">INDEX(INDIRECT(_xlfn.CONCAT("weather.tbl[",T$1,"]")),MATCH(vp.data[[#This Row],[SDate]],weather.tbl[Date],0))</f>
        <v>-17.100000000000001</v>
      </c>
      <c r="U486" s="2">
        <f ca="1">INDEX(INDIRECT(_xlfn.CONCAT("weather.tbl[",U$1,"]")),MATCH(vp.data[[#This Row],[SDate]],weather.tbl[Date],0))</f>
        <v>-19.8</v>
      </c>
      <c r="V486" s="2">
        <f t="array" ref="V4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486" t="s">
        <v>48</v>
      </c>
      <c r="X486">
        <f>IF(OR(vp.data[[#This Row],[Sulf]]="",vp.data[[#This Row],[Dens]]=""),1,0)</f>
        <v>0</v>
      </c>
      <c r="Y486">
        <f>IF(vp.data[[#This Row],[CrudeType]]="C5+",1,0)</f>
        <v>0</v>
      </c>
      <c r="Z486">
        <f>IF(AND(vp.data[[#This Row],[CrudeType]]="Crude",vp.data[[#This Row],[Dens]]&lt;=825,vp.data[[#This Row],[Sulf]]&gt;0.5,vp.data[[#This Row],[Unknown]]=0),1,0)</f>
        <v>1</v>
      </c>
      <c r="AA486">
        <f>IF(AND(vp.data[[#This Row],[CrudeType]]="Crude",vp.data[[#This Row],[Dens]]&lt;=825,vp.data[[#This Row],[Sulf]]&lt;=0.5,vp.data[[#This Row],[Unknown]]=0),1,0)</f>
        <v>0</v>
      </c>
      <c r="AB4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6">
        <f>IF(AND(vp.data[[#This Row],[CrudeType]]="Crude",vp.data[[#This Row],[Dens]]&gt;825,vp.data[[#This Row],[Dens]]&lt;=900,vp.data[[#This Row],[Sulf]]&lt;=0.5,vp.data[[#This Row],[Unknown]]=0),1,0)</f>
        <v>0</v>
      </c>
      <c r="AD486">
        <f>IF(AND(vp.data[[#This Row],[CrudeType]]="Crude",vp.data[[#This Row],[Dens]]&gt;865,vp.data[[#This Row],[Dens]]&lt;=900,vp.data[[#This Row],[Sulf]]&gt;2,vp.data[[#This Row],[Unknown]]=0),1,0)</f>
        <v>0</v>
      </c>
      <c r="AE486">
        <f>IF(AND(vp.data[[#This Row],[CrudeType]]="Crude",vp.data[[#This Row],[Dens]]&gt;900,vp.data[[#This Row],[Sulf]]&lt;=0.5,vp.data[[#This Row],[Unknown]]=0),1,0)</f>
        <v>0</v>
      </c>
      <c r="AF486">
        <f>IF(AND(vp.data[[#This Row],[CrudeType]]="Crude",vp.data[[#This Row],[Dens]]&gt;900,vp.data[[#This Row],[Sulf]]&lt;=0.5,vp.data[[#This Row],[Unknown]]=0),1,0)</f>
        <v>0</v>
      </c>
      <c r="AG486" t="str">
        <f>INDEX(vp.data[[#Headers],[Unknown]:[Heavy_SW]],MATCH(1,vp.data[[#This Row],[Unknown]:[Heavy_SW]],0))</f>
        <v>Light_LSB</v>
      </c>
      <c r="AH486">
        <f>INDEX([3]!crudeBD.lkup[Number],MATCH(vp.data[[#This Row],[Crude_Breakdown]],crudeBD.lkup[Crude Breakdown],0))</f>
        <v>1</v>
      </c>
      <c r="AI486">
        <f>MONTH(vp.data[[#This Row],[SDate]])</f>
        <v>1</v>
      </c>
      <c r="AJ486" s="5">
        <f>(vp.data[[#This Row],[VP]]-INDEX(crudeBD.lkup[Mean_VP],MATCH(vp.data[[#This Row],[Crude_Breakdown]],crudeBD.lkup[Crude Breakdown],0)))^2</f>
        <v>157.59825681793936</v>
      </c>
      <c r="AK486" s="5">
        <f>(vp.data[[#This Row],[Dens]]-INDEX(crudeBD.lkup[Mean_Dens],MATCH(vp.data[[#This Row],[Crude_Breakdown]],crudeBD.lkup[Crude Breakdown],0)))^2</f>
        <v>4.3398482351426981</v>
      </c>
      <c r="AL486" s="5">
        <f>(vp.data[[#This Row],[Sulf]]-INDEX(crudeBD.lkup[Mean_Sulf],MATCH(vp.data[[#This Row],[Crude_Breakdown]],crudeBD.lkup[Crude Breakdown],0)))^2</f>
        <v>4.9716141930918292E-2</v>
      </c>
      <c r="AM486" s="4">
        <f>IF(AND(vp.data[[#This Row],[SDate]]&gt;=DATE(YEAR(vp.data[[#This Row],[SDate]]),5,1),vp.data[[#This Row],[SDate]]&lt;=DATE(YEAR(vp.data[[#This Row],[SDate]]),9,15)),1,0)</f>
        <v>0</v>
      </c>
      <c r="AN486" s="4">
        <f>IF(vp.data[[#This Row],[SDate]]&lt;DATE(2016,12,1),0,1)</f>
        <v>1</v>
      </c>
      <c r="AO486" s="4">
        <f>IFERROR(vp.data[[#This Row],[Sulf]]*vp.data[[#This Row],[Net Dens]],"")</f>
        <v>3549663.4296199996</v>
      </c>
      <c r="AP486">
        <f>IFERROR(vp.data[[#This Row],[Dens]]*vp.data[[#This Row],[VolumeM3]],"")</f>
        <v>5070947.7566</v>
      </c>
      <c r="AQ486" s="15">
        <f>IFERROR(vp.data[[#This Row],[VP]]*vp.data[[#This Row],[VolumeM3]],"")</f>
        <v>643292.30009999988</v>
      </c>
    </row>
    <row r="487" spans="1:43" x14ac:dyDescent="0.25">
      <c r="A487">
        <v>486</v>
      </c>
      <c r="B487" t="s">
        <v>49</v>
      </c>
      <c r="C487" t="s">
        <v>49</v>
      </c>
      <c r="D487" t="s">
        <v>92</v>
      </c>
      <c r="F487" s="1">
        <v>42737</v>
      </c>
      <c r="G487" s="2">
        <v>82.1</v>
      </c>
      <c r="H487" s="2"/>
      <c r="I487" s="2">
        <f t="array" ref="I487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487" s="2">
        <v>-15.1</v>
      </c>
      <c r="K487" s="2">
        <v>-29</v>
      </c>
      <c r="L487" s="2">
        <v>821</v>
      </c>
      <c r="M487" s="2">
        <f t="array" ref="M487">_xlfn.IFNA(IF(vp.data[[#This Row],[Dens Input]]="",INDEX([1]DATA!$O$3:$O$9826,MATCH(1,(vp.data[[#This Row],[Battery]]=[1]DATA!$L$3:$L$9826)*(EOMONTH(vp.data[[#This Row],[SDate]],-1)+1=[1]DATA!$G$3:$G$9826),0)),vp.data[[#This Row],[Dens Input]]),"")</f>
        <v>821</v>
      </c>
      <c r="N487" s="2">
        <f ca="1">INDEX(INDIRECT(_xlfn.CONCAT("weather.tbl[",N$1,"]")),MATCH(vp.data[[#This Row],[SDate]],weather.tbl[Date],0))</f>
        <v>-17.766666666666669</v>
      </c>
      <c r="O487" s="2">
        <f ca="1">INDEX(INDIRECT(_xlfn.CONCAT("weather.tbl[",O$1,"]")),MATCH(vp.data[[#This Row],[SDate]],weather.tbl[Date],0))</f>
        <v>-12.373809523809525</v>
      </c>
      <c r="P487" s="2">
        <f ca="1">INDEX(INDIRECT(_xlfn.CONCAT("weather.tbl[",P$1,"]")),MATCH(vp.data[[#This Row],[SDate]],weather.tbl[Date],0))</f>
        <v>-16.399999999999999</v>
      </c>
      <c r="Q487" s="2">
        <f ca="1">INDEX(INDIRECT(_xlfn.CONCAT("weather.tbl[",Q$1,"]")),MATCH(vp.data[[#This Row],[SDate]],weather.tbl[Date],0))</f>
        <v>-18.100000000000001</v>
      </c>
      <c r="R487" s="2">
        <f ca="1">INDEX(INDIRECT(_xlfn.CONCAT("weather.tbl[",R$1,"]")),MATCH(vp.data[[#This Row],[SDate]],weather.tbl[Date],0))</f>
        <v>-16.5</v>
      </c>
      <c r="S487" s="2">
        <f ca="1">INDEX(INDIRECT(_xlfn.CONCAT("weather.tbl[",S$1,"]")),MATCH(vp.data[[#This Row],[SDate]],weather.tbl[Date],0))</f>
        <v>-18.7</v>
      </c>
      <c r="T487" s="2">
        <f ca="1">INDEX(INDIRECT(_xlfn.CONCAT("weather.tbl[",T$1,"]")),MATCH(vp.data[[#This Row],[SDate]],weather.tbl[Date],0))</f>
        <v>-17.100000000000001</v>
      </c>
      <c r="U487" s="2">
        <f ca="1">INDEX(INDIRECT(_xlfn.CONCAT("weather.tbl[",U$1,"]")),MATCH(vp.data[[#This Row],[SDate]],weather.tbl[Date],0))</f>
        <v>-19.8</v>
      </c>
      <c r="V487" s="2">
        <f t="array" ref="V4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25785.918000000001</v>
      </c>
      <c r="W487" t="s">
        <v>48</v>
      </c>
      <c r="X487">
        <f>IF(OR(vp.data[[#This Row],[Sulf]]="",vp.data[[#This Row],[Dens]]=""),1,0)</f>
        <v>0</v>
      </c>
      <c r="Y487">
        <f>IF(vp.data[[#This Row],[CrudeType]]="C5+",1,0)</f>
        <v>0</v>
      </c>
      <c r="Z487">
        <f>IF(AND(vp.data[[#This Row],[CrudeType]]="Crude",vp.data[[#This Row],[Dens]]&lt;=825,vp.data[[#This Row],[Sulf]]&gt;0.5,vp.data[[#This Row],[Unknown]]=0),1,0)</f>
        <v>1</v>
      </c>
      <c r="AA487">
        <f>IF(AND(vp.data[[#This Row],[CrudeType]]="Crude",vp.data[[#This Row],[Dens]]&lt;=825,vp.data[[#This Row],[Sulf]]&lt;=0.5,vp.data[[#This Row],[Unknown]]=0),1,0)</f>
        <v>0</v>
      </c>
      <c r="AB4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87">
        <f>IF(AND(vp.data[[#This Row],[CrudeType]]="Crude",vp.data[[#This Row],[Dens]]&gt;825,vp.data[[#This Row],[Dens]]&lt;=900,vp.data[[#This Row],[Sulf]]&lt;=0.5,vp.data[[#This Row],[Unknown]]=0),1,0)</f>
        <v>0</v>
      </c>
      <c r="AD487">
        <f>IF(AND(vp.data[[#This Row],[CrudeType]]="Crude",vp.data[[#This Row],[Dens]]&gt;865,vp.data[[#This Row],[Dens]]&lt;=900,vp.data[[#This Row],[Sulf]]&gt;2,vp.data[[#This Row],[Unknown]]=0),1,0)</f>
        <v>0</v>
      </c>
      <c r="AE487">
        <f>IF(AND(vp.data[[#This Row],[CrudeType]]="Crude",vp.data[[#This Row],[Dens]]&gt;900,vp.data[[#This Row],[Sulf]]&lt;=0.5,vp.data[[#This Row],[Unknown]]=0),1,0)</f>
        <v>0</v>
      </c>
      <c r="AF487">
        <f>IF(AND(vp.data[[#This Row],[CrudeType]]="Crude",vp.data[[#This Row],[Dens]]&gt;900,vp.data[[#This Row],[Sulf]]&lt;=0.5,vp.data[[#This Row],[Unknown]]=0),1,0)</f>
        <v>0</v>
      </c>
      <c r="AG487" t="str">
        <f>INDEX(vp.data[[#Headers],[Unknown]:[Heavy_SW]],MATCH(1,vp.data[[#This Row],[Unknown]:[Heavy_SW]],0))</f>
        <v>Light_LSB</v>
      </c>
      <c r="AH487">
        <f>INDEX([3]!crudeBD.lkup[Number],MATCH(vp.data[[#This Row],[Crude_Breakdown]],crudeBD.lkup[Crude Breakdown],0))</f>
        <v>1</v>
      </c>
      <c r="AI487">
        <f>MONTH(vp.data[[#This Row],[SDate]])</f>
        <v>1</v>
      </c>
      <c r="AJ487" s="5">
        <f>(vp.data[[#This Row],[VP]]-INDEX(crudeBD.lkup[Mean_VP],MATCH(vp.data[[#This Row],[Crude_Breakdown]],crudeBD.lkup[Crude Breakdown],0)))^2</f>
        <v>89.230421766394571</v>
      </c>
      <c r="AK487" s="5">
        <f>(vp.data[[#This Row],[Dens]]-INDEX(crudeBD.lkup[Mean_Dens],MATCH(vp.data[[#This Row],[Crude_Breakdown]],crudeBD.lkup[Crude Breakdown],0)))^2</f>
        <v>6.1664324275827171</v>
      </c>
      <c r="AL487" s="5">
        <f>(vp.data[[#This Row],[Sulf]]-INDEX(crudeBD.lkup[Mean_Sulf],MATCH(vp.data[[#This Row],[Crude_Breakdown]],crudeBD.lkup[Crude Breakdown],0)))^2</f>
        <v>5.9034988666313432E-2</v>
      </c>
      <c r="AM487" s="4">
        <f>IF(AND(vp.data[[#This Row],[SDate]]&gt;=DATE(YEAR(vp.data[[#This Row],[SDate]]),5,1),vp.data[[#This Row],[SDate]]&lt;=DATE(YEAR(vp.data[[#This Row],[SDate]]),9,15)),1,0)</f>
        <v>0</v>
      </c>
      <c r="AN487" s="4">
        <f>IF(vp.data[[#This Row],[SDate]]&lt;DATE(2016,12,1),0,1)</f>
        <v>1</v>
      </c>
      <c r="AO487" s="4">
        <f>IFERROR(vp.data[[#This Row],[Sulf]]*vp.data[[#This Row],[Net Dens]],"")</f>
        <v>14395762.301040001</v>
      </c>
      <c r="AP487">
        <f>IFERROR(vp.data[[#This Row],[Dens]]*vp.data[[#This Row],[VolumeM3]],"")</f>
        <v>21170238.677999999</v>
      </c>
      <c r="AQ487" s="15">
        <f>IFERROR(vp.data[[#This Row],[VP]]*vp.data[[#This Row],[VolumeM3]],"")</f>
        <v>2117023.8678000001</v>
      </c>
    </row>
    <row r="488" spans="1:43" x14ac:dyDescent="0.25">
      <c r="A488">
        <v>487</v>
      </c>
      <c r="B488" t="s">
        <v>56</v>
      </c>
      <c r="C488" t="s">
        <v>56</v>
      </c>
      <c r="D488" t="s">
        <v>57</v>
      </c>
      <c r="F488" s="1">
        <v>42737</v>
      </c>
      <c r="G488" s="2">
        <v>96.6</v>
      </c>
      <c r="H488" s="2"/>
      <c r="I488" s="2">
        <f t="array" ref="I488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488" s="2">
        <v>8.6</v>
      </c>
      <c r="K488" s="2">
        <v>-29</v>
      </c>
      <c r="L488" s="2">
        <v>845.1</v>
      </c>
      <c r="M488" s="2">
        <f t="array" ref="M488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488" s="2">
        <f ca="1">INDEX(INDIRECT(_xlfn.CONCAT("weather.tbl[",N$1,"]")),MATCH(vp.data[[#This Row],[SDate]],weather.tbl[Date],0))</f>
        <v>-17.766666666666669</v>
      </c>
      <c r="O488" s="2">
        <f ca="1">INDEX(INDIRECT(_xlfn.CONCAT("weather.tbl[",O$1,"]")),MATCH(vp.data[[#This Row],[SDate]],weather.tbl[Date],0))</f>
        <v>-12.373809523809525</v>
      </c>
      <c r="P488" s="2">
        <f ca="1">INDEX(INDIRECT(_xlfn.CONCAT("weather.tbl[",P$1,"]")),MATCH(vp.data[[#This Row],[SDate]],weather.tbl[Date],0))</f>
        <v>-16.399999999999999</v>
      </c>
      <c r="Q488" s="2">
        <f ca="1">INDEX(INDIRECT(_xlfn.CONCAT("weather.tbl[",Q$1,"]")),MATCH(vp.data[[#This Row],[SDate]],weather.tbl[Date],0))</f>
        <v>-18.100000000000001</v>
      </c>
      <c r="R488" s="2">
        <f ca="1">INDEX(INDIRECT(_xlfn.CONCAT("weather.tbl[",R$1,"]")),MATCH(vp.data[[#This Row],[SDate]],weather.tbl[Date],0))</f>
        <v>-16.5</v>
      </c>
      <c r="S488" s="2">
        <f ca="1">INDEX(INDIRECT(_xlfn.CONCAT("weather.tbl[",S$1,"]")),MATCH(vp.data[[#This Row],[SDate]],weather.tbl[Date],0))</f>
        <v>-18.7</v>
      </c>
      <c r="T488" s="2">
        <f ca="1">INDEX(INDIRECT(_xlfn.CONCAT("weather.tbl[",T$1,"]")),MATCH(vp.data[[#This Row],[SDate]],weather.tbl[Date],0))</f>
        <v>-17.100000000000001</v>
      </c>
      <c r="U488" s="2">
        <f ca="1">INDEX(INDIRECT(_xlfn.CONCAT("weather.tbl[",U$1,"]")),MATCH(vp.data[[#This Row],[SDate]],weather.tbl[Date],0))</f>
        <v>-19.8</v>
      </c>
      <c r="V488" s="2">
        <f t="array" ref="V4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3079.645</v>
      </c>
      <c r="W488" t="s">
        <v>48</v>
      </c>
      <c r="X488">
        <f>IF(OR(vp.data[[#This Row],[Sulf]]="",vp.data[[#This Row],[Dens]]=""),1,0)</f>
        <v>0</v>
      </c>
      <c r="Y488">
        <f>IF(vp.data[[#This Row],[CrudeType]]="C5+",1,0)</f>
        <v>0</v>
      </c>
      <c r="Z488">
        <f>IF(AND(vp.data[[#This Row],[CrudeType]]="Crude",vp.data[[#This Row],[Dens]]&lt;=825,vp.data[[#This Row],[Sulf]]&gt;0.5,vp.data[[#This Row],[Unknown]]=0),1,0)</f>
        <v>0</v>
      </c>
      <c r="AA488">
        <f>IF(AND(vp.data[[#This Row],[CrudeType]]="Crude",vp.data[[#This Row],[Dens]]&lt;=825,vp.data[[#This Row],[Sulf]]&lt;=0.5,vp.data[[#This Row],[Unknown]]=0),1,0)</f>
        <v>0</v>
      </c>
      <c r="AB4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88">
        <f>IF(AND(vp.data[[#This Row],[CrudeType]]="Crude",vp.data[[#This Row],[Dens]]&gt;825,vp.data[[#This Row],[Dens]]&lt;=900,vp.data[[#This Row],[Sulf]]&lt;=0.5,vp.data[[#This Row],[Unknown]]=0),1,0)</f>
        <v>0</v>
      </c>
      <c r="AD488">
        <f>IF(AND(vp.data[[#This Row],[CrudeType]]="Crude",vp.data[[#This Row],[Dens]]&gt;865,vp.data[[#This Row],[Dens]]&lt;=900,vp.data[[#This Row],[Sulf]]&gt;2,vp.data[[#This Row],[Unknown]]=0),1,0)</f>
        <v>0</v>
      </c>
      <c r="AE488">
        <f>IF(AND(vp.data[[#This Row],[CrudeType]]="Crude",vp.data[[#This Row],[Dens]]&gt;900,vp.data[[#This Row],[Sulf]]&lt;=0.5,vp.data[[#This Row],[Unknown]]=0),1,0)</f>
        <v>0</v>
      </c>
      <c r="AF488">
        <f>IF(AND(vp.data[[#This Row],[CrudeType]]="Crude",vp.data[[#This Row],[Dens]]&gt;900,vp.data[[#This Row],[Sulf]]&lt;=0.5,vp.data[[#This Row],[Unknown]]=0),1,0)</f>
        <v>0</v>
      </c>
      <c r="AG488" t="str">
        <f>INDEX(vp.data[[#Headers],[Unknown]:[Heavy_SW]],MATCH(1,vp.data[[#This Row],[Unknown]:[Heavy_SW]],0))</f>
        <v>Medium_LSB</v>
      </c>
      <c r="AH488">
        <f>INDEX([3]!crudeBD.lkup[Number],MATCH(vp.data[[#This Row],[Crude_Breakdown]],crudeBD.lkup[Crude Breakdown],0))</f>
        <v>3</v>
      </c>
      <c r="AI488">
        <f>MONTH(vp.data[[#This Row],[SDate]])</f>
        <v>1</v>
      </c>
      <c r="AJ488" s="5">
        <f>(vp.data[[#This Row],[VP]]-INDEX(crudeBD.lkup[Mean_VP],MATCH(vp.data[[#This Row],[Crude_Breakdown]],crudeBD.lkup[Crude Breakdown],0)))^2</f>
        <v>254.73192463292398</v>
      </c>
      <c r="AK488" s="5">
        <f>(vp.data[[#This Row],[Dens]]-INDEX(crudeBD.lkup[Mean_Dens],MATCH(vp.data[[#This Row],[Crude_Breakdown]],crudeBD.lkup[Crude Breakdown],0)))^2</f>
        <v>1.3924000000012235</v>
      </c>
      <c r="AL488" s="5">
        <f>(vp.data[[#This Row],[Sulf]]-INDEX(crudeBD.lkup[Mean_Sulf],MATCH(vp.data[[#This Row],[Crude_Breakdown]],crudeBD.lkup[Crude Breakdown],0)))^2</f>
        <v>8.678437182345447E-2</v>
      </c>
      <c r="AM488" s="4">
        <f>IF(AND(vp.data[[#This Row],[SDate]]&gt;=DATE(YEAR(vp.data[[#This Row],[SDate]]),5,1),vp.data[[#This Row],[SDate]]&lt;=DATE(YEAR(vp.data[[#This Row],[SDate]]),9,15)),1,0)</f>
        <v>0</v>
      </c>
      <c r="AN488" s="4">
        <f>IF(vp.data[[#This Row],[SDate]]&lt;DATE(2016,12,1),0,1)</f>
        <v>1</v>
      </c>
      <c r="AO488" s="4">
        <f>IFERROR(vp.data[[#This Row],[Sulf]]*vp.data[[#This Row],[Net Dens]],"")</f>
        <v>4372381.4223600002</v>
      </c>
      <c r="AP488">
        <f>IFERROR(vp.data[[#This Row],[Dens]]*vp.data[[#This Row],[VolumeM3]],"")</f>
        <v>2602607.9895000001</v>
      </c>
      <c r="AQ488" s="15">
        <f>IFERROR(vp.data[[#This Row],[VP]]*vp.data[[#This Row],[VolumeM3]],"")</f>
        <v>297493.70699999999</v>
      </c>
    </row>
    <row r="489" spans="1:43" x14ac:dyDescent="0.25">
      <c r="A489">
        <v>488</v>
      </c>
      <c r="B489" t="s">
        <v>51</v>
      </c>
      <c r="C489" t="s">
        <v>51</v>
      </c>
      <c r="D489" t="s">
        <v>58</v>
      </c>
      <c r="F489" s="1">
        <v>42737</v>
      </c>
      <c r="G489" s="2">
        <v>85.4</v>
      </c>
      <c r="H489" s="2"/>
      <c r="I489" s="2">
        <f t="array" ref="I489">_xlfn.IFNA(IF(vp.data[[#This Row],[Sulf Input]]="",INDEX([1]DATA!$Q$3:$Q$9826,MATCH(1,(vp.data[[#This Row],[Battery]]=[1]DATA!$L$3:$L$9826)*(EOMONTH(vp.data[[#This Row],[SDate]],-1)+1=[1]DATA!$G$3:$G$9826),0)),vp.data[[#This Row],[Sulf Input]]),"")</f>
        <v>1.64</v>
      </c>
      <c r="J489" s="2">
        <v>24</v>
      </c>
      <c r="K489" s="2">
        <v>-29</v>
      </c>
      <c r="L489" s="2">
        <v>857.1</v>
      </c>
      <c r="M489" s="2">
        <f t="array" ref="M489">_xlfn.IFNA(IF(vp.data[[#This Row],[Dens Input]]="",INDEX([1]DATA!$O$3:$O$9826,MATCH(1,(vp.data[[#This Row],[Battery]]=[1]DATA!$L$3:$L$9826)*(EOMONTH(vp.data[[#This Row],[SDate]],-1)+1=[1]DATA!$G$3:$G$9826),0)),vp.data[[#This Row],[Dens Input]]),"")</f>
        <v>857.1</v>
      </c>
      <c r="N489" s="2">
        <f ca="1">INDEX(INDIRECT(_xlfn.CONCAT("weather.tbl[",N$1,"]")),MATCH(vp.data[[#This Row],[SDate]],weather.tbl[Date],0))</f>
        <v>-17.766666666666669</v>
      </c>
      <c r="O489" s="2">
        <f ca="1">INDEX(INDIRECT(_xlfn.CONCAT("weather.tbl[",O$1,"]")),MATCH(vp.data[[#This Row],[SDate]],weather.tbl[Date],0))</f>
        <v>-12.373809523809525</v>
      </c>
      <c r="P489" s="2">
        <f ca="1">INDEX(INDIRECT(_xlfn.CONCAT("weather.tbl[",P$1,"]")),MATCH(vp.data[[#This Row],[SDate]],weather.tbl[Date],0))</f>
        <v>-16.399999999999999</v>
      </c>
      <c r="Q489" s="2">
        <f ca="1">INDEX(INDIRECT(_xlfn.CONCAT("weather.tbl[",Q$1,"]")),MATCH(vp.data[[#This Row],[SDate]],weather.tbl[Date],0))</f>
        <v>-18.100000000000001</v>
      </c>
      <c r="R489" s="2">
        <f ca="1">INDEX(INDIRECT(_xlfn.CONCAT("weather.tbl[",R$1,"]")),MATCH(vp.data[[#This Row],[SDate]],weather.tbl[Date],0))</f>
        <v>-16.5</v>
      </c>
      <c r="S489" s="2">
        <f ca="1">INDEX(INDIRECT(_xlfn.CONCAT("weather.tbl[",S$1,"]")),MATCH(vp.data[[#This Row],[SDate]],weather.tbl[Date],0))</f>
        <v>-18.7</v>
      </c>
      <c r="T489" s="2">
        <f ca="1">INDEX(INDIRECT(_xlfn.CONCAT("weather.tbl[",T$1,"]")),MATCH(vp.data[[#This Row],[SDate]],weather.tbl[Date],0))</f>
        <v>-17.100000000000001</v>
      </c>
      <c r="U489" s="2">
        <f ca="1">INDEX(INDIRECT(_xlfn.CONCAT("weather.tbl[",U$1,"]")),MATCH(vp.data[[#This Row],[SDate]],weather.tbl[Date],0))</f>
        <v>-19.8</v>
      </c>
      <c r="V489" s="2">
        <f t="array" ref="V4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5017.2560000000003</v>
      </c>
      <c r="W489" t="s">
        <v>48</v>
      </c>
      <c r="X489">
        <f>IF(OR(vp.data[[#This Row],[Sulf]]="",vp.data[[#This Row],[Dens]]=""),1,0)</f>
        <v>0</v>
      </c>
      <c r="Y489">
        <f>IF(vp.data[[#This Row],[CrudeType]]="C5+",1,0)</f>
        <v>0</v>
      </c>
      <c r="Z489">
        <f>IF(AND(vp.data[[#This Row],[CrudeType]]="Crude",vp.data[[#This Row],[Dens]]&lt;=825,vp.data[[#This Row],[Sulf]]&gt;0.5,vp.data[[#This Row],[Unknown]]=0),1,0)</f>
        <v>0</v>
      </c>
      <c r="AA489">
        <f>IF(AND(vp.data[[#This Row],[CrudeType]]="Crude",vp.data[[#This Row],[Dens]]&lt;=825,vp.data[[#This Row],[Sulf]]&lt;=0.5,vp.data[[#This Row],[Unknown]]=0),1,0)</f>
        <v>0</v>
      </c>
      <c r="AB4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89">
        <f>IF(AND(vp.data[[#This Row],[CrudeType]]="Crude",vp.data[[#This Row],[Dens]]&gt;825,vp.data[[#This Row],[Dens]]&lt;=900,vp.data[[#This Row],[Sulf]]&lt;=0.5,vp.data[[#This Row],[Unknown]]=0),1,0)</f>
        <v>0</v>
      </c>
      <c r="AD489">
        <f>IF(AND(vp.data[[#This Row],[CrudeType]]="Crude",vp.data[[#This Row],[Dens]]&gt;865,vp.data[[#This Row],[Dens]]&lt;=900,vp.data[[#This Row],[Sulf]]&gt;2,vp.data[[#This Row],[Unknown]]=0),1,0)</f>
        <v>0</v>
      </c>
      <c r="AE489">
        <f>IF(AND(vp.data[[#This Row],[CrudeType]]="Crude",vp.data[[#This Row],[Dens]]&gt;900,vp.data[[#This Row],[Sulf]]&lt;=0.5,vp.data[[#This Row],[Unknown]]=0),1,0)</f>
        <v>0</v>
      </c>
      <c r="AF489">
        <f>IF(AND(vp.data[[#This Row],[CrudeType]]="Crude",vp.data[[#This Row],[Dens]]&gt;900,vp.data[[#This Row],[Sulf]]&lt;=0.5,vp.data[[#This Row],[Unknown]]=0),1,0)</f>
        <v>0</v>
      </c>
      <c r="AG489" t="str">
        <f>INDEX(vp.data[[#Headers],[Unknown]:[Heavy_SW]],MATCH(1,vp.data[[#This Row],[Unknown]:[Heavy_SW]],0))</f>
        <v>Medium_LSB</v>
      </c>
      <c r="AH489">
        <f>INDEX([3]!crudeBD.lkup[Number],MATCH(vp.data[[#This Row],[Crude_Breakdown]],crudeBD.lkup[Crude Breakdown],0))</f>
        <v>3</v>
      </c>
      <c r="AI489">
        <f>MONTH(vp.data[[#This Row],[SDate]])</f>
        <v>1</v>
      </c>
      <c r="AJ489" s="5">
        <f>(vp.data[[#This Row],[VP]]-INDEX(crudeBD.lkup[Mean_VP],MATCH(vp.data[[#This Row],[Crude_Breakdown]],crudeBD.lkup[Crude Breakdown],0)))^2</f>
        <v>22.660679349903745</v>
      </c>
      <c r="AK489" s="5">
        <f>(vp.data[[#This Row],[Dens]]-INDEX(crudeBD.lkup[Mean_Dens],MATCH(vp.data[[#This Row],[Crude_Breakdown]],crudeBD.lkup[Crude Breakdown],0)))^2</f>
        <v>173.71240000001367</v>
      </c>
      <c r="AL489" s="5">
        <f>(vp.data[[#This Row],[Sulf]]-INDEX(crudeBD.lkup[Mean_Sulf],MATCH(vp.data[[#This Row],[Crude_Breakdown]],crudeBD.lkup[Crude Breakdown],0)))^2</f>
        <v>6.481702195822546E-2</v>
      </c>
      <c r="AM489" s="4">
        <f>IF(AND(vp.data[[#This Row],[SDate]]&gt;=DATE(YEAR(vp.data[[#This Row],[SDate]]),5,1),vp.data[[#This Row],[SDate]]&lt;=DATE(YEAR(vp.data[[#This Row],[SDate]]),9,15)),1,0)</f>
        <v>0</v>
      </c>
      <c r="AN489" s="4">
        <f>IF(vp.data[[#This Row],[SDate]]&lt;DATE(2016,12,1),0,1)</f>
        <v>1</v>
      </c>
      <c r="AO489" s="4">
        <f>IFERROR(vp.data[[#This Row],[Sulf]]*vp.data[[#This Row],[Net Dens]],"")</f>
        <v>7052475.7928640004</v>
      </c>
      <c r="AP489">
        <f>IFERROR(vp.data[[#This Row],[Dens]]*vp.data[[#This Row],[VolumeM3]],"")</f>
        <v>4300290.1176000005</v>
      </c>
      <c r="AQ489" s="15">
        <f>IFERROR(vp.data[[#This Row],[VP]]*vp.data[[#This Row],[VolumeM3]],"")</f>
        <v>428473.66240000003</v>
      </c>
    </row>
    <row r="490" spans="1:43" x14ac:dyDescent="0.25">
      <c r="A490">
        <v>489</v>
      </c>
      <c r="B490" t="s">
        <v>56</v>
      </c>
      <c r="C490" t="s">
        <v>56</v>
      </c>
      <c r="D490" t="s">
        <v>94</v>
      </c>
      <c r="F490" s="1">
        <v>42737</v>
      </c>
      <c r="G490" s="2">
        <v>79.7</v>
      </c>
      <c r="H490" s="2"/>
      <c r="I490" s="2">
        <f t="array" ref="I490">_xlfn.IFNA(IF(vp.data[[#This Row],[Sulf Input]]="",INDEX([1]DATA!$Q$3:$Q$9826,MATCH(1,(vp.data[[#This Row],[Battery]]=[1]DATA!$L$3:$L$9826)*(EOMONTH(vp.data[[#This Row],[SDate]],-1)+1=[1]DATA!$G$3:$G$9826),0)),vp.data[[#This Row],[Sulf Input]]),"")</f>
        <v>1.98</v>
      </c>
      <c r="J490" s="2">
        <v>18.600000000000001</v>
      </c>
      <c r="K490" s="2">
        <v>-29</v>
      </c>
      <c r="L490" s="2">
        <v>858.8</v>
      </c>
      <c r="M490" s="2">
        <f t="array" ref="M490">_xlfn.IFNA(IF(vp.data[[#This Row],[Dens Input]]="",INDEX([1]DATA!$O$3:$O$9826,MATCH(1,(vp.data[[#This Row],[Battery]]=[1]DATA!$L$3:$L$9826)*(EOMONTH(vp.data[[#This Row],[SDate]],-1)+1=[1]DATA!$G$3:$G$9826),0)),vp.data[[#This Row],[Dens Input]]),"")</f>
        <v>858.8</v>
      </c>
      <c r="N490" s="2">
        <f ca="1">INDEX(INDIRECT(_xlfn.CONCAT("weather.tbl[",N$1,"]")),MATCH(vp.data[[#This Row],[SDate]],weather.tbl[Date],0))</f>
        <v>-17.766666666666669</v>
      </c>
      <c r="O490" s="2">
        <f ca="1">INDEX(INDIRECT(_xlfn.CONCAT("weather.tbl[",O$1,"]")),MATCH(vp.data[[#This Row],[SDate]],weather.tbl[Date],0))</f>
        <v>-12.373809523809525</v>
      </c>
      <c r="P490" s="2">
        <f ca="1">INDEX(INDIRECT(_xlfn.CONCAT("weather.tbl[",P$1,"]")),MATCH(vp.data[[#This Row],[SDate]],weather.tbl[Date],0))</f>
        <v>-16.399999999999999</v>
      </c>
      <c r="Q490" s="2">
        <f ca="1">INDEX(INDIRECT(_xlfn.CONCAT("weather.tbl[",Q$1,"]")),MATCH(vp.data[[#This Row],[SDate]],weather.tbl[Date],0))</f>
        <v>-18.100000000000001</v>
      </c>
      <c r="R490" s="2">
        <f ca="1">INDEX(INDIRECT(_xlfn.CONCAT("weather.tbl[",R$1,"]")),MATCH(vp.data[[#This Row],[SDate]],weather.tbl[Date],0))</f>
        <v>-16.5</v>
      </c>
      <c r="S490" s="2">
        <f ca="1">INDEX(INDIRECT(_xlfn.CONCAT("weather.tbl[",S$1,"]")),MATCH(vp.data[[#This Row],[SDate]],weather.tbl[Date],0))</f>
        <v>-18.7</v>
      </c>
      <c r="T490" s="2">
        <f ca="1">INDEX(INDIRECT(_xlfn.CONCAT("weather.tbl[",T$1,"]")),MATCH(vp.data[[#This Row],[SDate]],weather.tbl[Date],0))</f>
        <v>-17.100000000000001</v>
      </c>
      <c r="U490" s="2">
        <f ca="1">INDEX(INDIRECT(_xlfn.CONCAT("weather.tbl[",U$1,"]")),MATCH(vp.data[[#This Row],[SDate]],weather.tbl[Date],0))</f>
        <v>-19.8</v>
      </c>
      <c r="V490" s="2">
        <f t="array" ref="V4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3861.2350000000001</v>
      </c>
      <c r="W490" t="s">
        <v>48</v>
      </c>
      <c r="X490">
        <f>IF(OR(vp.data[[#This Row],[Sulf]]="",vp.data[[#This Row],[Dens]]=""),1,0)</f>
        <v>0</v>
      </c>
      <c r="Y490">
        <f>IF(vp.data[[#This Row],[CrudeType]]="C5+",1,0)</f>
        <v>0</v>
      </c>
      <c r="Z490">
        <f>IF(AND(vp.data[[#This Row],[CrudeType]]="Crude",vp.data[[#This Row],[Dens]]&lt;=825,vp.data[[#This Row],[Sulf]]&gt;0.5,vp.data[[#This Row],[Unknown]]=0),1,0)</f>
        <v>0</v>
      </c>
      <c r="AA490">
        <f>IF(AND(vp.data[[#This Row],[CrudeType]]="Crude",vp.data[[#This Row],[Dens]]&lt;=825,vp.data[[#This Row],[Sulf]]&lt;=0.5,vp.data[[#This Row],[Unknown]]=0),1,0)</f>
        <v>0</v>
      </c>
      <c r="AB4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90">
        <f>IF(AND(vp.data[[#This Row],[CrudeType]]="Crude",vp.data[[#This Row],[Dens]]&gt;825,vp.data[[#This Row],[Dens]]&lt;=900,vp.data[[#This Row],[Sulf]]&lt;=0.5,vp.data[[#This Row],[Unknown]]=0),1,0)</f>
        <v>0</v>
      </c>
      <c r="AD490">
        <f>IF(AND(vp.data[[#This Row],[CrudeType]]="Crude",vp.data[[#This Row],[Dens]]&gt;865,vp.data[[#This Row],[Dens]]&lt;=900,vp.data[[#This Row],[Sulf]]&gt;2,vp.data[[#This Row],[Unknown]]=0),1,0)</f>
        <v>0</v>
      </c>
      <c r="AE490">
        <f>IF(AND(vp.data[[#This Row],[CrudeType]]="Crude",vp.data[[#This Row],[Dens]]&gt;900,vp.data[[#This Row],[Sulf]]&lt;=0.5,vp.data[[#This Row],[Unknown]]=0),1,0)</f>
        <v>0</v>
      </c>
      <c r="AF490">
        <f>IF(AND(vp.data[[#This Row],[CrudeType]]="Crude",vp.data[[#This Row],[Dens]]&gt;900,vp.data[[#This Row],[Sulf]]&lt;=0.5,vp.data[[#This Row],[Unknown]]=0),1,0)</f>
        <v>0</v>
      </c>
      <c r="AG490" t="str">
        <f>INDEX(vp.data[[#Headers],[Unknown]:[Heavy_SW]],MATCH(1,vp.data[[#This Row],[Unknown]:[Heavy_SW]],0))</f>
        <v>Medium_LSB</v>
      </c>
      <c r="AH490">
        <f>INDEX([3]!crudeBD.lkup[Number],MATCH(vp.data[[#This Row],[Crude_Breakdown]],crudeBD.lkup[Crude Breakdown],0))</f>
        <v>3</v>
      </c>
      <c r="AI490">
        <f>MONTH(vp.data[[#This Row],[SDate]])</f>
        <v>1</v>
      </c>
      <c r="AJ490" s="5">
        <f>(vp.data[[#This Row],[VP]]-INDEX(crudeBD.lkup[Mean_VP],MATCH(vp.data[[#This Row],[Crude_Breakdown]],crudeBD.lkup[Crude Breakdown],0)))^2</f>
        <v>0.88299201836648056</v>
      </c>
      <c r="AK490" s="5">
        <f>(vp.data[[#This Row],[Dens]]-INDEX(crudeBD.lkup[Mean_Dens],MATCH(vp.data[[#This Row],[Crude_Breakdown]],crudeBD.lkup[Crude Breakdown],0)))^2</f>
        <v>221.41440000001339</v>
      </c>
      <c r="AL490" s="5">
        <f>(vp.data[[#This Row],[Sulf]]-INDEX(crudeBD.lkup[Mean_Sulf],MATCH(vp.data[[#This Row],[Crude_Breakdown]],crudeBD.lkup[Crude Breakdown],0)))^2</f>
        <v>0.35353949581267191</v>
      </c>
      <c r="AM490" s="4">
        <f>IF(AND(vp.data[[#This Row],[SDate]]&gt;=DATE(YEAR(vp.data[[#This Row],[SDate]]),5,1),vp.data[[#This Row],[SDate]]&lt;=DATE(YEAR(vp.data[[#This Row],[SDate]]),9,15)),1,0)</f>
        <v>0</v>
      </c>
      <c r="AN490" s="4">
        <f>IF(vp.data[[#This Row],[SDate]]&lt;DATE(2016,12,1),0,1)</f>
        <v>1</v>
      </c>
      <c r="AO490" s="4">
        <f>IFERROR(vp.data[[#This Row],[Sulf]]*vp.data[[#This Row],[Net Dens]],"")</f>
        <v>6565736.6636399999</v>
      </c>
      <c r="AP490">
        <f>IFERROR(vp.data[[#This Row],[Dens]]*vp.data[[#This Row],[VolumeM3]],"")</f>
        <v>3316028.6179999998</v>
      </c>
      <c r="AQ490" s="15">
        <f>IFERROR(vp.data[[#This Row],[VP]]*vp.data[[#This Row],[VolumeM3]],"")</f>
        <v>307740.42950000003</v>
      </c>
    </row>
    <row r="491" spans="1:43" x14ac:dyDescent="0.25">
      <c r="A491">
        <v>490</v>
      </c>
      <c r="B491" t="s">
        <v>60</v>
      </c>
      <c r="C491" t="s">
        <v>60</v>
      </c>
      <c r="D491" t="s">
        <v>61</v>
      </c>
      <c r="E491" t="s">
        <v>73</v>
      </c>
      <c r="F491" s="1">
        <v>42738</v>
      </c>
      <c r="G491" s="2">
        <v>80.599999999999994</v>
      </c>
      <c r="H491" s="2"/>
      <c r="I491" s="2">
        <f t="array" ref="I491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491" s="2">
        <v>3.8</v>
      </c>
      <c r="K491" s="2">
        <v>-26</v>
      </c>
      <c r="L491" s="2">
        <v>843.9</v>
      </c>
      <c r="M491" s="2">
        <f t="array" ref="M491">_xlfn.IFNA(IF(vp.data[[#This Row],[Dens Input]]="",INDEX([1]DATA!$O$3:$O$9826,MATCH(1,(vp.data[[#This Row],[Battery]]=[1]DATA!$L$3:$L$9826)*(EOMONTH(vp.data[[#This Row],[SDate]],-1)+1=[1]DATA!$G$3:$G$9826),0)),vp.data[[#This Row],[Dens Input]]),"")</f>
        <v>843.9</v>
      </c>
      <c r="N491" s="2">
        <f ca="1">INDEX(INDIRECT(_xlfn.CONCAT("weather.tbl[",N$1,"]")),MATCH(vp.data[[#This Row],[SDate]],weather.tbl[Date],0))</f>
        <v>-22.366666666666671</v>
      </c>
      <c r="O491" s="2">
        <f ca="1">INDEX(INDIRECT(_xlfn.CONCAT("weather.tbl[",O$1,"]")),MATCH(vp.data[[#This Row],[SDate]],weather.tbl[Date],0))</f>
        <v>-13.519047619047623</v>
      </c>
      <c r="P491" s="2">
        <f ca="1">INDEX(INDIRECT(_xlfn.CONCAT("weather.tbl[",P$1,"]")),MATCH(vp.data[[#This Row],[SDate]],weather.tbl[Date],0))</f>
        <v>-24.1</v>
      </c>
      <c r="Q491" s="2">
        <f ca="1">INDEX(INDIRECT(_xlfn.CONCAT("weather.tbl[",Q$1,"]")),MATCH(vp.data[[#This Row],[SDate]],weather.tbl[Date],0))</f>
        <v>-23.6</v>
      </c>
      <c r="R491" s="2">
        <f ca="1">INDEX(INDIRECT(_xlfn.CONCAT("weather.tbl[",R$1,"]")),MATCH(vp.data[[#This Row],[SDate]],weather.tbl[Date],0))</f>
        <v>-16.5</v>
      </c>
      <c r="S491" s="2">
        <f ca="1">INDEX(INDIRECT(_xlfn.CONCAT("weather.tbl[",S$1,"]")),MATCH(vp.data[[#This Row],[SDate]],weather.tbl[Date],0))</f>
        <v>-22.6</v>
      </c>
      <c r="T491" s="2">
        <f ca="1">INDEX(INDIRECT(_xlfn.CONCAT("weather.tbl[",T$1,"]")),MATCH(vp.data[[#This Row],[SDate]],weather.tbl[Date],0))</f>
        <v>-23.1</v>
      </c>
      <c r="U491" s="2">
        <f ca="1">INDEX(INDIRECT(_xlfn.CONCAT("weather.tbl[",U$1,"]")),MATCH(vp.data[[#This Row],[SDate]],weather.tbl[Date],0))</f>
        <v>-24.3</v>
      </c>
      <c r="V491" s="2">
        <f t="array" ref="V4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491" t="s">
        <v>48</v>
      </c>
      <c r="X491">
        <f>IF(OR(vp.data[[#This Row],[Sulf]]="",vp.data[[#This Row],[Dens]]=""),1,0)</f>
        <v>0</v>
      </c>
      <c r="Y491">
        <f>IF(vp.data[[#This Row],[CrudeType]]="C5+",1,0)</f>
        <v>0</v>
      </c>
      <c r="Z491">
        <f>IF(AND(vp.data[[#This Row],[CrudeType]]="Crude",vp.data[[#This Row],[Dens]]&lt;=825,vp.data[[#This Row],[Sulf]]&gt;0.5,vp.data[[#This Row],[Unknown]]=0),1,0)</f>
        <v>0</v>
      </c>
      <c r="AA491">
        <f>IF(AND(vp.data[[#This Row],[CrudeType]]="Crude",vp.data[[#This Row],[Dens]]&lt;=825,vp.data[[#This Row],[Sulf]]&lt;=0.5,vp.data[[#This Row],[Unknown]]=0),1,0)</f>
        <v>0</v>
      </c>
      <c r="AB4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91">
        <f>IF(AND(vp.data[[#This Row],[CrudeType]]="Crude",vp.data[[#This Row],[Dens]]&gt;825,vp.data[[#This Row],[Dens]]&lt;=900,vp.data[[#This Row],[Sulf]]&lt;=0.5,vp.data[[#This Row],[Unknown]]=0),1,0)</f>
        <v>0</v>
      </c>
      <c r="AD491">
        <f>IF(AND(vp.data[[#This Row],[CrudeType]]="Crude",vp.data[[#This Row],[Dens]]&gt;865,vp.data[[#This Row],[Dens]]&lt;=900,vp.data[[#This Row],[Sulf]]&gt;2,vp.data[[#This Row],[Unknown]]=0),1,0)</f>
        <v>0</v>
      </c>
      <c r="AE491">
        <f>IF(AND(vp.data[[#This Row],[CrudeType]]="Crude",vp.data[[#This Row],[Dens]]&gt;900,vp.data[[#This Row],[Sulf]]&lt;=0.5,vp.data[[#This Row],[Unknown]]=0),1,0)</f>
        <v>0</v>
      </c>
      <c r="AF491">
        <f>IF(AND(vp.data[[#This Row],[CrudeType]]="Crude",vp.data[[#This Row],[Dens]]&gt;900,vp.data[[#This Row],[Sulf]]&lt;=0.5,vp.data[[#This Row],[Unknown]]=0),1,0)</f>
        <v>0</v>
      </c>
      <c r="AG491" t="str">
        <f>INDEX(vp.data[[#Headers],[Unknown]:[Heavy_SW]],MATCH(1,vp.data[[#This Row],[Unknown]:[Heavy_SW]],0))</f>
        <v>Medium_LSB</v>
      </c>
      <c r="AH491">
        <f>INDEX([3]!crudeBD.lkup[Number],MATCH(vp.data[[#This Row],[Crude_Breakdown]],crudeBD.lkup[Crude Breakdown],0))</f>
        <v>3</v>
      </c>
      <c r="AI491">
        <f>MONTH(vp.data[[#This Row],[SDate]])</f>
        <v>1</v>
      </c>
      <c r="AJ491" s="5">
        <f>(vp.data[[#This Row],[VP]]-INDEX(crudeBD.lkup[Mean_VP],MATCH(vp.data[[#This Row],[Crude_Breakdown]],crudeBD.lkup[Crude Breakdown],0)))^2</f>
        <v>1.5742286092027839E-3</v>
      </c>
      <c r="AK491" s="5">
        <f>(vp.data[[#This Row],[Dens]]-INDEX(crudeBD.lkup[Mean_Dens],MATCH(vp.data[[#This Row],[Crude_Breakdown]],crudeBD.lkup[Crude Breakdown],0)))^2</f>
        <v>3.9999999998108253E-4</v>
      </c>
      <c r="AL491" s="5">
        <f>(vp.data[[#This Row],[Sulf]]-INDEX(crudeBD.lkup[Mean_Sulf],MATCH(vp.data[[#This Row],[Crude_Breakdown]],crudeBD.lkup[Crude Breakdown],0)))^2</f>
        <v>2.4151685839628387E-2</v>
      </c>
      <c r="AM491" s="4">
        <f>IF(AND(vp.data[[#This Row],[SDate]]&gt;=DATE(YEAR(vp.data[[#This Row],[SDate]]),5,1),vp.data[[#This Row],[SDate]]&lt;=DATE(YEAR(vp.data[[#This Row],[SDate]]),9,15)),1,0)</f>
        <v>0</v>
      </c>
      <c r="AN491" s="4">
        <f>IF(vp.data[[#This Row],[SDate]]&lt;DATE(2016,12,1),0,1)</f>
        <v>1</v>
      </c>
      <c r="AO491" s="4">
        <f>IFERROR(vp.data[[#This Row],[Sulf]]*vp.data[[#This Row],[Net Dens]],"")</f>
        <v>109131002.063568</v>
      </c>
      <c r="AP491">
        <f>IFERROR(vp.data[[#This Row],[Dens]]*vp.data[[#This Row],[VolumeM3]],"")</f>
        <v>88724391.921599999</v>
      </c>
      <c r="AQ491" s="15">
        <f>IFERROR(vp.data[[#This Row],[VP]]*vp.data[[#This Row],[VolumeM3]],"")</f>
        <v>8473973.2063999996</v>
      </c>
    </row>
    <row r="492" spans="1:43" x14ac:dyDescent="0.25">
      <c r="A492">
        <v>491</v>
      </c>
      <c r="B492" t="s">
        <v>49</v>
      </c>
      <c r="C492" t="s">
        <v>49</v>
      </c>
      <c r="D492" t="s">
        <v>75</v>
      </c>
      <c r="F492" s="1">
        <v>42738</v>
      </c>
      <c r="G492" s="2">
        <v>99.5</v>
      </c>
      <c r="H492" s="2"/>
      <c r="I492" s="2">
        <f t="array" ref="I492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492" s="2">
        <v>21</v>
      </c>
      <c r="K492" s="2">
        <v>-26</v>
      </c>
      <c r="L492" s="2">
        <v>800.8</v>
      </c>
      <c r="M492" s="2">
        <f t="array" ref="M492">_xlfn.IFNA(IF(vp.data[[#This Row],[Dens Input]]="",INDEX([1]DATA!$O$3:$O$9826,MATCH(1,(vp.data[[#This Row],[Battery]]=[1]DATA!$L$3:$L$9826)*(EOMONTH(vp.data[[#This Row],[SDate]],-1)+1=[1]DATA!$G$3:$G$9826),0)),vp.data[[#This Row],[Dens Input]]),"")</f>
        <v>800.8</v>
      </c>
      <c r="N492" s="2">
        <f ca="1">INDEX(INDIRECT(_xlfn.CONCAT("weather.tbl[",N$1,"]")),MATCH(vp.data[[#This Row],[SDate]],weather.tbl[Date],0))</f>
        <v>-22.366666666666671</v>
      </c>
      <c r="O492" s="2">
        <f ca="1">INDEX(INDIRECT(_xlfn.CONCAT("weather.tbl[",O$1,"]")),MATCH(vp.data[[#This Row],[SDate]],weather.tbl[Date],0))</f>
        <v>-13.519047619047623</v>
      </c>
      <c r="P492" s="2">
        <f ca="1">INDEX(INDIRECT(_xlfn.CONCAT("weather.tbl[",P$1,"]")),MATCH(vp.data[[#This Row],[SDate]],weather.tbl[Date],0))</f>
        <v>-24.1</v>
      </c>
      <c r="Q492" s="2">
        <f ca="1">INDEX(INDIRECT(_xlfn.CONCAT("weather.tbl[",Q$1,"]")),MATCH(vp.data[[#This Row],[SDate]],weather.tbl[Date],0))</f>
        <v>-23.6</v>
      </c>
      <c r="R492" s="2">
        <f ca="1">INDEX(INDIRECT(_xlfn.CONCAT("weather.tbl[",R$1,"]")),MATCH(vp.data[[#This Row],[SDate]],weather.tbl[Date],0))</f>
        <v>-16.5</v>
      </c>
      <c r="S492" s="2">
        <f ca="1">INDEX(INDIRECT(_xlfn.CONCAT("weather.tbl[",S$1,"]")),MATCH(vp.data[[#This Row],[SDate]],weather.tbl[Date],0))</f>
        <v>-22.6</v>
      </c>
      <c r="T492" s="2">
        <f ca="1">INDEX(INDIRECT(_xlfn.CONCAT("weather.tbl[",T$1,"]")),MATCH(vp.data[[#This Row],[SDate]],weather.tbl[Date],0))</f>
        <v>-23.1</v>
      </c>
      <c r="U492" s="2">
        <f ca="1">INDEX(INDIRECT(_xlfn.CONCAT("weather.tbl[",U$1,"]")),MATCH(vp.data[[#This Row],[SDate]],weather.tbl[Date],0))</f>
        <v>-24.3</v>
      </c>
      <c r="V492" s="2">
        <f t="array" ref="V4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492" t="s">
        <v>48</v>
      </c>
      <c r="X492">
        <f>IF(OR(vp.data[[#This Row],[Sulf]]="",vp.data[[#This Row],[Dens]]=""),1,0)</f>
        <v>0</v>
      </c>
      <c r="Y492">
        <f>IF(vp.data[[#This Row],[CrudeType]]="C5+",1,0)</f>
        <v>0</v>
      </c>
      <c r="Z492">
        <f>IF(AND(vp.data[[#This Row],[CrudeType]]="Crude",vp.data[[#This Row],[Dens]]&lt;=825,vp.data[[#This Row],[Sulf]]&gt;0.5,vp.data[[#This Row],[Unknown]]=0),1,0)</f>
        <v>0</v>
      </c>
      <c r="AA492">
        <f>IF(AND(vp.data[[#This Row],[CrudeType]]="Crude",vp.data[[#This Row],[Dens]]&lt;=825,vp.data[[#This Row],[Sulf]]&lt;=0.5,vp.data[[#This Row],[Unknown]]=0),1,0)</f>
        <v>1</v>
      </c>
      <c r="AB4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2">
        <f>IF(AND(vp.data[[#This Row],[CrudeType]]="Crude",vp.data[[#This Row],[Dens]]&gt;825,vp.data[[#This Row],[Dens]]&lt;=900,vp.data[[#This Row],[Sulf]]&lt;=0.5,vp.data[[#This Row],[Unknown]]=0),1,0)</f>
        <v>0</v>
      </c>
      <c r="AD492">
        <f>IF(AND(vp.data[[#This Row],[CrudeType]]="Crude",vp.data[[#This Row],[Dens]]&gt;865,vp.data[[#This Row],[Dens]]&lt;=900,vp.data[[#This Row],[Sulf]]&gt;2,vp.data[[#This Row],[Unknown]]=0),1,0)</f>
        <v>0</v>
      </c>
      <c r="AE492">
        <f>IF(AND(vp.data[[#This Row],[CrudeType]]="Crude",vp.data[[#This Row],[Dens]]&gt;900,vp.data[[#This Row],[Sulf]]&lt;=0.5,vp.data[[#This Row],[Unknown]]=0),1,0)</f>
        <v>0</v>
      </c>
      <c r="AF492">
        <f>IF(AND(vp.data[[#This Row],[CrudeType]]="Crude",vp.data[[#This Row],[Dens]]&gt;900,vp.data[[#This Row],[Sulf]]&lt;=0.5,vp.data[[#This Row],[Unknown]]=0),1,0)</f>
        <v>0</v>
      </c>
      <c r="AG492" t="str">
        <f>INDEX(vp.data[[#Headers],[Unknown]:[Heavy_SW]],MATCH(1,vp.data[[#This Row],[Unknown]:[Heavy_SW]],0))</f>
        <v>Light_SW</v>
      </c>
      <c r="AH492">
        <f>INDEX([3]!crudeBD.lkup[Number],MATCH(vp.data[[#This Row],[Crude_Breakdown]],crudeBD.lkup[Crude Breakdown],0))</f>
        <v>2</v>
      </c>
      <c r="AI492">
        <f>MONTH(vp.data[[#This Row],[SDate]])</f>
        <v>1</v>
      </c>
      <c r="AJ492" s="5">
        <f>(vp.data[[#This Row],[VP]]-INDEX(crudeBD.lkup[Mean_VP],MATCH(vp.data[[#This Row],[Crude_Breakdown]],crudeBD.lkup[Crude Breakdown],0)))^2</f>
        <v>48.298141213320953</v>
      </c>
      <c r="AK492" s="5">
        <f>(vp.data[[#This Row],[Dens]]-INDEX(crudeBD.lkup[Mean_Dens],MATCH(vp.data[[#This Row],[Crude_Breakdown]],crudeBD.lkup[Crude Breakdown],0)))^2</f>
        <v>56.422606077526574</v>
      </c>
      <c r="AL492" s="5">
        <f>(vp.data[[#This Row],[Sulf]]-INDEX(crudeBD.lkup[Mean_Sulf],MATCH(vp.data[[#This Row],[Crude_Breakdown]],crudeBD.lkup[Crude Breakdown],0)))^2</f>
        <v>5.644515043280923E-4</v>
      </c>
      <c r="AM492" s="4">
        <f>IF(AND(vp.data[[#This Row],[SDate]]&gt;=DATE(YEAR(vp.data[[#This Row],[SDate]]),5,1),vp.data[[#This Row],[SDate]]&lt;=DATE(YEAR(vp.data[[#This Row],[SDate]]),9,15)),1,0)</f>
        <v>0</v>
      </c>
      <c r="AN492" s="4">
        <f>IF(vp.data[[#This Row],[SDate]]&lt;DATE(2016,12,1),0,1)</f>
        <v>1</v>
      </c>
      <c r="AO492" s="4">
        <f>IFERROR(vp.data[[#This Row],[Sulf]]*vp.data[[#This Row],[Net Dens]],"")</f>
        <v>2652302.164512</v>
      </c>
      <c r="AP492">
        <f>IFERROR(vp.data[[#This Row],[Dens]]*vp.data[[#This Row],[VolumeM3]],"")</f>
        <v>10201162.1712</v>
      </c>
      <c r="AQ492" s="15">
        <f>IFERROR(vp.data[[#This Row],[VP]]*vp.data[[#This Row],[VolumeM3]],"")</f>
        <v>1267502.0430000001</v>
      </c>
    </row>
    <row r="493" spans="1:43" x14ac:dyDescent="0.25">
      <c r="A493">
        <v>492</v>
      </c>
      <c r="B493" t="s">
        <v>62</v>
      </c>
      <c r="C493" t="s">
        <v>62</v>
      </c>
      <c r="D493" t="s">
        <v>83</v>
      </c>
      <c r="F493" s="1">
        <v>42738</v>
      </c>
      <c r="G493" s="2">
        <v>93.5</v>
      </c>
      <c r="H493" s="2"/>
      <c r="I493" s="2">
        <f t="array" ref="I493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493" s="2">
        <v>4.3</v>
      </c>
      <c r="K493" s="2">
        <v>-26</v>
      </c>
      <c r="L493" s="2">
        <v>804.3</v>
      </c>
      <c r="M493" s="2">
        <f t="array" ref="M493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493" s="2">
        <f ca="1">INDEX(INDIRECT(_xlfn.CONCAT("weather.tbl[",N$1,"]")),MATCH(vp.data[[#This Row],[SDate]],weather.tbl[Date],0))</f>
        <v>-22.366666666666671</v>
      </c>
      <c r="O493" s="2">
        <f ca="1">INDEX(INDIRECT(_xlfn.CONCAT("weather.tbl[",O$1,"]")),MATCH(vp.data[[#This Row],[SDate]],weather.tbl[Date],0))</f>
        <v>-13.519047619047623</v>
      </c>
      <c r="P493" s="2">
        <f ca="1">INDEX(INDIRECT(_xlfn.CONCAT("weather.tbl[",P$1,"]")),MATCH(vp.data[[#This Row],[SDate]],weather.tbl[Date],0))</f>
        <v>-24.1</v>
      </c>
      <c r="Q493" s="2">
        <f ca="1">INDEX(INDIRECT(_xlfn.CONCAT("weather.tbl[",Q$1,"]")),MATCH(vp.data[[#This Row],[SDate]],weather.tbl[Date],0))</f>
        <v>-23.6</v>
      </c>
      <c r="R493" s="2">
        <f ca="1">INDEX(INDIRECT(_xlfn.CONCAT("weather.tbl[",R$1,"]")),MATCH(vp.data[[#This Row],[SDate]],weather.tbl[Date],0))</f>
        <v>-16.5</v>
      </c>
      <c r="S493" s="2">
        <f ca="1">INDEX(INDIRECT(_xlfn.CONCAT("weather.tbl[",S$1,"]")),MATCH(vp.data[[#This Row],[SDate]],weather.tbl[Date],0))</f>
        <v>-22.6</v>
      </c>
      <c r="T493" s="2">
        <f ca="1">INDEX(INDIRECT(_xlfn.CONCAT("weather.tbl[",T$1,"]")),MATCH(vp.data[[#This Row],[SDate]],weather.tbl[Date],0))</f>
        <v>-23.1</v>
      </c>
      <c r="U493" s="2">
        <f ca="1">INDEX(INDIRECT(_xlfn.CONCAT("weather.tbl[",U$1,"]")),MATCH(vp.data[[#This Row],[SDate]],weather.tbl[Date],0))</f>
        <v>-24.3</v>
      </c>
      <c r="V493" s="2">
        <f t="array" ref="V4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493" t="s">
        <v>48</v>
      </c>
      <c r="X493">
        <f>IF(OR(vp.data[[#This Row],[Sulf]]="",vp.data[[#This Row],[Dens]]=""),1,0)</f>
        <v>0</v>
      </c>
      <c r="Y493">
        <f>IF(vp.data[[#This Row],[CrudeType]]="C5+",1,0)</f>
        <v>0</v>
      </c>
      <c r="Z493">
        <f>IF(AND(vp.data[[#This Row],[CrudeType]]="Crude",vp.data[[#This Row],[Dens]]&lt;=825,vp.data[[#This Row],[Sulf]]&gt;0.5,vp.data[[#This Row],[Unknown]]=0),1,0)</f>
        <v>0</v>
      </c>
      <c r="AA493">
        <f>IF(AND(vp.data[[#This Row],[CrudeType]]="Crude",vp.data[[#This Row],[Dens]]&lt;=825,vp.data[[#This Row],[Sulf]]&lt;=0.5,vp.data[[#This Row],[Unknown]]=0),1,0)</f>
        <v>1</v>
      </c>
      <c r="AB4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3">
        <f>IF(AND(vp.data[[#This Row],[CrudeType]]="Crude",vp.data[[#This Row],[Dens]]&gt;825,vp.data[[#This Row],[Dens]]&lt;=900,vp.data[[#This Row],[Sulf]]&lt;=0.5,vp.data[[#This Row],[Unknown]]=0),1,0)</f>
        <v>0</v>
      </c>
      <c r="AD493">
        <f>IF(AND(vp.data[[#This Row],[CrudeType]]="Crude",vp.data[[#This Row],[Dens]]&gt;865,vp.data[[#This Row],[Dens]]&lt;=900,vp.data[[#This Row],[Sulf]]&gt;2,vp.data[[#This Row],[Unknown]]=0),1,0)</f>
        <v>0</v>
      </c>
      <c r="AE493">
        <f>IF(AND(vp.data[[#This Row],[CrudeType]]="Crude",vp.data[[#This Row],[Dens]]&gt;900,vp.data[[#This Row],[Sulf]]&lt;=0.5,vp.data[[#This Row],[Unknown]]=0),1,0)</f>
        <v>0</v>
      </c>
      <c r="AF493">
        <f>IF(AND(vp.data[[#This Row],[CrudeType]]="Crude",vp.data[[#This Row],[Dens]]&gt;900,vp.data[[#This Row],[Sulf]]&lt;=0.5,vp.data[[#This Row],[Unknown]]=0),1,0)</f>
        <v>0</v>
      </c>
      <c r="AG493" t="str">
        <f>INDEX(vp.data[[#Headers],[Unknown]:[Heavy_SW]],MATCH(1,vp.data[[#This Row],[Unknown]:[Heavy_SW]],0))</f>
        <v>Light_SW</v>
      </c>
      <c r="AH493">
        <f>INDEX([3]!crudeBD.lkup[Number],MATCH(vp.data[[#This Row],[Crude_Breakdown]],crudeBD.lkup[Crude Breakdown],0))</f>
        <v>2</v>
      </c>
      <c r="AI493">
        <f>MONTH(vp.data[[#This Row],[SDate]])</f>
        <v>1</v>
      </c>
      <c r="AJ493" s="5">
        <f>(vp.data[[#This Row],[VP]]-INDEX(crudeBD.lkup[Mean_VP],MATCH(vp.data[[#This Row],[Crude_Breakdown]],crudeBD.lkup[Crude Breakdown],0)))^2</f>
        <v>0.90190427952269203</v>
      </c>
      <c r="AK493" s="5">
        <f>(vp.data[[#This Row],[Dens]]-INDEX(crudeBD.lkup[Mean_Dens],MATCH(vp.data[[#This Row],[Crude_Breakdown]],crudeBD.lkup[Crude Breakdown],0)))^2</f>
        <v>16.092118272649731</v>
      </c>
      <c r="AL493" s="5">
        <f>(vp.data[[#This Row],[Sulf]]-INDEX(crudeBD.lkup[Mean_Sulf],MATCH(vp.data[[#This Row],[Crude_Breakdown]],crudeBD.lkup[Crude Breakdown],0)))^2</f>
        <v>4.3879776367322437E-3</v>
      </c>
      <c r="AM493" s="4">
        <f>IF(AND(vp.data[[#This Row],[SDate]]&gt;=DATE(YEAR(vp.data[[#This Row],[SDate]]),5,1),vp.data[[#This Row],[SDate]]&lt;=DATE(YEAR(vp.data[[#This Row],[SDate]]),9,15)),1,0)</f>
        <v>0</v>
      </c>
      <c r="AN493" s="4">
        <f>IF(vp.data[[#This Row],[SDate]]&lt;DATE(2016,12,1),0,1)</f>
        <v>1</v>
      </c>
      <c r="AO493" s="4">
        <f>IFERROR(vp.data[[#This Row],[Sulf]]*vp.data[[#This Row],[Net Dens]],"")</f>
        <v>1213254.361914</v>
      </c>
      <c r="AP493">
        <f>IFERROR(vp.data[[#This Row],[Dens]]*vp.data[[#This Row],[VolumeM3]],"")</f>
        <v>7136790.3641999997</v>
      </c>
      <c r="AQ493" s="15">
        <f>IFERROR(vp.data[[#This Row],[VP]]*vp.data[[#This Row],[VolumeM3]],"")</f>
        <v>829652.98899999994</v>
      </c>
    </row>
    <row r="494" spans="1:43" x14ac:dyDescent="0.25">
      <c r="A494">
        <v>493</v>
      </c>
      <c r="B494" t="s">
        <v>62</v>
      </c>
      <c r="C494" t="s">
        <v>62</v>
      </c>
      <c r="D494" t="s">
        <v>79</v>
      </c>
      <c r="F494" s="1">
        <v>42738</v>
      </c>
      <c r="G494" s="2">
        <v>98.8</v>
      </c>
      <c r="H494" s="2"/>
      <c r="I494" s="2">
        <f t="array" ref="I494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494" s="2">
        <v>15.2</v>
      </c>
      <c r="K494" s="2">
        <v>-26</v>
      </c>
      <c r="L494" s="2">
        <v>804.5</v>
      </c>
      <c r="M494" s="2">
        <f t="array" ref="M494">_xlfn.IFNA(IF(vp.data[[#This Row],[Dens Input]]="",INDEX([1]DATA!$O$3:$O$9826,MATCH(1,(vp.data[[#This Row],[Battery]]=[1]DATA!$L$3:$L$9826)*(EOMONTH(vp.data[[#This Row],[SDate]],-1)+1=[1]DATA!$G$3:$G$9826),0)),vp.data[[#This Row],[Dens Input]]),"")</f>
        <v>804.5</v>
      </c>
      <c r="N494" s="2">
        <f ca="1">INDEX(INDIRECT(_xlfn.CONCAT("weather.tbl[",N$1,"]")),MATCH(vp.data[[#This Row],[SDate]],weather.tbl[Date],0))</f>
        <v>-22.366666666666671</v>
      </c>
      <c r="O494" s="2">
        <f ca="1">INDEX(INDIRECT(_xlfn.CONCAT("weather.tbl[",O$1,"]")),MATCH(vp.data[[#This Row],[SDate]],weather.tbl[Date],0))</f>
        <v>-13.519047619047623</v>
      </c>
      <c r="P494" s="2">
        <f ca="1">INDEX(INDIRECT(_xlfn.CONCAT("weather.tbl[",P$1,"]")),MATCH(vp.data[[#This Row],[SDate]],weather.tbl[Date],0))</f>
        <v>-24.1</v>
      </c>
      <c r="Q494" s="2">
        <f ca="1">INDEX(INDIRECT(_xlfn.CONCAT("weather.tbl[",Q$1,"]")),MATCH(vp.data[[#This Row],[SDate]],weather.tbl[Date],0))</f>
        <v>-23.6</v>
      </c>
      <c r="R494" s="2">
        <f ca="1">INDEX(INDIRECT(_xlfn.CONCAT("weather.tbl[",R$1,"]")),MATCH(vp.data[[#This Row],[SDate]],weather.tbl[Date],0))</f>
        <v>-16.5</v>
      </c>
      <c r="S494" s="2">
        <f ca="1">INDEX(INDIRECT(_xlfn.CONCAT("weather.tbl[",S$1,"]")),MATCH(vp.data[[#This Row],[SDate]],weather.tbl[Date],0))</f>
        <v>-22.6</v>
      </c>
      <c r="T494" s="2">
        <f ca="1">INDEX(INDIRECT(_xlfn.CONCAT("weather.tbl[",T$1,"]")),MATCH(vp.data[[#This Row],[SDate]],weather.tbl[Date],0))</f>
        <v>-23.1</v>
      </c>
      <c r="U494" s="2">
        <f ca="1">INDEX(INDIRECT(_xlfn.CONCAT("weather.tbl[",U$1,"]")),MATCH(vp.data[[#This Row],[SDate]],weather.tbl[Date],0))</f>
        <v>-24.3</v>
      </c>
      <c r="V494" s="2">
        <f t="array" ref="V4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494" t="s">
        <v>48</v>
      </c>
      <c r="X494">
        <f>IF(OR(vp.data[[#This Row],[Sulf]]="",vp.data[[#This Row],[Dens]]=""),1,0)</f>
        <v>0</v>
      </c>
      <c r="Y494">
        <f>IF(vp.data[[#This Row],[CrudeType]]="C5+",1,0)</f>
        <v>0</v>
      </c>
      <c r="Z494">
        <f>IF(AND(vp.data[[#This Row],[CrudeType]]="Crude",vp.data[[#This Row],[Dens]]&lt;=825,vp.data[[#This Row],[Sulf]]&gt;0.5,vp.data[[#This Row],[Unknown]]=0),1,0)</f>
        <v>0</v>
      </c>
      <c r="AA494">
        <f>IF(AND(vp.data[[#This Row],[CrudeType]]="Crude",vp.data[[#This Row],[Dens]]&lt;=825,vp.data[[#This Row],[Sulf]]&lt;=0.5,vp.data[[#This Row],[Unknown]]=0),1,0)</f>
        <v>1</v>
      </c>
      <c r="AB4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4">
        <f>IF(AND(vp.data[[#This Row],[CrudeType]]="Crude",vp.data[[#This Row],[Dens]]&gt;825,vp.data[[#This Row],[Dens]]&lt;=900,vp.data[[#This Row],[Sulf]]&lt;=0.5,vp.data[[#This Row],[Unknown]]=0),1,0)</f>
        <v>0</v>
      </c>
      <c r="AD494">
        <f>IF(AND(vp.data[[#This Row],[CrudeType]]="Crude",vp.data[[#This Row],[Dens]]&gt;865,vp.data[[#This Row],[Dens]]&lt;=900,vp.data[[#This Row],[Sulf]]&gt;2,vp.data[[#This Row],[Unknown]]=0),1,0)</f>
        <v>0</v>
      </c>
      <c r="AE494">
        <f>IF(AND(vp.data[[#This Row],[CrudeType]]="Crude",vp.data[[#This Row],[Dens]]&gt;900,vp.data[[#This Row],[Sulf]]&lt;=0.5,vp.data[[#This Row],[Unknown]]=0),1,0)</f>
        <v>0</v>
      </c>
      <c r="AF494">
        <f>IF(AND(vp.data[[#This Row],[CrudeType]]="Crude",vp.data[[#This Row],[Dens]]&gt;900,vp.data[[#This Row],[Sulf]]&lt;=0.5,vp.data[[#This Row],[Unknown]]=0),1,0)</f>
        <v>0</v>
      </c>
      <c r="AG494" t="str">
        <f>INDEX(vp.data[[#Headers],[Unknown]:[Heavy_SW]],MATCH(1,vp.data[[#This Row],[Unknown]:[Heavy_SW]],0))</f>
        <v>Light_SW</v>
      </c>
      <c r="AH494">
        <f>INDEX([3]!crudeBD.lkup[Number],MATCH(vp.data[[#This Row],[Crude_Breakdown]],crudeBD.lkup[Crude Breakdown],0))</f>
        <v>2</v>
      </c>
      <c r="AI494">
        <f>MONTH(vp.data[[#This Row],[SDate]])</f>
        <v>1</v>
      </c>
      <c r="AJ494" s="5">
        <f>(vp.data[[#This Row],[VP]]-INDEX(crudeBD.lkup[Mean_VP],MATCH(vp.data[[#This Row],[Crude_Breakdown]],crudeBD.lkup[Crude Breakdown],0)))^2</f>
        <v>39.058580237711119</v>
      </c>
      <c r="AK494" s="5">
        <f>(vp.data[[#This Row],[Dens]]-INDEX(crudeBD.lkup[Mean_Dens],MATCH(vp.data[[#This Row],[Crude_Breakdown]],crudeBD.lkup[Crude Breakdown],0)))^2</f>
        <v>14.527518969513565</v>
      </c>
      <c r="AL494" s="5">
        <f>(vp.data[[#This Row],[Sulf]]-INDEX(crudeBD.lkup[Mean_Sulf],MATCH(vp.data[[#This Row],[Crude_Breakdown]],crudeBD.lkup[Crude Breakdown],0)))^2</f>
        <v>1.9147790304605045E-3</v>
      </c>
      <c r="AM494" s="4">
        <f>IF(AND(vp.data[[#This Row],[SDate]]&gt;=DATE(YEAR(vp.data[[#This Row],[SDate]]),5,1),vp.data[[#This Row],[SDate]]&lt;=DATE(YEAR(vp.data[[#This Row],[SDate]]),9,15)),1,0)</f>
        <v>0</v>
      </c>
      <c r="AN494" s="4">
        <f>IF(vp.data[[#This Row],[SDate]]&lt;DATE(2016,12,1),0,1)</f>
        <v>1</v>
      </c>
      <c r="AO494" s="4">
        <f>IFERROR(vp.data[[#This Row],[Sulf]]*vp.data[[#This Row],[Net Dens]],"")</f>
        <v>3161863.7920800005</v>
      </c>
      <c r="AP494">
        <f>IFERROR(vp.data[[#This Row],[Dens]]*vp.data[[#This Row],[VolumeM3]],"")</f>
        <v>11292370.686000001</v>
      </c>
      <c r="AQ494" s="15">
        <f>IFERROR(vp.data[[#This Row],[VP]]*vp.data[[#This Row],[VolumeM3]],"")</f>
        <v>1386806.9904</v>
      </c>
    </row>
    <row r="495" spans="1:43" x14ac:dyDescent="0.25">
      <c r="A495">
        <v>494</v>
      </c>
      <c r="B495" t="s">
        <v>62</v>
      </c>
      <c r="C495" t="s">
        <v>62</v>
      </c>
      <c r="D495" t="s">
        <v>87</v>
      </c>
      <c r="F495" s="1">
        <v>42738</v>
      </c>
      <c r="G495" s="2">
        <v>84.2</v>
      </c>
      <c r="H495" s="2"/>
      <c r="I495" s="2">
        <f t="array" ref="I495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495" s="2">
        <v>8.6999999999999993</v>
      </c>
      <c r="K495" s="2">
        <v>-26</v>
      </c>
      <c r="L495" s="2">
        <v>808.1</v>
      </c>
      <c r="M495" s="2">
        <f t="array" ref="M495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495" s="2">
        <f ca="1">INDEX(INDIRECT(_xlfn.CONCAT("weather.tbl[",N$1,"]")),MATCH(vp.data[[#This Row],[SDate]],weather.tbl[Date],0))</f>
        <v>-22.366666666666671</v>
      </c>
      <c r="O495" s="2">
        <f ca="1">INDEX(INDIRECT(_xlfn.CONCAT("weather.tbl[",O$1,"]")),MATCH(vp.data[[#This Row],[SDate]],weather.tbl[Date],0))</f>
        <v>-13.519047619047623</v>
      </c>
      <c r="P495" s="2">
        <f ca="1">INDEX(INDIRECT(_xlfn.CONCAT("weather.tbl[",P$1,"]")),MATCH(vp.data[[#This Row],[SDate]],weather.tbl[Date],0))</f>
        <v>-24.1</v>
      </c>
      <c r="Q495" s="2">
        <f ca="1">INDEX(INDIRECT(_xlfn.CONCAT("weather.tbl[",Q$1,"]")),MATCH(vp.data[[#This Row],[SDate]],weather.tbl[Date],0))</f>
        <v>-23.6</v>
      </c>
      <c r="R495" s="2">
        <f ca="1">INDEX(INDIRECT(_xlfn.CONCAT("weather.tbl[",R$1,"]")),MATCH(vp.data[[#This Row],[SDate]],weather.tbl[Date],0))</f>
        <v>-16.5</v>
      </c>
      <c r="S495" s="2">
        <f ca="1">INDEX(INDIRECT(_xlfn.CONCAT("weather.tbl[",S$1,"]")),MATCH(vp.data[[#This Row],[SDate]],weather.tbl[Date],0))</f>
        <v>-22.6</v>
      </c>
      <c r="T495" s="2">
        <f ca="1">INDEX(INDIRECT(_xlfn.CONCAT("weather.tbl[",T$1,"]")),MATCH(vp.data[[#This Row],[SDate]],weather.tbl[Date],0))</f>
        <v>-23.1</v>
      </c>
      <c r="U495" s="2">
        <f ca="1">INDEX(INDIRECT(_xlfn.CONCAT("weather.tbl[",U$1,"]")),MATCH(vp.data[[#This Row],[SDate]],weather.tbl[Date],0))</f>
        <v>-24.3</v>
      </c>
      <c r="V495" s="2">
        <f t="array" ref="V4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7624.6970000000001</v>
      </c>
      <c r="W495" t="s">
        <v>48</v>
      </c>
      <c r="X495">
        <f>IF(OR(vp.data[[#This Row],[Sulf]]="",vp.data[[#This Row],[Dens]]=""),1,0)</f>
        <v>0</v>
      </c>
      <c r="Y495">
        <f>IF(vp.data[[#This Row],[CrudeType]]="C5+",1,0)</f>
        <v>0</v>
      </c>
      <c r="Z495">
        <f>IF(AND(vp.data[[#This Row],[CrudeType]]="Crude",vp.data[[#This Row],[Dens]]&lt;=825,vp.data[[#This Row],[Sulf]]&gt;0.5,vp.data[[#This Row],[Unknown]]=0),1,0)</f>
        <v>0</v>
      </c>
      <c r="AA495">
        <f>IF(AND(vp.data[[#This Row],[CrudeType]]="Crude",vp.data[[#This Row],[Dens]]&lt;=825,vp.data[[#This Row],[Sulf]]&lt;=0.5,vp.data[[#This Row],[Unknown]]=0),1,0)</f>
        <v>1</v>
      </c>
      <c r="AB4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5">
        <f>IF(AND(vp.data[[#This Row],[CrudeType]]="Crude",vp.data[[#This Row],[Dens]]&gt;825,vp.data[[#This Row],[Dens]]&lt;=900,vp.data[[#This Row],[Sulf]]&lt;=0.5,vp.data[[#This Row],[Unknown]]=0),1,0)</f>
        <v>0</v>
      </c>
      <c r="AD495">
        <f>IF(AND(vp.data[[#This Row],[CrudeType]]="Crude",vp.data[[#This Row],[Dens]]&gt;865,vp.data[[#This Row],[Dens]]&lt;=900,vp.data[[#This Row],[Sulf]]&gt;2,vp.data[[#This Row],[Unknown]]=0),1,0)</f>
        <v>0</v>
      </c>
      <c r="AE495">
        <f>IF(AND(vp.data[[#This Row],[CrudeType]]="Crude",vp.data[[#This Row],[Dens]]&gt;900,vp.data[[#This Row],[Sulf]]&lt;=0.5,vp.data[[#This Row],[Unknown]]=0),1,0)</f>
        <v>0</v>
      </c>
      <c r="AF495">
        <f>IF(AND(vp.data[[#This Row],[CrudeType]]="Crude",vp.data[[#This Row],[Dens]]&gt;900,vp.data[[#This Row],[Sulf]]&lt;=0.5,vp.data[[#This Row],[Unknown]]=0),1,0)</f>
        <v>0</v>
      </c>
      <c r="AG495" t="str">
        <f>INDEX(vp.data[[#Headers],[Unknown]:[Heavy_SW]],MATCH(1,vp.data[[#This Row],[Unknown]:[Heavy_SW]],0))</f>
        <v>Light_SW</v>
      </c>
      <c r="AH495">
        <f>INDEX([3]!crudeBD.lkup[Number],MATCH(vp.data[[#This Row],[Crude_Breakdown]],crudeBD.lkup[Crude Breakdown],0))</f>
        <v>2</v>
      </c>
      <c r="AI495">
        <f>MONTH(vp.data[[#This Row],[SDate]])</f>
        <v>1</v>
      </c>
      <c r="AJ495" s="5">
        <f>(vp.data[[#This Row],[VP]]-INDEX(crudeBD.lkup[Mean_VP],MATCH(vp.data[[#This Row],[Crude_Breakdown]],crudeBD.lkup[Crude Breakdown],0)))^2</f>
        <v>69.727737032135337</v>
      </c>
      <c r="AK495" s="5">
        <f>(vp.data[[#This Row],[Dens]]-INDEX(crudeBD.lkup[Mean_Dens],MATCH(vp.data[[#This Row],[Crude_Breakdown]],crudeBD.lkup[Crude Breakdown],0)))^2</f>
        <v>4.473151306913524E-2</v>
      </c>
      <c r="AL495" s="5">
        <f>(vp.data[[#This Row],[Sulf]]-INDEX(crudeBD.lkup[Mean_Sulf],MATCH(vp.data[[#This Row],[Crude_Breakdown]],crudeBD.lkup[Crude Breakdown],0)))^2</f>
        <v>2.1383051628646554E-3</v>
      </c>
      <c r="AM495" s="4">
        <f>IF(AND(vp.data[[#This Row],[SDate]]&gt;=DATE(YEAR(vp.data[[#This Row],[SDate]]),5,1),vp.data[[#This Row],[SDate]]&lt;=DATE(YEAR(vp.data[[#This Row],[SDate]]),9,15)),1,0)</f>
        <v>0</v>
      </c>
      <c r="AN495" s="4">
        <f>IF(vp.data[[#This Row],[SDate]]&lt;DATE(2016,12,1),0,1)</f>
        <v>1</v>
      </c>
      <c r="AO495" s="4">
        <f>IFERROR(vp.data[[#This Row],[Sulf]]*vp.data[[#This Row],[Net Dens]],"")</f>
        <v>1170688.352683</v>
      </c>
      <c r="AP495">
        <f>IFERROR(vp.data[[#This Row],[Dens]]*vp.data[[#This Row],[VolumeM3]],"")</f>
        <v>6161517.6457000002</v>
      </c>
      <c r="AQ495" s="15">
        <f>IFERROR(vp.data[[#This Row],[VP]]*vp.data[[#This Row],[VolumeM3]],"")</f>
        <v>641999.48739999998</v>
      </c>
    </row>
    <row r="496" spans="1:43" x14ac:dyDescent="0.25">
      <c r="A496">
        <v>495</v>
      </c>
      <c r="B496" t="s">
        <v>49</v>
      </c>
      <c r="C496" t="s">
        <v>49</v>
      </c>
      <c r="D496" t="s">
        <v>99</v>
      </c>
      <c r="F496" s="1">
        <v>42738</v>
      </c>
      <c r="G496" s="2">
        <v>89.8</v>
      </c>
      <c r="H496" s="2"/>
      <c r="I496" s="2">
        <f t="array" ref="I496">_xlfn.IFNA(IF(vp.data[[#This Row],[Sulf Input]]="",INDEX([1]DATA!$Q$3:$Q$9826,MATCH(1,(vp.data[[#This Row],[Battery]]=[1]DATA!$L$3:$L$9826)*(EOMONTH(vp.data[[#This Row],[SDate]],-1)+1=[1]DATA!$G$3:$G$9826),0)),vp.data[[#This Row],[Sulf Input]]),"")</f>
        <v>0.47</v>
      </c>
      <c r="J496" s="2">
        <v>5</v>
      </c>
      <c r="K496" s="2">
        <v>-26</v>
      </c>
      <c r="L496" s="2">
        <v>812.4</v>
      </c>
      <c r="M496" s="2">
        <f t="array" ref="M496">_xlfn.IFNA(IF(vp.data[[#This Row],[Dens Input]]="",INDEX([1]DATA!$O$3:$O$9826,MATCH(1,(vp.data[[#This Row],[Battery]]=[1]DATA!$L$3:$L$9826)*(EOMONTH(vp.data[[#This Row],[SDate]],-1)+1=[1]DATA!$G$3:$G$9826),0)),vp.data[[#This Row],[Dens Input]]),"")</f>
        <v>812.4</v>
      </c>
      <c r="N496" s="2">
        <f ca="1">INDEX(INDIRECT(_xlfn.CONCAT("weather.tbl[",N$1,"]")),MATCH(vp.data[[#This Row],[SDate]],weather.tbl[Date],0))</f>
        <v>-22.366666666666671</v>
      </c>
      <c r="O496" s="2">
        <f ca="1">INDEX(INDIRECT(_xlfn.CONCAT("weather.tbl[",O$1,"]")),MATCH(vp.data[[#This Row],[SDate]],weather.tbl[Date],0))</f>
        <v>-13.519047619047623</v>
      </c>
      <c r="P496" s="2">
        <f ca="1">INDEX(INDIRECT(_xlfn.CONCAT("weather.tbl[",P$1,"]")),MATCH(vp.data[[#This Row],[SDate]],weather.tbl[Date],0))</f>
        <v>-24.1</v>
      </c>
      <c r="Q496" s="2">
        <f ca="1">INDEX(INDIRECT(_xlfn.CONCAT("weather.tbl[",Q$1,"]")),MATCH(vp.data[[#This Row],[SDate]],weather.tbl[Date],0))</f>
        <v>-23.6</v>
      </c>
      <c r="R496" s="2">
        <f ca="1">INDEX(INDIRECT(_xlfn.CONCAT("weather.tbl[",R$1,"]")),MATCH(vp.data[[#This Row],[SDate]],weather.tbl[Date],0))</f>
        <v>-16.5</v>
      </c>
      <c r="S496" s="2">
        <f ca="1">INDEX(INDIRECT(_xlfn.CONCAT("weather.tbl[",S$1,"]")),MATCH(vp.data[[#This Row],[SDate]],weather.tbl[Date],0))</f>
        <v>-22.6</v>
      </c>
      <c r="T496" s="2">
        <f ca="1">INDEX(INDIRECT(_xlfn.CONCAT("weather.tbl[",T$1,"]")),MATCH(vp.data[[#This Row],[SDate]],weather.tbl[Date],0))</f>
        <v>-23.1</v>
      </c>
      <c r="U496" s="2">
        <f ca="1">INDEX(INDIRECT(_xlfn.CONCAT("weather.tbl[",U$1,"]")),MATCH(vp.data[[#This Row],[SDate]],weather.tbl[Date],0))</f>
        <v>-24.3</v>
      </c>
      <c r="V496" s="2">
        <f t="array" ref="V4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2607.1970000000001</v>
      </c>
      <c r="W496" t="s">
        <v>48</v>
      </c>
      <c r="X496">
        <f>IF(OR(vp.data[[#This Row],[Sulf]]="",vp.data[[#This Row],[Dens]]=""),1,0)</f>
        <v>0</v>
      </c>
      <c r="Y496">
        <f>IF(vp.data[[#This Row],[CrudeType]]="C5+",1,0)</f>
        <v>0</v>
      </c>
      <c r="Z496">
        <f>IF(AND(vp.data[[#This Row],[CrudeType]]="Crude",vp.data[[#This Row],[Dens]]&lt;=825,vp.data[[#This Row],[Sulf]]&gt;0.5,vp.data[[#This Row],[Unknown]]=0),1,0)</f>
        <v>0</v>
      </c>
      <c r="AA496">
        <f>IF(AND(vp.data[[#This Row],[CrudeType]]="Crude",vp.data[[#This Row],[Dens]]&lt;=825,vp.data[[#This Row],[Sulf]]&lt;=0.5,vp.data[[#This Row],[Unknown]]=0),1,0)</f>
        <v>1</v>
      </c>
      <c r="AB4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496">
        <f>IF(AND(vp.data[[#This Row],[CrudeType]]="Crude",vp.data[[#This Row],[Dens]]&gt;825,vp.data[[#This Row],[Dens]]&lt;=900,vp.data[[#This Row],[Sulf]]&lt;=0.5,vp.data[[#This Row],[Unknown]]=0),1,0)</f>
        <v>0</v>
      </c>
      <c r="AD496">
        <f>IF(AND(vp.data[[#This Row],[CrudeType]]="Crude",vp.data[[#This Row],[Dens]]&gt;865,vp.data[[#This Row],[Dens]]&lt;=900,vp.data[[#This Row],[Sulf]]&gt;2,vp.data[[#This Row],[Unknown]]=0),1,0)</f>
        <v>0</v>
      </c>
      <c r="AE496">
        <f>IF(AND(vp.data[[#This Row],[CrudeType]]="Crude",vp.data[[#This Row],[Dens]]&gt;900,vp.data[[#This Row],[Sulf]]&lt;=0.5,vp.data[[#This Row],[Unknown]]=0),1,0)</f>
        <v>0</v>
      </c>
      <c r="AF496">
        <f>IF(AND(vp.data[[#This Row],[CrudeType]]="Crude",vp.data[[#This Row],[Dens]]&gt;900,vp.data[[#This Row],[Sulf]]&lt;=0.5,vp.data[[#This Row],[Unknown]]=0),1,0)</f>
        <v>0</v>
      </c>
      <c r="AG496" t="str">
        <f>INDEX(vp.data[[#Headers],[Unknown]:[Heavy_SW]],MATCH(1,vp.data[[#This Row],[Unknown]:[Heavy_SW]],0))</f>
        <v>Light_SW</v>
      </c>
      <c r="AH496">
        <f>INDEX([3]!crudeBD.lkup[Number],MATCH(vp.data[[#This Row],[Crude_Breakdown]],crudeBD.lkup[Crude Breakdown],0))</f>
        <v>2</v>
      </c>
      <c r="AI496">
        <f>MONTH(vp.data[[#This Row],[SDate]])</f>
        <v>1</v>
      </c>
      <c r="AJ496" s="5">
        <f>(vp.data[[#This Row],[VP]]-INDEX(crudeBD.lkup[Mean_VP],MATCH(vp.data[[#This Row],[Crude_Breakdown]],crudeBD.lkup[Crude Breakdown],0)))^2</f>
        <v>7.5642248370137786</v>
      </c>
      <c r="AK496" s="5">
        <f>(vp.data[[#This Row],[Dens]]-INDEX(crudeBD.lkup[Mean_Dens],MATCH(vp.data[[#This Row],[Crude_Breakdown]],crudeBD.lkup[Crude Breakdown],0)))^2</f>
        <v>16.715846495649235</v>
      </c>
      <c r="AL496" s="5">
        <f>(vp.data[[#This Row],[Sulf]]-INDEX(crudeBD.lkup[Mean_Sulf],MATCH(vp.data[[#This Row],[Crude_Breakdown]],crudeBD.lkup[Crude Breakdown],0)))^2</f>
        <v>5.4642890528718388E-2</v>
      </c>
      <c r="AM496" s="4">
        <f>IF(AND(vp.data[[#This Row],[SDate]]&gt;=DATE(YEAR(vp.data[[#This Row],[SDate]]),5,1),vp.data[[#This Row],[SDate]]&lt;=DATE(YEAR(vp.data[[#This Row],[SDate]]),9,15)),1,0)</f>
        <v>0</v>
      </c>
      <c r="AN496" s="4">
        <f>IF(vp.data[[#This Row],[SDate]]&lt;DATE(2016,12,1),0,1)</f>
        <v>1</v>
      </c>
      <c r="AO496" s="4">
        <f>IFERROR(vp.data[[#This Row],[Sulf]]*vp.data[[#This Row],[Net Dens]],"")</f>
        <v>995500.81611600006</v>
      </c>
      <c r="AP496">
        <f>IFERROR(vp.data[[#This Row],[Dens]]*vp.data[[#This Row],[VolumeM3]],"")</f>
        <v>2118086.8428000002</v>
      </c>
      <c r="AQ496" s="15">
        <f>IFERROR(vp.data[[#This Row],[VP]]*vp.data[[#This Row],[VolumeM3]],"")</f>
        <v>234126.29060000001</v>
      </c>
    </row>
    <row r="497" spans="1:43" x14ac:dyDescent="0.25">
      <c r="A497">
        <v>496</v>
      </c>
      <c r="B497" t="s">
        <v>49</v>
      </c>
      <c r="C497" t="s">
        <v>49</v>
      </c>
      <c r="D497" t="s">
        <v>105</v>
      </c>
      <c r="F497" s="1">
        <v>42738</v>
      </c>
      <c r="G497" s="2">
        <v>83.4</v>
      </c>
      <c r="H497" s="2"/>
      <c r="I497" s="2">
        <f t="array" ref="I497">_xlfn.IFNA(IF(vp.data[[#This Row],[Sulf Input]]="",INDEX([1]DATA!$Q$3:$Q$9826,MATCH(1,(vp.data[[#This Row],[Battery]]=[1]DATA!$L$3:$L$9826)*(EOMONTH(vp.data[[#This Row],[SDate]],-1)+1=[1]DATA!$G$3:$G$9826),0)),vp.data[[#This Row],[Sulf Input]]),"")</f>
        <v>0.69</v>
      </c>
      <c r="J497" s="2">
        <v>24.7</v>
      </c>
      <c r="K497" s="2">
        <v>-26</v>
      </c>
      <c r="L497" s="2">
        <v>830.2</v>
      </c>
      <c r="M497" s="2">
        <f t="array" ref="M497">_xlfn.IFNA(IF(vp.data[[#This Row],[Dens Input]]="",INDEX([1]DATA!$O$3:$O$9826,MATCH(1,(vp.data[[#This Row],[Battery]]=[1]DATA!$L$3:$L$9826)*(EOMONTH(vp.data[[#This Row],[SDate]],-1)+1=[1]DATA!$G$3:$G$9826),0)),vp.data[[#This Row],[Dens Input]]),"")</f>
        <v>830.2</v>
      </c>
      <c r="N497" s="2">
        <f ca="1">INDEX(INDIRECT(_xlfn.CONCAT("weather.tbl[",N$1,"]")),MATCH(vp.data[[#This Row],[SDate]],weather.tbl[Date],0))</f>
        <v>-22.366666666666671</v>
      </c>
      <c r="O497" s="2">
        <f ca="1">INDEX(INDIRECT(_xlfn.CONCAT("weather.tbl[",O$1,"]")),MATCH(vp.data[[#This Row],[SDate]],weather.tbl[Date],0))</f>
        <v>-13.519047619047623</v>
      </c>
      <c r="P497" s="2">
        <f ca="1">INDEX(INDIRECT(_xlfn.CONCAT("weather.tbl[",P$1,"]")),MATCH(vp.data[[#This Row],[SDate]],weather.tbl[Date],0))</f>
        <v>-24.1</v>
      </c>
      <c r="Q497" s="2">
        <f ca="1">INDEX(INDIRECT(_xlfn.CONCAT("weather.tbl[",Q$1,"]")),MATCH(vp.data[[#This Row],[SDate]],weather.tbl[Date],0))</f>
        <v>-23.6</v>
      </c>
      <c r="R497" s="2">
        <f ca="1">INDEX(INDIRECT(_xlfn.CONCAT("weather.tbl[",R$1,"]")),MATCH(vp.data[[#This Row],[SDate]],weather.tbl[Date],0))</f>
        <v>-16.5</v>
      </c>
      <c r="S497" s="2">
        <f ca="1">INDEX(INDIRECT(_xlfn.CONCAT("weather.tbl[",S$1,"]")),MATCH(vp.data[[#This Row],[SDate]],weather.tbl[Date],0))</f>
        <v>-22.6</v>
      </c>
      <c r="T497" s="2">
        <f ca="1">INDEX(INDIRECT(_xlfn.CONCAT("weather.tbl[",T$1,"]")),MATCH(vp.data[[#This Row],[SDate]],weather.tbl[Date],0))</f>
        <v>-23.1</v>
      </c>
      <c r="U497" s="2">
        <f ca="1">INDEX(INDIRECT(_xlfn.CONCAT("weather.tbl[",U$1,"]")),MATCH(vp.data[[#This Row],[SDate]],weather.tbl[Date],0))</f>
        <v>-24.3</v>
      </c>
      <c r="V497" s="2">
        <f t="array" ref="V4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3870.518</v>
      </c>
      <c r="W497" t="s">
        <v>48</v>
      </c>
      <c r="X497">
        <f>IF(OR(vp.data[[#This Row],[Sulf]]="",vp.data[[#This Row],[Dens]]=""),1,0)</f>
        <v>0</v>
      </c>
      <c r="Y497">
        <f>IF(vp.data[[#This Row],[CrudeType]]="C5+",1,0)</f>
        <v>0</v>
      </c>
      <c r="Z497">
        <f>IF(AND(vp.data[[#This Row],[CrudeType]]="Crude",vp.data[[#This Row],[Dens]]&lt;=825,vp.data[[#This Row],[Sulf]]&gt;0.5,vp.data[[#This Row],[Unknown]]=0),1,0)</f>
        <v>0</v>
      </c>
      <c r="AA497">
        <f>IF(AND(vp.data[[#This Row],[CrudeType]]="Crude",vp.data[[#This Row],[Dens]]&lt;=825,vp.data[[#This Row],[Sulf]]&lt;=0.5,vp.data[[#This Row],[Unknown]]=0),1,0)</f>
        <v>0</v>
      </c>
      <c r="AB4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97">
        <f>IF(AND(vp.data[[#This Row],[CrudeType]]="Crude",vp.data[[#This Row],[Dens]]&gt;825,vp.data[[#This Row],[Dens]]&lt;=900,vp.data[[#This Row],[Sulf]]&lt;=0.5,vp.data[[#This Row],[Unknown]]=0),1,0)</f>
        <v>0</v>
      </c>
      <c r="AD497">
        <f>IF(AND(vp.data[[#This Row],[CrudeType]]="Crude",vp.data[[#This Row],[Dens]]&gt;865,vp.data[[#This Row],[Dens]]&lt;=900,vp.data[[#This Row],[Sulf]]&gt;2,vp.data[[#This Row],[Unknown]]=0),1,0)</f>
        <v>0</v>
      </c>
      <c r="AE497">
        <f>IF(AND(vp.data[[#This Row],[CrudeType]]="Crude",vp.data[[#This Row],[Dens]]&gt;900,vp.data[[#This Row],[Sulf]]&lt;=0.5,vp.data[[#This Row],[Unknown]]=0),1,0)</f>
        <v>0</v>
      </c>
      <c r="AF497">
        <f>IF(AND(vp.data[[#This Row],[CrudeType]]="Crude",vp.data[[#This Row],[Dens]]&gt;900,vp.data[[#This Row],[Sulf]]&lt;=0.5,vp.data[[#This Row],[Unknown]]=0),1,0)</f>
        <v>0</v>
      </c>
      <c r="AG497" t="str">
        <f>INDEX(vp.data[[#Headers],[Unknown]:[Heavy_SW]],MATCH(1,vp.data[[#This Row],[Unknown]:[Heavy_SW]],0))</f>
        <v>Medium_LSB</v>
      </c>
      <c r="AH497">
        <f>INDEX([3]!crudeBD.lkup[Number],MATCH(vp.data[[#This Row],[Crude_Breakdown]],crudeBD.lkup[Crude Breakdown],0))</f>
        <v>3</v>
      </c>
      <c r="AI497">
        <f>MONTH(vp.data[[#This Row],[SDate]])</f>
        <v>1</v>
      </c>
      <c r="AJ497" s="5">
        <f>(vp.data[[#This Row],[VP]]-INDEX(crudeBD.lkup[Mean_VP],MATCH(vp.data[[#This Row],[Crude_Breakdown]],crudeBD.lkup[Crude Breakdown],0)))^2</f>
        <v>7.6193855493643516</v>
      </c>
      <c r="AK497" s="5">
        <f>(vp.data[[#This Row],[Dens]]-INDEX(crudeBD.lkup[Mean_Dens],MATCH(vp.data[[#This Row],[Crude_Breakdown]],crudeBD.lkup[Crude Breakdown],0)))^2</f>
        <v>188.23839999998515</v>
      </c>
      <c r="AL497" s="5">
        <f>(vp.data[[#This Row],[Sulf]]-INDEX(crudeBD.lkup[Mean_Sulf],MATCH(vp.data[[#This Row],[Crude_Breakdown]],crudeBD.lkup[Crude Breakdown],0)))^2</f>
        <v>0.4835924626590371</v>
      </c>
      <c r="AM497" s="4">
        <f>IF(AND(vp.data[[#This Row],[SDate]]&gt;=DATE(YEAR(vp.data[[#This Row],[SDate]]),5,1),vp.data[[#This Row],[SDate]]&lt;=DATE(YEAR(vp.data[[#This Row],[SDate]]),9,15)),1,0)</f>
        <v>0</v>
      </c>
      <c r="AN497" s="4">
        <f>IF(vp.data[[#This Row],[SDate]]&lt;DATE(2016,12,1),0,1)</f>
        <v>1</v>
      </c>
      <c r="AO497" s="4">
        <f>IFERROR(vp.data[[#This Row],[Sulf]]*vp.data[[#This Row],[Net Dens]],"")</f>
        <v>2217179.7900839997</v>
      </c>
      <c r="AP497">
        <f>IFERROR(vp.data[[#This Row],[Dens]]*vp.data[[#This Row],[VolumeM3]],"")</f>
        <v>3213304.0436</v>
      </c>
      <c r="AQ497" s="15">
        <f>IFERROR(vp.data[[#This Row],[VP]]*vp.data[[#This Row],[VolumeM3]],"")</f>
        <v>322801.20120000001</v>
      </c>
    </row>
    <row r="498" spans="1:43" x14ac:dyDescent="0.25">
      <c r="A498">
        <v>497</v>
      </c>
      <c r="B498" t="s">
        <v>51</v>
      </c>
      <c r="C498" t="s">
        <v>51</v>
      </c>
      <c r="D498" t="s">
        <v>95</v>
      </c>
      <c r="F498" s="1">
        <v>42738</v>
      </c>
      <c r="G498" s="2">
        <v>69.2</v>
      </c>
      <c r="H498" s="2"/>
      <c r="I498" s="2">
        <f t="array" ref="I498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498" s="2">
        <v>28.9</v>
      </c>
      <c r="K498" s="2">
        <v>-26</v>
      </c>
      <c r="L498" s="2">
        <v>843.8</v>
      </c>
      <c r="M498" s="2">
        <f t="array" ref="M498">_xlfn.IFNA(IF(vp.data[[#This Row],[Dens Input]]="",INDEX([1]DATA!$O$3:$O$9826,MATCH(1,(vp.data[[#This Row],[Battery]]=[1]DATA!$L$3:$L$9826)*(EOMONTH(vp.data[[#This Row],[SDate]],-1)+1=[1]DATA!$G$3:$G$9826),0)),vp.data[[#This Row],[Dens Input]]),"")</f>
        <v>843.8</v>
      </c>
      <c r="N498" s="2">
        <f ca="1">INDEX(INDIRECT(_xlfn.CONCAT("weather.tbl[",N$1,"]")),MATCH(vp.data[[#This Row],[SDate]],weather.tbl[Date],0))</f>
        <v>-22.366666666666671</v>
      </c>
      <c r="O498" s="2">
        <f ca="1">INDEX(INDIRECT(_xlfn.CONCAT("weather.tbl[",O$1,"]")),MATCH(vp.data[[#This Row],[SDate]],weather.tbl[Date],0))</f>
        <v>-13.519047619047623</v>
      </c>
      <c r="P498" s="2">
        <f ca="1">INDEX(INDIRECT(_xlfn.CONCAT("weather.tbl[",P$1,"]")),MATCH(vp.data[[#This Row],[SDate]],weather.tbl[Date],0))</f>
        <v>-24.1</v>
      </c>
      <c r="Q498" s="2">
        <f ca="1">INDEX(INDIRECT(_xlfn.CONCAT("weather.tbl[",Q$1,"]")),MATCH(vp.data[[#This Row],[SDate]],weather.tbl[Date],0))</f>
        <v>-23.6</v>
      </c>
      <c r="R498" s="2">
        <f ca="1">INDEX(INDIRECT(_xlfn.CONCAT("weather.tbl[",R$1,"]")),MATCH(vp.data[[#This Row],[SDate]],weather.tbl[Date],0))</f>
        <v>-16.5</v>
      </c>
      <c r="S498" s="2">
        <f ca="1">INDEX(INDIRECT(_xlfn.CONCAT("weather.tbl[",S$1,"]")),MATCH(vp.data[[#This Row],[SDate]],weather.tbl[Date],0))</f>
        <v>-22.6</v>
      </c>
      <c r="T498" s="2">
        <f ca="1">INDEX(INDIRECT(_xlfn.CONCAT("weather.tbl[",T$1,"]")),MATCH(vp.data[[#This Row],[SDate]],weather.tbl[Date],0))</f>
        <v>-23.1</v>
      </c>
      <c r="U498" s="2">
        <f ca="1">INDEX(INDIRECT(_xlfn.CONCAT("weather.tbl[",U$1,"]")),MATCH(vp.data[[#This Row],[SDate]],weather.tbl[Date],0))</f>
        <v>-24.3</v>
      </c>
      <c r="V498" s="2">
        <f t="array" ref="V4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6182.9449999999997</v>
      </c>
      <c r="W498" t="s">
        <v>48</v>
      </c>
      <c r="X498">
        <f>IF(OR(vp.data[[#This Row],[Sulf]]="",vp.data[[#This Row],[Dens]]=""),1,0)</f>
        <v>0</v>
      </c>
      <c r="Y498">
        <f>IF(vp.data[[#This Row],[CrudeType]]="C5+",1,0)</f>
        <v>0</v>
      </c>
      <c r="Z498">
        <f>IF(AND(vp.data[[#This Row],[CrudeType]]="Crude",vp.data[[#This Row],[Dens]]&lt;=825,vp.data[[#This Row],[Sulf]]&gt;0.5,vp.data[[#This Row],[Unknown]]=0),1,0)</f>
        <v>0</v>
      </c>
      <c r="AA498">
        <f>IF(AND(vp.data[[#This Row],[CrudeType]]="Crude",vp.data[[#This Row],[Dens]]&lt;=825,vp.data[[#This Row],[Sulf]]&lt;=0.5,vp.data[[#This Row],[Unknown]]=0),1,0)</f>
        <v>0</v>
      </c>
      <c r="AB4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98">
        <f>IF(AND(vp.data[[#This Row],[CrudeType]]="Crude",vp.data[[#This Row],[Dens]]&gt;825,vp.data[[#This Row],[Dens]]&lt;=900,vp.data[[#This Row],[Sulf]]&lt;=0.5,vp.data[[#This Row],[Unknown]]=0),1,0)</f>
        <v>0</v>
      </c>
      <c r="AD498">
        <f>IF(AND(vp.data[[#This Row],[CrudeType]]="Crude",vp.data[[#This Row],[Dens]]&gt;865,vp.data[[#This Row],[Dens]]&lt;=900,vp.data[[#This Row],[Sulf]]&gt;2,vp.data[[#This Row],[Unknown]]=0),1,0)</f>
        <v>0</v>
      </c>
      <c r="AE498">
        <f>IF(AND(vp.data[[#This Row],[CrudeType]]="Crude",vp.data[[#This Row],[Dens]]&gt;900,vp.data[[#This Row],[Sulf]]&lt;=0.5,vp.data[[#This Row],[Unknown]]=0),1,0)</f>
        <v>0</v>
      </c>
      <c r="AF498">
        <f>IF(AND(vp.data[[#This Row],[CrudeType]]="Crude",vp.data[[#This Row],[Dens]]&gt;900,vp.data[[#This Row],[Sulf]]&lt;=0.5,vp.data[[#This Row],[Unknown]]=0),1,0)</f>
        <v>0</v>
      </c>
      <c r="AG498" t="str">
        <f>INDEX(vp.data[[#Headers],[Unknown]:[Heavy_SW]],MATCH(1,vp.data[[#This Row],[Unknown]:[Heavy_SW]],0))</f>
        <v>Medium_LSB</v>
      </c>
      <c r="AH498">
        <f>INDEX([3]!crudeBD.lkup[Number],MATCH(vp.data[[#This Row],[Crude_Breakdown]],crudeBD.lkup[Crude Breakdown],0))</f>
        <v>3</v>
      </c>
      <c r="AI498">
        <f>MONTH(vp.data[[#This Row],[SDate]])</f>
        <v>1</v>
      </c>
      <c r="AJ498" s="5">
        <f>(vp.data[[#This Row],[VP]]-INDEX(crudeBD.lkup[Mean_VP],MATCH(vp.data[[#This Row],[Crude_Breakdown]],crudeBD.lkup[Crude Breakdown],0)))^2</f>
        <v>130.86619956553474</v>
      </c>
      <c r="AK498" s="5">
        <f>(vp.data[[#This Row],[Dens]]-INDEX(crudeBD.lkup[Mean_Dens],MATCH(vp.data[[#This Row],[Crude_Breakdown]],crudeBD.lkup[Crude Breakdown],0)))^2</f>
        <v>1.4399999999891952E-2</v>
      </c>
      <c r="AL498" s="5">
        <f>(vp.data[[#This Row],[Sulf]]-INDEX(crudeBD.lkup[Mean_Sulf],MATCH(vp.data[[#This Row],[Crude_Breakdown]],crudeBD.lkup[Crude Breakdown],0)))^2</f>
        <v>2.7359848373321144E-2</v>
      </c>
      <c r="AM498" s="4">
        <f>IF(AND(vp.data[[#This Row],[SDate]]&gt;=DATE(YEAR(vp.data[[#This Row],[SDate]]),5,1),vp.data[[#This Row],[SDate]]&lt;=DATE(YEAR(vp.data[[#This Row],[SDate]]),9,15)),1,0)</f>
        <v>0</v>
      </c>
      <c r="AN498" s="4">
        <f>IF(vp.data[[#This Row],[SDate]]&lt;DATE(2016,12,1),0,1)</f>
        <v>1</v>
      </c>
      <c r="AO498" s="4">
        <f>IFERROR(vp.data[[#This Row],[Sulf]]*vp.data[[#This Row],[Net Dens]],"")</f>
        <v>6364946.169019999</v>
      </c>
      <c r="AP498">
        <f>IFERROR(vp.data[[#This Row],[Dens]]*vp.data[[#This Row],[VolumeM3]],"")</f>
        <v>5217168.9909999995</v>
      </c>
      <c r="AQ498" s="15">
        <f>IFERROR(vp.data[[#This Row],[VP]]*vp.data[[#This Row],[VolumeM3]],"")</f>
        <v>427859.79399999999</v>
      </c>
    </row>
    <row r="499" spans="1:43" x14ac:dyDescent="0.25">
      <c r="A499">
        <v>498</v>
      </c>
      <c r="B499" t="s">
        <v>49</v>
      </c>
      <c r="C499" t="s">
        <v>49</v>
      </c>
      <c r="D499" t="s">
        <v>90</v>
      </c>
      <c r="F499" s="1">
        <v>42738</v>
      </c>
      <c r="G499" s="2">
        <v>80.2</v>
      </c>
      <c r="H499" s="2"/>
      <c r="I499" s="2">
        <f t="array" ref="I499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499" s="2">
        <v>8.8000000000000007</v>
      </c>
      <c r="K499" s="2">
        <v>-26</v>
      </c>
      <c r="L499" s="2">
        <v>843.9</v>
      </c>
      <c r="M499" s="2">
        <f t="array" ref="M499">_xlfn.IFNA(IF(vp.data[[#This Row],[Dens Input]]="",INDEX([1]DATA!$O$3:$O$9826,MATCH(1,(vp.data[[#This Row],[Battery]]=[1]DATA!$L$3:$L$9826)*(EOMONTH(vp.data[[#This Row],[SDate]],-1)+1=[1]DATA!$G$3:$G$9826),0)),vp.data[[#This Row],[Dens Input]]),"")</f>
        <v>843.9</v>
      </c>
      <c r="N499" s="2">
        <f ca="1">INDEX(INDIRECT(_xlfn.CONCAT("weather.tbl[",N$1,"]")),MATCH(vp.data[[#This Row],[SDate]],weather.tbl[Date],0))</f>
        <v>-22.366666666666671</v>
      </c>
      <c r="O499" s="2">
        <f ca="1">INDEX(INDIRECT(_xlfn.CONCAT("weather.tbl[",O$1,"]")),MATCH(vp.data[[#This Row],[SDate]],weather.tbl[Date],0))</f>
        <v>-13.519047619047623</v>
      </c>
      <c r="P499" s="2">
        <f ca="1">INDEX(INDIRECT(_xlfn.CONCAT("weather.tbl[",P$1,"]")),MATCH(vp.data[[#This Row],[SDate]],weather.tbl[Date],0))</f>
        <v>-24.1</v>
      </c>
      <c r="Q499" s="2">
        <f ca="1">INDEX(INDIRECT(_xlfn.CONCAT("weather.tbl[",Q$1,"]")),MATCH(vp.data[[#This Row],[SDate]],weather.tbl[Date],0))</f>
        <v>-23.6</v>
      </c>
      <c r="R499" s="2">
        <f ca="1">INDEX(INDIRECT(_xlfn.CONCAT("weather.tbl[",R$1,"]")),MATCH(vp.data[[#This Row],[SDate]],weather.tbl[Date],0))</f>
        <v>-16.5</v>
      </c>
      <c r="S499" s="2">
        <f ca="1">INDEX(INDIRECT(_xlfn.CONCAT("weather.tbl[",S$1,"]")),MATCH(vp.data[[#This Row],[SDate]],weather.tbl[Date],0))</f>
        <v>-22.6</v>
      </c>
      <c r="T499" s="2">
        <f ca="1">INDEX(INDIRECT(_xlfn.CONCAT("weather.tbl[",T$1,"]")),MATCH(vp.data[[#This Row],[SDate]],weather.tbl[Date],0))</f>
        <v>-23.1</v>
      </c>
      <c r="U499" s="2">
        <f ca="1">INDEX(INDIRECT(_xlfn.CONCAT("weather.tbl[",U$1,"]")),MATCH(vp.data[[#This Row],[SDate]],weather.tbl[Date],0))</f>
        <v>-24.3</v>
      </c>
      <c r="V499" s="2">
        <f t="array" ref="V4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4841.0649999999996</v>
      </c>
      <c r="W499" t="s">
        <v>48</v>
      </c>
      <c r="X499">
        <f>IF(OR(vp.data[[#This Row],[Sulf]]="",vp.data[[#This Row],[Dens]]=""),1,0)</f>
        <v>0</v>
      </c>
      <c r="Y499">
        <f>IF(vp.data[[#This Row],[CrudeType]]="C5+",1,0)</f>
        <v>0</v>
      </c>
      <c r="Z499">
        <f>IF(AND(vp.data[[#This Row],[CrudeType]]="Crude",vp.data[[#This Row],[Dens]]&lt;=825,vp.data[[#This Row],[Sulf]]&gt;0.5,vp.data[[#This Row],[Unknown]]=0),1,0)</f>
        <v>0</v>
      </c>
      <c r="AA499">
        <f>IF(AND(vp.data[[#This Row],[CrudeType]]="Crude",vp.data[[#This Row],[Dens]]&lt;=825,vp.data[[#This Row],[Sulf]]&lt;=0.5,vp.data[[#This Row],[Unknown]]=0),1,0)</f>
        <v>0</v>
      </c>
      <c r="AB4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499">
        <f>IF(AND(vp.data[[#This Row],[CrudeType]]="Crude",vp.data[[#This Row],[Dens]]&gt;825,vp.data[[#This Row],[Dens]]&lt;=900,vp.data[[#This Row],[Sulf]]&lt;=0.5,vp.data[[#This Row],[Unknown]]=0),1,0)</f>
        <v>0</v>
      </c>
      <c r="AD499">
        <f>IF(AND(vp.data[[#This Row],[CrudeType]]="Crude",vp.data[[#This Row],[Dens]]&gt;865,vp.data[[#This Row],[Dens]]&lt;=900,vp.data[[#This Row],[Sulf]]&gt;2,vp.data[[#This Row],[Unknown]]=0),1,0)</f>
        <v>0</v>
      </c>
      <c r="AE499">
        <f>IF(AND(vp.data[[#This Row],[CrudeType]]="Crude",vp.data[[#This Row],[Dens]]&gt;900,vp.data[[#This Row],[Sulf]]&lt;=0.5,vp.data[[#This Row],[Unknown]]=0),1,0)</f>
        <v>0</v>
      </c>
      <c r="AF499">
        <f>IF(AND(vp.data[[#This Row],[CrudeType]]="Crude",vp.data[[#This Row],[Dens]]&gt;900,vp.data[[#This Row],[Sulf]]&lt;=0.5,vp.data[[#This Row],[Unknown]]=0),1,0)</f>
        <v>0</v>
      </c>
      <c r="AG499" t="str">
        <f>INDEX(vp.data[[#Headers],[Unknown]:[Heavy_SW]],MATCH(1,vp.data[[#This Row],[Unknown]:[Heavy_SW]],0))</f>
        <v>Medium_LSB</v>
      </c>
      <c r="AH499">
        <f>INDEX([3]!crudeBD.lkup[Number],MATCH(vp.data[[#This Row],[Crude_Breakdown]],crudeBD.lkup[Crude Breakdown],0))</f>
        <v>3</v>
      </c>
      <c r="AI499">
        <f>MONTH(vp.data[[#This Row],[SDate]])</f>
        <v>1</v>
      </c>
      <c r="AJ499" s="5">
        <f>(vp.data[[#This Row],[VP]]-INDEX(crudeBD.lkup[Mean_VP],MATCH(vp.data[[#This Row],[Crude_Breakdown]],crudeBD.lkup[Crude Breakdown],0)))^2</f>
        <v>0.19331546850132586</v>
      </c>
      <c r="AK499" s="5">
        <f>(vp.data[[#This Row],[Dens]]-INDEX(crudeBD.lkup[Mean_Dens],MATCH(vp.data[[#This Row],[Crude_Breakdown]],crudeBD.lkup[Crude Breakdown],0)))^2</f>
        <v>3.9999999998108253E-4</v>
      </c>
      <c r="AL499" s="5">
        <f>(vp.data[[#This Row],[Sulf]]-INDEX(crudeBD.lkup[Mean_Sulf],MATCH(vp.data[[#This Row],[Crude_Breakdown]],crudeBD.lkup[Crude Breakdown],0)))^2</f>
        <v>4.2782230363935985E-3</v>
      </c>
      <c r="AM499" s="4">
        <f>IF(AND(vp.data[[#This Row],[SDate]]&gt;=DATE(YEAR(vp.data[[#This Row],[SDate]]),5,1),vp.data[[#This Row],[SDate]]&lt;=DATE(YEAR(vp.data[[#This Row],[SDate]]),9,15)),1,0)</f>
        <v>0</v>
      </c>
      <c r="AN499" s="4">
        <f>IF(vp.data[[#This Row],[SDate]]&lt;DATE(2016,12,1),0,1)</f>
        <v>1</v>
      </c>
      <c r="AO499" s="4">
        <f>IFERROR(vp.data[[#This Row],[Sulf]]*vp.data[[#This Row],[Net Dens]],"")</f>
        <v>5392694.6746199997</v>
      </c>
      <c r="AP499">
        <f>IFERROR(vp.data[[#This Row],[Dens]]*vp.data[[#This Row],[VolumeM3]],"")</f>
        <v>4085374.7534999996</v>
      </c>
      <c r="AQ499" s="15">
        <f>IFERROR(vp.data[[#This Row],[VP]]*vp.data[[#This Row],[VolumeM3]],"")</f>
        <v>388253.413</v>
      </c>
    </row>
    <row r="500" spans="1:43" x14ac:dyDescent="0.25">
      <c r="A500">
        <v>499</v>
      </c>
      <c r="B500" t="s">
        <v>49</v>
      </c>
      <c r="C500" t="s">
        <v>49</v>
      </c>
      <c r="D500" t="s">
        <v>59</v>
      </c>
      <c r="F500" s="1">
        <v>42738</v>
      </c>
      <c r="G500" s="2">
        <v>95.1</v>
      </c>
      <c r="H500" s="2"/>
      <c r="I500" s="2">
        <f t="array" ref="I500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500" s="2">
        <v>7.9</v>
      </c>
      <c r="K500" s="2">
        <v>-26</v>
      </c>
      <c r="L500" s="2">
        <v>845.3</v>
      </c>
      <c r="M500" s="2">
        <f t="array" ref="M500">_xlfn.IFNA(IF(vp.data[[#This Row],[Dens Input]]="",INDEX([1]DATA!$O$3:$O$9826,MATCH(1,(vp.data[[#This Row],[Battery]]=[1]DATA!$L$3:$L$9826)*(EOMONTH(vp.data[[#This Row],[SDate]],-1)+1=[1]DATA!$G$3:$G$9826),0)),vp.data[[#This Row],[Dens Input]]),"")</f>
        <v>845.3</v>
      </c>
      <c r="N500" s="2">
        <f ca="1">INDEX(INDIRECT(_xlfn.CONCAT("weather.tbl[",N$1,"]")),MATCH(vp.data[[#This Row],[SDate]],weather.tbl[Date],0))</f>
        <v>-22.366666666666671</v>
      </c>
      <c r="O500" s="2">
        <f ca="1">INDEX(INDIRECT(_xlfn.CONCAT("weather.tbl[",O$1,"]")),MATCH(vp.data[[#This Row],[SDate]],weather.tbl[Date],0))</f>
        <v>-13.519047619047623</v>
      </c>
      <c r="P500" s="2">
        <f ca="1">INDEX(INDIRECT(_xlfn.CONCAT("weather.tbl[",P$1,"]")),MATCH(vp.data[[#This Row],[SDate]],weather.tbl[Date],0))</f>
        <v>-24.1</v>
      </c>
      <c r="Q500" s="2">
        <f ca="1">INDEX(INDIRECT(_xlfn.CONCAT("weather.tbl[",Q$1,"]")),MATCH(vp.data[[#This Row],[SDate]],weather.tbl[Date],0))</f>
        <v>-23.6</v>
      </c>
      <c r="R500" s="2">
        <f ca="1">INDEX(INDIRECT(_xlfn.CONCAT("weather.tbl[",R$1,"]")),MATCH(vp.data[[#This Row],[SDate]],weather.tbl[Date],0))</f>
        <v>-16.5</v>
      </c>
      <c r="S500" s="2">
        <f ca="1">INDEX(INDIRECT(_xlfn.CONCAT("weather.tbl[",S$1,"]")),MATCH(vp.data[[#This Row],[SDate]],weather.tbl[Date],0))</f>
        <v>-22.6</v>
      </c>
      <c r="T500" s="2">
        <f ca="1">INDEX(INDIRECT(_xlfn.CONCAT("weather.tbl[",T$1,"]")),MATCH(vp.data[[#This Row],[SDate]],weather.tbl[Date],0))</f>
        <v>-23.1</v>
      </c>
      <c r="U500" s="2">
        <f ca="1">INDEX(INDIRECT(_xlfn.CONCAT("weather.tbl[",U$1,"]")),MATCH(vp.data[[#This Row],[SDate]],weather.tbl[Date],0))</f>
        <v>-24.3</v>
      </c>
      <c r="V500" s="2">
        <f t="array" ref="V5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1887.288</v>
      </c>
      <c r="W500" t="s">
        <v>48</v>
      </c>
      <c r="X500">
        <f>IF(OR(vp.data[[#This Row],[Sulf]]="",vp.data[[#This Row],[Dens]]=""),1,0)</f>
        <v>0</v>
      </c>
      <c r="Y500">
        <f>IF(vp.data[[#This Row],[CrudeType]]="C5+",1,0)</f>
        <v>0</v>
      </c>
      <c r="Z500">
        <f>IF(AND(vp.data[[#This Row],[CrudeType]]="Crude",vp.data[[#This Row],[Dens]]&lt;=825,vp.data[[#This Row],[Sulf]]&gt;0.5,vp.data[[#This Row],[Unknown]]=0),1,0)</f>
        <v>0</v>
      </c>
      <c r="AA500">
        <f>IF(AND(vp.data[[#This Row],[CrudeType]]="Crude",vp.data[[#This Row],[Dens]]&lt;=825,vp.data[[#This Row],[Sulf]]&lt;=0.5,vp.data[[#This Row],[Unknown]]=0),1,0)</f>
        <v>0</v>
      </c>
      <c r="AB5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0">
        <f>IF(AND(vp.data[[#This Row],[CrudeType]]="Crude",vp.data[[#This Row],[Dens]]&gt;825,vp.data[[#This Row],[Dens]]&lt;=900,vp.data[[#This Row],[Sulf]]&lt;=0.5,vp.data[[#This Row],[Unknown]]=0),1,0)</f>
        <v>0</v>
      </c>
      <c r="AD500">
        <f>IF(AND(vp.data[[#This Row],[CrudeType]]="Crude",vp.data[[#This Row],[Dens]]&gt;865,vp.data[[#This Row],[Dens]]&lt;=900,vp.data[[#This Row],[Sulf]]&gt;2,vp.data[[#This Row],[Unknown]]=0),1,0)</f>
        <v>0</v>
      </c>
      <c r="AE500">
        <f>IF(AND(vp.data[[#This Row],[CrudeType]]="Crude",vp.data[[#This Row],[Dens]]&gt;900,vp.data[[#This Row],[Sulf]]&lt;=0.5,vp.data[[#This Row],[Unknown]]=0),1,0)</f>
        <v>0</v>
      </c>
      <c r="AF500">
        <f>IF(AND(vp.data[[#This Row],[CrudeType]]="Crude",vp.data[[#This Row],[Dens]]&gt;900,vp.data[[#This Row],[Sulf]]&lt;=0.5,vp.data[[#This Row],[Unknown]]=0),1,0)</f>
        <v>0</v>
      </c>
      <c r="AG500" t="str">
        <f>INDEX(vp.data[[#Headers],[Unknown]:[Heavy_SW]],MATCH(1,vp.data[[#This Row],[Unknown]:[Heavy_SW]],0))</f>
        <v>Medium_LSB</v>
      </c>
      <c r="AH500">
        <f>INDEX([3]!crudeBD.lkup[Number],MATCH(vp.data[[#This Row],[Crude_Breakdown]],crudeBD.lkup[Crude Breakdown],0))</f>
        <v>3</v>
      </c>
      <c r="AI500">
        <f>MONTH(vp.data[[#This Row],[SDate]])</f>
        <v>1</v>
      </c>
      <c r="AJ500" s="5">
        <f>(vp.data[[#This Row],[VP]]-INDEX(crudeBD.lkup[Mean_VP],MATCH(vp.data[[#This Row],[Crude_Breakdown]],crudeBD.lkup[Crude Breakdown],0)))^2</f>
        <v>209.10095428251947</v>
      </c>
      <c r="AK500" s="5">
        <f>(vp.data[[#This Row],[Dens]]-INDEX(crudeBD.lkup[Mean_Dens],MATCH(vp.data[[#This Row],[Crude_Breakdown]],crudeBD.lkup[Crude Breakdown],0)))^2</f>
        <v>1.9044000000012427</v>
      </c>
      <c r="AL500" s="5">
        <f>(vp.data[[#This Row],[Sulf]]-INDEX(crudeBD.lkup[Mean_Sulf],MATCH(vp.data[[#This Row],[Crude_Breakdown]],crudeBD.lkup[Crude Breakdown],0)))^2</f>
        <v>0.16369458395283426</v>
      </c>
      <c r="AM500" s="4">
        <f>IF(AND(vp.data[[#This Row],[SDate]]&gt;=DATE(YEAR(vp.data[[#This Row],[SDate]]),5,1),vp.data[[#This Row],[SDate]]&lt;=DATE(YEAR(vp.data[[#This Row],[SDate]]),9,15)),1,0)</f>
        <v>0</v>
      </c>
      <c r="AN500" s="4">
        <f>IF(vp.data[[#This Row],[SDate]]&lt;DATE(2016,12,1),0,1)</f>
        <v>1</v>
      </c>
      <c r="AO500" s="4">
        <f>IFERROR(vp.data[[#This Row],[Sulf]]*vp.data[[#This Row],[Net Dens]],"")</f>
        <v>2855630.938056</v>
      </c>
      <c r="AP500">
        <f>IFERROR(vp.data[[#This Row],[Dens]]*vp.data[[#This Row],[VolumeM3]],"")</f>
        <v>1595324.5463999999</v>
      </c>
      <c r="AQ500" s="15">
        <f>IFERROR(vp.data[[#This Row],[VP]]*vp.data[[#This Row],[VolumeM3]],"")</f>
        <v>179481.0888</v>
      </c>
    </row>
    <row r="501" spans="1:43" x14ac:dyDescent="0.25">
      <c r="A501">
        <v>500</v>
      </c>
      <c r="B501" t="s">
        <v>60</v>
      </c>
      <c r="C501" t="s">
        <v>60</v>
      </c>
      <c r="D501" t="s">
        <v>61</v>
      </c>
      <c r="E501" t="s">
        <v>55</v>
      </c>
      <c r="F501" s="1">
        <v>42738</v>
      </c>
      <c r="G501" s="2">
        <v>101.3</v>
      </c>
      <c r="H501" s="2"/>
      <c r="I501" s="2">
        <f t="array" ref="I501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501" s="2">
        <v>8</v>
      </c>
      <c r="K501" s="2">
        <v>-26</v>
      </c>
      <c r="L501" s="2">
        <v>848.3</v>
      </c>
      <c r="M501" s="2">
        <f t="array" ref="M501">_xlfn.IFNA(IF(vp.data[[#This Row],[Dens Input]]="",INDEX([1]DATA!$O$3:$O$9826,MATCH(1,(vp.data[[#This Row],[Battery]]=[1]DATA!$L$3:$L$9826)*(EOMONTH(vp.data[[#This Row],[SDate]],-1)+1=[1]DATA!$G$3:$G$9826),0)),vp.data[[#This Row],[Dens Input]]),"")</f>
        <v>848.3</v>
      </c>
      <c r="N501" s="2">
        <f ca="1">INDEX(INDIRECT(_xlfn.CONCAT("weather.tbl[",N$1,"]")),MATCH(vp.data[[#This Row],[SDate]],weather.tbl[Date],0))</f>
        <v>-22.366666666666671</v>
      </c>
      <c r="O501" s="2">
        <f ca="1">INDEX(INDIRECT(_xlfn.CONCAT("weather.tbl[",O$1,"]")),MATCH(vp.data[[#This Row],[SDate]],weather.tbl[Date],0))</f>
        <v>-13.519047619047623</v>
      </c>
      <c r="P501" s="2">
        <f ca="1">INDEX(INDIRECT(_xlfn.CONCAT("weather.tbl[",P$1,"]")),MATCH(vp.data[[#This Row],[SDate]],weather.tbl[Date],0))</f>
        <v>-24.1</v>
      </c>
      <c r="Q501" s="2">
        <f ca="1">INDEX(INDIRECT(_xlfn.CONCAT("weather.tbl[",Q$1,"]")),MATCH(vp.data[[#This Row],[SDate]],weather.tbl[Date],0))</f>
        <v>-23.6</v>
      </c>
      <c r="R501" s="2">
        <f ca="1">INDEX(INDIRECT(_xlfn.CONCAT("weather.tbl[",R$1,"]")),MATCH(vp.data[[#This Row],[SDate]],weather.tbl[Date],0))</f>
        <v>-16.5</v>
      </c>
      <c r="S501" s="2">
        <f ca="1">INDEX(INDIRECT(_xlfn.CONCAT("weather.tbl[",S$1,"]")),MATCH(vp.data[[#This Row],[SDate]],weather.tbl[Date],0))</f>
        <v>-22.6</v>
      </c>
      <c r="T501" s="2">
        <f ca="1">INDEX(INDIRECT(_xlfn.CONCAT("weather.tbl[",T$1,"]")),MATCH(vp.data[[#This Row],[SDate]],weather.tbl[Date],0))</f>
        <v>-23.1</v>
      </c>
      <c r="U501" s="2">
        <f ca="1">INDEX(INDIRECT(_xlfn.CONCAT("weather.tbl[",U$1,"]")),MATCH(vp.data[[#This Row],[SDate]],weather.tbl[Date],0))</f>
        <v>-24.3</v>
      </c>
      <c r="V501" s="2">
        <f t="array" ref="V5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501" t="s">
        <v>48</v>
      </c>
      <c r="X501">
        <f>IF(OR(vp.data[[#This Row],[Sulf]]="",vp.data[[#This Row],[Dens]]=""),1,0)</f>
        <v>0</v>
      </c>
      <c r="Y501">
        <f>IF(vp.data[[#This Row],[CrudeType]]="C5+",1,0)</f>
        <v>0</v>
      </c>
      <c r="Z501">
        <f>IF(AND(vp.data[[#This Row],[CrudeType]]="Crude",vp.data[[#This Row],[Dens]]&lt;=825,vp.data[[#This Row],[Sulf]]&gt;0.5,vp.data[[#This Row],[Unknown]]=0),1,0)</f>
        <v>0</v>
      </c>
      <c r="AA501">
        <f>IF(AND(vp.data[[#This Row],[CrudeType]]="Crude",vp.data[[#This Row],[Dens]]&lt;=825,vp.data[[#This Row],[Sulf]]&lt;=0.5,vp.data[[#This Row],[Unknown]]=0),1,0)</f>
        <v>0</v>
      </c>
      <c r="AB5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1">
        <f>IF(AND(vp.data[[#This Row],[CrudeType]]="Crude",vp.data[[#This Row],[Dens]]&gt;825,vp.data[[#This Row],[Dens]]&lt;=900,vp.data[[#This Row],[Sulf]]&lt;=0.5,vp.data[[#This Row],[Unknown]]=0),1,0)</f>
        <v>0</v>
      </c>
      <c r="AD501">
        <f>IF(AND(vp.data[[#This Row],[CrudeType]]="Crude",vp.data[[#This Row],[Dens]]&gt;865,vp.data[[#This Row],[Dens]]&lt;=900,vp.data[[#This Row],[Sulf]]&gt;2,vp.data[[#This Row],[Unknown]]=0),1,0)</f>
        <v>0</v>
      </c>
      <c r="AE501">
        <f>IF(AND(vp.data[[#This Row],[CrudeType]]="Crude",vp.data[[#This Row],[Dens]]&gt;900,vp.data[[#This Row],[Sulf]]&lt;=0.5,vp.data[[#This Row],[Unknown]]=0),1,0)</f>
        <v>0</v>
      </c>
      <c r="AF501">
        <f>IF(AND(vp.data[[#This Row],[CrudeType]]="Crude",vp.data[[#This Row],[Dens]]&gt;900,vp.data[[#This Row],[Sulf]]&lt;=0.5,vp.data[[#This Row],[Unknown]]=0),1,0)</f>
        <v>0</v>
      </c>
      <c r="AG501" t="str">
        <f>INDEX(vp.data[[#Headers],[Unknown]:[Heavy_SW]],MATCH(1,vp.data[[#This Row],[Unknown]:[Heavy_SW]],0))</f>
        <v>Medium_LSB</v>
      </c>
      <c r="AH501">
        <f>INDEX([3]!crudeBD.lkup[Number],MATCH(vp.data[[#This Row],[Crude_Breakdown]],crudeBD.lkup[Crude Breakdown],0))</f>
        <v>3</v>
      </c>
      <c r="AI501">
        <f>MONTH(vp.data[[#This Row],[SDate]])</f>
        <v>1</v>
      </c>
      <c r="AJ501" s="5">
        <f>(vp.data[[#This Row],[VP]]-INDEX(crudeBD.lkup[Mean_VP],MATCH(vp.data[[#This Row],[Crude_Breakdown]],crudeBD.lkup[Crude Breakdown],0)))^2</f>
        <v>426.84896506419159</v>
      </c>
      <c r="AK501" s="5">
        <f>(vp.data[[#This Row],[Dens]]-INDEX(crudeBD.lkup[Mean_Dens],MATCH(vp.data[[#This Row],[Crude_Breakdown]],crudeBD.lkup[Crude Breakdown],0)))^2</f>
        <v>19.184400000003944</v>
      </c>
      <c r="AL501" s="5">
        <f>(vp.data[[#This Row],[Sulf]]-INDEX(crudeBD.lkup[Mean_Sulf],MATCH(vp.data[[#This Row],[Crude_Breakdown]],crudeBD.lkup[Crude Breakdown],0)))^2</f>
        <v>2.4151685839628387E-2</v>
      </c>
      <c r="AM501" s="4">
        <f>IF(AND(vp.data[[#This Row],[SDate]]&gt;=DATE(YEAR(vp.data[[#This Row],[SDate]]),5,1),vp.data[[#This Row],[SDate]]&lt;=DATE(YEAR(vp.data[[#This Row],[SDate]]),9,15)),1,0)</f>
        <v>0</v>
      </c>
      <c r="AN501" s="4">
        <f>IF(vp.data[[#This Row],[SDate]]&lt;DATE(2016,12,1),0,1)</f>
        <v>1</v>
      </c>
      <c r="AO501" s="4">
        <f>IFERROR(vp.data[[#This Row],[Sulf]]*vp.data[[#This Row],[Net Dens]],"")</f>
        <v>109699998.874896</v>
      </c>
      <c r="AP501">
        <f>IFERROR(vp.data[[#This Row],[Dens]]*vp.data[[#This Row],[VolumeM3]],"")</f>
        <v>89186990.955200002</v>
      </c>
      <c r="AQ501" s="15">
        <f>IFERROR(vp.data[[#This Row],[VP]]*vp.data[[#This Row],[VolumeM3]],"")</f>
        <v>10650291.3872</v>
      </c>
    </row>
    <row r="502" spans="1:43" x14ac:dyDescent="0.25">
      <c r="A502">
        <v>501</v>
      </c>
      <c r="B502" t="s">
        <v>51</v>
      </c>
      <c r="C502" t="s">
        <v>51</v>
      </c>
      <c r="D502" t="s">
        <v>106</v>
      </c>
      <c r="F502" s="1">
        <v>42739</v>
      </c>
      <c r="G502" s="2">
        <v>70.900000000000006</v>
      </c>
      <c r="H502" s="2"/>
      <c r="I502" s="2">
        <f t="array" ref="I502">_xlfn.IFNA(IF(vp.data[[#This Row],[Sulf Input]]="",INDEX([1]DATA!$Q$3:$Q$9826,MATCH(1,(vp.data[[#This Row],[Battery]]=[1]DATA!$L$3:$L$9826)*(EOMONTH(vp.data[[#This Row],[SDate]],-1)+1=[1]DATA!$G$3:$G$9826),0)),vp.data[[#This Row],[Sulf Input]]),"")</f>
        <v>0.54</v>
      </c>
      <c r="J502" s="2">
        <v>-1.5</v>
      </c>
      <c r="K502" s="2">
        <v>-23</v>
      </c>
      <c r="L502" s="2">
        <v>819.3</v>
      </c>
      <c r="M502" s="2">
        <f t="array" ref="M502">_xlfn.IFNA(IF(vp.data[[#This Row],[Dens Input]]="",INDEX([1]DATA!$O$3:$O$9826,MATCH(1,(vp.data[[#This Row],[Battery]]=[1]DATA!$L$3:$L$9826)*(EOMONTH(vp.data[[#This Row],[SDate]],-1)+1=[1]DATA!$G$3:$G$9826),0)),vp.data[[#This Row],[Dens Input]]),"")</f>
        <v>819.3</v>
      </c>
      <c r="N502" s="2">
        <f ca="1">INDEX(INDIRECT(_xlfn.CONCAT("weather.tbl[",N$1,"]")),MATCH(vp.data[[#This Row],[SDate]],weather.tbl[Date],0))</f>
        <v>-22.716666666666669</v>
      </c>
      <c r="O502" s="2">
        <f ca="1">INDEX(INDIRECT(_xlfn.CONCAT("weather.tbl[",O$1,"]")),MATCH(vp.data[[#This Row],[SDate]],weather.tbl[Date],0))</f>
        <v>-15.738095238095241</v>
      </c>
      <c r="P502" s="2">
        <f ca="1">INDEX(INDIRECT(_xlfn.CONCAT("weather.tbl[",P$1,"]")),MATCH(vp.data[[#This Row],[SDate]],weather.tbl[Date],0))</f>
        <v>-22.2</v>
      </c>
      <c r="Q502" s="2">
        <f ca="1">INDEX(INDIRECT(_xlfn.CONCAT("weather.tbl[",Q$1,"]")),MATCH(vp.data[[#This Row],[SDate]],weather.tbl[Date],0))</f>
        <v>-21.6</v>
      </c>
      <c r="R502" s="2">
        <f ca="1">INDEX(INDIRECT(_xlfn.CONCAT("weather.tbl[",R$1,"]")),MATCH(vp.data[[#This Row],[SDate]],weather.tbl[Date],0))</f>
        <v>-24</v>
      </c>
      <c r="S502" s="2">
        <f ca="1">INDEX(INDIRECT(_xlfn.CONCAT("weather.tbl[",S$1,"]")),MATCH(vp.data[[#This Row],[SDate]],weather.tbl[Date],0))</f>
        <v>-20.7</v>
      </c>
      <c r="T502" s="2">
        <f ca="1">INDEX(INDIRECT(_xlfn.CONCAT("weather.tbl[",T$1,"]")),MATCH(vp.data[[#This Row],[SDate]],weather.tbl[Date],0))</f>
        <v>-24.5</v>
      </c>
      <c r="U502" s="2">
        <f ca="1">INDEX(INDIRECT(_xlfn.CONCAT("weather.tbl[",U$1,"]")),MATCH(vp.data[[#This Row],[SDate]],weather.tbl[Date],0))</f>
        <v>-23.3</v>
      </c>
      <c r="V502" s="2">
        <f t="array" ref="V5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298.51799999999997</v>
      </c>
      <c r="W502" t="s">
        <v>48</v>
      </c>
      <c r="X502">
        <f>IF(OR(vp.data[[#This Row],[Sulf]]="",vp.data[[#This Row],[Dens]]=""),1,0)</f>
        <v>0</v>
      </c>
      <c r="Y502">
        <f>IF(vp.data[[#This Row],[CrudeType]]="C5+",1,0)</f>
        <v>0</v>
      </c>
      <c r="Z502">
        <f>IF(AND(vp.data[[#This Row],[CrudeType]]="Crude",vp.data[[#This Row],[Dens]]&lt;=825,vp.data[[#This Row],[Sulf]]&gt;0.5,vp.data[[#This Row],[Unknown]]=0),1,0)</f>
        <v>1</v>
      </c>
      <c r="AA502">
        <f>IF(AND(vp.data[[#This Row],[CrudeType]]="Crude",vp.data[[#This Row],[Dens]]&lt;=825,vp.data[[#This Row],[Sulf]]&lt;=0.5,vp.data[[#This Row],[Unknown]]=0),1,0)</f>
        <v>0</v>
      </c>
      <c r="AB5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02">
        <f>IF(AND(vp.data[[#This Row],[CrudeType]]="Crude",vp.data[[#This Row],[Dens]]&gt;825,vp.data[[#This Row],[Dens]]&lt;=900,vp.data[[#This Row],[Sulf]]&lt;=0.5,vp.data[[#This Row],[Unknown]]=0),1,0)</f>
        <v>0</v>
      </c>
      <c r="AD502">
        <f>IF(AND(vp.data[[#This Row],[CrudeType]]="Crude",vp.data[[#This Row],[Dens]]&gt;865,vp.data[[#This Row],[Dens]]&lt;=900,vp.data[[#This Row],[Sulf]]&gt;2,vp.data[[#This Row],[Unknown]]=0),1,0)</f>
        <v>0</v>
      </c>
      <c r="AE502">
        <f>IF(AND(vp.data[[#This Row],[CrudeType]]="Crude",vp.data[[#This Row],[Dens]]&gt;900,vp.data[[#This Row],[Sulf]]&lt;=0.5,vp.data[[#This Row],[Unknown]]=0),1,0)</f>
        <v>0</v>
      </c>
      <c r="AF502">
        <f>IF(AND(vp.data[[#This Row],[CrudeType]]="Crude",vp.data[[#This Row],[Dens]]&gt;900,vp.data[[#This Row],[Sulf]]&lt;=0.5,vp.data[[#This Row],[Unknown]]=0),1,0)</f>
        <v>0</v>
      </c>
      <c r="AG502" t="str">
        <f>INDEX(vp.data[[#Headers],[Unknown]:[Heavy_SW]],MATCH(1,vp.data[[#This Row],[Unknown]:[Heavy_SW]],0))</f>
        <v>Light_LSB</v>
      </c>
      <c r="AH502">
        <f>INDEX([3]!crudeBD.lkup[Number],MATCH(vp.data[[#This Row],[Crude_Breakdown]],crudeBD.lkup[Crude Breakdown],0))</f>
        <v>1</v>
      </c>
      <c r="AI502">
        <f>MONTH(vp.data[[#This Row],[SDate]])</f>
        <v>1</v>
      </c>
      <c r="AJ502" s="5">
        <f>(vp.data[[#This Row],[VP]]-INDEX(crudeBD.lkup[Mean_VP],MATCH(vp.data[[#This Row],[Crude_Breakdown]],crudeBD.lkup[Crude Breakdown],0)))^2</f>
        <v>426.26497846742586</v>
      </c>
      <c r="AK502" s="5">
        <f>(vp.data[[#This Row],[Dens]]-INDEX(crudeBD.lkup[Mean_Dens],MATCH(vp.data[[#This Row],[Crude_Breakdown]],crudeBD.lkup[Crude Breakdown],0)))^2</f>
        <v>0.61344960971216256</v>
      </c>
      <c r="AL502" s="5">
        <f>(vp.data[[#This Row],[Sulf]]-INDEX(crudeBD.lkup[Mean_Sulf],MATCH(vp.data[[#This Row],[Crude_Breakdown]],crudeBD.lkup[Crude Breakdown],0)))^2</f>
        <v>0.14666691581407967</v>
      </c>
      <c r="AM502" s="4">
        <f>IF(AND(vp.data[[#This Row],[SDate]]&gt;=DATE(YEAR(vp.data[[#This Row],[SDate]]),5,1),vp.data[[#This Row],[SDate]]&lt;=DATE(YEAR(vp.data[[#This Row],[SDate]]),9,15)),1,0)</f>
        <v>0</v>
      </c>
      <c r="AN502" s="4">
        <f>IF(vp.data[[#This Row],[SDate]]&lt;DATE(2016,12,1),0,1)</f>
        <v>1</v>
      </c>
      <c r="AO502" s="4">
        <f>IFERROR(vp.data[[#This Row],[Sulf]]*vp.data[[#This Row],[Net Dens]],"")</f>
        <v>132070.93059599999</v>
      </c>
      <c r="AP502">
        <f>IFERROR(vp.data[[#This Row],[Dens]]*vp.data[[#This Row],[VolumeM3]],"")</f>
        <v>244575.79739999995</v>
      </c>
      <c r="AQ502" s="15">
        <f>IFERROR(vp.data[[#This Row],[VP]]*vp.data[[#This Row],[VolumeM3]],"")</f>
        <v>21164.926199999998</v>
      </c>
    </row>
    <row r="503" spans="1:43" x14ac:dyDescent="0.25">
      <c r="A503">
        <v>502</v>
      </c>
      <c r="B503" t="s">
        <v>49</v>
      </c>
      <c r="C503" t="s">
        <v>49</v>
      </c>
      <c r="D503" t="s">
        <v>81</v>
      </c>
      <c r="F503" s="1">
        <v>42739</v>
      </c>
      <c r="G503" s="2">
        <v>88.8</v>
      </c>
      <c r="H503" s="2"/>
      <c r="I503" s="2">
        <f t="array" ref="I503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03" s="2">
        <v>6.1</v>
      </c>
      <c r="K503" s="2">
        <v>-23</v>
      </c>
      <c r="L503" s="2">
        <v>820.3</v>
      </c>
      <c r="M503" s="2">
        <f t="array" ref="M503">_xlfn.IFNA(IF(vp.data[[#This Row],[Dens Input]]="",INDEX([1]DATA!$O$3:$O$9826,MATCH(1,(vp.data[[#This Row],[Battery]]=[1]DATA!$L$3:$L$9826)*(EOMONTH(vp.data[[#This Row],[SDate]],-1)+1=[1]DATA!$G$3:$G$9826),0)),vp.data[[#This Row],[Dens Input]]),"")</f>
        <v>820.3</v>
      </c>
      <c r="N503" s="2">
        <f ca="1">INDEX(INDIRECT(_xlfn.CONCAT("weather.tbl[",N$1,"]")),MATCH(vp.data[[#This Row],[SDate]],weather.tbl[Date],0))</f>
        <v>-22.716666666666669</v>
      </c>
      <c r="O503" s="2">
        <f ca="1">INDEX(INDIRECT(_xlfn.CONCAT("weather.tbl[",O$1,"]")),MATCH(vp.data[[#This Row],[SDate]],weather.tbl[Date],0))</f>
        <v>-15.738095238095241</v>
      </c>
      <c r="P503" s="2">
        <f ca="1">INDEX(INDIRECT(_xlfn.CONCAT("weather.tbl[",P$1,"]")),MATCH(vp.data[[#This Row],[SDate]],weather.tbl[Date],0))</f>
        <v>-22.2</v>
      </c>
      <c r="Q503" s="2">
        <f ca="1">INDEX(INDIRECT(_xlfn.CONCAT("weather.tbl[",Q$1,"]")),MATCH(vp.data[[#This Row],[SDate]],weather.tbl[Date],0))</f>
        <v>-21.6</v>
      </c>
      <c r="R503" s="2">
        <f ca="1">INDEX(INDIRECT(_xlfn.CONCAT("weather.tbl[",R$1,"]")),MATCH(vp.data[[#This Row],[SDate]],weather.tbl[Date],0))</f>
        <v>-24</v>
      </c>
      <c r="S503" s="2">
        <f ca="1">INDEX(INDIRECT(_xlfn.CONCAT("weather.tbl[",S$1,"]")),MATCH(vp.data[[#This Row],[SDate]],weather.tbl[Date],0))</f>
        <v>-20.7</v>
      </c>
      <c r="T503" s="2">
        <f ca="1">INDEX(INDIRECT(_xlfn.CONCAT("weather.tbl[",T$1,"]")),MATCH(vp.data[[#This Row],[SDate]],weather.tbl[Date],0))</f>
        <v>-24.5</v>
      </c>
      <c r="U503" s="2">
        <f ca="1">INDEX(INDIRECT(_xlfn.CONCAT("weather.tbl[",U$1,"]")),MATCH(vp.data[[#This Row],[SDate]],weather.tbl[Date],0))</f>
        <v>-23.3</v>
      </c>
      <c r="V503" s="2">
        <f t="array" ref="V5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18973.987000000001</v>
      </c>
      <c r="W503" t="s">
        <v>48</v>
      </c>
      <c r="X503">
        <f>IF(OR(vp.data[[#This Row],[Sulf]]="",vp.data[[#This Row],[Dens]]=""),1,0)</f>
        <v>0</v>
      </c>
      <c r="Y503">
        <f>IF(vp.data[[#This Row],[CrudeType]]="C5+",1,0)</f>
        <v>0</v>
      </c>
      <c r="Z503">
        <f>IF(AND(vp.data[[#This Row],[CrudeType]]="Crude",vp.data[[#This Row],[Dens]]&lt;=825,vp.data[[#This Row],[Sulf]]&gt;0.5,vp.data[[#This Row],[Unknown]]=0),1,0)</f>
        <v>1</v>
      </c>
      <c r="AA503">
        <f>IF(AND(vp.data[[#This Row],[CrudeType]]="Crude",vp.data[[#This Row],[Dens]]&lt;=825,vp.data[[#This Row],[Sulf]]&lt;=0.5,vp.data[[#This Row],[Unknown]]=0),1,0)</f>
        <v>0</v>
      </c>
      <c r="AB5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03">
        <f>IF(AND(vp.data[[#This Row],[CrudeType]]="Crude",vp.data[[#This Row],[Dens]]&gt;825,vp.data[[#This Row],[Dens]]&lt;=900,vp.data[[#This Row],[Sulf]]&lt;=0.5,vp.data[[#This Row],[Unknown]]=0),1,0)</f>
        <v>0</v>
      </c>
      <c r="AD503">
        <f>IF(AND(vp.data[[#This Row],[CrudeType]]="Crude",vp.data[[#This Row],[Dens]]&gt;865,vp.data[[#This Row],[Dens]]&lt;=900,vp.data[[#This Row],[Sulf]]&gt;2,vp.data[[#This Row],[Unknown]]=0),1,0)</f>
        <v>0</v>
      </c>
      <c r="AE503">
        <f>IF(AND(vp.data[[#This Row],[CrudeType]]="Crude",vp.data[[#This Row],[Dens]]&gt;900,vp.data[[#This Row],[Sulf]]&lt;=0.5,vp.data[[#This Row],[Unknown]]=0),1,0)</f>
        <v>0</v>
      </c>
      <c r="AF503">
        <f>IF(AND(vp.data[[#This Row],[CrudeType]]="Crude",vp.data[[#This Row],[Dens]]&gt;900,vp.data[[#This Row],[Sulf]]&lt;=0.5,vp.data[[#This Row],[Unknown]]=0),1,0)</f>
        <v>0</v>
      </c>
      <c r="AG503" t="str">
        <f>INDEX(vp.data[[#Headers],[Unknown]:[Heavy_SW]],MATCH(1,vp.data[[#This Row],[Unknown]:[Heavy_SW]],0))</f>
        <v>Light_LSB</v>
      </c>
      <c r="AH503">
        <f>INDEX([3]!crudeBD.lkup[Number],MATCH(vp.data[[#This Row],[Crude_Breakdown]],crudeBD.lkup[Crude Breakdown],0))</f>
        <v>1</v>
      </c>
      <c r="AI503">
        <f>MONTH(vp.data[[#This Row],[SDate]])</f>
        <v>1</v>
      </c>
      <c r="AJ503" s="5">
        <f>(vp.data[[#This Row],[VP]]-INDEX(crudeBD.lkup[Mean_VP],MATCH(vp.data[[#This Row],[Crude_Breakdown]],crudeBD.lkup[Crude Breakdown],0)))^2</f>
        <v>7.54153516845592</v>
      </c>
      <c r="AK503" s="5">
        <f>(vp.data[[#This Row],[Dens]]-INDEX(crudeBD.lkup[Mean_Dens],MATCH(vp.data[[#This Row],[Crude_Breakdown]],crudeBD.lkup[Crude Breakdown],0)))^2</f>
        <v>3.1799100908123563</v>
      </c>
      <c r="AL503" s="5">
        <f>(vp.data[[#This Row],[Sulf]]-INDEX(crudeBD.lkup[Mean_Sulf],MATCH(vp.data[[#This Row],[Crude_Breakdown]],crudeBD.lkup[Crude Breakdown],0)))^2</f>
        <v>4.9716141930918292E-2</v>
      </c>
      <c r="AM503" s="4">
        <f>IF(AND(vp.data[[#This Row],[SDate]]&gt;=DATE(YEAR(vp.data[[#This Row],[SDate]]),5,1),vp.data[[#This Row],[SDate]]&lt;=DATE(YEAR(vp.data[[#This Row],[SDate]]),9,15)),1,0)</f>
        <v>0</v>
      </c>
      <c r="AN503" s="4">
        <f>IF(vp.data[[#This Row],[SDate]]&lt;DATE(2016,12,1),0,1)</f>
        <v>1</v>
      </c>
      <c r="AO503" s="4">
        <f>IFERROR(vp.data[[#This Row],[Sulf]]*vp.data[[#This Row],[Net Dens]],"")</f>
        <v>10895053.075269999</v>
      </c>
      <c r="AP503">
        <f>IFERROR(vp.data[[#This Row],[Dens]]*vp.data[[#This Row],[VolumeM3]],"")</f>
        <v>15564361.5361</v>
      </c>
      <c r="AQ503" s="15">
        <f>IFERROR(vp.data[[#This Row],[VP]]*vp.data[[#This Row],[VolumeM3]],"")</f>
        <v>1684890.0456000001</v>
      </c>
    </row>
    <row r="504" spans="1:43" x14ac:dyDescent="0.25">
      <c r="A504">
        <v>503</v>
      </c>
      <c r="B504" t="s">
        <v>51</v>
      </c>
      <c r="C504" t="s">
        <v>51</v>
      </c>
      <c r="D504" t="s">
        <v>107</v>
      </c>
      <c r="F504" s="1">
        <v>42739</v>
      </c>
      <c r="G504" s="2">
        <v>78.599999999999994</v>
      </c>
      <c r="H504" s="2"/>
      <c r="I504" s="2">
        <f t="array" ref="I504">_xlfn.IFNA(IF(vp.data[[#This Row],[Sulf Input]]="",INDEX([1]DATA!$Q$3:$Q$9826,MATCH(1,(vp.data[[#This Row],[Battery]]=[1]DATA!$L$3:$L$9826)*(EOMONTH(vp.data[[#This Row],[SDate]],-1)+1=[1]DATA!$G$3:$G$9826),0)),vp.data[[#This Row],[Sulf Input]]),"")</f>
        <v>0.69</v>
      </c>
      <c r="J504" s="2">
        <v>24.9</v>
      </c>
      <c r="K504" s="2">
        <v>-23</v>
      </c>
      <c r="L504" s="2">
        <v>822.5</v>
      </c>
      <c r="M504" s="2">
        <f t="array" ref="M504">_xlfn.IFNA(IF(vp.data[[#This Row],[Dens Input]]="",INDEX([1]DATA!$O$3:$O$9826,MATCH(1,(vp.data[[#This Row],[Battery]]=[1]DATA!$L$3:$L$9826)*(EOMONTH(vp.data[[#This Row],[SDate]],-1)+1=[1]DATA!$G$3:$G$9826),0)),vp.data[[#This Row],[Dens Input]]),"")</f>
        <v>822.5</v>
      </c>
      <c r="N504" s="2">
        <f ca="1">INDEX(INDIRECT(_xlfn.CONCAT("weather.tbl[",N$1,"]")),MATCH(vp.data[[#This Row],[SDate]],weather.tbl[Date],0))</f>
        <v>-22.716666666666669</v>
      </c>
      <c r="O504" s="2">
        <f ca="1">INDEX(INDIRECT(_xlfn.CONCAT("weather.tbl[",O$1,"]")),MATCH(vp.data[[#This Row],[SDate]],weather.tbl[Date],0))</f>
        <v>-15.738095238095241</v>
      </c>
      <c r="P504" s="2">
        <f ca="1">INDEX(INDIRECT(_xlfn.CONCAT("weather.tbl[",P$1,"]")),MATCH(vp.data[[#This Row],[SDate]],weather.tbl[Date],0))</f>
        <v>-22.2</v>
      </c>
      <c r="Q504" s="2">
        <f ca="1">INDEX(INDIRECT(_xlfn.CONCAT("weather.tbl[",Q$1,"]")),MATCH(vp.data[[#This Row],[SDate]],weather.tbl[Date],0))</f>
        <v>-21.6</v>
      </c>
      <c r="R504" s="2">
        <f ca="1">INDEX(INDIRECT(_xlfn.CONCAT("weather.tbl[",R$1,"]")),MATCH(vp.data[[#This Row],[SDate]],weather.tbl[Date],0))</f>
        <v>-24</v>
      </c>
      <c r="S504" s="2">
        <f ca="1">INDEX(INDIRECT(_xlfn.CONCAT("weather.tbl[",S$1,"]")),MATCH(vp.data[[#This Row],[SDate]],weather.tbl[Date],0))</f>
        <v>-20.7</v>
      </c>
      <c r="T504" s="2">
        <f ca="1">INDEX(INDIRECT(_xlfn.CONCAT("weather.tbl[",T$1,"]")),MATCH(vp.data[[#This Row],[SDate]],weather.tbl[Date],0))</f>
        <v>-24.5</v>
      </c>
      <c r="U504" s="2">
        <f ca="1">INDEX(INDIRECT(_xlfn.CONCAT("weather.tbl[",U$1,"]")),MATCH(vp.data[[#This Row],[SDate]],weather.tbl[Date],0))</f>
        <v>-23.3</v>
      </c>
      <c r="V504" s="2">
        <f t="array" ref="V5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1889.6790000000001</v>
      </c>
      <c r="W504" t="s">
        <v>48</v>
      </c>
      <c r="X504">
        <f>IF(OR(vp.data[[#This Row],[Sulf]]="",vp.data[[#This Row],[Dens]]=""),1,0)</f>
        <v>0</v>
      </c>
      <c r="Y504">
        <f>IF(vp.data[[#This Row],[CrudeType]]="C5+",1,0)</f>
        <v>0</v>
      </c>
      <c r="Z504">
        <f>IF(AND(vp.data[[#This Row],[CrudeType]]="Crude",vp.data[[#This Row],[Dens]]&lt;=825,vp.data[[#This Row],[Sulf]]&gt;0.5,vp.data[[#This Row],[Unknown]]=0),1,0)</f>
        <v>1</v>
      </c>
      <c r="AA504">
        <f>IF(AND(vp.data[[#This Row],[CrudeType]]="Crude",vp.data[[#This Row],[Dens]]&lt;=825,vp.data[[#This Row],[Sulf]]&lt;=0.5,vp.data[[#This Row],[Unknown]]=0),1,0)</f>
        <v>0</v>
      </c>
      <c r="AB5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04">
        <f>IF(AND(vp.data[[#This Row],[CrudeType]]="Crude",vp.data[[#This Row],[Dens]]&gt;825,vp.data[[#This Row],[Dens]]&lt;=900,vp.data[[#This Row],[Sulf]]&lt;=0.5,vp.data[[#This Row],[Unknown]]=0),1,0)</f>
        <v>0</v>
      </c>
      <c r="AD504">
        <f>IF(AND(vp.data[[#This Row],[CrudeType]]="Crude",vp.data[[#This Row],[Dens]]&gt;865,vp.data[[#This Row],[Dens]]&lt;=900,vp.data[[#This Row],[Sulf]]&gt;2,vp.data[[#This Row],[Unknown]]=0),1,0)</f>
        <v>0</v>
      </c>
      <c r="AE504">
        <f>IF(AND(vp.data[[#This Row],[CrudeType]]="Crude",vp.data[[#This Row],[Dens]]&gt;900,vp.data[[#This Row],[Sulf]]&lt;=0.5,vp.data[[#This Row],[Unknown]]=0),1,0)</f>
        <v>0</v>
      </c>
      <c r="AF504">
        <f>IF(AND(vp.data[[#This Row],[CrudeType]]="Crude",vp.data[[#This Row],[Dens]]&gt;900,vp.data[[#This Row],[Sulf]]&lt;=0.5,vp.data[[#This Row],[Unknown]]=0),1,0)</f>
        <v>0</v>
      </c>
      <c r="AG504" t="str">
        <f>INDEX(vp.data[[#Headers],[Unknown]:[Heavy_SW]],MATCH(1,vp.data[[#This Row],[Unknown]:[Heavy_SW]],0))</f>
        <v>Light_LSB</v>
      </c>
      <c r="AH504">
        <f>INDEX([3]!crudeBD.lkup[Number],MATCH(vp.data[[#This Row],[Crude_Breakdown]],crudeBD.lkup[Crude Breakdown],0))</f>
        <v>1</v>
      </c>
      <c r="AI504">
        <f>MONTH(vp.data[[#This Row],[SDate]])</f>
        <v>1</v>
      </c>
      <c r="AJ504" s="5">
        <f>(vp.data[[#This Row],[VP]]-INDEX(crudeBD.lkup[Mean_VP],MATCH(vp.data[[#This Row],[Crude_Breakdown]],crudeBD.lkup[Crude Breakdown],0)))^2</f>
        <v>167.60372073546699</v>
      </c>
      <c r="AK504" s="5">
        <f>(vp.data[[#This Row],[Dens]]-INDEX(crudeBD.lkup[Mean_Dens],MATCH(vp.data[[#This Row],[Crude_Breakdown]],crudeBD.lkup[Crude Breakdown],0)))^2</f>
        <v>15.866123149233145</v>
      </c>
      <c r="AL504" s="5">
        <f>(vp.data[[#This Row],[Sulf]]-INDEX(crudeBD.lkup[Mean_Sulf],MATCH(vp.data[[#This Row],[Crude_Breakdown]],crudeBD.lkup[Crude Breakdown],0)))^2</f>
        <v>5.4275565298615887E-2</v>
      </c>
      <c r="AM504" s="4">
        <f>IF(AND(vp.data[[#This Row],[SDate]]&gt;=DATE(YEAR(vp.data[[#This Row],[SDate]]),5,1),vp.data[[#This Row],[SDate]]&lt;=DATE(YEAR(vp.data[[#This Row],[SDate]]),9,15)),1,0)</f>
        <v>0</v>
      </c>
      <c r="AN504" s="4">
        <f>IF(vp.data[[#This Row],[SDate]]&lt;DATE(2016,12,1),0,1)</f>
        <v>1</v>
      </c>
      <c r="AO504" s="4">
        <f>IFERROR(vp.data[[#This Row],[Sulf]]*vp.data[[#This Row],[Net Dens]],"")</f>
        <v>1072440.0744749999</v>
      </c>
      <c r="AP504">
        <f>IFERROR(vp.data[[#This Row],[Dens]]*vp.data[[#This Row],[VolumeM3]],"")</f>
        <v>1554260.9775</v>
      </c>
      <c r="AQ504" s="15">
        <f>IFERROR(vp.data[[#This Row],[VP]]*vp.data[[#This Row],[VolumeM3]],"")</f>
        <v>148528.76939999999</v>
      </c>
    </row>
    <row r="505" spans="1:43" x14ac:dyDescent="0.25">
      <c r="A505">
        <v>504</v>
      </c>
      <c r="B505" t="s">
        <v>51</v>
      </c>
      <c r="C505" t="s">
        <v>51</v>
      </c>
      <c r="D505" t="s">
        <v>66</v>
      </c>
      <c r="F505" s="1">
        <v>42739</v>
      </c>
      <c r="G505" s="2">
        <v>95.1</v>
      </c>
      <c r="H505" s="2"/>
      <c r="I505" s="2">
        <f t="array" ref="I505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505" s="2">
        <v>-13</v>
      </c>
      <c r="K505" s="2">
        <v>-23</v>
      </c>
      <c r="L505" s="2">
        <v>823.4</v>
      </c>
      <c r="M505" s="2">
        <f t="array" ref="M505">_xlfn.IFNA(IF(vp.data[[#This Row],[Dens Input]]="",INDEX([1]DATA!$O$3:$O$9826,MATCH(1,(vp.data[[#This Row],[Battery]]=[1]DATA!$L$3:$L$9826)*(EOMONTH(vp.data[[#This Row],[SDate]],-1)+1=[1]DATA!$G$3:$G$9826),0)),vp.data[[#This Row],[Dens Input]]),"")</f>
        <v>823.4</v>
      </c>
      <c r="N505" s="2">
        <f ca="1">INDEX(INDIRECT(_xlfn.CONCAT("weather.tbl[",N$1,"]")),MATCH(vp.data[[#This Row],[SDate]],weather.tbl[Date],0))</f>
        <v>-22.716666666666669</v>
      </c>
      <c r="O505" s="2">
        <f ca="1">INDEX(INDIRECT(_xlfn.CONCAT("weather.tbl[",O$1,"]")),MATCH(vp.data[[#This Row],[SDate]],weather.tbl[Date],0))</f>
        <v>-15.738095238095241</v>
      </c>
      <c r="P505" s="2">
        <f ca="1">INDEX(INDIRECT(_xlfn.CONCAT("weather.tbl[",P$1,"]")),MATCH(vp.data[[#This Row],[SDate]],weather.tbl[Date],0))</f>
        <v>-22.2</v>
      </c>
      <c r="Q505" s="2">
        <f ca="1">INDEX(INDIRECT(_xlfn.CONCAT("weather.tbl[",Q$1,"]")),MATCH(vp.data[[#This Row],[SDate]],weather.tbl[Date],0))</f>
        <v>-21.6</v>
      </c>
      <c r="R505" s="2">
        <f ca="1">INDEX(INDIRECT(_xlfn.CONCAT("weather.tbl[",R$1,"]")),MATCH(vp.data[[#This Row],[SDate]],weather.tbl[Date],0))</f>
        <v>-24</v>
      </c>
      <c r="S505" s="2">
        <f ca="1">INDEX(INDIRECT(_xlfn.CONCAT("weather.tbl[",S$1,"]")),MATCH(vp.data[[#This Row],[SDate]],weather.tbl[Date],0))</f>
        <v>-20.7</v>
      </c>
      <c r="T505" s="2">
        <f ca="1">INDEX(INDIRECT(_xlfn.CONCAT("weather.tbl[",T$1,"]")),MATCH(vp.data[[#This Row],[SDate]],weather.tbl[Date],0))</f>
        <v>-24.5</v>
      </c>
      <c r="U505" s="2">
        <f ca="1">INDEX(INDIRECT(_xlfn.CONCAT("weather.tbl[",U$1,"]")),MATCH(vp.data[[#This Row],[SDate]],weather.tbl[Date],0))</f>
        <v>-23.3</v>
      </c>
      <c r="V505" s="2">
        <f t="array" ref="V5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3297.86</v>
      </c>
      <c r="W505" t="s">
        <v>48</v>
      </c>
      <c r="X505">
        <f>IF(OR(vp.data[[#This Row],[Sulf]]="",vp.data[[#This Row],[Dens]]=""),1,0)</f>
        <v>0</v>
      </c>
      <c r="Y505">
        <f>IF(vp.data[[#This Row],[CrudeType]]="C5+",1,0)</f>
        <v>0</v>
      </c>
      <c r="Z505">
        <f>IF(AND(vp.data[[#This Row],[CrudeType]]="Crude",vp.data[[#This Row],[Dens]]&lt;=825,vp.data[[#This Row],[Sulf]]&gt;0.5,vp.data[[#This Row],[Unknown]]=0),1,0)</f>
        <v>1</v>
      </c>
      <c r="AA505">
        <f>IF(AND(vp.data[[#This Row],[CrudeType]]="Crude",vp.data[[#This Row],[Dens]]&lt;=825,vp.data[[#This Row],[Sulf]]&lt;=0.5,vp.data[[#This Row],[Unknown]]=0),1,0)</f>
        <v>0</v>
      </c>
      <c r="AB5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05">
        <f>IF(AND(vp.data[[#This Row],[CrudeType]]="Crude",vp.data[[#This Row],[Dens]]&gt;825,vp.data[[#This Row],[Dens]]&lt;=900,vp.data[[#This Row],[Sulf]]&lt;=0.5,vp.data[[#This Row],[Unknown]]=0),1,0)</f>
        <v>0</v>
      </c>
      <c r="AD505">
        <f>IF(AND(vp.data[[#This Row],[CrudeType]]="Crude",vp.data[[#This Row],[Dens]]&gt;865,vp.data[[#This Row],[Dens]]&lt;=900,vp.data[[#This Row],[Sulf]]&gt;2,vp.data[[#This Row],[Unknown]]=0),1,0)</f>
        <v>0</v>
      </c>
      <c r="AE505">
        <f>IF(AND(vp.data[[#This Row],[CrudeType]]="Crude",vp.data[[#This Row],[Dens]]&gt;900,vp.data[[#This Row],[Sulf]]&lt;=0.5,vp.data[[#This Row],[Unknown]]=0),1,0)</f>
        <v>0</v>
      </c>
      <c r="AF505">
        <f>IF(AND(vp.data[[#This Row],[CrudeType]]="Crude",vp.data[[#This Row],[Dens]]&gt;900,vp.data[[#This Row],[Sulf]]&lt;=0.5,vp.data[[#This Row],[Unknown]]=0),1,0)</f>
        <v>0</v>
      </c>
      <c r="AG505" t="str">
        <f>INDEX(vp.data[[#Headers],[Unknown]:[Heavy_SW]],MATCH(1,vp.data[[#This Row],[Unknown]:[Heavy_SW]],0))</f>
        <v>Light_LSB</v>
      </c>
      <c r="AH505">
        <f>INDEX([3]!crudeBD.lkup[Number],MATCH(vp.data[[#This Row],[Crude_Breakdown]],crudeBD.lkup[Crude Breakdown],0))</f>
        <v>1</v>
      </c>
      <c r="AI505">
        <f>MONTH(vp.data[[#This Row],[SDate]])</f>
        <v>1</v>
      </c>
      <c r="AJ505" s="5">
        <f>(vp.data[[#This Row],[VP]]-INDEX(crudeBD.lkup[Mean_VP],MATCH(vp.data[[#This Row],[Crude_Breakdown]],crudeBD.lkup[Crude Breakdown],0)))^2</f>
        <v>12.629597024125575</v>
      </c>
      <c r="AK505" s="5">
        <f>(vp.data[[#This Row],[Dens]]-INDEX(crudeBD.lkup[Mean_Dens],MATCH(vp.data[[#This Row],[Crude_Breakdown]],crudeBD.lkup[Crude Breakdown],0)))^2</f>
        <v>23.845937582223179</v>
      </c>
      <c r="AL505" s="5">
        <f>(vp.data[[#This Row],[Sulf]]-INDEX(crudeBD.lkup[Mean_Sulf],MATCH(vp.data[[#This Row],[Crude_Breakdown]],crudeBD.lkup[Crude Breakdown],0)))^2</f>
        <v>0.48584919210274019</v>
      </c>
      <c r="AM505" s="4">
        <f>IF(AND(vp.data[[#This Row],[SDate]]&gt;=DATE(YEAR(vp.data[[#This Row],[SDate]]),5,1),vp.data[[#This Row],[SDate]]&lt;=DATE(YEAR(vp.data[[#This Row],[SDate]]),9,15)),1,0)</f>
        <v>0</v>
      </c>
      <c r="AN505" s="4">
        <f>IF(vp.data[[#This Row],[SDate]]&lt;DATE(2016,12,1),0,1)</f>
        <v>1</v>
      </c>
      <c r="AO505" s="4">
        <f>IFERROR(vp.data[[#This Row],[Sulf]]*vp.data[[#This Row],[Net Dens]],"")</f>
        <v>4399041.8368800003</v>
      </c>
      <c r="AP505">
        <f>IFERROR(vp.data[[#This Row],[Dens]]*vp.data[[#This Row],[VolumeM3]],"")</f>
        <v>2715457.9240000001</v>
      </c>
      <c r="AQ505" s="15">
        <f>IFERROR(vp.data[[#This Row],[VP]]*vp.data[[#This Row],[VolumeM3]],"")</f>
        <v>313626.48599999998</v>
      </c>
    </row>
    <row r="506" spans="1:43" x14ac:dyDescent="0.25">
      <c r="A506">
        <v>505</v>
      </c>
      <c r="B506" t="s">
        <v>96</v>
      </c>
      <c r="C506" t="s">
        <v>96</v>
      </c>
      <c r="D506" t="s">
        <v>97</v>
      </c>
      <c r="F506" s="1">
        <v>42739</v>
      </c>
      <c r="G506" s="2">
        <v>94.6</v>
      </c>
      <c r="H506" s="2"/>
      <c r="I506" s="2">
        <f t="array" ref="I506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506" s="2">
        <v>20.2</v>
      </c>
      <c r="K506" s="2">
        <v>-23</v>
      </c>
      <c r="L506" s="2">
        <v>830.5</v>
      </c>
      <c r="M506" s="2">
        <f t="array" ref="M506">_xlfn.IFNA(IF(vp.data[[#This Row],[Dens Input]]="",INDEX([1]DATA!$O$3:$O$9826,MATCH(1,(vp.data[[#This Row],[Battery]]=[1]DATA!$L$3:$L$9826)*(EOMONTH(vp.data[[#This Row],[SDate]],-1)+1=[1]DATA!$G$3:$G$9826),0)),vp.data[[#This Row],[Dens Input]]),"")</f>
        <v>830.5</v>
      </c>
      <c r="N506" s="2">
        <f ca="1">INDEX(INDIRECT(_xlfn.CONCAT("weather.tbl[",N$1,"]")),MATCH(vp.data[[#This Row],[SDate]],weather.tbl[Date],0))</f>
        <v>-22.716666666666669</v>
      </c>
      <c r="O506" s="2">
        <f ca="1">INDEX(INDIRECT(_xlfn.CONCAT("weather.tbl[",O$1,"]")),MATCH(vp.data[[#This Row],[SDate]],weather.tbl[Date],0))</f>
        <v>-15.738095238095241</v>
      </c>
      <c r="P506" s="2">
        <f ca="1">INDEX(INDIRECT(_xlfn.CONCAT("weather.tbl[",P$1,"]")),MATCH(vp.data[[#This Row],[SDate]],weather.tbl[Date],0))</f>
        <v>-22.2</v>
      </c>
      <c r="Q506" s="2">
        <f ca="1">INDEX(INDIRECT(_xlfn.CONCAT("weather.tbl[",Q$1,"]")),MATCH(vp.data[[#This Row],[SDate]],weather.tbl[Date],0))</f>
        <v>-21.6</v>
      </c>
      <c r="R506" s="2">
        <f ca="1">INDEX(INDIRECT(_xlfn.CONCAT("weather.tbl[",R$1,"]")),MATCH(vp.data[[#This Row],[SDate]],weather.tbl[Date],0))</f>
        <v>-24</v>
      </c>
      <c r="S506" s="2">
        <f ca="1">INDEX(INDIRECT(_xlfn.CONCAT("weather.tbl[",S$1,"]")),MATCH(vp.data[[#This Row],[SDate]],weather.tbl[Date],0))</f>
        <v>-20.7</v>
      </c>
      <c r="T506" s="2">
        <f ca="1">INDEX(INDIRECT(_xlfn.CONCAT("weather.tbl[",T$1,"]")),MATCH(vp.data[[#This Row],[SDate]],weather.tbl[Date],0))</f>
        <v>-24.5</v>
      </c>
      <c r="U506" s="2">
        <f ca="1">INDEX(INDIRECT(_xlfn.CONCAT("weather.tbl[",U$1,"]")),MATCH(vp.data[[#This Row],[SDate]],weather.tbl[Date],0))</f>
        <v>-23.3</v>
      </c>
      <c r="V506" s="2">
        <f t="array" ref="V5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8927.0429999999997</v>
      </c>
      <c r="W506" t="s">
        <v>48</v>
      </c>
      <c r="X506">
        <f>IF(OR(vp.data[[#This Row],[Sulf]]="",vp.data[[#This Row],[Dens]]=""),1,0)</f>
        <v>0</v>
      </c>
      <c r="Y506">
        <f>IF(vp.data[[#This Row],[CrudeType]]="C5+",1,0)</f>
        <v>0</v>
      </c>
      <c r="Z506">
        <f>IF(AND(vp.data[[#This Row],[CrudeType]]="Crude",vp.data[[#This Row],[Dens]]&lt;=825,vp.data[[#This Row],[Sulf]]&gt;0.5,vp.data[[#This Row],[Unknown]]=0),1,0)</f>
        <v>0</v>
      </c>
      <c r="AA506">
        <f>IF(AND(vp.data[[#This Row],[CrudeType]]="Crude",vp.data[[#This Row],[Dens]]&lt;=825,vp.data[[#This Row],[Sulf]]&lt;=0.5,vp.data[[#This Row],[Unknown]]=0),1,0)</f>
        <v>0</v>
      </c>
      <c r="AB5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6">
        <f>IF(AND(vp.data[[#This Row],[CrudeType]]="Crude",vp.data[[#This Row],[Dens]]&gt;825,vp.data[[#This Row],[Dens]]&lt;=900,vp.data[[#This Row],[Sulf]]&lt;=0.5,vp.data[[#This Row],[Unknown]]=0),1,0)</f>
        <v>0</v>
      </c>
      <c r="AD506">
        <f>IF(AND(vp.data[[#This Row],[CrudeType]]="Crude",vp.data[[#This Row],[Dens]]&gt;865,vp.data[[#This Row],[Dens]]&lt;=900,vp.data[[#This Row],[Sulf]]&gt;2,vp.data[[#This Row],[Unknown]]=0),1,0)</f>
        <v>0</v>
      </c>
      <c r="AE506">
        <f>IF(AND(vp.data[[#This Row],[CrudeType]]="Crude",vp.data[[#This Row],[Dens]]&gt;900,vp.data[[#This Row],[Sulf]]&lt;=0.5,vp.data[[#This Row],[Unknown]]=0),1,0)</f>
        <v>0</v>
      </c>
      <c r="AF506">
        <f>IF(AND(vp.data[[#This Row],[CrudeType]]="Crude",vp.data[[#This Row],[Dens]]&gt;900,vp.data[[#This Row],[Sulf]]&lt;=0.5,vp.data[[#This Row],[Unknown]]=0),1,0)</f>
        <v>0</v>
      </c>
      <c r="AG506" t="str">
        <f>INDEX(vp.data[[#Headers],[Unknown]:[Heavy_SW]],MATCH(1,vp.data[[#This Row],[Unknown]:[Heavy_SW]],0))</f>
        <v>Medium_LSB</v>
      </c>
      <c r="AH506">
        <f>INDEX([3]!crudeBD.lkup[Number],MATCH(vp.data[[#This Row],[Crude_Breakdown]],crudeBD.lkup[Crude Breakdown],0))</f>
        <v>3</v>
      </c>
      <c r="AI506">
        <f>MONTH(vp.data[[#This Row],[SDate]])</f>
        <v>1</v>
      </c>
      <c r="AJ506" s="5">
        <f>(vp.data[[#This Row],[VP]]-INDEX(crudeBD.lkup[Mean_VP],MATCH(vp.data[[#This Row],[Crude_Breakdown]],crudeBD.lkup[Crude Breakdown],0)))^2</f>
        <v>194.89063083238463</v>
      </c>
      <c r="AK506" s="5">
        <f>(vp.data[[#This Row],[Dens]]-INDEX(crudeBD.lkup[Mean_Dens],MATCH(vp.data[[#This Row],[Crude_Breakdown]],crudeBD.lkup[Crude Breakdown],0)))^2</f>
        <v>180.09639999998669</v>
      </c>
      <c r="AL506" s="5">
        <f>(vp.data[[#This Row],[Sulf]]-INDEX(crudeBD.lkup[Mean_Sulf],MATCH(vp.data[[#This Row],[Crude_Breakdown]],crudeBD.lkup[Crude Breakdown],0)))^2</f>
        <v>0.35451083732210947</v>
      </c>
      <c r="AM506" s="4">
        <f>IF(AND(vp.data[[#This Row],[SDate]]&gt;=DATE(YEAR(vp.data[[#This Row],[SDate]]),5,1),vp.data[[#This Row],[SDate]]&lt;=DATE(YEAR(vp.data[[#This Row],[SDate]]),9,15)),1,0)</f>
        <v>0</v>
      </c>
      <c r="AN506" s="4">
        <f>IF(vp.data[[#This Row],[SDate]]&lt;DATE(2016,12,1),0,1)</f>
        <v>1</v>
      </c>
      <c r="AO506" s="4">
        <f>IFERROR(vp.data[[#This Row],[Sulf]]*vp.data[[#This Row],[Net Dens]],"")</f>
        <v>5856988.2770849997</v>
      </c>
      <c r="AP506">
        <f>IFERROR(vp.data[[#This Row],[Dens]]*vp.data[[#This Row],[VolumeM3]],"")</f>
        <v>7413909.2114999993</v>
      </c>
      <c r="AQ506" s="15">
        <f>IFERROR(vp.data[[#This Row],[VP]]*vp.data[[#This Row],[VolumeM3]],"")</f>
        <v>844498.26779999991</v>
      </c>
    </row>
    <row r="507" spans="1:43" x14ac:dyDescent="0.25">
      <c r="A507">
        <v>506</v>
      </c>
      <c r="B507" t="s">
        <v>51</v>
      </c>
      <c r="C507" t="s">
        <v>51</v>
      </c>
      <c r="D507" t="s">
        <v>72</v>
      </c>
      <c r="F507" s="1">
        <v>42739</v>
      </c>
      <c r="G507" s="2">
        <v>100.4</v>
      </c>
      <c r="H507" s="2"/>
      <c r="I507" s="2">
        <f t="array" ref="I507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507" s="2">
        <v>12.7</v>
      </c>
      <c r="K507" s="2">
        <v>-23</v>
      </c>
      <c r="L507" s="2">
        <v>830.8</v>
      </c>
      <c r="M507" s="2">
        <f t="array" ref="M507">_xlfn.IFNA(IF(vp.data[[#This Row],[Dens Input]]="",INDEX([1]DATA!$O$3:$O$9826,MATCH(1,(vp.data[[#This Row],[Battery]]=[1]DATA!$L$3:$L$9826)*(EOMONTH(vp.data[[#This Row],[SDate]],-1)+1=[1]DATA!$G$3:$G$9826),0)),vp.data[[#This Row],[Dens Input]]),"")</f>
        <v>830.8</v>
      </c>
      <c r="N507" s="2">
        <f ca="1">INDEX(INDIRECT(_xlfn.CONCAT("weather.tbl[",N$1,"]")),MATCH(vp.data[[#This Row],[SDate]],weather.tbl[Date],0))</f>
        <v>-22.716666666666669</v>
      </c>
      <c r="O507" s="2">
        <f ca="1">INDEX(INDIRECT(_xlfn.CONCAT("weather.tbl[",O$1,"]")),MATCH(vp.data[[#This Row],[SDate]],weather.tbl[Date],0))</f>
        <v>-15.738095238095241</v>
      </c>
      <c r="P507" s="2">
        <f ca="1">INDEX(INDIRECT(_xlfn.CONCAT("weather.tbl[",P$1,"]")),MATCH(vp.data[[#This Row],[SDate]],weather.tbl[Date],0))</f>
        <v>-22.2</v>
      </c>
      <c r="Q507" s="2">
        <f ca="1">INDEX(INDIRECT(_xlfn.CONCAT("weather.tbl[",Q$1,"]")),MATCH(vp.data[[#This Row],[SDate]],weather.tbl[Date],0))</f>
        <v>-21.6</v>
      </c>
      <c r="R507" s="2">
        <f ca="1">INDEX(INDIRECT(_xlfn.CONCAT("weather.tbl[",R$1,"]")),MATCH(vp.data[[#This Row],[SDate]],weather.tbl[Date],0))</f>
        <v>-24</v>
      </c>
      <c r="S507" s="2">
        <f ca="1">INDEX(INDIRECT(_xlfn.CONCAT("weather.tbl[",S$1,"]")),MATCH(vp.data[[#This Row],[SDate]],weather.tbl[Date],0))</f>
        <v>-20.7</v>
      </c>
      <c r="T507" s="2">
        <f ca="1">INDEX(INDIRECT(_xlfn.CONCAT("weather.tbl[",T$1,"]")),MATCH(vp.data[[#This Row],[SDate]],weather.tbl[Date],0))</f>
        <v>-24.5</v>
      </c>
      <c r="U507" s="2">
        <f ca="1">INDEX(INDIRECT(_xlfn.CONCAT("weather.tbl[",U$1,"]")),MATCH(vp.data[[#This Row],[SDate]],weather.tbl[Date],0))</f>
        <v>-23.3</v>
      </c>
      <c r="V507" s="2">
        <f t="array" ref="V5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14039.305</v>
      </c>
      <c r="W507" t="s">
        <v>48</v>
      </c>
      <c r="X507">
        <f>IF(OR(vp.data[[#This Row],[Sulf]]="",vp.data[[#This Row],[Dens]]=""),1,0)</f>
        <v>0</v>
      </c>
      <c r="Y507">
        <f>IF(vp.data[[#This Row],[CrudeType]]="C5+",1,0)</f>
        <v>0</v>
      </c>
      <c r="Z507">
        <f>IF(AND(vp.data[[#This Row],[CrudeType]]="Crude",vp.data[[#This Row],[Dens]]&lt;=825,vp.data[[#This Row],[Sulf]]&gt;0.5,vp.data[[#This Row],[Unknown]]=0),1,0)</f>
        <v>0</v>
      </c>
      <c r="AA507">
        <f>IF(AND(vp.data[[#This Row],[CrudeType]]="Crude",vp.data[[#This Row],[Dens]]&lt;=825,vp.data[[#This Row],[Sulf]]&lt;=0.5,vp.data[[#This Row],[Unknown]]=0),1,0)</f>
        <v>0</v>
      </c>
      <c r="AB5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7">
        <f>IF(AND(vp.data[[#This Row],[CrudeType]]="Crude",vp.data[[#This Row],[Dens]]&gt;825,vp.data[[#This Row],[Dens]]&lt;=900,vp.data[[#This Row],[Sulf]]&lt;=0.5,vp.data[[#This Row],[Unknown]]=0),1,0)</f>
        <v>0</v>
      </c>
      <c r="AD507">
        <f>IF(AND(vp.data[[#This Row],[CrudeType]]="Crude",vp.data[[#This Row],[Dens]]&gt;865,vp.data[[#This Row],[Dens]]&lt;=900,vp.data[[#This Row],[Sulf]]&gt;2,vp.data[[#This Row],[Unknown]]=0),1,0)</f>
        <v>0</v>
      </c>
      <c r="AE507">
        <f>IF(AND(vp.data[[#This Row],[CrudeType]]="Crude",vp.data[[#This Row],[Dens]]&gt;900,vp.data[[#This Row],[Sulf]]&lt;=0.5,vp.data[[#This Row],[Unknown]]=0),1,0)</f>
        <v>0</v>
      </c>
      <c r="AF507">
        <f>IF(AND(vp.data[[#This Row],[CrudeType]]="Crude",vp.data[[#This Row],[Dens]]&gt;900,vp.data[[#This Row],[Sulf]]&lt;=0.5,vp.data[[#This Row],[Unknown]]=0),1,0)</f>
        <v>0</v>
      </c>
      <c r="AG507" t="str">
        <f>INDEX(vp.data[[#Headers],[Unknown]:[Heavy_SW]],MATCH(1,vp.data[[#This Row],[Unknown]:[Heavy_SW]],0))</f>
        <v>Medium_LSB</v>
      </c>
      <c r="AH507">
        <f>INDEX([3]!crudeBD.lkup[Number],MATCH(vp.data[[#This Row],[Crude_Breakdown]],crudeBD.lkup[Crude Breakdown],0))</f>
        <v>3</v>
      </c>
      <c r="AI507">
        <f>MONTH(vp.data[[#This Row],[SDate]])</f>
        <v>1</v>
      </c>
      <c r="AJ507" s="5">
        <f>(vp.data[[#This Row],[VP]]-INDEX(crudeBD.lkup[Mean_VP],MATCH(vp.data[[#This Row],[Crude_Breakdown]],crudeBD.lkup[Crude Breakdown],0)))^2</f>
        <v>390.47038285394916</v>
      </c>
      <c r="AK507" s="5">
        <f>(vp.data[[#This Row],[Dens]]-INDEX(crudeBD.lkup[Mean_Dens],MATCH(vp.data[[#This Row],[Crude_Breakdown]],crudeBD.lkup[Crude Breakdown],0)))^2</f>
        <v>172.13439999998818</v>
      </c>
      <c r="AL507" s="5">
        <f>(vp.data[[#This Row],[Sulf]]-INDEX(crudeBD.lkup[Mean_Sulf],MATCH(vp.data[[#This Row],[Crude_Breakdown]],crudeBD.lkup[Crude Breakdown],0)))^2</f>
        <v>5.0808823575477689E-2</v>
      </c>
      <c r="AM507" s="4">
        <f>IF(AND(vp.data[[#This Row],[SDate]]&gt;=DATE(YEAR(vp.data[[#This Row],[SDate]]),5,1),vp.data[[#This Row],[SDate]]&lt;=DATE(YEAR(vp.data[[#This Row],[SDate]]),9,15)),1,0)</f>
        <v>0</v>
      </c>
      <c r="AN507" s="4">
        <f>IF(vp.data[[#This Row],[SDate]]&lt;DATE(2016,12,1),0,1)</f>
        <v>1</v>
      </c>
      <c r="AO507" s="4">
        <f>IFERROR(vp.data[[#This Row],[Sulf]]*vp.data[[#This Row],[Net Dens]],"")</f>
        <v>13530071.32904</v>
      </c>
      <c r="AP507">
        <f>IFERROR(vp.data[[#This Row],[Dens]]*vp.data[[#This Row],[VolumeM3]],"")</f>
        <v>11663854.594000001</v>
      </c>
      <c r="AQ507" s="15">
        <f>IFERROR(vp.data[[#This Row],[VP]]*vp.data[[#This Row],[VolumeM3]],"")</f>
        <v>1409546.2220000001</v>
      </c>
    </row>
    <row r="508" spans="1:43" x14ac:dyDescent="0.25">
      <c r="A508">
        <v>507</v>
      </c>
      <c r="B508" t="s">
        <v>49</v>
      </c>
      <c r="C508" t="s">
        <v>49</v>
      </c>
      <c r="D508" t="s">
        <v>70</v>
      </c>
      <c r="F508" s="1">
        <v>42739</v>
      </c>
      <c r="G508" s="2">
        <v>84.9</v>
      </c>
      <c r="H508" s="2"/>
      <c r="I508" s="2">
        <f t="array" ref="I508">_xlfn.IFNA(IF(vp.data[[#This Row],[Sulf Input]]="",INDEX([1]DATA!$Q$3:$Q$9826,MATCH(1,(vp.data[[#This Row],[Battery]]=[1]DATA!$L$3:$L$9826)*(EOMONTH(vp.data[[#This Row],[SDate]],-1)+1=[1]DATA!$G$3:$G$9826),0)),vp.data[[#This Row],[Sulf Input]]),"")</f>
        <v>1.01</v>
      </c>
      <c r="J508" s="2">
        <v>8.3000000000000007</v>
      </c>
      <c r="K508" s="2">
        <v>-23</v>
      </c>
      <c r="L508" s="2">
        <v>831.1</v>
      </c>
      <c r="M508" s="2">
        <f t="array" ref="M508">_xlfn.IFNA(IF(vp.data[[#This Row],[Dens Input]]="",INDEX([1]DATA!$O$3:$O$9826,MATCH(1,(vp.data[[#This Row],[Battery]]=[1]DATA!$L$3:$L$9826)*(EOMONTH(vp.data[[#This Row],[SDate]],-1)+1=[1]DATA!$G$3:$G$9826),0)),vp.data[[#This Row],[Dens Input]]),"")</f>
        <v>831.1</v>
      </c>
      <c r="N508" s="2">
        <f ca="1">INDEX(INDIRECT(_xlfn.CONCAT("weather.tbl[",N$1,"]")),MATCH(vp.data[[#This Row],[SDate]],weather.tbl[Date],0))</f>
        <v>-22.716666666666669</v>
      </c>
      <c r="O508" s="2">
        <f ca="1">INDEX(INDIRECT(_xlfn.CONCAT("weather.tbl[",O$1,"]")),MATCH(vp.data[[#This Row],[SDate]],weather.tbl[Date],0))</f>
        <v>-15.738095238095241</v>
      </c>
      <c r="P508" s="2">
        <f ca="1">INDEX(INDIRECT(_xlfn.CONCAT("weather.tbl[",P$1,"]")),MATCH(vp.data[[#This Row],[SDate]],weather.tbl[Date],0))</f>
        <v>-22.2</v>
      </c>
      <c r="Q508" s="2">
        <f ca="1">INDEX(INDIRECT(_xlfn.CONCAT("weather.tbl[",Q$1,"]")),MATCH(vp.data[[#This Row],[SDate]],weather.tbl[Date],0))</f>
        <v>-21.6</v>
      </c>
      <c r="R508" s="2">
        <f ca="1">INDEX(INDIRECT(_xlfn.CONCAT("weather.tbl[",R$1,"]")),MATCH(vp.data[[#This Row],[SDate]],weather.tbl[Date],0))</f>
        <v>-24</v>
      </c>
      <c r="S508" s="2">
        <f ca="1">INDEX(INDIRECT(_xlfn.CONCAT("weather.tbl[",S$1,"]")),MATCH(vp.data[[#This Row],[SDate]],weather.tbl[Date],0))</f>
        <v>-20.7</v>
      </c>
      <c r="T508" s="2">
        <f ca="1">INDEX(INDIRECT(_xlfn.CONCAT("weather.tbl[",T$1,"]")),MATCH(vp.data[[#This Row],[SDate]],weather.tbl[Date],0))</f>
        <v>-24.5</v>
      </c>
      <c r="U508" s="2">
        <f ca="1">INDEX(INDIRECT(_xlfn.CONCAT("weather.tbl[",U$1,"]")),MATCH(vp.data[[#This Row],[SDate]],weather.tbl[Date],0))</f>
        <v>-23.3</v>
      </c>
      <c r="V508" s="2">
        <f t="array" ref="V5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3332.451</v>
      </c>
      <c r="W508" t="s">
        <v>48</v>
      </c>
      <c r="X508">
        <f>IF(OR(vp.data[[#This Row],[Sulf]]="",vp.data[[#This Row],[Dens]]=""),1,0)</f>
        <v>0</v>
      </c>
      <c r="Y508">
        <f>IF(vp.data[[#This Row],[CrudeType]]="C5+",1,0)</f>
        <v>0</v>
      </c>
      <c r="Z508">
        <f>IF(AND(vp.data[[#This Row],[CrudeType]]="Crude",vp.data[[#This Row],[Dens]]&lt;=825,vp.data[[#This Row],[Sulf]]&gt;0.5,vp.data[[#This Row],[Unknown]]=0),1,0)</f>
        <v>0</v>
      </c>
      <c r="AA508">
        <f>IF(AND(vp.data[[#This Row],[CrudeType]]="Crude",vp.data[[#This Row],[Dens]]&lt;=825,vp.data[[#This Row],[Sulf]]&lt;=0.5,vp.data[[#This Row],[Unknown]]=0),1,0)</f>
        <v>0</v>
      </c>
      <c r="AB5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8">
        <f>IF(AND(vp.data[[#This Row],[CrudeType]]="Crude",vp.data[[#This Row],[Dens]]&gt;825,vp.data[[#This Row],[Dens]]&lt;=900,vp.data[[#This Row],[Sulf]]&lt;=0.5,vp.data[[#This Row],[Unknown]]=0),1,0)</f>
        <v>0</v>
      </c>
      <c r="AD508">
        <f>IF(AND(vp.data[[#This Row],[CrudeType]]="Crude",vp.data[[#This Row],[Dens]]&gt;865,vp.data[[#This Row],[Dens]]&lt;=900,vp.data[[#This Row],[Sulf]]&gt;2,vp.data[[#This Row],[Unknown]]=0),1,0)</f>
        <v>0</v>
      </c>
      <c r="AE508">
        <f>IF(AND(vp.data[[#This Row],[CrudeType]]="Crude",vp.data[[#This Row],[Dens]]&gt;900,vp.data[[#This Row],[Sulf]]&lt;=0.5,vp.data[[#This Row],[Unknown]]=0),1,0)</f>
        <v>0</v>
      </c>
      <c r="AF508">
        <f>IF(AND(vp.data[[#This Row],[CrudeType]]="Crude",vp.data[[#This Row],[Dens]]&gt;900,vp.data[[#This Row],[Sulf]]&lt;=0.5,vp.data[[#This Row],[Unknown]]=0),1,0)</f>
        <v>0</v>
      </c>
      <c r="AG508" t="str">
        <f>INDEX(vp.data[[#Headers],[Unknown]:[Heavy_SW]],MATCH(1,vp.data[[#This Row],[Unknown]:[Heavy_SW]],0))</f>
        <v>Medium_LSB</v>
      </c>
      <c r="AH508">
        <f>INDEX([3]!crudeBD.lkup[Number],MATCH(vp.data[[#This Row],[Crude_Breakdown]],crudeBD.lkup[Crude Breakdown],0))</f>
        <v>3</v>
      </c>
      <c r="AI508">
        <f>MONTH(vp.data[[#This Row],[SDate]])</f>
        <v>1</v>
      </c>
      <c r="AJ508" s="5">
        <f>(vp.data[[#This Row],[VP]]-INDEX(crudeBD.lkup[Mean_VP],MATCH(vp.data[[#This Row],[Crude_Breakdown]],crudeBD.lkup[Crude Breakdown],0)))^2</f>
        <v>18.150355899768897</v>
      </c>
      <c r="AK508" s="5">
        <f>(vp.data[[#This Row],[Dens]]-INDEX(crudeBD.lkup[Mean_Dens],MATCH(vp.data[[#This Row],[Crude_Breakdown]],crudeBD.lkup[Crude Breakdown],0)))^2</f>
        <v>164.35239999998672</v>
      </c>
      <c r="AL508" s="5">
        <f>(vp.data[[#This Row],[Sulf]]-INDEX(crudeBD.lkup[Mean_Sulf],MATCH(vp.data[[#This Row],[Crude_Breakdown]],crudeBD.lkup[Crude Breakdown],0)))^2</f>
        <v>0.14093126158086894</v>
      </c>
      <c r="AM508" s="4">
        <f>IF(AND(vp.data[[#This Row],[SDate]]&gt;=DATE(YEAR(vp.data[[#This Row],[SDate]]),5,1),vp.data[[#This Row],[SDate]]&lt;=DATE(YEAR(vp.data[[#This Row],[SDate]]),9,15)),1,0)</f>
        <v>0</v>
      </c>
      <c r="AN508" s="4">
        <f>IF(vp.data[[#This Row],[SDate]]&lt;DATE(2016,12,1),0,1)</f>
        <v>1</v>
      </c>
      <c r="AO508" s="4">
        <f>IFERROR(vp.data[[#This Row],[Sulf]]*vp.data[[#This Row],[Net Dens]],"")</f>
        <v>2797296.0263609998</v>
      </c>
      <c r="AP508">
        <f>IFERROR(vp.data[[#This Row],[Dens]]*vp.data[[#This Row],[VolumeM3]],"")</f>
        <v>2769600.0260999999</v>
      </c>
      <c r="AQ508" s="15">
        <f>IFERROR(vp.data[[#This Row],[VP]]*vp.data[[#This Row],[VolumeM3]],"")</f>
        <v>282925.08990000002</v>
      </c>
    </row>
    <row r="509" spans="1:43" x14ac:dyDescent="0.25">
      <c r="A509">
        <v>508</v>
      </c>
      <c r="B509" t="s">
        <v>108</v>
      </c>
      <c r="C509" t="s">
        <v>108</v>
      </c>
      <c r="D509" t="s">
        <v>109</v>
      </c>
      <c r="F509" s="1">
        <v>42739</v>
      </c>
      <c r="G509" s="2">
        <v>89.1</v>
      </c>
      <c r="H509" s="2"/>
      <c r="I509" s="2">
        <f t="array" ref="I509">_xlfn.IFNA(IF(vp.data[[#This Row],[Sulf Input]]="",INDEX([1]DATA!$Q$3:$Q$9826,MATCH(1,(vp.data[[#This Row],[Battery]]=[1]DATA!$L$3:$L$9826)*(EOMONTH(vp.data[[#This Row],[SDate]],-1)+1=[1]DATA!$G$3:$G$9826),0)),vp.data[[#This Row],[Sulf Input]]),"")</f>
        <v>0.78</v>
      </c>
      <c r="J509" s="2">
        <v>21</v>
      </c>
      <c r="K509" s="2">
        <v>-23</v>
      </c>
      <c r="L509" s="2">
        <v>834.2</v>
      </c>
      <c r="M509" s="2">
        <f t="array" ref="M509">_xlfn.IFNA(IF(vp.data[[#This Row],[Dens Input]]="",INDEX([1]DATA!$O$3:$O$9826,MATCH(1,(vp.data[[#This Row],[Battery]]=[1]DATA!$L$3:$L$9826)*(EOMONTH(vp.data[[#This Row],[SDate]],-1)+1=[1]DATA!$G$3:$G$9826),0)),vp.data[[#This Row],[Dens Input]]),"")</f>
        <v>834.2</v>
      </c>
      <c r="N509" s="2">
        <f ca="1">INDEX(INDIRECT(_xlfn.CONCAT("weather.tbl[",N$1,"]")),MATCH(vp.data[[#This Row],[SDate]],weather.tbl[Date],0))</f>
        <v>-22.716666666666669</v>
      </c>
      <c r="O509" s="2">
        <f ca="1">INDEX(INDIRECT(_xlfn.CONCAT("weather.tbl[",O$1,"]")),MATCH(vp.data[[#This Row],[SDate]],weather.tbl[Date],0))</f>
        <v>-15.738095238095241</v>
      </c>
      <c r="P509" s="2">
        <f ca="1">INDEX(INDIRECT(_xlfn.CONCAT("weather.tbl[",P$1,"]")),MATCH(vp.data[[#This Row],[SDate]],weather.tbl[Date],0))</f>
        <v>-22.2</v>
      </c>
      <c r="Q509" s="2">
        <f ca="1">INDEX(INDIRECT(_xlfn.CONCAT("weather.tbl[",Q$1,"]")),MATCH(vp.data[[#This Row],[SDate]],weather.tbl[Date],0))</f>
        <v>-21.6</v>
      </c>
      <c r="R509" s="2">
        <f ca="1">INDEX(INDIRECT(_xlfn.CONCAT("weather.tbl[",R$1,"]")),MATCH(vp.data[[#This Row],[SDate]],weather.tbl[Date],0))</f>
        <v>-24</v>
      </c>
      <c r="S509" s="2">
        <f ca="1">INDEX(INDIRECT(_xlfn.CONCAT("weather.tbl[",S$1,"]")),MATCH(vp.data[[#This Row],[SDate]],weather.tbl[Date],0))</f>
        <v>-20.7</v>
      </c>
      <c r="T509" s="2">
        <f ca="1">INDEX(INDIRECT(_xlfn.CONCAT("weather.tbl[",T$1,"]")),MATCH(vp.data[[#This Row],[SDate]],weather.tbl[Date],0))</f>
        <v>-24.5</v>
      </c>
      <c r="U509" s="2">
        <f ca="1">INDEX(INDIRECT(_xlfn.CONCAT("weather.tbl[",U$1,"]")),MATCH(vp.data[[#This Row],[SDate]],weather.tbl[Date],0))</f>
        <v>-23.3</v>
      </c>
      <c r="V509" s="2">
        <f t="array" ref="V5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9355.1880000000001</v>
      </c>
      <c r="W509" t="s">
        <v>48</v>
      </c>
      <c r="X509">
        <f>IF(OR(vp.data[[#This Row],[Sulf]]="",vp.data[[#This Row],[Dens]]=""),1,0)</f>
        <v>0</v>
      </c>
      <c r="Y509">
        <f>IF(vp.data[[#This Row],[CrudeType]]="C5+",1,0)</f>
        <v>0</v>
      </c>
      <c r="Z509">
        <f>IF(AND(vp.data[[#This Row],[CrudeType]]="Crude",vp.data[[#This Row],[Dens]]&lt;=825,vp.data[[#This Row],[Sulf]]&gt;0.5,vp.data[[#This Row],[Unknown]]=0),1,0)</f>
        <v>0</v>
      </c>
      <c r="AA509">
        <f>IF(AND(vp.data[[#This Row],[CrudeType]]="Crude",vp.data[[#This Row],[Dens]]&lt;=825,vp.data[[#This Row],[Sulf]]&lt;=0.5,vp.data[[#This Row],[Unknown]]=0),1,0)</f>
        <v>0</v>
      </c>
      <c r="AB5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09">
        <f>IF(AND(vp.data[[#This Row],[CrudeType]]="Crude",vp.data[[#This Row],[Dens]]&gt;825,vp.data[[#This Row],[Dens]]&lt;=900,vp.data[[#This Row],[Sulf]]&lt;=0.5,vp.data[[#This Row],[Unknown]]=0),1,0)</f>
        <v>0</v>
      </c>
      <c r="AD509">
        <f>IF(AND(vp.data[[#This Row],[CrudeType]]="Crude",vp.data[[#This Row],[Dens]]&gt;865,vp.data[[#This Row],[Dens]]&lt;=900,vp.data[[#This Row],[Sulf]]&gt;2,vp.data[[#This Row],[Unknown]]=0),1,0)</f>
        <v>0</v>
      </c>
      <c r="AE509">
        <f>IF(AND(vp.data[[#This Row],[CrudeType]]="Crude",vp.data[[#This Row],[Dens]]&gt;900,vp.data[[#This Row],[Sulf]]&lt;=0.5,vp.data[[#This Row],[Unknown]]=0),1,0)</f>
        <v>0</v>
      </c>
      <c r="AF509">
        <f>IF(AND(vp.data[[#This Row],[CrudeType]]="Crude",vp.data[[#This Row],[Dens]]&gt;900,vp.data[[#This Row],[Sulf]]&lt;=0.5,vp.data[[#This Row],[Unknown]]=0),1,0)</f>
        <v>0</v>
      </c>
      <c r="AG509" t="str">
        <f>INDEX(vp.data[[#Headers],[Unknown]:[Heavy_SW]],MATCH(1,vp.data[[#This Row],[Unknown]:[Heavy_SW]],0))</f>
        <v>Medium_LSB</v>
      </c>
      <c r="AH509">
        <f>INDEX([3]!crudeBD.lkup[Number],MATCH(vp.data[[#This Row],[Crude_Breakdown]],crudeBD.lkup[Crude Breakdown],0))</f>
        <v>3</v>
      </c>
      <c r="AI509">
        <f>MONTH(vp.data[[#This Row],[SDate]])</f>
        <v>1</v>
      </c>
      <c r="AJ509" s="5">
        <f>(vp.data[[#This Row],[VP]]-INDEX(crudeBD.lkup[Mean_VP],MATCH(vp.data[[#This Row],[Crude_Breakdown]],crudeBD.lkup[Crude Breakdown],0)))^2</f>
        <v>71.577072880901426</v>
      </c>
      <c r="AK509" s="5">
        <f>(vp.data[[#This Row],[Dens]]-INDEX(crudeBD.lkup[Mean_Dens],MATCH(vp.data[[#This Row],[Crude_Breakdown]],crudeBD.lkup[Crude Breakdown],0)))^2</f>
        <v>94.478399999989477</v>
      </c>
      <c r="AL509" s="5">
        <f>(vp.data[[#This Row],[Sulf]]-INDEX(crudeBD.lkup[Mean_Sulf],MATCH(vp.data[[#This Row],[Crude_Breakdown]],crudeBD.lkup[Crude Breakdown],0)))^2</f>
        <v>0.36651899985580222</v>
      </c>
      <c r="AM509" s="4">
        <f>IF(AND(vp.data[[#This Row],[SDate]]&gt;=DATE(YEAR(vp.data[[#This Row],[SDate]]),5,1),vp.data[[#This Row],[SDate]]&lt;=DATE(YEAR(vp.data[[#This Row],[SDate]]),9,15)),1,0)</f>
        <v>0</v>
      </c>
      <c r="AN509" s="4">
        <f>IF(vp.data[[#This Row],[SDate]]&lt;DATE(2016,12,1),0,1)</f>
        <v>1</v>
      </c>
      <c r="AO509" s="4">
        <f>IFERROR(vp.data[[#This Row],[Sulf]]*vp.data[[#This Row],[Net Dens]],"")</f>
        <v>6087196.3070880007</v>
      </c>
      <c r="AP509">
        <f>IFERROR(vp.data[[#This Row],[Dens]]*vp.data[[#This Row],[VolumeM3]],"")</f>
        <v>7804097.8296000008</v>
      </c>
      <c r="AQ509" s="15">
        <f>IFERROR(vp.data[[#This Row],[VP]]*vp.data[[#This Row],[VolumeM3]],"")</f>
        <v>833547.25079999992</v>
      </c>
    </row>
    <row r="510" spans="1:43" x14ac:dyDescent="0.25">
      <c r="A510">
        <v>509</v>
      </c>
      <c r="B510" t="s">
        <v>49</v>
      </c>
      <c r="C510" t="s">
        <v>49</v>
      </c>
      <c r="D510" t="s">
        <v>59</v>
      </c>
      <c r="F510" s="1">
        <v>42739</v>
      </c>
      <c r="G510" s="2">
        <v>91.1</v>
      </c>
      <c r="H510" s="2"/>
      <c r="I510" s="2">
        <f t="array" ref="I510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510" s="2">
        <v>9.6</v>
      </c>
      <c r="K510" s="2">
        <v>-23</v>
      </c>
      <c r="L510" s="2">
        <v>844.2</v>
      </c>
      <c r="M510" s="2">
        <f t="array" ref="M510">_xlfn.IFNA(IF(vp.data[[#This Row],[Dens Input]]="",INDEX([1]DATA!$O$3:$O$9826,MATCH(1,(vp.data[[#This Row],[Battery]]=[1]DATA!$L$3:$L$9826)*(EOMONTH(vp.data[[#This Row],[SDate]],-1)+1=[1]DATA!$G$3:$G$9826),0)),vp.data[[#This Row],[Dens Input]]),"")</f>
        <v>844.2</v>
      </c>
      <c r="N510" s="2">
        <f ca="1">INDEX(INDIRECT(_xlfn.CONCAT("weather.tbl[",N$1,"]")),MATCH(vp.data[[#This Row],[SDate]],weather.tbl[Date],0))</f>
        <v>-22.716666666666669</v>
      </c>
      <c r="O510" s="2">
        <f ca="1">INDEX(INDIRECT(_xlfn.CONCAT("weather.tbl[",O$1,"]")),MATCH(vp.data[[#This Row],[SDate]],weather.tbl[Date],0))</f>
        <v>-15.738095238095241</v>
      </c>
      <c r="P510" s="2">
        <f ca="1">INDEX(INDIRECT(_xlfn.CONCAT("weather.tbl[",P$1,"]")),MATCH(vp.data[[#This Row],[SDate]],weather.tbl[Date],0))</f>
        <v>-22.2</v>
      </c>
      <c r="Q510" s="2">
        <f ca="1">INDEX(INDIRECT(_xlfn.CONCAT("weather.tbl[",Q$1,"]")),MATCH(vp.data[[#This Row],[SDate]],weather.tbl[Date],0))</f>
        <v>-21.6</v>
      </c>
      <c r="R510" s="2">
        <f ca="1">INDEX(INDIRECT(_xlfn.CONCAT("weather.tbl[",R$1,"]")),MATCH(vp.data[[#This Row],[SDate]],weather.tbl[Date],0))</f>
        <v>-24</v>
      </c>
      <c r="S510" s="2">
        <f ca="1">INDEX(INDIRECT(_xlfn.CONCAT("weather.tbl[",S$1,"]")),MATCH(vp.data[[#This Row],[SDate]],weather.tbl[Date],0))</f>
        <v>-20.7</v>
      </c>
      <c r="T510" s="2">
        <f ca="1">INDEX(INDIRECT(_xlfn.CONCAT("weather.tbl[",T$1,"]")),MATCH(vp.data[[#This Row],[SDate]],weather.tbl[Date],0))</f>
        <v>-24.5</v>
      </c>
      <c r="U510" s="2">
        <f ca="1">INDEX(INDIRECT(_xlfn.CONCAT("weather.tbl[",U$1,"]")),MATCH(vp.data[[#This Row],[SDate]],weather.tbl[Date],0))</f>
        <v>-23.3</v>
      </c>
      <c r="V510" s="2">
        <f t="array" ref="V5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1887.288</v>
      </c>
      <c r="W510" t="s">
        <v>48</v>
      </c>
      <c r="X510">
        <f>IF(OR(vp.data[[#This Row],[Sulf]]="",vp.data[[#This Row],[Dens]]=""),1,0)</f>
        <v>0</v>
      </c>
      <c r="Y510">
        <f>IF(vp.data[[#This Row],[CrudeType]]="C5+",1,0)</f>
        <v>0</v>
      </c>
      <c r="Z510">
        <f>IF(AND(vp.data[[#This Row],[CrudeType]]="Crude",vp.data[[#This Row],[Dens]]&lt;=825,vp.data[[#This Row],[Sulf]]&gt;0.5,vp.data[[#This Row],[Unknown]]=0),1,0)</f>
        <v>0</v>
      </c>
      <c r="AA510">
        <f>IF(AND(vp.data[[#This Row],[CrudeType]]="Crude",vp.data[[#This Row],[Dens]]&lt;=825,vp.data[[#This Row],[Sulf]]&lt;=0.5,vp.data[[#This Row],[Unknown]]=0),1,0)</f>
        <v>0</v>
      </c>
      <c r="AB5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10">
        <f>IF(AND(vp.data[[#This Row],[CrudeType]]="Crude",vp.data[[#This Row],[Dens]]&gt;825,vp.data[[#This Row],[Dens]]&lt;=900,vp.data[[#This Row],[Sulf]]&lt;=0.5,vp.data[[#This Row],[Unknown]]=0),1,0)</f>
        <v>0</v>
      </c>
      <c r="AD510">
        <f>IF(AND(vp.data[[#This Row],[CrudeType]]="Crude",vp.data[[#This Row],[Dens]]&gt;865,vp.data[[#This Row],[Dens]]&lt;=900,vp.data[[#This Row],[Sulf]]&gt;2,vp.data[[#This Row],[Unknown]]=0),1,0)</f>
        <v>0</v>
      </c>
      <c r="AE510">
        <f>IF(AND(vp.data[[#This Row],[CrudeType]]="Crude",vp.data[[#This Row],[Dens]]&gt;900,vp.data[[#This Row],[Sulf]]&lt;=0.5,vp.data[[#This Row],[Unknown]]=0),1,0)</f>
        <v>0</v>
      </c>
      <c r="AF510">
        <f>IF(AND(vp.data[[#This Row],[CrudeType]]="Crude",vp.data[[#This Row],[Dens]]&gt;900,vp.data[[#This Row],[Sulf]]&lt;=0.5,vp.data[[#This Row],[Unknown]]=0),1,0)</f>
        <v>0</v>
      </c>
      <c r="AG510" t="str">
        <f>INDEX(vp.data[[#Headers],[Unknown]:[Heavy_SW]],MATCH(1,vp.data[[#This Row],[Unknown]:[Heavy_SW]],0))</f>
        <v>Medium_LSB</v>
      </c>
      <c r="AH510">
        <f>INDEX([3]!crudeBD.lkup[Number],MATCH(vp.data[[#This Row],[Crude_Breakdown]],crudeBD.lkup[Crude Breakdown],0))</f>
        <v>3</v>
      </c>
      <c r="AI510">
        <f>MONTH(vp.data[[#This Row],[SDate]])</f>
        <v>1</v>
      </c>
      <c r="AJ510" s="5">
        <f>(vp.data[[#This Row],[VP]]-INDEX(crudeBD.lkup[Mean_VP],MATCH(vp.data[[#This Row],[Crude_Breakdown]],crudeBD.lkup[Crude Breakdown],0)))^2</f>
        <v>109.41836668144077</v>
      </c>
      <c r="AK510" s="5">
        <f>(vp.data[[#This Row],[Dens]]-INDEX(crudeBD.lkup[Mean_Dens],MATCH(vp.data[[#This Row],[Crude_Breakdown]],crudeBD.lkup[Crude Breakdown],0)))^2</f>
        <v>7.8400000000303047E-2</v>
      </c>
      <c r="AL510" s="5">
        <f>(vp.data[[#This Row],[Sulf]]-INDEX(crudeBD.lkup[Mean_Sulf],MATCH(vp.data[[#This Row],[Crude_Breakdown]],crudeBD.lkup[Crude Breakdown],0)))^2</f>
        <v>0.16369458395283426</v>
      </c>
      <c r="AM510" s="4">
        <f>IF(AND(vp.data[[#This Row],[SDate]]&gt;=DATE(YEAR(vp.data[[#This Row],[SDate]]),5,1),vp.data[[#This Row],[SDate]]&lt;=DATE(YEAR(vp.data[[#This Row],[SDate]]),9,15)),1,0)</f>
        <v>0</v>
      </c>
      <c r="AN510" s="4">
        <f>IF(vp.data[[#This Row],[SDate]]&lt;DATE(2016,12,1),0,1)</f>
        <v>1</v>
      </c>
      <c r="AO510" s="4">
        <f>IFERROR(vp.data[[#This Row],[Sulf]]*vp.data[[#This Row],[Net Dens]],"")</f>
        <v>2851914.8679840001</v>
      </c>
      <c r="AP510">
        <f>IFERROR(vp.data[[#This Row],[Dens]]*vp.data[[#This Row],[VolumeM3]],"")</f>
        <v>1593248.5296</v>
      </c>
      <c r="AQ510" s="15">
        <f>IFERROR(vp.data[[#This Row],[VP]]*vp.data[[#This Row],[VolumeM3]],"")</f>
        <v>171931.9368</v>
      </c>
    </row>
    <row r="511" spans="1:43" x14ac:dyDescent="0.25">
      <c r="A511">
        <v>510</v>
      </c>
      <c r="B511" t="s">
        <v>68</v>
      </c>
      <c r="C511" t="s">
        <v>68</v>
      </c>
      <c r="D511" t="s">
        <v>98</v>
      </c>
      <c r="F511" s="1">
        <v>42739</v>
      </c>
      <c r="G511" s="2">
        <v>71.7</v>
      </c>
      <c r="H511" s="2"/>
      <c r="I511" s="2">
        <f t="array" ref="I511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511" s="2">
        <v>24.7</v>
      </c>
      <c r="K511" s="2">
        <v>-23</v>
      </c>
      <c r="L511" s="2">
        <v>849.3</v>
      </c>
      <c r="M511" s="2">
        <f t="array" ref="M511">_xlfn.IFNA(IF(vp.data[[#This Row],[Dens Input]]="",INDEX([1]DATA!$O$3:$O$9826,MATCH(1,(vp.data[[#This Row],[Battery]]=[1]DATA!$L$3:$L$9826)*(EOMONTH(vp.data[[#This Row],[SDate]],-1)+1=[1]DATA!$G$3:$G$9826),0)),vp.data[[#This Row],[Dens Input]]),"")</f>
        <v>849.3</v>
      </c>
      <c r="N511" s="2">
        <f ca="1">INDEX(INDIRECT(_xlfn.CONCAT("weather.tbl[",N$1,"]")),MATCH(vp.data[[#This Row],[SDate]],weather.tbl[Date],0))</f>
        <v>-22.716666666666669</v>
      </c>
      <c r="O511" s="2">
        <f ca="1">INDEX(INDIRECT(_xlfn.CONCAT("weather.tbl[",O$1,"]")),MATCH(vp.data[[#This Row],[SDate]],weather.tbl[Date],0))</f>
        <v>-15.738095238095241</v>
      </c>
      <c r="P511" s="2">
        <f ca="1">INDEX(INDIRECT(_xlfn.CONCAT("weather.tbl[",P$1,"]")),MATCH(vp.data[[#This Row],[SDate]],weather.tbl[Date],0))</f>
        <v>-22.2</v>
      </c>
      <c r="Q511" s="2">
        <f ca="1">INDEX(INDIRECT(_xlfn.CONCAT("weather.tbl[",Q$1,"]")),MATCH(vp.data[[#This Row],[SDate]],weather.tbl[Date],0))</f>
        <v>-21.6</v>
      </c>
      <c r="R511" s="2">
        <f ca="1">INDEX(INDIRECT(_xlfn.CONCAT("weather.tbl[",R$1,"]")),MATCH(vp.data[[#This Row],[SDate]],weather.tbl[Date],0))</f>
        <v>-24</v>
      </c>
      <c r="S511" s="2">
        <f ca="1">INDEX(INDIRECT(_xlfn.CONCAT("weather.tbl[",S$1,"]")),MATCH(vp.data[[#This Row],[SDate]],weather.tbl[Date],0))</f>
        <v>-20.7</v>
      </c>
      <c r="T511" s="2">
        <f ca="1">INDEX(INDIRECT(_xlfn.CONCAT("weather.tbl[",T$1,"]")),MATCH(vp.data[[#This Row],[SDate]],weather.tbl[Date],0))</f>
        <v>-24.5</v>
      </c>
      <c r="U511" s="2">
        <f ca="1">INDEX(INDIRECT(_xlfn.CONCAT("weather.tbl[",U$1,"]")),MATCH(vp.data[[#This Row],[SDate]],weather.tbl[Date],0))</f>
        <v>-23.3</v>
      </c>
      <c r="V511" s="2">
        <f t="array" ref="V5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5406.71</v>
      </c>
      <c r="W511" t="s">
        <v>48</v>
      </c>
      <c r="X511">
        <f>IF(OR(vp.data[[#This Row],[Sulf]]="",vp.data[[#This Row],[Dens]]=""),1,0)</f>
        <v>0</v>
      </c>
      <c r="Y511">
        <f>IF(vp.data[[#This Row],[CrudeType]]="C5+",1,0)</f>
        <v>0</v>
      </c>
      <c r="Z511">
        <f>IF(AND(vp.data[[#This Row],[CrudeType]]="Crude",vp.data[[#This Row],[Dens]]&lt;=825,vp.data[[#This Row],[Sulf]]&gt;0.5,vp.data[[#This Row],[Unknown]]=0),1,0)</f>
        <v>0</v>
      </c>
      <c r="AA511">
        <f>IF(AND(vp.data[[#This Row],[CrudeType]]="Crude",vp.data[[#This Row],[Dens]]&lt;=825,vp.data[[#This Row],[Sulf]]&lt;=0.5,vp.data[[#This Row],[Unknown]]=0),1,0)</f>
        <v>0</v>
      </c>
      <c r="AB5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11">
        <f>IF(AND(vp.data[[#This Row],[CrudeType]]="Crude",vp.data[[#This Row],[Dens]]&gt;825,vp.data[[#This Row],[Dens]]&lt;=900,vp.data[[#This Row],[Sulf]]&lt;=0.5,vp.data[[#This Row],[Unknown]]=0),1,0)</f>
        <v>0</v>
      </c>
      <c r="AD511">
        <f>IF(AND(vp.data[[#This Row],[CrudeType]]="Crude",vp.data[[#This Row],[Dens]]&gt;865,vp.data[[#This Row],[Dens]]&lt;=900,vp.data[[#This Row],[Sulf]]&gt;2,vp.data[[#This Row],[Unknown]]=0),1,0)</f>
        <v>0</v>
      </c>
      <c r="AE511">
        <f>IF(AND(vp.data[[#This Row],[CrudeType]]="Crude",vp.data[[#This Row],[Dens]]&gt;900,vp.data[[#This Row],[Sulf]]&lt;=0.5,vp.data[[#This Row],[Unknown]]=0),1,0)</f>
        <v>0</v>
      </c>
      <c r="AF511">
        <f>IF(AND(vp.data[[#This Row],[CrudeType]]="Crude",vp.data[[#This Row],[Dens]]&gt;900,vp.data[[#This Row],[Sulf]]&lt;=0.5,vp.data[[#This Row],[Unknown]]=0),1,0)</f>
        <v>0</v>
      </c>
      <c r="AG511" t="str">
        <f>INDEX(vp.data[[#Headers],[Unknown]:[Heavy_SW]],MATCH(1,vp.data[[#This Row],[Unknown]:[Heavy_SW]],0))</f>
        <v>Medium_LSB</v>
      </c>
      <c r="AH511">
        <f>INDEX([3]!crudeBD.lkup[Number],MATCH(vp.data[[#This Row],[Crude_Breakdown]],crudeBD.lkup[Crude Breakdown],0))</f>
        <v>3</v>
      </c>
      <c r="AI511">
        <f>MONTH(vp.data[[#This Row],[SDate]])</f>
        <v>1</v>
      </c>
      <c r="AJ511" s="5">
        <f>(vp.data[[#This Row],[VP]]-INDEX(crudeBD.lkup[Mean_VP],MATCH(vp.data[[#This Row],[Crude_Breakdown]],crudeBD.lkup[Crude Breakdown],0)))^2</f>
        <v>79.917816816208955</v>
      </c>
      <c r="AK511" s="5">
        <f>(vp.data[[#This Row],[Dens]]-INDEX(crudeBD.lkup[Mean_Dens],MATCH(vp.data[[#This Row],[Crude_Breakdown]],crudeBD.lkup[Crude Breakdown],0)))^2</f>
        <v>28.944400000004844</v>
      </c>
      <c r="AL511" s="5">
        <f>(vp.data[[#This Row],[Sulf]]-INDEX(crudeBD.lkup[Mean_Sulf],MATCH(vp.data[[#This Row],[Crude_Breakdown]],crudeBD.lkup[Crude Breakdown],0)))^2</f>
        <v>1.5727198238550122E-2</v>
      </c>
      <c r="AM511" s="4">
        <f>IF(AND(vp.data[[#This Row],[SDate]]&gt;=DATE(YEAR(vp.data[[#This Row],[SDate]]),5,1),vp.data[[#This Row],[SDate]]&lt;=DATE(YEAR(vp.data[[#This Row],[SDate]]),9,15)),1,0)</f>
        <v>0</v>
      </c>
      <c r="AN511" s="4">
        <f>IF(vp.data[[#This Row],[SDate]]&lt;DATE(2016,12,1),0,1)</f>
        <v>1</v>
      </c>
      <c r="AO511" s="4">
        <f>IFERROR(vp.data[[#This Row],[Sulf]]*vp.data[[#This Row],[Net Dens]],"")</f>
        <v>5785817.6917799991</v>
      </c>
      <c r="AP511">
        <f>IFERROR(vp.data[[#This Row],[Dens]]*vp.data[[#This Row],[VolumeM3]],"")</f>
        <v>4591918.8029999994</v>
      </c>
      <c r="AQ511" s="15">
        <f>IFERROR(vp.data[[#This Row],[VP]]*vp.data[[#This Row],[VolumeM3]],"")</f>
        <v>387661.10700000002</v>
      </c>
    </row>
    <row r="512" spans="1:43" x14ac:dyDescent="0.25">
      <c r="A512">
        <v>511</v>
      </c>
      <c r="B512" t="s">
        <v>68</v>
      </c>
      <c r="C512" t="s">
        <v>68</v>
      </c>
      <c r="D512" t="s">
        <v>110</v>
      </c>
      <c r="F512" s="1">
        <v>42739</v>
      </c>
      <c r="G512" s="2">
        <v>66.3</v>
      </c>
      <c r="H512" s="2"/>
      <c r="I512" s="2">
        <f t="array" ref="I512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512" s="2">
        <v>32.46</v>
      </c>
      <c r="K512" s="2">
        <v>-23</v>
      </c>
      <c r="L512" s="2">
        <v>851.8</v>
      </c>
      <c r="M512" s="2">
        <f t="array" ref="M512">_xlfn.IFNA(IF(vp.data[[#This Row],[Dens Input]]="",INDEX([1]DATA!$O$3:$O$9826,MATCH(1,(vp.data[[#This Row],[Battery]]=[1]DATA!$L$3:$L$9826)*(EOMONTH(vp.data[[#This Row],[SDate]],-1)+1=[1]DATA!$G$3:$G$9826),0)),vp.data[[#This Row],[Dens Input]]),"")</f>
        <v>851.8</v>
      </c>
      <c r="N512" s="2">
        <f ca="1">INDEX(INDIRECT(_xlfn.CONCAT("weather.tbl[",N$1,"]")),MATCH(vp.data[[#This Row],[SDate]],weather.tbl[Date],0))</f>
        <v>-22.716666666666669</v>
      </c>
      <c r="O512" s="2">
        <f ca="1">INDEX(INDIRECT(_xlfn.CONCAT("weather.tbl[",O$1,"]")),MATCH(vp.data[[#This Row],[SDate]],weather.tbl[Date],0))</f>
        <v>-15.738095238095241</v>
      </c>
      <c r="P512" s="2">
        <f ca="1">INDEX(INDIRECT(_xlfn.CONCAT("weather.tbl[",P$1,"]")),MATCH(vp.data[[#This Row],[SDate]],weather.tbl[Date],0))</f>
        <v>-22.2</v>
      </c>
      <c r="Q512" s="2">
        <f ca="1">INDEX(INDIRECT(_xlfn.CONCAT("weather.tbl[",Q$1,"]")),MATCH(vp.data[[#This Row],[SDate]],weather.tbl[Date],0))</f>
        <v>-21.6</v>
      </c>
      <c r="R512" s="2">
        <f ca="1">INDEX(INDIRECT(_xlfn.CONCAT("weather.tbl[",R$1,"]")),MATCH(vp.data[[#This Row],[SDate]],weather.tbl[Date],0))</f>
        <v>-24</v>
      </c>
      <c r="S512" s="2">
        <f ca="1">INDEX(INDIRECT(_xlfn.CONCAT("weather.tbl[",S$1,"]")),MATCH(vp.data[[#This Row],[SDate]],weather.tbl[Date],0))</f>
        <v>-20.7</v>
      </c>
      <c r="T512" s="2">
        <f ca="1">INDEX(INDIRECT(_xlfn.CONCAT("weather.tbl[",T$1,"]")),MATCH(vp.data[[#This Row],[SDate]],weather.tbl[Date],0))</f>
        <v>-24.5</v>
      </c>
      <c r="U512" s="2">
        <f ca="1">INDEX(INDIRECT(_xlfn.CONCAT("weather.tbl[",U$1,"]")),MATCH(vp.data[[#This Row],[SDate]],weather.tbl[Date],0))</f>
        <v>-23.3</v>
      </c>
      <c r="V512" s="2">
        <f t="array" ref="V5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4545.6329999999998</v>
      </c>
      <c r="W512" t="s">
        <v>48</v>
      </c>
      <c r="X512">
        <f>IF(OR(vp.data[[#This Row],[Sulf]]="",vp.data[[#This Row],[Dens]]=""),1,0)</f>
        <v>0</v>
      </c>
      <c r="Y512">
        <f>IF(vp.data[[#This Row],[CrudeType]]="C5+",1,0)</f>
        <v>0</v>
      </c>
      <c r="Z512">
        <f>IF(AND(vp.data[[#This Row],[CrudeType]]="Crude",vp.data[[#This Row],[Dens]]&lt;=825,vp.data[[#This Row],[Sulf]]&gt;0.5,vp.data[[#This Row],[Unknown]]=0),1,0)</f>
        <v>0</v>
      </c>
      <c r="AA512">
        <f>IF(AND(vp.data[[#This Row],[CrudeType]]="Crude",vp.data[[#This Row],[Dens]]&lt;=825,vp.data[[#This Row],[Sulf]]&lt;=0.5,vp.data[[#This Row],[Unknown]]=0),1,0)</f>
        <v>0</v>
      </c>
      <c r="AB5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12">
        <f>IF(AND(vp.data[[#This Row],[CrudeType]]="Crude",vp.data[[#This Row],[Dens]]&gt;825,vp.data[[#This Row],[Dens]]&lt;=900,vp.data[[#This Row],[Sulf]]&lt;=0.5,vp.data[[#This Row],[Unknown]]=0),1,0)</f>
        <v>0</v>
      </c>
      <c r="AD512">
        <f>IF(AND(vp.data[[#This Row],[CrudeType]]="Crude",vp.data[[#This Row],[Dens]]&gt;865,vp.data[[#This Row],[Dens]]&lt;=900,vp.data[[#This Row],[Sulf]]&gt;2,vp.data[[#This Row],[Unknown]]=0),1,0)</f>
        <v>0</v>
      </c>
      <c r="AE512">
        <f>IF(AND(vp.data[[#This Row],[CrudeType]]="Crude",vp.data[[#This Row],[Dens]]&gt;900,vp.data[[#This Row],[Sulf]]&lt;=0.5,vp.data[[#This Row],[Unknown]]=0),1,0)</f>
        <v>0</v>
      </c>
      <c r="AF512">
        <f>IF(AND(vp.data[[#This Row],[CrudeType]]="Crude",vp.data[[#This Row],[Dens]]&gt;900,vp.data[[#This Row],[Sulf]]&lt;=0.5,vp.data[[#This Row],[Unknown]]=0),1,0)</f>
        <v>0</v>
      </c>
      <c r="AG512" t="str">
        <f>INDEX(vp.data[[#Headers],[Unknown]:[Heavy_SW]],MATCH(1,vp.data[[#This Row],[Unknown]:[Heavy_SW]],0))</f>
        <v>Medium_LSB</v>
      </c>
      <c r="AH512">
        <f>INDEX([3]!crudeBD.lkup[Number],MATCH(vp.data[[#This Row],[Crude_Breakdown]],crudeBD.lkup[Crude Breakdown],0))</f>
        <v>3</v>
      </c>
      <c r="AI512">
        <f>MONTH(vp.data[[#This Row],[SDate]])</f>
        <v>1</v>
      </c>
      <c r="AJ512" s="5">
        <f>(vp.data[[#This Row],[VP]]-INDEX(crudeBD.lkup[Mean_VP],MATCH(vp.data[[#This Row],[Crude_Breakdown]],crudeBD.lkup[Crude Breakdown],0)))^2</f>
        <v>205.62632355475279</v>
      </c>
      <c r="AK512" s="5">
        <f>(vp.data[[#This Row],[Dens]]-INDEX(crudeBD.lkup[Mean_Dens],MATCH(vp.data[[#This Row],[Crude_Breakdown]],crudeBD.lkup[Crude Breakdown],0)))^2</f>
        <v>62.094400000007099</v>
      </c>
      <c r="AL512" s="5">
        <f>(vp.data[[#This Row],[Sulf]]-INDEX(crudeBD.lkup[Mean_Sulf],MATCH(vp.data[[#This Row],[Crude_Breakdown]],crudeBD.lkup[Crude Breakdown],0)))^2</f>
        <v>1.0939459963616806E-2</v>
      </c>
      <c r="AM512" s="4">
        <f>IF(AND(vp.data[[#This Row],[SDate]]&gt;=DATE(YEAR(vp.data[[#This Row],[SDate]]),5,1),vp.data[[#This Row],[SDate]]&lt;=DATE(YEAR(vp.data[[#This Row],[SDate]]),9,15)),1,0)</f>
        <v>0</v>
      </c>
      <c r="AN512" s="4">
        <f>IF(vp.data[[#This Row],[SDate]]&lt;DATE(2016,12,1),0,1)</f>
        <v>1</v>
      </c>
      <c r="AO512" s="4">
        <f>IFERROR(vp.data[[#This Row],[Sulf]]*vp.data[[#This Row],[Net Dens]],"")</f>
        <v>5769235.5822059996</v>
      </c>
      <c r="AP512">
        <f>IFERROR(vp.data[[#This Row],[Dens]]*vp.data[[#This Row],[VolumeM3]],"")</f>
        <v>3871970.1893999996</v>
      </c>
      <c r="AQ512" s="15">
        <f>IFERROR(vp.data[[#This Row],[VP]]*vp.data[[#This Row],[VolumeM3]],"")</f>
        <v>301375.46789999999</v>
      </c>
    </row>
    <row r="513" spans="1:43" x14ac:dyDescent="0.25">
      <c r="A513">
        <v>512</v>
      </c>
      <c r="B513" t="s">
        <v>68</v>
      </c>
      <c r="C513" t="s">
        <v>68</v>
      </c>
      <c r="D513" t="s">
        <v>69</v>
      </c>
      <c r="F513" s="1">
        <v>42739</v>
      </c>
      <c r="G513" s="2">
        <v>80.2</v>
      </c>
      <c r="H513" s="2"/>
      <c r="I513" s="2">
        <f t="array" ref="I513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513" s="2">
        <v>8.6999999999999993</v>
      </c>
      <c r="K513" s="2">
        <v>-23</v>
      </c>
      <c r="L513" s="2">
        <v>860.9</v>
      </c>
      <c r="M513" s="2">
        <f t="array" ref="M513">_xlfn.IFNA(IF(vp.data[[#This Row],[Dens Input]]="",INDEX([1]DATA!$O$3:$O$9826,MATCH(1,(vp.data[[#This Row],[Battery]]=[1]DATA!$L$3:$L$9826)*(EOMONTH(vp.data[[#This Row],[SDate]],-1)+1=[1]DATA!$G$3:$G$9826),0)),vp.data[[#This Row],[Dens Input]]),"")</f>
        <v>860.9</v>
      </c>
      <c r="N513" s="2">
        <f ca="1">INDEX(INDIRECT(_xlfn.CONCAT("weather.tbl[",N$1,"]")),MATCH(vp.data[[#This Row],[SDate]],weather.tbl[Date],0))</f>
        <v>-22.716666666666669</v>
      </c>
      <c r="O513" s="2">
        <f ca="1">INDEX(INDIRECT(_xlfn.CONCAT("weather.tbl[",O$1,"]")),MATCH(vp.data[[#This Row],[SDate]],weather.tbl[Date],0))</f>
        <v>-15.738095238095241</v>
      </c>
      <c r="P513" s="2">
        <f ca="1">INDEX(INDIRECT(_xlfn.CONCAT("weather.tbl[",P$1,"]")),MATCH(vp.data[[#This Row],[SDate]],weather.tbl[Date],0))</f>
        <v>-22.2</v>
      </c>
      <c r="Q513" s="2">
        <f ca="1">INDEX(INDIRECT(_xlfn.CONCAT("weather.tbl[",Q$1,"]")),MATCH(vp.data[[#This Row],[SDate]],weather.tbl[Date],0))</f>
        <v>-21.6</v>
      </c>
      <c r="R513" s="2">
        <f ca="1">INDEX(INDIRECT(_xlfn.CONCAT("weather.tbl[",R$1,"]")),MATCH(vp.data[[#This Row],[SDate]],weather.tbl[Date],0))</f>
        <v>-24</v>
      </c>
      <c r="S513" s="2">
        <f ca="1">INDEX(INDIRECT(_xlfn.CONCAT("weather.tbl[",S$1,"]")),MATCH(vp.data[[#This Row],[SDate]],weather.tbl[Date],0))</f>
        <v>-20.7</v>
      </c>
      <c r="T513" s="2">
        <f ca="1">INDEX(INDIRECT(_xlfn.CONCAT("weather.tbl[",T$1,"]")),MATCH(vp.data[[#This Row],[SDate]],weather.tbl[Date],0))</f>
        <v>-24.5</v>
      </c>
      <c r="U513" s="2">
        <f ca="1">INDEX(INDIRECT(_xlfn.CONCAT("weather.tbl[",U$1,"]")),MATCH(vp.data[[#This Row],[SDate]],weather.tbl[Date],0))</f>
        <v>-23.3</v>
      </c>
      <c r="V513" s="2">
        <f t="array" ref="V5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1452.5409999999999</v>
      </c>
      <c r="W513" t="s">
        <v>48</v>
      </c>
      <c r="X513">
        <f>IF(OR(vp.data[[#This Row],[Sulf]]="",vp.data[[#This Row],[Dens]]=""),1,0)</f>
        <v>0</v>
      </c>
      <c r="Y513">
        <f>IF(vp.data[[#This Row],[CrudeType]]="C5+",1,0)</f>
        <v>0</v>
      </c>
      <c r="Z513">
        <f>IF(AND(vp.data[[#This Row],[CrudeType]]="Crude",vp.data[[#This Row],[Dens]]&lt;=825,vp.data[[#This Row],[Sulf]]&gt;0.5,vp.data[[#This Row],[Unknown]]=0),1,0)</f>
        <v>0</v>
      </c>
      <c r="AA513">
        <f>IF(AND(vp.data[[#This Row],[CrudeType]]="Crude",vp.data[[#This Row],[Dens]]&lt;=825,vp.data[[#This Row],[Sulf]]&lt;=0.5,vp.data[[#This Row],[Unknown]]=0),1,0)</f>
        <v>0</v>
      </c>
      <c r="AB5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13">
        <f>IF(AND(vp.data[[#This Row],[CrudeType]]="Crude",vp.data[[#This Row],[Dens]]&gt;825,vp.data[[#This Row],[Dens]]&lt;=900,vp.data[[#This Row],[Sulf]]&lt;=0.5,vp.data[[#This Row],[Unknown]]=0),1,0)</f>
        <v>0</v>
      </c>
      <c r="AD513">
        <f>IF(AND(vp.data[[#This Row],[CrudeType]]="Crude",vp.data[[#This Row],[Dens]]&gt;865,vp.data[[#This Row],[Dens]]&lt;=900,vp.data[[#This Row],[Sulf]]&gt;2,vp.data[[#This Row],[Unknown]]=0),1,0)</f>
        <v>0</v>
      </c>
      <c r="AE513">
        <f>IF(AND(vp.data[[#This Row],[CrudeType]]="Crude",vp.data[[#This Row],[Dens]]&gt;900,vp.data[[#This Row],[Sulf]]&lt;=0.5,vp.data[[#This Row],[Unknown]]=0),1,0)</f>
        <v>0</v>
      </c>
      <c r="AF513">
        <f>IF(AND(vp.data[[#This Row],[CrudeType]]="Crude",vp.data[[#This Row],[Dens]]&gt;900,vp.data[[#This Row],[Sulf]]&lt;=0.5,vp.data[[#This Row],[Unknown]]=0),1,0)</f>
        <v>0</v>
      </c>
      <c r="AG513" t="str">
        <f>INDEX(vp.data[[#Headers],[Unknown]:[Heavy_SW]],MATCH(1,vp.data[[#This Row],[Unknown]:[Heavy_SW]],0))</f>
        <v>Medium_LSB</v>
      </c>
      <c r="AH513">
        <f>INDEX([3]!crudeBD.lkup[Number],MATCH(vp.data[[#This Row],[Crude_Breakdown]],crudeBD.lkup[Crude Breakdown],0))</f>
        <v>3</v>
      </c>
      <c r="AI513">
        <f>MONTH(vp.data[[#This Row],[SDate]])</f>
        <v>1</v>
      </c>
      <c r="AJ513" s="5">
        <f>(vp.data[[#This Row],[VP]]-INDEX(crudeBD.lkup[Mean_VP],MATCH(vp.data[[#This Row],[Crude_Breakdown]],crudeBD.lkup[Crude Breakdown],0)))^2</f>
        <v>0.19331546850132586</v>
      </c>
      <c r="AK513" s="5">
        <f>(vp.data[[#This Row],[Dens]]-INDEX(crudeBD.lkup[Mean_Dens],MATCH(vp.data[[#This Row],[Crude_Breakdown]],crudeBD.lkup[Crude Breakdown],0)))^2</f>
        <v>288.32040000001604</v>
      </c>
      <c r="AL513" s="5">
        <f>(vp.data[[#This Row],[Sulf]]-INDEX(crudeBD.lkup[Mean_Sulf],MATCH(vp.data[[#This Row],[Crude_Breakdown]],crudeBD.lkup[Crude Breakdown],0)))^2</f>
        <v>0.15570274648652699</v>
      </c>
      <c r="AM513" s="4">
        <f>IF(AND(vp.data[[#This Row],[SDate]]&gt;=DATE(YEAR(vp.data[[#This Row],[SDate]]),5,1),vp.data[[#This Row],[SDate]]&lt;=DATE(YEAR(vp.data[[#This Row],[SDate]]),9,15)),1,0)</f>
        <v>0</v>
      </c>
      <c r="AN513" s="4">
        <f>IF(vp.data[[#This Row],[SDate]]&lt;DATE(2016,12,1),0,1)</f>
        <v>1</v>
      </c>
      <c r="AO513" s="4">
        <f>IFERROR(vp.data[[#This Row],[Sulf]]*vp.data[[#This Row],[Net Dens]],"")</f>
        <v>2225876.733482</v>
      </c>
      <c r="AP513">
        <f>IFERROR(vp.data[[#This Row],[Dens]]*vp.data[[#This Row],[VolumeM3]],"")</f>
        <v>1250492.5469</v>
      </c>
      <c r="AQ513" s="15">
        <f>IFERROR(vp.data[[#This Row],[VP]]*vp.data[[#This Row],[VolumeM3]],"")</f>
        <v>116493.7882</v>
      </c>
    </row>
    <row r="514" spans="1:43" x14ac:dyDescent="0.25">
      <c r="A514">
        <v>513</v>
      </c>
      <c r="B514" t="s">
        <v>49</v>
      </c>
      <c r="C514" t="s">
        <v>49</v>
      </c>
      <c r="D514" t="s">
        <v>75</v>
      </c>
      <c r="F514" s="1">
        <v>42740</v>
      </c>
      <c r="G514" s="2">
        <v>104.5</v>
      </c>
      <c r="H514" s="2"/>
      <c r="I514" s="2">
        <f t="array" ref="I514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514" s="2">
        <v>20.6</v>
      </c>
      <c r="K514" s="2">
        <v>-25</v>
      </c>
      <c r="L514" s="2">
        <v>801.8</v>
      </c>
      <c r="M514" s="2">
        <f t="array" ref="M514">_xlfn.IFNA(IF(vp.data[[#This Row],[Dens Input]]="",INDEX([1]DATA!$O$3:$O$9826,MATCH(1,(vp.data[[#This Row],[Battery]]=[1]DATA!$L$3:$L$9826)*(EOMONTH(vp.data[[#This Row],[SDate]],-1)+1=[1]DATA!$G$3:$G$9826),0)),vp.data[[#This Row],[Dens Input]]),"")</f>
        <v>801.8</v>
      </c>
      <c r="N514" s="2">
        <f ca="1">INDEX(INDIRECT(_xlfn.CONCAT("weather.tbl[",N$1,"]")),MATCH(vp.data[[#This Row],[SDate]],weather.tbl[Date],0))</f>
        <v>-21.916666666666668</v>
      </c>
      <c r="O514" s="2">
        <f ca="1">INDEX(INDIRECT(_xlfn.CONCAT("weather.tbl[",O$1,"]")),MATCH(vp.data[[#This Row],[SDate]],weather.tbl[Date],0))</f>
        <v>-17.411904761904765</v>
      </c>
      <c r="P514" s="2">
        <f ca="1">INDEX(INDIRECT(_xlfn.CONCAT("weather.tbl[",P$1,"]")),MATCH(vp.data[[#This Row],[SDate]],weather.tbl[Date],0))</f>
        <v>-22.1</v>
      </c>
      <c r="Q514" s="2">
        <f ca="1">INDEX(INDIRECT(_xlfn.CONCAT("weather.tbl[",Q$1,"]")),MATCH(vp.data[[#This Row],[SDate]],weather.tbl[Date],0))</f>
        <v>-21.1</v>
      </c>
      <c r="R514" s="2">
        <f ca="1">INDEX(INDIRECT(_xlfn.CONCAT("weather.tbl[",R$1,"]")),MATCH(vp.data[[#This Row],[SDate]],weather.tbl[Date],0))</f>
        <v>-23.8</v>
      </c>
      <c r="S514" s="2">
        <f ca="1">INDEX(INDIRECT(_xlfn.CONCAT("weather.tbl[",S$1,"]")),MATCH(vp.data[[#This Row],[SDate]],weather.tbl[Date],0))</f>
        <v>-19.3</v>
      </c>
      <c r="T514" s="2">
        <f ca="1">INDEX(INDIRECT(_xlfn.CONCAT("weather.tbl[",T$1,"]")),MATCH(vp.data[[#This Row],[SDate]],weather.tbl[Date],0))</f>
        <v>-23.2</v>
      </c>
      <c r="U514" s="2">
        <f ca="1">INDEX(INDIRECT(_xlfn.CONCAT("weather.tbl[",U$1,"]")),MATCH(vp.data[[#This Row],[SDate]],weather.tbl[Date],0))</f>
        <v>-22</v>
      </c>
      <c r="V514" s="2">
        <f t="array" ref="V5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514" t="s">
        <v>48</v>
      </c>
      <c r="X514">
        <f>IF(OR(vp.data[[#This Row],[Sulf]]="",vp.data[[#This Row],[Dens]]=""),1,0)</f>
        <v>0</v>
      </c>
      <c r="Y514">
        <f>IF(vp.data[[#This Row],[CrudeType]]="C5+",1,0)</f>
        <v>0</v>
      </c>
      <c r="Z514">
        <f>IF(AND(vp.data[[#This Row],[CrudeType]]="Crude",vp.data[[#This Row],[Dens]]&lt;=825,vp.data[[#This Row],[Sulf]]&gt;0.5,vp.data[[#This Row],[Unknown]]=0),1,0)</f>
        <v>0</v>
      </c>
      <c r="AA514">
        <f>IF(AND(vp.data[[#This Row],[CrudeType]]="Crude",vp.data[[#This Row],[Dens]]&lt;=825,vp.data[[#This Row],[Sulf]]&lt;=0.5,vp.data[[#This Row],[Unknown]]=0),1,0)</f>
        <v>1</v>
      </c>
      <c r="AB5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4">
        <f>IF(AND(vp.data[[#This Row],[CrudeType]]="Crude",vp.data[[#This Row],[Dens]]&gt;825,vp.data[[#This Row],[Dens]]&lt;=900,vp.data[[#This Row],[Sulf]]&lt;=0.5,vp.data[[#This Row],[Unknown]]=0),1,0)</f>
        <v>0</v>
      </c>
      <c r="AD514">
        <f>IF(AND(vp.data[[#This Row],[CrudeType]]="Crude",vp.data[[#This Row],[Dens]]&gt;865,vp.data[[#This Row],[Dens]]&lt;=900,vp.data[[#This Row],[Sulf]]&gt;2,vp.data[[#This Row],[Unknown]]=0),1,0)</f>
        <v>0</v>
      </c>
      <c r="AE514">
        <f>IF(AND(vp.data[[#This Row],[CrudeType]]="Crude",vp.data[[#This Row],[Dens]]&gt;900,vp.data[[#This Row],[Sulf]]&lt;=0.5,vp.data[[#This Row],[Unknown]]=0),1,0)</f>
        <v>0</v>
      </c>
      <c r="AF514">
        <f>IF(AND(vp.data[[#This Row],[CrudeType]]="Crude",vp.data[[#This Row],[Dens]]&gt;900,vp.data[[#This Row],[Sulf]]&lt;=0.5,vp.data[[#This Row],[Unknown]]=0),1,0)</f>
        <v>0</v>
      </c>
      <c r="AG514" t="str">
        <f>INDEX(vp.data[[#Headers],[Unknown]:[Heavy_SW]],MATCH(1,vp.data[[#This Row],[Unknown]:[Heavy_SW]],0))</f>
        <v>Light_SW</v>
      </c>
      <c r="AH514">
        <f>INDEX([3]!crudeBD.lkup[Number],MATCH(vp.data[[#This Row],[Crude_Breakdown]],crudeBD.lkup[Crude Breakdown],0))</f>
        <v>2</v>
      </c>
      <c r="AI514">
        <f>MONTH(vp.data[[#This Row],[SDate]])</f>
        <v>1</v>
      </c>
      <c r="AJ514" s="5">
        <f>(vp.data[[#This Row],[VP]]-INDEX(crudeBD.lkup[Mean_VP],MATCH(vp.data[[#This Row],[Crude_Breakdown]],crudeBD.lkup[Crude Breakdown],0)))^2</f>
        <v>142.7950053248195</v>
      </c>
      <c r="AK514" s="5">
        <f>(vp.data[[#This Row],[Dens]]-INDEX(crudeBD.lkup[Mean_Dens],MATCH(vp.data[[#This Row],[Crude_Breakdown]],crudeBD.lkup[Crude Breakdown],0)))^2</f>
        <v>42.399609561847477</v>
      </c>
      <c r="AL514" s="5">
        <f>(vp.data[[#This Row],[Sulf]]-INDEX(crudeBD.lkup[Mean_Sulf],MATCH(vp.data[[#This Row],[Crude_Breakdown]],crudeBD.lkup[Crude Breakdown],0)))^2</f>
        <v>5.644515043280923E-4</v>
      </c>
      <c r="AM514" s="4">
        <f>IF(AND(vp.data[[#This Row],[SDate]]&gt;=DATE(YEAR(vp.data[[#This Row],[SDate]]),5,1),vp.data[[#This Row],[SDate]]&lt;=DATE(YEAR(vp.data[[#This Row],[SDate]]),9,15)),1,0)</f>
        <v>0</v>
      </c>
      <c r="AN514" s="4">
        <f>IF(vp.data[[#This Row],[SDate]]&lt;DATE(2016,12,1),0,1)</f>
        <v>1</v>
      </c>
      <c r="AO514" s="4">
        <f>IFERROR(vp.data[[#This Row],[Sulf]]*vp.data[[#This Row],[Net Dens]],"")</f>
        <v>2655614.2301519997</v>
      </c>
      <c r="AP514">
        <f>IFERROR(vp.data[[#This Row],[Dens]]*vp.data[[#This Row],[VolumeM3]],"")</f>
        <v>10213900.885199999</v>
      </c>
      <c r="AQ514" s="15">
        <f>IFERROR(vp.data[[#This Row],[VP]]*vp.data[[#This Row],[VolumeM3]],"")</f>
        <v>1331195.6129999999</v>
      </c>
    </row>
    <row r="515" spans="1:43" x14ac:dyDescent="0.25">
      <c r="A515">
        <v>514</v>
      </c>
      <c r="B515" t="s">
        <v>62</v>
      </c>
      <c r="C515" t="s">
        <v>62</v>
      </c>
      <c r="D515" t="s">
        <v>79</v>
      </c>
      <c r="F515" s="1">
        <v>42740</v>
      </c>
      <c r="G515" s="2">
        <v>104.8</v>
      </c>
      <c r="H515" s="2"/>
      <c r="I515" s="2">
        <f t="array" ref="I515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515" s="2">
        <v>10.8</v>
      </c>
      <c r="K515" s="2">
        <v>-25</v>
      </c>
      <c r="L515" s="2">
        <v>806.3</v>
      </c>
      <c r="M515" s="2">
        <f t="array" ref="M515">_xlfn.IFNA(IF(vp.data[[#This Row],[Dens Input]]="",INDEX([1]DATA!$O$3:$O$9826,MATCH(1,(vp.data[[#This Row],[Battery]]=[1]DATA!$L$3:$L$9826)*(EOMONTH(vp.data[[#This Row],[SDate]],-1)+1=[1]DATA!$G$3:$G$9826),0)),vp.data[[#This Row],[Dens Input]]),"")</f>
        <v>806.3</v>
      </c>
      <c r="N515" s="2">
        <f ca="1">INDEX(INDIRECT(_xlfn.CONCAT("weather.tbl[",N$1,"]")),MATCH(vp.data[[#This Row],[SDate]],weather.tbl[Date],0))</f>
        <v>-21.916666666666668</v>
      </c>
      <c r="O515" s="2">
        <f ca="1">INDEX(INDIRECT(_xlfn.CONCAT("weather.tbl[",O$1,"]")),MATCH(vp.data[[#This Row],[SDate]],weather.tbl[Date],0))</f>
        <v>-17.411904761904765</v>
      </c>
      <c r="P515" s="2">
        <f ca="1">INDEX(INDIRECT(_xlfn.CONCAT("weather.tbl[",P$1,"]")),MATCH(vp.data[[#This Row],[SDate]],weather.tbl[Date],0))</f>
        <v>-22.1</v>
      </c>
      <c r="Q515" s="2">
        <f ca="1">INDEX(INDIRECT(_xlfn.CONCAT("weather.tbl[",Q$1,"]")),MATCH(vp.data[[#This Row],[SDate]],weather.tbl[Date],0))</f>
        <v>-21.1</v>
      </c>
      <c r="R515" s="2">
        <f ca="1">INDEX(INDIRECT(_xlfn.CONCAT("weather.tbl[",R$1,"]")),MATCH(vp.data[[#This Row],[SDate]],weather.tbl[Date],0))</f>
        <v>-23.8</v>
      </c>
      <c r="S515" s="2">
        <f ca="1">INDEX(INDIRECT(_xlfn.CONCAT("weather.tbl[",S$1,"]")),MATCH(vp.data[[#This Row],[SDate]],weather.tbl[Date],0))</f>
        <v>-19.3</v>
      </c>
      <c r="T515" s="2">
        <f ca="1">INDEX(INDIRECT(_xlfn.CONCAT("weather.tbl[",T$1,"]")),MATCH(vp.data[[#This Row],[SDate]],weather.tbl[Date],0))</f>
        <v>-23.2</v>
      </c>
      <c r="U515" s="2">
        <f ca="1">INDEX(INDIRECT(_xlfn.CONCAT("weather.tbl[",U$1,"]")),MATCH(vp.data[[#This Row],[SDate]],weather.tbl[Date],0))</f>
        <v>-22</v>
      </c>
      <c r="V515" s="2">
        <f t="array" ref="V5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515" t="s">
        <v>48</v>
      </c>
      <c r="X515">
        <f>IF(OR(vp.data[[#This Row],[Sulf]]="",vp.data[[#This Row],[Dens]]=""),1,0)</f>
        <v>0</v>
      </c>
      <c r="Y515">
        <f>IF(vp.data[[#This Row],[CrudeType]]="C5+",1,0)</f>
        <v>0</v>
      </c>
      <c r="Z515">
        <f>IF(AND(vp.data[[#This Row],[CrudeType]]="Crude",vp.data[[#This Row],[Dens]]&lt;=825,vp.data[[#This Row],[Sulf]]&gt;0.5,vp.data[[#This Row],[Unknown]]=0),1,0)</f>
        <v>0</v>
      </c>
      <c r="AA515">
        <f>IF(AND(vp.data[[#This Row],[CrudeType]]="Crude",vp.data[[#This Row],[Dens]]&lt;=825,vp.data[[#This Row],[Sulf]]&lt;=0.5,vp.data[[#This Row],[Unknown]]=0),1,0)</f>
        <v>1</v>
      </c>
      <c r="AB5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5">
        <f>IF(AND(vp.data[[#This Row],[CrudeType]]="Crude",vp.data[[#This Row],[Dens]]&gt;825,vp.data[[#This Row],[Dens]]&lt;=900,vp.data[[#This Row],[Sulf]]&lt;=0.5,vp.data[[#This Row],[Unknown]]=0),1,0)</f>
        <v>0</v>
      </c>
      <c r="AD515">
        <f>IF(AND(vp.data[[#This Row],[CrudeType]]="Crude",vp.data[[#This Row],[Dens]]&gt;865,vp.data[[#This Row],[Dens]]&lt;=900,vp.data[[#This Row],[Sulf]]&gt;2,vp.data[[#This Row],[Unknown]]=0),1,0)</f>
        <v>0</v>
      </c>
      <c r="AE515">
        <f>IF(AND(vp.data[[#This Row],[CrudeType]]="Crude",vp.data[[#This Row],[Dens]]&gt;900,vp.data[[#This Row],[Sulf]]&lt;=0.5,vp.data[[#This Row],[Unknown]]=0),1,0)</f>
        <v>0</v>
      </c>
      <c r="AF515">
        <f>IF(AND(vp.data[[#This Row],[CrudeType]]="Crude",vp.data[[#This Row],[Dens]]&gt;900,vp.data[[#This Row],[Sulf]]&lt;=0.5,vp.data[[#This Row],[Unknown]]=0),1,0)</f>
        <v>0</v>
      </c>
      <c r="AG515" t="str">
        <f>INDEX(vp.data[[#Headers],[Unknown]:[Heavy_SW]],MATCH(1,vp.data[[#This Row],[Unknown]:[Heavy_SW]],0))</f>
        <v>Light_SW</v>
      </c>
      <c r="AH515">
        <f>INDEX([3]!crudeBD.lkup[Number],MATCH(vp.data[[#This Row],[Crude_Breakdown]],crudeBD.lkup[Crude Breakdown],0))</f>
        <v>2</v>
      </c>
      <c r="AI515">
        <f>MONTH(vp.data[[#This Row],[SDate]])</f>
        <v>1</v>
      </c>
      <c r="AJ515" s="5">
        <f>(vp.data[[#This Row],[VP]]-INDEX(crudeBD.lkup[Mean_VP],MATCH(vp.data[[#This Row],[Crude_Breakdown]],crudeBD.lkup[Crude Breakdown],0)))^2</f>
        <v>150.05481717150934</v>
      </c>
      <c r="AK515" s="5">
        <f>(vp.data[[#This Row],[Dens]]-INDEX(crudeBD.lkup[Mean_Dens],MATCH(vp.data[[#This Row],[Crude_Breakdown]],crudeBD.lkup[Crude Breakdown],0)))^2</f>
        <v>4.0461252412915387</v>
      </c>
      <c r="AL515" s="5">
        <f>(vp.data[[#This Row],[Sulf]]-INDEX(crudeBD.lkup[Mean_Sulf],MATCH(vp.data[[#This Row],[Crude_Breakdown]],crudeBD.lkup[Crude Breakdown],0)))^2</f>
        <v>1.9147790304605045E-3</v>
      </c>
      <c r="AM515" s="4">
        <f>IF(AND(vp.data[[#This Row],[SDate]]&gt;=DATE(YEAR(vp.data[[#This Row],[SDate]]),5,1),vp.data[[#This Row],[SDate]]&lt;=DATE(YEAR(vp.data[[#This Row],[SDate]]),9,15)),1,0)</f>
        <v>0</v>
      </c>
      <c r="AN515" s="4">
        <f>IF(vp.data[[#This Row],[SDate]]&lt;DATE(2016,12,1),0,1)</f>
        <v>1</v>
      </c>
      <c r="AO515" s="4">
        <f>IFERROR(vp.data[[#This Row],[Sulf]]*vp.data[[#This Row],[Net Dens]],"")</f>
        <v>3168938.1921120002</v>
      </c>
      <c r="AP515">
        <f>IFERROR(vp.data[[#This Row],[Dens]]*vp.data[[#This Row],[VolumeM3]],"")</f>
        <v>11317636.4004</v>
      </c>
      <c r="AQ515" s="15">
        <f>IFERROR(vp.data[[#This Row],[VP]]*vp.data[[#This Row],[VolumeM3]],"")</f>
        <v>1471026.0384</v>
      </c>
    </row>
    <row r="516" spans="1:43" x14ac:dyDescent="0.25">
      <c r="A516">
        <v>515</v>
      </c>
      <c r="B516" t="s">
        <v>62</v>
      </c>
      <c r="C516" t="s">
        <v>62</v>
      </c>
      <c r="D516" t="s">
        <v>83</v>
      </c>
      <c r="F516" s="1">
        <v>42740</v>
      </c>
      <c r="G516" s="2">
        <v>93.5</v>
      </c>
      <c r="H516" s="2"/>
      <c r="I516" s="2">
        <f t="array" ref="I51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516" s="2">
        <v>-3.6</v>
      </c>
      <c r="K516" s="2">
        <v>-25</v>
      </c>
      <c r="L516" s="2">
        <v>808.1</v>
      </c>
      <c r="M516" s="2">
        <f t="array" ref="M516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516" s="2">
        <f ca="1">INDEX(INDIRECT(_xlfn.CONCAT("weather.tbl[",N$1,"]")),MATCH(vp.data[[#This Row],[SDate]],weather.tbl[Date],0))</f>
        <v>-21.916666666666668</v>
      </c>
      <c r="O516" s="2">
        <f ca="1">INDEX(INDIRECT(_xlfn.CONCAT("weather.tbl[",O$1,"]")),MATCH(vp.data[[#This Row],[SDate]],weather.tbl[Date],0))</f>
        <v>-17.411904761904765</v>
      </c>
      <c r="P516" s="2">
        <f ca="1">INDEX(INDIRECT(_xlfn.CONCAT("weather.tbl[",P$1,"]")),MATCH(vp.data[[#This Row],[SDate]],weather.tbl[Date],0))</f>
        <v>-22.1</v>
      </c>
      <c r="Q516" s="2">
        <f ca="1">INDEX(INDIRECT(_xlfn.CONCAT("weather.tbl[",Q$1,"]")),MATCH(vp.data[[#This Row],[SDate]],weather.tbl[Date],0))</f>
        <v>-21.1</v>
      </c>
      <c r="R516" s="2">
        <f ca="1">INDEX(INDIRECT(_xlfn.CONCAT("weather.tbl[",R$1,"]")),MATCH(vp.data[[#This Row],[SDate]],weather.tbl[Date],0))</f>
        <v>-23.8</v>
      </c>
      <c r="S516" s="2">
        <f ca="1">INDEX(INDIRECT(_xlfn.CONCAT("weather.tbl[",S$1,"]")),MATCH(vp.data[[#This Row],[SDate]],weather.tbl[Date],0))</f>
        <v>-19.3</v>
      </c>
      <c r="T516" s="2">
        <f ca="1">INDEX(INDIRECT(_xlfn.CONCAT("weather.tbl[",T$1,"]")),MATCH(vp.data[[#This Row],[SDate]],weather.tbl[Date],0))</f>
        <v>-23.2</v>
      </c>
      <c r="U516" s="2">
        <f ca="1">INDEX(INDIRECT(_xlfn.CONCAT("weather.tbl[",U$1,"]")),MATCH(vp.data[[#This Row],[SDate]],weather.tbl[Date],0))</f>
        <v>-22</v>
      </c>
      <c r="V516" s="2">
        <f t="array" ref="V5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516" t="s">
        <v>48</v>
      </c>
      <c r="X516">
        <f>IF(OR(vp.data[[#This Row],[Sulf]]="",vp.data[[#This Row],[Dens]]=""),1,0)</f>
        <v>0</v>
      </c>
      <c r="Y516">
        <f>IF(vp.data[[#This Row],[CrudeType]]="C5+",1,0)</f>
        <v>0</v>
      </c>
      <c r="Z516">
        <f>IF(AND(vp.data[[#This Row],[CrudeType]]="Crude",vp.data[[#This Row],[Dens]]&lt;=825,vp.data[[#This Row],[Sulf]]&gt;0.5,vp.data[[#This Row],[Unknown]]=0),1,0)</f>
        <v>0</v>
      </c>
      <c r="AA516">
        <f>IF(AND(vp.data[[#This Row],[CrudeType]]="Crude",vp.data[[#This Row],[Dens]]&lt;=825,vp.data[[#This Row],[Sulf]]&lt;=0.5,vp.data[[#This Row],[Unknown]]=0),1,0)</f>
        <v>1</v>
      </c>
      <c r="AB5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6">
        <f>IF(AND(vp.data[[#This Row],[CrudeType]]="Crude",vp.data[[#This Row],[Dens]]&gt;825,vp.data[[#This Row],[Dens]]&lt;=900,vp.data[[#This Row],[Sulf]]&lt;=0.5,vp.data[[#This Row],[Unknown]]=0),1,0)</f>
        <v>0</v>
      </c>
      <c r="AD516">
        <f>IF(AND(vp.data[[#This Row],[CrudeType]]="Crude",vp.data[[#This Row],[Dens]]&gt;865,vp.data[[#This Row],[Dens]]&lt;=900,vp.data[[#This Row],[Sulf]]&gt;2,vp.data[[#This Row],[Unknown]]=0),1,0)</f>
        <v>0</v>
      </c>
      <c r="AE516">
        <f>IF(AND(vp.data[[#This Row],[CrudeType]]="Crude",vp.data[[#This Row],[Dens]]&gt;900,vp.data[[#This Row],[Sulf]]&lt;=0.5,vp.data[[#This Row],[Unknown]]=0),1,0)</f>
        <v>0</v>
      </c>
      <c r="AF516">
        <f>IF(AND(vp.data[[#This Row],[CrudeType]]="Crude",vp.data[[#This Row],[Dens]]&gt;900,vp.data[[#This Row],[Sulf]]&lt;=0.5,vp.data[[#This Row],[Unknown]]=0),1,0)</f>
        <v>0</v>
      </c>
      <c r="AG516" t="str">
        <f>INDEX(vp.data[[#Headers],[Unknown]:[Heavy_SW]],MATCH(1,vp.data[[#This Row],[Unknown]:[Heavy_SW]],0))</f>
        <v>Light_SW</v>
      </c>
      <c r="AH516">
        <f>INDEX([3]!crudeBD.lkup[Number],MATCH(vp.data[[#This Row],[Crude_Breakdown]],crudeBD.lkup[Crude Breakdown],0))</f>
        <v>2</v>
      </c>
      <c r="AI516">
        <f>MONTH(vp.data[[#This Row],[SDate]])</f>
        <v>1</v>
      </c>
      <c r="AJ516" s="5">
        <f>(vp.data[[#This Row],[VP]]-INDEX(crudeBD.lkup[Mean_VP],MATCH(vp.data[[#This Row],[Crude_Breakdown]],crudeBD.lkup[Crude Breakdown],0)))^2</f>
        <v>0.90190427952269203</v>
      </c>
      <c r="AK516" s="5">
        <f>(vp.data[[#This Row],[Dens]]-INDEX(crudeBD.lkup[Mean_Dens],MATCH(vp.data[[#This Row],[Crude_Breakdown]],crudeBD.lkup[Crude Breakdown],0)))^2</f>
        <v>4.473151306913524E-2</v>
      </c>
      <c r="AL516" s="5">
        <f>(vp.data[[#This Row],[Sulf]]-INDEX(crudeBD.lkup[Mean_Sulf],MATCH(vp.data[[#This Row],[Crude_Breakdown]],crudeBD.lkup[Crude Breakdown],0)))^2</f>
        <v>4.3879776367322437E-3</v>
      </c>
      <c r="AM516" s="4">
        <f>IF(AND(vp.data[[#This Row],[SDate]]&gt;=DATE(YEAR(vp.data[[#This Row],[SDate]]),5,1),vp.data[[#This Row],[SDate]]&lt;=DATE(YEAR(vp.data[[#This Row],[SDate]]),9,15)),1,0)</f>
        <v>0</v>
      </c>
      <c r="AN516" s="4">
        <f>IF(vp.data[[#This Row],[SDate]]&lt;DATE(2016,12,1),0,1)</f>
        <v>1</v>
      </c>
      <c r="AO516" s="4">
        <f>IFERROR(vp.data[[#This Row],[Sulf]]*vp.data[[#This Row],[Net Dens]],"")</f>
        <v>1218986.5098380002</v>
      </c>
      <c r="AP516">
        <f>IFERROR(vp.data[[#This Row],[Dens]]*vp.data[[#This Row],[VolumeM3]],"")</f>
        <v>7170508.8814000003</v>
      </c>
      <c r="AQ516" s="15">
        <f>IFERROR(vp.data[[#This Row],[VP]]*vp.data[[#This Row],[VolumeM3]],"")</f>
        <v>829652.98899999994</v>
      </c>
    </row>
    <row r="517" spans="1:43" x14ac:dyDescent="0.25">
      <c r="A517">
        <v>516</v>
      </c>
      <c r="B517" t="s">
        <v>49</v>
      </c>
      <c r="C517" t="s">
        <v>49</v>
      </c>
      <c r="D517" t="s">
        <v>67</v>
      </c>
      <c r="F517" s="1">
        <v>42740</v>
      </c>
      <c r="G517" s="2">
        <v>115.1</v>
      </c>
      <c r="H517" s="2"/>
      <c r="I517" s="2">
        <f t="array" ref="I517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17" s="2">
        <v>0.3</v>
      </c>
      <c r="K517" s="2">
        <v>-25</v>
      </c>
      <c r="L517" s="2">
        <v>811.6</v>
      </c>
      <c r="M517" s="2">
        <f t="array" ref="M517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517" s="2">
        <f ca="1">INDEX(INDIRECT(_xlfn.CONCAT("weather.tbl[",N$1,"]")),MATCH(vp.data[[#This Row],[SDate]],weather.tbl[Date],0))</f>
        <v>-21.916666666666668</v>
      </c>
      <c r="O517" s="2">
        <f ca="1">INDEX(INDIRECT(_xlfn.CONCAT("weather.tbl[",O$1,"]")),MATCH(vp.data[[#This Row],[SDate]],weather.tbl[Date],0))</f>
        <v>-17.411904761904765</v>
      </c>
      <c r="P517" s="2">
        <f ca="1">INDEX(INDIRECT(_xlfn.CONCAT("weather.tbl[",P$1,"]")),MATCH(vp.data[[#This Row],[SDate]],weather.tbl[Date],0))</f>
        <v>-22.1</v>
      </c>
      <c r="Q517" s="2">
        <f ca="1">INDEX(INDIRECT(_xlfn.CONCAT("weather.tbl[",Q$1,"]")),MATCH(vp.data[[#This Row],[SDate]],weather.tbl[Date],0))</f>
        <v>-21.1</v>
      </c>
      <c r="R517" s="2">
        <f ca="1">INDEX(INDIRECT(_xlfn.CONCAT("weather.tbl[",R$1,"]")),MATCH(vp.data[[#This Row],[SDate]],weather.tbl[Date],0))</f>
        <v>-23.8</v>
      </c>
      <c r="S517" s="2">
        <f ca="1">INDEX(INDIRECT(_xlfn.CONCAT("weather.tbl[",S$1,"]")),MATCH(vp.data[[#This Row],[SDate]],weather.tbl[Date],0))</f>
        <v>-19.3</v>
      </c>
      <c r="T517" s="2">
        <f ca="1">INDEX(INDIRECT(_xlfn.CONCAT("weather.tbl[",T$1,"]")),MATCH(vp.data[[#This Row],[SDate]],weather.tbl[Date],0))</f>
        <v>-23.2</v>
      </c>
      <c r="U517" s="2">
        <f ca="1">INDEX(INDIRECT(_xlfn.CONCAT("weather.tbl[",U$1,"]")),MATCH(vp.data[[#This Row],[SDate]],weather.tbl[Date],0))</f>
        <v>-22</v>
      </c>
      <c r="V517" s="2">
        <f t="array" ref="V5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517" t="s">
        <v>48</v>
      </c>
      <c r="X517">
        <f>IF(OR(vp.data[[#This Row],[Sulf]]="",vp.data[[#This Row],[Dens]]=""),1,0)</f>
        <v>0</v>
      </c>
      <c r="Y517">
        <f>IF(vp.data[[#This Row],[CrudeType]]="C5+",1,0)</f>
        <v>0</v>
      </c>
      <c r="Z517">
        <f>IF(AND(vp.data[[#This Row],[CrudeType]]="Crude",vp.data[[#This Row],[Dens]]&lt;=825,vp.data[[#This Row],[Sulf]]&gt;0.5,vp.data[[#This Row],[Unknown]]=0),1,0)</f>
        <v>1</v>
      </c>
      <c r="AA517">
        <f>IF(AND(vp.data[[#This Row],[CrudeType]]="Crude",vp.data[[#This Row],[Dens]]&lt;=825,vp.data[[#This Row],[Sulf]]&lt;=0.5,vp.data[[#This Row],[Unknown]]=0),1,0)</f>
        <v>0</v>
      </c>
      <c r="AB5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7">
        <f>IF(AND(vp.data[[#This Row],[CrudeType]]="Crude",vp.data[[#This Row],[Dens]]&gt;825,vp.data[[#This Row],[Dens]]&lt;=900,vp.data[[#This Row],[Sulf]]&lt;=0.5,vp.data[[#This Row],[Unknown]]=0),1,0)</f>
        <v>0</v>
      </c>
      <c r="AD517">
        <f>IF(AND(vp.data[[#This Row],[CrudeType]]="Crude",vp.data[[#This Row],[Dens]]&gt;865,vp.data[[#This Row],[Dens]]&lt;=900,vp.data[[#This Row],[Sulf]]&gt;2,vp.data[[#This Row],[Unknown]]=0),1,0)</f>
        <v>0</v>
      </c>
      <c r="AE517">
        <f>IF(AND(vp.data[[#This Row],[CrudeType]]="Crude",vp.data[[#This Row],[Dens]]&gt;900,vp.data[[#This Row],[Sulf]]&lt;=0.5,vp.data[[#This Row],[Unknown]]=0),1,0)</f>
        <v>0</v>
      </c>
      <c r="AF517">
        <f>IF(AND(vp.data[[#This Row],[CrudeType]]="Crude",vp.data[[#This Row],[Dens]]&gt;900,vp.data[[#This Row],[Sulf]]&lt;=0.5,vp.data[[#This Row],[Unknown]]=0),1,0)</f>
        <v>0</v>
      </c>
      <c r="AG517" t="str">
        <f>INDEX(vp.data[[#Headers],[Unknown]:[Heavy_SW]],MATCH(1,vp.data[[#This Row],[Unknown]:[Heavy_SW]],0))</f>
        <v>Light_LSB</v>
      </c>
      <c r="AH517">
        <f>INDEX([3]!crudeBD.lkup[Number],MATCH(vp.data[[#This Row],[Crude_Breakdown]],crudeBD.lkup[Crude Breakdown],0))</f>
        <v>1</v>
      </c>
      <c r="AI517">
        <f>MONTH(vp.data[[#This Row],[SDate]])</f>
        <v>1</v>
      </c>
      <c r="AJ517" s="5">
        <f>(vp.data[[#This Row],[VP]]-INDEX(crudeBD.lkup[Mean_VP],MATCH(vp.data[[#This Row],[Crude_Breakdown]],crudeBD.lkup[Crude Breakdown],0)))^2</f>
        <v>554.78217434371174</v>
      </c>
      <c r="AK517" s="5">
        <f>(vp.data[[#This Row],[Dens]]-INDEX(crudeBD.lkup[Mean_Dens],MATCH(vp.data[[#This Row],[Crude_Breakdown]],crudeBD.lkup[Crude Breakdown],0)))^2</f>
        <v>47.841703905239726</v>
      </c>
      <c r="AL517" s="5">
        <f>(vp.data[[#This Row],[Sulf]]-INDEX(crudeBD.lkup[Mean_Sulf],MATCH(vp.data[[#This Row],[Crude_Breakdown]],crudeBD.lkup[Crude Breakdown],0)))^2</f>
        <v>0.11086979897559178</v>
      </c>
      <c r="AM517" s="4">
        <f>IF(AND(vp.data[[#This Row],[SDate]]&gt;=DATE(YEAR(vp.data[[#This Row],[SDate]]),5,1),vp.data[[#This Row],[SDate]]&lt;=DATE(YEAR(vp.data[[#This Row],[SDate]]),9,15)),1,0)</f>
        <v>0</v>
      </c>
      <c r="AN517" s="4">
        <f>IF(vp.data[[#This Row],[SDate]]&lt;DATE(2016,12,1),0,1)</f>
        <v>1</v>
      </c>
      <c r="AO517" s="4">
        <f>IFERROR(vp.data[[#This Row],[Sulf]]*vp.data[[#This Row],[Net Dens]],"")</f>
        <v>58485943.910279997</v>
      </c>
      <c r="AP517">
        <f>IFERROR(vp.data[[#This Row],[Dens]]*vp.data[[#This Row],[VolumeM3]],"")</f>
        <v>99128718.491999999</v>
      </c>
      <c r="AQ517" s="15">
        <f>IFERROR(vp.data[[#This Row],[VP]]*vp.data[[#This Row],[VolumeM3]],"")</f>
        <v>14058299.036999999</v>
      </c>
    </row>
    <row r="518" spans="1:43" x14ac:dyDescent="0.25">
      <c r="A518">
        <v>517</v>
      </c>
      <c r="B518" t="s">
        <v>49</v>
      </c>
      <c r="C518" t="s">
        <v>49</v>
      </c>
      <c r="D518" t="s">
        <v>100</v>
      </c>
      <c r="F518" s="1">
        <v>42740</v>
      </c>
      <c r="G518" s="2">
        <v>107.4</v>
      </c>
      <c r="H518" s="2"/>
      <c r="I518" s="2">
        <f t="array" ref="I518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518" s="2">
        <v>1</v>
      </c>
      <c r="K518" s="2">
        <v>-25</v>
      </c>
      <c r="L518" s="2">
        <v>816.3</v>
      </c>
      <c r="M518" s="2">
        <f t="array" ref="M518">_xlfn.IFNA(IF(vp.data[[#This Row],[Dens Input]]="",INDEX([1]DATA!$O$3:$O$9826,MATCH(1,(vp.data[[#This Row],[Battery]]=[1]DATA!$L$3:$L$9826)*(EOMONTH(vp.data[[#This Row],[SDate]],-1)+1=[1]DATA!$G$3:$G$9826),0)),vp.data[[#This Row],[Dens Input]]),"")</f>
        <v>816.3</v>
      </c>
      <c r="N518" s="2">
        <f ca="1">INDEX(INDIRECT(_xlfn.CONCAT("weather.tbl[",N$1,"]")),MATCH(vp.data[[#This Row],[SDate]],weather.tbl[Date],0))</f>
        <v>-21.916666666666668</v>
      </c>
      <c r="O518" s="2">
        <f ca="1">INDEX(INDIRECT(_xlfn.CONCAT("weather.tbl[",O$1,"]")),MATCH(vp.data[[#This Row],[SDate]],weather.tbl[Date],0))</f>
        <v>-17.411904761904765</v>
      </c>
      <c r="P518" s="2">
        <f ca="1">INDEX(INDIRECT(_xlfn.CONCAT("weather.tbl[",P$1,"]")),MATCH(vp.data[[#This Row],[SDate]],weather.tbl[Date],0))</f>
        <v>-22.1</v>
      </c>
      <c r="Q518" s="2">
        <f ca="1">INDEX(INDIRECT(_xlfn.CONCAT("weather.tbl[",Q$1,"]")),MATCH(vp.data[[#This Row],[SDate]],weather.tbl[Date],0))</f>
        <v>-21.1</v>
      </c>
      <c r="R518" s="2">
        <f ca="1">INDEX(INDIRECT(_xlfn.CONCAT("weather.tbl[",R$1,"]")),MATCH(vp.data[[#This Row],[SDate]],weather.tbl[Date],0))</f>
        <v>-23.8</v>
      </c>
      <c r="S518" s="2">
        <f ca="1">INDEX(INDIRECT(_xlfn.CONCAT("weather.tbl[",S$1,"]")),MATCH(vp.data[[#This Row],[SDate]],weather.tbl[Date],0))</f>
        <v>-19.3</v>
      </c>
      <c r="T518" s="2">
        <f ca="1">INDEX(INDIRECT(_xlfn.CONCAT("weather.tbl[",T$1,"]")),MATCH(vp.data[[#This Row],[SDate]],weather.tbl[Date],0))</f>
        <v>-23.2</v>
      </c>
      <c r="U518" s="2">
        <f ca="1">INDEX(INDIRECT(_xlfn.CONCAT("weather.tbl[",U$1,"]")),MATCH(vp.data[[#This Row],[SDate]],weather.tbl[Date],0))</f>
        <v>-22</v>
      </c>
      <c r="V518" s="2">
        <f t="array" ref="V5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518" t="s">
        <v>48</v>
      </c>
      <c r="X518">
        <f>IF(OR(vp.data[[#This Row],[Sulf]]="",vp.data[[#This Row],[Dens]]=""),1,0)</f>
        <v>0</v>
      </c>
      <c r="Y518">
        <f>IF(vp.data[[#This Row],[CrudeType]]="C5+",1,0)</f>
        <v>0</v>
      </c>
      <c r="Z518">
        <f>IF(AND(vp.data[[#This Row],[CrudeType]]="Crude",vp.data[[#This Row],[Dens]]&lt;=825,vp.data[[#This Row],[Sulf]]&gt;0.5,vp.data[[#This Row],[Unknown]]=0),1,0)</f>
        <v>1</v>
      </c>
      <c r="AA518">
        <f>IF(AND(vp.data[[#This Row],[CrudeType]]="Crude",vp.data[[#This Row],[Dens]]&lt;=825,vp.data[[#This Row],[Sulf]]&lt;=0.5,vp.data[[#This Row],[Unknown]]=0),1,0)</f>
        <v>0</v>
      </c>
      <c r="AB5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8">
        <f>IF(AND(vp.data[[#This Row],[CrudeType]]="Crude",vp.data[[#This Row],[Dens]]&gt;825,vp.data[[#This Row],[Dens]]&lt;=900,vp.data[[#This Row],[Sulf]]&lt;=0.5,vp.data[[#This Row],[Unknown]]=0),1,0)</f>
        <v>0</v>
      </c>
      <c r="AD518">
        <f>IF(AND(vp.data[[#This Row],[CrudeType]]="Crude",vp.data[[#This Row],[Dens]]&gt;865,vp.data[[#This Row],[Dens]]&lt;=900,vp.data[[#This Row],[Sulf]]&gt;2,vp.data[[#This Row],[Unknown]]=0),1,0)</f>
        <v>0</v>
      </c>
      <c r="AE518">
        <f>IF(AND(vp.data[[#This Row],[CrudeType]]="Crude",vp.data[[#This Row],[Dens]]&gt;900,vp.data[[#This Row],[Sulf]]&lt;=0.5,vp.data[[#This Row],[Unknown]]=0),1,0)</f>
        <v>0</v>
      </c>
      <c r="AF518">
        <f>IF(AND(vp.data[[#This Row],[CrudeType]]="Crude",vp.data[[#This Row],[Dens]]&gt;900,vp.data[[#This Row],[Sulf]]&lt;=0.5,vp.data[[#This Row],[Unknown]]=0),1,0)</f>
        <v>0</v>
      </c>
      <c r="AG518" t="str">
        <f>INDEX(vp.data[[#Headers],[Unknown]:[Heavy_SW]],MATCH(1,vp.data[[#This Row],[Unknown]:[Heavy_SW]],0))</f>
        <v>Light_LSB</v>
      </c>
      <c r="AH518">
        <f>INDEX([3]!crudeBD.lkup[Number],MATCH(vp.data[[#This Row],[Crude_Breakdown]],crudeBD.lkup[Crude Breakdown],0))</f>
        <v>1</v>
      </c>
      <c r="AI518">
        <f>MONTH(vp.data[[#This Row],[SDate]])</f>
        <v>1</v>
      </c>
      <c r="AJ518" s="5">
        <f>(vp.data[[#This Row],[VP]]-INDEX(crudeBD.lkup[Mean_VP],MATCH(vp.data[[#This Row],[Crude_Breakdown]],crudeBD.lkup[Crude Breakdown],0)))^2</f>
        <v>251.34343207567142</v>
      </c>
      <c r="AK518" s="5">
        <f>(vp.data[[#This Row],[Dens]]-INDEX(crudeBD.lkup[Mean_Dens],MATCH(vp.data[[#This Row],[Crude_Breakdown]],crudeBD.lkup[Crude Breakdown],0)))^2</f>
        <v>4.9140681664115817</v>
      </c>
      <c r="AL518" s="5">
        <f>(vp.data[[#This Row],[Sulf]]-INDEX(crudeBD.lkup[Mean_Sulf],MATCH(vp.data[[#This Row],[Crude_Breakdown]],crudeBD.lkup[Crude Breakdown],0)))^2</f>
        <v>6.9153835401708622E-2</v>
      </c>
      <c r="AM518" s="4">
        <f>IF(AND(vp.data[[#This Row],[SDate]]&gt;=DATE(YEAR(vp.data[[#This Row],[SDate]]),5,1),vp.data[[#This Row],[SDate]]&lt;=DATE(YEAR(vp.data[[#This Row],[SDate]]),9,15)),1,0)</f>
        <v>0</v>
      </c>
      <c r="AN518" s="4">
        <f>IF(vp.data[[#This Row],[SDate]]&lt;DATE(2016,12,1),0,1)</f>
        <v>1</v>
      </c>
      <c r="AO518" s="4">
        <f>IFERROR(vp.data[[#This Row],[Sulf]]*vp.data[[#This Row],[Net Dens]],"")</f>
        <v>6043190.3001360008</v>
      </c>
      <c r="AP518">
        <f>IFERROR(vp.data[[#This Row],[Dens]]*vp.data[[#This Row],[VolumeM3]],"")</f>
        <v>9156348.9396000002</v>
      </c>
      <c r="AQ518" s="15">
        <f>IFERROR(vp.data[[#This Row],[VP]]*vp.data[[#This Row],[VolumeM3]],"")</f>
        <v>1204694.2008</v>
      </c>
    </row>
    <row r="519" spans="1:43" x14ac:dyDescent="0.25">
      <c r="A519">
        <v>518</v>
      </c>
      <c r="B519" t="s">
        <v>49</v>
      </c>
      <c r="C519" t="s">
        <v>49</v>
      </c>
      <c r="D519" t="s">
        <v>89</v>
      </c>
      <c r="F519" s="1">
        <v>42740</v>
      </c>
      <c r="G519" s="2">
        <v>102.9</v>
      </c>
      <c r="H519" s="2"/>
      <c r="I519" s="2">
        <f t="array" ref="I519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19" s="2">
        <v>1.8</v>
      </c>
      <c r="K519" s="2">
        <v>-25</v>
      </c>
      <c r="L519" s="2">
        <v>817</v>
      </c>
      <c r="M519" s="2">
        <f t="array" ref="M519">_xlfn.IFNA(IF(vp.data[[#This Row],[Dens Input]]="",INDEX([1]DATA!$O$3:$O$9826,MATCH(1,(vp.data[[#This Row],[Battery]]=[1]DATA!$L$3:$L$9826)*(EOMONTH(vp.data[[#This Row],[SDate]],-1)+1=[1]DATA!$G$3:$G$9826),0)),vp.data[[#This Row],[Dens Input]]),"")</f>
        <v>817</v>
      </c>
      <c r="N519" s="2">
        <f ca="1">INDEX(INDIRECT(_xlfn.CONCAT("weather.tbl[",N$1,"]")),MATCH(vp.data[[#This Row],[SDate]],weather.tbl[Date],0))</f>
        <v>-21.916666666666668</v>
      </c>
      <c r="O519" s="2">
        <f ca="1">INDEX(INDIRECT(_xlfn.CONCAT("weather.tbl[",O$1,"]")),MATCH(vp.data[[#This Row],[SDate]],weather.tbl[Date],0))</f>
        <v>-17.411904761904765</v>
      </c>
      <c r="P519" s="2">
        <f ca="1">INDEX(INDIRECT(_xlfn.CONCAT("weather.tbl[",P$1,"]")),MATCH(vp.data[[#This Row],[SDate]],weather.tbl[Date],0))</f>
        <v>-22.1</v>
      </c>
      <c r="Q519" s="2">
        <f ca="1">INDEX(INDIRECT(_xlfn.CONCAT("weather.tbl[",Q$1,"]")),MATCH(vp.data[[#This Row],[SDate]],weather.tbl[Date],0))</f>
        <v>-21.1</v>
      </c>
      <c r="R519" s="2">
        <f ca="1">INDEX(INDIRECT(_xlfn.CONCAT("weather.tbl[",R$1,"]")),MATCH(vp.data[[#This Row],[SDate]],weather.tbl[Date],0))</f>
        <v>-23.8</v>
      </c>
      <c r="S519" s="2">
        <f ca="1">INDEX(INDIRECT(_xlfn.CONCAT("weather.tbl[",S$1,"]")),MATCH(vp.data[[#This Row],[SDate]],weather.tbl[Date],0))</f>
        <v>-19.3</v>
      </c>
      <c r="T519" s="2">
        <f ca="1">INDEX(INDIRECT(_xlfn.CONCAT("weather.tbl[",T$1,"]")),MATCH(vp.data[[#This Row],[SDate]],weather.tbl[Date],0))</f>
        <v>-23.2</v>
      </c>
      <c r="U519" s="2">
        <f ca="1">INDEX(INDIRECT(_xlfn.CONCAT("weather.tbl[",U$1,"]")),MATCH(vp.data[[#This Row],[SDate]],weather.tbl[Date],0))</f>
        <v>-22</v>
      </c>
      <c r="V519" s="2">
        <f t="array" ref="V5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519" t="s">
        <v>48</v>
      </c>
      <c r="X519">
        <f>IF(OR(vp.data[[#This Row],[Sulf]]="",vp.data[[#This Row],[Dens]]=""),1,0)</f>
        <v>0</v>
      </c>
      <c r="Y519">
        <f>IF(vp.data[[#This Row],[CrudeType]]="C5+",1,0)</f>
        <v>0</v>
      </c>
      <c r="Z519">
        <f>IF(AND(vp.data[[#This Row],[CrudeType]]="Crude",vp.data[[#This Row],[Dens]]&lt;=825,vp.data[[#This Row],[Sulf]]&gt;0.5,vp.data[[#This Row],[Unknown]]=0),1,0)</f>
        <v>1</v>
      </c>
      <c r="AA519">
        <f>IF(AND(vp.data[[#This Row],[CrudeType]]="Crude",vp.data[[#This Row],[Dens]]&lt;=825,vp.data[[#This Row],[Sulf]]&lt;=0.5,vp.data[[#This Row],[Unknown]]=0),1,0)</f>
        <v>0</v>
      </c>
      <c r="AB5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19">
        <f>IF(AND(vp.data[[#This Row],[CrudeType]]="Crude",vp.data[[#This Row],[Dens]]&gt;825,vp.data[[#This Row],[Dens]]&lt;=900,vp.data[[#This Row],[Sulf]]&lt;=0.5,vp.data[[#This Row],[Unknown]]=0),1,0)</f>
        <v>0</v>
      </c>
      <c r="AD519">
        <f>IF(AND(vp.data[[#This Row],[CrudeType]]="Crude",vp.data[[#This Row],[Dens]]&gt;865,vp.data[[#This Row],[Dens]]&lt;=900,vp.data[[#This Row],[Sulf]]&gt;2,vp.data[[#This Row],[Unknown]]=0),1,0)</f>
        <v>0</v>
      </c>
      <c r="AE519">
        <f>IF(AND(vp.data[[#This Row],[CrudeType]]="Crude",vp.data[[#This Row],[Dens]]&gt;900,vp.data[[#This Row],[Sulf]]&lt;=0.5,vp.data[[#This Row],[Unknown]]=0),1,0)</f>
        <v>0</v>
      </c>
      <c r="AF519">
        <f>IF(AND(vp.data[[#This Row],[CrudeType]]="Crude",vp.data[[#This Row],[Dens]]&gt;900,vp.data[[#This Row],[Sulf]]&lt;=0.5,vp.data[[#This Row],[Unknown]]=0),1,0)</f>
        <v>0</v>
      </c>
      <c r="AG519" t="str">
        <f>INDEX(vp.data[[#Headers],[Unknown]:[Heavy_SW]],MATCH(1,vp.data[[#This Row],[Unknown]:[Heavy_SW]],0))</f>
        <v>Light_LSB</v>
      </c>
      <c r="AH519">
        <f>INDEX([3]!crudeBD.lkup[Number],MATCH(vp.data[[#This Row],[Crude_Breakdown]],crudeBD.lkup[Crude Breakdown],0))</f>
        <v>1</v>
      </c>
      <c r="AI519">
        <f>MONTH(vp.data[[#This Row],[SDate]])</f>
        <v>1</v>
      </c>
      <c r="AJ519" s="5">
        <f>(vp.data[[#This Row],[VP]]-INDEX(crudeBD.lkup[Mean_VP],MATCH(vp.data[[#This Row],[Crude_Breakdown]],crudeBD.lkup[Crude Breakdown],0)))^2</f>
        <v>128.90910217876444</v>
      </c>
      <c r="AK519" s="5">
        <f>(vp.data[[#This Row],[Dens]]-INDEX(crudeBD.lkup[Mean_Dens],MATCH(vp.data[[#This Row],[Crude_Breakdown]],crudeBD.lkup[Crude Breakdown],0)))^2</f>
        <v>2.3005905031815792</v>
      </c>
      <c r="AL519" s="5">
        <f>(vp.data[[#This Row],[Sulf]]-INDEX(crudeBD.lkup[Mean_Sulf],MATCH(vp.data[[#This Row],[Crude_Breakdown]],crudeBD.lkup[Crude Breakdown],0)))^2</f>
        <v>4.9716141930918292E-2</v>
      </c>
      <c r="AM519" s="4">
        <f>IF(AND(vp.data[[#This Row],[SDate]]&gt;=DATE(YEAR(vp.data[[#This Row],[SDate]]),5,1),vp.data[[#This Row],[SDate]]&lt;=DATE(YEAR(vp.data[[#This Row],[SDate]]),9,15)),1,0)</f>
        <v>0</v>
      </c>
      <c r="AN519" s="4">
        <f>IF(vp.data[[#This Row],[SDate]]&lt;DATE(2016,12,1),0,1)</f>
        <v>1</v>
      </c>
      <c r="AO519" s="4">
        <f>IFERROR(vp.data[[#This Row],[Sulf]]*vp.data[[#This Row],[Net Dens]],"")</f>
        <v>3534090.9358999995</v>
      </c>
      <c r="AP519">
        <f>IFERROR(vp.data[[#This Row],[Dens]]*vp.data[[#This Row],[VolumeM3]],"")</f>
        <v>5048701.3369999994</v>
      </c>
      <c r="AQ519" s="15">
        <f>IFERROR(vp.data[[#This Row],[VP]]*vp.data[[#This Row],[VolumeM3]],"")</f>
        <v>635876.82689999999</v>
      </c>
    </row>
    <row r="520" spans="1:43" x14ac:dyDescent="0.25">
      <c r="A520">
        <v>519</v>
      </c>
      <c r="B520" t="s">
        <v>49</v>
      </c>
      <c r="C520" t="s">
        <v>49</v>
      </c>
      <c r="D520" t="s">
        <v>80</v>
      </c>
      <c r="F520" s="1">
        <v>42740</v>
      </c>
      <c r="G520" s="2">
        <v>95</v>
      </c>
      <c r="H520" s="2"/>
      <c r="I520" s="2">
        <f t="array" ref="I520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20" s="2">
        <v>2</v>
      </c>
      <c r="K520" s="2">
        <v>-25</v>
      </c>
      <c r="L520" s="2">
        <v>817.5</v>
      </c>
      <c r="M520" s="2">
        <f t="array" ref="M520">_xlfn.IFNA(IF(vp.data[[#This Row],[Dens Input]]="",INDEX([1]DATA!$O$3:$O$9826,MATCH(1,(vp.data[[#This Row],[Battery]]=[1]DATA!$L$3:$L$9826)*(EOMONTH(vp.data[[#This Row],[SDate]],-1)+1=[1]DATA!$G$3:$G$9826),0)),vp.data[[#This Row],[Dens Input]]),"")</f>
        <v>817.5</v>
      </c>
      <c r="N520" s="2">
        <f ca="1">INDEX(INDIRECT(_xlfn.CONCAT("weather.tbl[",N$1,"]")),MATCH(vp.data[[#This Row],[SDate]],weather.tbl[Date],0))</f>
        <v>-21.916666666666668</v>
      </c>
      <c r="O520" s="2">
        <f ca="1">INDEX(INDIRECT(_xlfn.CONCAT("weather.tbl[",O$1,"]")),MATCH(vp.data[[#This Row],[SDate]],weather.tbl[Date],0))</f>
        <v>-17.411904761904765</v>
      </c>
      <c r="P520" s="2">
        <f ca="1">INDEX(INDIRECT(_xlfn.CONCAT("weather.tbl[",P$1,"]")),MATCH(vp.data[[#This Row],[SDate]],weather.tbl[Date],0))</f>
        <v>-22.1</v>
      </c>
      <c r="Q520" s="2">
        <f ca="1">INDEX(INDIRECT(_xlfn.CONCAT("weather.tbl[",Q$1,"]")),MATCH(vp.data[[#This Row],[SDate]],weather.tbl[Date],0))</f>
        <v>-21.1</v>
      </c>
      <c r="R520" s="2">
        <f ca="1">INDEX(INDIRECT(_xlfn.CONCAT("weather.tbl[",R$1,"]")),MATCH(vp.data[[#This Row],[SDate]],weather.tbl[Date],0))</f>
        <v>-23.8</v>
      </c>
      <c r="S520" s="2">
        <f ca="1">INDEX(INDIRECT(_xlfn.CONCAT("weather.tbl[",S$1,"]")),MATCH(vp.data[[#This Row],[SDate]],weather.tbl[Date],0))</f>
        <v>-19.3</v>
      </c>
      <c r="T520" s="2">
        <f ca="1">INDEX(INDIRECT(_xlfn.CONCAT("weather.tbl[",T$1,"]")),MATCH(vp.data[[#This Row],[SDate]],weather.tbl[Date],0))</f>
        <v>-23.2</v>
      </c>
      <c r="U520" s="2">
        <f ca="1">INDEX(INDIRECT(_xlfn.CONCAT("weather.tbl[",U$1,"]")),MATCH(vp.data[[#This Row],[SDate]],weather.tbl[Date],0))</f>
        <v>-22</v>
      </c>
      <c r="V520" s="2">
        <f t="array" ref="V5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520" t="s">
        <v>48</v>
      </c>
      <c r="X520">
        <f>IF(OR(vp.data[[#This Row],[Sulf]]="",vp.data[[#This Row],[Dens]]=""),1,0)</f>
        <v>0</v>
      </c>
      <c r="Y520">
        <f>IF(vp.data[[#This Row],[CrudeType]]="C5+",1,0)</f>
        <v>0</v>
      </c>
      <c r="Z520">
        <f>IF(AND(vp.data[[#This Row],[CrudeType]]="Crude",vp.data[[#This Row],[Dens]]&lt;=825,vp.data[[#This Row],[Sulf]]&gt;0.5,vp.data[[#This Row],[Unknown]]=0),1,0)</f>
        <v>1</v>
      </c>
      <c r="AA520">
        <f>IF(AND(vp.data[[#This Row],[CrudeType]]="Crude",vp.data[[#This Row],[Dens]]&lt;=825,vp.data[[#This Row],[Sulf]]&lt;=0.5,vp.data[[#This Row],[Unknown]]=0),1,0)</f>
        <v>0</v>
      </c>
      <c r="AB5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0">
        <f>IF(AND(vp.data[[#This Row],[CrudeType]]="Crude",vp.data[[#This Row],[Dens]]&gt;825,vp.data[[#This Row],[Dens]]&lt;=900,vp.data[[#This Row],[Sulf]]&lt;=0.5,vp.data[[#This Row],[Unknown]]=0),1,0)</f>
        <v>0</v>
      </c>
      <c r="AD520">
        <f>IF(AND(vp.data[[#This Row],[CrudeType]]="Crude",vp.data[[#This Row],[Dens]]&gt;865,vp.data[[#This Row],[Dens]]&lt;=900,vp.data[[#This Row],[Sulf]]&gt;2,vp.data[[#This Row],[Unknown]]=0),1,0)</f>
        <v>0</v>
      </c>
      <c r="AE520">
        <f>IF(AND(vp.data[[#This Row],[CrudeType]]="Crude",vp.data[[#This Row],[Dens]]&gt;900,vp.data[[#This Row],[Sulf]]&lt;=0.5,vp.data[[#This Row],[Unknown]]=0),1,0)</f>
        <v>0</v>
      </c>
      <c r="AF520">
        <f>IF(AND(vp.data[[#This Row],[CrudeType]]="Crude",vp.data[[#This Row],[Dens]]&gt;900,vp.data[[#This Row],[Sulf]]&lt;=0.5,vp.data[[#This Row],[Unknown]]=0),1,0)</f>
        <v>0</v>
      </c>
      <c r="AG520" t="str">
        <f>INDEX(vp.data[[#Headers],[Unknown]:[Heavy_SW]],MATCH(1,vp.data[[#This Row],[Unknown]:[Heavy_SW]],0))</f>
        <v>Light_LSB</v>
      </c>
      <c r="AH520">
        <f>INDEX([3]!crudeBD.lkup[Number],MATCH(vp.data[[#This Row],[Crude_Breakdown]],crudeBD.lkup[Crude Breakdown],0))</f>
        <v>1</v>
      </c>
      <c r="AI520">
        <f>MONTH(vp.data[[#This Row],[SDate]])</f>
        <v>1</v>
      </c>
      <c r="AJ520" s="5">
        <f>(vp.data[[#This Row],[VP]]-INDEX(crudeBD.lkup[Mean_VP],MATCH(vp.data[[#This Row],[Crude_Breakdown]],crudeBD.lkup[Crude Breakdown],0)))^2</f>
        <v>11.928834137527684</v>
      </c>
      <c r="AK520" s="5">
        <f>(vp.data[[#This Row],[Dens]]-INDEX(crudeBD.lkup[Mean_Dens],MATCH(vp.data[[#This Row],[Crude_Breakdown]],crudeBD.lkup[Crude Breakdown],0)))^2</f>
        <v>1.0338207437317215</v>
      </c>
      <c r="AL520" s="5">
        <f>(vp.data[[#This Row],[Sulf]]-INDEX(crudeBD.lkup[Mean_Sulf],MATCH(vp.data[[#This Row],[Crude_Breakdown]],crudeBD.lkup[Crude Breakdown],0)))^2</f>
        <v>0.11086979897559178</v>
      </c>
      <c r="AM520" s="4">
        <f>IF(AND(vp.data[[#This Row],[SDate]]&gt;=DATE(YEAR(vp.data[[#This Row],[SDate]]),5,1),vp.data[[#This Row],[SDate]]&lt;=DATE(YEAR(vp.data[[#This Row],[SDate]]),9,15)),1,0)</f>
        <v>0</v>
      </c>
      <c r="AN520" s="4">
        <f>IF(vp.data[[#This Row],[SDate]]&lt;DATE(2016,12,1),0,1)</f>
        <v>1</v>
      </c>
      <c r="AO520" s="4">
        <f>IFERROR(vp.data[[#This Row],[Sulf]]*vp.data[[#This Row],[Net Dens]],"")</f>
        <v>10143734.148074999</v>
      </c>
      <c r="AP520">
        <f>IFERROR(vp.data[[#This Row],[Dens]]*vp.data[[#This Row],[VolumeM3]],"")</f>
        <v>17192769.7425</v>
      </c>
      <c r="AQ520" s="15">
        <f>IFERROR(vp.data[[#This Row],[VP]]*vp.data[[#This Row],[VolumeM3]],"")</f>
        <v>1997936.5449999999</v>
      </c>
    </row>
    <row r="521" spans="1:43" x14ac:dyDescent="0.25">
      <c r="A521">
        <v>520</v>
      </c>
      <c r="B521" t="s">
        <v>51</v>
      </c>
      <c r="C521" t="s">
        <v>51</v>
      </c>
      <c r="D521" t="s">
        <v>71</v>
      </c>
      <c r="F521" s="1">
        <v>42740</v>
      </c>
      <c r="G521" s="2">
        <v>94.8</v>
      </c>
      <c r="H521" s="2"/>
      <c r="I521" s="2">
        <f t="array" ref="I521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521" s="2">
        <v>0</v>
      </c>
      <c r="K521" s="2">
        <v>-25</v>
      </c>
      <c r="L521" s="2">
        <v>820.6</v>
      </c>
      <c r="M521" s="2">
        <f t="array" ref="M521">_xlfn.IFNA(IF(vp.data[[#This Row],[Dens Input]]="",INDEX([1]DATA!$O$3:$O$9826,MATCH(1,(vp.data[[#This Row],[Battery]]=[1]DATA!$L$3:$L$9826)*(EOMONTH(vp.data[[#This Row],[SDate]],-1)+1=[1]DATA!$G$3:$G$9826),0)),vp.data[[#This Row],[Dens Input]]),"")</f>
        <v>820.6</v>
      </c>
      <c r="N521" s="2">
        <f ca="1">INDEX(INDIRECT(_xlfn.CONCAT("weather.tbl[",N$1,"]")),MATCH(vp.data[[#This Row],[SDate]],weather.tbl[Date],0))</f>
        <v>-21.916666666666668</v>
      </c>
      <c r="O521" s="2">
        <f ca="1">INDEX(INDIRECT(_xlfn.CONCAT("weather.tbl[",O$1,"]")),MATCH(vp.data[[#This Row],[SDate]],weather.tbl[Date],0))</f>
        <v>-17.411904761904765</v>
      </c>
      <c r="P521" s="2">
        <f ca="1">INDEX(INDIRECT(_xlfn.CONCAT("weather.tbl[",P$1,"]")),MATCH(vp.data[[#This Row],[SDate]],weather.tbl[Date],0))</f>
        <v>-22.1</v>
      </c>
      <c r="Q521" s="2">
        <f ca="1">INDEX(INDIRECT(_xlfn.CONCAT("weather.tbl[",Q$1,"]")),MATCH(vp.data[[#This Row],[SDate]],weather.tbl[Date],0))</f>
        <v>-21.1</v>
      </c>
      <c r="R521" s="2">
        <f ca="1">INDEX(INDIRECT(_xlfn.CONCAT("weather.tbl[",R$1,"]")),MATCH(vp.data[[#This Row],[SDate]],weather.tbl[Date],0))</f>
        <v>-23.8</v>
      </c>
      <c r="S521" s="2">
        <f ca="1">INDEX(INDIRECT(_xlfn.CONCAT("weather.tbl[",S$1,"]")),MATCH(vp.data[[#This Row],[SDate]],weather.tbl[Date],0))</f>
        <v>-19.3</v>
      </c>
      <c r="T521" s="2">
        <f ca="1">INDEX(INDIRECT(_xlfn.CONCAT("weather.tbl[",T$1,"]")),MATCH(vp.data[[#This Row],[SDate]],weather.tbl[Date],0))</f>
        <v>-23.2</v>
      </c>
      <c r="U521" s="2">
        <f ca="1">INDEX(INDIRECT(_xlfn.CONCAT("weather.tbl[",U$1,"]")),MATCH(vp.data[[#This Row],[SDate]],weather.tbl[Date],0))</f>
        <v>-22</v>
      </c>
      <c r="V521" s="2">
        <f t="array" ref="V5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7460.0540000000001</v>
      </c>
      <c r="W521" t="s">
        <v>48</v>
      </c>
      <c r="X521">
        <f>IF(OR(vp.data[[#This Row],[Sulf]]="",vp.data[[#This Row],[Dens]]=""),1,0)</f>
        <v>0</v>
      </c>
      <c r="Y521">
        <f>IF(vp.data[[#This Row],[CrudeType]]="C5+",1,0)</f>
        <v>0</v>
      </c>
      <c r="Z521">
        <f>IF(AND(vp.data[[#This Row],[CrudeType]]="Crude",vp.data[[#This Row],[Dens]]&lt;=825,vp.data[[#This Row],[Sulf]]&gt;0.5,vp.data[[#This Row],[Unknown]]=0),1,0)</f>
        <v>1</v>
      </c>
      <c r="AA521">
        <f>IF(AND(vp.data[[#This Row],[CrudeType]]="Crude",vp.data[[#This Row],[Dens]]&lt;=825,vp.data[[#This Row],[Sulf]]&lt;=0.5,vp.data[[#This Row],[Unknown]]=0),1,0)</f>
        <v>0</v>
      </c>
      <c r="AB5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1">
        <f>IF(AND(vp.data[[#This Row],[CrudeType]]="Crude",vp.data[[#This Row],[Dens]]&gt;825,vp.data[[#This Row],[Dens]]&lt;=900,vp.data[[#This Row],[Sulf]]&lt;=0.5,vp.data[[#This Row],[Unknown]]=0),1,0)</f>
        <v>0</v>
      </c>
      <c r="AD521">
        <f>IF(AND(vp.data[[#This Row],[CrudeType]]="Crude",vp.data[[#This Row],[Dens]]&gt;865,vp.data[[#This Row],[Dens]]&lt;=900,vp.data[[#This Row],[Sulf]]&gt;2,vp.data[[#This Row],[Unknown]]=0),1,0)</f>
        <v>0</v>
      </c>
      <c r="AE521">
        <f>IF(AND(vp.data[[#This Row],[CrudeType]]="Crude",vp.data[[#This Row],[Dens]]&gt;900,vp.data[[#This Row],[Sulf]]&lt;=0.5,vp.data[[#This Row],[Unknown]]=0),1,0)</f>
        <v>0</v>
      </c>
      <c r="AF521">
        <f>IF(AND(vp.data[[#This Row],[CrudeType]]="Crude",vp.data[[#This Row],[Dens]]&gt;900,vp.data[[#This Row],[Sulf]]&lt;=0.5,vp.data[[#This Row],[Unknown]]=0),1,0)</f>
        <v>0</v>
      </c>
      <c r="AG521" t="str">
        <f>INDEX(vp.data[[#Headers],[Unknown]:[Heavy_SW]],MATCH(1,vp.data[[#This Row],[Unknown]:[Heavy_SW]],0))</f>
        <v>Light_LSB</v>
      </c>
      <c r="AH521">
        <f>INDEX([3]!crudeBD.lkup[Number],MATCH(vp.data[[#This Row],[Crude_Breakdown]],crudeBD.lkup[Crude Breakdown],0))</f>
        <v>1</v>
      </c>
      <c r="AI521">
        <f>MONTH(vp.data[[#This Row],[SDate]])</f>
        <v>1</v>
      </c>
      <c r="AJ521" s="5">
        <f>(vp.data[[#This Row],[VP]]-INDEX(crudeBD.lkup[Mean_VP],MATCH(vp.data[[#This Row],[Crude_Breakdown]],crudeBD.lkup[Crude Breakdown],0)))^2</f>
        <v>10.587308364331802</v>
      </c>
      <c r="AK521" s="5">
        <f>(vp.data[[#This Row],[Dens]]-INDEX(crudeBD.lkup[Mean_Dens],MATCH(vp.data[[#This Row],[Crude_Breakdown]],crudeBD.lkup[Crude Breakdown],0)))^2</f>
        <v>4.3398482351426981</v>
      </c>
      <c r="AL521" s="5">
        <f>(vp.data[[#This Row],[Sulf]]-INDEX(crudeBD.lkup[Mean_Sulf],MATCH(vp.data[[#This Row],[Crude_Breakdown]],crudeBD.lkup[Crude Breakdown],0)))^2</f>
        <v>0.24703765945669176</v>
      </c>
      <c r="AM521" s="4">
        <f>IF(AND(vp.data[[#This Row],[SDate]]&gt;=DATE(YEAR(vp.data[[#This Row],[SDate]]),5,1),vp.data[[#This Row],[SDate]]&lt;=DATE(YEAR(vp.data[[#This Row],[SDate]]),9,15)),1,0)</f>
        <v>0</v>
      </c>
      <c r="AN521" s="4">
        <f>IF(vp.data[[#This Row],[SDate]]&lt;DATE(2016,12,1),0,1)</f>
        <v>1</v>
      </c>
      <c r="AO521" s="4">
        <f>IFERROR(vp.data[[#This Row],[Sulf]]*vp.data[[#This Row],[Net Dens]],"")</f>
        <v>8692842.8436079994</v>
      </c>
      <c r="AP521">
        <f>IFERROR(vp.data[[#This Row],[Dens]]*vp.data[[#This Row],[VolumeM3]],"")</f>
        <v>6121720.3124000002</v>
      </c>
      <c r="AQ521" s="15">
        <f>IFERROR(vp.data[[#This Row],[VP]]*vp.data[[#This Row],[VolumeM3]],"")</f>
        <v>707213.11919999996</v>
      </c>
    </row>
    <row r="522" spans="1:43" x14ac:dyDescent="0.25">
      <c r="A522">
        <v>521</v>
      </c>
      <c r="B522" t="s">
        <v>49</v>
      </c>
      <c r="C522" t="s">
        <v>49</v>
      </c>
      <c r="D522" t="s">
        <v>105</v>
      </c>
      <c r="F522" s="1">
        <v>42740</v>
      </c>
      <c r="G522" s="2">
        <v>83.3</v>
      </c>
      <c r="H522" s="2"/>
      <c r="I522" s="2">
        <f t="array" ref="I522">_xlfn.IFNA(IF(vp.data[[#This Row],[Sulf Input]]="",INDEX([1]DATA!$Q$3:$Q$9826,MATCH(1,(vp.data[[#This Row],[Battery]]=[1]DATA!$L$3:$L$9826)*(EOMONTH(vp.data[[#This Row],[SDate]],-1)+1=[1]DATA!$G$3:$G$9826),0)),vp.data[[#This Row],[Sulf Input]]),"")</f>
        <v>0.69</v>
      </c>
      <c r="J522" s="2">
        <v>24</v>
      </c>
      <c r="K522" s="2">
        <v>-25</v>
      </c>
      <c r="L522" s="2">
        <v>833.4</v>
      </c>
      <c r="M522" s="2">
        <f t="array" ref="M522">_xlfn.IFNA(IF(vp.data[[#This Row],[Dens Input]]="",INDEX([1]DATA!$O$3:$O$9826,MATCH(1,(vp.data[[#This Row],[Battery]]=[1]DATA!$L$3:$L$9826)*(EOMONTH(vp.data[[#This Row],[SDate]],-1)+1=[1]DATA!$G$3:$G$9826),0)),vp.data[[#This Row],[Dens Input]]),"")</f>
        <v>833.4</v>
      </c>
      <c r="N522" s="2">
        <f ca="1">INDEX(INDIRECT(_xlfn.CONCAT("weather.tbl[",N$1,"]")),MATCH(vp.data[[#This Row],[SDate]],weather.tbl[Date],0))</f>
        <v>-21.916666666666668</v>
      </c>
      <c r="O522" s="2">
        <f ca="1">INDEX(INDIRECT(_xlfn.CONCAT("weather.tbl[",O$1,"]")),MATCH(vp.data[[#This Row],[SDate]],weather.tbl[Date],0))</f>
        <v>-17.411904761904765</v>
      </c>
      <c r="P522" s="2">
        <f ca="1">INDEX(INDIRECT(_xlfn.CONCAT("weather.tbl[",P$1,"]")),MATCH(vp.data[[#This Row],[SDate]],weather.tbl[Date],0))</f>
        <v>-22.1</v>
      </c>
      <c r="Q522" s="2">
        <f ca="1">INDEX(INDIRECT(_xlfn.CONCAT("weather.tbl[",Q$1,"]")),MATCH(vp.data[[#This Row],[SDate]],weather.tbl[Date],0))</f>
        <v>-21.1</v>
      </c>
      <c r="R522" s="2">
        <f ca="1">INDEX(INDIRECT(_xlfn.CONCAT("weather.tbl[",R$1,"]")),MATCH(vp.data[[#This Row],[SDate]],weather.tbl[Date],0))</f>
        <v>-23.8</v>
      </c>
      <c r="S522" s="2">
        <f ca="1">INDEX(INDIRECT(_xlfn.CONCAT("weather.tbl[",S$1,"]")),MATCH(vp.data[[#This Row],[SDate]],weather.tbl[Date],0))</f>
        <v>-19.3</v>
      </c>
      <c r="T522" s="2">
        <f ca="1">INDEX(INDIRECT(_xlfn.CONCAT("weather.tbl[",T$1,"]")),MATCH(vp.data[[#This Row],[SDate]],weather.tbl[Date],0))</f>
        <v>-23.2</v>
      </c>
      <c r="U522" s="2">
        <f ca="1">INDEX(INDIRECT(_xlfn.CONCAT("weather.tbl[",U$1,"]")),MATCH(vp.data[[#This Row],[SDate]],weather.tbl[Date],0))</f>
        <v>-22</v>
      </c>
      <c r="V522" s="2">
        <f t="array" ref="V5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3870.518</v>
      </c>
      <c r="W522" t="s">
        <v>48</v>
      </c>
      <c r="X522">
        <f>IF(OR(vp.data[[#This Row],[Sulf]]="",vp.data[[#This Row],[Dens]]=""),1,0)</f>
        <v>0</v>
      </c>
      <c r="Y522">
        <f>IF(vp.data[[#This Row],[CrudeType]]="C5+",1,0)</f>
        <v>0</v>
      </c>
      <c r="Z522">
        <f>IF(AND(vp.data[[#This Row],[CrudeType]]="Crude",vp.data[[#This Row],[Dens]]&lt;=825,vp.data[[#This Row],[Sulf]]&gt;0.5,vp.data[[#This Row],[Unknown]]=0),1,0)</f>
        <v>0</v>
      </c>
      <c r="AA522">
        <f>IF(AND(vp.data[[#This Row],[CrudeType]]="Crude",vp.data[[#This Row],[Dens]]&lt;=825,vp.data[[#This Row],[Sulf]]&lt;=0.5,vp.data[[#This Row],[Unknown]]=0),1,0)</f>
        <v>0</v>
      </c>
      <c r="AB5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22">
        <f>IF(AND(vp.data[[#This Row],[CrudeType]]="Crude",vp.data[[#This Row],[Dens]]&gt;825,vp.data[[#This Row],[Dens]]&lt;=900,vp.data[[#This Row],[Sulf]]&lt;=0.5,vp.data[[#This Row],[Unknown]]=0),1,0)</f>
        <v>0</v>
      </c>
      <c r="AD522">
        <f>IF(AND(vp.data[[#This Row],[CrudeType]]="Crude",vp.data[[#This Row],[Dens]]&gt;865,vp.data[[#This Row],[Dens]]&lt;=900,vp.data[[#This Row],[Sulf]]&gt;2,vp.data[[#This Row],[Unknown]]=0),1,0)</f>
        <v>0</v>
      </c>
      <c r="AE522">
        <f>IF(AND(vp.data[[#This Row],[CrudeType]]="Crude",vp.data[[#This Row],[Dens]]&gt;900,vp.data[[#This Row],[Sulf]]&lt;=0.5,vp.data[[#This Row],[Unknown]]=0),1,0)</f>
        <v>0</v>
      </c>
      <c r="AF522">
        <f>IF(AND(vp.data[[#This Row],[CrudeType]]="Crude",vp.data[[#This Row],[Dens]]&gt;900,vp.data[[#This Row],[Sulf]]&lt;=0.5,vp.data[[#This Row],[Unknown]]=0),1,0)</f>
        <v>0</v>
      </c>
      <c r="AG522" t="str">
        <f>INDEX(vp.data[[#Headers],[Unknown]:[Heavy_SW]],MATCH(1,vp.data[[#This Row],[Unknown]:[Heavy_SW]],0))</f>
        <v>Medium_LSB</v>
      </c>
      <c r="AH522">
        <f>INDEX([3]!crudeBD.lkup[Number],MATCH(vp.data[[#This Row],[Crude_Breakdown]],crudeBD.lkup[Crude Breakdown],0))</f>
        <v>3</v>
      </c>
      <c r="AI522">
        <f>MONTH(vp.data[[#This Row],[SDate]])</f>
        <v>1</v>
      </c>
      <c r="AJ522" s="5">
        <f>(vp.data[[#This Row],[VP]]-INDEX(crudeBD.lkup[Mean_VP],MATCH(vp.data[[#This Row],[Crude_Breakdown]],crudeBD.lkup[Crude Breakdown],0)))^2</f>
        <v>7.0773208593373367</v>
      </c>
      <c r="AK522" s="5">
        <f>(vp.data[[#This Row],[Dens]]-INDEX(crudeBD.lkup[Mean_Dens],MATCH(vp.data[[#This Row],[Crude_Breakdown]],crudeBD.lkup[Crude Breakdown],0)))^2</f>
        <v>110.67039999999005</v>
      </c>
      <c r="AL522" s="5">
        <f>(vp.data[[#This Row],[Sulf]]-INDEX(crudeBD.lkup[Mean_Sulf],MATCH(vp.data[[#This Row],[Crude_Breakdown]],crudeBD.lkup[Crude Breakdown],0)))^2</f>
        <v>0.4835924626590371</v>
      </c>
      <c r="AM522" s="4">
        <f>IF(AND(vp.data[[#This Row],[SDate]]&gt;=DATE(YEAR(vp.data[[#This Row],[SDate]]),5,1),vp.data[[#This Row],[SDate]]&lt;=DATE(YEAR(vp.data[[#This Row],[SDate]]),9,15)),1,0)</f>
        <v>0</v>
      </c>
      <c r="AN522" s="4">
        <f>IF(vp.data[[#This Row],[SDate]]&lt;DATE(2016,12,1),0,1)</f>
        <v>1</v>
      </c>
      <c r="AO522" s="4">
        <f>IFERROR(vp.data[[#This Row],[Sulf]]*vp.data[[#This Row],[Net Dens]],"")</f>
        <v>2225725.8938279999</v>
      </c>
      <c r="AP522">
        <f>IFERROR(vp.data[[#This Row],[Dens]]*vp.data[[#This Row],[VolumeM3]],"")</f>
        <v>3225689.7012</v>
      </c>
      <c r="AQ522" s="15">
        <f>IFERROR(vp.data[[#This Row],[VP]]*vp.data[[#This Row],[VolumeM3]],"")</f>
        <v>322414.14939999999</v>
      </c>
    </row>
    <row r="523" spans="1:43" x14ac:dyDescent="0.25">
      <c r="A523">
        <v>522</v>
      </c>
      <c r="B523" t="s">
        <v>111</v>
      </c>
      <c r="C523" t="s">
        <v>111</v>
      </c>
      <c r="D523" t="s">
        <v>112</v>
      </c>
      <c r="F523" s="1">
        <v>42740</v>
      </c>
      <c r="G523" s="2">
        <v>76</v>
      </c>
      <c r="H523" s="2"/>
      <c r="I523" s="2">
        <f t="array" ref="I523">_xlfn.IFNA(IF(vp.data[[#This Row],[Sulf Input]]="",INDEX([1]DATA!$Q$3:$Q$9826,MATCH(1,(vp.data[[#This Row],[Battery]]=[1]DATA!$L$3:$L$9826)*(EOMONTH(vp.data[[#This Row],[SDate]],-1)+1=[1]DATA!$G$3:$G$9826),0)),vp.data[[#This Row],[Sulf Input]]),"")</f>
        <v>1.88</v>
      </c>
      <c r="J523" s="2">
        <v>24</v>
      </c>
      <c r="K523" s="2">
        <v>-25</v>
      </c>
      <c r="L523" s="2">
        <v>856.2</v>
      </c>
      <c r="M523" s="2">
        <f t="array" ref="M523">_xlfn.IFNA(IF(vp.data[[#This Row],[Dens Input]]="",INDEX([1]DATA!$O$3:$O$9826,MATCH(1,(vp.data[[#This Row],[Battery]]=[1]DATA!$L$3:$L$9826)*(EOMONTH(vp.data[[#This Row],[SDate]],-1)+1=[1]DATA!$G$3:$G$9826),0)),vp.data[[#This Row],[Dens Input]]),"")</f>
        <v>856.2</v>
      </c>
      <c r="N523" s="2">
        <f ca="1">INDEX(INDIRECT(_xlfn.CONCAT("weather.tbl[",N$1,"]")),MATCH(vp.data[[#This Row],[SDate]],weather.tbl[Date],0))</f>
        <v>-21.916666666666668</v>
      </c>
      <c r="O523" s="2">
        <f ca="1">INDEX(INDIRECT(_xlfn.CONCAT("weather.tbl[",O$1,"]")),MATCH(vp.data[[#This Row],[SDate]],weather.tbl[Date],0))</f>
        <v>-17.411904761904765</v>
      </c>
      <c r="P523" s="2">
        <f ca="1">INDEX(INDIRECT(_xlfn.CONCAT("weather.tbl[",P$1,"]")),MATCH(vp.data[[#This Row],[SDate]],weather.tbl[Date],0))</f>
        <v>-22.1</v>
      </c>
      <c r="Q523" s="2">
        <f ca="1">INDEX(INDIRECT(_xlfn.CONCAT("weather.tbl[",Q$1,"]")),MATCH(vp.data[[#This Row],[SDate]],weather.tbl[Date],0))</f>
        <v>-21.1</v>
      </c>
      <c r="R523" s="2">
        <f ca="1">INDEX(INDIRECT(_xlfn.CONCAT("weather.tbl[",R$1,"]")),MATCH(vp.data[[#This Row],[SDate]],weather.tbl[Date],0))</f>
        <v>-23.8</v>
      </c>
      <c r="S523" s="2">
        <f ca="1">INDEX(INDIRECT(_xlfn.CONCAT("weather.tbl[",S$1,"]")),MATCH(vp.data[[#This Row],[SDate]],weather.tbl[Date],0))</f>
        <v>-19.3</v>
      </c>
      <c r="T523" s="2">
        <f ca="1">INDEX(INDIRECT(_xlfn.CONCAT("weather.tbl[",T$1,"]")),MATCH(vp.data[[#This Row],[SDate]],weather.tbl[Date],0))</f>
        <v>-23.2</v>
      </c>
      <c r="U523" s="2">
        <f ca="1">INDEX(INDIRECT(_xlfn.CONCAT("weather.tbl[",U$1,"]")),MATCH(vp.data[[#This Row],[SDate]],weather.tbl[Date],0))</f>
        <v>-22</v>
      </c>
      <c r="V523" s="2">
        <f t="array" ref="V5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8057.5129999999999</v>
      </c>
      <c r="W523" t="s">
        <v>48</v>
      </c>
      <c r="X523">
        <f>IF(OR(vp.data[[#This Row],[Sulf]]="",vp.data[[#This Row],[Dens]]=""),1,0)</f>
        <v>0</v>
      </c>
      <c r="Y523">
        <f>IF(vp.data[[#This Row],[CrudeType]]="C5+",1,0)</f>
        <v>0</v>
      </c>
      <c r="Z523">
        <f>IF(AND(vp.data[[#This Row],[CrudeType]]="Crude",vp.data[[#This Row],[Dens]]&lt;=825,vp.data[[#This Row],[Sulf]]&gt;0.5,vp.data[[#This Row],[Unknown]]=0),1,0)</f>
        <v>0</v>
      </c>
      <c r="AA523">
        <f>IF(AND(vp.data[[#This Row],[CrudeType]]="Crude",vp.data[[#This Row],[Dens]]&lt;=825,vp.data[[#This Row],[Sulf]]&lt;=0.5,vp.data[[#This Row],[Unknown]]=0),1,0)</f>
        <v>0</v>
      </c>
      <c r="AB5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23">
        <f>IF(AND(vp.data[[#This Row],[CrudeType]]="Crude",vp.data[[#This Row],[Dens]]&gt;825,vp.data[[#This Row],[Dens]]&lt;=900,vp.data[[#This Row],[Sulf]]&lt;=0.5,vp.data[[#This Row],[Unknown]]=0),1,0)</f>
        <v>0</v>
      </c>
      <c r="AD523">
        <f>IF(AND(vp.data[[#This Row],[CrudeType]]="Crude",vp.data[[#This Row],[Dens]]&gt;865,vp.data[[#This Row],[Dens]]&lt;=900,vp.data[[#This Row],[Sulf]]&gt;2,vp.data[[#This Row],[Unknown]]=0),1,0)</f>
        <v>0</v>
      </c>
      <c r="AE523">
        <f>IF(AND(vp.data[[#This Row],[CrudeType]]="Crude",vp.data[[#This Row],[Dens]]&gt;900,vp.data[[#This Row],[Sulf]]&lt;=0.5,vp.data[[#This Row],[Unknown]]=0),1,0)</f>
        <v>0</v>
      </c>
      <c r="AF523">
        <f>IF(AND(vp.data[[#This Row],[CrudeType]]="Crude",vp.data[[#This Row],[Dens]]&gt;900,vp.data[[#This Row],[Sulf]]&lt;=0.5,vp.data[[#This Row],[Unknown]]=0),1,0)</f>
        <v>0</v>
      </c>
      <c r="AG523" t="str">
        <f>INDEX(vp.data[[#Headers],[Unknown]:[Heavy_SW]],MATCH(1,vp.data[[#This Row],[Unknown]:[Heavy_SW]],0))</f>
        <v>Medium_LSB</v>
      </c>
      <c r="AH523">
        <f>INDEX([3]!crudeBD.lkup[Number],MATCH(vp.data[[#This Row],[Crude_Breakdown]],crudeBD.lkup[Crude Breakdown],0))</f>
        <v>3</v>
      </c>
      <c r="AI523">
        <f>MONTH(vp.data[[#This Row],[SDate]])</f>
        <v>1</v>
      </c>
      <c r="AJ523" s="5">
        <f>(vp.data[[#This Row],[VP]]-INDEX(crudeBD.lkup[Mean_VP],MATCH(vp.data[[#This Row],[Crude_Breakdown]],crudeBD.lkup[Crude Breakdown],0)))^2</f>
        <v>21.526598487368652</v>
      </c>
      <c r="AK523" s="5">
        <f>(vp.data[[#This Row],[Dens]]-INDEX(crudeBD.lkup[Mean_Dens],MATCH(vp.data[[#This Row],[Crude_Breakdown]],crudeBD.lkup[Crude Breakdown],0)))^2</f>
        <v>150.79840000001329</v>
      </c>
      <c r="AL523" s="5">
        <f>(vp.data[[#This Row],[Sulf]]-INDEX(crudeBD.lkup[Mean_Sulf],MATCH(vp.data[[#This Row],[Crude_Breakdown]],crudeBD.lkup[Crude Breakdown],0)))^2</f>
        <v>0.24462112114959933</v>
      </c>
      <c r="AM523" s="4">
        <f>IF(AND(vp.data[[#This Row],[SDate]]&gt;=DATE(YEAR(vp.data[[#This Row],[SDate]]),5,1),vp.data[[#This Row],[SDate]]&lt;=DATE(YEAR(vp.data[[#This Row],[SDate]]),9,15)),1,0)</f>
        <v>0</v>
      </c>
      <c r="AN523" s="4">
        <f>IF(vp.data[[#This Row],[SDate]]&lt;DATE(2016,12,1),0,1)</f>
        <v>1</v>
      </c>
      <c r="AO523" s="4">
        <f>IFERROR(vp.data[[#This Row],[Sulf]]*vp.data[[#This Row],[Net Dens]],"")</f>
        <v>12969824.145528</v>
      </c>
      <c r="AP523">
        <f>IFERROR(vp.data[[#This Row],[Dens]]*vp.data[[#This Row],[VolumeM3]],"")</f>
        <v>6898842.6306000007</v>
      </c>
      <c r="AQ523" s="15">
        <f>IFERROR(vp.data[[#This Row],[VP]]*vp.data[[#This Row],[VolumeM3]],"")</f>
        <v>612370.98800000001</v>
      </c>
    </row>
    <row r="524" spans="1:43" x14ac:dyDescent="0.25">
      <c r="A524">
        <v>523</v>
      </c>
      <c r="B524" t="s">
        <v>49</v>
      </c>
      <c r="C524" t="s">
        <v>49</v>
      </c>
      <c r="D524" t="s">
        <v>50</v>
      </c>
      <c r="F524" s="1">
        <v>42740</v>
      </c>
      <c r="G524" s="2">
        <v>72.5</v>
      </c>
      <c r="H524" s="2"/>
      <c r="I524" s="2">
        <f t="array" ref="I524">_xlfn.IFNA(IF(vp.data[[#This Row],[Sulf Input]]="",INDEX([1]DATA!$Q$3:$Q$9826,MATCH(1,(vp.data[[#This Row],[Battery]]=[1]DATA!$L$3:$L$9826)*(EOMONTH(vp.data[[#This Row],[SDate]],-1)+1=[1]DATA!$G$3:$G$9826),0)),vp.data[[#This Row],[Sulf Input]]),"")</f>
        <v>2.68</v>
      </c>
      <c r="J524" s="2">
        <v>12.4</v>
      </c>
      <c r="K524" s="2">
        <v>-25</v>
      </c>
      <c r="L524" s="2">
        <v>875.3</v>
      </c>
      <c r="M524" s="2">
        <f t="array" ref="M524">_xlfn.IFNA(IF(vp.data[[#This Row],[Dens Input]]="",INDEX([1]DATA!$O$3:$O$9826,MATCH(1,(vp.data[[#This Row],[Battery]]=[1]DATA!$L$3:$L$9826)*(EOMONTH(vp.data[[#This Row],[SDate]],-1)+1=[1]DATA!$G$3:$G$9826),0)),vp.data[[#This Row],[Dens Input]]),"")</f>
        <v>875.3</v>
      </c>
      <c r="N524" s="2">
        <f ca="1">INDEX(INDIRECT(_xlfn.CONCAT("weather.tbl[",N$1,"]")),MATCH(vp.data[[#This Row],[SDate]],weather.tbl[Date],0))</f>
        <v>-21.916666666666668</v>
      </c>
      <c r="O524" s="2">
        <f ca="1">INDEX(INDIRECT(_xlfn.CONCAT("weather.tbl[",O$1,"]")),MATCH(vp.data[[#This Row],[SDate]],weather.tbl[Date],0))</f>
        <v>-17.411904761904765</v>
      </c>
      <c r="P524" s="2">
        <f ca="1">INDEX(INDIRECT(_xlfn.CONCAT("weather.tbl[",P$1,"]")),MATCH(vp.data[[#This Row],[SDate]],weather.tbl[Date],0))</f>
        <v>-22.1</v>
      </c>
      <c r="Q524" s="2">
        <f ca="1">INDEX(INDIRECT(_xlfn.CONCAT("weather.tbl[",Q$1,"]")),MATCH(vp.data[[#This Row],[SDate]],weather.tbl[Date],0))</f>
        <v>-21.1</v>
      </c>
      <c r="R524" s="2">
        <f ca="1">INDEX(INDIRECT(_xlfn.CONCAT("weather.tbl[",R$1,"]")),MATCH(vp.data[[#This Row],[SDate]],weather.tbl[Date],0))</f>
        <v>-23.8</v>
      </c>
      <c r="S524" s="2">
        <f ca="1">INDEX(INDIRECT(_xlfn.CONCAT("weather.tbl[",S$1,"]")),MATCH(vp.data[[#This Row],[SDate]],weather.tbl[Date],0))</f>
        <v>-19.3</v>
      </c>
      <c r="T524" s="2">
        <f ca="1">INDEX(INDIRECT(_xlfn.CONCAT("weather.tbl[",T$1,"]")),MATCH(vp.data[[#This Row],[SDate]],weather.tbl[Date],0))</f>
        <v>-23.2</v>
      </c>
      <c r="U524" s="2">
        <f ca="1">INDEX(INDIRECT(_xlfn.CONCAT("weather.tbl[",U$1,"]")),MATCH(vp.data[[#This Row],[SDate]],weather.tbl[Date],0))</f>
        <v>-22</v>
      </c>
      <c r="V524" s="2">
        <f t="array" ref="V5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5598.5039999999999</v>
      </c>
      <c r="W524" t="s">
        <v>48</v>
      </c>
      <c r="X524">
        <f>IF(OR(vp.data[[#This Row],[Sulf]]="",vp.data[[#This Row],[Dens]]=""),1,0)</f>
        <v>0</v>
      </c>
      <c r="Y524">
        <f>IF(vp.data[[#This Row],[CrudeType]]="C5+",1,0)</f>
        <v>0</v>
      </c>
      <c r="Z524">
        <f>IF(AND(vp.data[[#This Row],[CrudeType]]="Crude",vp.data[[#This Row],[Dens]]&lt;=825,vp.data[[#This Row],[Sulf]]&gt;0.5,vp.data[[#This Row],[Unknown]]=0),1,0)</f>
        <v>0</v>
      </c>
      <c r="AA524">
        <f>IF(AND(vp.data[[#This Row],[CrudeType]]="Crude",vp.data[[#This Row],[Dens]]&lt;=825,vp.data[[#This Row],[Sulf]]&lt;=0.5,vp.data[[#This Row],[Unknown]]=0),1,0)</f>
        <v>0</v>
      </c>
      <c r="AB5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4">
        <f>IF(AND(vp.data[[#This Row],[CrudeType]]="Crude",vp.data[[#This Row],[Dens]]&gt;825,vp.data[[#This Row],[Dens]]&lt;=900,vp.data[[#This Row],[Sulf]]&lt;=0.5,vp.data[[#This Row],[Unknown]]=0),1,0)</f>
        <v>0</v>
      </c>
      <c r="AD524">
        <f>IF(AND(vp.data[[#This Row],[CrudeType]]="Crude",vp.data[[#This Row],[Dens]]&gt;865,vp.data[[#This Row],[Dens]]&lt;=900,vp.data[[#This Row],[Sulf]]&gt;2,vp.data[[#This Row],[Unknown]]=0),1,0)</f>
        <v>1</v>
      </c>
      <c r="AE524">
        <f>IF(AND(vp.data[[#This Row],[CrudeType]]="Crude",vp.data[[#This Row],[Dens]]&gt;900,vp.data[[#This Row],[Sulf]]&lt;=0.5,vp.data[[#This Row],[Unknown]]=0),1,0)</f>
        <v>0</v>
      </c>
      <c r="AF524">
        <f>IF(AND(vp.data[[#This Row],[CrudeType]]="Crude",vp.data[[#This Row],[Dens]]&gt;900,vp.data[[#This Row],[Sulf]]&lt;=0.5,vp.data[[#This Row],[Unknown]]=0),1,0)</f>
        <v>0</v>
      </c>
      <c r="AG524" t="str">
        <f>INDEX(vp.data[[#Headers],[Unknown]:[Heavy_SW]],MATCH(1,vp.data[[#This Row],[Unknown]:[Heavy_SW]],0))</f>
        <v>Midale</v>
      </c>
      <c r="AH524">
        <f>INDEX([3]!crudeBD.lkup[Number],MATCH(vp.data[[#This Row],[Crude_Breakdown]],crudeBD.lkup[Crude Breakdown],0))</f>
        <v>5</v>
      </c>
      <c r="AI524">
        <f>MONTH(vp.data[[#This Row],[SDate]])</f>
        <v>1</v>
      </c>
      <c r="AJ524" s="5">
        <f>(vp.data[[#This Row],[VP]]-INDEX(crudeBD.lkup[Mean_VP],MATCH(vp.data[[#This Row],[Crude_Breakdown]],crudeBD.lkup[Crude Breakdown],0)))^2</f>
        <v>9.5557468912741168</v>
      </c>
      <c r="AK524" s="5">
        <f>(vp.data[[#This Row],[Dens]]-INDEX(crudeBD.lkup[Mean_Dens],MATCH(vp.data[[#This Row],[Crude_Breakdown]],crudeBD.lkup[Crude Breakdown],0)))^2</f>
        <v>0.23327904134305408</v>
      </c>
      <c r="AL524" s="5">
        <f>(vp.data[[#This Row],[Sulf]]-INDEX(crudeBD.lkup[Mean_Sulf],MATCH(vp.data[[#This Row],[Crude_Breakdown]],crudeBD.lkup[Crude Breakdown],0)))^2</f>
        <v>5.5877600159858307E-2</v>
      </c>
      <c r="AM524" s="4">
        <f>IF(AND(vp.data[[#This Row],[SDate]]&gt;=DATE(YEAR(vp.data[[#This Row],[SDate]]),5,1),vp.data[[#This Row],[SDate]]&lt;=DATE(YEAR(vp.data[[#This Row],[SDate]]),9,15)),1,0)</f>
        <v>0</v>
      </c>
      <c r="AN524" s="4">
        <f>IF(vp.data[[#This Row],[SDate]]&lt;DATE(2016,12,1),0,1)</f>
        <v>1</v>
      </c>
      <c r="AO524" s="4">
        <f>IFERROR(vp.data[[#This Row],[Sulf]]*vp.data[[#This Row],[Net Dens]],"")</f>
        <v>13132993.077215999</v>
      </c>
      <c r="AP524">
        <f>IFERROR(vp.data[[#This Row],[Dens]]*vp.data[[#This Row],[VolumeM3]],"")</f>
        <v>4900370.5511999996</v>
      </c>
      <c r="AQ524" s="15">
        <f>IFERROR(vp.data[[#This Row],[VP]]*vp.data[[#This Row],[VolumeM3]],"")</f>
        <v>405891.54</v>
      </c>
    </row>
    <row r="525" spans="1:43" x14ac:dyDescent="0.25">
      <c r="A525">
        <v>524</v>
      </c>
      <c r="B525" t="s">
        <v>60</v>
      </c>
      <c r="C525" t="s">
        <v>60</v>
      </c>
      <c r="D525" t="s">
        <v>61</v>
      </c>
      <c r="E525" t="s">
        <v>73</v>
      </c>
      <c r="F525" s="1">
        <v>42741</v>
      </c>
      <c r="G525" s="2">
        <v>84.1</v>
      </c>
      <c r="H525" s="2"/>
      <c r="I525" s="2">
        <f t="array" ref="I525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525" s="2">
        <v>2.1</v>
      </c>
      <c r="K525" s="2">
        <v>-25</v>
      </c>
      <c r="L525" s="2">
        <v>843.7</v>
      </c>
      <c r="M525" s="2">
        <f t="array" ref="M525">_xlfn.IFNA(IF(vp.data[[#This Row],[Dens Input]]="",INDEX([1]DATA!$O$3:$O$9826,MATCH(1,(vp.data[[#This Row],[Battery]]=[1]DATA!$L$3:$L$9826)*(EOMONTH(vp.data[[#This Row],[SDate]],-1)+1=[1]DATA!$G$3:$G$9826),0)),vp.data[[#This Row],[Dens Input]]),"")</f>
        <v>843.7</v>
      </c>
      <c r="N525" s="2">
        <f ca="1">INDEX(INDIRECT(_xlfn.CONCAT("weather.tbl[",N$1,"]")),MATCH(vp.data[[#This Row],[SDate]],weather.tbl[Date],0))</f>
        <v>-21.316666666666666</v>
      </c>
      <c r="O525" s="2">
        <f ca="1">INDEX(INDIRECT(_xlfn.CONCAT("weather.tbl[",O$1,"]")),MATCH(vp.data[[#This Row],[SDate]],weather.tbl[Date],0))</f>
        <v>-18.852380952380958</v>
      </c>
      <c r="P525" s="2">
        <f ca="1">INDEX(INDIRECT(_xlfn.CONCAT("weather.tbl[",P$1,"]")),MATCH(vp.data[[#This Row],[SDate]],weather.tbl[Date],0))</f>
        <v>-22</v>
      </c>
      <c r="Q525" s="2">
        <f ca="1">INDEX(INDIRECT(_xlfn.CONCAT("weather.tbl[",Q$1,"]")),MATCH(vp.data[[#This Row],[SDate]],weather.tbl[Date],0))</f>
        <v>-21.5</v>
      </c>
      <c r="R525" s="2">
        <f ca="1">INDEX(INDIRECT(_xlfn.CONCAT("weather.tbl[",R$1,"]")),MATCH(vp.data[[#This Row],[SDate]],weather.tbl[Date],0))</f>
        <v>-21.3</v>
      </c>
      <c r="S525" s="2">
        <f ca="1">INDEX(INDIRECT(_xlfn.CONCAT("weather.tbl[",S$1,"]")),MATCH(vp.data[[#This Row],[SDate]],weather.tbl[Date],0))</f>
        <v>-20.8</v>
      </c>
      <c r="T525" s="2">
        <f ca="1">INDEX(INDIRECT(_xlfn.CONCAT("weather.tbl[",T$1,"]")),MATCH(vp.data[[#This Row],[SDate]],weather.tbl[Date],0))</f>
        <v>-22.8</v>
      </c>
      <c r="U525" s="2">
        <f ca="1">INDEX(INDIRECT(_xlfn.CONCAT("weather.tbl[",U$1,"]")),MATCH(vp.data[[#This Row],[SDate]],weather.tbl[Date],0))</f>
        <v>-19.5</v>
      </c>
      <c r="V525" s="2">
        <f t="array" ref="V5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525" t="s">
        <v>48</v>
      </c>
      <c r="X525">
        <f>IF(OR(vp.data[[#This Row],[Sulf]]="",vp.data[[#This Row],[Dens]]=""),1,0)</f>
        <v>0</v>
      </c>
      <c r="Y525">
        <f>IF(vp.data[[#This Row],[CrudeType]]="C5+",1,0)</f>
        <v>0</v>
      </c>
      <c r="Z525">
        <f>IF(AND(vp.data[[#This Row],[CrudeType]]="Crude",vp.data[[#This Row],[Dens]]&lt;=825,vp.data[[#This Row],[Sulf]]&gt;0.5,vp.data[[#This Row],[Unknown]]=0),1,0)</f>
        <v>0</v>
      </c>
      <c r="AA525">
        <f>IF(AND(vp.data[[#This Row],[CrudeType]]="Crude",vp.data[[#This Row],[Dens]]&lt;=825,vp.data[[#This Row],[Sulf]]&lt;=0.5,vp.data[[#This Row],[Unknown]]=0),1,0)</f>
        <v>0</v>
      </c>
      <c r="AB5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25">
        <f>IF(AND(vp.data[[#This Row],[CrudeType]]="Crude",vp.data[[#This Row],[Dens]]&gt;825,vp.data[[#This Row],[Dens]]&lt;=900,vp.data[[#This Row],[Sulf]]&lt;=0.5,vp.data[[#This Row],[Unknown]]=0),1,0)</f>
        <v>0</v>
      </c>
      <c r="AD525">
        <f>IF(AND(vp.data[[#This Row],[CrudeType]]="Crude",vp.data[[#This Row],[Dens]]&gt;865,vp.data[[#This Row],[Dens]]&lt;=900,vp.data[[#This Row],[Sulf]]&gt;2,vp.data[[#This Row],[Unknown]]=0),1,0)</f>
        <v>0</v>
      </c>
      <c r="AE525">
        <f>IF(AND(vp.data[[#This Row],[CrudeType]]="Crude",vp.data[[#This Row],[Dens]]&gt;900,vp.data[[#This Row],[Sulf]]&lt;=0.5,vp.data[[#This Row],[Unknown]]=0),1,0)</f>
        <v>0</v>
      </c>
      <c r="AF525">
        <f>IF(AND(vp.data[[#This Row],[CrudeType]]="Crude",vp.data[[#This Row],[Dens]]&gt;900,vp.data[[#This Row],[Sulf]]&lt;=0.5,vp.data[[#This Row],[Unknown]]=0),1,0)</f>
        <v>0</v>
      </c>
      <c r="AG525" t="str">
        <f>INDEX(vp.data[[#Headers],[Unknown]:[Heavy_SW]],MATCH(1,vp.data[[#This Row],[Unknown]:[Heavy_SW]],0))</f>
        <v>Medium_LSB</v>
      </c>
      <c r="AH525">
        <f>INDEX([3]!crudeBD.lkup[Number],MATCH(vp.data[[#This Row],[Crude_Breakdown]],crudeBD.lkup[Crude Breakdown],0))</f>
        <v>3</v>
      </c>
      <c r="AI525">
        <f>MONTH(vp.data[[#This Row],[SDate]])</f>
        <v>1</v>
      </c>
      <c r="AJ525" s="5">
        <f>(vp.data[[#This Row],[VP]]-INDEX(crudeBD.lkup[Mean_VP],MATCH(vp.data[[#This Row],[Crude_Breakdown]],crudeBD.lkup[Crude Breakdown],0)))^2</f>
        <v>11.97383837955306</v>
      </c>
      <c r="AK525" s="5">
        <f>(vp.data[[#This Row],[Dens]]-INDEX(crudeBD.lkup[Mean_Dens],MATCH(vp.data[[#This Row],[Crude_Breakdown]],crudeBD.lkup[Crude Breakdown],0)))^2</f>
        <v>4.8399999999761897E-2</v>
      </c>
      <c r="AL525" s="5">
        <f>(vp.data[[#This Row],[Sulf]]-INDEX(crudeBD.lkup[Mean_Sulf],MATCH(vp.data[[#This Row],[Crude_Breakdown]],crudeBD.lkup[Crude Breakdown],0)))^2</f>
        <v>2.4151685839628387E-2</v>
      </c>
      <c r="AM525" s="4">
        <f>IF(AND(vp.data[[#This Row],[SDate]]&gt;=DATE(YEAR(vp.data[[#This Row],[SDate]]),5,1),vp.data[[#This Row],[SDate]]&lt;=DATE(YEAR(vp.data[[#This Row],[SDate]]),9,15)),1,0)</f>
        <v>0</v>
      </c>
      <c r="AN525" s="4">
        <f>IF(vp.data[[#This Row],[SDate]]&lt;DATE(2016,12,1),0,1)</f>
        <v>1</v>
      </c>
      <c r="AO525" s="4">
        <f>IFERROR(vp.data[[#This Row],[Sulf]]*vp.data[[#This Row],[Net Dens]],"")</f>
        <v>109105138.572144</v>
      </c>
      <c r="AP525">
        <f>IFERROR(vp.data[[#This Row],[Dens]]*vp.data[[#This Row],[VolumeM3]],"")</f>
        <v>88703364.6928</v>
      </c>
      <c r="AQ525" s="15">
        <f>IFERROR(vp.data[[#This Row],[VP]]*vp.data[[#This Row],[VolumeM3]],"")</f>
        <v>8841949.7104000002</v>
      </c>
    </row>
    <row r="526" spans="1:43" x14ac:dyDescent="0.25">
      <c r="A526">
        <v>525</v>
      </c>
      <c r="B526" t="s">
        <v>60</v>
      </c>
      <c r="C526" t="s">
        <v>60</v>
      </c>
      <c r="D526" t="s">
        <v>61</v>
      </c>
      <c r="E526" t="s">
        <v>55</v>
      </c>
      <c r="F526" s="1">
        <v>42741</v>
      </c>
      <c r="G526" s="2">
        <v>96.3</v>
      </c>
      <c r="H526" s="2"/>
      <c r="I526" s="2">
        <f t="array" ref="I526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526" s="2">
        <v>4.8</v>
      </c>
      <c r="K526" s="2">
        <v>-25</v>
      </c>
      <c r="L526" s="2">
        <v>846.1</v>
      </c>
      <c r="M526" s="2">
        <f t="array" ref="M526">_xlfn.IFNA(IF(vp.data[[#This Row],[Dens Input]]="",INDEX([1]DATA!$O$3:$O$9826,MATCH(1,(vp.data[[#This Row],[Battery]]=[1]DATA!$L$3:$L$9826)*(EOMONTH(vp.data[[#This Row],[SDate]],-1)+1=[1]DATA!$G$3:$G$9826),0)),vp.data[[#This Row],[Dens Input]]),"")</f>
        <v>846.1</v>
      </c>
      <c r="N526" s="2">
        <f ca="1">INDEX(INDIRECT(_xlfn.CONCAT("weather.tbl[",N$1,"]")),MATCH(vp.data[[#This Row],[SDate]],weather.tbl[Date],0))</f>
        <v>-21.316666666666666</v>
      </c>
      <c r="O526" s="2">
        <f ca="1">INDEX(INDIRECT(_xlfn.CONCAT("weather.tbl[",O$1,"]")),MATCH(vp.data[[#This Row],[SDate]],weather.tbl[Date],0))</f>
        <v>-18.852380952380958</v>
      </c>
      <c r="P526" s="2">
        <f ca="1">INDEX(INDIRECT(_xlfn.CONCAT("weather.tbl[",P$1,"]")),MATCH(vp.data[[#This Row],[SDate]],weather.tbl[Date],0))</f>
        <v>-22</v>
      </c>
      <c r="Q526" s="2">
        <f ca="1">INDEX(INDIRECT(_xlfn.CONCAT("weather.tbl[",Q$1,"]")),MATCH(vp.data[[#This Row],[SDate]],weather.tbl[Date],0))</f>
        <v>-21.5</v>
      </c>
      <c r="R526" s="2">
        <f ca="1">INDEX(INDIRECT(_xlfn.CONCAT("weather.tbl[",R$1,"]")),MATCH(vp.data[[#This Row],[SDate]],weather.tbl[Date],0))</f>
        <v>-21.3</v>
      </c>
      <c r="S526" s="2">
        <f ca="1">INDEX(INDIRECT(_xlfn.CONCAT("weather.tbl[",S$1,"]")),MATCH(vp.data[[#This Row],[SDate]],weather.tbl[Date],0))</f>
        <v>-20.8</v>
      </c>
      <c r="T526" s="2">
        <f ca="1">INDEX(INDIRECT(_xlfn.CONCAT("weather.tbl[",T$1,"]")),MATCH(vp.data[[#This Row],[SDate]],weather.tbl[Date],0))</f>
        <v>-22.8</v>
      </c>
      <c r="U526" s="2">
        <f ca="1">INDEX(INDIRECT(_xlfn.CONCAT("weather.tbl[",U$1,"]")),MATCH(vp.data[[#This Row],[SDate]],weather.tbl[Date],0))</f>
        <v>-19.5</v>
      </c>
      <c r="V526" s="2">
        <f t="array" ref="V5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526" t="s">
        <v>48</v>
      </c>
      <c r="X526">
        <f>IF(OR(vp.data[[#This Row],[Sulf]]="",vp.data[[#This Row],[Dens]]=""),1,0)</f>
        <v>0</v>
      </c>
      <c r="Y526">
        <f>IF(vp.data[[#This Row],[CrudeType]]="C5+",1,0)</f>
        <v>0</v>
      </c>
      <c r="Z526">
        <f>IF(AND(vp.data[[#This Row],[CrudeType]]="Crude",vp.data[[#This Row],[Dens]]&lt;=825,vp.data[[#This Row],[Sulf]]&gt;0.5,vp.data[[#This Row],[Unknown]]=0),1,0)</f>
        <v>0</v>
      </c>
      <c r="AA526">
        <f>IF(AND(vp.data[[#This Row],[CrudeType]]="Crude",vp.data[[#This Row],[Dens]]&lt;=825,vp.data[[#This Row],[Sulf]]&lt;=0.5,vp.data[[#This Row],[Unknown]]=0),1,0)</f>
        <v>0</v>
      </c>
      <c r="AB5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26">
        <f>IF(AND(vp.data[[#This Row],[CrudeType]]="Crude",vp.data[[#This Row],[Dens]]&gt;825,vp.data[[#This Row],[Dens]]&lt;=900,vp.data[[#This Row],[Sulf]]&lt;=0.5,vp.data[[#This Row],[Unknown]]=0),1,0)</f>
        <v>0</v>
      </c>
      <c r="AD526">
        <f>IF(AND(vp.data[[#This Row],[CrudeType]]="Crude",vp.data[[#This Row],[Dens]]&gt;865,vp.data[[#This Row],[Dens]]&lt;=900,vp.data[[#This Row],[Sulf]]&gt;2,vp.data[[#This Row],[Unknown]]=0),1,0)</f>
        <v>0</v>
      </c>
      <c r="AE526">
        <f>IF(AND(vp.data[[#This Row],[CrudeType]]="Crude",vp.data[[#This Row],[Dens]]&gt;900,vp.data[[#This Row],[Sulf]]&lt;=0.5,vp.data[[#This Row],[Unknown]]=0),1,0)</f>
        <v>0</v>
      </c>
      <c r="AF526">
        <f>IF(AND(vp.data[[#This Row],[CrudeType]]="Crude",vp.data[[#This Row],[Dens]]&gt;900,vp.data[[#This Row],[Sulf]]&lt;=0.5,vp.data[[#This Row],[Unknown]]=0),1,0)</f>
        <v>0</v>
      </c>
      <c r="AG526" t="str">
        <f>INDEX(vp.data[[#Headers],[Unknown]:[Heavy_SW]],MATCH(1,vp.data[[#This Row],[Unknown]:[Heavy_SW]],0))</f>
        <v>Medium_LSB</v>
      </c>
      <c r="AH526">
        <f>INDEX([3]!crudeBD.lkup[Number],MATCH(vp.data[[#This Row],[Crude_Breakdown]],crudeBD.lkup[Crude Breakdown],0))</f>
        <v>3</v>
      </c>
      <c r="AI526">
        <f>MONTH(vp.data[[#This Row],[SDate]])</f>
        <v>1</v>
      </c>
      <c r="AJ526" s="5">
        <f>(vp.data[[#This Row],[VP]]-INDEX(crudeBD.lkup[Mean_VP],MATCH(vp.data[[#This Row],[Crude_Breakdown]],crudeBD.lkup[Crude Breakdown],0)))^2</f>
        <v>245.24573056284316</v>
      </c>
      <c r="AK526" s="5">
        <f>(vp.data[[#This Row],[Dens]]-INDEX(crudeBD.lkup[Mean_Dens],MATCH(vp.data[[#This Row],[Crude_Breakdown]],crudeBD.lkup[Crude Breakdown],0)))^2</f>
        <v>4.7524000000022601</v>
      </c>
      <c r="AL526" s="5">
        <f>(vp.data[[#This Row],[Sulf]]-INDEX(crudeBD.lkup[Mean_Sulf],MATCH(vp.data[[#This Row],[Crude_Breakdown]],crudeBD.lkup[Crude Breakdown],0)))^2</f>
        <v>2.4151685839628387E-2</v>
      </c>
      <c r="AM526" s="4">
        <f>IF(AND(vp.data[[#This Row],[SDate]]&gt;=DATE(YEAR(vp.data[[#This Row],[SDate]]),5,1),vp.data[[#This Row],[SDate]]&lt;=DATE(YEAR(vp.data[[#This Row],[SDate]]),9,15)),1,0)</f>
        <v>0</v>
      </c>
      <c r="AN526" s="4">
        <f>IF(vp.data[[#This Row],[SDate]]&lt;DATE(2016,12,1),0,1)</f>
        <v>1</v>
      </c>
      <c r="AO526" s="4">
        <f>IFERROR(vp.data[[#This Row],[Sulf]]*vp.data[[#This Row],[Net Dens]],"")</f>
        <v>109415500.46923199</v>
      </c>
      <c r="AP526">
        <f>IFERROR(vp.data[[#This Row],[Dens]]*vp.data[[#This Row],[VolumeM3]],"")</f>
        <v>88955691.4384</v>
      </c>
      <c r="AQ526" s="15">
        <f>IFERROR(vp.data[[#This Row],[VP]]*vp.data[[#This Row],[VolumeM3]],"")</f>
        <v>10124610.667199999</v>
      </c>
    </row>
    <row r="527" spans="1:43" x14ac:dyDescent="0.25">
      <c r="A527">
        <v>526</v>
      </c>
      <c r="B527" t="s">
        <v>49</v>
      </c>
      <c r="C527" t="s">
        <v>49</v>
      </c>
      <c r="D527" t="s">
        <v>100</v>
      </c>
      <c r="F527" s="1">
        <v>42742</v>
      </c>
      <c r="G527" s="2">
        <v>103.1</v>
      </c>
      <c r="H527" s="2"/>
      <c r="I527" s="2">
        <f t="array" ref="I527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527" s="2">
        <v>-5</v>
      </c>
      <c r="K527" s="2">
        <v>-28</v>
      </c>
      <c r="L527" s="2">
        <v>800.9</v>
      </c>
      <c r="M527" s="2">
        <f t="array" ref="M527">_xlfn.IFNA(IF(vp.data[[#This Row],[Dens Input]]="",INDEX([1]DATA!$O$3:$O$9826,MATCH(1,(vp.data[[#This Row],[Battery]]=[1]DATA!$L$3:$L$9826)*(EOMONTH(vp.data[[#This Row],[SDate]],-1)+1=[1]DATA!$G$3:$G$9826),0)),vp.data[[#This Row],[Dens Input]]),"")</f>
        <v>800.9</v>
      </c>
      <c r="N527" s="2">
        <f ca="1">INDEX(INDIRECT(_xlfn.CONCAT("weather.tbl[",N$1,"]")),MATCH(vp.data[[#This Row],[SDate]],weather.tbl[Date],0))</f>
        <v>-24.45</v>
      </c>
      <c r="O527" s="2">
        <f ca="1">INDEX(INDIRECT(_xlfn.CONCAT("weather.tbl[",O$1,"]")),MATCH(vp.data[[#This Row],[SDate]],weather.tbl[Date],0))</f>
        <v>-20.764285714285712</v>
      </c>
      <c r="P527" s="2">
        <f ca="1">INDEX(INDIRECT(_xlfn.CONCAT("weather.tbl[",P$1,"]")),MATCH(vp.data[[#This Row],[SDate]],weather.tbl[Date],0))</f>
        <v>-26.6</v>
      </c>
      <c r="Q527" s="2">
        <f ca="1">INDEX(INDIRECT(_xlfn.CONCAT("weather.tbl[",Q$1,"]")),MATCH(vp.data[[#This Row],[SDate]],weather.tbl[Date],0))</f>
        <v>-22.8</v>
      </c>
      <c r="R527" s="2">
        <f ca="1">INDEX(INDIRECT(_xlfn.CONCAT("weather.tbl[",R$1,"]")),MATCH(vp.data[[#This Row],[SDate]],weather.tbl[Date],0))</f>
        <v>-25</v>
      </c>
      <c r="S527" s="2">
        <f ca="1">INDEX(INDIRECT(_xlfn.CONCAT("weather.tbl[",S$1,"]")),MATCH(vp.data[[#This Row],[SDate]],weather.tbl[Date],0))</f>
        <v>-24.8</v>
      </c>
      <c r="T527" s="2">
        <f ca="1">INDEX(INDIRECT(_xlfn.CONCAT("weather.tbl[",T$1,"]")),MATCH(vp.data[[#This Row],[SDate]],weather.tbl[Date],0))</f>
        <v>-27</v>
      </c>
      <c r="U527" s="2">
        <f ca="1">INDEX(INDIRECT(_xlfn.CONCAT("weather.tbl[",U$1,"]")),MATCH(vp.data[[#This Row],[SDate]],weather.tbl[Date],0))</f>
        <v>-20.5</v>
      </c>
      <c r="V527" s="2">
        <f t="array" ref="V5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527" t="s">
        <v>48</v>
      </c>
      <c r="X527">
        <f>IF(OR(vp.data[[#This Row],[Sulf]]="",vp.data[[#This Row],[Dens]]=""),1,0)</f>
        <v>0</v>
      </c>
      <c r="Y527">
        <f>IF(vp.data[[#This Row],[CrudeType]]="C5+",1,0)</f>
        <v>0</v>
      </c>
      <c r="Z527">
        <f>IF(AND(vp.data[[#This Row],[CrudeType]]="Crude",vp.data[[#This Row],[Dens]]&lt;=825,vp.data[[#This Row],[Sulf]]&gt;0.5,vp.data[[#This Row],[Unknown]]=0),1,0)</f>
        <v>1</v>
      </c>
      <c r="AA527">
        <f>IF(AND(vp.data[[#This Row],[CrudeType]]="Crude",vp.data[[#This Row],[Dens]]&lt;=825,vp.data[[#This Row],[Sulf]]&lt;=0.5,vp.data[[#This Row],[Unknown]]=0),1,0)</f>
        <v>0</v>
      </c>
      <c r="AB5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7">
        <f>IF(AND(vp.data[[#This Row],[CrudeType]]="Crude",vp.data[[#This Row],[Dens]]&gt;825,vp.data[[#This Row],[Dens]]&lt;=900,vp.data[[#This Row],[Sulf]]&lt;=0.5,vp.data[[#This Row],[Unknown]]=0),1,0)</f>
        <v>0</v>
      </c>
      <c r="AD527">
        <f>IF(AND(vp.data[[#This Row],[CrudeType]]="Crude",vp.data[[#This Row],[Dens]]&gt;865,vp.data[[#This Row],[Dens]]&lt;=900,vp.data[[#This Row],[Sulf]]&gt;2,vp.data[[#This Row],[Unknown]]=0),1,0)</f>
        <v>0</v>
      </c>
      <c r="AE527">
        <f>IF(AND(vp.data[[#This Row],[CrudeType]]="Crude",vp.data[[#This Row],[Dens]]&gt;900,vp.data[[#This Row],[Sulf]]&lt;=0.5,vp.data[[#This Row],[Unknown]]=0),1,0)</f>
        <v>0</v>
      </c>
      <c r="AF527">
        <f>IF(AND(vp.data[[#This Row],[CrudeType]]="Crude",vp.data[[#This Row],[Dens]]&gt;900,vp.data[[#This Row],[Sulf]]&lt;=0.5,vp.data[[#This Row],[Unknown]]=0),1,0)</f>
        <v>0</v>
      </c>
      <c r="AG527" t="str">
        <f>INDEX(vp.data[[#Headers],[Unknown]:[Heavy_SW]],MATCH(1,vp.data[[#This Row],[Unknown]:[Heavy_SW]],0))</f>
        <v>Light_LSB</v>
      </c>
      <c r="AH527">
        <f>INDEX([3]!crudeBD.lkup[Number],MATCH(vp.data[[#This Row],[Crude_Breakdown]],crudeBD.lkup[Crude Breakdown],0))</f>
        <v>1</v>
      </c>
      <c r="AI527">
        <f>MONTH(vp.data[[#This Row],[SDate]])</f>
        <v>1</v>
      </c>
      <c r="AJ527" s="5">
        <f>(vp.data[[#This Row],[VP]]-INDEX(crudeBD.lkup[Mean_VP],MATCH(vp.data[[#This Row],[Crude_Breakdown]],crudeBD.lkup[Crude Breakdown],0)))^2</f>
        <v>133.49062795196005</v>
      </c>
      <c r="AK527" s="5">
        <f>(vp.data[[#This Row],[Dens]]-INDEX(crudeBD.lkup[Mean_Dens],MATCH(vp.data[[#This Row],[Crude_Breakdown]],crudeBD.lkup[Crude Breakdown],0)))^2</f>
        <v>310.35057675746782</v>
      </c>
      <c r="AL527" s="5">
        <f>(vp.data[[#This Row],[Sulf]]-INDEX(crudeBD.lkup[Mean_Sulf],MATCH(vp.data[[#This Row],[Crude_Breakdown]],crudeBD.lkup[Crude Breakdown],0)))^2</f>
        <v>6.9153835401708622E-2</v>
      </c>
      <c r="AM527" s="4">
        <f>IF(AND(vp.data[[#This Row],[SDate]]&gt;=DATE(YEAR(vp.data[[#This Row],[SDate]]),5,1),vp.data[[#This Row],[SDate]]&lt;=DATE(YEAR(vp.data[[#This Row],[SDate]]),9,15)),1,0)</f>
        <v>0</v>
      </c>
      <c r="AN527" s="4">
        <f>IF(vp.data[[#This Row],[SDate]]&lt;DATE(2016,12,1),0,1)</f>
        <v>1</v>
      </c>
      <c r="AO527" s="4">
        <f>IFERROR(vp.data[[#This Row],[Sulf]]*vp.data[[#This Row],[Net Dens]],"")</f>
        <v>5929181.8098480003</v>
      </c>
      <c r="AP527">
        <f>IFERROR(vp.data[[#This Row],[Dens]]*vp.data[[#This Row],[VolumeM3]],"")</f>
        <v>8983608.8027999997</v>
      </c>
      <c r="AQ527" s="15">
        <f>IFERROR(vp.data[[#This Row],[VP]]*vp.data[[#This Row],[VolumeM3]],"")</f>
        <v>1156461.5651999998</v>
      </c>
    </row>
    <row r="528" spans="1:43" x14ac:dyDescent="0.25">
      <c r="A528">
        <v>527</v>
      </c>
      <c r="B528" t="s">
        <v>49</v>
      </c>
      <c r="C528" t="s">
        <v>49</v>
      </c>
      <c r="D528" t="s">
        <v>75</v>
      </c>
      <c r="F528" s="1">
        <v>42742</v>
      </c>
      <c r="G528" s="2">
        <v>103.2</v>
      </c>
      <c r="H528" s="2"/>
      <c r="I528" s="2">
        <f t="array" ref="I528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528" s="2">
        <v>22.1</v>
      </c>
      <c r="K528" s="2">
        <v>-28</v>
      </c>
      <c r="L528" s="2">
        <v>802.3</v>
      </c>
      <c r="M528" s="2">
        <f t="array" ref="M528">_xlfn.IFNA(IF(vp.data[[#This Row],[Dens Input]]="",INDEX([1]DATA!$O$3:$O$9826,MATCH(1,(vp.data[[#This Row],[Battery]]=[1]DATA!$L$3:$L$9826)*(EOMONTH(vp.data[[#This Row],[SDate]],-1)+1=[1]DATA!$G$3:$G$9826),0)),vp.data[[#This Row],[Dens Input]]),"")</f>
        <v>802.3</v>
      </c>
      <c r="N528" s="2">
        <f ca="1">INDEX(INDIRECT(_xlfn.CONCAT("weather.tbl[",N$1,"]")),MATCH(vp.data[[#This Row],[SDate]],weather.tbl[Date],0))</f>
        <v>-24.45</v>
      </c>
      <c r="O528" s="2">
        <f ca="1">INDEX(INDIRECT(_xlfn.CONCAT("weather.tbl[",O$1,"]")),MATCH(vp.data[[#This Row],[SDate]],weather.tbl[Date],0))</f>
        <v>-20.764285714285712</v>
      </c>
      <c r="P528" s="2">
        <f ca="1">INDEX(INDIRECT(_xlfn.CONCAT("weather.tbl[",P$1,"]")),MATCH(vp.data[[#This Row],[SDate]],weather.tbl[Date],0))</f>
        <v>-26.6</v>
      </c>
      <c r="Q528" s="2">
        <f ca="1">INDEX(INDIRECT(_xlfn.CONCAT("weather.tbl[",Q$1,"]")),MATCH(vp.data[[#This Row],[SDate]],weather.tbl[Date],0))</f>
        <v>-22.8</v>
      </c>
      <c r="R528" s="2">
        <f ca="1">INDEX(INDIRECT(_xlfn.CONCAT("weather.tbl[",R$1,"]")),MATCH(vp.data[[#This Row],[SDate]],weather.tbl[Date],0))</f>
        <v>-25</v>
      </c>
      <c r="S528" s="2">
        <f ca="1">INDEX(INDIRECT(_xlfn.CONCAT("weather.tbl[",S$1,"]")),MATCH(vp.data[[#This Row],[SDate]],weather.tbl[Date],0))</f>
        <v>-24.8</v>
      </c>
      <c r="T528" s="2">
        <f ca="1">INDEX(INDIRECT(_xlfn.CONCAT("weather.tbl[",T$1,"]")),MATCH(vp.data[[#This Row],[SDate]],weather.tbl[Date],0))</f>
        <v>-27</v>
      </c>
      <c r="U528" s="2">
        <f ca="1">INDEX(INDIRECT(_xlfn.CONCAT("weather.tbl[",U$1,"]")),MATCH(vp.data[[#This Row],[SDate]],weather.tbl[Date],0))</f>
        <v>-20.5</v>
      </c>
      <c r="V528" s="2">
        <f t="array" ref="V5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528" t="s">
        <v>48</v>
      </c>
      <c r="X528">
        <f>IF(OR(vp.data[[#This Row],[Sulf]]="",vp.data[[#This Row],[Dens]]=""),1,0)</f>
        <v>0</v>
      </c>
      <c r="Y528">
        <f>IF(vp.data[[#This Row],[CrudeType]]="C5+",1,0)</f>
        <v>0</v>
      </c>
      <c r="Z528">
        <f>IF(AND(vp.data[[#This Row],[CrudeType]]="Crude",vp.data[[#This Row],[Dens]]&lt;=825,vp.data[[#This Row],[Sulf]]&gt;0.5,vp.data[[#This Row],[Unknown]]=0),1,0)</f>
        <v>0</v>
      </c>
      <c r="AA528">
        <f>IF(AND(vp.data[[#This Row],[CrudeType]]="Crude",vp.data[[#This Row],[Dens]]&lt;=825,vp.data[[#This Row],[Sulf]]&lt;=0.5,vp.data[[#This Row],[Unknown]]=0),1,0)</f>
        <v>1</v>
      </c>
      <c r="AB5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8">
        <f>IF(AND(vp.data[[#This Row],[CrudeType]]="Crude",vp.data[[#This Row],[Dens]]&gt;825,vp.data[[#This Row],[Dens]]&lt;=900,vp.data[[#This Row],[Sulf]]&lt;=0.5,vp.data[[#This Row],[Unknown]]=0),1,0)</f>
        <v>0</v>
      </c>
      <c r="AD528">
        <f>IF(AND(vp.data[[#This Row],[CrudeType]]="Crude",vp.data[[#This Row],[Dens]]&gt;865,vp.data[[#This Row],[Dens]]&lt;=900,vp.data[[#This Row],[Sulf]]&gt;2,vp.data[[#This Row],[Unknown]]=0),1,0)</f>
        <v>0</v>
      </c>
      <c r="AE528">
        <f>IF(AND(vp.data[[#This Row],[CrudeType]]="Crude",vp.data[[#This Row],[Dens]]&gt;900,vp.data[[#This Row],[Sulf]]&lt;=0.5,vp.data[[#This Row],[Unknown]]=0),1,0)</f>
        <v>0</v>
      </c>
      <c r="AF528">
        <f>IF(AND(vp.data[[#This Row],[CrudeType]]="Crude",vp.data[[#This Row],[Dens]]&gt;900,vp.data[[#This Row],[Sulf]]&lt;=0.5,vp.data[[#This Row],[Unknown]]=0),1,0)</f>
        <v>0</v>
      </c>
      <c r="AG528" t="str">
        <f>INDEX(vp.data[[#Headers],[Unknown]:[Heavy_SW]],MATCH(1,vp.data[[#This Row],[Unknown]:[Heavy_SW]],0))</f>
        <v>Light_SW</v>
      </c>
      <c r="AH528">
        <f>INDEX([3]!crudeBD.lkup[Number],MATCH(vp.data[[#This Row],[Crude_Breakdown]],crudeBD.lkup[Crude Breakdown],0))</f>
        <v>2</v>
      </c>
      <c r="AI528">
        <f>MONTH(vp.data[[#This Row],[SDate]])</f>
        <v>1</v>
      </c>
      <c r="AJ528" s="5">
        <f>(vp.data[[#This Row],[VP]]-INDEX(crudeBD.lkup[Mean_VP],MATCH(vp.data[[#This Row],[Crude_Breakdown]],crudeBD.lkup[Crude Breakdown],0)))^2</f>
        <v>113.41582065582995</v>
      </c>
      <c r="AK528" s="5">
        <f>(vp.data[[#This Row],[Dens]]-INDEX(crudeBD.lkup[Mean_Dens],MATCH(vp.data[[#This Row],[Crude_Breakdown]],crudeBD.lkup[Crude Breakdown],0)))^2</f>
        <v>36.138111304007928</v>
      </c>
      <c r="AL528" s="5">
        <f>(vp.data[[#This Row],[Sulf]]-INDEX(crudeBD.lkup[Mean_Sulf],MATCH(vp.data[[#This Row],[Crude_Breakdown]],crudeBD.lkup[Crude Breakdown],0)))^2</f>
        <v>5.644515043280923E-4</v>
      </c>
      <c r="AM528" s="4">
        <f>IF(AND(vp.data[[#This Row],[SDate]]&gt;=DATE(YEAR(vp.data[[#This Row],[SDate]]),5,1),vp.data[[#This Row],[SDate]]&lt;=DATE(YEAR(vp.data[[#This Row],[SDate]]),9,15)),1,0)</f>
        <v>0</v>
      </c>
      <c r="AN528" s="4">
        <f>IF(vp.data[[#This Row],[SDate]]&lt;DATE(2016,12,1),0,1)</f>
        <v>1</v>
      </c>
      <c r="AO528" s="4">
        <f>IFERROR(vp.data[[#This Row],[Sulf]]*vp.data[[#This Row],[Net Dens]],"")</f>
        <v>2657270.2629720001</v>
      </c>
      <c r="AP528">
        <f>IFERROR(vp.data[[#This Row],[Dens]]*vp.data[[#This Row],[VolumeM3]],"")</f>
        <v>10220270.2422</v>
      </c>
      <c r="AQ528" s="15">
        <f>IFERROR(vp.data[[#This Row],[VP]]*vp.data[[#This Row],[VolumeM3]],"")</f>
        <v>1314635.2848</v>
      </c>
    </row>
    <row r="529" spans="1:43" x14ac:dyDescent="0.25">
      <c r="A529">
        <v>528</v>
      </c>
      <c r="B529" t="s">
        <v>49</v>
      </c>
      <c r="C529" t="s">
        <v>49</v>
      </c>
      <c r="D529" t="s">
        <v>67</v>
      </c>
      <c r="F529" s="1">
        <v>42742</v>
      </c>
      <c r="G529" s="2">
        <v>115.1</v>
      </c>
      <c r="H529" s="2"/>
      <c r="I529" s="2">
        <f t="array" ref="I529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29" s="2">
        <v>1.9</v>
      </c>
      <c r="K529" s="2">
        <v>-28</v>
      </c>
      <c r="L529" s="2">
        <v>807.1</v>
      </c>
      <c r="M529" s="2">
        <f t="array" ref="M529">_xlfn.IFNA(IF(vp.data[[#This Row],[Dens Input]]="",INDEX([1]DATA!$O$3:$O$9826,MATCH(1,(vp.data[[#This Row],[Battery]]=[1]DATA!$L$3:$L$9826)*(EOMONTH(vp.data[[#This Row],[SDate]],-1)+1=[1]DATA!$G$3:$G$9826),0)),vp.data[[#This Row],[Dens Input]]),"")</f>
        <v>807.1</v>
      </c>
      <c r="N529" s="2">
        <f ca="1">INDEX(INDIRECT(_xlfn.CONCAT("weather.tbl[",N$1,"]")),MATCH(vp.data[[#This Row],[SDate]],weather.tbl[Date],0))</f>
        <v>-24.45</v>
      </c>
      <c r="O529" s="2">
        <f ca="1">INDEX(INDIRECT(_xlfn.CONCAT("weather.tbl[",O$1,"]")),MATCH(vp.data[[#This Row],[SDate]],weather.tbl[Date],0))</f>
        <v>-20.764285714285712</v>
      </c>
      <c r="P529" s="2">
        <f ca="1">INDEX(INDIRECT(_xlfn.CONCAT("weather.tbl[",P$1,"]")),MATCH(vp.data[[#This Row],[SDate]],weather.tbl[Date],0))</f>
        <v>-26.6</v>
      </c>
      <c r="Q529" s="2">
        <f ca="1">INDEX(INDIRECT(_xlfn.CONCAT("weather.tbl[",Q$1,"]")),MATCH(vp.data[[#This Row],[SDate]],weather.tbl[Date],0))</f>
        <v>-22.8</v>
      </c>
      <c r="R529" s="2">
        <f ca="1">INDEX(INDIRECT(_xlfn.CONCAT("weather.tbl[",R$1,"]")),MATCH(vp.data[[#This Row],[SDate]],weather.tbl[Date],0))</f>
        <v>-25</v>
      </c>
      <c r="S529" s="2">
        <f ca="1">INDEX(INDIRECT(_xlfn.CONCAT("weather.tbl[",S$1,"]")),MATCH(vp.data[[#This Row],[SDate]],weather.tbl[Date],0))</f>
        <v>-24.8</v>
      </c>
      <c r="T529" s="2">
        <f ca="1">INDEX(INDIRECT(_xlfn.CONCAT("weather.tbl[",T$1,"]")),MATCH(vp.data[[#This Row],[SDate]],weather.tbl[Date],0))</f>
        <v>-27</v>
      </c>
      <c r="U529" s="2">
        <f ca="1">INDEX(INDIRECT(_xlfn.CONCAT("weather.tbl[",U$1,"]")),MATCH(vp.data[[#This Row],[SDate]],weather.tbl[Date],0))</f>
        <v>-20.5</v>
      </c>
      <c r="V529" s="2">
        <f t="array" ref="V5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529" t="s">
        <v>48</v>
      </c>
      <c r="X529">
        <f>IF(OR(vp.data[[#This Row],[Sulf]]="",vp.data[[#This Row],[Dens]]=""),1,0)</f>
        <v>0</v>
      </c>
      <c r="Y529">
        <f>IF(vp.data[[#This Row],[CrudeType]]="C5+",1,0)</f>
        <v>0</v>
      </c>
      <c r="Z529">
        <f>IF(AND(vp.data[[#This Row],[CrudeType]]="Crude",vp.data[[#This Row],[Dens]]&lt;=825,vp.data[[#This Row],[Sulf]]&gt;0.5,vp.data[[#This Row],[Unknown]]=0),1,0)</f>
        <v>1</v>
      </c>
      <c r="AA529">
        <f>IF(AND(vp.data[[#This Row],[CrudeType]]="Crude",vp.data[[#This Row],[Dens]]&lt;=825,vp.data[[#This Row],[Sulf]]&lt;=0.5,vp.data[[#This Row],[Unknown]]=0),1,0)</f>
        <v>0</v>
      </c>
      <c r="AB5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29">
        <f>IF(AND(vp.data[[#This Row],[CrudeType]]="Crude",vp.data[[#This Row],[Dens]]&gt;825,vp.data[[#This Row],[Dens]]&lt;=900,vp.data[[#This Row],[Sulf]]&lt;=0.5,vp.data[[#This Row],[Unknown]]=0),1,0)</f>
        <v>0</v>
      </c>
      <c r="AD529">
        <f>IF(AND(vp.data[[#This Row],[CrudeType]]="Crude",vp.data[[#This Row],[Dens]]&gt;865,vp.data[[#This Row],[Dens]]&lt;=900,vp.data[[#This Row],[Sulf]]&gt;2,vp.data[[#This Row],[Unknown]]=0),1,0)</f>
        <v>0</v>
      </c>
      <c r="AE529">
        <f>IF(AND(vp.data[[#This Row],[CrudeType]]="Crude",vp.data[[#This Row],[Dens]]&gt;900,vp.data[[#This Row],[Sulf]]&lt;=0.5,vp.data[[#This Row],[Unknown]]=0),1,0)</f>
        <v>0</v>
      </c>
      <c r="AF529">
        <f>IF(AND(vp.data[[#This Row],[CrudeType]]="Crude",vp.data[[#This Row],[Dens]]&gt;900,vp.data[[#This Row],[Sulf]]&lt;=0.5,vp.data[[#This Row],[Unknown]]=0),1,0)</f>
        <v>0</v>
      </c>
      <c r="AG529" t="str">
        <f>INDEX(vp.data[[#Headers],[Unknown]:[Heavy_SW]],MATCH(1,vp.data[[#This Row],[Unknown]:[Heavy_SW]],0))</f>
        <v>Light_LSB</v>
      </c>
      <c r="AH529">
        <f>INDEX([3]!crudeBD.lkup[Number],MATCH(vp.data[[#This Row],[Crude_Breakdown]],crudeBD.lkup[Crude Breakdown],0))</f>
        <v>1</v>
      </c>
      <c r="AI529">
        <f>MONTH(vp.data[[#This Row],[SDate]])</f>
        <v>1</v>
      </c>
      <c r="AJ529" s="5">
        <f>(vp.data[[#This Row],[VP]]-INDEX(crudeBD.lkup[Mean_VP],MATCH(vp.data[[#This Row],[Crude_Breakdown]],crudeBD.lkup[Crude Breakdown],0)))^2</f>
        <v>554.78217434371174</v>
      </c>
      <c r="AK529" s="5">
        <f>(vp.data[[#This Row],[Dens]]-INDEX(crudeBD.lkup[Mean_Dens],MATCH(vp.data[[#This Row],[Crude_Breakdown]],crudeBD.lkup[Crude Breakdown],0)))^2</f>
        <v>130.34263174028825</v>
      </c>
      <c r="AL529" s="5">
        <f>(vp.data[[#This Row],[Sulf]]-INDEX(crudeBD.lkup[Mean_Sulf],MATCH(vp.data[[#This Row],[Crude_Breakdown]],crudeBD.lkup[Crude Breakdown],0)))^2</f>
        <v>0.11086979897559178</v>
      </c>
      <c r="AM529" s="4">
        <f>IF(AND(vp.data[[#This Row],[SDate]]&gt;=DATE(YEAR(vp.data[[#This Row],[SDate]]),5,1),vp.data[[#This Row],[SDate]]&lt;=DATE(YEAR(vp.data[[#This Row],[SDate]]),9,15)),1,0)</f>
        <v>0</v>
      </c>
      <c r="AN529" s="4">
        <f>IF(vp.data[[#This Row],[SDate]]&lt;DATE(2016,12,1),0,1)</f>
        <v>1</v>
      </c>
      <c r="AO529" s="4">
        <f>IFERROR(vp.data[[#This Row],[Sulf]]*vp.data[[#This Row],[Net Dens]],"")</f>
        <v>58161662.555429995</v>
      </c>
      <c r="AP529">
        <f>IFERROR(vp.data[[#This Row],[Dens]]*vp.data[[#This Row],[VolumeM3]],"")</f>
        <v>98579089.076999992</v>
      </c>
      <c r="AQ529" s="15">
        <f>IFERROR(vp.data[[#This Row],[VP]]*vp.data[[#This Row],[VolumeM3]],"")</f>
        <v>14058299.036999999</v>
      </c>
    </row>
    <row r="530" spans="1:43" x14ac:dyDescent="0.25">
      <c r="A530">
        <v>529</v>
      </c>
      <c r="B530" t="s">
        <v>62</v>
      </c>
      <c r="C530" t="s">
        <v>62</v>
      </c>
      <c r="D530" t="s">
        <v>93</v>
      </c>
      <c r="F530" s="1">
        <v>42742</v>
      </c>
      <c r="G530" s="2">
        <v>113.1</v>
      </c>
      <c r="H530" s="2"/>
      <c r="I530" s="2">
        <f t="array" ref="I530">_xlfn.IFNA(IF(vp.data[[#This Row],[Sulf Input]]="",INDEX([1]DATA!$Q$3:$Q$9826,MATCH(1,(vp.data[[#This Row],[Battery]]=[1]DATA!$L$3:$L$9826)*(EOMONTH(vp.data[[#This Row],[SDate]],-1)+1=[1]DATA!$G$3:$G$9826),0)),vp.data[[#This Row],[Sulf Input]]),"")</f>
        <v>0.43</v>
      </c>
      <c r="J530" s="2">
        <v>-14.9</v>
      </c>
      <c r="K530" s="2">
        <v>-28</v>
      </c>
      <c r="L530" s="2">
        <v>808.2</v>
      </c>
      <c r="M530" s="2">
        <f t="array" ref="M530">_xlfn.IFNA(IF(vp.data[[#This Row],[Dens Input]]="",INDEX([1]DATA!$O$3:$O$9826,MATCH(1,(vp.data[[#This Row],[Battery]]=[1]DATA!$L$3:$L$9826)*(EOMONTH(vp.data[[#This Row],[SDate]],-1)+1=[1]DATA!$G$3:$G$9826),0)),vp.data[[#This Row],[Dens Input]]),"")</f>
        <v>808.2</v>
      </c>
      <c r="N530" s="2">
        <f ca="1">INDEX(INDIRECT(_xlfn.CONCAT("weather.tbl[",N$1,"]")),MATCH(vp.data[[#This Row],[SDate]],weather.tbl[Date],0))</f>
        <v>-24.45</v>
      </c>
      <c r="O530" s="2">
        <f ca="1">INDEX(INDIRECT(_xlfn.CONCAT("weather.tbl[",O$1,"]")),MATCH(vp.data[[#This Row],[SDate]],weather.tbl[Date],0))</f>
        <v>-20.764285714285712</v>
      </c>
      <c r="P530" s="2">
        <f ca="1">INDEX(INDIRECT(_xlfn.CONCAT("weather.tbl[",P$1,"]")),MATCH(vp.data[[#This Row],[SDate]],weather.tbl[Date],0))</f>
        <v>-26.6</v>
      </c>
      <c r="Q530" s="2">
        <f ca="1">INDEX(INDIRECT(_xlfn.CONCAT("weather.tbl[",Q$1,"]")),MATCH(vp.data[[#This Row],[SDate]],weather.tbl[Date],0))</f>
        <v>-22.8</v>
      </c>
      <c r="R530" s="2">
        <f ca="1">INDEX(INDIRECT(_xlfn.CONCAT("weather.tbl[",R$1,"]")),MATCH(vp.data[[#This Row],[SDate]],weather.tbl[Date],0))</f>
        <v>-25</v>
      </c>
      <c r="S530" s="2">
        <f ca="1">INDEX(INDIRECT(_xlfn.CONCAT("weather.tbl[",S$1,"]")),MATCH(vp.data[[#This Row],[SDate]],weather.tbl[Date],0))</f>
        <v>-24.8</v>
      </c>
      <c r="T530" s="2">
        <f ca="1">INDEX(INDIRECT(_xlfn.CONCAT("weather.tbl[",T$1,"]")),MATCH(vp.data[[#This Row],[SDate]],weather.tbl[Date],0))</f>
        <v>-27</v>
      </c>
      <c r="U530" s="2">
        <f ca="1">INDEX(INDIRECT(_xlfn.CONCAT("weather.tbl[",U$1,"]")),MATCH(vp.data[[#This Row],[SDate]],weather.tbl[Date],0))</f>
        <v>-20.5</v>
      </c>
      <c r="V530" s="2">
        <f t="array" ref="V5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505.60500000000002</v>
      </c>
      <c r="W530" t="s">
        <v>48</v>
      </c>
      <c r="X530">
        <f>IF(OR(vp.data[[#This Row],[Sulf]]="",vp.data[[#This Row],[Dens]]=""),1,0)</f>
        <v>0</v>
      </c>
      <c r="Y530">
        <f>IF(vp.data[[#This Row],[CrudeType]]="C5+",1,0)</f>
        <v>0</v>
      </c>
      <c r="Z530">
        <f>IF(AND(vp.data[[#This Row],[CrudeType]]="Crude",vp.data[[#This Row],[Dens]]&lt;=825,vp.data[[#This Row],[Sulf]]&gt;0.5,vp.data[[#This Row],[Unknown]]=0),1,0)</f>
        <v>0</v>
      </c>
      <c r="AA530">
        <f>IF(AND(vp.data[[#This Row],[CrudeType]]="Crude",vp.data[[#This Row],[Dens]]&lt;=825,vp.data[[#This Row],[Sulf]]&lt;=0.5,vp.data[[#This Row],[Unknown]]=0),1,0)</f>
        <v>1</v>
      </c>
      <c r="AB5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0">
        <f>IF(AND(vp.data[[#This Row],[CrudeType]]="Crude",vp.data[[#This Row],[Dens]]&gt;825,vp.data[[#This Row],[Dens]]&lt;=900,vp.data[[#This Row],[Sulf]]&lt;=0.5,vp.data[[#This Row],[Unknown]]=0),1,0)</f>
        <v>0</v>
      </c>
      <c r="AD530">
        <f>IF(AND(vp.data[[#This Row],[CrudeType]]="Crude",vp.data[[#This Row],[Dens]]&gt;865,vp.data[[#This Row],[Dens]]&lt;=900,vp.data[[#This Row],[Sulf]]&gt;2,vp.data[[#This Row],[Unknown]]=0),1,0)</f>
        <v>0</v>
      </c>
      <c r="AE530">
        <f>IF(AND(vp.data[[#This Row],[CrudeType]]="Crude",vp.data[[#This Row],[Dens]]&gt;900,vp.data[[#This Row],[Sulf]]&lt;=0.5,vp.data[[#This Row],[Unknown]]=0),1,0)</f>
        <v>0</v>
      </c>
      <c r="AF530">
        <f>IF(AND(vp.data[[#This Row],[CrudeType]]="Crude",vp.data[[#This Row],[Dens]]&gt;900,vp.data[[#This Row],[Sulf]]&lt;=0.5,vp.data[[#This Row],[Unknown]]=0),1,0)</f>
        <v>0</v>
      </c>
      <c r="AG530" t="str">
        <f>INDEX(vp.data[[#Headers],[Unknown]:[Heavy_SW]],MATCH(1,vp.data[[#This Row],[Unknown]:[Heavy_SW]],0))</f>
        <v>Light_SW</v>
      </c>
      <c r="AH530">
        <f>INDEX([3]!crudeBD.lkup[Number],MATCH(vp.data[[#This Row],[Crude_Breakdown]],crudeBD.lkup[Crude Breakdown],0))</f>
        <v>2</v>
      </c>
      <c r="AI530">
        <f>MONTH(vp.data[[#This Row],[SDate]])</f>
        <v>1</v>
      </c>
      <c r="AJ530" s="5">
        <f>(vp.data[[#This Row],[VP]]-INDEX(crudeBD.lkup[Mean_VP],MATCH(vp.data[[#This Row],[Crude_Breakdown]],crudeBD.lkup[Crude Breakdown],0)))^2</f>
        <v>422.28961159659679</v>
      </c>
      <c r="AK530" s="5">
        <f>(vp.data[[#This Row],[Dens]]-INDEX(crudeBD.lkup[Mean_Dens],MATCH(vp.data[[#This Row],[Crude_Breakdown]],crudeBD.lkup[Crude Breakdown],0)))^2</f>
        <v>1.2431861501234131E-2</v>
      </c>
      <c r="AL530" s="5">
        <f>(vp.data[[#This Row],[Sulf]]-INDEX(crudeBD.lkup[Mean_Sulf],MATCH(vp.data[[#This Row],[Crude_Breakdown]],crudeBD.lkup[Crude Breakdown],0)))^2</f>
        <v>3.7542235476453578E-2</v>
      </c>
      <c r="AM530" s="4">
        <f>IF(AND(vp.data[[#This Row],[SDate]]&gt;=DATE(YEAR(vp.data[[#This Row],[SDate]]),5,1),vp.data[[#This Row],[SDate]]&lt;=DATE(YEAR(vp.data[[#This Row],[SDate]]),9,15)),1,0)</f>
        <v>0</v>
      </c>
      <c r="AN530" s="4">
        <f>IF(vp.data[[#This Row],[SDate]]&lt;DATE(2016,12,1),0,1)</f>
        <v>1</v>
      </c>
      <c r="AO530" s="4">
        <f>IFERROR(vp.data[[#This Row],[Sulf]]*vp.data[[#This Row],[Net Dens]],"")</f>
        <v>175710.88323000001</v>
      </c>
      <c r="AP530">
        <f>IFERROR(vp.data[[#This Row],[Dens]]*vp.data[[#This Row],[VolumeM3]],"")</f>
        <v>408629.96100000001</v>
      </c>
      <c r="AQ530" s="15">
        <f>IFERROR(vp.data[[#This Row],[VP]]*vp.data[[#This Row],[VolumeM3]],"")</f>
        <v>57183.925499999998</v>
      </c>
    </row>
    <row r="531" spans="1:43" x14ac:dyDescent="0.25">
      <c r="A531">
        <v>530</v>
      </c>
      <c r="B531" t="s">
        <v>62</v>
      </c>
      <c r="C531" t="s">
        <v>62</v>
      </c>
      <c r="D531" t="s">
        <v>79</v>
      </c>
      <c r="F531" s="1">
        <v>42742</v>
      </c>
      <c r="G531" s="2">
        <v>104.6</v>
      </c>
      <c r="H531" s="2"/>
      <c r="I531" s="2">
        <f t="array" ref="I531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531" s="2">
        <v>10.4</v>
      </c>
      <c r="K531" s="2">
        <v>-28</v>
      </c>
      <c r="L531" s="2">
        <v>811.1</v>
      </c>
      <c r="M531" s="2">
        <f t="array" ref="M531">_xlfn.IFNA(IF(vp.data[[#This Row],[Dens Input]]="",INDEX([1]DATA!$O$3:$O$9826,MATCH(1,(vp.data[[#This Row],[Battery]]=[1]DATA!$L$3:$L$9826)*(EOMONTH(vp.data[[#This Row],[SDate]],-1)+1=[1]DATA!$G$3:$G$9826),0)),vp.data[[#This Row],[Dens Input]]),"")</f>
        <v>811.1</v>
      </c>
      <c r="N531" s="2">
        <f ca="1">INDEX(INDIRECT(_xlfn.CONCAT("weather.tbl[",N$1,"]")),MATCH(vp.data[[#This Row],[SDate]],weather.tbl[Date],0))</f>
        <v>-24.45</v>
      </c>
      <c r="O531" s="2">
        <f ca="1">INDEX(INDIRECT(_xlfn.CONCAT("weather.tbl[",O$1,"]")),MATCH(vp.data[[#This Row],[SDate]],weather.tbl[Date],0))</f>
        <v>-20.764285714285712</v>
      </c>
      <c r="P531" s="2">
        <f ca="1">INDEX(INDIRECT(_xlfn.CONCAT("weather.tbl[",P$1,"]")),MATCH(vp.data[[#This Row],[SDate]],weather.tbl[Date],0))</f>
        <v>-26.6</v>
      </c>
      <c r="Q531" s="2">
        <f ca="1">INDEX(INDIRECT(_xlfn.CONCAT("weather.tbl[",Q$1,"]")),MATCH(vp.data[[#This Row],[SDate]],weather.tbl[Date],0))</f>
        <v>-22.8</v>
      </c>
      <c r="R531" s="2">
        <f ca="1">INDEX(INDIRECT(_xlfn.CONCAT("weather.tbl[",R$1,"]")),MATCH(vp.data[[#This Row],[SDate]],weather.tbl[Date],0))</f>
        <v>-25</v>
      </c>
      <c r="S531" s="2">
        <f ca="1">INDEX(INDIRECT(_xlfn.CONCAT("weather.tbl[",S$1,"]")),MATCH(vp.data[[#This Row],[SDate]],weather.tbl[Date],0))</f>
        <v>-24.8</v>
      </c>
      <c r="T531" s="2">
        <f ca="1">INDEX(INDIRECT(_xlfn.CONCAT("weather.tbl[",T$1,"]")),MATCH(vp.data[[#This Row],[SDate]],weather.tbl[Date],0))</f>
        <v>-27</v>
      </c>
      <c r="U531" s="2">
        <f ca="1">INDEX(INDIRECT(_xlfn.CONCAT("weather.tbl[",U$1,"]")),MATCH(vp.data[[#This Row],[SDate]],weather.tbl[Date],0))</f>
        <v>-20.5</v>
      </c>
      <c r="V531" s="2">
        <f t="array" ref="V5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531" t="s">
        <v>48</v>
      </c>
      <c r="X531">
        <f>IF(OR(vp.data[[#This Row],[Sulf]]="",vp.data[[#This Row],[Dens]]=""),1,0)</f>
        <v>0</v>
      </c>
      <c r="Y531">
        <f>IF(vp.data[[#This Row],[CrudeType]]="C5+",1,0)</f>
        <v>0</v>
      </c>
      <c r="Z531">
        <f>IF(AND(vp.data[[#This Row],[CrudeType]]="Crude",vp.data[[#This Row],[Dens]]&lt;=825,vp.data[[#This Row],[Sulf]]&gt;0.5,vp.data[[#This Row],[Unknown]]=0),1,0)</f>
        <v>0</v>
      </c>
      <c r="AA531">
        <f>IF(AND(vp.data[[#This Row],[CrudeType]]="Crude",vp.data[[#This Row],[Dens]]&lt;=825,vp.data[[#This Row],[Sulf]]&lt;=0.5,vp.data[[#This Row],[Unknown]]=0),1,0)</f>
        <v>1</v>
      </c>
      <c r="AB5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1">
        <f>IF(AND(vp.data[[#This Row],[CrudeType]]="Crude",vp.data[[#This Row],[Dens]]&gt;825,vp.data[[#This Row],[Dens]]&lt;=900,vp.data[[#This Row],[Sulf]]&lt;=0.5,vp.data[[#This Row],[Unknown]]=0),1,0)</f>
        <v>0</v>
      </c>
      <c r="AD531">
        <f>IF(AND(vp.data[[#This Row],[CrudeType]]="Crude",vp.data[[#This Row],[Dens]]&gt;865,vp.data[[#This Row],[Dens]]&lt;=900,vp.data[[#This Row],[Sulf]]&gt;2,vp.data[[#This Row],[Unknown]]=0),1,0)</f>
        <v>0</v>
      </c>
      <c r="AE531">
        <f>IF(AND(vp.data[[#This Row],[CrudeType]]="Crude",vp.data[[#This Row],[Dens]]&gt;900,vp.data[[#This Row],[Sulf]]&lt;=0.5,vp.data[[#This Row],[Unknown]]=0),1,0)</f>
        <v>0</v>
      </c>
      <c r="AF531">
        <f>IF(AND(vp.data[[#This Row],[CrudeType]]="Crude",vp.data[[#This Row],[Dens]]&gt;900,vp.data[[#This Row],[Sulf]]&lt;=0.5,vp.data[[#This Row],[Unknown]]=0),1,0)</f>
        <v>0</v>
      </c>
      <c r="AG531" t="str">
        <f>INDEX(vp.data[[#Headers],[Unknown]:[Heavy_SW]],MATCH(1,vp.data[[#This Row],[Unknown]:[Heavy_SW]],0))</f>
        <v>Light_SW</v>
      </c>
      <c r="AH531">
        <f>INDEX([3]!crudeBD.lkup[Number],MATCH(vp.data[[#This Row],[Crude_Breakdown]],crudeBD.lkup[Crude Breakdown],0))</f>
        <v>2</v>
      </c>
      <c r="AI531">
        <f>MONTH(vp.data[[#This Row],[SDate]])</f>
        <v>1</v>
      </c>
      <c r="AJ531" s="5">
        <f>(vp.data[[#This Row],[VP]]-INDEX(crudeBD.lkup[Mean_VP],MATCH(vp.data[[#This Row],[Crude_Breakdown]],crudeBD.lkup[Crude Breakdown],0)))^2</f>
        <v>145.19494260704934</v>
      </c>
      <c r="AK531" s="5">
        <f>(vp.data[[#This Row],[Dens]]-INDEX(crudeBD.lkup[Mean_Dens],MATCH(vp.data[[#This Row],[Crude_Breakdown]],crudeBD.lkup[Crude Breakdown],0)))^2</f>
        <v>7.7757419660322542</v>
      </c>
      <c r="AL531" s="5">
        <f>(vp.data[[#This Row],[Sulf]]-INDEX(crudeBD.lkup[Mean_Sulf],MATCH(vp.data[[#This Row],[Crude_Breakdown]],crudeBD.lkup[Crude Breakdown],0)))^2</f>
        <v>1.9147790304605045E-3</v>
      </c>
      <c r="AM531" s="4">
        <f>IF(AND(vp.data[[#This Row],[SDate]]&gt;=DATE(YEAR(vp.data[[#This Row],[SDate]]),5,1),vp.data[[#This Row],[SDate]]&lt;=DATE(YEAR(vp.data[[#This Row],[SDate]]),9,15)),1,0)</f>
        <v>0</v>
      </c>
      <c r="AN531" s="4">
        <f>IF(vp.data[[#This Row],[SDate]]&lt;DATE(2016,12,1),0,1)</f>
        <v>1</v>
      </c>
      <c r="AO531" s="4">
        <f>IFERROR(vp.data[[#This Row],[Sulf]]*vp.data[[#This Row],[Net Dens]],"")</f>
        <v>3187803.2588640004</v>
      </c>
      <c r="AP531">
        <f>IFERROR(vp.data[[#This Row],[Dens]]*vp.data[[#This Row],[VolumeM3]],"")</f>
        <v>11385011.638800001</v>
      </c>
      <c r="AQ531" s="15">
        <f>IFERROR(vp.data[[#This Row],[VP]]*vp.data[[#This Row],[VolumeM3]],"")</f>
        <v>1468218.7367999998</v>
      </c>
    </row>
    <row r="532" spans="1:43" x14ac:dyDescent="0.25">
      <c r="A532">
        <v>531</v>
      </c>
      <c r="B532" t="s">
        <v>62</v>
      </c>
      <c r="C532" t="s">
        <v>62</v>
      </c>
      <c r="D532" t="s">
        <v>63</v>
      </c>
      <c r="F532" s="1">
        <v>42742</v>
      </c>
      <c r="G532" s="2">
        <v>108.6</v>
      </c>
      <c r="H532" s="2"/>
      <c r="I532" s="2">
        <f t="array" ref="I532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532" s="2">
        <v>5.9</v>
      </c>
      <c r="K532" s="2">
        <v>-28</v>
      </c>
      <c r="L532" s="2">
        <v>816.9</v>
      </c>
      <c r="M532" s="2">
        <f t="array" ref="M532">_xlfn.IFNA(IF(vp.data[[#This Row],[Dens Input]]="",INDEX([1]DATA!$O$3:$O$9826,MATCH(1,(vp.data[[#This Row],[Battery]]=[1]DATA!$L$3:$L$9826)*(EOMONTH(vp.data[[#This Row],[SDate]],-1)+1=[1]DATA!$G$3:$G$9826),0)),vp.data[[#This Row],[Dens Input]]),"")</f>
        <v>816.9</v>
      </c>
      <c r="N532" s="2">
        <f ca="1">INDEX(INDIRECT(_xlfn.CONCAT("weather.tbl[",N$1,"]")),MATCH(vp.data[[#This Row],[SDate]],weather.tbl[Date],0))</f>
        <v>-24.45</v>
      </c>
      <c r="O532" s="2">
        <f ca="1">INDEX(INDIRECT(_xlfn.CONCAT("weather.tbl[",O$1,"]")),MATCH(vp.data[[#This Row],[SDate]],weather.tbl[Date],0))</f>
        <v>-20.764285714285712</v>
      </c>
      <c r="P532" s="2">
        <f ca="1">INDEX(INDIRECT(_xlfn.CONCAT("weather.tbl[",P$1,"]")),MATCH(vp.data[[#This Row],[SDate]],weather.tbl[Date],0))</f>
        <v>-26.6</v>
      </c>
      <c r="Q532" s="2">
        <f ca="1">INDEX(INDIRECT(_xlfn.CONCAT("weather.tbl[",Q$1,"]")),MATCH(vp.data[[#This Row],[SDate]],weather.tbl[Date],0))</f>
        <v>-22.8</v>
      </c>
      <c r="R532" s="2">
        <f ca="1">INDEX(INDIRECT(_xlfn.CONCAT("weather.tbl[",R$1,"]")),MATCH(vp.data[[#This Row],[SDate]],weather.tbl[Date],0))</f>
        <v>-25</v>
      </c>
      <c r="S532" s="2">
        <f ca="1">INDEX(INDIRECT(_xlfn.CONCAT("weather.tbl[",S$1,"]")),MATCH(vp.data[[#This Row],[SDate]],weather.tbl[Date],0))</f>
        <v>-24.8</v>
      </c>
      <c r="T532" s="2">
        <f ca="1">INDEX(INDIRECT(_xlfn.CONCAT("weather.tbl[",T$1,"]")),MATCH(vp.data[[#This Row],[SDate]],weather.tbl[Date],0))</f>
        <v>-27</v>
      </c>
      <c r="U532" s="2">
        <f ca="1">INDEX(INDIRECT(_xlfn.CONCAT("weather.tbl[",U$1,"]")),MATCH(vp.data[[#This Row],[SDate]],weather.tbl[Date],0))</f>
        <v>-20.5</v>
      </c>
      <c r="V532" s="2">
        <f t="array" ref="V5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532" t="s">
        <v>48</v>
      </c>
      <c r="X532">
        <f>IF(OR(vp.data[[#This Row],[Sulf]]="",vp.data[[#This Row],[Dens]]=""),1,0)</f>
        <v>0</v>
      </c>
      <c r="Y532">
        <f>IF(vp.data[[#This Row],[CrudeType]]="C5+",1,0)</f>
        <v>0</v>
      </c>
      <c r="Z532">
        <f>IF(AND(vp.data[[#This Row],[CrudeType]]="Crude",vp.data[[#This Row],[Dens]]&lt;=825,vp.data[[#This Row],[Sulf]]&gt;0.5,vp.data[[#This Row],[Unknown]]=0),1,0)</f>
        <v>1</v>
      </c>
      <c r="AA532">
        <f>IF(AND(vp.data[[#This Row],[CrudeType]]="Crude",vp.data[[#This Row],[Dens]]&lt;=825,vp.data[[#This Row],[Sulf]]&lt;=0.5,vp.data[[#This Row],[Unknown]]=0),1,0)</f>
        <v>0</v>
      </c>
      <c r="AB5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2">
        <f>IF(AND(vp.data[[#This Row],[CrudeType]]="Crude",vp.data[[#This Row],[Dens]]&gt;825,vp.data[[#This Row],[Dens]]&lt;=900,vp.data[[#This Row],[Sulf]]&lt;=0.5,vp.data[[#This Row],[Unknown]]=0),1,0)</f>
        <v>0</v>
      </c>
      <c r="AD532">
        <f>IF(AND(vp.data[[#This Row],[CrudeType]]="Crude",vp.data[[#This Row],[Dens]]&gt;865,vp.data[[#This Row],[Dens]]&lt;=900,vp.data[[#This Row],[Sulf]]&gt;2,vp.data[[#This Row],[Unknown]]=0),1,0)</f>
        <v>0</v>
      </c>
      <c r="AE532">
        <f>IF(AND(vp.data[[#This Row],[CrudeType]]="Crude",vp.data[[#This Row],[Dens]]&gt;900,vp.data[[#This Row],[Sulf]]&lt;=0.5,vp.data[[#This Row],[Unknown]]=0),1,0)</f>
        <v>0</v>
      </c>
      <c r="AF532">
        <f>IF(AND(vp.data[[#This Row],[CrudeType]]="Crude",vp.data[[#This Row],[Dens]]&gt;900,vp.data[[#This Row],[Sulf]]&lt;=0.5,vp.data[[#This Row],[Unknown]]=0),1,0)</f>
        <v>0</v>
      </c>
      <c r="AG532" t="str">
        <f>INDEX(vp.data[[#Headers],[Unknown]:[Heavy_SW]],MATCH(1,vp.data[[#This Row],[Unknown]:[Heavy_SW]],0))</f>
        <v>Light_LSB</v>
      </c>
      <c r="AH532">
        <f>INDEX([3]!crudeBD.lkup[Number],MATCH(vp.data[[#This Row],[Crude_Breakdown]],crudeBD.lkup[Crude Breakdown],0))</f>
        <v>1</v>
      </c>
      <c r="AI532">
        <f>MONTH(vp.data[[#This Row],[SDate]])</f>
        <v>1</v>
      </c>
      <c r="AJ532" s="5">
        <f>(vp.data[[#This Row],[VP]]-INDEX(crudeBD.lkup[Mean_VP],MATCH(vp.data[[#This Row],[Crude_Breakdown]],crudeBD.lkup[Crude Breakdown],0)))^2</f>
        <v>290.83258671484623</v>
      </c>
      <c r="AK532" s="5">
        <f>(vp.data[[#This Row],[Dens]]-INDEX(crudeBD.lkup[Mean_Dens],MATCH(vp.data[[#This Row],[Crude_Breakdown]],crudeBD.lkup[Crude Breakdown],0)))^2</f>
        <v>2.6139444550716244</v>
      </c>
      <c r="AL532" s="5">
        <f>(vp.data[[#This Row],[Sulf]]-INDEX(crudeBD.lkup[Mean_Sulf],MATCH(vp.data[[#This Row],[Crude_Breakdown]],crudeBD.lkup[Crude Breakdown],0)))^2</f>
        <v>0.31028111925050628</v>
      </c>
      <c r="AM532" s="4">
        <f>IF(AND(vp.data[[#This Row],[SDate]]&gt;=DATE(YEAR(vp.data[[#This Row],[SDate]]),5,1),vp.data[[#This Row],[SDate]]&lt;=DATE(YEAR(vp.data[[#This Row],[SDate]]),9,15)),1,0)</f>
        <v>0</v>
      </c>
      <c r="AN532" s="4">
        <f>IF(vp.data[[#This Row],[SDate]]&lt;DATE(2016,12,1),0,1)</f>
        <v>1</v>
      </c>
      <c r="AO532" s="4">
        <f>IFERROR(vp.data[[#This Row],[Sulf]]*vp.data[[#This Row],[Net Dens]],"")</f>
        <v>5916604.8930240003</v>
      </c>
      <c r="AP532">
        <f>IFERROR(vp.data[[#This Row],[Dens]]*vp.data[[#This Row],[VolumeM3]],"")</f>
        <v>3997706.0088000004</v>
      </c>
      <c r="AQ532" s="15">
        <f>IFERROR(vp.data[[#This Row],[VP]]*vp.data[[#This Row],[VolumeM3]],"")</f>
        <v>531461.46720000007</v>
      </c>
    </row>
    <row r="533" spans="1:43" x14ac:dyDescent="0.25">
      <c r="A533">
        <v>532</v>
      </c>
      <c r="B533" t="s">
        <v>49</v>
      </c>
      <c r="C533" t="s">
        <v>49</v>
      </c>
      <c r="D533" t="s">
        <v>80</v>
      </c>
      <c r="F533" s="1">
        <v>42742</v>
      </c>
      <c r="G533" s="2">
        <v>90.9</v>
      </c>
      <c r="H533" s="2"/>
      <c r="I533" s="2">
        <f t="array" ref="I533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33" s="2">
        <v>11.7</v>
      </c>
      <c r="K533" s="2">
        <v>-28</v>
      </c>
      <c r="L533" s="2">
        <v>819.3</v>
      </c>
      <c r="M533" s="2">
        <f t="array" ref="M533">_xlfn.IFNA(IF(vp.data[[#This Row],[Dens Input]]="",INDEX([1]DATA!$O$3:$O$9826,MATCH(1,(vp.data[[#This Row],[Battery]]=[1]DATA!$L$3:$L$9826)*(EOMONTH(vp.data[[#This Row],[SDate]],-1)+1=[1]DATA!$G$3:$G$9826),0)),vp.data[[#This Row],[Dens Input]]),"")</f>
        <v>819.3</v>
      </c>
      <c r="N533" s="2">
        <f ca="1">INDEX(INDIRECT(_xlfn.CONCAT("weather.tbl[",N$1,"]")),MATCH(vp.data[[#This Row],[SDate]],weather.tbl[Date],0))</f>
        <v>-24.45</v>
      </c>
      <c r="O533" s="2">
        <f ca="1">INDEX(INDIRECT(_xlfn.CONCAT("weather.tbl[",O$1,"]")),MATCH(vp.data[[#This Row],[SDate]],weather.tbl[Date],0))</f>
        <v>-20.764285714285712</v>
      </c>
      <c r="P533" s="2">
        <f ca="1">INDEX(INDIRECT(_xlfn.CONCAT("weather.tbl[",P$1,"]")),MATCH(vp.data[[#This Row],[SDate]],weather.tbl[Date],0))</f>
        <v>-26.6</v>
      </c>
      <c r="Q533" s="2">
        <f ca="1">INDEX(INDIRECT(_xlfn.CONCAT("weather.tbl[",Q$1,"]")),MATCH(vp.data[[#This Row],[SDate]],weather.tbl[Date],0))</f>
        <v>-22.8</v>
      </c>
      <c r="R533" s="2">
        <f ca="1">INDEX(INDIRECT(_xlfn.CONCAT("weather.tbl[",R$1,"]")),MATCH(vp.data[[#This Row],[SDate]],weather.tbl[Date],0))</f>
        <v>-25</v>
      </c>
      <c r="S533" s="2">
        <f ca="1">INDEX(INDIRECT(_xlfn.CONCAT("weather.tbl[",S$1,"]")),MATCH(vp.data[[#This Row],[SDate]],weather.tbl[Date],0))</f>
        <v>-24.8</v>
      </c>
      <c r="T533" s="2">
        <f ca="1">INDEX(INDIRECT(_xlfn.CONCAT("weather.tbl[",T$1,"]")),MATCH(vp.data[[#This Row],[SDate]],weather.tbl[Date],0))</f>
        <v>-27</v>
      </c>
      <c r="U533" s="2">
        <f ca="1">INDEX(INDIRECT(_xlfn.CONCAT("weather.tbl[",U$1,"]")),MATCH(vp.data[[#This Row],[SDate]],weather.tbl[Date],0))</f>
        <v>-20.5</v>
      </c>
      <c r="V533" s="2">
        <f t="array" ref="V5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533" t="s">
        <v>48</v>
      </c>
      <c r="X533">
        <f>IF(OR(vp.data[[#This Row],[Sulf]]="",vp.data[[#This Row],[Dens]]=""),1,0)</f>
        <v>0</v>
      </c>
      <c r="Y533">
        <f>IF(vp.data[[#This Row],[CrudeType]]="C5+",1,0)</f>
        <v>0</v>
      </c>
      <c r="Z533">
        <f>IF(AND(vp.data[[#This Row],[CrudeType]]="Crude",vp.data[[#This Row],[Dens]]&lt;=825,vp.data[[#This Row],[Sulf]]&gt;0.5,vp.data[[#This Row],[Unknown]]=0),1,0)</f>
        <v>1</v>
      </c>
      <c r="AA533">
        <f>IF(AND(vp.data[[#This Row],[CrudeType]]="Crude",vp.data[[#This Row],[Dens]]&lt;=825,vp.data[[#This Row],[Sulf]]&lt;=0.5,vp.data[[#This Row],[Unknown]]=0),1,0)</f>
        <v>0</v>
      </c>
      <c r="AB5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3">
        <f>IF(AND(vp.data[[#This Row],[CrudeType]]="Crude",vp.data[[#This Row],[Dens]]&gt;825,vp.data[[#This Row],[Dens]]&lt;=900,vp.data[[#This Row],[Sulf]]&lt;=0.5,vp.data[[#This Row],[Unknown]]=0),1,0)</f>
        <v>0</v>
      </c>
      <c r="AD533">
        <f>IF(AND(vp.data[[#This Row],[CrudeType]]="Crude",vp.data[[#This Row],[Dens]]&gt;865,vp.data[[#This Row],[Dens]]&lt;=900,vp.data[[#This Row],[Sulf]]&gt;2,vp.data[[#This Row],[Unknown]]=0),1,0)</f>
        <v>0</v>
      </c>
      <c r="AE533">
        <f>IF(AND(vp.data[[#This Row],[CrudeType]]="Crude",vp.data[[#This Row],[Dens]]&gt;900,vp.data[[#This Row],[Sulf]]&lt;=0.5,vp.data[[#This Row],[Unknown]]=0),1,0)</f>
        <v>0</v>
      </c>
      <c r="AF533">
        <f>IF(AND(vp.data[[#This Row],[CrudeType]]="Crude",vp.data[[#This Row],[Dens]]&gt;900,vp.data[[#This Row],[Sulf]]&lt;=0.5,vp.data[[#This Row],[Unknown]]=0),1,0)</f>
        <v>0</v>
      </c>
      <c r="AG533" t="str">
        <f>INDEX(vp.data[[#Headers],[Unknown]:[Heavy_SW]],MATCH(1,vp.data[[#This Row],[Unknown]:[Heavy_SW]],0))</f>
        <v>Light_LSB</v>
      </c>
      <c r="AH533">
        <f>INDEX([3]!crudeBD.lkup[Number],MATCH(vp.data[[#This Row],[Crude_Breakdown]],crudeBD.lkup[Crude Breakdown],0))</f>
        <v>1</v>
      </c>
      <c r="AI533">
        <f>MONTH(vp.data[[#This Row],[SDate]])</f>
        <v>1</v>
      </c>
      <c r="AJ533" s="5">
        <f>(vp.data[[#This Row],[VP]]-INDEX(crudeBD.lkup[Mean_VP],MATCH(vp.data[[#This Row],[Crude_Breakdown]],crudeBD.lkup[Crude Breakdown],0)))^2</f>
        <v>0.41755578701246776</v>
      </c>
      <c r="AK533" s="5">
        <f>(vp.data[[#This Row],[Dens]]-INDEX(crudeBD.lkup[Mean_Dens],MATCH(vp.data[[#This Row],[Crude_Breakdown]],crudeBD.lkup[Crude Breakdown],0)))^2</f>
        <v>0.61344960971216256</v>
      </c>
      <c r="AL533" s="5">
        <f>(vp.data[[#This Row],[Sulf]]-INDEX(crudeBD.lkup[Mean_Sulf],MATCH(vp.data[[#This Row],[Crude_Breakdown]],crudeBD.lkup[Crude Breakdown],0)))^2</f>
        <v>0.11086979897559178</v>
      </c>
      <c r="AM533" s="4">
        <f>IF(AND(vp.data[[#This Row],[SDate]]&gt;=DATE(YEAR(vp.data[[#This Row],[SDate]]),5,1),vp.data[[#This Row],[SDate]]&lt;=DATE(YEAR(vp.data[[#This Row],[SDate]]),9,15)),1,0)</f>
        <v>0</v>
      </c>
      <c r="AN533" s="4">
        <f>IF(vp.data[[#This Row],[SDate]]&lt;DATE(2016,12,1),0,1)</f>
        <v>1</v>
      </c>
      <c r="AO533" s="4">
        <f>IFERROR(vp.data[[#This Row],[Sulf]]*vp.data[[#This Row],[Net Dens]],"")</f>
        <v>10166068.975556999</v>
      </c>
      <c r="AP533">
        <f>IFERROR(vp.data[[#This Row],[Dens]]*vp.data[[#This Row],[VolumeM3]],"")</f>
        <v>17230625.382300001</v>
      </c>
      <c r="AQ533" s="15">
        <f>IFERROR(vp.data[[#This Row],[VP]]*vp.data[[#This Row],[VolumeM3]],"")</f>
        <v>1911709.8099000002</v>
      </c>
    </row>
    <row r="534" spans="1:43" x14ac:dyDescent="0.25">
      <c r="A534">
        <v>533</v>
      </c>
      <c r="B534" t="s">
        <v>49</v>
      </c>
      <c r="C534" t="s">
        <v>49</v>
      </c>
      <c r="D534" t="s">
        <v>89</v>
      </c>
      <c r="F534" s="1">
        <v>42742</v>
      </c>
      <c r="G534" s="2">
        <v>104.5</v>
      </c>
      <c r="H534" s="2"/>
      <c r="I534" s="2">
        <f t="array" ref="I534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34" s="2">
        <v>2.8</v>
      </c>
      <c r="K534" s="2">
        <v>-28</v>
      </c>
      <c r="L534" s="2">
        <v>819.4</v>
      </c>
      <c r="M534" s="2">
        <f t="array" ref="M534">_xlfn.IFNA(IF(vp.data[[#This Row],[Dens Input]]="",INDEX([1]DATA!$O$3:$O$9826,MATCH(1,(vp.data[[#This Row],[Battery]]=[1]DATA!$L$3:$L$9826)*(EOMONTH(vp.data[[#This Row],[SDate]],-1)+1=[1]DATA!$G$3:$G$9826),0)),vp.data[[#This Row],[Dens Input]]),"")</f>
        <v>819.4</v>
      </c>
      <c r="N534" s="2">
        <f ca="1">INDEX(INDIRECT(_xlfn.CONCAT("weather.tbl[",N$1,"]")),MATCH(vp.data[[#This Row],[SDate]],weather.tbl[Date],0))</f>
        <v>-24.45</v>
      </c>
      <c r="O534" s="2">
        <f ca="1">INDEX(INDIRECT(_xlfn.CONCAT("weather.tbl[",O$1,"]")),MATCH(vp.data[[#This Row],[SDate]],weather.tbl[Date],0))</f>
        <v>-20.764285714285712</v>
      </c>
      <c r="P534" s="2">
        <f ca="1">INDEX(INDIRECT(_xlfn.CONCAT("weather.tbl[",P$1,"]")),MATCH(vp.data[[#This Row],[SDate]],weather.tbl[Date],0))</f>
        <v>-26.6</v>
      </c>
      <c r="Q534" s="2">
        <f ca="1">INDEX(INDIRECT(_xlfn.CONCAT("weather.tbl[",Q$1,"]")),MATCH(vp.data[[#This Row],[SDate]],weather.tbl[Date],0))</f>
        <v>-22.8</v>
      </c>
      <c r="R534" s="2">
        <f ca="1">INDEX(INDIRECT(_xlfn.CONCAT("weather.tbl[",R$1,"]")),MATCH(vp.data[[#This Row],[SDate]],weather.tbl[Date],0))</f>
        <v>-25</v>
      </c>
      <c r="S534" s="2">
        <f ca="1">INDEX(INDIRECT(_xlfn.CONCAT("weather.tbl[",S$1,"]")),MATCH(vp.data[[#This Row],[SDate]],weather.tbl[Date],0))</f>
        <v>-24.8</v>
      </c>
      <c r="T534" s="2">
        <f ca="1">INDEX(INDIRECT(_xlfn.CONCAT("weather.tbl[",T$1,"]")),MATCH(vp.data[[#This Row],[SDate]],weather.tbl[Date],0))</f>
        <v>-27</v>
      </c>
      <c r="U534" s="2">
        <f ca="1">INDEX(INDIRECT(_xlfn.CONCAT("weather.tbl[",U$1,"]")),MATCH(vp.data[[#This Row],[SDate]],weather.tbl[Date],0))</f>
        <v>-20.5</v>
      </c>
      <c r="V534" s="2">
        <f t="array" ref="V5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534" t="s">
        <v>48</v>
      </c>
      <c r="X534">
        <f>IF(OR(vp.data[[#This Row],[Sulf]]="",vp.data[[#This Row],[Dens]]=""),1,0)</f>
        <v>0</v>
      </c>
      <c r="Y534">
        <f>IF(vp.data[[#This Row],[CrudeType]]="C5+",1,0)</f>
        <v>0</v>
      </c>
      <c r="Z534">
        <f>IF(AND(vp.data[[#This Row],[CrudeType]]="Crude",vp.data[[#This Row],[Dens]]&lt;=825,vp.data[[#This Row],[Sulf]]&gt;0.5,vp.data[[#This Row],[Unknown]]=0),1,0)</f>
        <v>1</v>
      </c>
      <c r="AA534">
        <f>IF(AND(vp.data[[#This Row],[CrudeType]]="Crude",vp.data[[#This Row],[Dens]]&lt;=825,vp.data[[#This Row],[Sulf]]&lt;=0.5,vp.data[[#This Row],[Unknown]]=0),1,0)</f>
        <v>0</v>
      </c>
      <c r="AB5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4">
        <f>IF(AND(vp.data[[#This Row],[CrudeType]]="Crude",vp.data[[#This Row],[Dens]]&gt;825,vp.data[[#This Row],[Dens]]&lt;=900,vp.data[[#This Row],[Sulf]]&lt;=0.5,vp.data[[#This Row],[Unknown]]=0),1,0)</f>
        <v>0</v>
      </c>
      <c r="AD534">
        <f>IF(AND(vp.data[[#This Row],[CrudeType]]="Crude",vp.data[[#This Row],[Dens]]&gt;865,vp.data[[#This Row],[Dens]]&lt;=900,vp.data[[#This Row],[Sulf]]&gt;2,vp.data[[#This Row],[Unknown]]=0),1,0)</f>
        <v>0</v>
      </c>
      <c r="AE534">
        <f>IF(AND(vp.data[[#This Row],[CrudeType]]="Crude",vp.data[[#This Row],[Dens]]&gt;900,vp.data[[#This Row],[Sulf]]&lt;=0.5,vp.data[[#This Row],[Unknown]]=0),1,0)</f>
        <v>0</v>
      </c>
      <c r="AF534">
        <f>IF(AND(vp.data[[#This Row],[CrudeType]]="Crude",vp.data[[#This Row],[Dens]]&gt;900,vp.data[[#This Row],[Sulf]]&lt;=0.5,vp.data[[#This Row],[Unknown]]=0),1,0)</f>
        <v>0</v>
      </c>
      <c r="AG534" t="str">
        <f>INDEX(vp.data[[#Headers],[Unknown]:[Heavy_SW]],MATCH(1,vp.data[[#This Row],[Unknown]:[Heavy_SW]],0))</f>
        <v>Light_LSB</v>
      </c>
      <c r="AH534">
        <f>INDEX([3]!crudeBD.lkup[Number],MATCH(vp.data[[#This Row],[Crude_Breakdown]],crudeBD.lkup[Crude Breakdown],0))</f>
        <v>1</v>
      </c>
      <c r="AI534">
        <f>MONTH(vp.data[[#This Row],[SDate]])</f>
        <v>1</v>
      </c>
      <c r="AJ534" s="5">
        <f>(vp.data[[#This Row],[VP]]-INDEX(crudeBD.lkup[Mean_VP],MATCH(vp.data[[#This Row],[Crude_Breakdown]],crudeBD.lkup[Crude Breakdown],0)))^2</f>
        <v>167.80130836433122</v>
      </c>
      <c r="AK534" s="5">
        <f>(vp.data[[#This Row],[Dens]]-INDEX(crudeBD.lkup[Mean_Dens],MATCH(vp.data[[#This Row],[Crude_Breakdown]],crudeBD.lkup[Crude Breakdown],0)))^2</f>
        <v>0.78009565782222201</v>
      </c>
      <c r="AL534" s="5">
        <f>(vp.data[[#This Row],[Sulf]]-INDEX(crudeBD.lkup[Mean_Sulf],MATCH(vp.data[[#This Row],[Crude_Breakdown]],crudeBD.lkup[Crude Breakdown],0)))^2</f>
        <v>4.9716141930918292E-2</v>
      </c>
      <c r="AM534" s="4">
        <f>IF(AND(vp.data[[#This Row],[SDate]]&gt;=DATE(YEAR(vp.data[[#This Row],[SDate]]),5,1),vp.data[[#This Row],[SDate]]&lt;=DATE(YEAR(vp.data[[#This Row],[SDate]]),9,15)),1,0)</f>
        <v>0</v>
      </c>
      <c r="AN534" s="4">
        <f>IF(vp.data[[#This Row],[SDate]]&lt;DATE(2016,12,1),0,1)</f>
        <v>1</v>
      </c>
      <c r="AO534" s="4">
        <f>IFERROR(vp.data[[#This Row],[Sulf]]*vp.data[[#This Row],[Net Dens]],"")</f>
        <v>3544472.5983799999</v>
      </c>
      <c r="AP534">
        <f>IFERROR(vp.data[[#This Row],[Dens]]*vp.data[[#This Row],[VolumeM3]],"")</f>
        <v>5063532.2834000001</v>
      </c>
      <c r="AQ534" s="15">
        <f>IFERROR(vp.data[[#This Row],[VP]]*vp.data[[#This Row],[VolumeM3]],"")</f>
        <v>645764.12449999992</v>
      </c>
    </row>
    <row r="535" spans="1:43" x14ac:dyDescent="0.25">
      <c r="A535">
        <v>534</v>
      </c>
      <c r="B535" t="s">
        <v>49</v>
      </c>
      <c r="C535" t="s">
        <v>49</v>
      </c>
      <c r="D535" t="s">
        <v>101</v>
      </c>
      <c r="F535" s="1">
        <v>42742</v>
      </c>
      <c r="G535" s="2">
        <v>76.7</v>
      </c>
      <c r="H535" s="2"/>
      <c r="I535" s="2">
        <f t="array" ref="I535">_xlfn.IFNA(IF(vp.data[[#This Row],[Sulf Input]]="",INDEX([1]DATA!$Q$3:$Q$9826,MATCH(1,(vp.data[[#This Row],[Battery]]=[1]DATA!$L$3:$L$9826)*(EOMONTH(vp.data[[#This Row],[SDate]],-1)+1=[1]DATA!$G$3:$G$9826),0)),vp.data[[#This Row],[Sulf Input]]),"")</f>
        <v>0.27</v>
      </c>
      <c r="J535" s="2">
        <v>-9</v>
      </c>
      <c r="K535" s="2">
        <v>-28</v>
      </c>
      <c r="L535" s="2">
        <v>821.8</v>
      </c>
      <c r="M535" s="2">
        <f t="array" ref="M535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535" s="2">
        <f ca="1">INDEX(INDIRECT(_xlfn.CONCAT("weather.tbl[",N$1,"]")),MATCH(vp.data[[#This Row],[SDate]],weather.tbl[Date],0))</f>
        <v>-24.45</v>
      </c>
      <c r="O535" s="2">
        <f ca="1">INDEX(INDIRECT(_xlfn.CONCAT("weather.tbl[",O$1,"]")),MATCH(vp.data[[#This Row],[SDate]],weather.tbl[Date],0))</f>
        <v>-20.764285714285712</v>
      </c>
      <c r="P535" s="2">
        <f ca="1">INDEX(INDIRECT(_xlfn.CONCAT("weather.tbl[",P$1,"]")),MATCH(vp.data[[#This Row],[SDate]],weather.tbl[Date],0))</f>
        <v>-26.6</v>
      </c>
      <c r="Q535" s="2">
        <f ca="1">INDEX(INDIRECT(_xlfn.CONCAT("weather.tbl[",Q$1,"]")),MATCH(vp.data[[#This Row],[SDate]],weather.tbl[Date],0))</f>
        <v>-22.8</v>
      </c>
      <c r="R535" s="2">
        <f ca="1">INDEX(INDIRECT(_xlfn.CONCAT("weather.tbl[",R$1,"]")),MATCH(vp.data[[#This Row],[SDate]],weather.tbl[Date],0))</f>
        <v>-25</v>
      </c>
      <c r="S535" s="2">
        <f ca="1">INDEX(INDIRECT(_xlfn.CONCAT("weather.tbl[",S$1,"]")),MATCH(vp.data[[#This Row],[SDate]],weather.tbl[Date],0))</f>
        <v>-24.8</v>
      </c>
      <c r="T535" s="2">
        <f ca="1">INDEX(INDIRECT(_xlfn.CONCAT("weather.tbl[",T$1,"]")),MATCH(vp.data[[#This Row],[SDate]],weather.tbl[Date],0))</f>
        <v>-27</v>
      </c>
      <c r="U535" s="2">
        <f ca="1">INDEX(INDIRECT(_xlfn.CONCAT("weather.tbl[",U$1,"]")),MATCH(vp.data[[#This Row],[SDate]],weather.tbl[Date],0))</f>
        <v>-20.5</v>
      </c>
      <c r="V535" s="2">
        <f t="array" ref="V5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421.06</v>
      </c>
      <c r="W535" t="s">
        <v>48</v>
      </c>
      <c r="X535">
        <f>IF(OR(vp.data[[#This Row],[Sulf]]="",vp.data[[#This Row],[Dens]]=""),1,0)</f>
        <v>0</v>
      </c>
      <c r="Y535">
        <f>IF(vp.data[[#This Row],[CrudeType]]="C5+",1,0)</f>
        <v>0</v>
      </c>
      <c r="Z535">
        <f>IF(AND(vp.data[[#This Row],[CrudeType]]="Crude",vp.data[[#This Row],[Dens]]&lt;=825,vp.data[[#This Row],[Sulf]]&gt;0.5,vp.data[[#This Row],[Unknown]]=0),1,0)</f>
        <v>0</v>
      </c>
      <c r="AA535">
        <f>IF(AND(vp.data[[#This Row],[CrudeType]]="Crude",vp.data[[#This Row],[Dens]]&lt;=825,vp.data[[#This Row],[Sulf]]&lt;=0.5,vp.data[[#This Row],[Unknown]]=0),1,0)</f>
        <v>1</v>
      </c>
      <c r="AB5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5">
        <f>IF(AND(vp.data[[#This Row],[CrudeType]]="Crude",vp.data[[#This Row],[Dens]]&gt;825,vp.data[[#This Row],[Dens]]&lt;=900,vp.data[[#This Row],[Sulf]]&lt;=0.5,vp.data[[#This Row],[Unknown]]=0),1,0)</f>
        <v>0</v>
      </c>
      <c r="AD535">
        <f>IF(AND(vp.data[[#This Row],[CrudeType]]="Crude",vp.data[[#This Row],[Dens]]&gt;865,vp.data[[#This Row],[Dens]]&lt;=900,vp.data[[#This Row],[Sulf]]&gt;2,vp.data[[#This Row],[Unknown]]=0),1,0)</f>
        <v>0</v>
      </c>
      <c r="AE535">
        <f>IF(AND(vp.data[[#This Row],[CrudeType]]="Crude",vp.data[[#This Row],[Dens]]&gt;900,vp.data[[#This Row],[Sulf]]&lt;=0.5,vp.data[[#This Row],[Unknown]]=0),1,0)</f>
        <v>0</v>
      </c>
      <c r="AF535">
        <f>IF(AND(vp.data[[#This Row],[CrudeType]]="Crude",vp.data[[#This Row],[Dens]]&gt;900,vp.data[[#This Row],[Sulf]]&lt;=0.5,vp.data[[#This Row],[Unknown]]=0),1,0)</f>
        <v>0</v>
      </c>
      <c r="AG535" t="str">
        <f>INDEX(vp.data[[#Headers],[Unknown]:[Heavy_SW]],MATCH(1,vp.data[[#This Row],[Unknown]:[Heavy_SW]],0))</f>
        <v>Light_SW</v>
      </c>
      <c r="AH535">
        <f>INDEX([3]!crudeBD.lkup[Number],MATCH(vp.data[[#This Row],[Crude_Breakdown]],crudeBD.lkup[Crude Breakdown],0))</f>
        <v>2</v>
      </c>
      <c r="AI535">
        <f>MONTH(vp.data[[#This Row],[SDate]])</f>
        <v>1</v>
      </c>
      <c r="AJ535" s="5">
        <f>(vp.data[[#This Row],[VP]]-INDEX(crudeBD.lkup[Mean_VP],MATCH(vp.data[[#This Row],[Crude_Breakdown]],crudeBD.lkup[Crude Breakdown],0)))^2</f>
        <v>251.23244086488745</v>
      </c>
      <c r="AK535" s="5">
        <f>(vp.data[[#This Row],[Dens]]-INDEX(crudeBD.lkup[Mean_Dens],MATCH(vp.data[[#This Row],[Crude_Breakdown]],crudeBD.lkup[Crude Breakdown],0)))^2</f>
        <v>181.93967924826555</v>
      </c>
      <c r="AL535" s="5">
        <f>(vp.data[[#This Row],[Sulf]]-INDEX(crudeBD.lkup[Mean_Sulf],MATCH(vp.data[[#This Row],[Crude_Breakdown]],crudeBD.lkup[Crude Breakdown],0)))^2</f>
        <v>1.1396152673942982E-3</v>
      </c>
      <c r="AM535" s="4">
        <f>IF(AND(vp.data[[#This Row],[SDate]]&gt;=DATE(YEAR(vp.data[[#This Row],[SDate]]),5,1),vp.data[[#This Row],[SDate]]&lt;=DATE(YEAR(vp.data[[#This Row],[SDate]]),9,15)),1,0)</f>
        <v>0</v>
      </c>
      <c r="AN535" s="4">
        <f>IF(vp.data[[#This Row],[SDate]]&lt;DATE(2016,12,1),0,1)</f>
        <v>1</v>
      </c>
      <c r="AO535" s="4">
        <f>IFERROR(vp.data[[#This Row],[Sulf]]*vp.data[[#This Row],[Net Dens]],"")</f>
        <v>93427.319160000014</v>
      </c>
      <c r="AP535">
        <f>IFERROR(vp.data[[#This Row],[Dens]]*vp.data[[#This Row],[VolumeM3]],"")</f>
        <v>346027.10800000001</v>
      </c>
      <c r="AQ535" s="15">
        <f>IFERROR(vp.data[[#This Row],[VP]]*vp.data[[#This Row],[VolumeM3]],"")</f>
        <v>32295.302</v>
      </c>
    </row>
    <row r="536" spans="1:43" x14ac:dyDescent="0.25">
      <c r="A536">
        <v>535</v>
      </c>
      <c r="B536" t="s">
        <v>108</v>
      </c>
      <c r="C536" t="s">
        <v>108</v>
      </c>
      <c r="D536" t="s">
        <v>113</v>
      </c>
      <c r="F536" s="1">
        <v>42742</v>
      </c>
      <c r="G536" s="2">
        <v>106.6</v>
      </c>
      <c r="H536" s="2"/>
      <c r="I536" s="2">
        <f t="array" ref="I536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536" s="2">
        <v>6.7</v>
      </c>
      <c r="K536" s="2">
        <v>-28</v>
      </c>
      <c r="L536" s="2">
        <v>836.9</v>
      </c>
      <c r="M536" s="2">
        <f t="array" ref="M536">_xlfn.IFNA(IF(vp.data[[#This Row],[Dens Input]]="",INDEX([1]DATA!$O$3:$O$9826,MATCH(1,(vp.data[[#This Row],[Battery]]=[1]DATA!$L$3:$L$9826)*(EOMONTH(vp.data[[#This Row],[SDate]],-1)+1=[1]DATA!$G$3:$G$9826),0)),vp.data[[#This Row],[Dens Input]]),"")</f>
        <v>836.9</v>
      </c>
      <c r="N536" s="2">
        <f ca="1">INDEX(INDIRECT(_xlfn.CONCAT("weather.tbl[",N$1,"]")),MATCH(vp.data[[#This Row],[SDate]],weather.tbl[Date],0))</f>
        <v>-24.45</v>
      </c>
      <c r="O536" s="2">
        <f ca="1">INDEX(INDIRECT(_xlfn.CONCAT("weather.tbl[",O$1,"]")),MATCH(vp.data[[#This Row],[SDate]],weather.tbl[Date],0))</f>
        <v>-20.764285714285712</v>
      </c>
      <c r="P536" s="2">
        <f ca="1">INDEX(INDIRECT(_xlfn.CONCAT("weather.tbl[",P$1,"]")),MATCH(vp.data[[#This Row],[SDate]],weather.tbl[Date],0))</f>
        <v>-26.6</v>
      </c>
      <c r="Q536" s="2">
        <f ca="1">INDEX(INDIRECT(_xlfn.CONCAT("weather.tbl[",Q$1,"]")),MATCH(vp.data[[#This Row],[SDate]],weather.tbl[Date],0))</f>
        <v>-22.8</v>
      </c>
      <c r="R536" s="2">
        <f ca="1">INDEX(INDIRECT(_xlfn.CONCAT("weather.tbl[",R$1,"]")),MATCH(vp.data[[#This Row],[SDate]],weather.tbl[Date],0))</f>
        <v>-25</v>
      </c>
      <c r="S536" s="2">
        <f ca="1">INDEX(INDIRECT(_xlfn.CONCAT("weather.tbl[",S$1,"]")),MATCH(vp.data[[#This Row],[SDate]],weather.tbl[Date],0))</f>
        <v>-24.8</v>
      </c>
      <c r="T536" s="2">
        <f ca="1">INDEX(INDIRECT(_xlfn.CONCAT("weather.tbl[",T$1,"]")),MATCH(vp.data[[#This Row],[SDate]],weather.tbl[Date],0))</f>
        <v>-27</v>
      </c>
      <c r="U536" s="2">
        <f ca="1">INDEX(INDIRECT(_xlfn.CONCAT("weather.tbl[",U$1,"]")),MATCH(vp.data[[#This Row],[SDate]],weather.tbl[Date],0))</f>
        <v>-20.5</v>
      </c>
      <c r="V536" s="2">
        <f t="array" ref="V5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745.88199999999995</v>
      </c>
      <c r="W536" t="s">
        <v>48</v>
      </c>
      <c r="X536">
        <f>IF(OR(vp.data[[#This Row],[Sulf]]="",vp.data[[#This Row],[Dens]]=""),1,0)</f>
        <v>0</v>
      </c>
      <c r="Y536">
        <f>IF(vp.data[[#This Row],[CrudeType]]="C5+",1,0)</f>
        <v>0</v>
      </c>
      <c r="Z536">
        <f>IF(AND(vp.data[[#This Row],[CrudeType]]="Crude",vp.data[[#This Row],[Dens]]&lt;=825,vp.data[[#This Row],[Sulf]]&gt;0.5,vp.data[[#This Row],[Unknown]]=0),1,0)</f>
        <v>0</v>
      </c>
      <c r="AA536">
        <f>IF(AND(vp.data[[#This Row],[CrudeType]]="Crude",vp.data[[#This Row],[Dens]]&lt;=825,vp.data[[#This Row],[Sulf]]&lt;=0.5,vp.data[[#This Row],[Unknown]]=0),1,0)</f>
        <v>0</v>
      </c>
      <c r="AB5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36">
        <f>IF(AND(vp.data[[#This Row],[CrudeType]]="Crude",vp.data[[#This Row],[Dens]]&gt;825,vp.data[[#This Row],[Dens]]&lt;=900,vp.data[[#This Row],[Sulf]]&lt;=0.5,vp.data[[#This Row],[Unknown]]=0),1,0)</f>
        <v>0</v>
      </c>
      <c r="AD536">
        <f>IF(AND(vp.data[[#This Row],[CrudeType]]="Crude",vp.data[[#This Row],[Dens]]&gt;865,vp.data[[#This Row],[Dens]]&lt;=900,vp.data[[#This Row],[Sulf]]&gt;2,vp.data[[#This Row],[Unknown]]=0),1,0)</f>
        <v>0</v>
      </c>
      <c r="AE536">
        <f>IF(AND(vp.data[[#This Row],[CrudeType]]="Crude",vp.data[[#This Row],[Dens]]&gt;900,vp.data[[#This Row],[Sulf]]&lt;=0.5,vp.data[[#This Row],[Unknown]]=0),1,0)</f>
        <v>0</v>
      </c>
      <c r="AF536">
        <f>IF(AND(vp.data[[#This Row],[CrudeType]]="Crude",vp.data[[#This Row],[Dens]]&gt;900,vp.data[[#This Row],[Sulf]]&lt;=0.5,vp.data[[#This Row],[Unknown]]=0),1,0)</f>
        <v>0</v>
      </c>
      <c r="AG536" t="str">
        <f>INDEX(vp.data[[#Headers],[Unknown]:[Heavy_SW]],MATCH(1,vp.data[[#This Row],[Unknown]:[Heavy_SW]],0))</f>
        <v>Medium_LSB</v>
      </c>
      <c r="AH536">
        <f>INDEX([3]!crudeBD.lkup[Number],MATCH(vp.data[[#This Row],[Crude_Breakdown]],crudeBD.lkup[Crude Breakdown],0))</f>
        <v>3</v>
      </c>
      <c r="AI536">
        <f>MONTH(vp.data[[#This Row],[SDate]])</f>
        <v>1</v>
      </c>
      <c r="AJ536" s="5">
        <f>(vp.data[[#This Row],[VP]]-INDEX(crudeBD.lkup[Mean_VP],MATCH(vp.data[[#This Row],[Crude_Breakdown]],crudeBD.lkup[Crude Breakdown],0)))^2</f>
        <v>673.93839363562074</v>
      </c>
      <c r="AK536" s="5">
        <f>(vp.data[[#This Row],[Dens]]-INDEX(crudeBD.lkup[Mean_Dens],MATCH(vp.data[[#This Row],[Crude_Breakdown]],crudeBD.lkup[Crude Breakdown],0)))^2</f>
        <v>49.280399999993357</v>
      </c>
      <c r="AL536" s="5">
        <f>(vp.data[[#This Row],[Sulf]]-INDEX(crudeBD.lkup[Mean_Sulf],MATCH(vp.data[[#This Row],[Crude_Breakdown]],crudeBD.lkup[Crude Breakdown],0)))^2</f>
        <v>1.1110873171164612E-2</v>
      </c>
      <c r="AM536" s="4">
        <f>IF(AND(vp.data[[#This Row],[SDate]]&gt;=DATE(YEAR(vp.data[[#This Row],[SDate]]),5,1),vp.data[[#This Row],[SDate]]&lt;=DATE(YEAR(vp.data[[#This Row],[SDate]]),9,15)),1,0)</f>
        <v>0</v>
      </c>
      <c r="AN536" s="4">
        <f>IF(vp.data[[#This Row],[SDate]]&lt;DATE(2016,12,1),0,1)</f>
        <v>1</v>
      </c>
      <c r="AO536" s="4">
        <f>IFERROR(vp.data[[#This Row],[Sulf]]*vp.data[[#This Row],[Net Dens]],"")</f>
        <v>799012.66662399995</v>
      </c>
      <c r="AP536">
        <f>IFERROR(vp.data[[#This Row],[Dens]]*vp.data[[#This Row],[VolumeM3]],"")</f>
        <v>624228.64579999994</v>
      </c>
      <c r="AQ536" s="15">
        <f>IFERROR(vp.data[[#This Row],[VP]]*vp.data[[#This Row],[VolumeM3]],"")</f>
        <v>79511.021199999988</v>
      </c>
    </row>
    <row r="537" spans="1:43" x14ac:dyDescent="0.25">
      <c r="A537">
        <v>536</v>
      </c>
      <c r="B537" t="s">
        <v>49</v>
      </c>
      <c r="C537" t="s">
        <v>49</v>
      </c>
      <c r="D537" t="s">
        <v>114</v>
      </c>
      <c r="F537" s="1">
        <v>42742</v>
      </c>
      <c r="G537" s="2">
        <v>66.400000000000006</v>
      </c>
      <c r="H537" s="2"/>
      <c r="I537" s="2">
        <f t="array" ref="I537">_xlfn.IFNA(IF(vp.data[[#This Row],[Sulf Input]]="",INDEX([1]DATA!$Q$3:$Q$9826,MATCH(1,(vp.data[[#This Row],[Battery]]=[1]DATA!$L$3:$L$9826)*(EOMONTH(vp.data[[#This Row],[SDate]],-1)+1=[1]DATA!$G$3:$G$9826),0)),vp.data[[#This Row],[Sulf Input]]),"")</f>
        <v>1.94</v>
      </c>
      <c r="J537" s="2">
        <v>19</v>
      </c>
      <c r="K537" s="2">
        <v>-28</v>
      </c>
      <c r="L537" s="2">
        <v>865.9</v>
      </c>
      <c r="M537" s="2">
        <f t="array" ref="M537">_xlfn.IFNA(IF(vp.data[[#This Row],[Dens Input]]="",INDEX([1]DATA!$O$3:$O$9826,MATCH(1,(vp.data[[#This Row],[Battery]]=[1]DATA!$L$3:$L$9826)*(EOMONTH(vp.data[[#This Row],[SDate]],-1)+1=[1]DATA!$G$3:$G$9826),0)),vp.data[[#This Row],[Dens Input]]),"")</f>
        <v>865.9</v>
      </c>
      <c r="N537" s="2">
        <f ca="1">INDEX(INDIRECT(_xlfn.CONCAT("weather.tbl[",N$1,"]")),MATCH(vp.data[[#This Row],[SDate]],weather.tbl[Date],0))</f>
        <v>-24.45</v>
      </c>
      <c r="O537" s="2">
        <f ca="1">INDEX(INDIRECT(_xlfn.CONCAT("weather.tbl[",O$1,"]")),MATCH(vp.data[[#This Row],[SDate]],weather.tbl[Date],0))</f>
        <v>-20.764285714285712</v>
      </c>
      <c r="P537" s="2">
        <f ca="1">INDEX(INDIRECT(_xlfn.CONCAT("weather.tbl[",P$1,"]")),MATCH(vp.data[[#This Row],[SDate]],weather.tbl[Date],0))</f>
        <v>-26.6</v>
      </c>
      <c r="Q537" s="2">
        <f ca="1">INDEX(INDIRECT(_xlfn.CONCAT("weather.tbl[",Q$1,"]")),MATCH(vp.data[[#This Row],[SDate]],weather.tbl[Date],0))</f>
        <v>-22.8</v>
      </c>
      <c r="R537" s="2">
        <f ca="1">INDEX(INDIRECT(_xlfn.CONCAT("weather.tbl[",R$1,"]")),MATCH(vp.data[[#This Row],[SDate]],weather.tbl[Date],0))</f>
        <v>-25</v>
      </c>
      <c r="S537" s="2">
        <f ca="1">INDEX(INDIRECT(_xlfn.CONCAT("weather.tbl[",S$1,"]")),MATCH(vp.data[[#This Row],[SDate]],weather.tbl[Date],0))</f>
        <v>-24.8</v>
      </c>
      <c r="T537" s="2">
        <f ca="1">INDEX(INDIRECT(_xlfn.CONCAT("weather.tbl[",T$1,"]")),MATCH(vp.data[[#This Row],[SDate]],weather.tbl[Date],0))</f>
        <v>-27</v>
      </c>
      <c r="U537" s="2">
        <f ca="1">INDEX(INDIRECT(_xlfn.CONCAT("weather.tbl[",U$1,"]")),MATCH(vp.data[[#This Row],[SDate]],weather.tbl[Date],0))</f>
        <v>-20.5</v>
      </c>
      <c r="V537" s="2">
        <f t="array" ref="V5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1529.1980000000001</v>
      </c>
      <c r="W537" t="s">
        <v>48</v>
      </c>
      <c r="X537">
        <f>IF(OR(vp.data[[#This Row],[Sulf]]="",vp.data[[#This Row],[Dens]]=""),1,0)</f>
        <v>0</v>
      </c>
      <c r="Y537">
        <f>IF(vp.data[[#This Row],[CrudeType]]="C5+",1,0)</f>
        <v>0</v>
      </c>
      <c r="Z537">
        <f>IF(AND(vp.data[[#This Row],[CrudeType]]="Crude",vp.data[[#This Row],[Dens]]&lt;=825,vp.data[[#This Row],[Sulf]]&gt;0.5,vp.data[[#This Row],[Unknown]]=0),1,0)</f>
        <v>0</v>
      </c>
      <c r="AA537">
        <f>IF(AND(vp.data[[#This Row],[CrudeType]]="Crude",vp.data[[#This Row],[Dens]]&lt;=825,vp.data[[#This Row],[Sulf]]&lt;=0.5,vp.data[[#This Row],[Unknown]]=0),1,0)</f>
        <v>0</v>
      </c>
      <c r="AB5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37">
        <f>IF(AND(vp.data[[#This Row],[CrudeType]]="Crude",vp.data[[#This Row],[Dens]]&gt;825,vp.data[[#This Row],[Dens]]&lt;=900,vp.data[[#This Row],[Sulf]]&lt;=0.5,vp.data[[#This Row],[Unknown]]=0),1,0)</f>
        <v>0</v>
      </c>
      <c r="AD537">
        <f>IF(AND(vp.data[[#This Row],[CrudeType]]="Crude",vp.data[[#This Row],[Dens]]&gt;865,vp.data[[#This Row],[Dens]]&lt;=900,vp.data[[#This Row],[Sulf]]&gt;2,vp.data[[#This Row],[Unknown]]=0),1,0)</f>
        <v>0</v>
      </c>
      <c r="AE537">
        <f>IF(AND(vp.data[[#This Row],[CrudeType]]="Crude",vp.data[[#This Row],[Dens]]&gt;900,vp.data[[#This Row],[Sulf]]&lt;=0.5,vp.data[[#This Row],[Unknown]]=0),1,0)</f>
        <v>0</v>
      </c>
      <c r="AF537">
        <f>IF(AND(vp.data[[#This Row],[CrudeType]]="Crude",vp.data[[#This Row],[Dens]]&gt;900,vp.data[[#This Row],[Sulf]]&lt;=0.5,vp.data[[#This Row],[Unknown]]=0),1,0)</f>
        <v>0</v>
      </c>
      <c r="AG537" t="str">
        <f>INDEX(vp.data[[#Headers],[Unknown]:[Heavy_SW]],MATCH(1,vp.data[[#This Row],[Unknown]:[Heavy_SW]],0))</f>
        <v>Medium_LSB</v>
      </c>
      <c r="AH537">
        <f>INDEX([3]!crudeBD.lkup[Number],MATCH(vp.data[[#This Row],[Crude_Breakdown]],crudeBD.lkup[Crude Breakdown],0))</f>
        <v>3</v>
      </c>
      <c r="AI537">
        <f>MONTH(vp.data[[#This Row],[SDate]])</f>
        <v>1</v>
      </c>
      <c r="AJ537" s="5">
        <f>(vp.data[[#This Row],[VP]]-INDEX(crudeBD.lkup[Mean_VP],MATCH(vp.data[[#This Row],[Crude_Breakdown]],crudeBD.lkup[Crude Breakdown],0)))^2</f>
        <v>202.76838824477952</v>
      </c>
      <c r="AK537" s="5">
        <f>(vp.data[[#This Row],[Dens]]-INDEX(crudeBD.lkup[Mean_Dens],MATCH(vp.data[[#This Row],[Crude_Breakdown]],crudeBD.lkup[Crude Breakdown],0)))^2</f>
        <v>483.12040000002077</v>
      </c>
      <c r="AL537" s="5">
        <f>(vp.data[[#This Row],[Sulf]]-INDEX(crudeBD.lkup[Mean_Sulf],MATCH(vp.data[[#This Row],[Crude_Breakdown]],crudeBD.lkup[Crude Breakdown],0)))^2</f>
        <v>0.30757214594744287</v>
      </c>
      <c r="AM537" s="4">
        <f>IF(AND(vp.data[[#This Row],[SDate]]&gt;=DATE(YEAR(vp.data[[#This Row],[SDate]]),5,1),vp.data[[#This Row],[SDate]]&lt;=DATE(YEAR(vp.data[[#This Row],[SDate]]),9,15)),1,0)</f>
        <v>0</v>
      </c>
      <c r="AN537" s="4">
        <f>IF(vp.data[[#This Row],[SDate]]&lt;DATE(2016,12,1),0,1)</f>
        <v>1</v>
      </c>
      <c r="AO537" s="4">
        <f>IFERROR(vp.data[[#This Row],[Sulf]]*vp.data[[#This Row],[Net Dens]],"")</f>
        <v>2568817.1435080003</v>
      </c>
      <c r="AP537">
        <f>IFERROR(vp.data[[#This Row],[Dens]]*vp.data[[#This Row],[VolumeM3]],"")</f>
        <v>1324132.5482000001</v>
      </c>
      <c r="AQ537" s="15">
        <f>IFERROR(vp.data[[#This Row],[VP]]*vp.data[[#This Row],[VolumeM3]],"")</f>
        <v>101538.74720000001</v>
      </c>
    </row>
    <row r="538" spans="1:43" x14ac:dyDescent="0.25">
      <c r="A538">
        <v>537</v>
      </c>
      <c r="B538" t="s">
        <v>49</v>
      </c>
      <c r="C538" t="s">
        <v>49</v>
      </c>
      <c r="D538" t="s">
        <v>115</v>
      </c>
      <c r="F538" s="1">
        <v>42742</v>
      </c>
      <c r="G538" s="2">
        <v>74.099999999999994</v>
      </c>
      <c r="H538" s="2"/>
      <c r="I538" s="2">
        <f t="array" ref="I538">_xlfn.IFNA(IF(vp.data[[#This Row],[Sulf Input]]="",INDEX([1]DATA!$Q$3:$Q$9826,MATCH(1,(vp.data[[#This Row],[Battery]]=[1]DATA!$L$3:$L$9826)*(EOMONTH(vp.data[[#This Row],[SDate]],-1)+1=[1]DATA!$G$3:$G$9826),0)),vp.data[[#This Row],[Sulf Input]]),"")</f>
        <v>2.19</v>
      </c>
      <c r="J538" s="2">
        <v>6</v>
      </c>
      <c r="K538" s="2">
        <v>-28</v>
      </c>
      <c r="L538" s="2">
        <v>881.7</v>
      </c>
      <c r="M538" s="2">
        <f t="array" ref="M538">_xlfn.IFNA(IF(vp.data[[#This Row],[Dens Input]]="",INDEX([1]DATA!$O$3:$O$9826,MATCH(1,(vp.data[[#This Row],[Battery]]=[1]DATA!$L$3:$L$9826)*(EOMONTH(vp.data[[#This Row],[SDate]],-1)+1=[1]DATA!$G$3:$G$9826),0)),vp.data[[#This Row],[Dens Input]]),"")</f>
        <v>881.7</v>
      </c>
      <c r="N538" s="2">
        <f ca="1">INDEX(INDIRECT(_xlfn.CONCAT("weather.tbl[",N$1,"]")),MATCH(vp.data[[#This Row],[SDate]],weather.tbl[Date],0))</f>
        <v>-24.45</v>
      </c>
      <c r="O538" s="2">
        <f ca="1">INDEX(INDIRECT(_xlfn.CONCAT("weather.tbl[",O$1,"]")),MATCH(vp.data[[#This Row],[SDate]],weather.tbl[Date],0))</f>
        <v>-20.764285714285712</v>
      </c>
      <c r="P538" s="2">
        <f ca="1">INDEX(INDIRECT(_xlfn.CONCAT("weather.tbl[",P$1,"]")),MATCH(vp.data[[#This Row],[SDate]],weather.tbl[Date],0))</f>
        <v>-26.6</v>
      </c>
      <c r="Q538" s="2">
        <f ca="1">INDEX(INDIRECT(_xlfn.CONCAT("weather.tbl[",Q$1,"]")),MATCH(vp.data[[#This Row],[SDate]],weather.tbl[Date],0))</f>
        <v>-22.8</v>
      </c>
      <c r="R538" s="2">
        <f ca="1">INDEX(INDIRECT(_xlfn.CONCAT("weather.tbl[",R$1,"]")),MATCH(vp.data[[#This Row],[SDate]],weather.tbl[Date],0))</f>
        <v>-25</v>
      </c>
      <c r="S538" s="2">
        <f ca="1">INDEX(INDIRECT(_xlfn.CONCAT("weather.tbl[",S$1,"]")),MATCH(vp.data[[#This Row],[SDate]],weather.tbl[Date],0))</f>
        <v>-24.8</v>
      </c>
      <c r="T538" s="2">
        <f ca="1">INDEX(INDIRECT(_xlfn.CONCAT("weather.tbl[",T$1,"]")),MATCH(vp.data[[#This Row],[SDate]],weather.tbl[Date],0))</f>
        <v>-27</v>
      </c>
      <c r="U538" s="2">
        <f ca="1">INDEX(INDIRECT(_xlfn.CONCAT("weather.tbl[",U$1,"]")),MATCH(vp.data[[#This Row],[SDate]],weather.tbl[Date],0))</f>
        <v>-20.5</v>
      </c>
      <c r="V538" s="2">
        <f t="array" ref="V5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1113.117</v>
      </c>
      <c r="W538" t="s">
        <v>48</v>
      </c>
      <c r="X538">
        <f>IF(OR(vp.data[[#This Row],[Sulf]]="",vp.data[[#This Row],[Dens]]=""),1,0)</f>
        <v>0</v>
      </c>
      <c r="Y538">
        <f>IF(vp.data[[#This Row],[CrudeType]]="C5+",1,0)</f>
        <v>0</v>
      </c>
      <c r="Z538">
        <f>IF(AND(vp.data[[#This Row],[CrudeType]]="Crude",vp.data[[#This Row],[Dens]]&lt;=825,vp.data[[#This Row],[Sulf]]&gt;0.5,vp.data[[#This Row],[Unknown]]=0),1,0)</f>
        <v>0</v>
      </c>
      <c r="AA538">
        <f>IF(AND(vp.data[[#This Row],[CrudeType]]="Crude",vp.data[[#This Row],[Dens]]&lt;=825,vp.data[[#This Row],[Sulf]]&lt;=0.5,vp.data[[#This Row],[Unknown]]=0),1,0)</f>
        <v>0</v>
      </c>
      <c r="AB5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8">
        <f>IF(AND(vp.data[[#This Row],[CrudeType]]="Crude",vp.data[[#This Row],[Dens]]&gt;825,vp.data[[#This Row],[Dens]]&lt;=900,vp.data[[#This Row],[Sulf]]&lt;=0.5,vp.data[[#This Row],[Unknown]]=0),1,0)</f>
        <v>0</v>
      </c>
      <c r="AD538">
        <f>IF(AND(vp.data[[#This Row],[CrudeType]]="Crude",vp.data[[#This Row],[Dens]]&gt;865,vp.data[[#This Row],[Dens]]&lt;=900,vp.data[[#This Row],[Sulf]]&gt;2,vp.data[[#This Row],[Unknown]]=0),1,0)</f>
        <v>1</v>
      </c>
      <c r="AE538">
        <f>IF(AND(vp.data[[#This Row],[CrudeType]]="Crude",vp.data[[#This Row],[Dens]]&gt;900,vp.data[[#This Row],[Sulf]]&lt;=0.5,vp.data[[#This Row],[Unknown]]=0),1,0)</f>
        <v>0</v>
      </c>
      <c r="AF538">
        <f>IF(AND(vp.data[[#This Row],[CrudeType]]="Crude",vp.data[[#This Row],[Dens]]&gt;900,vp.data[[#This Row],[Sulf]]&lt;=0.5,vp.data[[#This Row],[Unknown]]=0),1,0)</f>
        <v>0</v>
      </c>
      <c r="AG538" t="str">
        <f>INDEX(vp.data[[#Headers],[Unknown]:[Heavy_SW]],MATCH(1,vp.data[[#This Row],[Unknown]:[Heavy_SW]],0))</f>
        <v>Midale</v>
      </c>
      <c r="AH538">
        <f>INDEX([3]!crudeBD.lkup[Number],MATCH(vp.data[[#This Row],[Crude_Breakdown]],crudeBD.lkup[Crude Breakdown],0))</f>
        <v>5</v>
      </c>
      <c r="AI538">
        <f>MONTH(vp.data[[#This Row],[SDate]])</f>
        <v>1</v>
      </c>
      <c r="AJ538" s="5">
        <f>(vp.data[[#This Row],[VP]]-INDEX(crudeBD.lkup[Mean_VP],MATCH(vp.data[[#This Row],[Crude_Breakdown]],crudeBD.lkup[Crude Breakdown],0)))^2</f>
        <v>22.00770565416056</v>
      </c>
      <c r="AK538" s="5">
        <f>(vp.data[[#This Row],[Dens]]-INDEX(crudeBD.lkup[Mean_Dens],MATCH(vp.data[[#This Row],[Crude_Breakdown]],crudeBD.lkup[Crude Breakdown],0)))^2</f>
        <v>47.375547082576908</v>
      </c>
      <c r="AL538" s="5">
        <f>(vp.data[[#This Row],[Sulf]]-INDEX(crudeBD.lkup[Mean_Sulf],MATCH(vp.data[[#This Row],[Crude_Breakdown]],crudeBD.lkup[Crude Breakdown],0)))^2</f>
        <v>6.4320855829960014E-2</v>
      </c>
      <c r="AM538" s="4">
        <f>IF(AND(vp.data[[#This Row],[SDate]]&gt;=DATE(YEAR(vp.data[[#This Row],[SDate]]),5,1),vp.data[[#This Row],[SDate]]&lt;=DATE(YEAR(vp.data[[#This Row],[SDate]]),9,15)),1,0)</f>
        <v>0</v>
      </c>
      <c r="AN538" s="4">
        <f>IF(vp.data[[#This Row],[SDate]]&lt;DATE(2016,12,1),0,1)</f>
        <v>1</v>
      </c>
      <c r="AO538" s="4">
        <f>IFERROR(vp.data[[#This Row],[Sulf]]*vp.data[[#This Row],[Net Dens]],"")</f>
        <v>2149343.2169909999</v>
      </c>
      <c r="AP538">
        <f>IFERROR(vp.data[[#This Row],[Dens]]*vp.data[[#This Row],[VolumeM3]],"")</f>
        <v>981435.25890000002</v>
      </c>
      <c r="AQ538" s="15">
        <f>IFERROR(vp.data[[#This Row],[VP]]*vp.data[[#This Row],[VolumeM3]],"")</f>
        <v>82481.969699999987</v>
      </c>
    </row>
    <row r="539" spans="1:43" x14ac:dyDescent="0.25">
      <c r="A539">
        <v>538</v>
      </c>
      <c r="B539" t="s">
        <v>49</v>
      </c>
      <c r="C539" t="s">
        <v>49</v>
      </c>
      <c r="D539" t="s">
        <v>67</v>
      </c>
      <c r="F539" s="1">
        <v>42743</v>
      </c>
      <c r="G539" s="2">
        <v>106.4</v>
      </c>
      <c r="H539" s="2"/>
      <c r="I539" s="2">
        <f t="array" ref="I539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39" s="2">
        <v>-0.8</v>
      </c>
      <c r="K539" s="2">
        <v>-24</v>
      </c>
      <c r="L539" s="2">
        <v>822.6</v>
      </c>
      <c r="M539" s="2">
        <f t="array" ref="M539">_xlfn.IFNA(IF(vp.data[[#This Row],[Dens Input]]="",INDEX([1]DATA!$O$3:$O$9826,MATCH(1,(vp.data[[#This Row],[Battery]]=[1]DATA!$L$3:$L$9826)*(EOMONTH(vp.data[[#This Row],[SDate]],-1)+1=[1]DATA!$G$3:$G$9826),0)),vp.data[[#This Row],[Dens Input]]),"")</f>
        <v>822.6</v>
      </c>
      <c r="N539" s="2">
        <f ca="1">INDEX(INDIRECT(_xlfn.CONCAT("weather.tbl[",N$1,"]")),MATCH(vp.data[[#This Row],[SDate]],weather.tbl[Date],0))</f>
        <v>-22.016666666666669</v>
      </c>
      <c r="O539" s="2">
        <f ca="1">INDEX(INDIRECT(_xlfn.CONCAT("weather.tbl[",O$1,"]")),MATCH(vp.data[[#This Row],[SDate]],weather.tbl[Date],0))</f>
        <v>-21.792857142857144</v>
      </c>
      <c r="P539" s="2">
        <f ca="1">INDEX(INDIRECT(_xlfn.CONCAT("weather.tbl[",P$1,"]")),MATCH(vp.data[[#This Row],[SDate]],weather.tbl[Date],0))</f>
        <v>-22.4</v>
      </c>
      <c r="Q539" s="2">
        <f ca="1">INDEX(INDIRECT(_xlfn.CONCAT("weather.tbl[",Q$1,"]")),MATCH(vp.data[[#This Row],[SDate]],weather.tbl[Date],0))</f>
        <v>-22.1</v>
      </c>
      <c r="R539" s="2">
        <f ca="1">INDEX(INDIRECT(_xlfn.CONCAT("weather.tbl[",R$1,"]")),MATCH(vp.data[[#This Row],[SDate]],weather.tbl[Date],0))</f>
        <v>-24.5</v>
      </c>
      <c r="S539" s="2">
        <f ca="1">INDEX(INDIRECT(_xlfn.CONCAT("weather.tbl[",S$1,"]")),MATCH(vp.data[[#This Row],[SDate]],weather.tbl[Date],0))</f>
        <v>-20.9</v>
      </c>
      <c r="T539" s="2">
        <f ca="1">INDEX(INDIRECT(_xlfn.CONCAT("weather.tbl[",T$1,"]")),MATCH(vp.data[[#This Row],[SDate]],weather.tbl[Date],0))</f>
        <v>-22.2</v>
      </c>
      <c r="U539" s="2">
        <f ca="1">INDEX(INDIRECT(_xlfn.CONCAT("weather.tbl[",U$1,"]")),MATCH(vp.data[[#This Row],[SDate]],weather.tbl[Date],0))</f>
        <v>-20</v>
      </c>
      <c r="V539" s="2">
        <f t="array" ref="V5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539" t="s">
        <v>48</v>
      </c>
      <c r="X539">
        <f>IF(OR(vp.data[[#This Row],[Sulf]]="",vp.data[[#This Row],[Dens]]=""),1,0)</f>
        <v>0</v>
      </c>
      <c r="Y539">
        <f>IF(vp.data[[#This Row],[CrudeType]]="C5+",1,0)</f>
        <v>0</v>
      </c>
      <c r="Z539">
        <f>IF(AND(vp.data[[#This Row],[CrudeType]]="Crude",vp.data[[#This Row],[Dens]]&lt;=825,vp.data[[#This Row],[Sulf]]&gt;0.5,vp.data[[#This Row],[Unknown]]=0),1,0)</f>
        <v>1</v>
      </c>
      <c r="AA539">
        <f>IF(AND(vp.data[[#This Row],[CrudeType]]="Crude",vp.data[[#This Row],[Dens]]&lt;=825,vp.data[[#This Row],[Sulf]]&lt;=0.5,vp.data[[#This Row],[Unknown]]=0),1,0)</f>
        <v>0</v>
      </c>
      <c r="AB5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39">
        <f>IF(AND(vp.data[[#This Row],[CrudeType]]="Crude",vp.data[[#This Row],[Dens]]&gt;825,vp.data[[#This Row],[Dens]]&lt;=900,vp.data[[#This Row],[Sulf]]&lt;=0.5,vp.data[[#This Row],[Unknown]]=0),1,0)</f>
        <v>0</v>
      </c>
      <c r="AD539">
        <f>IF(AND(vp.data[[#This Row],[CrudeType]]="Crude",vp.data[[#This Row],[Dens]]&gt;865,vp.data[[#This Row],[Dens]]&lt;=900,vp.data[[#This Row],[Sulf]]&gt;2,vp.data[[#This Row],[Unknown]]=0),1,0)</f>
        <v>0</v>
      </c>
      <c r="AE539">
        <f>IF(AND(vp.data[[#This Row],[CrudeType]]="Crude",vp.data[[#This Row],[Dens]]&gt;900,vp.data[[#This Row],[Sulf]]&lt;=0.5,vp.data[[#This Row],[Unknown]]=0),1,0)</f>
        <v>0</v>
      </c>
      <c r="AF539">
        <f>IF(AND(vp.data[[#This Row],[CrudeType]]="Crude",vp.data[[#This Row],[Dens]]&gt;900,vp.data[[#This Row],[Sulf]]&lt;=0.5,vp.data[[#This Row],[Unknown]]=0),1,0)</f>
        <v>0</v>
      </c>
      <c r="AG539" t="str">
        <f>INDEX(vp.data[[#Headers],[Unknown]:[Heavy_SW]],MATCH(1,vp.data[[#This Row],[Unknown]:[Heavy_SW]],0))</f>
        <v>Light_LSB</v>
      </c>
      <c r="AH539">
        <f>INDEX([3]!crudeBD.lkup[Number],MATCH(vp.data[[#This Row],[Crude_Breakdown]],crudeBD.lkup[Crude Breakdown],0))</f>
        <v>1</v>
      </c>
      <c r="AI539">
        <f>MONTH(vp.data[[#This Row],[SDate]])</f>
        <v>1</v>
      </c>
      <c r="AJ539" s="5">
        <f>(vp.data[[#This Row],[VP]]-INDEX(crudeBD.lkup[Mean_VP],MATCH(vp.data[[#This Row],[Crude_Breakdown]],crudeBD.lkup[Crude Breakdown],0)))^2</f>
        <v>220.63580320969209</v>
      </c>
      <c r="AK539" s="5">
        <f>(vp.data[[#This Row],[Dens]]-INDEX(crudeBD.lkup[Mean_Dens],MATCH(vp.data[[#This Row],[Crude_Breakdown]],crudeBD.lkup[Crude Breakdown],0)))^2</f>
        <v>16.67276919734336</v>
      </c>
      <c r="AL539" s="5">
        <f>(vp.data[[#This Row],[Sulf]]-INDEX(crudeBD.lkup[Mean_Sulf],MATCH(vp.data[[#This Row],[Crude_Breakdown]],crudeBD.lkup[Crude Breakdown],0)))^2</f>
        <v>0.11086979897559178</v>
      </c>
      <c r="AM539" s="4">
        <f>IF(AND(vp.data[[#This Row],[SDate]]&gt;=DATE(YEAR(vp.data[[#This Row],[SDate]]),5,1),vp.data[[#This Row],[SDate]]&lt;=DATE(YEAR(vp.data[[#This Row],[SDate]]),9,15)),1,0)</f>
        <v>0</v>
      </c>
      <c r="AN539" s="4">
        <f>IF(vp.data[[#This Row],[SDate]]&lt;DATE(2016,12,1),0,1)</f>
        <v>1</v>
      </c>
      <c r="AO539" s="4">
        <f>IFERROR(vp.data[[#This Row],[Sulf]]*vp.data[[#This Row],[Net Dens]],"")</f>
        <v>59278631.666579992</v>
      </c>
      <c r="AP539">
        <f>IFERROR(vp.data[[#This Row],[Dens]]*vp.data[[#This Row],[VolumeM3]],"")</f>
        <v>100472257.06199999</v>
      </c>
      <c r="AQ539" s="15">
        <f>IFERROR(vp.data[[#This Row],[VP]]*vp.data[[#This Row],[VolumeM3]],"")</f>
        <v>12995682.168</v>
      </c>
    </row>
    <row r="540" spans="1:43" x14ac:dyDescent="0.25">
      <c r="A540">
        <v>539</v>
      </c>
      <c r="B540" t="s">
        <v>56</v>
      </c>
      <c r="C540" t="s">
        <v>56</v>
      </c>
      <c r="D540" t="s">
        <v>57</v>
      </c>
      <c r="F540" s="1">
        <v>42743</v>
      </c>
      <c r="G540" s="2">
        <v>80.099999999999994</v>
      </c>
      <c r="H540" s="2"/>
      <c r="I540" s="2">
        <f t="array" ref="I540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540" s="2">
        <v>15.6</v>
      </c>
      <c r="K540" s="2">
        <v>-24</v>
      </c>
      <c r="L540" s="2">
        <v>852.6</v>
      </c>
      <c r="M540" s="2">
        <f t="array" ref="M540">_xlfn.IFNA(IF(vp.data[[#This Row],[Dens Input]]="",INDEX([1]DATA!$O$3:$O$9826,MATCH(1,(vp.data[[#This Row],[Battery]]=[1]DATA!$L$3:$L$9826)*(EOMONTH(vp.data[[#This Row],[SDate]],-1)+1=[1]DATA!$G$3:$G$9826),0)),vp.data[[#This Row],[Dens Input]]),"")</f>
        <v>852.6</v>
      </c>
      <c r="N540" s="2">
        <f ca="1">INDEX(INDIRECT(_xlfn.CONCAT("weather.tbl[",N$1,"]")),MATCH(vp.data[[#This Row],[SDate]],weather.tbl[Date],0))</f>
        <v>-22.016666666666669</v>
      </c>
      <c r="O540" s="2">
        <f ca="1">INDEX(INDIRECT(_xlfn.CONCAT("weather.tbl[",O$1,"]")),MATCH(vp.data[[#This Row],[SDate]],weather.tbl[Date],0))</f>
        <v>-21.792857142857144</v>
      </c>
      <c r="P540" s="2">
        <f ca="1">INDEX(INDIRECT(_xlfn.CONCAT("weather.tbl[",P$1,"]")),MATCH(vp.data[[#This Row],[SDate]],weather.tbl[Date],0))</f>
        <v>-22.4</v>
      </c>
      <c r="Q540" s="2">
        <f ca="1">INDEX(INDIRECT(_xlfn.CONCAT("weather.tbl[",Q$1,"]")),MATCH(vp.data[[#This Row],[SDate]],weather.tbl[Date],0))</f>
        <v>-22.1</v>
      </c>
      <c r="R540" s="2">
        <f ca="1">INDEX(INDIRECT(_xlfn.CONCAT("weather.tbl[",R$1,"]")),MATCH(vp.data[[#This Row],[SDate]],weather.tbl[Date],0))</f>
        <v>-24.5</v>
      </c>
      <c r="S540" s="2">
        <f ca="1">INDEX(INDIRECT(_xlfn.CONCAT("weather.tbl[",S$1,"]")),MATCH(vp.data[[#This Row],[SDate]],weather.tbl[Date],0))</f>
        <v>-20.9</v>
      </c>
      <c r="T540" s="2">
        <f ca="1">INDEX(INDIRECT(_xlfn.CONCAT("weather.tbl[",T$1,"]")),MATCH(vp.data[[#This Row],[SDate]],weather.tbl[Date],0))</f>
        <v>-22.2</v>
      </c>
      <c r="U540" s="2">
        <f ca="1">INDEX(INDIRECT(_xlfn.CONCAT("weather.tbl[",U$1,"]")),MATCH(vp.data[[#This Row],[SDate]],weather.tbl[Date],0))</f>
        <v>-20</v>
      </c>
      <c r="V540" s="2">
        <f t="array" ref="V5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3079.645</v>
      </c>
      <c r="W540" t="s">
        <v>48</v>
      </c>
      <c r="X540">
        <f>IF(OR(vp.data[[#This Row],[Sulf]]="",vp.data[[#This Row],[Dens]]=""),1,0)</f>
        <v>0</v>
      </c>
      <c r="Y540">
        <f>IF(vp.data[[#This Row],[CrudeType]]="C5+",1,0)</f>
        <v>0</v>
      </c>
      <c r="Z540">
        <f>IF(AND(vp.data[[#This Row],[CrudeType]]="Crude",vp.data[[#This Row],[Dens]]&lt;=825,vp.data[[#This Row],[Sulf]]&gt;0.5,vp.data[[#This Row],[Unknown]]=0),1,0)</f>
        <v>0</v>
      </c>
      <c r="AA540">
        <f>IF(AND(vp.data[[#This Row],[CrudeType]]="Crude",vp.data[[#This Row],[Dens]]&lt;=825,vp.data[[#This Row],[Sulf]]&lt;=0.5,vp.data[[#This Row],[Unknown]]=0),1,0)</f>
        <v>0</v>
      </c>
      <c r="AB5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40">
        <f>IF(AND(vp.data[[#This Row],[CrudeType]]="Crude",vp.data[[#This Row],[Dens]]&gt;825,vp.data[[#This Row],[Dens]]&lt;=900,vp.data[[#This Row],[Sulf]]&lt;=0.5,vp.data[[#This Row],[Unknown]]=0),1,0)</f>
        <v>0</v>
      </c>
      <c r="AD540">
        <f>IF(AND(vp.data[[#This Row],[CrudeType]]="Crude",vp.data[[#This Row],[Dens]]&gt;865,vp.data[[#This Row],[Dens]]&lt;=900,vp.data[[#This Row],[Sulf]]&gt;2,vp.data[[#This Row],[Unknown]]=0),1,0)</f>
        <v>0</v>
      </c>
      <c r="AE540">
        <f>IF(AND(vp.data[[#This Row],[CrudeType]]="Crude",vp.data[[#This Row],[Dens]]&gt;900,vp.data[[#This Row],[Sulf]]&lt;=0.5,vp.data[[#This Row],[Unknown]]=0),1,0)</f>
        <v>0</v>
      </c>
      <c r="AF540">
        <f>IF(AND(vp.data[[#This Row],[CrudeType]]="Crude",vp.data[[#This Row],[Dens]]&gt;900,vp.data[[#This Row],[Sulf]]&lt;=0.5,vp.data[[#This Row],[Unknown]]=0),1,0)</f>
        <v>0</v>
      </c>
      <c r="AG540" t="str">
        <f>INDEX(vp.data[[#Headers],[Unknown]:[Heavy_SW]],MATCH(1,vp.data[[#This Row],[Unknown]:[Heavy_SW]],0))</f>
        <v>Medium_LSB</v>
      </c>
      <c r="AH540">
        <f>INDEX([3]!crudeBD.lkup[Number],MATCH(vp.data[[#This Row],[Crude_Breakdown]],crudeBD.lkup[Crude Breakdown],0))</f>
        <v>3</v>
      </c>
      <c r="AI540">
        <f>MONTH(vp.data[[#This Row],[SDate]])</f>
        <v>1</v>
      </c>
      <c r="AJ540" s="5">
        <f>(vp.data[[#This Row],[VP]]-INDEX(crudeBD.lkup[Mean_VP],MATCH(vp.data[[#This Row],[Crude_Breakdown]],crudeBD.lkup[Crude Breakdown],0)))^2</f>
        <v>0.29125077847436603</v>
      </c>
      <c r="AK540" s="5">
        <f>(vp.data[[#This Row],[Dens]]-INDEX(crudeBD.lkup[Mean_Dens],MATCH(vp.data[[#This Row],[Crude_Breakdown]],crudeBD.lkup[Crude Breakdown],0)))^2</f>
        <v>75.342400000008993</v>
      </c>
      <c r="AL540" s="5">
        <f>(vp.data[[#This Row],[Sulf]]-INDEX(crudeBD.lkup[Mean_Sulf],MATCH(vp.data[[#This Row],[Crude_Breakdown]],crudeBD.lkup[Crude Breakdown],0)))^2</f>
        <v>8.678437182345447E-2</v>
      </c>
      <c r="AM540" s="4">
        <f>IF(AND(vp.data[[#This Row],[SDate]]&gt;=DATE(YEAR(vp.data[[#This Row],[SDate]]),5,1),vp.data[[#This Row],[SDate]]&lt;=DATE(YEAR(vp.data[[#This Row],[SDate]]),9,15)),1,0)</f>
        <v>0</v>
      </c>
      <c r="AN540" s="4">
        <f>IF(vp.data[[#This Row],[SDate]]&lt;DATE(2016,12,1),0,1)</f>
        <v>1</v>
      </c>
      <c r="AO540" s="4">
        <f>IFERROR(vp.data[[#This Row],[Sulf]]*vp.data[[#This Row],[Net Dens]],"")</f>
        <v>4411184.94936</v>
      </c>
      <c r="AP540">
        <f>IFERROR(vp.data[[#This Row],[Dens]]*vp.data[[#This Row],[VolumeM3]],"")</f>
        <v>2625705.327</v>
      </c>
      <c r="AQ540" s="15">
        <f>IFERROR(vp.data[[#This Row],[VP]]*vp.data[[#This Row],[VolumeM3]],"")</f>
        <v>246679.56449999998</v>
      </c>
    </row>
    <row r="541" spans="1:43" x14ac:dyDescent="0.25">
      <c r="A541">
        <v>540</v>
      </c>
      <c r="B541" t="s">
        <v>51</v>
      </c>
      <c r="C541" t="s">
        <v>51</v>
      </c>
      <c r="D541" t="s">
        <v>52</v>
      </c>
      <c r="F541" s="1">
        <v>42743</v>
      </c>
      <c r="G541" s="2">
        <v>80.3</v>
      </c>
      <c r="H541" s="2"/>
      <c r="I541" s="2">
        <f t="array" ref="I541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541" s="2">
        <v>27</v>
      </c>
      <c r="K541" s="2">
        <v>-24</v>
      </c>
      <c r="L541" s="2">
        <v>866.5</v>
      </c>
      <c r="M541" s="2">
        <f t="array" ref="M541">_xlfn.IFNA(IF(vp.data[[#This Row],[Dens Input]]="",INDEX([1]DATA!$O$3:$O$9826,MATCH(1,(vp.data[[#This Row],[Battery]]=[1]DATA!$L$3:$L$9826)*(EOMONTH(vp.data[[#This Row],[SDate]],-1)+1=[1]DATA!$G$3:$G$9826),0)),vp.data[[#This Row],[Dens Input]]),"")</f>
        <v>866.5</v>
      </c>
      <c r="N541" s="2">
        <f ca="1">INDEX(INDIRECT(_xlfn.CONCAT("weather.tbl[",N$1,"]")),MATCH(vp.data[[#This Row],[SDate]],weather.tbl[Date],0))</f>
        <v>-22.016666666666669</v>
      </c>
      <c r="O541" s="2">
        <f ca="1">INDEX(INDIRECT(_xlfn.CONCAT("weather.tbl[",O$1,"]")),MATCH(vp.data[[#This Row],[SDate]],weather.tbl[Date],0))</f>
        <v>-21.792857142857144</v>
      </c>
      <c r="P541" s="2">
        <f ca="1">INDEX(INDIRECT(_xlfn.CONCAT("weather.tbl[",P$1,"]")),MATCH(vp.data[[#This Row],[SDate]],weather.tbl[Date],0))</f>
        <v>-22.4</v>
      </c>
      <c r="Q541" s="2">
        <f ca="1">INDEX(INDIRECT(_xlfn.CONCAT("weather.tbl[",Q$1,"]")),MATCH(vp.data[[#This Row],[SDate]],weather.tbl[Date],0))</f>
        <v>-22.1</v>
      </c>
      <c r="R541" s="2">
        <f ca="1">INDEX(INDIRECT(_xlfn.CONCAT("weather.tbl[",R$1,"]")),MATCH(vp.data[[#This Row],[SDate]],weather.tbl[Date],0))</f>
        <v>-24.5</v>
      </c>
      <c r="S541" s="2">
        <f ca="1">INDEX(INDIRECT(_xlfn.CONCAT("weather.tbl[",S$1,"]")),MATCH(vp.data[[#This Row],[SDate]],weather.tbl[Date],0))</f>
        <v>-20.9</v>
      </c>
      <c r="T541" s="2">
        <f ca="1">INDEX(INDIRECT(_xlfn.CONCAT("weather.tbl[",T$1,"]")),MATCH(vp.data[[#This Row],[SDate]],weather.tbl[Date],0))</f>
        <v>-22.2</v>
      </c>
      <c r="U541" s="2">
        <f ca="1">INDEX(INDIRECT(_xlfn.CONCAT("weather.tbl[",U$1,"]")),MATCH(vp.data[[#This Row],[SDate]],weather.tbl[Date],0))</f>
        <v>-20</v>
      </c>
      <c r="V541" s="2">
        <f t="array" ref="V5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7492.5379999999996</v>
      </c>
      <c r="W541" t="s">
        <v>48</v>
      </c>
      <c r="X541">
        <f>IF(OR(vp.data[[#This Row],[Sulf]]="",vp.data[[#This Row],[Dens]]=""),1,0)</f>
        <v>0</v>
      </c>
      <c r="Y541">
        <f>IF(vp.data[[#This Row],[CrudeType]]="C5+",1,0)</f>
        <v>0</v>
      </c>
      <c r="Z541">
        <f>IF(AND(vp.data[[#This Row],[CrudeType]]="Crude",vp.data[[#This Row],[Dens]]&lt;=825,vp.data[[#This Row],[Sulf]]&gt;0.5,vp.data[[#This Row],[Unknown]]=0),1,0)</f>
        <v>0</v>
      </c>
      <c r="AA541">
        <f>IF(AND(vp.data[[#This Row],[CrudeType]]="Crude",vp.data[[#This Row],[Dens]]&lt;=825,vp.data[[#This Row],[Sulf]]&lt;=0.5,vp.data[[#This Row],[Unknown]]=0),1,0)</f>
        <v>0</v>
      </c>
      <c r="AB5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1">
        <f>IF(AND(vp.data[[#This Row],[CrudeType]]="Crude",vp.data[[#This Row],[Dens]]&gt;825,vp.data[[#This Row],[Dens]]&lt;=900,vp.data[[#This Row],[Sulf]]&lt;=0.5,vp.data[[#This Row],[Unknown]]=0),1,0)</f>
        <v>0</v>
      </c>
      <c r="AD541">
        <f>IF(AND(vp.data[[#This Row],[CrudeType]]="Crude",vp.data[[#This Row],[Dens]]&gt;865,vp.data[[#This Row],[Dens]]&lt;=900,vp.data[[#This Row],[Sulf]]&gt;2,vp.data[[#This Row],[Unknown]]=0),1,0)</f>
        <v>1</v>
      </c>
      <c r="AE541">
        <f>IF(AND(vp.data[[#This Row],[CrudeType]]="Crude",vp.data[[#This Row],[Dens]]&gt;900,vp.data[[#This Row],[Sulf]]&lt;=0.5,vp.data[[#This Row],[Unknown]]=0),1,0)</f>
        <v>0</v>
      </c>
      <c r="AF541">
        <f>IF(AND(vp.data[[#This Row],[CrudeType]]="Crude",vp.data[[#This Row],[Dens]]&gt;900,vp.data[[#This Row],[Sulf]]&lt;=0.5,vp.data[[#This Row],[Unknown]]=0),1,0)</f>
        <v>0</v>
      </c>
      <c r="AG541" t="str">
        <f>INDEX(vp.data[[#Headers],[Unknown]:[Heavy_SW]],MATCH(1,vp.data[[#This Row],[Unknown]:[Heavy_SW]],0))</f>
        <v>Midale</v>
      </c>
      <c r="AH541">
        <f>INDEX([3]!crudeBD.lkup[Number],MATCH(vp.data[[#This Row],[Crude_Breakdown]],crudeBD.lkup[Crude Breakdown],0))</f>
        <v>5</v>
      </c>
      <c r="AI541">
        <f>MONTH(vp.data[[#This Row],[SDate]])</f>
        <v>1</v>
      </c>
      <c r="AJ541" s="5">
        <f>(vp.data[[#This Row],[VP]]-INDEX(crudeBD.lkup[Mean_VP],MATCH(vp.data[[#This Row],[Crude_Breakdown]],crudeBD.lkup[Crude Breakdown],0)))^2</f>
        <v>118.61904586034574</v>
      </c>
      <c r="AK541" s="5">
        <f>(vp.data[[#This Row],[Dens]]-INDEX(crudeBD.lkup[Mean_Dens],MATCH(vp.data[[#This Row],[Crude_Breakdown]],crudeBD.lkup[Crude Breakdown],0)))^2</f>
        <v>69.172660484647466</v>
      </c>
      <c r="AL541" s="5">
        <f>(vp.data[[#This Row],[Sulf]]-INDEX(crudeBD.lkup[Mean_Sulf],MATCH(vp.data[[#This Row],[Crude_Breakdown]],crudeBD.lkup[Crude Breakdown],0)))^2</f>
        <v>1.130006345424492E-3</v>
      </c>
      <c r="AM541" s="4">
        <f>IF(AND(vp.data[[#This Row],[SDate]]&gt;=DATE(YEAR(vp.data[[#This Row],[SDate]]),5,1),vp.data[[#This Row],[SDate]]&lt;=DATE(YEAR(vp.data[[#This Row],[SDate]]),9,15)),1,0)</f>
        <v>0</v>
      </c>
      <c r="AN541" s="4">
        <f>IF(vp.data[[#This Row],[SDate]]&lt;DATE(2016,12,1),0,1)</f>
        <v>1</v>
      </c>
      <c r="AO541" s="4">
        <f>IFERROR(vp.data[[#This Row],[Sulf]]*vp.data[[#This Row],[Net Dens]],"")</f>
        <v>15646404.86657</v>
      </c>
      <c r="AP541">
        <f>IFERROR(vp.data[[#This Row],[Dens]]*vp.data[[#This Row],[VolumeM3]],"")</f>
        <v>6492284.1769999992</v>
      </c>
      <c r="AQ541" s="15">
        <f>IFERROR(vp.data[[#This Row],[VP]]*vp.data[[#This Row],[VolumeM3]],"")</f>
        <v>601650.8014</v>
      </c>
    </row>
    <row r="542" spans="1:43" x14ac:dyDescent="0.25">
      <c r="A542">
        <v>541</v>
      </c>
      <c r="B542" t="s">
        <v>46</v>
      </c>
      <c r="C542" t="s">
        <v>46</v>
      </c>
      <c r="D542" t="s">
        <v>47</v>
      </c>
      <c r="F542" s="1">
        <v>42743</v>
      </c>
      <c r="G542" s="2">
        <v>60.7</v>
      </c>
      <c r="H542" s="2"/>
      <c r="I542" s="2">
        <f t="array" ref="I542">_xlfn.IFNA(IF(vp.data[[#This Row],[Sulf Input]]="",INDEX([1]DATA!$Q$3:$Q$9826,MATCH(1,(vp.data[[#This Row],[Battery]]=[1]DATA!$L$3:$L$9826)*(EOMONTH(vp.data[[#This Row],[SDate]],-1)+1=[1]DATA!$G$3:$G$9826),0)),vp.data[[#This Row],[Sulf Input]]),"")</f>
        <v>2.34</v>
      </c>
      <c r="J542" s="2">
        <v>28.1</v>
      </c>
      <c r="K542" s="2">
        <v>-24</v>
      </c>
      <c r="L542" s="2">
        <v>867.4</v>
      </c>
      <c r="M542" s="2">
        <f t="array" ref="M542">_xlfn.IFNA(IF(vp.data[[#This Row],[Dens Input]]="",INDEX([1]DATA!$O$3:$O$9826,MATCH(1,(vp.data[[#This Row],[Battery]]=[1]DATA!$L$3:$L$9826)*(EOMONTH(vp.data[[#This Row],[SDate]],-1)+1=[1]DATA!$G$3:$G$9826),0)),vp.data[[#This Row],[Dens Input]]),"")</f>
        <v>867.4</v>
      </c>
      <c r="N542" s="2">
        <f ca="1">INDEX(INDIRECT(_xlfn.CONCAT("weather.tbl[",N$1,"]")),MATCH(vp.data[[#This Row],[SDate]],weather.tbl[Date],0))</f>
        <v>-22.016666666666669</v>
      </c>
      <c r="O542" s="2">
        <f ca="1">INDEX(INDIRECT(_xlfn.CONCAT("weather.tbl[",O$1,"]")),MATCH(vp.data[[#This Row],[SDate]],weather.tbl[Date],0))</f>
        <v>-21.792857142857144</v>
      </c>
      <c r="P542" s="2">
        <f ca="1">INDEX(INDIRECT(_xlfn.CONCAT("weather.tbl[",P$1,"]")),MATCH(vp.data[[#This Row],[SDate]],weather.tbl[Date],0))</f>
        <v>-22.4</v>
      </c>
      <c r="Q542" s="2">
        <f ca="1">INDEX(INDIRECT(_xlfn.CONCAT("weather.tbl[",Q$1,"]")),MATCH(vp.data[[#This Row],[SDate]],weather.tbl[Date],0))</f>
        <v>-22.1</v>
      </c>
      <c r="R542" s="2">
        <f ca="1">INDEX(INDIRECT(_xlfn.CONCAT("weather.tbl[",R$1,"]")),MATCH(vp.data[[#This Row],[SDate]],weather.tbl[Date],0))</f>
        <v>-24.5</v>
      </c>
      <c r="S542" s="2">
        <f ca="1">INDEX(INDIRECT(_xlfn.CONCAT("weather.tbl[",S$1,"]")),MATCH(vp.data[[#This Row],[SDate]],weather.tbl[Date],0))</f>
        <v>-20.9</v>
      </c>
      <c r="T542" s="2">
        <f ca="1">INDEX(INDIRECT(_xlfn.CONCAT("weather.tbl[",T$1,"]")),MATCH(vp.data[[#This Row],[SDate]],weather.tbl[Date],0))</f>
        <v>-22.2</v>
      </c>
      <c r="U542" s="2">
        <f ca="1">INDEX(INDIRECT(_xlfn.CONCAT("weather.tbl[",U$1,"]")),MATCH(vp.data[[#This Row],[SDate]],weather.tbl[Date],0))</f>
        <v>-20</v>
      </c>
      <c r="V542" s="2">
        <f t="array" ref="V5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115522.52099999999</v>
      </c>
      <c r="W542" t="s">
        <v>48</v>
      </c>
      <c r="X542">
        <f>IF(OR(vp.data[[#This Row],[Sulf]]="",vp.data[[#This Row],[Dens]]=""),1,0)</f>
        <v>0</v>
      </c>
      <c r="Y542">
        <f>IF(vp.data[[#This Row],[CrudeType]]="C5+",1,0)</f>
        <v>0</v>
      </c>
      <c r="Z542">
        <f>IF(AND(vp.data[[#This Row],[CrudeType]]="Crude",vp.data[[#This Row],[Dens]]&lt;=825,vp.data[[#This Row],[Sulf]]&gt;0.5,vp.data[[#This Row],[Unknown]]=0),1,0)</f>
        <v>0</v>
      </c>
      <c r="AA542">
        <f>IF(AND(vp.data[[#This Row],[CrudeType]]="Crude",vp.data[[#This Row],[Dens]]&lt;=825,vp.data[[#This Row],[Sulf]]&lt;=0.5,vp.data[[#This Row],[Unknown]]=0),1,0)</f>
        <v>0</v>
      </c>
      <c r="AB5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2">
        <f>IF(AND(vp.data[[#This Row],[CrudeType]]="Crude",vp.data[[#This Row],[Dens]]&gt;825,vp.data[[#This Row],[Dens]]&lt;=900,vp.data[[#This Row],[Sulf]]&lt;=0.5,vp.data[[#This Row],[Unknown]]=0),1,0)</f>
        <v>0</v>
      </c>
      <c r="AD542">
        <f>IF(AND(vp.data[[#This Row],[CrudeType]]="Crude",vp.data[[#This Row],[Dens]]&gt;865,vp.data[[#This Row],[Dens]]&lt;=900,vp.data[[#This Row],[Sulf]]&gt;2,vp.data[[#This Row],[Unknown]]=0),1,0)</f>
        <v>1</v>
      </c>
      <c r="AE542">
        <f>IF(AND(vp.data[[#This Row],[CrudeType]]="Crude",vp.data[[#This Row],[Dens]]&gt;900,vp.data[[#This Row],[Sulf]]&lt;=0.5,vp.data[[#This Row],[Unknown]]=0),1,0)</f>
        <v>0</v>
      </c>
      <c r="AF542">
        <f>IF(AND(vp.data[[#This Row],[CrudeType]]="Crude",vp.data[[#This Row],[Dens]]&gt;900,vp.data[[#This Row],[Sulf]]&lt;=0.5,vp.data[[#This Row],[Unknown]]=0),1,0)</f>
        <v>0</v>
      </c>
      <c r="AG542" t="str">
        <f>INDEX(vp.data[[#Headers],[Unknown]:[Heavy_SW]],MATCH(1,vp.data[[#This Row],[Unknown]:[Heavy_SW]],0))</f>
        <v>Midale</v>
      </c>
      <c r="AH542">
        <f>INDEX([3]!crudeBD.lkup[Number],MATCH(vp.data[[#This Row],[Crude_Breakdown]],crudeBD.lkup[Crude Breakdown],0))</f>
        <v>5</v>
      </c>
      <c r="AI542">
        <f>MONTH(vp.data[[#This Row],[SDate]])</f>
        <v>1</v>
      </c>
      <c r="AJ542" s="5">
        <f>(vp.data[[#This Row],[VP]]-INDEX(crudeBD.lkup[Mean_VP],MATCH(vp.data[[#This Row],[Crude_Breakdown]],crudeBD.lkup[Crude Breakdown],0)))^2</f>
        <v>75.842551014986157</v>
      </c>
      <c r="AK542" s="5">
        <f>(vp.data[[#This Row],[Dens]]-INDEX(crudeBD.lkup[Mean_Dens],MATCH(vp.data[[#This Row],[Crude_Breakdown]],crudeBD.lkup[Crude Breakdown],0)))^2</f>
        <v>55.012041927946228</v>
      </c>
      <c r="AL542" s="5">
        <f>(vp.data[[#This Row],[Sulf]]-INDEX(crudeBD.lkup[Mean_Sulf],MATCH(vp.data[[#This Row],[Crude_Breakdown]],crudeBD.lkup[Crude Breakdown],0)))^2</f>
        <v>1.0736185726867638E-2</v>
      </c>
      <c r="AM542" s="4">
        <f>IF(AND(vp.data[[#This Row],[SDate]]&gt;=DATE(YEAR(vp.data[[#This Row],[SDate]]),5,1),vp.data[[#This Row],[SDate]]&lt;=DATE(YEAR(vp.data[[#This Row],[SDate]]),9,15)),1,0)</f>
        <v>0</v>
      </c>
      <c r="AN542" s="4">
        <f>IF(vp.data[[#This Row],[SDate]]&lt;DATE(2016,12,1),0,1)</f>
        <v>1</v>
      </c>
      <c r="AO542" s="4">
        <f>IFERROR(vp.data[[#This Row],[Sulf]]*vp.data[[#This Row],[Net Dens]],"")</f>
        <v>234477909.23403597</v>
      </c>
      <c r="AP542">
        <f>IFERROR(vp.data[[#This Row],[Dens]]*vp.data[[#This Row],[VolumeM3]],"")</f>
        <v>100204234.7154</v>
      </c>
      <c r="AQ542" s="15">
        <f>IFERROR(vp.data[[#This Row],[VP]]*vp.data[[#This Row],[VolumeM3]],"")</f>
        <v>7012217.0247</v>
      </c>
    </row>
    <row r="543" spans="1:43" x14ac:dyDescent="0.25">
      <c r="A543">
        <v>542</v>
      </c>
      <c r="B543" t="s">
        <v>49</v>
      </c>
      <c r="C543" t="s">
        <v>49</v>
      </c>
      <c r="D543" t="s">
        <v>75</v>
      </c>
      <c r="F543" s="1">
        <v>42745</v>
      </c>
      <c r="G543" s="2">
        <v>104.8</v>
      </c>
      <c r="H543" s="2"/>
      <c r="I543" s="2">
        <f t="array" ref="I543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543" s="2">
        <v>17.100000000000001</v>
      </c>
      <c r="K543" s="2">
        <v>-23</v>
      </c>
      <c r="L543" s="2">
        <v>799.2</v>
      </c>
      <c r="M543" s="2">
        <f t="array" ref="M543">_xlfn.IFNA(IF(vp.data[[#This Row],[Dens Input]]="",INDEX([1]DATA!$O$3:$O$9826,MATCH(1,(vp.data[[#This Row],[Battery]]=[1]DATA!$L$3:$L$9826)*(EOMONTH(vp.data[[#This Row],[SDate]],-1)+1=[1]DATA!$G$3:$G$9826),0)),vp.data[[#This Row],[Dens Input]]),"")</f>
        <v>799.2</v>
      </c>
      <c r="N543" s="2">
        <f ca="1">INDEX(INDIRECT(_xlfn.CONCAT("weather.tbl[",N$1,"]")),MATCH(vp.data[[#This Row],[SDate]],weather.tbl[Date],0))</f>
        <v>-21.166666666666668</v>
      </c>
      <c r="O543" s="2">
        <f ca="1">INDEX(INDIRECT(_xlfn.CONCAT("weather.tbl[",O$1,"]")),MATCH(vp.data[[#This Row],[SDate]],weather.tbl[Date],0))</f>
        <v>-22.107142857142858</v>
      </c>
      <c r="P543" s="2">
        <f ca="1">INDEX(INDIRECT(_xlfn.CONCAT("weather.tbl[",P$1,"]")),MATCH(vp.data[[#This Row],[SDate]],weather.tbl[Date],0))</f>
        <v>-20.6</v>
      </c>
      <c r="Q543" s="2">
        <f ca="1">INDEX(INDIRECT(_xlfn.CONCAT("weather.tbl[",Q$1,"]")),MATCH(vp.data[[#This Row],[SDate]],weather.tbl[Date],0))</f>
        <v>-22.2</v>
      </c>
      <c r="R543" s="2">
        <f ca="1">INDEX(INDIRECT(_xlfn.CONCAT("weather.tbl[",R$1,"]")),MATCH(vp.data[[#This Row],[SDate]],weather.tbl[Date],0))</f>
        <v>-21.5</v>
      </c>
      <c r="S543" s="2">
        <f ca="1">INDEX(INDIRECT(_xlfn.CONCAT("weather.tbl[",S$1,"]")),MATCH(vp.data[[#This Row],[SDate]],weather.tbl[Date],0))</f>
        <v>-21.3</v>
      </c>
      <c r="T543" s="2">
        <f ca="1">INDEX(INDIRECT(_xlfn.CONCAT("weather.tbl[",T$1,"]")),MATCH(vp.data[[#This Row],[SDate]],weather.tbl[Date],0))</f>
        <v>-19.899999999999999</v>
      </c>
      <c r="U543" s="2">
        <f ca="1">INDEX(INDIRECT(_xlfn.CONCAT("weather.tbl[",U$1,"]")),MATCH(vp.data[[#This Row],[SDate]],weather.tbl[Date],0))</f>
        <v>-21.5</v>
      </c>
      <c r="V543" s="2">
        <f t="array" ref="V5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543" t="s">
        <v>48</v>
      </c>
      <c r="X543">
        <f>IF(OR(vp.data[[#This Row],[Sulf]]="",vp.data[[#This Row],[Dens]]=""),1,0)</f>
        <v>0</v>
      </c>
      <c r="Y543">
        <f>IF(vp.data[[#This Row],[CrudeType]]="C5+",1,0)</f>
        <v>0</v>
      </c>
      <c r="Z543">
        <f>IF(AND(vp.data[[#This Row],[CrudeType]]="Crude",vp.data[[#This Row],[Dens]]&lt;=825,vp.data[[#This Row],[Sulf]]&gt;0.5,vp.data[[#This Row],[Unknown]]=0),1,0)</f>
        <v>0</v>
      </c>
      <c r="AA543">
        <f>IF(AND(vp.data[[#This Row],[CrudeType]]="Crude",vp.data[[#This Row],[Dens]]&lt;=825,vp.data[[#This Row],[Sulf]]&lt;=0.5,vp.data[[#This Row],[Unknown]]=0),1,0)</f>
        <v>1</v>
      </c>
      <c r="AB5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3">
        <f>IF(AND(vp.data[[#This Row],[CrudeType]]="Crude",vp.data[[#This Row],[Dens]]&gt;825,vp.data[[#This Row],[Dens]]&lt;=900,vp.data[[#This Row],[Sulf]]&lt;=0.5,vp.data[[#This Row],[Unknown]]=0),1,0)</f>
        <v>0</v>
      </c>
      <c r="AD543">
        <f>IF(AND(vp.data[[#This Row],[CrudeType]]="Crude",vp.data[[#This Row],[Dens]]&gt;865,vp.data[[#This Row],[Dens]]&lt;=900,vp.data[[#This Row],[Sulf]]&gt;2,vp.data[[#This Row],[Unknown]]=0),1,0)</f>
        <v>0</v>
      </c>
      <c r="AE543">
        <f>IF(AND(vp.data[[#This Row],[CrudeType]]="Crude",vp.data[[#This Row],[Dens]]&gt;900,vp.data[[#This Row],[Sulf]]&lt;=0.5,vp.data[[#This Row],[Unknown]]=0),1,0)</f>
        <v>0</v>
      </c>
      <c r="AF543">
        <f>IF(AND(vp.data[[#This Row],[CrudeType]]="Crude",vp.data[[#This Row],[Dens]]&gt;900,vp.data[[#This Row],[Sulf]]&lt;=0.5,vp.data[[#This Row],[Unknown]]=0),1,0)</f>
        <v>0</v>
      </c>
      <c r="AG543" t="str">
        <f>INDEX(vp.data[[#Headers],[Unknown]:[Heavy_SW]],MATCH(1,vp.data[[#This Row],[Unknown]:[Heavy_SW]],0))</f>
        <v>Light_SW</v>
      </c>
      <c r="AH543">
        <f>INDEX([3]!crudeBD.lkup[Number],MATCH(vp.data[[#This Row],[Crude_Breakdown]],crudeBD.lkup[Crude Breakdown],0))</f>
        <v>2</v>
      </c>
      <c r="AI543">
        <f>MONTH(vp.data[[#This Row],[SDate]])</f>
        <v>1</v>
      </c>
      <c r="AJ543" s="5">
        <f>(vp.data[[#This Row],[VP]]-INDEX(crudeBD.lkup[Mean_VP],MATCH(vp.data[[#This Row],[Crude_Breakdown]],crudeBD.lkup[Crude Breakdown],0)))^2</f>
        <v>150.05481717150934</v>
      </c>
      <c r="AK543" s="5">
        <f>(vp.data[[#This Row],[Dens]]-INDEX(crudeBD.lkup[Mean_Dens],MATCH(vp.data[[#This Row],[Crude_Breakdown]],crudeBD.lkup[Crude Breakdown],0)))^2</f>
        <v>83.019400502611461</v>
      </c>
      <c r="AL543" s="5">
        <f>(vp.data[[#This Row],[Sulf]]-INDEX(crudeBD.lkup[Mean_Sulf],MATCH(vp.data[[#This Row],[Crude_Breakdown]],crudeBD.lkup[Crude Breakdown],0)))^2</f>
        <v>5.644515043280923E-4</v>
      </c>
      <c r="AM543" s="4">
        <f>IF(AND(vp.data[[#This Row],[SDate]]&gt;=DATE(YEAR(vp.data[[#This Row],[SDate]]),5,1),vp.data[[#This Row],[SDate]]&lt;=DATE(YEAR(vp.data[[#This Row],[SDate]]),9,15)),1,0)</f>
        <v>0</v>
      </c>
      <c r="AN543" s="4">
        <f>IF(vp.data[[#This Row],[SDate]]&lt;DATE(2016,12,1),0,1)</f>
        <v>1</v>
      </c>
      <c r="AO543" s="4">
        <f>IFERROR(vp.data[[#This Row],[Sulf]]*vp.data[[#This Row],[Net Dens]],"")</f>
        <v>2647002.8594880002</v>
      </c>
      <c r="AP543">
        <f>IFERROR(vp.data[[#This Row],[Dens]]*vp.data[[#This Row],[VolumeM3]],"")</f>
        <v>10180780.228800001</v>
      </c>
      <c r="AQ543" s="15">
        <f>IFERROR(vp.data[[#This Row],[VP]]*vp.data[[#This Row],[VolumeM3]],"")</f>
        <v>1335017.2271999998</v>
      </c>
    </row>
    <row r="544" spans="1:43" x14ac:dyDescent="0.25">
      <c r="A544">
        <v>543</v>
      </c>
      <c r="B544" t="s">
        <v>49</v>
      </c>
      <c r="C544" t="s">
        <v>49</v>
      </c>
      <c r="D544" t="s">
        <v>78</v>
      </c>
      <c r="F544" s="1">
        <v>42745</v>
      </c>
      <c r="G544" s="2">
        <v>95.9</v>
      </c>
      <c r="H544" s="2"/>
      <c r="I544" s="2">
        <f t="array" ref="I544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544" s="2">
        <v>6.7</v>
      </c>
      <c r="K544" s="2">
        <v>-23</v>
      </c>
      <c r="L544" s="2">
        <v>805.4</v>
      </c>
      <c r="M544" s="2">
        <f t="array" ref="M544">_xlfn.IFNA(IF(vp.data[[#This Row],[Dens Input]]="",INDEX([1]DATA!$O$3:$O$9826,MATCH(1,(vp.data[[#This Row],[Battery]]=[1]DATA!$L$3:$L$9826)*(EOMONTH(vp.data[[#This Row],[SDate]],-1)+1=[1]DATA!$G$3:$G$9826),0)),vp.data[[#This Row],[Dens Input]]),"")</f>
        <v>805.4</v>
      </c>
      <c r="N544" s="2">
        <f ca="1">INDEX(INDIRECT(_xlfn.CONCAT("weather.tbl[",N$1,"]")),MATCH(vp.data[[#This Row],[SDate]],weather.tbl[Date],0))</f>
        <v>-21.166666666666668</v>
      </c>
      <c r="O544" s="2">
        <f ca="1">INDEX(INDIRECT(_xlfn.CONCAT("weather.tbl[",O$1,"]")),MATCH(vp.data[[#This Row],[SDate]],weather.tbl[Date],0))</f>
        <v>-22.107142857142858</v>
      </c>
      <c r="P544" s="2">
        <f ca="1">INDEX(INDIRECT(_xlfn.CONCAT("weather.tbl[",P$1,"]")),MATCH(vp.data[[#This Row],[SDate]],weather.tbl[Date],0))</f>
        <v>-20.6</v>
      </c>
      <c r="Q544" s="2">
        <f ca="1">INDEX(INDIRECT(_xlfn.CONCAT("weather.tbl[",Q$1,"]")),MATCH(vp.data[[#This Row],[SDate]],weather.tbl[Date],0))</f>
        <v>-22.2</v>
      </c>
      <c r="R544" s="2">
        <f ca="1">INDEX(INDIRECT(_xlfn.CONCAT("weather.tbl[",R$1,"]")),MATCH(vp.data[[#This Row],[SDate]],weather.tbl[Date],0))</f>
        <v>-21.5</v>
      </c>
      <c r="S544" s="2">
        <f ca="1">INDEX(INDIRECT(_xlfn.CONCAT("weather.tbl[",S$1,"]")),MATCH(vp.data[[#This Row],[SDate]],weather.tbl[Date],0))</f>
        <v>-21.3</v>
      </c>
      <c r="T544" s="2">
        <f ca="1">INDEX(INDIRECT(_xlfn.CONCAT("weather.tbl[",T$1,"]")),MATCH(vp.data[[#This Row],[SDate]],weather.tbl[Date],0))</f>
        <v>-19.899999999999999</v>
      </c>
      <c r="U544" s="2">
        <f ca="1">INDEX(INDIRECT(_xlfn.CONCAT("weather.tbl[",U$1,"]")),MATCH(vp.data[[#This Row],[SDate]],weather.tbl[Date],0))</f>
        <v>-21.5</v>
      </c>
      <c r="V544" s="2">
        <f t="array" ref="V5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19960.418000000001</v>
      </c>
      <c r="W544" t="s">
        <v>48</v>
      </c>
      <c r="X544">
        <f>IF(OR(vp.data[[#This Row],[Sulf]]="",vp.data[[#This Row],[Dens]]=""),1,0)</f>
        <v>0</v>
      </c>
      <c r="Y544">
        <f>IF(vp.data[[#This Row],[CrudeType]]="C5+",1,0)</f>
        <v>0</v>
      </c>
      <c r="Z544">
        <f>IF(AND(vp.data[[#This Row],[CrudeType]]="Crude",vp.data[[#This Row],[Dens]]&lt;=825,vp.data[[#This Row],[Sulf]]&gt;0.5,vp.data[[#This Row],[Unknown]]=0),1,0)</f>
        <v>0</v>
      </c>
      <c r="AA544">
        <f>IF(AND(vp.data[[#This Row],[CrudeType]]="Crude",vp.data[[#This Row],[Dens]]&lt;=825,vp.data[[#This Row],[Sulf]]&lt;=0.5,vp.data[[#This Row],[Unknown]]=0),1,0)</f>
        <v>1</v>
      </c>
      <c r="AB5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4">
        <f>IF(AND(vp.data[[#This Row],[CrudeType]]="Crude",vp.data[[#This Row],[Dens]]&gt;825,vp.data[[#This Row],[Dens]]&lt;=900,vp.data[[#This Row],[Sulf]]&lt;=0.5,vp.data[[#This Row],[Unknown]]=0),1,0)</f>
        <v>0</v>
      </c>
      <c r="AD544">
        <f>IF(AND(vp.data[[#This Row],[CrudeType]]="Crude",vp.data[[#This Row],[Dens]]&gt;865,vp.data[[#This Row],[Dens]]&lt;=900,vp.data[[#This Row],[Sulf]]&gt;2,vp.data[[#This Row],[Unknown]]=0),1,0)</f>
        <v>0</v>
      </c>
      <c r="AE544">
        <f>IF(AND(vp.data[[#This Row],[CrudeType]]="Crude",vp.data[[#This Row],[Dens]]&gt;900,vp.data[[#This Row],[Sulf]]&lt;=0.5,vp.data[[#This Row],[Unknown]]=0),1,0)</f>
        <v>0</v>
      </c>
      <c r="AF544">
        <f>IF(AND(vp.data[[#This Row],[CrudeType]]="Crude",vp.data[[#This Row],[Dens]]&gt;900,vp.data[[#This Row],[Sulf]]&lt;=0.5,vp.data[[#This Row],[Unknown]]=0),1,0)</f>
        <v>0</v>
      </c>
      <c r="AG544" t="str">
        <f>INDEX(vp.data[[#Headers],[Unknown]:[Heavy_SW]],MATCH(1,vp.data[[#This Row],[Unknown]:[Heavy_SW]],0))</f>
        <v>Light_SW</v>
      </c>
      <c r="AH544">
        <f>INDEX([3]!crudeBD.lkup[Number],MATCH(vp.data[[#This Row],[Crude_Breakdown]],crudeBD.lkup[Crude Breakdown],0))</f>
        <v>2</v>
      </c>
      <c r="AI544">
        <f>MONTH(vp.data[[#This Row],[SDate]])</f>
        <v>1</v>
      </c>
      <c r="AJ544" s="5">
        <f>(vp.data[[#This Row],[VP]]-INDEX(crudeBD.lkup[Mean_VP],MATCH(vp.data[[#This Row],[Crude_Breakdown]],crudeBD.lkup[Crude Breakdown],0)))^2</f>
        <v>11.220399053042035</v>
      </c>
      <c r="AK544" s="5">
        <f>(vp.data[[#This Row],[Dens]]-INDEX(crudeBD.lkup[Mean_Dens],MATCH(vp.data[[#This Row],[Crude_Breakdown]],crudeBD.lkup[Crude Breakdown],0)))^2</f>
        <v>8.4768221054025936</v>
      </c>
      <c r="AL544" s="5">
        <f>(vp.data[[#This Row],[Sulf]]-INDEX(crudeBD.lkup[Mean_Sulf],MATCH(vp.data[[#This Row],[Crude_Breakdown]],crudeBD.lkup[Crude Breakdown],0)))^2</f>
        <v>8.7905978457915313E-3</v>
      </c>
      <c r="AM544" s="4">
        <f>IF(AND(vp.data[[#This Row],[SDate]]&gt;=DATE(YEAR(vp.data[[#This Row],[SDate]]),5,1),vp.data[[#This Row],[SDate]]&lt;=DATE(YEAR(vp.data[[#This Row],[SDate]]),9,15)),1,0)</f>
        <v>0</v>
      </c>
      <c r="AN544" s="4">
        <f>IF(vp.data[[#This Row],[SDate]]&lt;DATE(2016,12,1),0,1)</f>
        <v>1</v>
      </c>
      <c r="AO544" s="4">
        <f>IFERROR(vp.data[[#This Row],[Sulf]]*vp.data[[#This Row],[Net Dens]],"")</f>
        <v>5305119.8168760007</v>
      </c>
      <c r="AP544">
        <f>IFERROR(vp.data[[#This Row],[Dens]]*vp.data[[#This Row],[VolumeM3]],"")</f>
        <v>16076120.657200001</v>
      </c>
      <c r="AQ544" s="15">
        <f>IFERROR(vp.data[[#This Row],[VP]]*vp.data[[#This Row],[VolumeM3]],"")</f>
        <v>1914204.0862000003</v>
      </c>
    </row>
    <row r="545" spans="1:43" x14ac:dyDescent="0.25">
      <c r="A545">
        <v>544</v>
      </c>
      <c r="B545" t="s">
        <v>62</v>
      </c>
      <c r="C545" t="s">
        <v>62</v>
      </c>
      <c r="D545" t="s">
        <v>93</v>
      </c>
      <c r="F545" s="1">
        <v>42745</v>
      </c>
      <c r="G545" s="2">
        <v>111.5</v>
      </c>
      <c r="H545" s="2"/>
      <c r="I545" s="2">
        <f t="array" ref="I545">_xlfn.IFNA(IF(vp.data[[#This Row],[Sulf Input]]="",INDEX([1]DATA!$Q$3:$Q$9826,MATCH(1,(vp.data[[#This Row],[Battery]]=[1]DATA!$L$3:$L$9826)*(EOMONTH(vp.data[[#This Row],[SDate]],-1)+1=[1]DATA!$G$3:$G$9826),0)),vp.data[[#This Row],[Sulf Input]]),"")</f>
        <v>0.43</v>
      </c>
      <c r="J545" s="2">
        <v>-16</v>
      </c>
      <c r="K545" s="2">
        <v>-23</v>
      </c>
      <c r="L545" s="2">
        <v>807.8</v>
      </c>
      <c r="M545" s="2">
        <f t="array" ref="M545">_xlfn.IFNA(IF(vp.data[[#This Row],[Dens Input]]="",INDEX([1]DATA!$O$3:$O$9826,MATCH(1,(vp.data[[#This Row],[Battery]]=[1]DATA!$L$3:$L$9826)*(EOMONTH(vp.data[[#This Row],[SDate]],-1)+1=[1]DATA!$G$3:$G$9826),0)),vp.data[[#This Row],[Dens Input]]),"")</f>
        <v>807.8</v>
      </c>
      <c r="N545" s="2">
        <f ca="1">INDEX(INDIRECT(_xlfn.CONCAT("weather.tbl[",N$1,"]")),MATCH(vp.data[[#This Row],[SDate]],weather.tbl[Date],0))</f>
        <v>-21.166666666666668</v>
      </c>
      <c r="O545" s="2">
        <f ca="1">INDEX(INDIRECT(_xlfn.CONCAT("weather.tbl[",O$1,"]")),MATCH(vp.data[[#This Row],[SDate]],weather.tbl[Date],0))</f>
        <v>-22.107142857142858</v>
      </c>
      <c r="P545" s="2">
        <f ca="1">INDEX(INDIRECT(_xlfn.CONCAT("weather.tbl[",P$1,"]")),MATCH(vp.data[[#This Row],[SDate]],weather.tbl[Date],0))</f>
        <v>-20.6</v>
      </c>
      <c r="Q545" s="2">
        <f ca="1">INDEX(INDIRECT(_xlfn.CONCAT("weather.tbl[",Q$1,"]")),MATCH(vp.data[[#This Row],[SDate]],weather.tbl[Date],0))</f>
        <v>-22.2</v>
      </c>
      <c r="R545" s="2">
        <f ca="1">INDEX(INDIRECT(_xlfn.CONCAT("weather.tbl[",R$1,"]")),MATCH(vp.data[[#This Row],[SDate]],weather.tbl[Date],0))</f>
        <v>-21.5</v>
      </c>
      <c r="S545" s="2">
        <f ca="1">INDEX(INDIRECT(_xlfn.CONCAT("weather.tbl[",S$1,"]")),MATCH(vp.data[[#This Row],[SDate]],weather.tbl[Date],0))</f>
        <v>-21.3</v>
      </c>
      <c r="T545" s="2">
        <f ca="1">INDEX(INDIRECT(_xlfn.CONCAT("weather.tbl[",T$1,"]")),MATCH(vp.data[[#This Row],[SDate]],weather.tbl[Date],0))</f>
        <v>-19.899999999999999</v>
      </c>
      <c r="U545" s="2">
        <f ca="1">INDEX(INDIRECT(_xlfn.CONCAT("weather.tbl[",U$1,"]")),MATCH(vp.data[[#This Row],[SDate]],weather.tbl[Date],0))</f>
        <v>-21.5</v>
      </c>
      <c r="V545" s="2">
        <f t="array" ref="V5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505.60500000000002</v>
      </c>
      <c r="W545" t="s">
        <v>48</v>
      </c>
      <c r="X545">
        <f>IF(OR(vp.data[[#This Row],[Sulf]]="",vp.data[[#This Row],[Dens]]=""),1,0)</f>
        <v>0</v>
      </c>
      <c r="Y545">
        <f>IF(vp.data[[#This Row],[CrudeType]]="C5+",1,0)</f>
        <v>0</v>
      </c>
      <c r="Z545">
        <f>IF(AND(vp.data[[#This Row],[CrudeType]]="Crude",vp.data[[#This Row],[Dens]]&lt;=825,vp.data[[#This Row],[Sulf]]&gt;0.5,vp.data[[#This Row],[Unknown]]=0),1,0)</f>
        <v>0</v>
      </c>
      <c r="AA545">
        <f>IF(AND(vp.data[[#This Row],[CrudeType]]="Crude",vp.data[[#This Row],[Dens]]&lt;=825,vp.data[[#This Row],[Sulf]]&lt;=0.5,vp.data[[#This Row],[Unknown]]=0),1,0)</f>
        <v>1</v>
      </c>
      <c r="AB5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5">
        <f>IF(AND(vp.data[[#This Row],[CrudeType]]="Crude",vp.data[[#This Row],[Dens]]&gt;825,vp.data[[#This Row],[Dens]]&lt;=900,vp.data[[#This Row],[Sulf]]&lt;=0.5,vp.data[[#This Row],[Unknown]]=0),1,0)</f>
        <v>0</v>
      </c>
      <c r="AD545">
        <f>IF(AND(vp.data[[#This Row],[CrudeType]]="Crude",vp.data[[#This Row],[Dens]]&gt;865,vp.data[[#This Row],[Dens]]&lt;=900,vp.data[[#This Row],[Sulf]]&gt;2,vp.data[[#This Row],[Unknown]]=0),1,0)</f>
        <v>0</v>
      </c>
      <c r="AE545">
        <f>IF(AND(vp.data[[#This Row],[CrudeType]]="Crude",vp.data[[#This Row],[Dens]]&gt;900,vp.data[[#This Row],[Sulf]]&lt;=0.5,vp.data[[#This Row],[Unknown]]=0),1,0)</f>
        <v>0</v>
      </c>
      <c r="AF545">
        <f>IF(AND(vp.data[[#This Row],[CrudeType]]="Crude",vp.data[[#This Row],[Dens]]&gt;900,vp.data[[#This Row],[Sulf]]&lt;=0.5,vp.data[[#This Row],[Unknown]]=0),1,0)</f>
        <v>0</v>
      </c>
      <c r="AG545" t="str">
        <f>INDEX(vp.data[[#Headers],[Unknown]:[Heavy_SW]],MATCH(1,vp.data[[#This Row],[Unknown]:[Heavy_SW]],0))</f>
        <v>Light_SW</v>
      </c>
      <c r="AH545">
        <f>INDEX([3]!crudeBD.lkup[Number],MATCH(vp.data[[#This Row],[Crude_Breakdown]],crudeBD.lkup[Crude Breakdown],0))</f>
        <v>2</v>
      </c>
      <c r="AI545">
        <f>MONTH(vp.data[[#This Row],[SDate]])</f>
        <v>1</v>
      </c>
      <c r="AJ545" s="5">
        <f>(vp.data[[#This Row],[VP]]-INDEX(crudeBD.lkup[Mean_VP],MATCH(vp.data[[#This Row],[Crude_Breakdown]],crudeBD.lkup[Crude Breakdown],0)))^2</f>
        <v>359.09061508091747</v>
      </c>
      <c r="AK545" s="5">
        <f>(vp.data[[#This Row],[Dens]]-INDEX(crudeBD.lkup[Mean_Dens],MATCH(vp.data[[#This Row],[Crude_Breakdown]],crudeBD.lkup[Crude Breakdown],0)))^2</f>
        <v>0.26163046777289312</v>
      </c>
      <c r="AL545" s="5">
        <f>(vp.data[[#This Row],[Sulf]]-INDEX(crudeBD.lkup[Mean_Sulf],MATCH(vp.data[[#This Row],[Crude_Breakdown]],crudeBD.lkup[Crude Breakdown],0)))^2</f>
        <v>3.7542235476453578E-2</v>
      </c>
      <c r="AM545" s="4">
        <f>IF(AND(vp.data[[#This Row],[SDate]]&gt;=DATE(YEAR(vp.data[[#This Row],[SDate]]),5,1),vp.data[[#This Row],[SDate]]&lt;=DATE(YEAR(vp.data[[#This Row],[SDate]]),9,15)),1,0)</f>
        <v>0</v>
      </c>
      <c r="AN545" s="4">
        <f>IF(vp.data[[#This Row],[SDate]]&lt;DATE(2016,12,1),0,1)</f>
        <v>1</v>
      </c>
      <c r="AO545" s="4">
        <f>IFERROR(vp.data[[#This Row],[Sulf]]*vp.data[[#This Row],[Net Dens]],"")</f>
        <v>175623.91916999998</v>
      </c>
      <c r="AP545">
        <f>IFERROR(vp.data[[#This Row],[Dens]]*vp.data[[#This Row],[VolumeM3]],"")</f>
        <v>408427.71899999998</v>
      </c>
      <c r="AQ545" s="15">
        <f>IFERROR(vp.data[[#This Row],[VP]]*vp.data[[#This Row],[VolumeM3]],"")</f>
        <v>56374.957500000004</v>
      </c>
    </row>
    <row r="546" spans="1:43" x14ac:dyDescent="0.25">
      <c r="A546">
        <v>545</v>
      </c>
      <c r="B546" t="s">
        <v>62</v>
      </c>
      <c r="C546" t="s">
        <v>62</v>
      </c>
      <c r="D546" t="s">
        <v>83</v>
      </c>
      <c r="F546" s="1">
        <v>42745</v>
      </c>
      <c r="G546" s="2">
        <v>92.6</v>
      </c>
      <c r="H546" s="2"/>
      <c r="I546" s="2">
        <f t="array" ref="I54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546" s="2">
        <v>-2.8</v>
      </c>
      <c r="K546" s="2">
        <v>-23</v>
      </c>
      <c r="L546" s="2">
        <v>808.4</v>
      </c>
      <c r="M546" s="2">
        <f t="array" ref="M546">_xlfn.IFNA(IF(vp.data[[#This Row],[Dens Input]]="",INDEX([1]DATA!$O$3:$O$9826,MATCH(1,(vp.data[[#This Row],[Battery]]=[1]DATA!$L$3:$L$9826)*(EOMONTH(vp.data[[#This Row],[SDate]],-1)+1=[1]DATA!$G$3:$G$9826),0)),vp.data[[#This Row],[Dens Input]]),"")</f>
        <v>808.4</v>
      </c>
      <c r="N546" s="2">
        <f ca="1">INDEX(INDIRECT(_xlfn.CONCAT("weather.tbl[",N$1,"]")),MATCH(vp.data[[#This Row],[SDate]],weather.tbl[Date],0))</f>
        <v>-21.166666666666668</v>
      </c>
      <c r="O546" s="2">
        <f ca="1">INDEX(INDIRECT(_xlfn.CONCAT("weather.tbl[",O$1,"]")),MATCH(vp.data[[#This Row],[SDate]],weather.tbl[Date],0))</f>
        <v>-22.107142857142858</v>
      </c>
      <c r="P546" s="2">
        <f ca="1">INDEX(INDIRECT(_xlfn.CONCAT("weather.tbl[",P$1,"]")),MATCH(vp.data[[#This Row],[SDate]],weather.tbl[Date],0))</f>
        <v>-20.6</v>
      </c>
      <c r="Q546" s="2">
        <f ca="1">INDEX(INDIRECT(_xlfn.CONCAT("weather.tbl[",Q$1,"]")),MATCH(vp.data[[#This Row],[SDate]],weather.tbl[Date],0))</f>
        <v>-22.2</v>
      </c>
      <c r="R546" s="2">
        <f ca="1">INDEX(INDIRECT(_xlfn.CONCAT("weather.tbl[",R$1,"]")),MATCH(vp.data[[#This Row],[SDate]],weather.tbl[Date],0))</f>
        <v>-21.5</v>
      </c>
      <c r="S546" s="2">
        <f ca="1">INDEX(INDIRECT(_xlfn.CONCAT("weather.tbl[",S$1,"]")),MATCH(vp.data[[#This Row],[SDate]],weather.tbl[Date],0))</f>
        <v>-21.3</v>
      </c>
      <c r="T546" s="2">
        <f ca="1">INDEX(INDIRECT(_xlfn.CONCAT("weather.tbl[",T$1,"]")),MATCH(vp.data[[#This Row],[SDate]],weather.tbl[Date],0))</f>
        <v>-19.899999999999999</v>
      </c>
      <c r="U546" s="2">
        <f ca="1">INDEX(INDIRECT(_xlfn.CONCAT("weather.tbl[",U$1,"]")),MATCH(vp.data[[#This Row],[SDate]],weather.tbl[Date],0))</f>
        <v>-21.5</v>
      </c>
      <c r="V546" s="2">
        <f t="array" ref="V5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546" t="s">
        <v>48</v>
      </c>
      <c r="X546">
        <f>IF(OR(vp.data[[#This Row],[Sulf]]="",vp.data[[#This Row],[Dens]]=""),1,0)</f>
        <v>0</v>
      </c>
      <c r="Y546">
        <f>IF(vp.data[[#This Row],[CrudeType]]="C5+",1,0)</f>
        <v>0</v>
      </c>
      <c r="Z546">
        <f>IF(AND(vp.data[[#This Row],[CrudeType]]="Crude",vp.data[[#This Row],[Dens]]&lt;=825,vp.data[[#This Row],[Sulf]]&gt;0.5,vp.data[[#This Row],[Unknown]]=0),1,0)</f>
        <v>0</v>
      </c>
      <c r="AA546">
        <f>IF(AND(vp.data[[#This Row],[CrudeType]]="Crude",vp.data[[#This Row],[Dens]]&lt;=825,vp.data[[#This Row],[Sulf]]&lt;=0.5,vp.data[[#This Row],[Unknown]]=0),1,0)</f>
        <v>1</v>
      </c>
      <c r="AB5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6">
        <f>IF(AND(vp.data[[#This Row],[CrudeType]]="Crude",vp.data[[#This Row],[Dens]]&gt;825,vp.data[[#This Row],[Dens]]&lt;=900,vp.data[[#This Row],[Sulf]]&lt;=0.5,vp.data[[#This Row],[Unknown]]=0),1,0)</f>
        <v>0</v>
      </c>
      <c r="AD546">
        <f>IF(AND(vp.data[[#This Row],[CrudeType]]="Crude",vp.data[[#This Row],[Dens]]&gt;865,vp.data[[#This Row],[Dens]]&lt;=900,vp.data[[#This Row],[Sulf]]&gt;2,vp.data[[#This Row],[Unknown]]=0),1,0)</f>
        <v>0</v>
      </c>
      <c r="AE546">
        <f>IF(AND(vp.data[[#This Row],[CrudeType]]="Crude",vp.data[[#This Row],[Dens]]&gt;900,vp.data[[#This Row],[Sulf]]&lt;=0.5,vp.data[[#This Row],[Unknown]]=0),1,0)</f>
        <v>0</v>
      </c>
      <c r="AF546">
        <f>IF(AND(vp.data[[#This Row],[CrudeType]]="Crude",vp.data[[#This Row],[Dens]]&gt;900,vp.data[[#This Row],[Sulf]]&lt;=0.5,vp.data[[#This Row],[Unknown]]=0),1,0)</f>
        <v>0</v>
      </c>
      <c r="AG546" t="str">
        <f>INDEX(vp.data[[#Headers],[Unknown]:[Heavy_SW]],MATCH(1,vp.data[[#This Row],[Unknown]:[Heavy_SW]],0))</f>
        <v>Light_SW</v>
      </c>
      <c r="AH546">
        <f>INDEX([3]!crudeBD.lkup[Number],MATCH(vp.data[[#This Row],[Crude_Breakdown]],crudeBD.lkup[Crude Breakdown],0))</f>
        <v>2</v>
      </c>
      <c r="AI546">
        <f>MONTH(vp.data[[#This Row],[SDate]])</f>
        <v>1</v>
      </c>
      <c r="AJ546" s="5">
        <f>(vp.data[[#This Row],[VP]]-INDEX(crudeBD.lkup[Mean_VP],MATCH(vp.data[[#This Row],[Crude_Breakdown]],crudeBD.lkup[Crude Breakdown],0)))^2</f>
        <v>2.4687394529519006E-3</v>
      </c>
      <c r="AK546" s="5">
        <f>(vp.data[[#This Row],[Dens]]-INDEX(crudeBD.lkup[Mean_Dens],MATCH(vp.data[[#This Row],[Crude_Breakdown]],crudeBD.lkup[Crude Breakdown],0)))^2</f>
        <v>7.8325583654390834E-3</v>
      </c>
      <c r="AL546" s="5">
        <f>(vp.data[[#This Row],[Sulf]]-INDEX(crudeBD.lkup[Mean_Sulf],MATCH(vp.data[[#This Row],[Crude_Breakdown]],crudeBD.lkup[Crude Breakdown],0)))^2</f>
        <v>4.3879776367322437E-3</v>
      </c>
      <c r="AM546" s="4">
        <f>IF(AND(vp.data[[#This Row],[SDate]]&gt;=DATE(YEAR(vp.data[[#This Row],[SDate]]),5,1),vp.data[[#This Row],[SDate]]&lt;=DATE(YEAR(vp.data[[#This Row],[SDate]]),9,15)),1,0)</f>
        <v>0</v>
      </c>
      <c r="AN546" s="4">
        <f>IF(vp.data[[#This Row],[SDate]]&lt;DATE(2016,12,1),0,1)</f>
        <v>1</v>
      </c>
      <c r="AO546" s="4">
        <f>IFERROR(vp.data[[#This Row],[Sulf]]*vp.data[[#This Row],[Net Dens]],"")</f>
        <v>1219439.0478320001</v>
      </c>
      <c r="AP546">
        <f>IFERROR(vp.data[[#This Row],[Dens]]*vp.data[[#This Row],[VolumeM3]],"")</f>
        <v>7173170.8695999999</v>
      </c>
      <c r="AQ546" s="15">
        <f>IFERROR(vp.data[[#This Row],[VP]]*vp.data[[#This Row],[VolumeM3]],"")</f>
        <v>821667.02439999999</v>
      </c>
    </row>
    <row r="547" spans="1:43" x14ac:dyDescent="0.25">
      <c r="A547">
        <v>546</v>
      </c>
      <c r="B547" t="s">
        <v>62</v>
      </c>
      <c r="C547" t="s">
        <v>62</v>
      </c>
      <c r="D547" t="s">
        <v>79</v>
      </c>
      <c r="F547" s="1">
        <v>42745</v>
      </c>
      <c r="G547" s="2">
        <v>100.5</v>
      </c>
      <c r="H547" s="2"/>
      <c r="I547" s="2">
        <f t="array" ref="I547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547" s="2">
        <v>8.1999999999999993</v>
      </c>
      <c r="K547" s="2">
        <v>-23</v>
      </c>
      <c r="L547" s="2">
        <v>808.8</v>
      </c>
      <c r="M547" s="2">
        <f t="array" ref="M547">_xlfn.IFNA(IF(vp.data[[#This Row],[Dens Input]]="",INDEX([1]DATA!$O$3:$O$9826,MATCH(1,(vp.data[[#This Row],[Battery]]=[1]DATA!$L$3:$L$9826)*(EOMONTH(vp.data[[#This Row],[SDate]],-1)+1=[1]DATA!$G$3:$G$9826),0)),vp.data[[#This Row],[Dens Input]]),"")</f>
        <v>808.8</v>
      </c>
      <c r="N547" s="2">
        <f ca="1">INDEX(INDIRECT(_xlfn.CONCAT("weather.tbl[",N$1,"]")),MATCH(vp.data[[#This Row],[SDate]],weather.tbl[Date],0))</f>
        <v>-21.166666666666668</v>
      </c>
      <c r="O547" s="2">
        <f ca="1">INDEX(INDIRECT(_xlfn.CONCAT("weather.tbl[",O$1,"]")),MATCH(vp.data[[#This Row],[SDate]],weather.tbl[Date],0))</f>
        <v>-22.107142857142858</v>
      </c>
      <c r="P547" s="2">
        <f ca="1">INDEX(INDIRECT(_xlfn.CONCAT("weather.tbl[",P$1,"]")),MATCH(vp.data[[#This Row],[SDate]],weather.tbl[Date],0))</f>
        <v>-20.6</v>
      </c>
      <c r="Q547" s="2">
        <f ca="1">INDEX(INDIRECT(_xlfn.CONCAT("weather.tbl[",Q$1,"]")),MATCH(vp.data[[#This Row],[SDate]],weather.tbl[Date],0))</f>
        <v>-22.2</v>
      </c>
      <c r="R547" s="2">
        <f ca="1">INDEX(INDIRECT(_xlfn.CONCAT("weather.tbl[",R$1,"]")),MATCH(vp.data[[#This Row],[SDate]],weather.tbl[Date],0))</f>
        <v>-21.5</v>
      </c>
      <c r="S547" s="2">
        <f ca="1">INDEX(INDIRECT(_xlfn.CONCAT("weather.tbl[",S$1,"]")),MATCH(vp.data[[#This Row],[SDate]],weather.tbl[Date],0))</f>
        <v>-21.3</v>
      </c>
      <c r="T547" s="2">
        <f ca="1">INDEX(INDIRECT(_xlfn.CONCAT("weather.tbl[",T$1,"]")),MATCH(vp.data[[#This Row],[SDate]],weather.tbl[Date],0))</f>
        <v>-19.899999999999999</v>
      </c>
      <c r="U547" s="2">
        <f ca="1">INDEX(INDIRECT(_xlfn.CONCAT("weather.tbl[",U$1,"]")),MATCH(vp.data[[#This Row],[SDate]],weather.tbl[Date],0))</f>
        <v>-21.5</v>
      </c>
      <c r="V547" s="2">
        <f t="array" ref="V5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547" t="s">
        <v>48</v>
      </c>
      <c r="X547">
        <f>IF(OR(vp.data[[#This Row],[Sulf]]="",vp.data[[#This Row],[Dens]]=""),1,0)</f>
        <v>0</v>
      </c>
      <c r="Y547">
        <f>IF(vp.data[[#This Row],[CrudeType]]="C5+",1,0)</f>
        <v>0</v>
      </c>
      <c r="Z547">
        <f>IF(AND(vp.data[[#This Row],[CrudeType]]="Crude",vp.data[[#This Row],[Dens]]&lt;=825,vp.data[[#This Row],[Sulf]]&gt;0.5,vp.data[[#This Row],[Unknown]]=0),1,0)</f>
        <v>0</v>
      </c>
      <c r="AA547">
        <f>IF(AND(vp.data[[#This Row],[CrudeType]]="Crude",vp.data[[#This Row],[Dens]]&lt;=825,vp.data[[#This Row],[Sulf]]&lt;=0.5,vp.data[[#This Row],[Unknown]]=0),1,0)</f>
        <v>1</v>
      </c>
      <c r="AB5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7">
        <f>IF(AND(vp.data[[#This Row],[CrudeType]]="Crude",vp.data[[#This Row],[Dens]]&gt;825,vp.data[[#This Row],[Dens]]&lt;=900,vp.data[[#This Row],[Sulf]]&lt;=0.5,vp.data[[#This Row],[Unknown]]=0),1,0)</f>
        <v>0</v>
      </c>
      <c r="AD547">
        <f>IF(AND(vp.data[[#This Row],[CrudeType]]="Crude",vp.data[[#This Row],[Dens]]&gt;865,vp.data[[#This Row],[Dens]]&lt;=900,vp.data[[#This Row],[Sulf]]&gt;2,vp.data[[#This Row],[Unknown]]=0),1,0)</f>
        <v>0</v>
      </c>
      <c r="AE547">
        <f>IF(AND(vp.data[[#This Row],[CrudeType]]="Crude",vp.data[[#This Row],[Dens]]&gt;900,vp.data[[#This Row],[Sulf]]&lt;=0.5,vp.data[[#This Row],[Unknown]]=0),1,0)</f>
        <v>0</v>
      </c>
      <c r="AF547">
        <f>IF(AND(vp.data[[#This Row],[CrudeType]]="Crude",vp.data[[#This Row],[Dens]]&gt;900,vp.data[[#This Row],[Sulf]]&lt;=0.5,vp.data[[#This Row],[Unknown]]=0),1,0)</f>
        <v>0</v>
      </c>
      <c r="AG547" t="str">
        <f>INDEX(vp.data[[#Headers],[Unknown]:[Heavy_SW]],MATCH(1,vp.data[[#This Row],[Unknown]:[Heavy_SW]],0))</f>
        <v>Light_SW</v>
      </c>
      <c r="AH547">
        <f>INDEX([3]!crudeBD.lkup[Number],MATCH(vp.data[[#This Row],[Crude_Breakdown]],crudeBD.lkup[Crude Breakdown],0))</f>
        <v>2</v>
      </c>
      <c r="AI547">
        <f>MONTH(vp.data[[#This Row],[SDate]])</f>
        <v>1</v>
      </c>
      <c r="AJ547" s="5">
        <f>(vp.data[[#This Row],[VP]]-INDEX(crudeBD.lkup[Mean_VP],MATCH(vp.data[[#This Row],[Crude_Breakdown]],crudeBD.lkup[Crude Breakdown],0)))^2</f>
        <v>63.197514035620664</v>
      </c>
      <c r="AK547" s="5">
        <f>(vp.data[[#This Row],[Dens]]-INDEX(crudeBD.lkup[Mean_Dens],MATCH(vp.data[[#This Row],[Crude_Breakdown]],crudeBD.lkup[Crude Breakdown],0)))^2</f>
        <v>0.23863395209379634</v>
      </c>
      <c r="AL547" s="5">
        <f>(vp.data[[#This Row],[Sulf]]-INDEX(crudeBD.lkup[Mean_Sulf],MATCH(vp.data[[#This Row],[Crude_Breakdown]],crudeBD.lkup[Crude Breakdown],0)))^2</f>
        <v>1.9147790304605045E-3</v>
      </c>
      <c r="AM547" s="4">
        <f>IF(AND(vp.data[[#This Row],[SDate]]&gt;=DATE(YEAR(vp.data[[#This Row],[SDate]]),5,1),vp.data[[#This Row],[SDate]]&lt;=DATE(YEAR(vp.data[[#This Row],[SDate]]),9,15)),1,0)</f>
        <v>0</v>
      </c>
      <c r="AN547" s="4">
        <f>IF(vp.data[[#This Row],[SDate]]&lt;DATE(2016,12,1),0,1)</f>
        <v>1</v>
      </c>
      <c r="AO547" s="4">
        <f>IFERROR(vp.data[[#This Row],[Sulf]]*vp.data[[#This Row],[Net Dens]],"")</f>
        <v>3178763.7477120003</v>
      </c>
      <c r="AP547">
        <f>IFERROR(vp.data[[#This Row],[Dens]]*vp.data[[#This Row],[VolumeM3]],"")</f>
        <v>11352727.670399999</v>
      </c>
      <c r="AQ547" s="15">
        <f>IFERROR(vp.data[[#This Row],[VP]]*vp.data[[#This Row],[VolumeM3]],"")</f>
        <v>1410669.054</v>
      </c>
    </row>
    <row r="548" spans="1:43" x14ac:dyDescent="0.25">
      <c r="A548">
        <v>547</v>
      </c>
      <c r="B548" t="s">
        <v>49</v>
      </c>
      <c r="C548" t="s">
        <v>49</v>
      </c>
      <c r="D548" t="s">
        <v>100</v>
      </c>
      <c r="F548" s="1">
        <v>42745</v>
      </c>
      <c r="G548" s="2">
        <v>111.4</v>
      </c>
      <c r="H548" s="2"/>
      <c r="I548" s="2">
        <f t="array" ref="I548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548" s="2">
        <v>1.9</v>
      </c>
      <c r="K548" s="2">
        <v>-23</v>
      </c>
      <c r="L548" s="2">
        <v>816.4</v>
      </c>
      <c r="M548" s="2">
        <f t="array" ref="M548">_xlfn.IFNA(IF(vp.data[[#This Row],[Dens Input]]="",INDEX([1]DATA!$O$3:$O$9826,MATCH(1,(vp.data[[#This Row],[Battery]]=[1]DATA!$L$3:$L$9826)*(EOMONTH(vp.data[[#This Row],[SDate]],-1)+1=[1]DATA!$G$3:$G$9826),0)),vp.data[[#This Row],[Dens Input]]),"")</f>
        <v>816.4</v>
      </c>
      <c r="N548" s="2">
        <f ca="1">INDEX(INDIRECT(_xlfn.CONCAT("weather.tbl[",N$1,"]")),MATCH(vp.data[[#This Row],[SDate]],weather.tbl[Date],0))</f>
        <v>-21.166666666666668</v>
      </c>
      <c r="O548" s="2">
        <f ca="1">INDEX(INDIRECT(_xlfn.CONCAT("weather.tbl[",O$1,"]")),MATCH(vp.data[[#This Row],[SDate]],weather.tbl[Date],0))</f>
        <v>-22.107142857142858</v>
      </c>
      <c r="P548" s="2">
        <f ca="1">INDEX(INDIRECT(_xlfn.CONCAT("weather.tbl[",P$1,"]")),MATCH(vp.data[[#This Row],[SDate]],weather.tbl[Date],0))</f>
        <v>-20.6</v>
      </c>
      <c r="Q548" s="2">
        <f ca="1">INDEX(INDIRECT(_xlfn.CONCAT("weather.tbl[",Q$1,"]")),MATCH(vp.data[[#This Row],[SDate]],weather.tbl[Date],0))</f>
        <v>-22.2</v>
      </c>
      <c r="R548" s="2">
        <f ca="1">INDEX(INDIRECT(_xlfn.CONCAT("weather.tbl[",R$1,"]")),MATCH(vp.data[[#This Row],[SDate]],weather.tbl[Date],0))</f>
        <v>-21.5</v>
      </c>
      <c r="S548" s="2">
        <f ca="1">INDEX(INDIRECT(_xlfn.CONCAT("weather.tbl[",S$1,"]")),MATCH(vp.data[[#This Row],[SDate]],weather.tbl[Date],0))</f>
        <v>-21.3</v>
      </c>
      <c r="T548" s="2">
        <f ca="1">INDEX(INDIRECT(_xlfn.CONCAT("weather.tbl[",T$1,"]")),MATCH(vp.data[[#This Row],[SDate]],weather.tbl[Date],0))</f>
        <v>-19.899999999999999</v>
      </c>
      <c r="U548" s="2">
        <f ca="1">INDEX(INDIRECT(_xlfn.CONCAT("weather.tbl[",U$1,"]")),MATCH(vp.data[[#This Row],[SDate]],weather.tbl[Date],0))</f>
        <v>-21.5</v>
      </c>
      <c r="V548" s="2">
        <f t="array" ref="V5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548" t="s">
        <v>48</v>
      </c>
      <c r="X548">
        <f>IF(OR(vp.data[[#This Row],[Sulf]]="",vp.data[[#This Row],[Dens]]=""),1,0)</f>
        <v>0</v>
      </c>
      <c r="Y548">
        <f>IF(vp.data[[#This Row],[CrudeType]]="C5+",1,0)</f>
        <v>0</v>
      </c>
      <c r="Z548">
        <f>IF(AND(vp.data[[#This Row],[CrudeType]]="Crude",vp.data[[#This Row],[Dens]]&lt;=825,vp.data[[#This Row],[Sulf]]&gt;0.5,vp.data[[#This Row],[Unknown]]=0),1,0)</f>
        <v>1</v>
      </c>
      <c r="AA548">
        <f>IF(AND(vp.data[[#This Row],[CrudeType]]="Crude",vp.data[[#This Row],[Dens]]&lt;=825,vp.data[[#This Row],[Sulf]]&lt;=0.5,vp.data[[#This Row],[Unknown]]=0),1,0)</f>
        <v>0</v>
      </c>
      <c r="AB5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8">
        <f>IF(AND(vp.data[[#This Row],[CrudeType]]="Crude",vp.data[[#This Row],[Dens]]&gt;825,vp.data[[#This Row],[Dens]]&lt;=900,vp.data[[#This Row],[Sulf]]&lt;=0.5,vp.data[[#This Row],[Unknown]]=0),1,0)</f>
        <v>0</v>
      </c>
      <c r="AD548">
        <f>IF(AND(vp.data[[#This Row],[CrudeType]]="Crude",vp.data[[#This Row],[Dens]]&gt;865,vp.data[[#This Row],[Dens]]&lt;=900,vp.data[[#This Row],[Sulf]]&gt;2,vp.data[[#This Row],[Unknown]]=0),1,0)</f>
        <v>0</v>
      </c>
      <c r="AE548">
        <f>IF(AND(vp.data[[#This Row],[CrudeType]]="Crude",vp.data[[#This Row],[Dens]]&gt;900,vp.data[[#This Row],[Sulf]]&lt;=0.5,vp.data[[#This Row],[Unknown]]=0),1,0)</f>
        <v>0</v>
      </c>
      <c r="AF548">
        <f>IF(AND(vp.data[[#This Row],[CrudeType]]="Crude",vp.data[[#This Row],[Dens]]&gt;900,vp.data[[#This Row],[Sulf]]&lt;=0.5,vp.data[[#This Row],[Unknown]]=0),1,0)</f>
        <v>0</v>
      </c>
      <c r="AG548" t="str">
        <f>INDEX(vp.data[[#Headers],[Unknown]:[Heavy_SW]],MATCH(1,vp.data[[#This Row],[Unknown]:[Heavy_SW]],0))</f>
        <v>Light_LSB</v>
      </c>
      <c r="AH548">
        <f>INDEX([3]!crudeBD.lkup[Number],MATCH(vp.data[[#This Row],[Crude_Breakdown]],crudeBD.lkup[Crude Breakdown],0))</f>
        <v>1</v>
      </c>
      <c r="AI548">
        <f>MONTH(vp.data[[#This Row],[SDate]])</f>
        <v>1</v>
      </c>
      <c r="AJ548" s="5">
        <f>(vp.data[[#This Row],[VP]]-INDEX(crudeBD.lkup[Mean_VP],MATCH(vp.data[[#This Row],[Crude_Breakdown]],crudeBD.lkup[Crude Breakdown],0)))^2</f>
        <v>394.17394753958877</v>
      </c>
      <c r="AK548" s="5">
        <f>(vp.data[[#This Row],[Dens]]-INDEX(crudeBD.lkup[Mean_Dens],MATCH(vp.data[[#This Row],[Crude_Breakdown]],crudeBD.lkup[Crude Breakdown],0)))^2</f>
        <v>4.4807142145215044</v>
      </c>
      <c r="AL548" s="5">
        <f>(vp.data[[#This Row],[Sulf]]-INDEX(crudeBD.lkup[Mean_Sulf],MATCH(vp.data[[#This Row],[Crude_Breakdown]],crudeBD.lkup[Crude Breakdown],0)))^2</f>
        <v>6.9153835401708622E-2</v>
      </c>
      <c r="AM548" s="4">
        <f>IF(AND(vp.data[[#This Row],[SDate]]&gt;=DATE(YEAR(vp.data[[#This Row],[SDate]]),5,1),vp.data[[#This Row],[SDate]]&lt;=DATE(YEAR(vp.data[[#This Row],[SDate]]),9,15)),1,0)</f>
        <v>0</v>
      </c>
      <c r="AN548" s="4">
        <f>IF(vp.data[[#This Row],[SDate]]&lt;DATE(2016,12,1),0,1)</f>
        <v>1</v>
      </c>
      <c r="AO548" s="4">
        <f>IFERROR(vp.data[[#This Row],[Sulf]]*vp.data[[#This Row],[Net Dens]],"")</f>
        <v>6043930.6150079994</v>
      </c>
      <c r="AP548">
        <f>IFERROR(vp.data[[#This Row],[Dens]]*vp.data[[#This Row],[VolumeM3]],"")</f>
        <v>9157470.6287999991</v>
      </c>
      <c r="AQ548" s="15">
        <f>IFERROR(vp.data[[#This Row],[VP]]*vp.data[[#This Row],[VolumeM3]],"")</f>
        <v>1249561.7688</v>
      </c>
    </row>
    <row r="549" spans="1:43" x14ac:dyDescent="0.25">
      <c r="A549">
        <v>548</v>
      </c>
      <c r="B549" t="s">
        <v>49</v>
      </c>
      <c r="C549" t="s">
        <v>49</v>
      </c>
      <c r="D549" t="s">
        <v>89</v>
      </c>
      <c r="F549" s="1">
        <v>42745</v>
      </c>
      <c r="G549" s="2">
        <v>100.9</v>
      </c>
      <c r="H549" s="2"/>
      <c r="I549" s="2">
        <f t="array" ref="I549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49" s="2">
        <v>1.8</v>
      </c>
      <c r="K549" s="2">
        <v>-23</v>
      </c>
      <c r="L549" s="2">
        <v>819.8</v>
      </c>
      <c r="M549" s="2">
        <f t="array" ref="M549">_xlfn.IFNA(IF(vp.data[[#This Row],[Dens Input]]="",INDEX([1]DATA!$O$3:$O$9826,MATCH(1,(vp.data[[#This Row],[Battery]]=[1]DATA!$L$3:$L$9826)*(EOMONTH(vp.data[[#This Row],[SDate]],-1)+1=[1]DATA!$G$3:$G$9826),0)),vp.data[[#This Row],[Dens Input]]),"")</f>
        <v>819.8</v>
      </c>
      <c r="N549" s="2">
        <f ca="1">INDEX(INDIRECT(_xlfn.CONCAT("weather.tbl[",N$1,"]")),MATCH(vp.data[[#This Row],[SDate]],weather.tbl[Date],0))</f>
        <v>-21.166666666666668</v>
      </c>
      <c r="O549" s="2">
        <f ca="1">INDEX(INDIRECT(_xlfn.CONCAT("weather.tbl[",O$1,"]")),MATCH(vp.data[[#This Row],[SDate]],weather.tbl[Date],0))</f>
        <v>-22.107142857142858</v>
      </c>
      <c r="P549" s="2">
        <f ca="1">INDEX(INDIRECT(_xlfn.CONCAT("weather.tbl[",P$1,"]")),MATCH(vp.data[[#This Row],[SDate]],weather.tbl[Date],0))</f>
        <v>-20.6</v>
      </c>
      <c r="Q549" s="2">
        <f ca="1">INDEX(INDIRECT(_xlfn.CONCAT("weather.tbl[",Q$1,"]")),MATCH(vp.data[[#This Row],[SDate]],weather.tbl[Date],0))</f>
        <v>-22.2</v>
      </c>
      <c r="R549" s="2">
        <f ca="1">INDEX(INDIRECT(_xlfn.CONCAT("weather.tbl[",R$1,"]")),MATCH(vp.data[[#This Row],[SDate]],weather.tbl[Date],0))</f>
        <v>-21.5</v>
      </c>
      <c r="S549" s="2">
        <f ca="1">INDEX(INDIRECT(_xlfn.CONCAT("weather.tbl[",S$1,"]")),MATCH(vp.data[[#This Row],[SDate]],weather.tbl[Date],0))</f>
        <v>-21.3</v>
      </c>
      <c r="T549" s="2">
        <f ca="1">INDEX(INDIRECT(_xlfn.CONCAT("weather.tbl[",T$1,"]")),MATCH(vp.data[[#This Row],[SDate]],weather.tbl[Date],0))</f>
        <v>-19.899999999999999</v>
      </c>
      <c r="U549" s="2">
        <f ca="1">INDEX(INDIRECT(_xlfn.CONCAT("weather.tbl[",U$1,"]")),MATCH(vp.data[[#This Row],[SDate]],weather.tbl[Date],0))</f>
        <v>-21.5</v>
      </c>
      <c r="V549" s="2">
        <f t="array" ref="V5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549" t="s">
        <v>48</v>
      </c>
      <c r="X549">
        <f>IF(OR(vp.data[[#This Row],[Sulf]]="",vp.data[[#This Row],[Dens]]=""),1,0)</f>
        <v>0</v>
      </c>
      <c r="Y549">
        <f>IF(vp.data[[#This Row],[CrudeType]]="C5+",1,0)</f>
        <v>0</v>
      </c>
      <c r="Z549">
        <f>IF(AND(vp.data[[#This Row],[CrudeType]]="Crude",vp.data[[#This Row],[Dens]]&lt;=825,vp.data[[#This Row],[Sulf]]&gt;0.5,vp.data[[#This Row],[Unknown]]=0),1,0)</f>
        <v>1</v>
      </c>
      <c r="AA549">
        <f>IF(AND(vp.data[[#This Row],[CrudeType]]="Crude",vp.data[[#This Row],[Dens]]&lt;=825,vp.data[[#This Row],[Sulf]]&lt;=0.5,vp.data[[#This Row],[Unknown]]=0),1,0)</f>
        <v>0</v>
      </c>
      <c r="AB5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49">
        <f>IF(AND(vp.data[[#This Row],[CrudeType]]="Crude",vp.data[[#This Row],[Dens]]&gt;825,vp.data[[#This Row],[Dens]]&lt;=900,vp.data[[#This Row],[Sulf]]&lt;=0.5,vp.data[[#This Row],[Unknown]]=0),1,0)</f>
        <v>0</v>
      </c>
      <c r="AD549">
        <f>IF(AND(vp.data[[#This Row],[CrudeType]]="Crude",vp.data[[#This Row],[Dens]]&gt;865,vp.data[[#This Row],[Dens]]&lt;=900,vp.data[[#This Row],[Sulf]]&gt;2,vp.data[[#This Row],[Unknown]]=0),1,0)</f>
        <v>0</v>
      </c>
      <c r="AE549">
        <f>IF(AND(vp.data[[#This Row],[CrudeType]]="Crude",vp.data[[#This Row],[Dens]]&gt;900,vp.data[[#This Row],[Sulf]]&lt;=0.5,vp.data[[#This Row],[Unknown]]=0),1,0)</f>
        <v>0</v>
      </c>
      <c r="AF549">
        <f>IF(AND(vp.data[[#This Row],[CrudeType]]="Crude",vp.data[[#This Row],[Dens]]&gt;900,vp.data[[#This Row],[Sulf]]&lt;=0.5,vp.data[[#This Row],[Unknown]]=0),1,0)</f>
        <v>0</v>
      </c>
      <c r="AG549" t="str">
        <f>INDEX(vp.data[[#Headers],[Unknown]:[Heavy_SW]],MATCH(1,vp.data[[#This Row],[Unknown]:[Heavy_SW]],0))</f>
        <v>Light_LSB</v>
      </c>
      <c r="AH549">
        <f>INDEX([3]!crudeBD.lkup[Number],MATCH(vp.data[[#This Row],[Crude_Breakdown]],crudeBD.lkup[Crude Breakdown],0))</f>
        <v>1</v>
      </c>
      <c r="AI549">
        <f>MONTH(vp.data[[#This Row],[SDate]])</f>
        <v>1</v>
      </c>
      <c r="AJ549" s="5">
        <f>(vp.data[[#This Row],[VP]]-INDEX(crudeBD.lkup[Mean_VP],MATCH(vp.data[[#This Row],[Crude_Breakdown]],crudeBD.lkup[Crude Breakdown],0)))^2</f>
        <v>87.493844446805767</v>
      </c>
      <c r="AK549" s="5">
        <f>(vp.data[[#This Row],[Dens]]-INDEX(crudeBD.lkup[Mean_Dens],MATCH(vp.data[[#This Row],[Crude_Breakdown]],crudeBD.lkup[Crude Breakdown],0)))^2</f>
        <v>1.6466798502622593</v>
      </c>
      <c r="AL549" s="5">
        <f>(vp.data[[#This Row],[Sulf]]-INDEX(crudeBD.lkup[Mean_Sulf],MATCH(vp.data[[#This Row],[Crude_Breakdown]],crudeBD.lkup[Crude Breakdown],0)))^2</f>
        <v>4.9716141930918292E-2</v>
      </c>
      <c r="AM549" s="4">
        <f>IF(AND(vp.data[[#This Row],[SDate]]&gt;=DATE(YEAR(vp.data[[#This Row],[SDate]]),5,1),vp.data[[#This Row],[SDate]]&lt;=DATE(YEAR(vp.data[[#This Row],[SDate]]),9,15)),1,0)</f>
        <v>0</v>
      </c>
      <c r="AN549" s="4">
        <f>IF(vp.data[[#This Row],[SDate]]&lt;DATE(2016,12,1),0,1)</f>
        <v>1</v>
      </c>
      <c r="AO549" s="4">
        <f>IFERROR(vp.data[[#This Row],[Sulf]]*vp.data[[#This Row],[Net Dens]],"")</f>
        <v>3546202.8754599993</v>
      </c>
      <c r="AP549">
        <f>IFERROR(vp.data[[#This Row],[Dens]]*vp.data[[#This Row],[VolumeM3]],"")</f>
        <v>5066004.1077999994</v>
      </c>
      <c r="AQ549" s="15">
        <f>IFERROR(vp.data[[#This Row],[VP]]*vp.data[[#This Row],[VolumeM3]],"")</f>
        <v>623517.70490000001</v>
      </c>
    </row>
    <row r="550" spans="1:43" x14ac:dyDescent="0.25">
      <c r="A550">
        <v>549</v>
      </c>
      <c r="B550" t="s">
        <v>49</v>
      </c>
      <c r="C550" t="s">
        <v>49</v>
      </c>
      <c r="D550" t="s">
        <v>92</v>
      </c>
      <c r="F550" s="1">
        <v>42745</v>
      </c>
      <c r="G550" s="2">
        <v>91.4</v>
      </c>
      <c r="H550" s="2"/>
      <c r="I550" s="2">
        <f t="array" ref="I550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550" s="2">
        <v>15.8</v>
      </c>
      <c r="K550" s="2">
        <v>-23</v>
      </c>
      <c r="L550" s="2">
        <v>821.2</v>
      </c>
      <c r="M550" s="2">
        <f t="array" ref="M550">_xlfn.IFNA(IF(vp.data[[#This Row],[Dens Input]]="",INDEX([1]DATA!$O$3:$O$9826,MATCH(1,(vp.data[[#This Row],[Battery]]=[1]DATA!$L$3:$L$9826)*(EOMONTH(vp.data[[#This Row],[SDate]],-1)+1=[1]DATA!$G$3:$G$9826),0)),vp.data[[#This Row],[Dens Input]]),"")</f>
        <v>821.2</v>
      </c>
      <c r="N550" s="2">
        <f ca="1">INDEX(INDIRECT(_xlfn.CONCAT("weather.tbl[",N$1,"]")),MATCH(vp.data[[#This Row],[SDate]],weather.tbl[Date],0))</f>
        <v>-21.166666666666668</v>
      </c>
      <c r="O550" s="2">
        <f ca="1">INDEX(INDIRECT(_xlfn.CONCAT("weather.tbl[",O$1,"]")),MATCH(vp.data[[#This Row],[SDate]],weather.tbl[Date],0))</f>
        <v>-22.107142857142858</v>
      </c>
      <c r="P550" s="2">
        <f ca="1">INDEX(INDIRECT(_xlfn.CONCAT("weather.tbl[",P$1,"]")),MATCH(vp.data[[#This Row],[SDate]],weather.tbl[Date],0))</f>
        <v>-20.6</v>
      </c>
      <c r="Q550" s="2">
        <f ca="1">INDEX(INDIRECT(_xlfn.CONCAT("weather.tbl[",Q$1,"]")),MATCH(vp.data[[#This Row],[SDate]],weather.tbl[Date],0))</f>
        <v>-22.2</v>
      </c>
      <c r="R550" s="2">
        <f ca="1">INDEX(INDIRECT(_xlfn.CONCAT("weather.tbl[",R$1,"]")),MATCH(vp.data[[#This Row],[SDate]],weather.tbl[Date],0))</f>
        <v>-21.5</v>
      </c>
      <c r="S550" s="2">
        <f ca="1">INDEX(INDIRECT(_xlfn.CONCAT("weather.tbl[",S$1,"]")),MATCH(vp.data[[#This Row],[SDate]],weather.tbl[Date],0))</f>
        <v>-21.3</v>
      </c>
      <c r="T550" s="2">
        <f ca="1">INDEX(INDIRECT(_xlfn.CONCAT("weather.tbl[",T$1,"]")),MATCH(vp.data[[#This Row],[SDate]],weather.tbl[Date],0))</f>
        <v>-19.899999999999999</v>
      </c>
      <c r="U550" s="2">
        <f ca="1">INDEX(INDIRECT(_xlfn.CONCAT("weather.tbl[",U$1,"]")),MATCH(vp.data[[#This Row],[SDate]],weather.tbl[Date],0))</f>
        <v>-21.5</v>
      </c>
      <c r="V550" s="2">
        <f t="array" ref="V5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25785.918000000001</v>
      </c>
      <c r="W550" t="s">
        <v>48</v>
      </c>
      <c r="X550">
        <f>IF(OR(vp.data[[#This Row],[Sulf]]="",vp.data[[#This Row],[Dens]]=""),1,0)</f>
        <v>0</v>
      </c>
      <c r="Y550">
        <f>IF(vp.data[[#This Row],[CrudeType]]="C5+",1,0)</f>
        <v>0</v>
      </c>
      <c r="Z550">
        <f>IF(AND(vp.data[[#This Row],[CrudeType]]="Crude",vp.data[[#This Row],[Dens]]&lt;=825,vp.data[[#This Row],[Sulf]]&gt;0.5,vp.data[[#This Row],[Unknown]]=0),1,0)</f>
        <v>1</v>
      </c>
      <c r="AA550">
        <f>IF(AND(vp.data[[#This Row],[CrudeType]]="Crude",vp.data[[#This Row],[Dens]]&lt;=825,vp.data[[#This Row],[Sulf]]&lt;=0.5,vp.data[[#This Row],[Unknown]]=0),1,0)</f>
        <v>0</v>
      </c>
      <c r="AB5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50">
        <f>IF(AND(vp.data[[#This Row],[CrudeType]]="Crude",vp.data[[#This Row],[Dens]]&gt;825,vp.data[[#This Row],[Dens]]&lt;=900,vp.data[[#This Row],[Sulf]]&lt;=0.5,vp.data[[#This Row],[Unknown]]=0),1,0)</f>
        <v>0</v>
      </c>
      <c r="AD550">
        <f>IF(AND(vp.data[[#This Row],[CrudeType]]="Crude",vp.data[[#This Row],[Dens]]&gt;865,vp.data[[#This Row],[Dens]]&lt;=900,vp.data[[#This Row],[Sulf]]&gt;2,vp.data[[#This Row],[Unknown]]=0),1,0)</f>
        <v>0</v>
      </c>
      <c r="AE550">
        <f>IF(AND(vp.data[[#This Row],[CrudeType]]="Crude",vp.data[[#This Row],[Dens]]&gt;900,vp.data[[#This Row],[Sulf]]&lt;=0.5,vp.data[[#This Row],[Unknown]]=0),1,0)</f>
        <v>0</v>
      </c>
      <c r="AF550">
        <f>IF(AND(vp.data[[#This Row],[CrudeType]]="Crude",vp.data[[#This Row],[Dens]]&gt;900,vp.data[[#This Row],[Sulf]]&lt;=0.5,vp.data[[#This Row],[Unknown]]=0),1,0)</f>
        <v>0</v>
      </c>
      <c r="AG550" t="str">
        <f>INDEX(vp.data[[#Headers],[Unknown]:[Heavy_SW]],MATCH(1,vp.data[[#This Row],[Unknown]:[Heavy_SW]],0))</f>
        <v>Light_LSB</v>
      </c>
      <c r="AH550">
        <f>INDEX([3]!crudeBD.lkup[Number],MATCH(vp.data[[#This Row],[Crude_Breakdown]],crudeBD.lkup[Crude Breakdown],0))</f>
        <v>1</v>
      </c>
      <c r="AI550">
        <f>MONTH(vp.data[[#This Row],[SDate]])</f>
        <v>1</v>
      </c>
      <c r="AJ550" s="5">
        <f>(vp.data[[#This Row],[VP]]-INDEX(crudeBD.lkup[Mean_VP],MATCH(vp.data[[#This Row],[Crude_Breakdown]],crudeBD.lkup[Crude Breakdown],0)))^2</f>
        <v>2.1370220002133056E-2</v>
      </c>
      <c r="AK550" s="5">
        <f>(vp.data[[#This Row],[Dens]]-INDEX(crudeBD.lkup[Mean_Dens],MATCH(vp.data[[#This Row],[Crude_Breakdown]],crudeBD.lkup[Crude Breakdown],0)))^2</f>
        <v>7.1997245238030185</v>
      </c>
      <c r="AL550" s="5">
        <f>(vp.data[[#This Row],[Sulf]]-INDEX(crudeBD.lkup[Mean_Sulf],MATCH(vp.data[[#This Row],[Crude_Breakdown]],crudeBD.lkup[Crude Breakdown],0)))^2</f>
        <v>5.9034988666313432E-2</v>
      </c>
      <c r="AM550" s="4">
        <f>IF(AND(vp.data[[#This Row],[SDate]]&gt;=DATE(YEAR(vp.data[[#This Row],[SDate]]),5,1),vp.data[[#This Row],[SDate]]&lt;=DATE(YEAR(vp.data[[#This Row],[SDate]]),9,15)),1,0)</f>
        <v>0</v>
      </c>
      <c r="AN550" s="4">
        <f>IF(vp.data[[#This Row],[SDate]]&lt;DATE(2016,12,1),0,1)</f>
        <v>1</v>
      </c>
      <c r="AO550" s="4">
        <f>IFERROR(vp.data[[#This Row],[Sulf]]*vp.data[[#This Row],[Net Dens]],"")</f>
        <v>14399269.185888004</v>
      </c>
      <c r="AP550">
        <f>IFERROR(vp.data[[#This Row],[Dens]]*vp.data[[#This Row],[VolumeM3]],"")</f>
        <v>21175395.861600004</v>
      </c>
      <c r="AQ550" s="15">
        <f>IFERROR(vp.data[[#This Row],[VP]]*vp.data[[#This Row],[VolumeM3]],"")</f>
        <v>2356832.9052000004</v>
      </c>
    </row>
    <row r="551" spans="1:43" x14ac:dyDescent="0.25">
      <c r="A551">
        <v>550</v>
      </c>
      <c r="B551" t="s">
        <v>51</v>
      </c>
      <c r="C551" t="s">
        <v>51</v>
      </c>
      <c r="D551" t="s">
        <v>71</v>
      </c>
      <c r="F551" s="1">
        <v>42745</v>
      </c>
      <c r="G551" s="2">
        <v>89.3</v>
      </c>
      <c r="H551" s="2"/>
      <c r="I551" s="2">
        <f t="array" ref="I551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551" s="2">
        <v>0</v>
      </c>
      <c r="K551" s="2">
        <v>-23</v>
      </c>
      <c r="L551" s="2">
        <v>823.2</v>
      </c>
      <c r="M551" s="2">
        <f t="array" ref="M551">_xlfn.IFNA(IF(vp.data[[#This Row],[Dens Input]]="",INDEX([1]DATA!$O$3:$O$9826,MATCH(1,(vp.data[[#This Row],[Battery]]=[1]DATA!$L$3:$L$9826)*(EOMONTH(vp.data[[#This Row],[SDate]],-1)+1=[1]DATA!$G$3:$G$9826),0)),vp.data[[#This Row],[Dens Input]]),"")</f>
        <v>823.2</v>
      </c>
      <c r="N551" s="2">
        <f ca="1">INDEX(INDIRECT(_xlfn.CONCAT("weather.tbl[",N$1,"]")),MATCH(vp.data[[#This Row],[SDate]],weather.tbl[Date],0))</f>
        <v>-21.166666666666668</v>
      </c>
      <c r="O551" s="2">
        <f ca="1">INDEX(INDIRECT(_xlfn.CONCAT("weather.tbl[",O$1,"]")),MATCH(vp.data[[#This Row],[SDate]],weather.tbl[Date],0))</f>
        <v>-22.107142857142858</v>
      </c>
      <c r="P551" s="2">
        <f ca="1">INDEX(INDIRECT(_xlfn.CONCAT("weather.tbl[",P$1,"]")),MATCH(vp.data[[#This Row],[SDate]],weather.tbl[Date],0))</f>
        <v>-20.6</v>
      </c>
      <c r="Q551" s="2">
        <f ca="1">INDEX(INDIRECT(_xlfn.CONCAT("weather.tbl[",Q$1,"]")),MATCH(vp.data[[#This Row],[SDate]],weather.tbl[Date],0))</f>
        <v>-22.2</v>
      </c>
      <c r="R551" s="2">
        <f ca="1">INDEX(INDIRECT(_xlfn.CONCAT("weather.tbl[",R$1,"]")),MATCH(vp.data[[#This Row],[SDate]],weather.tbl[Date],0))</f>
        <v>-21.5</v>
      </c>
      <c r="S551" s="2">
        <f ca="1">INDEX(INDIRECT(_xlfn.CONCAT("weather.tbl[",S$1,"]")),MATCH(vp.data[[#This Row],[SDate]],weather.tbl[Date],0))</f>
        <v>-21.3</v>
      </c>
      <c r="T551" s="2">
        <f ca="1">INDEX(INDIRECT(_xlfn.CONCAT("weather.tbl[",T$1,"]")),MATCH(vp.data[[#This Row],[SDate]],weather.tbl[Date],0))</f>
        <v>-19.899999999999999</v>
      </c>
      <c r="U551" s="2">
        <f ca="1">INDEX(INDIRECT(_xlfn.CONCAT("weather.tbl[",U$1,"]")),MATCH(vp.data[[#This Row],[SDate]],weather.tbl[Date],0))</f>
        <v>-21.5</v>
      </c>
      <c r="V551" s="2">
        <f t="array" ref="V5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7460.0540000000001</v>
      </c>
      <c r="W551" t="s">
        <v>48</v>
      </c>
      <c r="X551">
        <f>IF(OR(vp.data[[#This Row],[Sulf]]="",vp.data[[#This Row],[Dens]]=""),1,0)</f>
        <v>0</v>
      </c>
      <c r="Y551">
        <f>IF(vp.data[[#This Row],[CrudeType]]="C5+",1,0)</f>
        <v>0</v>
      </c>
      <c r="Z551">
        <f>IF(AND(vp.data[[#This Row],[CrudeType]]="Crude",vp.data[[#This Row],[Dens]]&lt;=825,vp.data[[#This Row],[Sulf]]&gt;0.5,vp.data[[#This Row],[Unknown]]=0),1,0)</f>
        <v>1</v>
      </c>
      <c r="AA551">
        <f>IF(AND(vp.data[[#This Row],[CrudeType]]="Crude",vp.data[[#This Row],[Dens]]&lt;=825,vp.data[[#This Row],[Sulf]]&lt;=0.5,vp.data[[#This Row],[Unknown]]=0),1,0)</f>
        <v>0</v>
      </c>
      <c r="AB5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51">
        <f>IF(AND(vp.data[[#This Row],[CrudeType]]="Crude",vp.data[[#This Row],[Dens]]&gt;825,vp.data[[#This Row],[Dens]]&lt;=900,vp.data[[#This Row],[Sulf]]&lt;=0.5,vp.data[[#This Row],[Unknown]]=0),1,0)</f>
        <v>0</v>
      </c>
      <c r="AD551">
        <f>IF(AND(vp.data[[#This Row],[CrudeType]]="Crude",vp.data[[#This Row],[Dens]]&gt;865,vp.data[[#This Row],[Dens]]&lt;=900,vp.data[[#This Row],[Sulf]]&gt;2,vp.data[[#This Row],[Unknown]]=0),1,0)</f>
        <v>0</v>
      </c>
      <c r="AE551">
        <f>IF(AND(vp.data[[#This Row],[CrudeType]]="Crude",vp.data[[#This Row],[Dens]]&gt;900,vp.data[[#This Row],[Sulf]]&lt;=0.5,vp.data[[#This Row],[Unknown]]=0),1,0)</f>
        <v>0</v>
      </c>
      <c r="AF551">
        <f>IF(AND(vp.data[[#This Row],[CrudeType]]="Crude",vp.data[[#This Row],[Dens]]&gt;900,vp.data[[#This Row],[Sulf]]&lt;=0.5,vp.data[[#This Row],[Unknown]]=0),1,0)</f>
        <v>0</v>
      </c>
      <c r="AG551" t="str">
        <f>INDEX(vp.data[[#Headers],[Unknown]:[Heavy_SW]],MATCH(1,vp.data[[#This Row],[Unknown]:[Heavy_SW]],0))</f>
        <v>Light_LSB</v>
      </c>
      <c r="AH551">
        <f>INDEX([3]!crudeBD.lkup[Number],MATCH(vp.data[[#This Row],[Crude_Breakdown]],crudeBD.lkup[Crude Breakdown],0))</f>
        <v>1</v>
      </c>
      <c r="AI551">
        <f>MONTH(vp.data[[#This Row],[SDate]])</f>
        <v>1</v>
      </c>
      <c r="AJ551" s="5">
        <f>(vp.data[[#This Row],[VP]]-INDEX(crudeBD.lkup[Mean_VP],MATCH(vp.data[[#This Row],[Crude_Breakdown]],crudeBD.lkup[Crude Breakdown],0)))^2</f>
        <v>5.0453496014455768</v>
      </c>
      <c r="AK551" s="5">
        <f>(vp.data[[#This Row],[Dens]]-INDEX(crudeBD.lkup[Mean_Dens],MATCH(vp.data[[#This Row],[Crude_Breakdown]],crudeBD.lkup[Crude Breakdown],0)))^2</f>
        <v>21.932645486003771</v>
      </c>
      <c r="AL551" s="5">
        <f>(vp.data[[#This Row],[Sulf]]-INDEX(crudeBD.lkup[Mean_Sulf],MATCH(vp.data[[#This Row],[Crude_Breakdown]],crudeBD.lkup[Crude Breakdown],0)))^2</f>
        <v>0.24703765945669176</v>
      </c>
      <c r="AM551" s="4">
        <f>IF(AND(vp.data[[#This Row],[SDate]]&gt;=DATE(YEAR(vp.data[[#This Row],[SDate]]),5,1),vp.data[[#This Row],[SDate]]&lt;=DATE(YEAR(vp.data[[#This Row],[SDate]]),9,15)),1,0)</f>
        <v>0</v>
      </c>
      <c r="AN551" s="4">
        <f>IF(vp.data[[#This Row],[SDate]]&lt;DATE(2016,12,1),0,1)</f>
        <v>1</v>
      </c>
      <c r="AO551" s="4">
        <f>IFERROR(vp.data[[#This Row],[Sulf]]*vp.data[[#This Row],[Net Dens]],"")</f>
        <v>8720385.3629759997</v>
      </c>
      <c r="AP551">
        <f>IFERROR(vp.data[[#This Row],[Dens]]*vp.data[[#This Row],[VolumeM3]],"")</f>
        <v>6141116.4528000001</v>
      </c>
      <c r="AQ551" s="15">
        <f>IFERROR(vp.data[[#This Row],[VP]]*vp.data[[#This Row],[VolumeM3]],"")</f>
        <v>666182.82219999994</v>
      </c>
    </row>
    <row r="552" spans="1:43" x14ac:dyDescent="0.25">
      <c r="A552">
        <v>551</v>
      </c>
      <c r="B552" t="s">
        <v>62</v>
      </c>
      <c r="C552" t="s">
        <v>62</v>
      </c>
      <c r="D552" t="s">
        <v>63</v>
      </c>
      <c r="F552" s="1">
        <v>42745</v>
      </c>
      <c r="G552" s="2">
        <v>92.5</v>
      </c>
      <c r="H552" s="2"/>
      <c r="I552" s="2">
        <f t="array" ref="I552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552" s="2">
        <v>8.1999999999999993</v>
      </c>
      <c r="K552" s="2">
        <v>-23</v>
      </c>
      <c r="L552" s="2">
        <v>826.2</v>
      </c>
      <c r="M552" s="2">
        <f t="array" ref="M552">_xlfn.IFNA(IF(vp.data[[#This Row],[Dens Input]]="",INDEX([1]DATA!$O$3:$O$9826,MATCH(1,(vp.data[[#This Row],[Battery]]=[1]DATA!$L$3:$L$9826)*(EOMONTH(vp.data[[#This Row],[SDate]],-1)+1=[1]DATA!$G$3:$G$9826),0)),vp.data[[#This Row],[Dens Input]]),"")</f>
        <v>826.2</v>
      </c>
      <c r="N552" s="2">
        <f ca="1">INDEX(INDIRECT(_xlfn.CONCAT("weather.tbl[",N$1,"]")),MATCH(vp.data[[#This Row],[SDate]],weather.tbl[Date],0))</f>
        <v>-21.166666666666668</v>
      </c>
      <c r="O552" s="2">
        <f ca="1">INDEX(INDIRECT(_xlfn.CONCAT("weather.tbl[",O$1,"]")),MATCH(vp.data[[#This Row],[SDate]],weather.tbl[Date],0))</f>
        <v>-22.107142857142858</v>
      </c>
      <c r="P552" s="2">
        <f ca="1">INDEX(INDIRECT(_xlfn.CONCAT("weather.tbl[",P$1,"]")),MATCH(vp.data[[#This Row],[SDate]],weather.tbl[Date],0))</f>
        <v>-20.6</v>
      </c>
      <c r="Q552" s="2">
        <f ca="1">INDEX(INDIRECT(_xlfn.CONCAT("weather.tbl[",Q$1,"]")),MATCH(vp.data[[#This Row],[SDate]],weather.tbl[Date],0))</f>
        <v>-22.2</v>
      </c>
      <c r="R552" s="2">
        <f ca="1">INDEX(INDIRECT(_xlfn.CONCAT("weather.tbl[",R$1,"]")),MATCH(vp.data[[#This Row],[SDate]],weather.tbl[Date],0))</f>
        <v>-21.5</v>
      </c>
      <c r="S552" s="2">
        <f ca="1">INDEX(INDIRECT(_xlfn.CONCAT("weather.tbl[",S$1,"]")),MATCH(vp.data[[#This Row],[SDate]],weather.tbl[Date],0))</f>
        <v>-21.3</v>
      </c>
      <c r="T552" s="2">
        <f ca="1">INDEX(INDIRECT(_xlfn.CONCAT("weather.tbl[",T$1,"]")),MATCH(vp.data[[#This Row],[SDate]],weather.tbl[Date],0))</f>
        <v>-19.899999999999999</v>
      </c>
      <c r="U552" s="2">
        <f ca="1">INDEX(INDIRECT(_xlfn.CONCAT("weather.tbl[",U$1,"]")),MATCH(vp.data[[#This Row],[SDate]],weather.tbl[Date],0))</f>
        <v>-21.5</v>
      </c>
      <c r="V552" s="2">
        <f t="array" ref="V5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552" t="s">
        <v>48</v>
      </c>
      <c r="X552">
        <f>IF(OR(vp.data[[#This Row],[Sulf]]="",vp.data[[#This Row],[Dens]]=""),1,0)</f>
        <v>0</v>
      </c>
      <c r="Y552">
        <f>IF(vp.data[[#This Row],[CrudeType]]="C5+",1,0)</f>
        <v>0</v>
      </c>
      <c r="Z552">
        <f>IF(AND(vp.data[[#This Row],[CrudeType]]="Crude",vp.data[[#This Row],[Dens]]&lt;=825,vp.data[[#This Row],[Sulf]]&gt;0.5,vp.data[[#This Row],[Unknown]]=0),1,0)</f>
        <v>0</v>
      </c>
      <c r="AA552">
        <f>IF(AND(vp.data[[#This Row],[CrudeType]]="Crude",vp.data[[#This Row],[Dens]]&lt;=825,vp.data[[#This Row],[Sulf]]&lt;=0.5,vp.data[[#This Row],[Unknown]]=0),1,0)</f>
        <v>0</v>
      </c>
      <c r="AB5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2">
        <f>IF(AND(vp.data[[#This Row],[CrudeType]]="Crude",vp.data[[#This Row],[Dens]]&gt;825,vp.data[[#This Row],[Dens]]&lt;=900,vp.data[[#This Row],[Sulf]]&lt;=0.5,vp.data[[#This Row],[Unknown]]=0),1,0)</f>
        <v>0</v>
      </c>
      <c r="AD552">
        <f>IF(AND(vp.data[[#This Row],[CrudeType]]="Crude",vp.data[[#This Row],[Dens]]&gt;865,vp.data[[#This Row],[Dens]]&lt;=900,vp.data[[#This Row],[Sulf]]&gt;2,vp.data[[#This Row],[Unknown]]=0),1,0)</f>
        <v>0</v>
      </c>
      <c r="AE552">
        <f>IF(AND(vp.data[[#This Row],[CrudeType]]="Crude",vp.data[[#This Row],[Dens]]&gt;900,vp.data[[#This Row],[Sulf]]&lt;=0.5,vp.data[[#This Row],[Unknown]]=0),1,0)</f>
        <v>0</v>
      </c>
      <c r="AF552">
        <f>IF(AND(vp.data[[#This Row],[CrudeType]]="Crude",vp.data[[#This Row],[Dens]]&gt;900,vp.data[[#This Row],[Sulf]]&lt;=0.5,vp.data[[#This Row],[Unknown]]=0),1,0)</f>
        <v>0</v>
      </c>
      <c r="AG552" t="str">
        <f>INDEX(vp.data[[#Headers],[Unknown]:[Heavy_SW]],MATCH(1,vp.data[[#This Row],[Unknown]:[Heavy_SW]],0))</f>
        <v>Medium_LSB</v>
      </c>
      <c r="AH552">
        <f>INDEX([3]!crudeBD.lkup[Number],MATCH(vp.data[[#This Row],[Crude_Breakdown]],crudeBD.lkup[Crude Breakdown],0))</f>
        <v>3</v>
      </c>
      <c r="AI552">
        <f>MONTH(vp.data[[#This Row],[SDate]])</f>
        <v>1</v>
      </c>
      <c r="AJ552" s="5">
        <f>(vp.data[[#This Row],[VP]]-INDEX(crudeBD.lkup[Mean_VP],MATCH(vp.data[[#This Row],[Crude_Breakdown]],crudeBD.lkup[Crude Breakdown],0)))^2</f>
        <v>140.66727234181846</v>
      </c>
      <c r="AK552" s="5">
        <f>(vp.data[[#This Row],[Dens]]-INDEX(crudeBD.lkup[Mean_Dens],MATCH(vp.data[[#This Row],[Crude_Breakdown]],crudeBD.lkup[Crude Breakdown],0)))^2</f>
        <v>313.99839999998085</v>
      </c>
      <c r="AL552" s="5">
        <f>(vp.data[[#This Row],[Sulf]]-INDEX(crudeBD.lkup[Mean_Sulf],MATCH(vp.data[[#This Row],[Crude_Breakdown]],crudeBD.lkup[Crude Breakdown],0)))^2</f>
        <v>8.9476224973095587E-3</v>
      </c>
      <c r="AM552" s="4">
        <f>IF(AND(vp.data[[#This Row],[SDate]]&gt;=DATE(YEAR(vp.data[[#This Row],[SDate]]),5,1),vp.data[[#This Row],[SDate]]&lt;=DATE(YEAR(vp.data[[#This Row],[SDate]]),9,15)),1,0)</f>
        <v>0</v>
      </c>
      <c r="AN552" s="4">
        <f>IF(vp.data[[#This Row],[SDate]]&lt;DATE(2016,12,1),0,1)</f>
        <v>1</v>
      </c>
      <c r="AO552" s="4">
        <f>IFERROR(vp.data[[#This Row],[Sulf]]*vp.data[[#This Row],[Net Dens]],"")</f>
        <v>5983962.4955520006</v>
      </c>
      <c r="AP552">
        <f>IFERROR(vp.data[[#This Row],[Dens]]*vp.data[[#This Row],[VolumeM3]],"")</f>
        <v>4043217.9024000005</v>
      </c>
      <c r="AQ552" s="15">
        <f>IFERROR(vp.data[[#This Row],[VP]]*vp.data[[#This Row],[VolumeM3]],"")</f>
        <v>452672.06000000006</v>
      </c>
    </row>
    <row r="553" spans="1:43" x14ac:dyDescent="0.25">
      <c r="A553">
        <v>552</v>
      </c>
      <c r="B553" t="s">
        <v>108</v>
      </c>
      <c r="C553" t="s">
        <v>108</v>
      </c>
      <c r="D553" t="s">
        <v>113</v>
      </c>
      <c r="F553" s="1">
        <v>42745</v>
      </c>
      <c r="G553" s="2">
        <v>98.5</v>
      </c>
      <c r="H553" s="2"/>
      <c r="I553" s="2">
        <f t="array" ref="I553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553" s="2">
        <v>11.6</v>
      </c>
      <c r="K553" s="2">
        <v>-23</v>
      </c>
      <c r="L553" s="2">
        <v>841.1</v>
      </c>
      <c r="M553" s="2">
        <f t="array" ref="M553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553" s="2">
        <f ca="1">INDEX(INDIRECT(_xlfn.CONCAT("weather.tbl[",N$1,"]")),MATCH(vp.data[[#This Row],[SDate]],weather.tbl[Date],0))</f>
        <v>-21.166666666666668</v>
      </c>
      <c r="O553" s="2">
        <f ca="1">INDEX(INDIRECT(_xlfn.CONCAT("weather.tbl[",O$1,"]")),MATCH(vp.data[[#This Row],[SDate]],weather.tbl[Date],0))</f>
        <v>-22.107142857142858</v>
      </c>
      <c r="P553" s="2">
        <f ca="1">INDEX(INDIRECT(_xlfn.CONCAT("weather.tbl[",P$1,"]")),MATCH(vp.data[[#This Row],[SDate]],weather.tbl[Date],0))</f>
        <v>-20.6</v>
      </c>
      <c r="Q553" s="2">
        <f ca="1">INDEX(INDIRECT(_xlfn.CONCAT("weather.tbl[",Q$1,"]")),MATCH(vp.data[[#This Row],[SDate]],weather.tbl[Date],0))</f>
        <v>-22.2</v>
      </c>
      <c r="R553" s="2">
        <f ca="1">INDEX(INDIRECT(_xlfn.CONCAT("weather.tbl[",R$1,"]")),MATCH(vp.data[[#This Row],[SDate]],weather.tbl[Date],0))</f>
        <v>-21.5</v>
      </c>
      <c r="S553" s="2">
        <f ca="1">INDEX(INDIRECT(_xlfn.CONCAT("weather.tbl[",S$1,"]")),MATCH(vp.data[[#This Row],[SDate]],weather.tbl[Date],0))</f>
        <v>-21.3</v>
      </c>
      <c r="T553" s="2">
        <f ca="1">INDEX(INDIRECT(_xlfn.CONCAT("weather.tbl[",T$1,"]")),MATCH(vp.data[[#This Row],[SDate]],weather.tbl[Date],0))</f>
        <v>-19.899999999999999</v>
      </c>
      <c r="U553" s="2">
        <f ca="1">INDEX(INDIRECT(_xlfn.CONCAT("weather.tbl[",U$1,"]")),MATCH(vp.data[[#This Row],[SDate]],weather.tbl[Date],0))</f>
        <v>-21.5</v>
      </c>
      <c r="V553" s="2">
        <f t="array" ref="V5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745.88199999999995</v>
      </c>
      <c r="W553" t="s">
        <v>48</v>
      </c>
      <c r="X553">
        <f>IF(OR(vp.data[[#This Row],[Sulf]]="",vp.data[[#This Row],[Dens]]=""),1,0)</f>
        <v>0</v>
      </c>
      <c r="Y553">
        <f>IF(vp.data[[#This Row],[CrudeType]]="C5+",1,0)</f>
        <v>0</v>
      </c>
      <c r="Z553">
        <f>IF(AND(vp.data[[#This Row],[CrudeType]]="Crude",vp.data[[#This Row],[Dens]]&lt;=825,vp.data[[#This Row],[Sulf]]&gt;0.5,vp.data[[#This Row],[Unknown]]=0),1,0)</f>
        <v>0</v>
      </c>
      <c r="AA553">
        <f>IF(AND(vp.data[[#This Row],[CrudeType]]="Crude",vp.data[[#This Row],[Dens]]&lt;=825,vp.data[[#This Row],[Sulf]]&lt;=0.5,vp.data[[#This Row],[Unknown]]=0),1,0)</f>
        <v>0</v>
      </c>
      <c r="AB5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3">
        <f>IF(AND(vp.data[[#This Row],[CrudeType]]="Crude",vp.data[[#This Row],[Dens]]&gt;825,vp.data[[#This Row],[Dens]]&lt;=900,vp.data[[#This Row],[Sulf]]&lt;=0.5,vp.data[[#This Row],[Unknown]]=0),1,0)</f>
        <v>0</v>
      </c>
      <c r="AD553">
        <f>IF(AND(vp.data[[#This Row],[CrudeType]]="Crude",vp.data[[#This Row],[Dens]]&gt;865,vp.data[[#This Row],[Dens]]&lt;=900,vp.data[[#This Row],[Sulf]]&gt;2,vp.data[[#This Row],[Unknown]]=0),1,0)</f>
        <v>0</v>
      </c>
      <c r="AE553">
        <f>IF(AND(vp.data[[#This Row],[CrudeType]]="Crude",vp.data[[#This Row],[Dens]]&gt;900,vp.data[[#This Row],[Sulf]]&lt;=0.5,vp.data[[#This Row],[Unknown]]=0),1,0)</f>
        <v>0</v>
      </c>
      <c r="AF553">
        <f>IF(AND(vp.data[[#This Row],[CrudeType]]="Crude",vp.data[[#This Row],[Dens]]&gt;900,vp.data[[#This Row],[Sulf]]&lt;=0.5,vp.data[[#This Row],[Unknown]]=0),1,0)</f>
        <v>0</v>
      </c>
      <c r="AG553" t="str">
        <f>INDEX(vp.data[[#Headers],[Unknown]:[Heavy_SW]],MATCH(1,vp.data[[#This Row],[Unknown]:[Heavy_SW]],0))</f>
        <v>Medium_LSB</v>
      </c>
      <c r="AH553">
        <f>INDEX([3]!crudeBD.lkup[Number],MATCH(vp.data[[#This Row],[Crude_Breakdown]],crudeBD.lkup[Crude Breakdown],0))</f>
        <v>3</v>
      </c>
      <c r="AI553">
        <f>MONTH(vp.data[[#This Row],[SDate]])</f>
        <v>1</v>
      </c>
      <c r="AJ553" s="5">
        <f>(vp.data[[#This Row],[VP]]-INDEX(crudeBD.lkup[Mean_VP],MATCH(vp.data[[#This Row],[Crude_Breakdown]],crudeBD.lkup[Crude Breakdown],0)))^2</f>
        <v>318.99115374343654</v>
      </c>
      <c r="AK553" s="5">
        <f>(vp.data[[#This Row],[Dens]]-INDEX(crudeBD.lkup[Mean_Dens],MATCH(vp.data[[#This Row],[Crude_Breakdown]],crudeBD.lkup[Crude Breakdown],0)))^2</f>
        <v>7.952399999997076</v>
      </c>
      <c r="AL553" s="5">
        <f>(vp.data[[#This Row],[Sulf]]-INDEX(crudeBD.lkup[Mean_Sulf],MATCH(vp.data[[#This Row],[Crude_Breakdown]],crudeBD.lkup[Crude Breakdown],0)))^2</f>
        <v>1.1110873171164612E-2</v>
      </c>
      <c r="AM553" s="4">
        <f>IF(AND(vp.data[[#This Row],[SDate]]&gt;=DATE(YEAR(vp.data[[#This Row],[SDate]]),5,1),vp.data[[#This Row],[SDate]]&lt;=DATE(YEAR(vp.data[[#This Row],[SDate]]),9,15)),1,0)</f>
        <v>0</v>
      </c>
      <c r="AN553" s="4">
        <f>IF(vp.data[[#This Row],[SDate]]&lt;DATE(2016,12,1),0,1)</f>
        <v>1</v>
      </c>
      <c r="AO553" s="4">
        <f>IFERROR(vp.data[[#This Row],[Sulf]]*vp.data[[#This Row],[Net Dens]],"")</f>
        <v>803022.52825600002</v>
      </c>
      <c r="AP553">
        <f>IFERROR(vp.data[[#This Row],[Dens]]*vp.data[[#This Row],[VolumeM3]],"")</f>
        <v>627361.35019999999</v>
      </c>
      <c r="AQ553" s="15">
        <f>IFERROR(vp.data[[#This Row],[VP]]*vp.data[[#This Row],[VolumeM3]],"")</f>
        <v>73469.376999999993</v>
      </c>
    </row>
    <row r="554" spans="1:43" x14ac:dyDescent="0.25">
      <c r="A554">
        <v>553</v>
      </c>
      <c r="B554" t="s">
        <v>56</v>
      </c>
      <c r="C554" t="s">
        <v>56</v>
      </c>
      <c r="D554" t="s">
        <v>94</v>
      </c>
      <c r="F554" s="1">
        <v>42745</v>
      </c>
      <c r="G554" s="2">
        <v>85.7</v>
      </c>
      <c r="H554" s="2"/>
      <c r="I554" s="2">
        <f t="array" ref="I554">_xlfn.IFNA(IF(vp.data[[#This Row],[Sulf Input]]="",INDEX([1]DATA!$Q$3:$Q$9826,MATCH(1,(vp.data[[#This Row],[Battery]]=[1]DATA!$L$3:$L$9826)*(EOMONTH(vp.data[[#This Row],[SDate]],-1)+1=[1]DATA!$G$3:$G$9826),0)),vp.data[[#This Row],[Sulf Input]]),"")</f>
        <v>1.98</v>
      </c>
      <c r="J554" s="2">
        <v>11.5</v>
      </c>
      <c r="K554" s="2">
        <v>-23</v>
      </c>
      <c r="L554" s="2">
        <v>851</v>
      </c>
      <c r="M554" s="2">
        <f t="array" ref="M554">_xlfn.IFNA(IF(vp.data[[#This Row],[Dens Input]]="",INDEX([1]DATA!$O$3:$O$9826,MATCH(1,(vp.data[[#This Row],[Battery]]=[1]DATA!$L$3:$L$9826)*(EOMONTH(vp.data[[#This Row],[SDate]],-1)+1=[1]DATA!$G$3:$G$9826),0)),vp.data[[#This Row],[Dens Input]]),"")</f>
        <v>851</v>
      </c>
      <c r="N554" s="2">
        <f ca="1">INDEX(INDIRECT(_xlfn.CONCAT("weather.tbl[",N$1,"]")),MATCH(vp.data[[#This Row],[SDate]],weather.tbl[Date],0))</f>
        <v>-21.166666666666668</v>
      </c>
      <c r="O554" s="2">
        <f ca="1">INDEX(INDIRECT(_xlfn.CONCAT("weather.tbl[",O$1,"]")),MATCH(vp.data[[#This Row],[SDate]],weather.tbl[Date],0))</f>
        <v>-22.107142857142858</v>
      </c>
      <c r="P554" s="2">
        <f ca="1">INDEX(INDIRECT(_xlfn.CONCAT("weather.tbl[",P$1,"]")),MATCH(vp.data[[#This Row],[SDate]],weather.tbl[Date],0))</f>
        <v>-20.6</v>
      </c>
      <c r="Q554" s="2">
        <f ca="1">INDEX(INDIRECT(_xlfn.CONCAT("weather.tbl[",Q$1,"]")),MATCH(vp.data[[#This Row],[SDate]],weather.tbl[Date],0))</f>
        <v>-22.2</v>
      </c>
      <c r="R554" s="2">
        <f ca="1">INDEX(INDIRECT(_xlfn.CONCAT("weather.tbl[",R$1,"]")),MATCH(vp.data[[#This Row],[SDate]],weather.tbl[Date],0))</f>
        <v>-21.5</v>
      </c>
      <c r="S554" s="2">
        <f ca="1">INDEX(INDIRECT(_xlfn.CONCAT("weather.tbl[",S$1,"]")),MATCH(vp.data[[#This Row],[SDate]],weather.tbl[Date],0))</f>
        <v>-21.3</v>
      </c>
      <c r="T554" s="2">
        <f ca="1">INDEX(INDIRECT(_xlfn.CONCAT("weather.tbl[",T$1,"]")),MATCH(vp.data[[#This Row],[SDate]],weather.tbl[Date],0))</f>
        <v>-19.899999999999999</v>
      </c>
      <c r="U554" s="2">
        <f ca="1">INDEX(INDIRECT(_xlfn.CONCAT("weather.tbl[",U$1,"]")),MATCH(vp.data[[#This Row],[SDate]],weather.tbl[Date],0))</f>
        <v>-21.5</v>
      </c>
      <c r="V554" s="2">
        <f t="array" ref="V5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3861.2350000000001</v>
      </c>
      <c r="W554" t="s">
        <v>48</v>
      </c>
      <c r="X554">
        <f>IF(OR(vp.data[[#This Row],[Sulf]]="",vp.data[[#This Row],[Dens]]=""),1,0)</f>
        <v>0</v>
      </c>
      <c r="Y554">
        <f>IF(vp.data[[#This Row],[CrudeType]]="C5+",1,0)</f>
        <v>0</v>
      </c>
      <c r="Z554">
        <f>IF(AND(vp.data[[#This Row],[CrudeType]]="Crude",vp.data[[#This Row],[Dens]]&lt;=825,vp.data[[#This Row],[Sulf]]&gt;0.5,vp.data[[#This Row],[Unknown]]=0),1,0)</f>
        <v>0</v>
      </c>
      <c r="AA554">
        <f>IF(AND(vp.data[[#This Row],[CrudeType]]="Crude",vp.data[[#This Row],[Dens]]&lt;=825,vp.data[[#This Row],[Sulf]]&lt;=0.5,vp.data[[#This Row],[Unknown]]=0),1,0)</f>
        <v>0</v>
      </c>
      <c r="AB5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4">
        <f>IF(AND(vp.data[[#This Row],[CrudeType]]="Crude",vp.data[[#This Row],[Dens]]&gt;825,vp.data[[#This Row],[Dens]]&lt;=900,vp.data[[#This Row],[Sulf]]&lt;=0.5,vp.data[[#This Row],[Unknown]]=0),1,0)</f>
        <v>0</v>
      </c>
      <c r="AD554">
        <f>IF(AND(vp.data[[#This Row],[CrudeType]]="Crude",vp.data[[#This Row],[Dens]]&gt;865,vp.data[[#This Row],[Dens]]&lt;=900,vp.data[[#This Row],[Sulf]]&gt;2,vp.data[[#This Row],[Unknown]]=0),1,0)</f>
        <v>0</v>
      </c>
      <c r="AE554">
        <f>IF(AND(vp.data[[#This Row],[CrudeType]]="Crude",vp.data[[#This Row],[Dens]]&gt;900,vp.data[[#This Row],[Sulf]]&lt;=0.5,vp.data[[#This Row],[Unknown]]=0),1,0)</f>
        <v>0</v>
      </c>
      <c r="AF554">
        <f>IF(AND(vp.data[[#This Row],[CrudeType]]="Crude",vp.data[[#This Row],[Dens]]&gt;900,vp.data[[#This Row],[Sulf]]&lt;=0.5,vp.data[[#This Row],[Unknown]]=0),1,0)</f>
        <v>0</v>
      </c>
      <c r="AG554" t="str">
        <f>INDEX(vp.data[[#Headers],[Unknown]:[Heavy_SW]],MATCH(1,vp.data[[#This Row],[Unknown]:[Heavy_SW]],0))</f>
        <v>Medium_LSB</v>
      </c>
      <c r="AH554">
        <f>INDEX([3]!crudeBD.lkup[Number],MATCH(vp.data[[#This Row],[Crude_Breakdown]],crudeBD.lkup[Crude Breakdown],0))</f>
        <v>3</v>
      </c>
      <c r="AI554">
        <f>MONTH(vp.data[[#This Row],[SDate]])</f>
        <v>1</v>
      </c>
      <c r="AJ554" s="5">
        <f>(vp.data[[#This Row],[VP]]-INDEX(crudeBD.lkup[Mean_VP],MATCH(vp.data[[#This Row],[Crude_Breakdown]],crudeBD.lkup[Crude Breakdown],0)))^2</f>
        <v>25.606873419984623</v>
      </c>
      <c r="AK554" s="5">
        <f>(vp.data[[#This Row],[Dens]]-INDEX(crudeBD.lkup[Mean_Dens],MATCH(vp.data[[#This Row],[Crude_Breakdown]],crudeBD.lkup[Crude Breakdown],0)))^2</f>
        <v>50.126400000007017</v>
      </c>
      <c r="AL554" s="5">
        <f>(vp.data[[#This Row],[Sulf]]-INDEX(crudeBD.lkup[Mean_Sulf],MATCH(vp.data[[#This Row],[Crude_Breakdown]],crudeBD.lkup[Crude Breakdown],0)))^2</f>
        <v>0.35353949581267191</v>
      </c>
      <c r="AM554" s="4">
        <f>IF(AND(vp.data[[#This Row],[SDate]]&gt;=DATE(YEAR(vp.data[[#This Row],[SDate]]),5,1),vp.data[[#This Row],[SDate]]&lt;=DATE(YEAR(vp.data[[#This Row],[SDate]]),9,15)),1,0)</f>
        <v>0</v>
      </c>
      <c r="AN554" s="4">
        <f>IF(vp.data[[#This Row],[SDate]]&lt;DATE(2016,12,1),0,1)</f>
        <v>1</v>
      </c>
      <c r="AO554" s="4">
        <f>IFERROR(vp.data[[#This Row],[Sulf]]*vp.data[[#This Row],[Net Dens]],"")</f>
        <v>6506103.7503000004</v>
      </c>
      <c r="AP554">
        <f>IFERROR(vp.data[[#This Row],[Dens]]*vp.data[[#This Row],[VolumeM3]],"")</f>
        <v>3285910.9850000003</v>
      </c>
      <c r="AQ554" s="15">
        <f>IFERROR(vp.data[[#This Row],[VP]]*vp.data[[#This Row],[VolumeM3]],"")</f>
        <v>330907.8395</v>
      </c>
    </row>
    <row r="555" spans="1:43" x14ac:dyDescent="0.25">
      <c r="A555">
        <v>554</v>
      </c>
      <c r="B555" t="s">
        <v>51</v>
      </c>
      <c r="C555" t="s">
        <v>51</v>
      </c>
      <c r="D555" t="s">
        <v>58</v>
      </c>
      <c r="F555" s="1">
        <v>42745</v>
      </c>
      <c r="G555" s="2">
        <v>80.8</v>
      </c>
      <c r="H555" s="2"/>
      <c r="I555" s="2">
        <f t="array" ref="I555">_xlfn.IFNA(IF(vp.data[[#This Row],[Sulf Input]]="",INDEX([1]DATA!$Q$3:$Q$9826,MATCH(1,(vp.data[[#This Row],[Battery]]=[1]DATA!$L$3:$L$9826)*(EOMONTH(vp.data[[#This Row],[SDate]],-1)+1=[1]DATA!$G$3:$G$9826),0)),vp.data[[#This Row],[Sulf Input]]),"")</f>
        <v>1.64</v>
      </c>
      <c r="J555" s="2">
        <v>25.9</v>
      </c>
      <c r="K555" s="2">
        <v>-23</v>
      </c>
      <c r="L555" s="2">
        <v>858.2</v>
      </c>
      <c r="M555" s="2">
        <f t="array" ref="M555">_xlfn.IFNA(IF(vp.data[[#This Row],[Dens Input]]="",INDEX([1]DATA!$O$3:$O$9826,MATCH(1,(vp.data[[#This Row],[Battery]]=[1]DATA!$L$3:$L$9826)*(EOMONTH(vp.data[[#This Row],[SDate]],-1)+1=[1]DATA!$G$3:$G$9826),0)),vp.data[[#This Row],[Dens Input]]),"")</f>
        <v>858.2</v>
      </c>
      <c r="N555" s="2">
        <f ca="1">INDEX(INDIRECT(_xlfn.CONCAT("weather.tbl[",N$1,"]")),MATCH(vp.data[[#This Row],[SDate]],weather.tbl[Date],0))</f>
        <v>-21.166666666666668</v>
      </c>
      <c r="O555" s="2">
        <f ca="1">INDEX(INDIRECT(_xlfn.CONCAT("weather.tbl[",O$1,"]")),MATCH(vp.data[[#This Row],[SDate]],weather.tbl[Date],0))</f>
        <v>-22.107142857142858</v>
      </c>
      <c r="P555" s="2">
        <f ca="1">INDEX(INDIRECT(_xlfn.CONCAT("weather.tbl[",P$1,"]")),MATCH(vp.data[[#This Row],[SDate]],weather.tbl[Date],0))</f>
        <v>-20.6</v>
      </c>
      <c r="Q555" s="2">
        <f ca="1">INDEX(INDIRECT(_xlfn.CONCAT("weather.tbl[",Q$1,"]")),MATCH(vp.data[[#This Row],[SDate]],weather.tbl[Date],0))</f>
        <v>-22.2</v>
      </c>
      <c r="R555" s="2">
        <f ca="1">INDEX(INDIRECT(_xlfn.CONCAT("weather.tbl[",R$1,"]")),MATCH(vp.data[[#This Row],[SDate]],weather.tbl[Date],0))</f>
        <v>-21.5</v>
      </c>
      <c r="S555" s="2">
        <f ca="1">INDEX(INDIRECT(_xlfn.CONCAT("weather.tbl[",S$1,"]")),MATCH(vp.data[[#This Row],[SDate]],weather.tbl[Date],0))</f>
        <v>-21.3</v>
      </c>
      <c r="T555" s="2">
        <f ca="1">INDEX(INDIRECT(_xlfn.CONCAT("weather.tbl[",T$1,"]")),MATCH(vp.data[[#This Row],[SDate]],weather.tbl[Date],0))</f>
        <v>-19.899999999999999</v>
      </c>
      <c r="U555" s="2">
        <f ca="1">INDEX(INDIRECT(_xlfn.CONCAT("weather.tbl[",U$1,"]")),MATCH(vp.data[[#This Row],[SDate]],weather.tbl[Date],0))</f>
        <v>-21.5</v>
      </c>
      <c r="V555" s="2">
        <f t="array" ref="V5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5017.2560000000003</v>
      </c>
      <c r="W555" t="s">
        <v>48</v>
      </c>
      <c r="X555">
        <f>IF(OR(vp.data[[#This Row],[Sulf]]="",vp.data[[#This Row],[Dens]]=""),1,0)</f>
        <v>0</v>
      </c>
      <c r="Y555">
        <f>IF(vp.data[[#This Row],[CrudeType]]="C5+",1,0)</f>
        <v>0</v>
      </c>
      <c r="Z555">
        <f>IF(AND(vp.data[[#This Row],[CrudeType]]="Crude",vp.data[[#This Row],[Dens]]&lt;=825,vp.data[[#This Row],[Sulf]]&gt;0.5,vp.data[[#This Row],[Unknown]]=0),1,0)</f>
        <v>0</v>
      </c>
      <c r="AA555">
        <f>IF(AND(vp.data[[#This Row],[CrudeType]]="Crude",vp.data[[#This Row],[Dens]]&lt;=825,vp.data[[#This Row],[Sulf]]&lt;=0.5,vp.data[[#This Row],[Unknown]]=0),1,0)</f>
        <v>0</v>
      </c>
      <c r="AB5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5">
        <f>IF(AND(vp.data[[#This Row],[CrudeType]]="Crude",vp.data[[#This Row],[Dens]]&gt;825,vp.data[[#This Row],[Dens]]&lt;=900,vp.data[[#This Row],[Sulf]]&lt;=0.5,vp.data[[#This Row],[Unknown]]=0),1,0)</f>
        <v>0</v>
      </c>
      <c r="AD555">
        <f>IF(AND(vp.data[[#This Row],[CrudeType]]="Crude",vp.data[[#This Row],[Dens]]&gt;865,vp.data[[#This Row],[Dens]]&lt;=900,vp.data[[#This Row],[Sulf]]&gt;2,vp.data[[#This Row],[Unknown]]=0),1,0)</f>
        <v>0</v>
      </c>
      <c r="AE555">
        <f>IF(AND(vp.data[[#This Row],[CrudeType]]="Crude",vp.data[[#This Row],[Dens]]&gt;900,vp.data[[#This Row],[Sulf]]&lt;=0.5,vp.data[[#This Row],[Unknown]]=0),1,0)</f>
        <v>0</v>
      </c>
      <c r="AF555">
        <f>IF(AND(vp.data[[#This Row],[CrudeType]]="Crude",vp.data[[#This Row],[Dens]]&gt;900,vp.data[[#This Row],[Sulf]]&lt;=0.5,vp.data[[#This Row],[Unknown]]=0),1,0)</f>
        <v>0</v>
      </c>
      <c r="AG555" t="str">
        <f>INDEX(vp.data[[#Headers],[Unknown]:[Heavy_SW]],MATCH(1,vp.data[[#This Row],[Unknown]:[Heavy_SW]],0))</f>
        <v>Medium_LSB</v>
      </c>
      <c r="AH555">
        <f>INDEX([3]!crudeBD.lkup[Number],MATCH(vp.data[[#This Row],[Crude_Breakdown]],crudeBD.lkup[Crude Breakdown],0))</f>
        <v>3</v>
      </c>
      <c r="AI555">
        <f>MONTH(vp.data[[#This Row],[SDate]])</f>
        <v>1</v>
      </c>
      <c r="AJ555" s="5">
        <f>(vp.data[[#This Row],[VP]]-INDEX(crudeBD.lkup[Mean_VP],MATCH(vp.data[[#This Row],[Crude_Breakdown]],crudeBD.lkup[Crude Breakdown],0)))^2</f>
        <v>2.5703608663138405E-2</v>
      </c>
      <c r="AK555" s="5">
        <f>(vp.data[[#This Row],[Dens]]-INDEX(crudeBD.lkup[Mean_Dens],MATCH(vp.data[[#This Row],[Crude_Breakdown]],crudeBD.lkup[Crude Breakdown],0)))^2</f>
        <v>203.91840000001545</v>
      </c>
      <c r="AL555" s="5">
        <f>(vp.data[[#This Row],[Sulf]]-INDEX(crudeBD.lkup[Mean_Sulf],MATCH(vp.data[[#This Row],[Crude_Breakdown]],crudeBD.lkup[Crude Breakdown],0)))^2</f>
        <v>6.481702195822546E-2</v>
      </c>
      <c r="AM555" s="4">
        <f>IF(AND(vp.data[[#This Row],[SDate]]&gt;=DATE(YEAR(vp.data[[#This Row],[SDate]]),5,1),vp.data[[#This Row],[SDate]]&lt;=DATE(YEAR(vp.data[[#This Row],[SDate]]),9,15)),1,0)</f>
        <v>0</v>
      </c>
      <c r="AN555" s="4">
        <f>IF(vp.data[[#This Row],[SDate]]&lt;DATE(2016,12,1),0,1)</f>
        <v>1</v>
      </c>
      <c r="AO555" s="4">
        <f>IFERROR(vp.data[[#This Row],[Sulf]]*vp.data[[#This Row],[Net Dens]],"")</f>
        <v>7061526.9226879999</v>
      </c>
      <c r="AP555">
        <f>IFERROR(vp.data[[#This Row],[Dens]]*vp.data[[#This Row],[VolumeM3]],"")</f>
        <v>4305809.0992000001</v>
      </c>
      <c r="AQ555" s="15">
        <f>IFERROR(vp.data[[#This Row],[VP]]*vp.data[[#This Row],[VolumeM3]],"")</f>
        <v>405394.28480000002</v>
      </c>
    </row>
    <row r="556" spans="1:43" x14ac:dyDescent="0.25">
      <c r="A556">
        <v>555</v>
      </c>
      <c r="B556" t="s">
        <v>49</v>
      </c>
      <c r="C556" t="s">
        <v>49</v>
      </c>
      <c r="D556" t="s">
        <v>81</v>
      </c>
      <c r="F556" s="1">
        <v>42746</v>
      </c>
      <c r="G556" s="2">
        <v>91</v>
      </c>
      <c r="H556" s="2"/>
      <c r="I556" s="2">
        <f t="array" ref="I556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56" s="2">
        <v>0.1</v>
      </c>
      <c r="K556" s="2">
        <v>-28</v>
      </c>
      <c r="L556" s="2">
        <v>818.4</v>
      </c>
      <c r="M556" s="2">
        <f t="array" ref="M556">_xlfn.IFNA(IF(vp.data[[#This Row],[Dens Input]]="",INDEX([1]DATA!$O$3:$O$9826,MATCH(1,(vp.data[[#This Row],[Battery]]=[1]DATA!$L$3:$L$9826)*(EOMONTH(vp.data[[#This Row],[SDate]],-1)+1=[1]DATA!$G$3:$G$9826),0)),vp.data[[#This Row],[Dens Input]]),"")</f>
        <v>818.4</v>
      </c>
      <c r="N556" s="2">
        <f ca="1">INDEX(INDIRECT(_xlfn.CONCAT("weather.tbl[",N$1,"]")),MATCH(vp.data[[#This Row],[SDate]],weather.tbl[Date],0))</f>
        <v>-22.516666666666666</v>
      </c>
      <c r="O556" s="2">
        <f ca="1">INDEX(INDIRECT(_xlfn.CONCAT("weather.tbl[",O$1,"]")),MATCH(vp.data[[#This Row],[SDate]],weather.tbl[Date],0))</f>
        <v>-22.078571428571429</v>
      </c>
      <c r="P556" s="2">
        <f ca="1">INDEX(INDIRECT(_xlfn.CONCAT("weather.tbl[",P$1,"]")),MATCH(vp.data[[#This Row],[SDate]],weather.tbl[Date],0))</f>
        <v>-24.4</v>
      </c>
      <c r="Q556" s="2">
        <f ca="1">INDEX(INDIRECT(_xlfn.CONCAT("weather.tbl[",Q$1,"]")),MATCH(vp.data[[#This Row],[SDate]],weather.tbl[Date],0))</f>
        <v>-19.899999999999999</v>
      </c>
      <c r="R556" s="2">
        <f ca="1">INDEX(INDIRECT(_xlfn.CONCAT("weather.tbl[",R$1,"]")),MATCH(vp.data[[#This Row],[SDate]],weather.tbl[Date],0))</f>
        <v>-23.3</v>
      </c>
      <c r="S556" s="2">
        <f ca="1">INDEX(INDIRECT(_xlfn.CONCAT("weather.tbl[",S$1,"]")),MATCH(vp.data[[#This Row],[SDate]],weather.tbl[Date],0))</f>
        <v>-20.9</v>
      </c>
      <c r="T556" s="2">
        <f ca="1">INDEX(INDIRECT(_xlfn.CONCAT("weather.tbl[",T$1,"]")),MATCH(vp.data[[#This Row],[SDate]],weather.tbl[Date],0))</f>
        <v>-24.1</v>
      </c>
      <c r="U556" s="2">
        <f ca="1">INDEX(INDIRECT(_xlfn.CONCAT("weather.tbl[",U$1,"]")),MATCH(vp.data[[#This Row],[SDate]],weather.tbl[Date],0))</f>
        <v>-22.5</v>
      </c>
      <c r="V556" s="2">
        <f t="array" ref="V5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18973.987000000001</v>
      </c>
      <c r="W556" t="s">
        <v>48</v>
      </c>
      <c r="X556">
        <f>IF(OR(vp.data[[#This Row],[Sulf]]="",vp.data[[#This Row],[Dens]]=""),1,0)</f>
        <v>0</v>
      </c>
      <c r="Y556">
        <f>IF(vp.data[[#This Row],[CrudeType]]="C5+",1,0)</f>
        <v>0</v>
      </c>
      <c r="Z556">
        <f>IF(AND(vp.data[[#This Row],[CrudeType]]="Crude",vp.data[[#This Row],[Dens]]&lt;=825,vp.data[[#This Row],[Sulf]]&gt;0.5,vp.data[[#This Row],[Unknown]]=0),1,0)</f>
        <v>1</v>
      </c>
      <c r="AA556">
        <f>IF(AND(vp.data[[#This Row],[CrudeType]]="Crude",vp.data[[#This Row],[Dens]]&lt;=825,vp.data[[#This Row],[Sulf]]&lt;=0.5,vp.data[[#This Row],[Unknown]]=0),1,0)</f>
        <v>0</v>
      </c>
      <c r="AB5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56">
        <f>IF(AND(vp.data[[#This Row],[CrudeType]]="Crude",vp.data[[#This Row],[Dens]]&gt;825,vp.data[[#This Row],[Dens]]&lt;=900,vp.data[[#This Row],[Sulf]]&lt;=0.5,vp.data[[#This Row],[Unknown]]=0),1,0)</f>
        <v>0</v>
      </c>
      <c r="AD556">
        <f>IF(AND(vp.data[[#This Row],[CrudeType]]="Crude",vp.data[[#This Row],[Dens]]&gt;865,vp.data[[#This Row],[Dens]]&lt;=900,vp.data[[#This Row],[Sulf]]&gt;2,vp.data[[#This Row],[Unknown]]=0),1,0)</f>
        <v>0</v>
      </c>
      <c r="AE556">
        <f>IF(AND(vp.data[[#This Row],[CrudeType]]="Crude",vp.data[[#This Row],[Dens]]&gt;900,vp.data[[#This Row],[Sulf]]&lt;=0.5,vp.data[[#This Row],[Unknown]]=0),1,0)</f>
        <v>0</v>
      </c>
      <c r="AF556">
        <f>IF(AND(vp.data[[#This Row],[CrudeType]]="Crude",vp.data[[#This Row],[Dens]]&gt;900,vp.data[[#This Row],[Sulf]]&lt;=0.5,vp.data[[#This Row],[Unknown]]=0),1,0)</f>
        <v>0</v>
      </c>
      <c r="AG556" t="str">
        <f>INDEX(vp.data[[#Headers],[Unknown]:[Heavy_SW]],MATCH(1,vp.data[[#This Row],[Unknown]:[Heavy_SW]],0))</f>
        <v>Light_LSB</v>
      </c>
      <c r="AH556">
        <f>INDEX([3]!crudeBD.lkup[Number],MATCH(vp.data[[#This Row],[Crude_Breakdown]],crudeBD.lkup[Crude Breakdown],0))</f>
        <v>1</v>
      </c>
      <c r="AI556">
        <f>MONTH(vp.data[[#This Row],[SDate]])</f>
        <v>1</v>
      </c>
      <c r="AJ556" s="5">
        <f>(vp.data[[#This Row],[VP]]-INDEX(crudeBD.lkup[Mean_VP],MATCH(vp.data[[#This Row],[Crude_Breakdown]],crudeBD.lkup[Crude Breakdown],0)))^2</f>
        <v>0.29831867361040704</v>
      </c>
      <c r="AK556" s="5">
        <f>(vp.data[[#This Row],[Dens]]-INDEX(crudeBD.lkup[Mean_Dens],MATCH(vp.data[[#This Row],[Crude_Breakdown]],crudeBD.lkup[Crude Breakdown],0)))^2</f>
        <v>1.3635176721982943E-2</v>
      </c>
      <c r="AL556" s="5">
        <f>(vp.data[[#This Row],[Sulf]]-INDEX(crudeBD.lkup[Mean_Sulf],MATCH(vp.data[[#This Row],[Crude_Breakdown]],crudeBD.lkup[Crude Breakdown],0)))^2</f>
        <v>4.9716141930918292E-2</v>
      </c>
      <c r="AM556" s="4">
        <f>IF(AND(vp.data[[#This Row],[SDate]]&gt;=DATE(YEAR(vp.data[[#This Row],[SDate]]),5,1),vp.data[[#This Row],[SDate]]&lt;=DATE(YEAR(vp.data[[#This Row],[SDate]]),9,15)),1,0)</f>
        <v>0</v>
      </c>
      <c r="AN556" s="4">
        <f>IF(vp.data[[#This Row],[SDate]]&lt;DATE(2016,12,1),0,1)</f>
        <v>1</v>
      </c>
      <c r="AO556" s="4">
        <f>IFERROR(vp.data[[#This Row],[Sulf]]*vp.data[[#This Row],[Net Dens]],"")</f>
        <v>10869817.672559999</v>
      </c>
      <c r="AP556">
        <f>IFERROR(vp.data[[#This Row],[Dens]]*vp.data[[#This Row],[VolumeM3]],"")</f>
        <v>15528310.9608</v>
      </c>
      <c r="AQ556" s="15">
        <f>IFERROR(vp.data[[#This Row],[VP]]*vp.data[[#This Row],[VolumeM3]],"")</f>
        <v>1726632.817</v>
      </c>
    </row>
    <row r="557" spans="1:43" x14ac:dyDescent="0.25">
      <c r="A557">
        <v>556</v>
      </c>
      <c r="B557" t="s">
        <v>49</v>
      </c>
      <c r="C557" t="s">
        <v>49</v>
      </c>
      <c r="D557" t="s">
        <v>88</v>
      </c>
      <c r="F557" s="1">
        <v>42746</v>
      </c>
      <c r="G557" s="2">
        <v>87.3</v>
      </c>
      <c r="H557" s="2"/>
      <c r="I557" s="2">
        <f t="array" ref="I557">_xlfn.IFNA(IF(vp.data[[#This Row],[Sulf Input]]="",INDEX([1]DATA!$Q$3:$Q$9826,MATCH(1,(vp.data[[#This Row],[Battery]]=[1]DATA!$L$3:$L$9826)*(EOMONTH(vp.data[[#This Row],[SDate]],-1)+1=[1]DATA!$G$3:$G$9826),0)),vp.data[[#This Row],[Sulf Input]]),"")</f>
        <v>1.56</v>
      </c>
      <c r="J557" s="2">
        <v>11.5</v>
      </c>
      <c r="K557" s="2">
        <v>-28</v>
      </c>
      <c r="L557" s="2">
        <v>822.4</v>
      </c>
      <c r="M557" s="2">
        <f t="array" ref="M557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557" s="2">
        <f ca="1">INDEX(INDIRECT(_xlfn.CONCAT("weather.tbl[",N$1,"]")),MATCH(vp.data[[#This Row],[SDate]],weather.tbl[Date],0))</f>
        <v>-22.516666666666666</v>
      </c>
      <c r="O557" s="2">
        <f ca="1">INDEX(INDIRECT(_xlfn.CONCAT("weather.tbl[",O$1,"]")),MATCH(vp.data[[#This Row],[SDate]],weather.tbl[Date],0))</f>
        <v>-22.078571428571429</v>
      </c>
      <c r="P557" s="2">
        <f ca="1">INDEX(INDIRECT(_xlfn.CONCAT("weather.tbl[",P$1,"]")),MATCH(vp.data[[#This Row],[SDate]],weather.tbl[Date],0))</f>
        <v>-24.4</v>
      </c>
      <c r="Q557" s="2">
        <f ca="1">INDEX(INDIRECT(_xlfn.CONCAT("weather.tbl[",Q$1,"]")),MATCH(vp.data[[#This Row],[SDate]],weather.tbl[Date],0))</f>
        <v>-19.899999999999999</v>
      </c>
      <c r="R557" s="2">
        <f ca="1">INDEX(INDIRECT(_xlfn.CONCAT("weather.tbl[",R$1,"]")),MATCH(vp.data[[#This Row],[SDate]],weather.tbl[Date],0))</f>
        <v>-23.3</v>
      </c>
      <c r="S557" s="2">
        <f ca="1">INDEX(INDIRECT(_xlfn.CONCAT("weather.tbl[",S$1,"]")),MATCH(vp.data[[#This Row],[SDate]],weather.tbl[Date],0))</f>
        <v>-20.9</v>
      </c>
      <c r="T557" s="2">
        <f ca="1">INDEX(INDIRECT(_xlfn.CONCAT("weather.tbl[",T$1,"]")),MATCH(vp.data[[#This Row],[SDate]],weather.tbl[Date],0))</f>
        <v>-24.1</v>
      </c>
      <c r="U557" s="2">
        <f ca="1">INDEX(INDIRECT(_xlfn.CONCAT("weather.tbl[",U$1,"]")),MATCH(vp.data[[#This Row],[SDate]],weather.tbl[Date],0))</f>
        <v>-22.5</v>
      </c>
      <c r="V557" s="2">
        <f t="array" ref="V5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4602.0349999999999</v>
      </c>
      <c r="W557" t="s">
        <v>48</v>
      </c>
      <c r="X557">
        <f>IF(OR(vp.data[[#This Row],[Sulf]]="",vp.data[[#This Row],[Dens]]=""),1,0)</f>
        <v>0</v>
      </c>
      <c r="Y557">
        <f>IF(vp.data[[#This Row],[CrudeType]]="C5+",1,0)</f>
        <v>0</v>
      </c>
      <c r="Z557">
        <f>IF(AND(vp.data[[#This Row],[CrudeType]]="Crude",vp.data[[#This Row],[Dens]]&lt;=825,vp.data[[#This Row],[Sulf]]&gt;0.5,vp.data[[#This Row],[Unknown]]=0),1,0)</f>
        <v>1</v>
      </c>
      <c r="AA557">
        <f>IF(AND(vp.data[[#This Row],[CrudeType]]="Crude",vp.data[[#This Row],[Dens]]&lt;=825,vp.data[[#This Row],[Sulf]]&lt;=0.5,vp.data[[#This Row],[Unknown]]=0),1,0)</f>
        <v>0</v>
      </c>
      <c r="AB5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57">
        <f>IF(AND(vp.data[[#This Row],[CrudeType]]="Crude",vp.data[[#This Row],[Dens]]&gt;825,vp.data[[#This Row],[Dens]]&lt;=900,vp.data[[#This Row],[Sulf]]&lt;=0.5,vp.data[[#This Row],[Unknown]]=0),1,0)</f>
        <v>0</v>
      </c>
      <c r="AD557">
        <f>IF(AND(vp.data[[#This Row],[CrudeType]]="Crude",vp.data[[#This Row],[Dens]]&gt;865,vp.data[[#This Row],[Dens]]&lt;=900,vp.data[[#This Row],[Sulf]]&gt;2,vp.data[[#This Row],[Unknown]]=0),1,0)</f>
        <v>0</v>
      </c>
      <c r="AE557">
        <f>IF(AND(vp.data[[#This Row],[CrudeType]]="Crude",vp.data[[#This Row],[Dens]]&gt;900,vp.data[[#This Row],[Sulf]]&lt;=0.5,vp.data[[#This Row],[Unknown]]=0),1,0)</f>
        <v>0</v>
      </c>
      <c r="AF557">
        <f>IF(AND(vp.data[[#This Row],[CrudeType]]="Crude",vp.data[[#This Row],[Dens]]&gt;900,vp.data[[#This Row],[Sulf]]&lt;=0.5,vp.data[[#This Row],[Unknown]]=0),1,0)</f>
        <v>0</v>
      </c>
      <c r="AG557" t="str">
        <f>INDEX(vp.data[[#Headers],[Unknown]:[Heavy_SW]],MATCH(1,vp.data[[#This Row],[Unknown]:[Heavy_SW]],0))</f>
        <v>Light_LSB</v>
      </c>
      <c r="AH557">
        <f>INDEX([3]!crudeBD.lkup[Number],MATCH(vp.data[[#This Row],[Crude_Breakdown]],crudeBD.lkup[Crude Breakdown],0))</f>
        <v>1</v>
      </c>
      <c r="AI557">
        <f>MONTH(vp.data[[#This Row],[SDate]])</f>
        <v>1</v>
      </c>
      <c r="AJ557" s="5">
        <f>(vp.data[[#This Row],[VP]]-INDEX(crudeBD.lkup[Mean_VP],MATCH(vp.data[[#This Row],[Crude_Breakdown]],crudeBD.lkup[Crude Breakdown],0)))^2</f>
        <v>18.030091869486949</v>
      </c>
      <c r="AK557" s="5">
        <f>(vp.data[[#This Row],[Dens]]-INDEX(crudeBD.lkup[Mean_Dens],MATCH(vp.data[[#This Row],[Crude_Breakdown]],crudeBD.lkup[Crude Breakdown],0)))^2</f>
        <v>15.07947710112294</v>
      </c>
      <c r="AL557" s="5">
        <f>(vp.data[[#This Row],[Sulf]]-INDEX(crudeBD.lkup[Mean_Sulf],MATCH(vp.data[[#This Row],[Crude_Breakdown]],crudeBD.lkup[Crude Breakdown],0)))^2</f>
        <v>0.40580573230892564</v>
      </c>
      <c r="AM557" s="4">
        <f>IF(AND(vp.data[[#This Row],[SDate]]&gt;=DATE(YEAR(vp.data[[#This Row],[SDate]]),5,1),vp.data[[#This Row],[SDate]]&lt;=DATE(YEAR(vp.data[[#This Row],[SDate]]),9,15)),1,0)</f>
        <v>0</v>
      </c>
      <c r="AN557" s="4">
        <f>IF(vp.data[[#This Row],[SDate]]&lt;DATE(2016,12,1),0,1)</f>
        <v>1</v>
      </c>
      <c r="AO557" s="4">
        <f>IFERROR(vp.data[[#This Row],[Sulf]]*vp.data[[#This Row],[Net Dens]],"")</f>
        <v>5904153.1910399999</v>
      </c>
      <c r="AP557">
        <f>IFERROR(vp.data[[#This Row],[Dens]]*vp.data[[#This Row],[VolumeM3]],"")</f>
        <v>3784713.5839999998</v>
      </c>
      <c r="AQ557" s="15">
        <f>IFERROR(vp.data[[#This Row],[VP]]*vp.data[[#This Row],[VolumeM3]],"")</f>
        <v>401757.65549999999</v>
      </c>
    </row>
    <row r="558" spans="1:43" x14ac:dyDescent="0.25">
      <c r="A558">
        <v>557</v>
      </c>
      <c r="B558" t="s">
        <v>49</v>
      </c>
      <c r="C558" t="s">
        <v>49</v>
      </c>
      <c r="D558" t="s">
        <v>116</v>
      </c>
      <c r="F558" s="1">
        <v>42746</v>
      </c>
      <c r="G558" s="2">
        <v>66.099999999999994</v>
      </c>
      <c r="H558" s="2"/>
      <c r="I558" s="2">
        <f t="array" ref="I558">_xlfn.IFNA(IF(vp.data[[#This Row],[Sulf Input]]="",INDEX([1]DATA!$Q$3:$Q$9826,MATCH(1,(vp.data[[#This Row],[Battery]]=[1]DATA!$L$3:$L$9826)*(EOMONTH(vp.data[[#This Row],[SDate]],-1)+1=[1]DATA!$G$3:$G$9826),0)),vp.data[[#This Row],[Sulf Input]]),"")</f>
        <v>0.98</v>
      </c>
      <c r="J558" s="2">
        <v>-14</v>
      </c>
      <c r="K558" s="2">
        <v>-28</v>
      </c>
      <c r="L558" s="2">
        <v>835.8</v>
      </c>
      <c r="M558" s="2">
        <f t="array" ref="M558">_xlfn.IFNA(IF(vp.data[[#This Row],[Dens Input]]="",INDEX([1]DATA!$O$3:$O$9826,MATCH(1,(vp.data[[#This Row],[Battery]]=[1]DATA!$L$3:$L$9826)*(EOMONTH(vp.data[[#This Row],[SDate]],-1)+1=[1]DATA!$G$3:$G$9826),0)),vp.data[[#This Row],[Dens Input]]),"")</f>
        <v>835.8</v>
      </c>
      <c r="N558" s="2">
        <f ca="1">INDEX(INDIRECT(_xlfn.CONCAT("weather.tbl[",N$1,"]")),MATCH(vp.data[[#This Row],[SDate]],weather.tbl[Date],0))</f>
        <v>-22.516666666666666</v>
      </c>
      <c r="O558" s="2">
        <f ca="1">INDEX(INDIRECT(_xlfn.CONCAT("weather.tbl[",O$1,"]")),MATCH(vp.data[[#This Row],[SDate]],weather.tbl[Date],0))</f>
        <v>-22.078571428571429</v>
      </c>
      <c r="P558" s="2">
        <f ca="1">INDEX(INDIRECT(_xlfn.CONCAT("weather.tbl[",P$1,"]")),MATCH(vp.data[[#This Row],[SDate]],weather.tbl[Date],0))</f>
        <v>-24.4</v>
      </c>
      <c r="Q558" s="2">
        <f ca="1">INDEX(INDIRECT(_xlfn.CONCAT("weather.tbl[",Q$1,"]")),MATCH(vp.data[[#This Row],[SDate]],weather.tbl[Date],0))</f>
        <v>-19.899999999999999</v>
      </c>
      <c r="R558" s="2">
        <f ca="1">INDEX(INDIRECT(_xlfn.CONCAT("weather.tbl[",R$1,"]")),MATCH(vp.data[[#This Row],[SDate]],weather.tbl[Date],0))</f>
        <v>-23.3</v>
      </c>
      <c r="S558" s="2">
        <f ca="1">INDEX(INDIRECT(_xlfn.CONCAT("weather.tbl[",S$1,"]")),MATCH(vp.data[[#This Row],[SDate]],weather.tbl[Date],0))</f>
        <v>-20.9</v>
      </c>
      <c r="T558" s="2">
        <f ca="1">INDEX(INDIRECT(_xlfn.CONCAT("weather.tbl[",T$1,"]")),MATCH(vp.data[[#This Row],[SDate]],weather.tbl[Date],0))</f>
        <v>-24.1</v>
      </c>
      <c r="U558" s="2">
        <f ca="1">INDEX(INDIRECT(_xlfn.CONCAT("weather.tbl[",U$1,"]")),MATCH(vp.data[[#This Row],[SDate]],weather.tbl[Date],0))</f>
        <v>-22.5</v>
      </c>
      <c r="V558" s="2">
        <f t="array" ref="V5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156.07499999999999</v>
      </c>
      <c r="W558" t="s">
        <v>48</v>
      </c>
      <c r="X558">
        <f>IF(OR(vp.data[[#This Row],[Sulf]]="",vp.data[[#This Row],[Dens]]=""),1,0)</f>
        <v>0</v>
      </c>
      <c r="Y558">
        <f>IF(vp.data[[#This Row],[CrudeType]]="C5+",1,0)</f>
        <v>0</v>
      </c>
      <c r="Z558">
        <f>IF(AND(vp.data[[#This Row],[CrudeType]]="Crude",vp.data[[#This Row],[Dens]]&lt;=825,vp.data[[#This Row],[Sulf]]&gt;0.5,vp.data[[#This Row],[Unknown]]=0),1,0)</f>
        <v>0</v>
      </c>
      <c r="AA558">
        <f>IF(AND(vp.data[[#This Row],[CrudeType]]="Crude",vp.data[[#This Row],[Dens]]&lt;=825,vp.data[[#This Row],[Sulf]]&lt;=0.5,vp.data[[#This Row],[Unknown]]=0),1,0)</f>
        <v>0</v>
      </c>
      <c r="AB5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8">
        <f>IF(AND(vp.data[[#This Row],[CrudeType]]="Crude",vp.data[[#This Row],[Dens]]&gt;825,vp.data[[#This Row],[Dens]]&lt;=900,vp.data[[#This Row],[Sulf]]&lt;=0.5,vp.data[[#This Row],[Unknown]]=0),1,0)</f>
        <v>0</v>
      </c>
      <c r="AD558">
        <f>IF(AND(vp.data[[#This Row],[CrudeType]]="Crude",vp.data[[#This Row],[Dens]]&gt;865,vp.data[[#This Row],[Dens]]&lt;=900,vp.data[[#This Row],[Sulf]]&gt;2,vp.data[[#This Row],[Unknown]]=0),1,0)</f>
        <v>0</v>
      </c>
      <c r="AE558">
        <f>IF(AND(vp.data[[#This Row],[CrudeType]]="Crude",vp.data[[#This Row],[Dens]]&gt;900,vp.data[[#This Row],[Sulf]]&lt;=0.5,vp.data[[#This Row],[Unknown]]=0),1,0)</f>
        <v>0</v>
      </c>
      <c r="AF558">
        <f>IF(AND(vp.data[[#This Row],[CrudeType]]="Crude",vp.data[[#This Row],[Dens]]&gt;900,vp.data[[#This Row],[Sulf]]&lt;=0.5,vp.data[[#This Row],[Unknown]]=0),1,0)</f>
        <v>0</v>
      </c>
      <c r="AG558" t="str">
        <f>INDEX(vp.data[[#Headers],[Unknown]:[Heavy_SW]],MATCH(1,vp.data[[#This Row],[Unknown]:[Heavy_SW]],0))</f>
        <v>Medium_LSB</v>
      </c>
      <c r="AH558">
        <f>INDEX([3]!crudeBD.lkup[Number],MATCH(vp.data[[#This Row],[Crude_Breakdown]],crudeBD.lkup[Crude Breakdown],0))</f>
        <v>3</v>
      </c>
      <c r="AI558">
        <f>MONTH(vp.data[[#This Row],[SDate]])</f>
        <v>1</v>
      </c>
      <c r="AJ558" s="5">
        <f>(vp.data[[#This Row],[VP]]-INDEX(crudeBD.lkup[Mean_VP],MATCH(vp.data[[#This Row],[Crude_Breakdown]],crudeBD.lkup[Crude Breakdown],0)))^2</f>
        <v>211.40219417469893</v>
      </c>
      <c r="AK558" s="5">
        <f>(vp.data[[#This Row],[Dens]]-INDEX(crudeBD.lkup[Mean_Dens],MATCH(vp.data[[#This Row],[Crude_Breakdown]],crudeBD.lkup[Crude Breakdown],0)))^2</f>
        <v>65.934399999992692</v>
      </c>
      <c r="AL558" s="5">
        <f>(vp.data[[#This Row],[Sulf]]-INDEX(crudeBD.lkup[Mean_Sulf],MATCH(vp.data[[#This Row],[Crude_Breakdown]],crudeBD.lkup[Crude Breakdown],0)))^2</f>
        <v>0.16435574918194723</v>
      </c>
      <c r="AM558" s="4">
        <f>IF(AND(vp.data[[#This Row],[SDate]]&gt;=DATE(YEAR(vp.data[[#This Row],[SDate]]),5,1),vp.data[[#This Row],[SDate]]&lt;=DATE(YEAR(vp.data[[#This Row],[SDate]]),9,15)),1,0)</f>
        <v>0</v>
      </c>
      <c r="AN558" s="4">
        <f>IF(vp.data[[#This Row],[SDate]]&lt;DATE(2016,12,1),0,1)</f>
        <v>1</v>
      </c>
      <c r="AO558" s="4">
        <f>IFERROR(vp.data[[#This Row],[Sulf]]*vp.data[[#This Row],[Net Dens]],"")</f>
        <v>127838.53529999999</v>
      </c>
      <c r="AP558">
        <f>IFERROR(vp.data[[#This Row],[Dens]]*vp.data[[#This Row],[VolumeM3]],"")</f>
        <v>130447.48499999999</v>
      </c>
      <c r="AQ558" s="15">
        <f>IFERROR(vp.data[[#This Row],[VP]]*vp.data[[#This Row],[VolumeM3]],"")</f>
        <v>10316.557499999999</v>
      </c>
    </row>
    <row r="559" spans="1:43" x14ac:dyDescent="0.25">
      <c r="A559">
        <v>558</v>
      </c>
      <c r="B559" t="s">
        <v>51</v>
      </c>
      <c r="C559" t="s">
        <v>51</v>
      </c>
      <c r="D559" t="s">
        <v>72</v>
      </c>
      <c r="F559" s="1">
        <v>42746</v>
      </c>
      <c r="G559" s="2">
        <v>93.1</v>
      </c>
      <c r="H559" s="2"/>
      <c r="I559" s="2">
        <f t="array" ref="I559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559" s="2">
        <v>20.6</v>
      </c>
      <c r="K559" s="2">
        <v>-28</v>
      </c>
      <c r="L559" s="2">
        <v>837.2</v>
      </c>
      <c r="M559" s="2">
        <f t="array" ref="M559">_xlfn.IFNA(IF(vp.data[[#This Row],[Dens Input]]="",INDEX([1]DATA!$O$3:$O$9826,MATCH(1,(vp.data[[#This Row],[Battery]]=[1]DATA!$L$3:$L$9826)*(EOMONTH(vp.data[[#This Row],[SDate]],-1)+1=[1]DATA!$G$3:$G$9826),0)),vp.data[[#This Row],[Dens Input]]),"")</f>
        <v>837.2</v>
      </c>
      <c r="N559" s="2">
        <f ca="1">INDEX(INDIRECT(_xlfn.CONCAT("weather.tbl[",N$1,"]")),MATCH(vp.data[[#This Row],[SDate]],weather.tbl[Date],0))</f>
        <v>-22.516666666666666</v>
      </c>
      <c r="O559" s="2">
        <f ca="1">INDEX(INDIRECT(_xlfn.CONCAT("weather.tbl[",O$1,"]")),MATCH(vp.data[[#This Row],[SDate]],weather.tbl[Date],0))</f>
        <v>-22.078571428571429</v>
      </c>
      <c r="P559" s="2">
        <f ca="1">INDEX(INDIRECT(_xlfn.CONCAT("weather.tbl[",P$1,"]")),MATCH(vp.data[[#This Row],[SDate]],weather.tbl[Date],0))</f>
        <v>-24.4</v>
      </c>
      <c r="Q559" s="2">
        <f ca="1">INDEX(INDIRECT(_xlfn.CONCAT("weather.tbl[",Q$1,"]")),MATCH(vp.data[[#This Row],[SDate]],weather.tbl[Date],0))</f>
        <v>-19.899999999999999</v>
      </c>
      <c r="R559" s="2">
        <f ca="1">INDEX(INDIRECT(_xlfn.CONCAT("weather.tbl[",R$1,"]")),MATCH(vp.data[[#This Row],[SDate]],weather.tbl[Date],0))</f>
        <v>-23.3</v>
      </c>
      <c r="S559" s="2">
        <f ca="1">INDEX(INDIRECT(_xlfn.CONCAT("weather.tbl[",S$1,"]")),MATCH(vp.data[[#This Row],[SDate]],weather.tbl[Date],0))</f>
        <v>-20.9</v>
      </c>
      <c r="T559" s="2">
        <f ca="1">INDEX(INDIRECT(_xlfn.CONCAT("weather.tbl[",T$1,"]")),MATCH(vp.data[[#This Row],[SDate]],weather.tbl[Date],0))</f>
        <v>-24.1</v>
      </c>
      <c r="U559" s="2">
        <f ca="1">INDEX(INDIRECT(_xlfn.CONCAT("weather.tbl[",U$1,"]")),MATCH(vp.data[[#This Row],[SDate]],weather.tbl[Date],0))</f>
        <v>-22.5</v>
      </c>
      <c r="V559" s="2">
        <f t="array" ref="V5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14039.305</v>
      </c>
      <c r="W559" t="s">
        <v>48</v>
      </c>
      <c r="X559">
        <f>IF(OR(vp.data[[#This Row],[Sulf]]="",vp.data[[#This Row],[Dens]]=""),1,0)</f>
        <v>0</v>
      </c>
      <c r="Y559">
        <f>IF(vp.data[[#This Row],[CrudeType]]="C5+",1,0)</f>
        <v>0</v>
      </c>
      <c r="Z559">
        <f>IF(AND(vp.data[[#This Row],[CrudeType]]="Crude",vp.data[[#This Row],[Dens]]&lt;=825,vp.data[[#This Row],[Sulf]]&gt;0.5,vp.data[[#This Row],[Unknown]]=0),1,0)</f>
        <v>0</v>
      </c>
      <c r="AA559">
        <f>IF(AND(vp.data[[#This Row],[CrudeType]]="Crude",vp.data[[#This Row],[Dens]]&lt;=825,vp.data[[#This Row],[Sulf]]&lt;=0.5,vp.data[[#This Row],[Unknown]]=0),1,0)</f>
        <v>0</v>
      </c>
      <c r="AB5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59">
        <f>IF(AND(vp.data[[#This Row],[CrudeType]]="Crude",vp.data[[#This Row],[Dens]]&gt;825,vp.data[[#This Row],[Dens]]&lt;=900,vp.data[[#This Row],[Sulf]]&lt;=0.5,vp.data[[#This Row],[Unknown]]=0),1,0)</f>
        <v>0</v>
      </c>
      <c r="AD559">
        <f>IF(AND(vp.data[[#This Row],[CrudeType]]="Crude",vp.data[[#This Row],[Dens]]&gt;865,vp.data[[#This Row],[Dens]]&lt;=900,vp.data[[#This Row],[Sulf]]&gt;2,vp.data[[#This Row],[Unknown]]=0),1,0)</f>
        <v>0</v>
      </c>
      <c r="AE559">
        <f>IF(AND(vp.data[[#This Row],[CrudeType]]="Crude",vp.data[[#This Row],[Dens]]&gt;900,vp.data[[#This Row],[Sulf]]&lt;=0.5,vp.data[[#This Row],[Unknown]]=0),1,0)</f>
        <v>0</v>
      </c>
      <c r="AF559">
        <f>IF(AND(vp.data[[#This Row],[CrudeType]]="Crude",vp.data[[#This Row],[Dens]]&gt;900,vp.data[[#This Row],[Sulf]]&lt;=0.5,vp.data[[#This Row],[Unknown]]=0),1,0)</f>
        <v>0</v>
      </c>
      <c r="AG559" t="str">
        <f>INDEX(vp.data[[#Headers],[Unknown]:[Heavy_SW]],MATCH(1,vp.data[[#This Row],[Unknown]:[Heavy_SW]],0))</f>
        <v>Medium_LSB</v>
      </c>
      <c r="AH559">
        <f>INDEX([3]!crudeBD.lkup[Number],MATCH(vp.data[[#This Row],[Crude_Breakdown]],crudeBD.lkup[Crude Breakdown],0))</f>
        <v>3</v>
      </c>
      <c r="AI559">
        <f>MONTH(vp.data[[#This Row],[SDate]])</f>
        <v>1</v>
      </c>
      <c r="AJ559" s="5">
        <f>(vp.data[[#This Row],[VP]]-INDEX(crudeBD.lkup[Mean_VP],MATCH(vp.data[[#This Row],[Crude_Breakdown]],crudeBD.lkup[Crude Breakdown],0)))^2</f>
        <v>155.25966048198012</v>
      </c>
      <c r="AK559" s="5">
        <f>(vp.data[[#This Row],[Dens]]-INDEX(crudeBD.lkup[Mean_Dens],MATCH(vp.data[[#This Row],[Crude_Breakdown]],crudeBD.lkup[Crude Breakdown],0)))^2</f>
        <v>45.158399999992724</v>
      </c>
      <c r="AL559" s="5">
        <f>(vp.data[[#This Row],[Sulf]]-INDEX(crudeBD.lkup[Mean_Sulf],MATCH(vp.data[[#This Row],[Crude_Breakdown]],crudeBD.lkup[Crude Breakdown],0)))^2</f>
        <v>5.0808823575477689E-2</v>
      </c>
      <c r="AM559" s="4">
        <f>IF(AND(vp.data[[#This Row],[SDate]]&gt;=DATE(YEAR(vp.data[[#This Row],[SDate]]),5,1),vp.data[[#This Row],[SDate]]&lt;=DATE(YEAR(vp.data[[#This Row],[SDate]]),9,15)),1,0)</f>
        <v>0</v>
      </c>
      <c r="AN559" s="4">
        <f>IF(vp.data[[#This Row],[SDate]]&lt;DATE(2016,12,1),0,1)</f>
        <v>1</v>
      </c>
      <c r="AO559" s="4">
        <f>IFERROR(vp.data[[#This Row],[Sulf]]*vp.data[[#This Row],[Net Dens]],"")</f>
        <v>13634299.129360002</v>
      </c>
      <c r="AP559">
        <f>IFERROR(vp.data[[#This Row],[Dens]]*vp.data[[#This Row],[VolumeM3]],"")</f>
        <v>11753706.146000002</v>
      </c>
      <c r="AQ559" s="15">
        <f>IFERROR(vp.data[[#This Row],[VP]]*vp.data[[#This Row],[VolumeM3]],"")</f>
        <v>1307059.2955</v>
      </c>
    </row>
    <row r="560" spans="1:43" x14ac:dyDescent="0.25">
      <c r="A560">
        <v>559</v>
      </c>
      <c r="B560" t="s">
        <v>49</v>
      </c>
      <c r="C560" t="s">
        <v>49</v>
      </c>
      <c r="D560" t="s">
        <v>90</v>
      </c>
      <c r="F560" s="1">
        <v>42746</v>
      </c>
      <c r="G560" s="2">
        <v>80.5</v>
      </c>
      <c r="H560" s="2"/>
      <c r="I560" s="2">
        <f t="array" ref="I560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560" s="2">
        <v>24.4</v>
      </c>
      <c r="K560" s="2">
        <v>-28</v>
      </c>
      <c r="L560" s="2">
        <v>846.7</v>
      </c>
      <c r="M560" s="2">
        <f t="array" ref="M560">_xlfn.IFNA(IF(vp.data[[#This Row],[Dens Input]]="",INDEX([1]DATA!$O$3:$O$9826,MATCH(1,(vp.data[[#This Row],[Battery]]=[1]DATA!$L$3:$L$9826)*(EOMONTH(vp.data[[#This Row],[SDate]],-1)+1=[1]DATA!$G$3:$G$9826),0)),vp.data[[#This Row],[Dens Input]]),"")</f>
        <v>846.7</v>
      </c>
      <c r="N560" s="2">
        <f ca="1">INDEX(INDIRECT(_xlfn.CONCAT("weather.tbl[",N$1,"]")),MATCH(vp.data[[#This Row],[SDate]],weather.tbl[Date],0))</f>
        <v>-22.516666666666666</v>
      </c>
      <c r="O560" s="2">
        <f ca="1">INDEX(INDIRECT(_xlfn.CONCAT("weather.tbl[",O$1,"]")),MATCH(vp.data[[#This Row],[SDate]],weather.tbl[Date],0))</f>
        <v>-22.078571428571429</v>
      </c>
      <c r="P560" s="2">
        <f ca="1">INDEX(INDIRECT(_xlfn.CONCAT("weather.tbl[",P$1,"]")),MATCH(vp.data[[#This Row],[SDate]],weather.tbl[Date],0))</f>
        <v>-24.4</v>
      </c>
      <c r="Q560" s="2">
        <f ca="1">INDEX(INDIRECT(_xlfn.CONCAT("weather.tbl[",Q$1,"]")),MATCH(vp.data[[#This Row],[SDate]],weather.tbl[Date],0))</f>
        <v>-19.899999999999999</v>
      </c>
      <c r="R560" s="2">
        <f ca="1">INDEX(INDIRECT(_xlfn.CONCAT("weather.tbl[",R$1,"]")),MATCH(vp.data[[#This Row],[SDate]],weather.tbl[Date],0))</f>
        <v>-23.3</v>
      </c>
      <c r="S560" s="2">
        <f ca="1">INDEX(INDIRECT(_xlfn.CONCAT("weather.tbl[",S$1,"]")),MATCH(vp.data[[#This Row],[SDate]],weather.tbl[Date],0))</f>
        <v>-20.9</v>
      </c>
      <c r="T560" s="2">
        <f ca="1">INDEX(INDIRECT(_xlfn.CONCAT("weather.tbl[",T$1,"]")),MATCH(vp.data[[#This Row],[SDate]],weather.tbl[Date],0))</f>
        <v>-24.1</v>
      </c>
      <c r="U560" s="2">
        <f ca="1">INDEX(INDIRECT(_xlfn.CONCAT("weather.tbl[",U$1,"]")),MATCH(vp.data[[#This Row],[SDate]],weather.tbl[Date],0))</f>
        <v>-22.5</v>
      </c>
      <c r="V560" s="2">
        <f t="array" ref="V5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4841.0649999999996</v>
      </c>
      <c r="W560" t="s">
        <v>48</v>
      </c>
      <c r="X560">
        <f>IF(OR(vp.data[[#This Row],[Sulf]]="",vp.data[[#This Row],[Dens]]=""),1,0)</f>
        <v>0</v>
      </c>
      <c r="Y560">
        <f>IF(vp.data[[#This Row],[CrudeType]]="C5+",1,0)</f>
        <v>0</v>
      </c>
      <c r="Z560">
        <f>IF(AND(vp.data[[#This Row],[CrudeType]]="Crude",vp.data[[#This Row],[Dens]]&lt;=825,vp.data[[#This Row],[Sulf]]&gt;0.5,vp.data[[#This Row],[Unknown]]=0),1,0)</f>
        <v>0</v>
      </c>
      <c r="AA560">
        <f>IF(AND(vp.data[[#This Row],[CrudeType]]="Crude",vp.data[[#This Row],[Dens]]&lt;=825,vp.data[[#This Row],[Sulf]]&lt;=0.5,vp.data[[#This Row],[Unknown]]=0),1,0)</f>
        <v>0</v>
      </c>
      <c r="AB5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0">
        <f>IF(AND(vp.data[[#This Row],[CrudeType]]="Crude",vp.data[[#This Row],[Dens]]&gt;825,vp.data[[#This Row],[Dens]]&lt;=900,vp.data[[#This Row],[Sulf]]&lt;=0.5,vp.data[[#This Row],[Unknown]]=0),1,0)</f>
        <v>0</v>
      </c>
      <c r="AD560">
        <f>IF(AND(vp.data[[#This Row],[CrudeType]]="Crude",vp.data[[#This Row],[Dens]]&gt;865,vp.data[[#This Row],[Dens]]&lt;=900,vp.data[[#This Row],[Sulf]]&gt;2,vp.data[[#This Row],[Unknown]]=0),1,0)</f>
        <v>0</v>
      </c>
      <c r="AE560">
        <f>IF(AND(vp.data[[#This Row],[CrudeType]]="Crude",vp.data[[#This Row],[Dens]]&gt;900,vp.data[[#This Row],[Sulf]]&lt;=0.5,vp.data[[#This Row],[Unknown]]=0),1,0)</f>
        <v>0</v>
      </c>
      <c r="AF560">
        <f>IF(AND(vp.data[[#This Row],[CrudeType]]="Crude",vp.data[[#This Row],[Dens]]&gt;900,vp.data[[#This Row],[Sulf]]&lt;=0.5,vp.data[[#This Row],[Unknown]]=0),1,0)</f>
        <v>0</v>
      </c>
      <c r="AG560" t="str">
        <f>INDEX(vp.data[[#Headers],[Unknown]:[Heavy_SW]],MATCH(1,vp.data[[#This Row],[Unknown]:[Heavy_SW]],0))</f>
        <v>Medium_LSB</v>
      </c>
      <c r="AH560">
        <f>INDEX([3]!crudeBD.lkup[Number],MATCH(vp.data[[#This Row],[Crude_Breakdown]],crudeBD.lkup[Crude Breakdown],0))</f>
        <v>3</v>
      </c>
      <c r="AI560">
        <f>MONTH(vp.data[[#This Row],[SDate]])</f>
        <v>1</v>
      </c>
      <c r="AJ560" s="5">
        <f>(vp.data[[#This Row],[VP]]-INDEX(crudeBD.lkup[Mean_VP],MATCH(vp.data[[#This Row],[Crude_Breakdown]],crudeBD.lkup[Crude Breakdown],0)))^2</f>
        <v>1.9509538582233841E-2</v>
      </c>
      <c r="AK560" s="5">
        <f>(vp.data[[#This Row],[Dens]]-INDEX(crudeBD.lkup[Mean_Dens],MATCH(vp.data[[#This Row],[Crude_Breakdown]],crudeBD.lkup[Crude Breakdown],0)))^2</f>
        <v>7.7284000000030089</v>
      </c>
      <c r="AL560" s="5">
        <f>(vp.data[[#This Row],[Sulf]]-INDEX(crudeBD.lkup[Mean_Sulf],MATCH(vp.data[[#This Row],[Crude_Breakdown]],crudeBD.lkup[Crude Breakdown],0)))^2</f>
        <v>4.2782230363935985E-3</v>
      </c>
      <c r="AM560" s="4">
        <f>IF(AND(vp.data[[#This Row],[SDate]]&gt;=DATE(YEAR(vp.data[[#This Row],[SDate]]),5,1),vp.data[[#This Row],[SDate]]&lt;=DATE(YEAR(vp.data[[#This Row],[SDate]]),9,15)),1,0)</f>
        <v>0</v>
      </c>
      <c r="AN560" s="4">
        <f>IF(vp.data[[#This Row],[SDate]]&lt;DATE(2016,12,1),0,1)</f>
        <v>1</v>
      </c>
      <c r="AO560" s="4">
        <f>IFERROR(vp.data[[#This Row],[Sulf]]*vp.data[[#This Row],[Net Dens]],"")</f>
        <v>5410587.25086</v>
      </c>
      <c r="AP560">
        <f>IFERROR(vp.data[[#This Row],[Dens]]*vp.data[[#This Row],[VolumeM3]],"")</f>
        <v>4098929.7355</v>
      </c>
      <c r="AQ560" s="15">
        <f>IFERROR(vp.data[[#This Row],[VP]]*vp.data[[#This Row],[VolumeM3]],"")</f>
        <v>389705.73249999998</v>
      </c>
    </row>
    <row r="561" spans="1:43" x14ac:dyDescent="0.25">
      <c r="A561">
        <v>560</v>
      </c>
      <c r="B561" t="s">
        <v>56</v>
      </c>
      <c r="C561" t="s">
        <v>56</v>
      </c>
      <c r="D561" t="s">
        <v>117</v>
      </c>
      <c r="F561" s="1">
        <v>42746</v>
      </c>
      <c r="G561" s="2">
        <v>80.3</v>
      </c>
      <c r="H561" s="2"/>
      <c r="I561" s="2">
        <f t="array" ref="I561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561" s="2">
        <v>10.1</v>
      </c>
      <c r="K561" s="2">
        <v>-28</v>
      </c>
      <c r="L561" s="2">
        <v>851.3</v>
      </c>
      <c r="M561" s="2">
        <f t="array" ref="M561">_xlfn.IFNA(IF(vp.data[[#This Row],[Dens Input]]="",INDEX([1]DATA!$O$3:$O$9826,MATCH(1,(vp.data[[#This Row],[Battery]]=[1]DATA!$L$3:$L$9826)*(EOMONTH(vp.data[[#This Row],[SDate]],-1)+1=[1]DATA!$G$3:$G$9826),0)),vp.data[[#This Row],[Dens Input]]),"")</f>
        <v>851.3</v>
      </c>
      <c r="N561" s="2">
        <f ca="1">INDEX(INDIRECT(_xlfn.CONCAT("weather.tbl[",N$1,"]")),MATCH(vp.data[[#This Row],[SDate]],weather.tbl[Date],0))</f>
        <v>-22.516666666666666</v>
      </c>
      <c r="O561" s="2">
        <f ca="1">INDEX(INDIRECT(_xlfn.CONCAT("weather.tbl[",O$1,"]")),MATCH(vp.data[[#This Row],[SDate]],weather.tbl[Date],0))</f>
        <v>-22.078571428571429</v>
      </c>
      <c r="P561" s="2">
        <f ca="1">INDEX(INDIRECT(_xlfn.CONCAT("weather.tbl[",P$1,"]")),MATCH(vp.data[[#This Row],[SDate]],weather.tbl[Date],0))</f>
        <v>-24.4</v>
      </c>
      <c r="Q561" s="2">
        <f ca="1">INDEX(INDIRECT(_xlfn.CONCAT("weather.tbl[",Q$1,"]")),MATCH(vp.data[[#This Row],[SDate]],weather.tbl[Date],0))</f>
        <v>-19.899999999999999</v>
      </c>
      <c r="R561" s="2">
        <f ca="1">INDEX(INDIRECT(_xlfn.CONCAT("weather.tbl[",R$1,"]")),MATCH(vp.data[[#This Row],[SDate]],weather.tbl[Date],0))</f>
        <v>-23.3</v>
      </c>
      <c r="S561" s="2">
        <f ca="1">INDEX(INDIRECT(_xlfn.CONCAT("weather.tbl[",S$1,"]")),MATCH(vp.data[[#This Row],[SDate]],weather.tbl[Date],0))</f>
        <v>-20.9</v>
      </c>
      <c r="T561" s="2">
        <f ca="1">INDEX(INDIRECT(_xlfn.CONCAT("weather.tbl[",T$1,"]")),MATCH(vp.data[[#This Row],[SDate]],weather.tbl[Date],0))</f>
        <v>-24.1</v>
      </c>
      <c r="U561" s="2">
        <f ca="1">INDEX(INDIRECT(_xlfn.CONCAT("weather.tbl[",U$1,"]")),MATCH(vp.data[[#This Row],[SDate]],weather.tbl[Date],0))</f>
        <v>-22.5</v>
      </c>
      <c r="V561" s="2">
        <f t="array" ref="V5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3101.835</v>
      </c>
      <c r="W561" t="s">
        <v>48</v>
      </c>
      <c r="X561">
        <f>IF(OR(vp.data[[#This Row],[Sulf]]="",vp.data[[#This Row],[Dens]]=""),1,0)</f>
        <v>0</v>
      </c>
      <c r="Y561">
        <f>IF(vp.data[[#This Row],[CrudeType]]="C5+",1,0)</f>
        <v>0</v>
      </c>
      <c r="Z561">
        <f>IF(AND(vp.data[[#This Row],[CrudeType]]="Crude",vp.data[[#This Row],[Dens]]&lt;=825,vp.data[[#This Row],[Sulf]]&gt;0.5,vp.data[[#This Row],[Unknown]]=0),1,0)</f>
        <v>0</v>
      </c>
      <c r="AA561">
        <f>IF(AND(vp.data[[#This Row],[CrudeType]]="Crude",vp.data[[#This Row],[Dens]]&lt;=825,vp.data[[#This Row],[Sulf]]&lt;=0.5,vp.data[[#This Row],[Unknown]]=0),1,0)</f>
        <v>0</v>
      </c>
      <c r="AB5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1">
        <f>IF(AND(vp.data[[#This Row],[CrudeType]]="Crude",vp.data[[#This Row],[Dens]]&gt;825,vp.data[[#This Row],[Dens]]&lt;=900,vp.data[[#This Row],[Sulf]]&lt;=0.5,vp.data[[#This Row],[Unknown]]=0),1,0)</f>
        <v>0</v>
      </c>
      <c r="AD561">
        <f>IF(AND(vp.data[[#This Row],[CrudeType]]="Crude",vp.data[[#This Row],[Dens]]&gt;865,vp.data[[#This Row],[Dens]]&lt;=900,vp.data[[#This Row],[Sulf]]&gt;2,vp.data[[#This Row],[Unknown]]=0),1,0)</f>
        <v>0</v>
      </c>
      <c r="AE561">
        <f>IF(AND(vp.data[[#This Row],[CrudeType]]="Crude",vp.data[[#This Row],[Dens]]&gt;900,vp.data[[#This Row],[Sulf]]&lt;=0.5,vp.data[[#This Row],[Unknown]]=0),1,0)</f>
        <v>0</v>
      </c>
      <c r="AF561">
        <f>IF(AND(vp.data[[#This Row],[CrudeType]]="Crude",vp.data[[#This Row],[Dens]]&gt;900,vp.data[[#This Row],[Sulf]]&lt;=0.5,vp.data[[#This Row],[Unknown]]=0),1,0)</f>
        <v>0</v>
      </c>
      <c r="AG561" t="str">
        <f>INDEX(vp.data[[#Headers],[Unknown]:[Heavy_SW]],MATCH(1,vp.data[[#This Row],[Unknown]:[Heavy_SW]],0))</f>
        <v>Medium_LSB</v>
      </c>
      <c r="AH561">
        <f>INDEX([3]!crudeBD.lkup[Number],MATCH(vp.data[[#This Row],[Crude_Breakdown]],crudeBD.lkup[Crude Breakdown],0))</f>
        <v>3</v>
      </c>
      <c r="AI561">
        <f>MONTH(vp.data[[#This Row],[SDate]])</f>
        <v>1</v>
      </c>
      <c r="AJ561" s="5">
        <f>(vp.data[[#This Row],[VP]]-INDEX(crudeBD.lkup[Mean_VP],MATCH(vp.data[[#This Row],[Crude_Breakdown]],crudeBD.lkup[Crude Breakdown],0)))^2</f>
        <v>0.11538015852829879</v>
      </c>
      <c r="AK561" s="5">
        <f>(vp.data[[#This Row],[Dens]]-INDEX(crudeBD.lkup[Mean_Dens],MATCH(vp.data[[#This Row],[Crude_Breakdown]],crudeBD.lkup[Crude Breakdown],0)))^2</f>
        <v>54.464400000006648</v>
      </c>
      <c r="AL561" s="5">
        <f>(vp.data[[#This Row],[Sulf]]-INDEX(crudeBD.lkup[Mean_Sulf],MATCH(vp.data[[#This Row],[Crude_Breakdown]],crudeBD.lkup[Crude Breakdown],0)))^2</f>
        <v>3.786599716038206E-2</v>
      </c>
      <c r="AM561" s="4">
        <f>IF(AND(vp.data[[#This Row],[SDate]]&gt;=DATE(YEAR(vp.data[[#This Row],[SDate]]),5,1),vp.data[[#This Row],[SDate]]&lt;=DATE(YEAR(vp.data[[#This Row],[SDate]]),9,15)),1,0)</f>
        <v>0</v>
      </c>
      <c r="AN561" s="4">
        <f>IF(vp.data[[#This Row],[SDate]]&lt;DATE(2016,12,1),0,1)</f>
        <v>1</v>
      </c>
      <c r="AO561" s="4">
        <f>IFERROR(vp.data[[#This Row],[Sulf]]*vp.data[[#This Row],[Net Dens]],"")</f>
        <v>4172135.5740899998</v>
      </c>
      <c r="AP561">
        <f>IFERROR(vp.data[[#This Row],[Dens]]*vp.data[[#This Row],[VolumeM3]],"")</f>
        <v>2640592.1354999999</v>
      </c>
      <c r="AQ561" s="15">
        <f>IFERROR(vp.data[[#This Row],[VP]]*vp.data[[#This Row],[VolumeM3]],"")</f>
        <v>249077.3505</v>
      </c>
    </row>
    <row r="562" spans="1:43" x14ac:dyDescent="0.25">
      <c r="A562">
        <v>561</v>
      </c>
      <c r="B562" t="s">
        <v>68</v>
      </c>
      <c r="C562" t="s">
        <v>68</v>
      </c>
      <c r="D562" t="s">
        <v>118</v>
      </c>
      <c r="F562" s="1">
        <v>42746</v>
      </c>
      <c r="G562" s="2">
        <v>54.8</v>
      </c>
      <c r="H562" s="2"/>
      <c r="I562" s="2">
        <f t="array" ref="I562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562" s="2">
        <v>24.1</v>
      </c>
      <c r="K562" s="2">
        <v>-28</v>
      </c>
      <c r="L562" s="2">
        <v>852</v>
      </c>
      <c r="M562" s="2">
        <f t="array" ref="M562">_xlfn.IFNA(IF(vp.data[[#This Row],[Dens Input]]="",INDEX([1]DATA!$O$3:$O$9826,MATCH(1,(vp.data[[#This Row],[Battery]]=[1]DATA!$L$3:$L$9826)*(EOMONTH(vp.data[[#This Row],[SDate]],-1)+1=[1]DATA!$G$3:$G$9826),0)),vp.data[[#This Row],[Dens Input]]),"")</f>
        <v>852</v>
      </c>
      <c r="N562" s="2">
        <f ca="1">INDEX(INDIRECT(_xlfn.CONCAT("weather.tbl[",N$1,"]")),MATCH(vp.data[[#This Row],[SDate]],weather.tbl[Date],0))</f>
        <v>-22.516666666666666</v>
      </c>
      <c r="O562" s="2">
        <f ca="1">INDEX(INDIRECT(_xlfn.CONCAT("weather.tbl[",O$1,"]")),MATCH(vp.data[[#This Row],[SDate]],weather.tbl[Date],0))</f>
        <v>-22.078571428571429</v>
      </c>
      <c r="P562" s="2">
        <f ca="1">INDEX(INDIRECT(_xlfn.CONCAT("weather.tbl[",P$1,"]")),MATCH(vp.data[[#This Row],[SDate]],weather.tbl[Date],0))</f>
        <v>-24.4</v>
      </c>
      <c r="Q562" s="2">
        <f ca="1">INDEX(INDIRECT(_xlfn.CONCAT("weather.tbl[",Q$1,"]")),MATCH(vp.data[[#This Row],[SDate]],weather.tbl[Date],0))</f>
        <v>-19.899999999999999</v>
      </c>
      <c r="R562" s="2">
        <f ca="1">INDEX(INDIRECT(_xlfn.CONCAT("weather.tbl[",R$1,"]")),MATCH(vp.data[[#This Row],[SDate]],weather.tbl[Date],0))</f>
        <v>-23.3</v>
      </c>
      <c r="S562" s="2">
        <f ca="1">INDEX(INDIRECT(_xlfn.CONCAT("weather.tbl[",S$1,"]")),MATCH(vp.data[[#This Row],[SDate]],weather.tbl[Date],0))</f>
        <v>-20.9</v>
      </c>
      <c r="T562" s="2">
        <f ca="1">INDEX(INDIRECT(_xlfn.CONCAT("weather.tbl[",T$1,"]")),MATCH(vp.data[[#This Row],[SDate]],weather.tbl[Date],0))</f>
        <v>-24.1</v>
      </c>
      <c r="U562" s="2">
        <f ca="1">INDEX(INDIRECT(_xlfn.CONCAT("weather.tbl[",U$1,"]")),MATCH(vp.data[[#This Row],[SDate]],weather.tbl[Date],0))</f>
        <v>-22.5</v>
      </c>
      <c r="V562" s="2">
        <f t="array" ref="V5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2506.3490000000002</v>
      </c>
      <c r="W562" t="s">
        <v>48</v>
      </c>
      <c r="X562">
        <f>IF(OR(vp.data[[#This Row],[Sulf]]="",vp.data[[#This Row],[Dens]]=""),1,0)</f>
        <v>0</v>
      </c>
      <c r="Y562">
        <f>IF(vp.data[[#This Row],[CrudeType]]="C5+",1,0)</f>
        <v>0</v>
      </c>
      <c r="Z562">
        <f>IF(AND(vp.data[[#This Row],[CrudeType]]="Crude",vp.data[[#This Row],[Dens]]&lt;=825,vp.data[[#This Row],[Sulf]]&gt;0.5,vp.data[[#This Row],[Unknown]]=0),1,0)</f>
        <v>0</v>
      </c>
      <c r="AA562">
        <f>IF(AND(vp.data[[#This Row],[CrudeType]]="Crude",vp.data[[#This Row],[Dens]]&lt;=825,vp.data[[#This Row],[Sulf]]&lt;=0.5,vp.data[[#This Row],[Unknown]]=0),1,0)</f>
        <v>0</v>
      </c>
      <c r="AB5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2">
        <f>IF(AND(vp.data[[#This Row],[CrudeType]]="Crude",vp.data[[#This Row],[Dens]]&gt;825,vp.data[[#This Row],[Dens]]&lt;=900,vp.data[[#This Row],[Sulf]]&lt;=0.5,vp.data[[#This Row],[Unknown]]=0),1,0)</f>
        <v>0</v>
      </c>
      <c r="AD562">
        <f>IF(AND(vp.data[[#This Row],[CrudeType]]="Crude",vp.data[[#This Row],[Dens]]&gt;865,vp.data[[#This Row],[Dens]]&lt;=900,vp.data[[#This Row],[Sulf]]&gt;2,vp.data[[#This Row],[Unknown]]=0),1,0)</f>
        <v>0</v>
      </c>
      <c r="AE562">
        <f>IF(AND(vp.data[[#This Row],[CrudeType]]="Crude",vp.data[[#This Row],[Dens]]&gt;900,vp.data[[#This Row],[Sulf]]&lt;=0.5,vp.data[[#This Row],[Unknown]]=0),1,0)</f>
        <v>0</v>
      </c>
      <c r="AF562">
        <f>IF(AND(vp.data[[#This Row],[CrudeType]]="Crude",vp.data[[#This Row],[Dens]]&gt;900,vp.data[[#This Row],[Sulf]]&lt;=0.5,vp.data[[#This Row],[Unknown]]=0),1,0)</f>
        <v>0</v>
      </c>
      <c r="AG562" t="str">
        <f>INDEX(vp.data[[#Headers],[Unknown]:[Heavy_SW]],MATCH(1,vp.data[[#This Row],[Unknown]:[Heavy_SW]],0))</f>
        <v>Medium_LSB</v>
      </c>
      <c r="AH562">
        <f>INDEX([3]!crudeBD.lkup[Number],MATCH(vp.data[[#This Row],[Crude_Breakdown]],crudeBD.lkup[Crude Breakdown],0))</f>
        <v>3</v>
      </c>
      <c r="AI562">
        <f>MONTH(vp.data[[#This Row],[SDate]])</f>
        <v>1</v>
      </c>
      <c r="AJ562" s="5">
        <f>(vp.data[[#This Row],[VP]]-INDEX(crudeBD.lkup[Mean_VP],MATCH(vp.data[[#This Row],[Crude_Breakdown]],crudeBD.lkup[Crude Breakdown],0)))^2</f>
        <v>667.68888420165149</v>
      </c>
      <c r="AK562" s="5">
        <f>(vp.data[[#This Row],[Dens]]-INDEX(crudeBD.lkup[Mean_Dens],MATCH(vp.data[[#This Row],[Crude_Breakdown]],crudeBD.lkup[Crude Breakdown],0)))^2</f>
        <v>65.286400000008015</v>
      </c>
      <c r="AL562" s="5">
        <f>(vp.data[[#This Row],[Sulf]]-INDEX(crudeBD.lkup[Mean_Sulf],MATCH(vp.data[[#This Row],[Crude_Breakdown]],crudeBD.lkup[Crude Breakdown],0)))^2</f>
        <v>0.35451083732210947</v>
      </c>
      <c r="AM562" s="4">
        <f>IF(AND(vp.data[[#This Row],[SDate]]&gt;=DATE(YEAR(vp.data[[#This Row],[SDate]]),5,1),vp.data[[#This Row],[SDate]]&lt;=DATE(YEAR(vp.data[[#This Row],[SDate]]),9,15)),1,0)</f>
        <v>0</v>
      </c>
      <c r="AN562" s="4">
        <f>IF(vp.data[[#This Row],[SDate]]&lt;DATE(2016,12,1),0,1)</f>
        <v>1</v>
      </c>
      <c r="AO562" s="4">
        <f>IFERROR(vp.data[[#This Row],[Sulf]]*vp.data[[#This Row],[Net Dens]],"")</f>
        <v>1686973.3849200003</v>
      </c>
      <c r="AP562">
        <f>IFERROR(vp.data[[#This Row],[Dens]]*vp.data[[#This Row],[VolumeM3]],"")</f>
        <v>2135409.3480000002</v>
      </c>
      <c r="AQ562" s="15">
        <f>IFERROR(vp.data[[#This Row],[VP]]*vp.data[[#This Row],[VolumeM3]],"")</f>
        <v>137347.9252</v>
      </c>
    </row>
    <row r="563" spans="1:43" x14ac:dyDescent="0.25">
      <c r="A563">
        <v>562</v>
      </c>
      <c r="B563" t="s">
        <v>68</v>
      </c>
      <c r="C563" t="s">
        <v>68</v>
      </c>
      <c r="D563" t="s">
        <v>110</v>
      </c>
      <c r="F563" s="1">
        <v>42746</v>
      </c>
      <c r="G563" s="2">
        <v>65.5</v>
      </c>
      <c r="H563" s="2"/>
      <c r="I563" s="2">
        <f t="array" ref="I563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563" s="2">
        <v>31.1</v>
      </c>
      <c r="K563" s="2">
        <v>-28</v>
      </c>
      <c r="L563" s="2">
        <v>852.9</v>
      </c>
      <c r="M563" s="2">
        <f t="array" ref="M563">_xlfn.IFNA(IF(vp.data[[#This Row],[Dens Input]]="",INDEX([1]DATA!$O$3:$O$9826,MATCH(1,(vp.data[[#This Row],[Battery]]=[1]DATA!$L$3:$L$9826)*(EOMONTH(vp.data[[#This Row],[SDate]],-1)+1=[1]DATA!$G$3:$G$9826),0)),vp.data[[#This Row],[Dens Input]]),"")</f>
        <v>852.9</v>
      </c>
      <c r="N563" s="2">
        <f ca="1">INDEX(INDIRECT(_xlfn.CONCAT("weather.tbl[",N$1,"]")),MATCH(vp.data[[#This Row],[SDate]],weather.tbl[Date],0))</f>
        <v>-22.516666666666666</v>
      </c>
      <c r="O563" s="2">
        <f ca="1">INDEX(INDIRECT(_xlfn.CONCAT("weather.tbl[",O$1,"]")),MATCH(vp.data[[#This Row],[SDate]],weather.tbl[Date],0))</f>
        <v>-22.078571428571429</v>
      </c>
      <c r="P563" s="2">
        <f ca="1">INDEX(INDIRECT(_xlfn.CONCAT("weather.tbl[",P$1,"]")),MATCH(vp.data[[#This Row],[SDate]],weather.tbl[Date],0))</f>
        <v>-24.4</v>
      </c>
      <c r="Q563" s="2">
        <f ca="1">INDEX(INDIRECT(_xlfn.CONCAT("weather.tbl[",Q$1,"]")),MATCH(vp.data[[#This Row],[SDate]],weather.tbl[Date],0))</f>
        <v>-19.899999999999999</v>
      </c>
      <c r="R563" s="2">
        <f ca="1">INDEX(INDIRECT(_xlfn.CONCAT("weather.tbl[",R$1,"]")),MATCH(vp.data[[#This Row],[SDate]],weather.tbl[Date],0))</f>
        <v>-23.3</v>
      </c>
      <c r="S563" s="2">
        <f ca="1">INDEX(INDIRECT(_xlfn.CONCAT("weather.tbl[",S$1,"]")),MATCH(vp.data[[#This Row],[SDate]],weather.tbl[Date],0))</f>
        <v>-20.9</v>
      </c>
      <c r="T563" s="2">
        <f ca="1">INDEX(INDIRECT(_xlfn.CONCAT("weather.tbl[",T$1,"]")),MATCH(vp.data[[#This Row],[SDate]],weather.tbl[Date],0))</f>
        <v>-24.1</v>
      </c>
      <c r="U563" s="2">
        <f ca="1">INDEX(INDIRECT(_xlfn.CONCAT("weather.tbl[",U$1,"]")),MATCH(vp.data[[#This Row],[SDate]],weather.tbl[Date],0))</f>
        <v>-22.5</v>
      </c>
      <c r="V563" s="2">
        <f t="array" ref="V5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4545.6329999999998</v>
      </c>
      <c r="W563" t="s">
        <v>48</v>
      </c>
      <c r="X563">
        <f>IF(OR(vp.data[[#This Row],[Sulf]]="",vp.data[[#This Row],[Dens]]=""),1,0)</f>
        <v>0</v>
      </c>
      <c r="Y563">
        <f>IF(vp.data[[#This Row],[CrudeType]]="C5+",1,0)</f>
        <v>0</v>
      </c>
      <c r="Z563">
        <f>IF(AND(vp.data[[#This Row],[CrudeType]]="Crude",vp.data[[#This Row],[Dens]]&lt;=825,vp.data[[#This Row],[Sulf]]&gt;0.5,vp.data[[#This Row],[Unknown]]=0),1,0)</f>
        <v>0</v>
      </c>
      <c r="AA563">
        <f>IF(AND(vp.data[[#This Row],[CrudeType]]="Crude",vp.data[[#This Row],[Dens]]&lt;=825,vp.data[[#This Row],[Sulf]]&lt;=0.5,vp.data[[#This Row],[Unknown]]=0),1,0)</f>
        <v>0</v>
      </c>
      <c r="AB5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3">
        <f>IF(AND(vp.data[[#This Row],[CrudeType]]="Crude",vp.data[[#This Row],[Dens]]&gt;825,vp.data[[#This Row],[Dens]]&lt;=900,vp.data[[#This Row],[Sulf]]&lt;=0.5,vp.data[[#This Row],[Unknown]]=0),1,0)</f>
        <v>0</v>
      </c>
      <c r="AD563">
        <f>IF(AND(vp.data[[#This Row],[CrudeType]]="Crude",vp.data[[#This Row],[Dens]]&gt;865,vp.data[[#This Row],[Dens]]&lt;=900,vp.data[[#This Row],[Sulf]]&gt;2,vp.data[[#This Row],[Unknown]]=0),1,0)</f>
        <v>0</v>
      </c>
      <c r="AE563">
        <f>IF(AND(vp.data[[#This Row],[CrudeType]]="Crude",vp.data[[#This Row],[Dens]]&gt;900,vp.data[[#This Row],[Sulf]]&lt;=0.5,vp.data[[#This Row],[Unknown]]=0),1,0)</f>
        <v>0</v>
      </c>
      <c r="AF563">
        <f>IF(AND(vp.data[[#This Row],[CrudeType]]="Crude",vp.data[[#This Row],[Dens]]&gt;900,vp.data[[#This Row],[Sulf]]&lt;=0.5,vp.data[[#This Row],[Unknown]]=0),1,0)</f>
        <v>0</v>
      </c>
      <c r="AG563" t="str">
        <f>INDEX(vp.data[[#Headers],[Unknown]:[Heavy_SW]],MATCH(1,vp.data[[#This Row],[Unknown]:[Heavy_SW]],0))</f>
        <v>Medium_LSB</v>
      </c>
      <c r="AH563">
        <f>INDEX([3]!crudeBD.lkup[Number],MATCH(vp.data[[#This Row],[Crude_Breakdown]],crudeBD.lkup[Crude Breakdown],0))</f>
        <v>3</v>
      </c>
      <c r="AI563">
        <f>MONTH(vp.data[[#This Row],[SDate]])</f>
        <v>1</v>
      </c>
      <c r="AJ563" s="5">
        <f>(vp.data[[#This Row],[VP]]-INDEX(crudeBD.lkup[Mean_VP],MATCH(vp.data[[#This Row],[Crude_Breakdown]],crudeBD.lkup[Crude Breakdown],0)))^2</f>
        <v>229.20980603453697</v>
      </c>
      <c r="AK563" s="5">
        <f>(vp.data[[#This Row],[Dens]]-INDEX(crudeBD.lkup[Mean_Dens],MATCH(vp.data[[#This Row],[Crude_Breakdown]],crudeBD.lkup[Crude Breakdown],0)))^2</f>
        <v>80.640400000008498</v>
      </c>
      <c r="AL563" s="5">
        <f>(vp.data[[#This Row],[Sulf]]-INDEX(crudeBD.lkup[Mean_Sulf],MATCH(vp.data[[#This Row],[Crude_Breakdown]],crudeBD.lkup[Crude Breakdown],0)))^2</f>
        <v>1.0939459963616806E-2</v>
      </c>
      <c r="AM563" s="4">
        <f>IF(AND(vp.data[[#This Row],[SDate]]&gt;=DATE(YEAR(vp.data[[#This Row],[SDate]]),5,1),vp.data[[#This Row],[SDate]]&lt;=DATE(YEAR(vp.data[[#This Row],[SDate]]),9,15)),1,0)</f>
        <v>0</v>
      </c>
      <c r="AN563" s="4">
        <f>IF(vp.data[[#This Row],[SDate]]&lt;DATE(2016,12,1),0,1)</f>
        <v>1</v>
      </c>
      <c r="AO563" s="4">
        <f>IFERROR(vp.data[[#This Row],[Sulf]]*vp.data[[#This Row],[Net Dens]],"")</f>
        <v>5776685.8746929988</v>
      </c>
      <c r="AP563">
        <f>IFERROR(vp.data[[#This Row],[Dens]]*vp.data[[#This Row],[VolumeM3]],"")</f>
        <v>3876970.3856999995</v>
      </c>
      <c r="AQ563" s="15">
        <f>IFERROR(vp.data[[#This Row],[VP]]*vp.data[[#This Row],[VolumeM3]],"")</f>
        <v>297738.96149999998</v>
      </c>
    </row>
    <row r="564" spans="1:43" x14ac:dyDescent="0.25">
      <c r="A564">
        <v>563</v>
      </c>
      <c r="B564" t="s">
        <v>68</v>
      </c>
      <c r="C564" t="s">
        <v>68</v>
      </c>
      <c r="D564" t="s">
        <v>98</v>
      </c>
      <c r="F564" s="1">
        <v>42746</v>
      </c>
      <c r="G564" s="2">
        <v>61.6</v>
      </c>
      <c r="H564" s="2"/>
      <c r="I564" s="2">
        <f t="array" ref="I564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564" s="2">
        <v>26.4</v>
      </c>
      <c r="K564" s="2">
        <v>-28</v>
      </c>
      <c r="L564" s="2">
        <v>853.3</v>
      </c>
      <c r="M564" s="2">
        <f t="array" ref="M564">_xlfn.IFNA(IF(vp.data[[#This Row],[Dens Input]]="",INDEX([1]DATA!$O$3:$O$9826,MATCH(1,(vp.data[[#This Row],[Battery]]=[1]DATA!$L$3:$L$9826)*(EOMONTH(vp.data[[#This Row],[SDate]],-1)+1=[1]DATA!$G$3:$G$9826),0)),vp.data[[#This Row],[Dens Input]]),"")</f>
        <v>853.3</v>
      </c>
      <c r="N564" s="2">
        <f ca="1">INDEX(INDIRECT(_xlfn.CONCAT("weather.tbl[",N$1,"]")),MATCH(vp.data[[#This Row],[SDate]],weather.tbl[Date],0))</f>
        <v>-22.516666666666666</v>
      </c>
      <c r="O564" s="2">
        <f ca="1">INDEX(INDIRECT(_xlfn.CONCAT("weather.tbl[",O$1,"]")),MATCH(vp.data[[#This Row],[SDate]],weather.tbl[Date],0))</f>
        <v>-22.078571428571429</v>
      </c>
      <c r="P564" s="2">
        <f ca="1">INDEX(INDIRECT(_xlfn.CONCAT("weather.tbl[",P$1,"]")),MATCH(vp.data[[#This Row],[SDate]],weather.tbl[Date],0))</f>
        <v>-24.4</v>
      </c>
      <c r="Q564" s="2">
        <f ca="1">INDEX(INDIRECT(_xlfn.CONCAT("weather.tbl[",Q$1,"]")),MATCH(vp.data[[#This Row],[SDate]],weather.tbl[Date],0))</f>
        <v>-19.899999999999999</v>
      </c>
      <c r="R564" s="2">
        <f ca="1">INDEX(INDIRECT(_xlfn.CONCAT("weather.tbl[",R$1,"]")),MATCH(vp.data[[#This Row],[SDate]],weather.tbl[Date],0))</f>
        <v>-23.3</v>
      </c>
      <c r="S564" s="2">
        <f ca="1">INDEX(INDIRECT(_xlfn.CONCAT("weather.tbl[",S$1,"]")),MATCH(vp.data[[#This Row],[SDate]],weather.tbl[Date],0))</f>
        <v>-20.9</v>
      </c>
      <c r="T564" s="2">
        <f ca="1">INDEX(INDIRECT(_xlfn.CONCAT("weather.tbl[",T$1,"]")),MATCH(vp.data[[#This Row],[SDate]],weather.tbl[Date],0))</f>
        <v>-24.1</v>
      </c>
      <c r="U564" s="2">
        <f ca="1">INDEX(INDIRECT(_xlfn.CONCAT("weather.tbl[",U$1,"]")),MATCH(vp.data[[#This Row],[SDate]],weather.tbl[Date],0))</f>
        <v>-22.5</v>
      </c>
      <c r="V564" s="2">
        <f t="array" ref="V5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5406.71</v>
      </c>
      <c r="W564" t="s">
        <v>48</v>
      </c>
      <c r="X564">
        <f>IF(OR(vp.data[[#This Row],[Sulf]]="",vp.data[[#This Row],[Dens]]=""),1,0)</f>
        <v>0</v>
      </c>
      <c r="Y564">
        <f>IF(vp.data[[#This Row],[CrudeType]]="C5+",1,0)</f>
        <v>0</v>
      </c>
      <c r="Z564">
        <f>IF(AND(vp.data[[#This Row],[CrudeType]]="Crude",vp.data[[#This Row],[Dens]]&lt;=825,vp.data[[#This Row],[Sulf]]&gt;0.5,vp.data[[#This Row],[Unknown]]=0),1,0)</f>
        <v>0</v>
      </c>
      <c r="AA564">
        <f>IF(AND(vp.data[[#This Row],[CrudeType]]="Crude",vp.data[[#This Row],[Dens]]&lt;=825,vp.data[[#This Row],[Sulf]]&lt;=0.5,vp.data[[#This Row],[Unknown]]=0),1,0)</f>
        <v>0</v>
      </c>
      <c r="AB5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4">
        <f>IF(AND(vp.data[[#This Row],[CrudeType]]="Crude",vp.data[[#This Row],[Dens]]&gt;825,vp.data[[#This Row],[Dens]]&lt;=900,vp.data[[#This Row],[Sulf]]&lt;=0.5,vp.data[[#This Row],[Unknown]]=0),1,0)</f>
        <v>0</v>
      </c>
      <c r="AD564">
        <f>IF(AND(vp.data[[#This Row],[CrudeType]]="Crude",vp.data[[#This Row],[Dens]]&gt;865,vp.data[[#This Row],[Dens]]&lt;=900,vp.data[[#This Row],[Sulf]]&gt;2,vp.data[[#This Row],[Unknown]]=0),1,0)</f>
        <v>0</v>
      </c>
      <c r="AE564">
        <f>IF(AND(vp.data[[#This Row],[CrudeType]]="Crude",vp.data[[#This Row],[Dens]]&gt;900,vp.data[[#This Row],[Sulf]]&lt;=0.5,vp.data[[#This Row],[Unknown]]=0),1,0)</f>
        <v>0</v>
      </c>
      <c r="AF564">
        <f>IF(AND(vp.data[[#This Row],[CrudeType]]="Crude",vp.data[[#This Row],[Dens]]&gt;900,vp.data[[#This Row],[Sulf]]&lt;=0.5,vp.data[[#This Row],[Unknown]]=0),1,0)</f>
        <v>0</v>
      </c>
      <c r="AG564" t="str">
        <f>INDEX(vp.data[[#Headers],[Unknown]:[Heavy_SW]],MATCH(1,vp.data[[#This Row],[Unknown]:[Heavy_SW]],0))</f>
        <v>Medium_LSB</v>
      </c>
      <c r="AH564">
        <f>INDEX([3]!crudeBD.lkup[Number],MATCH(vp.data[[#This Row],[Crude_Breakdown]],crudeBD.lkup[Crude Breakdown],0))</f>
        <v>3</v>
      </c>
      <c r="AI564">
        <f>MONTH(vp.data[[#This Row],[SDate]])</f>
        <v>1</v>
      </c>
      <c r="AJ564" s="5">
        <f>(vp.data[[#This Row],[VP]]-INDEX(crudeBD.lkup[Mean_VP],MATCH(vp.data[[#This Row],[Crude_Breakdown]],crudeBD.lkup[Crude Breakdown],0)))^2</f>
        <v>362.50928312348515</v>
      </c>
      <c r="AK564" s="5">
        <f>(vp.data[[#This Row],[Dens]]-INDEX(crudeBD.lkup[Mean_Dens],MATCH(vp.data[[#This Row],[Crude_Breakdown]],crudeBD.lkup[Crude Breakdown],0)))^2</f>
        <v>87.984400000008449</v>
      </c>
      <c r="AL564" s="5">
        <f>(vp.data[[#This Row],[Sulf]]-INDEX(crudeBD.lkup[Mean_Sulf],MATCH(vp.data[[#This Row],[Crude_Breakdown]],crudeBD.lkup[Crude Breakdown],0)))^2</f>
        <v>1.5727198238550122E-2</v>
      </c>
      <c r="AM564" s="4">
        <f>IF(AND(vp.data[[#This Row],[SDate]]&gt;=DATE(YEAR(vp.data[[#This Row],[SDate]]),5,1),vp.data[[#This Row],[SDate]]&lt;=DATE(YEAR(vp.data[[#This Row],[SDate]]),9,15)),1,0)</f>
        <v>0</v>
      </c>
      <c r="AN564" s="4">
        <f>IF(vp.data[[#This Row],[SDate]]&lt;DATE(2016,12,1),0,1)</f>
        <v>1</v>
      </c>
      <c r="AO564" s="4">
        <f>IFERROR(vp.data[[#This Row],[Sulf]]*vp.data[[#This Row],[Net Dens]],"")</f>
        <v>5813067.5101800002</v>
      </c>
      <c r="AP564">
        <f>IFERROR(vp.data[[#This Row],[Dens]]*vp.data[[#This Row],[VolumeM3]],"")</f>
        <v>4613545.6430000002</v>
      </c>
      <c r="AQ564" s="15">
        <f>IFERROR(vp.data[[#This Row],[VP]]*vp.data[[#This Row],[VolumeM3]],"")</f>
        <v>333053.33600000001</v>
      </c>
    </row>
    <row r="565" spans="1:43" x14ac:dyDescent="0.25">
      <c r="A565">
        <v>564</v>
      </c>
      <c r="B565" t="s">
        <v>119</v>
      </c>
      <c r="C565" t="s">
        <v>119</v>
      </c>
      <c r="D565" t="s">
        <v>120</v>
      </c>
      <c r="F565" s="1">
        <v>42746</v>
      </c>
      <c r="G565" s="2">
        <v>78.3</v>
      </c>
      <c r="H565" s="2"/>
      <c r="I565" s="2">
        <f t="array" ref="I565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565" s="2">
        <v>12.1</v>
      </c>
      <c r="K565" s="2">
        <v>-28</v>
      </c>
      <c r="L565" s="2">
        <v>864.1</v>
      </c>
      <c r="M565" s="2">
        <f t="array" ref="M565">_xlfn.IFNA(IF(vp.data[[#This Row],[Dens Input]]="",INDEX([1]DATA!$O$3:$O$9826,MATCH(1,(vp.data[[#This Row],[Battery]]=[1]DATA!$L$3:$L$9826)*(EOMONTH(vp.data[[#This Row],[SDate]],-1)+1=[1]DATA!$G$3:$G$9826),0)),vp.data[[#This Row],[Dens Input]]),"")</f>
        <v>864.1</v>
      </c>
      <c r="N565" s="2">
        <f ca="1">INDEX(INDIRECT(_xlfn.CONCAT("weather.tbl[",N$1,"]")),MATCH(vp.data[[#This Row],[SDate]],weather.tbl[Date],0))</f>
        <v>-22.516666666666666</v>
      </c>
      <c r="O565" s="2">
        <f ca="1">INDEX(INDIRECT(_xlfn.CONCAT("weather.tbl[",O$1,"]")),MATCH(vp.data[[#This Row],[SDate]],weather.tbl[Date],0))</f>
        <v>-22.078571428571429</v>
      </c>
      <c r="P565" s="2">
        <f ca="1">INDEX(INDIRECT(_xlfn.CONCAT("weather.tbl[",P$1,"]")),MATCH(vp.data[[#This Row],[SDate]],weather.tbl[Date],0))</f>
        <v>-24.4</v>
      </c>
      <c r="Q565" s="2">
        <f ca="1">INDEX(INDIRECT(_xlfn.CONCAT("weather.tbl[",Q$1,"]")),MATCH(vp.data[[#This Row],[SDate]],weather.tbl[Date],0))</f>
        <v>-19.899999999999999</v>
      </c>
      <c r="R565" s="2">
        <f ca="1">INDEX(INDIRECT(_xlfn.CONCAT("weather.tbl[",R$1,"]")),MATCH(vp.data[[#This Row],[SDate]],weather.tbl[Date],0))</f>
        <v>-23.3</v>
      </c>
      <c r="S565" s="2">
        <f ca="1">INDEX(INDIRECT(_xlfn.CONCAT("weather.tbl[",S$1,"]")),MATCH(vp.data[[#This Row],[SDate]],weather.tbl[Date],0))</f>
        <v>-20.9</v>
      </c>
      <c r="T565" s="2">
        <f ca="1">INDEX(INDIRECT(_xlfn.CONCAT("weather.tbl[",T$1,"]")),MATCH(vp.data[[#This Row],[SDate]],weather.tbl[Date],0))</f>
        <v>-24.1</v>
      </c>
      <c r="U565" s="2">
        <f ca="1">INDEX(INDIRECT(_xlfn.CONCAT("weather.tbl[",U$1,"]")),MATCH(vp.data[[#This Row],[SDate]],weather.tbl[Date],0))</f>
        <v>-22.5</v>
      </c>
      <c r="V565" s="2">
        <f t="array" ref="V5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2612.9479999999999</v>
      </c>
      <c r="W565" t="s">
        <v>48</v>
      </c>
      <c r="X565">
        <f>IF(OR(vp.data[[#This Row],[Sulf]]="",vp.data[[#This Row],[Dens]]=""),1,0)</f>
        <v>0</v>
      </c>
      <c r="Y565">
        <f>IF(vp.data[[#This Row],[CrudeType]]="C5+",1,0)</f>
        <v>0</v>
      </c>
      <c r="Z565">
        <f>IF(AND(vp.data[[#This Row],[CrudeType]]="Crude",vp.data[[#This Row],[Dens]]&lt;=825,vp.data[[#This Row],[Sulf]]&gt;0.5,vp.data[[#This Row],[Unknown]]=0),1,0)</f>
        <v>0</v>
      </c>
      <c r="AA565">
        <f>IF(AND(vp.data[[#This Row],[CrudeType]]="Crude",vp.data[[#This Row],[Dens]]&lt;=825,vp.data[[#This Row],[Sulf]]&lt;=0.5,vp.data[[#This Row],[Unknown]]=0),1,0)</f>
        <v>0</v>
      </c>
      <c r="AB5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5">
        <f>IF(AND(vp.data[[#This Row],[CrudeType]]="Crude",vp.data[[#This Row],[Dens]]&gt;825,vp.data[[#This Row],[Dens]]&lt;=900,vp.data[[#This Row],[Sulf]]&lt;=0.5,vp.data[[#This Row],[Unknown]]=0),1,0)</f>
        <v>0</v>
      </c>
      <c r="AD565">
        <f>IF(AND(vp.data[[#This Row],[CrudeType]]="Crude",vp.data[[#This Row],[Dens]]&gt;865,vp.data[[#This Row],[Dens]]&lt;=900,vp.data[[#This Row],[Sulf]]&gt;2,vp.data[[#This Row],[Unknown]]=0),1,0)</f>
        <v>0</v>
      </c>
      <c r="AE565">
        <f>IF(AND(vp.data[[#This Row],[CrudeType]]="Crude",vp.data[[#This Row],[Dens]]&gt;900,vp.data[[#This Row],[Sulf]]&lt;=0.5,vp.data[[#This Row],[Unknown]]=0),1,0)</f>
        <v>0</v>
      </c>
      <c r="AF565">
        <f>IF(AND(vp.data[[#This Row],[CrudeType]]="Crude",vp.data[[#This Row],[Dens]]&gt;900,vp.data[[#This Row],[Sulf]]&lt;=0.5,vp.data[[#This Row],[Unknown]]=0),1,0)</f>
        <v>0</v>
      </c>
      <c r="AG565" t="str">
        <f>INDEX(vp.data[[#Headers],[Unknown]:[Heavy_SW]],MATCH(1,vp.data[[#This Row],[Unknown]:[Heavy_SW]],0))</f>
        <v>Medium_LSB</v>
      </c>
      <c r="AH565">
        <f>INDEX([3]!crudeBD.lkup[Number],MATCH(vp.data[[#This Row],[Crude_Breakdown]],crudeBD.lkup[Crude Breakdown],0))</f>
        <v>3</v>
      </c>
      <c r="AI565">
        <f>MONTH(vp.data[[#This Row],[SDate]])</f>
        <v>1</v>
      </c>
      <c r="AJ565" s="5">
        <f>(vp.data[[#This Row],[VP]]-INDEX(crudeBD.lkup[Mean_VP],MATCH(vp.data[[#This Row],[Crude_Breakdown]],crudeBD.lkup[Crude Breakdown],0)))^2</f>
        <v>5.4740863579889405</v>
      </c>
      <c r="AK565" s="5">
        <f>(vp.data[[#This Row],[Dens]]-INDEX(crudeBD.lkup[Mean_Dens],MATCH(vp.data[[#This Row],[Crude_Breakdown]],crudeBD.lkup[Crude Breakdown],0)))^2</f>
        <v>407.2324000000209</v>
      </c>
      <c r="AL565" s="5">
        <f>(vp.data[[#This Row],[Sulf]]-INDEX(crudeBD.lkup[Mean_Sulf],MATCH(vp.data[[#This Row],[Crude_Breakdown]],crudeBD.lkup[Crude Breakdown],0)))^2</f>
        <v>0.48245787047574451</v>
      </c>
      <c r="AM565" s="4">
        <f>IF(AND(vp.data[[#This Row],[SDate]]&gt;=DATE(YEAR(vp.data[[#This Row],[SDate]]),5,1),vp.data[[#This Row],[SDate]]&lt;=DATE(YEAR(vp.data[[#This Row],[SDate]]),9,15)),1,0)</f>
        <v>0</v>
      </c>
      <c r="AN565" s="4">
        <f>IF(vp.data[[#This Row],[SDate]]&lt;DATE(2016,12,1),0,1)</f>
        <v>1</v>
      </c>
      <c r="AO565" s="4">
        <f>IFERROR(vp.data[[#This Row],[Sulf]]*vp.data[[#This Row],[Net Dens]],"")</f>
        <v>4696324.6029439997</v>
      </c>
      <c r="AP565">
        <f>IFERROR(vp.data[[#This Row],[Dens]]*vp.data[[#This Row],[VolumeM3]],"")</f>
        <v>2257848.3668</v>
      </c>
      <c r="AQ565" s="15">
        <f>IFERROR(vp.data[[#This Row],[VP]]*vp.data[[#This Row],[VolumeM3]],"")</f>
        <v>204593.82839999997</v>
      </c>
    </row>
    <row r="566" spans="1:43" x14ac:dyDescent="0.25">
      <c r="A566">
        <v>565</v>
      </c>
      <c r="B566" t="s">
        <v>49</v>
      </c>
      <c r="C566" t="s">
        <v>49</v>
      </c>
      <c r="D566" t="s">
        <v>121</v>
      </c>
      <c r="F566" s="1">
        <v>42746</v>
      </c>
      <c r="G566" s="2">
        <v>69.900000000000006</v>
      </c>
      <c r="H566" s="2"/>
      <c r="I566" s="2">
        <f t="array" ref="I566">_xlfn.IFNA(IF(vp.data[[#This Row],[Sulf Input]]="",INDEX([1]DATA!$Q$3:$Q$9826,MATCH(1,(vp.data[[#This Row],[Battery]]=[1]DATA!$L$3:$L$9826)*(EOMONTH(vp.data[[#This Row],[SDate]],-1)+1=[1]DATA!$G$3:$G$9826),0)),vp.data[[#This Row],[Sulf Input]]),"")</f>
        <v>1.98</v>
      </c>
      <c r="J566" s="2">
        <v>12.2</v>
      </c>
      <c r="K566" s="2">
        <v>-28</v>
      </c>
      <c r="L566" s="2">
        <v>868.3</v>
      </c>
      <c r="M566" s="2">
        <f t="array" ref="M566">_xlfn.IFNA(IF(vp.data[[#This Row],[Dens Input]]="",INDEX([1]DATA!$O$3:$O$9826,MATCH(1,(vp.data[[#This Row],[Battery]]=[1]DATA!$L$3:$L$9826)*(EOMONTH(vp.data[[#This Row],[SDate]],-1)+1=[1]DATA!$G$3:$G$9826),0)),vp.data[[#This Row],[Dens Input]]),"")</f>
        <v>868.3</v>
      </c>
      <c r="N566" s="2">
        <f ca="1">INDEX(INDIRECT(_xlfn.CONCAT("weather.tbl[",N$1,"]")),MATCH(vp.data[[#This Row],[SDate]],weather.tbl[Date],0))</f>
        <v>-22.516666666666666</v>
      </c>
      <c r="O566" s="2">
        <f ca="1">INDEX(INDIRECT(_xlfn.CONCAT("weather.tbl[",O$1,"]")),MATCH(vp.data[[#This Row],[SDate]],weather.tbl[Date],0))</f>
        <v>-22.078571428571429</v>
      </c>
      <c r="P566" s="2">
        <f ca="1">INDEX(INDIRECT(_xlfn.CONCAT("weather.tbl[",P$1,"]")),MATCH(vp.data[[#This Row],[SDate]],weather.tbl[Date],0))</f>
        <v>-24.4</v>
      </c>
      <c r="Q566" s="2">
        <f ca="1">INDEX(INDIRECT(_xlfn.CONCAT("weather.tbl[",Q$1,"]")),MATCH(vp.data[[#This Row],[SDate]],weather.tbl[Date],0))</f>
        <v>-19.899999999999999</v>
      </c>
      <c r="R566" s="2">
        <f ca="1">INDEX(INDIRECT(_xlfn.CONCAT("weather.tbl[",R$1,"]")),MATCH(vp.data[[#This Row],[SDate]],weather.tbl[Date],0))</f>
        <v>-23.3</v>
      </c>
      <c r="S566" s="2">
        <f ca="1">INDEX(INDIRECT(_xlfn.CONCAT("weather.tbl[",S$1,"]")),MATCH(vp.data[[#This Row],[SDate]],weather.tbl[Date],0))</f>
        <v>-20.9</v>
      </c>
      <c r="T566" s="2">
        <f ca="1">INDEX(INDIRECT(_xlfn.CONCAT("weather.tbl[",T$1,"]")),MATCH(vp.data[[#This Row],[SDate]],weather.tbl[Date],0))</f>
        <v>-24.1</v>
      </c>
      <c r="U566" s="2">
        <f ca="1">INDEX(INDIRECT(_xlfn.CONCAT("weather.tbl[",U$1,"]")),MATCH(vp.data[[#This Row],[SDate]],weather.tbl[Date],0))</f>
        <v>-22.5</v>
      </c>
      <c r="V566" s="2">
        <f t="array" ref="V5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1819.5609999999999</v>
      </c>
      <c r="W566" t="s">
        <v>48</v>
      </c>
      <c r="X566">
        <f>IF(OR(vp.data[[#This Row],[Sulf]]="",vp.data[[#This Row],[Dens]]=""),1,0)</f>
        <v>0</v>
      </c>
      <c r="Y566">
        <f>IF(vp.data[[#This Row],[CrudeType]]="C5+",1,0)</f>
        <v>0</v>
      </c>
      <c r="Z566">
        <f>IF(AND(vp.data[[#This Row],[CrudeType]]="Crude",vp.data[[#This Row],[Dens]]&lt;=825,vp.data[[#This Row],[Sulf]]&gt;0.5,vp.data[[#This Row],[Unknown]]=0),1,0)</f>
        <v>0</v>
      </c>
      <c r="AA566">
        <f>IF(AND(vp.data[[#This Row],[CrudeType]]="Crude",vp.data[[#This Row],[Dens]]&lt;=825,vp.data[[#This Row],[Sulf]]&lt;=0.5,vp.data[[#This Row],[Unknown]]=0),1,0)</f>
        <v>0</v>
      </c>
      <c r="AB5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6">
        <f>IF(AND(vp.data[[#This Row],[CrudeType]]="Crude",vp.data[[#This Row],[Dens]]&gt;825,vp.data[[#This Row],[Dens]]&lt;=900,vp.data[[#This Row],[Sulf]]&lt;=0.5,vp.data[[#This Row],[Unknown]]=0),1,0)</f>
        <v>0</v>
      </c>
      <c r="AD566">
        <f>IF(AND(vp.data[[#This Row],[CrudeType]]="Crude",vp.data[[#This Row],[Dens]]&gt;865,vp.data[[#This Row],[Dens]]&lt;=900,vp.data[[#This Row],[Sulf]]&gt;2,vp.data[[#This Row],[Unknown]]=0),1,0)</f>
        <v>0</v>
      </c>
      <c r="AE566">
        <f>IF(AND(vp.data[[#This Row],[CrudeType]]="Crude",vp.data[[#This Row],[Dens]]&gt;900,vp.data[[#This Row],[Sulf]]&lt;=0.5,vp.data[[#This Row],[Unknown]]=0),1,0)</f>
        <v>0</v>
      </c>
      <c r="AF566">
        <f>IF(AND(vp.data[[#This Row],[CrudeType]]="Crude",vp.data[[#This Row],[Dens]]&gt;900,vp.data[[#This Row],[Sulf]]&lt;=0.5,vp.data[[#This Row],[Unknown]]=0),1,0)</f>
        <v>0</v>
      </c>
      <c r="AG566" t="str">
        <f>INDEX(vp.data[[#Headers],[Unknown]:[Heavy_SW]],MATCH(1,vp.data[[#This Row],[Unknown]:[Heavy_SW]],0))</f>
        <v>Medium_LSB</v>
      </c>
      <c r="AH566">
        <f>INDEX([3]!crudeBD.lkup[Number],MATCH(vp.data[[#This Row],[Crude_Breakdown]],crudeBD.lkup[Crude Breakdown],0))</f>
        <v>3</v>
      </c>
      <c r="AI566">
        <f>MONTH(vp.data[[#This Row],[SDate]])</f>
        <v>1</v>
      </c>
      <c r="AJ566" s="5">
        <f>(vp.data[[#This Row],[VP]]-INDEX(crudeBD.lkup[Mean_VP],MATCH(vp.data[[#This Row],[Crude_Breakdown]],crudeBD.lkup[Crude Breakdown],0)))^2</f>
        <v>115.34065239572345</v>
      </c>
      <c r="AK566" s="5">
        <f>(vp.data[[#This Row],[Dens]]-INDEX(crudeBD.lkup[Mean_Dens],MATCH(vp.data[[#This Row],[Crude_Breakdown]],crudeBD.lkup[Crude Breakdown],0)))^2</f>
        <v>594.38440000002197</v>
      </c>
      <c r="AL566" s="5">
        <f>(vp.data[[#This Row],[Sulf]]-INDEX(crudeBD.lkup[Mean_Sulf],MATCH(vp.data[[#This Row],[Crude_Breakdown]],crudeBD.lkup[Crude Breakdown],0)))^2</f>
        <v>0.35353949581267191</v>
      </c>
      <c r="AM566" s="4">
        <f>IF(AND(vp.data[[#This Row],[SDate]]&gt;=DATE(YEAR(vp.data[[#This Row],[SDate]]),5,1),vp.data[[#This Row],[SDate]]&lt;=DATE(YEAR(vp.data[[#This Row],[SDate]]),9,15)),1,0)</f>
        <v>0</v>
      </c>
      <c r="AN566" s="4">
        <f>IF(vp.data[[#This Row],[SDate]]&lt;DATE(2016,12,1),0,1)</f>
        <v>1</v>
      </c>
      <c r="AO566" s="4">
        <f>IFERROR(vp.data[[#This Row],[Sulf]]*vp.data[[#This Row],[Net Dens]],"")</f>
        <v>3128251.1362739997</v>
      </c>
      <c r="AP566">
        <f>IFERROR(vp.data[[#This Row],[Dens]]*vp.data[[#This Row],[VolumeM3]],"")</f>
        <v>1579924.8162999998</v>
      </c>
      <c r="AQ566" s="15">
        <f>IFERROR(vp.data[[#This Row],[VP]]*vp.data[[#This Row],[VolumeM3]],"")</f>
        <v>127187.31390000001</v>
      </c>
    </row>
    <row r="567" spans="1:43" x14ac:dyDescent="0.25">
      <c r="A567">
        <v>566</v>
      </c>
      <c r="B567" t="s">
        <v>49</v>
      </c>
      <c r="C567" t="s">
        <v>49</v>
      </c>
      <c r="D567" t="s">
        <v>82</v>
      </c>
      <c r="F567" s="1">
        <v>42746</v>
      </c>
      <c r="G567" s="2">
        <v>62.3</v>
      </c>
      <c r="H567" s="2"/>
      <c r="I567" s="2">
        <f t="array" ref="I567">_xlfn.IFNA(IF(vp.data[[#This Row],[Sulf Input]]="",INDEX([1]DATA!$Q$3:$Q$9826,MATCH(1,(vp.data[[#This Row],[Battery]]=[1]DATA!$L$3:$L$9826)*(EOMONTH(vp.data[[#This Row],[SDate]],-1)+1=[1]DATA!$G$3:$G$9826),0)),vp.data[[#This Row],[Sulf Input]]),"")</f>
        <v>2.37</v>
      </c>
      <c r="J567" s="2">
        <v>10.7</v>
      </c>
      <c r="K567" s="2">
        <v>-28</v>
      </c>
      <c r="L567" s="2">
        <v>871.3</v>
      </c>
      <c r="M567" s="2">
        <f t="array" ref="M567">_xlfn.IFNA(IF(vp.data[[#This Row],[Dens Input]]="",INDEX([1]DATA!$O$3:$O$9826,MATCH(1,(vp.data[[#This Row],[Battery]]=[1]DATA!$L$3:$L$9826)*(EOMONTH(vp.data[[#This Row],[SDate]],-1)+1=[1]DATA!$G$3:$G$9826),0)),vp.data[[#This Row],[Dens Input]]),"")</f>
        <v>871.3</v>
      </c>
      <c r="N567" s="2">
        <f ca="1">INDEX(INDIRECT(_xlfn.CONCAT("weather.tbl[",N$1,"]")),MATCH(vp.data[[#This Row],[SDate]],weather.tbl[Date],0))</f>
        <v>-22.516666666666666</v>
      </c>
      <c r="O567" s="2">
        <f ca="1">INDEX(INDIRECT(_xlfn.CONCAT("weather.tbl[",O$1,"]")),MATCH(vp.data[[#This Row],[SDate]],weather.tbl[Date],0))</f>
        <v>-22.078571428571429</v>
      </c>
      <c r="P567" s="2">
        <f ca="1">INDEX(INDIRECT(_xlfn.CONCAT("weather.tbl[",P$1,"]")),MATCH(vp.data[[#This Row],[SDate]],weather.tbl[Date],0))</f>
        <v>-24.4</v>
      </c>
      <c r="Q567" s="2">
        <f ca="1">INDEX(INDIRECT(_xlfn.CONCAT("weather.tbl[",Q$1,"]")),MATCH(vp.data[[#This Row],[SDate]],weather.tbl[Date],0))</f>
        <v>-19.899999999999999</v>
      </c>
      <c r="R567" s="2">
        <f ca="1">INDEX(INDIRECT(_xlfn.CONCAT("weather.tbl[",R$1,"]")),MATCH(vp.data[[#This Row],[SDate]],weather.tbl[Date],0))</f>
        <v>-23.3</v>
      </c>
      <c r="S567" s="2">
        <f ca="1">INDEX(INDIRECT(_xlfn.CONCAT("weather.tbl[",S$1,"]")),MATCH(vp.data[[#This Row],[SDate]],weather.tbl[Date],0))</f>
        <v>-20.9</v>
      </c>
      <c r="T567" s="2">
        <f ca="1">INDEX(INDIRECT(_xlfn.CONCAT("weather.tbl[",T$1,"]")),MATCH(vp.data[[#This Row],[SDate]],weather.tbl[Date],0))</f>
        <v>-24.1</v>
      </c>
      <c r="U567" s="2">
        <f ca="1">INDEX(INDIRECT(_xlfn.CONCAT("weather.tbl[",U$1,"]")),MATCH(vp.data[[#This Row],[SDate]],weather.tbl[Date],0))</f>
        <v>-22.5</v>
      </c>
      <c r="V567" s="2">
        <f t="array" ref="V5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2421.1320000000001</v>
      </c>
      <c r="W567" t="s">
        <v>48</v>
      </c>
      <c r="X567">
        <f>IF(OR(vp.data[[#This Row],[Sulf]]="",vp.data[[#This Row],[Dens]]=""),1,0)</f>
        <v>0</v>
      </c>
      <c r="Y567">
        <f>IF(vp.data[[#This Row],[CrudeType]]="C5+",1,0)</f>
        <v>0</v>
      </c>
      <c r="Z567">
        <f>IF(AND(vp.data[[#This Row],[CrudeType]]="Crude",vp.data[[#This Row],[Dens]]&lt;=825,vp.data[[#This Row],[Sulf]]&gt;0.5,vp.data[[#This Row],[Unknown]]=0),1,0)</f>
        <v>0</v>
      </c>
      <c r="AA567">
        <f>IF(AND(vp.data[[#This Row],[CrudeType]]="Crude",vp.data[[#This Row],[Dens]]&lt;=825,vp.data[[#This Row],[Sulf]]&lt;=0.5,vp.data[[#This Row],[Unknown]]=0),1,0)</f>
        <v>0</v>
      </c>
      <c r="AB5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67">
        <f>IF(AND(vp.data[[#This Row],[CrudeType]]="Crude",vp.data[[#This Row],[Dens]]&gt;825,vp.data[[#This Row],[Dens]]&lt;=900,vp.data[[#This Row],[Sulf]]&lt;=0.5,vp.data[[#This Row],[Unknown]]=0),1,0)</f>
        <v>0</v>
      </c>
      <c r="AD567">
        <f>IF(AND(vp.data[[#This Row],[CrudeType]]="Crude",vp.data[[#This Row],[Dens]]&gt;865,vp.data[[#This Row],[Dens]]&lt;=900,vp.data[[#This Row],[Sulf]]&gt;2,vp.data[[#This Row],[Unknown]]=0),1,0)</f>
        <v>1</v>
      </c>
      <c r="AE567">
        <f>IF(AND(vp.data[[#This Row],[CrudeType]]="Crude",vp.data[[#This Row],[Dens]]&gt;900,vp.data[[#This Row],[Sulf]]&lt;=0.5,vp.data[[#This Row],[Unknown]]=0),1,0)</f>
        <v>0</v>
      </c>
      <c r="AF567">
        <f>IF(AND(vp.data[[#This Row],[CrudeType]]="Crude",vp.data[[#This Row],[Dens]]&gt;900,vp.data[[#This Row],[Sulf]]&lt;=0.5,vp.data[[#This Row],[Unknown]]=0),1,0)</f>
        <v>0</v>
      </c>
      <c r="AG567" t="str">
        <f>INDEX(vp.data[[#Headers],[Unknown]:[Heavy_SW]],MATCH(1,vp.data[[#This Row],[Unknown]:[Heavy_SW]],0))</f>
        <v>Midale</v>
      </c>
      <c r="AH567">
        <f>INDEX([3]!crudeBD.lkup[Number],MATCH(vp.data[[#This Row],[Crude_Breakdown]],crudeBD.lkup[Crude Breakdown],0))</f>
        <v>5</v>
      </c>
      <c r="AI567">
        <f>MONTH(vp.data[[#This Row],[SDate]])</f>
        <v>1</v>
      </c>
      <c r="AJ567" s="5">
        <f>(vp.data[[#This Row],[VP]]-INDEX(crudeBD.lkup[Mean_VP],MATCH(vp.data[[#This Row],[Crude_Breakdown]],crudeBD.lkup[Crude Breakdown],0)))^2</f>
        <v>50.534509777872735</v>
      </c>
      <c r="AK567" s="5">
        <f>(vp.data[[#This Row],[Dens]]-INDEX(crudeBD.lkup[Mean_Dens],MATCH(vp.data[[#This Row],[Crude_Breakdown]],crudeBD.lkup[Crude Breakdown],0)))^2</f>
        <v>12.369361515572679</v>
      </c>
      <c r="AL567" s="5">
        <f>(vp.data[[#This Row],[Sulf]]-INDEX(crudeBD.lkup[Mean_Sulf],MATCH(vp.data[[#This Row],[Crude_Breakdown]],crudeBD.lkup[Crude Breakdown],0)))^2</f>
        <v>5.4192517062491181E-3</v>
      </c>
      <c r="AM567" s="4">
        <f>IF(AND(vp.data[[#This Row],[SDate]]&gt;=DATE(YEAR(vp.data[[#This Row],[SDate]]),5,1),vp.data[[#This Row],[SDate]]&lt;=DATE(YEAR(vp.data[[#This Row],[SDate]]),9,15)),1,0)</f>
        <v>0</v>
      </c>
      <c r="AN567" s="4">
        <f>IF(vp.data[[#This Row],[SDate]]&lt;DATE(2016,12,1),0,1)</f>
        <v>1</v>
      </c>
      <c r="AO567" s="4">
        <f>IFERROR(vp.data[[#This Row],[Sulf]]*vp.data[[#This Row],[Net Dens]],"")</f>
        <v>4999591.5784920007</v>
      </c>
      <c r="AP567">
        <f>IFERROR(vp.data[[#This Row],[Dens]]*vp.data[[#This Row],[VolumeM3]],"")</f>
        <v>2109532.3116000001</v>
      </c>
      <c r="AQ567" s="15">
        <f>IFERROR(vp.data[[#This Row],[VP]]*vp.data[[#This Row],[VolumeM3]],"")</f>
        <v>150836.52359999999</v>
      </c>
    </row>
    <row r="568" spans="1:43" x14ac:dyDescent="0.25">
      <c r="A568">
        <v>567</v>
      </c>
      <c r="B568" t="s">
        <v>51</v>
      </c>
      <c r="C568" t="s">
        <v>51</v>
      </c>
      <c r="D568" t="s">
        <v>122</v>
      </c>
      <c r="F568" s="1">
        <v>42746</v>
      </c>
      <c r="G568" s="2">
        <v>56.3</v>
      </c>
      <c r="H568" s="2"/>
      <c r="I568" s="2">
        <f t="array" ref="I568">_xlfn.IFNA(IF(vp.data[[#This Row],[Sulf Input]]="",INDEX([1]DATA!$Q$3:$Q$9826,MATCH(1,(vp.data[[#This Row],[Battery]]=[1]DATA!$L$3:$L$9826)*(EOMONTH(vp.data[[#This Row],[SDate]],-1)+1=[1]DATA!$G$3:$G$9826),0)),vp.data[[#This Row],[Sulf Input]]),"")</f>
        <v>1.17</v>
      </c>
      <c r="J568" s="2">
        <v>16.100000000000001</v>
      </c>
      <c r="K568" s="2">
        <v>-28</v>
      </c>
      <c r="L568" s="2"/>
      <c r="M568" s="2">
        <f t="array" ref="M568">_xlfn.IFNA(IF(vp.data[[#This Row],[Dens Input]]="",INDEX([1]DATA!$O$3:$O$9826,MATCH(1,(vp.data[[#This Row],[Battery]]=[1]DATA!$L$3:$L$9826)*(EOMONTH(vp.data[[#This Row],[SDate]],-1)+1=[1]DATA!$G$3:$G$9826),0)),vp.data[[#This Row],[Dens Input]]),"")</f>
        <v>847.7</v>
      </c>
      <c r="N568" s="2">
        <f ca="1">INDEX(INDIRECT(_xlfn.CONCAT("weather.tbl[",N$1,"]")),MATCH(vp.data[[#This Row],[SDate]],weather.tbl[Date],0))</f>
        <v>-22.516666666666666</v>
      </c>
      <c r="O568" s="2">
        <f ca="1">INDEX(INDIRECT(_xlfn.CONCAT("weather.tbl[",O$1,"]")),MATCH(vp.data[[#This Row],[SDate]],weather.tbl[Date],0))</f>
        <v>-22.078571428571429</v>
      </c>
      <c r="P568" s="2">
        <f ca="1">INDEX(INDIRECT(_xlfn.CONCAT("weather.tbl[",P$1,"]")),MATCH(vp.data[[#This Row],[SDate]],weather.tbl[Date],0))</f>
        <v>-24.4</v>
      </c>
      <c r="Q568" s="2">
        <f ca="1">INDEX(INDIRECT(_xlfn.CONCAT("weather.tbl[",Q$1,"]")),MATCH(vp.data[[#This Row],[SDate]],weather.tbl[Date],0))</f>
        <v>-19.899999999999999</v>
      </c>
      <c r="R568" s="2">
        <f ca="1">INDEX(INDIRECT(_xlfn.CONCAT("weather.tbl[",R$1,"]")),MATCH(vp.data[[#This Row],[SDate]],weather.tbl[Date],0))</f>
        <v>-23.3</v>
      </c>
      <c r="S568" s="2">
        <f ca="1">INDEX(INDIRECT(_xlfn.CONCAT("weather.tbl[",S$1,"]")),MATCH(vp.data[[#This Row],[SDate]],weather.tbl[Date],0))</f>
        <v>-20.9</v>
      </c>
      <c r="T568" s="2">
        <f ca="1">INDEX(INDIRECT(_xlfn.CONCAT("weather.tbl[",T$1,"]")),MATCH(vp.data[[#This Row],[SDate]],weather.tbl[Date],0))</f>
        <v>-24.1</v>
      </c>
      <c r="U568" s="2">
        <f ca="1">INDEX(INDIRECT(_xlfn.CONCAT("weather.tbl[",U$1,"]")),MATCH(vp.data[[#This Row],[SDate]],weather.tbl[Date],0))</f>
        <v>-22.5</v>
      </c>
      <c r="V568" s="2">
        <f t="array" ref="V5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715.02499999999998</v>
      </c>
      <c r="W568" t="s">
        <v>48</v>
      </c>
      <c r="X568">
        <f>IF(OR(vp.data[[#This Row],[Sulf]]="",vp.data[[#This Row],[Dens]]=""),1,0)</f>
        <v>0</v>
      </c>
      <c r="Y568">
        <f>IF(vp.data[[#This Row],[CrudeType]]="C5+",1,0)</f>
        <v>0</v>
      </c>
      <c r="Z568">
        <f>IF(AND(vp.data[[#This Row],[CrudeType]]="Crude",vp.data[[#This Row],[Dens]]&lt;=825,vp.data[[#This Row],[Sulf]]&gt;0.5,vp.data[[#This Row],[Unknown]]=0),1,0)</f>
        <v>0</v>
      </c>
      <c r="AA568">
        <f>IF(AND(vp.data[[#This Row],[CrudeType]]="Crude",vp.data[[#This Row],[Dens]]&lt;=825,vp.data[[#This Row],[Sulf]]&lt;=0.5,vp.data[[#This Row],[Unknown]]=0),1,0)</f>
        <v>0</v>
      </c>
      <c r="AB5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8">
        <f>IF(AND(vp.data[[#This Row],[CrudeType]]="Crude",vp.data[[#This Row],[Dens]]&gt;825,vp.data[[#This Row],[Dens]]&lt;=900,vp.data[[#This Row],[Sulf]]&lt;=0.5,vp.data[[#This Row],[Unknown]]=0),1,0)</f>
        <v>0</v>
      </c>
      <c r="AD568">
        <f>IF(AND(vp.data[[#This Row],[CrudeType]]="Crude",vp.data[[#This Row],[Dens]]&gt;865,vp.data[[#This Row],[Dens]]&lt;=900,vp.data[[#This Row],[Sulf]]&gt;2,vp.data[[#This Row],[Unknown]]=0),1,0)</f>
        <v>0</v>
      </c>
      <c r="AE568">
        <f>IF(AND(vp.data[[#This Row],[CrudeType]]="Crude",vp.data[[#This Row],[Dens]]&gt;900,vp.data[[#This Row],[Sulf]]&lt;=0.5,vp.data[[#This Row],[Unknown]]=0),1,0)</f>
        <v>0</v>
      </c>
      <c r="AF568">
        <f>IF(AND(vp.data[[#This Row],[CrudeType]]="Crude",vp.data[[#This Row],[Dens]]&gt;900,vp.data[[#This Row],[Sulf]]&lt;=0.5,vp.data[[#This Row],[Unknown]]=0),1,0)</f>
        <v>0</v>
      </c>
      <c r="AG568" t="str">
        <f>INDEX(vp.data[[#Headers],[Unknown]:[Heavy_SW]],MATCH(1,vp.data[[#This Row],[Unknown]:[Heavy_SW]],0))</f>
        <v>Medium_LSB</v>
      </c>
      <c r="AH568">
        <f>INDEX([3]!crudeBD.lkup[Number],MATCH(vp.data[[#This Row],[Crude_Breakdown]],crudeBD.lkup[Crude Breakdown],0))</f>
        <v>3</v>
      </c>
      <c r="AI568">
        <f>MONTH(vp.data[[#This Row],[SDate]])</f>
        <v>1</v>
      </c>
      <c r="AJ568" s="5">
        <f>(vp.data[[#This Row],[VP]]-INDEX(crudeBD.lkup[Mean_VP],MATCH(vp.data[[#This Row],[Crude_Breakdown]],crudeBD.lkup[Crude Breakdown],0)))^2</f>
        <v>592.41985455205599</v>
      </c>
      <c r="AK568" s="5">
        <f>(vp.data[[#This Row],[Dens]]-INDEX(crudeBD.lkup[Mean_Dens],MATCH(vp.data[[#This Row],[Crude_Breakdown]],crudeBD.lkup[Crude Breakdown],0)))^2</f>
        <v>14.28840000000409</v>
      </c>
      <c r="AL568" s="5">
        <f>(vp.data[[#This Row],[Sulf]]-INDEX(crudeBD.lkup[Mean_Sulf],MATCH(vp.data[[#This Row],[Crude_Breakdown]],crudeBD.lkup[Crude Breakdown],0)))^2</f>
        <v>4.6400661041784932E-2</v>
      </c>
      <c r="AM568" s="4">
        <f>IF(AND(vp.data[[#This Row],[SDate]]&gt;=DATE(YEAR(vp.data[[#This Row],[SDate]]),5,1),vp.data[[#This Row],[SDate]]&lt;=DATE(YEAR(vp.data[[#This Row],[SDate]]),9,15)),1,0)</f>
        <v>0</v>
      </c>
      <c r="AN568" s="4">
        <f>IF(vp.data[[#This Row],[SDate]]&lt;DATE(2016,12,1),0,1)</f>
        <v>1</v>
      </c>
      <c r="AO568" s="4">
        <f>IFERROR(vp.data[[#This Row],[Sulf]]*vp.data[[#This Row],[Net Dens]],"")</f>
        <v>709168.23022499995</v>
      </c>
      <c r="AP568">
        <f>IFERROR(vp.data[[#This Row],[Dens]]*vp.data[[#This Row],[VolumeM3]],"")</f>
        <v>606126.6925</v>
      </c>
      <c r="AQ568" s="15">
        <f>IFERROR(vp.data[[#This Row],[VP]]*vp.data[[#This Row],[VolumeM3]],"")</f>
        <v>40255.907499999994</v>
      </c>
    </row>
    <row r="569" spans="1:43" x14ac:dyDescent="0.25">
      <c r="A569">
        <v>568</v>
      </c>
      <c r="B569" t="s">
        <v>60</v>
      </c>
      <c r="C569" t="s">
        <v>60</v>
      </c>
      <c r="D569" t="s">
        <v>61</v>
      </c>
      <c r="E569" t="s">
        <v>73</v>
      </c>
      <c r="F569" s="1">
        <v>42748</v>
      </c>
      <c r="G569" s="2">
        <v>83.9</v>
      </c>
      <c r="H569" s="2"/>
      <c r="I569" s="2">
        <f t="array" ref="I569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569" s="2">
        <v>3</v>
      </c>
      <c r="K569" s="2">
        <v>-30</v>
      </c>
      <c r="L569" s="2">
        <v>840</v>
      </c>
      <c r="M569" s="2">
        <f t="array" ref="M569">_xlfn.IFNA(IF(vp.data[[#This Row],[Dens Input]]="",INDEX([1]DATA!$O$3:$O$9826,MATCH(1,(vp.data[[#This Row],[Battery]]=[1]DATA!$L$3:$L$9826)*(EOMONTH(vp.data[[#This Row],[SDate]],-1)+1=[1]DATA!$G$3:$G$9826),0)),vp.data[[#This Row],[Dens Input]]),"")</f>
        <v>840</v>
      </c>
      <c r="N569" s="2">
        <f ca="1">INDEX(INDIRECT(_xlfn.CONCAT("weather.tbl[",N$1,"]")),MATCH(vp.data[[#This Row],[SDate]],weather.tbl[Date],0))</f>
        <v>-23.633333333333336</v>
      </c>
      <c r="O569" s="2">
        <f ca="1">INDEX(INDIRECT(_xlfn.CONCAT("weather.tbl[",O$1,"]")),MATCH(vp.data[[#This Row],[SDate]],weather.tbl[Date],0))</f>
        <v>-22.773809523809522</v>
      </c>
      <c r="P569" s="2">
        <f ca="1">INDEX(INDIRECT(_xlfn.CONCAT("weather.tbl[",P$1,"]")),MATCH(vp.data[[#This Row],[SDate]],weather.tbl[Date],0))</f>
        <v>-24</v>
      </c>
      <c r="Q569" s="2">
        <f ca="1">INDEX(INDIRECT(_xlfn.CONCAT("weather.tbl[",Q$1,"]")),MATCH(vp.data[[#This Row],[SDate]],weather.tbl[Date],0))</f>
        <v>-21.3</v>
      </c>
      <c r="R569" s="2">
        <f ca="1">INDEX(INDIRECT(_xlfn.CONCAT("weather.tbl[",R$1,"]")),MATCH(vp.data[[#This Row],[SDate]],weather.tbl[Date],0))</f>
        <v>-26.5</v>
      </c>
      <c r="S569" s="2">
        <f ca="1">INDEX(INDIRECT(_xlfn.CONCAT("weather.tbl[",S$1,"]")),MATCH(vp.data[[#This Row],[SDate]],weather.tbl[Date],0))</f>
        <v>-20.6</v>
      </c>
      <c r="T569" s="2">
        <f ca="1">INDEX(INDIRECT(_xlfn.CONCAT("weather.tbl[",T$1,"]")),MATCH(vp.data[[#This Row],[SDate]],weather.tbl[Date],0))</f>
        <v>-25.6</v>
      </c>
      <c r="U569" s="2">
        <f ca="1">INDEX(INDIRECT(_xlfn.CONCAT("weather.tbl[",U$1,"]")),MATCH(vp.data[[#This Row],[SDate]],weather.tbl[Date],0))</f>
        <v>-23.8</v>
      </c>
      <c r="V569" s="2">
        <f t="array" ref="V5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569" t="s">
        <v>48</v>
      </c>
      <c r="X569">
        <f>IF(OR(vp.data[[#This Row],[Sulf]]="",vp.data[[#This Row],[Dens]]=""),1,0)</f>
        <v>0</v>
      </c>
      <c r="Y569">
        <f>IF(vp.data[[#This Row],[CrudeType]]="C5+",1,0)</f>
        <v>0</v>
      </c>
      <c r="Z569">
        <f>IF(AND(vp.data[[#This Row],[CrudeType]]="Crude",vp.data[[#This Row],[Dens]]&lt;=825,vp.data[[#This Row],[Sulf]]&gt;0.5,vp.data[[#This Row],[Unknown]]=0),1,0)</f>
        <v>0</v>
      </c>
      <c r="AA569">
        <f>IF(AND(vp.data[[#This Row],[CrudeType]]="Crude",vp.data[[#This Row],[Dens]]&lt;=825,vp.data[[#This Row],[Sulf]]&lt;=0.5,vp.data[[#This Row],[Unknown]]=0),1,0)</f>
        <v>0</v>
      </c>
      <c r="AB5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69">
        <f>IF(AND(vp.data[[#This Row],[CrudeType]]="Crude",vp.data[[#This Row],[Dens]]&gt;825,vp.data[[#This Row],[Dens]]&lt;=900,vp.data[[#This Row],[Sulf]]&lt;=0.5,vp.data[[#This Row],[Unknown]]=0),1,0)</f>
        <v>0</v>
      </c>
      <c r="AD569">
        <f>IF(AND(vp.data[[#This Row],[CrudeType]]="Crude",vp.data[[#This Row],[Dens]]&gt;865,vp.data[[#This Row],[Dens]]&lt;=900,vp.data[[#This Row],[Sulf]]&gt;2,vp.data[[#This Row],[Unknown]]=0),1,0)</f>
        <v>0</v>
      </c>
      <c r="AE569">
        <f>IF(AND(vp.data[[#This Row],[CrudeType]]="Crude",vp.data[[#This Row],[Dens]]&gt;900,vp.data[[#This Row],[Sulf]]&lt;=0.5,vp.data[[#This Row],[Unknown]]=0),1,0)</f>
        <v>0</v>
      </c>
      <c r="AF569">
        <f>IF(AND(vp.data[[#This Row],[CrudeType]]="Crude",vp.data[[#This Row],[Dens]]&gt;900,vp.data[[#This Row],[Sulf]]&lt;=0.5,vp.data[[#This Row],[Unknown]]=0),1,0)</f>
        <v>0</v>
      </c>
      <c r="AG569" t="str">
        <f>INDEX(vp.data[[#Headers],[Unknown]:[Heavy_SW]],MATCH(1,vp.data[[#This Row],[Unknown]:[Heavy_SW]],0))</f>
        <v>Medium_LSB</v>
      </c>
      <c r="AH569">
        <f>INDEX([3]!crudeBD.lkup[Number],MATCH(vp.data[[#This Row],[Crude_Breakdown]],crudeBD.lkup[Crude Breakdown],0))</f>
        <v>3</v>
      </c>
      <c r="AI569">
        <f>MONTH(vp.data[[#This Row],[SDate]])</f>
        <v>1</v>
      </c>
      <c r="AJ569" s="5">
        <f>(vp.data[[#This Row],[VP]]-INDEX(crudeBD.lkup[Mean_VP],MATCH(vp.data[[#This Row],[Crude_Breakdown]],crudeBD.lkup[Crude Breakdown],0)))^2</f>
        <v>10.629708999499199</v>
      </c>
      <c r="AK569" s="5">
        <f>(vp.data[[#This Row],[Dens]]-INDEX(crudeBD.lkup[Mean_Dens],MATCH(vp.data[[#This Row],[Crude_Breakdown]],crudeBD.lkup[Crude Breakdown],0)))^2</f>
        <v>15.366399999996114</v>
      </c>
      <c r="AL569" s="5">
        <f>(vp.data[[#This Row],[Sulf]]-INDEX(crudeBD.lkup[Mean_Sulf],MATCH(vp.data[[#This Row],[Crude_Breakdown]],crudeBD.lkup[Crude Breakdown],0)))^2</f>
        <v>2.4151685839628387E-2</v>
      </c>
      <c r="AM569" s="4">
        <f>IF(AND(vp.data[[#This Row],[SDate]]&gt;=DATE(YEAR(vp.data[[#This Row],[SDate]]),5,1),vp.data[[#This Row],[SDate]]&lt;=DATE(YEAR(vp.data[[#This Row],[SDate]]),9,15)),1,0)</f>
        <v>0</v>
      </c>
      <c r="AN569" s="4">
        <f>IF(vp.data[[#This Row],[SDate]]&lt;DATE(2016,12,1),0,1)</f>
        <v>1</v>
      </c>
      <c r="AO569" s="4">
        <f>IFERROR(vp.data[[#This Row],[Sulf]]*vp.data[[#This Row],[Net Dens]],"")</f>
        <v>108626663.98079999</v>
      </c>
      <c r="AP569">
        <f>IFERROR(vp.data[[#This Row],[Dens]]*vp.data[[#This Row],[VolumeM3]],"")</f>
        <v>88314360.959999993</v>
      </c>
      <c r="AQ569" s="15">
        <f>IFERROR(vp.data[[#This Row],[VP]]*vp.data[[#This Row],[VolumeM3]],"")</f>
        <v>8820922.4816000015</v>
      </c>
    </row>
    <row r="570" spans="1:43" x14ac:dyDescent="0.25">
      <c r="A570">
        <v>569</v>
      </c>
      <c r="B570" t="s">
        <v>96</v>
      </c>
      <c r="C570" t="s">
        <v>96</v>
      </c>
      <c r="D570" t="s">
        <v>97</v>
      </c>
      <c r="F570" s="1">
        <v>42748</v>
      </c>
      <c r="G570" s="2">
        <v>92</v>
      </c>
      <c r="H570" s="2"/>
      <c r="I570" s="2">
        <f t="array" ref="I570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570" s="2">
        <v>22</v>
      </c>
      <c r="K570" s="2">
        <v>-30</v>
      </c>
      <c r="L570" s="2">
        <v>821.1</v>
      </c>
      <c r="M570" s="2">
        <f t="array" ref="M570">_xlfn.IFNA(IF(vp.data[[#This Row],[Dens Input]]="",INDEX([1]DATA!$O$3:$O$9826,MATCH(1,(vp.data[[#This Row],[Battery]]=[1]DATA!$L$3:$L$9826)*(EOMONTH(vp.data[[#This Row],[SDate]],-1)+1=[1]DATA!$G$3:$G$9826),0)),vp.data[[#This Row],[Dens Input]]),"")</f>
        <v>821.1</v>
      </c>
      <c r="N570" s="2">
        <f ca="1">INDEX(INDIRECT(_xlfn.CONCAT("weather.tbl[",N$1,"]")),MATCH(vp.data[[#This Row],[SDate]],weather.tbl[Date],0))</f>
        <v>-23.633333333333336</v>
      </c>
      <c r="O570" s="2">
        <f ca="1">INDEX(INDIRECT(_xlfn.CONCAT("weather.tbl[",O$1,"]")),MATCH(vp.data[[#This Row],[SDate]],weather.tbl[Date],0))</f>
        <v>-22.773809523809522</v>
      </c>
      <c r="P570" s="2">
        <f ca="1">INDEX(INDIRECT(_xlfn.CONCAT("weather.tbl[",P$1,"]")),MATCH(vp.data[[#This Row],[SDate]],weather.tbl[Date],0))</f>
        <v>-24</v>
      </c>
      <c r="Q570" s="2">
        <f ca="1">INDEX(INDIRECT(_xlfn.CONCAT("weather.tbl[",Q$1,"]")),MATCH(vp.data[[#This Row],[SDate]],weather.tbl[Date],0))</f>
        <v>-21.3</v>
      </c>
      <c r="R570" s="2">
        <f ca="1">INDEX(INDIRECT(_xlfn.CONCAT("weather.tbl[",R$1,"]")),MATCH(vp.data[[#This Row],[SDate]],weather.tbl[Date],0))</f>
        <v>-26.5</v>
      </c>
      <c r="S570" s="2">
        <f ca="1">INDEX(INDIRECT(_xlfn.CONCAT("weather.tbl[",S$1,"]")),MATCH(vp.data[[#This Row],[SDate]],weather.tbl[Date],0))</f>
        <v>-20.6</v>
      </c>
      <c r="T570" s="2">
        <f ca="1">INDEX(INDIRECT(_xlfn.CONCAT("weather.tbl[",T$1,"]")),MATCH(vp.data[[#This Row],[SDate]],weather.tbl[Date],0))</f>
        <v>-25.6</v>
      </c>
      <c r="U570" s="2">
        <f ca="1">INDEX(INDIRECT(_xlfn.CONCAT("weather.tbl[",U$1,"]")),MATCH(vp.data[[#This Row],[SDate]],weather.tbl[Date],0))</f>
        <v>-23.8</v>
      </c>
      <c r="V570" s="2">
        <f t="array" ref="V5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8927.0429999999997</v>
      </c>
      <c r="W570" t="s">
        <v>48</v>
      </c>
      <c r="X570">
        <f>IF(OR(vp.data[[#This Row],[Sulf]]="",vp.data[[#This Row],[Dens]]=""),1,0)</f>
        <v>0</v>
      </c>
      <c r="Y570">
        <f>IF(vp.data[[#This Row],[CrudeType]]="C5+",1,0)</f>
        <v>0</v>
      </c>
      <c r="Z570">
        <f>IF(AND(vp.data[[#This Row],[CrudeType]]="Crude",vp.data[[#This Row],[Dens]]&lt;=825,vp.data[[#This Row],[Sulf]]&gt;0.5,vp.data[[#This Row],[Unknown]]=0),1,0)</f>
        <v>1</v>
      </c>
      <c r="AA570">
        <f>IF(AND(vp.data[[#This Row],[CrudeType]]="Crude",vp.data[[#This Row],[Dens]]&lt;=825,vp.data[[#This Row],[Sulf]]&lt;=0.5,vp.data[[#This Row],[Unknown]]=0),1,0)</f>
        <v>0</v>
      </c>
      <c r="AB5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70">
        <f>IF(AND(vp.data[[#This Row],[CrudeType]]="Crude",vp.data[[#This Row],[Dens]]&gt;825,vp.data[[#This Row],[Dens]]&lt;=900,vp.data[[#This Row],[Sulf]]&lt;=0.5,vp.data[[#This Row],[Unknown]]=0),1,0)</f>
        <v>0</v>
      </c>
      <c r="AD570">
        <f>IF(AND(vp.data[[#This Row],[CrudeType]]="Crude",vp.data[[#This Row],[Dens]]&gt;865,vp.data[[#This Row],[Dens]]&lt;=900,vp.data[[#This Row],[Sulf]]&gt;2,vp.data[[#This Row],[Unknown]]=0),1,0)</f>
        <v>0</v>
      </c>
      <c r="AE570">
        <f>IF(AND(vp.data[[#This Row],[CrudeType]]="Crude",vp.data[[#This Row],[Dens]]&gt;900,vp.data[[#This Row],[Sulf]]&lt;=0.5,vp.data[[#This Row],[Unknown]]=0),1,0)</f>
        <v>0</v>
      </c>
      <c r="AF570">
        <f>IF(AND(vp.data[[#This Row],[CrudeType]]="Crude",vp.data[[#This Row],[Dens]]&gt;900,vp.data[[#This Row],[Sulf]]&lt;=0.5,vp.data[[#This Row],[Unknown]]=0),1,0)</f>
        <v>0</v>
      </c>
      <c r="AG570" t="str">
        <f>INDEX(vp.data[[#Headers],[Unknown]:[Heavy_SW]],MATCH(1,vp.data[[#This Row],[Unknown]:[Heavy_SW]],0))</f>
        <v>Light_LSB</v>
      </c>
      <c r="AH570">
        <f>INDEX([3]!crudeBD.lkup[Number],MATCH(vp.data[[#This Row],[Crude_Breakdown]],crudeBD.lkup[Crude Breakdown],0))</f>
        <v>1</v>
      </c>
      <c r="AI570">
        <f>MONTH(vp.data[[#This Row],[SDate]])</f>
        <v>1</v>
      </c>
      <c r="AJ570" s="5">
        <f>(vp.data[[#This Row],[VP]]-INDEX(crudeBD.lkup[Mean_VP],MATCH(vp.data[[#This Row],[Crude_Breakdown]],crudeBD.lkup[Crude Breakdown],0)))^2</f>
        <v>0.20594753958972625</v>
      </c>
      <c r="AK570" s="5">
        <f>(vp.data[[#This Row],[Dens]]-INDEX(crudeBD.lkup[Mean_Dens],MATCH(vp.data[[#This Row],[Crude_Breakdown]],crudeBD.lkup[Crude Breakdown],0)))^2</f>
        <v>6.6730784756928632</v>
      </c>
      <c r="AL570" s="5">
        <f>(vp.data[[#This Row],[Sulf]]-INDEX(crudeBD.lkup[Mean_Sulf],MATCH(vp.data[[#This Row],[Crude_Breakdown]],crudeBD.lkup[Crude Breakdown],0)))^2</f>
        <v>1.768133162163996E-2</v>
      </c>
      <c r="AM570" s="4">
        <f>IF(AND(vp.data[[#This Row],[SDate]]&gt;=DATE(YEAR(vp.data[[#This Row],[SDate]]),5,1),vp.data[[#This Row],[SDate]]&lt;=DATE(YEAR(vp.data[[#This Row],[SDate]]),9,15)),1,0)</f>
        <v>0</v>
      </c>
      <c r="AN570" s="4">
        <f>IF(vp.data[[#This Row],[SDate]]&lt;DATE(2016,12,1),0,1)</f>
        <v>1</v>
      </c>
      <c r="AO570" s="4">
        <f>IFERROR(vp.data[[#This Row],[Sulf]]*vp.data[[#This Row],[Net Dens]],"")</f>
        <v>5790696.0557669997</v>
      </c>
      <c r="AP570">
        <f>IFERROR(vp.data[[#This Row],[Dens]]*vp.data[[#This Row],[VolumeM3]],"")</f>
        <v>7329995.0072999997</v>
      </c>
      <c r="AQ570" s="15">
        <f>IFERROR(vp.data[[#This Row],[VP]]*vp.data[[#This Row],[VolumeM3]],"")</f>
        <v>821287.95600000001</v>
      </c>
    </row>
    <row r="571" spans="1:43" x14ac:dyDescent="0.25">
      <c r="A571">
        <v>570</v>
      </c>
      <c r="B571" t="s">
        <v>51</v>
      </c>
      <c r="C571" t="s">
        <v>51</v>
      </c>
      <c r="D571" t="s">
        <v>66</v>
      </c>
      <c r="F571" s="1">
        <v>42748</v>
      </c>
      <c r="G571" s="2">
        <v>93.6</v>
      </c>
      <c r="H571" s="2"/>
      <c r="I571" s="2">
        <f t="array" ref="I571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571" s="2">
        <v>-14</v>
      </c>
      <c r="K571" s="2">
        <v>-30</v>
      </c>
      <c r="L571" s="2">
        <v>827.1</v>
      </c>
      <c r="M571" s="2">
        <f t="array" ref="M571">_xlfn.IFNA(IF(vp.data[[#This Row],[Dens Input]]="",INDEX([1]DATA!$O$3:$O$9826,MATCH(1,(vp.data[[#This Row],[Battery]]=[1]DATA!$L$3:$L$9826)*(EOMONTH(vp.data[[#This Row],[SDate]],-1)+1=[1]DATA!$G$3:$G$9826),0)),vp.data[[#This Row],[Dens Input]]),"")</f>
        <v>827.1</v>
      </c>
      <c r="N571" s="2">
        <f ca="1">INDEX(INDIRECT(_xlfn.CONCAT("weather.tbl[",N$1,"]")),MATCH(vp.data[[#This Row],[SDate]],weather.tbl[Date],0))</f>
        <v>-23.633333333333336</v>
      </c>
      <c r="O571" s="2">
        <f ca="1">INDEX(INDIRECT(_xlfn.CONCAT("weather.tbl[",O$1,"]")),MATCH(vp.data[[#This Row],[SDate]],weather.tbl[Date],0))</f>
        <v>-22.773809523809522</v>
      </c>
      <c r="P571" s="2">
        <f ca="1">INDEX(INDIRECT(_xlfn.CONCAT("weather.tbl[",P$1,"]")),MATCH(vp.data[[#This Row],[SDate]],weather.tbl[Date],0))</f>
        <v>-24</v>
      </c>
      <c r="Q571" s="2">
        <f ca="1">INDEX(INDIRECT(_xlfn.CONCAT("weather.tbl[",Q$1,"]")),MATCH(vp.data[[#This Row],[SDate]],weather.tbl[Date],0))</f>
        <v>-21.3</v>
      </c>
      <c r="R571" s="2">
        <f ca="1">INDEX(INDIRECT(_xlfn.CONCAT("weather.tbl[",R$1,"]")),MATCH(vp.data[[#This Row],[SDate]],weather.tbl[Date],0))</f>
        <v>-26.5</v>
      </c>
      <c r="S571" s="2">
        <f ca="1">INDEX(INDIRECT(_xlfn.CONCAT("weather.tbl[",S$1,"]")),MATCH(vp.data[[#This Row],[SDate]],weather.tbl[Date],0))</f>
        <v>-20.6</v>
      </c>
      <c r="T571" s="2">
        <f ca="1">INDEX(INDIRECT(_xlfn.CONCAT("weather.tbl[",T$1,"]")),MATCH(vp.data[[#This Row],[SDate]],weather.tbl[Date],0))</f>
        <v>-25.6</v>
      </c>
      <c r="U571" s="2">
        <f ca="1">INDEX(INDIRECT(_xlfn.CONCAT("weather.tbl[",U$1,"]")),MATCH(vp.data[[#This Row],[SDate]],weather.tbl[Date],0))</f>
        <v>-23.8</v>
      </c>
      <c r="V571" s="2">
        <f t="array" ref="V5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3297.86</v>
      </c>
      <c r="W571" t="s">
        <v>48</v>
      </c>
      <c r="X571">
        <f>IF(OR(vp.data[[#This Row],[Sulf]]="",vp.data[[#This Row],[Dens]]=""),1,0)</f>
        <v>0</v>
      </c>
      <c r="Y571">
        <f>IF(vp.data[[#This Row],[CrudeType]]="C5+",1,0)</f>
        <v>0</v>
      </c>
      <c r="Z571">
        <f>IF(AND(vp.data[[#This Row],[CrudeType]]="Crude",vp.data[[#This Row],[Dens]]&lt;=825,vp.data[[#This Row],[Sulf]]&gt;0.5,vp.data[[#This Row],[Unknown]]=0),1,0)</f>
        <v>0</v>
      </c>
      <c r="AA571">
        <f>IF(AND(vp.data[[#This Row],[CrudeType]]="Crude",vp.data[[#This Row],[Dens]]&lt;=825,vp.data[[#This Row],[Sulf]]&lt;=0.5,vp.data[[#This Row],[Unknown]]=0),1,0)</f>
        <v>0</v>
      </c>
      <c r="AB5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1">
        <f>IF(AND(vp.data[[#This Row],[CrudeType]]="Crude",vp.data[[#This Row],[Dens]]&gt;825,vp.data[[#This Row],[Dens]]&lt;=900,vp.data[[#This Row],[Sulf]]&lt;=0.5,vp.data[[#This Row],[Unknown]]=0),1,0)</f>
        <v>0</v>
      </c>
      <c r="AD571">
        <f>IF(AND(vp.data[[#This Row],[CrudeType]]="Crude",vp.data[[#This Row],[Dens]]&gt;865,vp.data[[#This Row],[Dens]]&lt;=900,vp.data[[#This Row],[Sulf]]&gt;2,vp.data[[#This Row],[Unknown]]=0),1,0)</f>
        <v>0</v>
      </c>
      <c r="AE571">
        <f>IF(AND(vp.data[[#This Row],[CrudeType]]="Crude",vp.data[[#This Row],[Dens]]&gt;900,vp.data[[#This Row],[Sulf]]&lt;=0.5,vp.data[[#This Row],[Unknown]]=0),1,0)</f>
        <v>0</v>
      </c>
      <c r="AF571">
        <f>IF(AND(vp.data[[#This Row],[CrudeType]]="Crude",vp.data[[#This Row],[Dens]]&gt;900,vp.data[[#This Row],[Sulf]]&lt;=0.5,vp.data[[#This Row],[Unknown]]=0),1,0)</f>
        <v>0</v>
      </c>
      <c r="AG571" t="str">
        <f>INDEX(vp.data[[#Headers],[Unknown]:[Heavy_SW]],MATCH(1,vp.data[[#This Row],[Unknown]:[Heavy_SW]],0))</f>
        <v>Medium_LSB</v>
      </c>
      <c r="AH571">
        <f>INDEX([3]!crudeBD.lkup[Number],MATCH(vp.data[[#This Row],[Crude_Breakdown]],crudeBD.lkup[Crude Breakdown],0))</f>
        <v>3</v>
      </c>
      <c r="AI571">
        <f>MONTH(vp.data[[#This Row],[SDate]])</f>
        <v>1</v>
      </c>
      <c r="AJ571" s="5">
        <f>(vp.data[[#This Row],[VP]]-INDEX(crudeBD.lkup[Mean_VP],MATCH(vp.data[[#This Row],[Crude_Breakdown]],crudeBD.lkup[Crude Breakdown],0)))^2</f>
        <v>167.96998393211496</v>
      </c>
      <c r="AK571" s="5">
        <f>(vp.data[[#This Row],[Dens]]-INDEX(crudeBD.lkup[Mean_Dens],MATCH(vp.data[[#This Row],[Crude_Breakdown]],crudeBD.lkup[Crude Breakdown],0)))^2</f>
        <v>282.91239999998254</v>
      </c>
      <c r="AL571" s="5">
        <f>(vp.data[[#This Row],[Sulf]]-INDEX(crudeBD.lkup[Mean_Sulf],MATCH(vp.data[[#This Row],[Crude_Breakdown]],crudeBD.lkup[Crude Breakdown],0)))^2</f>
        <v>5.5033347025611072E-2</v>
      </c>
      <c r="AM571" s="4">
        <f>IF(AND(vp.data[[#This Row],[SDate]]&gt;=DATE(YEAR(vp.data[[#This Row],[SDate]]),5,1),vp.data[[#This Row],[SDate]]&lt;=DATE(YEAR(vp.data[[#This Row],[SDate]]),9,15)),1,0)</f>
        <v>0</v>
      </c>
      <c r="AN571" s="4">
        <f>IF(vp.data[[#This Row],[SDate]]&lt;DATE(2016,12,1),0,1)</f>
        <v>1</v>
      </c>
      <c r="AO571" s="4">
        <f>IFERROR(vp.data[[#This Row],[Sulf]]*vp.data[[#This Row],[Net Dens]],"")</f>
        <v>4418809.2097200006</v>
      </c>
      <c r="AP571">
        <f>IFERROR(vp.data[[#This Row],[Dens]]*vp.data[[#This Row],[VolumeM3]],"")</f>
        <v>2727660.0060000001</v>
      </c>
      <c r="AQ571" s="15">
        <f>IFERROR(vp.data[[#This Row],[VP]]*vp.data[[#This Row],[VolumeM3]],"")</f>
        <v>308679.696</v>
      </c>
    </row>
    <row r="572" spans="1:43" x14ac:dyDescent="0.25">
      <c r="A572">
        <v>571</v>
      </c>
      <c r="B572" t="s">
        <v>49</v>
      </c>
      <c r="C572" t="s">
        <v>49</v>
      </c>
      <c r="D572" t="s">
        <v>70</v>
      </c>
      <c r="F572" s="1">
        <v>42748</v>
      </c>
      <c r="G572" s="2">
        <v>72.599999999999994</v>
      </c>
      <c r="H572" s="2"/>
      <c r="I572" s="2">
        <f t="array" ref="I572">_xlfn.IFNA(IF(vp.data[[#This Row],[Sulf Input]]="",INDEX([1]DATA!$Q$3:$Q$9826,MATCH(1,(vp.data[[#This Row],[Battery]]=[1]DATA!$L$3:$L$9826)*(EOMONTH(vp.data[[#This Row],[SDate]],-1)+1=[1]DATA!$G$3:$G$9826),0)),vp.data[[#This Row],[Sulf Input]]),"")</f>
        <v>1.01</v>
      </c>
      <c r="J572" s="2">
        <v>9</v>
      </c>
      <c r="K572" s="2">
        <v>-30</v>
      </c>
      <c r="L572" s="2">
        <v>828.3</v>
      </c>
      <c r="M572" s="2">
        <f t="array" ref="M572">_xlfn.IFNA(IF(vp.data[[#This Row],[Dens Input]]="",INDEX([1]DATA!$O$3:$O$9826,MATCH(1,(vp.data[[#This Row],[Battery]]=[1]DATA!$L$3:$L$9826)*(EOMONTH(vp.data[[#This Row],[SDate]],-1)+1=[1]DATA!$G$3:$G$9826),0)),vp.data[[#This Row],[Dens Input]]),"")</f>
        <v>828.3</v>
      </c>
      <c r="N572" s="2">
        <f ca="1">INDEX(INDIRECT(_xlfn.CONCAT("weather.tbl[",N$1,"]")),MATCH(vp.data[[#This Row],[SDate]],weather.tbl[Date],0))</f>
        <v>-23.633333333333336</v>
      </c>
      <c r="O572" s="2">
        <f ca="1">INDEX(INDIRECT(_xlfn.CONCAT("weather.tbl[",O$1,"]")),MATCH(vp.data[[#This Row],[SDate]],weather.tbl[Date],0))</f>
        <v>-22.773809523809522</v>
      </c>
      <c r="P572" s="2">
        <f ca="1">INDEX(INDIRECT(_xlfn.CONCAT("weather.tbl[",P$1,"]")),MATCH(vp.data[[#This Row],[SDate]],weather.tbl[Date],0))</f>
        <v>-24</v>
      </c>
      <c r="Q572" s="2">
        <f ca="1">INDEX(INDIRECT(_xlfn.CONCAT("weather.tbl[",Q$1,"]")),MATCH(vp.data[[#This Row],[SDate]],weather.tbl[Date],0))</f>
        <v>-21.3</v>
      </c>
      <c r="R572" s="2">
        <f ca="1">INDEX(INDIRECT(_xlfn.CONCAT("weather.tbl[",R$1,"]")),MATCH(vp.data[[#This Row],[SDate]],weather.tbl[Date],0))</f>
        <v>-26.5</v>
      </c>
      <c r="S572" s="2">
        <f ca="1">INDEX(INDIRECT(_xlfn.CONCAT("weather.tbl[",S$1,"]")),MATCH(vp.data[[#This Row],[SDate]],weather.tbl[Date],0))</f>
        <v>-20.6</v>
      </c>
      <c r="T572" s="2">
        <f ca="1">INDEX(INDIRECT(_xlfn.CONCAT("weather.tbl[",T$1,"]")),MATCH(vp.data[[#This Row],[SDate]],weather.tbl[Date],0))</f>
        <v>-25.6</v>
      </c>
      <c r="U572" s="2">
        <f ca="1">INDEX(INDIRECT(_xlfn.CONCAT("weather.tbl[",U$1,"]")),MATCH(vp.data[[#This Row],[SDate]],weather.tbl[Date],0))</f>
        <v>-23.8</v>
      </c>
      <c r="V572" s="2">
        <f t="array" ref="V5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3332.451</v>
      </c>
      <c r="W572" t="s">
        <v>48</v>
      </c>
      <c r="X572">
        <f>IF(OR(vp.data[[#This Row],[Sulf]]="",vp.data[[#This Row],[Dens]]=""),1,0)</f>
        <v>0</v>
      </c>
      <c r="Y572">
        <f>IF(vp.data[[#This Row],[CrudeType]]="C5+",1,0)</f>
        <v>0</v>
      </c>
      <c r="Z572">
        <f>IF(AND(vp.data[[#This Row],[CrudeType]]="Crude",vp.data[[#This Row],[Dens]]&lt;=825,vp.data[[#This Row],[Sulf]]&gt;0.5,vp.data[[#This Row],[Unknown]]=0),1,0)</f>
        <v>0</v>
      </c>
      <c r="AA572">
        <f>IF(AND(vp.data[[#This Row],[CrudeType]]="Crude",vp.data[[#This Row],[Dens]]&lt;=825,vp.data[[#This Row],[Sulf]]&lt;=0.5,vp.data[[#This Row],[Unknown]]=0),1,0)</f>
        <v>0</v>
      </c>
      <c r="AB5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2">
        <f>IF(AND(vp.data[[#This Row],[CrudeType]]="Crude",vp.data[[#This Row],[Dens]]&gt;825,vp.data[[#This Row],[Dens]]&lt;=900,vp.data[[#This Row],[Sulf]]&lt;=0.5,vp.data[[#This Row],[Unknown]]=0),1,0)</f>
        <v>0</v>
      </c>
      <c r="AD572">
        <f>IF(AND(vp.data[[#This Row],[CrudeType]]="Crude",vp.data[[#This Row],[Dens]]&gt;865,vp.data[[#This Row],[Dens]]&lt;=900,vp.data[[#This Row],[Sulf]]&gt;2,vp.data[[#This Row],[Unknown]]=0),1,0)</f>
        <v>0</v>
      </c>
      <c r="AE572">
        <f>IF(AND(vp.data[[#This Row],[CrudeType]]="Crude",vp.data[[#This Row],[Dens]]&gt;900,vp.data[[#This Row],[Sulf]]&lt;=0.5,vp.data[[#This Row],[Unknown]]=0),1,0)</f>
        <v>0</v>
      </c>
      <c r="AF572">
        <f>IF(AND(vp.data[[#This Row],[CrudeType]]="Crude",vp.data[[#This Row],[Dens]]&gt;900,vp.data[[#This Row],[Sulf]]&lt;=0.5,vp.data[[#This Row],[Unknown]]=0),1,0)</f>
        <v>0</v>
      </c>
      <c r="AG572" t="str">
        <f>INDEX(vp.data[[#Headers],[Unknown]:[Heavy_SW]],MATCH(1,vp.data[[#This Row],[Unknown]:[Heavy_SW]],0))</f>
        <v>Medium_LSB</v>
      </c>
      <c r="AH572">
        <f>INDEX([3]!crudeBD.lkup[Number],MATCH(vp.data[[#This Row],[Crude_Breakdown]],crudeBD.lkup[Crude Breakdown],0))</f>
        <v>3</v>
      </c>
      <c r="AI572">
        <f>MONTH(vp.data[[#This Row],[SDate]])</f>
        <v>1</v>
      </c>
      <c r="AJ572" s="5">
        <f>(vp.data[[#This Row],[VP]]-INDEX(crudeBD.lkup[Mean_VP],MATCH(vp.data[[#This Row],[Crude_Breakdown]],crudeBD.lkup[Crude Breakdown],0)))^2</f>
        <v>64.636399026451812</v>
      </c>
      <c r="AK572" s="5">
        <f>(vp.data[[#This Row],[Dens]]-INDEX(crudeBD.lkup[Mean_Dens],MATCH(vp.data[[#This Row],[Crude_Breakdown]],crudeBD.lkup[Crude Breakdown],0)))^2</f>
        <v>243.98439999998592</v>
      </c>
      <c r="AL572" s="5">
        <f>(vp.data[[#This Row],[Sulf]]-INDEX(crudeBD.lkup[Mean_Sulf],MATCH(vp.data[[#This Row],[Crude_Breakdown]],crudeBD.lkup[Crude Breakdown],0)))^2</f>
        <v>0.14093126158086894</v>
      </c>
      <c r="AM572" s="4">
        <f>IF(AND(vp.data[[#This Row],[SDate]]&gt;=DATE(YEAR(vp.data[[#This Row],[SDate]]),5,1),vp.data[[#This Row],[SDate]]&lt;=DATE(YEAR(vp.data[[#This Row],[SDate]]),9,15)),1,0)</f>
        <v>0</v>
      </c>
      <c r="AN572" s="4">
        <f>IF(vp.data[[#This Row],[SDate]]&lt;DATE(2016,12,1),0,1)</f>
        <v>1</v>
      </c>
      <c r="AO572" s="4">
        <f>IFERROR(vp.data[[#This Row],[Sulf]]*vp.data[[#This Row],[Net Dens]],"")</f>
        <v>2787871.8549329997</v>
      </c>
      <c r="AP572">
        <f>IFERROR(vp.data[[#This Row],[Dens]]*vp.data[[#This Row],[VolumeM3]],"")</f>
        <v>2760269.1632999997</v>
      </c>
      <c r="AQ572" s="15">
        <f>IFERROR(vp.data[[#This Row],[VP]]*vp.data[[#This Row],[VolumeM3]],"")</f>
        <v>241935.94259999998</v>
      </c>
    </row>
    <row r="573" spans="1:43" x14ac:dyDescent="0.25">
      <c r="A573">
        <v>572</v>
      </c>
      <c r="B573" t="s">
        <v>51</v>
      </c>
      <c r="C573" t="s">
        <v>51</v>
      </c>
      <c r="D573" t="s">
        <v>95</v>
      </c>
      <c r="F573" s="1">
        <v>42748</v>
      </c>
      <c r="G573" s="2">
        <v>64.8</v>
      </c>
      <c r="H573" s="2"/>
      <c r="I573" s="2">
        <f t="array" ref="I573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573" s="2">
        <v>32</v>
      </c>
      <c r="K573" s="2">
        <v>-30</v>
      </c>
      <c r="L573" s="2">
        <v>841.1</v>
      </c>
      <c r="M573" s="2">
        <f t="array" ref="M573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573" s="2">
        <f ca="1">INDEX(INDIRECT(_xlfn.CONCAT("weather.tbl[",N$1,"]")),MATCH(vp.data[[#This Row],[SDate]],weather.tbl[Date],0))</f>
        <v>-23.633333333333336</v>
      </c>
      <c r="O573" s="2">
        <f ca="1">INDEX(INDIRECT(_xlfn.CONCAT("weather.tbl[",O$1,"]")),MATCH(vp.data[[#This Row],[SDate]],weather.tbl[Date],0))</f>
        <v>-22.773809523809522</v>
      </c>
      <c r="P573" s="2">
        <f ca="1">INDEX(INDIRECT(_xlfn.CONCAT("weather.tbl[",P$1,"]")),MATCH(vp.data[[#This Row],[SDate]],weather.tbl[Date],0))</f>
        <v>-24</v>
      </c>
      <c r="Q573" s="2">
        <f ca="1">INDEX(INDIRECT(_xlfn.CONCAT("weather.tbl[",Q$1,"]")),MATCH(vp.data[[#This Row],[SDate]],weather.tbl[Date],0))</f>
        <v>-21.3</v>
      </c>
      <c r="R573" s="2">
        <f ca="1">INDEX(INDIRECT(_xlfn.CONCAT("weather.tbl[",R$1,"]")),MATCH(vp.data[[#This Row],[SDate]],weather.tbl[Date],0))</f>
        <v>-26.5</v>
      </c>
      <c r="S573" s="2">
        <f ca="1">INDEX(INDIRECT(_xlfn.CONCAT("weather.tbl[",S$1,"]")),MATCH(vp.data[[#This Row],[SDate]],weather.tbl[Date],0))</f>
        <v>-20.6</v>
      </c>
      <c r="T573" s="2">
        <f ca="1">INDEX(INDIRECT(_xlfn.CONCAT("weather.tbl[",T$1,"]")),MATCH(vp.data[[#This Row],[SDate]],weather.tbl[Date],0))</f>
        <v>-25.6</v>
      </c>
      <c r="U573" s="2">
        <f ca="1">INDEX(INDIRECT(_xlfn.CONCAT("weather.tbl[",U$1,"]")),MATCH(vp.data[[#This Row],[SDate]],weather.tbl[Date],0))</f>
        <v>-23.8</v>
      </c>
      <c r="V573" s="2">
        <f t="array" ref="V5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6182.9449999999997</v>
      </c>
      <c r="W573" t="s">
        <v>48</v>
      </c>
      <c r="X573">
        <f>IF(OR(vp.data[[#This Row],[Sulf]]="",vp.data[[#This Row],[Dens]]=""),1,0)</f>
        <v>0</v>
      </c>
      <c r="Y573">
        <f>IF(vp.data[[#This Row],[CrudeType]]="C5+",1,0)</f>
        <v>0</v>
      </c>
      <c r="Z573">
        <f>IF(AND(vp.data[[#This Row],[CrudeType]]="Crude",vp.data[[#This Row],[Dens]]&lt;=825,vp.data[[#This Row],[Sulf]]&gt;0.5,vp.data[[#This Row],[Unknown]]=0),1,0)</f>
        <v>0</v>
      </c>
      <c r="AA573">
        <f>IF(AND(vp.data[[#This Row],[CrudeType]]="Crude",vp.data[[#This Row],[Dens]]&lt;=825,vp.data[[#This Row],[Sulf]]&lt;=0.5,vp.data[[#This Row],[Unknown]]=0),1,0)</f>
        <v>0</v>
      </c>
      <c r="AB5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3">
        <f>IF(AND(vp.data[[#This Row],[CrudeType]]="Crude",vp.data[[#This Row],[Dens]]&gt;825,vp.data[[#This Row],[Dens]]&lt;=900,vp.data[[#This Row],[Sulf]]&lt;=0.5,vp.data[[#This Row],[Unknown]]=0),1,0)</f>
        <v>0</v>
      </c>
      <c r="AD573">
        <f>IF(AND(vp.data[[#This Row],[CrudeType]]="Crude",vp.data[[#This Row],[Dens]]&gt;865,vp.data[[#This Row],[Dens]]&lt;=900,vp.data[[#This Row],[Sulf]]&gt;2,vp.data[[#This Row],[Unknown]]=0),1,0)</f>
        <v>0</v>
      </c>
      <c r="AE573">
        <f>IF(AND(vp.data[[#This Row],[CrudeType]]="Crude",vp.data[[#This Row],[Dens]]&gt;900,vp.data[[#This Row],[Sulf]]&lt;=0.5,vp.data[[#This Row],[Unknown]]=0),1,0)</f>
        <v>0</v>
      </c>
      <c r="AF573">
        <f>IF(AND(vp.data[[#This Row],[CrudeType]]="Crude",vp.data[[#This Row],[Dens]]&gt;900,vp.data[[#This Row],[Sulf]]&lt;=0.5,vp.data[[#This Row],[Unknown]]=0),1,0)</f>
        <v>0</v>
      </c>
      <c r="AG573" t="str">
        <f>INDEX(vp.data[[#Headers],[Unknown]:[Heavy_SW]],MATCH(1,vp.data[[#This Row],[Unknown]:[Heavy_SW]],0))</f>
        <v>Medium_LSB</v>
      </c>
      <c r="AH573">
        <f>INDEX([3]!crudeBD.lkup[Number],MATCH(vp.data[[#This Row],[Crude_Breakdown]],crudeBD.lkup[Crude Breakdown],0))</f>
        <v>3</v>
      </c>
      <c r="AI573">
        <f>MONTH(vp.data[[#This Row],[SDate]])</f>
        <v>1</v>
      </c>
      <c r="AJ573" s="5">
        <f>(vp.data[[#This Row],[VP]]-INDEX(crudeBD.lkup[Mean_VP],MATCH(vp.data[[#This Row],[Crude_Breakdown]],crudeBD.lkup[Crude Breakdown],0)))^2</f>
        <v>250.89535320434828</v>
      </c>
      <c r="AK573" s="5">
        <f>(vp.data[[#This Row],[Dens]]-INDEX(crudeBD.lkup[Mean_Dens],MATCH(vp.data[[#This Row],[Crude_Breakdown]],crudeBD.lkup[Crude Breakdown],0)))^2</f>
        <v>7.952399999997076</v>
      </c>
      <c r="AL573" s="5">
        <f>(vp.data[[#This Row],[Sulf]]-INDEX(crudeBD.lkup[Mean_Sulf],MATCH(vp.data[[#This Row],[Crude_Breakdown]],crudeBD.lkup[Crude Breakdown],0)))^2</f>
        <v>2.7359848373321144E-2</v>
      </c>
      <c r="AM573" s="4">
        <f>IF(AND(vp.data[[#This Row],[SDate]]&gt;=DATE(YEAR(vp.data[[#This Row],[SDate]]),5,1),vp.data[[#This Row],[SDate]]&lt;=DATE(YEAR(vp.data[[#This Row],[SDate]]),9,15)),1,0)</f>
        <v>0</v>
      </c>
      <c r="AN573" s="4">
        <f>IF(vp.data[[#This Row],[SDate]]&lt;DATE(2016,12,1),0,1)</f>
        <v>1</v>
      </c>
      <c r="AO573" s="4">
        <f>IFERROR(vp.data[[#This Row],[Sulf]]*vp.data[[#This Row],[Net Dens]],"")</f>
        <v>6344579.5481899995</v>
      </c>
      <c r="AP573">
        <f>IFERROR(vp.data[[#This Row],[Dens]]*vp.data[[#This Row],[VolumeM3]],"")</f>
        <v>5200475.0395</v>
      </c>
      <c r="AQ573" s="15">
        <f>IFERROR(vp.data[[#This Row],[VP]]*vp.data[[#This Row],[VolumeM3]],"")</f>
        <v>400654.83599999995</v>
      </c>
    </row>
    <row r="574" spans="1:43" x14ac:dyDescent="0.25">
      <c r="A574">
        <v>573</v>
      </c>
      <c r="B574" t="s">
        <v>68</v>
      </c>
      <c r="C574" t="s">
        <v>68</v>
      </c>
      <c r="D574" t="s">
        <v>123</v>
      </c>
      <c r="F574" s="1">
        <v>42748</v>
      </c>
      <c r="G574" s="2">
        <v>95.6</v>
      </c>
      <c r="H574" s="2"/>
      <c r="I574" s="2">
        <f t="array" ref="I574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574" s="2">
        <v>4</v>
      </c>
      <c r="K574" s="2">
        <v>-30</v>
      </c>
      <c r="L574" s="2"/>
      <c r="M574" s="2">
        <f t="array" ref="M574">_xlfn.IFNA(IF(vp.data[[#This Row],[Dens Input]]="",INDEX([1]DATA!$O$3:$O$9826,MATCH(1,(vp.data[[#This Row],[Battery]]=[1]DATA!$L$3:$L$9826)*(EOMONTH(vp.data[[#This Row],[SDate]],-1)+1=[1]DATA!$G$3:$G$9826),0)),vp.data[[#This Row],[Dens Input]]),"")</f>
        <v>860.1</v>
      </c>
      <c r="N574" s="2">
        <f ca="1">INDEX(INDIRECT(_xlfn.CONCAT("weather.tbl[",N$1,"]")),MATCH(vp.data[[#This Row],[SDate]],weather.tbl[Date],0))</f>
        <v>-23.633333333333336</v>
      </c>
      <c r="O574" s="2">
        <f ca="1">INDEX(INDIRECT(_xlfn.CONCAT("weather.tbl[",O$1,"]")),MATCH(vp.data[[#This Row],[SDate]],weather.tbl[Date],0))</f>
        <v>-22.773809523809522</v>
      </c>
      <c r="P574" s="2">
        <f ca="1">INDEX(INDIRECT(_xlfn.CONCAT("weather.tbl[",P$1,"]")),MATCH(vp.data[[#This Row],[SDate]],weather.tbl[Date],0))</f>
        <v>-24</v>
      </c>
      <c r="Q574" s="2">
        <f ca="1">INDEX(INDIRECT(_xlfn.CONCAT("weather.tbl[",Q$1,"]")),MATCH(vp.data[[#This Row],[SDate]],weather.tbl[Date],0))</f>
        <v>-21.3</v>
      </c>
      <c r="R574" s="2">
        <f ca="1">INDEX(INDIRECT(_xlfn.CONCAT("weather.tbl[",R$1,"]")),MATCH(vp.data[[#This Row],[SDate]],weather.tbl[Date],0))</f>
        <v>-26.5</v>
      </c>
      <c r="S574" s="2">
        <f ca="1">INDEX(INDIRECT(_xlfn.CONCAT("weather.tbl[",S$1,"]")),MATCH(vp.data[[#This Row],[SDate]],weather.tbl[Date],0))</f>
        <v>-20.6</v>
      </c>
      <c r="T574" s="2">
        <f ca="1">INDEX(INDIRECT(_xlfn.CONCAT("weather.tbl[",T$1,"]")),MATCH(vp.data[[#This Row],[SDate]],weather.tbl[Date],0))</f>
        <v>-25.6</v>
      </c>
      <c r="U574" s="2">
        <f ca="1">INDEX(INDIRECT(_xlfn.CONCAT("weather.tbl[",U$1,"]")),MATCH(vp.data[[#This Row],[SDate]],weather.tbl[Date],0))</f>
        <v>-23.8</v>
      </c>
      <c r="V574" s="2">
        <f t="array" ref="V5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1098.0409999999999</v>
      </c>
      <c r="W574" t="s">
        <v>48</v>
      </c>
      <c r="X574">
        <f>IF(OR(vp.data[[#This Row],[Sulf]]="",vp.data[[#This Row],[Dens]]=""),1,0)</f>
        <v>0</v>
      </c>
      <c r="Y574">
        <f>IF(vp.data[[#This Row],[CrudeType]]="C5+",1,0)</f>
        <v>0</v>
      </c>
      <c r="Z574">
        <f>IF(AND(vp.data[[#This Row],[CrudeType]]="Crude",vp.data[[#This Row],[Dens]]&lt;=825,vp.data[[#This Row],[Sulf]]&gt;0.5,vp.data[[#This Row],[Unknown]]=0),1,0)</f>
        <v>0</v>
      </c>
      <c r="AA574">
        <f>IF(AND(vp.data[[#This Row],[CrudeType]]="Crude",vp.data[[#This Row],[Dens]]&lt;=825,vp.data[[#This Row],[Sulf]]&lt;=0.5,vp.data[[#This Row],[Unknown]]=0),1,0)</f>
        <v>0</v>
      </c>
      <c r="AB5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4">
        <f>IF(AND(vp.data[[#This Row],[CrudeType]]="Crude",vp.data[[#This Row],[Dens]]&gt;825,vp.data[[#This Row],[Dens]]&lt;=900,vp.data[[#This Row],[Sulf]]&lt;=0.5,vp.data[[#This Row],[Unknown]]=0),1,0)</f>
        <v>0</v>
      </c>
      <c r="AD574">
        <f>IF(AND(vp.data[[#This Row],[CrudeType]]="Crude",vp.data[[#This Row],[Dens]]&gt;865,vp.data[[#This Row],[Dens]]&lt;=900,vp.data[[#This Row],[Sulf]]&gt;2,vp.data[[#This Row],[Unknown]]=0),1,0)</f>
        <v>0</v>
      </c>
      <c r="AE574">
        <f>IF(AND(vp.data[[#This Row],[CrudeType]]="Crude",vp.data[[#This Row],[Dens]]&gt;900,vp.data[[#This Row],[Sulf]]&lt;=0.5,vp.data[[#This Row],[Unknown]]=0),1,0)</f>
        <v>0</v>
      </c>
      <c r="AF574">
        <f>IF(AND(vp.data[[#This Row],[CrudeType]]="Crude",vp.data[[#This Row],[Dens]]&gt;900,vp.data[[#This Row],[Sulf]]&lt;=0.5,vp.data[[#This Row],[Unknown]]=0),1,0)</f>
        <v>0</v>
      </c>
      <c r="AG574" t="str">
        <f>INDEX(vp.data[[#Headers],[Unknown]:[Heavy_SW]],MATCH(1,vp.data[[#This Row],[Unknown]:[Heavy_SW]],0))</f>
        <v>Medium_LSB</v>
      </c>
      <c r="AH574">
        <f>INDEX([3]!crudeBD.lkup[Number],MATCH(vp.data[[#This Row],[Crude_Breakdown]],crudeBD.lkup[Crude Breakdown],0))</f>
        <v>3</v>
      </c>
      <c r="AI574">
        <f>MONTH(vp.data[[#This Row],[SDate]])</f>
        <v>1</v>
      </c>
      <c r="AJ574" s="5">
        <f>(vp.data[[#This Row],[VP]]-INDEX(crudeBD.lkup[Mean_VP],MATCH(vp.data[[#This Row],[Crude_Breakdown]],crudeBD.lkup[Crude Breakdown],0)))^2</f>
        <v>223.8112777326543</v>
      </c>
      <c r="AK574" s="5">
        <f>(vp.data[[#This Row],[Dens]]-INDEX(crudeBD.lkup[Mean_Dens],MATCH(vp.data[[#This Row],[Crude_Breakdown]],crudeBD.lkup[Crude Breakdown],0)))^2</f>
        <v>261.79240000001676</v>
      </c>
      <c r="AL574" s="5">
        <f>(vp.data[[#This Row],[Sulf]]-INDEX(crudeBD.lkup[Mean_Sulf],MATCH(vp.data[[#This Row],[Crude_Breakdown]],crudeBD.lkup[Crude Breakdown],0)))^2</f>
        <v>1.9884351657733202E-3</v>
      </c>
      <c r="AM574" s="4">
        <f>IF(AND(vp.data[[#This Row],[SDate]]&gt;=DATE(YEAR(vp.data[[#This Row],[SDate]]),5,1),vp.data[[#This Row],[SDate]]&lt;=DATE(YEAR(vp.data[[#This Row],[SDate]]),9,15)),1,0)</f>
        <v>0</v>
      </c>
      <c r="AN574" s="4">
        <f>IF(vp.data[[#This Row],[SDate]]&lt;DATE(2016,12,1),0,1)</f>
        <v>1</v>
      </c>
      <c r="AO574" s="4">
        <f>IFERROR(vp.data[[#This Row],[Sulf]]*vp.data[[#This Row],[Net Dens]],"")</f>
        <v>1350527.8416629999</v>
      </c>
      <c r="AP574">
        <f>IFERROR(vp.data[[#This Row],[Dens]]*vp.data[[#This Row],[VolumeM3]],"")</f>
        <v>944425.06409999996</v>
      </c>
      <c r="AQ574" s="15">
        <f>IFERROR(vp.data[[#This Row],[VP]]*vp.data[[#This Row],[VolumeM3]],"")</f>
        <v>104972.71959999998</v>
      </c>
    </row>
    <row r="575" spans="1:43" x14ac:dyDescent="0.25">
      <c r="A575">
        <v>574</v>
      </c>
      <c r="B575" t="s">
        <v>60</v>
      </c>
      <c r="C575" t="s">
        <v>60</v>
      </c>
      <c r="D575" t="s">
        <v>61</v>
      </c>
      <c r="E575" t="s">
        <v>55</v>
      </c>
      <c r="F575" s="1">
        <v>42748</v>
      </c>
      <c r="G575" s="2">
        <v>98.4</v>
      </c>
      <c r="H575" s="2"/>
      <c r="I575" s="2">
        <f t="array" ref="I575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575" s="2">
        <v>1</v>
      </c>
      <c r="K575" s="2">
        <v>-30</v>
      </c>
      <c r="L575" s="2">
        <v>837</v>
      </c>
      <c r="M575" s="2">
        <f t="array" ref="M575">_xlfn.IFNA(IF(vp.data[[#This Row],[Dens Input]]="",INDEX([1]DATA!$O$3:$O$9826,MATCH(1,(vp.data[[#This Row],[Battery]]=[1]DATA!$L$3:$L$9826)*(EOMONTH(vp.data[[#This Row],[SDate]],-1)+1=[1]DATA!$G$3:$G$9826),0)),vp.data[[#This Row],[Dens Input]]),"")</f>
        <v>837</v>
      </c>
      <c r="N575" s="2">
        <f ca="1">INDEX(INDIRECT(_xlfn.CONCAT("weather.tbl[",N$1,"]")),MATCH(vp.data[[#This Row],[SDate]],weather.tbl[Date],0))</f>
        <v>-23.633333333333336</v>
      </c>
      <c r="O575" s="2">
        <f ca="1">INDEX(INDIRECT(_xlfn.CONCAT("weather.tbl[",O$1,"]")),MATCH(vp.data[[#This Row],[SDate]],weather.tbl[Date],0))</f>
        <v>-22.773809523809522</v>
      </c>
      <c r="P575" s="2">
        <f ca="1">INDEX(INDIRECT(_xlfn.CONCAT("weather.tbl[",P$1,"]")),MATCH(vp.data[[#This Row],[SDate]],weather.tbl[Date],0))</f>
        <v>-24</v>
      </c>
      <c r="Q575" s="2">
        <f ca="1">INDEX(INDIRECT(_xlfn.CONCAT("weather.tbl[",Q$1,"]")),MATCH(vp.data[[#This Row],[SDate]],weather.tbl[Date],0))</f>
        <v>-21.3</v>
      </c>
      <c r="R575" s="2">
        <f ca="1">INDEX(INDIRECT(_xlfn.CONCAT("weather.tbl[",R$1,"]")),MATCH(vp.data[[#This Row],[SDate]],weather.tbl[Date],0))</f>
        <v>-26.5</v>
      </c>
      <c r="S575" s="2">
        <f ca="1">INDEX(INDIRECT(_xlfn.CONCAT("weather.tbl[",S$1,"]")),MATCH(vp.data[[#This Row],[SDate]],weather.tbl[Date],0))</f>
        <v>-20.6</v>
      </c>
      <c r="T575" s="2">
        <f ca="1">INDEX(INDIRECT(_xlfn.CONCAT("weather.tbl[",T$1,"]")),MATCH(vp.data[[#This Row],[SDate]],weather.tbl[Date],0))</f>
        <v>-25.6</v>
      </c>
      <c r="U575" s="2">
        <f ca="1">INDEX(INDIRECT(_xlfn.CONCAT("weather.tbl[",U$1,"]")),MATCH(vp.data[[#This Row],[SDate]],weather.tbl[Date],0))</f>
        <v>-23.8</v>
      </c>
      <c r="V575" s="2">
        <f t="array" ref="V5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575" t="s">
        <v>48</v>
      </c>
      <c r="X575">
        <f>IF(OR(vp.data[[#This Row],[Sulf]]="",vp.data[[#This Row],[Dens]]=""),1,0)</f>
        <v>0</v>
      </c>
      <c r="Y575">
        <f>IF(vp.data[[#This Row],[CrudeType]]="C5+",1,0)</f>
        <v>0</v>
      </c>
      <c r="Z575">
        <f>IF(AND(vp.data[[#This Row],[CrudeType]]="Crude",vp.data[[#This Row],[Dens]]&lt;=825,vp.data[[#This Row],[Sulf]]&gt;0.5,vp.data[[#This Row],[Unknown]]=0),1,0)</f>
        <v>0</v>
      </c>
      <c r="AA575">
        <f>IF(AND(vp.data[[#This Row],[CrudeType]]="Crude",vp.data[[#This Row],[Dens]]&lt;=825,vp.data[[#This Row],[Sulf]]&lt;=0.5,vp.data[[#This Row],[Unknown]]=0),1,0)</f>
        <v>0</v>
      </c>
      <c r="AB5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75">
        <f>IF(AND(vp.data[[#This Row],[CrudeType]]="Crude",vp.data[[#This Row],[Dens]]&gt;825,vp.data[[#This Row],[Dens]]&lt;=900,vp.data[[#This Row],[Sulf]]&lt;=0.5,vp.data[[#This Row],[Unknown]]=0),1,0)</f>
        <v>0</v>
      </c>
      <c r="AD575">
        <f>IF(AND(vp.data[[#This Row],[CrudeType]]="Crude",vp.data[[#This Row],[Dens]]&gt;865,vp.data[[#This Row],[Dens]]&lt;=900,vp.data[[#This Row],[Sulf]]&gt;2,vp.data[[#This Row],[Unknown]]=0),1,0)</f>
        <v>0</v>
      </c>
      <c r="AE575">
        <f>IF(AND(vp.data[[#This Row],[CrudeType]]="Crude",vp.data[[#This Row],[Dens]]&gt;900,vp.data[[#This Row],[Sulf]]&lt;=0.5,vp.data[[#This Row],[Unknown]]=0),1,0)</f>
        <v>0</v>
      </c>
      <c r="AF575">
        <f>IF(AND(vp.data[[#This Row],[CrudeType]]="Crude",vp.data[[#This Row],[Dens]]&gt;900,vp.data[[#This Row],[Sulf]]&lt;=0.5,vp.data[[#This Row],[Unknown]]=0),1,0)</f>
        <v>0</v>
      </c>
      <c r="AG575" t="str">
        <f>INDEX(vp.data[[#Headers],[Unknown]:[Heavy_SW]],MATCH(1,vp.data[[#This Row],[Unknown]:[Heavy_SW]],0))</f>
        <v>Medium_LSB</v>
      </c>
      <c r="AH575">
        <f>INDEX([3]!crudeBD.lkup[Number],MATCH(vp.data[[#This Row],[Crude_Breakdown]],crudeBD.lkup[Crude Breakdown],0))</f>
        <v>3</v>
      </c>
      <c r="AI575">
        <f>MONTH(vp.data[[#This Row],[SDate]])</f>
        <v>1</v>
      </c>
      <c r="AJ575" s="5">
        <f>(vp.data[[#This Row],[VP]]-INDEX(crudeBD.lkup[Mean_VP],MATCH(vp.data[[#This Row],[Crude_Breakdown]],crudeBD.lkup[Crude Breakdown],0)))^2</f>
        <v>315.42908905340977</v>
      </c>
      <c r="AK575" s="5">
        <f>(vp.data[[#This Row],[Dens]]-INDEX(crudeBD.lkup[Mean_Dens],MATCH(vp.data[[#This Row],[Crude_Breakdown]],crudeBD.lkup[Crude Breakdown],0)))^2</f>
        <v>47.886399999993138</v>
      </c>
      <c r="AL575" s="5">
        <f>(vp.data[[#This Row],[Sulf]]-INDEX(crudeBD.lkup[Mean_Sulf],MATCH(vp.data[[#This Row],[Crude_Breakdown]],crudeBD.lkup[Crude Breakdown],0)))^2</f>
        <v>2.4151685839628387E-2</v>
      </c>
      <c r="AM575" s="4">
        <f>IF(AND(vp.data[[#This Row],[SDate]]&gt;=DATE(YEAR(vp.data[[#This Row],[SDate]]),5,1),vp.data[[#This Row],[SDate]]&lt;=DATE(YEAR(vp.data[[#This Row],[SDate]]),9,15)),1,0)</f>
        <v>0</v>
      </c>
      <c r="AN575" s="4">
        <f>IF(vp.data[[#This Row],[SDate]]&lt;DATE(2016,12,1),0,1)</f>
        <v>1</v>
      </c>
      <c r="AO575" s="4">
        <f>IFERROR(vp.data[[#This Row],[Sulf]]*vp.data[[#This Row],[Net Dens]],"")</f>
        <v>108238711.60944</v>
      </c>
      <c r="AP575">
        <f>IFERROR(vp.data[[#This Row],[Dens]]*vp.data[[#This Row],[VolumeM3]],"")</f>
        <v>87998952.527999997</v>
      </c>
      <c r="AQ575" s="15">
        <f>IFERROR(vp.data[[#This Row],[VP]]*vp.data[[#This Row],[VolumeM3]],"")</f>
        <v>10345396.569600001</v>
      </c>
    </row>
    <row r="576" spans="1:43" x14ac:dyDescent="0.25">
      <c r="A576">
        <v>575</v>
      </c>
      <c r="B576" t="s">
        <v>62</v>
      </c>
      <c r="C576" t="s">
        <v>62</v>
      </c>
      <c r="D576" t="s">
        <v>93</v>
      </c>
      <c r="F576" s="1">
        <v>42749</v>
      </c>
      <c r="G576" s="2">
        <v>107.3</v>
      </c>
      <c r="H576" s="2"/>
      <c r="I576" s="2">
        <f t="array" ref="I576">_xlfn.IFNA(IF(vp.data[[#This Row],[Sulf Input]]="",INDEX([1]DATA!$Q$3:$Q$9826,MATCH(1,(vp.data[[#This Row],[Battery]]=[1]DATA!$L$3:$L$9826)*(EOMONTH(vp.data[[#This Row],[SDate]],-1)+1=[1]DATA!$G$3:$G$9826),0)),vp.data[[#This Row],[Sulf Input]]),"")</f>
        <v>0.43</v>
      </c>
      <c r="J576" s="2">
        <v>-16</v>
      </c>
      <c r="K576" s="2">
        <v>-22</v>
      </c>
      <c r="L576" s="2">
        <v>803</v>
      </c>
      <c r="M576" s="2">
        <f t="array" ref="M576">_xlfn.IFNA(IF(vp.data[[#This Row],[Dens Input]]="",INDEX([1]DATA!$O$3:$O$9826,MATCH(1,(vp.data[[#This Row],[Battery]]=[1]DATA!$L$3:$L$9826)*(EOMONTH(vp.data[[#This Row],[SDate]],-1)+1=[1]DATA!$G$3:$G$9826),0)),vp.data[[#This Row],[Dens Input]]),"")</f>
        <v>803</v>
      </c>
      <c r="N576" s="2">
        <f ca="1">INDEX(INDIRECT(_xlfn.CONCAT("weather.tbl[",N$1,"]")),MATCH(vp.data[[#This Row],[SDate]],weather.tbl[Date],0))</f>
        <v>-16.366666666666667</v>
      </c>
      <c r="O576" s="2">
        <f ca="1">INDEX(INDIRECT(_xlfn.CONCAT("weather.tbl[",O$1,"]")),MATCH(vp.data[[#This Row],[SDate]],weather.tbl[Date],0))</f>
        <v>-21.61904761904762</v>
      </c>
      <c r="P576" s="2">
        <f ca="1">INDEX(INDIRECT(_xlfn.CONCAT("weather.tbl[",P$1,"]")),MATCH(vp.data[[#This Row],[SDate]],weather.tbl[Date],0))</f>
        <v>-17.2</v>
      </c>
      <c r="Q576" s="2">
        <f ca="1">INDEX(INDIRECT(_xlfn.CONCAT("weather.tbl[",Q$1,"]")),MATCH(vp.data[[#This Row],[SDate]],weather.tbl[Date],0))</f>
        <v>-17.3</v>
      </c>
      <c r="R576" s="2">
        <f ca="1">INDEX(INDIRECT(_xlfn.CONCAT("weather.tbl[",R$1,"]")),MATCH(vp.data[[#This Row],[SDate]],weather.tbl[Date],0))</f>
        <v>-16</v>
      </c>
      <c r="S576" s="2">
        <f ca="1">INDEX(INDIRECT(_xlfn.CONCAT("weather.tbl[",S$1,"]")),MATCH(vp.data[[#This Row],[SDate]],weather.tbl[Date],0))</f>
        <v>-15.2</v>
      </c>
      <c r="T576" s="2">
        <f ca="1">INDEX(INDIRECT(_xlfn.CONCAT("weather.tbl[",T$1,"]")),MATCH(vp.data[[#This Row],[SDate]],weather.tbl[Date],0))</f>
        <v>-18.7</v>
      </c>
      <c r="U576" s="2">
        <f ca="1">INDEX(INDIRECT(_xlfn.CONCAT("weather.tbl[",U$1,"]")),MATCH(vp.data[[#This Row],[SDate]],weather.tbl[Date],0))</f>
        <v>-13.8</v>
      </c>
      <c r="V576" s="2">
        <f t="array" ref="V5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505.60500000000002</v>
      </c>
      <c r="W576" t="s">
        <v>48</v>
      </c>
      <c r="X576">
        <f>IF(OR(vp.data[[#This Row],[Sulf]]="",vp.data[[#This Row],[Dens]]=""),1,0)</f>
        <v>0</v>
      </c>
      <c r="Y576">
        <f>IF(vp.data[[#This Row],[CrudeType]]="C5+",1,0)</f>
        <v>0</v>
      </c>
      <c r="Z576">
        <f>IF(AND(vp.data[[#This Row],[CrudeType]]="Crude",vp.data[[#This Row],[Dens]]&lt;=825,vp.data[[#This Row],[Sulf]]&gt;0.5,vp.data[[#This Row],[Unknown]]=0),1,0)</f>
        <v>0</v>
      </c>
      <c r="AA576">
        <f>IF(AND(vp.data[[#This Row],[CrudeType]]="Crude",vp.data[[#This Row],[Dens]]&lt;=825,vp.data[[#This Row],[Sulf]]&lt;=0.5,vp.data[[#This Row],[Unknown]]=0),1,0)</f>
        <v>1</v>
      </c>
      <c r="AB5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76">
        <f>IF(AND(vp.data[[#This Row],[CrudeType]]="Crude",vp.data[[#This Row],[Dens]]&gt;825,vp.data[[#This Row],[Dens]]&lt;=900,vp.data[[#This Row],[Sulf]]&lt;=0.5,vp.data[[#This Row],[Unknown]]=0),1,0)</f>
        <v>0</v>
      </c>
      <c r="AD576">
        <f>IF(AND(vp.data[[#This Row],[CrudeType]]="Crude",vp.data[[#This Row],[Dens]]&gt;865,vp.data[[#This Row],[Dens]]&lt;=900,vp.data[[#This Row],[Sulf]]&gt;2,vp.data[[#This Row],[Unknown]]=0),1,0)</f>
        <v>0</v>
      </c>
      <c r="AE576">
        <f>IF(AND(vp.data[[#This Row],[CrudeType]]="Crude",vp.data[[#This Row],[Dens]]&gt;900,vp.data[[#This Row],[Sulf]]&lt;=0.5,vp.data[[#This Row],[Unknown]]=0),1,0)</f>
        <v>0</v>
      </c>
      <c r="AF576">
        <f>IF(AND(vp.data[[#This Row],[CrudeType]]="Crude",vp.data[[#This Row],[Dens]]&gt;900,vp.data[[#This Row],[Sulf]]&lt;=0.5,vp.data[[#This Row],[Unknown]]=0),1,0)</f>
        <v>0</v>
      </c>
      <c r="AG576" t="str">
        <f>INDEX(vp.data[[#Headers],[Unknown]:[Heavy_SW]],MATCH(1,vp.data[[#This Row],[Unknown]:[Heavy_SW]],0))</f>
        <v>Light_SW</v>
      </c>
      <c r="AH576">
        <f>INDEX([3]!crudeBD.lkup[Number],MATCH(vp.data[[#This Row],[Crude_Breakdown]],crudeBD.lkup[Crude Breakdown],0))</f>
        <v>2</v>
      </c>
      <c r="AI576">
        <f>MONTH(vp.data[[#This Row],[SDate]])</f>
        <v>1</v>
      </c>
      <c r="AJ576" s="5">
        <f>(vp.data[[#This Row],[VP]]-INDEX(crudeBD.lkup[Mean_VP],MATCH(vp.data[[#This Row],[Crude_Breakdown]],crudeBD.lkup[Crude Breakdown],0)))^2</f>
        <v>217.55324922725862</v>
      </c>
      <c r="AK576" s="5">
        <f>(vp.data[[#This Row],[Dens]]-INDEX(crudeBD.lkup[Mean_Dens],MATCH(vp.data[[#This Row],[Crude_Breakdown]],crudeBD.lkup[Crude Breakdown],0)))^2</f>
        <v>28.212013743032074</v>
      </c>
      <c r="AL576" s="5">
        <f>(vp.data[[#This Row],[Sulf]]-INDEX(crudeBD.lkup[Mean_Sulf],MATCH(vp.data[[#This Row],[Crude_Breakdown]],crudeBD.lkup[Crude Breakdown],0)))^2</f>
        <v>3.7542235476453578E-2</v>
      </c>
      <c r="AM576" s="4">
        <f>IF(AND(vp.data[[#This Row],[SDate]]&gt;=DATE(YEAR(vp.data[[#This Row],[SDate]]),5,1),vp.data[[#This Row],[SDate]]&lt;=DATE(YEAR(vp.data[[#This Row],[SDate]]),9,15)),1,0)</f>
        <v>0</v>
      </c>
      <c r="AN576" s="4">
        <f>IF(vp.data[[#This Row],[SDate]]&lt;DATE(2016,12,1),0,1)</f>
        <v>1</v>
      </c>
      <c r="AO576" s="4">
        <f>IFERROR(vp.data[[#This Row],[Sulf]]*vp.data[[#This Row],[Net Dens]],"")</f>
        <v>174580.35045</v>
      </c>
      <c r="AP576">
        <f>IFERROR(vp.data[[#This Row],[Dens]]*vp.data[[#This Row],[VolumeM3]],"")</f>
        <v>406000.815</v>
      </c>
      <c r="AQ576" s="15">
        <f>IFERROR(vp.data[[#This Row],[VP]]*vp.data[[#This Row],[VolumeM3]],"")</f>
        <v>54251.416499999999</v>
      </c>
    </row>
    <row r="577" spans="1:43" x14ac:dyDescent="0.25">
      <c r="A577">
        <v>576</v>
      </c>
      <c r="B577" t="s">
        <v>49</v>
      </c>
      <c r="C577" t="s">
        <v>49</v>
      </c>
      <c r="D577" t="s">
        <v>75</v>
      </c>
      <c r="F577" s="1">
        <v>42749</v>
      </c>
      <c r="G577" s="2">
        <v>105.8</v>
      </c>
      <c r="H577" s="2"/>
      <c r="I577" s="2">
        <f t="array" ref="I577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577" s="2">
        <v>20</v>
      </c>
      <c r="K577" s="2">
        <v>-22</v>
      </c>
      <c r="L577" s="2">
        <v>804.3</v>
      </c>
      <c r="M577" s="2">
        <f t="array" ref="M577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577" s="2">
        <f ca="1">INDEX(INDIRECT(_xlfn.CONCAT("weather.tbl[",N$1,"]")),MATCH(vp.data[[#This Row],[SDate]],weather.tbl[Date],0))</f>
        <v>-16.366666666666667</v>
      </c>
      <c r="O577" s="2">
        <f ca="1">INDEX(INDIRECT(_xlfn.CONCAT("weather.tbl[",O$1,"]")),MATCH(vp.data[[#This Row],[SDate]],weather.tbl[Date],0))</f>
        <v>-21.61904761904762</v>
      </c>
      <c r="P577" s="2">
        <f ca="1">INDEX(INDIRECT(_xlfn.CONCAT("weather.tbl[",P$1,"]")),MATCH(vp.data[[#This Row],[SDate]],weather.tbl[Date],0))</f>
        <v>-17.2</v>
      </c>
      <c r="Q577" s="2">
        <f ca="1">INDEX(INDIRECT(_xlfn.CONCAT("weather.tbl[",Q$1,"]")),MATCH(vp.data[[#This Row],[SDate]],weather.tbl[Date],0))</f>
        <v>-17.3</v>
      </c>
      <c r="R577" s="2">
        <f ca="1">INDEX(INDIRECT(_xlfn.CONCAT("weather.tbl[",R$1,"]")),MATCH(vp.data[[#This Row],[SDate]],weather.tbl[Date],0))</f>
        <v>-16</v>
      </c>
      <c r="S577" s="2">
        <f ca="1">INDEX(INDIRECT(_xlfn.CONCAT("weather.tbl[",S$1,"]")),MATCH(vp.data[[#This Row],[SDate]],weather.tbl[Date],0))</f>
        <v>-15.2</v>
      </c>
      <c r="T577" s="2">
        <f ca="1">INDEX(INDIRECT(_xlfn.CONCAT("weather.tbl[",T$1,"]")),MATCH(vp.data[[#This Row],[SDate]],weather.tbl[Date],0))</f>
        <v>-18.7</v>
      </c>
      <c r="U577" s="2">
        <f ca="1">INDEX(INDIRECT(_xlfn.CONCAT("weather.tbl[",U$1,"]")),MATCH(vp.data[[#This Row],[SDate]],weather.tbl[Date],0))</f>
        <v>-13.8</v>
      </c>
      <c r="V577" s="2">
        <f t="array" ref="V5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577" t="s">
        <v>48</v>
      </c>
      <c r="X577">
        <f>IF(OR(vp.data[[#This Row],[Sulf]]="",vp.data[[#This Row],[Dens]]=""),1,0)</f>
        <v>0</v>
      </c>
      <c r="Y577">
        <f>IF(vp.data[[#This Row],[CrudeType]]="C5+",1,0)</f>
        <v>0</v>
      </c>
      <c r="Z577">
        <f>IF(AND(vp.data[[#This Row],[CrudeType]]="Crude",vp.data[[#This Row],[Dens]]&lt;=825,vp.data[[#This Row],[Sulf]]&gt;0.5,vp.data[[#This Row],[Unknown]]=0),1,0)</f>
        <v>0</v>
      </c>
      <c r="AA577">
        <f>IF(AND(vp.data[[#This Row],[CrudeType]]="Crude",vp.data[[#This Row],[Dens]]&lt;=825,vp.data[[#This Row],[Sulf]]&lt;=0.5,vp.data[[#This Row],[Unknown]]=0),1,0)</f>
        <v>1</v>
      </c>
      <c r="AB5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77">
        <f>IF(AND(vp.data[[#This Row],[CrudeType]]="Crude",vp.data[[#This Row],[Dens]]&gt;825,vp.data[[#This Row],[Dens]]&lt;=900,vp.data[[#This Row],[Sulf]]&lt;=0.5,vp.data[[#This Row],[Unknown]]=0),1,0)</f>
        <v>0</v>
      </c>
      <c r="AD577">
        <f>IF(AND(vp.data[[#This Row],[CrudeType]]="Crude",vp.data[[#This Row],[Dens]]&gt;865,vp.data[[#This Row],[Dens]]&lt;=900,vp.data[[#This Row],[Sulf]]&gt;2,vp.data[[#This Row],[Unknown]]=0),1,0)</f>
        <v>0</v>
      </c>
      <c r="AE577">
        <f>IF(AND(vp.data[[#This Row],[CrudeType]]="Crude",vp.data[[#This Row],[Dens]]&gt;900,vp.data[[#This Row],[Sulf]]&lt;=0.5,vp.data[[#This Row],[Unknown]]=0),1,0)</f>
        <v>0</v>
      </c>
      <c r="AF577">
        <f>IF(AND(vp.data[[#This Row],[CrudeType]]="Crude",vp.data[[#This Row],[Dens]]&gt;900,vp.data[[#This Row],[Sulf]]&lt;=0.5,vp.data[[#This Row],[Unknown]]=0),1,0)</f>
        <v>0</v>
      </c>
      <c r="AG577" t="str">
        <f>INDEX(vp.data[[#Headers],[Unknown]:[Heavy_SW]],MATCH(1,vp.data[[#This Row],[Unknown]:[Heavy_SW]],0))</f>
        <v>Light_SW</v>
      </c>
      <c r="AH577">
        <f>INDEX([3]!crudeBD.lkup[Number],MATCH(vp.data[[#This Row],[Crude_Breakdown]],crudeBD.lkup[Crude Breakdown],0))</f>
        <v>2</v>
      </c>
      <c r="AI577">
        <f>MONTH(vp.data[[#This Row],[SDate]])</f>
        <v>1</v>
      </c>
      <c r="AJ577" s="5">
        <f>(vp.data[[#This Row],[VP]]-INDEX(crudeBD.lkup[Mean_VP],MATCH(vp.data[[#This Row],[Crude_Breakdown]],crudeBD.lkup[Crude Breakdown],0)))^2</f>
        <v>175.55418999380905</v>
      </c>
      <c r="AK577" s="5">
        <f>(vp.data[[#This Row],[Dens]]-INDEX(crudeBD.lkup[Mean_Dens],MATCH(vp.data[[#This Row],[Crude_Breakdown]],crudeBD.lkup[Crude Breakdown],0)))^2</f>
        <v>16.092118272649731</v>
      </c>
      <c r="AL577" s="5">
        <f>(vp.data[[#This Row],[Sulf]]-INDEX(crudeBD.lkup[Mean_Sulf],MATCH(vp.data[[#This Row],[Crude_Breakdown]],crudeBD.lkup[Crude Breakdown],0)))^2</f>
        <v>5.644515043280923E-4</v>
      </c>
      <c r="AM577" s="4">
        <f>IF(AND(vp.data[[#This Row],[SDate]]&gt;=DATE(YEAR(vp.data[[#This Row],[SDate]]),5,1),vp.data[[#This Row],[SDate]]&lt;=DATE(YEAR(vp.data[[#This Row],[SDate]]),9,15)),1,0)</f>
        <v>0</v>
      </c>
      <c r="AN577" s="4">
        <f>IF(vp.data[[#This Row],[SDate]]&lt;DATE(2016,12,1),0,1)</f>
        <v>1</v>
      </c>
      <c r="AO577" s="4">
        <f>IFERROR(vp.data[[#This Row],[Sulf]]*vp.data[[#This Row],[Net Dens]],"")</f>
        <v>2663894.3942519999</v>
      </c>
      <c r="AP577">
        <f>IFERROR(vp.data[[#This Row],[Dens]]*vp.data[[#This Row],[VolumeM3]],"")</f>
        <v>10245747.6702</v>
      </c>
      <c r="AQ577" s="15">
        <f>IFERROR(vp.data[[#This Row],[VP]]*vp.data[[#This Row],[VolumeM3]],"")</f>
        <v>1347755.9412</v>
      </c>
    </row>
    <row r="578" spans="1:43" x14ac:dyDescent="0.25">
      <c r="A578">
        <v>577</v>
      </c>
      <c r="B578" t="s">
        <v>62</v>
      </c>
      <c r="C578" t="s">
        <v>62</v>
      </c>
      <c r="D578" t="s">
        <v>87</v>
      </c>
      <c r="F578" s="1">
        <v>42749</v>
      </c>
      <c r="G578" s="2">
        <v>84.1</v>
      </c>
      <c r="H578" s="2"/>
      <c r="I578" s="2">
        <f t="array" ref="I578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578" s="2">
        <v>22</v>
      </c>
      <c r="K578" s="2">
        <v>-22</v>
      </c>
      <c r="L578" s="2">
        <v>804.6</v>
      </c>
      <c r="M578" s="2">
        <f t="array" ref="M578">_xlfn.IFNA(IF(vp.data[[#This Row],[Dens Input]]="",INDEX([1]DATA!$O$3:$O$9826,MATCH(1,(vp.data[[#This Row],[Battery]]=[1]DATA!$L$3:$L$9826)*(EOMONTH(vp.data[[#This Row],[SDate]],-1)+1=[1]DATA!$G$3:$G$9826),0)),vp.data[[#This Row],[Dens Input]]),"")</f>
        <v>804.6</v>
      </c>
      <c r="N578" s="2">
        <f ca="1">INDEX(INDIRECT(_xlfn.CONCAT("weather.tbl[",N$1,"]")),MATCH(vp.data[[#This Row],[SDate]],weather.tbl[Date],0))</f>
        <v>-16.366666666666667</v>
      </c>
      <c r="O578" s="2">
        <f ca="1">INDEX(INDIRECT(_xlfn.CONCAT("weather.tbl[",O$1,"]")),MATCH(vp.data[[#This Row],[SDate]],weather.tbl[Date],0))</f>
        <v>-21.61904761904762</v>
      </c>
      <c r="P578" s="2">
        <f ca="1">INDEX(INDIRECT(_xlfn.CONCAT("weather.tbl[",P$1,"]")),MATCH(vp.data[[#This Row],[SDate]],weather.tbl[Date],0))</f>
        <v>-17.2</v>
      </c>
      <c r="Q578" s="2">
        <f ca="1">INDEX(INDIRECT(_xlfn.CONCAT("weather.tbl[",Q$1,"]")),MATCH(vp.data[[#This Row],[SDate]],weather.tbl[Date],0))</f>
        <v>-17.3</v>
      </c>
      <c r="R578" s="2">
        <f ca="1">INDEX(INDIRECT(_xlfn.CONCAT("weather.tbl[",R$1,"]")),MATCH(vp.data[[#This Row],[SDate]],weather.tbl[Date],0))</f>
        <v>-16</v>
      </c>
      <c r="S578" s="2">
        <f ca="1">INDEX(INDIRECT(_xlfn.CONCAT("weather.tbl[",S$1,"]")),MATCH(vp.data[[#This Row],[SDate]],weather.tbl[Date],0))</f>
        <v>-15.2</v>
      </c>
      <c r="T578" s="2">
        <f ca="1">INDEX(INDIRECT(_xlfn.CONCAT("weather.tbl[",T$1,"]")),MATCH(vp.data[[#This Row],[SDate]],weather.tbl[Date],0))</f>
        <v>-18.7</v>
      </c>
      <c r="U578" s="2">
        <f ca="1">INDEX(INDIRECT(_xlfn.CONCAT("weather.tbl[",U$1,"]")),MATCH(vp.data[[#This Row],[SDate]],weather.tbl[Date],0))</f>
        <v>-13.8</v>
      </c>
      <c r="V578" s="2">
        <f t="array" ref="V5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7624.6970000000001</v>
      </c>
      <c r="W578" t="s">
        <v>48</v>
      </c>
      <c r="X578">
        <f>IF(OR(vp.data[[#This Row],[Sulf]]="",vp.data[[#This Row],[Dens]]=""),1,0)</f>
        <v>0</v>
      </c>
      <c r="Y578">
        <f>IF(vp.data[[#This Row],[CrudeType]]="C5+",1,0)</f>
        <v>0</v>
      </c>
      <c r="Z578">
        <f>IF(AND(vp.data[[#This Row],[CrudeType]]="Crude",vp.data[[#This Row],[Dens]]&lt;=825,vp.data[[#This Row],[Sulf]]&gt;0.5,vp.data[[#This Row],[Unknown]]=0),1,0)</f>
        <v>0</v>
      </c>
      <c r="AA578">
        <f>IF(AND(vp.data[[#This Row],[CrudeType]]="Crude",vp.data[[#This Row],[Dens]]&lt;=825,vp.data[[#This Row],[Sulf]]&lt;=0.5,vp.data[[#This Row],[Unknown]]=0),1,0)</f>
        <v>1</v>
      </c>
      <c r="AB5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78">
        <f>IF(AND(vp.data[[#This Row],[CrudeType]]="Crude",vp.data[[#This Row],[Dens]]&gt;825,vp.data[[#This Row],[Dens]]&lt;=900,vp.data[[#This Row],[Sulf]]&lt;=0.5,vp.data[[#This Row],[Unknown]]=0),1,0)</f>
        <v>0</v>
      </c>
      <c r="AD578">
        <f>IF(AND(vp.data[[#This Row],[CrudeType]]="Crude",vp.data[[#This Row],[Dens]]&gt;865,vp.data[[#This Row],[Dens]]&lt;=900,vp.data[[#This Row],[Sulf]]&gt;2,vp.data[[#This Row],[Unknown]]=0),1,0)</f>
        <v>0</v>
      </c>
      <c r="AE578">
        <f>IF(AND(vp.data[[#This Row],[CrudeType]]="Crude",vp.data[[#This Row],[Dens]]&gt;900,vp.data[[#This Row],[Sulf]]&lt;=0.5,vp.data[[#This Row],[Unknown]]=0),1,0)</f>
        <v>0</v>
      </c>
      <c r="AF578">
        <f>IF(AND(vp.data[[#This Row],[CrudeType]]="Crude",vp.data[[#This Row],[Dens]]&gt;900,vp.data[[#This Row],[Sulf]]&lt;=0.5,vp.data[[#This Row],[Unknown]]=0),1,0)</f>
        <v>0</v>
      </c>
      <c r="AG578" t="str">
        <f>INDEX(vp.data[[#Headers],[Unknown]:[Heavy_SW]],MATCH(1,vp.data[[#This Row],[Unknown]:[Heavy_SW]],0))</f>
        <v>Light_SW</v>
      </c>
      <c r="AH578">
        <f>INDEX([3]!crudeBD.lkup[Number],MATCH(vp.data[[#This Row],[Crude_Breakdown]],crudeBD.lkup[Crude Breakdown],0))</f>
        <v>2</v>
      </c>
      <c r="AI578">
        <f>MONTH(vp.data[[#This Row],[SDate]])</f>
        <v>1</v>
      </c>
      <c r="AJ578" s="5">
        <f>(vp.data[[#This Row],[VP]]-INDEX(crudeBD.lkup[Mean_VP],MATCH(vp.data[[#This Row],[Crude_Breakdown]],crudeBD.lkup[Crude Breakdown],0)))^2</f>
        <v>71.407799749905507</v>
      </c>
      <c r="AK578" s="5">
        <f>(vp.data[[#This Row],[Dens]]-INDEX(crudeBD.lkup[Mean_Dens],MATCH(vp.data[[#This Row],[Crude_Breakdown]],crudeBD.lkup[Crude Breakdown],0)))^2</f>
        <v>13.775219317945496</v>
      </c>
      <c r="AL578" s="5">
        <f>(vp.data[[#This Row],[Sulf]]-INDEX(crudeBD.lkup[Mean_Sulf],MATCH(vp.data[[#This Row],[Crude_Breakdown]],crudeBD.lkup[Crude Breakdown],0)))^2</f>
        <v>2.1383051628646554E-3</v>
      </c>
      <c r="AM578" s="4">
        <f>IF(AND(vp.data[[#This Row],[SDate]]&gt;=DATE(YEAR(vp.data[[#This Row],[SDate]]),5,1),vp.data[[#This Row],[SDate]]&lt;=DATE(YEAR(vp.data[[#This Row],[SDate]]),9,15)),1,0)</f>
        <v>0</v>
      </c>
      <c r="AN578" s="4">
        <f>IF(vp.data[[#This Row],[SDate]]&lt;DATE(2016,12,1),0,1)</f>
        <v>1</v>
      </c>
      <c r="AO578" s="4">
        <f>IFERROR(vp.data[[#This Row],[Sulf]]*vp.data[[#This Row],[Net Dens]],"")</f>
        <v>1165617.929178</v>
      </c>
      <c r="AP578">
        <f>IFERROR(vp.data[[#This Row],[Dens]]*vp.data[[#This Row],[VolumeM3]],"")</f>
        <v>6134831.2061999999</v>
      </c>
      <c r="AQ578" s="15">
        <f>IFERROR(vp.data[[#This Row],[VP]]*vp.data[[#This Row],[VolumeM3]],"")</f>
        <v>641237.01769999997</v>
      </c>
    </row>
    <row r="579" spans="1:43" x14ac:dyDescent="0.25">
      <c r="A579">
        <v>578</v>
      </c>
      <c r="B579" t="s">
        <v>49</v>
      </c>
      <c r="C579" t="s">
        <v>49</v>
      </c>
      <c r="D579" t="s">
        <v>100</v>
      </c>
      <c r="F579" s="1">
        <v>42749</v>
      </c>
      <c r="G579" s="2">
        <v>77.5</v>
      </c>
      <c r="H579" s="2"/>
      <c r="I579" s="2">
        <f t="array" ref="I579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579" s="2">
        <v>6</v>
      </c>
      <c r="K579" s="2">
        <v>-22</v>
      </c>
      <c r="L579" s="2">
        <v>806.9</v>
      </c>
      <c r="M579" s="2">
        <f t="array" ref="M579">_xlfn.IFNA(IF(vp.data[[#This Row],[Dens Input]]="",INDEX([1]DATA!$O$3:$O$9826,MATCH(1,(vp.data[[#This Row],[Battery]]=[1]DATA!$L$3:$L$9826)*(EOMONTH(vp.data[[#This Row],[SDate]],-1)+1=[1]DATA!$G$3:$G$9826),0)),vp.data[[#This Row],[Dens Input]]),"")</f>
        <v>806.9</v>
      </c>
      <c r="N579" s="2">
        <f ca="1">INDEX(INDIRECT(_xlfn.CONCAT("weather.tbl[",N$1,"]")),MATCH(vp.data[[#This Row],[SDate]],weather.tbl[Date],0))</f>
        <v>-16.366666666666667</v>
      </c>
      <c r="O579" s="2">
        <f ca="1">INDEX(INDIRECT(_xlfn.CONCAT("weather.tbl[",O$1,"]")),MATCH(vp.data[[#This Row],[SDate]],weather.tbl[Date],0))</f>
        <v>-21.61904761904762</v>
      </c>
      <c r="P579" s="2">
        <f ca="1">INDEX(INDIRECT(_xlfn.CONCAT("weather.tbl[",P$1,"]")),MATCH(vp.data[[#This Row],[SDate]],weather.tbl[Date],0))</f>
        <v>-17.2</v>
      </c>
      <c r="Q579" s="2">
        <f ca="1">INDEX(INDIRECT(_xlfn.CONCAT("weather.tbl[",Q$1,"]")),MATCH(vp.data[[#This Row],[SDate]],weather.tbl[Date],0))</f>
        <v>-17.3</v>
      </c>
      <c r="R579" s="2">
        <f ca="1">INDEX(INDIRECT(_xlfn.CONCAT("weather.tbl[",R$1,"]")),MATCH(vp.data[[#This Row],[SDate]],weather.tbl[Date],0))</f>
        <v>-16</v>
      </c>
      <c r="S579" s="2">
        <f ca="1">INDEX(INDIRECT(_xlfn.CONCAT("weather.tbl[",S$1,"]")),MATCH(vp.data[[#This Row],[SDate]],weather.tbl[Date],0))</f>
        <v>-15.2</v>
      </c>
      <c r="T579" s="2">
        <f ca="1">INDEX(INDIRECT(_xlfn.CONCAT("weather.tbl[",T$1,"]")),MATCH(vp.data[[#This Row],[SDate]],weather.tbl[Date],0))</f>
        <v>-18.7</v>
      </c>
      <c r="U579" s="2">
        <f ca="1">INDEX(INDIRECT(_xlfn.CONCAT("weather.tbl[",U$1,"]")),MATCH(vp.data[[#This Row],[SDate]],weather.tbl[Date],0))</f>
        <v>-13.8</v>
      </c>
      <c r="V579" s="2">
        <f t="array" ref="V5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579" t="s">
        <v>48</v>
      </c>
      <c r="X579">
        <f>IF(OR(vp.data[[#This Row],[Sulf]]="",vp.data[[#This Row],[Dens]]=""),1,0)</f>
        <v>0</v>
      </c>
      <c r="Y579">
        <f>IF(vp.data[[#This Row],[CrudeType]]="C5+",1,0)</f>
        <v>0</v>
      </c>
      <c r="Z579">
        <f>IF(AND(vp.data[[#This Row],[CrudeType]]="Crude",vp.data[[#This Row],[Dens]]&lt;=825,vp.data[[#This Row],[Sulf]]&gt;0.5,vp.data[[#This Row],[Unknown]]=0),1,0)</f>
        <v>1</v>
      </c>
      <c r="AA579">
        <f>IF(AND(vp.data[[#This Row],[CrudeType]]="Crude",vp.data[[#This Row],[Dens]]&lt;=825,vp.data[[#This Row],[Sulf]]&lt;=0.5,vp.data[[#This Row],[Unknown]]=0),1,0)</f>
        <v>0</v>
      </c>
      <c r="AB5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79">
        <f>IF(AND(vp.data[[#This Row],[CrudeType]]="Crude",vp.data[[#This Row],[Dens]]&gt;825,vp.data[[#This Row],[Dens]]&lt;=900,vp.data[[#This Row],[Sulf]]&lt;=0.5,vp.data[[#This Row],[Unknown]]=0),1,0)</f>
        <v>0</v>
      </c>
      <c r="AD579">
        <f>IF(AND(vp.data[[#This Row],[CrudeType]]="Crude",vp.data[[#This Row],[Dens]]&gt;865,vp.data[[#This Row],[Dens]]&lt;=900,vp.data[[#This Row],[Sulf]]&gt;2,vp.data[[#This Row],[Unknown]]=0),1,0)</f>
        <v>0</v>
      </c>
      <c r="AE579">
        <f>IF(AND(vp.data[[#This Row],[CrudeType]]="Crude",vp.data[[#This Row],[Dens]]&gt;900,vp.data[[#This Row],[Sulf]]&lt;=0.5,vp.data[[#This Row],[Unknown]]=0),1,0)</f>
        <v>0</v>
      </c>
      <c r="AF579">
        <f>IF(AND(vp.data[[#This Row],[CrudeType]]="Crude",vp.data[[#This Row],[Dens]]&gt;900,vp.data[[#This Row],[Sulf]]&lt;=0.5,vp.data[[#This Row],[Unknown]]=0),1,0)</f>
        <v>0</v>
      </c>
      <c r="AG579" t="str">
        <f>INDEX(vp.data[[#Headers],[Unknown]:[Heavy_SW]],MATCH(1,vp.data[[#This Row],[Unknown]:[Heavy_SW]],0))</f>
        <v>Light_LSB</v>
      </c>
      <c r="AH579">
        <f>INDEX([3]!crudeBD.lkup[Number],MATCH(vp.data[[#This Row],[Crude_Breakdown]],crudeBD.lkup[Crude Breakdown],0))</f>
        <v>1</v>
      </c>
      <c r="AI579">
        <f>MONTH(vp.data[[#This Row],[SDate]])</f>
        <v>1</v>
      </c>
      <c r="AJ579" s="5">
        <f>(vp.data[[#This Row],[VP]]-INDEX(crudeBD.lkup[Mean_VP],MATCH(vp.data[[#This Row],[Crude_Breakdown]],crudeBD.lkup[Crude Breakdown],0)))^2</f>
        <v>197.2953289828896</v>
      </c>
      <c r="AK579" s="5">
        <f>(vp.data[[#This Row],[Dens]]-INDEX(crudeBD.lkup[Mean_Dens],MATCH(vp.data[[#This Row],[Crude_Breakdown]],crudeBD.lkup[Crude Breakdown],0)))^2</f>
        <v>134.94933964406923</v>
      </c>
      <c r="AL579" s="5">
        <f>(vp.data[[#This Row],[Sulf]]-INDEX(crudeBD.lkup[Mean_Sulf],MATCH(vp.data[[#This Row],[Crude_Breakdown]],crudeBD.lkup[Crude Breakdown],0)))^2</f>
        <v>6.9153835401708622E-2</v>
      </c>
      <c r="AM579" s="4">
        <f>IF(AND(vp.data[[#This Row],[SDate]]&gt;=DATE(YEAR(vp.data[[#This Row],[SDate]]),5,1),vp.data[[#This Row],[SDate]]&lt;=DATE(YEAR(vp.data[[#This Row],[SDate]]),9,15)),1,0)</f>
        <v>0</v>
      </c>
      <c r="AN579" s="4">
        <f>IF(vp.data[[#This Row],[SDate]]&lt;DATE(2016,12,1),0,1)</f>
        <v>1</v>
      </c>
      <c r="AO579" s="4">
        <f>IFERROR(vp.data[[#This Row],[Sulf]]*vp.data[[#This Row],[Net Dens]],"")</f>
        <v>5973600.7021679999</v>
      </c>
      <c r="AP579">
        <f>IFERROR(vp.data[[#This Row],[Dens]]*vp.data[[#This Row],[VolumeM3]],"")</f>
        <v>9050910.1547999997</v>
      </c>
      <c r="AQ579" s="15">
        <f>IFERROR(vp.data[[#This Row],[VP]]*vp.data[[#This Row],[VolumeM3]],"")</f>
        <v>869309.13</v>
      </c>
    </row>
    <row r="580" spans="1:43" x14ac:dyDescent="0.25">
      <c r="A580">
        <v>579</v>
      </c>
      <c r="B580" t="s">
        <v>49</v>
      </c>
      <c r="C580" t="s">
        <v>49</v>
      </c>
      <c r="D580" t="s">
        <v>80</v>
      </c>
      <c r="F580" s="1">
        <v>42749</v>
      </c>
      <c r="G580" s="2">
        <v>99.9</v>
      </c>
      <c r="H580" s="2"/>
      <c r="I580" s="2">
        <f t="array" ref="I580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80" s="2">
        <v>13</v>
      </c>
      <c r="K580" s="2">
        <v>-22</v>
      </c>
      <c r="L580" s="2">
        <v>809.9</v>
      </c>
      <c r="M580" s="2">
        <f t="array" ref="M580">_xlfn.IFNA(IF(vp.data[[#This Row],[Dens Input]]="",INDEX([1]DATA!$O$3:$O$9826,MATCH(1,(vp.data[[#This Row],[Battery]]=[1]DATA!$L$3:$L$9826)*(EOMONTH(vp.data[[#This Row],[SDate]],-1)+1=[1]DATA!$G$3:$G$9826),0)),vp.data[[#This Row],[Dens Input]]),"")</f>
        <v>809.9</v>
      </c>
      <c r="N580" s="2">
        <f ca="1">INDEX(INDIRECT(_xlfn.CONCAT("weather.tbl[",N$1,"]")),MATCH(vp.data[[#This Row],[SDate]],weather.tbl[Date],0))</f>
        <v>-16.366666666666667</v>
      </c>
      <c r="O580" s="2">
        <f ca="1">INDEX(INDIRECT(_xlfn.CONCAT("weather.tbl[",O$1,"]")),MATCH(vp.data[[#This Row],[SDate]],weather.tbl[Date],0))</f>
        <v>-21.61904761904762</v>
      </c>
      <c r="P580" s="2">
        <f ca="1">INDEX(INDIRECT(_xlfn.CONCAT("weather.tbl[",P$1,"]")),MATCH(vp.data[[#This Row],[SDate]],weather.tbl[Date],0))</f>
        <v>-17.2</v>
      </c>
      <c r="Q580" s="2">
        <f ca="1">INDEX(INDIRECT(_xlfn.CONCAT("weather.tbl[",Q$1,"]")),MATCH(vp.data[[#This Row],[SDate]],weather.tbl[Date],0))</f>
        <v>-17.3</v>
      </c>
      <c r="R580" s="2">
        <f ca="1">INDEX(INDIRECT(_xlfn.CONCAT("weather.tbl[",R$1,"]")),MATCH(vp.data[[#This Row],[SDate]],weather.tbl[Date],0))</f>
        <v>-16</v>
      </c>
      <c r="S580" s="2">
        <f ca="1">INDEX(INDIRECT(_xlfn.CONCAT("weather.tbl[",S$1,"]")),MATCH(vp.data[[#This Row],[SDate]],weather.tbl[Date],0))</f>
        <v>-15.2</v>
      </c>
      <c r="T580" s="2">
        <f ca="1">INDEX(INDIRECT(_xlfn.CONCAT("weather.tbl[",T$1,"]")),MATCH(vp.data[[#This Row],[SDate]],weather.tbl[Date],0))</f>
        <v>-18.7</v>
      </c>
      <c r="U580" s="2">
        <f ca="1">INDEX(INDIRECT(_xlfn.CONCAT("weather.tbl[",U$1,"]")),MATCH(vp.data[[#This Row],[SDate]],weather.tbl[Date],0))</f>
        <v>-13.8</v>
      </c>
      <c r="V580" s="2">
        <f t="array" ref="V5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580" t="s">
        <v>48</v>
      </c>
      <c r="X580">
        <f>IF(OR(vp.data[[#This Row],[Sulf]]="",vp.data[[#This Row],[Dens]]=""),1,0)</f>
        <v>0</v>
      </c>
      <c r="Y580">
        <f>IF(vp.data[[#This Row],[CrudeType]]="C5+",1,0)</f>
        <v>0</v>
      </c>
      <c r="Z580">
        <f>IF(AND(vp.data[[#This Row],[CrudeType]]="Crude",vp.data[[#This Row],[Dens]]&lt;=825,vp.data[[#This Row],[Sulf]]&gt;0.5,vp.data[[#This Row],[Unknown]]=0),1,0)</f>
        <v>1</v>
      </c>
      <c r="AA580">
        <f>IF(AND(vp.data[[#This Row],[CrudeType]]="Crude",vp.data[[#This Row],[Dens]]&lt;=825,vp.data[[#This Row],[Sulf]]&lt;=0.5,vp.data[[#This Row],[Unknown]]=0),1,0)</f>
        <v>0</v>
      </c>
      <c r="AB5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80">
        <f>IF(AND(vp.data[[#This Row],[CrudeType]]="Crude",vp.data[[#This Row],[Dens]]&gt;825,vp.data[[#This Row],[Dens]]&lt;=900,vp.data[[#This Row],[Sulf]]&lt;=0.5,vp.data[[#This Row],[Unknown]]=0),1,0)</f>
        <v>0</v>
      </c>
      <c r="AD580">
        <f>IF(AND(vp.data[[#This Row],[CrudeType]]="Crude",vp.data[[#This Row],[Dens]]&gt;865,vp.data[[#This Row],[Dens]]&lt;=900,vp.data[[#This Row],[Sulf]]&gt;2,vp.data[[#This Row],[Unknown]]=0),1,0)</f>
        <v>0</v>
      </c>
      <c r="AE580">
        <f>IF(AND(vp.data[[#This Row],[CrudeType]]="Crude",vp.data[[#This Row],[Dens]]&gt;900,vp.data[[#This Row],[Sulf]]&lt;=0.5,vp.data[[#This Row],[Unknown]]=0),1,0)</f>
        <v>0</v>
      </c>
      <c r="AF580">
        <f>IF(AND(vp.data[[#This Row],[CrudeType]]="Crude",vp.data[[#This Row],[Dens]]&gt;900,vp.data[[#This Row],[Sulf]]&lt;=0.5,vp.data[[#This Row],[Unknown]]=0),1,0)</f>
        <v>0</v>
      </c>
      <c r="AG580" t="str">
        <f>INDEX(vp.data[[#Headers],[Unknown]:[Heavy_SW]],MATCH(1,vp.data[[#This Row],[Unknown]:[Heavy_SW]],0))</f>
        <v>Light_LSB</v>
      </c>
      <c r="AH580">
        <f>INDEX([3]!crudeBD.lkup[Number],MATCH(vp.data[[#This Row],[Crude_Breakdown]],crudeBD.lkup[Crude Breakdown],0))</f>
        <v>1</v>
      </c>
      <c r="AI580">
        <f>MONTH(vp.data[[#This Row],[SDate]])</f>
        <v>1</v>
      </c>
      <c r="AJ580" s="5">
        <f>(vp.data[[#This Row],[VP]]-INDEX(crudeBD.lkup[Mean_VP],MATCH(vp.data[[#This Row],[Crude_Breakdown]],crudeBD.lkup[Crude Breakdown],0)))^2</f>
        <v>69.786215580826436</v>
      </c>
      <c r="AK580" s="5">
        <f>(vp.data[[#This Row],[Dens]]-INDEX(crudeBD.lkup[Mean_Dens],MATCH(vp.data[[#This Row],[Crude_Breakdown]],crudeBD.lkup[Crude Breakdown],0)))^2</f>
        <v>74.248721087369944</v>
      </c>
      <c r="AL580" s="5">
        <f>(vp.data[[#This Row],[Sulf]]-INDEX(crudeBD.lkup[Mean_Sulf],MATCH(vp.data[[#This Row],[Crude_Breakdown]],crudeBD.lkup[Crude Breakdown],0)))^2</f>
        <v>0.11086979897559178</v>
      </c>
      <c r="AM580" s="4">
        <f>IF(AND(vp.data[[#This Row],[SDate]]&gt;=DATE(YEAR(vp.data[[#This Row],[SDate]]),5,1),vp.data[[#This Row],[SDate]]&lt;=DATE(YEAR(vp.data[[#This Row],[SDate]]),9,15)),1,0)</f>
        <v>0</v>
      </c>
      <c r="AN580" s="4">
        <f>IF(vp.data[[#This Row],[SDate]]&lt;DATE(2016,12,1),0,1)</f>
        <v>1</v>
      </c>
      <c r="AO580" s="4">
        <f>IFERROR(vp.data[[#This Row],[Sulf]]*vp.data[[#This Row],[Net Dens]],"")</f>
        <v>10049431.543151001</v>
      </c>
      <c r="AP580">
        <f>IFERROR(vp.data[[#This Row],[Dens]]*vp.data[[#This Row],[VolumeM3]],"")</f>
        <v>17032934.8189</v>
      </c>
      <c r="AQ580" s="15">
        <f>IFERROR(vp.data[[#This Row],[VP]]*vp.data[[#This Row],[VolumeM3]],"")</f>
        <v>2100988.0089000002</v>
      </c>
    </row>
    <row r="581" spans="1:43" x14ac:dyDescent="0.25">
      <c r="A581">
        <v>580</v>
      </c>
      <c r="B581" t="s">
        <v>49</v>
      </c>
      <c r="C581" t="s">
        <v>49</v>
      </c>
      <c r="D581" t="s">
        <v>89</v>
      </c>
      <c r="F581" s="1">
        <v>42749</v>
      </c>
      <c r="G581" s="2">
        <v>104.1</v>
      </c>
      <c r="H581" s="2"/>
      <c r="I581" s="2">
        <f t="array" ref="I581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581" s="2">
        <v>3</v>
      </c>
      <c r="K581" s="2">
        <v>-22</v>
      </c>
      <c r="L581" s="2">
        <v>810.3</v>
      </c>
      <c r="M581" s="2">
        <f t="array" ref="M581">_xlfn.IFNA(IF(vp.data[[#This Row],[Dens Input]]="",INDEX([1]DATA!$O$3:$O$9826,MATCH(1,(vp.data[[#This Row],[Battery]]=[1]DATA!$L$3:$L$9826)*(EOMONTH(vp.data[[#This Row],[SDate]],-1)+1=[1]DATA!$G$3:$G$9826),0)),vp.data[[#This Row],[Dens Input]]),"")</f>
        <v>810.3</v>
      </c>
      <c r="N581" s="2">
        <f ca="1">INDEX(INDIRECT(_xlfn.CONCAT("weather.tbl[",N$1,"]")),MATCH(vp.data[[#This Row],[SDate]],weather.tbl[Date],0))</f>
        <v>-16.366666666666667</v>
      </c>
      <c r="O581" s="2">
        <f ca="1">INDEX(INDIRECT(_xlfn.CONCAT("weather.tbl[",O$1,"]")),MATCH(vp.data[[#This Row],[SDate]],weather.tbl[Date],0))</f>
        <v>-21.61904761904762</v>
      </c>
      <c r="P581" s="2">
        <f ca="1">INDEX(INDIRECT(_xlfn.CONCAT("weather.tbl[",P$1,"]")),MATCH(vp.data[[#This Row],[SDate]],weather.tbl[Date],0))</f>
        <v>-17.2</v>
      </c>
      <c r="Q581" s="2">
        <f ca="1">INDEX(INDIRECT(_xlfn.CONCAT("weather.tbl[",Q$1,"]")),MATCH(vp.data[[#This Row],[SDate]],weather.tbl[Date],0))</f>
        <v>-17.3</v>
      </c>
      <c r="R581" s="2">
        <f ca="1">INDEX(INDIRECT(_xlfn.CONCAT("weather.tbl[",R$1,"]")),MATCH(vp.data[[#This Row],[SDate]],weather.tbl[Date],0))</f>
        <v>-16</v>
      </c>
      <c r="S581" s="2">
        <f ca="1">INDEX(INDIRECT(_xlfn.CONCAT("weather.tbl[",S$1,"]")),MATCH(vp.data[[#This Row],[SDate]],weather.tbl[Date],0))</f>
        <v>-15.2</v>
      </c>
      <c r="T581" s="2">
        <f ca="1">INDEX(INDIRECT(_xlfn.CONCAT("weather.tbl[",T$1,"]")),MATCH(vp.data[[#This Row],[SDate]],weather.tbl[Date],0))</f>
        <v>-18.7</v>
      </c>
      <c r="U581" s="2">
        <f ca="1">INDEX(INDIRECT(_xlfn.CONCAT("weather.tbl[",U$1,"]")),MATCH(vp.data[[#This Row],[SDate]],weather.tbl[Date],0))</f>
        <v>-13.8</v>
      </c>
      <c r="V581" s="2">
        <f t="array" ref="V5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581" t="s">
        <v>48</v>
      </c>
      <c r="X581">
        <f>IF(OR(vp.data[[#This Row],[Sulf]]="",vp.data[[#This Row],[Dens]]=""),1,0)</f>
        <v>0</v>
      </c>
      <c r="Y581">
        <f>IF(vp.data[[#This Row],[CrudeType]]="C5+",1,0)</f>
        <v>0</v>
      </c>
      <c r="Z581">
        <f>IF(AND(vp.data[[#This Row],[CrudeType]]="Crude",vp.data[[#This Row],[Dens]]&lt;=825,vp.data[[#This Row],[Sulf]]&gt;0.5,vp.data[[#This Row],[Unknown]]=0),1,0)</f>
        <v>1</v>
      </c>
      <c r="AA581">
        <f>IF(AND(vp.data[[#This Row],[CrudeType]]="Crude",vp.data[[#This Row],[Dens]]&lt;=825,vp.data[[#This Row],[Sulf]]&lt;=0.5,vp.data[[#This Row],[Unknown]]=0),1,0)</f>
        <v>0</v>
      </c>
      <c r="AB5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81">
        <f>IF(AND(vp.data[[#This Row],[CrudeType]]="Crude",vp.data[[#This Row],[Dens]]&gt;825,vp.data[[#This Row],[Dens]]&lt;=900,vp.data[[#This Row],[Sulf]]&lt;=0.5,vp.data[[#This Row],[Unknown]]=0),1,0)</f>
        <v>0</v>
      </c>
      <c r="AD581">
        <f>IF(AND(vp.data[[#This Row],[CrudeType]]="Crude",vp.data[[#This Row],[Dens]]&gt;865,vp.data[[#This Row],[Dens]]&lt;=900,vp.data[[#This Row],[Sulf]]&gt;2,vp.data[[#This Row],[Unknown]]=0),1,0)</f>
        <v>0</v>
      </c>
      <c r="AE581">
        <f>IF(AND(vp.data[[#This Row],[CrudeType]]="Crude",vp.data[[#This Row],[Dens]]&gt;900,vp.data[[#This Row],[Sulf]]&lt;=0.5,vp.data[[#This Row],[Unknown]]=0),1,0)</f>
        <v>0</v>
      </c>
      <c r="AF581">
        <f>IF(AND(vp.data[[#This Row],[CrudeType]]="Crude",vp.data[[#This Row],[Dens]]&gt;900,vp.data[[#This Row],[Sulf]]&lt;=0.5,vp.data[[#This Row],[Unknown]]=0),1,0)</f>
        <v>0</v>
      </c>
      <c r="AG581" t="str">
        <f>INDEX(vp.data[[#Headers],[Unknown]:[Heavy_SW]],MATCH(1,vp.data[[#This Row],[Unknown]:[Heavy_SW]],0))</f>
        <v>Light_LSB</v>
      </c>
      <c r="AH581">
        <f>INDEX([3]!crudeBD.lkup[Number],MATCH(vp.data[[#This Row],[Crude_Breakdown]],crudeBD.lkup[Crude Breakdown],0))</f>
        <v>1</v>
      </c>
      <c r="AI581">
        <f>MONTH(vp.data[[#This Row],[SDate]])</f>
        <v>1</v>
      </c>
      <c r="AJ581" s="5">
        <f>(vp.data[[#This Row],[VP]]-INDEX(crudeBD.lkup[Mean_VP],MATCH(vp.data[[#This Row],[Crude_Breakdown]],crudeBD.lkup[Crude Breakdown],0)))^2</f>
        <v>157.59825681793936</v>
      </c>
      <c r="AK581" s="5">
        <f>(vp.data[[#This Row],[Dens]]-INDEX(crudeBD.lkup[Mean_Dens],MATCH(vp.data[[#This Row],[Crude_Breakdown]],crudeBD.lkup[Crude Breakdown],0)))^2</f>
        <v>67.51530527981042</v>
      </c>
      <c r="AL581" s="5">
        <f>(vp.data[[#This Row],[Sulf]]-INDEX(crudeBD.lkup[Mean_Sulf],MATCH(vp.data[[#This Row],[Crude_Breakdown]],crudeBD.lkup[Crude Breakdown],0)))^2</f>
        <v>4.9716141930918292E-2</v>
      </c>
      <c r="AM581" s="4">
        <f>IF(AND(vp.data[[#This Row],[SDate]]&gt;=DATE(YEAR(vp.data[[#This Row],[SDate]]),5,1),vp.data[[#This Row],[SDate]]&lt;=DATE(YEAR(vp.data[[#This Row],[SDate]]),9,15)),1,0)</f>
        <v>0</v>
      </c>
      <c r="AN581" s="4">
        <f>IF(vp.data[[#This Row],[SDate]]&lt;DATE(2016,12,1),0,1)</f>
        <v>1</v>
      </c>
      <c r="AO581" s="4">
        <f>IFERROR(vp.data[[#This Row],[Sulf]]*vp.data[[#This Row],[Net Dens]],"")</f>
        <v>3505108.7948099994</v>
      </c>
      <c r="AP581">
        <f>IFERROR(vp.data[[#This Row],[Dens]]*vp.data[[#This Row],[VolumeM3]],"")</f>
        <v>5007298.2782999994</v>
      </c>
      <c r="AQ581" s="15">
        <f>IFERROR(vp.data[[#This Row],[VP]]*vp.data[[#This Row],[VolumeM3]],"")</f>
        <v>643292.30009999988</v>
      </c>
    </row>
    <row r="582" spans="1:43" x14ac:dyDescent="0.25">
      <c r="A582">
        <v>581</v>
      </c>
      <c r="B582" t="s">
        <v>49</v>
      </c>
      <c r="C582" t="s">
        <v>49</v>
      </c>
      <c r="D582" t="s">
        <v>99</v>
      </c>
      <c r="F582" s="1">
        <v>42749</v>
      </c>
      <c r="G582" s="2">
        <v>84</v>
      </c>
      <c r="H582" s="2"/>
      <c r="I582" s="2">
        <f t="array" ref="I582">_xlfn.IFNA(IF(vp.data[[#This Row],[Sulf Input]]="",INDEX([1]DATA!$Q$3:$Q$9826,MATCH(1,(vp.data[[#This Row],[Battery]]=[1]DATA!$L$3:$L$9826)*(EOMONTH(vp.data[[#This Row],[SDate]],-1)+1=[1]DATA!$G$3:$G$9826),0)),vp.data[[#This Row],[Sulf Input]]),"")</f>
        <v>0.47</v>
      </c>
      <c r="J582" s="2">
        <v>8</v>
      </c>
      <c r="K582" s="2">
        <v>-22</v>
      </c>
      <c r="L582" s="2">
        <v>814.6</v>
      </c>
      <c r="M582" s="2">
        <f t="array" ref="M582">_xlfn.IFNA(IF(vp.data[[#This Row],[Dens Input]]="",INDEX([1]DATA!$O$3:$O$9826,MATCH(1,(vp.data[[#This Row],[Battery]]=[1]DATA!$L$3:$L$9826)*(EOMONTH(vp.data[[#This Row],[SDate]],-1)+1=[1]DATA!$G$3:$G$9826),0)),vp.data[[#This Row],[Dens Input]]),"")</f>
        <v>814.6</v>
      </c>
      <c r="N582" s="2">
        <f ca="1">INDEX(INDIRECT(_xlfn.CONCAT("weather.tbl[",N$1,"]")),MATCH(vp.data[[#This Row],[SDate]],weather.tbl[Date],0))</f>
        <v>-16.366666666666667</v>
      </c>
      <c r="O582" s="2">
        <f ca="1">INDEX(INDIRECT(_xlfn.CONCAT("weather.tbl[",O$1,"]")),MATCH(vp.data[[#This Row],[SDate]],weather.tbl[Date],0))</f>
        <v>-21.61904761904762</v>
      </c>
      <c r="P582" s="2">
        <f ca="1">INDEX(INDIRECT(_xlfn.CONCAT("weather.tbl[",P$1,"]")),MATCH(vp.data[[#This Row],[SDate]],weather.tbl[Date],0))</f>
        <v>-17.2</v>
      </c>
      <c r="Q582" s="2">
        <f ca="1">INDEX(INDIRECT(_xlfn.CONCAT("weather.tbl[",Q$1,"]")),MATCH(vp.data[[#This Row],[SDate]],weather.tbl[Date],0))</f>
        <v>-17.3</v>
      </c>
      <c r="R582" s="2">
        <f ca="1">INDEX(INDIRECT(_xlfn.CONCAT("weather.tbl[",R$1,"]")),MATCH(vp.data[[#This Row],[SDate]],weather.tbl[Date],0))</f>
        <v>-16</v>
      </c>
      <c r="S582" s="2">
        <f ca="1">INDEX(INDIRECT(_xlfn.CONCAT("weather.tbl[",S$1,"]")),MATCH(vp.data[[#This Row],[SDate]],weather.tbl[Date],0))</f>
        <v>-15.2</v>
      </c>
      <c r="T582" s="2">
        <f ca="1">INDEX(INDIRECT(_xlfn.CONCAT("weather.tbl[",T$1,"]")),MATCH(vp.data[[#This Row],[SDate]],weather.tbl[Date],0))</f>
        <v>-18.7</v>
      </c>
      <c r="U582" s="2">
        <f ca="1">INDEX(INDIRECT(_xlfn.CONCAT("weather.tbl[",U$1,"]")),MATCH(vp.data[[#This Row],[SDate]],weather.tbl[Date],0))</f>
        <v>-13.8</v>
      </c>
      <c r="V582" s="2">
        <f t="array" ref="V5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2607.1970000000001</v>
      </c>
      <c r="W582" t="s">
        <v>48</v>
      </c>
      <c r="X582">
        <f>IF(OR(vp.data[[#This Row],[Sulf]]="",vp.data[[#This Row],[Dens]]=""),1,0)</f>
        <v>0</v>
      </c>
      <c r="Y582">
        <f>IF(vp.data[[#This Row],[CrudeType]]="C5+",1,0)</f>
        <v>0</v>
      </c>
      <c r="Z582">
        <f>IF(AND(vp.data[[#This Row],[CrudeType]]="Crude",vp.data[[#This Row],[Dens]]&lt;=825,vp.data[[#This Row],[Sulf]]&gt;0.5,vp.data[[#This Row],[Unknown]]=0),1,0)</f>
        <v>0</v>
      </c>
      <c r="AA582">
        <f>IF(AND(vp.data[[#This Row],[CrudeType]]="Crude",vp.data[[#This Row],[Dens]]&lt;=825,vp.data[[#This Row],[Sulf]]&lt;=0.5,vp.data[[#This Row],[Unknown]]=0),1,0)</f>
        <v>1</v>
      </c>
      <c r="AB5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82">
        <f>IF(AND(vp.data[[#This Row],[CrudeType]]="Crude",vp.data[[#This Row],[Dens]]&gt;825,vp.data[[#This Row],[Dens]]&lt;=900,vp.data[[#This Row],[Sulf]]&lt;=0.5,vp.data[[#This Row],[Unknown]]=0),1,0)</f>
        <v>0</v>
      </c>
      <c r="AD582">
        <f>IF(AND(vp.data[[#This Row],[CrudeType]]="Crude",vp.data[[#This Row],[Dens]]&gt;865,vp.data[[#This Row],[Dens]]&lt;=900,vp.data[[#This Row],[Sulf]]&gt;2,vp.data[[#This Row],[Unknown]]=0),1,0)</f>
        <v>0</v>
      </c>
      <c r="AE582">
        <f>IF(AND(vp.data[[#This Row],[CrudeType]]="Crude",vp.data[[#This Row],[Dens]]&gt;900,vp.data[[#This Row],[Sulf]]&lt;=0.5,vp.data[[#This Row],[Unknown]]=0),1,0)</f>
        <v>0</v>
      </c>
      <c r="AF582">
        <f>IF(AND(vp.data[[#This Row],[CrudeType]]="Crude",vp.data[[#This Row],[Dens]]&gt;900,vp.data[[#This Row],[Sulf]]&lt;=0.5,vp.data[[#This Row],[Unknown]]=0),1,0)</f>
        <v>0</v>
      </c>
      <c r="AG582" t="str">
        <f>INDEX(vp.data[[#Headers],[Unknown]:[Heavy_SW]],MATCH(1,vp.data[[#This Row],[Unknown]:[Heavy_SW]],0))</f>
        <v>Light_SW</v>
      </c>
      <c r="AH582">
        <f>INDEX([3]!crudeBD.lkup[Number],MATCH(vp.data[[#This Row],[Crude_Breakdown]],crudeBD.lkup[Crude Breakdown],0))</f>
        <v>2</v>
      </c>
      <c r="AI582">
        <f>MONTH(vp.data[[#This Row],[SDate]])</f>
        <v>1</v>
      </c>
      <c r="AJ582" s="5">
        <f>(vp.data[[#This Row],[VP]]-INDEX(crudeBD.lkup[Mean_VP],MATCH(vp.data[[#This Row],[Crude_Breakdown]],crudeBD.lkup[Crude Breakdown],0)))^2</f>
        <v>73.107862467675446</v>
      </c>
      <c r="AK582" s="5">
        <f>(vp.data[[#This Row],[Dens]]-INDEX(crudeBD.lkup[Mean_Dens],MATCH(vp.data[[#This Row],[Crude_Breakdown]],crudeBD.lkup[Crude Breakdown],0)))^2</f>
        <v>39.545254161155896</v>
      </c>
      <c r="AL582" s="5">
        <f>(vp.data[[#This Row],[Sulf]]-INDEX(crudeBD.lkup[Mean_Sulf],MATCH(vp.data[[#This Row],[Crude_Breakdown]],crudeBD.lkup[Crude Breakdown],0)))^2</f>
        <v>5.4642890528718388E-2</v>
      </c>
      <c r="AM582" s="4">
        <f>IF(AND(vp.data[[#This Row],[SDate]]&gt;=DATE(YEAR(vp.data[[#This Row],[SDate]]),5,1),vp.data[[#This Row],[SDate]]&lt;=DATE(YEAR(vp.data[[#This Row],[SDate]]),9,15)),1,0)</f>
        <v>0</v>
      </c>
      <c r="AN582" s="4">
        <f>IF(vp.data[[#This Row],[SDate]]&lt;DATE(2016,12,1),0,1)</f>
        <v>1</v>
      </c>
      <c r="AO582" s="4">
        <f>IFERROR(vp.data[[#This Row],[Sulf]]*vp.data[[#This Row],[Net Dens]],"")</f>
        <v>998196.65781400003</v>
      </c>
      <c r="AP582">
        <f>IFERROR(vp.data[[#This Row],[Dens]]*vp.data[[#This Row],[VolumeM3]],"")</f>
        <v>2123822.6762000001</v>
      </c>
      <c r="AQ582" s="15">
        <f>IFERROR(vp.data[[#This Row],[VP]]*vp.data[[#This Row],[VolumeM3]],"")</f>
        <v>219004.54800000001</v>
      </c>
    </row>
    <row r="583" spans="1:43" x14ac:dyDescent="0.25">
      <c r="A583">
        <v>582</v>
      </c>
      <c r="B583" t="s">
        <v>49</v>
      </c>
      <c r="C583" t="s">
        <v>49</v>
      </c>
      <c r="D583" t="s">
        <v>67</v>
      </c>
      <c r="F583" s="1">
        <v>42749</v>
      </c>
      <c r="G583" s="2">
        <v>110.7</v>
      </c>
      <c r="H583" s="2"/>
      <c r="I583" s="2">
        <f t="array" ref="I583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83" s="2">
        <v>0</v>
      </c>
      <c r="K583" s="2">
        <v>-22</v>
      </c>
      <c r="L583" s="2">
        <v>814.8</v>
      </c>
      <c r="M583" s="2">
        <f t="array" ref="M583">_xlfn.IFNA(IF(vp.data[[#This Row],[Dens Input]]="",INDEX([1]DATA!$O$3:$O$9826,MATCH(1,(vp.data[[#This Row],[Battery]]=[1]DATA!$L$3:$L$9826)*(EOMONTH(vp.data[[#This Row],[SDate]],-1)+1=[1]DATA!$G$3:$G$9826),0)),vp.data[[#This Row],[Dens Input]]),"")</f>
        <v>814.8</v>
      </c>
      <c r="N583" s="2">
        <f ca="1">INDEX(INDIRECT(_xlfn.CONCAT("weather.tbl[",N$1,"]")),MATCH(vp.data[[#This Row],[SDate]],weather.tbl[Date],0))</f>
        <v>-16.366666666666667</v>
      </c>
      <c r="O583" s="2">
        <f ca="1">INDEX(INDIRECT(_xlfn.CONCAT("weather.tbl[",O$1,"]")),MATCH(vp.data[[#This Row],[SDate]],weather.tbl[Date],0))</f>
        <v>-21.61904761904762</v>
      </c>
      <c r="P583" s="2">
        <f ca="1">INDEX(INDIRECT(_xlfn.CONCAT("weather.tbl[",P$1,"]")),MATCH(vp.data[[#This Row],[SDate]],weather.tbl[Date],0))</f>
        <v>-17.2</v>
      </c>
      <c r="Q583" s="2">
        <f ca="1">INDEX(INDIRECT(_xlfn.CONCAT("weather.tbl[",Q$1,"]")),MATCH(vp.data[[#This Row],[SDate]],weather.tbl[Date],0))</f>
        <v>-17.3</v>
      </c>
      <c r="R583" s="2">
        <f ca="1">INDEX(INDIRECT(_xlfn.CONCAT("weather.tbl[",R$1,"]")),MATCH(vp.data[[#This Row],[SDate]],weather.tbl[Date],0))</f>
        <v>-16</v>
      </c>
      <c r="S583" s="2">
        <f ca="1">INDEX(INDIRECT(_xlfn.CONCAT("weather.tbl[",S$1,"]")),MATCH(vp.data[[#This Row],[SDate]],weather.tbl[Date],0))</f>
        <v>-15.2</v>
      </c>
      <c r="T583" s="2">
        <f ca="1">INDEX(INDIRECT(_xlfn.CONCAT("weather.tbl[",T$1,"]")),MATCH(vp.data[[#This Row],[SDate]],weather.tbl[Date],0))</f>
        <v>-18.7</v>
      </c>
      <c r="U583" s="2">
        <f ca="1">INDEX(INDIRECT(_xlfn.CONCAT("weather.tbl[",U$1,"]")),MATCH(vp.data[[#This Row],[SDate]],weather.tbl[Date],0))</f>
        <v>-13.8</v>
      </c>
      <c r="V583" s="2">
        <f t="array" ref="V5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583" t="s">
        <v>48</v>
      </c>
      <c r="X583">
        <f>IF(OR(vp.data[[#This Row],[Sulf]]="",vp.data[[#This Row],[Dens]]=""),1,0)</f>
        <v>0</v>
      </c>
      <c r="Y583">
        <f>IF(vp.data[[#This Row],[CrudeType]]="C5+",1,0)</f>
        <v>0</v>
      </c>
      <c r="Z583">
        <f>IF(AND(vp.data[[#This Row],[CrudeType]]="Crude",vp.data[[#This Row],[Dens]]&lt;=825,vp.data[[#This Row],[Sulf]]&gt;0.5,vp.data[[#This Row],[Unknown]]=0),1,0)</f>
        <v>1</v>
      </c>
      <c r="AA583">
        <f>IF(AND(vp.data[[#This Row],[CrudeType]]="Crude",vp.data[[#This Row],[Dens]]&lt;=825,vp.data[[#This Row],[Sulf]]&lt;=0.5,vp.data[[#This Row],[Unknown]]=0),1,0)</f>
        <v>0</v>
      </c>
      <c r="AB5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83">
        <f>IF(AND(vp.data[[#This Row],[CrudeType]]="Crude",vp.data[[#This Row],[Dens]]&gt;825,vp.data[[#This Row],[Dens]]&lt;=900,vp.data[[#This Row],[Sulf]]&lt;=0.5,vp.data[[#This Row],[Unknown]]=0),1,0)</f>
        <v>0</v>
      </c>
      <c r="AD583">
        <f>IF(AND(vp.data[[#This Row],[CrudeType]]="Crude",vp.data[[#This Row],[Dens]]&gt;865,vp.data[[#This Row],[Dens]]&lt;=900,vp.data[[#This Row],[Sulf]]&gt;2,vp.data[[#This Row],[Unknown]]=0),1,0)</f>
        <v>0</v>
      </c>
      <c r="AE583">
        <f>IF(AND(vp.data[[#This Row],[CrudeType]]="Crude",vp.data[[#This Row],[Dens]]&gt;900,vp.data[[#This Row],[Sulf]]&lt;=0.5,vp.data[[#This Row],[Unknown]]=0),1,0)</f>
        <v>0</v>
      </c>
      <c r="AF583">
        <f>IF(AND(vp.data[[#This Row],[CrudeType]]="Crude",vp.data[[#This Row],[Dens]]&gt;900,vp.data[[#This Row],[Sulf]]&lt;=0.5,vp.data[[#This Row],[Unknown]]=0),1,0)</f>
        <v>0</v>
      </c>
      <c r="AG583" t="str">
        <f>INDEX(vp.data[[#Headers],[Unknown]:[Heavy_SW]],MATCH(1,vp.data[[#This Row],[Unknown]:[Heavy_SW]],0))</f>
        <v>Light_LSB</v>
      </c>
      <c r="AH583">
        <f>INDEX([3]!crudeBD.lkup[Number],MATCH(vp.data[[#This Row],[Crude_Breakdown]],crudeBD.lkup[Crude Breakdown],0))</f>
        <v>1</v>
      </c>
      <c r="AI583">
        <f>MONTH(vp.data[[#This Row],[SDate]])</f>
        <v>1</v>
      </c>
      <c r="AJ583" s="5">
        <f>(vp.data[[#This Row],[VP]]-INDEX(crudeBD.lkup[Mean_VP],MATCH(vp.data[[#This Row],[Crude_Breakdown]],crudeBD.lkup[Crude Breakdown],0)))^2</f>
        <v>366.86860733340308</v>
      </c>
      <c r="AK583" s="5">
        <f>(vp.data[[#This Row],[Dens]]-INDEX(crudeBD.lkup[Mean_Dens],MATCH(vp.data[[#This Row],[Crude_Breakdown]],crudeBD.lkup[Crude Breakdown],0)))^2</f>
        <v>13.814377444761291</v>
      </c>
      <c r="AL583" s="5">
        <f>(vp.data[[#This Row],[Sulf]]-INDEX(crudeBD.lkup[Mean_Sulf],MATCH(vp.data[[#This Row],[Crude_Breakdown]],crudeBD.lkup[Crude Breakdown],0)))^2</f>
        <v>0.11086979897559178</v>
      </c>
      <c r="AM583" s="4">
        <f>IF(AND(vp.data[[#This Row],[SDate]]&gt;=DATE(YEAR(vp.data[[#This Row],[SDate]]),5,1),vp.data[[#This Row],[SDate]]&lt;=DATE(YEAR(vp.data[[#This Row],[SDate]]),9,15)),1,0)</f>
        <v>0</v>
      </c>
      <c r="AN583" s="4">
        <f>IF(vp.data[[#This Row],[SDate]]&lt;DATE(2016,12,1),0,1)</f>
        <v>1</v>
      </c>
      <c r="AO583" s="4">
        <f>IFERROR(vp.data[[#This Row],[Sulf]]*vp.data[[#This Row],[Net Dens]],"")</f>
        <v>58716543.984839991</v>
      </c>
      <c r="AP583">
        <f>IFERROR(vp.data[[#This Row],[Dens]]*vp.data[[#This Row],[VolumeM3]],"")</f>
        <v>99519566.07599999</v>
      </c>
      <c r="AQ583" s="15">
        <f>IFERROR(vp.data[[#This Row],[VP]]*vp.data[[#This Row],[VolumeM3]],"")</f>
        <v>13520883.608999999</v>
      </c>
    </row>
    <row r="584" spans="1:43" x14ac:dyDescent="0.25">
      <c r="A584">
        <v>583</v>
      </c>
      <c r="B584" t="s">
        <v>49</v>
      </c>
      <c r="C584" t="s">
        <v>49</v>
      </c>
      <c r="D584" t="s">
        <v>124</v>
      </c>
      <c r="F584" s="1">
        <v>42749</v>
      </c>
      <c r="G584" s="2">
        <v>61.4</v>
      </c>
      <c r="H584" s="2"/>
      <c r="I584" s="2">
        <f t="array" ref="I584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584" s="2">
        <v>17</v>
      </c>
      <c r="K584" s="2">
        <v>-22</v>
      </c>
      <c r="L584" s="2">
        <v>848.8</v>
      </c>
      <c r="M584" s="2">
        <f t="array" ref="M584">_xlfn.IFNA(IF(vp.data[[#This Row],[Dens Input]]="",INDEX([1]DATA!$O$3:$O$9826,MATCH(1,(vp.data[[#This Row],[Battery]]=[1]DATA!$L$3:$L$9826)*(EOMONTH(vp.data[[#This Row],[SDate]],-1)+1=[1]DATA!$G$3:$G$9826),0)),vp.data[[#This Row],[Dens Input]]),"")</f>
        <v>848.8</v>
      </c>
      <c r="N584" s="2">
        <f ca="1">INDEX(INDIRECT(_xlfn.CONCAT("weather.tbl[",N$1,"]")),MATCH(vp.data[[#This Row],[SDate]],weather.tbl[Date],0))</f>
        <v>-16.366666666666667</v>
      </c>
      <c r="O584" s="2">
        <f ca="1">INDEX(INDIRECT(_xlfn.CONCAT("weather.tbl[",O$1,"]")),MATCH(vp.data[[#This Row],[SDate]],weather.tbl[Date],0))</f>
        <v>-21.61904761904762</v>
      </c>
      <c r="P584" s="2">
        <f ca="1">INDEX(INDIRECT(_xlfn.CONCAT("weather.tbl[",P$1,"]")),MATCH(vp.data[[#This Row],[SDate]],weather.tbl[Date],0))</f>
        <v>-17.2</v>
      </c>
      <c r="Q584" s="2">
        <f ca="1">INDEX(INDIRECT(_xlfn.CONCAT("weather.tbl[",Q$1,"]")),MATCH(vp.data[[#This Row],[SDate]],weather.tbl[Date],0))</f>
        <v>-17.3</v>
      </c>
      <c r="R584" s="2">
        <f ca="1">INDEX(INDIRECT(_xlfn.CONCAT("weather.tbl[",R$1,"]")),MATCH(vp.data[[#This Row],[SDate]],weather.tbl[Date],0))</f>
        <v>-16</v>
      </c>
      <c r="S584" s="2">
        <f ca="1">INDEX(INDIRECT(_xlfn.CONCAT("weather.tbl[",S$1,"]")),MATCH(vp.data[[#This Row],[SDate]],weather.tbl[Date],0))</f>
        <v>-15.2</v>
      </c>
      <c r="T584" s="2">
        <f ca="1">INDEX(INDIRECT(_xlfn.CONCAT("weather.tbl[",T$1,"]")),MATCH(vp.data[[#This Row],[SDate]],weather.tbl[Date],0))</f>
        <v>-18.7</v>
      </c>
      <c r="U584" s="2">
        <f ca="1">INDEX(INDIRECT(_xlfn.CONCAT("weather.tbl[",U$1,"]")),MATCH(vp.data[[#This Row],[SDate]],weather.tbl[Date],0))</f>
        <v>-13.8</v>
      </c>
      <c r="V584" s="2">
        <f t="array" ref="V5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1326.066</v>
      </c>
      <c r="W584" t="s">
        <v>48</v>
      </c>
      <c r="X584">
        <f>IF(OR(vp.data[[#This Row],[Sulf]]="",vp.data[[#This Row],[Dens]]=""),1,0)</f>
        <v>0</v>
      </c>
      <c r="Y584">
        <f>IF(vp.data[[#This Row],[CrudeType]]="C5+",1,0)</f>
        <v>0</v>
      </c>
      <c r="Z584">
        <f>IF(AND(vp.data[[#This Row],[CrudeType]]="Crude",vp.data[[#This Row],[Dens]]&lt;=825,vp.data[[#This Row],[Sulf]]&gt;0.5,vp.data[[#This Row],[Unknown]]=0),1,0)</f>
        <v>0</v>
      </c>
      <c r="AA584">
        <f>IF(AND(vp.data[[#This Row],[CrudeType]]="Crude",vp.data[[#This Row],[Dens]]&lt;=825,vp.data[[#This Row],[Sulf]]&lt;=0.5,vp.data[[#This Row],[Unknown]]=0),1,0)</f>
        <v>0</v>
      </c>
      <c r="AB5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4">
        <f>IF(AND(vp.data[[#This Row],[CrudeType]]="Crude",vp.data[[#This Row],[Dens]]&gt;825,vp.data[[#This Row],[Dens]]&lt;=900,vp.data[[#This Row],[Sulf]]&lt;=0.5,vp.data[[#This Row],[Unknown]]=0),1,0)</f>
        <v>0</v>
      </c>
      <c r="AD584">
        <f>IF(AND(vp.data[[#This Row],[CrudeType]]="Crude",vp.data[[#This Row],[Dens]]&gt;865,vp.data[[#This Row],[Dens]]&lt;=900,vp.data[[#This Row],[Sulf]]&gt;2,vp.data[[#This Row],[Unknown]]=0),1,0)</f>
        <v>0</v>
      </c>
      <c r="AE584">
        <f>IF(AND(vp.data[[#This Row],[CrudeType]]="Crude",vp.data[[#This Row],[Dens]]&gt;900,vp.data[[#This Row],[Sulf]]&lt;=0.5,vp.data[[#This Row],[Unknown]]=0),1,0)</f>
        <v>0</v>
      </c>
      <c r="AF584">
        <f>IF(AND(vp.data[[#This Row],[CrudeType]]="Crude",vp.data[[#This Row],[Dens]]&gt;900,vp.data[[#This Row],[Sulf]]&lt;=0.5,vp.data[[#This Row],[Unknown]]=0),1,0)</f>
        <v>0</v>
      </c>
      <c r="AG584" t="str">
        <f>INDEX(vp.data[[#Headers],[Unknown]:[Heavy_SW]],MATCH(1,vp.data[[#This Row],[Unknown]:[Heavy_SW]],0))</f>
        <v>Medium_LSB</v>
      </c>
      <c r="AH584">
        <f>INDEX([3]!crudeBD.lkup[Number],MATCH(vp.data[[#This Row],[Crude_Breakdown]],crudeBD.lkup[Crude Breakdown],0))</f>
        <v>3</v>
      </c>
      <c r="AI584">
        <f>MONTH(vp.data[[#This Row],[SDate]])</f>
        <v>1</v>
      </c>
      <c r="AJ584" s="5">
        <f>(vp.data[[#This Row],[VP]]-INDEX(crudeBD.lkup[Mean_VP],MATCH(vp.data[[#This Row],[Crude_Breakdown]],crudeBD.lkup[Crude Breakdown],0)))^2</f>
        <v>370.16515374343129</v>
      </c>
      <c r="AK584" s="5">
        <f>(vp.data[[#This Row],[Dens]]-INDEX(crudeBD.lkup[Mean_Dens],MATCH(vp.data[[#This Row],[Crude_Breakdown]],crudeBD.lkup[Crude Breakdown],0)))^2</f>
        <v>23.814400000004394</v>
      </c>
      <c r="AL584" s="5">
        <f>(vp.data[[#This Row],[Sulf]]-INDEX(crudeBD.lkup[Mean_Sulf],MATCH(vp.data[[#This Row],[Crude_Breakdown]],crudeBD.lkup[Crude Breakdown],0)))^2</f>
        <v>0.83647829473450352</v>
      </c>
      <c r="AM584" s="4">
        <f>IF(AND(vp.data[[#This Row],[SDate]]&gt;=DATE(YEAR(vp.data[[#This Row],[SDate]]),5,1),vp.data[[#This Row],[SDate]]&lt;=DATE(YEAR(vp.data[[#This Row],[SDate]]),9,15)),1,0)</f>
        <v>0</v>
      </c>
      <c r="AN584" s="4">
        <f>IF(vp.data[[#This Row],[SDate]]&lt;DATE(2016,12,1),0,1)</f>
        <v>1</v>
      </c>
      <c r="AO584" s="4">
        <f>IFERROR(vp.data[[#This Row],[Sulf]]*vp.data[[#This Row],[Net Dens]],"")</f>
        <v>2588799.0878399997</v>
      </c>
      <c r="AP584">
        <f>IFERROR(vp.data[[#This Row],[Dens]]*vp.data[[#This Row],[VolumeM3]],"")</f>
        <v>1125564.8207999999</v>
      </c>
      <c r="AQ584" s="15">
        <f>IFERROR(vp.data[[#This Row],[VP]]*vp.data[[#This Row],[VolumeM3]],"")</f>
        <v>81420.452399999995</v>
      </c>
    </row>
    <row r="585" spans="1:43" x14ac:dyDescent="0.25">
      <c r="A585">
        <v>584</v>
      </c>
      <c r="B585" t="s">
        <v>68</v>
      </c>
      <c r="C585" t="s">
        <v>68</v>
      </c>
      <c r="D585" t="s">
        <v>125</v>
      </c>
      <c r="F585" s="1">
        <v>42749</v>
      </c>
      <c r="G585" s="2">
        <v>67.2</v>
      </c>
      <c r="H585" s="2"/>
      <c r="I585" s="2">
        <f t="array" ref="I585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585" s="2">
        <v>1</v>
      </c>
      <c r="K585" s="2">
        <v>-22</v>
      </c>
      <c r="L585" s="2">
        <v>853.5</v>
      </c>
      <c r="M585" s="2">
        <f t="array" ref="M585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585" s="2">
        <f ca="1">INDEX(INDIRECT(_xlfn.CONCAT("weather.tbl[",N$1,"]")),MATCH(vp.data[[#This Row],[SDate]],weather.tbl[Date],0))</f>
        <v>-16.366666666666667</v>
      </c>
      <c r="O585" s="2">
        <f ca="1">INDEX(INDIRECT(_xlfn.CONCAT("weather.tbl[",O$1,"]")),MATCH(vp.data[[#This Row],[SDate]],weather.tbl[Date],0))</f>
        <v>-21.61904761904762</v>
      </c>
      <c r="P585" s="2">
        <f ca="1">INDEX(INDIRECT(_xlfn.CONCAT("weather.tbl[",P$1,"]")),MATCH(vp.data[[#This Row],[SDate]],weather.tbl[Date],0))</f>
        <v>-17.2</v>
      </c>
      <c r="Q585" s="2">
        <f ca="1">INDEX(INDIRECT(_xlfn.CONCAT("weather.tbl[",Q$1,"]")),MATCH(vp.data[[#This Row],[SDate]],weather.tbl[Date],0))</f>
        <v>-17.3</v>
      </c>
      <c r="R585" s="2">
        <f ca="1">INDEX(INDIRECT(_xlfn.CONCAT("weather.tbl[",R$1,"]")),MATCH(vp.data[[#This Row],[SDate]],weather.tbl[Date],0))</f>
        <v>-16</v>
      </c>
      <c r="S585" s="2">
        <f ca="1">INDEX(INDIRECT(_xlfn.CONCAT("weather.tbl[",S$1,"]")),MATCH(vp.data[[#This Row],[SDate]],weather.tbl[Date],0))</f>
        <v>-15.2</v>
      </c>
      <c r="T585" s="2">
        <f ca="1">INDEX(INDIRECT(_xlfn.CONCAT("weather.tbl[",T$1,"]")),MATCH(vp.data[[#This Row],[SDate]],weather.tbl[Date],0))</f>
        <v>-18.7</v>
      </c>
      <c r="U585" s="2">
        <f ca="1">INDEX(INDIRECT(_xlfn.CONCAT("weather.tbl[",U$1,"]")),MATCH(vp.data[[#This Row],[SDate]],weather.tbl[Date],0))</f>
        <v>-13.8</v>
      </c>
      <c r="V585" s="2">
        <f t="array" ref="V5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2281.7359999999999</v>
      </c>
      <c r="W585" t="s">
        <v>48</v>
      </c>
      <c r="X585">
        <f>IF(OR(vp.data[[#This Row],[Sulf]]="",vp.data[[#This Row],[Dens]]=""),1,0)</f>
        <v>0</v>
      </c>
      <c r="Y585">
        <f>IF(vp.data[[#This Row],[CrudeType]]="C5+",1,0)</f>
        <v>0</v>
      </c>
      <c r="Z585">
        <f>IF(AND(vp.data[[#This Row],[CrudeType]]="Crude",vp.data[[#This Row],[Dens]]&lt;=825,vp.data[[#This Row],[Sulf]]&gt;0.5,vp.data[[#This Row],[Unknown]]=0),1,0)</f>
        <v>0</v>
      </c>
      <c r="AA585">
        <f>IF(AND(vp.data[[#This Row],[CrudeType]]="Crude",vp.data[[#This Row],[Dens]]&lt;=825,vp.data[[#This Row],[Sulf]]&lt;=0.5,vp.data[[#This Row],[Unknown]]=0),1,0)</f>
        <v>0</v>
      </c>
      <c r="AB5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5">
        <f>IF(AND(vp.data[[#This Row],[CrudeType]]="Crude",vp.data[[#This Row],[Dens]]&gt;825,vp.data[[#This Row],[Dens]]&lt;=900,vp.data[[#This Row],[Sulf]]&lt;=0.5,vp.data[[#This Row],[Unknown]]=0),1,0)</f>
        <v>0</v>
      </c>
      <c r="AD585">
        <f>IF(AND(vp.data[[#This Row],[CrudeType]]="Crude",vp.data[[#This Row],[Dens]]&gt;865,vp.data[[#This Row],[Dens]]&lt;=900,vp.data[[#This Row],[Sulf]]&gt;2,vp.data[[#This Row],[Unknown]]=0),1,0)</f>
        <v>0</v>
      </c>
      <c r="AE585">
        <f>IF(AND(vp.data[[#This Row],[CrudeType]]="Crude",vp.data[[#This Row],[Dens]]&gt;900,vp.data[[#This Row],[Sulf]]&lt;=0.5,vp.data[[#This Row],[Unknown]]=0),1,0)</f>
        <v>0</v>
      </c>
      <c r="AF585">
        <f>IF(AND(vp.data[[#This Row],[CrudeType]]="Crude",vp.data[[#This Row],[Dens]]&gt;900,vp.data[[#This Row],[Sulf]]&lt;=0.5,vp.data[[#This Row],[Unknown]]=0),1,0)</f>
        <v>0</v>
      </c>
      <c r="AG585" t="str">
        <f>INDEX(vp.data[[#Headers],[Unknown]:[Heavy_SW]],MATCH(1,vp.data[[#This Row],[Unknown]:[Heavy_SW]],0))</f>
        <v>Medium_LSB</v>
      </c>
      <c r="AH585">
        <f>INDEX([3]!crudeBD.lkup[Number],MATCH(vp.data[[#This Row],[Crude_Breakdown]],crudeBD.lkup[Crude Breakdown],0))</f>
        <v>3</v>
      </c>
      <c r="AI585">
        <f>MONTH(vp.data[[#This Row],[SDate]])</f>
        <v>1</v>
      </c>
      <c r="AJ585" s="5">
        <f>(vp.data[[#This Row],[VP]]-INDEX(crudeBD.lkup[Mean_VP],MATCH(vp.data[[#This Row],[Crude_Breakdown]],crudeBD.lkup[Crude Breakdown],0)))^2</f>
        <v>180.62490576499536</v>
      </c>
      <c r="AK585" s="5">
        <f>(vp.data[[#This Row],[Dens]]-INDEX(crudeBD.lkup[Mean_Dens],MATCH(vp.data[[#This Row],[Crude_Breakdown]],crudeBD.lkup[Crude Breakdown],0)))^2</f>
        <v>91.776400000009502</v>
      </c>
      <c r="AL585" s="5">
        <f>(vp.data[[#This Row],[Sulf]]-INDEX(crudeBD.lkup[Mean_Sulf],MATCH(vp.data[[#This Row],[Crude_Breakdown]],crudeBD.lkup[Crude Breakdown],0)))^2</f>
        <v>3.4074159694074811E-2</v>
      </c>
      <c r="AM585" s="4">
        <f>IF(AND(vp.data[[#This Row],[SDate]]&gt;=DATE(YEAR(vp.data[[#This Row],[SDate]]),5,1),vp.data[[#This Row],[SDate]]&lt;=DATE(YEAR(vp.data[[#This Row],[SDate]]),9,15)),1,0)</f>
        <v>0</v>
      </c>
      <c r="AN585" s="4">
        <f>IF(vp.data[[#This Row],[SDate]]&lt;DATE(2016,12,1),0,1)</f>
        <v>1</v>
      </c>
      <c r="AO585" s="4">
        <f>IFERROR(vp.data[[#This Row],[Sulf]]*vp.data[[#This Row],[Net Dens]],"")</f>
        <v>3057514.8313199999</v>
      </c>
      <c r="AP585">
        <f>IFERROR(vp.data[[#This Row],[Dens]]*vp.data[[#This Row],[VolumeM3]],"")</f>
        <v>1947461.676</v>
      </c>
      <c r="AQ585" s="15">
        <f>IFERROR(vp.data[[#This Row],[VP]]*vp.data[[#This Row],[VolumeM3]],"")</f>
        <v>153332.65919999999</v>
      </c>
    </row>
    <row r="586" spans="1:43" x14ac:dyDescent="0.25">
      <c r="A586">
        <v>585</v>
      </c>
      <c r="B586" t="s">
        <v>62</v>
      </c>
      <c r="C586" t="s">
        <v>62</v>
      </c>
      <c r="D586" t="s">
        <v>63</v>
      </c>
      <c r="F586" s="1">
        <v>42750</v>
      </c>
      <c r="G586" s="2">
        <v>85.1</v>
      </c>
      <c r="H586" s="2"/>
      <c r="I586" s="2">
        <f t="array" ref="I586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586" s="2">
        <v>13</v>
      </c>
      <c r="K586" s="2">
        <v>-8</v>
      </c>
      <c r="L586" s="2">
        <v>837.2</v>
      </c>
      <c r="M586" s="2">
        <f t="array" ref="M586">_xlfn.IFNA(IF(vp.data[[#This Row],[Dens Input]]="",INDEX([1]DATA!$O$3:$O$9826,MATCH(1,(vp.data[[#This Row],[Battery]]=[1]DATA!$L$3:$L$9826)*(EOMONTH(vp.data[[#This Row],[SDate]],-1)+1=[1]DATA!$G$3:$G$9826),0)),vp.data[[#This Row],[Dens Input]]),"")</f>
        <v>837.2</v>
      </c>
      <c r="N586" s="2">
        <f ca="1">INDEX(INDIRECT(_xlfn.CONCAT("weather.tbl[",N$1,"]")),MATCH(vp.data[[#This Row],[SDate]],weather.tbl[Date],0))</f>
        <v>-12.466666666666667</v>
      </c>
      <c r="O586" s="2">
        <f ca="1">INDEX(INDIRECT(_xlfn.CONCAT("weather.tbl[",O$1,"]")),MATCH(vp.data[[#This Row],[SDate]],weather.tbl[Date],0))</f>
        <v>-20.254761904761903</v>
      </c>
      <c r="P586" s="2">
        <f ca="1">INDEX(INDIRECT(_xlfn.CONCAT("weather.tbl[",P$1,"]")),MATCH(vp.data[[#This Row],[SDate]],weather.tbl[Date],0))</f>
        <v>-12.9</v>
      </c>
      <c r="Q586" s="2">
        <f ca="1">INDEX(INDIRECT(_xlfn.CONCAT("weather.tbl[",Q$1,"]")),MATCH(vp.data[[#This Row],[SDate]],weather.tbl[Date],0))</f>
        <v>-12.5</v>
      </c>
      <c r="R586" s="2">
        <f ca="1">INDEX(INDIRECT(_xlfn.CONCAT("weather.tbl[",R$1,"]")),MATCH(vp.data[[#This Row],[SDate]],weather.tbl[Date],0))</f>
        <v>-13.8</v>
      </c>
      <c r="S586" s="2">
        <f ca="1">INDEX(INDIRECT(_xlfn.CONCAT("weather.tbl[",S$1,"]")),MATCH(vp.data[[#This Row],[SDate]],weather.tbl[Date],0))</f>
        <v>-11.4</v>
      </c>
      <c r="T586" s="2">
        <f ca="1">INDEX(INDIRECT(_xlfn.CONCAT("weather.tbl[",T$1,"]")),MATCH(vp.data[[#This Row],[SDate]],weather.tbl[Date],0))</f>
        <v>-13.7</v>
      </c>
      <c r="U586" s="2">
        <f ca="1">INDEX(INDIRECT(_xlfn.CONCAT("weather.tbl[",U$1,"]")),MATCH(vp.data[[#This Row],[SDate]],weather.tbl[Date],0))</f>
        <v>-10.5</v>
      </c>
      <c r="V586" s="2">
        <f t="array" ref="V5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586" t="s">
        <v>48</v>
      </c>
      <c r="X586">
        <f>IF(OR(vp.data[[#This Row],[Sulf]]="",vp.data[[#This Row],[Dens]]=""),1,0)</f>
        <v>0</v>
      </c>
      <c r="Y586">
        <f>IF(vp.data[[#This Row],[CrudeType]]="C5+",1,0)</f>
        <v>0</v>
      </c>
      <c r="Z586">
        <f>IF(AND(vp.data[[#This Row],[CrudeType]]="Crude",vp.data[[#This Row],[Dens]]&lt;=825,vp.data[[#This Row],[Sulf]]&gt;0.5,vp.data[[#This Row],[Unknown]]=0),1,0)</f>
        <v>0</v>
      </c>
      <c r="AA586">
        <f>IF(AND(vp.data[[#This Row],[CrudeType]]="Crude",vp.data[[#This Row],[Dens]]&lt;=825,vp.data[[#This Row],[Sulf]]&lt;=0.5,vp.data[[#This Row],[Unknown]]=0),1,0)</f>
        <v>0</v>
      </c>
      <c r="AB5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6">
        <f>IF(AND(vp.data[[#This Row],[CrudeType]]="Crude",vp.data[[#This Row],[Dens]]&gt;825,vp.data[[#This Row],[Dens]]&lt;=900,vp.data[[#This Row],[Sulf]]&lt;=0.5,vp.data[[#This Row],[Unknown]]=0),1,0)</f>
        <v>0</v>
      </c>
      <c r="AD586">
        <f>IF(AND(vp.data[[#This Row],[CrudeType]]="Crude",vp.data[[#This Row],[Dens]]&gt;865,vp.data[[#This Row],[Dens]]&lt;=900,vp.data[[#This Row],[Sulf]]&gt;2,vp.data[[#This Row],[Unknown]]=0),1,0)</f>
        <v>0</v>
      </c>
      <c r="AE586">
        <f>IF(AND(vp.data[[#This Row],[CrudeType]]="Crude",vp.data[[#This Row],[Dens]]&gt;900,vp.data[[#This Row],[Sulf]]&lt;=0.5,vp.data[[#This Row],[Unknown]]=0),1,0)</f>
        <v>0</v>
      </c>
      <c r="AF586">
        <f>IF(AND(vp.data[[#This Row],[CrudeType]]="Crude",vp.data[[#This Row],[Dens]]&gt;900,vp.data[[#This Row],[Sulf]]&lt;=0.5,vp.data[[#This Row],[Unknown]]=0),1,0)</f>
        <v>0</v>
      </c>
      <c r="AG586" t="str">
        <f>INDEX(vp.data[[#Headers],[Unknown]:[Heavy_SW]],MATCH(1,vp.data[[#This Row],[Unknown]:[Heavy_SW]],0))</f>
        <v>Medium_LSB</v>
      </c>
      <c r="AH586">
        <f>INDEX([3]!crudeBD.lkup[Number],MATCH(vp.data[[#This Row],[Crude_Breakdown]],crudeBD.lkup[Crude Breakdown],0))</f>
        <v>3</v>
      </c>
      <c r="AI586">
        <f>MONTH(vp.data[[#This Row],[SDate]])</f>
        <v>1</v>
      </c>
      <c r="AJ586" s="5">
        <f>(vp.data[[#This Row],[VP]]-INDEX(crudeBD.lkup[Mean_VP],MATCH(vp.data[[#This Row],[Crude_Breakdown]],crudeBD.lkup[Crude Breakdown],0)))^2</f>
        <v>19.894485279822735</v>
      </c>
      <c r="AK586" s="5">
        <f>(vp.data[[#This Row],[Dens]]-INDEX(crudeBD.lkup[Mean_Dens],MATCH(vp.data[[#This Row],[Crude_Breakdown]],crudeBD.lkup[Crude Breakdown],0)))^2</f>
        <v>45.158399999992724</v>
      </c>
      <c r="AL586" s="5">
        <f>(vp.data[[#This Row],[Sulf]]-INDEX(crudeBD.lkup[Mean_Sulf],MATCH(vp.data[[#This Row],[Crude_Breakdown]],crudeBD.lkup[Crude Breakdown],0)))^2</f>
        <v>8.9476224973095587E-3</v>
      </c>
      <c r="AM586" s="4">
        <f>IF(AND(vp.data[[#This Row],[SDate]]&gt;=DATE(YEAR(vp.data[[#This Row],[SDate]]),5,1),vp.data[[#This Row],[SDate]]&lt;=DATE(YEAR(vp.data[[#This Row],[SDate]]),9,15)),1,0)</f>
        <v>0</v>
      </c>
      <c r="AN586" s="4">
        <f>IF(vp.data[[#This Row],[SDate]]&lt;DATE(2016,12,1),0,1)</f>
        <v>1</v>
      </c>
      <c r="AO586" s="4">
        <f>IFERROR(vp.data[[#This Row],[Sulf]]*vp.data[[#This Row],[Net Dens]],"")</f>
        <v>6063632.7781120008</v>
      </c>
      <c r="AP586">
        <f>IFERROR(vp.data[[#This Row],[Dens]]*vp.data[[#This Row],[VolumeM3]],"")</f>
        <v>4097049.1744000004</v>
      </c>
      <c r="AQ586" s="15">
        <f>IFERROR(vp.data[[#This Row],[VP]]*vp.data[[#This Row],[VolumeM3]],"")</f>
        <v>416458.29519999999</v>
      </c>
    </row>
    <row r="587" spans="1:43" x14ac:dyDescent="0.25">
      <c r="A587">
        <v>586</v>
      </c>
      <c r="B587" t="s">
        <v>51</v>
      </c>
      <c r="C587" t="s">
        <v>51</v>
      </c>
      <c r="D587" t="s">
        <v>126</v>
      </c>
      <c r="F587" s="1">
        <v>42750</v>
      </c>
      <c r="G587" s="2">
        <v>106.5</v>
      </c>
      <c r="H587" s="2"/>
      <c r="I587" s="2">
        <f t="array" ref="I587">_xlfn.IFNA(IF(vp.data[[#This Row],[Sulf Input]]="",INDEX([1]DATA!$Q$3:$Q$9826,MATCH(1,(vp.data[[#This Row],[Battery]]=[1]DATA!$L$3:$L$9826)*(EOMONTH(vp.data[[#This Row],[SDate]],-1)+1=[1]DATA!$G$3:$G$9826),0)),vp.data[[#This Row],[Sulf Input]]),"")</f>
        <v>1.71</v>
      </c>
      <c r="J587" s="2">
        <v>5</v>
      </c>
      <c r="K587" s="2">
        <v>-8</v>
      </c>
      <c r="L587" s="2">
        <v>840.9</v>
      </c>
      <c r="M587" s="2">
        <f t="array" ref="M587">_xlfn.IFNA(IF(vp.data[[#This Row],[Dens Input]]="",INDEX([1]DATA!$O$3:$O$9826,MATCH(1,(vp.data[[#This Row],[Battery]]=[1]DATA!$L$3:$L$9826)*(EOMONTH(vp.data[[#This Row],[SDate]],-1)+1=[1]DATA!$G$3:$G$9826),0)),vp.data[[#This Row],[Dens Input]]),"")</f>
        <v>840.9</v>
      </c>
      <c r="N587" s="2">
        <f ca="1">INDEX(INDIRECT(_xlfn.CONCAT("weather.tbl[",N$1,"]")),MATCH(vp.data[[#This Row],[SDate]],weather.tbl[Date],0))</f>
        <v>-12.466666666666667</v>
      </c>
      <c r="O587" s="2">
        <f ca="1">INDEX(INDIRECT(_xlfn.CONCAT("weather.tbl[",O$1,"]")),MATCH(vp.data[[#This Row],[SDate]],weather.tbl[Date],0))</f>
        <v>-20.254761904761903</v>
      </c>
      <c r="P587" s="2">
        <f ca="1">INDEX(INDIRECT(_xlfn.CONCAT("weather.tbl[",P$1,"]")),MATCH(vp.data[[#This Row],[SDate]],weather.tbl[Date],0))</f>
        <v>-12.9</v>
      </c>
      <c r="Q587" s="2">
        <f ca="1">INDEX(INDIRECT(_xlfn.CONCAT("weather.tbl[",Q$1,"]")),MATCH(vp.data[[#This Row],[SDate]],weather.tbl[Date],0))</f>
        <v>-12.5</v>
      </c>
      <c r="R587" s="2">
        <f ca="1">INDEX(INDIRECT(_xlfn.CONCAT("weather.tbl[",R$1,"]")),MATCH(vp.data[[#This Row],[SDate]],weather.tbl[Date],0))</f>
        <v>-13.8</v>
      </c>
      <c r="S587" s="2">
        <f ca="1">INDEX(INDIRECT(_xlfn.CONCAT("weather.tbl[",S$1,"]")),MATCH(vp.data[[#This Row],[SDate]],weather.tbl[Date],0))</f>
        <v>-11.4</v>
      </c>
      <c r="T587" s="2">
        <f ca="1">INDEX(INDIRECT(_xlfn.CONCAT("weather.tbl[",T$1,"]")),MATCH(vp.data[[#This Row],[SDate]],weather.tbl[Date],0))</f>
        <v>-13.7</v>
      </c>
      <c r="U587" s="2">
        <f ca="1">INDEX(INDIRECT(_xlfn.CONCAT("weather.tbl[",U$1,"]")),MATCH(vp.data[[#This Row],[SDate]],weather.tbl[Date],0))</f>
        <v>-10.5</v>
      </c>
      <c r="V587" s="2">
        <f t="array" ref="V5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1144.7719999999999</v>
      </c>
      <c r="W587" t="s">
        <v>48</v>
      </c>
      <c r="X587">
        <f>IF(OR(vp.data[[#This Row],[Sulf]]="",vp.data[[#This Row],[Dens]]=""),1,0)</f>
        <v>0</v>
      </c>
      <c r="Y587">
        <f>IF(vp.data[[#This Row],[CrudeType]]="C5+",1,0)</f>
        <v>0</v>
      </c>
      <c r="Z587">
        <f>IF(AND(vp.data[[#This Row],[CrudeType]]="Crude",vp.data[[#This Row],[Dens]]&lt;=825,vp.data[[#This Row],[Sulf]]&gt;0.5,vp.data[[#This Row],[Unknown]]=0),1,0)</f>
        <v>0</v>
      </c>
      <c r="AA587">
        <f>IF(AND(vp.data[[#This Row],[CrudeType]]="Crude",vp.data[[#This Row],[Dens]]&lt;=825,vp.data[[#This Row],[Sulf]]&lt;=0.5,vp.data[[#This Row],[Unknown]]=0),1,0)</f>
        <v>0</v>
      </c>
      <c r="AB5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7">
        <f>IF(AND(vp.data[[#This Row],[CrudeType]]="Crude",vp.data[[#This Row],[Dens]]&gt;825,vp.data[[#This Row],[Dens]]&lt;=900,vp.data[[#This Row],[Sulf]]&lt;=0.5,vp.data[[#This Row],[Unknown]]=0),1,0)</f>
        <v>0</v>
      </c>
      <c r="AD587">
        <f>IF(AND(vp.data[[#This Row],[CrudeType]]="Crude",vp.data[[#This Row],[Dens]]&gt;865,vp.data[[#This Row],[Dens]]&lt;=900,vp.data[[#This Row],[Sulf]]&gt;2,vp.data[[#This Row],[Unknown]]=0),1,0)</f>
        <v>0</v>
      </c>
      <c r="AE587">
        <f>IF(AND(vp.data[[#This Row],[CrudeType]]="Crude",vp.data[[#This Row],[Dens]]&gt;900,vp.data[[#This Row],[Sulf]]&lt;=0.5,vp.data[[#This Row],[Unknown]]=0),1,0)</f>
        <v>0</v>
      </c>
      <c r="AF587">
        <f>IF(AND(vp.data[[#This Row],[CrudeType]]="Crude",vp.data[[#This Row],[Dens]]&gt;900,vp.data[[#This Row],[Sulf]]&lt;=0.5,vp.data[[#This Row],[Unknown]]=0),1,0)</f>
        <v>0</v>
      </c>
      <c r="AG587" t="str">
        <f>INDEX(vp.data[[#Headers],[Unknown]:[Heavy_SW]],MATCH(1,vp.data[[#This Row],[Unknown]:[Heavy_SW]],0))</f>
        <v>Medium_LSB</v>
      </c>
      <c r="AH587">
        <f>INDEX([3]!crudeBD.lkup[Number],MATCH(vp.data[[#This Row],[Crude_Breakdown]],crudeBD.lkup[Crude Breakdown],0))</f>
        <v>3</v>
      </c>
      <c r="AI587">
        <f>MONTH(vp.data[[#This Row],[SDate]])</f>
        <v>1</v>
      </c>
      <c r="AJ587" s="5">
        <f>(vp.data[[#This Row],[VP]]-INDEX(crudeBD.lkup[Mean_VP],MATCH(vp.data[[#This Row],[Crude_Breakdown]],crudeBD.lkup[Crude Breakdown],0)))^2</f>
        <v>668.75632894559408</v>
      </c>
      <c r="AK587" s="5">
        <f>(vp.data[[#This Row],[Dens]]-INDEX(crudeBD.lkup[Mean_Dens],MATCH(vp.data[[#This Row],[Crude_Breakdown]],crudeBD.lkup[Crude Breakdown],0)))^2</f>
        <v>9.1203999999971437</v>
      </c>
      <c r="AL587" s="5">
        <f>(vp.data[[#This Row],[Sulf]]-INDEX(crudeBD.lkup[Mean_Sulf],MATCH(vp.data[[#This Row],[Crude_Breakdown]],crudeBD.lkup[Crude Breakdown],0)))^2</f>
        <v>0.10535988422237623</v>
      </c>
      <c r="AM587" s="4">
        <f>IF(AND(vp.data[[#This Row],[SDate]]&gt;=DATE(YEAR(vp.data[[#This Row],[SDate]]),5,1),vp.data[[#This Row],[SDate]]&lt;=DATE(YEAR(vp.data[[#This Row],[SDate]]),9,15)),1,0)</f>
        <v>0</v>
      </c>
      <c r="AN587" s="4">
        <f>IF(vp.data[[#This Row],[SDate]]&lt;DATE(2016,12,1),0,1)</f>
        <v>1</v>
      </c>
      <c r="AO587" s="4">
        <f>IFERROR(vp.data[[#This Row],[Sulf]]*vp.data[[#This Row],[Net Dens]],"")</f>
        <v>1646112.3049079997</v>
      </c>
      <c r="AP587">
        <f>IFERROR(vp.data[[#This Row],[Dens]]*vp.data[[#This Row],[VolumeM3]],"")</f>
        <v>962638.7747999999</v>
      </c>
      <c r="AQ587" s="15">
        <f>IFERROR(vp.data[[#This Row],[VP]]*vp.data[[#This Row],[VolumeM3]],"")</f>
        <v>121918.21799999999</v>
      </c>
    </row>
    <row r="588" spans="1:43" x14ac:dyDescent="0.25">
      <c r="A588">
        <v>587</v>
      </c>
      <c r="B588" t="s">
        <v>127</v>
      </c>
      <c r="C588" t="s">
        <v>127</v>
      </c>
      <c r="D588" t="s">
        <v>128</v>
      </c>
      <c r="F588" s="1">
        <v>42750</v>
      </c>
      <c r="G588" s="2">
        <v>81.5</v>
      </c>
      <c r="H588" s="2"/>
      <c r="I588" s="2">
        <f t="array" ref="I588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588" s="2">
        <v>-4</v>
      </c>
      <c r="K588" s="2">
        <v>-8</v>
      </c>
      <c r="L588" s="2">
        <v>845.5</v>
      </c>
      <c r="M588" s="2">
        <f t="array" ref="M588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588" s="2">
        <f ca="1">INDEX(INDIRECT(_xlfn.CONCAT("weather.tbl[",N$1,"]")),MATCH(vp.data[[#This Row],[SDate]],weather.tbl[Date],0))</f>
        <v>-12.466666666666667</v>
      </c>
      <c r="O588" s="2">
        <f ca="1">INDEX(INDIRECT(_xlfn.CONCAT("weather.tbl[",O$1,"]")),MATCH(vp.data[[#This Row],[SDate]],weather.tbl[Date],0))</f>
        <v>-20.254761904761903</v>
      </c>
      <c r="P588" s="2">
        <f ca="1">INDEX(INDIRECT(_xlfn.CONCAT("weather.tbl[",P$1,"]")),MATCH(vp.data[[#This Row],[SDate]],weather.tbl[Date],0))</f>
        <v>-12.9</v>
      </c>
      <c r="Q588" s="2">
        <f ca="1">INDEX(INDIRECT(_xlfn.CONCAT("weather.tbl[",Q$1,"]")),MATCH(vp.data[[#This Row],[SDate]],weather.tbl[Date],0))</f>
        <v>-12.5</v>
      </c>
      <c r="R588" s="2">
        <f ca="1">INDEX(INDIRECT(_xlfn.CONCAT("weather.tbl[",R$1,"]")),MATCH(vp.data[[#This Row],[SDate]],weather.tbl[Date],0))</f>
        <v>-13.8</v>
      </c>
      <c r="S588" s="2">
        <f ca="1">INDEX(INDIRECT(_xlfn.CONCAT("weather.tbl[",S$1,"]")),MATCH(vp.data[[#This Row],[SDate]],weather.tbl[Date],0))</f>
        <v>-11.4</v>
      </c>
      <c r="T588" s="2">
        <f ca="1">INDEX(INDIRECT(_xlfn.CONCAT("weather.tbl[",T$1,"]")),MATCH(vp.data[[#This Row],[SDate]],weather.tbl[Date],0))</f>
        <v>-13.7</v>
      </c>
      <c r="U588" s="2">
        <f ca="1">INDEX(INDIRECT(_xlfn.CONCAT("weather.tbl[",U$1,"]")),MATCH(vp.data[[#This Row],[SDate]],weather.tbl[Date],0))</f>
        <v>-10.5</v>
      </c>
      <c r="V588" s="2">
        <f t="array" ref="V5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346.90199999999999</v>
      </c>
      <c r="W588" t="s">
        <v>48</v>
      </c>
      <c r="X588">
        <f>IF(OR(vp.data[[#This Row],[Sulf]]="",vp.data[[#This Row],[Dens]]=""),1,0)</f>
        <v>0</v>
      </c>
      <c r="Y588">
        <f>IF(vp.data[[#This Row],[CrudeType]]="C5+",1,0)</f>
        <v>0</v>
      </c>
      <c r="Z588">
        <f>IF(AND(vp.data[[#This Row],[CrudeType]]="Crude",vp.data[[#This Row],[Dens]]&lt;=825,vp.data[[#This Row],[Sulf]]&gt;0.5,vp.data[[#This Row],[Unknown]]=0),1,0)</f>
        <v>0</v>
      </c>
      <c r="AA588">
        <f>IF(AND(vp.data[[#This Row],[CrudeType]]="Crude",vp.data[[#This Row],[Dens]]&lt;=825,vp.data[[#This Row],[Sulf]]&lt;=0.5,vp.data[[#This Row],[Unknown]]=0),1,0)</f>
        <v>0</v>
      </c>
      <c r="AB5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8">
        <f>IF(AND(vp.data[[#This Row],[CrudeType]]="Crude",vp.data[[#This Row],[Dens]]&gt;825,vp.data[[#This Row],[Dens]]&lt;=900,vp.data[[#This Row],[Sulf]]&lt;=0.5,vp.data[[#This Row],[Unknown]]=0),1,0)</f>
        <v>0</v>
      </c>
      <c r="AD588">
        <f>IF(AND(vp.data[[#This Row],[CrudeType]]="Crude",vp.data[[#This Row],[Dens]]&gt;865,vp.data[[#This Row],[Dens]]&lt;=900,vp.data[[#This Row],[Sulf]]&gt;2,vp.data[[#This Row],[Unknown]]=0),1,0)</f>
        <v>0</v>
      </c>
      <c r="AE588">
        <f>IF(AND(vp.data[[#This Row],[CrudeType]]="Crude",vp.data[[#This Row],[Dens]]&gt;900,vp.data[[#This Row],[Sulf]]&lt;=0.5,vp.data[[#This Row],[Unknown]]=0),1,0)</f>
        <v>0</v>
      </c>
      <c r="AF588">
        <f>IF(AND(vp.data[[#This Row],[CrudeType]]="Crude",vp.data[[#This Row],[Dens]]&gt;900,vp.data[[#This Row],[Sulf]]&lt;=0.5,vp.data[[#This Row],[Unknown]]=0),1,0)</f>
        <v>0</v>
      </c>
      <c r="AG588" t="str">
        <f>INDEX(vp.data[[#Headers],[Unknown]:[Heavy_SW]],MATCH(1,vp.data[[#This Row],[Unknown]:[Heavy_SW]],0))</f>
        <v>Medium_LSB</v>
      </c>
      <c r="AH588">
        <f>INDEX([3]!crudeBD.lkup[Number],MATCH(vp.data[[#This Row],[Crude_Breakdown]],crudeBD.lkup[Crude Breakdown],0))</f>
        <v>3</v>
      </c>
      <c r="AI588">
        <f>MONTH(vp.data[[#This Row],[SDate]])</f>
        <v>1</v>
      </c>
      <c r="AJ588" s="5">
        <f>(vp.data[[#This Row],[VP]]-INDEX(crudeBD.lkup[Mean_VP],MATCH(vp.data[[#This Row],[Crude_Breakdown]],crudeBD.lkup[Crude Breakdown],0)))^2</f>
        <v>0.74015643885191873</v>
      </c>
      <c r="AK588" s="5">
        <f>(vp.data[[#This Row],[Dens]]-INDEX(crudeBD.lkup[Mean_Dens],MATCH(vp.data[[#This Row],[Crude_Breakdown]],crudeBD.lkup[Crude Breakdown],0)))^2</f>
        <v>2.4964000000015663</v>
      </c>
      <c r="AL588" s="5">
        <f>(vp.data[[#This Row],[Sulf]]-INDEX(crudeBD.lkup[Mean_Sulf],MATCH(vp.data[[#This Row],[Crude_Breakdown]],crudeBD.lkup[Crude Breakdown],0)))^2</f>
        <v>9.8968046756068975E-2</v>
      </c>
      <c r="AM588" s="4">
        <f>IF(AND(vp.data[[#This Row],[SDate]]&gt;=DATE(YEAR(vp.data[[#This Row],[SDate]]),5,1),vp.data[[#This Row],[SDate]]&lt;=DATE(YEAR(vp.data[[#This Row],[SDate]]),9,15)),1,0)</f>
        <v>0</v>
      </c>
      <c r="AN588" s="4">
        <f>IF(vp.data[[#This Row],[SDate]]&lt;DATE(2016,12,1),0,1)</f>
        <v>1</v>
      </c>
      <c r="AO588" s="4">
        <f>IFERROR(vp.data[[#This Row],[Sulf]]*vp.data[[#This Row],[Net Dens]],"")</f>
        <v>498619.58970000001</v>
      </c>
      <c r="AP588">
        <f>IFERROR(vp.data[[#This Row],[Dens]]*vp.data[[#This Row],[VolumeM3]],"")</f>
        <v>293305.641</v>
      </c>
      <c r="AQ588" s="15">
        <f>IFERROR(vp.data[[#This Row],[VP]]*vp.data[[#This Row],[VolumeM3]],"")</f>
        <v>28272.512999999999</v>
      </c>
    </row>
    <row r="589" spans="1:43" x14ac:dyDescent="0.25">
      <c r="A589">
        <v>588</v>
      </c>
      <c r="B589" t="s">
        <v>129</v>
      </c>
      <c r="C589" t="s">
        <v>129</v>
      </c>
      <c r="D589" t="s">
        <v>130</v>
      </c>
      <c r="F589" s="1">
        <v>42750</v>
      </c>
      <c r="G589" s="2">
        <v>92</v>
      </c>
      <c r="H589" s="2"/>
      <c r="I589" s="2">
        <f t="array" ref="I589">_xlfn.IFNA(IF(vp.data[[#This Row],[Sulf Input]]="",INDEX([1]DATA!$Q$3:$Q$9826,MATCH(1,(vp.data[[#This Row],[Battery]]=[1]DATA!$L$3:$L$9826)*(EOMONTH(vp.data[[#This Row],[SDate]],-1)+1=[1]DATA!$G$3:$G$9826),0)),vp.data[[#This Row],[Sulf Input]]),"")</f>
        <v>1.71</v>
      </c>
      <c r="J589" s="2">
        <v>20</v>
      </c>
      <c r="K589" s="2">
        <v>-8</v>
      </c>
      <c r="L589" s="2">
        <v>845.7</v>
      </c>
      <c r="M589" s="2">
        <f t="array" ref="M589">_xlfn.IFNA(IF(vp.data[[#This Row],[Dens Input]]="",INDEX([1]DATA!$O$3:$O$9826,MATCH(1,(vp.data[[#This Row],[Battery]]=[1]DATA!$L$3:$L$9826)*(EOMONTH(vp.data[[#This Row],[SDate]],-1)+1=[1]DATA!$G$3:$G$9826),0)),vp.data[[#This Row],[Dens Input]]),"")</f>
        <v>845.7</v>
      </c>
      <c r="N589" s="2">
        <f ca="1">INDEX(INDIRECT(_xlfn.CONCAT("weather.tbl[",N$1,"]")),MATCH(vp.data[[#This Row],[SDate]],weather.tbl[Date],0))</f>
        <v>-12.466666666666667</v>
      </c>
      <c r="O589" s="2">
        <f ca="1">INDEX(INDIRECT(_xlfn.CONCAT("weather.tbl[",O$1,"]")),MATCH(vp.data[[#This Row],[SDate]],weather.tbl[Date],0))</f>
        <v>-20.254761904761903</v>
      </c>
      <c r="P589" s="2">
        <f ca="1">INDEX(INDIRECT(_xlfn.CONCAT("weather.tbl[",P$1,"]")),MATCH(vp.data[[#This Row],[SDate]],weather.tbl[Date],0))</f>
        <v>-12.9</v>
      </c>
      <c r="Q589" s="2">
        <f ca="1">INDEX(INDIRECT(_xlfn.CONCAT("weather.tbl[",Q$1,"]")),MATCH(vp.data[[#This Row],[SDate]],weather.tbl[Date],0))</f>
        <v>-12.5</v>
      </c>
      <c r="R589" s="2">
        <f ca="1">INDEX(INDIRECT(_xlfn.CONCAT("weather.tbl[",R$1,"]")),MATCH(vp.data[[#This Row],[SDate]],weather.tbl[Date],0))</f>
        <v>-13.8</v>
      </c>
      <c r="S589" s="2">
        <f ca="1">INDEX(INDIRECT(_xlfn.CONCAT("weather.tbl[",S$1,"]")),MATCH(vp.data[[#This Row],[SDate]],weather.tbl[Date],0))</f>
        <v>-11.4</v>
      </c>
      <c r="T589" s="2">
        <f ca="1">INDEX(INDIRECT(_xlfn.CONCAT("weather.tbl[",T$1,"]")),MATCH(vp.data[[#This Row],[SDate]],weather.tbl[Date],0))</f>
        <v>-13.7</v>
      </c>
      <c r="U589" s="2">
        <f ca="1">INDEX(INDIRECT(_xlfn.CONCAT("weather.tbl[",U$1,"]")),MATCH(vp.data[[#This Row],[SDate]],weather.tbl[Date],0))</f>
        <v>-10.5</v>
      </c>
      <c r="V589" s="2">
        <f t="array" ref="V5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2227.4670000000001</v>
      </c>
      <c r="W589" t="s">
        <v>48</v>
      </c>
      <c r="X589">
        <f>IF(OR(vp.data[[#This Row],[Sulf]]="",vp.data[[#This Row],[Dens]]=""),1,0)</f>
        <v>0</v>
      </c>
      <c r="Y589">
        <f>IF(vp.data[[#This Row],[CrudeType]]="C5+",1,0)</f>
        <v>0</v>
      </c>
      <c r="Z589">
        <f>IF(AND(vp.data[[#This Row],[CrudeType]]="Crude",vp.data[[#This Row],[Dens]]&lt;=825,vp.data[[#This Row],[Sulf]]&gt;0.5,vp.data[[#This Row],[Unknown]]=0),1,0)</f>
        <v>0</v>
      </c>
      <c r="AA589">
        <f>IF(AND(vp.data[[#This Row],[CrudeType]]="Crude",vp.data[[#This Row],[Dens]]&lt;=825,vp.data[[#This Row],[Sulf]]&lt;=0.5,vp.data[[#This Row],[Unknown]]=0),1,0)</f>
        <v>0</v>
      </c>
      <c r="AB5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89">
        <f>IF(AND(vp.data[[#This Row],[CrudeType]]="Crude",vp.data[[#This Row],[Dens]]&gt;825,vp.data[[#This Row],[Dens]]&lt;=900,vp.data[[#This Row],[Sulf]]&lt;=0.5,vp.data[[#This Row],[Unknown]]=0),1,0)</f>
        <v>0</v>
      </c>
      <c r="AD589">
        <f>IF(AND(vp.data[[#This Row],[CrudeType]]="Crude",vp.data[[#This Row],[Dens]]&gt;865,vp.data[[#This Row],[Dens]]&lt;=900,vp.data[[#This Row],[Sulf]]&gt;2,vp.data[[#This Row],[Unknown]]=0),1,0)</f>
        <v>0</v>
      </c>
      <c r="AE589">
        <f>IF(AND(vp.data[[#This Row],[CrudeType]]="Crude",vp.data[[#This Row],[Dens]]&gt;900,vp.data[[#This Row],[Sulf]]&lt;=0.5,vp.data[[#This Row],[Unknown]]=0),1,0)</f>
        <v>0</v>
      </c>
      <c r="AF589">
        <f>IF(AND(vp.data[[#This Row],[CrudeType]]="Crude",vp.data[[#This Row],[Dens]]&gt;900,vp.data[[#This Row],[Sulf]]&lt;=0.5,vp.data[[#This Row],[Unknown]]=0),1,0)</f>
        <v>0</v>
      </c>
      <c r="AG589" t="str">
        <f>INDEX(vp.data[[#Headers],[Unknown]:[Heavy_SW]],MATCH(1,vp.data[[#This Row],[Unknown]:[Heavy_SW]],0))</f>
        <v>Medium_LSB</v>
      </c>
      <c r="AH589">
        <f>INDEX([3]!crudeBD.lkup[Number],MATCH(vp.data[[#This Row],[Crude_Breakdown]],crudeBD.lkup[Crude Breakdown],0))</f>
        <v>3</v>
      </c>
      <c r="AI589">
        <f>MONTH(vp.data[[#This Row],[SDate]])</f>
        <v>1</v>
      </c>
      <c r="AJ589" s="5">
        <f>(vp.data[[#This Row],[VP]]-INDEX(crudeBD.lkup[Mean_VP],MATCH(vp.data[[#This Row],[Crude_Breakdown]],crudeBD.lkup[Crude Breakdown],0)))^2</f>
        <v>129.05694889168362</v>
      </c>
      <c r="AK589" s="5">
        <f>(vp.data[[#This Row],[Dens]]-INDEX(crudeBD.lkup[Mean_Dens],MATCH(vp.data[[#This Row],[Crude_Breakdown]],crudeBD.lkup[Crude Breakdown],0)))^2</f>
        <v>3.1684000000019266</v>
      </c>
      <c r="AL589" s="5">
        <f>(vp.data[[#This Row],[Sulf]]-INDEX(crudeBD.lkup[Mean_Sulf],MATCH(vp.data[[#This Row],[Crude_Breakdown]],crudeBD.lkup[Crude Breakdown],0)))^2</f>
        <v>0.10535988422237623</v>
      </c>
      <c r="AM589" s="4">
        <f>IF(AND(vp.data[[#This Row],[SDate]]&gt;=DATE(YEAR(vp.data[[#This Row],[SDate]]),5,1),vp.data[[#This Row],[SDate]]&lt;=DATE(YEAR(vp.data[[#This Row],[SDate]]),9,15)),1,0)</f>
        <v>0</v>
      </c>
      <c r="AN589" s="4">
        <f>IF(vp.data[[#This Row],[SDate]]&lt;DATE(2016,12,1),0,1)</f>
        <v>1</v>
      </c>
      <c r="AO589" s="4">
        <f>IFERROR(vp.data[[#This Row],[Sulf]]*vp.data[[#This Row],[Net Dens]],"")</f>
        <v>3221244.7196490001</v>
      </c>
      <c r="AP589">
        <f>IFERROR(vp.data[[#This Row],[Dens]]*vp.data[[#This Row],[VolumeM3]],"")</f>
        <v>1883768.8419000001</v>
      </c>
      <c r="AQ589" s="15">
        <f>IFERROR(vp.data[[#This Row],[VP]]*vp.data[[#This Row],[VolumeM3]],"")</f>
        <v>204926.96400000001</v>
      </c>
    </row>
    <row r="590" spans="1:43" x14ac:dyDescent="0.25">
      <c r="A590">
        <v>589</v>
      </c>
      <c r="B590" t="s">
        <v>108</v>
      </c>
      <c r="C590" t="s">
        <v>108</v>
      </c>
      <c r="D590" t="s">
        <v>131</v>
      </c>
      <c r="F590" s="1">
        <v>42750</v>
      </c>
      <c r="G590" s="2">
        <v>81.900000000000006</v>
      </c>
      <c r="H590" s="2"/>
      <c r="I590" s="2">
        <f t="array" ref="I590">_xlfn.IFNA(IF(vp.data[[#This Row],[Sulf Input]]="",INDEX([1]DATA!$Q$3:$Q$9826,MATCH(1,(vp.data[[#This Row],[Battery]]=[1]DATA!$L$3:$L$9826)*(EOMONTH(vp.data[[#This Row],[SDate]],-1)+1=[1]DATA!$G$3:$G$9826),0)),vp.data[[#This Row],[Sulf Input]]),"")</f>
        <v>2.1</v>
      </c>
      <c r="J590" s="2">
        <v>7</v>
      </c>
      <c r="K590" s="2">
        <v>-8</v>
      </c>
      <c r="L590" s="2">
        <v>846.7</v>
      </c>
      <c r="M590" s="2">
        <f t="array" ref="M590">_xlfn.IFNA(IF(vp.data[[#This Row],[Dens Input]]="",INDEX([1]DATA!$O$3:$O$9826,MATCH(1,(vp.data[[#This Row],[Battery]]=[1]DATA!$L$3:$L$9826)*(EOMONTH(vp.data[[#This Row],[SDate]],-1)+1=[1]DATA!$G$3:$G$9826),0)),vp.data[[#This Row],[Dens Input]]),"")</f>
        <v>846.7</v>
      </c>
      <c r="N590" s="2">
        <f ca="1">INDEX(INDIRECT(_xlfn.CONCAT("weather.tbl[",N$1,"]")),MATCH(vp.data[[#This Row],[SDate]],weather.tbl[Date],0))</f>
        <v>-12.466666666666667</v>
      </c>
      <c r="O590" s="2">
        <f ca="1">INDEX(INDIRECT(_xlfn.CONCAT("weather.tbl[",O$1,"]")),MATCH(vp.data[[#This Row],[SDate]],weather.tbl[Date],0))</f>
        <v>-20.254761904761903</v>
      </c>
      <c r="P590" s="2">
        <f ca="1">INDEX(INDIRECT(_xlfn.CONCAT("weather.tbl[",P$1,"]")),MATCH(vp.data[[#This Row],[SDate]],weather.tbl[Date],0))</f>
        <v>-12.9</v>
      </c>
      <c r="Q590" s="2">
        <f ca="1">INDEX(INDIRECT(_xlfn.CONCAT("weather.tbl[",Q$1,"]")),MATCH(vp.data[[#This Row],[SDate]],weather.tbl[Date],0))</f>
        <v>-12.5</v>
      </c>
      <c r="R590" s="2">
        <f ca="1">INDEX(INDIRECT(_xlfn.CONCAT("weather.tbl[",R$1,"]")),MATCH(vp.data[[#This Row],[SDate]],weather.tbl[Date],0))</f>
        <v>-13.8</v>
      </c>
      <c r="S590" s="2">
        <f ca="1">INDEX(INDIRECT(_xlfn.CONCAT("weather.tbl[",S$1,"]")),MATCH(vp.data[[#This Row],[SDate]],weather.tbl[Date],0))</f>
        <v>-11.4</v>
      </c>
      <c r="T590" s="2">
        <f ca="1">INDEX(INDIRECT(_xlfn.CONCAT("weather.tbl[",T$1,"]")),MATCH(vp.data[[#This Row],[SDate]],weather.tbl[Date],0))</f>
        <v>-13.7</v>
      </c>
      <c r="U590" s="2">
        <f ca="1">INDEX(INDIRECT(_xlfn.CONCAT("weather.tbl[",U$1,"]")),MATCH(vp.data[[#This Row],[SDate]],weather.tbl[Date],0))</f>
        <v>-10.5</v>
      </c>
      <c r="V590" s="2">
        <f t="array" ref="V5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1334.7170000000001</v>
      </c>
      <c r="W590" t="s">
        <v>48</v>
      </c>
      <c r="X590">
        <f>IF(OR(vp.data[[#This Row],[Sulf]]="",vp.data[[#This Row],[Dens]]=""),1,0)</f>
        <v>0</v>
      </c>
      <c r="Y590">
        <f>IF(vp.data[[#This Row],[CrudeType]]="C5+",1,0)</f>
        <v>0</v>
      </c>
      <c r="Z590">
        <f>IF(AND(vp.data[[#This Row],[CrudeType]]="Crude",vp.data[[#This Row],[Dens]]&lt;=825,vp.data[[#This Row],[Sulf]]&gt;0.5,vp.data[[#This Row],[Unknown]]=0),1,0)</f>
        <v>0</v>
      </c>
      <c r="AA590">
        <f>IF(AND(vp.data[[#This Row],[CrudeType]]="Crude",vp.data[[#This Row],[Dens]]&lt;=825,vp.data[[#This Row],[Sulf]]&lt;=0.5,vp.data[[#This Row],[Unknown]]=0),1,0)</f>
        <v>0</v>
      </c>
      <c r="AB5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90">
        <f>IF(AND(vp.data[[#This Row],[CrudeType]]="Crude",vp.data[[#This Row],[Dens]]&gt;825,vp.data[[#This Row],[Dens]]&lt;=900,vp.data[[#This Row],[Sulf]]&lt;=0.5,vp.data[[#This Row],[Unknown]]=0),1,0)</f>
        <v>0</v>
      </c>
      <c r="AD590">
        <f>IF(AND(vp.data[[#This Row],[CrudeType]]="Crude",vp.data[[#This Row],[Dens]]&gt;865,vp.data[[#This Row],[Dens]]&lt;=900,vp.data[[#This Row],[Sulf]]&gt;2,vp.data[[#This Row],[Unknown]]=0),1,0)</f>
        <v>0</v>
      </c>
      <c r="AE590">
        <f>IF(AND(vp.data[[#This Row],[CrudeType]]="Crude",vp.data[[#This Row],[Dens]]&gt;900,vp.data[[#This Row],[Sulf]]&lt;=0.5,vp.data[[#This Row],[Unknown]]=0),1,0)</f>
        <v>0</v>
      </c>
      <c r="AF590">
        <f>IF(AND(vp.data[[#This Row],[CrudeType]]="Crude",vp.data[[#This Row],[Dens]]&gt;900,vp.data[[#This Row],[Sulf]]&lt;=0.5,vp.data[[#This Row],[Unknown]]=0),1,0)</f>
        <v>0</v>
      </c>
      <c r="AG590" t="str">
        <f>INDEX(vp.data[[#Headers],[Unknown]:[Heavy_SW]],MATCH(1,vp.data[[#This Row],[Unknown]:[Heavy_SW]],0))</f>
        <v>Medium_LSB</v>
      </c>
      <c r="AH590">
        <f>INDEX([3]!crudeBD.lkup[Number],MATCH(vp.data[[#This Row],[Crude_Breakdown]],crudeBD.lkup[Crude Breakdown],0))</f>
        <v>3</v>
      </c>
      <c r="AI590">
        <f>MONTH(vp.data[[#This Row],[SDate]])</f>
        <v>1</v>
      </c>
      <c r="AJ590" s="5">
        <f>(vp.data[[#This Row],[VP]]-INDEX(crudeBD.lkup[Mean_VP],MATCH(vp.data[[#This Row],[Crude_Breakdown]],crudeBD.lkup[Crude Breakdown],0)))^2</f>
        <v>1.588415198959807</v>
      </c>
      <c r="AK590" s="5">
        <f>(vp.data[[#This Row],[Dens]]-INDEX(crudeBD.lkup[Mean_Dens],MATCH(vp.data[[#This Row],[Crude_Breakdown]],crudeBD.lkup[Crude Breakdown],0)))^2</f>
        <v>7.7284000000030089</v>
      </c>
      <c r="AL590" s="5">
        <f>(vp.data[[#This Row],[Sulf]]-INDEX(crudeBD.lkup[Mean_Sulf],MATCH(vp.data[[#This Row],[Crude_Breakdown]],crudeBD.lkup[Crude Breakdown],0)))^2</f>
        <v>0.51064154540835904</v>
      </c>
      <c r="AM590" s="4">
        <f>IF(AND(vp.data[[#This Row],[SDate]]&gt;=DATE(YEAR(vp.data[[#This Row],[SDate]]),5,1),vp.data[[#This Row],[SDate]]&lt;=DATE(YEAR(vp.data[[#This Row],[SDate]]),9,15)),1,0)</f>
        <v>0</v>
      </c>
      <c r="AN590" s="4">
        <f>IF(vp.data[[#This Row],[SDate]]&lt;DATE(2016,12,1),0,1)</f>
        <v>1</v>
      </c>
      <c r="AO590" s="4">
        <f>IFERROR(vp.data[[#This Row],[Sulf]]*vp.data[[#This Row],[Net Dens]],"")</f>
        <v>2373220.2561900006</v>
      </c>
      <c r="AP590">
        <f>IFERROR(vp.data[[#This Row],[Dens]]*vp.data[[#This Row],[VolumeM3]],"")</f>
        <v>1130104.8839000002</v>
      </c>
      <c r="AQ590" s="15">
        <f>IFERROR(vp.data[[#This Row],[VP]]*vp.data[[#This Row],[VolumeM3]],"")</f>
        <v>109313.32230000001</v>
      </c>
    </row>
    <row r="591" spans="1:43" x14ac:dyDescent="0.25">
      <c r="A591">
        <v>590</v>
      </c>
      <c r="B591" t="s">
        <v>49</v>
      </c>
      <c r="C591" t="s">
        <v>49</v>
      </c>
      <c r="D591" t="s">
        <v>91</v>
      </c>
      <c r="F591" s="1">
        <v>42750</v>
      </c>
      <c r="G591" s="2">
        <v>95.5</v>
      </c>
      <c r="H591" s="2"/>
      <c r="I591" s="2">
        <f t="array" ref="I591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591" s="2">
        <v>20</v>
      </c>
      <c r="K591" s="2">
        <v>-8</v>
      </c>
      <c r="L591" s="2">
        <v>849.7</v>
      </c>
      <c r="M591" s="2">
        <f t="array" ref="M591">_xlfn.IFNA(IF(vp.data[[#This Row],[Dens Input]]="",INDEX([1]DATA!$O$3:$O$9826,MATCH(1,(vp.data[[#This Row],[Battery]]=[1]DATA!$L$3:$L$9826)*(EOMONTH(vp.data[[#This Row],[SDate]],-1)+1=[1]DATA!$G$3:$G$9826),0)),vp.data[[#This Row],[Dens Input]]),"")</f>
        <v>849.7</v>
      </c>
      <c r="N591" s="2">
        <f ca="1">INDEX(INDIRECT(_xlfn.CONCAT("weather.tbl[",N$1,"]")),MATCH(vp.data[[#This Row],[SDate]],weather.tbl[Date],0))</f>
        <v>-12.466666666666667</v>
      </c>
      <c r="O591" s="2">
        <f ca="1">INDEX(INDIRECT(_xlfn.CONCAT("weather.tbl[",O$1,"]")),MATCH(vp.data[[#This Row],[SDate]],weather.tbl[Date],0))</f>
        <v>-20.254761904761903</v>
      </c>
      <c r="P591" s="2">
        <f ca="1">INDEX(INDIRECT(_xlfn.CONCAT("weather.tbl[",P$1,"]")),MATCH(vp.data[[#This Row],[SDate]],weather.tbl[Date],0))</f>
        <v>-12.9</v>
      </c>
      <c r="Q591" s="2">
        <f ca="1">INDEX(INDIRECT(_xlfn.CONCAT("weather.tbl[",Q$1,"]")),MATCH(vp.data[[#This Row],[SDate]],weather.tbl[Date],0))</f>
        <v>-12.5</v>
      </c>
      <c r="R591" s="2">
        <f ca="1">INDEX(INDIRECT(_xlfn.CONCAT("weather.tbl[",R$1,"]")),MATCH(vp.data[[#This Row],[SDate]],weather.tbl[Date],0))</f>
        <v>-13.8</v>
      </c>
      <c r="S591" s="2">
        <f ca="1">INDEX(INDIRECT(_xlfn.CONCAT("weather.tbl[",S$1,"]")),MATCH(vp.data[[#This Row],[SDate]],weather.tbl[Date],0))</f>
        <v>-11.4</v>
      </c>
      <c r="T591" s="2">
        <f ca="1">INDEX(INDIRECT(_xlfn.CONCAT("weather.tbl[",T$1,"]")),MATCH(vp.data[[#This Row],[SDate]],weather.tbl[Date],0))</f>
        <v>-13.7</v>
      </c>
      <c r="U591" s="2">
        <f ca="1">INDEX(INDIRECT(_xlfn.CONCAT("weather.tbl[",U$1,"]")),MATCH(vp.data[[#This Row],[SDate]],weather.tbl[Date],0))</f>
        <v>-10.5</v>
      </c>
      <c r="V591" s="2">
        <f t="array" ref="V5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1597.9079999999999</v>
      </c>
      <c r="W591" t="s">
        <v>48</v>
      </c>
      <c r="X591">
        <f>IF(OR(vp.data[[#This Row],[Sulf]]="",vp.data[[#This Row],[Dens]]=""),1,0)</f>
        <v>0</v>
      </c>
      <c r="Y591">
        <f>IF(vp.data[[#This Row],[CrudeType]]="C5+",1,0)</f>
        <v>0</v>
      </c>
      <c r="Z591">
        <f>IF(AND(vp.data[[#This Row],[CrudeType]]="Crude",vp.data[[#This Row],[Dens]]&lt;=825,vp.data[[#This Row],[Sulf]]&gt;0.5,vp.data[[#This Row],[Unknown]]=0),1,0)</f>
        <v>0</v>
      </c>
      <c r="AA591">
        <f>IF(AND(vp.data[[#This Row],[CrudeType]]="Crude",vp.data[[#This Row],[Dens]]&lt;=825,vp.data[[#This Row],[Sulf]]&lt;=0.5,vp.data[[#This Row],[Unknown]]=0),1,0)</f>
        <v>0</v>
      </c>
      <c r="AB5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91">
        <f>IF(AND(vp.data[[#This Row],[CrudeType]]="Crude",vp.data[[#This Row],[Dens]]&gt;825,vp.data[[#This Row],[Dens]]&lt;=900,vp.data[[#This Row],[Sulf]]&lt;=0.5,vp.data[[#This Row],[Unknown]]=0),1,0)</f>
        <v>0</v>
      </c>
      <c r="AD591">
        <f>IF(AND(vp.data[[#This Row],[CrudeType]]="Crude",vp.data[[#This Row],[Dens]]&gt;865,vp.data[[#This Row],[Dens]]&lt;=900,vp.data[[#This Row],[Sulf]]&gt;2,vp.data[[#This Row],[Unknown]]=0),1,0)</f>
        <v>0</v>
      </c>
      <c r="AE591">
        <f>IF(AND(vp.data[[#This Row],[CrudeType]]="Crude",vp.data[[#This Row],[Dens]]&gt;900,vp.data[[#This Row],[Sulf]]&lt;=0.5,vp.data[[#This Row],[Unknown]]=0),1,0)</f>
        <v>0</v>
      </c>
      <c r="AF591">
        <f>IF(AND(vp.data[[#This Row],[CrudeType]]="Crude",vp.data[[#This Row],[Dens]]&gt;900,vp.data[[#This Row],[Sulf]]&lt;=0.5,vp.data[[#This Row],[Unknown]]=0),1,0)</f>
        <v>0</v>
      </c>
      <c r="AG591" t="str">
        <f>INDEX(vp.data[[#Headers],[Unknown]:[Heavy_SW]],MATCH(1,vp.data[[#This Row],[Unknown]:[Heavy_SW]],0))</f>
        <v>Medium_LSB</v>
      </c>
      <c r="AH591">
        <f>INDEX([3]!crudeBD.lkup[Number],MATCH(vp.data[[#This Row],[Crude_Breakdown]],crudeBD.lkup[Crude Breakdown],0))</f>
        <v>3</v>
      </c>
      <c r="AI591">
        <f>MONTH(vp.data[[#This Row],[SDate]])</f>
        <v>1</v>
      </c>
      <c r="AJ591" s="5">
        <f>(vp.data[[#This Row],[VP]]-INDEX(crudeBD.lkup[Mean_VP],MATCH(vp.data[[#This Row],[Crude_Breakdown]],crudeBD.lkup[Crude Breakdown],0)))^2</f>
        <v>220.82921304262752</v>
      </c>
      <c r="AK591" s="5">
        <f>(vp.data[[#This Row],[Dens]]-INDEX(crudeBD.lkup[Mean_Dens],MATCH(vp.data[[#This Row],[Crude_Breakdown]],crudeBD.lkup[Crude Breakdown],0)))^2</f>
        <v>33.408400000006253</v>
      </c>
      <c r="AL591" s="5">
        <f>(vp.data[[#This Row],[Sulf]]-INDEX(crudeBD.lkup[Mean_Sulf],MATCH(vp.data[[#This Row],[Crude_Breakdown]],crudeBD.lkup[Crude Breakdown],0)))^2</f>
        <v>0.26480479608221386</v>
      </c>
      <c r="AM591" s="4">
        <f>IF(AND(vp.data[[#This Row],[SDate]]&gt;=DATE(YEAR(vp.data[[#This Row],[SDate]]),5,1),vp.data[[#This Row],[SDate]]&lt;=DATE(YEAR(vp.data[[#This Row],[SDate]]),9,15)),1,0)</f>
        <v>0</v>
      </c>
      <c r="AN591" s="4">
        <f>IF(vp.data[[#This Row],[SDate]]&lt;DATE(2016,12,1),0,1)</f>
        <v>1</v>
      </c>
      <c r="AO591" s="4">
        <f>IFERROR(vp.data[[#This Row],[Sulf]]*vp.data[[#This Row],[Net Dens]],"")</f>
        <v>2579710.6124399998</v>
      </c>
      <c r="AP591">
        <f>IFERROR(vp.data[[#This Row],[Dens]]*vp.data[[#This Row],[VolumeM3]],"")</f>
        <v>1357742.4276000001</v>
      </c>
      <c r="AQ591" s="15">
        <f>IFERROR(vp.data[[#This Row],[VP]]*vp.data[[#This Row],[VolumeM3]],"")</f>
        <v>152600.21399999998</v>
      </c>
    </row>
    <row r="592" spans="1:43" x14ac:dyDescent="0.25">
      <c r="A592">
        <v>591</v>
      </c>
      <c r="B592" t="s">
        <v>132</v>
      </c>
      <c r="C592" t="s">
        <v>132</v>
      </c>
      <c r="D592" t="s">
        <v>133</v>
      </c>
      <c r="F592" s="1">
        <v>42750</v>
      </c>
      <c r="G592" s="2">
        <v>92.4</v>
      </c>
      <c r="H592" s="2"/>
      <c r="I592" s="2">
        <f t="array" ref="I592">_xlfn.IFNA(IF(vp.data[[#This Row],[Sulf Input]]="",INDEX([1]DATA!$Q$3:$Q$9826,MATCH(1,(vp.data[[#This Row],[Battery]]=[1]DATA!$L$3:$L$9826)*(EOMONTH(vp.data[[#This Row],[SDate]],-1)+1=[1]DATA!$G$3:$G$9826),0)),vp.data[[#This Row],[Sulf Input]]),"")</f>
        <v>2.02</v>
      </c>
      <c r="J592" s="2">
        <v>24</v>
      </c>
      <c r="K592" s="2">
        <v>-8</v>
      </c>
      <c r="L592" s="2">
        <v>853.5</v>
      </c>
      <c r="M592" s="2">
        <f t="array" ref="M592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592" s="2">
        <f ca="1">INDEX(INDIRECT(_xlfn.CONCAT("weather.tbl[",N$1,"]")),MATCH(vp.data[[#This Row],[SDate]],weather.tbl[Date],0))</f>
        <v>-12.466666666666667</v>
      </c>
      <c r="O592" s="2">
        <f ca="1">INDEX(INDIRECT(_xlfn.CONCAT("weather.tbl[",O$1,"]")),MATCH(vp.data[[#This Row],[SDate]],weather.tbl[Date],0))</f>
        <v>-20.254761904761903</v>
      </c>
      <c r="P592" s="2">
        <f ca="1">INDEX(INDIRECT(_xlfn.CONCAT("weather.tbl[",P$1,"]")),MATCH(vp.data[[#This Row],[SDate]],weather.tbl[Date],0))</f>
        <v>-12.9</v>
      </c>
      <c r="Q592" s="2">
        <f ca="1">INDEX(INDIRECT(_xlfn.CONCAT("weather.tbl[",Q$1,"]")),MATCH(vp.data[[#This Row],[SDate]],weather.tbl[Date],0))</f>
        <v>-12.5</v>
      </c>
      <c r="R592" s="2">
        <f ca="1">INDEX(INDIRECT(_xlfn.CONCAT("weather.tbl[",R$1,"]")),MATCH(vp.data[[#This Row],[SDate]],weather.tbl[Date],0))</f>
        <v>-13.8</v>
      </c>
      <c r="S592" s="2">
        <f ca="1">INDEX(INDIRECT(_xlfn.CONCAT("weather.tbl[",S$1,"]")),MATCH(vp.data[[#This Row],[SDate]],weather.tbl[Date],0))</f>
        <v>-11.4</v>
      </c>
      <c r="T592" s="2">
        <f ca="1">INDEX(INDIRECT(_xlfn.CONCAT("weather.tbl[",T$1,"]")),MATCH(vp.data[[#This Row],[SDate]],weather.tbl[Date],0))</f>
        <v>-13.7</v>
      </c>
      <c r="U592" s="2">
        <f ca="1">INDEX(INDIRECT(_xlfn.CONCAT("weather.tbl[",U$1,"]")),MATCH(vp.data[[#This Row],[SDate]],weather.tbl[Date],0))</f>
        <v>-10.5</v>
      </c>
      <c r="V592" s="2">
        <f t="array" ref="V5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2779.951</v>
      </c>
      <c r="W592" t="s">
        <v>48</v>
      </c>
      <c r="X592">
        <f>IF(OR(vp.data[[#This Row],[Sulf]]="",vp.data[[#This Row],[Dens]]=""),1,0)</f>
        <v>0</v>
      </c>
      <c r="Y592">
        <f>IF(vp.data[[#This Row],[CrudeType]]="C5+",1,0)</f>
        <v>0</v>
      </c>
      <c r="Z592">
        <f>IF(AND(vp.data[[#This Row],[CrudeType]]="Crude",vp.data[[#This Row],[Dens]]&lt;=825,vp.data[[#This Row],[Sulf]]&gt;0.5,vp.data[[#This Row],[Unknown]]=0),1,0)</f>
        <v>0</v>
      </c>
      <c r="AA592">
        <f>IF(AND(vp.data[[#This Row],[CrudeType]]="Crude",vp.data[[#This Row],[Dens]]&lt;=825,vp.data[[#This Row],[Sulf]]&lt;=0.5,vp.data[[#This Row],[Unknown]]=0),1,0)</f>
        <v>0</v>
      </c>
      <c r="AB5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92">
        <f>IF(AND(vp.data[[#This Row],[CrudeType]]="Crude",vp.data[[#This Row],[Dens]]&gt;825,vp.data[[#This Row],[Dens]]&lt;=900,vp.data[[#This Row],[Sulf]]&lt;=0.5,vp.data[[#This Row],[Unknown]]=0),1,0)</f>
        <v>0</v>
      </c>
      <c r="AD592">
        <f>IF(AND(vp.data[[#This Row],[CrudeType]]="Crude",vp.data[[#This Row],[Dens]]&gt;865,vp.data[[#This Row],[Dens]]&lt;=900,vp.data[[#This Row],[Sulf]]&gt;2,vp.data[[#This Row],[Unknown]]=0),1,0)</f>
        <v>0</v>
      </c>
      <c r="AE592">
        <f>IF(AND(vp.data[[#This Row],[CrudeType]]="Crude",vp.data[[#This Row],[Dens]]&gt;900,vp.data[[#This Row],[Sulf]]&lt;=0.5,vp.data[[#This Row],[Unknown]]=0),1,0)</f>
        <v>0</v>
      </c>
      <c r="AF592">
        <f>IF(AND(vp.data[[#This Row],[CrudeType]]="Crude",vp.data[[#This Row],[Dens]]&gt;900,vp.data[[#This Row],[Sulf]]&lt;=0.5,vp.data[[#This Row],[Unknown]]=0),1,0)</f>
        <v>0</v>
      </c>
      <c r="AG592" t="str">
        <f>INDEX(vp.data[[#Headers],[Unknown]:[Heavy_SW]],MATCH(1,vp.data[[#This Row],[Unknown]:[Heavy_SW]],0))</f>
        <v>Medium_LSB</v>
      </c>
      <c r="AH592">
        <f>INDEX([3]!crudeBD.lkup[Number],MATCH(vp.data[[#This Row],[Crude_Breakdown]],crudeBD.lkup[Crude Breakdown],0))</f>
        <v>3</v>
      </c>
      <c r="AI592">
        <f>MONTH(vp.data[[#This Row],[SDate]])</f>
        <v>1</v>
      </c>
      <c r="AJ592" s="5">
        <f>(vp.data[[#This Row],[VP]]-INDEX(crudeBD.lkup[Mean_VP],MATCH(vp.data[[#This Row],[Crude_Breakdown]],crudeBD.lkup[Crude Breakdown],0)))^2</f>
        <v>138.30520765179162</v>
      </c>
      <c r="AK592" s="5">
        <f>(vp.data[[#This Row],[Dens]]-INDEX(crudeBD.lkup[Mean_Dens],MATCH(vp.data[[#This Row],[Crude_Breakdown]],crudeBD.lkup[Crude Breakdown],0)))^2</f>
        <v>91.776400000009502</v>
      </c>
      <c r="AL592" s="5">
        <f>(vp.data[[#This Row],[Sulf]]-INDEX(crudeBD.lkup[Mean_Sulf],MATCH(vp.data[[#This Row],[Crude_Breakdown]],crudeBD.lkup[Crude Breakdown],0)))^2</f>
        <v>0.40270684567790094</v>
      </c>
      <c r="AM592" s="4">
        <f>IF(AND(vp.data[[#This Row],[SDate]]&gt;=DATE(YEAR(vp.data[[#This Row],[SDate]]),5,1),vp.data[[#This Row],[SDate]]&lt;=DATE(YEAR(vp.data[[#This Row],[SDate]]),9,15)),1,0)</f>
        <v>0</v>
      </c>
      <c r="AN592" s="4">
        <f>IF(vp.data[[#This Row],[SDate]]&lt;DATE(2016,12,1),0,1)</f>
        <v>1</v>
      </c>
      <c r="AO592" s="4">
        <f>IFERROR(vp.data[[#This Row],[Sulf]]*vp.data[[#This Row],[Net Dens]],"")</f>
        <v>4792830.1205700003</v>
      </c>
      <c r="AP592">
        <f>IFERROR(vp.data[[#This Row],[Dens]]*vp.data[[#This Row],[VolumeM3]],"")</f>
        <v>2372688.1784999999</v>
      </c>
      <c r="AQ592" s="15">
        <f>IFERROR(vp.data[[#This Row],[VP]]*vp.data[[#This Row],[VolumeM3]],"")</f>
        <v>256867.47240000003</v>
      </c>
    </row>
    <row r="593" spans="1:43" x14ac:dyDescent="0.25">
      <c r="A593">
        <v>592</v>
      </c>
      <c r="B593" t="s">
        <v>134</v>
      </c>
      <c r="C593" t="s">
        <v>134</v>
      </c>
      <c r="D593" t="s">
        <v>135</v>
      </c>
      <c r="F593" s="1">
        <v>42750</v>
      </c>
      <c r="G593" s="2">
        <v>71</v>
      </c>
      <c r="H593" s="2"/>
      <c r="I593" s="2">
        <f t="array" ref="I593">_xlfn.IFNA(IF(vp.data[[#This Row],[Sulf Input]]="",INDEX([1]DATA!$Q$3:$Q$9826,MATCH(1,(vp.data[[#This Row],[Battery]]=[1]DATA!$L$3:$L$9826)*(EOMONTH(vp.data[[#This Row],[SDate]],-1)+1=[1]DATA!$G$3:$G$9826),0)),vp.data[[#This Row],[Sulf Input]]),"")</f>
        <v>2.4300000000000002</v>
      </c>
      <c r="J593" s="2">
        <v>9</v>
      </c>
      <c r="K593" s="2">
        <v>-8</v>
      </c>
      <c r="L593" s="2">
        <v>864.7</v>
      </c>
      <c r="M593" s="2">
        <f t="array" ref="M593">_xlfn.IFNA(IF(vp.data[[#This Row],[Dens Input]]="",INDEX([1]DATA!$O$3:$O$9826,MATCH(1,(vp.data[[#This Row],[Battery]]=[1]DATA!$L$3:$L$9826)*(EOMONTH(vp.data[[#This Row],[SDate]],-1)+1=[1]DATA!$G$3:$G$9826),0)),vp.data[[#This Row],[Dens Input]]),"")</f>
        <v>864.7</v>
      </c>
      <c r="N593" s="2">
        <f ca="1">INDEX(INDIRECT(_xlfn.CONCAT("weather.tbl[",N$1,"]")),MATCH(vp.data[[#This Row],[SDate]],weather.tbl[Date],0))</f>
        <v>-12.466666666666667</v>
      </c>
      <c r="O593" s="2">
        <f ca="1">INDEX(INDIRECT(_xlfn.CONCAT("weather.tbl[",O$1,"]")),MATCH(vp.data[[#This Row],[SDate]],weather.tbl[Date],0))</f>
        <v>-20.254761904761903</v>
      </c>
      <c r="P593" s="2">
        <f ca="1">INDEX(INDIRECT(_xlfn.CONCAT("weather.tbl[",P$1,"]")),MATCH(vp.data[[#This Row],[SDate]],weather.tbl[Date],0))</f>
        <v>-12.9</v>
      </c>
      <c r="Q593" s="2">
        <f ca="1">INDEX(INDIRECT(_xlfn.CONCAT("weather.tbl[",Q$1,"]")),MATCH(vp.data[[#This Row],[SDate]],weather.tbl[Date],0))</f>
        <v>-12.5</v>
      </c>
      <c r="R593" s="2">
        <f ca="1">INDEX(INDIRECT(_xlfn.CONCAT("weather.tbl[",R$1,"]")),MATCH(vp.data[[#This Row],[SDate]],weather.tbl[Date],0))</f>
        <v>-13.8</v>
      </c>
      <c r="S593" s="2">
        <f ca="1">INDEX(INDIRECT(_xlfn.CONCAT("weather.tbl[",S$1,"]")),MATCH(vp.data[[#This Row],[SDate]],weather.tbl[Date],0))</f>
        <v>-11.4</v>
      </c>
      <c r="T593" s="2">
        <f ca="1">INDEX(INDIRECT(_xlfn.CONCAT("weather.tbl[",T$1,"]")),MATCH(vp.data[[#This Row],[SDate]],weather.tbl[Date],0))</f>
        <v>-13.7</v>
      </c>
      <c r="U593" s="2">
        <f ca="1">INDEX(INDIRECT(_xlfn.CONCAT("weather.tbl[",U$1,"]")),MATCH(vp.data[[#This Row],[SDate]],weather.tbl[Date],0))</f>
        <v>-10.5</v>
      </c>
      <c r="V593" s="2">
        <f t="array" ref="V5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305.85899999999998</v>
      </c>
      <c r="W593" t="s">
        <v>48</v>
      </c>
      <c r="X593">
        <f>IF(OR(vp.data[[#This Row],[Sulf]]="",vp.data[[#This Row],[Dens]]=""),1,0)</f>
        <v>0</v>
      </c>
      <c r="Y593">
        <f>IF(vp.data[[#This Row],[CrudeType]]="C5+",1,0)</f>
        <v>0</v>
      </c>
      <c r="Z593">
        <f>IF(AND(vp.data[[#This Row],[CrudeType]]="Crude",vp.data[[#This Row],[Dens]]&lt;=825,vp.data[[#This Row],[Sulf]]&gt;0.5,vp.data[[#This Row],[Unknown]]=0),1,0)</f>
        <v>0</v>
      </c>
      <c r="AA593">
        <f>IF(AND(vp.data[[#This Row],[CrudeType]]="Crude",vp.data[[#This Row],[Dens]]&lt;=825,vp.data[[#This Row],[Sulf]]&lt;=0.5,vp.data[[#This Row],[Unknown]]=0),1,0)</f>
        <v>0</v>
      </c>
      <c r="AB5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93">
        <f>IF(AND(vp.data[[#This Row],[CrudeType]]="Crude",vp.data[[#This Row],[Dens]]&gt;825,vp.data[[#This Row],[Dens]]&lt;=900,vp.data[[#This Row],[Sulf]]&lt;=0.5,vp.data[[#This Row],[Unknown]]=0),1,0)</f>
        <v>0</v>
      </c>
      <c r="AD593">
        <f>IF(AND(vp.data[[#This Row],[CrudeType]]="Crude",vp.data[[#This Row],[Dens]]&gt;865,vp.data[[#This Row],[Dens]]&lt;=900,vp.data[[#This Row],[Sulf]]&gt;2,vp.data[[#This Row],[Unknown]]=0),1,0)</f>
        <v>0</v>
      </c>
      <c r="AE593">
        <f>IF(AND(vp.data[[#This Row],[CrudeType]]="Crude",vp.data[[#This Row],[Dens]]&gt;900,vp.data[[#This Row],[Sulf]]&lt;=0.5,vp.data[[#This Row],[Unknown]]=0),1,0)</f>
        <v>0</v>
      </c>
      <c r="AF593">
        <f>IF(AND(vp.data[[#This Row],[CrudeType]]="Crude",vp.data[[#This Row],[Dens]]&gt;900,vp.data[[#This Row],[Sulf]]&lt;=0.5,vp.data[[#This Row],[Unknown]]=0),1,0)</f>
        <v>0</v>
      </c>
      <c r="AG593" t="str">
        <f>INDEX(vp.data[[#Headers],[Unknown]:[Heavy_SW]],MATCH(1,vp.data[[#This Row],[Unknown]:[Heavy_SW]],0))</f>
        <v>Medium_LSB</v>
      </c>
      <c r="AH593">
        <f>INDEX([3]!crudeBD.lkup[Number],MATCH(vp.data[[#This Row],[Crude_Breakdown]],crudeBD.lkup[Crude Breakdown],0))</f>
        <v>3</v>
      </c>
      <c r="AI593">
        <f>MONTH(vp.data[[#This Row],[SDate]])</f>
        <v>1</v>
      </c>
      <c r="AJ593" s="5">
        <f>(vp.data[[#This Row],[VP]]-INDEX(crudeBD.lkup[Mean_VP],MATCH(vp.data[[#This Row],[Crude_Breakdown]],crudeBD.lkup[Crude Breakdown],0)))^2</f>
        <v>92.92336398602022</v>
      </c>
      <c r="AK593" s="5">
        <f>(vp.data[[#This Row],[Dens]]-INDEX(crudeBD.lkup[Mean_Dens],MATCH(vp.data[[#This Row],[Crude_Breakdown]],crudeBD.lkup[Crude Breakdown],0)))^2</f>
        <v>431.80840000002252</v>
      </c>
      <c r="AL593" s="5">
        <f>(vp.data[[#This Row],[Sulf]]-INDEX(crudeBD.lkup[Mean_Sulf],MATCH(vp.data[[#This Row],[Crude_Breakdown]],crudeBD.lkup[Crude Breakdown],0)))^2</f>
        <v>1.0911721817964983</v>
      </c>
      <c r="AM593" s="4">
        <f>IF(AND(vp.data[[#This Row],[SDate]]&gt;=DATE(YEAR(vp.data[[#This Row],[SDate]]),5,1),vp.data[[#This Row],[SDate]]&lt;=DATE(YEAR(vp.data[[#This Row],[SDate]]),9,15)),1,0)</f>
        <v>0</v>
      </c>
      <c r="AN593" s="4">
        <f>IF(vp.data[[#This Row],[SDate]]&lt;DATE(2016,12,1),0,1)</f>
        <v>1</v>
      </c>
      <c r="AO593" s="4">
        <f>IFERROR(vp.data[[#This Row],[Sulf]]*vp.data[[#This Row],[Net Dens]],"")</f>
        <v>642677.3538390001</v>
      </c>
      <c r="AP593">
        <f>IFERROR(vp.data[[#This Row],[Dens]]*vp.data[[#This Row],[VolumeM3]],"")</f>
        <v>264476.27730000002</v>
      </c>
      <c r="AQ593" s="15">
        <f>IFERROR(vp.data[[#This Row],[VP]]*vp.data[[#This Row],[VolumeM3]],"")</f>
        <v>21715.988999999998</v>
      </c>
    </row>
    <row r="594" spans="1:43" x14ac:dyDescent="0.25">
      <c r="A594">
        <v>593</v>
      </c>
      <c r="B594" t="s">
        <v>51</v>
      </c>
      <c r="C594" t="s">
        <v>51</v>
      </c>
      <c r="D594" t="s">
        <v>136</v>
      </c>
      <c r="F594" s="1">
        <v>42750</v>
      </c>
      <c r="G594" s="2">
        <v>61</v>
      </c>
      <c r="H594" s="2"/>
      <c r="I594" s="2">
        <f t="array" ref="I594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594" s="2">
        <v>-1</v>
      </c>
      <c r="K594" s="2">
        <v>-8</v>
      </c>
      <c r="L594" s="2">
        <v>866.5</v>
      </c>
      <c r="M594" s="2">
        <f t="array" ref="M594">_xlfn.IFNA(IF(vp.data[[#This Row],[Dens Input]]="",INDEX([1]DATA!$O$3:$O$9826,MATCH(1,(vp.data[[#This Row],[Battery]]=[1]DATA!$L$3:$L$9826)*(EOMONTH(vp.data[[#This Row],[SDate]],-1)+1=[1]DATA!$G$3:$G$9826),0)),vp.data[[#This Row],[Dens Input]]),"")</f>
        <v>866.5</v>
      </c>
      <c r="N594" s="2">
        <f ca="1">INDEX(INDIRECT(_xlfn.CONCAT("weather.tbl[",N$1,"]")),MATCH(vp.data[[#This Row],[SDate]],weather.tbl[Date],0))</f>
        <v>-12.466666666666667</v>
      </c>
      <c r="O594" s="2">
        <f ca="1">INDEX(INDIRECT(_xlfn.CONCAT("weather.tbl[",O$1,"]")),MATCH(vp.data[[#This Row],[SDate]],weather.tbl[Date],0))</f>
        <v>-20.254761904761903</v>
      </c>
      <c r="P594" s="2">
        <f ca="1">INDEX(INDIRECT(_xlfn.CONCAT("weather.tbl[",P$1,"]")),MATCH(vp.data[[#This Row],[SDate]],weather.tbl[Date],0))</f>
        <v>-12.9</v>
      </c>
      <c r="Q594" s="2">
        <f ca="1">INDEX(INDIRECT(_xlfn.CONCAT("weather.tbl[",Q$1,"]")),MATCH(vp.data[[#This Row],[SDate]],weather.tbl[Date],0))</f>
        <v>-12.5</v>
      </c>
      <c r="R594" s="2">
        <f ca="1">INDEX(INDIRECT(_xlfn.CONCAT("weather.tbl[",R$1,"]")),MATCH(vp.data[[#This Row],[SDate]],weather.tbl[Date],0))</f>
        <v>-13.8</v>
      </c>
      <c r="S594" s="2">
        <f ca="1">INDEX(INDIRECT(_xlfn.CONCAT("weather.tbl[",S$1,"]")),MATCH(vp.data[[#This Row],[SDate]],weather.tbl[Date],0))</f>
        <v>-11.4</v>
      </c>
      <c r="T594" s="2">
        <f ca="1">INDEX(INDIRECT(_xlfn.CONCAT("weather.tbl[",T$1,"]")),MATCH(vp.data[[#This Row],[SDate]],weather.tbl[Date],0))</f>
        <v>-13.7</v>
      </c>
      <c r="U594" s="2">
        <f ca="1">INDEX(INDIRECT(_xlfn.CONCAT("weather.tbl[",U$1,"]")),MATCH(vp.data[[#This Row],[SDate]],weather.tbl[Date],0))</f>
        <v>-10.5</v>
      </c>
      <c r="V594" s="2">
        <f t="array" ref="V5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127.054</v>
      </c>
      <c r="W594" t="s">
        <v>48</v>
      </c>
      <c r="X594">
        <f>IF(OR(vp.data[[#This Row],[Sulf]]="",vp.data[[#This Row],[Dens]]=""),1,0)</f>
        <v>0</v>
      </c>
      <c r="Y594">
        <f>IF(vp.data[[#This Row],[CrudeType]]="C5+",1,0)</f>
        <v>0</v>
      </c>
      <c r="Z594">
        <f>IF(AND(vp.data[[#This Row],[CrudeType]]="Crude",vp.data[[#This Row],[Dens]]&lt;=825,vp.data[[#This Row],[Sulf]]&gt;0.5,vp.data[[#This Row],[Unknown]]=0),1,0)</f>
        <v>0</v>
      </c>
      <c r="AA594">
        <f>IF(AND(vp.data[[#This Row],[CrudeType]]="Crude",vp.data[[#This Row],[Dens]]&lt;=825,vp.data[[#This Row],[Sulf]]&lt;=0.5,vp.data[[#This Row],[Unknown]]=0),1,0)</f>
        <v>0</v>
      </c>
      <c r="AB5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4">
        <f>IF(AND(vp.data[[#This Row],[CrudeType]]="Crude",vp.data[[#This Row],[Dens]]&gt;825,vp.data[[#This Row],[Dens]]&lt;=900,vp.data[[#This Row],[Sulf]]&lt;=0.5,vp.data[[#This Row],[Unknown]]=0),1,0)</f>
        <v>0</v>
      </c>
      <c r="AD594">
        <f>IF(AND(vp.data[[#This Row],[CrudeType]]="Crude",vp.data[[#This Row],[Dens]]&gt;865,vp.data[[#This Row],[Dens]]&lt;=900,vp.data[[#This Row],[Sulf]]&gt;2,vp.data[[#This Row],[Unknown]]=0),1,0)</f>
        <v>1</v>
      </c>
      <c r="AE594">
        <f>IF(AND(vp.data[[#This Row],[CrudeType]]="Crude",vp.data[[#This Row],[Dens]]&gt;900,vp.data[[#This Row],[Sulf]]&lt;=0.5,vp.data[[#This Row],[Unknown]]=0),1,0)</f>
        <v>0</v>
      </c>
      <c r="AF594">
        <f>IF(AND(vp.data[[#This Row],[CrudeType]]="Crude",vp.data[[#This Row],[Dens]]&gt;900,vp.data[[#This Row],[Sulf]]&lt;=0.5,vp.data[[#This Row],[Unknown]]=0),1,0)</f>
        <v>0</v>
      </c>
      <c r="AG594" t="str">
        <f>INDEX(vp.data[[#Headers],[Unknown]:[Heavy_SW]],MATCH(1,vp.data[[#This Row],[Unknown]:[Heavy_SW]],0))</f>
        <v>Midale</v>
      </c>
      <c r="AH594">
        <f>INDEX([3]!crudeBD.lkup[Number],MATCH(vp.data[[#This Row],[Crude_Breakdown]],crudeBD.lkup[Crude Breakdown],0))</f>
        <v>5</v>
      </c>
      <c r="AI594">
        <f>MONTH(vp.data[[#This Row],[SDate]])</f>
        <v>1</v>
      </c>
      <c r="AJ594" s="5">
        <f>(vp.data[[#This Row],[VP]]-INDEX(crudeBD.lkup[Mean_VP],MATCH(vp.data[[#This Row],[Crude_Breakdown]],crudeBD.lkup[Crude Breakdown],0)))^2</f>
        <v>70.707293283027411</v>
      </c>
      <c r="AK594" s="5">
        <f>(vp.data[[#This Row],[Dens]]-INDEX(crudeBD.lkup[Mean_Dens],MATCH(vp.data[[#This Row],[Crude_Breakdown]],crudeBD.lkup[Crude Breakdown],0)))^2</f>
        <v>69.172660484647466</v>
      </c>
      <c r="AL594" s="5">
        <f>(vp.data[[#This Row],[Sulf]]-INDEX(crudeBD.lkup[Mean_Sulf],MATCH(vp.data[[#This Row],[Crude_Breakdown]],crudeBD.lkup[Crude Breakdown],0)))^2</f>
        <v>4.0469403660429899E-3</v>
      </c>
      <c r="AM594" s="4">
        <f>IF(AND(vp.data[[#This Row],[SDate]]&gt;=DATE(YEAR(vp.data[[#This Row],[SDate]]),5,1),vp.data[[#This Row],[SDate]]&lt;=DATE(YEAR(vp.data[[#This Row],[SDate]]),9,15)),1,0)</f>
        <v>0</v>
      </c>
      <c r="AN594" s="4">
        <f>IF(vp.data[[#This Row],[SDate]]&lt;DATE(2016,12,1),0,1)</f>
        <v>1</v>
      </c>
      <c r="AO594" s="4">
        <f>IFERROR(vp.data[[#This Row],[Sulf]]*vp.data[[#This Row],[Net Dens]],"")</f>
        <v>262019.65257999999</v>
      </c>
      <c r="AP594">
        <f>IFERROR(vp.data[[#This Row],[Dens]]*vp.data[[#This Row],[VolumeM3]],"")</f>
        <v>110092.291</v>
      </c>
      <c r="AQ594" s="15">
        <f>IFERROR(vp.data[[#This Row],[VP]]*vp.data[[#This Row],[VolumeM3]],"")</f>
        <v>7750.2939999999999</v>
      </c>
    </row>
    <row r="595" spans="1:43" x14ac:dyDescent="0.25">
      <c r="A595">
        <v>594</v>
      </c>
      <c r="B595" t="s">
        <v>53</v>
      </c>
      <c r="C595" t="s">
        <v>53</v>
      </c>
      <c r="D595" t="s">
        <v>54</v>
      </c>
      <c r="E595" t="s">
        <v>55</v>
      </c>
      <c r="F595" s="1">
        <v>42752</v>
      </c>
      <c r="G595" s="2">
        <v>96.2</v>
      </c>
      <c r="H595" s="2"/>
      <c r="I595" s="2">
        <f t="array" ref="I595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595" s="2">
        <v>6</v>
      </c>
      <c r="K595" s="2">
        <v>-2</v>
      </c>
      <c r="L595" s="2">
        <v>888.5</v>
      </c>
      <c r="M595" s="2">
        <f t="array" ref="M595">_xlfn.IFNA(IF(vp.data[[#This Row],[Dens Input]]="",INDEX([1]DATA!$O$3:$O$9826,MATCH(1,(vp.data[[#This Row],[Battery]]=[1]DATA!$L$3:$L$9826)*(EOMONTH(vp.data[[#This Row],[SDate]],-1)+1=[1]DATA!$G$3:$G$9826),0)),vp.data[[#This Row],[Dens Input]]),"")</f>
        <v>888.5</v>
      </c>
      <c r="N595" s="2">
        <f ca="1">INDEX(INDIRECT(_xlfn.CONCAT("weather.tbl[",N$1,"]")),MATCH(vp.data[[#This Row],[SDate]],weather.tbl[Date],0))</f>
        <v>-5.3999999999999995</v>
      </c>
      <c r="O595" s="2">
        <f ca="1">INDEX(INDIRECT(_xlfn.CONCAT("weather.tbl[",O$1,"]")),MATCH(vp.data[[#This Row],[SDate]],weather.tbl[Date],0))</f>
        <v>-16.290476190476195</v>
      </c>
      <c r="P595" s="2">
        <f ca="1">INDEX(INDIRECT(_xlfn.CONCAT("weather.tbl[",P$1,"]")),MATCH(vp.data[[#This Row],[SDate]],weather.tbl[Date],0))</f>
        <v>-5.7</v>
      </c>
      <c r="Q595" s="2">
        <f ca="1">INDEX(INDIRECT(_xlfn.CONCAT("weather.tbl[",Q$1,"]")),MATCH(vp.data[[#This Row],[SDate]],weather.tbl[Date],0))</f>
        <v>-4.4000000000000004</v>
      </c>
      <c r="R595" s="2">
        <f ca="1">INDEX(INDIRECT(_xlfn.CONCAT("weather.tbl[",R$1,"]")),MATCH(vp.data[[#This Row],[SDate]],weather.tbl[Date],0))</f>
        <v>-7.8</v>
      </c>
      <c r="S595" s="2">
        <f ca="1">INDEX(INDIRECT(_xlfn.CONCAT("weather.tbl[",S$1,"]")),MATCH(vp.data[[#This Row],[SDate]],weather.tbl[Date],0))</f>
        <v>-3.1</v>
      </c>
      <c r="T595" s="2">
        <f ca="1">INDEX(INDIRECT(_xlfn.CONCAT("weather.tbl[",T$1,"]")),MATCH(vp.data[[#This Row],[SDate]],weather.tbl[Date],0))</f>
        <v>-7.6</v>
      </c>
      <c r="U595" s="2">
        <f ca="1">INDEX(INDIRECT(_xlfn.CONCAT("weather.tbl[",U$1,"]")),MATCH(vp.data[[#This Row],[SDate]],weather.tbl[Date],0))</f>
        <v>-3.8</v>
      </c>
      <c r="V595" s="2">
        <f t="array" ref="V5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595" t="s">
        <v>48</v>
      </c>
      <c r="X595">
        <f>IF(OR(vp.data[[#This Row],[Sulf]]="",vp.data[[#This Row],[Dens]]=""),1,0)</f>
        <v>0</v>
      </c>
      <c r="Y595">
        <f>IF(vp.data[[#This Row],[CrudeType]]="C5+",1,0)</f>
        <v>0</v>
      </c>
      <c r="Z595">
        <f>IF(AND(vp.data[[#This Row],[CrudeType]]="Crude",vp.data[[#This Row],[Dens]]&lt;=825,vp.data[[#This Row],[Sulf]]&gt;0.5,vp.data[[#This Row],[Unknown]]=0),1,0)</f>
        <v>0</v>
      </c>
      <c r="AA595">
        <f>IF(AND(vp.data[[#This Row],[CrudeType]]="Crude",vp.data[[#This Row],[Dens]]&lt;=825,vp.data[[#This Row],[Sulf]]&lt;=0.5,vp.data[[#This Row],[Unknown]]=0),1,0)</f>
        <v>0</v>
      </c>
      <c r="AB5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595">
        <f>IF(AND(vp.data[[#This Row],[CrudeType]]="Crude",vp.data[[#This Row],[Dens]]&gt;825,vp.data[[#This Row],[Dens]]&lt;=900,vp.data[[#This Row],[Sulf]]&lt;=0.5,vp.data[[#This Row],[Unknown]]=0),1,0)</f>
        <v>0</v>
      </c>
      <c r="AD595">
        <f>IF(AND(vp.data[[#This Row],[CrudeType]]="Crude",vp.data[[#This Row],[Dens]]&gt;865,vp.data[[#This Row],[Dens]]&lt;=900,vp.data[[#This Row],[Sulf]]&gt;2,vp.data[[#This Row],[Unknown]]=0),1,0)</f>
        <v>0</v>
      </c>
      <c r="AE595">
        <f>IF(AND(vp.data[[#This Row],[CrudeType]]="Crude",vp.data[[#This Row],[Dens]]&gt;900,vp.data[[#This Row],[Sulf]]&lt;=0.5,vp.data[[#This Row],[Unknown]]=0),1,0)</f>
        <v>0</v>
      </c>
      <c r="AF595">
        <f>IF(AND(vp.data[[#This Row],[CrudeType]]="Crude",vp.data[[#This Row],[Dens]]&gt;900,vp.data[[#This Row],[Sulf]]&lt;=0.5,vp.data[[#This Row],[Unknown]]=0),1,0)</f>
        <v>0</v>
      </c>
      <c r="AG595" t="str">
        <f>INDEX(vp.data[[#Headers],[Unknown]:[Heavy_SW]],MATCH(1,vp.data[[#This Row],[Unknown]:[Heavy_SW]],0))</f>
        <v>Medium_LSB</v>
      </c>
      <c r="AH595">
        <f>INDEX([3]!crudeBD.lkup[Number],MATCH(vp.data[[#This Row],[Crude_Breakdown]],crudeBD.lkup[Crude Breakdown],0))</f>
        <v>3</v>
      </c>
      <c r="AI595">
        <f>MONTH(vp.data[[#This Row],[SDate]])</f>
        <v>1</v>
      </c>
      <c r="AJ595" s="5">
        <f>(vp.data[[#This Row],[VP]]-INDEX(crudeBD.lkup[Mean_VP],MATCH(vp.data[[#This Row],[Crude_Breakdown]],crudeBD.lkup[Crude Breakdown],0)))^2</f>
        <v>242.12366587281639</v>
      </c>
      <c r="AK595" s="5">
        <f>(vp.data[[#This Row],[Dens]]-INDEX(crudeBD.lkup[Mean_Dens],MATCH(vp.data[[#This Row],[Crude_Breakdown]],crudeBD.lkup[Crude Breakdown],0)))^2</f>
        <v>1987.3764000000442</v>
      </c>
      <c r="AL595" s="5">
        <f>(vp.data[[#This Row],[Sulf]]-INDEX(crudeBD.lkup[Mean_Sulf],MATCH(vp.data[[#This Row],[Crude_Breakdown]],crudeBD.lkup[Crude Breakdown],0)))^2</f>
        <v>2.3898647295153057E-2</v>
      </c>
      <c r="AM595" s="4">
        <f>IF(AND(vp.data[[#This Row],[SDate]]&gt;=DATE(YEAR(vp.data[[#This Row],[SDate]]),5,1),vp.data[[#This Row],[SDate]]&lt;=DATE(YEAR(vp.data[[#This Row],[SDate]]),9,15)),1,0)</f>
        <v>0</v>
      </c>
      <c r="AN595" s="4">
        <f>IF(vp.data[[#This Row],[SDate]]&lt;DATE(2016,12,1),0,1)</f>
        <v>1</v>
      </c>
      <c r="AO595" s="4">
        <f>IFERROR(vp.data[[#This Row],[Sulf]]*vp.data[[#This Row],[Net Dens]],"")</f>
        <v>69532888.250980005</v>
      </c>
      <c r="AP595">
        <f>IFERROR(vp.data[[#This Row],[Dens]]*vp.data[[#This Row],[VolumeM3]],"")</f>
        <v>45151226.137000002</v>
      </c>
      <c r="AQ595" s="15">
        <f>IFERROR(vp.data[[#This Row],[VP]]*vp.data[[#This Row],[VolumeM3]],"")</f>
        <v>4888630.2244000006</v>
      </c>
    </row>
    <row r="596" spans="1:43" x14ac:dyDescent="0.25">
      <c r="A596">
        <v>595</v>
      </c>
      <c r="B596" t="s">
        <v>49</v>
      </c>
      <c r="C596" t="s">
        <v>49</v>
      </c>
      <c r="D596" t="s">
        <v>75</v>
      </c>
      <c r="F596" s="1">
        <v>42752</v>
      </c>
      <c r="G596" s="2">
        <v>98.3</v>
      </c>
      <c r="H596" s="2"/>
      <c r="I596" s="2">
        <f t="array" ref="I596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596" s="2">
        <v>21</v>
      </c>
      <c r="K596" s="2">
        <v>-8</v>
      </c>
      <c r="L596" s="2">
        <v>807.5</v>
      </c>
      <c r="M596" s="2">
        <f t="array" ref="M596">_xlfn.IFNA(IF(vp.data[[#This Row],[Dens Input]]="",INDEX([1]DATA!$O$3:$O$9826,MATCH(1,(vp.data[[#This Row],[Battery]]=[1]DATA!$L$3:$L$9826)*(EOMONTH(vp.data[[#This Row],[SDate]],-1)+1=[1]DATA!$G$3:$G$9826),0)),vp.data[[#This Row],[Dens Input]]),"")</f>
        <v>807.5</v>
      </c>
      <c r="N596" s="2">
        <f ca="1">INDEX(INDIRECT(_xlfn.CONCAT("weather.tbl[",N$1,"]")),MATCH(vp.data[[#This Row],[SDate]],weather.tbl[Date],0))</f>
        <v>-5.3999999999999995</v>
      </c>
      <c r="O596" s="2">
        <f ca="1">INDEX(INDIRECT(_xlfn.CONCAT("weather.tbl[",O$1,"]")),MATCH(vp.data[[#This Row],[SDate]],weather.tbl[Date],0))</f>
        <v>-16.290476190476195</v>
      </c>
      <c r="P596" s="2">
        <f ca="1">INDEX(INDIRECT(_xlfn.CONCAT("weather.tbl[",P$1,"]")),MATCH(vp.data[[#This Row],[SDate]],weather.tbl[Date],0))</f>
        <v>-5.7</v>
      </c>
      <c r="Q596" s="2">
        <f ca="1">INDEX(INDIRECT(_xlfn.CONCAT("weather.tbl[",Q$1,"]")),MATCH(vp.data[[#This Row],[SDate]],weather.tbl[Date],0))</f>
        <v>-4.4000000000000004</v>
      </c>
      <c r="R596" s="2">
        <f ca="1">INDEX(INDIRECT(_xlfn.CONCAT("weather.tbl[",R$1,"]")),MATCH(vp.data[[#This Row],[SDate]],weather.tbl[Date],0))</f>
        <v>-7.8</v>
      </c>
      <c r="S596" s="2">
        <f ca="1">INDEX(INDIRECT(_xlfn.CONCAT("weather.tbl[",S$1,"]")),MATCH(vp.data[[#This Row],[SDate]],weather.tbl[Date],0))</f>
        <v>-3.1</v>
      </c>
      <c r="T596" s="2">
        <f ca="1">INDEX(INDIRECT(_xlfn.CONCAT("weather.tbl[",T$1,"]")),MATCH(vp.data[[#This Row],[SDate]],weather.tbl[Date],0))</f>
        <v>-7.6</v>
      </c>
      <c r="U596" s="2">
        <f ca="1">INDEX(INDIRECT(_xlfn.CONCAT("weather.tbl[",U$1,"]")),MATCH(vp.data[[#This Row],[SDate]],weather.tbl[Date],0))</f>
        <v>-3.8</v>
      </c>
      <c r="V596" s="2">
        <f t="array" ref="V5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596" t="s">
        <v>48</v>
      </c>
      <c r="X596">
        <f>IF(OR(vp.data[[#This Row],[Sulf]]="",vp.data[[#This Row],[Dens]]=""),1,0)</f>
        <v>0</v>
      </c>
      <c r="Y596">
        <f>IF(vp.data[[#This Row],[CrudeType]]="C5+",1,0)</f>
        <v>0</v>
      </c>
      <c r="Z596">
        <f>IF(AND(vp.data[[#This Row],[CrudeType]]="Crude",vp.data[[#This Row],[Dens]]&lt;=825,vp.data[[#This Row],[Sulf]]&gt;0.5,vp.data[[#This Row],[Unknown]]=0),1,0)</f>
        <v>0</v>
      </c>
      <c r="AA596">
        <f>IF(AND(vp.data[[#This Row],[CrudeType]]="Crude",vp.data[[#This Row],[Dens]]&lt;=825,vp.data[[#This Row],[Sulf]]&lt;=0.5,vp.data[[#This Row],[Unknown]]=0),1,0)</f>
        <v>1</v>
      </c>
      <c r="AB5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6">
        <f>IF(AND(vp.data[[#This Row],[CrudeType]]="Crude",vp.data[[#This Row],[Dens]]&gt;825,vp.data[[#This Row],[Dens]]&lt;=900,vp.data[[#This Row],[Sulf]]&lt;=0.5,vp.data[[#This Row],[Unknown]]=0),1,0)</f>
        <v>0</v>
      </c>
      <c r="AD596">
        <f>IF(AND(vp.data[[#This Row],[CrudeType]]="Crude",vp.data[[#This Row],[Dens]]&gt;865,vp.data[[#This Row],[Dens]]&lt;=900,vp.data[[#This Row],[Sulf]]&gt;2,vp.data[[#This Row],[Unknown]]=0),1,0)</f>
        <v>0</v>
      </c>
      <c r="AE596">
        <f>IF(AND(vp.data[[#This Row],[CrudeType]]="Crude",vp.data[[#This Row],[Dens]]&gt;900,vp.data[[#This Row],[Sulf]]&lt;=0.5,vp.data[[#This Row],[Unknown]]=0),1,0)</f>
        <v>0</v>
      </c>
      <c r="AF596">
        <f>IF(AND(vp.data[[#This Row],[CrudeType]]="Crude",vp.data[[#This Row],[Dens]]&gt;900,vp.data[[#This Row],[Sulf]]&lt;=0.5,vp.data[[#This Row],[Unknown]]=0),1,0)</f>
        <v>0</v>
      </c>
      <c r="AG596" t="str">
        <f>INDEX(vp.data[[#Headers],[Unknown]:[Heavy_SW]],MATCH(1,vp.data[[#This Row],[Unknown]:[Heavy_SW]],0))</f>
        <v>Light_SW</v>
      </c>
      <c r="AH596">
        <f>INDEX([3]!crudeBD.lkup[Number],MATCH(vp.data[[#This Row],[Crude_Breakdown]],crudeBD.lkup[Crude Breakdown],0))</f>
        <v>2</v>
      </c>
      <c r="AI596">
        <f>MONTH(vp.data[[#This Row],[SDate]])</f>
        <v>1</v>
      </c>
      <c r="AJ596" s="5">
        <f>(vp.data[[#This Row],[VP]]-INDEX(crudeBD.lkup[Mean_VP],MATCH(vp.data[[#This Row],[Crude_Breakdown]],crudeBD.lkup[Crude Breakdown],0)))^2</f>
        <v>33.058893826561267</v>
      </c>
      <c r="AK596" s="5">
        <f>(vp.data[[#This Row],[Dens]]-INDEX(crudeBD.lkup[Mean_Dens],MATCH(vp.data[[#This Row],[Crude_Breakdown]],crudeBD.lkup[Crude Breakdown],0)))^2</f>
        <v>0.65852942247654833</v>
      </c>
      <c r="AL596" s="5">
        <f>(vp.data[[#This Row],[Sulf]]-INDEX(crudeBD.lkup[Mean_Sulf],MATCH(vp.data[[#This Row],[Crude_Breakdown]],crudeBD.lkup[Crude Breakdown],0)))^2</f>
        <v>5.644515043280923E-4</v>
      </c>
      <c r="AM596" s="4">
        <f>IF(AND(vp.data[[#This Row],[SDate]]&gt;=DATE(YEAR(vp.data[[#This Row],[SDate]]),5,1),vp.data[[#This Row],[SDate]]&lt;=DATE(YEAR(vp.data[[#This Row],[SDate]]),9,15)),1,0)</f>
        <v>0</v>
      </c>
      <c r="AN596" s="4">
        <f>IF(vp.data[[#This Row],[SDate]]&lt;DATE(2016,12,1),0,1)</f>
        <v>1</v>
      </c>
      <c r="AO596" s="4">
        <f>IFERROR(vp.data[[#This Row],[Sulf]]*vp.data[[#This Row],[Net Dens]],"")</f>
        <v>2674493.0043000001</v>
      </c>
      <c r="AP596">
        <f>IFERROR(vp.data[[#This Row],[Dens]]*vp.data[[#This Row],[VolumeM3]],"")</f>
        <v>10286511.555</v>
      </c>
      <c r="AQ596" s="15">
        <f>IFERROR(vp.data[[#This Row],[VP]]*vp.data[[#This Row],[VolumeM3]],"")</f>
        <v>1252215.5862</v>
      </c>
    </row>
    <row r="597" spans="1:43" x14ac:dyDescent="0.25">
      <c r="A597">
        <v>596</v>
      </c>
      <c r="B597" t="s">
        <v>62</v>
      </c>
      <c r="C597" t="s">
        <v>62</v>
      </c>
      <c r="D597" t="s">
        <v>79</v>
      </c>
      <c r="F597" s="1">
        <v>42752</v>
      </c>
      <c r="G597" s="2">
        <v>96.4</v>
      </c>
      <c r="H597" s="2"/>
      <c r="I597" s="2">
        <f t="array" ref="I597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597" s="2">
        <v>14</v>
      </c>
      <c r="K597" s="2">
        <v>-10</v>
      </c>
      <c r="L597" s="2">
        <v>810.4</v>
      </c>
      <c r="M597" s="2">
        <f t="array" ref="M597">_xlfn.IFNA(IF(vp.data[[#This Row],[Dens Input]]="",INDEX([1]DATA!$O$3:$O$9826,MATCH(1,(vp.data[[#This Row],[Battery]]=[1]DATA!$L$3:$L$9826)*(EOMONTH(vp.data[[#This Row],[SDate]],-1)+1=[1]DATA!$G$3:$G$9826),0)),vp.data[[#This Row],[Dens Input]]),"")</f>
        <v>810.4</v>
      </c>
      <c r="N597" s="2">
        <f ca="1">INDEX(INDIRECT(_xlfn.CONCAT("weather.tbl[",N$1,"]")),MATCH(vp.data[[#This Row],[SDate]],weather.tbl[Date],0))</f>
        <v>-5.3999999999999995</v>
      </c>
      <c r="O597" s="2">
        <f ca="1">INDEX(INDIRECT(_xlfn.CONCAT("weather.tbl[",O$1,"]")),MATCH(vp.data[[#This Row],[SDate]],weather.tbl[Date],0))</f>
        <v>-16.290476190476195</v>
      </c>
      <c r="P597" s="2">
        <f ca="1">INDEX(INDIRECT(_xlfn.CONCAT("weather.tbl[",P$1,"]")),MATCH(vp.data[[#This Row],[SDate]],weather.tbl[Date],0))</f>
        <v>-5.7</v>
      </c>
      <c r="Q597" s="2">
        <f ca="1">INDEX(INDIRECT(_xlfn.CONCAT("weather.tbl[",Q$1,"]")),MATCH(vp.data[[#This Row],[SDate]],weather.tbl[Date],0))</f>
        <v>-4.4000000000000004</v>
      </c>
      <c r="R597" s="2">
        <f ca="1">INDEX(INDIRECT(_xlfn.CONCAT("weather.tbl[",R$1,"]")),MATCH(vp.data[[#This Row],[SDate]],weather.tbl[Date],0))</f>
        <v>-7.8</v>
      </c>
      <c r="S597" s="2">
        <f ca="1">INDEX(INDIRECT(_xlfn.CONCAT("weather.tbl[",S$1,"]")),MATCH(vp.data[[#This Row],[SDate]],weather.tbl[Date],0))</f>
        <v>-3.1</v>
      </c>
      <c r="T597" s="2">
        <f ca="1">INDEX(INDIRECT(_xlfn.CONCAT("weather.tbl[",T$1,"]")),MATCH(vp.data[[#This Row],[SDate]],weather.tbl[Date],0))</f>
        <v>-7.6</v>
      </c>
      <c r="U597" s="2">
        <f ca="1">INDEX(INDIRECT(_xlfn.CONCAT("weather.tbl[",U$1,"]")),MATCH(vp.data[[#This Row],[SDate]],weather.tbl[Date],0))</f>
        <v>-3.8</v>
      </c>
      <c r="V597" s="2">
        <f t="array" ref="V5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597" t="s">
        <v>48</v>
      </c>
      <c r="X597">
        <f>IF(OR(vp.data[[#This Row],[Sulf]]="",vp.data[[#This Row],[Dens]]=""),1,0)</f>
        <v>0</v>
      </c>
      <c r="Y597">
        <f>IF(vp.data[[#This Row],[CrudeType]]="C5+",1,0)</f>
        <v>0</v>
      </c>
      <c r="Z597">
        <f>IF(AND(vp.data[[#This Row],[CrudeType]]="Crude",vp.data[[#This Row],[Dens]]&lt;=825,vp.data[[#This Row],[Sulf]]&gt;0.5,vp.data[[#This Row],[Unknown]]=0),1,0)</f>
        <v>0</v>
      </c>
      <c r="AA597">
        <f>IF(AND(vp.data[[#This Row],[CrudeType]]="Crude",vp.data[[#This Row],[Dens]]&lt;=825,vp.data[[#This Row],[Sulf]]&lt;=0.5,vp.data[[#This Row],[Unknown]]=0),1,0)</f>
        <v>1</v>
      </c>
      <c r="AB5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7">
        <f>IF(AND(vp.data[[#This Row],[CrudeType]]="Crude",vp.data[[#This Row],[Dens]]&gt;825,vp.data[[#This Row],[Dens]]&lt;=900,vp.data[[#This Row],[Sulf]]&lt;=0.5,vp.data[[#This Row],[Unknown]]=0),1,0)</f>
        <v>0</v>
      </c>
      <c r="AD597">
        <f>IF(AND(vp.data[[#This Row],[CrudeType]]="Crude",vp.data[[#This Row],[Dens]]&gt;865,vp.data[[#This Row],[Dens]]&lt;=900,vp.data[[#This Row],[Sulf]]&gt;2,vp.data[[#This Row],[Unknown]]=0),1,0)</f>
        <v>0</v>
      </c>
      <c r="AE597">
        <f>IF(AND(vp.data[[#This Row],[CrudeType]]="Crude",vp.data[[#This Row],[Dens]]&gt;900,vp.data[[#This Row],[Sulf]]&lt;=0.5,vp.data[[#This Row],[Unknown]]=0),1,0)</f>
        <v>0</v>
      </c>
      <c r="AF597">
        <f>IF(AND(vp.data[[#This Row],[CrudeType]]="Crude",vp.data[[#This Row],[Dens]]&gt;900,vp.data[[#This Row],[Sulf]]&lt;=0.5,vp.data[[#This Row],[Unknown]]=0),1,0)</f>
        <v>0</v>
      </c>
      <c r="AG597" t="str">
        <f>INDEX(vp.data[[#Headers],[Unknown]:[Heavy_SW]],MATCH(1,vp.data[[#This Row],[Unknown]:[Heavy_SW]],0))</f>
        <v>Light_SW</v>
      </c>
      <c r="AH597">
        <f>INDEX([3]!crudeBD.lkup[Number],MATCH(vp.data[[#This Row],[Crude_Breakdown]],crudeBD.lkup[Crude Breakdown],0))</f>
        <v>2</v>
      </c>
      <c r="AI597">
        <f>MONTH(vp.data[[#This Row],[SDate]])</f>
        <v>1</v>
      </c>
      <c r="AJ597" s="5">
        <f>(vp.data[[#This Row],[VP]]-INDEX(crudeBD.lkup[Mean_VP],MATCH(vp.data[[#This Row],[Crude_Breakdown]],crudeBD.lkup[Crude Breakdown],0)))^2</f>
        <v>14.820085464191896</v>
      </c>
      <c r="AK597" s="5">
        <f>(vp.data[[#This Row],[Dens]]-INDEX(crudeBD.lkup[Mean_Dens],MATCH(vp.data[[#This Row],[Crude_Breakdown]],crudeBD.lkup[Crude Breakdown],0)))^2</f>
        <v>4.3618395270073362</v>
      </c>
      <c r="AL597" s="5">
        <f>(vp.data[[#This Row],[Sulf]]-INDEX(crudeBD.lkup[Mean_Sulf],MATCH(vp.data[[#This Row],[Crude_Breakdown]],crudeBD.lkup[Crude Breakdown],0)))^2</f>
        <v>1.9147790304605045E-3</v>
      </c>
      <c r="AM597" s="4">
        <f>IF(AND(vp.data[[#This Row],[SDate]]&gt;=DATE(YEAR(vp.data[[#This Row],[SDate]]),5,1),vp.data[[#This Row],[SDate]]&lt;=DATE(YEAR(vp.data[[#This Row],[SDate]]),9,15)),1,0)</f>
        <v>0</v>
      </c>
      <c r="AN597" s="4">
        <f>IF(vp.data[[#This Row],[SDate]]&lt;DATE(2016,12,1),0,1)</f>
        <v>1</v>
      </c>
      <c r="AO597" s="4">
        <f>IFERROR(vp.data[[#This Row],[Sulf]]*vp.data[[#This Row],[Net Dens]],"")</f>
        <v>3185052.1032960005</v>
      </c>
      <c r="AP597">
        <f>IFERROR(vp.data[[#This Row],[Dens]]*vp.data[[#This Row],[VolumeM3]],"")</f>
        <v>11375186.0832</v>
      </c>
      <c r="AQ597" s="15">
        <f>IFERROR(vp.data[[#This Row],[VP]]*vp.data[[#This Row],[VolumeM3]],"")</f>
        <v>1353119.3712000002</v>
      </c>
    </row>
    <row r="598" spans="1:43" x14ac:dyDescent="0.25">
      <c r="A598">
        <v>597</v>
      </c>
      <c r="B598" t="s">
        <v>49</v>
      </c>
      <c r="C598" t="s">
        <v>49</v>
      </c>
      <c r="D598" t="s">
        <v>80</v>
      </c>
      <c r="F598" s="1">
        <v>42752</v>
      </c>
      <c r="G598" s="2">
        <v>110.4</v>
      </c>
      <c r="H598" s="2"/>
      <c r="I598" s="2">
        <f t="array" ref="I598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598" s="2">
        <v>13</v>
      </c>
      <c r="K598" s="2">
        <v>-1</v>
      </c>
      <c r="L598" s="2">
        <v>810.5</v>
      </c>
      <c r="M598" s="2">
        <f t="array" ref="M598">_xlfn.IFNA(IF(vp.data[[#This Row],[Dens Input]]="",INDEX([1]DATA!$O$3:$O$9826,MATCH(1,(vp.data[[#This Row],[Battery]]=[1]DATA!$L$3:$L$9826)*(EOMONTH(vp.data[[#This Row],[SDate]],-1)+1=[1]DATA!$G$3:$G$9826),0)),vp.data[[#This Row],[Dens Input]]),"")</f>
        <v>810.5</v>
      </c>
      <c r="N598" s="2">
        <f ca="1">INDEX(INDIRECT(_xlfn.CONCAT("weather.tbl[",N$1,"]")),MATCH(vp.data[[#This Row],[SDate]],weather.tbl[Date],0))</f>
        <v>-5.3999999999999995</v>
      </c>
      <c r="O598" s="2">
        <f ca="1">INDEX(INDIRECT(_xlfn.CONCAT("weather.tbl[",O$1,"]")),MATCH(vp.data[[#This Row],[SDate]],weather.tbl[Date],0))</f>
        <v>-16.290476190476195</v>
      </c>
      <c r="P598" s="2">
        <f ca="1">INDEX(INDIRECT(_xlfn.CONCAT("weather.tbl[",P$1,"]")),MATCH(vp.data[[#This Row],[SDate]],weather.tbl[Date],0))</f>
        <v>-5.7</v>
      </c>
      <c r="Q598" s="2">
        <f ca="1">INDEX(INDIRECT(_xlfn.CONCAT("weather.tbl[",Q$1,"]")),MATCH(vp.data[[#This Row],[SDate]],weather.tbl[Date],0))</f>
        <v>-4.4000000000000004</v>
      </c>
      <c r="R598" s="2">
        <f ca="1">INDEX(INDIRECT(_xlfn.CONCAT("weather.tbl[",R$1,"]")),MATCH(vp.data[[#This Row],[SDate]],weather.tbl[Date],0))</f>
        <v>-7.8</v>
      </c>
      <c r="S598" s="2">
        <f ca="1">INDEX(INDIRECT(_xlfn.CONCAT("weather.tbl[",S$1,"]")),MATCH(vp.data[[#This Row],[SDate]],weather.tbl[Date],0))</f>
        <v>-3.1</v>
      </c>
      <c r="T598" s="2">
        <f ca="1">INDEX(INDIRECT(_xlfn.CONCAT("weather.tbl[",T$1,"]")),MATCH(vp.data[[#This Row],[SDate]],weather.tbl[Date],0))</f>
        <v>-7.6</v>
      </c>
      <c r="U598" s="2">
        <f ca="1">INDEX(INDIRECT(_xlfn.CONCAT("weather.tbl[",U$1,"]")),MATCH(vp.data[[#This Row],[SDate]],weather.tbl[Date],0))</f>
        <v>-3.8</v>
      </c>
      <c r="V598" s="2">
        <f t="array" ref="V5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598" t="s">
        <v>48</v>
      </c>
      <c r="X598">
        <f>IF(OR(vp.data[[#This Row],[Sulf]]="",vp.data[[#This Row],[Dens]]=""),1,0)</f>
        <v>0</v>
      </c>
      <c r="Y598">
        <f>IF(vp.data[[#This Row],[CrudeType]]="C5+",1,0)</f>
        <v>0</v>
      </c>
      <c r="Z598">
        <f>IF(AND(vp.data[[#This Row],[CrudeType]]="Crude",vp.data[[#This Row],[Dens]]&lt;=825,vp.data[[#This Row],[Sulf]]&gt;0.5,vp.data[[#This Row],[Unknown]]=0),1,0)</f>
        <v>1</v>
      </c>
      <c r="AA598">
        <f>IF(AND(vp.data[[#This Row],[CrudeType]]="Crude",vp.data[[#This Row],[Dens]]&lt;=825,vp.data[[#This Row],[Sulf]]&lt;=0.5,vp.data[[#This Row],[Unknown]]=0),1,0)</f>
        <v>0</v>
      </c>
      <c r="AB5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8">
        <f>IF(AND(vp.data[[#This Row],[CrudeType]]="Crude",vp.data[[#This Row],[Dens]]&gt;825,vp.data[[#This Row],[Dens]]&lt;=900,vp.data[[#This Row],[Sulf]]&lt;=0.5,vp.data[[#This Row],[Unknown]]=0),1,0)</f>
        <v>0</v>
      </c>
      <c r="AD598">
        <f>IF(AND(vp.data[[#This Row],[CrudeType]]="Crude",vp.data[[#This Row],[Dens]]&gt;865,vp.data[[#This Row],[Dens]]&lt;=900,vp.data[[#This Row],[Sulf]]&gt;2,vp.data[[#This Row],[Unknown]]=0),1,0)</f>
        <v>0</v>
      </c>
      <c r="AE598">
        <f>IF(AND(vp.data[[#This Row],[CrudeType]]="Crude",vp.data[[#This Row],[Dens]]&gt;900,vp.data[[#This Row],[Sulf]]&lt;=0.5,vp.data[[#This Row],[Unknown]]=0),1,0)</f>
        <v>0</v>
      </c>
      <c r="AF598">
        <f>IF(AND(vp.data[[#This Row],[CrudeType]]="Crude",vp.data[[#This Row],[Dens]]&gt;900,vp.data[[#This Row],[Sulf]]&lt;=0.5,vp.data[[#This Row],[Unknown]]=0),1,0)</f>
        <v>0</v>
      </c>
      <c r="AG598" t="str">
        <f>INDEX(vp.data[[#Headers],[Unknown]:[Heavy_SW]],MATCH(1,vp.data[[#This Row],[Unknown]:[Heavy_SW]],0))</f>
        <v>Light_LSB</v>
      </c>
      <c r="AH598">
        <f>INDEX([3]!crudeBD.lkup[Number],MATCH(vp.data[[#This Row],[Crude_Breakdown]],crudeBD.lkup[Crude Breakdown],0))</f>
        <v>1</v>
      </c>
      <c r="AI598">
        <f>MONTH(vp.data[[#This Row],[SDate]])</f>
        <v>1</v>
      </c>
      <c r="AJ598" s="5">
        <f>(vp.data[[#This Row],[VP]]-INDEX(crudeBD.lkup[Mean_VP],MATCH(vp.data[[#This Row],[Crude_Breakdown]],crudeBD.lkup[Crude Breakdown],0)))^2</f>
        <v>355.46631867360941</v>
      </c>
      <c r="AK598" s="5">
        <f>(vp.data[[#This Row],[Dens]]-INDEX(crudeBD.lkup[Mean_Dens],MATCH(vp.data[[#This Row],[Crude_Breakdown]],crudeBD.lkup[Crude Breakdown],0)))^2</f>
        <v>64.268597376029732</v>
      </c>
      <c r="AL598" s="5">
        <f>(vp.data[[#This Row],[Sulf]]-INDEX(crudeBD.lkup[Mean_Sulf],MATCH(vp.data[[#This Row],[Crude_Breakdown]],crudeBD.lkup[Crude Breakdown],0)))^2</f>
        <v>0.11086979897559178</v>
      </c>
      <c r="AM598" s="4">
        <f>IF(AND(vp.data[[#This Row],[SDate]]&gt;=DATE(YEAR(vp.data[[#This Row],[SDate]]),5,1),vp.data[[#This Row],[SDate]]&lt;=DATE(YEAR(vp.data[[#This Row],[SDate]]),9,15)),1,0)</f>
        <v>0</v>
      </c>
      <c r="AN598" s="4">
        <f>IF(vp.data[[#This Row],[SDate]]&lt;DATE(2016,12,1),0,1)</f>
        <v>1</v>
      </c>
      <c r="AO598" s="4">
        <f>IFERROR(vp.data[[#This Row],[Sulf]]*vp.data[[#This Row],[Net Dens]],"")</f>
        <v>10056876.485645</v>
      </c>
      <c r="AP598">
        <f>IFERROR(vp.data[[#This Row],[Dens]]*vp.data[[#This Row],[VolumeM3]],"")</f>
        <v>17045553.365499999</v>
      </c>
      <c r="AQ598" s="15">
        <f>IFERROR(vp.data[[#This Row],[VP]]*vp.data[[#This Row],[VolumeM3]],"")</f>
        <v>2321812.5744000003</v>
      </c>
    </row>
    <row r="599" spans="1:43" x14ac:dyDescent="0.25">
      <c r="A599">
        <v>598</v>
      </c>
      <c r="B599" t="s">
        <v>62</v>
      </c>
      <c r="C599" t="s">
        <v>62</v>
      </c>
      <c r="D599" t="s">
        <v>87</v>
      </c>
      <c r="F599" s="1">
        <v>42752</v>
      </c>
      <c r="G599" s="2">
        <v>79.2</v>
      </c>
      <c r="H599" s="2"/>
      <c r="I599" s="2">
        <f t="array" ref="I599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599" s="2">
        <v>18</v>
      </c>
      <c r="K599" s="2">
        <v>-5</v>
      </c>
      <c r="L599" s="2">
        <v>816.6</v>
      </c>
      <c r="M599" s="2">
        <f t="array" ref="M599">_xlfn.IFNA(IF(vp.data[[#This Row],[Dens Input]]="",INDEX([1]DATA!$O$3:$O$9826,MATCH(1,(vp.data[[#This Row],[Battery]]=[1]DATA!$L$3:$L$9826)*(EOMONTH(vp.data[[#This Row],[SDate]],-1)+1=[1]DATA!$G$3:$G$9826),0)),vp.data[[#This Row],[Dens Input]]),"")</f>
        <v>816.6</v>
      </c>
      <c r="N599" s="2">
        <f ca="1">INDEX(INDIRECT(_xlfn.CONCAT("weather.tbl[",N$1,"]")),MATCH(vp.data[[#This Row],[SDate]],weather.tbl[Date],0))</f>
        <v>-5.3999999999999995</v>
      </c>
      <c r="O599" s="2">
        <f ca="1">INDEX(INDIRECT(_xlfn.CONCAT("weather.tbl[",O$1,"]")),MATCH(vp.data[[#This Row],[SDate]],weather.tbl[Date],0))</f>
        <v>-16.290476190476195</v>
      </c>
      <c r="P599" s="2">
        <f ca="1">INDEX(INDIRECT(_xlfn.CONCAT("weather.tbl[",P$1,"]")),MATCH(vp.data[[#This Row],[SDate]],weather.tbl[Date],0))</f>
        <v>-5.7</v>
      </c>
      <c r="Q599" s="2">
        <f ca="1">INDEX(INDIRECT(_xlfn.CONCAT("weather.tbl[",Q$1,"]")),MATCH(vp.data[[#This Row],[SDate]],weather.tbl[Date],0))</f>
        <v>-4.4000000000000004</v>
      </c>
      <c r="R599" s="2">
        <f ca="1">INDEX(INDIRECT(_xlfn.CONCAT("weather.tbl[",R$1,"]")),MATCH(vp.data[[#This Row],[SDate]],weather.tbl[Date],0))</f>
        <v>-7.8</v>
      </c>
      <c r="S599" s="2">
        <f ca="1">INDEX(INDIRECT(_xlfn.CONCAT("weather.tbl[",S$1,"]")),MATCH(vp.data[[#This Row],[SDate]],weather.tbl[Date],0))</f>
        <v>-3.1</v>
      </c>
      <c r="T599" s="2">
        <f ca="1">INDEX(INDIRECT(_xlfn.CONCAT("weather.tbl[",T$1,"]")),MATCH(vp.data[[#This Row],[SDate]],weather.tbl[Date],0))</f>
        <v>-7.6</v>
      </c>
      <c r="U599" s="2">
        <f ca="1">INDEX(INDIRECT(_xlfn.CONCAT("weather.tbl[",U$1,"]")),MATCH(vp.data[[#This Row],[SDate]],weather.tbl[Date],0))</f>
        <v>-3.8</v>
      </c>
      <c r="V599" s="2">
        <f t="array" ref="V5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7624.6970000000001</v>
      </c>
      <c r="W599" t="s">
        <v>48</v>
      </c>
      <c r="X599">
        <f>IF(OR(vp.data[[#This Row],[Sulf]]="",vp.data[[#This Row],[Dens]]=""),1,0)</f>
        <v>0</v>
      </c>
      <c r="Y599">
        <f>IF(vp.data[[#This Row],[CrudeType]]="C5+",1,0)</f>
        <v>0</v>
      </c>
      <c r="Z599">
        <f>IF(AND(vp.data[[#This Row],[CrudeType]]="Crude",vp.data[[#This Row],[Dens]]&lt;=825,vp.data[[#This Row],[Sulf]]&gt;0.5,vp.data[[#This Row],[Unknown]]=0),1,0)</f>
        <v>0</v>
      </c>
      <c r="AA599">
        <f>IF(AND(vp.data[[#This Row],[CrudeType]]="Crude",vp.data[[#This Row],[Dens]]&lt;=825,vp.data[[#This Row],[Sulf]]&lt;=0.5,vp.data[[#This Row],[Unknown]]=0),1,0)</f>
        <v>1</v>
      </c>
      <c r="AB5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599">
        <f>IF(AND(vp.data[[#This Row],[CrudeType]]="Crude",vp.data[[#This Row],[Dens]]&gt;825,vp.data[[#This Row],[Dens]]&lt;=900,vp.data[[#This Row],[Sulf]]&lt;=0.5,vp.data[[#This Row],[Unknown]]=0),1,0)</f>
        <v>0</v>
      </c>
      <c r="AD599">
        <f>IF(AND(vp.data[[#This Row],[CrudeType]]="Crude",vp.data[[#This Row],[Dens]]&gt;865,vp.data[[#This Row],[Dens]]&lt;=900,vp.data[[#This Row],[Sulf]]&gt;2,vp.data[[#This Row],[Unknown]]=0),1,0)</f>
        <v>0</v>
      </c>
      <c r="AE599">
        <f>IF(AND(vp.data[[#This Row],[CrudeType]]="Crude",vp.data[[#This Row],[Dens]]&gt;900,vp.data[[#This Row],[Sulf]]&lt;=0.5,vp.data[[#This Row],[Unknown]]=0),1,0)</f>
        <v>0</v>
      </c>
      <c r="AF599">
        <f>IF(AND(vp.data[[#This Row],[CrudeType]]="Crude",vp.data[[#This Row],[Dens]]&gt;900,vp.data[[#This Row],[Sulf]]&lt;=0.5,vp.data[[#This Row],[Unknown]]=0),1,0)</f>
        <v>0</v>
      </c>
      <c r="AG599" t="str">
        <f>INDEX(vp.data[[#Headers],[Unknown]:[Heavy_SW]],MATCH(1,vp.data[[#This Row],[Unknown]:[Heavy_SW]],0))</f>
        <v>Light_SW</v>
      </c>
      <c r="AH599">
        <f>INDEX([3]!crudeBD.lkup[Number],MATCH(vp.data[[#This Row],[Crude_Breakdown]],crudeBD.lkup[Crude Breakdown],0))</f>
        <v>2</v>
      </c>
      <c r="AI599">
        <f>MONTH(vp.data[[#This Row],[SDate]])</f>
        <v>1</v>
      </c>
      <c r="AJ599" s="5">
        <f>(vp.data[[#This Row],[VP]]-INDEX(crudeBD.lkup[Mean_VP],MATCH(vp.data[[#This Row],[Crude_Breakdown]],crudeBD.lkup[Crude Breakdown],0)))^2</f>
        <v>178.23087292063676</v>
      </c>
      <c r="AK599" s="5">
        <f>(vp.data[[#This Row],[Dens]]-INDEX(crudeBD.lkup[Mean_Dens],MATCH(vp.data[[#This Row],[Crude_Breakdown]],crudeBD.lkup[Crude Breakdown],0)))^2</f>
        <v>68.699261129797975</v>
      </c>
      <c r="AL599" s="5">
        <f>(vp.data[[#This Row],[Sulf]]-INDEX(crudeBD.lkup[Mean_Sulf],MATCH(vp.data[[#This Row],[Crude_Breakdown]],crudeBD.lkup[Crude Breakdown],0)))^2</f>
        <v>2.1383051628646554E-3</v>
      </c>
      <c r="AM599" s="4">
        <f>IF(AND(vp.data[[#This Row],[SDate]]&gt;=DATE(YEAR(vp.data[[#This Row],[SDate]]),5,1),vp.data[[#This Row],[SDate]]&lt;=DATE(YEAR(vp.data[[#This Row],[SDate]]),9,15)),1,0)</f>
        <v>0</v>
      </c>
      <c r="AN599" s="4">
        <f>IF(vp.data[[#This Row],[SDate]]&lt;DATE(2016,12,1),0,1)</f>
        <v>1</v>
      </c>
      <c r="AO599" s="4">
        <f>IFERROR(vp.data[[#This Row],[Sulf]]*vp.data[[#This Row],[Net Dens]],"")</f>
        <v>1183002.2383379999</v>
      </c>
      <c r="AP599">
        <f>IFERROR(vp.data[[#This Row],[Dens]]*vp.data[[#This Row],[VolumeM3]],"")</f>
        <v>6226327.5702</v>
      </c>
      <c r="AQ599" s="15">
        <f>IFERROR(vp.data[[#This Row],[VP]]*vp.data[[#This Row],[VolumeM3]],"")</f>
        <v>603876.0024</v>
      </c>
    </row>
    <row r="600" spans="1:43" x14ac:dyDescent="0.25">
      <c r="A600">
        <v>599</v>
      </c>
      <c r="B600" t="s">
        <v>62</v>
      </c>
      <c r="C600" t="s">
        <v>62</v>
      </c>
      <c r="D600" t="s">
        <v>83</v>
      </c>
      <c r="F600" s="1">
        <v>42752</v>
      </c>
      <c r="G600" s="2">
        <v>84.6</v>
      </c>
      <c r="H600" s="2"/>
      <c r="I600" s="2">
        <f t="array" ref="I600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600" s="2">
        <v>0</v>
      </c>
      <c r="K600" s="2">
        <v>-6</v>
      </c>
      <c r="L600" s="2">
        <v>817.4</v>
      </c>
      <c r="M600" s="2">
        <f t="array" ref="M600">_xlfn.IFNA(IF(vp.data[[#This Row],[Dens Input]]="",INDEX([1]DATA!$O$3:$O$9826,MATCH(1,(vp.data[[#This Row],[Battery]]=[1]DATA!$L$3:$L$9826)*(EOMONTH(vp.data[[#This Row],[SDate]],-1)+1=[1]DATA!$G$3:$G$9826),0)),vp.data[[#This Row],[Dens Input]]),"")</f>
        <v>817.4</v>
      </c>
      <c r="N600" s="2">
        <f ca="1">INDEX(INDIRECT(_xlfn.CONCAT("weather.tbl[",N$1,"]")),MATCH(vp.data[[#This Row],[SDate]],weather.tbl[Date],0))</f>
        <v>-5.3999999999999995</v>
      </c>
      <c r="O600" s="2">
        <f ca="1">INDEX(INDIRECT(_xlfn.CONCAT("weather.tbl[",O$1,"]")),MATCH(vp.data[[#This Row],[SDate]],weather.tbl[Date],0))</f>
        <v>-16.290476190476195</v>
      </c>
      <c r="P600" s="2">
        <f ca="1">INDEX(INDIRECT(_xlfn.CONCAT("weather.tbl[",P$1,"]")),MATCH(vp.data[[#This Row],[SDate]],weather.tbl[Date],0))</f>
        <v>-5.7</v>
      </c>
      <c r="Q600" s="2">
        <f ca="1">INDEX(INDIRECT(_xlfn.CONCAT("weather.tbl[",Q$1,"]")),MATCH(vp.data[[#This Row],[SDate]],weather.tbl[Date],0))</f>
        <v>-4.4000000000000004</v>
      </c>
      <c r="R600" s="2">
        <f ca="1">INDEX(INDIRECT(_xlfn.CONCAT("weather.tbl[",R$1,"]")),MATCH(vp.data[[#This Row],[SDate]],weather.tbl[Date],0))</f>
        <v>-7.8</v>
      </c>
      <c r="S600" s="2">
        <f ca="1">INDEX(INDIRECT(_xlfn.CONCAT("weather.tbl[",S$1,"]")),MATCH(vp.data[[#This Row],[SDate]],weather.tbl[Date],0))</f>
        <v>-3.1</v>
      </c>
      <c r="T600" s="2">
        <f ca="1">INDEX(INDIRECT(_xlfn.CONCAT("weather.tbl[",T$1,"]")),MATCH(vp.data[[#This Row],[SDate]],weather.tbl[Date],0))</f>
        <v>-7.6</v>
      </c>
      <c r="U600" s="2">
        <f ca="1">INDEX(INDIRECT(_xlfn.CONCAT("weather.tbl[",U$1,"]")),MATCH(vp.data[[#This Row],[SDate]],weather.tbl[Date],0))</f>
        <v>-3.8</v>
      </c>
      <c r="V600" s="2">
        <f t="array" ref="V6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600" t="s">
        <v>48</v>
      </c>
      <c r="X600">
        <f>IF(OR(vp.data[[#This Row],[Sulf]]="",vp.data[[#This Row],[Dens]]=""),1,0)</f>
        <v>0</v>
      </c>
      <c r="Y600">
        <f>IF(vp.data[[#This Row],[CrudeType]]="C5+",1,0)</f>
        <v>0</v>
      </c>
      <c r="Z600">
        <f>IF(AND(vp.data[[#This Row],[CrudeType]]="Crude",vp.data[[#This Row],[Dens]]&lt;=825,vp.data[[#This Row],[Sulf]]&gt;0.5,vp.data[[#This Row],[Unknown]]=0),1,0)</f>
        <v>0</v>
      </c>
      <c r="AA600">
        <f>IF(AND(vp.data[[#This Row],[CrudeType]]="Crude",vp.data[[#This Row],[Dens]]&lt;=825,vp.data[[#This Row],[Sulf]]&lt;=0.5,vp.data[[#This Row],[Unknown]]=0),1,0)</f>
        <v>1</v>
      </c>
      <c r="AB6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00">
        <f>IF(AND(vp.data[[#This Row],[CrudeType]]="Crude",vp.data[[#This Row],[Dens]]&gt;825,vp.data[[#This Row],[Dens]]&lt;=900,vp.data[[#This Row],[Sulf]]&lt;=0.5,vp.data[[#This Row],[Unknown]]=0),1,0)</f>
        <v>0</v>
      </c>
      <c r="AD600">
        <f>IF(AND(vp.data[[#This Row],[CrudeType]]="Crude",vp.data[[#This Row],[Dens]]&gt;865,vp.data[[#This Row],[Dens]]&lt;=900,vp.data[[#This Row],[Sulf]]&gt;2,vp.data[[#This Row],[Unknown]]=0),1,0)</f>
        <v>0</v>
      </c>
      <c r="AE600">
        <f>IF(AND(vp.data[[#This Row],[CrudeType]]="Crude",vp.data[[#This Row],[Dens]]&gt;900,vp.data[[#This Row],[Sulf]]&lt;=0.5,vp.data[[#This Row],[Unknown]]=0),1,0)</f>
        <v>0</v>
      </c>
      <c r="AF600">
        <f>IF(AND(vp.data[[#This Row],[CrudeType]]="Crude",vp.data[[#This Row],[Dens]]&gt;900,vp.data[[#This Row],[Sulf]]&lt;=0.5,vp.data[[#This Row],[Unknown]]=0),1,0)</f>
        <v>0</v>
      </c>
      <c r="AG600" t="str">
        <f>INDEX(vp.data[[#Headers],[Unknown]:[Heavy_SW]],MATCH(1,vp.data[[#This Row],[Unknown]:[Heavy_SW]],0))</f>
        <v>Light_SW</v>
      </c>
      <c r="AH600">
        <f>INDEX([3]!crudeBD.lkup[Number],MATCH(vp.data[[#This Row],[Crude_Breakdown]],crudeBD.lkup[Crude Breakdown],0))</f>
        <v>2</v>
      </c>
      <c r="AI600">
        <f>MONTH(vp.data[[#This Row],[SDate]])</f>
        <v>1</v>
      </c>
      <c r="AJ600" s="5">
        <f>(vp.data[[#This Row],[VP]]-INDEX(crudeBD.lkup[Mean_VP],MATCH(vp.data[[#This Row],[Crude_Breakdown]],crudeBD.lkup[Crude Breakdown],0)))^2</f>
        <v>63.207486161055357</v>
      </c>
      <c r="AK600" s="5">
        <f>(vp.data[[#This Row],[Dens]]-INDEX(crudeBD.lkup[Mean_Dens],MATCH(vp.data[[#This Row],[Crude_Breakdown]],crudeBD.lkup[Crude Breakdown],0)))^2</f>
        <v>82.600863917253974</v>
      </c>
      <c r="AL600" s="5">
        <f>(vp.data[[#This Row],[Sulf]]-INDEX(crudeBD.lkup[Mean_Sulf],MATCH(vp.data[[#This Row],[Crude_Breakdown]],crudeBD.lkup[Crude Breakdown],0)))^2</f>
        <v>4.3879776367322437E-3</v>
      </c>
      <c r="AM600" s="4">
        <f>IF(AND(vp.data[[#This Row],[SDate]]&gt;=DATE(YEAR(vp.data[[#This Row],[SDate]]),5,1),vp.data[[#This Row],[SDate]]&lt;=DATE(YEAR(vp.data[[#This Row],[SDate]]),9,15)),1,0)</f>
        <v>0</v>
      </c>
      <c r="AN600" s="4">
        <f>IF(vp.data[[#This Row],[SDate]]&lt;DATE(2016,12,1),0,1)</f>
        <v>1</v>
      </c>
      <c r="AO600" s="4">
        <f>IFERROR(vp.data[[#This Row],[Sulf]]*vp.data[[#This Row],[Net Dens]],"")</f>
        <v>1233015.187652</v>
      </c>
      <c r="AP600">
        <f>IFERROR(vp.data[[#This Row],[Dens]]*vp.data[[#This Row],[VolumeM3]],"")</f>
        <v>7253030.5155999996</v>
      </c>
      <c r="AQ600" s="15">
        <f>IFERROR(vp.data[[#This Row],[VP]]*vp.data[[#This Row],[VolumeM3]],"")</f>
        <v>750680.67239999992</v>
      </c>
    </row>
    <row r="601" spans="1:43" x14ac:dyDescent="0.25">
      <c r="A601">
        <v>600</v>
      </c>
      <c r="B601" t="s">
        <v>49</v>
      </c>
      <c r="C601" t="s">
        <v>49</v>
      </c>
      <c r="D601" t="s">
        <v>67</v>
      </c>
      <c r="F601" s="1">
        <v>42752</v>
      </c>
      <c r="G601" s="2">
        <v>103.2</v>
      </c>
      <c r="H601" s="2"/>
      <c r="I601" s="2">
        <f t="array" ref="I601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601" s="2">
        <v>5</v>
      </c>
      <c r="K601" s="2">
        <v>-4</v>
      </c>
      <c r="L601" s="2">
        <v>819</v>
      </c>
      <c r="M601" s="2">
        <f t="array" ref="M601">_xlfn.IFNA(IF(vp.data[[#This Row],[Dens Input]]="",INDEX([1]DATA!$O$3:$O$9826,MATCH(1,(vp.data[[#This Row],[Battery]]=[1]DATA!$L$3:$L$9826)*(EOMONTH(vp.data[[#This Row],[SDate]],-1)+1=[1]DATA!$G$3:$G$9826),0)),vp.data[[#This Row],[Dens Input]]),"")</f>
        <v>819</v>
      </c>
      <c r="N601" s="2">
        <f ca="1">INDEX(INDIRECT(_xlfn.CONCAT("weather.tbl[",N$1,"]")),MATCH(vp.data[[#This Row],[SDate]],weather.tbl[Date],0))</f>
        <v>-5.3999999999999995</v>
      </c>
      <c r="O601" s="2">
        <f ca="1">INDEX(INDIRECT(_xlfn.CONCAT("weather.tbl[",O$1,"]")),MATCH(vp.data[[#This Row],[SDate]],weather.tbl[Date],0))</f>
        <v>-16.290476190476195</v>
      </c>
      <c r="P601" s="2">
        <f ca="1">INDEX(INDIRECT(_xlfn.CONCAT("weather.tbl[",P$1,"]")),MATCH(vp.data[[#This Row],[SDate]],weather.tbl[Date],0))</f>
        <v>-5.7</v>
      </c>
      <c r="Q601" s="2">
        <f ca="1">INDEX(INDIRECT(_xlfn.CONCAT("weather.tbl[",Q$1,"]")),MATCH(vp.data[[#This Row],[SDate]],weather.tbl[Date],0))</f>
        <v>-4.4000000000000004</v>
      </c>
      <c r="R601" s="2">
        <f ca="1">INDEX(INDIRECT(_xlfn.CONCAT("weather.tbl[",R$1,"]")),MATCH(vp.data[[#This Row],[SDate]],weather.tbl[Date],0))</f>
        <v>-7.8</v>
      </c>
      <c r="S601" s="2">
        <f ca="1">INDEX(INDIRECT(_xlfn.CONCAT("weather.tbl[",S$1,"]")),MATCH(vp.data[[#This Row],[SDate]],weather.tbl[Date],0))</f>
        <v>-3.1</v>
      </c>
      <c r="T601" s="2">
        <f ca="1">INDEX(INDIRECT(_xlfn.CONCAT("weather.tbl[",T$1,"]")),MATCH(vp.data[[#This Row],[SDate]],weather.tbl[Date],0))</f>
        <v>-7.6</v>
      </c>
      <c r="U601" s="2">
        <f ca="1">INDEX(INDIRECT(_xlfn.CONCAT("weather.tbl[",U$1,"]")),MATCH(vp.data[[#This Row],[SDate]],weather.tbl[Date],0))</f>
        <v>-3.8</v>
      </c>
      <c r="V601" s="2">
        <f t="array" ref="V6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01" t="s">
        <v>48</v>
      </c>
      <c r="X601">
        <f>IF(OR(vp.data[[#This Row],[Sulf]]="",vp.data[[#This Row],[Dens]]=""),1,0)</f>
        <v>0</v>
      </c>
      <c r="Y601">
        <f>IF(vp.data[[#This Row],[CrudeType]]="C5+",1,0)</f>
        <v>0</v>
      </c>
      <c r="Z601">
        <f>IF(AND(vp.data[[#This Row],[CrudeType]]="Crude",vp.data[[#This Row],[Dens]]&lt;=825,vp.data[[#This Row],[Sulf]]&gt;0.5,vp.data[[#This Row],[Unknown]]=0),1,0)</f>
        <v>1</v>
      </c>
      <c r="AA601">
        <f>IF(AND(vp.data[[#This Row],[CrudeType]]="Crude",vp.data[[#This Row],[Dens]]&lt;=825,vp.data[[#This Row],[Sulf]]&lt;=0.5,vp.data[[#This Row],[Unknown]]=0),1,0)</f>
        <v>0</v>
      </c>
      <c r="AB6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01">
        <f>IF(AND(vp.data[[#This Row],[CrudeType]]="Crude",vp.data[[#This Row],[Dens]]&gt;825,vp.data[[#This Row],[Dens]]&lt;=900,vp.data[[#This Row],[Sulf]]&lt;=0.5,vp.data[[#This Row],[Unknown]]=0),1,0)</f>
        <v>0</v>
      </c>
      <c r="AD601">
        <f>IF(AND(vp.data[[#This Row],[CrudeType]]="Crude",vp.data[[#This Row],[Dens]]&gt;865,vp.data[[#This Row],[Dens]]&lt;=900,vp.data[[#This Row],[Sulf]]&gt;2,vp.data[[#This Row],[Unknown]]=0),1,0)</f>
        <v>0</v>
      </c>
      <c r="AE601">
        <f>IF(AND(vp.data[[#This Row],[CrudeType]]="Crude",vp.data[[#This Row],[Dens]]&gt;900,vp.data[[#This Row],[Sulf]]&lt;=0.5,vp.data[[#This Row],[Unknown]]=0),1,0)</f>
        <v>0</v>
      </c>
      <c r="AF601">
        <f>IF(AND(vp.data[[#This Row],[CrudeType]]="Crude",vp.data[[#This Row],[Dens]]&gt;900,vp.data[[#This Row],[Sulf]]&lt;=0.5,vp.data[[#This Row],[Unknown]]=0),1,0)</f>
        <v>0</v>
      </c>
      <c r="AG601" t="str">
        <f>INDEX(vp.data[[#Headers],[Unknown]:[Heavy_SW]],MATCH(1,vp.data[[#This Row],[Unknown]:[Heavy_SW]],0))</f>
        <v>Light_LSB</v>
      </c>
      <c r="AH601">
        <f>INDEX([3]!crudeBD.lkup[Number],MATCH(vp.data[[#This Row],[Crude_Breakdown]],crudeBD.lkup[Crude Breakdown],0))</f>
        <v>1</v>
      </c>
      <c r="AI601">
        <f>MONTH(vp.data[[#This Row],[SDate]])</f>
        <v>1</v>
      </c>
      <c r="AJ601" s="5">
        <f>(vp.data[[#This Row],[VP]]-INDEX(crudeBD.lkup[Mean_VP],MATCH(vp.data[[#This Row],[Crude_Breakdown]],crudeBD.lkup[Crude Breakdown],0)))^2</f>
        <v>135.81139083855817</v>
      </c>
      <c r="AK601" s="5">
        <f>(vp.data[[#This Row],[Dens]]-INDEX(crudeBD.lkup[Mean_Dens],MATCH(vp.data[[#This Row],[Crude_Breakdown]],crudeBD.lkup[Crude Breakdown],0)))^2</f>
        <v>0.2335114653821484</v>
      </c>
      <c r="AL601" s="5">
        <f>(vp.data[[#This Row],[Sulf]]-INDEX(crudeBD.lkup[Mean_Sulf],MATCH(vp.data[[#This Row],[Crude_Breakdown]],crudeBD.lkup[Crude Breakdown],0)))^2</f>
        <v>0.11086979897559178</v>
      </c>
      <c r="AM601" s="4">
        <f>IF(AND(vp.data[[#This Row],[SDate]]&gt;=DATE(YEAR(vp.data[[#This Row],[SDate]]),5,1),vp.data[[#This Row],[SDate]]&lt;=DATE(YEAR(vp.data[[#This Row],[SDate]]),9,15)),1,0)</f>
        <v>0</v>
      </c>
      <c r="AN601" s="4">
        <f>IF(vp.data[[#This Row],[SDate]]&lt;DATE(2016,12,1),0,1)</f>
        <v>1</v>
      </c>
      <c r="AO601" s="4">
        <f>IFERROR(vp.data[[#This Row],[Sulf]]*vp.data[[#This Row],[Net Dens]],"")</f>
        <v>59019206.582699999</v>
      </c>
      <c r="AP601">
        <f>IFERROR(vp.data[[#This Row],[Dens]]*vp.data[[#This Row],[VolumeM3]],"")</f>
        <v>100032553.53</v>
      </c>
      <c r="AQ601" s="15">
        <f>IFERROR(vp.data[[#This Row],[VP]]*vp.data[[#This Row],[VolumeM3]],"")</f>
        <v>12604834.584000001</v>
      </c>
    </row>
    <row r="602" spans="1:43" x14ac:dyDescent="0.25">
      <c r="A602">
        <v>601</v>
      </c>
      <c r="B602" t="s">
        <v>49</v>
      </c>
      <c r="C602" t="s">
        <v>49</v>
      </c>
      <c r="D602" t="s">
        <v>89</v>
      </c>
      <c r="F602" s="1">
        <v>42752</v>
      </c>
      <c r="G602" s="2">
        <v>101</v>
      </c>
      <c r="H602" s="2"/>
      <c r="I602" s="2">
        <f t="array" ref="I602">_xlfn.IFNA(IF(vp.data[[#This Row],[Sulf Input]]="",INDEX([1]DATA!$Q$3:$Q$9826,MATCH(1,(vp.data[[#This Row],[Battery]]=[1]DATA!$L$3:$L$9826)*(EOMONTH(vp.data[[#This Row],[SDate]],-1)+1=[1]DATA!$G$3:$G$9826),0)),vp.data[[#This Row],[Sulf Input]]),"")</f>
        <v>0.7</v>
      </c>
      <c r="J602" s="2">
        <v>4</v>
      </c>
      <c r="K602" s="2">
        <v>-3</v>
      </c>
      <c r="L602" s="2">
        <v>820.1</v>
      </c>
      <c r="M602" s="2">
        <f t="array" ref="M602">_xlfn.IFNA(IF(vp.data[[#This Row],[Dens Input]]="",INDEX([1]DATA!$O$3:$O$9826,MATCH(1,(vp.data[[#This Row],[Battery]]=[1]DATA!$L$3:$L$9826)*(EOMONTH(vp.data[[#This Row],[SDate]],-1)+1=[1]DATA!$G$3:$G$9826),0)),vp.data[[#This Row],[Dens Input]]),"")</f>
        <v>820.1</v>
      </c>
      <c r="N602" s="2">
        <f ca="1">INDEX(INDIRECT(_xlfn.CONCAT("weather.tbl[",N$1,"]")),MATCH(vp.data[[#This Row],[SDate]],weather.tbl[Date],0))</f>
        <v>-5.3999999999999995</v>
      </c>
      <c r="O602" s="2">
        <f ca="1">INDEX(INDIRECT(_xlfn.CONCAT("weather.tbl[",O$1,"]")),MATCH(vp.data[[#This Row],[SDate]],weather.tbl[Date],0))</f>
        <v>-16.290476190476195</v>
      </c>
      <c r="P602" s="2">
        <f ca="1">INDEX(INDIRECT(_xlfn.CONCAT("weather.tbl[",P$1,"]")),MATCH(vp.data[[#This Row],[SDate]],weather.tbl[Date],0))</f>
        <v>-5.7</v>
      </c>
      <c r="Q602" s="2">
        <f ca="1">INDEX(INDIRECT(_xlfn.CONCAT("weather.tbl[",Q$1,"]")),MATCH(vp.data[[#This Row],[SDate]],weather.tbl[Date],0))</f>
        <v>-4.4000000000000004</v>
      </c>
      <c r="R602" s="2">
        <f ca="1">INDEX(INDIRECT(_xlfn.CONCAT("weather.tbl[",R$1,"]")),MATCH(vp.data[[#This Row],[SDate]],weather.tbl[Date],0))</f>
        <v>-7.8</v>
      </c>
      <c r="S602" s="2">
        <f ca="1">INDEX(INDIRECT(_xlfn.CONCAT("weather.tbl[",S$1,"]")),MATCH(vp.data[[#This Row],[SDate]],weather.tbl[Date],0))</f>
        <v>-3.1</v>
      </c>
      <c r="T602" s="2">
        <f ca="1">INDEX(INDIRECT(_xlfn.CONCAT("weather.tbl[",T$1,"]")),MATCH(vp.data[[#This Row],[SDate]],weather.tbl[Date],0))</f>
        <v>-7.6</v>
      </c>
      <c r="U602" s="2">
        <f ca="1">INDEX(INDIRECT(_xlfn.CONCAT("weather.tbl[",U$1,"]")),MATCH(vp.data[[#This Row],[SDate]],weather.tbl[Date],0))</f>
        <v>-3.8</v>
      </c>
      <c r="V602" s="2">
        <f t="array" ref="V6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602" t="s">
        <v>48</v>
      </c>
      <c r="X602">
        <f>IF(OR(vp.data[[#This Row],[Sulf]]="",vp.data[[#This Row],[Dens]]=""),1,0)</f>
        <v>0</v>
      </c>
      <c r="Y602">
        <f>IF(vp.data[[#This Row],[CrudeType]]="C5+",1,0)</f>
        <v>0</v>
      </c>
      <c r="Z602">
        <f>IF(AND(vp.data[[#This Row],[CrudeType]]="Crude",vp.data[[#This Row],[Dens]]&lt;=825,vp.data[[#This Row],[Sulf]]&gt;0.5,vp.data[[#This Row],[Unknown]]=0),1,0)</f>
        <v>1</v>
      </c>
      <c r="AA602">
        <f>IF(AND(vp.data[[#This Row],[CrudeType]]="Crude",vp.data[[#This Row],[Dens]]&lt;=825,vp.data[[#This Row],[Sulf]]&lt;=0.5,vp.data[[#This Row],[Unknown]]=0),1,0)</f>
        <v>0</v>
      </c>
      <c r="AB6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02">
        <f>IF(AND(vp.data[[#This Row],[CrudeType]]="Crude",vp.data[[#This Row],[Dens]]&gt;825,vp.data[[#This Row],[Dens]]&lt;=900,vp.data[[#This Row],[Sulf]]&lt;=0.5,vp.data[[#This Row],[Unknown]]=0),1,0)</f>
        <v>0</v>
      </c>
      <c r="AD602">
        <f>IF(AND(vp.data[[#This Row],[CrudeType]]="Crude",vp.data[[#This Row],[Dens]]&gt;865,vp.data[[#This Row],[Dens]]&lt;=900,vp.data[[#This Row],[Sulf]]&gt;2,vp.data[[#This Row],[Unknown]]=0),1,0)</f>
        <v>0</v>
      </c>
      <c r="AE602">
        <f>IF(AND(vp.data[[#This Row],[CrudeType]]="Crude",vp.data[[#This Row],[Dens]]&gt;900,vp.data[[#This Row],[Sulf]]&lt;=0.5,vp.data[[#This Row],[Unknown]]=0),1,0)</f>
        <v>0</v>
      </c>
      <c r="AF602">
        <f>IF(AND(vp.data[[#This Row],[CrudeType]]="Crude",vp.data[[#This Row],[Dens]]&gt;900,vp.data[[#This Row],[Sulf]]&lt;=0.5,vp.data[[#This Row],[Unknown]]=0),1,0)</f>
        <v>0</v>
      </c>
      <c r="AG602" t="str">
        <f>INDEX(vp.data[[#Headers],[Unknown]:[Heavy_SW]],MATCH(1,vp.data[[#This Row],[Unknown]:[Heavy_SW]],0))</f>
        <v>Light_LSB</v>
      </c>
      <c r="AH602">
        <f>INDEX([3]!crudeBD.lkup[Number],MATCH(vp.data[[#This Row],[Crude_Breakdown]],crudeBD.lkup[Crude Breakdown],0))</f>
        <v>1</v>
      </c>
      <c r="AI602">
        <f>MONTH(vp.data[[#This Row],[SDate]])</f>
        <v>1</v>
      </c>
      <c r="AJ602" s="5">
        <f>(vp.data[[#This Row],[VP]]-INDEX(crudeBD.lkup[Mean_VP],MATCH(vp.data[[#This Row],[Crude_Breakdown]],crudeBD.lkup[Crude Breakdown],0)))^2</f>
        <v>89.374607333403603</v>
      </c>
      <c r="AK602" s="5">
        <f>(vp.data[[#This Row],[Dens]]-INDEX(crudeBD.lkup[Mean_Dens],MATCH(vp.data[[#This Row],[Crude_Breakdown]],crudeBD.lkup[Crude Breakdown],0)))^2</f>
        <v>2.5066179945925335</v>
      </c>
      <c r="AL602" s="5">
        <f>(vp.data[[#This Row],[Sulf]]-INDEX(crudeBD.lkup[Mean_Sulf],MATCH(vp.data[[#This Row],[Crude_Breakdown]],crudeBD.lkup[Crude Breakdown],0)))^2</f>
        <v>4.9716141930918292E-2</v>
      </c>
      <c r="AM602" s="4">
        <f>IF(AND(vp.data[[#This Row],[SDate]]&gt;=DATE(YEAR(vp.data[[#This Row],[SDate]]),5,1),vp.data[[#This Row],[SDate]]&lt;=DATE(YEAR(vp.data[[#This Row],[SDate]]),9,15)),1,0)</f>
        <v>0</v>
      </c>
      <c r="AN602" s="4">
        <f>IF(vp.data[[#This Row],[SDate]]&lt;DATE(2016,12,1),0,1)</f>
        <v>1</v>
      </c>
      <c r="AO602" s="4">
        <f>IFERROR(vp.data[[#This Row],[Sulf]]*vp.data[[#This Row],[Net Dens]],"")</f>
        <v>3547500.5832699994</v>
      </c>
      <c r="AP602">
        <f>IFERROR(vp.data[[#This Row],[Dens]]*vp.data[[#This Row],[VolumeM3]],"")</f>
        <v>5067857.9760999996</v>
      </c>
      <c r="AQ602" s="15">
        <f>IFERROR(vp.data[[#This Row],[VP]]*vp.data[[#This Row],[VolumeM3]],"")</f>
        <v>624135.66099999996</v>
      </c>
    </row>
    <row r="603" spans="1:43" x14ac:dyDescent="0.25">
      <c r="A603">
        <v>602</v>
      </c>
      <c r="B603" t="s">
        <v>51</v>
      </c>
      <c r="C603" t="s">
        <v>51</v>
      </c>
      <c r="D603" t="s">
        <v>71</v>
      </c>
      <c r="F603" s="1">
        <v>42752</v>
      </c>
      <c r="G603" s="2">
        <v>86.1</v>
      </c>
      <c r="H603" s="2"/>
      <c r="I603" s="2">
        <f t="array" ref="I603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603" s="2">
        <v>4</v>
      </c>
      <c r="K603" s="2">
        <v>-6</v>
      </c>
      <c r="L603" s="2">
        <v>830.6</v>
      </c>
      <c r="M603" s="2">
        <f t="array" ref="M603">_xlfn.IFNA(IF(vp.data[[#This Row],[Dens Input]]="",INDEX([1]DATA!$O$3:$O$9826,MATCH(1,(vp.data[[#This Row],[Battery]]=[1]DATA!$L$3:$L$9826)*(EOMONTH(vp.data[[#This Row],[SDate]],-1)+1=[1]DATA!$G$3:$G$9826),0)),vp.data[[#This Row],[Dens Input]]),"")</f>
        <v>830.6</v>
      </c>
      <c r="N603" s="2">
        <f ca="1">INDEX(INDIRECT(_xlfn.CONCAT("weather.tbl[",N$1,"]")),MATCH(vp.data[[#This Row],[SDate]],weather.tbl[Date],0))</f>
        <v>-5.3999999999999995</v>
      </c>
      <c r="O603" s="2">
        <f ca="1">INDEX(INDIRECT(_xlfn.CONCAT("weather.tbl[",O$1,"]")),MATCH(vp.data[[#This Row],[SDate]],weather.tbl[Date],0))</f>
        <v>-16.290476190476195</v>
      </c>
      <c r="P603" s="2">
        <f ca="1">INDEX(INDIRECT(_xlfn.CONCAT("weather.tbl[",P$1,"]")),MATCH(vp.data[[#This Row],[SDate]],weather.tbl[Date],0))</f>
        <v>-5.7</v>
      </c>
      <c r="Q603" s="2">
        <f ca="1">INDEX(INDIRECT(_xlfn.CONCAT("weather.tbl[",Q$1,"]")),MATCH(vp.data[[#This Row],[SDate]],weather.tbl[Date],0))</f>
        <v>-4.4000000000000004</v>
      </c>
      <c r="R603" s="2">
        <f ca="1">INDEX(INDIRECT(_xlfn.CONCAT("weather.tbl[",R$1,"]")),MATCH(vp.data[[#This Row],[SDate]],weather.tbl[Date],0))</f>
        <v>-7.8</v>
      </c>
      <c r="S603" s="2">
        <f ca="1">INDEX(INDIRECT(_xlfn.CONCAT("weather.tbl[",S$1,"]")),MATCH(vp.data[[#This Row],[SDate]],weather.tbl[Date],0))</f>
        <v>-3.1</v>
      </c>
      <c r="T603" s="2">
        <f ca="1">INDEX(INDIRECT(_xlfn.CONCAT("weather.tbl[",T$1,"]")),MATCH(vp.data[[#This Row],[SDate]],weather.tbl[Date],0))</f>
        <v>-7.6</v>
      </c>
      <c r="U603" s="2">
        <f ca="1">INDEX(INDIRECT(_xlfn.CONCAT("weather.tbl[",U$1,"]")),MATCH(vp.data[[#This Row],[SDate]],weather.tbl[Date],0))</f>
        <v>-3.8</v>
      </c>
      <c r="V603" s="2">
        <f t="array" ref="V6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7460.0540000000001</v>
      </c>
      <c r="W603" t="s">
        <v>48</v>
      </c>
      <c r="X603">
        <f>IF(OR(vp.data[[#This Row],[Sulf]]="",vp.data[[#This Row],[Dens]]=""),1,0)</f>
        <v>0</v>
      </c>
      <c r="Y603">
        <f>IF(vp.data[[#This Row],[CrudeType]]="C5+",1,0)</f>
        <v>0</v>
      </c>
      <c r="Z603">
        <f>IF(AND(vp.data[[#This Row],[CrudeType]]="Crude",vp.data[[#This Row],[Dens]]&lt;=825,vp.data[[#This Row],[Sulf]]&gt;0.5,vp.data[[#This Row],[Unknown]]=0),1,0)</f>
        <v>0</v>
      </c>
      <c r="AA603">
        <f>IF(AND(vp.data[[#This Row],[CrudeType]]="Crude",vp.data[[#This Row],[Dens]]&lt;=825,vp.data[[#This Row],[Sulf]]&lt;=0.5,vp.data[[#This Row],[Unknown]]=0),1,0)</f>
        <v>0</v>
      </c>
      <c r="AB6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3">
        <f>IF(AND(vp.data[[#This Row],[CrudeType]]="Crude",vp.data[[#This Row],[Dens]]&gt;825,vp.data[[#This Row],[Dens]]&lt;=900,vp.data[[#This Row],[Sulf]]&lt;=0.5,vp.data[[#This Row],[Unknown]]=0),1,0)</f>
        <v>0</v>
      </c>
      <c r="AD603">
        <f>IF(AND(vp.data[[#This Row],[CrudeType]]="Crude",vp.data[[#This Row],[Dens]]&gt;865,vp.data[[#This Row],[Dens]]&lt;=900,vp.data[[#This Row],[Sulf]]&gt;2,vp.data[[#This Row],[Unknown]]=0),1,0)</f>
        <v>0</v>
      </c>
      <c r="AE603">
        <f>IF(AND(vp.data[[#This Row],[CrudeType]]="Crude",vp.data[[#This Row],[Dens]]&gt;900,vp.data[[#This Row],[Sulf]]&lt;=0.5,vp.data[[#This Row],[Unknown]]=0),1,0)</f>
        <v>0</v>
      </c>
      <c r="AF603">
        <f>IF(AND(vp.data[[#This Row],[CrudeType]]="Crude",vp.data[[#This Row],[Dens]]&gt;900,vp.data[[#This Row],[Sulf]]&lt;=0.5,vp.data[[#This Row],[Unknown]]=0),1,0)</f>
        <v>0</v>
      </c>
      <c r="AG603" t="str">
        <f>INDEX(vp.data[[#Headers],[Unknown]:[Heavy_SW]],MATCH(1,vp.data[[#This Row],[Unknown]:[Heavy_SW]],0))</f>
        <v>Medium_LSB</v>
      </c>
      <c r="AH603">
        <f>INDEX([3]!crudeBD.lkup[Number],MATCH(vp.data[[#This Row],[Crude_Breakdown]],crudeBD.lkup[Crude Breakdown],0))</f>
        <v>3</v>
      </c>
      <c r="AI603">
        <f>MONTH(vp.data[[#This Row],[SDate]])</f>
        <v>1</v>
      </c>
      <c r="AJ603" s="5">
        <f>(vp.data[[#This Row],[VP]]-INDEX(crudeBD.lkup[Mean_VP],MATCH(vp.data[[#This Row],[Crude_Breakdown]],crudeBD.lkup[Crude Breakdown],0)))^2</f>
        <v>29.815132180092409</v>
      </c>
      <c r="AK603" s="5">
        <f>(vp.data[[#This Row],[Dens]]-INDEX(crudeBD.lkup[Mean_Dens],MATCH(vp.data[[#This Row],[Crude_Breakdown]],crudeBD.lkup[Crude Breakdown],0)))^2</f>
        <v>177.4223999999862</v>
      </c>
      <c r="AL603" s="5">
        <f>(vp.data[[#This Row],[Sulf]]-INDEX(crudeBD.lkup[Mean_Sulf],MATCH(vp.data[[#This Row],[Crude_Breakdown]],crudeBD.lkup[Crude Breakdown],0)))^2</f>
        <v>1.1965976994660734E-3</v>
      </c>
      <c r="AM603" s="4">
        <f>IF(AND(vp.data[[#This Row],[SDate]]&gt;=DATE(YEAR(vp.data[[#This Row],[SDate]]),5,1),vp.data[[#This Row],[SDate]]&lt;=DATE(YEAR(vp.data[[#This Row],[SDate]]),9,15)),1,0)</f>
        <v>0</v>
      </c>
      <c r="AN603" s="4">
        <f>IF(vp.data[[#This Row],[SDate]]&lt;DATE(2016,12,1),0,1)</f>
        <v>1</v>
      </c>
      <c r="AO603" s="4">
        <f>IFERROR(vp.data[[#This Row],[Sulf]]*vp.data[[#This Row],[Net Dens]],"")</f>
        <v>8798775.6104080006</v>
      </c>
      <c r="AP603">
        <f>IFERROR(vp.data[[#This Row],[Dens]]*vp.data[[#This Row],[VolumeM3]],"")</f>
        <v>6196320.8524000002</v>
      </c>
      <c r="AQ603" s="15">
        <f>IFERROR(vp.data[[#This Row],[VP]]*vp.data[[#This Row],[VolumeM3]],"")</f>
        <v>642310.64939999999</v>
      </c>
    </row>
    <row r="604" spans="1:43" x14ac:dyDescent="0.25">
      <c r="A604">
        <v>603</v>
      </c>
      <c r="B604" t="s">
        <v>62</v>
      </c>
      <c r="C604" t="s">
        <v>62</v>
      </c>
      <c r="D604" t="s">
        <v>63</v>
      </c>
      <c r="F604" s="1">
        <v>42752</v>
      </c>
      <c r="G604" s="2">
        <v>86.6</v>
      </c>
      <c r="H604" s="2"/>
      <c r="I604" s="2">
        <f t="array" ref="I604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604" s="2">
        <v>12</v>
      </c>
      <c r="K604" s="2">
        <v>1</v>
      </c>
      <c r="L604" s="2">
        <v>838</v>
      </c>
      <c r="M604" s="2">
        <f t="array" ref="M604">_xlfn.IFNA(IF(vp.data[[#This Row],[Dens Input]]="",INDEX([1]DATA!$O$3:$O$9826,MATCH(1,(vp.data[[#This Row],[Battery]]=[1]DATA!$L$3:$L$9826)*(EOMONTH(vp.data[[#This Row],[SDate]],-1)+1=[1]DATA!$G$3:$G$9826),0)),vp.data[[#This Row],[Dens Input]]),"")</f>
        <v>838</v>
      </c>
      <c r="N604" s="2">
        <f ca="1">INDEX(INDIRECT(_xlfn.CONCAT("weather.tbl[",N$1,"]")),MATCH(vp.data[[#This Row],[SDate]],weather.tbl[Date],0))</f>
        <v>-5.3999999999999995</v>
      </c>
      <c r="O604" s="2">
        <f ca="1">INDEX(INDIRECT(_xlfn.CONCAT("weather.tbl[",O$1,"]")),MATCH(vp.data[[#This Row],[SDate]],weather.tbl[Date],0))</f>
        <v>-16.290476190476195</v>
      </c>
      <c r="P604" s="2">
        <f ca="1">INDEX(INDIRECT(_xlfn.CONCAT("weather.tbl[",P$1,"]")),MATCH(vp.data[[#This Row],[SDate]],weather.tbl[Date],0))</f>
        <v>-5.7</v>
      </c>
      <c r="Q604" s="2">
        <f ca="1">INDEX(INDIRECT(_xlfn.CONCAT("weather.tbl[",Q$1,"]")),MATCH(vp.data[[#This Row],[SDate]],weather.tbl[Date],0))</f>
        <v>-4.4000000000000004</v>
      </c>
      <c r="R604" s="2">
        <f ca="1">INDEX(INDIRECT(_xlfn.CONCAT("weather.tbl[",R$1,"]")),MATCH(vp.data[[#This Row],[SDate]],weather.tbl[Date],0))</f>
        <v>-7.8</v>
      </c>
      <c r="S604" s="2">
        <f ca="1">INDEX(INDIRECT(_xlfn.CONCAT("weather.tbl[",S$1,"]")),MATCH(vp.data[[#This Row],[SDate]],weather.tbl[Date],0))</f>
        <v>-3.1</v>
      </c>
      <c r="T604" s="2">
        <f ca="1">INDEX(INDIRECT(_xlfn.CONCAT("weather.tbl[",T$1,"]")),MATCH(vp.data[[#This Row],[SDate]],weather.tbl[Date],0))</f>
        <v>-7.6</v>
      </c>
      <c r="U604" s="2">
        <f ca="1">INDEX(INDIRECT(_xlfn.CONCAT("weather.tbl[",U$1,"]")),MATCH(vp.data[[#This Row],[SDate]],weather.tbl[Date],0))</f>
        <v>-3.8</v>
      </c>
      <c r="V604" s="2">
        <f t="array" ref="V6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604" t="s">
        <v>48</v>
      </c>
      <c r="X604">
        <f>IF(OR(vp.data[[#This Row],[Sulf]]="",vp.data[[#This Row],[Dens]]=""),1,0)</f>
        <v>0</v>
      </c>
      <c r="Y604">
        <f>IF(vp.data[[#This Row],[CrudeType]]="C5+",1,0)</f>
        <v>0</v>
      </c>
      <c r="Z604">
        <f>IF(AND(vp.data[[#This Row],[CrudeType]]="Crude",vp.data[[#This Row],[Dens]]&lt;=825,vp.data[[#This Row],[Sulf]]&gt;0.5,vp.data[[#This Row],[Unknown]]=0),1,0)</f>
        <v>0</v>
      </c>
      <c r="AA604">
        <f>IF(AND(vp.data[[#This Row],[CrudeType]]="Crude",vp.data[[#This Row],[Dens]]&lt;=825,vp.data[[#This Row],[Sulf]]&lt;=0.5,vp.data[[#This Row],[Unknown]]=0),1,0)</f>
        <v>0</v>
      </c>
      <c r="AB6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4">
        <f>IF(AND(vp.data[[#This Row],[CrudeType]]="Crude",vp.data[[#This Row],[Dens]]&gt;825,vp.data[[#This Row],[Dens]]&lt;=900,vp.data[[#This Row],[Sulf]]&lt;=0.5,vp.data[[#This Row],[Unknown]]=0),1,0)</f>
        <v>0</v>
      </c>
      <c r="AD604">
        <f>IF(AND(vp.data[[#This Row],[CrudeType]]="Crude",vp.data[[#This Row],[Dens]]&gt;865,vp.data[[#This Row],[Dens]]&lt;=900,vp.data[[#This Row],[Sulf]]&gt;2,vp.data[[#This Row],[Unknown]]=0),1,0)</f>
        <v>0</v>
      </c>
      <c r="AE604">
        <f>IF(AND(vp.data[[#This Row],[CrudeType]]="Crude",vp.data[[#This Row],[Dens]]&gt;900,vp.data[[#This Row],[Sulf]]&lt;=0.5,vp.data[[#This Row],[Unknown]]=0),1,0)</f>
        <v>0</v>
      </c>
      <c r="AF604">
        <f>IF(AND(vp.data[[#This Row],[CrudeType]]="Crude",vp.data[[#This Row],[Dens]]&gt;900,vp.data[[#This Row],[Sulf]]&lt;=0.5,vp.data[[#This Row],[Unknown]]=0),1,0)</f>
        <v>0</v>
      </c>
      <c r="AG604" t="str">
        <f>INDEX(vp.data[[#Headers],[Unknown]:[Heavy_SW]],MATCH(1,vp.data[[#This Row],[Unknown]:[Heavy_SW]],0))</f>
        <v>Medium_LSB</v>
      </c>
      <c r="AH604">
        <f>INDEX([3]!crudeBD.lkup[Number],MATCH(vp.data[[#This Row],[Crude_Breakdown]],crudeBD.lkup[Crude Breakdown],0))</f>
        <v>3</v>
      </c>
      <c r="AI604">
        <f>MONTH(vp.data[[#This Row],[SDate]])</f>
        <v>1</v>
      </c>
      <c r="AJ604" s="5">
        <f>(vp.data[[#This Row],[VP]]-INDEX(crudeBD.lkup[Mean_VP],MATCH(vp.data[[#This Row],[Crude_Breakdown]],crudeBD.lkup[Crude Breakdown],0)))^2</f>
        <v>35.525455630227242</v>
      </c>
      <c r="AK604" s="5">
        <f>(vp.data[[#This Row],[Dens]]-INDEX(crudeBD.lkup[Mean_Dens],MATCH(vp.data[[#This Row],[Crude_Breakdown]],crudeBD.lkup[Crude Breakdown],0)))^2</f>
        <v>35.046399999994129</v>
      </c>
      <c r="AL604" s="5">
        <f>(vp.data[[#This Row],[Sulf]]-INDEX(crudeBD.lkup[Mean_Sulf],MATCH(vp.data[[#This Row],[Crude_Breakdown]],crudeBD.lkup[Crude Breakdown],0)))^2</f>
        <v>8.9476224973095587E-3</v>
      </c>
      <c r="AM604" s="4">
        <f>IF(AND(vp.data[[#This Row],[SDate]]&gt;=DATE(YEAR(vp.data[[#This Row],[SDate]]),5,1),vp.data[[#This Row],[SDate]]&lt;=DATE(YEAR(vp.data[[#This Row],[SDate]]),9,15)),1,0)</f>
        <v>0</v>
      </c>
      <c r="AN604" s="4">
        <f>IF(vp.data[[#This Row],[SDate]]&lt;DATE(2016,12,1),0,1)</f>
        <v>1</v>
      </c>
      <c r="AO604" s="4">
        <f>IFERROR(vp.data[[#This Row],[Sulf]]*vp.data[[#This Row],[Net Dens]],"")</f>
        <v>6069426.9804800004</v>
      </c>
      <c r="AP604">
        <f>IFERROR(vp.data[[#This Row],[Dens]]*vp.data[[#This Row],[VolumeM3]],"")</f>
        <v>4100964.1760000004</v>
      </c>
      <c r="AQ604" s="15">
        <f>IFERROR(vp.data[[#This Row],[VP]]*vp.data[[#This Row],[VolumeM3]],"")</f>
        <v>423798.92320000002</v>
      </c>
    </row>
    <row r="605" spans="1:43" x14ac:dyDescent="0.25">
      <c r="A605">
        <v>604</v>
      </c>
      <c r="B605" t="s">
        <v>56</v>
      </c>
      <c r="C605" t="s">
        <v>56</v>
      </c>
      <c r="D605" t="s">
        <v>57</v>
      </c>
      <c r="F605" s="1">
        <v>42752</v>
      </c>
      <c r="G605" s="2">
        <v>80.900000000000006</v>
      </c>
      <c r="H605" s="2"/>
      <c r="I605" s="2">
        <f t="array" ref="I605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605" s="2">
        <v>19</v>
      </c>
      <c r="K605" s="2">
        <v>1</v>
      </c>
      <c r="L605" s="2">
        <v>845.2</v>
      </c>
      <c r="M605" s="2">
        <f t="array" ref="M605">_xlfn.IFNA(IF(vp.data[[#This Row],[Dens Input]]="",INDEX([1]DATA!$O$3:$O$9826,MATCH(1,(vp.data[[#This Row],[Battery]]=[1]DATA!$L$3:$L$9826)*(EOMONTH(vp.data[[#This Row],[SDate]],-1)+1=[1]DATA!$G$3:$G$9826),0)),vp.data[[#This Row],[Dens Input]]),"")</f>
        <v>845.2</v>
      </c>
      <c r="N605" s="2">
        <f ca="1">INDEX(INDIRECT(_xlfn.CONCAT("weather.tbl[",N$1,"]")),MATCH(vp.data[[#This Row],[SDate]],weather.tbl[Date],0))</f>
        <v>-5.3999999999999995</v>
      </c>
      <c r="O605" s="2">
        <f ca="1">INDEX(INDIRECT(_xlfn.CONCAT("weather.tbl[",O$1,"]")),MATCH(vp.data[[#This Row],[SDate]],weather.tbl[Date],0))</f>
        <v>-16.290476190476195</v>
      </c>
      <c r="P605" s="2">
        <f ca="1">INDEX(INDIRECT(_xlfn.CONCAT("weather.tbl[",P$1,"]")),MATCH(vp.data[[#This Row],[SDate]],weather.tbl[Date],0))</f>
        <v>-5.7</v>
      </c>
      <c r="Q605" s="2">
        <f ca="1">INDEX(INDIRECT(_xlfn.CONCAT("weather.tbl[",Q$1,"]")),MATCH(vp.data[[#This Row],[SDate]],weather.tbl[Date],0))</f>
        <v>-4.4000000000000004</v>
      </c>
      <c r="R605" s="2">
        <f ca="1">INDEX(INDIRECT(_xlfn.CONCAT("weather.tbl[",R$1,"]")),MATCH(vp.data[[#This Row],[SDate]],weather.tbl[Date],0))</f>
        <v>-7.8</v>
      </c>
      <c r="S605" s="2">
        <f ca="1">INDEX(INDIRECT(_xlfn.CONCAT("weather.tbl[",S$1,"]")),MATCH(vp.data[[#This Row],[SDate]],weather.tbl[Date],0))</f>
        <v>-3.1</v>
      </c>
      <c r="T605" s="2">
        <f ca="1">INDEX(INDIRECT(_xlfn.CONCAT("weather.tbl[",T$1,"]")),MATCH(vp.data[[#This Row],[SDate]],weather.tbl[Date],0))</f>
        <v>-7.6</v>
      </c>
      <c r="U605" s="2">
        <f ca="1">INDEX(INDIRECT(_xlfn.CONCAT("weather.tbl[",U$1,"]")),MATCH(vp.data[[#This Row],[SDate]],weather.tbl[Date],0))</f>
        <v>-3.8</v>
      </c>
      <c r="V605" s="2">
        <f t="array" ref="V6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3079.645</v>
      </c>
      <c r="W605" t="s">
        <v>48</v>
      </c>
      <c r="X605">
        <f>IF(OR(vp.data[[#This Row],[Sulf]]="",vp.data[[#This Row],[Dens]]=""),1,0)</f>
        <v>0</v>
      </c>
      <c r="Y605">
        <f>IF(vp.data[[#This Row],[CrudeType]]="C5+",1,0)</f>
        <v>0</v>
      </c>
      <c r="Z605">
        <f>IF(AND(vp.data[[#This Row],[CrudeType]]="Crude",vp.data[[#This Row],[Dens]]&lt;=825,vp.data[[#This Row],[Sulf]]&gt;0.5,vp.data[[#This Row],[Unknown]]=0),1,0)</f>
        <v>0</v>
      </c>
      <c r="AA605">
        <f>IF(AND(vp.data[[#This Row],[CrudeType]]="Crude",vp.data[[#This Row],[Dens]]&lt;=825,vp.data[[#This Row],[Sulf]]&lt;=0.5,vp.data[[#This Row],[Unknown]]=0),1,0)</f>
        <v>0</v>
      </c>
      <c r="AB6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5">
        <f>IF(AND(vp.data[[#This Row],[CrudeType]]="Crude",vp.data[[#This Row],[Dens]]&gt;825,vp.data[[#This Row],[Dens]]&lt;=900,vp.data[[#This Row],[Sulf]]&lt;=0.5,vp.data[[#This Row],[Unknown]]=0),1,0)</f>
        <v>0</v>
      </c>
      <c r="AD605">
        <f>IF(AND(vp.data[[#This Row],[CrudeType]]="Crude",vp.data[[#This Row],[Dens]]&gt;865,vp.data[[#This Row],[Dens]]&lt;=900,vp.data[[#This Row],[Sulf]]&gt;2,vp.data[[#This Row],[Unknown]]=0),1,0)</f>
        <v>0</v>
      </c>
      <c r="AE605">
        <f>IF(AND(vp.data[[#This Row],[CrudeType]]="Crude",vp.data[[#This Row],[Dens]]&gt;900,vp.data[[#This Row],[Sulf]]&lt;=0.5,vp.data[[#This Row],[Unknown]]=0),1,0)</f>
        <v>0</v>
      </c>
      <c r="AF605">
        <f>IF(AND(vp.data[[#This Row],[CrudeType]]="Crude",vp.data[[#This Row],[Dens]]&gt;900,vp.data[[#This Row],[Sulf]]&lt;=0.5,vp.data[[#This Row],[Unknown]]=0),1,0)</f>
        <v>0</v>
      </c>
      <c r="AG605" t="str">
        <f>INDEX(vp.data[[#Headers],[Unknown]:[Heavy_SW]],MATCH(1,vp.data[[#This Row],[Unknown]:[Heavy_SW]],0))</f>
        <v>Medium_LSB</v>
      </c>
      <c r="AH605">
        <f>INDEX([3]!crudeBD.lkup[Number],MATCH(vp.data[[#This Row],[Crude_Breakdown]],crudeBD.lkup[Crude Breakdown],0))</f>
        <v>3</v>
      </c>
      <c r="AI605">
        <f>MONTH(vp.data[[#This Row],[SDate]])</f>
        <v>1</v>
      </c>
      <c r="AJ605" s="5">
        <f>(vp.data[[#This Row],[VP]]-INDEX(crudeBD.lkup[Mean_VP],MATCH(vp.data[[#This Row],[Crude_Breakdown]],crudeBD.lkup[Crude Breakdown],0)))^2</f>
        <v>6.7768298690110765E-2</v>
      </c>
      <c r="AK605" s="5">
        <f>(vp.data[[#This Row],[Dens]]-INDEX(crudeBD.lkup[Mean_Dens],MATCH(vp.data[[#This Row],[Crude_Breakdown]],crudeBD.lkup[Crude Breakdown],0)))^2</f>
        <v>1.6384000000013854</v>
      </c>
      <c r="AL605" s="5">
        <f>(vp.data[[#This Row],[Sulf]]-INDEX(crudeBD.lkup[Mean_Sulf],MATCH(vp.data[[#This Row],[Crude_Breakdown]],crudeBD.lkup[Crude Breakdown],0)))^2</f>
        <v>8.678437182345447E-2</v>
      </c>
      <c r="AM605" s="4">
        <f>IF(AND(vp.data[[#This Row],[SDate]]&gt;=DATE(YEAR(vp.data[[#This Row],[SDate]]),5,1),vp.data[[#This Row],[SDate]]&lt;=DATE(YEAR(vp.data[[#This Row],[SDate]]),9,15)),1,0)</f>
        <v>0</v>
      </c>
      <c r="AN605" s="4">
        <f>IF(vp.data[[#This Row],[SDate]]&lt;DATE(2016,12,1),0,1)</f>
        <v>1</v>
      </c>
      <c r="AO605" s="4">
        <f>IFERROR(vp.data[[#This Row],[Sulf]]*vp.data[[#This Row],[Net Dens]],"")</f>
        <v>4372898.80272</v>
      </c>
      <c r="AP605">
        <f>IFERROR(vp.data[[#This Row],[Dens]]*vp.data[[#This Row],[VolumeM3]],"")</f>
        <v>2602915.9539999999</v>
      </c>
      <c r="AQ605" s="15">
        <f>IFERROR(vp.data[[#This Row],[VP]]*vp.data[[#This Row],[VolumeM3]],"")</f>
        <v>249143.28050000002</v>
      </c>
    </row>
    <row r="606" spans="1:43" x14ac:dyDescent="0.25">
      <c r="A606">
        <v>605</v>
      </c>
      <c r="B606" t="s">
        <v>49</v>
      </c>
      <c r="C606" t="s">
        <v>49</v>
      </c>
      <c r="D606" t="s">
        <v>78</v>
      </c>
      <c r="F606" s="1">
        <v>42753</v>
      </c>
      <c r="G606" s="2">
        <v>95.4</v>
      </c>
      <c r="H606" s="2"/>
      <c r="I606" s="2">
        <f t="array" ref="I606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606" s="2">
        <v>8</v>
      </c>
      <c r="K606" s="2">
        <v>2</v>
      </c>
      <c r="L606" s="2">
        <v>812.5</v>
      </c>
      <c r="M606" s="2">
        <f t="array" ref="M606">_xlfn.IFNA(IF(vp.data[[#This Row],[Dens Input]]="",INDEX([1]DATA!$O$3:$O$9826,MATCH(1,(vp.data[[#This Row],[Battery]]=[1]DATA!$L$3:$L$9826)*(EOMONTH(vp.data[[#This Row],[SDate]],-1)+1=[1]DATA!$G$3:$G$9826),0)),vp.data[[#This Row],[Dens Input]]),"")</f>
        <v>812.5</v>
      </c>
      <c r="N606" s="2">
        <f ca="1">INDEX(INDIRECT(_xlfn.CONCAT("weather.tbl[",N$1,"]")),MATCH(vp.data[[#This Row],[SDate]],weather.tbl[Date],0))</f>
        <v>-0.25000000000000006</v>
      </c>
      <c r="O606" s="2">
        <f ca="1">INDEX(INDIRECT(_xlfn.CONCAT("weather.tbl[",O$1,"]")),MATCH(vp.data[[#This Row],[SDate]],weather.tbl[Date],0))</f>
        <v>-13.109523809523811</v>
      </c>
      <c r="P606" s="2">
        <f ca="1">INDEX(INDIRECT(_xlfn.CONCAT("weather.tbl[",P$1,"]")),MATCH(vp.data[[#This Row],[SDate]],weather.tbl[Date],0))</f>
        <v>0.2</v>
      </c>
      <c r="Q606" s="2">
        <f ca="1">INDEX(INDIRECT(_xlfn.CONCAT("weather.tbl[",Q$1,"]")),MATCH(vp.data[[#This Row],[SDate]],weather.tbl[Date],0))</f>
        <v>-0.1</v>
      </c>
      <c r="R606" s="2">
        <f ca="1">INDEX(INDIRECT(_xlfn.CONCAT("weather.tbl[",R$1,"]")),MATCH(vp.data[[#This Row],[SDate]],weather.tbl[Date],0))</f>
        <v>0.3</v>
      </c>
      <c r="S606" s="2">
        <f ca="1">INDEX(INDIRECT(_xlfn.CONCAT("weather.tbl[",S$1,"]")),MATCH(vp.data[[#This Row],[SDate]],weather.tbl[Date],0))</f>
        <v>0.5</v>
      </c>
      <c r="T606" s="2">
        <f ca="1">INDEX(INDIRECT(_xlfn.CONCAT("weather.tbl[",T$1,"]")),MATCH(vp.data[[#This Row],[SDate]],weather.tbl[Date],0))</f>
        <v>-3.2</v>
      </c>
      <c r="U606" s="2">
        <f ca="1">INDEX(INDIRECT(_xlfn.CONCAT("weather.tbl[",U$1,"]")),MATCH(vp.data[[#This Row],[SDate]],weather.tbl[Date],0))</f>
        <v>0.8</v>
      </c>
      <c r="V606" s="2">
        <f t="array" ref="V6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19960.418000000001</v>
      </c>
      <c r="W606" t="s">
        <v>48</v>
      </c>
      <c r="X606">
        <f>IF(OR(vp.data[[#This Row],[Sulf]]="",vp.data[[#This Row],[Dens]]=""),1,0)</f>
        <v>0</v>
      </c>
      <c r="Y606">
        <f>IF(vp.data[[#This Row],[CrudeType]]="C5+",1,0)</f>
        <v>0</v>
      </c>
      <c r="Z606">
        <f>IF(AND(vp.data[[#This Row],[CrudeType]]="Crude",vp.data[[#This Row],[Dens]]&lt;=825,vp.data[[#This Row],[Sulf]]&gt;0.5,vp.data[[#This Row],[Unknown]]=0),1,0)</f>
        <v>0</v>
      </c>
      <c r="AA606">
        <f>IF(AND(vp.data[[#This Row],[CrudeType]]="Crude",vp.data[[#This Row],[Dens]]&lt;=825,vp.data[[#This Row],[Sulf]]&lt;=0.5,vp.data[[#This Row],[Unknown]]=0),1,0)</f>
        <v>1</v>
      </c>
      <c r="AB6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06">
        <f>IF(AND(vp.data[[#This Row],[CrudeType]]="Crude",vp.data[[#This Row],[Dens]]&gt;825,vp.data[[#This Row],[Dens]]&lt;=900,vp.data[[#This Row],[Sulf]]&lt;=0.5,vp.data[[#This Row],[Unknown]]=0),1,0)</f>
        <v>0</v>
      </c>
      <c r="AD606">
        <f>IF(AND(vp.data[[#This Row],[CrudeType]]="Crude",vp.data[[#This Row],[Dens]]&gt;865,vp.data[[#This Row],[Dens]]&lt;=900,vp.data[[#This Row],[Sulf]]&gt;2,vp.data[[#This Row],[Unknown]]=0),1,0)</f>
        <v>0</v>
      </c>
      <c r="AE606">
        <f>IF(AND(vp.data[[#This Row],[CrudeType]]="Crude",vp.data[[#This Row],[Dens]]&gt;900,vp.data[[#This Row],[Sulf]]&lt;=0.5,vp.data[[#This Row],[Unknown]]=0),1,0)</f>
        <v>0</v>
      </c>
      <c r="AF606">
        <f>IF(AND(vp.data[[#This Row],[CrudeType]]="Crude",vp.data[[#This Row],[Dens]]&gt;900,vp.data[[#This Row],[Sulf]]&lt;=0.5,vp.data[[#This Row],[Unknown]]=0),1,0)</f>
        <v>0</v>
      </c>
      <c r="AG606" t="str">
        <f>INDEX(vp.data[[#Headers],[Unknown]:[Heavy_SW]],MATCH(1,vp.data[[#This Row],[Unknown]:[Heavy_SW]],0))</f>
        <v>Light_SW</v>
      </c>
      <c r="AH606">
        <f>INDEX([3]!crudeBD.lkup[Number],MATCH(vp.data[[#This Row],[Crude_Breakdown]],crudeBD.lkup[Crude Breakdown],0))</f>
        <v>2</v>
      </c>
      <c r="AI606">
        <f>MONTH(vp.data[[#This Row],[SDate]])</f>
        <v>1</v>
      </c>
      <c r="AJ606" s="5">
        <f>(vp.data[[#This Row],[VP]]-INDEX(crudeBD.lkup[Mean_VP],MATCH(vp.data[[#This Row],[Crude_Breakdown]],crudeBD.lkup[Crude Breakdown],0)))^2</f>
        <v>8.1207126418921742</v>
      </c>
      <c r="AK606" s="5">
        <f>(vp.data[[#This Row],[Dens]]-INDEX(crudeBD.lkup[Mean_Dens],MATCH(vp.data[[#This Row],[Crude_Breakdown]],crudeBD.lkup[Crude Breakdown],0)))^2</f>
        <v>17.543546844081519</v>
      </c>
      <c r="AL606" s="5">
        <f>(vp.data[[#This Row],[Sulf]]-INDEX(crudeBD.lkup[Mean_Sulf],MATCH(vp.data[[#This Row],[Crude_Breakdown]],crudeBD.lkup[Crude Breakdown],0)))^2</f>
        <v>8.7905978457915313E-3</v>
      </c>
      <c r="AM606" s="4">
        <f>IF(AND(vp.data[[#This Row],[SDate]]&gt;=DATE(YEAR(vp.data[[#This Row],[SDate]]),5,1),vp.data[[#This Row],[SDate]]&lt;=DATE(YEAR(vp.data[[#This Row],[SDate]]),9,15)),1,0)</f>
        <v>0</v>
      </c>
      <c r="AN606" s="4">
        <f>IF(vp.data[[#This Row],[SDate]]&lt;DATE(2016,12,1),0,1)</f>
        <v>1</v>
      </c>
      <c r="AO606" s="4">
        <f>IFERROR(vp.data[[#This Row],[Sulf]]*vp.data[[#This Row],[Net Dens]],"")</f>
        <v>5351887.0762500009</v>
      </c>
      <c r="AP606">
        <f>IFERROR(vp.data[[#This Row],[Dens]]*vp.data[[#This Row],[VolumeM3]],"")</f>
        <v>16217839.625000002</v>
      </c>
      <c r="AQ606" s="15">
        <f>IFERROR(vp.data[[#This Row],[VP]]*vp.data[[#This Row],[VolumeM3]],"")</f>
        <v>1904223.8772000002</v>
      </c>
    </row>
    <row r="607" spans="1:43" x14ac:dyDescent="0.25">
      <c r="A607">
        <v>606</v>
      </c>
      <c r="B607" t="s">
        <v>49</v>
      </c>
      <c r="C607" t="s">
        <v>49</v>
      </c>
      <c r="D607" t="s">
        <v>92</v>
      </c>
      <c r="F607" s="1">
        <v>42753</v>
      </c>
      <c r="G607" s="2">
        <v>83.8</v>
      </c>
      <c r="H607" s="2"/>
      <c r="I607" s="2">
        <f t="array" ref="I607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607" s="2">
        <v>21</v>
      </c>
      <c r="K607" s="2">
        <v>3</v>
      </c>
      <c r="L607" s="2">
        <v>827.1</v>
      </c>
      <c r="M607" s="2">
        <f t="array" ref="M607">_xlfn.IFNA(IF(vp.data[[#This Row],[Dens Input]]="",INDEX([1]DATA!$O$3:$O$9826,MATCH(1,(vp.data[[#This Row],[Battery]]=[1]DATA!$L$3:$L$9826)*(EOMONTH(vp.data[[#This Row],[SDate]],-1)+1=[1]DATA!$G$3:$G$9826),0)),vp.data[[#This Row],[Dens Input]]),"")</f>
        <v>827.1</v>
      </c>
      <c r="N607" s="2">
        <f ca="1">INDEX(INDIRECT(_xlfn.CONCAT("weather.tbl[",N$1,"]")),MATCH(vp.data[[#This Row],[SDate]],weather.tbl[Date],0))</f>
        <v>-0.25000000000000006</v>
      </c>
      <c r="O607" s="2">
        <f ca="1">INDEX(INDIRECT(_xlfn.CONCAT("weather.tbl[",O$1,"]")),MATCH(vp.data[[#This Row],[SDate]],weather.tbl[Date],0))</f>
        <v>-13.109523809523811</v>
      </c>
      <c r="P607" s="2">
        <f ca="1">INDEX(INDIRECT(_xlfn.CONCAT("weather.tbl[",P$1,"]")),MATCH(vp.data[[#This Row],[SDate]],weather.tbl[Date],0))</f>
        <v>0.2</v>
      </c>
      <c r="Q607" s="2">
        <f ca="1">INDEX(INDIRECT(_xlfn.CONCAT("weather.tbl[",Q$1,"]")),MATCH(vp.data[[#This Row],[SDate]],weather.tbl[Date],0))</f>
        <v>-0.1</v>
      </c>
      <c r="R607" s="2">
        <f ca="1">INDEX(INDIRECT(_xlfn.CONCAT("weather.tbl[",R$1,"]")),MATCH(vp.data[[#This Row],[SDate]],weather.tbl[Date],0))</f>
        <v>0.3</v>
      </c>
      <c r="S607" s="2">
        <f ca="1">INDEX(INDIRECT(_xlfn.CONCAT("weather.tbl[",S$1,"]")),MATCH(vp.data[[#This Row],[SDate]],weather.tbl[Date],0))</f>
        <v>0.5</v>
      </c>
      <c r="T607" s="2">
        <f ca="1">INDEX(INDIRECT(_xlfn.CONCAT("weather.tbl[",T$1,"]")),MATCH(vp.data[[#This Row],[SDate]],weather.tbl[Date],0))</f>
        <v>-3.2</v>
      </c>
      <c r="U607" s="2">
        <f ca="1">INDEX(INDIRECT(_xlfn.CONCAT("weather.tbl[",U$1,"]")),MATCH(vp.data[[#This Row],[SDate]],weather.tbl[Date],0))</f>
        <v>0.8</v>
      </c>
      <c r="V607" s="2">
        <f t="array" ref="V6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25785.918000000001</v>
      </c>
      <c r="W607" t="s">
        <v>48</v>
      </c>
      <c r="X607">
        <f>IF(OR(vp.data[[#This Row],[Sulf]]="",vp.data[[#This Row],[Dens]]=""),1,0)</f>
        <v>0</v>
      </c>
      <c r="Y607">
        <f>IF(vp.data[[#This Row],[CrudeType]]="C5+",1,0)</f>
        <v>0</v>
      </c>
      <c r="Z607">
        <f>IF(AND(vp.data[[#This Row],[CrudeType]]="Crude",vp.data[[#This Row],[Dens]]&lt;=825,vp.data[[#This Row],[Sulf]]&gt;0.5,vp.data[[#This Row],[Unknown]]=0),1,0)</f>
        <v>0</v>
      </c>
      <c r="AA607">
        <f>IF(AND(vp.data[[#This Row],[CrudeType]]="Crude",vp.data[[#This Row],[Dens]]&lt;=825,vp.data[[#This Row],[Sulf]]&lt;=0.5,vp.data[[#This Row],[Unknown]]=0),1,0)</f>
        <v>0</v>
      </c>
      <c r="AB6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7">
        <f>IF(AND(vp.data[[#This Row],[CrudeType]]="Crude",vp.data[[#This Row],[Dens]]&gt;825,vp.data[[#This Row],[Dens]]&lt;=900,vp.data[[#This Row],[Sulf]]&lt;=0.5,vp.data[[#This Row],[Unknown]]=0),1,0)</f>
        <v>0</v>
      </c>
      <c r="AD607">
        <f>IF(AND(vp.data[[#This Row],[CrudeType]]="Crude",vp.data[[#This Row],[Dens]]&gt;865,vp.data[[#This Row],[Dens]]&lt;=900,vp.data[[#This Row],[Sulf]]&gt;2,vp.data[[#This Row],[Unknown]]=0),1,0)</f>
        <v>0</v>
      </c>
      <c r="AE607">
        <f>IF(AND(vp.data[[#This Row],[CrudeType]]="Crude",vp.data[[#This Row],[Dens]]&gt;900,vp.data[[#This Row],[Sulf]]&lt;=0.5,vp.data[[#This Row],[Unknown]]=0),1,0)</f>
        <v>0</v>
      </c>
      <c r="AF607">
        <f>IF(AND(vp.data[[#This Row],[CrudeType]]="Crude",vp.data[[#This Row],[Dens]]&gt;900,vp.data[[#This Row],[Sulf]]&lt;=0.5,vp.data[[#This Row],[Unknown]]=0),1,0)</f>
        <v>0</v>
      </c>
      <c r="AG607" t="str">
        <f>INDEX(vp.data[[#Headers],[Unknown]:[Heavy_SW]],MATCH(1,vp.data[[#This Row],[Unknown]:[Heavy_SW]],0))</f>
        <v>Medium_LSB</v>
      </c>
      <c r="AH607">
        <f>INDEX([3]!crudeBD.lkup[Number],MATCH(vp.data[[#This Row],[Crude_Breakdown]],crudeBD.lkup[Crude Breakdown],0))</f>
        <v>3</v>
      </c>
      <c r="AI607">
        <f>MONTH(vp.data[[#This Row],[SDate]])</f>
        <v>1</v>
      </c>
      <c r="AJ607" s="5">
        <f>(vp.data[[#This Row],[VP]]-INDEX(crudeBD.lkup[Mean_VP],MATCH(vp.data[[#This Row],[Crude_Breakdown]],crudeBD.lkup[Crude Breakdown],0)))^2</f>
        <v>9.9876443094721754</v>
      </c>
      <c r="AK607" s="5">
        <f>(vp.data[[#This Row],[Dens]]-INDEX(crudeBD.lkup[Mean_Dens],MATCH(vp.data[[#This Row],[Crude_Breakdown]],crudeBD.lkup[Crude Breakdown],0)))^2</f>
        <v>282.91239999998254</v>
      </c>
      <c r="AL607" s="5">
        <f>(vp.data[[#This Row],[Sulf]]-INDEX(crudeBD.lkup[Mean_Sulf],MATCH(vp.data[[#This Row],[Crude_Breakdown]],crudeBD.lkup[Crude Breakdown],0)))^2</f>
        <v>0.49760062519272974</v>
      </c>
      <c r="AM607" s="4">
        <f>IF(AND(vp.data[[#This Row],[SDate]]&gt;=DATE(YEAR(vp.data[[#This Row],[SDate]]),5,1),vp.data[[#This Row],[SDate]]&lt;=DATE(YEAR(vp.data[[#This Row],[SDate]]),9,15)),1,0)</f>
        <v>0</v>
      </c>
      <c r="AN607" s="4">
        <f>IF(vp.data[[#This Row],[SDate]]&lt;DATE(2016,12,1),0,1)</f>
        <v>1</v>
      </c>
      <c r="AO607" s="4">
        <f>IFERROR(vp.data[[#This Row],[Sulf]]*vp.data[[#This Row],[Net Dens]],"")</f>
        <v>14502722.288904002</v>
      </c>
      <c r="AP607">
        <f>IFERROR(vp.data[[#This Row],[Dens]]*vp.data[[#This Row],[VolumeM3]],"")</f>
        <v>21327532.777800001</v>
      </c>
      <c r="AQ607" s="15">
        <f>IFERROR(vp.data[[#This Row],[VP]]*vp.data[[#This Row],[VolumeM3]],"")</f>
        <v>2160859.9284000001</v>
      </c>
    </row>
    <row r="608" spans="1:43" x14ac:dyDescent="0.25">
      <c r="A608">
        <v>607</v>
      </c>
      <c r="B608" t="s">
        <v>51</v>
      </c>
      <c r="C608" t="s">
        <v>51</v>
      </c>
      <c r="D608" t="s">
        <v>72</v>
      </c>
      <c r="F608" s="1">
        <v>42753</v>
      </c>
      <c r="G608" s="2">
        <v>84.2</v>
      </c>
      <c r="H608" s="2"/>
      <c r="I608" s="2">
        <f t="array" ref="I608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608" s="2">
        <v>33</v>
      </c>
      <c r="K608" s="2">
        <v>0</v>
      </c>
      <c r="L608" s="2">
        <v>834.9</v>
      </c>
      <c r="M608" s="2">
        <f t="array" ref="M608">_xlfn.IFNA(IF(vp.data[[#This Row],[Dens Input]]="",INDEX([1]DATA!$O$3:$O$9826,MATCH(1,(vp.data[[#This Row],[Battery]]=[1]DATA!$L$3:$L$9826)*(EOMONTH(vp.data[[#This Row],[SDate]],-1)+1=[1]DATA!$G$3:$G$9826),0)),vp.data[[#This Row],[Dens Input]]),"")</f>
        <v>834.9</v>
      </c>
      <c r="N608" s="2">
        <f ca="1">INDEX(INDIRECT(_xlfn.CONCAT("weather.tbl[",N$1,"]")),MATCH(vp.data[[#This Row],[SDate]],weather.tbl[Date],0))</f>
        <v>-0.25000000000000006</v>
      </c>
      <c r="O608" s="2">
        <f ca="1">INDEX(INDIRECT(_xlfn.CONCAT("weather.tbl[",O$1,"]")),MATCH(vp.data[[#This Row],[SDate]],weather.tbl[Date],0))</f>
        <v>-13.109523809523811</v>
      </c>
      <c r="P608" s="2">
        <f ca="1">INDEX(INDIRECT(_xlfn.CONCAT("weather.tbl[",P$1,"]")),MATCH(vp.data[[#This Row],[SDate]],weather.tbl[Date],0))</f>
        <v>0.2</v>
      </c>
      <c r="Q608" s="2">
        <f ca="1">INDEX(INDIRECT(_xlfn.CONCAT("weather.tbl[",Q$1,"]")),MATCH(vp.data[[#This Row],[SDate]],weather.tbl[Date],0))</f>
        <v>-0.1</v>
      </c>
      <c r="R608" s="2">
        <f ca="1">INDEX(INDIRECT(_xlfn.CONCAT("weather.tbl[",R$1,"]")),MATCH(vp.data[[#This Row],[SDate]],weather.tbl[Date],0))</f>
        <v>0.3</v>
      </c>
      <c r="S608" s="2">
        <f ca="1">INDEX(INDIRECT(_xlfn.CONCAT("weather.tbl[",S$1,"]")),MATCH(vp.data[[#This Row],[SDate]],weather.tbl[Date],0))</f>
        <v>0.5</v>
      </c>
      <c r="T608" s="2">
        <f ca="1">INDEX(INDIRECT(_xlfn.CONCAT("weather.tbl[",T$1,"]")),MATCH(vp.data[[#This Row],[SDate]],weather.tbl[Date],0))</f>
        <v>-3.2</v>
      </c>
      <c r="U608" s="2">
        <f ca="1">INDEX(INDIRECT(_xlfn.CONCAT("weather.tbl[",U$1,"]")),MATCH(vp.data[[#This Row],[SDate]],weather.tbl[Date],0))</f>
        <v>0.8</v>
      </c>
      <c r="V608" s="2">
        <f t="array" ref="V6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14039.305</v>
      </c>
      <c r="W608" t="s">
        <v>48</v>
      </c>
      <c r="X608">
        <f>IF(OR(vp.data[[#This Row],[Sulf]]="",vp.data[[#This Row],[Dens]]=""),1,0)</f>
        <v>0</v>
      </c>
      <c r="Y608">
        <f>IF(vp.data[[#This Row],[CrudeType]]="C5+",1,0)</f>
        <v>0</v>
      </c>
      <c r="Z608">
        <f>IF(AND(vp.data[[#This Row],[CrudeType]]="Crude",vp.data[[#This Row],[Dens]]&lt;=825,vp.data[[#This Row],[Sulf]]&gt;0.5,vp.data[[#This Row],[Unknown]]=0),1,0)</f>
        <v>0</v>
      </c>
      <c r="AA608">
        <f>IF(AND(vp.data[[#This Row],[CrudeType]]="Crude",vp.data[[#This Row],[Dens]]&lt;=825,vp.data[[#This Row],[Sulf]]&lt;=0.5,vp.data[[#This Row],[Unknown]]=0),1,0)</f>
        <v>0</v>
      </c>
      <c r="AB6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8">
        <f>IF(AND(vp.data[[#This Row],[CrudeType]]="Crude",vp.data[[#This Row],[Dens]]&gt;825,vp.data[[#This Row],[Dens]]&lt;=900,vp.data[[#This Row],[Sulf]]&lt;=0.5,vp.data[[#This Row],[Unknown]]=0),1,0)</f>
        <v>0</v>
      </c>
      <c r="AD608">
        <f>IF(AND(vp.data[[#This Row],[CrudeType]]="Crude",vp.data[[#This Row],[Dens]]&gt;865,vp.data[[#This Row],[Dens]]&lt;=900,vp.data[[#This Row],[Sulf]]&gt;2,vp.data[[#This Row],[Unknown]]=0),1,0)</f>
        <v>0</v>
      </c>
      <c r="AE608">
        <f>IF(AND(vp.data[[#This Row],[CrudeType]]="Crude",vp.data[[#This Row],[Dens]]&gt;900,vp.data[[#This Row],[Sulf]]&lt;=0.5,vp.data[[#This Row],[Unknown]]=0),1,0)</f>
        <v>0</v>
      </c>
      <c r="AF608">
        <f>IF(AND(vp.data[[#This Row],[CrudeType]]="Crude",vp.data[[#This Row],[Dens]]&gt;900,vp.data[[#This Row],[Sulf]]&lt;=0.5,vp.data[[#This Row],[Unknown]]=0),1,0)</f>
        <v>0</v>
      </c>
      <c r="AG608" t="str">
        <f>INDEX(vp.data[[#Headers],[Unknown]:[Heavy_SW]],MATCH(1,vp.data[[#This Row],[Unknown]:[Heavy_SW]],0))</f>
        <v>Medium_LSB</v>
      </c>
      <c r="AH608">
        <f>INDEX([3]!crudeBD.lkup[Number],MATCH(vp.data[[#This Row],[Crude_Breakdown]],crudeBD.lkup[Crude Breakdown],0))</f>
        <v>3</v>
      </c>
      <c r="AI608">
        <f>MONTH(vp.data[[#This Row],[SDate]])</f>
        <v>1</v>
      </c>
      <c r="AJ608" s="5">
        <f>(vp.data[[#This Row],[VP]]-INDEX(crudeBD.lkup[Mean_VP],MATCH(vp.data[[#This Row],[Crude_Breakdown]],crudeBD.lkup[Crude Breakdown],0)))^2</f>
        <v>12.675903069580089</v>
      </c>
      <c r="AK608" s="5">
        <f>(vp.data[[#This Row],[Dens]]-INDEX(crudeBD.lkup[Mean_Dens],MATCH(vp.data[[#This Row],[Crude_Breakdown]],crudeBD.lkup[Crude Breakdown],0)))^2</f>
        <v>81.360399999991472</v>
      </c>
      <c r="AL608" s="5">
        <f>(vp.data[[#This Row],[Sulf]]-INDEX(crudeBD.lkup[Mean_Sulf],MATCH(vp.data[[#This Row],[Crude_Breakdown]],crudeBD.lkup[Crude Breakdown],0)))^2</f>
        <v>5.0808823575477689E-2</v>
      </c>
      <c r="AM608" s="4">
        <f>IF(AND(vp.data[[#This Row],[SDate]]&gt;=DATE(YEAR(vp.data[[#This Row],[SDate]]),5,1),vp.data[[#This Row],[SDate]]&lt;=DATE(YEAR(vp.data[[#This Row],[SDate]]),9,15)),1,0)</f>
        <v>0</v>
      </c>
      <c r="AN608" s="4">
        <f>IF(vp.data[[#This Row],[SDate]]&lt;DATE(2016,12,1),0,1)</f>
        <v>1</v>
      </c>
      <c r="AO608" s="4">
        <f>IFERROR(vp.data[[#This Row],[Sulf]]*vp.data[[#This Row],[Net Dens]],"")</f>
        <v>13596842.263619998</v>
      </c>
      <c r="AP608">
        <f>IFERROR(vp.data[[#This Row],[Dens]]*vp.data[[#This Row],[VolumeM3]],"")</f>
        <v>11721415.7445</v>
      </c>
      <c r="AQ608" s="15">
        <f>IFERROR(vp.data[[#This Row],[VP]]*vp.data[[#This Row],[VolumeM3]],"")</f>
        <v>1182109.4810000001</v>
      </c>
    </row>
    <row r="609" spans="1:43" x14ac:dyDescent="0.25">
      <c r="A609">
        <v>608</v>
      </c>
      <c r="B609" t="s">
        <v>51</v>
      </c>
      <c r="C609" t="s">
        <v>51</v>
      </c>
      <c r="D609" t="s">
        <v>126</v>
      </c>
      <c r="F609" s="1">
        <v>42753</v>
      </c>
      <c r="G609" s="2">
        <v>107.1</v>
      </c>
      <c r="H609" s="2"/>
      <c r="I609" s="2">
        <f t="array" ref="I609">_xlfn.IFNA(IF(vp.data[[#This Row],[Sulf Input]]="",INDEX([1]DATA!$Q$3:$Q$9826,MATCH(1,(vp.data[[#This Row],[Battery]]=[1]DATA!$L$3:$L$9826)*(EOMONTH(vp.data[[#This Row],[SDate]],-1)+1=[1]DATA!$G$3:$G$9826),0)),vp.data[[#This Row],[Sulf Input]]),"")</f>
        <v>1.71</v>
      </c>
      <c r="J609" s="2">
        <v>6</v>
      </c>
      <c r="K609" s="2">
        <v>-1</v>
      </c>
      <c r="L609" s="2">
        <v>845.7</v>
      </c>
      <c r="M609" s="2">
        <f t="array" ref="M609">_xlfn.IFNA(IF(vp.data[[#This Row],[Dens Input]]="",INDEX([1]DATA!$O$3:$O$9826,MATCH(1,(vp.data[[#This Row],[Battery]]=[1]DATA!$L$3:$L$9826)*(EOMONTH(vp.data[[#This Row],[SDate]],-1)+1=[1]DATA!$G$3:$G$9826),0)),vp.data[[#This Row],[Dens Input]]),"")</f>
        <v>845.7</v>
      </c>
      <c r="N609" s="2">
        <f ca="1">INDEX(INDIRECT(_xlfn.CONCAT("weather.tbl[",N$1,"]")),MATCH(vp.data[[#This Row],[SDate]],weather.tbl[Date],0))</f>
        <v>-0.25000000000000006</v>
      </c>
      <c r="O609" s="2">
        <f ca="1">INDEX(INDIRECT(_xlfn.CONCAT("weather.tbl[",O$1,"]")),MATCH(vp.data[[#This Row],[SDate]],weather.tbl[Date],0))</f>
        <v>-13.109523809523811</v>
      </c>
      <c r="P609" s="2">
        <f ca="1">INDEX(INDIRECT(_xlfn.CONCAT("weather.tbl[",P$1,"]")),MATCH(vp.data[[#This Row],[SDate]],weather.tbl[Date],0))</f>
        <v>0.2</v>
      </c>
      <c r="Q609" s="2">
        <f ca="1">INDEX(INDIRECT(_xlfn.CONCAT("weather.tbl[",Q$1,"]")),MATCH(vp.data[[#This Row],[SDate]],weather.tbl[Date],0))</f>
        <v>-0.1</v>
      </c>
      <c r="R609" s="2">
        <f ca="1">INDEX(INDIRECT(_xlfn.CONCAT("weather.tbl[",R$1,"]")),MATCH(vp.data[[#This Row],[SDate]],weather.tbl[Date],0))</f>
        <v>0.3</v>
      </c>
      <c r="S609" s="2">
        <f ca="1">INDEX(INDIRECT(_xlfn.CONCAT("weather.tbl[",S$1,"]")),MATCH(vp.data[[#This Row],[SDate]],weather.tbl[Date],0))</f>
        <v>0.5</v>
      </c>
      <c r="T609" s="2">
        <f ca="1">INDEX(INDIRECT(_xlfn.CONCAT("weather.tbl[",T$1,"]")),MATCH(vp.data[[#This Row],[SDate]],weather.tbl[Date],0))</f>
        <v>-3.2</v>
      </c>
      <c r="U609" s="2">
        <f ca="1">INDEX(INDIRECT(_xlfn.CONCAT("weather.tbl[",U$1,"]")),MATCH(vp.data[[#This Row],[SDate]],weather.tbl[Date],0))</f>
        <v>0.8</v>
      </c>
      <c r="V609" s="2">
        <f t="array" ref="V6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1144.7719999999999</v>
      </c>
      <c r="W609" t="s">
        <v>48</v>
      </c>
      <c r="X609">
        <f>IF(OR(vp.data[[#This Row],[Sulf]]="",vp.data[[#This Row],[Dens]]=""),1,0)</f>
        <v>0</v>
      </c>
      <c r="Y609">
        <f>IF(vp.data[[#This Row],[CrudeType]]="C5+",1,0)</f>
        <v>0</v>
      </c>
      <c r="Z609">
        <f>IF(AND(vp.data[[#This Row],[CrudeType]]="Crude",vp.data[[#This Row],[Dens]]&lt;=825,vp.data[[#This Row],[Sulf]]&gt;0.5,vp.data[[#This Row],[Unknown]]=0),1,0)</f>
        <v>0</v>
      </c>
      <c r="AA609">
        <f>IF(AND(vp.data[[#This Row],[CrudeType]]="Crude",vp.data[[#This Row],[Dens]]&lt;=825,vp.data[[#This Row],[Sulf]]&lt;=0.5,vp.data[[#This Row],[Unknown]]=0),1,0)</f>
        <v>0</v>
      </c>
      <c r="AB6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09">
        <f>IF(AND(vp.data[[#This Row],[CrudeType]]="Crude",vp.data[[#This Row],[Dens]]&gt;825,vp.data[[#This Row],[Dens]]&lt;=900,vp.data[[#This Row],[Sulf]]&lt;=0.5,vp.data[[#This Row],[Unknown]]=0),1,0)</f>
        <v>0</v>
      </c>
      <c r="AD609">
        <f>IF(AND(vp.data[[#This Row],[CrudeType]]="Crude",vp.data[[#This Row],[Dens]]&gt;865,vp.data[[#This Row],[Dens]]&lt;=900,vp.data[[#This Row],[Sulf]]&gt;2,vp.data[[#This Row],[Unknown]]=0),1,0)</f>
        <v>0</v>
      </c>
      <c r="AE609">
        <f>IF(AND(vp.data[[#This Row],[CrudeType]]="Crude",vp.data[[#This Row],[Dens]]&gt;900,vp.data[[#This Row],[Sulf]]&lt;=0.5,vp.data[[#This Row],[Unknown]]=0),1,0)</f>
        <v>0</v>
      </c>
      <c r="AF609">
        <f>IF(AND(vp.data[[#This Row],[CrudeType]]="Crude",vp.data[[#This Row],[Dens]]&gt;900,vp.data[[#This Row],[Sulf]]&lt;=0.5,vp.data[[#This Row],[Unknown]]=0),1,0)</f>
        <v>0</v>
      </c>
      <c r="AG609" t="str">
        <f>INDEX(vp.data[[#Headers],[Unknown]:[Heavy_SW]],MATCH(1,vp.data[[#This Row],[Unknown]:[Heavy_SW]],0))</f>
        <v>Medium_LSB</v>
      </c>
      <c r="AH609">
        <f>INDEX([3]!crudeBD.lkup[Number],MATCH(vp.data[[#This Row],[Crude_Breakdown]],crudeBD.lkup[Crude Breakdown],0))</f>
        <v>3</v>
      </c>
      <c r="AI609">
        <f>MONTH(vp.data[[#This Row],[SDate]])</f>
        <v>1</v>
      </c>
      <c r="AJ609" s="5">
        <f>(vp.data[[#This Row],[VP]]-INDEX(crudeBD.lkup[Mean_VP],MATCH(vp.data[[#This Row],[Crude_Breakdown]],crudeBD.lkup[Crude Breakdown],0)))^2</f>
        <v>700.14871708575561</v>
      </c>
      <c r="AK609" s="5">
        <f>(vp.data[[#This Row],[Dens]]-INDEX(crudeBD.lkup[Mean_Dens],MATCH(vp.data[[#This Row],[Crude_Breakdown]],crudeBD.lkup[Crude Breakdown],0)))^2</f>
        <v>3.1684000000019266</v>
      </c>
      <c r="AL609" s="5">
        <f>(vp.data[[#This Row],[Sulf]]-INDEX(crudeBD.lkup[Mean_Sulf],MATCH(vp.data[[#This Row],[Crude_Breakdown]],crudeBD.lkup[Crude Breakdown],0)))^2</f>
        <v>0.10535988422237623</v>
      </c>
      <c r="AM609" s="4">
        <f>IF(AND(vp.data[[#This Row],[SDate]]&gt;=DATE(YEAR(vp.data[[#This Row],[SDate]]),5,1),vp.data[[#This Row],[SDate]]&lt;=DATE(YEAR(vp.data[[#This Row],[SDate]]),9,15)),1,0)</f>
        <v>0</v>
      </c>
      <c r="AN609" s="4">
        <f>IF(vp.data[[#This Row],[SDate]]&lt;DATE(2016,12,1),0,1)</f>
        <v>1</v>
      </c>
      <c r="AO609" s="4">
        <f>IFERROR(vp.data[[#This Row],[Sulf]]*vp.data[[#This Row],[Net Dens]],"")</f>
        <v>1655508.5934839998</v>
      </c>
      <c r="AP609">
        <f>IFERROR(vp.data[[#This Row],[Dens]]*vp.data[[#This Row],[VolumeM3]],"")</f>
        <v>968133.68039999995</v>
      </c>
      <c r="AQ609" s="15">
        <f>IFERROR(vp.data[[#This Row],[VP]]*vp.data[[#This Row],[VolumeM3]],"")</f>
        <v>122605.08119999999</v>
      </c>
    </row>
    <row r="610" spans="1:43" x14ac:dyDescent="0.25">
      <c r="A610">
        <v>609</v>
      </c>
      <c r="B610" t="s">
        <v>51</v>
      </c>
      <c r="C610" t="s">
        <v>51</v>
      </c>
      <c r="D610" t="s">
        <v>52</v>
      </c>
      <c r="F610" s="1">
        <v>42753</v>
      </c>
      <c r="G610" s="2">
        <v>71.2</v>
      </c>
      <c r="H610" s="2"/>
      <c r="I610" s="2">
        <f t="array" ref="I610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610" s="2">
        <v>30</v>
      </c>
      <c r="K610" s="2">
        <v>1</v>
      </c>
      <c r="L610" s="2">
        <v>846.5</v>
      </c>
      <c r="M610" s="2">
        <f t="array" ref="M610">_xlfn.IFNA(IF(vp.data[[#This Row],[Dens Input]]="",INDEX([1]DATA!$O$3:$O$9826,MATCH(1,(vp.data[[#This Row],[Battery]]=[1]DATA!$L$3:$L$9826)*(EOMONTH(vp.data[[#This Row],[SDate]],-1)+1=[1]DATA!$G$3:$G$9826),0)),vp.data[[#This Row],[Dens Input]]),"")</f>
        <v>846.5</v>
      </c>
      <c r="N610" s="2">
        <f ca="1">INDEX(INDIRECT(_xlfn.CONCAT("weather.tbl[",N$1,"]")),MATCH(vp.data[[#This Row],[SDate]],weather.tbl[Date],0))</f>
        <v>-0.25000000000000006</v>
      </c>
      <c r="O610" s="2">
        <f ca="1">INDEX(INDIRECT(_xlfn.CONCAT("weather.tbl[",O$1,"]")),MATCH(vp.data[[#This Row],[SDate]],weather.tbl[Date],0))</f>
        <v>-13.109523809523811</v>
      </c>
      <c r="P610" s="2">
        <f ca="1">INDEX(INDIRECT(_xlfn.CONCAT("weather.tbl[",P$1,"]")),MATCH(vp.data[[#This Row],[SDate]],weather.tbl[Date],0))</f>
        <v>0.2</v>
      </c>
      <c r="Q610" s="2">
        <f ca="1">INDEX(INDIRECT(_xlfn.CONCAT("weather.tbl[",Q$1,"]")),MATCH(vp.data[[#This Row],[SDate]],weather.tbl[Date],0))</f>
        <v>-0.1</v>
      </c>
      <c r="R610" s="2">
        <f ca="1">INDEX(INDIRECT(_xlfn.CONCAT("weather.tbl[",R$1,"]")),MATCH(vp.data[[#This Row],[SDate]],weather.tbl[Date],0))</f>
        <v>0.3</v>
      </c>
      <c r="S610" s="2">
        <f ca="1">INDEX(INDIRECT(_xlfn.CONCAT("weather.tbl[",S$1,"]")),MATCH(vp.data[[#This Row],[SDate]],weather.tbl[Date],0))</f>
        <v>0.5</v>
      </c>
      <c r="T610" s="2">
        <f ca="1">INDEX(INDIRECT(_xlfn.CONCAT("weather.tbl[",T$1,"]")),MATCH(vp.data[[#This Row],[SDate]],weather.tbl[Date],0))</f>
        <v>-3.2</v>
      </c>
      <c r="U610" s="2">
        <f ca="1">INDEX(INDIRECT(_xlfn.CONCAT("weather.tbl[",U$1,"]")),MATCH(vp.data[[#This Row],[SDate]],weather.tbl[Date],0))</f>
        <v>0.8</v>
      </c>
      <c r="V610" s="2">
        <f t="array" ref="V6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7492.5379999999996</v>
      </c>
      <c r="W610" t="s">
        <v>48</v>
      </c>
      <c r="X610">
        <f>IF(OR(vp.data[[#This Row],[Sulf]]="",vp.data[[#This Row],[Dens]]=""),1,0)</f>
        <v>0</v>
      </c>
      <c r="Y610">
        <f>IF(vp.data[[#This Row],[CrudeType]]="C5+",1,0)</f>
        <v>0</v>
      </c>
      <c r="Z610">
        <f>IF(AND(vp.data[[#This Row],[CrudeType]]="Crude",vp.data[[#This Row],[Dens]]&lt;=825,vp.data[[#This Row],[Sulf]]&gt;0.5,vp.data[[#This Row],[Unknown]]=0),1,0)</f>
        <v>0</v>
      </c>
      <c r="AA610">
        <f>IF(AND(vp.data[[#This Row],[CrudeType]]="Crude",vp.data[[#This Row],[Dens]]&lt;=825,vp.data[[#This Row],[Sulf]]&lt;=0.5,vp.data[[#This Row],[Unknown]]=0),1,0)</f>
        <v>0</v>
      </c>
      <c r="AB6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0">
        <f>IF(AND(vp.data[[#This Row],[CrudeType]]="Crude",vp.data[[#This Row],[Dens]]&gt;825,vp.data[[#This Row],[Dens]]&lt;=900,vp.data[[#This Row],[Sulf]]&lt;=0.5,vp.data[[#This Row],[Unknown]]=0),1,0)</f>
        <v>0</v>
      </c>
      <c r="AD610">
        <f>IF(AND(vp.data[[#This Row],[CrudeType]]="Crude",vp.data[[#This Row],[Dens]]&gt;865,vp.data[[#This Row],[Dens]]&lt;=900,vp.data[[#This Row],[Sulf]]&gt;2,vp.data[[#This Row],[Unknown]]=0),1,0)</f>
        <v>0</v>
      </c>
      <c r="AE610">
        <f>IF(AND(vp.data[[#This Row],[CrudeType]]="Crude",vp.data[[#This Row],[Dens]]&gt;900,vp.data[[#This Row],[Sulf]]&lt;=0.5,vp.data[[#This Row],[Unknown]]=0),1,0)</f>
        <v>0</v>
      </c>
      <c r="AF610">
        <f>IF(AND(vp.data[[#This Row],[CrudeType]]="Crude",vp.data[[#This Row],[Dens]]&gt;900,vp.data[[#This Row],[Sulf]]&lt;=0.5,vp.data[[#This Row],[Unknown]]=0),1,0)</f>
        <v>0</v>
      </c>
      <c r="AG610" t="str">
        <f>INDEX(vp.data[[#Headers],[Unknown]:[Heavy_SW]],MATCH(1,vp.data[[#This Row],[Unknown]:[Heavy_SW]],0))</f>
        <v>Medium_LSB</v>
      </c>
      <c r="AH610">
        <f>INDEX([3]!crudeBD.lkup[Number],MATCH(vp.data[[#This Row],[Crude_Breakdown]],crudeBD.lkup[Crude Breakdown],0))</f>
        <v>3</v>
      </c>
      <c r="AI610">
        <f>MONTH(vp.data[[#This Row],[SDate]])</f>
        <v>1</v>
      </c>
      <c r="AJ610" s="5">
        <f>(vp.data[[#This Row],[VP]]-INDEX(crudeBD.lkup[Mean_VP],MATCH(vp.data[[#This Row],[Crude_Breakdown]],crudeBD.lkup[Crude Breakdown],0)))^2</f>
        <v>89.10749336607411</v>
      </c>
      <c r="AK610" s="5">
        <f>(vp.data[[#This Row],[Dens]]-INDEX(crudeBD.lkup[Mean_Dens],MATCH(vp.data[[#This Row],[Crude_Breakdown]],crudeBD.lkup[Crude Breakdown],0)))^2</f>
        <v>6.6564000000025576</v>
      </c>
      <c r="AL610" s="5">
        <f>(vp.data[[#This Row],[Sulf]]-INDEX(crudeBD.lkup[Mean_Sulf],MATCH(vp.data[[#This Row],[Crude_Breakdown]],crudeBD.lkup[Crude Breakdown],0)))^2</f>
        <v>1.0497885068638839</v>
      </c>
      <c r="AM610" s="4">
        <f>IF(AND(vp.data[[#This Row],[SDate]]&gt;=DATE(YEAR(vp.data[[#This Row],[SDate]]),5,1),vp.data[[#This Row],[SDate]]&lt;=DATE(YEAR(vp.data[[#This Row],[SDate]]),9,15)),1,0)</f>
        <v>0</v>
      </c>
      <c r="AN610" s="4">
        <f>IF(vp.data[[#This Row],[SDate]]&lt;DATE(2016,12,1),0,1)</f>
        <v>1</v>
      </c>
      <c r="AO610" s="4">
        <f>IFERROR(vp.data[[#This Row],[Sulf]]*vp.data[[#This Row],[Net Dens]],"")</f>
        <v>15285264.53497</v>
      </c>
      <c r="AP610">
        <f>IFERROR(vp.data[[#This Row],[Dens]]*vp.data[[#This Row],[VolumeM3]],"")</f>
        <v>6342433.4169999994</v>
      </c>
      <c r="AQ610" s="15">
        <f>IFERROR(vp.data[[#This Row],[VP]]*vp.data[[#This Row],[VolumeM3]],"")</f>
        <v>533468.70559999999</v>
      </c>
    </row>
    <row r="611" spans="1:43" x14ac:dyDescent="0.25">
      <c r="A611">
        <v>610</v>
      </c>
      <c r="B611" t="s">
        <v>56</v>
      </c>
      <c r="C611" t="s">
        <v>56</v>
      </c>
      <c r="D611" t="s">
        <v>94</v>
      </c>
      <c r="F611" s="1">
        <v>42753</v>
      </c>
      <c r="G611" s="2">
        <v>75.2</v>
      </c>
      <c r="H611" s="2"/>
      <c r="I611" s="2">
        <f t="array" ref="I611">_xlfn.IFNA(IF(vp.data[[#This Row],[Sulf Input]]="",INDEX([1]DATA!$Q$3:$Q$9826,MATCH(1,(vp.data[[#This Row],[Battery]]=[1]DATA!$L$3:$L$9826)*(EOMONTH(vp.data[[#This Row],[SDate]],-1)+1=[1]DATA!$G$3:$G$9826),0)),vp.data[[#This Row],[Sulf Input]]),"")</f>
        <v>1.98</v>
      </c>
      <c r="J611" s="2">
        <v>21</v>
      </c>
      <c r="K611" s="2">
        <v>2</v>
      </c>
      <c r="L611" s="2">
        <v>847.2</v>
      </c>
      <c r="M611" s="2">
        <f t="array" ref="M611">_xlfn.IFNA(IF(vp.data[[#This Row],[Dens Input]]="",INDEX([1]DATA!$O$3:$O$9826,MATCH(1,(vp.data[[#This Row],[Battery]]=[1]DATA!$L$3:$L$9826)*(EOMONTH(vp.data[[#This Row],[SDate]],-1)+1=[1]DATA!$G$3:$G$9826),0)),vp.data[[#This Row],[Dens Input]]),"")</f>
        <v>847.2</v>
      </c>
      <c r="N611" s="2">
        <f ca="1">INDEX(INDIRECT(_xlfn.CONCAT("weather.tbl[",N$1,"]")),MATCH(vp.data[[#This Row],[SDate]],weather.tbl[Date],0))</f>
        <v>-0.25000000000000006</v>
      </c>
      <c r="O611" s="2">
        <f ca="1">INDEX(INDIRECT(_xlfn.CONCAT("weather.tbl[",O$1,"]")),MATCH(vp.data[[#This Row],[SDate]],weather.tbl[Date],0))</f>
        <v>-13.109523809523811</v>
      </c>
      <c r="P611" s="2">
        <f ca="1">INDEX(INDIRECT(_xlfn.CONCAT("weather.tbl[",P$1,"]")),MATCH(vp.data[[#This Row],[SDate]],weather.tbl[Date],0))</f>
        <v>0.2</v>
      </c>
      <c r="Q611" s="2">
        <f ca="1">INDEX(INDIRECT(_xlfn.CONCAT("weather.tbl[",Q$1,"]")),MATCH(vp.data[[#This Row],[SDate]],weather.tbl[Date],0))</f>
        <v>-0.1</v>
      </c>
      <c r="R611" s="2">
        <f ca="1">INDEX(INDIRECT(_xlfn.CONCAT("weather.tbl[",R$1,"]")),MATCH(vp.data[[#This Row],[SDate]],weather.tbl[Date],0))</f>
        <v>0.3</v>
      </c>
      <c r="S611" s="2">
        <f ca="1">INDEX(INDIRECT(_xlfn.CONCAT("weather.tbl[",S$1,"]")),MATCH(vp.data[[#This Row],[SDate]],weather.tbl[Date],0))</f>
        <v>0.5</v>
      </c>
      <c r="T611" s="2">
        <f ca="1">INDEX(INDIRECT(_xlfn.CONCAT("weather.tbl[",T$1,"]")),MATCH(vp.data[[#This Row],[SDate]],weather.tbl[Date],0))</f>
        <v>-3.2</v>
      </c>
      <c r="U611" s="2">
        <f ca="1">INDEX(INDIRECT(_xlfn.CONCAT("weather.tbl[",U$1,"]")),MATCH(vp.data[[#This Row],[SDate]],weather.tbl[Date],0))</f>
        <v>0.8</v>
      </c>
      <c r="V611" s="2">
        <f t="array" ref="V6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3861.2350000000001</v>
      </c>
      <c r="W611" t="s">
        <v>48</v>
      </c>
      <c r="X611">
        <f>IF(OR(vp.data[[#This Row],[Sulf]]="",vp.data[[#This Row],[Dens]]=""),1,0)</f>
        <v>0</v>
      </c>
      <c r="Y611">
        <f>IF(vp.data[[#This Row],[CrudeType]]="C5+",1,0)</f>
        <v>0</v>
      </c>
      <c r="Z611">
        <f>IF(AND(vp.data[[#This Row],[CrudeType]]="Crude",vp.data[[#This Row],[Dens]]&lt;=825,vp.data[[#This Row],[Sulf]]&gt;0.5,vp.data[[#This Row],[Unknown]]=0),1,0)</f>
        <v>0</v>
      </c>
      <c r="AA611">
        <f>IF(AND(vp.data[[#This Row],[CrudeType]]="Crude",vp.data[[#This Row],[Dens]]&lt;=825,vp.data[[#This Row],[Sulf]]&lt;=0.5,vp.data[[#This Row],[Unknown]]=0),1,0)</f>
        <v>0</v>
      </c>
      <c r="AB6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1">
        <f>IF(AND(vp.data[[#This Row],[CrudeType]]="Crude",vp.data[[#This Row],[Dens]]&gt;825,vp.data[[#This Row],[Dens]]&lt;=900,vp.data[[#This Row],[Sulf]]&lt;=0.5,vp.data[[#This Row],[Unknown]]=0),1,0)</f>
        <v>0</v>
      </c>
      <c r="AD611">
        <f>IF(AND(vp.data[[#This Row],[CrudeType]]="Crude",vp.data[[#This Row],[Dens]]&gt;865,vp.data[[#This Row],[Dens]]&lt;=900,vp.data[[#This Row],[Sulf]]&gt;2,vp.data[[#This Row],[Unknown]]=0),1,0)</f>
        <v>0</v>
      </c>
      <c r="AE611">
        <f>IF(AND(vp.data[[#This Row],[CrudeType]]="Crude",vp.data[[#This Row],[Dens]]&gt;900,vp.data[[#This Row],[Sulf]]&lt;=0.5,vp.data[[#This Row],[Unknown]]=0),1,0)</f>
        <v>0</v>
      </c>
      <c r="AF611">
        <f>IF(AND(vp.data[[#This Row],[CrudeType]]="Crude",vp.data[[#This Row],[Dens]]&gt;900,vp.data[[#This Row],[Sulf]]&lt;=0.5,vp.data[[#This Row],[Unknown]]=0),1,0)</f>
        <v>0</v>
      </c>
      <c r="AG611" t="str">
        <f>INDEX(vp.data[[#Headers],[Unknown]:[Heavy_SW]],MATCH(1,vp.data[[#This Row],[Unknown]:[Heavy_SW]],0))</f>
        <v>Medium_LSB</v>
      </c>
      <c r="AH611">
        <f>INDEX([3]!crudeBD.lkup[Number],MATCH(vp.data[[#This Row],[Crude_Breakdown]],crudeBD.lkup[Crude Breakdown],0))</f>
        <v>3</v>
      </c>
      <c r="AI611">
        <f>MONTH(vp.data[[#This Row],[SDate]])</f>
        <v>1</v>
      </c>
      <c r="AJ611" s="5">
        <f>(vp.data[[#This Row],[VP]]-INDEX(crudeBD.lkup[Mean_VP],MATCH(vp.data[[#This Row],[Crude_Breakdown]],crudeBD.lkup[Crude Breakdown],0)))^2</f>
        <v>29.590080967152872</v>
      </c>
      <c r="AK611" s="5">
        <f>(vp.data[[#This Row],[Dens]]-INDEX(crudeBD.lkup[Mean_Dens],MATCH(vp.data[[#This Row],[Crude_Breakdown]],crudeBD.lkup[Crude Breakdown],0)))^2</f>
        <v>10.758400000003549</v>
      </c>
      <c r="AL611" s="5">
        <f>(vp.data[[#This Row],[Sulf]]-INDEX(crudeBD.lkup[Mean_Sulf],MATCH(vp.data[[#This Row],[Crude_Breakdown]],crudeBD.lkup[Crude Breakdown],0)))^2</f>
        <v>0.35353949581267191</v>
      </c>
      <c r="AM611" s="4">
        <f>IF(AND(vp.data[[#This Row],[SDate]]&gt;=DATE(YEAR(vp.data[[#This Row],[SDate]]),5,1),vp.data[[#This Row],[SDate]]&lt;=DATE(YEAR(vp.data[[#This Row],[SDate]]),9,15)),1,0)</f>
        <v>0</v>
      </c>
      <c r="AN611" s="4">
        <f>IF(vp.data[[#This Row],[SDate]]&lt;DATE(2016,12,1),0,1)</f>
        <v>1</v>
      </c>
      <c r="AO611" s="4">
        <f>IFERROR(vp.data[[#This Row],[Sulf]]*vp.data[[#This Row],[Net Dens]],"")</f>
        <v>6477051.8181600003</v>
      </c>
      <c r="AP611">
        <f>IFERROR(vp.data[[#This Row],[Dens]]*vp.data[[#This Row],[VolumeM3]],"")</f>
        <v>3271238.2920000004</v>
      </c>
      <c r="AQ611" s="15">
        <f>IFERROR(vp.data[[#This Row],[VP]]*vp.data[[#This Row],[VolumeM3]],"")</f>
        <v>290364.87200000003</v>
      </c>
    </row>
    <row r="612" spans="1:43" x14ac:dyDescent="0.25">
      <c r="A612">
        <v>611</v>
      </c>
      <c r="B612" t="s">
        <v>49</v>
      </c>
      <c r="C612" t="s">
        <v>49</v>
      </c>
      <c r="D612" t="s">
        <v>90</v>
      </c>
      <c r="F612" s="1">
        <v>42753</v>
      </c>
      <c r="G612" s="2">
        <v>67.400000000000006</v>
      </c>
      <c r="H612" s="2"/>
      <c r="I612" s="2">
        <f t="array" ref="I612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612" s="2">
        <v>33</v>
      </c>
      <c r="K612" s="2">
        <v>-8</v>
      </c>
      <c r="L612" s="2">
        <v>849.6</v>
      </c>
      <c r="M612" s="2">
        <f t="array" ref="M612">_xlfn.IFNA(IF(vp.data[[#This Row],[Dens Input]]="",INDEX([1]DATA!$O$3:$O$9826,MATCH(1,(vp.data[[#This Row],[Battery]]=[1]DATA!$L$3:$L$9826)*(EOMONTH(vp.data[[#This Row],[SDate]],-1)+1=[1]DATA!$G$3:$G$9826),0)),vp.data[[#This Row],[Dens Input]]),"")</f>
        <v>849.6</v>
      </c>
      <c r="N612" s="2">
        <f ca="1">INDEX(INDIRECT(_xlfn.CONCAT("weather.tbl[",N$1,"]")),MATCH(vp.data[[#This Row],[SDate]],weather.tbl[Date],0))</f>
        <v>-0.25000000000000006</v>
      </c>
      <c r="O612" s="2">
        <f ca="1">INDEX(INDIRECT(_xlfn.CONCAT("weather.tbl[",O$1,"]")),MATCH(vp.data[[#This Row],[SDate]],weather.tbl[Date],0))</f>
        <v>-13.109523809523811</v>
      </c>
      <c r="P612" s="2">
        <f ca="1">INDEX(INDIRECT(_xlfn.CONCAT("weather.tbl[",P$1,"]")),MATCH(vp.data[[#This Row],[SDate]],weather.tbl[Date],0))</f>
        <v>0.2</v>
      </c>
      <c r="Q612" s="2">
        <f ca="1">INDEX(INDIRECT(_xlfn.CONCAT("weather.tbl[",Q$1,"]")),MATCH(vp.data[[#This Row],[SDate]],weather.tbl[Date],0))</f>
        <v>-0.1</v>
      </c>
      <c r="R612" s="2">
        <f ca="1">INDEX(INDIRECT(_xlfn.CONCAT("weather.tbl[",R$1,"]")),MATCH(vp.data[[#This Row],[SDate]],weather.tbl[Date],0))</f>
        <v>0.3</v>
      </c>
      <c r="S612" s="2">
        <f ca="1">INDEX(INDIRECT(_xlfn.CONCAT("weather.tbl[",S$1,"]")),MATCH(vp.data[[#This Row],[SDate]],weather.tbl[Date],0))</f>
        <v>0.5</v>
      </c>
      <c r="T612" s="2">
        <f ca="1">INDEX(INDIRECT(_xlfn.CONCAT("weather.tbl[",T$1,"]")),MATCH(vp.data[[#This Row],[SDate]],weather.tbl[Date],0))</f>
        <v>-3.2</v>
      </c>
      <c r="U612" s="2">
        <f ca="1">INDEX(INDIRECT(_xlfn.CONCAT("weather.tbl[",U$1,"]")),MATCH(vp.data[[#This Row],[SDate]],weather.tbl[Date],0))</f>
        <v>0.8</v>
      </c>
      <c r="V612" s="2">
        <f t="array" ref="V6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4841.0649999999996</v>
      </c>
      <c r="W612" t="s">
        <v>48</v>
      </c>
      <c r="X612">
        <f>IF(OR(vp.data[[#This Row],[Sulf]]="",vp.data[[#This Row],[Dens]]=""),1,0)</f>
        <v>0</v>
      </c>
      <c r="Y612">
        <f>IF(vp.data[[#This Row],[CrudeType]]="C5+",1,0)</f>
        <v>0</v>
      </c>
      <c r="Z612">
        <f>IF(AND(vp.data[[#This Row],[CrudeType]]="Crude",vp.data[[#This Row],[Dens]]&lt;=825,vp.data[[#This Row],[Sulf]]&gt;0.5,vp.data[[#This Row],[Unknown]]=0),1,0)</f>
        <v>0</v>
      </c>
      <c r="AA612">
        <f>IF(AND(vp.data[[#This Row],[CrudeType]]="Crude",vp.data[[#This Row],[Dens]]&lt;=825,vp.data[[#This Row],[Sulf]]&lt;=0.5,vp.data[[#This Row],[Unknown]]=0),1,0)</f>
        <v>0</v>
      </c>
      <c r="AB6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2">
        <f>IF(AND(vp.data[[#This Row],[CrudeType]]="Crude",vp.data[[#This Row],[Dens]]&gt;825,vp.data[[#This Row],[Dens]]&lt;=900,vp.data[[#This Row],[Sulf]]&lt;=0.5,vp.data[[#This Row],[Unknown]]=0),1,0)</f>
        <v>0</v>
      </c>
      <c r="AD612">
        <f>IF(AND(vp.data[[#This Row],[CrudeType]]="Crude",vp.data[[#This Row],[Dens]]&gt;865,vp.data[[#This Row],[Dens]]&lt;=900,vp.data[[#This Row],[Sulf]]&gt;2,vp.data[[#This Row],[Unknown]]=0),1,0)</f>
        <v>0</v>
      </c>
      <c r="AE612">
        <f>IF(AND(vp.data[[#This Row],[CrudeType]]="Crude",vp.data[[#This Row],[Dens]]&gt;900,vp.data[[#This Row],[Sulf]]&lt;=0.5,vp.data[[#This Row],[Unknown]]=0),1,0)</f>
        <v>0</v>
      </c>
      <c r="AF612">
        <f>IF(AND(vp.data[[#This Row],[CrudeType]]="Crude",vp.data[[#This Row],[Dens]]&gt;900,vp.data[[#This Row],[Sulf]]&lt;=0.5,vp.data[[#This Row],[Unknown]]=0),1,0)</f>
        <v>0</v>
      </c>
      <c r="AG612" t="str">
        <f>INDEX(vp.data[[#Headers],[Unknown]:[Heavy_SW]],MATCH(1,vp.data[[#This Row],[Unknown]:[Heavy_SW]],0))</f>
        <v>Medium_LSB</v>
      </c>
      <c r="AH612">
        <f>INDEX([3]!crudeBD.lkup[Number],MATCH(vp.data[[#This Row],[Crude_Breakdown]],crudeBD.lkup[Crude Breakdown],0))</f>
        <v>3</v>
      </c>
      <c r="AI612">
        <f>MONTH(vp.data[[#This Row],[SDate]])</f>
        <v>1</v>
      </c>
      <c r="AJ612" s="5">
        <f>(vp.data[[#This Row],[VP]]-INDEX(crudeBD.lkup[Mean_VP],MATCH(vp.data[[#This Row],[Crude_Breakdown]],crudeBD.lkup[Crude Breakdown],0)))^2</f>
        <v>175.28903514504921</v>
      </c>
      <c r="AK612" s="5">
        <f>(vp.data[[#This Row],[Dens]]-INDEX(crudeBD.lkup[Mean_Dens],MATCH(vp.data[[#This Row],[Crude_Breakdown]],crudeBD.lkup[Crude Breakdown],0)))^2</f>
        <v>32.26240000000589</v>
      </c>
      <c r="AL612" s="5">
        <f>(vp.data[[#This Row],[Sulf]]-INDEX(crudeBD.lkup[Mean_Sulf],MATCH(vp.data[[#This Row],[Crude_Breakdown]],crudeBD.lkup[Crude Breakdown],0)))^2</f>
        <v>4.2782230363935985E-3</v>
      </c>
      <c r="AM612" s="4">
        <f>IF(AND(vp.data[[#This Row],[SDate]]&gt;=DATE(YEAR(vp.data[[#This Row],[SDate]]),5,1),vp.data[[#This Row],[SDate]]&lt;=DATE(YEAR(vp.data[[#This Row],[SDate]]),9,15)),1,0)</f>
        <v>0</v>
      </c>
      <c r="AN612" s="4">
        <f>IF(vp.data[[#This Row],[SDate]]&lt;DATE(2016,12,1),0,1)</f>
        <v>1</v>
      </c>
      <c r="AO612" s="4">
        <f>IFERROR(vp.data[[#This Row],[Sulf]]*vp.data[[#This Row],[Net Dens]],"")</f>
        <v>5429118.8476799997</v>
      </c>
      <c r="AP612">
        <f>IFERROR(vp.data[[#This Row],[Dens]]*vp.data[[#This Row],[VolumeM3]],"")</f>
        <v>4112968.8239999996</v>
      </c>
      <c r="AQ612" s="15">
        <f>IFERROR(vp.data[[#This Row],[VP]]*vp.data[[#This Row],[VolumeM3]],"")</f>
        <v>326287.78100000002</v>
      </c>
    </row>
    <row r="613" spans="1:43" x14ac:dyDescent="0.25">
      <c r="A613">
        <v>612</v>
      </c>
      <c r="B613" t="s">
        <v>51</v>
      </c>
      <c r="C613" t="s">
        <v>51</v>
      </c>
      <c r="D613" t="s">
        <v>58</v>
      </c>
      <c r="F613" s="1">
        <v>42753</v>
      </c>
      <c r="G613" s="2">
        <v>67.8</v>
      </c>
      <c r="H613" s="2"/>
      <c r="I613" s="2">
        <f t="array" ref="I613">_xlfn.IFNA(IF(vp.data[[#This Row],[Sulf Input]]="",INDEX([1]DATA!$Q$3:$Q$9826,MATCH(1,(vp.data[[#This Row],[Battery]]=[1]DATA!$L$3:$L$9826)*(EOMONTH(vp.data[[#This Row],[SDate]],-1)+1=[1]DATA!$G$3:$G$9826),0)),vp.data[[#This Row],[Sulf Input]]),"")</f>
        <v>1.64</v>
      </c>
      <c r="J613" s="2">
        <v>32</v>
      </c>
      <c r="K613" s="2">
        <v>3</v>
      </c>
      <c r="L613" s="2">
        <v>857.8</v>
      </c>
      <c r="M613" s="2">
        <f t="array" ref="M613">_xlfn.IFNA(IF(vp.data[[#This Row],[Dens Input]]="",INDEX([1]DATA!$O$3:$O$9826,MATCH(1,(vp.data[[#This Row],[Battery]]=[1]DATA!$L$3:$L$9826)*(EOMONTH(vp.data[[#This Row],[SDate]],-1)+1=[1]DATA!$G$3:$G$9826),0)),vp.data[[#This Row],[Dens Input]]),"")</f>
        <v>857.8</v>
      </c>
      <c r="N613" s="2">
        <f ca="1">INDEX(INDIRECT(_xlfn.CONCAT("weather.tbl[",N$1,"]")),MATCH(vp.data[[#This Row],[SDate]],weather.tbl[Date],0))</f>
        <v>-0.25000000000000006</v>
      </c>
      <c r="O613" s="2">
        <f ca="1">INDEX(INDIRECT(_xlfn.CONCAT("weather.tbl[",O$1,"]")),MATCH(vp.data[[#This Row],[SDate]],weather.tbl[Date],0))</f>
        <v>-13.109523809523811</v>
      </c>
      <c r="P613" s="2">
        <f ca="1">INDEX(INDIRECT(_xlfn.CONCAT("weather.tbl[",P$1,"]")),MATCH(vp.data[[#This Row],[SDate]],weather.tbl[Date],0))</f>
        <v>0.2</v>
      </c>
      <c r="Q613" s="2">
        <f ca="1">INDEX(INDIRECT(_xlfn.CONCAT("weather.tbl[",Q$1,"]")),MATCH(vp.data[[#This Row],[SDate]],weather.tbl[Date],0))</f>
        <v>-0.1</v>
      </c>
      <c r="R613" s="2">
        <f ca="1">INDEX(INDIRECT(_xlfn.CONCAT("weather.tbl[",R$1,"]")),MATCH(vp.data[[#This Row],[SDate]],weather.tbl[Date],0))</f>
        <v>0.3</v>
      </c>
      <c r="S613" s="2">
        <f ca="1">INDEX(INDIRECT(_xlfn.CONCAT("weather.tbl[",S$1,"]")),MATCH(vp.data[[#This Row],[SDate]],weather.tbl[Date],0))</f>
        <v>0.5</v>
      </c>
      <c r="T613" s="2">
        <f ca="1">INDEX(INDIRECT(_xlfn.CONCAT("weather.tbl[",T$1,"]")),MATCH(vp.data[[#This Row],[SDate]],weather.tbl[Date],0))</f>
        <v>-3.2</v>
      </c>
      <c r="U613" s="2">
        <f ca="1">INDEX(INDIRECT(_xlfn.CONCAT("weather.tbl[",U$1,"]")),MATCH(vp.data[[#This Row],[SDate]],weather.tbl[Date],0))</f>
        <v>0.8</v>
      </c>
      <c r="V613" s="2">
        <f t="array" ref="V6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5017.2560000000003</v>
      </c>
      <c r="W613" t="s">
        <v>48</v>
      </c>
      <c r="X613">
        <f>IF(OR(vp.data[[#This Row],[Sulf]]="",vp.data[[#This Row],[Dens]]=""),1,0)</f>
        <v>0</v>
      </c>
      <c r="Y613">
        <f>IF(vp.data[[#This Row],[CrudeType]]="C5+",1,0)</f>
        <v>0</v>
      </c>
      <c r="Z613">
        <f>IF(AND(vp.data[[#This Row],[CrudeType]]="Crude",vp.data[[#This Row],[Dens]]&lt;=825,vp.data[[#This Row],[Sulf]]&gt;0.5,vp.data[[#This Row],[Unknown]]=0),1,0)</f>
        <v>0</v>
      </c>
      <c r="AA613">
        <f>IF(AND(vp.data[[#This Row],[CrudeType]]="Crude",vp.data[[#This Row],[Dens]]&lt;=825,vp.data[[#This Row],[Sulf]]&lt;=0.5,vp.data[[#This Row],[Unknown]]=0),1,0)</f>
        <v>0</v>
      </c>
      <c r="AB6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3">
        <f>IF(AND(vp.data[[#This Row],[CrudeType]]="Crude",vp.data[[#This Row],[Dens]]&gt;825,vp.data[[#This Row],[Dens]]&lt;=900,vp.data[[#This Row],[Sulf]]&lt;=0.5,vp.data[[#This Row],[Unknown]]=0),1,0)</f>
        <v>0</v>
      </c>
      <c r="AD613">
        <f>IF(AND(vp.data[[#This Row],[CrudeType]]="Crude",vp.data[[#This Row],[Dens]]&gt;865,vp.data[[#This Row],[Dens]]&lt;=900,vp.data[[#This Row],[Sulf]]&gt;2,vp.data[[#This Row],[Unknown]]=0),1,0)</f>
        <v>0</v>
      </c>
      <c r="AE613">
        <f>IF(AND(vp.data[[#This Row],[CrudeType]]="Crude",vp.data[[#This Row],[Dens]]&gt;900,vp.data[[#This Row],[Sulf]]&lt;=0.5,vp.data[[#This Row],[Unknown]]=0),1,0)</f>
        <v>0</v>
      </c>
      <c r="AF613">
        <f>IF(AND(vp.data[[#This Row],[CrudeType]]="Crude",vp.data[[#This Row],[Dens]]&gt;900,vp.data[[#This Row],[Sulf]]&lt;=0.5,vp.data[[#This Row],[Unknown]]=0),1,0)</f>
        <v>0</v>
      </c>
      <c r="AG613" t="str">
        <f>INDEX(vp.data[[#Headers],[Unknown]:[Heavy_SW]],MATCH(1,vp.data[[#This Row],[Unknown]:[Heavy_SW]],0))</f>
        <v>Medium_LSB</v>
      </c>
      <c r="AH613">
        <f>INDEX([3]!crudeBD.lkup[Number],MATCH(vp.data[[#This Row],[Crude_Breakdown]],crudeBD.lkup[Crude Breakdown],0))</f>
        <v>3</v>
      </c>
      <c r="AI613">
        <f>MONTH(vp.data[[#This Row],[SDate]])</f>
        <v>1</v>
      </c>
      <c r="AJ613" s="5">
        <f>(vp.data[[#This Row],[VP]]-INDEX(crudeBD.lkup[Mean_VP],MATCH(vp.data[[#This Row],[Crude_Breakdown]],crudeBD.lkup[Crude Breakdown],0)))^2</f>
        <v>164.85729390515732</v>
      </c>
      <c r="AK613" s="5">
        <f>(vp.data[[#This Row],[Dens]]-INDEX(crudeBD.lkup[Mean_Dens],MATCH(vp.data[[#This Row],[Crude_Breakdown]],crudeBD.lkup[Crude Breakdown],0)))^2</f>
        <v>192.65440000001249</v>
      </c>
      <c r="AL613" s="5">
        <f>(vp.data[[#This Row],[Sulf]]-INDEX(crudeBD.lkup[Mean_Sulf],MATCH(vp.data[[#This Row],[Crude_Breakdown]],crudeBD.lkup[Crude Breakdown],0)))^2</f>
        <v>6.481702195822546E-2</v>
      </c>
      <c r="AM613" s="4">
        <f>IF(AND(vp.data[[#This Row],[SDate]]&gt;=DATE(YEAR(vp.data[[#This Row],[SDate]]),5,1),vp.data[[#This Row],[SDate]]&lt;=DATE(YEAR(vp.data[[#This Row],[SDate]]),9,15)),1,0)</f>
        <v>0</v>
      </c>
      <c r="AN613" s="4">
        <f>IF(vp.data[[#This Row],[SDate]]&lt;DATE(2016,12,1),0,1)</f>
        <v>1</v>
      </c>
      <c r="AO613" s="4">
        <f>IFERROR(vp.data[[#This Row],[Sulf]]*vp.data[[#This Row],[Net Dens]],"")</f>
        <v>7058235.6027520001</v>
      </c>
      <c r="AP613">
        <f>IFERROR(vp.data[[#This Row],[Dens]]*vp.data[[#This Row],[VolumeM3]],"")</f>
        <v>4303802.1968</v>
      </c>
      <c r="AQ613" s="15">
        <f>IFERROR(vp.data[[#This Row],[VP]]*vp.data[[#This Row],[VolumeM3]],"")</f>
        <v>340169.95679999999</v>
      </c>
    </row>
    <row r="614" spans="1:43" x14ac:dyDescent="0.25">
      <c r="A614">
        <v>613</v>
      </c>
      <c r="B614" t="s">
        <v>111</v>
      </c>
      <c r="C614" t="s">
        <v>111</v>
      </c>
      <c r="D614" t="s">
        <v>112</v>
      </c>
      <c r="F614" s="1">
        <v>42753</v>
      </c>
      <c r="G614" s="2">
        <v>63.3</v>
      </c>
      <c r="H614" s="2"/>
      <c r="I614" s="2">
        <f t="array" ref="I614">_xlfn.IFNA(IF(vp.data[[#This Row],[Sulf Input]]="",INDEX([1]DATA!$Q$3:$Q$9826,MATCH(1,(vp.data[[#This Row],[Battery]]=[1]DATA!$L$3:$L$9826)*(EOMONTH(vp.data[[#This Row],[SDate]],-1)+1=[1]DATA!$G$3:$G$9826),0)),vp.data[[#This Row],[Sulf Input]]),"")</f>
        <v>1.88</v>
      </c>
      <c r="J614" s="2">
        <v>34</v>
      </c>
      <c r="K614" s="2">
        <v>2</v>
      </c>
      <c r="L614" s="2">
        <v>858.3</v>
      </c>
      <c r="M614" s="2">
        <f t="array" ref="M614">_xlfn.IFNA(IF(vp.data[[#This Row],[Dens Input]]="",INDEX([1]DATA!$O$3:$O$9826,MATCH(1,(vp.data[[#This Row],[Battery]]=[1]DATA!$L$3:$L$9826)*(EOMONTH(vp.data[[#This Row],[SDate]],-1)+1=[1]DATA!$G$3:$G$9826),0)),vp.data[[#This Row],[Dens Input]]),"")</f>
        <v>858.3</v>
      </c>
      <c r="N614" s="2">
        <f ca="1">INDEX(INDIRECT(_xlfn.CONCAT("weather.tbl[",N$1,"]")),MATCH(vp.data[[#This Row],[SDate]],weather.tbl[Date],0))</f>
        <v>-0.25000000000000006</v>
      </c>
      <c r="O614" s="2">
        <f ca="1">INDEX(INDIRECT(_xlfn.CONCAT("weather.tbl[",O$1,"]")),MATCH(vp.data[[#This Row],[SDate]],weather.tbl[Date],0))</f>
        <v>-13.109523809523811</v>
      </c>
      <c r="P614" s="2">
        <f ca="1">INDEX(INDIRECT(_xlfn.CONCAT("weather.tbl[",P$1,"]")),MATCH(vp.data[[#This Row],[SDate]],weather.tbl[Date],0))</f>
        <v>0.2</v>
      </c>
      <c r="Q614" s="2">
        <f ca="1">INDEX(INDIRECT(_xlfn.CONCAT("weather.tbl[",Q$1,"]")),MATCH(vp.data[[#This Row],[SDate]],weather.tbl[Date],0))</f>
        <v>-0.1</v>
      </c>
      <c r="R614" s="2">
        <f ca="1">INDEX(INDIRECT(_xlfn.CONCAT("weather.tbl[",R$1,"]")),MATCH(vp.data[[#This Row],[SDate]],weather.tbl[Date],0))</f>
        <v>0.3</v>
      </c>
      <c r="S614" s="2">
        <f ca="1">INDEX(INDIRECT(_xlfn.CONCAT("weather.tbl[",S$1,"]")),MATCH(vp.data[[#This Row],[SDate]],weather.tbl[Date],0))</f>
        <v>0.5</v>
      </c>
      <c r="T614" s="2">
        <f ca="1">INDEX(INDIRECT(_xlfn.CONCAT("weather.tbl[",T$1,"]")),MATCH(vp.data[[#This Row],[SDate]],weather.tbl[Date],0))</f>
        <v>-3.2</v>
      </c>
      <c r="U614" s="2">
        <f ca="1">INDEX(INDIRECT(_xlfn.CONCAT("weather.tbl[",U$1,"]")),MATCH(vp.data[[#This Row],[SDate]],weather.tbl[Date],0))</f>
        <v>0.8</v>
      </c>
      <c r="V614" s="2">
        <f t="array" ref="V6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8057.5129999999999</v>
      </c>
      <c r="W614" t="s">
        <v>48</v>
      </c>
      <c r="X614">
        <f>IF(OR(vp.data[[#This Row],[Sulf]]="",vp.data[[#This Row],[Dens]]=""),1,0)</f>
        <v>0</v>
      </c>
      <c r="Y614">
        <f>IF(vp.data[[#This Row],[CrudeType]]="C5+",1,0)</f>
        <v>0</v>
      </c>
      <c r="Z614">
        <f>IF(AND(vp.data[[#This Row],[CrudeType]]="Crude",vp.data[[#This Row],[Dens]]&lt;=825,vp.data[[#This Row],[Sulf]]&gt;0.5,vp.data[[#This Row],[Unknown]]=0),1,0)</f>
        <v>0</v>
      </c>
      <c r="AA614">
        <f>IF(AND(vp.data[[#This Row],[CrudeType]]="Crude",vp.data[[#This Row],[Dens]]&lt;=825,vp.data[[#This Row],[Sulf]]&lt;=0.5,vp.data[[#This Row],[Unknown]]=0),1,0)</f>
        <v>0</v>
      </c>
      <c r="AB6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4">
        <f>IF(AND(vp.data[[#This Row],[CrudeType]]="Crude",vp.data[[#This Row],[Dens]]&gt;825,vp.data[[#This Row],[Dens]]&lt;=900,vp.data[[#This Row],[Sulf]]&lt;=0.5,vp.data[[#This Row],[Unknown]]=0),1,0)</f>
        <v>0</v>
      </c>
      <c r="AD614">
        <f>IF(AND(vp.data[[#This Row],[CrudeType]]="Crude",vp.data[[#This Row],[Dens]]&gt;865,vp.data[[#This Row],[Dens]]&lt;=900,vp.data[[#This Row],[Sulf]]&gt;2,vp.data[[#This Row],[Unknown]]=0),1,0)</f>
        <v>0</v>
      </c>
      <c r="AE614">
        <f>IF(AND(vp.data[[#This Row],[CrudeType]]="Crude",vp.data[[#This Row],[Dens]]&gt;900,vp.data[[#This Row],[Sulf]]&lt;=0.5,vp.data[[#This Row],[Unknown]]=0),1,0)</f>
        <v>0</v>
      </c>
      <c r="AF614">
        <f>IF(AND(vp.data[[#This Row],[CrudeType]]="Crude",vp.data[[#This Row],[Dens]]&gt;900,vp.data[[#This Row],[Sulf]]&lt;=0.5,vp.data[[#This Row],[Unknown]]=0),1,0)</f>
        <v>0</v>
      </c>
      <c r="AG614" t="str">
        <f>INDEX(vp.data[[#Headers],[Unknown]:[Heavy_SW]],MATCH(1,vp.data[[#This Row],[Unknown]:[Heavy_SW]],0))</f>
        <v>Medium_LSB</v>
      </c>
      <c r="AH614">
        <f>INDEX([3]!crudeBD.lkup[Number],MATCH(vp.data[[#This Row],[Crude_Breakdown]],crudeBD.lkup[Crude Breakdown],0))</f>
        <v>3</v>
      </c>
      <c r="AI614">
        <f>MONTH(vp.data[[#This Row],[SDate]])</f>
        <v>1</v>
      </c>
      <c r="AJ614" s="5">
        <f>(vp.data[[#This Row],[VP]]-INDEX(crudeBD.lkup[Mean_VP],MATCH(vp.data[[#This Row],[Crude_Breakdown]],crudeBD.lkup[Crude Breakdown],0)))^2</f>
        <v>300.66438285394378</v>
      </c>
      <c r="AK614" s="5">
        <f>(vp.data[[#This Row],[Dens]]-INDEX(crudeBD.lkup[Mean_Dens],MATCH(vp.data[[#This Row],[Crude_Breakdown]],crudeBD.lkup[Crude Breakdown],0)))^2</f>
        <v>206.78440000001294</v>
      </c>
      <c r="AL614" s="5">
        <f>(vp.data[[#This Row],[Sulf]]-INDEX(crudeBD.lkup[Mean_Sulf],MATCH(vp.data[[#This Row],[Crude_Breakdown]],crudeBD.lkup[Crude Breakdown],0)))^2</f>
        <v>0.24462112114959933</v>
      </c>
      <c r="AM614" s="4">
        <f>IF(AND(vp.data[[#This Row],[SDate]]&gt;=DATE(YEAR(vp.data[[#This Row],[SDate]]),5,1),vp.data[[#This Row],[SDate]]&lt;=DATE(YEAR(vp.data[[#This Row],[SDate]]),9,15)),1,0)</f>
        <v>0</v>
      </c>
      <c r="AN614" s="4">
        <f>IF(vp.data[[#This Row],[SDate]]&lt;DATE(2016,12,1),0,1)</f>
        <v>1</v>
      </c>
      <c r="AO614" s="4">
        <f>IFERROR(vp.data[[#This Row],[Sulf]]*vp.data[[#This Row],[Net Dens]],"")</f>
        <v>13001635.206851998</v>
      </c>
      <c r="AP614">
        <f>IFERROR(vp.data[[#This Row],[Dens]]*vp.data[[#This Row],[VolumeM3]],"")</f>
        <v>6915763.4079</v>
      </c>
      <c r="AQ614" s="15">
        <f>IFERROR(vp.data[[#This Row],[VP]]*vp.data[[#This Row],[VolumeM3]],"")</f>
        <v>510040.57289999997</v>
      </c>
    </row>
    <row r="615" spans="1:43" x14ac:dyDescent="0.25">
      <c r="A615">
        <v>614</v>
      </c>
      <c r="B615" t="s">
        <v>51</v>
      </c>
      <c r="C615" t="s">
        <v>51</v>
      </c>
      <c r="D615" t="s">
        <v>137</v>
      </c>
      <c r="F615" s="1">
        <v>42753</v>
      </c>
      <c r="G615" s="2">
        <v>70.400000000000006</v>
      </c>
      <c r="H615" s="2"/>
      <c r="I615" s="2">
        <f t="array" ref="I615">_xlfn.IFNA(IF(vp.data[[#This Row],[Sulf Input]]="",INDEX([1]DATA!$Q$3:$Q$9826,MATCH(1,(vp.data[[#This Row],[Battery]]=[1]DATA!$L$3:$L$9826)*(EOMONTH(vp.data[[#This Row],[SDate]],-1)+1=[1]DATA!$G$3:$G$9826),0)),vp.data[[#This Row],[Sulf Input]]),"")</f>
        <v>2.1800000000000002</v>
      </c>
      <c r="J615" s="2">
        <v>29</v>
      </c>
      <c r="K615" s="2">
        <v>2</v>
      </c>
      <c r="L615" s="2">
        <v>863.7</v>
      </c>
      <c r="M615" s="2">
        <f t="array" ref="M615">_xlfn.IFNA(IF(vp.data[[#This Row],[Dens Input]]="",INDEX([1]DATA!$O$3:$O$9826,MATCH(1,(vp.data[[#This Row],[Battery]]=[1]DATA!$L$3:$L$9826)*(EOMONTH(vp.data[[#This Row],[SDate]],-1)+1=[1]DATA!$G$3:$G$9826),0)),vp.data[[#This Row],[Dens Input]]),"")</f>
        <v>863.7</v>
      </c>
      <c r="N615" s="2">
        <f ca="1">INDEX(INDIRECT(_xlfn.CONCAT("weather.tbl[",N$1,"]")),MATCH(vp.data[[#This Row],[SDate]],weather.tbl[Date],0))</f>
        <v>-0.25000000000000006</v>
      </c>
      <c r="O615" s="2">
        <f ca="1">INDEX(INDIRECT(_xlfn.CONCAT("weather.tbl[",O$1,"]")),MATCH(vp.data[[#This Row],[SDate]],weather.tbl[Date],0))</f>
        <v>-13.109523809523811</v>
      </c>
      <c r="P615" s="2">
        <f ca="1">INDEX(INDIRECT(_xlfn.CONCAT("weather.tbl[",P$1,"]")),MATCH(vp.data[[#This Row],[SDate]],weather.tbl[Date],0))</f>
        <v>0.2</v>
      </c>
      <c r="Q615" s="2">
        <f ca="1">INDEX(INDIRECT(_xlfn.CONCAT("weather.tbl[",Q$1,"]")),MATCH(vp.data[[#This Row],[SDate]],weather.tbl[Date],0))</f>
        <v>-0.1</v>
      </c>
      <c r="R615" s="2">
        <f ca="1">INDEX(INDIRECT(_xlfn.CONCAT("weather.tbl[",R$1,"]")),MATCH(vp.data[[#This Row],[SDate]],weather.tbl[Date],0))</f>
        <v>0.3</v>
      </c>
      <c r="S615" s="2">
        <f ca="1">INDEX(INDIRECT(_xlfn.CONCAT("weather.tbl[",S$1,"]")),MATCH(vp.data[[#This Row],[SDate]],weather.tbl[Date],0))</f>
        <v>0.5</v>
      </c>
      <c r="T615" s="2">
        <f ca="1">INDEX(INDIRECT(_xlfn.CONCAT("weather.tbl[",T$1,"]")),MATCH(vp.data[[#This Row],[SDate]],weather.tbl[Date],0))</f>
        <v>-3.2</v>
      </c>
      <c r="U615" s="2">
        <f ca="1">INDEX(INDIRECT(_xlfn.CONCAT("weather.tbl[",U$1,"]")),MATCH(vp.data[[#This Row],[SDate]],weather.tbl[Date],0))</f>
        <v>0.8</v>
      </c>
      <c r="V615" s="2">
        <f t="array" ref="V6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2081.7559999999999</v>
      </c>
      <c r="W615" t="s">
        <v>48</v>
      </c>
      <c r="X615">
        <f>IF(OR(vp.data[[#This Row],[Sulf]]="",vp.data[[#This Row],[Dens]]=""),1,0)</f>
        <v>0</v>
      </c>
      <c r="Y615">
        <f>IF(vp.data[[#This Row],[CrudeType]]="C5+",1,0)</f>
        <v>0</v>
      </c>
      <c r="Z615">
        <f>IF(AND(vp.data[[#This Row],[CrudeType]]="Crude",vp.data[[#This Row],[Dens]]&lt;=825,vp.data[[#This Row],[Sulf]]&gt;0.5,vp.data[[#This Row],[Unknown]]=0),1,0)</f>
        <v>0</v>
      </c>
      <c r="AA615">
        <f>IF(AND(vp.data[[#This Row],[CrudeType]]="Crude",vp.data[[#This Row],[Dens]]&lt;=825,vp.data[[#This Row],[Sulf]]&lt;=0.5,vp.data[[#This Row],[Unknown]]=0),1,0)</f>
        <v>0</v>
      </c>
      <c r="AB6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5">
        <f>IF(AND(vp.data[[#This Row],[CrudeType]]="Crude",vp.data[[#This Row],[Dens]]&gt;825,vp.data[[#This Row],[Dens]]&lt;=900,vp.data[[#This Row],[Sulf]]&lt;=0.5,vp.data[[#This Row],[Unknown]]=0),1,0)</f>
        <v>0</v>
      </c>
      <c r="AD615">
        <f>IF(AND(vp.data[[#This Row],[CrudeType]]="Crude",vp.data[[#This Row],[Dens]]&gt;865,vp.data[[#This Row],[Dens]]&lt;=900,vp.data[[#This Row],[Sulf]]&gt;2,vp.data[[#This Row],[Unknown]]=0),1,0)</f>
        <v>0</v>
      </c>
      <c r="AE615">
        <f>IF(AND(vp.data[[#This Row],[CrudeType]]="Crude",vp.data[[#This Row],[Dens]]&gt;900,vp.data[[#This Row],[Sulf]]&lt;=0.5,vp.data[[#This Row],[Unknown]]=0),1,0)</f>
        <v>0</v>
      </c>
      <c r="AF615">
        <f>IF(AND(vp.data[[#This Row],[CrudeType]]="Crude",vp.data[[#This Row],[Dens]]&gt;900,vp.data[[#This Row],[Sulf]]&lt;=0.5,vp.data[[#This Row],[Unknown]]=0),1,0)</f>
        <v>0</v>
      </c>
      <c r="AG615" t="str">
        <f>INDEX(vp.data[[#Headers],[Unknown]:[Heavy_SW]],MATCH(1,vp.data[[#This Row],[Unknown]:[Heavy_SW]],0))</f>
        <v>Medium_LSB</v>
      </c>
      <c r="AH615">
        <f>INDEX([3]!crudeBD.lkup[Number],MATCH(vp.data[[#This Row],[Crude_Breakdown]],crudeBD.lkup[Crude Breakdown],0))</f>
        <v>3</v>
      </c>
      <c r="AI615">
        <f>MONTH(vp.data[[#This Row],[SDate]])</f>
        <v>1</v>
      </c>
      <c r="AJ615" s="5">
        <f>(vp.data[[#This Row],[VP]]-INDEX(crudeBD.lkup[Mean_VP],MATCH(vp.data[[#This Row],[Crude_Breakdown]],crudeBD.lkup[Crude Breakdown],0)))^2</f>
        <v>104.8509758458583</v>
      </c>
      <c r="AK615" s="5">
        <f>(vp.data[[#This Row],[Dens]]-INDEX(crudeBD.lkup[Mean_Dens],MATCH(vp.data[[#This Row],[Crude_Breakdown]],crudeBD.lkup[Crude Breakdown],0)))^2</f>
        <v>391.24840000002143</v>
      </c>
      <c r="AL615" s="5">
        <f>(vp.data[[#This Row],[Sulf]]-INDEX(crudeBD.lkup[Mean_Sulf],MATCH(vp.data[[#This Row],[Crude_Breakdown]],crudeBD.lkup[Crude Breakdown],0)))^2</f>
        <v>0.63137624513881707</v>
      </c>
      <c r="AM615" s="4">
        <f>IF(AND(vp.data[[#This Row],[SDate]]&gt;=DATE(YEAR(vp.data[[#This Row],[SDate]]),5,1),vp.data[[#This Row],[SDate]]&lt;=DATE(YEAR(vp.data[[#This Row],[SDate]]),9,15)),1,0)</f>
        <v>0</v>
      </c>
      <c r="AN615" s="4">
        <f>IF(vp.data[[#This Row],[SDate]]&lt;DATE(2016,12,1),0,1)</f>
        <v>1</v>
      </c>
      <c r="AO615" s="4">
        <f>IFERROR(vp.data[[#This Row],[Sulf]]*vp.data[[#This Row],[Net Dens]],"")</f>
        <v>3919667.5926960004</v>
      </c>
      <c r="AP615">
        <f>IFERROR(vp.data[[#This Row],[Dens]]*vp.data[[#This Row],[VolumeM3]],"")</f>
        <v>1798012.6572</v>
      </c>
      <c r="AQ615" s="15">
        <f>IFERROR(vp.data[[#This Row],[VP]]*vp.data[[#This Row],[VolumeM3]],"")</f>
        <v>146555.62239999999</v>
      </c>
    </row>
    <row r="616" spans="1:43" x14ac:dyDescent="0.25">
      <c r="A616">
        <v>615</v>
      </c>
      <c r="B616" t="s">
        <v>46</v>
      </c>
      <c r="C616" t="s">
        <v>46</v>
      </c>
      <c r="D616" t="s">
        <v>47</v>
      </c>
      <c r="F616" s="1">
        <v>42753</v>
      </c>
      <c r="G616" s="2">
        <v>56.4</v>
      </c>
      <c r="H616" s="2"/>
      <c r="I616" s="2">
        <f t="array" ref="I616">_xlfn.IFNA(IF(vp.data[[#This Row],[Sulf Input]]="",INDEX([1]DATA!$Q$3:$Q$9826,MATCH(1,(vp.data[[#This Row],[Battery]]=[1]DATA!$L$3:$L$9826)*(EOMONTH(vp.data[[#This Row],[SDate]],-1)+1=[1]DATA!$G$3:$G$9826),0)),vp.data[[#This Row],[Sulf Input]]),"")</f>
        <v>2.34</v>
      </c>
      <c r="J616" s="2">
        <v>30</v>
      </c>
      <c r="K616" s="2">
        <v>1</v>
      </c>
      <c r="L616" s="2">
        <v>868.5</v>
      </c>
      <c r="M616" s="2">
        <f t="array" ref="M616">_xlfn.IFNA(IF(vp.data[[#This Row],[Dens Input]]="",INDEX([1]DATA!$O$3:$O$9826,MATCH(1,(vp.data[[#This Row],[Battery]]=[1]DATA!$L$3:$L$9826)*(EOMONTH(vp.data[[#This Row],[SDate]],-1)+1=[1]DATA!$G$3:$G$9826),0)),vp.data[[#This Row],[Dens Input]]),"")</f>
        <v>868.5</v>
      </c>
      <c r="N616" s="2">
        <f ca="1">INDEX(INDIRECT(_xlfn.CONCAT("weather.tbl[",N$1,"]")),MATCH(vp.data[[#This Row],[SDate]],weather.tbl[Date],0))</f>
        <v>-0.25000000000000006</v>
      </c>
      <c r="O616" s="2">
        <f ca="1">INDEX(INDIRECT(_xlfn.CONCAT("weather.tbl[",O$1,"]")),MATCH(vp.data[[#This Row],[SDate]],weather.tbl[Date],0))</f>
        <v>-13.109523809523811</v>
      </c>
      <c r="P616" s="2">
        <f ca="1">INDEX(INDIRECT(_xlfn.CONCAT("weather.tbl[",P$1,"]")),MATCH(vp.data[[#This Row],[SDate]],weather.tbl[Date],0))</f>
        <v>0.2</v>
      </c>
      <c r="Q616" s="2">
        <f ca="1">INDEX(INDIRECT(_xlfn.CONCAT("weather.tbl[",Q$1,"]")),MATCH(vp.data[[#This Row],[SDate]],weather.tbl[Date],0))</f>
        <v>-0.1</v>
      </c>
      <c r="R616" s="2">
        <f ca="1">INDEX(INDIRECT(_xlfn.CONCAT("weather.tbl[",R$1,"]")),MATCH(vp.data[[#This Row],[SDate]],weather.tbl[Date],0))</f>
        <v>0.3</v>
      </c>
      <c r="S616" s="2">
        <f ca="1">INDEX(INDIRECT(_xlfn.CONCAT("weather.tbl[",S$1,"]")),MATCH(vp.data[[#This Row],[SDate]],weather.tbl[Date],0))</f>
        <v>0.5</v>
      </c>
      <c r="T616" s="2">
        <f ca="1">INDEX(INDIRECT(_xlfn.CONCAT("weather.tbl[",T$1,"]")),MATCH(vp.data[[#This Row],[SDate]],weather.tbl[Date],0))</f>
        <v>-3.2</v>
      </c>
      <c r="U616" s="2">
        <f ca="1">INDEX(INDIRECT(_xlfn.CONCAT("weather.tbl[",U$1,"]")),MATCH(vp.data[[#This Row],[SDate]],weather.tbl[Date],0))</f>
        <v>0.8</v>
      </c>
      <c r="V616" s="2">
        <f t="array" ref="V6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115522.52099999999</v>
      </c>
      <c r="W616" t="s">
        <v>48</v>
      </c>
      <c r="X616">
        <f>IF(OR(vp.data[[#This Row],[Sulf]]="",vp.data[[#This Row],[Dens]]=""),1,0)</f>
        <v>0</v>
      </c>
      <c r="Y616">
        <f>IF(vp.data[[#This Row],[CrudeType]]="C5+",1,0)</f>
        <v>0</v>
      </c>
      <c r="Z616">
        <f>IF(AND(vp.data[[#This Row],[CrudeType]]="Crude",vp.data[[#This Row],[Dens]]&lt;=825,vp.data[[#This Row],[Sulf]]&gt;0.5,vp.data[[#This Row],[Unknown]]=0),1,0)</f>
        <v>0</v>
      </c>
      <c r="AA616">
        <f>IF(AND(vp.data[[#This Row],[CrudeType]]="Crude",vp.data[[#This Row],[Dens]]&lt;=825,vp.data[[#This Row],[Sulf]]&lt;=0.5,vp.data[[#This Row],[Unknown]]=0),1,0)</f>
        <v>0</v>
      </c>
      <c r="AB6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16">
        <f>IF(AND(vp.data[[#This Row],[CrudeType]]="Crude",vp.data[[#This Row],[Dens]]&gt;825,vp.data[[#This Row],[Dens]]&lt;=900,vp.data[[#This Row],[Sulf]]&lt;=0.5,vp.data[[#This Row],[Unknown]]=0),1,0)</f>
        <v>0</v>
      </c>
      <c r="AD616">
        <f>IF(AND(vp.data[[#This Row],[CrudeType]]="Crude",vp.data[[#This Row],[Dens]]&gt;865,vp.data[[#This Row],[Dens]]&lt;=900,vp.data[[#This Row],[Sulf]]&gt;2,vp.data[[#This Row],[Unknown]]=0),1,0)</f>
        <v>1</v>
      </c>
      <c r="AE616">
        <f>IF(AND(vp.data[[#This Row],[CrudeType]]="Crude",vp.data[[#This Row],[Dens]]&gt;900,vp.data[[#This Row],[Sulf]]&lt;=0.5,vp.data[[#This Row],[Unknown]]=0),1,0)</f>
        <v>0</v>
      </c>
      <c r="AF616">
        <f>IF(AND(vp.data[[#This Row],[CrudeType]]="Crude",vp.data[[#This Row],[Dens]]&gt;900,vp.data[[#This Row],[Sulf]]&lt;=0.5,vp.data[[#This Row],[Unknown]]=0),1,0)</f>
        <v>0</v>
      </c>
      <c r="AG616" t="str">
        <f>INDEX(vp.data[[#Headers],[Unknown]:[Heavy_SW]],MATCH(1,vp.data[[#This Row],[Unknown]:[Heavy_SW]],0))</f>
        <v>Midale</v>
      </c>
      <c r="AH616">
        <f>INDEX([3]!crudeBD.lkup[Number],MATCH(vp.data[[#This Row],[Crude_Breakdown]],crudeBD.lkup[Crude Breakdown],0))</f>
        <v>5</v>
      </c>
      <c r="AI616">
        <f>MONTH(vp.data[[#This Row],[SDate]])</f>
        <v>1</v>
      </c>
      <c r="AJ616" s="5">
        <f>(vp.data[[#This Row],[VP]]-INDEX(crudeBD.lkup[Mean_VP],MATCH(vp.data[[#This Row],[Crude_Breakdown]],crudeBD.lkup[Crude Breakdown],0)))^2</f>
        <v>169.22791183972876</v>
      </c>
      <c r="AK616" s="5">
        <f>(vp.data[[#This Row],[Dens]]-INDEX(crudeBD.lkup[Mean_Dens],MATCH(vp.data[[#This Row],[Crude_Breakdown]],crudeBD.lkup[Crude Breakdown],0)))^2</f>
        <v>39.904619247532843</v>
      </c>
      <c r="AL616" s="5">
        <f>(vp.data[[#This Row],[Sulf]]-INDEX(crudeBD.lkup[Mean_Sulf],MATCH(vp.data[[#This Row],[Crude_Breakdown]],crudeBD.lkup[Crude Breakdown],0)))^2</f>
        <v>1.0736185726867638E-2</v>
      </c>
      <c r="AM616" s="4">
        <f>IF(AND(vp.data[[#This Row],[SDate]]&gt;=DATE(YEAR(vp.data[[#This Row],[SDate]]),5,1),vp.data[[#This Row],[SDate]]&lt;=DATE(YEAR(vp.data[[#This Row],[SDate]]),9,15)),1,0)</f>
        <v>0</v>
      </c>
      <c r="AN616" s="4">
        <f>IF(vp.data[[#This Row],[SDate]]&lt;DATE(2016,12,1),0,1)</f>
        <v>1</v>
      </c>
      <c r="AO616" s="4">
        <f>IFERROR(vp.data[[#This Row],[Sulf]]*vp.data[[#This Row],[Net Dens]],"")</f>
        <v>234775264.20308998</v>
      </c>
      <c r="AP616">
        <f>IFERROR(vp.data[[#This Row],[Dens]]*vp.data[[#This Row],[VolumeM3]],"")</f>
        <v>100331309.4885</v>
      </c>
      <c r="AQ616" s="15">
        <f>IFERROR(vp.data[[#This Row],[VP]]*vp.data[[#This Row],[VolumeM3]],"")</f>
        <v>6515470.1843999997</v>
      </c>
    </row>
    <row r="617" spans="1:43" x14ac:dyDescent="0.25">
      <c r="A617">
        <v>616</v>
      </c>
      <c r="B617" t="s">
        <v>108</v>
      </c>
      <c r="C617" t="s">
        <v>108</v>
      </c>
      <c r="D617" t="s">
        <v>138</v>
      </c>
      <c r="F617" s="1">
        <v>42753</v>
      </c>
      <c r="G617" s="2">
        <v>73.7</v>
      </c>
      <c r="H617" s="2"/>
      <c r="I617" s="2">
        <f t="array" ref="I617">_xlfn.IFNA(IF(vp.data[[#This Row],[Sulf Input]]="",INDEX([1]DATA!$Q$3:$Q$9826,MATCH(1,(vp.data[[#This Row],[Battery]]=[1]DATA!$L$3:$L$9826)*(EOMONTH(vp.data[[#This Row],[SDate]],-1)+1=[1]DATA!$G$3:$G$9826),0)),vp.data[[#This Row],[Sulf Input]]),"")</f>
        <v>2.41</v>
      </c>
      <c r="J617" s="2">
        <v>17</v>
      </c>
      <c r="K617" s="2">
        <v>2</v>
      </c>
      <c r="L617" s="2">
        <v>869.7</v>
      </c>
      <c r="M617" s="2">
        <f t="array" ref="M617">_xlfn.IFNA(IF(vp.data[[#This Row],[Dens Input]]="",INDEX([1]DATA!$O$3:$O$9826,MATCH(1,(vp.data[[#This Row],[Battery]]=[1]DATA!$L$3:$L$9826)*(EOMONTH(vp.data[[#This Row],[SDate]],-1)+1=[1]DATA!$G$3:$G$9826),0)),vp.data[[#This Row],[Dens Input]]),"")</f>
        <v>869.7</v>
      </c>
      <c r="N617" s="2">
        <f ca="1">INDEX(INDIRECT(_xlfn.CONCAT("weather.tbl[",N$1,"]")),MATCH(vp.data[[#This Row],[SDate]],weather.tbl[Date],0))</f>
        <v>-0.25000000000000006</v>
      </c>
      <c r="O617" s="2">
        <f ca="1">INDEX(INDIRECT(_xlfn.CONCAT("weather.tbl[",O$1,"]")),MATCH(vp.data[[#This Row],[SDate]],weather.tbl[Date],0))</f>
        <v>-13.109523809523811</v>
      </c>
      <c r="P617" s="2">
        <f ca="1">INDEX(INDIRECT(_xlfn.CONCAT("weather.tbl[",P$1,"]")),MATCH(vp.data[[#This Row],[SDate]],weather.tbl[Date],0))</f>
        <v>0.2</v>
      </c>
      <c r="Q617" s="2">
        <f ca="1">INDEX(INDIRECT(_xlfn.CONCAT("weather.tbl[",Q$1,"]")),MATCH(vp.data[[#This Row],[SDate]],weather.tbl[Date],0))</f>
        <v>-0.1</v>
      </c>
      <c r="R617" s="2">
        <f ca="1">INDEX(INDIRECT(_xlfn.CONCAT("weather.tbl[",R$1,"]")),MATCH(vp.data[[#This Row],[SDate]],weather.tbl[Date],0))</f>
        <v>0.3</v>
      </c>
      <c r="S617" s="2">
        <f ca="1">INDEX(INDIRECT(_xlfn.CONCAT("weather.tbl[",S$1,"]")),MATCH(vp.data[[#This Row],[SDate]],weather.tbl[Date],0))</f>
        <v>0.5</v>
      </c>
      <c r="T617" s="2">
        <f ca="1">INDEX(INDIRECT(_xlfn.CONCAT("weather.tbl[",T$1,"]")),MATCH(vp.data[[#This Row],[SDate]],weather.tbl[Date],0))</f>
        <v>-3.2</v>
      </c>
      <c r="U617" s="2">
        <f ca="1">INDEX(INDIRECT(_xlfn.CONCAT("weather.tbl[",U$1,"]")),MATCH(vp.data[[#This Row],[SDate]],weather.tbl[Date],0))</f>
        <v>0.8</v>
      </c>
      <c r="V617" s="2">
        <f t="array" ref="V6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762.928</v>
      </c>
      <c r="W617" t="s">
        <v>48</v>
      </c>
      <c r="X617">
        <f>IF(OR(vp.data[[#This Row],[Sulf]]="",vp.data[[#This Row],[Dens]]=""),1,0)</f>
        <v>0</v>
      </c>
      <c r="Y617">
        <f>IF(vp.data[[#This Row],[CrudeType]]="C5+",1,0)</f>
        <v>0</v>
      </c>
      <c r="Z617">
        <f>IF(AND(vp.data[[#This Row],[CrudeType]]="Crude",vp.data[[#This Row],[Dens]]&lt;=825,vp.data[[#This Row],[Sulf]]&gt;0.5,vp.data[[#This Row],[Unknown]]=0),1,0)</f>
        <v>0</v>
      </c>
      <c r="AA617">
        <f>IF(AND(vp.data[[#This Row],[CrudeType]]="Crude",vp.data[[#This Row],[Dens]]&lt;=825,vp.data[[#This Row],[Sulf]]&lt;=0.5,vp.data[[#This Row],[Unknown]]=0),1,0)</f>
        <v>0</v>
      </c>
      <c r="AB6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17">
        <f>IF(AND(vp.data[[#This Row],[CrudeType]]="Crude",vp.data[[#This Row],[Dens]]&gt;825,vp.data[[#This Row],[Dens]]&lt;=900,vp.data[[#This Row],[Sulf]]&lt;=0.5,vp.data[[#This Row],[Unknown]]=0),1,0)</f>
        <v>0</v>
      </c>
      <c r="AD617">
        <f>IF(AND(vp.data[[#This Row],[CrudeType]]="Crude",vp.data[[#This Row],[Dens]]&gt;865,vp.data[[#This Row],[Dens]]&lt;=900,vp.data[[#This Row],[Sulf]]&gt;2,vp.data[[#This Row],[Unknown]]=0),1,0)</f>
        <v>1</v>
      </c>
      <c r="AE617">
        <f>IF(AND(vp.data[[#This Row],[CrudeType]]="Crude",vp.data[[#This Row],[Dens]]&gt;900,vp.data[[#This Row],[Sulf]]&lt;=0.5,vp.data[[#This Row],[Unknown]]=0),1,0)</f>
        <v>0</v>
      </c>
      <c r="AF617">
        <f>IF(AND(vp.data[[#This Row],[CrudeType]]="Crude",vp.data[[#This Row],[Dens]]&gt;900,vp.data[[#This Row],[Sulf]]&lt;=0.5,vp.data[[#This Row],[Unknown]]=0),1,0)</f>
        <v>0</v>
      </c>
      <c r="AG617" t="str">
        <f>INDEX(vp.data[[#Headers],[Unknown]:[Heavy_SW]],MATCH(1,vp.data[[#This Row],[Unknown]:[Heavy_SW]],0))</f>
        <v>Midale</v>
      </c>
      <c r="AH617">
        <f>INDEX([3]!crudeBD.lkup[Number],MATCH(vp.data[[#This Row],[Crude_Breakdown]],crudeBD.lkup[Crude Breakdown],0))</f>
        <v>5</v>
      </c>
      <c r="AI617">
        <f>MONTH(vp.data[[#This Row],[SDate]])</f>
        <v>1</v>
      </c>
      <c r="AJ617" s="5">
        <f>(vp.data[[#This Row],[VP]]-INDEX(crudeBD.lkup[Mean_VP],MATCH(vp.data[[#This Row],[Crude_Breakdown]],crudeBD.lkup[Crude Breakdown],0)))^2</f>
        <v>18.414715963439015</v>
      </c>
      <c r="AK617" s="5">
        <f>(vp.data[[#This Row],[Dens]]-INDEX(crudeBD.lkup[Mean_Dens],MATCH(vp.data[[#This Row],[Crude_Breakdown]],crudeBD.lkup[Crude Breakdown],0)))^2</f>
        <v>26.183794505263599</v>
      </c>
      <c r="AL617" s="5">
        <f>(vp.data[[#This Row],[Sulf]]-INDEX(crudeBD.lkup[Mean_Sulf],MATCH(vp.data[[#This Row],[Crude_Breakdown]],crudeBD.lkup[Crude Breakdown],0)))^2</f>
        <v>1.130006345424492E-3</v>
      </c>
      <c r="AM617" s="4">
        <f>IF(AND(vp.data[[#This Row],[SDate]]&gt;=DATE(YEAR(vp.data[[#This Row],[SDate]]),5,1),vp.data[[#This Row],[SDate]]&lt;=DATE(YEAR(vp.data[[#This Row],[SDate]]),9,15)),1,0)</f>
        <v>0</v>
      </c>
      <c r="AN617" s="4">
        <f>IF(vp.data[[#This Row],[SDate]]&lt;DATE(2016,12,1),0,1)</f>
        <v>1</v>
      </c>
      <c r="AO617" s="4">
        <f>IFERROR(vp.data[[#This Row],[Sulf]]*vp.data[[#This Row],[Net Dens]],"")</f>
        <v>1599079.5406560001</v>
      </c>
      <c r="AP617">
        <f>IFERROR(vp.data[[#This Row],[Dens]]*vp.data[[#This Row],[VolumeM3]],"")</f>
        <v>663518.48160000006</v>
      </c>
      <c r="AQ617" s="15">
        <f>IFERROR(vp.data[[#This Row],[VP]]*vp.data[[#This Row],[VolumeM3]],"")</f>
        <v>56227.793600000005</v>
      </c>
    </row>
    <row r="618" spans="1:43" x14ac:dyDescent="0.25">
      <c r="A618">
        <v>617</v>
      </c>
      <c r="B618" t="s">
        <v>49</v>
      </c>
      <c r="C618" t="s">
        <v>49</v>
      </c>
      <c r="D618" t="s">
        <v>50</v>
      </c>
      <c r="F618" s="1">
        <v>42753</v>
      </c>
      <c r="G618" s="2">
        <v>72.900000000000006</v>
      </c>
      <c r="H618" s="2"/>
      <c r="I618" s="2">
        <f t="array" ref="I618">_xlfn.IFNA(IF(vp.data[[#This Row],[Sulf Input]]="",INDEX([1]DATA!$Q$3:$Q$9826,MATCH(1,(vp.data[[#This Row],[Battery]]=[1]DATA!$L$3:$L$9826)*(EOMONTH(vp.data[[#This Row],[SDate]],-1)+1=[1]DATA!$G$3:$G$9826),0)),vp.data[[#This Row],[Sulf Input]]),"")</f>
        <v>2.68</v>
      </c>
      <c r="J618" s="2">
        <v>15</v>
      </c>
      <c r="K618" s="2">
        <v>1</v>
      </c>
      <c r="L618" s="2">
        <v>877.8</v>
      </c>
      <c r="M618" s="2">
        <f t="array" ref="M618">_xlfn.IFNA(IF(vp.data[[#This Row],[Dens Input]]="",INDEX([1]DATA!$O$3:$O$9826,MATCH(1,(vp.data[[#This Row],[Battery]]=[1]DATA!$L$3:$L$9826)*(EOMONTH(vp.data[[#This Row],[SDate]],-1)+1=[1]DATA!$G$3:$G$9826),0)),vp.data[[#This Row],[Dens Input]]),"")</f>
        <v>877.8</v>
      </c>
      <c r="N618" s="2">
        <f ca="1">INDEX(INDIRECT(_xlfn.CONCAT("weather.tbl[",N$1,"]")),MATCH(vp.data[[#This Row],[SDate]],weather.tbl[Date],0))</f>
        <v>-0.25000000000000006</v>
      </c>
      <c r="O618" s="2">
        <f ca="1">INDEX(INDIRECT(_xlfn.CONCAT("weather.tbl[",O$1,"]")),MATCH(vp.data[[#This Row],[SDate]],weather.tbl[Date],0))</f>
        <v>-13.109523809523811</v>
      </c>
      <c r="P618" s="2">
        <f ca="1">INDEX(INDIRECT(_xlfn.CONCAT("weather.tbl[",P$1,"]")),MATCH(vp.data[[#This Row],[SDate]],weather.tbl[Date],0))</f>
        <v>0.2</v>
      </c>
      <c r="Q618" s="2">
        <f ca="1">INDEX(INDIRECT(_xlfn.CONCAT("weather.tbl[",Q$1,"]")),MATCH(vp.data[[#This Row],[SDate]],weather.tbl[Date],0))</f>
        <v>-0.1</v>
      </c>
      <c r="R618" s="2">
        <f ca="1">INDEX(INDIRECT(_xlfn.CONCAT("weather.tbl[",R$1,"]")),MATCH(vp.data[[#This Row],[SDate]],weather.tbl[Date],0))</f>
        <v>0.3</v>
      </c>
      <c r="S618" s="2">
        <f ca="1">INDEX(INDIRECT(_xlfn.CONCAT("weather.tbl[",S$1,"]")),MATCH(vp.data[[#This Row],[SDate]],weather.tbl[Date],0))</f>
        <v>0.5</v>
      </c>
      <c r="T618" s="2">
        <f ca="1">INDEX(INDIRECT(_xlfn.CONCAT("weather.tbl[",T$1,"]")),MATCH(vp.data[[#This Row],[SDate]],weather.tbl[Date],0))</f>
        <v>-3.2</v>
      </c>
      <c r="U618" s="2">
        <f ca="1">INDEX(INDIRECT(_xlfn.CONCAT("weather.tbl[",U$1,"]")),MATCH(vp.data[[#This Row],[SDate]],weather.tbl[Date],0))</f>
        <v>0.8</v>
      </c>
      <c r="V618" s="2">
        <f t="array" ref="V6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5598.5039999999999</v>
      </c>
      <c r="W618" t="s">
        <v>48</v>
      </c>
      <c r="X618">
        <f>IF(OR(vp.data[[#This Row],[Sulf]]="",vp.data[[#This Row],[Dens]]=""),1,0)</f>
        <v>0</v>
      </c>
      <c r="Y618">
        <f>IF(vp.data[[#This Row],[CrudeType]]="C5+",1,0)</f>
        <v>0</v>
      </c>
      <c r="Z618">
        <f>IF(AND(vp.data[[#This Row],[CrudeType]]="Crude",vp.data[[#This Row],[Dens]]&lt;=825,vp.data[[#This Row],[Sulf]]&gt;0.5,vp.data[[#This Row],[Unknown]]=0),1,0)</f>
        <v>0</v>
      </c>
      <c r="AA618">
        <f>IF(AND(vp.data[[#This Row],[CrudeType]]="Crude",vp.data[[#This Row],[Dens]]&lt;=825,vp.data[[#This Row],[Sulf]]&lt;=0.5,vp.data[[#This Row],[Unknown]]=0),1,0)</f>
        <v>0</v>
      </c>
      <c r="AB6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18">
        <f>IF(AND(vp.data[[#This Row],[CrudeType]]="Crude",vp.data[[#This Row],[Dens]]&gt;825,vp.data[[#This Row],[Dens]]&lt;=900,vp.data[[#This Row],[Sulf]]&lt;=0.5,vp.data[[#This Row],[Unknown]]=0),1,0)</f>
        <v>0</v>
      </c>
      <c r="AD618">
        <f>IF(AND(vp.data[[#This Row],[CrudeType]]="Crude",vp.data[[#This Row],[Dens]]&gt;865,vp.data[[#This Row],[Dens]]&lt;=900,vp.data[[#This Row],[Sulf]]&gt;2,vp.data[[#This Row],[Unknown]]=0),1,0)</f>
        <v>1</v>
      </c>
      <c r="AE618">
        <f>IF(AND(vp.data[[#This Row],[CrudeType]]="Crude",vp.data[[#This Row],[Dens]]&gt;900,vp.data[[#This Row],[Sulf]]&lt;=0.5,vp.data[[#This Row],[Unknown]]=0),1,0)</f>
        <v>0</v>
      </c>
      <c r="AF618">
        <f>IF(AND(vp.data[[#This Row],[CrudeType]]="Crude",vp.data[[#This Row],[Dens]]&gt;900,vp.data[[#This Row],[Sulf]]&lt;=0.5,vp.data[[#This Row],[Unknown]]=0),1,0)</f>
        <v>0</v>
      </c>
      <c r="AG618" t="str">
        <f>INDEX(vp.data[[#Headers],[Unknown]:[Heavy_SW]],MATCH(1,vp.data[[#This Row],[Unknown]:[Heavy_SW]],0))</f>
        <v>Midale</v>
      </c>
      <c r="AH618">
        <f>INDEX([3]!crudeBD.lkup[Number],MATCH(vp.data[[#This Row],[Crude_Breakdown]],crudeBD.lkup[Crude Breakdown],0))</f>
        <v>5</v>
      </c>
      <c r="AI618">
        <f>MONTH(vp.data[[#This Row],[SDate]])</f>
        <v>1</v>
      </c>
      <c r="AJ618" s="5">
        <f>(vp.data[[#This Row],[VP]]-INDEX(crudeBD.lkup[Mean_VP],MATCH(vp.data[[#This Row],[Crude_Breakdown]],crudeBD.lkup[Crude Breakdown],0)))^2</f>
        <v>12.188736581995782</v>
      </c>
      <c r="AK618" s="5">
        <f>(vp.data[[#This Row],[Dens]]-INDEX(crudeBD.lkup[Mean_Dens],MATCH(vp.data[[#This Row],[Crude_Breakdown]],crudeBD.lkup[Crude Breakdown],0)))^2</f>
        <v>8.8982274949495395</v>
      </c>
      <c r="AL618" s="5">
        <f>(vp.data[[#This Row],[Sulf]]-INDEX(crudeBD.lkup[Mean_Sulf],MATCH(vp.data[[#This Row],[Crude_Breakdown]],crudeBD.lkup[Crude Breakdown],0)))^2</f>
        <v>5.5877600159858307E-2</v>
      </c>
      <c r="AM618" s="4">
        <f>IF(AND(vp.data[[#This Row],[SDate]]&gt;=DATE(YEAR(vp.data[[#This Row],[SDate]]),5,1),vp.data[[#This Row],[SDate]]&lt;=DATE(YEAR(vp.data[[#This Row],[SDate]]),9,15)),1,0)</f>
        <v>0</v>
      </c>
      <c r="AN618" s="4">
        <f>IF(vp.data[[#This Row],[SDate]]&lt;DATE(2016,12,1),0,1)</f>
        <v>1</v>
      </c>
      <c r="AO618" s="4">
        <f>IFERROR(vp.data[[#This Row],[Sulf]]*vp.data[[#This Row],[Net Dens]],"")</f>
        <v>13170503.054016</v>
      </c>
      <c r="AP618">
        <f>IFERROR(vp.data[[#This Row],[Dens]]*vp.data[[#This Row],[VolumeM3]],"")</f>
        <v>4914366.8111999994</v>
      </c>
      <c r="AQ618" s="15">
        <f>IFERROR(vp.data[[#This Row],[VP]]*vp.data[[#This Row],[VolumeM3]],"")</f>
        <v>408130.94160000002</v>
      </c>
    </row>
    <row r="619" spans="1:43" x14ac:dyDescent="0.25">
      <c r="A619">
        <v>618</v>
      </c>
      <c r="B619" t="s">
        <v>60</v>
      </c>
      <c r="C619" t="s">
        <v>60</v>
      </c>
      <c r="D619" t="s">
        <v>61</v>
      </c>
      <c r="E619" t="s">
        <v>73</v>
      </c>
      <c r="F619" s="1">
        <v>42754</v>
      </c>
      <c r="G619" s="2">
        <v>78.900000000000006</v>
      </c>
      <c r="H619" s="2"/>
      <c r="I619" s="2">
        <f t="array" ref="I619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619" s="2">
        <v>5.4</v>
      </c>
      <c r="K619" s="2">
        <v>1</v>
      </c>
      <c r="L619" s="2">
        <v>845</v>
      </c>
      <c r="M619" s="2">
        <f t="array" ref="M619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619" s="2">
        <f ca="1">INDEX(INDIRECT(_xlfn.CONCAT("weather.tbl[",N$1,"]")),MATCH(vp.data[[#This Row],[SDate]],weather.tbl[Date],0))</f>
        <v>-1.4166666666666667</v>
      </c>
      <c r="O619" s="2">
        <f ca="1">INDEX(INDIRECT(_xlfn.CONCAT("weather.tbl[",O$1,"]")),MATCH(vp.data[[#This Row],[SDate]],weather.tbl[Date],0))</f>
        <v>-9.8166666666666682</v>
      </c>
      <c r="P619" s="2">
        <f ca="1">INDEX(INDIRECT(_xlfn.CONCAT("weather.tbl[",P$1,"]")),MATCH(vp.data[[#This Row],[SDate]],weather.tbl[Date],0))</f>
        <v>-2.2000000000000002</v>
      </c>
      <c r="Q619" s="2">
        <f ca="1">INDEX(INDIRECT(_xlfn.CONCAT("weather.tbl[",Q$1,"]")),MATCH(vp.data[[#This Row],[SDate]],weather.tbl[Date],0))</f>
        <v>-2.4</v>
      </c>
      <c r="R619" s="2">
        <f ca="1">INDEX(INDIRECT(_xlfn.CONCAT("weather.tbl[",R$1,"]")),MATCH(vp.data[[#This Row],[SDate]],weather.tbl[Date],0))</f>
        <v>-1.8</v>
      </c>
      <c r="S619" s="2">
        <f ca="1">INDEX(INDIRECT(_xlfn.CONCAT("weather.tbl[",S$1,"]")),MATCH(vp.data[[#This Row],[SDate]],weather.tbl[Date],0))</f>
        <v>0.2</v>
      </c>
      <c r="T619" s="2">
        <f ca="1">INDEX(INDIRECT(_xlfn.CONCAT("weather.tbl[",T$1,"]")),MATCH(vp.data[[#This Row],[SDate]],weather.tbl[Date],0))</f>
        <v>-3.8</v>
      </c>
      <c r="U619" s="2">
        <f ca="1">INDEX(INDIRECT(_xlfn.CONCAT("weather.tbl[",U$1,"]")),MATCH(vp.data[[#This Row],[SDate]],weather.tbl[Date],0))</f>
        <v>1.5</v>
      </c>
      <c r="V619" s="2">
        <f t="array" ref="V6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19" t="s">
        <v>48</v>
      </c>
      <c r="X619">
        <f>IF(OR(vp.data[[#This Row],[Sulf]]="",vp.data[[#This Row],[Dens]]=""),1,0)</f>
        <v>0</v>
      </c>
      <c r="Y619">
        <f>IF(vp.data[[#This Row],[CrudeType]]="C5+",1,0)</f>
        <v>0</v>
      </c>
      <c r="Z619">
        <f>IF(AND(vp.data[[#This Row],[CrudeType]]="Crude",vp.data[[#This Row],[Dens]]&lt;=825,vp.data[[#This Row],[Sulf]]&gt;0.5,vp.data[[#This Row],[Unknown]]=0),1,0)</f>
        <v>0</v>
      </c>
      <c r="AA619">
        <f>IF(AND(vp.data[[#This Row],[CrudeType]]="Crude",vp.data[[#This Row],[Dens]]&lt;=825,vp.data[[#This Row],[Sulf]]&lt;=0.5,vp.data[[#This Row],[Unknown]]=0),1,0)</f>
        <v>0</v>
      </c>
      <c r="AB6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19">
        <f>IF(AND(vp.data[[#This Row],[CrudeType]]="Crude",vp.data[[#This Row],[Dens]]&gt;825,vp.data[[#This Row],[Dens]]&lt;=900,vp.data[[#This Row],[Sulf]]&lt;=0.5,vp.data[[#This Row],[Unknown]]=0),1,0)</f>
        <v>0</v>
      </c>
      <c r="AD619">
        <f>IF(AND(vp.data[[#This Row],[CrudeType]]="Crude",vp.data[[#This Row],[Dens]]&gt;865,vp.data[[#This Row],[Dens]]&lt;=900,vp.data[[#This Row],[Sulf]]&gt;2,vp.data[[#This Row],[Unknown]]=0),1,0)</f>
        <v>0</v>
      </c>
      <c r="AE619">
        <f>IF(AND(vp.data[[#This Row],[CrudeType]]="Crude",vp.data[[#This Row],[Dens]]&gt;900,vp.data[[#This Row],[Sulf]]&lt;=0.5,vp.data[[#This Row],[Unknown]]=0),1,0)</f>
        <v>0</v>
      </c>
      <c r="AF619">
        <f>IF(AND(vp.data[[#This Row],[CrudeType]]="Crude",vp.data[[#This Row],[Dens]]&gt;900,vp.data[[#This Row],[Sulf]]&lt;=0.5,vp.data[[#This Row],[Unknown]]=0),1,0)</f>
        <v>0</v>
      </c>
      <c r="AG619" t="str">
        <f>INDEX(vp.data[[#Headers],[Unknown]:[Heavy_SW]],MATCH(1,vp.data[[#This Row],[Unknown]:[Heavy_SW]],0))</f>
        <v>Medium_LSB</v>
      </c>
      <c r="AH619">
        <f>INDEX([3]!crudeBD.lkup[Number],MATCH(vp.data[[#This Row],[Crude_Breakdown]],crudeBD.lkup[Crude Breakdown],0))</f>
        <v>3</v>
      </c>
      <c r="AI619">
        <f>MONTH(vp.data[[#This Row],[SDate]])</f>
        <v>1</v>
      </c>
      <c r="AJ619" s="5">
        <f>(vp.data[[#This Row],[VP]]-INDEX(crudeBD.lkup[Mean_VP],MATCH(vp.data[[#This Row],[Crude_Breakdown]],crudeBD.lkup[Crude Breakdown],0)))^2</f>
        <v>3.0264744981507183</v>
      </c>
      <c r="AK619" s="5">
        <f>(vp.data[[#This Row],[Dens]]-INDEX(crudeBD.lkup[Mean_Dens],MATCH(vp.data[[#This Row],[Crude_Breakdown]],crudeBD.lkup[Crude Breakdown],0)))^2</f>
        <v>1.1664000000010706</v>
      </c>
      <c r="AL619" s="5">
        <f>(vp.data[[#This Row],[Sulf]]-INDEX(crudeBD.lkup[Mean_Sulf],MATCH(vp.data[[#This Row],[Crude_Breakdown]],crudeBD.lkup[Crude Breakdown],0)))^2</f>
        <v>2.4151685839628387E-2</v>
      </c>
      <c r="AM619" s="4">
        <f>IF(AND(vp.data[[#This Row],[SDate]]&gt;=DATE(YEAR(vp.data[[#This Row],[SDate]]),5,1),vp.data[[#This Row],[SDate]]&lt;=DATE(YEAR(vp.data[[#This Row],[SDate]]),9,15)),1,0)</f>
        <v>0</v>
      </c>
      <c r="AN619" s="4">
        <f>IF(vp.data[[#This Row],[SDate]]&lt;DATE(2016,12,1),0,1)</f>
        <v>1</v>
      </c>
      <c r="AO619" s="4">
        <f>IFERROR(vp.data[[#This Row],[Sulf]]*vp.data[[#This Row],[Net Dens]],"")</f>
        <v>109273251.26640001</v>
      </c>
      <c r="AP619">
        <f>IFERROR(vp.data[[#This Row],[Dens]]*vp.data[[#This Row],[VolumeM3]],"")</f>
        <v>88840041.680000007</v>
      </c>
      <c r="AQ619" s="15">
        <f>IFERROR(vp.data[[#This Row],[VP]]*vp.data[[#This Row],[VolumeM3]],"")</f>
        <v>8295241.7616000008</v>
      </c>
    </row>
    <row r="620" spans="1:43" x14ac:dyDescent="0.25">
      <c r="A620">
        <v>619</v>
      </c>
      <c r="B620" t="s">
        <v>108</v>
      </c>
      <c r="C620" t="s">
        <v>108</v>
      </c>
      <c r="D620" t="s">
        <v>139</v>
      </c>
      <c r="F620" s="1">
        <v>42754</v>
      </c>
      <c r="G620" s="2">
        <v>76.7</v>
      </c>
      <c r="H620" s="2"/>
      <c r="I620" s="2">
        <f t="array" ref="I620">_xlfn.IFNA(IF(vp.data[[#This Row],[Sulf Input]]="",INDEX([1]DATA!$Q$3:$Q$9826,MATCH(1,(vp.data[[#This Row],[Battery]]=[1]DATA!$L$3:$L$9826)*(EOMONTH(vp.data[[#This Row],[SDate]],-1)+1=[1]DATA!$G$3:$G$9826),0)),vp.data[[#This Row],[Sulf Input]]),"")</f>
        <v>0.67</v>
      </c>
      <c r="J620" s="2">
        <v>23.7</v>
      </c>
      <c r="K620" s="2">
        <v>1</v>
      </c>
      <c r="L620" s="2">
        <v>822.1</v>
      </c>
      <c r="M620" s="2">
        <f t="array" ref="M620">_xlfn.IFNA(IF(vp.data[[#This Row],[Dens Input]]="",INDEX([1]DATA!$O$3:$O$9826,MATCH(1,(vp.data[[#This Row],[Battery]]=[1]DATA!$L$3:$L$9826)*(EOMONTH(vp.data[[#This Row],[SDate]],-1)+1=[1]DATA!$G$3:$G$9826),0)),vp.data[[#This Row],[Dens Input]]),"")</f>
        <v>822.1</v>
      </c>
      <c r="N620" s="2">
        <f ca="1">INDEX(INDIRECT(_xlfn.CONCAT("weather.tbl[",N$1,"]")),MATCH(vp.data[[#This Row],[SDate]],weather.tbl[Date],0))</f>
        <v>-1.4166666666666667</v>
      </c>
      <c r="O620" s="2">
        <f ca="1">INDEX(INDIRECT(_xlfn.CONCAT("weather.tbl[",O$1,"]")),MATCH(vp.data[[#This Row],[SDate]],weather.tbl[Date],0))</f>
        <v>-9.8166666666666682</v>
      </c>
      <c r="P620" s="2">
        <f ca="1">INDEX(INDIRECT(_xlfn.CONCAT("weather.tbl[",P$1,"]")),MATCH(vp.data[[#This Row],[SDate]],weather.tbl[Date],0))</f>
        <v>-2.2000000000000002</v>
      </c>
      <c r="Q620" s="2">
        <f ca="1">INDEX(INDIRECT(_xlfn.CONCAT("weather.tbl[",Q$1,"]")),MATCH(vp.data[[#This Row],[SDate]],weather.tbl[Date],0))</f>
        <v>-2.4</v>
      </c>
      <c r="R620" s="2">
        <f ca="1">INDEX(INDIRECT(_xlfn.CONCAT("weather.tbl[",R$1,"]")),MATCH(vp.data[[#This Row],[SDate]],weather.tbl[Date],0))</f>
        <v>-1.8</v>
      </c>
      <c r="S620" s="2">
        <f ca="1">INDEX(INDIRECT(_xlfn.CONCAT("weather.tbl[",S$1,"]")),MATCH(vp.data[[#This Row],[SDate]],weather.tbl[Date],0))</f>
        <v>0.2</v>
      </c>
      <c r="T620" s="2">
        <f ca="1">INDEX(INDIRECT(_xlfn.CONCAT("weather.tbl[",T$1,"]")),MATCH(vp.data[[#This Row],[SDate]],weather.tbl[Date],0))</f>
        <v>-3.8</v>
      </c>
      <c r="U620" s="2">
        <f ca="1">INDEX(INDIRECT(_xlfn.CONCAT("weather.tbl[",U$1,"]")),MATCH(vp.data[[#This Row],[SDate]],weather.tbl[Date],0))</f>
        <v>1.5</v>
      </c>
      <c r="V620" s="2">
        <f t="array" ref="V6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1727.8989999999999</v>
      </c>
      <c r="W620" t="s">
        <v>48</v>
      </c>
      <c r="X620">
        <f>IF(OR(vp.data[[#This Row],[Sulf]]="",vp.data[[#This Row],[Dens]]=""),1,0)</f>
        <v>0</v>
      </c>
      <c r="Y620">
        <f>IF(vp.data[[#This Row],[CrudeType]]="C5+",1,0)</f>
        <v>0</v>
      </c>
      <c r="Z620">
        <f>IF(AND(vp.data[[#This Row],[CrudeType]]="Crude",vp.data[[#This Row],[Dens]]&lt;=825,vp.data[[#This Row],[Sulf]]&gt;0.5,vp.data[[#This Row],[Unknown]]=0),1,0)</f>
        <v>1</v>
      </c>
      <c r="AA620">
        <f>IF(AND(vp.data[[#This Row],[CrudeType]]="Crude",vp.data[[#This Row],[Dens]]&lt;=825,vp.data[[#This Row],[Sulf]]&lt;=0.5,vp.data[[#This Row],[Unknown]]=0),1,0)</f>
        <v>0</v>
      </c>
      <c r="AB6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20">
        <f>IF(AND(vp.data[[#This Row],[CrudeType]]="Crude",vp.data[[#This Row],[Dens]]&gt;825,vp.data[[#This Row],[Dens]]&lt;=900,vp.data[[#This Row],[Sulf]]&lt;=0.5,vp.data[[#This Row],[Unknown]]=0),1,0)</f>
        <v>0</v>
      </c>
      <c r="AD620">
        <f>IF(AND(vp.data[[#This Row],[CrudeType]]="Crude",vp.data[[#This Row],[Dens]]&gt;865,vp.data[[#This Row],[Dens]]&lt;=900,vp.data[[#This Row],[Sulf]]&gt;2,vp.data[[#This Row],[Unknown]]=0),1,0)</f>
        <v>0</v>
      </c>
      <c r="AE620">
        <f>IF(AND(vp.data[[#This Row],[CrudeType]]="Crude",vp.data[[#This Row],[Dens]]&gt;900,vp.data[[#This Row],[Sulf]]&lt;=0.5,vp.data[[#This Row],[Unknown]]=0),1,0)</f>
        <v>0</v>
      </c>
      <c r="AF620">
        <f>IF(AND(vp.data[[#This Row],[CrudeType]]="Crude",vp.data[[#This Row],[Dens]]&gt;900,vp.data[[#This Row],[Sulf]]&lt;=0.5,vp.data[[#This Row],[Unknown]]=0),1,0)</f>
        <v>0</v>
      </c>
      <c r="AG620" t="str">
        <f>INDEX(vp.data[[#Headers],[Unknown]:[Heavy_SW]],MATCH(1,vp.data[[#This Row],[Unknown]:[Heavy_SW]],0))</f>
        <v>Light_LSB</v>
      </c>
      <c r="AH620">
        <f>INDEX([3]!crudeBD.lkup[Number],MATCH(vp.data[[#This Row],[Crude_Breakdown]],crudeBD.lkup[Crude Breakdown],0))</f>
        <v>1</v>
      </c>
      <c r="AI620">
        <f>MONTH(vp.data[[#This Row],[SDate]])</f>
        <v>1</v>
      </c>
      <c r="AJ620" s="5">
        <f>(vp.data[[#This Row],[VP]]-INDEX(crudeBD.lkup[Mean_VP],MATCH(vp.data[[#This Row],[Crude_Breakdown]],crudeBD.lkup[Crude Breakdown],0)))^2</f>
        <v>220.40922589010606</v>
      </c>
      <c r="AK620" s="5">
        <f>(vp.data[[#This Row],[Dens]]-INDEX(crudeBD.lkup[Mean_Dens],MATCH(vp.data[[#This Row],[Crude_Breakdown]],crudeBD.lkup[Crude Breakdown],0)))^2</f>
        <v>12.839538956793193</v>
      </c>
      <c r="AL620" s="5">
        <f>(vp.data[[#This Row],[Sulf]]-INDEX(crudeBD.lkup[Mean_Sulf],MATCH(vp.data[[#This Row],[Crude_Breakdown]],crudeBD.lkup[Crude Breakdown],0)))^2</f>
        <v>6.3994412034011017E-2</v>
      </c>
      <c r="AM620" s="4">
        <f>IF(AND(vp.data[[#This Row],[SDate]]&gt;=DATE(YEAR(vp.data[[#This Row],[SDate]]),5,1),vp.data[[#This Row],[SDate]]&lt;=DATE(YEAR(vp.data[[#This Row],[SDate]]),9,15)),1,0)</f>
        <v>0</v>
      </c>
      <c r="AN620" s="4">
        <f>IF(vp.data[[#This Row],[SDate]]&lt;DATE(2016,12,1),0,1)</f>
        <v>1</v>
      </c>
      <c r="AO620" s="4">
        <f>IFERROR(vp.data[[#This Row],[Sulf]]*vp.data[[#This Row],[Net Dens]],"")</f>
        <v>951738.86449299997</v>
      </c>
      <c r="AP620">
        <f>IFERROR(vp.data[[#This Row],[Dens]]*vp.data[[#This Row],[VolumeM3]],"")</f>
        <v>1420505.7678999999</v>
      </c>
      <c r="AQ620" s="15">
        <f>IFERROR(vp.data[[#This Row],[VP]]*vp.data[[#This Row],[VolumeM3]],"")</f>
        <v>132529.85329999999</v>
      </c>
    </row>
    <row r="621" spans="1:43" x14ac:dyDescent="0.25">
      <c r="A621">
        <v>620</v>
      </c>
      <c r="B621" t="s">
        <v>51</v>
      </c>
      <c r="C621" t="s">
        <v>51</v>
      </c>
      <c r="D621" t="s">
        <v>66</v>
      </c>
      <c r="F621" s="1">
        <v>42754</v>
      </c>
      <c r="G621" s="2">
        <v>93.8</v>
      </c>
      <c r="H621" s="2"/>
      <c r="I621" s="2">
        <f t="array" ref="I621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621" s="2">
        <v>2.5</v>
      </c>
      <c r="K621" s="2">
        <v>1</v>
      </c>
      <c r="L621" s="2">
        <v>825.3</v>
      </c>
      <c r="M621" s="2">
        <f t="array" ref="M621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621" s="2">
        <f ca="1">INDEX(INDIRECT(_xlfn.CONCAT("weather.tbl[",N$1,"]")),MATCH(vp.data[[#This Row],[SDate]],weather.tbl[Date],0))</f>
        <v>-1.4166666666666667</v>
      </c>
      <c r="O621" s="2">
        <f ca="1">INDEX(INDIRECT(_xlfn.CONCAT("weather.tbl[",O$1,"]")),MATCH(vp.data[[#This Row],[SDate]],weather.tbl[Date],0))</f>
        <v>-9.8166666666666682</v>
      </c>
      <c r="P621" s="2">
        <f ca="1">INDEX(INDIRECT(_xlfn.CONCAT("weather.tbl[",P$1,"]")),MATCH(vp.data[[#This Row],[SDate]],weather.tbl[Date],0))</f>
        <v>-2.2000000000000002</v>
      </c>
      <c r="Q621" s="2">
        <f ca="1">INDEX(INDIRECT(_xlfn.CONCAT("weather.tbl[",Q$1,"]")),MATCH(vp.data[[#This Row],[SDate]],weather.tbl[Date],0))</f>
        <v>-2.4</v>
      </c>
      <c r="R621" s="2">
        <f ca="1">INDEX(INDIRECT(_xlfn.CONCAT("weather.tbl[",R$1,"]")),MATCH(vp.data[[#This Row],[SDate]],weather.tbl[Date],0))</f>
        <v>-1.8</v>
      </c>
      <c r="S621" s="2">
        <f ca="1">INDEX(INDIRECT(_xlfn.CONCAT("weather.tbl[",S$1,"]")),MATCH(vp.data[[#This Row],[SDate]],weather.tbl[Date],0))</f>
        <v>0.2</v>
      </c>
      <c r="T621" s="2">
        <f ca="1">INDEX(INDIRECT(_xlfn.CONCAT("weather.tbl[",T$1,"]")),MATCH(vp.data[[#This Row],[SDate]],weather.tbl[Date],0))</f>
        <v>-3.8</v>
      </c>
      <c r="U621" s="2">
        <f ca="1">INDEX(INDIRECT(_xlfn.CONCAT("weather.tbl[",U$1,"]")),MATCH(vp.data[[#This Row],[SDate]],weather.tbl[Date],0))</f>
        <v>1.5</v>
      </c>
      <c r="V621" s="2">
        <f t="array" ref="V6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3297.86</v>
      </c>
      <c r="W621" t="s">
        <v>48</v>
      </c>
      <c r="X621">
        <f>IF(OR(vp.data[[#This Row],[Sulf]]="",vp.data[[#This Row],[Dens]]=""),1,0)</f>
        <v>0</v>
      </c>
      <c r="Y621">
        <f>IF(vp.data[[#This Row],[CrudeType]]="C5+",1,0)</f>
        <v>0</v>
      </c>
      <c r="Z621">
        <f>IF(AND(vp.data[[#This Row],[CrudeType]]="Crude",vp.data[[#This Row],[Dens]]&lt;=825,vp.data[[#This Row],[Sulf]]&gt;0.5,vp.data[[#This Row],[Unknown]]=0),1,0)</f>
        <v>0</v>
      </c>
      <c r="AA621">
        <f>IF(AND(vp.data[[#This Row],[CrudeType]]="Crude",vp.data[[#This Row],[Dens]]&lt;=825,vp.data[[#This Row],[Sulf]]&lt;=0.5,vp.data[[#This Row],[Unknown]]=0),1,0)</f>
        <v>0</v>
      </c>
      <c r="AB6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1">
        <f>IF(AND(vp.data[[#This Row],[CrudeType]]="Crude",vp.data[[#This Row],[Dens]]&gt;825,vp.data[[#This Row],[Dens]]&lt;=900,vp.data[[#This Row],[Sulf]]&lt;=0.5,vp.data[[#This Row],[Unknown]]=0),1,0)</f>
        <v>0</v>
      </c>
      <c r="AD621">
        <f>IF(AND(vp.data[[#This Row],[CrudeType]]="Crude",vp.data[[#This Row],[Dens]]&gt;865,vp.data[[#This Row],[Dens]]&lt;=900,vp.data[[#This Row],[Sulf]]&gt;2,vp.data[[#This Row],[Unknown]]=0),1,0)</f>
        <v>0</v>
      </c>
      <c r="AE621">
        <f>IF(AND(vp.data[[#This Row],[CrudeType]]="Crude",vp.data[[#This Row],[Dens]]&gt;900,vp.data[[#This Row],[Sulf]]&lt;=0.5,vp.data[[#This Row],[Unknown]]=0),1,0)</f>
        <v>0</v>
      </c>
      <c r="AF621">
        <f>IF(AND(vp.data[[#This Row],[CrudeType]]="Crude",vp.data[[#This Row],[Dens]]&gt;900,vp.data[[#This Row],[Sulf]]&lt;=0.5,vp.data[[#This Row],[Unknown]]=0),1,0)</f>
        <v>0</v>
      </c>
      <c r="AG621" t="str">
        <f>INDEX(vp.data[[#Headers],[Unknown]:[Heavy_SW]],MATCH(1,vp.data[[#This Row],[Unknown]:[Heavy_SW]],0))</f>
        <v>Medium_LSB</v>
      </c>
      <c r="AH621">
        <f>INDEX([3]!crudeBD.lkup[Number],MATCH(vp.data[[#This Row],[Crude_Breakdown]],crudeBD.lkup[Crude Breakdown],0))</f>
        <v>3</v>
      </c>
      <c r="AI621">
        <f>MONTH(vp.data[[#This Row],[SDate]])</f>
        <v>1</v>
      </c>
      <c r="AJ621" s="5">
        <f>(vp.data[[#This Row],[VP]]-INDEX(crudeBD.lkup[Mean_VP],MATCH(vp.data[[#This Row],[Crude_Breakdown]],crudeBD.lkup[Crude Breakdown],0)))^2</f>
        <v>173.19411331216898</v>
      </c>
      <c r="AK621" s="5">
        <f>(vp.data[[#This Row],[Dens]]-INDEX(crudeBD.lkup[Mean_Dens],MATCH(vp.data[[#This Row],[Crude_Breakdown]],crudeBD.lkup[Crude Breakdown],0)))^2</f>
        <v>346.70439999998325</v>
      </c>
      <c r="AL621" s="5">
        <f>(vp.data[[#This Row],[Sulf]]-INDEX(crudeBD.lkup[Mean_Sulf],MATCH(vp.data[[#This Row],[Crude_Breakdown]],crudeBD.lkup[Crude Breakdown],0)))^2</f>
        <v>5.5033347025611072E-2</v>
      </c>
      <c r="AM621" s="4">
        <f>IF(AND(vp.data[[#This Row],[SDate]]&gt;=DATE(YEAR(vp.data[[#This Row],[SDate]]),5,1),vp.data[[#This Row],[SDate]]&lt;=DATE(YEAR(vp.data[[#This Row],[SDate]]),9,15)),1,0)</f>
        <v>0</v>
      </c>
      <c r="AN621" s="4">
        <f>IF(vp.data[[#This Row],[SDate]]&lt;DATE(2016,12,1),0,1)</f>
        <v>1</v>
      </c>
      <c r="AO621" s="4">
        <f>IFERROR(vp.data[[#This Row],[Sulf]]*vp.data[[#This Row],[Net Dens]],"")</f>
        <v>4409192.6499600001</v>
      </c>
      <c r="AP621">
        <f>IFERROR(vp.data[[#This Row],[Dens]]*vp.data[[#This Row],[VolumeM3]],"")</f>
        <v>2721723.858</v>
      </c>
      <c r="AQ621" s="15">
        <f>IFERROR(vp.data[[#This Row],[VP]]*vp.data[[#This Row],[VolumeM3]],"")</f>
        <v>309339.26799999998</v>
      </c>
    </row>
    <row r="622" spans="1:43" x14ac:dyDescent="0.25">
      <c r="A622">
        <v>621</v>
      </c>
      <c r="B622" t="s">
        <v>51</v>
      </c>
      <c r="C622" t="s">
        <v>51</v>
      </c>
      <c r="D622" t="s">
        <v>140</v>
      </c>
      <c r="F622" s="1">
        <v>42754</v>
      </c>
      <c r="G622" s="2">
        <v>93</v>
      </c>
      <c r="H622" s="2"/>
      <c r="I622" s="2">
        <f t="array" ref="I622">_xlfn.IFNA(IF(vp.data[[#This Row],[Sulf Input]]="",INDEX([1]DATA!$Q$3:$Q$9826,MATCH(1,(vp.data[[#This Row],[Battery]]=[1]DATA!$L$3:$L$9826)*(EOMONTH(vp.data[[#This Row],[SDate]],-1)+1=[1]DATA!$G$3:$G$9826),0)),vp.data[[#This Row],[Sulf Input]]),"")</f>
        <v>0.54</v>
      </c>
      <c r="J622" s="2">
        <v>8.5</v>
      </c>
      <c r="K622" s="2">
        <v>1</v>
      </c>
      <c r="L622" s="2">
        <v>826.4</v>
      </c>
      <c r="M622" s="2">
        <f t="array" ref="M622">_xlfn.IFNA(IF(vp.data[[#This Row],[Dens Input]]="",INDEX([1]DATA!$O$3:$O$9826,MATCH(1,(vp.data[[#This Row],[Battery]]=[1]DATA!$L$3:$L$9826)*(EOMONTH(vp.data[[#This Row],[SDate]],-1)+1=[1]DATA!$G$3:$G$9826),0)),vp.data[[#This Row],[Dens Input]]),"")</f>
        <v>826.4</v>
      </c>
      <c r="N622" s="2">
        <f ca="1">INDEX(INDIRECT(_xlfn.CONCAT("weather.tbl[",N$1,"]")),MATCH(vp.data[[#This Row],[SDate]],weather.tbl[Date],0))</f>
        <v>-1.4166666666666667</v>
      </c>
      <c r="O622" s="2">
        <f ca="1">INDEX(INDIRECT(_xlfn.CONCAT("weather.tbl[",O$1,"]")),MATCH(vp.data[[#This Row],[SDate]],weather.tbl[Date],0))</f>
        <v>-9.8166666666666682</v>
      </c>
      <c r="P622" s="2">
        <f ca="1">INDEX(INDIRECT(_xlfn.CONCAT("weather.tbl[",P$1,"]")),MATCH(vp.data[[#This Row],[SDate]],weather.tbl[Date],0))</f>
        <v>-2.2000000000000002</v>
      </c>
      <c r="Q622" s="2">
        <f ca="1">INDEX(INDIRECT(_xlfn.CONCAT("weather.tbl[",Q$1,"]")),MATCH(vp.data[[#This Row],[SDate]],weather.tbl[Date],0))</f>
        <v>-2.4</v>
      </c>
      <c r="R622" s="2">
        <f ca="1">INDEX(INDIRECT(_xlfn.CONCAT("weather.tbl[",R$1,"]")),MATCH(vp.data[[#This Row],[SDate]],weather.tbl[Date],0))</f>
        <v>-1.8</v>
      </c>
      <c r="S622" s="2">
        <f ca="1">INDEX(INDIRECT(_xlfn.CONCAT("weather.tbl[",S$1,"]")),MATCH(vp.data[[#This Row],[SDate]],weather.tbl[Date],0))</f>
        <v>0.2</v>
      </c>
      <c r="T622" s="2">
        <f ca="1">INDEX(INDIRECT(_xlfn.CONCAT("weather.tbl[",T$1,"]")),MATCH(vp.data[[#This Row],[SDate]],weather.tbl[Date],0))</f>
        <v>-3.8</v>
      </c>
      <c r="U622" s="2">
        <f ca="1">INDEX(INDIRECT(_xlfn.CONCAT("weather.tbl[",U$1,"]")),MATCH(vp.data[[#This Row],[SDate]],weather.tbl[Date],0))</f>
        <v>1.5</v>
      </c>
      <c r="V622" s="2">
        <f t="array" ref="V6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420.01900000000001</v>
      </c>
      <c r="W622" t="s">
        <v>48</v>
      </c>
      <c r="X622">
        <f>IF(OR(vp.data[[#This Row],[Sulf]]="",vp.data[[#This Row],[Dens]]=""),1,0)</f>
        <v>0</v>
      </c>
      <c r="Y622">
        <f>IF(vp.data[[#This Row],[CrudeType]]="C5+",1,0)</f>
        <v>0</v>
      </c>
      <c r="Z622">
        <f>IF(AND(vp.data[[#This Row],[CrudeType]]="Crude",vp.data[[#This Row],[Dens]]&lt;=825,vp.data[[#This Row],[Sulf]]&gt;0.5,vp.data[[#This Row],[Unknown]]=0),1,0)</f>
        <v>0</v>
      </c>
      <c r="AA622">
        <f>IF(AND(vp.data[[#This Row],[CrudeType]]="Crude",vp.data[[#This Row],[Dens]]&lt;=825,vp.data[[#This Row],[Sulf]]&lt;=0.5,vp.data[[#This Row],[Unknown]]=0),1,0)</f>
        <v>0</v>
      </c>
      <c r="AB6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2">
        <f>IF(AND(vp.data[[#This Row],[CrudeType]]="Crude",vp.data[[#This Row],[Dens]]&gt;825,vp.data[[#This Row],[Dens]]&lt;=900,vp.data[[#This Row],[Sulf]]&lt;=0.5,vp.data[[#This Row],[Unknown]]=0),1,0)</f>
        <v>0</v>
      </c>
      <c r="AD622">
        <f>IF(AND(vp.data[[#This Row],[CrudeType]]="Crude",vp.data[[#This Row],[Dens]]&gt;865,vp.data[[#This Row],[Dens]]&lt;=900,vp.data[[#This Row],[Sulf]]&gt;2,vp.data[[#This Row],[Unknown]]=0),1,0)</f>
        <v>0</v>
      </c>
      <c r="AE622">
        <f>IF(AND(vp.data[[#This Row],[CrudeType]]="Crude",vp.data[[#This Row],[Dens]]&gt;900,vp.data[[#This Row],[Sulf]]&lt;=0.5,vp.data[[#This Row],[Unknown]]=0),1,0)</f>
        <v>0</v>
      </c>
      <c r="AF622">
        <f>IF(AND(vp.data[[#This Row],[CrudeType]]="Crude",vp.data[[#This Row],[Dens]]&gt;900,vp.data[[#This Row],[Sulf]]&lt;=0.5,vp.data[[#This Row],[Unknown]]=0),1,0)</f>
        <v>0</v>
      </c>
      <c r="AG622" t="str">
        <f>INDEX(vp.data[[#Headers],[Unknown]:[Heavy_SW]],MATCH(1,vp.data[[#This Row],[Unknown]:[Heavy_SW]],0))</f>
        <v>Medium_LSB</v>
      </c>
      <c r="AH622">
        <f>INDEX([3]!crudeBD.lkup[Number],MATCH(vp.data[[#This Row],[Crude_Breakdown]],crudeBD.lkup[Crude Breakdown],0))</f>
        <v>3</v>
      </c>
      <c r="AI622">
        <f>MONTH(vp.data[[#This Row],[SDate]])</f>
        <v>1</v>
      </c>
      <c r="AJ622" s="5">
        <f>(vp.data[[#This Row],[VP]]-INDEX(crudeBD.lkup[Mean_VP],MATCH(vp.data[[#This Row],[Crude_Breakdown]],crudeBD.lkup[Crude Breakdown],0)))^2</f>
        <v>152.7775957919533</v>
      </c>
      <c r="AK622" s="5">
        <f>(vp.data[[#This Row],[Dens]]-INDEX(crudeBD.lkup[Mean_Dens],MATCH(vp.data[[#This Row],[Crude_Breakdown]],crudeBD.lkup[Crude Breakdown],0)))^2</f>
        <v>306.9503999999834</v>
      </c>
      <c r="AL622" s="5">
        <f>(vp.data[[#This Row],[Sulf]]-INDEX(crudeBD.lkup[Mean_Sulf],MATCH(vp.data[[#This Row],[Crude_Breakdown]],crudeBD.lkup[Crude Breakdown],0)))^2</f>
        <v>0.71471490066442822</v>
      </c>
      <c r="AM622" s="4">
        <f>IF(AND(vp.data[[#This Row],[SDate]]&gt;=DATE(YEAR(vp.data[[#This Row],[SDate]]),5,1),vp.data[[#This Row],[SDate]]&lt;=DATE(YEAR(vp.data[[#This Row],[SDate]]),9,15)),1,0)</f>
        <v>0</v>
      </c>
      <c r="AN622" s="4">
        <f>IF(vp.data[[#This Row],[SDate]]&lt;DATE(2016,12,1),0,1)</f>
        <v>1</v>
      </c>
      <c r="AO622" s="4">
        <f>IFERROR(vp.data[[#This Row],[Sulf]]*vp.data[[#This Row],[Net Dens]],"")</f>
        <v>187435.99886399999</v>
      </c>
      <c r="AP622">
        <f>IFERROR(vp.data[[#This Row],[Dens]]*vp.data[[#This Row],[VolumeM3]],"")</f>
        <v>347103.70159999997</v>
      </c>
      <c r="AQ622" s="15">
        <f>IFERROR(vp.data[[#This Row],[VP]]*vp.data[[#This Row],[VolumeM3]],"")</f>
        <v>39061.767</v>
      </c>
    </row>
    <row r="623" spans="1:43" x14ac:dyDescent="0.25">
      <c r="A623">
        <v>622</v>
      </c>
      <c r="B623" t="s">
        <v>96</v>
      </c>
      <c r="C623" t="s">
        <v>96</v>
      </c>
      <c r="D623" t="s">
        <v>97</v>
      </c>
      <c r="F623" s="1">
        <v>42754</v>
      </c>
      <c r="G623" s="2">
        <v>72.2</v>
      </c>
      <c r="H623" s="2"/>
      <c r="I623" s="2">
        <f t="array" ref="I623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623" s="2">
        <v>33.700000000000003</v>
      </c>
      <c r="K623" s="2">
        <v>1</v>
      </c>
      <c r="L623" s="2">
        <v>828.7</v>
      </c>
      <c r="M623" s="2">
        <f t="array" ref="M623">_xlfn.IFNA(IF(vp.data[[#This Row],[Dens Input]]="",INDEX([1]DATA!$O$3:$O$9826,MATCH(1,(vp.data[[#This Row],[Battery]]=[1]DATA!$L$3:$L$9826)*(EOMONTH(vp.data[[#This Row],[SDate]],-1)+1=[1]DATA!$G$3:$G$9826),0)),vp.data[[#This Row],[Dens Input]]),"")</f>
        <v>828.7</v>
      </c>
      <c r="N623" s="2">
        <f ca="1">INDEX(INDIRECT(_xlfn.CONCAT("weather.tbl[",N$1,"]")),MATCH(vp.data[[#This Row],[SDate]],weather.tbl[Date],0))</f>
        <v>-1.4166666666666667</v>
      </c>
      <c r="O623" s="2">
        <f ca="1">INDEX(INDIRECT(_xlfn.CONCAT("weather.tbl[",O$1,"]")),MATCH(vp.data[[#This Row],[SDate]],weather.tbl[Date],0))</f>
        <v>-9.8166666666666682</v>
      </c>
      <c r="P623" s="2">
        <f ca="1">INDEX(INDIRECT(_xlfn.CONCAT("weather.tbl[",P$1,"]")),MATCH(vp.data[[#This Row],[SDate]],weather.tbl[Date],0))</f>
        <v>-2.2000000000000002</v>
      </c>
      <c r="Q623" s="2">
        <f ca="1">INDEX(INDIRECT(_xlfn.CONCAT("weather.tbl[",Q$1,"]")),MATCH(vp.data[[#This Row],[SDate]],weather.tbl[Date],0))</f>
        <v>-2.4</v>
      </c>
      <c r="R623" s="2">
        <f ca="1">INDEX(INDIRECT(_xlfn.CONCAT("weather.tbl[",R$1,"]")),MATCH(vp.data[[#This Row],[SDate]],weather.tbl[Date],0))</f>
        <v>-1.8</v>
      </c>
      <c r="S623" s="2">
        <f ca="1">INDEX(INDIRECT(_xlfn.CONCAT("weather.tbl[",S$1,"]")),MATCH(vp.data[[#This Row],[SDate]],weather.tbl[Date],0))</f>
        <v>0.2</v>
      </c>
      <c r="T623" s="2">
        <f ca="1">INDEX(INDIRECT(_xlfn.CONCAT("weather.tbl[",T$1,"]")),MATCH(vp.data[[#This Row],[SDate]],weather.tbl[Date],0))</f>
        <v>-3.8</v>
      </c>
      <c r="U623" s="2">
        <f ca="1">INDEX(INDIRECT(_xlfn.CONCAT("weather.tbl[",U$1,"]")),MATCH(vp.data[[#This Row],[SDate]],weather.tbl[Date],0))</f>
        <v>1.5</v>
      </c>
      <c r="V623" s="2">
        <f t="array" ref="V6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8927.0429999999997</v>
      </c>
      <c r="W623" t="s">
        <v>48</v>
      </c>
      <c r="X623">
        <f>IF(OR(vp.data[[#This Row],[Sulf]]="",vp.data[[#This Row],[Dens]]=""),1,0)</f>
        <v>0</v>
      </c>
      <c r="Y623">
        <f>IF(vp.data[[#This Row],[CrudeType]]="C5+",1,0)</f>
        <v>0</v>
      </c>
      <c r="Z623">
        <f>IF(AND(vp.data[[#This Row],[CrudeType]]="Crude",vp.data[[#This Row],[Dens]]&lt;=825,vp.data[[#This Row],[Sulf]]&gt;0.5,vp.data[[#This Row],[Unknown]]=0),1,0)</f>
        <v>0</v>
      </c>
      <c r="AA623">
        <f>IF(AND(vp.data[[#This Row],[CrudeType]]="Crude",vp.data[[#This Row],[Dens]]&lt;=825,vp.data[[#This Row],[Sulf]]&lt;=0.5,vp.data[[#This Row],[Unknown]]=0),1,0)</f>
        <v>0</v>
      </c>
      <c r="AB6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3">
        <f>IF(AND(vp.data[[#This Row],[CrudeType]]="Crude",vp.data[[#This Row],[Dens]]&gt;825,vp.data[[#This Row],[Dens]]&lt;=900,vp.data[[#This Row],[Sulf]]&lt;=0.5,vp.data[[#This Row],[Unknown]]=0),1,0)</f>
        <v>0</v>
      </c>
      <c r="AD623">
        <f>IF(AND(vp.data[[#This Row],[CrudeType]]="Crude",vp.data[[#This Row],[Dens]]&gt;865,vp.data[[#This Row],[Dens]]&lt;=900,vp.data[[#This Row],[Sulf]]&gt;2,vp.data[[#This Row],[Unknown]]=0),1,0)</f>
        <v>0</v>
      </c>
      <c r="AE623">
        <f>IF(AND(vp.data[[#This Row],[CrudeType]]="Crude",vp.data[[#This Row],[Dens]]&gt;900,vp.data[[#This Row],[Sulf]]&lt;=0.5,vp.data[[#This Row],[Unknown]]=0),1,0)</f>
        <v>0</v>
      </c>
      <c r="AF623">
        <f>IF(AND(vp.data[[#This Row],[CrudeType]]="Crude",vp.data[[#This Row],[Dens]]&gt;900,vp.data[[#This Row],[Sulf]]&lt;=0.5,vp.data[[#This Row],[Unknown]]=0),1,0)</f>
        <v>0</v>
      </c>
      <c r="AG623" t="str">
        <f>INDEX(vp.data[[#Headers],[Unknown]:[Heavy_SW]],MATCH(1,vp.data[[#This Row],[Unknown]:[Heavy_SW]],0))</f>
        <v>Medium_LSB</v>
      </c>
      <c r="AH623">
        <f>INDEX([3]!crudeBD.lkup[Number],MATCH(vp.data[[#This Row],[Crude_Breakdown]],crudeBD.lkup[Crude Breakdown],0))</f>
        <v>3</v>
      </c>
      <c r="AI623">
        <f>MONTH(vp.data[[#This Row],[SDate]])</f>
        <v>1</v>
      </c>
      <c r="AJ623" s="5">
        <f>(vp.data[[#This Row],[VP]]-INDEX(crudeBD.lkup[Mean_VP],MATCH(vp.data[[#This Row],[Crude_Breakdown]],crudeBD.lkup[Crude Breakdown],0)))^2</f>
        <v>71.2281402663438</v>
      </c>
      <c r="AK623" s="5">
        <f>(vp.data[[#This Row],[Dens]]-INDEX(crudeBD.lkup[Mean_Dens],MATCH(vp.data[[#This Row],[Crude_Breakdown]],crudeBD.lkup[Crude Breakdown],0)))^2</f>
        <v>231.64839999998352</v>
      </c>
      <c r="AL623" s="5">
        <f>(vp.data[[#This Row],[Sulf]]-INDEX(crudeBD.lkup[Mean_Sulf],MATCH(vp.data[[#This Row],[Crude_Breakdown]],crudeBD.lkup[Crude Breakdown],0)))^2</f>
        <v>0.35451083732210947</v>
      </c>
      <c r="AM623" s="4">
        <f>IF(AND(vp.data[[#This Row],[SDate]]&gt;=DATE(YEAR(vp.data[[#This Row],[SDate]]),5,1),vp.data[[#This Row],[SDate]]&lt;=DATE(YEAR(vp.data[[#This Row],[SDate]]),9,15)),1,0)</f>
        <v>0</v>
      </c>
      <c r="AN623" s="4">
        <f>IF(vp.data[[#This Row],[SDate]]&lt;DATE(2016,12,1),0,1)</f>
        <v>1</v>
      </c>
      <c r="AO623" s="4">
        <f>IFERROR(vp.data[[#This Row],[Sulf]]*vp.data[[#This Row],[Net Dens]],"")</f>
        <v>5844294.0219390001</v>
      </c>
      <c r="AP623">
        <f>IFERROR(vp.data[[#This Row],[Dens]]*vp.data[[#This Row],[VolumeM3]],"")</f>
        <v>7397840.5340999998</v>
      </c>
      <c r="AQ623" s="15">
        <f>IFERROR(vp.data[[#This Row],[VP]]*vp.data[[#This Row],[VolumeM3]],"")</f>
        <v>644532.50459999999</v>
      </c>
    </row>
    <row r="624" spans="1:43" x14ac:dyDescent="0.25">
      <c r="A624">
        <v>623</v>
      </c>
      <c r="B624" t="s">
        <v>51</v>
      </c>
      <c r="C624" t="s">
        <v>51</v>
      </c>
      <c r="D624" t="s">
        <v>141</v>
      </c>
      <c r="F624" s="1">
        <v>42754</v>
      </c>
      <c r="G624" s="2">
        <v>73.400000000000006</v>
      </c>
      <c r="H624" s="2"/>
      <c r="I624" s="2">
        <f t="array" ref="I624">_xlfn.IFNA(IF(vp.data[[#This Row],[Sulf Input]]="",INDEX([1]DATA!$Q$3:$Q$9826,MATCH(1,(vp.data[[#This Row],[Battery]]=[1]DATA!$L$3:$L$9826)*(EOMONTH(vp.data[[#This Row],[SDate]],-1)+1=[1]DATA!$G$3:$G$9826),0)),vp.data[[#This Row],[Sulf Input]]),"")</f>
        <v>0.69</v>
      </c>
      <c r="J624" s="2">
        <v>9.4</v>
      </c>
      <c r="K624" s="2">
        <v>1</v>
      </c>
      <c r="L624" s="2">
        <v>828.9</v>
      </c>
      <c r="M624" s="2">
        <f t="array" ref="M624">_xlfn.IFNA(IF(vp.data[[#This Row],[Dens Input]]="",INDEX([1]DATA!$O$3:$O$9826,MATCH(1,(vp.data[[#This Row],[Battery]]=[1]DATA!$L$3:$L$9826)*(EOMONTH(vp.data[[#This Row],[SDate]],-1)+1=[1]DATA!$G$3:$G$9826),0)),vp.data[[#This Row],[Dens Input]]),"")</f>
        <v>828.9</v>
      </c>
      <c r="N624" s="2">
        <f ca="1">INDEX(INDIRECT(_xlfn.CONCAT("weather.tbl[",N$1,"]")),MATCH(vp.data[[#This Row],[SDate]],weather.tbl[Date],0))</f>
        <v>-1.4166666666666667</v>
      </c>
      <c r="O624" s="2">
        <f ca="1">INDEX(INDIRECT(_xlfn.CONCAT("weather.tbl[",O$1,"]")),MATCH(vp.data[[#This Row],[SDate]],weather.tbl[Date],0))</f>
        <v>-9.8166666666666682</v>
      </c>
      <c r="P624" s="2">
        <f ca="1">INDEX(INDIRECT(_xlfn.CONCAT("weather.tbl[",P$1,"]")),MATCH(vp.data[[#This Row],[SDate]],weather.tbl[Date],0))</f>
        <v>-2.2000000000000002</v>
      </c>
      <c r="Q624" s="2">
        <f ca="1">INDEX(INDIRECT(_xlfn.CONCAT("weather.tbl[",Q$1,"]")),MATCH(vp.data[[#This Row],[SDate]],weather.tbl[Date],0))</f>
        <v>-2.4</v>
      </c>
      <c r="R624" s="2">
        <f ca="1">INDEX(INDIRECT(_xlfn.CONCAT("weather.tbl[",R$1,"]")),MATCH(vp.data[[#This Row],[SDate]],weather.tbl[Date],0))</f>
        <v>-1.8</v>
      </c>
      <c r="S624" s="2">
        <f ca="1">INDEX(INDIRECT(_xlfn.CONCAT("weather.tbl[",S$1,"]")),MATCH(vp.data[[#This Row],[SDate]],weather.tbl[Date],0))</f>
        <v>0.2</v>
      </c>
      <c r="T624" s="2">
        <f ca="1">INDEX(INDIRECT(_xlfn.CONCAT("weather.tbl[",T$1,"]")),MATCH(vp.data[[#This Row],[SDate]],weather.tbl[Date],0))</f>
        <v>-3.8</v>
      </c>
      <c r="U624" s="2">
        <f ca="1">INDEX(INDIRECT(_xlfn.CONCAT("weather.tbl[",U$1,"]")),MATCH(vp.data[[#This Row],[SDate]],weather.tbl[Date],0))</f>
        <v>1.5</v>
      </c>
      <c r="V624" s="2">
        <f t="array" ref="V6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454.279</v>
      </c>
      <c r="W624" t="s">
        <v>48</v>
      </c>
      <c r="X624">
        <f>IF(OR(vp.data[[#This Row],[Sulf]]="",vp.data[[#This Row],[Dens]]=""),1,0)</f>
        <v>0</v>
      </c>
      <c r="Y624">
        <f>IF(vp.data[[#This Row],[CrudeType]]="C5+",1,0)</f>
        <v>0</v>
      </c>
      <c r="Z624">
        <f>IF(AND(vp.data[[#This Row],[CrudeType]]="Crude",vp.data[[#This Row],[Dens]]&lt;=825,vp.data[[#This Row],[Sulf]]&gt;0.5,vp.data[[#This Row],[Unknown]]=0),1,0)</f>
        <v>0</v>
      </c>
      <c r="AA624">
        <f>IF(AND(vp.data[[#This Row],[CrudeType]]="Crude",vp.data[[#This Row],[Dens]]&lt;=825,vp.data[[#This Row],[Sulf]]&lt;=0.5,vp.data[[#This Row],[Unknown]]=0),1,0)</f>
        <v>0</v>
      </c>
      <c r="AB6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4">
        <f>IF(AND(vp.data[[#This Row],[CrudeType]]="Crude",vp.data[[#This Row],[Dens]]&gt;825,vp.data[[#This Row],[Dens]]&lt;=900,vp.data[[#This Row],[Sulf]]&lt;=0.5,vp.data[[#This Row],[Unknown]]=0),1,0)</f>
        <v>0</v>
      </c>
      <c r="AD624">
        <f>IF(AND(vp.data[[#This Row],[CrudeType]]="Crude",vp.data[[#This Row],[Dens]]&gt;865,vp.data[[#This Row],[Dens]]&lt;=900,vp.data[[#This Row],[Sulf]]&gt;2,vp.data[[#This Row],[Unknown]]=0),1,0)</f>
        <v>0</v>
      </c>
      <c r="AE624">
        <f>IF(AND(vp.data[[#This Row],[CrudeType]]="Crude",vp.data[[#This Row],[Dens]]&gt;900,vp.data[[#This Row],[Sulf]]&lt;=0.5,vp.data[[#This Row],[Unknown]]=0),1,0)</f>
        <v>0</v>
      </c>
      <c r="AF624">
        <f>IF(AND(vp.data[[#This Row],[CrudeType]]="Crude",vp.data[[#This Row],[Dens]]&gt;900,vp.data[[#This Row],[Sulf]]&lt;=0.5,vp.data[[#This Row],[Unknown]]=0),1,0)</f>
        <v>0</v>
      </c>
      <c r="AG624" t="str">
        <f>INDEX(vp.data[[#Headers],[Unknown]:[Heavy_SW]],MATCH(1,vp.data[[#This Row],[Unknown]:[Heavy_SW]],0))</f>
        <v>Medium_LSB</v>
      </c>
      <c r="AH624">
        <f>INDEX([3]!crudeBD.lkup[Number],MATCH(vp.data[[#This Row],[Crude_Breakdown]],crudeBD.lkup[Crude Breakdown],0))</f>
        <v>3</v>
      </c>
      <c r="AI624">
        <f>MONTH(vp.data[[#This Row],[SDate]])</f>
        <v>1</v>
      </c>
      <c r="AJ624" s="5">
        <f>(vp.data[[#This Row],[VP]]-INDEX(crudeBD.lkup[Mean_VP],MATCH(vp.data[[#This Row],[Crude_Breakdown]],crudeBD.lkup[Crude Breakdown],0)))^2</f>
        <v>52.41291654666739</v>
      </c>
      <c r="AK624" s="5">
        <f>(vp.data[[#This Row],[Dens]]-INDEX(crudeBD.lkup[Mean_Dens],MATCH(vp.data[[#This Row],[Crude_Breakdown]],crudeBD.lkup[Crude Breakdown],0)))^2</f>
        <v>225.6003999999858</v>
      </c>
      <c r="AL624" s="5">
        <f>(vp.data[[#This Row],[Sulf]]-INDEX(crudeBD.lkup[Mean_Sulf],MATCH(vp.data[[#This Row],[Crude_Breakdown]],crudeBD.lkup[Crude Breakdown],0)))^2</f>
        <v>0.4835924626590371</v>
      </c>
      <c r="AM624" s="4">
        <f>IF(AND(vp.data[[#This Row],[SDate]]&gt;=DATE(YEAR(vp.data[[#This Row],[SDate]]),5,1),vp.data[[#This Row],[SDate]]&lt;=DATE(YEAR(vp.data[[#This Row],[SDate]]),9,15)),1,0)</f>
        <v>0</v>
      </c>
      <c r="AN624" s="4">
        <f>IF(vp.data[[#This Row],[SDate]]&lt;DATE(2016,12,1),0,1)</f>
        <v>1</v>
      </c>
      <c r="AO624" s="4">
        <f>IFERROR(vp.data[[#This Row],[Sulf]]*vp.data[[#This Row],[Net Dens]],"")</f>
        <v>259820.78553899995</v>
      </c>
      <c r="AP624">
        <f>IFERROR(vp.data[[#This Row],[Dens]]*vp.data[[#This Row],[VolumeM3]],"")</f>
        <v>376551.86309999996</v>
      </c>
      <c r="AQ624" s="15">
        <f>IFERROR(vp.data[[#This Row],[VP]]*vp.data[[#This Row],[VolumeM3]],"")</f>
        <v>33344.078600000001</v>
      </c>
    </row>
    <row r="625" spans="1:43" x14ac:dyDescent="0.25">
      <c r="A625">
        <v>624</v>
      </c>
      <c r="B625" t="s">
        <v>49</v>
      </c>
      <c r="C625" t="s">
        <v>49</v>
      </c>
      <c r="D625" t="s">
        <v>142</v>
      </c>
      <c r="F625" s="1">
        <v>42754</v>
      </c>
      <c r="G625" s="2">
        <v>84.4</v>
      </c>
      <c r="H625" s="2"/>
      <c r="I625" s="2">
        <f t="array" ref="I625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625" s="2">
        <v>1.3</v>
      </c>
      <c r="K625" s="2">
        <v>1</v>
      </c>
      <c r="L625" s="2">
        <v>829.8</v>
      </c>
      <c r="M625" s="2">
        <f t="array" ref="M625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625" s="2">
        <f ca="1">INDEX(INDIRECT(_xlfn.CONCAT("weather.tbl[",N$1,"]")),MATCH(vp.data[[#This Row],[SDate]],weather.tbl[Date],0))</f>
        <v>-1.4166666666666667</v>
      </c>
      <c r="O625" s="2">
        <f ca="1">INDEX(INDIRECT(_xlfn.CONCAT("weather.tbl[",O$1,"]")),MATCH(vp.data[[#This Row],[SDate]],weather.tbl[Date],0))</f>
        <v>-9.8166666666666682</v>
      </c>
      <c r="P625" s="2">
        <f ca="1">INDEX(INDIRECT(_xlfn.CONCAT("weather.tbl[",P$1,"]")),MATCH(vp.data[[#This Row],[SDate]],weather.tbl[Date],0))</f>
        <v>-2.2000000000000002</v>
      </c>
      <c r="Q625" s="2">
        <f ca="1">INDEX(INDIRECT(_xlfn.CONCAT("weather.tbl[",Q$1,"]")),MATCH(vp.data[[#This Row],[SDate]],weather.tbl[Date],0))</f>
        <v>-2.4</v>
      </c>
      <c r="R625" s="2">
        <f ca="1">INDEX(INDIRECT(_xlfn.CONCAT("weather.tbl[",R$1,"]")),MATCH(vp.data[[#This Row],[SDate]],weather.tbl[Date],0))</f>
        <v>-1.8</v>
      </c>
      <c r="S625" s="2">
        <f ca="1">INDEX(INDIRECT(_xlfn.CONCAT("weather.tbl[",S$1,"]")),MATCH(vp.data[[#This Row],[SDate]],weather.tbl[Date],0))</f>
        <v>0.2</v>
      </c>
      <c r="T625" s="2">
        <f ca="1">INDEX(INDIRECT(_xlfn.CONCAT("weather.tbl[",T$1,"]")),MATCH(vp.data[[#This Row],[SDate]],weather.tbl[Date],0))</f>
        <v>-3.8</v>
      </c>
      <c r="U625" s="2">
        <f ca="1">INDEX(INDIRECT(_xlfn.CONCAT("weather.tbl[",U$1,"]")),MATCH(vp.data[[#This Row],[SDate]],weather.tbl[Date],0))</f>
        <v>1.5</v>
      </c>
      <c r="V625" s="2">
        <f t="array" ref="V6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1485.365</v>
      </c>
      <c r="W625" t="s">
        <v>48</v>
      </c>
      <c r="X625">
        <f>IF(OR(vp.data[[#This Row],[Sulf]]="",vp.data[[#This Row],[Dens]]=""),1,0)</f>
        <v>0</v>
      </c>
      <c r="Y625">
        <f>IF(vp.data[[#This Row],[CrudeType]]="C5+",1,0)</f>
        <v>0</v>
      </c>
      <c r="Z625">
        <f>IF(AND(vp.data[[#This Row],[CrudeType]]="Crude",vp.data[[#This Row],[Dens]]&lt;=825,vp.data[[#This Row],[Sulf]]&gt;0.5,vp.data[[#This Row],[Unknown]]=0),1,0)</f>
        <v>0</v>
      </c>
      <c r="AA625">
        <f>IF(AND(vp.data[[#This Row],[CrudeType]]="Crude",vp.data[[#This Row],[Dens]]&lt;=825,vp.data[[#This Row],[Sulf]]&lt;=0.5,vp.data[[#This Row],[Unknown]]=0),1,0)</f>
        <v>0</v>
      </c>
      <c r="AB6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5">
        <f>IF(AND(vp.data[[#This Row],[CrudeType]]="Crude",vp.data[[#This Row],[Dens]]&gt;825,vp.data[[#This Row],[Dens]]&lt;=900,vp.data[[#This Row],[Sulf]]&lt;=0.5,vp.data[[#This Row],[Unknown]]=0),1,0)</f>
        <v>0</v>
      </c>
      <c r="AD625">
        <f>IF(AND(vp.data[[#This Row],[CrudeType]]="Crude",vp.data[[#This Row],[Dens]]&gt;865,vp.data[[#This Row],[Dens]]&lt;=900,vp.data[[#This Row],[Sulf]]&gt;2,vp.data[[#This Row],[Unknown]]=0),1,0)</f>
        <v>0</v>
      </c>
      <c r="AE625">
        <f>IF(AND(vp.data[[#This Row],[CrudeType]]="Crude",vp.data[[#This Row],[Dens]]&gt;900,vp.data[[#This Row],[Sulf]]&lt;=0.5,vp.data[[#This Row],[Unknown]]=0),1,0)</f>
        <v>0</v>
      </c>
      <c r="AF625">
        <f>IF(AND(vp.data[[#This Row],[CrudeType]]="Crude",vp.data[[#This Row],[Dens]]&gt;900,vp.data[[#This Row],[Sulf]]&lt;=0.5,vp.data[[#This Row],[Unknown]]=0),1,0)</f>
        <v>0</v>
      </c>
      <c r="AG625" t="str">
        <f>INDEX(vp.data[[#Headers],[Unknown]:[Heavy_SW]],MATCH(1,vp.data[[#This Row],[Unknown]:[Heavy_SW]],0))</f>
        <v>Medium_LSB</v>
      </c>
      <c r="AH625">
        <f>INDEX([3]!crudeBD.lkup[Number],MATCH(vp.data[[#This Row],[Crude_Breakdown]],crudeBD.lkup[Crude Breakdown],0))</f>
        <v>3</v>
      </c>
      <c r="AI625">
        <f>MONTH(vp.data[[#This Row],[SDate]])</f>
        <v>1</v>
      </c>
      <c r="AJ625" s="5">
        <f>(vp.data[[#This Row],[VP]]-INDEX(crudeBD.lkup[Mean_VP],MATCH(vp.data[[#This Row],[Crude_Breakdown]],crudeBD.lkup[Crude Breakdown],0)))^2</f>
        <v>14.140032449634047</v>
      </c>
      <c r="AK625" s="5">
        <f>(vp.data[[#This Row],[Dens]]-INDEX(crudeBD.lkup[Mean_Dens],MATCH(vp.data[[#This Row],[Crude_Breakdown]],crudeBD.lkup[Crude Breakdown],0)))^2</f>
        <v>199.37439999998728</v>
      </c>
      <c r="AL625" s="5">
        <f>(vp.data[[#This Row],[Sulf]]-INDEX(crudeBD.lkup[Mean_Sulf],MATCH(vp.data[[#This Row],[Crude_Breakdown]],crudeBD.lkup[Crude Breakdown],0)))^2</f>
        <v>0.49760062519272974</v>
      </c>
      <c r="AM625" s="4">
        <f>IF(AND(vp.data[[#This Row],[SDate]]&gt;=DATE(YEAR(vp.data[[#This Row],[SDate]]),5,1),vp.data[[#This Row],[SDate]]&lt;=DATE(YEAR(vp.data[[#This Row],[SDate]]),9,15)),1,0)</f>
        <v>0</v>
      </c>
      <c r="AN625" s="4">
        <f>IF(vp.data[[#This Row],[SDate]]&lt;DATE(2016,12,1),0,1)</f>
        <v>1</v>
      </c>
      <c r="AO625" s="4">
        <f>IFERROR(vp.data[[#This Row],[Sulf]]*vp.data[[#This Row],[Net Dens]],"")</f>
        <v>838137.99635999999</v>
      </c>
      <c r="AP625">
        <f>IFERROR(vp.data[[#This Row],[Dens]]*vp.data[[#This Row],[VolumeM3]],"")</f>
        <v>1232555.8769999999</v>
      </c>
      <c r="AQ625" s="15">
        <f>IFERROR(vp.data[[#This Row],[VP]]*vp.data[[#This Row],[VolumeM3]],"")</f>
        <v>125364.80600000001</v>
      </c>
    </row>
    <row r="626" spans="1:43" x14ac:dyDescent="0.25">
      <c r="A626">
        <v>625</v>
      </c>
      <c r="B626" t="s">
        <v>49</v>
      </c>
      <c r="C626" t="s">
        <v>49</v>
      </c>
      <c r="D626" t="s">
        <v>70</v>
      </c>
      <c r="F626" s="1">
        <v>42754</v>
      </c>
      <c r="G626" s="2">
        <v>84.1</v>
      </c>
      <c r="H626" s="2"/>
      <c r="I626" s="2">
        <f t="array" ref="I626">_xlfn.IFNA(IF(vp.data[[#This Row],[Sulf Input]]="",INDEX([1]DATA!$Q$3:$Q$9826,MATCH(1,(vp.data[[#This Row],[Battery]]=[1]DATA!$L$3:$L$9826)*(EOMONTH(vp.data[[#This Row],[SDate]],-1)+1=[1]DATA!$G$3:$G$9826),0)),vp.data[[#This Row],[Sulf Input]]),"")</f>
        <v>1.01</v>
      </c>
      <c r="J626" s="2">
        <v>22.2</v>
      </c>
      <c r="K626" s="2">
        <v>1</v>
      </c>
      <c r="L626" s="2">
        <v>830.5</v>
      </c>
      <c r="M626" s="2">
        <f t="array" ref="M626">_xlfn.IFNA(IF(vp.data[[#This Row],[Dens Input]]="",INDEX([1]DATA!$O$3:$O$9826,MATCH(1,(vp.data[[#This Row],[Battery]]=[1]DATA!$L$3:$L$9826)*(EOMONTH(vp.data[[#This Row],[SDate]],-1)+1=[1]DATA!$G$3:$G$9826),0)),vp.data[[#This Row],[Dens Input]]),"")</f>
        <v>830.5</v>
      </c>
      <c r="N626" s="2">
        <f ca="1">INDEX(INDIRECT(_xlfn.CONCAT("weather.tbl[",N$1,"]")),MATCH(vp.data[[#This Row],[SDate]],weather.tbl[Date],0))</f>
        <v>-1.4166666666666667</v>
      </c>
      <c r="O626" s="2">
        <f ca="1">INDEX(INDIRECT(_xlfn.CONCAT("weather.tbl[",O$1,"]")),MATCH(vp.data[[#This Row],[SDate]],weather.tbl[Date],0))</f>
        <v>-9.8166666666666682</v>
      </c>
      <c r="P626" s="2">
        <f ca="1">INDEX(INDIRECT(_xlfn.CONCAT("weather.tbl[",P$1,"]")),MATCH(vp.data[[#This Row],[SDate]],weather.tbl[Date],0))</f>
        <v>-2.2000000000000002</v>
      </c>
      <c r="Q626" s="2">
        <f ca="1">INDEX(INDIRECT(_xlfn.CONCAT("weather.tbl[",Q$1,"]")),MATCH(vp.data[[#This Row],[SDate]],weather.tbl[Date],0))</f>
        <v>-2.4</v>
      </c>
      <c r="R626" s="2">
        <f ca="1">INDEX(INDIRECT(_xlfn.CONCAT("weather.tbl[",R$1,"]")),MATCH(vp.data[[#This Row],[SDate]],weather.tbl[Date],0))</f>
        <v>-1.8</v>
      </c>
      <c r="S626" s="2">
        <f ca="1">INDEX(INDIRECT(_xlfn.CONCAT("weather.tbl[",S$1,"]")),MATCH(vp.data[[#This Row],[SDate]],weather.tbl[Date],0))</f>
        <v>0.2</v>
      </c>
      <c r="T626" s="2">
        <f ca="1">INDEX(INDIRECT(_xlfn.CONCAT("weather.tbl[",T$1,"]")),MATCH(vp.data[[#This Row],[SDate]],weather.tbl[Date],0))</f>
        <v>-3.8</v>
      </c>
      <c r="U626" s="2">
        <f ca="1">INDEX(INDIRECT(_xlfn.CONCAT("weather.tbl[",U$1,"]")),MATCH(vp.data[[#This Row],[SDate]],weather.tbl[Date],0))</f>
        <v>1.5</v>
      </c>
      <c r="V626" s="2">
        <f t="array" ref="V6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3332.451</v>
      </c>
      <c r="W626" t="s">
        <v>48</v>
      </c>
      <c r="X626">
        <f>IF(OR(vp.data[[#This Row],[Sulf]]="",vp.data[[#This Row],[Dens]]=""),1,0)</f>
        <v>0</v>
      </c>
      <c r="Y626">
        <f>IF(vp.data[[#This Row],[CrudeType]]="C5+",1,0)</f>
        <v>0</v>
      </c>
      <c r="Z626">
        <f>IF(AND(vp.data[[#This Row],[CrudeType]]="Crude",vp.data[[#This Row],[Dens]]&lt;=825,vp.data[[#This Row],[Sulf]]&gt;0.5,vp.data[[#This Row],[Unknown]]=0),1,0)</f>
        <v>0</v>
      </c>
      <c r="AA626">
        <f>IF(AND(vp.data[[#This Row],[CrudeType]]="Crude",vp.data[[#This Row],[Dens]]&lt;=825,vp.data[[#This Row],[Sulf]]&lt;=0.5,vp.data[[#This Row],[Unknown]]=0),1,0)</f>
        <v>0</v>
      </c>
      <c r="AB6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6">
        <f>IF(AND(vp.data[[#This Row],[CrudeType]]="Crude",vp.data[[#This Row],[Dens]]&gt;825,vp.data[[#This Row],[Dens]]&lt;=900,vp.data[[#This Row],[Sulf]]&lt;=0.5,vp.data[[#This Row],[Unknown]]=0),1,0)</f>
        <v>0</v>
      </c>
      <c r="AD626">
        <f>IF(AND(vp.data[[#This Row],[CrudeType]]="Crude",vp.data[[#This Row],[Dens]]&gt;865,vp.data[[#This Row],[Dens]]&lt;=900,vp.data[[#This Row],[Sulf]]&gt;2,vp.data[[#This Row],[Unknown]]=0),1,0)</f>
        <v>0</v>
      </c>
      <c r="AE626">
        <f>IF(AND(vp.data[[#This Row],[CrudeType]]="Crude",vp.data[[#This Row],[Dens]]&gt;900,vp.data[[#This Row],[Sulf]]&lt;=0.5,vp.data[[#This Row],[Unknown]]=0),1,0)</f>
        <v>0</v>
      </c>
      <c r="AF626">
        <f>IF(AND(vp.data[[#This Row],[CrudeType]]="Crude",vp.data[[#This Row],[Dens]]&gt;900,vp.data[[#This Row],[Sulf]]&lt;=0.5,vp.data[[#This Row],[Unknown]]=0),1,0)</f>
        <v>0</v>
      </c>
      <c r="AG626" t="str">
        <f>INDEX(vp.data[[#Headers],[Unknown]:[Heavy_SW]],MATCH(1,vp.data[[#This Row],[Unknown]:[Heavy_SW]],0))</f>
        <v>Medium_LSB</v>
      </c>
      <c r="AH626">
        <f>INDEX([3]!crudeBD.lkup[Number],MATCH(vp.data[[#This Row],[Crude_Breakdown]],crudeBD.lkup[Crude Breakdown],0))</f>
        <v>3</v>
      </c>
      <c r="AI626">
        <f>MONTH(vp.data[[#This Row],[SDate]])</f>
        <v>1</v>
      </c>
      <c r="AJ626" s="5">
        <f>(vp.data[[#This Row],[VP]]-INDEX(crudeBD.lkup[Mean_VP],MATCH(vp.data[[#This Row],[Crude_Breakdown]],crudeBD.lkup[Crude Breakdown],0)))^2</f>
        <v>11.97383837955306</v>
      </c>
      <c r="AK626" s="5">
        <f>(vp.data[[#This Row],[Dens]]-INDEX(crudeBD.lkup[Mean_Dens],MATCH(vp.data[[#This Row],[Crude_Breakdown]],crudeBD.lkup[Crude Breakdown],0)))^2</f>
        <v>180.09639999998669</v>
      </c>
      <c r="AL626" s="5">
        <f>(vp.data[[#This Row],[Sulf]]-INDEX(crudeBD.lkup[Mean_Sulf],MATCH(vp.data[[#This Row],[Crude_Breakdown]],crudeBD.lkup[Crude Breakdown],0)))^2</f>
        <v>0.14093126158086894</v>
      </c>
      <c r="AM626" s="4">
        <f>IF(AND(vp.data[[#This Row],[SDate]]&gt;=DATE(YEAR(vp.data[[#This Row],[SDate]]),5,1),vp.data[[#This Row],[SDate]]&lt;=DATE(YEAR(vp.data[[#This Row],[SDate]]),9,15)),1,0)</f>
        <v>0</v>
      </c>
      <c r="AN626" s="4">
        <f>IF(vp.data[[#This Row],[SDate]]&lt;DATE(2016,12,1),0,1)</f>
        <v>1</v>
      </c>
      <c r="AO626" s="4">
        <f>IFERROR(vp.data[[#This Row],[Sulf]]*vp.data[[#This Row],[Net Dens]],"")</f>
        <v>2795276.5610550004</v>
      </c>
      <c r="AP626">
        <f>IFERROR(vp.data[[#This Row],[Dens]]*vp.data[[#This Row],[VolumeM3]],"")</f>
        <v>2767600.5555000002</v>
      </c>
      <c r="AQ626" s="15">
        <f>IFERROR(vp.data[[#This Row],[VP]]*vp.data[[#This Row],[VolumeM3]],"")</f>
        <v>280259.12909999996</v>
      </c>
    </row>
    <row r="627" spans="1:43" x14ac:dyDescent="0.25">
      <c r="A627">
        <v>626</v>
      </c>
      <c r="B627" t="s">
        <v>108</v>
      </c>
      <c r="C627" t="s">
        <v>108</v>
      </c>
      <c r="D627" t="s">
        <v>109</v>
      </c>
      <c r="F627" s="1">
        <v>42754</v>
      </c>
      <c r="G627" s="2">
        <v>81</v>
      </c>
      <c r="H627" s="2"/>
      <c r="I627" s="2">
        <f t="array" ref="I627">_xlfn.IFNA(IF(vp.data[[#This Row],[Sulf Input]]="",INDEX([1]DATA!$Q$3:$Q$9826,MATCH(1,(vp.data[[#This Row],[Battery]]=[1]DATA!$L$3:$L$9826)*(EOMONTH(vp.data[[#This Row],[SDate]],-1)+1=[1]DATA!$G$3:$G$9826),0)),vp.data[[#This Row],[Sulf Input]]),"")</f>
        <v>0.78</v>
      </c>
      <c r="J627" s="2">
        <v>27.7</v>
      </c>
      <c r="K627" s="2">
        <v>1</v>
      </c>
      <c r="L627" s="2">
        <v>835.4</v>
      </c>
      <c r="M627" s="2">
        <f t="array" ref="M627">_xlfn.IFNA(IF(vp.data[[#This Row],[Dens Input]]="",INDEX([1]DATA!$O$3:$O$9826,MATCH(1,(vp.data[[#This Row],[Battery]]=[1]DATA!$L$3:$L$9826)*(EOMONTH(vp.data[[#This Row],[SDate]],-1)+1=[1]DATA!$G$3:$G$9826),0)),vp.data[[#This Row],[Dens Input]]),"")</f>
        <v>835.4</v>
      </c>
      <c r="N627" s="2">
        <f ca="1">INDEX(INDIRECT(_xlfn.CONCAT("weather.tbl[",N$1,"]")),MATCH(vp.data[[#This Row],[SDate]],weather.tbl[Date],0))</f>
        <v>-1.4166666666666667</v>
      </c>
      <c r="O627" s="2">
        <f ca="1">INDEX(INDIRECT(_xlfn.CONCAT("weather.tbl[",O$1,"]")),MATCH(vp.data[[#This Row],[SDate]],weather.tbl[Date],0))</f>
        <v>-9.8166666666666682</v>
      </c>
      <c r="P627" s="2">
        <f ca="1">INDEX(INDIRECT(_xlfn.CONCAT("weather.tbl[",P$1,"]")),MATCH(vp.data[[#This Row],[SDate]],weather.tbl[Date],0))</f>
        <v>-2.2000000000000002</v>
      </c>
      <c r="Q627" s="2">
        <f ca="1">INDEX(INDIRECT(_xlfn.CONCAT("weather.tbl[",Q$1,"]")),MATCH(vp.data[[#This Row],[SDate]],weather.tbl[Date],0))</f>
        <v>-2.4</v>
      </c>
      <c r="R627" s="2">
        <f ca="1">INDEX(INDIRECT(_xlfn.CONCAT("weather.tbl[",R$1,"]")),MATCH(vp.data[[#This Row],[SDate]],weather.tbl[Date],0))</f>
        <v>-1.8</v>
      </c>
      <c r="S627" s="2">
        <f ca="1">INDEX(INDIRECT(_xlfn.CONCAT("weather.tbl[",S$1,"]")),MATCH(vp.data[[#This Row],[SDate]],weather.tbl[Date],0))</f>
        <v>0.2</v>
      </c>
      <c r="T627" s="2">
        <f ca="1">INDEX(INDIRECT(_xlfn.CONCAT("weather.tbl[",T$1,"]")),MATCH(vp.data[[#This Row],[SDate]],weather.tbl[Date],0))</f>
        <v>-3.8</v>
      </c>
      <c r="U627" s="2">
        <f ca="1">INDEX(INDIRECT(_xlfn.CONCAT("weather.tbl[",U$1,"]")),MATCH(vp.data[[#This Row],[SDate]],weather.tbl[Date],0))</f>
        <v>1.5</v>
      </c>
      <c r="V627" s="2">
        <f t="array" ref="V6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9355.1880000000001</v>
      </c>
      <c r="W627" t="s">
        <v>48</v>
      </c>
      <c r="X627">
        <f>IF(OR(vp.data[[#This Row],[Sulf]]="",vp.data[[#This Row],[Dens]]=""),1,0)</f>
        <v>0</v>
      </c>
      <c r="Y627">
        <f>IF(vp.data[[#This Row],[CrudeType]]="C5+",1,0)</f>
        <v>0</v>
      </c>
      <c r="Z627">
        <f>IF(AND(vp.data[[#This Row],[CrudeType]]="Crude",vp.data[[#This Row],[Dens]]&lt;=825,vp.data[[#This Row],[Sulf]]&gt;0.5,vp.data[[#This Row],[Unknown]]=0),1,0)</f>
        <v>0</v>
      </c>
      <c r="AA627">
        <f>IF(AND(vp.data[[#This Row],[CrudeType]]="Crude",vp.data[[#This Row],[Dens]]&lt;=825,vp.data[[#This Row],[Sulf]]&lt;=0.5,vp.data[[#This Row],[Unknown]]=0),1,0)</f>
        <v>0</v>
      </c>
      <c r="AB6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7">
        <f>IF(AND(vp.data[[#This Row],[CrudeType]]="Crude",vp.data[[#This Row],[Dens]]&gt;825,vp.data[[#This Row],[Dens]]&lt;=900,vp.data[[#This Row],[Sulf]]&lt;=0.5,vp.data[[#This Row],[Unknown]]=0),1,0)</f>
        <v>0</v>
      </c>
      <c r="AD627">
        <f>IF(AND(vp.data[[#This Row],[CrudeType]]="Crude",vp.data[[#This Row],[Dens]]&gt;865,vp.data[[#This Row],[Dens]]&lt;=900,vp.data[[#This Row],[Sulf]]&gt;2,vp.data[[#This Row],[Unknown]]=0),1,0)</f>
        <v>0</v>
      </c>
      <c r="AE627">
        <f>IF(AND(vp.data[[#This Row],[CrudeType]]="Crude",vp.data[[#This Row],[Dens]]&gt;900,vp.data[[#This Row],[Sulf]]&lt;=0.5,vp.data[[#This Row],[Unknown]]=0),1,0)</f>
        <v>0</v>
      </c>
      <c r="AF627">
        <f>IF(AND(vp.data[[#This Row],[CrudeType]]="Crude",vp.data[[#This Row],[Dens]]&gt;900,vp.data[[#This Row],[Sulf]]&lt;=0.5,vp.data[[#This Row],[Unknown]]=0),1,0)</f>
        <v>0</v>
      </c>
      <c r="AG627" t="str">
        <f>INDEX(vp.data[[#Headers],[Unknown]:[Heavy_SW]],MATCH(1,vp.data[[#This Row],[Unknown]:[Heavy_SW]],0))</f>
        <v>Medium_LSB</v>
      </c>
      <c r="AH627">
        <f>INDEX([3]!crudeBD.lkup[Number],MATCH(vp.data[[#This Row],[Crude_Breakdown]],crudeBD.lkup[Crude Breakdown],0))</f>
        <v>3</v>
      </c>
      <c r="AI627">
        <f>MONTH(vp.data[[#This Row],[SDate]])</f>
        <v>1</v>
      </c>
      <c r="AJ627" s="5">
        <f>(vp.data[[#This Row],[VP]]-INDEX(crudeBD.lkup[Mean_VP],MATCH(vp.data[[#This Row],[Crude_Breakdown]],crudeBD.lkup[Crude Breakdown],0)))^2</f>
        <v>0.1298329887170763</v>
      </c>
      <c r="AK627" s="5">
        <f>(vp.data[[#This Row],[Dens]]-INDEX(crudeBD.lkup[Mean_Dens],MATCH(vp.data[[#This Row],[Crude_Breakdown]],crudeBD.lkup[Crude Breakdown],0)))^2</f>
        <v>72.590399999991945</v>
      </c>
      <c r="AL627" s="5">
        <f>(vp.data[[#This Row],[Sulf]]-INDEX(crudeBD.lkup[Mean_Sulf],MATCH(vp.data[[#This Row],[Crude_Breakdown]],crudeBD.lkup[Crude Breakdown],0)))^2</f>
        <v>0.36651899985580222</v>
      </c>
      <c r="AM627" s="4">
        <f>IF(AND(vp.data[[#This Row],[SDate]]&gt;=DATE(YEAR(vp.data[[#This Row],[SDate]]),5,1),vp.data[[#This Row],[SDate]]&lt;=DATE(YEAR(vp.data[[#This Row],[SDate]]),9,15)),1,0)</f>
        <v>0</v>
      </c>
      <c r="AN627" s="4">
        <f>IF(vp.data[[#This Row],[SDate]]&lt;DATE(2016,12,1),0,1)</f>
        <v>1</v>
      </c>
      <c r="AO627" s="4">
        <f>IFERROR(vp.data[[#This Row],[Sulf]]*vp.data[[#This Row],[Net Dens]],"")</f>
        <v>6095952.7630560007</v>
      </c>
      <c r="AP627">
        <f>IFERROR(vp.data[[#This Row],[Dens]]*vp.data[[#This Row],[VolumeM3]],"")</f>
        <v>7815324.0552000003</v>
      </c>
      <c r="AQ627" s="15">
        <f>IFERROR(vp.data[[#This Row],[VP]]*vp.data[[#This Row],[VolumeM3]],"")</f>
        <v>757770.228</v>
      </c>
    </row>
    <row r="628" spans="1:43" x14ac:dyDescent="0.25">
      <c r="A628">
        <v>627</v>
      </c>
      <c r="B628" t="s">
        <v>49</v>
      </c>
      <c r="C628" t="s">
        <v>49</v>
      </c>
      <c r="D628" t="s">
        <v>143</v>
      </c>
      <c r="F628" s="1">
        <v>42754</v>
      </c>
      <c r="G628" s="2">
        <v>70.3</v>
      </c>
      <c r="H628" s="2"/>
      <c r="I628" s="2">
        <f t="array" ref="I628">_xlfn.IFNA(IF(vp.data[[#This Row],[Sulf Input]]="",INDEX([1]DATA!$Q$3:$Q$9826,MATCH(1,(vp.data[[#This Row],[Battery]]=[1]DATA!$L$3:$L$9826)*(EOMONTH(vp.data[[#This Row],[SDate]],-1)+1=[1]DATA!$G$3:$G$9826),0)),vp.data[[#This Row],[Sulf Input]]),"")</f>
        <v>0.71</v>
      </c>
      <c r="J628" s="2">
        <v>12.1</v>
      </c>
      <c r="K628" s="2">
        <v>1</v>
      </c>
      <c r="L628" s="2">
        <v>836</v>
      </c>
      <c r="M628" s="2">
        <f t="array" ref="M628">_xlfn.IFNA(IF(vp.data[[#This Row],[Dens Input]]="",INDEX([1]DATA!$O$3:$O$9826,MATCH(1,(vp.data[[#This Row],[Battery]]=[1]DATA!$L$3:$L$9826)*(EOMONTH(vp.data[[#This Row],[SDate]],-1)+1=[1]DATA!$G$3:$G$9826),0)),vp.data[[#This Row],[Dens Input]]),"")</f>
        <v>836</v>
      </c>
      <c r="N628" s="2">
        <f ca="1">INDEX(INDIRECT(_xlfn.CONCAT("weather.tbl[",N$1,"]")),MATCH(vp.data[[#This Row],[SDate]],weather.tbl[Date],0))</f>
        <v>-1.4166666666666667</v>
      </c>
      <c r="O628" s="2">
        <f ca="1">INDEX(INDIRECT(_xlfn.CONCAT("weather.tbl[",O$1,"]")),MATCH(vp.data[[#This Row],[SDate]],weather.tbl[Date],0))</f>
        <v>-9.8166666666666682</v>
      </c>
      <c r="P628" s="2">
        <f ca="1">INDEX(INDIRECT(_xlfn.CONCAT("weather.tbl[",P$1,"]")),MATCH(vp.data[[#This Row],[SDate]],weather.tbl[Date],0))</f>
        <v>-2.2000000000000002</v>
      </c>
      <c r="Q628" s="2">
        <f ca="1">INDEX(INDIRECT(_xlfn.CONCAT("weather.tbl[",Q$1,"]")),MATCH(vp.data[[#This Row],[SDate]],weather.tbl[Date],0))</f>
        <v>-2.4</v>
      </c>
      <c r="R628" s="2">
        <f ca="1">INDEX(INDIRECT(_xlfn.CONCAT("weather.tbl[",R$1,"]")),MATCH(vp.data[[#This Row],[SDate]],weather.tbl[Date],0))</f>
        <v>-1.8</v>
      </c>
      <c r="S628" s="2">
        <f ca="1">INDEX(INDIRECT(_xlfn.CONCAT("weather.tbl[",S$1,"]")),MATCH(vp.data[[#This Row],[SDate]],weather.tbl[Date],0))</f>
        <v>0.2</v>
      </c>
      <c r="T628" s="2">
        <f ca="1">INDEX(INDIRECT(_xlfn.CONCAT("weather.tbl[",T$1,"]")),MATCH(vp.data[[#This Row],[SDate]],weather.tbl[Date],0))</f>
        <v>-3.8</v>
      </c>
      <c r="U628" s="2">
        <f ca="1">INDEX(INDIRECT(_xlfn.CONCAT("weather.tbl[",U$1,"]")),MATCH(vp.data[[#This Row],[SDate]],weather.tbl[Date],0))</f>
        <v>1.5</v>
      </c>
      <c r="V628" s="2">
        <f t="array" ref="V6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267.70999999999998</v>
      </c>
      <c r="W628" t="s">
        <v>48</v>
      </c>
      <c r="X628">
        <f>IF(OR(vp.data[[#This Row],[Sulf]]="",vp.data[[#This Row],[Dens]]=""),1,0)</f>
        <v>0</v>
      </c>
      <c r="Y628">
        <f>IF(vp.data[[#This Row],[CrudeType]]="C5+",1,0)</f>
        <v>0</v>
      </c>
      <c r="Z628">
        <f>IF(AND(vp.data[[#This Row],[CrudeType]]="Crude",vp.data[[#This Row],[Dens]]&lt;=825,vp.data[[#This Row],[Sulf]]&gt;0.5,vp.data[[#This Row],[Unknown]]=0),1,0)</f>
        <v>0</v>
      </c>
      <c r="AA628">
        <f>IF(AND(vp.data[[#This Row],[CrudeType]]="Crude",vp.data[[#This Row],[Dens]]&lt;=825,vp.data[[#This Row],[Sulf]]&lt;=0.5,vp.data[[#This Row],[Unknown]]=0),1,0)</f>
        <v>0</v>
      </c>
      <c r="AB6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8">
        <f>IF(AND(vp.data[[#This Row],[CrudeType]]="Crude",vp.data[[#This Row],[Dens]]&gt;825,vp.data[[#This Row],[Dens]]&lt;=900,vp.data[[#This Row],[Sulf]]&lt;=0.5,vp.data[[#This Row],[Unknown]]=0),1,0)</f>
        <v>0</v>
      </c>
      <c r="AD628">
        <f>IF(AND(vp.data[[#This Row],[CrudeType]]="Crude",vp.data[[#This Row],[Dens]]&gt;865,vp.data[[#This Row],[Dens]]&lt;=900,vp.data[[#This Row],[Sulf]]&gt;2,vp.data[[#This Row],[Unknown]]=0),1,0)</f>
        <v>0</v>
      </c>
      <c r="AE628">
        <f>IF(AND(vp.data[[#This Row],[CrudeType]]="Crude",vp.data[[#This Row],[Dens]]&gt;900,vp.data[[#This Row],[Sulf]]&lt;=0.5,vp.data[[#This Row],[Unknown]]=0),1,0)</f>
        <v>0</v>
      </c>
      <c r="AF628">
        <f>IF(AND(vp.data[[#This Row],[CrudeType]]="Crude",vp.data[[#This Row],[Dens]]&gt;900,vp.data[[#This Row],[Sulf]]&lt;=0.5,vp.data[[#This Row],[Unknown]]=0),1,0)</f>
        <v>0</v>
      </c>
      <c r="AG628" t="str">
        <f>INDEX(vp.data[[#Headers],[Unknown]:[Heavy_SW]],MATCH(1,vp.data[[#This Row],[Unknown]:[Heavy_SW]],0))</f>
        <v>Medium_LSB</v>
      </c>
      <c r="AH628">
        <f>INDEX([3]!crudeBD.lkup[Number],MATCH(vp.data[[#This Row],[Crude_Breakdown]],crudeBD.lkup[Crude Breakdown],0))</f>
        <v>3</v>
      </c>
      <c r="AI628">
        <f>MONTH(vp.data[[#This Row],[SDate]])</f>
        <v>1</v>
      </c>
      <c r="AJ628" s="5">
        <f>(vp.data[[#This Row],[VP]]-INDEX(crudeBD.lkup[Mean_VP],MATCH(vp.data[[#This Row],[Crude_Breakdown]],crudeBD.lkup[Crude Breakdown],0)))^2</f>
        <v>106.9089111558315</v>
      </c>
      <c r="AK628" s="5">
        <f>(vp.data[[#This Row],[Dens]]-INDEX(crudeBD.lkup[Mean_Dens],MATCH(vp.data[[#This Row],[Crude_Breakdown]],crudeBD.lkup[Crude Breakdown],0)))^2</f>
        <v>62.726399999992147</v>
      </c>
      <c r="AL628" s="5">
        <f>(vp.data[[#This Row],[Sulf]]-INDEX(crudeBD.lkup[Mean_Sulf],MATCH(vp.data[[#This Row],[Crude_Breakdown]],crudeBD.lkup[Crude Breakdown],0)))^2</f>
        <v>0.4561761375916516</v>
      </c>
      <c r="AM628" s="4">
        <f>IF(AND(vp.data[[#This Row],[SDate]]&gt;=DATE(YEAR(vp.data[[#This Row],[SDate]]),5,1),vp.data[[#This Row],[SDate]]&lt;=DATE(YEAR(vp.data[[#This Row],[SDate]]),9,15)),1,0)</f>
        <v>0</v>
      </c>
      <c r="AN628" s="4">
        <f>IF(vp.data[[#This Row],[SDate]]&lt;DATE(2016,12,1),0,1)</f>
        <v>1</v>
      </c>
      <c r="AO628" s="4">
        <f>IFERROR(vp.data[[#This Row],[Sulf]]*vp.data[[#This Row],[Net Dens]],"")</f>
        <v>158901.94759999996</v>
      </c>
      <c r="AP628">
        <f>IFERROR(vp.data[[#This Row],[Dens]]*vp.data[[#This Row],[VolumeM3]],"")</f>
        <v>223805.55999999997</v>
      </c>
      <c r="AQ628" s="15">
        <f>IFERROR(vp.data[[#This Row],[VP]]*vp.data[[#This Row],[VolumeM3]],"")</f>
        <v>18820.012999999999</v>
      </c>
    </row>
    <row r="629" spans="1:43" x14ac:dyDescent="0.25">
      <c r="A629">
        <v>628</v>
      </c>
      <c r="B629" t="s">
        <v>51</v>
      </c>
      <c r="C629" t="s">
        <v>51</v>
      </c>
      <c r="D629" t="s">
        <v>95</v>
      </c>
      <c r="F629" s="1">
        <v>42754</v>
      </c>
      <c r="G629" s="2">
        <v>60.3</v>
      </c>
      <c r="H629" s="2"/>
      <c r="I629" s="2">
        <f t="array" ref="I629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629" s="2">
        <v>36.299999999999997</v>
      </c>
      <c r="K629" s="2">
        <v>1</v>
      </c>
      <c r="L629" s="2">
        <v>845.1</v>
      </c>
      <c r="M629" s="2">
        <f t="array" ref="M629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629" s="2">
        <f ca="1">INDEX(INDIRECT(_xlfn.CONCAT("weather.tbl[",N$1,"]")),MATCH(vp.data[[#This Row],[SDate]],weather.tbl[Date],0))</f>
        <v>-1.4166666666666667</v>
      </c>
      <c r="O629" s="2">
        <f ca="1">INDEX(INDIRECT(_xlfn.CONCAT("weather.tbl[",O$1,"]")),MATCH(vp.data[[#This Row],[SDate]],weather.tbl[Date],0))</f>
        <v>-9.8166666666666682</v>
      </c>
      <c r="P629" s="2">
        <f ca="1">INDEX(INDIRECT(_xlfn.CONCAT("weather.tbl[",P$1,"]")),MATCH(vp.data[[#This Row],[SDate]],weather.tbl[Date],0))</f>
        <v>-2.2000000000000002</v>
      </c>
      <c r="Q629" s="2">
        <f ca="1">INDEX(INDIRECT(_xlfn.CONCAT("weather.tbl[",Q$1,"]")),MATCH(vp.data[[#This Row],[SDate]],weather.tbl[Date],0))</f>
        <v>-2.4</v>
      </c>
      <c r="R629" s="2">
        <f ca="1">INDEX(INDIRECT(_xlfn.CONCAT("weather.tbl[",R$1,"]")),MATCH(vp.data[[#This Row],[SDate]],weather.tbl[Date],0))</f>
        <v>-1.8</v>
      </c>
      <c r="S629" s="2">
        <f ca="1">INDEX(INDIRECT(_xlfn.CONCAT("weather.tbl[",S$1,"]")),MATCH(vp.data[[#This Row],[SDate]],weather.tbl[Date],0))</f>
        <v>0.2</v>
      </c>
      <c r="T629" s="2">
        <f ca="1">INDEX(INDIRECT(_xlfn.CONCAT("weather.tbl[",T$1,"]")),MATCH(vp.data[[#This Row],[SDate]],weather.tbl[Date],0))</f>
        <v>-3.8</v>
      </c>
      <c r="U629" s="2">
        <f ca="1">INDEX(INDIRECT(_xlfn.CONCAT("weather.tbl[",U$1,"]")),MATCH(vp.data[[#This Row],[SDate]],weather.tbl[Date],0))</f>
        <v>1.5</v>
      </c>
      <c r="V629" s="2">
        <f t="array" ref="V6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6182.9449999999997</v>
      </c>
      <c r="W629" t="s">
        <v>48</v>
      </c>
      <c r="X629">
        <f>IF(OR(vp.data[[#This Row],[Sulf]]="",vp.data[[#This Row],[Dens]]=""),1,0)</f>
        <v>0</v>
      </c>
      <c r="Y629">
        <f>IF(vp.data[[#This Row],[CrudeType]]="C5+",1,0)</f>
        <v>0</v>
      </c>
      <c r="Z629">
        <f>IF(AND(vp.data[[#This Row],[CrudeType]]="Crude",vp.data[[#This Row],[Dens]]&lt;=825,vp.data[[#This Row],[Sulf]]&gt;0.5,vp.data[[#This Row],[Unknown]]=0),1,0)</f>
        <v>0</v>
      </c>
      <c r="AA629">
        <f>IF(AND(vp.data[[#This Row],[CrudeType]]="Crude",vp.data[[#This Row],[Dens]]&lt;=825,vp.data[[#This Row],[Sulf]]&lt;=0.5,vp.data[[#This Row],[Unknown]]=0),1,0)</f>
        <v>0</v>
      </c>
      <c r="AB6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29">
        <f>IF(AND(vp.data[[#This Row],[CrudeType]]="Crude",vp.data[[#This Row],[Dens]]&gt;825,vp.data[[#This Row],[Dens]]&lt;=900,vp.data[[#This Row],[Sulf]]&lt;=0.5,vp.data[[#This Row],[Unknown]]=0),1,0)</f>
        <v>0</v>
      </c>
      <c r="AD629">
        <f>IF(AND(vp.data[[#This Row],[CrudeType]]="Crude",vp.data[[#This Row],[Dens]]&gt;865,vp.data[[#This Row],[Dens]]&lt;=900,vp.data[[#This Row],[Sulf]]&gt;2,vp.data[[#This Row],[Unknown]]=0),1,0)</f>
        <v>0</v>
      </c>
      <c r="AE629">
        <f>IF(AND(vp.data[[#This Row],[CrudeType]]="Crude",vp.data[[#This Row],[Dens]]&gt;900,vp.data[[#This Row],[Sulf]]&lt;=0.5,vp.data[[#This Row],[Unknown]]=0),1,0)</f>
        <v>0</v>
      </c>
      <c r="AF629">
        <f>IF(AND(vp.data[[#This Row],[CrudeType]]="Crude",vp.data[[#This Row],[Dens]]&gt;900,vp.data[[#This Row],[Sulf]]&lt;=0.5,vp.data[[#This Row],[Unknown]]=0),1,0)</f>
        <v>0</v>
      </c>
      <c r="AG629" t="str">
        <f>INDEX(vp.data[[#Headers],[Unknown]:[Heavy_SW]],MATCH(1,vp.data[[#This Row],[Unknown]:[Heavy_SW]],0))</f>
        <v>Medium_LSB</v>
      </c>
      <c r="AH629">
        <f>INDEX([3]!crudeBD.lkup[Number],MATCH(vp.data[[#This Row],[Crude_Breakdown]],crudeBD.lkup[Crude Breakdown],0))</f>
        <v>3</v>
      </c>
      <c r="AI629">
        <f>MONTH(vp.data[[#This Row],[SDate]])</f>
        <v>1</v>
      </c>
      <c r="AJ629" s="5">
        <f>(vp.data[[#This Row],[VP]]-INDEX(crudeBD.lkup[Mean_VP],MATCH(vp.data[[#This Row],[Crude_Breakdown]],crudeBD.lkup[Crude Breakdown],0)))^2</f>
        <v>413.70244215313471</v>
      </c>
      <c r="AK629" s="5">
        <f>(vp.data[[#This Row],[Dens]]-INDEX(crudeBD.lkup[Mean_Dens],MATCH(vp.data[[#This Row],[Crude_Breakdown]],crudeBD.lkup[Crude Breakdown],0)))^2</f>
        <v>1.3924000000012235</v>
      </c>
      <c r="AL629" s="5">
        <f>(vp.data[[#This Row],[Sulf]]-INDEX(crudeBD.lkup[Mean_Sulf],MATCH(vp.data[[#This Row],[Crude_Breakdown]],crudeBD.lkup[Crude Breakdown],0)))^2</f>
        <v>2.7359848373321144E-2</v>
      </c>
      <c r="AM629" s="4">
        <f>IF(AND(vp.data[[#This Row],[SDate]]&gt;=DATE(YEAR(vp.data[[#This Row],[SDate]]),5,1),vp.data[[#This Row],[SDate]]&lt;=DATE(YEAR(vp.data[[#This Row],[SDate]]),9,15)),1,0)</f>
        <v>0</v>
      </c>
      <c r="AN629" s="4">
        <f>IF(vp.data[[#This Row],[SDate]]&lt;DATE(2016,12,1),0,1)</f>
        <v>1</v>
      </c>
      <c r="AO629" s="4">
        <f>IFERROR(vp.data[[#This Row],[Sulf]]*vp.data[[#This Row],[Net Dens]],"")</f>
        <v>6374752.3197900001</v>
      </c>
      <c r="AP629">
        <f>IFERROR(vp.data[[#This Row],[Dens]]*vp.data[[#This Row],[VolumeM3]],"")</f>
        <v>5225206.8195000002</v>
      </c>
      <c r="AQ629" s="15">
        <f>IFERROR(vp.data[[#This Row],[VP]]*vp.data[[#This Row],[VolumeM3]],"")</f>
        <v>372831.58349999995</v>
      </c>
    </row>
    <row r="630" spans="1:43" x14ac:dyDescent="0.25">
      <c r="A630">
        <v>629</v>
      </c>
      <c r="B630" t="s">
        <v>49</v>
      </c>
      <c r="C630" t="s">
        <v>49</v>
      </c>
      <c r="D630" t="s">
        <v>144</v>
      </c>
      <c r="F630" s="1">
        <v>42754</v>
      </c>
      <c r="G630" s="2">
        <v>69.099999999999994</v>
      </c>
      <c r="H630" s="2"/>
      <c r="I630" s="2">
        <f t="array" ref="I630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630" s="2">
        <v>17.7</v>
      </c>
      <c r="K630" s="2">
        <v>1</v>
      </c>
      <c r="L630" s="2">
        <v>849.6</v>
      </c>
      <c r="M630" s="2">
        <f t="array" ref="M630">_xlfn.IFNA(IF(vp.data[[#This Row],[Dens Input]]="",INDEX([1]DATA!$O$3:$O$9826,MATCH(1,(vp.data[[#This Row],[Battery]]=[1]DATA!$L$3:$L$9826)*(EOMONTH(vp.data[[#This Row],[SDate]],-1)+1=[1]DATA!$G$3:$G$9826),0)),vp.data[[#This Row],[Dens Input]]),"")</f>
        <v>849.6</v>
      </c>
      <c r="N630" s="2">
        <f ca="1">INDEX(INDIRECT(_xlfn.CONCAT("weather.tbl[",N$1,"]")),MATCH(vp.data[[#This Row],[SDate]],weather.tbl[Date],0))</f>
        <v>-1.4166666666666667</v>
      </c>
      <c r="O630" s="2">
        <f ca="1">INDEX(INDIRECT(_xlfn.CONCAT("weather.tbl[",O$1,"]")),MATCH(vp.data[[#This Row],[SDate]],weather.tbl[Date],0))</f>
        <v>-9.8166666666666682</v>
      </c>
      <c r="P630" s="2">
        <f ca="1">INDEX(INDIRECT(_xlfn.CONCAT("weather.tbl[",P$1,"]")),MATCH(vp.data[[#This Row],[SDate]],weather.tbl[Date],0))</f>
        <v>-2.2000000000000002</v>
      </c>
      <c r="Q630" s="2">
        <f ca="1">INDEX(INDIRECT(_xlfn.CONCAT("weather.tbl[",Q$1,"]")),MATCH(vp.data[[#This Row],[SDate]],weather.tbl[Date],0))</f>
        <v>-2.4</v>
      </c>
      <c r="R630" s="2">
        <f ca="1">INDEX(INDIRECT(_xlfn.CONCAT("weather.tbl[",R$1,"]")),MATCH(vp.data[[#This Row],[SDate]],weather.tbl[Date],0))</f>
        <v>-1.8</v>
      </c>
      <c r="S630" s="2">
        <f ca="1">INDEX(INDIRECT(_xlfn.CONCAT("weather.tbl[",S$1,"]")),MATCH(vp.data[[#This Row],[SDate]],weather.tbl[Date],0))</f>
        <v>0.2</v>
      </c>
      <c r="T630" s="2">
        <f ca="1">INDEX(INDIRECT(_xlfn.CONCAT("weather.tbl[",T$1,"]")),MATCH(vp.data[[#This Row],[SDate]],weather.tbl[Date],0))</f>
        <v>-3.8</v>
      </c>
      <c r="U630" s="2">
        <f ca="1">INDEX(INDIRECT(_xlfn.CONCAT("weather.tbl[",U$1,"]")),MATCH(vp.data[[#This Row],[SDate]],weather.tbl[Date],0))</f>
        <v>1.5</v>
      </c>
      <c r="V630" s="2">
        <f t="array" ref="V6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1225.9649999999999</v>
      </c>
      <c r="W630" t="s">
        <v>48</v>
      </c>
      <c r="X630">
        <f>IF(OR(vp.data[[#This Row],[Sulf]]="",vp.data[[#This Row],[Dens]]=""),1,0)</f>
        <v>0</v>
      </c>
      <c r="Y630">
        <f>IF(vp.data[[#This Row],[CrudeType]]="C5+",1,0)</f>
        <v>0</v>
      </c>
      <c r="Z630">
        <f>IF(AND(vp.data[[#This Row],[CrudeType]]="Crude",vp.data[[#This Row],[Dens]]&lt;=825,vp.data[[#This Row],[Sulf]]&gt;0.5,vp.data[[#This Row],[Unknown]]=0),1,0)</f>
        <v>0</v>
      </c>
      <c r="AA630">
        <f>IF(AND(vp.data[[#This Row],[CrudeType]]="Crude",vp.data[[#This Row],[Dens]]&lt;=825,vp.data[[#This Row],[Sulf]]&lt;=0.5,vp.data[[#This Row],[Unknown]]=0),1,0)</f>
        <v>0</v>
      </c>
      <c r="AB6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0">
        <f>IF(AND(vp.data[[#This Row],[CrudeType]]="Crude",vp.data[[#This Row],[Dens]]&gt;825,vp.data[[#This Row],[Dens]]&lt;=900,vp.data[[#This Row],[Sulf]]&lt;=0.5,vp.data[[#This Row],[Unknown]]=0),1,0)</f>
        <v>0</v>
      </c>
      <c r="AD630">
        <f>IF(AND(vp.data[[#This Row],[CrudeType]]="Crude",vp.data[[#This Row],[Dens]]&gt;865,vp.data[[#This Row],[Dens]]&lt;=900,vp.data[[#This Row],[Sulf]]&gt;2,vp.data[[#This Row],[Unknown]]=0),1,0)</f>
        <v>0</v>
      </c>
      <c r="AE630">
        <f>IF(AND(vp.data[[#This Row],[CrudeType]]="Crude",vp.data[[#This Row],[Dens]]&gt;900,vp.data[[#This Row],[Sulf]]&lt;=0.5,vp.data[[#This Row],[Unknown]]=0),1,0)</f>
        <v>0</v>
      </c>
      <c r="AF630">
        <f>IF(AND(vp.data[[#This Row],[CrudeType]]="Crude",vp.data[[#This Row],[Dens]]&gt;900,vp.data[[#This Row],[Sulf]]&lt;=0.5,vp.data[[#This Row],[Unknown]]=0),1,0)</f>
        <v>0</v>
      </c>
      <c r="AG630" t="str">
        <f>INDEX(vp.data[[#Headers],[Unknown]:[Heavy_SW]],MATCH(1,vp.data[[#This Row],[Unknown]:[Heavy_SW]],0))</f>
        <v>Medium_LSB</v>
      </c>
      <c r="AH630">
        <f>INDEX([3]!crudeBD.lkup[Number],MATCH(vp.data[[#This Row],[Crude_Breakdown]],crudeBD.lkup[Crude Breakdown],0))</f>
        <v>3</v>
      </c>
      <c r="AI630">
        <f>MONTH(vp.data[[#This Row],[SDate]])</f>
        <v>1</v>
      </c>
      <c r="AJ630" s="5">
        <f>(vp.data[[#This Row],[VP]]-INDEX(crudeBD.lkup[Mean_VP],MATCH(vp.data[[#This Row],[Crude_Breakdown]],crudeBD.lkup[Crude Breakdown],0)))^2</f>
        <v>133.16413487550795</v>
      </c>
      <c r="AK630" s="5">
        <f>(vp.data[[#This Row],[Dens]]-INDEX(crudeBD.lkup[Mean_Dens],MATCH(vp.data[[#This Row],[Crude_Breakdown]],crudeBD.lkup[Crude Breakdown],0)))^2</f>
        <v>32.26240000000589</v>
      </c>
      <c r="AL630" s="5">
        <f>(vp.data[[#This Row],[Sulf]]-INDEX(crudeBD.lkup[Mean_Sulf],MATCH(vp.data[[#This Row],[Crude_Breakdown]],crudeBD.lkup[Crude Breakdown],0)))^2</f>
        <v>3.0700605027008461E-3</v>
      </c>
      <c r="AM630" s="4">
        <f>IF(AND(vp.data[[#This Row],[SDate]]&gt;=DATE(YEAR(vp.data[[#This Row],[SDate]]),5,1),vp.data[[#This Row],[SDate]]&lt;=DATE(YEAR(vp.data[[#This Row],[SDate]]),9,15)),1,0)</f>
        <v>0</v>
      </c>
      <c r="AN630" s="4">
        <f>IF(vp.data[[#This Row],[SDate]]&lt;DATE(2016,12,1),0,1)</f>
        <v>1</v>
      </c>
      <c r="AO630" s="4">
        <f>IFERROR(vp.data[[#This Row],[Sulf]]*vp.data[[#This Row],[Net Dens]],"")</f>
        <v>1385301.21912</v>
      </c>
      <c r="AP630">
        <f>IFERROR(vp.data[[#This Row],[Dens]]*vp.data[[#This Row],[VolumeM3]],"")</f>
        <v>1041579.8639999999</v>
      </c>
      <c r="AQ630" s="15">
        <f>IFERROR(vp.data[[#This Row],[VP]]*vp.data[[#This Row],[VolumeM3]],"")</f>
        <v>84714.181499999992</v>
      </c>
    </row>
    <row r="631" spans="1:43" x14ac:dyDescent="0.25">
      <c r="A631">
        <v>630</v>
      </c>
      <c r="B631" t="s">
        <v>49</v>
      </c>
      <c r="C631" t="s">
        <v>49</v>
      </c>
      <c r="D631" t="s">
        <v>145</v>
      </c>
      <c r="F631" s="1">
        <v>42754</v>
      </c>
      <c r="G631" s="2">
        <v>53.2</v>
      </c>
      <c r="H631" s="2"/>
      <c r="I631" s="2">
        <f t="array" ref="I631">_xlfn.IFNA(IF(vp.data[[#This Row],[Sulf Input]]="",INDEX([1]DATA!$Q$3:$Q$9826,MATCH(1,(vp.data[[#This Row],[Battery]]=[1]DATA!$L$3:$L$9826)*(EOMONTH(vp.data[[#This Row],[SDate]],-1)+1=[1]DATA!$G$3:$G$9826),0)),vp.data[[#This Row],[Sulf Input]]),"")</f>
        <v>1.02</v>
      </c>
      <c r="J631" s="2">
        <v>3.3</v>
      </c>
      <c r="K631" s="2">
        <v>1</v>
      </c>
      <c r="L631" s="2">
        <v>849.9</v>
      </c>
      <c r="M631" s="2">
        <f t="array" ref="M631">_xlfn.IFNA(IF(vp.data[[#This Row],[Dens Input]]="",INDEX([1]DATA!$O$3:$O$9826,MATCH(1,(vp.data[[#This Row],[Battery]]=[1]DATA!$L$3:$L$9826)*(EOMONTH(vp.data[[#This Row],[SDate]],-1)+1=[1]DATA!$G$3:$G$9826),0)),vp.data[[#This Row],[Dens Input]]),"")</f>
        <v>849.9</v>
      </c>
      <c r="N631" s="2">
        <f ca="1">INDEX(INDIRECT(_xlfn.CONCAT("weather.tbl[",N$1,"]")),MATCH(vp.data[[#This Row],[SDate]],weather.tbl[Date],0))</f>
        <v>-1.4166666666666667</v>
      </c>
      <c r="O631" s="2">
        <f ca="1">INDEX(INDIRECT(_xlfn.CONCAT("weather.tbl[",O$1,"]")),MATCH(vp.data[[#This Row],[SDate]],weather.tbl[Date],0))</f>
        <v>-9.8166666666666682</v>
      </c>
      <c r="P631" s="2">
        <f ca="1">INDEX(INDIRECT(_xlfn.CONCAT("weather.tbl[",P$1,"]")),MATCH(vp.data[[#This Row],[SDate]],weather.tbl[Date],0))</f>
        <v>-2.2000000000000002</v>
      </c>
      <c r="Q631" s="2">
        <f ca="1">INDEX(INDIRECT(_xlfn.CONCAT("weather.tbl[",Q$1,"]")),MATCH(vp.data[[#This Row],[SDate]],weather.tbl[Date],0))</f>
        <v>-2.4</v>
      </c>
      <c r="R631" s="2">
        <f ca="1">INDEX(INDIRECT(_xlfn.CONCAT("weather.tbl[",R$1,"]")),MATCH(vp.data[[#This Row],[SDate]],weather.tbl[Date],0))</f>
        <v>-1.8</v>
      </c>
      <c r="S631" s="2">
        <f ca="1">INDEX(INDIRECT(_xlfn.CONCAT("weather.tbl[",S$1,"]")),MATCH(vp.data[[#This Row],[SDate]],weather.tbl[Date],0))</f>
        <v>0.2</v>
      </c>
      <c r="T631" s="2">
        <f ca="1">INDEX(INDIRECT(_xlfn.CONCAT("weather.tbl[",T$1,"]")),MATCH(vp.data[[#This Row],[SDate]],weather.tbl[Date],0))</f>
        <v>-3.8</v>
      </c>
      <c r="U631" s="2">
        <f ca="1">INDEX(INDIRECT(_xlfn.CONCAT("weather.tbl[",U$1,"]")),MATCH(vp.data[[#This Row],[SDate]],weather.tbl[Date],0))</f>
        <v>1.5</v>
      </c>
      <c r="V631" s="2">
        <f t="array" ref="V6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124.738</v>
      </c>
      <c r="W631" t="s">
        <v>48</v>
      </c>
      <c r="X631">
        <f>IF(OR(vp.data[[#This Row],[Sulf]]="",vp.data[[#This Row],[Dens]]=""),1,0)</f>
        <v>0</v>
      </c>
      <c r="Y631">
        <f>IF(vp.data[[#This Row],[CrudeType]]="C5+",1,0)</f>
        <v>0</v>
      </c>
      <c r="Z631">
        <f>IF(AND(vp.data[[#This Row],[CrudeType]]="Crude",vp.data[[#This Row],[Dens]]&lt;=825,vp.data[[#This Row],[Sulf]]&gt;0.5,vp.data[[#This Row],[Unknown]]=0),1,0)</f>
        <v>0</v>
      </c>
      <c r="AA631">
        <f>IF(AND(vp.data[[#This Row],[CrudeType]]="Crude",vp.data[[#This Row],[Dens]]&lt;=825,vp.data[[#This Row],[Sulf]]&lt;=0.5,vp.data[[#This Row],[Unknown]]=0),1,0)</f>
        <v>0</v>
      </c>
      <c r="AB6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1">
        <f>IF(AND(vp.data[[#This Row],[CrudeType]]="Crude",vp.data[[#This Row],[Dens]]&gt;825,vp.data[[#This Row],[Dens]]&lt;=900,vp.data[[#This Row],[Sulf]]&lt;=0.5,vp.data[[#This Row],[Unknown]]=0),1,0)</f>
        <v>0</v>
      </c>
      <c r="AD631">
        <f>IF(AND(vp.data[[#This Row],[CrudeType]]="Crude",vp.data[[#This Row],[Dens]]&gt;865,vp.data[[#This Row],[Dens]]&lt;=900,vp.data[[#This Row],[Sulf]]&gt;2,vp.data[[#This Row],[Unknown]]=0),1,0)</f>
        <v>0</v>
      </c>
      <c r="AE631">
        <f>IF(AND(vp.data[[#This Row],[CrudeType]]="Crude",vp.data[[#This Row],[Dens]]&gt;900,vp.data[[#This Row],[Sulf]]&lt;=0.5,vp.data[[#This Row],[Unknown]]=0),1,0)</f>
        <v>0</v>
      </c>
      <c r="AF631">
        <f>IF(AND(vp.data[[#This Row],[CrudeType]]="Crude",vp.data[[#This Row],[Dens]]&gt;900,vp.data[[#This Row],[Sulf]]&lt;=0.5,vp.data[[#This Row],[Unknown]]=0),1,0)</f>
        <v>0</v>
      </c>
      <c r="AG631" t="str">
        <f>INDEX(vp.data[[#Headers],[Unknown]:[Heavy_SW]],MATCH(1,vp.data[[#This Row],[Unknown]:[Heavy_SW]],0))</f>
        <v>Medium_LSB</v>
      </c>
      <c r="AH631">
        <f>INDEX([3]!crudeBD.lkup[Number],MATCH(vp.data[[#This Row],[Crude_Breakdown]],crudeBD.lkup[Crude Breakdown],0))</f>
        <v>3</v>
      </c>
      <c r="AI631">
        <f>MONTH(vp.data[[#This Row],[SDate]])</f>
        <v>1</v>
      </c>
      <c r="AJ631" s="5">
        <f>(vp.data[[#This Row],[VP]]-INDEX(crudeBD.lkup[Mean_VP],MATCH(vp.data[[#This Row],[Crude_Breakdown]],crudeBD.lkup[Crude Breakdown],0)))^2</f>
        <v>752.93584916121972</v>
      </c>
      <c r="AK631" s="5">
        <f>(vp.data[[#This Row],[Dens]]-INDEX(crudeBD.lkup[Mean_Dens],MATCH(vp.data[[#This Row],[Crude_Breakdown]],crudeBD.lkup[Crude Breakdown],0)))^2</f>
        <v>35.760400000005653</v>
      </c>
      <c r="AL631" s="5">
        <f>(vp.data[[#This Row],[Sulf]]-INDEX(crudeBD.lkup[Mean_Sulf],MATCH(vp.data[[#This Row],[Crude_Breakdown]],crudeBD.lkup[Crude Breakdown],0)))^2</f>
        <v>0.13352309904717619</v>
      </c>
      <c r="AM631" s="4">
        <f>IF(AND(vp.data[[#This Row],[SDate]]&gt;=DATE(YEAR(vp.data[[#This Row],[SDate]]),5,1),vp.data[[#This Row],[SDate]]&lt;=DATE(YEAR(vp.data[[#This Row],[SDate]]),9,15)),1,0)</f>
        <v>0</v>
      </c>
      <c r="AN631" s="4">
        <f>IF(vp.data[[#This Row],[SDate]]&lt;DATE(2016,12,1),0,1)</f>
        <v>1</v>
      </c>
      <c r="AO631" s="4">
        <f>IFERROR(vp.data[[#This Row],[Sulf]]*vp.data[[#This Row],[Net Dens]],"")</f>
        <v>108135.122724</v>
      </c>
      <c r="AP631">
        <f>IFERROR(vp.data[[#This Row],[Dens]]*vp.data[[#This Row],[VolumeM3]],"")</f>
        <v>106014.8262</v>
      </c>
      <c r="AQ631" s="15">
        <f>IFERROR(vp.data[[#This Row],[VP]]*vp.data[[#This Row],[VolumeM3]],"")</f>
        <v>6636.0616</v>
      </c>
    </row>
    <row r="632" spans="1:43" x14ac:dyDescent="0.25">
      <c r="A632">
        <v>631</v>
      </c>
      <c r="B632" t="s">
        <v>68</v>
      </c>
      <c r="C632" t="s">
        <v>68</v>
      </c>
      <c r="D632" t="s">
        <v>69</v>
      </c>
      <c r="F632" s="1">
        <v>42754</v>
      </c>
      <c r="G632" s="2">
        <v>74.400000000000006</v>
      </c>
      <c r="H632" s="2"/>
      <c r="I632" s="2">
        <f t="array" ref="I632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632" s="2">
        <v>10.5</v>
      </c>
      <c r="K632" s="2">
        <v>1</v>
      </c>
      <c r="L632" s="2">
        <v>861.8</v>
      </c>
      <c r="M632" s="2">
        <f t="array" ref="M632">_xlfn.IFNA(IF(vp.data[[#This Row],[Dens Input]]="",INDEX([1]DATA!$O$3:$O$9826,MATCH(1,(vp.data[[#This Row],[Battery]]=[1]DATA!$L$3:$L$9826)*(EOMONTH(vp.data[[#This Row],[SDate]],-1)+1=[1]DATA!$G$3:$G$9826),0)),vp.data[[#This Row],[Dens Input]]),"")</f>
        <v>861.8</v>
      </c>
      <c r="N632" s="2">
        <f ca="1">INDEX(INDIRECT(_xlfn.CONCAT("weather.tbl[",N$1,"]")),MATCH(vp.data[[#This Row],[SDate]],weather.tbl[Date],0))</f>
        <v>-1.4166666666666667</v>
      </c>
      <c r="O632" s="2">
        <f ca="1">INDEX(INDIRECT(_xlfn.CONCAT("weather.tbl[",O$1,"]")),MATCH(vp.data[[#This Row],[SDate]],weather.tbl[Date],0))</f>
        <v>-9.8166666666666682</v>
      </c>
      <c r="P632" s="2">
        <f ca="1">INDEX(INDIRECT(_xlfn.CONCAT("weather.tbl[",P$1,"]")),MATCH(vp.data[[#This Row],[SDate]],weather.tbl[Date],0))</f>
        <v>-2.2000000000000002</v>
      </c>
      <c r="Q632" s="2">
        <f ca="1">INDEX(INDIRECT(_xlfn.CONCAT("weather.tbl[",Q$1,"]")),MATCH(vp.data[[#This Row],[SDate]],weather.tbl[Date],0))</f>
        <v>-2.4</v>
      </c>
      <c r="R632" s="2">
        <f ca="1">INDEX(INDIRECT(_xlfn.CONCAT("weather.tbl[",R$1,"]")),MATCH(vp.data[[#This Row],[SDate]],weather.tbl[Date],0))</f>
        <v>-1.8</v>
      </c>
      <c r="S632" s="2">
        <f ca="1">INDEX(INDIRECT(_xlfn.CONCAT("weather.tbl[",S$1,"]")),MATCH(vp.data[[#This Row],[SDate]],weather.tbl[Date],0))</f>
        <v>0.2</v>
      </c>
      <c r="T632" s="2">
        <f ca="1">INDEX(INDIRECT(_xlfn.CONCAT("weather.tbl[",T$1,"]")),MATCH(vp.data[[#This Row],[SDate]],weather.tbl[Date],0))</f>
        <v>-3.8</v>
      </c>
      <c r="U632" s="2">
        <f ca="1">INDEX(INDIRECT(_xlfn.CONCAT("weather.tbl[",U$1,"]")),MATCH(vp.data[[#This Row],[SDate]],weather.tbl[Date],0))</f>
        <v>1.5</v>
      </c>
      <c r="V632" s="2">
        <f t="array" ref="V6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1452.5409999999999</v>
      </c>
      <c r="W632" t="s">
        <v>48</v>
      </c>
      <c r="X632">
        <f>IF(OR(vp.data[[#This Row],[Sulf]]="",vp.data[[#This Row],[Dens]]=""),1,0)</f>
        <v>0</v>
      </c>
      <c r="Y632">
        <f>IF(vp.data[[#This Row],[CrudeType]]="C5+",1,0)</f>
        <v>0</v>
      </c>
      <c r="Z632">
        <f>IF(AND(vp.data[[#This Row],[CrudeType]]="Crude",vp.data[[#This Row],[Dens]]&lt;=825,vp.data[[#This Row],[Sulf]]&gt;0.5,vp.data[[#This Row],[Unknown]]=0),1,0)</f>
        <v>0</v>
      </c>
      <c r="AA632">
        <f>IF(AND(vp.data[[#This Row],[CrudeType]]="Crude",vp.data[[#This Row],[Dens]]&lt;=825,vp.data[[#This Row],[Sulf]]&lt;=0.5,vp.data[[#This Row],[Unknown]]=0),1,0)</f>
        <v>0</v>
      </c>
      <c r="AB6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2">
        <f>IF(AND(vp.data[[#This Row],[CrudeType]]="Crude",vp.data[[#This Row],[Dens]]&gt;825,vp.data[[#This Row],[Dens]]&lt;=900,vp.data[[#This Row],[Sulf]]&lt;=0.5,vp.data[[#This Row],[Unknown]]=0),1,0)</f>
        <v>0</v>
      </c>
      <c r="AD632">
        <f>IF(AND(vp.data[[#This Row],[CrudeType]]="Crude",vp.data[[#This Row],[Dens]]&gt;865,vp.data[[#This Row],[Dens]]&lt;=900,vp.data[[#This Row],[Sulf]]&gt;2,vp.data[[#This Row],[Unknown]]=0),1,0)</f>
        <v>0</v>
      </c>
      <c r="AE632">
        <f>IF(AND(vp.data[[#This Row],[CrudeType]]="Crude",vp.data[[#This Row],[Dens]]&gt;900,vp.data[[#This Row],[Sulf]]&lt;=0.5,vp.data[[#This Row],[Unknown]]=0),1,0)</f>
        <v>0</v>
      </c>
      <c r="AF632">
        <f>IF(AND(vp.data[[#This Row],[CrudeType]]="Crude",vp.data[[#This Row],[Dens]]&gt;900,vp.data[[#This Row],[Sulf]]&lt;=0.5,vp.data[[#This Row],[Unknown]]=0),1,0)</f>
        <v>0</v>
      </c>
      <c r="AG632" t="str">
        <f>INDEX(vp.data[[#Headers],[Unknown]:[Heavy_SW]],MATCH(1,vp.data[[#This Row],[Unknown]:[Heavy_SW]],0))</f>
        <v>Medium_LSB</v>
      </c>
      <c r="AH632">
        <f>INDEX([3]!crudeBD.lkup[Number],MATCH(vp.data[[#This Row],[Crude_Breakdown]],crudeBD.lkup[Crude Breakdown],0))</f>
        <v>3</v>
      </c>
      <c r="AI632">
        <f>MONTH(vp.data[[#This Row],[SDate]])</f>
        <v>1</v>
      </c>
      <c r="AJ632" s="5">
        <f>(vp.data[[#This Row],[VP]]-INDEX(crudeBD.lkup[Mean_VP],MATCH(vp.data[[#This Row],[Crude_Breakdown]],crudeBD.lkup[Crude Breakdown],0)))^2</f>
        <v>38.933563446937086</v>
      </c>
      <c r="AK632" s="5">
        <f>(vp.data[[#This Row],[Dens]]-INDEX(crudeBD.lkup[Mean_Dens],MATCH(vp.data[[#This Row],[Crude_Breakdown]],crudeBD.lkup[Crude Breakdown],0)))^2</f>
        <v>319.69440000001612</v>
      </c>
      <c r="AL632" s="5">
        <f>(vp.data[[#This Row],[Sulf]]-INDEX(crudeBD.lkup[Mean_Sulf],MATCH(vp.data[[#This Row],[Crude_Breakdown]],crudeBD.lkup[Crude Breakdown],0)))^2</f>
        <v>0.15570274648652699</v>
      </c>
      <c r="AM632" s="4">
        <f>IF(AND(vp.data[[#This Row],[SDate]]&gt;=DATE(YEAR(vp.data[[#This Row],[SDate]]),5,1),vp.data[[#This Row],[SDate]]&lt;=DATE(YEAR(vp.data[[#This Row],[SDate]]),9,15)),1,0)</f>
        <v>0</v>
      </c>
      <c r="AN632" s="4">
        <f>IF(vp.data[[#This Row],[SDate]]&lt;DATE(2016,12,1),0,1)</f>
        <v>1</v>
      </c>
      <c r="AO632" s="4">
        <f>IFERROR(vp.data[[#This Row],[Sulf]]*vp.data[[#This Row],[Net Dens]],"")</f>
        <v>2228203.7041639998</v>
      </c>
      <c r="AP632">
        <f>IFERROR(vp.data[[#This Row],[Dens]]*vp.data[[#This Row],[VolumeM3]],"")</f>
        <v>1251799.8337999999</v>
      </c>
      <c r="AQ632" s="15">
        <f>IFERROR(vp.data[[#This Row],[VP]]*vp.data[[#This Row],[VolumeM3]],"")</f>
        <v>108069.05040000001</v>
      </c>
    </row>
    <row r="633" spans="1:43" x14ac:dyDescent="0.25">
      <c r="A633">
        <v>632</v>
      </c>
      <c r="B633" t="s">
        <v>60</v>
      </c>
      <c r="C633" t="s">
        <v>60</v>
      </c>
      <c r="D633" t="s">
        <v>61</v>
      </c>
      <c r="E633" t="s">
        <v>55</v>
      </c>
      <c r="F633" s="1">
        <v>42754</v>
      </c>
      <c r="G633" s="2">
        <v>88.1</v>
      </c>
      <c r="H633" s="2"/>
      <c r="I633" s="2">
        <f t="array" ref="I633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633" s="2">
        <v>6.7</v>
      </c>
      <c r="K633" s="2">
        <v>1</v>
      </c>
      <c r="L633" s="2">
        <v>840.8</v>
      </c>
      <c r="M633" s="2">
        <f t="array" ref="M633">_xlfn.IFNA(IF(vp.data[[#This Row],[Dens Input]]="",INDEX([1]DATA!$O$3:$O$9826,MATCH(1,(vp.data[[#This Row],[Battery]]=[1]DATA!$L$3:$L$9826)*(EOMONTH(vp.data[[#This Row],[SDate]],-1)+1=[1]DATA!$G$3:$G$9826),0)),vp.data[[#This Row],[Dens Input]]),"")</f>
        <v>840.8</v>
      </c>
      <c r="N633" s="2">
        <f ca="1">INDEX(INDIRECT(_xlfn.CONCAT("weather.tbl[",N$1,"]")),MATCH(vp.data[[#This Row],[SDate]],weather.tbl[Date],0))</f>
        <v>-1.4166666666666667</v>
      </c>
      <c r="O633" s="2">
        <f ca="1">INDEX(INDIRECT(_xlfn.CONCAT("weather.tbl[",O$1,"]")),MATCH(vp.data[[#This Row],[SDate]],weather.tbl[Date],0))</f>
        <v>-9.8166666666666682</v>
      </c>
      <c r="P633" s="2">
        <f ca="1">INDEX(INDIRECT(_xlfn.CONCAT("weather.tbl[",P$1,"]")),MATCH(vp.data[[#This Row],[SDate]],weather.tbl[Date],0))</f>
        <v>-2.2000000000000002</v>
      </c>
      <c r="Q633" s="2">
        <f ca="1">INDEX(INDIRECT(_xlfn.CONCAT("weather.tbl[",Q$1,"]")),MATCH(vp.data[[#This Row],[SDate]],weather.tbl[Date],0))</f>
        <v>-2.4</v>
      </c>
      <c r="R633" s="2">
        <f ca="1">INDEX(INDIRECT(_xlfn.CONCAT("weather.tbl[",R$1,"]")),MATCH(vp.data[[#This Row],[SDate]],weather.tbl[Date],0))</f>
        <v>-1.8</v>
      </c>
      <c r="S633" s="2">
        <f ca="1">INDEX(INDIRECT(_xlfn.CONCAT("weather.tbl[",S$1,"]")),MATCH(vp.data[[#This Row],[SDate]],weather.tbl[Date],0))</f>
        <v>0.2</v>
      </c>
      <c r="T633" s="2">
        <f ca="1">INDEX(INDIRECT(_xlfn.CONCAT("weather.tbl[",T$1,"]")),MATCH(vp.data[[#This Row],[SDate]],weather.tbl[Date],0))</f>
        <v>-3.8</v>
      </c>
      <c r="U633" s="2">
        <f ca="1">INDEX(INDIRECT(_xlfn.CONCAT("weather.tbl[",U$1,"]")),MATCH(vp.data[[#This Row],[SDate]],weather.tbl[Date],0))</f>
        <v>1.5</v>
      </c>
      <c r="V633" s="2">
        <f t="array" ref="V6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33" t="s">
        <v>48</v>
      </c>
      <c r="X633">
        <f>IF(OR(vp.data[[#This Row],[Sulf]]="",vp.data[[#This Row],[Dens]]=""),1,0)</f>
        <v>0</v>
      </c>
      <c r="Y633">
        <f>IF(vp.data[[#This Row],[CrudeType]]="C5+",1,0)</f>
        <v>0</v>
      </c>
      <c r="Z633">
        <f>IF(AND(vp.data[[#This Row],[CrudeType]]="Crude",vp.data[[#This Row],[Dens]]&lt;=825,vp.data[[#This Row],[Sulf]]&gt;0.5,vp.data[[#This Row],[Unknown]]=0),1,0)</f>
        <v>0</v>
      </c>
      <c r="AA633">
        <f>IF(AND(vp.data[[#This Row],[CrudeType]]="Crude",vp.data[[#This Row],[Dens]]&lt;=825,vp.data[[#This Row],[Sulf]]&lt;=0.5,vp.data[[#This Row],[Unknown]]=0),1,0)</f>
        <v>0</v>
      </c>
      <c r="AB6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3">
        <f>IF(AND(vp.data[[#This Row],[CrudeType]]="Crude",vp.data[[#This Row],[Dens]]&gt;825,vp.data[[#This Row],[Dens]]&lt;=900,vp.data[[#This Row],[Sulf]]&lt;=0.5,vp.data[[#This Row],[Unknown]]=0),1,0)</f>
        <v>0</v>
      </c>
      <c r="AD633">
        <f>IF(AND(vp.data[[#This Row],[CrudeType]]="Crude",vp.data[[#This Row],[Dens]]&gt;865,vp.data[[#This Row],[Dens]]&lt;=900,vp.data[[#This Row],[Sulf]]&gt;2,vp.data[[#This Row],[Unknown]]=0),1,0)</f>
        <v>0</v>
      </c>
      <c r="AE633">
        <f>IF(AND(vp.data[[#This Row],[CrudeType]]="Crude",vp.data[[#This Row],[Dens]]&gt;900,vp.data[[#This Row],[Sulf]]&lt;=0.5,vp.data[[#This Row],[Unknown]]=0),1,0)</f>
        <v>0</v>
      </c>
      <c r="AF633">
        <f>IF(AND(vp.data[[#This Row],[CrudeType]]="Crude",vp.data[[#This Row],[Dens]]&gt;900,vp.data[[#This Row],[Sulf]]&lt;=0.5,vp.data[[#This Row],[Unknown]]=0),1,0)</f>
        <v>0</v>
      </c>
      <c r="AG633" t="str">
        <f>INDEX(vp.data[[#Headers],[Unknown]:[Heavy_SW]],MATCH(1,vp.data[[#This Row],[Unknown]:[Heavy_SW]],0))</f>
        <v>Medium_LSB</v>
      </c>
      <c r="AH633">
        <f>INDEX([3]!crudeBD.lkup[Number],MATCH(vp.data[[#This Row],[Crude_Breakdown]],crudeBD.lkup[Crude Breakdown],0))</f>
        <v>3</v>
      </c>
      <c r="AI633">
        <f>MONTH(vp.data[[#This Row],[SDate]])</f>
        <v>1</v>
      </c>
      <c r="AJ633" s="5">
        <f>(vp.data[[#This Row],[VP]]-INDEX(crudeBD.lkup[Mean_VP],MATCH(vp.data[[#This Row],[Crude_Breakdown]],crudeBD.lkup[Crude Breakdown],0)))^2</f>
        <v>55.656425980631752</v>
      </c>
      <c r="AK633" s="5">
        <f>(vp.data[[#This Row],[Dens]]-INDEX(crudeBD.lkup[Mean_Dens],MATCH(vp.data[[#This Row],[Crude_Breakdown]],crudeBD.lkup[Crude Breakdown],0)))^2</f>
        <v>9.7343999999971906</v>
      </c>
      <c r="AL633" s="5">
        <f>(vp.data[[#This Row],[Sulf]]-INDEX(crudeBD.lkup[Mean_Sulf],MATCH(vp.data[[#This Row],[Crude_Breakdown]],crudeBD.lkup[Crude Breakdown],0)))^2</f>
        <v>2.4151685839628387E-2</v>
      </c>
      <c r="AM633" s="4">
        <f>IF(AND(vp.data[[#This Row],[SDate]]&gt;=DATE(YEAR(vp.data[[#This Row],[SDate]]),5,1),vp.data[[#This Row],[SDate]]&lt;=DATE(YEAR(vp.data[[#This Row],[SDate]]),9,15)),1,0)</f>
        <v>0</v>
      </c>
      <c r="AN633" s="4">
        <f>IF(vp.data[[#This Row],[SDate]]&lt;DATE(2016,12,1),0,1)</f>
        <v>1</v>
      </c>
      <c r="AO633" s="4">
        <f>IFERROR(vp.data[[#This Row],[Sulf]]*vp.data[[#This Row],[Net Dens]],"")</f>
        <v>108730117.94649598</v>
      </c>
      <c r="AP633">
        <f>IFERROR(vp.data[[#This Row],[Dens]]*vp.data[[#This Row],[VolumeM3]],"")</f>
        <v>88398469.875199988</v>
      </c>
      <c r="AQ633" s="15">
        <f>IFERROR(vp.data[[#This Row],[VP]]*vp.data[[#This Row],[VolumeM3]],"")</f>
        <v>9262494.2863999996</v>
      </c>
    </row>
    <row r="634" spans="1:43" x14ac:dyDescent="0.25">
      <c r="A634">
        <v>633</v>
      </c>
      <c r="B634" t="s">
        <v>49</v>
      </c>
      <c r="C634" t="s">
        <v>49</v>
      </c>
      <c r="D634" t="s">
        <v>75</v>
      </c>
      <c r="F634" s="1">
        <v>42755</v>
      </c>
      <c r="G634" s="2">
        <v>93.5</v>
      </c>
      <c r="H634" s="2"/>
      <c r="I634" s="2">
        <f t="array" ref="I634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634" s="2">
        <v>25.6</v>
      </c>
      <c r="K634" s="2">
        <v>-8</v>
      </c>
      <c r="L634" s="2">
        <v>803.6</v>
      </c>
      <c r="M634" s="2">
        <f t="array" ref="M634">_xlfn.IFNA(IF(vp.data[[#This Row],[Dens Input]]="",INDEX([1]DATA!$O$3:$O$9826,MATCH(1,(vp.data[[#This Row],[Battery]]=[1]DATA!$L$3:$L$9826)*(EOMONTH(vp.data[[#This Row],[SDate]],-1)+1=[1]DATA!$G$3:$G$9826),0)),vp.data[[#This Row],[Dens Input]]),"")</f>
        <v>803.6</v>
      </c>
      <c r="N634" s="2">
        <f ca="1">INDEX(INDIRECT(_xlfn.CONCAT("weather.tbl[",N$1,"]")),MATCH(vp.data[[#This Row],[SDate]],weather.tbl[Date],0))</f>
        <v>-5.833333333333333</v>
      </c>
      <c r="O634" s="2">
        <f ca="1">INDEX(INDIRECT(_xlfn.CONCAT("weather.tbl[",O$1,"]")),MATCH(vp.data[[#This Row],[SDate]],weather.tbl[Date],0))</f>
        <v>-7.2738095238095237</v>
      </c>
      <c r="P634" s="2">
        <f ca="1">INDEX(INDIRECT(_xlfn.CONCAT("weather.tbl[",P$1,"]")),MATCH(vp.data[[#This Row],[SDate]],weather.tbl[Date],0))</f>
        <v>-8.3000000000000007</v>
      </c>
      <c r="Q634" s="2">
        <f ca="1">INDEX(INDIRECT(_xlfn.CONCAT("weather.tbl[",Q$1,"]")),MATCH(vp.data[[#This Row],[SDate]],weather.tbl[Date],0))</f>
        <v>-6</v>
      </c>
      <c r="R634" s="2">
        <f ca="1">INDEX(INDIRECT(_xlfn.CONCAT("weather.tbl[",R$1,"]")),MATCH(vp.data[[#This Row],[SDate]],weather.tbl[Date],0))</f>
        <v>-9.5</v>
      </c>
      <c r="S634" s="2">
        <f ca="1">INDEX(INDIRECT(_xlfn.CONCAT("weather.tbl[",S$1,"]")),MATCH(vp.data[[#This Row],[SDate]],weather.tbl[Date],0))</f>
        <v>-3</v>
      </c>
      <c r="T634" s="2">
        <f ca="1">INDEX(INDIRECT(_xlfn.CONCAT("weather.tbl[",T$1,"]")),MATCH(vp.data[[#This Row],[SDate]],weather.tbl[Date],0))</f>
        <v>-6.2</v>
      </c>
      <c r="U634" s="2">
        <f ca="1">INDEX(INDIRECT(_xlfn.CONCAT("weather.tbl[",U$1,"]")),MATCH(vp.data[[#This Row],[SDate]],weather.tbl[Date],0))</f>
        <v>-2</v>
      </c>
      <c r="V634" s="2">
        <f t="array" ref="V6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634" t="s">
        <v>48</v>
      </c>
      <c r="X634">
        <f>IF(OR(vp.data[[#This Row],[Sulf]]="",vp.data[[#This Row],[Dens]]=""),1,0)</f>
        <v>0</v>
      </c>
      <c r="Y634">
        <f>IF(vp.data[[#This Row],[CrudeType]]="C5+",1,0)</f>
        <v>0</v>
      </c>
      <c r="Z634">
        <f>IF(AND(vp.data[[#This Row],[CrudeType]]="Crude",vp.data[[#This Row],[Dens]]&lt;=825,vp.data[[#This Row],[Sulf]]&gt;0.5,vp.data[[#This Row],[Unknown]]=0),1,0)</f>
        <v>0</v>
      </c>
      <c r="AA634">
        <f>IF(AND(vp.data[[#This Row],[CrudeType]]="Crude",vp.data[[#This Row],[Dens]]&lt;=825,vp.data[[#This Row],[Sulf]]&lt;=0.5,vp.data[[#This Row],[Unknown]]=0),1,0)</f>
        <v>1</v>
      </c>
      <c r="AB6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34">
        <f>IF(AND(vp.data[[#This Row],[CrudeType]]="Crude",vp.data[[#This Row],[Dens]]&gt;825,vp.data[[#This Row],[Dens]]&lt;=900,vp.data[[#This Row],[Sulf]]&lt;=0.5,vp.data[[#This Row],[Unknown]]=0),1,0)</f>
        <v>0</v>
      </c>
      <c r="AD634">
        <f>IF(AND(vp.data[[#This Row],[CrudeType]]="Crude",vp.data[[#This Row],[Dens]]&gt;865,vp.data[[#This Row],[Dens]]&lt;=900,vp.data[[#This Row],[Sulf]]&gt;2,vp.data[[#This Row],[Unknown]]=0),1,0)</f>
        <v>0</v>
      </c>
      <c r="AE634">
        <f>IF(AND(vp.data[[#This Row],[CrudeType]]="Crude",vp.data[[#This Row],[Dens]]&gt;900,vp.data[[#This Row],[Sulf]]&lt;=0.5,vp.data[[#This Row],[Unknown]]=0),1,0)</f>
        <v>0</v>
      </c>
      <c r="AF634">
        <f>IF(AND(vp.data[[#This Row],[CrudeType]]="Crude",vp.data[[#This Row],[Dens]]&gt;900,vp.data[[#This Row],[Sulf]]&lt;=0.5,vp.data[[#This Row],[Unknown]]=0),1,0)</f>
        <v>0</v>
      </c>
      <c r="AG634" t="str">
        <f>INDEX(vp.data[[#Headers],[Unknown]:[Heavy_SW]],MATCH(1,vp.data[[#This Row],[Unknown]:[Heavy_SW]],0))</f>
        <v>Light_SW</v>
      </c>
      <c r="AH634">
        <f>INDEX([3]!crudeBD.lkup[Number],MATCH(vp.data[[#This Row],[Crude_Breakdown]],crudeBD.lkup[Crude Breakdown],0))</f>
        <v>2</v>
      </c>
      <c r="AI634">
        <f>MONTH(vp.data[[#This Row],[SDate]])</f>
        <v>1</v>
      </c>
      <c r="AJ634" s="5">
        <f>(vp.data[[#This Row],[VP]]-INDEX(crudeBD.lkup[Mean_VP],MATCH(vp.data[[#This Row],[Crude_Breakdown]],crudeBD.lkup[Crude Breakdown],0)))^2</f>
        <v>0.90190427952269203</v>
      </c>
      <c r="AK634" s="5">
        <f>(vp.data[[#This Row],[Dens]]-INDEX(crudeBD.lkup[Mean_Dens],MATCH(vp.data[[#This Row],[Crude_Breakdown]],crudeBD.lkup[Crude Breakdown],0)))^2</f>
        <v>22.198215833624456</v>
      </c>
      <c r="AL634" s="5">
        <f>(vp.data[[#This Row],[Sulf]]-INDEX(crudeBD.lkup[Mean_Sulf],MATCH(vp.data[[#This Row],[Crude_Breakdown]],crudeBD.lkup[Crude Breakdown],0)))^2</f>
        <v>5.644515043280923E-4</v>
      </c>
      <c r="AM634" s="4">
        <f>IF(AND(vp.data[[#This Row],[SDate]]&gt;=DATE(YEAR(vp.data[[#This Row],[SDate]]),5,1),vp.data[[#This Row],[SDate]]&lt;=DATE(YEAR(vp.data[[#This Row],[SDate]]),9,15)),1,0)</f>
        <v>0</v>
      </c>
      <c r="AN634" s="4">
        <f>IF(vp.data[[#This Row],[SDate]]&lt;DATE(2016,12,1),0,1)</f>
        <v>1</v>
      </c>
      <c r="AO634" s="4">
        <f>IFERROR(vp.data[[#This Row],[Sulf]]*vp.data[[#This Row],[Net Dens]],"")</f>
        <v>2661575.9483039998</v>
      </c>
      <c r="AP634">
        <f>IFERROR(vp.data[[#This Row],[Dens]]*vp.data[[#This Row],[VolumeM3]],"")</f>
        <v>10236830.5704</v>
      </c>
      <c r="AQ634" s="15">
        <f>IFERROR(vp.data[[#This Row],[VP]]*vp.data[[#This Row],[VolumeM3]],"")</f>
        <v>1191069.7590000001</v>
      </c>
    </row>
    <row r="635" spans="1:43" x14ac:dyDescent="0.25">
      <c r="A635">
        <v>634</v>
      </c>
      <c r="B635" t="s">
        <v>62</v>
      </c>
      <c r="C635" t="s">
        <v>62</v>
      </c>
      <c r="D635" t="s">
        <v>83</v>
      </c>
      <c r="F635" s="1">
        <v>42755</v>
      </c>
      <c r="G635" s="2">
        <v>83.5</v>
      </c>
      <c r="H635" s="2"/>
      <c r="I635" s="2">
        <f t="array" ref="I635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635" s="2">
        <v>2.1</v>
      </c>
      <c r="K635" s="2">
        <v>-8</v>
      </c>
      <c r="L635" s="2">
        <v>810</v>
      </c>
      <c r="M635" s="2">
        <f t="array" ref="M635">_xlfn.IFNA(IF(vp.data[[#This Row],[Dens Input]]="",INDEX([1]DATA!$O$3:$O$9826,MATCH(1,(vp.data[[#This Row],[Battery]]=[1]DATA!$L$3:$L$9826)*(EOMONTH(vp.data[[#This Row],[SDate]],-1)+1=[1]DATA!$G$3:$G$9826),0)),vp.data[[#This Row],[Dens Input]]),"")</f>
        <v>810</v>
      </c>
      <c r="N635" s="2">
        <f ca="1">INDEX(INDIRECT(_xlfn.CONCAT("weather.tbl[",N$1,"]")),MATCH(vp.data[[#This Row],[SDate]],weather.tbl[Date],0))</f>
        <v>-5.833333333333333</v>
      </c>
      <c r="O635" s="2">
        <f ca="1">INDEX(INDIRECT(_xlfn.CONCAT("weather.tbl[",O$1,"]")),MATCH(vp.data[[#This Row],[SDate]],weather.tbl[Date],0))</f>
        <v>-7.2738095238095237</v>
      </c>
      <c r="P635" s="2">
        <f ca="1">INDEX(INDIRECT(_xlfn.CONCAT("weather.tbl[",P$1,"]")),MATCH(vp.data[[#This Row],[SDate]],weather.tbl[Date],0))</f>
        <v>-8.3000000000000007</v>
      </c>
      <c r="Q635" s="2">
        <f ca="1">INDEX(INDIRECT(_xlfn.CONCAT("weather.tbl[",Q$1,"]")),MATCH(vp.data[[#This Row],[SDate]],weather.tbl[Date],0))</f>
        <v>-6</v>
      </c>
      <c r="R635" s="2">
        <f ca="1">INDEX(INDIRECT(_xlfn.CONCAT("weather.tbl[",R$1,"]")),MATCH(vp.data[[#This Row],[SDate]],weather.tbl[Date],0))</f>
        <v>-9.5</v>
      </c>
      <c r="S635" s="2">
        <f ca="1">INDEX(INDIRECT(_xlfn.CONCAT("weather.tbl[",S$1,"]")),MATCH(vp.data[[#This Row],[SDate]],weather.tbl[Date],0))</f>
        <v>-3</v>
      </c>
      <c r="T635" s="2">
        <f ca="1">INDEX(INDIRECT(_xlfn.CONCAT("weather.tbl[",T$1,"]")),MATCH(vp.data[[#This Row],[SDate]],weather.tbl[Date],0))</f>
        <v>-6.2</v>
      </c>
      <c r="U635" s="2">
        <f ca="1">INDEX(INDIRECT(_xlfn.CONCAT("weather.tbl[",U$1,"]")),MATCH(vp.data[[#This Row],[SDate]],weather.tbl[Date],0))</f>
        <v>-2</v>
      </c>
      <c r="V635" s="2">
        <f t="array" ref="V6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635" t="s">
        <v>48</v>
      </c>
      <c r="X635">
        <f>IF(OR(vp.data[[#This Row],[Sulf]]="",vp.data[[#This Row],[Dens]]=""),1,0)</f>
        <v>0</v>
      </c>
      <c r="Y635">
        <f>IF(vp.data[[#This Row],[CrudeType]]="C5+",1,0)</f>
        <v>0</v>
      </c>
      <c r="Z635">
        <f>IF(AND(vp.data[[#This Row],[CrudeType]]="Crude",vp.data[[#This Row],[Dens]]&lt;=825,vp.data[[#This Row],[Sulf]]&gt;0.5,vp.data[[#This Row],[Unknown]]=0),1,0)</f>
        <v>0</v>
      </c>
      <c r="AA635">
        <f>IF(AND(vp.data[[#This Row],[CrudeType]]="Crude",vp.data[[#This Row],[Dens]]&lt;=825,vp.data[[#This Row],[Sulf]]&lt;=0.5,vp.data[[#This Row],[Unknown]]=0),1,0)</f>
        <v>1</v>
      </c>
      <c r="AB6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35">
        <f>IF(AND(vp.data[[#This Row],[CrudeType]]="Crude",vp.data[[#This Row],[Dens]]&gt;825,vp.data[[#This Row],[Dens]]&lt;=900,vp.data[[#This Row],[Sulf]]&lt;=0.5,vp.data[[#This Row],[Unknown]]=0),1,0)</f>
        <v>0</v>
      </c>
      <c r="AD635">
        <f>IF(AND(vp.data[[#This Row],[CrudeType]]="Crude",vp.data[[#This Row],[Dens]]&gt;865,vp.data[[#This Row],[Dens]]&lt;=900,vp.data[[#This Row],[Sulf]]&gt;2,vp.data[[#This Row],[Unknown]]=0),1,0)</f>
        <v>0</v>
      </c>
      <c r="AE635">
        <f>IF(AND(vp.data[[#This Row],[CrudeType]]="Crude",vp.data[[#This Row],[Dens]]&gt;900,vp.data[[#This Row],[Sulf]]&lt;=0.5,vp.data[[#This Row],[Unknown]]=0),1,0)</f>
        <v>0</v>
      </c>
      <c r="AF635">
        <f>IF(AND(vp.data[[#This Row],[CrudeType]]="Crude",vp.data[[#This Row],[Dens]]&gt;900,vp.data[[#This Row],[Sulf]]&lt;=0.5,vp.data[[#This Row],[Unknown]]=0),1,0)</f>
        <v>0</v>
      </c>
      <c r="AG635" t="str">
        <f>INDEX(vp.data[[#Headers],[Unknown]:[Heavy_SW]],MATCH(1,vp.data[[#This Row],[Unknown]:[Heavy_SW]],0))</f>
        <v>Light_SW</v>
      </c>
      <c r="AH635">
        <f>INDEX([3]!crudeBD.lkup[Number],MATCH(vp.data[[#This Row],[Crude_Breakdown]],crudeBD.lkup[Crude Breakdown],0))</f>
        <v>2</v>
      </c>
      <c r="AI635">
        <f>MONTH(vp.data[[#This Row],[SDate]])</f>
        <v>1</v>
      </c>
      <c r="AJ635" s="5">
        <f>(vp.data[[#This Row],[VP]]-INDEX(crudeBD.lkup[Mean_VP],MATCH(vp.data[[#This Row],[Crude_Breakdown]],crudeBD.lkup[Crude Breakdown],0)))^2</f>
        <v>81.908176056525591</v>
      </c>
      <c r="AK635" s="5">
        <f>(vp.data[[#This Row],[Dens]]-INDEX(crudeBD.lkup[Mean_Dens],MATCH(vp.data[[#This Row],[Crude_Breakdown]],crudeBD.lkup[Crude Breakdown],0)))^2</f>
        <v>2.851038133279034</v>
      </c>
      <c r="AL635" s="5">
        <f>(vp.data[[#This Row],[Sulf]]-INDEX(crudeBD.lkup[Mean_Sulf],MATCH(vp.data[[#This Row],[Crude_Breakdown]],crudeBD.lkup[Crude Breakdown],0)))^2</f>
        <v>4.3879776367322437E-3</v>
      </c>
      <c r="AM635" s="4">
        <f>IF(AND(vp.data[[#This Row],[SDate]]&gt;=DATE(YEAR(vp.data[[#This Row],[SDate]]),5,1),vp.data[[#This Row],[SDate]]&lt;=DATE(YEAR(vp.data[[#This Row],[SDate]]),9,15)),1,0)</f>
        <v>0</v>
      </c>
      <c r="AN635" s="4">
        <f>IF(vp.data[[#This Row],[SDate]]&lt;DATE(2016,12,1),0,1)</f>
        <v>1</v>
      </c>
      <c r="AO635" s="4">
        <f>IFERROR(vp.data[[#This Row],[Sulf]]*vp.data[[#This Row],[Net Dens]],"")</f>
        <v>1221852.5838000001</v>
      </c>
      <c r="AP635">
        <f>IFERROR(vp.data[[#This Row],[Dens]]*vp.data[[#This Row],[VolumeM3]],"")</f>
        <v>7187368.1399999997</v>
      </c>
      <c r="AQ635" s="15">
        <f>IFERROR(vp.data[[#This Row],[VP]]*vp.data[[#This Row],[VolumeM3]],"")</f>
        <v>740920.049</v>
      </c>
    </row>
    <row r="636" spans="1:43" x14ac:dyDescent="0.25">
      <c r="A636">
        <v>635</v>
      </c>
      <c r="B636" t="s">
        <v>49</v>
      </c>
      <c r="C636" t="s">
        <v>49</v>
      </c>
      <c r="D636" t="s">
        <v>146</v>
      </c>
      <c r="F636" s="1">
        <v>42755</v>
      </c>
      <c r="G636" s="2">
        <v>88.7</v>
      </c>
      <c r="H636" s="2"/>
      <c r="I636" s="2">
        <f t="array" ref="I636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636" s="2">
        <v>2.8</v>
      </c>
      <c r="K636" s="2">
        <v>-8</v>
      </c>
      <c r="L636" s="2">
        <v>817.5</v>
      </c>
      <c r="M636" s="2">
        <f t="array" ref="M636">_xlfn.IFNA(IF(vp.data[[#This Row],[Dens Input]]="",INDEX([1]DATA!$O$3:$O$9826,MATCH(1,(vp.data[[#This Row],[Battery]]=[1]DATA!$L$3:$L$9826)*(EOMONTH(vp.data[[#This Row],[SDate]],-1)+1=[1]DATA!$G$3:$G$9826),0)),vp.data[[#This Row],[Dens Input]]),"")</f>
        <v>817.5</v>
      </c>
      <c r="N636" s="2">
        <f ca="1">INDEX(INDIRECT(_xlfn.CONCAT("weather.tbl[",N$1,"]")),MATCH(vp.data[[#This Row],[SDate]],weather.tbl[Date],0))</f>
        <v>-5.833333333333333</v>
      </c>
      <c r="O636" s="2">
        <f ca="1">INDEX(INDIRECT(_xlfn.CONCAT("weather.tbl[",O$1,"]")),MATCH(vp.data[[#This Row],[SDate]],weather.tbl[Date],0))</f>
        <v>-7.2738095238095237</v>
      </c>
      <c r="P636" s="2">
        <f ca="1">INDEX(INDIRECT(_xlfn.CONCAT("weather.tbl[",P$1,"]")),MATCH(vp.data[[#This Row],[SDate]],weather.tbl[Date],0))</f>
        <v>-8.3000000000000007</v>
      </c>
      <c r="Q636" s="2">
        <f ca="1">INDEX(INDIRECT(_xlfn.CONCAT("weather.tbl[",Q$1,"]")),MATCH(vp.data[[#This Row],[SDate]],weather.tbl[Date],0))</f>
        <v>-6</v>
      </c>
      <c r="R636" s="2">
        <f ca="1">INDEX(INDIRECT(_xlfn.CONCAT("weather.tbl[",R$1,"]")),MATCH(vp.data[[#This Row],[SDate]],weather.tbl[Date],0))</f>
        <v>-9.5</v>
      </c>
      <c r="S636" s="2">
        <f ca="1">INDEX(INDIRECT(_xlfn.CONCAT("weather.tbl[",S$1,"]")),MATCH(vp.data[[#This Row],[SDate]],weather.tbl[Date],0))</f>
        <v>-3</v>
      </c>
      <c r="T636" s="2">
        <f ca="1">INDEX(INDIRECT(_xlfn.CONCAT("weather.tbl[",T$1,"]")),MATCH(vp.data[[#This Row],[SDate]],weather.tbl[Date],0))</f>
        <v>-6.2</v>
      </c>
      <c r="U636" s="2">
        <f ca="1">INDEX(INDIRECT(_xlfn.CONCAT("weather.tbl[",U$1,"]")),MATCH(vp.data[[#This Row],[SDate]],weather.tbl[Date],0))</f>
        <v>-2</v>
      </c>
      <c r="V636" s="2">
        <f t="array" ref="V6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1396.904</v>
      </c>
      <c r="W636" t="s">
        <v>48</v>
      </c>
      <c r="X636">
        <f>IF(OR(vp.data[[#This Row],[Sulf]]="",vp.data[[#This Row],[Dens]]=""),1,0)</f>
        <v>0</v>
      </c>
      <c r="Y636">
        <f>IF(vp.data[[#This Row],[CrudeType]]="C5+",1,0)</f>
        <v>0</v>
      </c>
      <c r="Z636">
        <f>IF(AND(vp.data[[#This Row],[CrudeType]]="Crude",vp.data[[#This Row],[Dens]]&lt;=825,vp.data[[#This Row],[Sulf]]&gt;0.5,vp.data[[#This Row],[Unknown]]=0),1,0)</f>
        <v>1</v>
      </c>
      <c r="AA636">
        <f>IF(AND(vp.data[[#This Row],[CrudeType]]="Crude",vp.data[[#This Row],[Dens]]&lt;=825,vp.data[[#This Row],[Sulf]]&lt;=0.5,vp.data[[#This Row],[Unknown]]=0),1,0)</f>
        <v>0</v>
      </c>
      <c r="AB6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36">
        <f>IF(AND(vp.data[[#This Row],[CrudeType]]="Crude",vp.data[[#This Row],[Dens]]&gt;825,vp.data[[#This Row],[Dens]]&lt;=900,vp.data[[#This Row],[Sulf]]&lt;=0.5,vp.data[[#This Row],[Unknown]]=0),1,0)</f>
        <v>0</v>
      </c>
      <c r="AD636">
        <f>IF(AND(vp.data[[#This Row],[CrudeType]]="Crude",vp.data[[#This Row],[Dens]]&gt;865,vp.data[[#This Row],[Dens]]&lt;=900,vp.data[[#This Row],[Sulf]]&gt;2,vp.data[[#This Row],[Unknown]]=0),1,0)</f>
        <v>0</v>
      </c>
      <c r="AE636">
        <f>IF(AND(vp.data[[#This Row],[CrudeType]]="Crude",vp.data[[#This Row],[Dens]]&gt;900,vp.data[[#This Row],[Sulf]]&lt;=0.5,vp.data[[#This Row],[Unknown]]=0),1,0)</f>
        <v>0</v>
      </c>
      <c r="AF636">
        <f>IF(AND(vp.data[[#This Row],[CrudeType]]="Crude",vp.data[[#This Row],[Dens]]&gt;900,vp.data[[#This Row],[Sulf]]&lt;=0.5,vp.data[[#This Row],[Unknown]]=0),1,0)</f>
        <v>0</v>
      </c>
      <c r="AG636" t="str">
        <f>INDEX(vp.data[[#Headers],[Unknown]:[Heavy_SW]],MATCH(1,vp.data[[#This Row],[Unknown]:[Heavy_SW]],0))</f>
        <v>Light_LSB</v>
      </c>
      <c r="AH636">
        <f>INDEX([3]!crudeBD.lkup[Number],MATCH(vp.data[[#This Row],[Crude_Breakdown]],crudeBD.lkup[Crude Breakdown],0))</f>
        <v>1</v>
      </c>
      <c r="AI636">
        <f>MONTH(vp.data[[#This Row],[SDate]])</f>
        <v>1</v>
      </c>
      <c r="AJ636" s="5">
        <f>(vp.data[[#This Row],[VP]]-INDEX(crudeBD.lkup[Mean_VP],MATCH(vp.data[[#This Row],[Crude_Breakdown]],crudeBD.lkup[Crude Breakdown],0)))^2</f>
        <v>8.1007722818579566</v>
      </c>
      <c r="AK636" s="5">
        <f>(vp.data[[#This Row],[Dens]]-INDEX(crudeBD.lkup[Mean_Dens],MATCH(vp.data[[#This Row],[Crude_Breakdown]],crudeBD.lkup[Crude Breakdown],0)))^2</f>
        <v>1.0338207437317215</v>
      </c>
      <c r="AL636" s="5">
        <f>(vp.data[[#This Row],[Sulf]]-INDEX(crudeBD.lkup[Mean_Sulf],MATCH(vp.data[[#This Row],[Crude_Breakdown]],crudeBD.lkup[Crude Breakdown],0)))^2</f>
        <v>0.11086979897559178</v>
      </c>
      <c r="AM636" s="4">
        <f>IF(AND(vp.data[[#This Row],[SDate]]&gt;=DATE(YEAR(vp.data[[#This Row],[SDate]]),5,1),vp.data[[#This Row],[SDate]]&lt;=DATE(YEAR(vp.data[[#This Row],[SDate]]),9,15)),1,0)</f>
        <v>0</v>
      </c>
      <c r="AN636" s="4">
        <f>IF(vp.data[[#This Row],[SDate]]&lt;DATE(2016,12,1),0,1)</f>
        <v>1</v>
      </c>
      <c r="AO636" s="4">
        <f>IFERROR(vp.data[[#This Row],[Sulf]]*vp.data[[#This Row],[Net Dens]],"")</f>
        <v>673761.72179999994</v>
      </c>
      <c r="AP636">
        <f>IFERROR(vp.data[[#This Row],[Dens]]*vp.data[[#This Row],[VolumeM3]],"")</f>
        <v>1141969.02</v>
      </c>
      <c r="AQ636" s="15">
        <f>IFERROR(vp.data[[#This Row],[VP]]*vp.data[[#This Row],[VolumeM3]],"")</f>
        <v>123905.3848</v>
      </c>
    </row>
    <row r="637" spans="1:43" x14ac:dyDescent="0.25">
      <c r="A637">
        <v>636</v>
      </c>
      <c r="B637" t="s">
        <v>49</v>
      </c>
      <c r="C637" t="s">
        <v>49</v>
      </c>
      <c r="D637" t="s">
        <v>67</v>
      </c>
      <c r="F637" s="1">
        <v>42755</v>
      </c>
      <c r="G637" s="2">
        <v>96.1</v>
      </c>
      <c r="H637" s="2"/>
      <c r="I637" s="2">
        <f t="array" ref="I637">_xlfn.IFNA(IF(vp.data[[#This Row],[Sulf Input]]="",INDEX([1]DATA!$Q$3:$Q$9826,MATCH(1,(vp.data[[#This Row],[Battery]]=[1]DATA!$L$3:$L$9826)*(EOMONTH(vp.data[[#This Row],[SDate]],-1)+1=[1]DATA!$G$3:$G$9826),0)),vp.data[[#This Row],[Sulf Input]]),"")</f>
        <v>0.59</v>
      </c>
      <c r="J637" s="2">
        <v>7.5</v>
      </c>
      <c r="K637" s="2">
        <v>-8</v>
      </c>
      <c r="L637" s="2">
        <v>822.1</v>
      </c>
      <c r="M637" s="2">
        <f t="array" ref="M637">_xlfn.IFNA(IF(vp.data[[#This Row],[Dens Input]]="",INDEX([1]DATA!$O$3:$O$9826,MATCH(1,(vp.data[[#This Row],[Battery]]=[1]DATA!$L$3:$L$9826)*(EOMONTH(vp.data[[#This Row],[SDate]],-1)+1=[1]DATA!$G$3:$G$9826),0)),vp.data[[#This Row],[Dens Input]]),"")</f>
        <v>822.1</v>
      </c>
      <c r="N637" s="2">
        <f ca="1">INDEX(INDIRECT(_xlfn.CONCAT("weather.tbl[",N$1,"]")),MATCH(vp.data[[#This Row],[SDate]],weather.tbl[Date],0))</f>
        <v>-5.833333333333333</v>
      </c>
      <c r="O637" s="2">
        <f ca="1">INDEX(INDIRECT(_xlfn.CONCAT("weather.tbl[",O$1,"]")),MATCH(vp.data[[#This Row],[SDate]],weather.tbl[Date],0))</f>
        <v>-7.2738095238095237</v>
      </c>
      <c r="P637" s="2">
        <f ca="1">INDEX(INDIRECT(_xlfn.CONCAT("weather.tbl[",P$1,"]")),MATCH(vp.data[[#This Row],[SDate]],weather.tbl[Date],0))</f>
        <v>-8.3000000000000007</v>
      </c>
      <c r="Q637" s="2">
        <f ca="1">INDEX(INDIRECT(_xlfn.CONCAT("weather.tbl[",Q$1,"]")),MATCH(vp.data[[#This Row],[SDate]],weather.tbl[Date],0))</f>
        <v>-6</v>
      </c>
      <c r="R637" s="2">
        <f ca="1">INDEX(INDIRECT(_xlfn.CONCAT("weather.tbl[",R$1,"]")),MATCH(vp.data[[#This Row],[SDate]],weather.tbl[Date],0))</f>
        <v>-9.5</v>
      </c>
      <c r="S637" s="2">
        <f ca="1">INDEX(INDIRECT(_xlfn.CONCAT("weather.tbl[",S$1,"]")),MATCH(vp.data[[#This Row],[SDate]],weather.tbl[Date],0))</f>
        <v>-3</v>
      </c>
      <c r="T637" s="2">
        <f ca="1">INDEX(INDIRECT(_xlfn.CONCAT("weather.tbl[",T$1,"]")),MATCH(vp.data[[#This Row],[SDate]],weather.tbl[Date],0))</f>
        <v>-6.2</v>
      </c>
      <c r="U637" s="2">
        <f ca="1">INDEX(INDIRECT(_xlfn.CONCAT("weather.tbl[",U$1,"]")),MATCH(vp.data[[#This Row],[SDate]],weather.tbl[Date],0))</f>
        <v>-2</v>
      </c>
      <c r="V637" s="2">
        <f t="array" ref="V6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37" t="s">
        <v>48</v>
      </c>
      <c r="X637">
        <f>IF(OR(vp.data[[#This Row],[Sulf]]="",vp.data[[#This Row],[Dens]]=""),1,0)</f>
        <v>0</v>
      </c>
      <c r="Y637">
        <f>IF(vp.data[[#This Row],[CrudeType]]="C5+",1,0)</f>
        <v>0</v>
      </c>
      <c r="Z637">
        <f>IF(AND(vp.data[[#This Row],[CrudeType]]="Crude",vp.data[[#This Row],[Dens]]&lt;=825,vp.data[[#This Row],[Sulf]]&gt;0.5,vp.data[[#This Row],[Unknown]]=0),1,0)</f>
        <v>1</v>
      </c>
      <c r="AA637">
        <f>IF(AND(vp.data[[#This Row],[CrudeType]]="Crude",vp.data[[#This Row],[Dens]]&lt;=825,vp.data[[#This Row],[Sulf]]&lt;=0.5,vp.data[[#This Row],[Unknown]]=0),1,0)</f>
        <v>0</v>
      </c>
      <c r="AB6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37">
        <f>IF(AND(vp.data[[#This Row],[CrudeType]]="Crude",vp.data[[#This Row],[Dens]]&gt;825,vp.data[[#This Row],[Dens]]&lt;=900,vp.data[[#This Row],[Sulf]]&lt;=0.5,vp.data[[#This Row],[Unknown]]=0),1,0)</f>
        <v>0</v>
      </c>
      <c r="AD637">
        <f>IF(AND(vp.data[[#This Row],[CrudeType]]="Crude",vp.data[[#This Row],[Dens]]&gt;865,vp.data[[#This Row],[Dens]]&lt;=900,vp.data[[#This Row],[Sulf]]&gt;2,vp.data[[#This Row],[Unknown]]=0),1,0)</f>
        <v>0</v>
      </c>
      <c r="AE637">
        <f>IF(AND(vp.data[[#This Row],[CrudeType]]="Crude",vp.data[[#This Row],[Dens]]&gt;900,vp.data[[#This Row],[Sulf]]&lt;=0.5,vp.data[[#This Row],[Unknown]]=0),1,0)</f>
        <v>0</v>
      </c>
      <c r="AF637">
        <f>IF(AND(vp.data[[#This Row],[CrudeType]]="Crude",vp.data[[#This Row],[Dens]]&gt;900,vp.data[[#This Row],[Sulf]]&lt;=0.5,vp.data[[#This Row],[Unknown]]=0),1,0)</f>
        <v>0</v>
      </c>
      <c r="AG637" t="str">
        <f>INDEX(vp.data[[#Headers],[Unknown]:[Heavy_SW]],MATCH(1,vp.data[[#This Row],[Unknown]:[Heavy_SW]],0))</f>
        <v>Light_LSB</v>
      </c>
      <c r="AH637">
        <f>INDEX([3]!crudeBD.lkup[Number],MATCH(vp.data[[#This Row],[Crude_Breakdown]],crudeBD.lkup[Crude Breakdown],0))</f>
        <v>1</v>
      </c>
      <c r="AI637">
        <f>MONTH(vp.data[[#This Row],[SDate]])</f>
        <v>1</v>
      </c>
      <c r="AJ637" s="5">
        <f>(vp.data[[#This Row],[VP]]-INDEX(crudeBD.lkup[Mean_VP],MATCH(vp.data[[#This Row],[Crude_Breakdown]],crudeBD.lkup[Crude Breakdown],0)))^2</f>
        <v>20.737225890104884</v>
      </c>
      <c r="AK637" s="5">
        <f>(vp.data[[#This Row],[Dens]]-INDEX(crudeBD.lkup[Mean_Dens],MATCH(vp.data[[#This Row],[Crude_Breakdown]],crudeBD.lkup[Crude Breakdown],0)))^2</f>
        <v>12.839538956793193</v>
      </c>
      <c r="AL637" s="5">
        <f>(vp.data[[#This Row],[Sulf]]-INDEX(crudeBD.lkup[Mean_Sulf],MATCH(vp.data[[#This Row],[Crude_Breakdown]],crudeBD.lkup[Crude Breakdown],0)))^2</f>
        <v>0.11086979897559178</v>
      </c>
      <c r="AM637" s="4">
        <f>IF(AND(vp.data[[#This Row],[SDate]]&gt;=DATE(YEAR(vp.data[[#This Row],[SDate]]),5,1),vp.data[[#This Row],[SDate]]&lt;=DATE(YEAR(vp.data[[#This Row],[SDate]]),9,15)),1,0)</f>
        <v>0</v>
      </c>
      <c r="AN637" s="4">
        <f>IF(vp.data[[#This Row],[SDate]]&lt;DATE(2016,12,1),0,1)</f>
        <v>1</v>
      </c>
      <c r="AO637" s="4">
        <f>IFERROR(vp.data[[#This Row],[Sulf]]*vp.data[[#This Row],[Net Dens]],"")</f>
        <v>59242600.404930003</v>
      </c>
      <c r="AP637">
        <f>IFERROR(vp.data[[#This Row],[Dens]]*vp.data[[#This Row],[VolumeM3]],"")</f>
        <v>100411187.127</v>
      </c>
      <c r="AQ637" s="15">
        <f>IFERROR(vp.data[[#This Row],[VP]]*vp.data[[#This Row],[VolumeM3]],"")</f>
        <v>11737641.506999999</v>
      </c>
    </row>
    <row r="638" spans="1:43" x14ac:dyDescent="0.25">
      <c r="A638">
        <v>637</v>
      </c>
      <c r="B638" t="s">
        <v>49</v>
      </c>
      <c r="C638" t="s">
        <v>49</v>
      </c>
      <c r="D638" t="s">
        <v>59</v>
      </c>
      <c r="F638" s="1">
        <v>42755</v>
      </c>
      <c r="G638" s="2">
        <v>79.599999999999994</v>
      </c>
      <c r="H638" s="2"/>
      <c r="I638" s="2">
        <f t="array" ref="I638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638" s="2">
        <v>23.4</v>
      </c>
      <c r="K638" s="2">
        <v>-8</v>
      </c>
      <c r="L638" s="2">
        <v>845.5</v>
      </c>
      <c r="M638" s="2">
        <f t="array" ref="M638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638" s="2">
        <f ca="1">INDEX(INDIRECT(_xlfn.CONCAT("weather.tbl[",N$1,"]")),MATCH(vp.data[[#This Row],[SDate]],weather.tbl[Date],0))</f>
        <v>-5.833333333333333</v>
      </c>
      <c r="O638" s="2">
        <f ca="1">INDEX(INDIRECT(_xlfn.CONCAT("weather.tbl[",O$1,"]")),MATCH(vp.data[[#This Row],[SDate]],weather.tbl[Date],0))</f>
        <v>-7.2738095238095237</v>
      </c>
      <c r="P638" s="2">
        <f ca="1">INDEX(INDIRECT(_xlfn.CONCAT("weather.tbl[",P$1,"]")),MATCH(vp.data[[#This Row],[SDate]],weather.tbl[Date],0))</f>
        <v>-8.3000000000000007</v>
      </c>
      <c r="Q638" s="2">
        <f ca="1">INDEX(INDIRECT(_xlfn.CONCAT("weather.tbl[",Q$1,"]")),MATCH(vp.data[[#This Row],[SDate]],weather.tbl[Date],0))</f>
        <v>-6</v>
      </c>
      <c r="R638" s="2">
        <f ca="1">INDEX(INDIRECT(_xlfn.CONCAT("weather.tbl[",R$1,"]")),MATCH(vp.data[[#This Row],[SDate]],weather.tbl[Date],0))</f>
        <v>-9.5</v>
      </c>
      <c r="S638" s="2">
        <f ca="1">INDEX(INDIRECT(_xlfn.CONCAT("weather.tbl[",S$1,"]")),MATCH(vp.data[[#This Row],[SDate]],weather.tbl[Date],0))</f>
        <v>-3</v>
      </c>
      <c r="T638" s="2">
        <f ca="1">INDEX(INDIRECT(_xlfn.CONCAT("weather.tbl[",T$1,"]")),MATCH(vp.data[[#This Row],[SDate]],weather.tbl[Date],0))</f>
        <v>-6.2</v>
      </c>
      <c r="U638" s="2">
        <f ca="1">INDEX(INDIRECT(_xlfn.CONCAT("weather.tbl[",U$1,"]")),MATCH(vp.data[[#This Row],[SDate]],weather.tbl[Date],0))</f>
        <v>-2</v>
      </c>
      <c r="V638" s="2">
        <f t="array" ref="V6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1887.288</v>
      </c>
      <c r="W638" t="s">
        <v>48</v>
      </c>
      <c r="X638">
        <f>IF(OR(vp.data[[#This Row],[Sulf]]="",vp.data[[#This Row],[Dens]]=""),1,0)</f>
        <v>0</v>
      </c>
      <c r="Y638">
        <f>IF(vp.data[[#This Row],[CrudeType]]="C5+",1,0)</f>
        <v>0</v>
      </c>
      <c r="Z638">
        <f>IF(AND(vp.data[[#This Row],[CrudeType]]="Crude",vp.data[[#This Row],[Dens]]&lt;=825,vp.data[[#This Row],[Sulf]]&gt;0.5,vp.data[[#This Row],[Unknown]]=0),1,0)</f>
        <v>0</v>
      </c>
      <c r="AA638">
        <f>IF(AND(vp.data[[#This Row],[CrudeType]]="Crude",vp.data[[#This Row],[Dens]]&lt;=825,vp.data[[#This Row],[Sulf]]&lt;=0.5,vp.data[[#This Row],[Unknown]]=0),1,0)</f>
        <v>0</v>
      </c>
      <c r="AB6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8">
        <f>IF(AND(vp.data[[#This Row],[CrudeType]]="Crude",vp.data[[#This Row],[Dens]]&gt;825,vp.data[[#This Row],[Dens]]&lt;=900,vp.data[[#This Row],[Sulf]]&lt;=0.5,vp.data[[#This Row],[Unknown]]=0),1,0)</f>
        <v>0</v>
      </c>
      <c r="AD638">
        <f>IF(AND(vp.data[[#This Row],[CrudeType]]="Crude",vp.data[[#This Row],[Dens]]&gt;865,vp.data[[#This Row],[Dens]]&lt;=900,vp.data[[#This Row],[Sulf]]&gt;2,vp.data[[#This Row],[Unknown]]=0),1,0)</f>
        <v>0</v>
      </c>
      <c r="AE638">
        <f>IF(AND(vp.data[[#This Row],[CrudeType]]="Crude",vp.data[[#This Row],[Dens]]&gt;900,vp.data[[#This Row],[Sulf]]&lt;=0.5,vp.data[[#This Row],[Unknown]]=0),1,0)</f>
        <v>0</v>
      </c>
      <c r="AF638">
        <f>IF(AND(vp.data[[#This Row],[CrudeType]]="Crude",vp.data[[#This Row],[Dens]]&gt;900,vp.data[[#This Row],[Sulf]]&lt;=0.5,vp.data[[#This Row],[Unknown]]=0),1,0)</f>
        <v>0</v>
      </c>
      <c r="AG638" t="str">
        <f>INDEX(vp.data[[#Headers],[Unknown]:[Heavy_SW]],MATCH(1,vp.data[[#This Row],[Unknown]:[Heavy_SW]],0))</f>
        <v>Medium_LSB</v>
      </c>
      <c r="AH638">
        <f>INDEX([3]!crudeBD.lkup[Number],MATCH(vp.data[[#This Row],[Crude_Breakdown]],crudeBD.lkup[Crude Breakdown],0))</f>
        <v>3</v>
      </c>
      <c r="AI638">
        <f>MONTH(vp.data[[#This Row],[SDate]])</f>
        <v>1</v>
      </c>
      <c r="AJ638" s="5">
        <f>(vp.data[[#This Row],[VP]]-INDEX(crudeBD.lkup[Mean_VP],MATCH(vp.data[[#This Row],[Crude_Breakdown]],crudeBD.lkup[Crude Breakdown],0)))^2</f>
        <v>1.0809273283395293</v>
      </c>
      <c r="AK638" s="5">
        <f>(vp.data[[#This Row],[Dens]]-INDEX(crudeBD.lkup[Mean_Dens],MATCH(vp.data[[#This Row],[Crude_Breakdown]],crudeBD.lkup[Crude Breakdown],0)))^2</f>
        <v>2.4964000000015663</v>
      </c>
      <c r="AL638" s="5">
        <f>(vp.data[[#This Row],[Sulf]]-INDEX(crudeBD.lkup[Mean_Sulf],MATCH(vp.data[[#This Row],[Crude_Breakdown]],crudeBD.lkup[Crude Breakdown],0)))^2</f>
        <v>0.16369458395283426</v>
      </c>
      <c r="AM638" s="4">
        <f>IF(AND(vp.data[[#This Row],[SDate]]&gt;=DATE(YEAR(vp.data[[#This Row],[SDate]]),5,1),vp.data[[#This Row],[SDate]]&lt;=DATE(YEAR(vp.data[[#This Row],[SDate]]),9,15)),1,0)</f>
        <v>0</v>
      </c>
      <c r="AN638" s="4">
        <f>IF(vp.data[[#This Row],[SDate]]&lt;DATE(2016,12,1),0,1)</f>
        <v>1</v>
      </c>
      <c r="AO638" s="4">
        <f>IFERROR(vp.data[[#This Row],[Sulf]]*vp.data[[#This Row],[Net Dens]],"")</f>
        <v>2856306.5871600001</v>
      </c>
      <c r="AP638">
        <f>IFERROR(vp.data[[#This Row],[Dens]]*vp.data[[#This Row],[VolumeM3]],"")</f>
        <v>1595702.004</v>
      </c>
      <c r="AQ638" s="15">
        <f>IFERROR(vp.data[[#This Row],[VP]]*vp.data[[#This Row],[VolumeM3]],"")</f>
        <v>150228.12479999999</v>
      </c>
    </row>
    <row r="639" spans="1:43" x14ac:dyDescent="0.25">
      <c r="A639">
        <v>638</v>
      </c>
      <c r="B639" t="s">
        <v>68</v>
      </c>
      <c r="C639" t="s">
        <v>68</v>
      </c>
      <c r="D639" t="s">
        <v>98</v>
      </c>
      <c r="F639" s="1">
        <v>42755</v>
      </c>
      <c r="G639" s="2">
        <v>61.8</v>
      </c>
      <c r="H639" s="2"/>
      <c r="I639" s="2">
        <f t="array" ref="I639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639" s="2">
        <v>26.8</v>
      </c>
      <c r="K639" s="2">
        <v>-8</v>
      </c>
      <c r="L639" s="2">
        <v>853.3</v>
      </c>
      <c r="M639" s="2">
        <f t="array" ref="M639">_xlfn.IFNA(IF(vp.data[[#This Row],[Dens Input]]="",INDEX([1]DATA!$O$3:$O$9826,MATCH(1,(vp.data[[#This Row],[Battery]]=[1]DATA!$L$3:$L$9826)*(EOMONTH(vp.data[[#This Row],[SDate]],-1)+1=[1]DATA!$G$3:$G$9826),0)),vp.data[[#This Row],[Dens Input]]),"")</f>
        <v>853.3</v>
      </c>
      <c r="N639" s="2">
        <f ca="1">INDEX(INDIRECT(_xlfn.CONCAT("weather.tbl[",N$1,"]")),MATCH(vp.data[[#This Row],[SDate]],weather.tbl[Date],0))</f>
        <v>-5.833333333333333</v>
      </c>
      <c r="O639" s="2">
        <f ca="1">INDEX(INDIRECT(_xlfn.CONCAT("weather.tbl[",O$1,"]")),MATCH(vp.data[[#This Row],[SDate]],weather.tbl[Date],0))</f>
        <v>-7.2738095238095237</v>
      </c>
      <c r="P639" s="2">
        <f ca="1">INDEX(INDIRECT(_xlfn.CONCAT("weather.tbl[",P$1,"]")),MATCH(vp.data[[#This Row],[SDate]],weather.tbl[Date],0))</f>
        <v>-8.3000000000000007</v>
      </c>
      <c r="Q639" s="2">
        <f ca="1">INDEX(INDIRECT(_xlfn.CONCAT("weather.tbl[",Q$1,"]")),MATCH(vp.data[[#This Row],[SDate]],weather.tbl[Date],0))</f>
        <v>-6</v>
      </c>
      <c r="R639" s="2">
        <f ca="1">INDEX(INDIRECT(_xlfn.CONCAT("weather.tbl[",R$1,"]")),MATCH(vp.data[[#This Row],[SDate]],weather.tbl[Date],0))</f>
        <v>-9.5</v>
      </c>
      <c r="S639" s="2">
        <f ca="1">INDEX(INDIRECT(_xlfn.CONCAT("weather.tbl[",S$1,"]")),MATCH(vp.data[[#This Row],[SDate]],weather.tbl[Date],0))</f>
        <v>-3</v>
      </c>
      <c r="T639" s="2">
        <f ca="1">INDEX(INDIRECT(_xlfn.CONCAT("weather.tbl[",T$1,"]")),MATCH(vp.data[[#This Row],[SDate]],weather.tbl[Date],0))</f>
        <v>-6.2</v>
      </c>
      <c r="U639" s="2">
        <f ca="1">INDEX(INDIRECT(_xlfn.CONCAT("weather.tbl[",U$1,"]")),MATCH(vp.data[[#This Row],[SDate]],weather.tbl[Date],0))</f>
        <v>-2</v>
      </c>
      <c r="V639" s="2">
        <f t="array" ref="V6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5406.71</v>
      </c>
      <c r="W639" t="s">
        <v>48</v>
      </c>
      <c r="X639">
        <f>IF(OR(vp.data[[#This Row],[Sulf]]="",vp.data[[#This Row],[Dens]]=""),1,0)</f>
        <v>0</v>
      </c>
      <c r="Y639">
        <f>IF(vp.data[[#This Row],[CrudeType]]="C5+",1,0)</f>
        <v>0</v>
      </c>
      <c r="Z639">
        <f>IF(AND(vp.data[[#This Row],[CrudeType]]="Crude",vp.data[[#This Row],[Dens]]&lt;=825,vp.data[[#This Row],[Sulf]]&gt;0.5,vp.data[[#This Row],[Unknown]]=0),1,0)</f>
        <v>0</v>
      </c>
      <c r="AA639">
        <f>IF(AND(vp.data[[#This Row],[CrudeType]]="Crude",vp.data[[#This Row],[Dens]]&lt;=825,vp.data[[#This Row],[Sulf]]&lt;=0.5,vp.data[[#This Row],[Unknown]]=0),1,0)</f>
        <v>0</v>
      </c>
      <c r="AB6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39">
        <f>IF(AND(vp.data[[#This Row],[CrudeType]]="Crude",vp.data[[#This Row],[Dens]]&gt;825,vp.data[[#This Row],[Dens]]&lt;=900,vp.data[[#This Row],[Sulf]]&lt;=0.5,vp.data[[#This Row],[Unknown]]=0),1,0)</f>
        <v>0</v>
      </c>
      <c r="AD639">
        <f>IF(AND(vp.data[[#This Row],[CrudeType]]="Crude",vp.data[[#This Row],[Dens]]&gt;865,vp.data[[#This Row],[Dens]]&lt;=900,vp.data[[#This Row],[Sulf]]&gt;2,vp.data[[#This Row],[Unknown]]=0),1,0)</f>
        <v>0</v>
      </c>
      <c r="AE639">
        <f>IF(AND(vp.data[[#This Row],[CrudeType]]="Crude",vp.data[[#This Row],[Dens]]&gt;900,vp.data[[#This Row],[Sulf]]&lt;=0.5,vp.data[[#This Row],[Unknown]]=0),1,0)</f>
        <v>0</v>
      </c>
      <c r="AF639">
        <f>IF(AND(vp.data[[#This Row],[CrudeType]]="Crude",vp.data[[#This Row],[Dens]]&gt;900,vp.data[[#This Row],[Sulf]]&lt;=0.5,vp.data[[#This Row],[Unknown]]=0),1,0)</f>
        <v>0</v>
      </c>
      <c r="AG639" t="str">
        <f>INDEX(vp.data[[#Headers],[Unknown]:[Heavy_SW]],MATCH(1,vp.data[[#This Row],[Unknown]:[Heavy_SW]],0))</f>
        <v>Medium_LSB</v>
      </c>
      <c r="AH639">
        <f>INDEX([3]!crudeBD.lkup[Number],MATCH(vp.data[[#This Row],[Crude_Breakdown]],crudeBD.lkup[Crude Breakdown],0))</f>
        <v>3</v>
      </c>
      <c r="AI639">
        <f>MONTH(vp.data[[#This Row],[SDate]])</f>
        <v>1</v>
      </c>
      <c r="AJ639" s="5">
        <f>(vp.data[[#This Row],[VP]]-INDEX(crudeBD.lkup[Mean_VP],MATCH(vp.data[[#This Row],[Crude_Breakdown]],crudeBD.lkup[Crude Breakdown],0)))^2</f>
        <v>354.93341250353922</v>
      </c>
      <c r="AK639" s="5">
        <f>(vp.data[[#This Row],[Dens]]-INDEX(crudeBD.lkup[Mean_Dens],MATCH(vp.data[[#This Row],[Crude_Breakdown]],crudeBD.lkup[Crude Breakdown],0)))^2</f>
        <v>87.984400000008449</v>
      </c>
      <c r="AL639" s="5">
        <f>(vp.data[[#This Row],[Sulf]]-INDEX(crudeBD.lkup[Mean_Sulf],MATCH(vp.data[[#This Row],[Crude_Breakdown]],crudeBD.lkup[Crude Breakdown],0)))^2</f>
        <v>1.5727198238550122E-2</v>
      </c>
      <c r="AM639" s="4">
        <f>IF(AND(vp.data[[#This Row],[SDate]]&gt;=DATE(YEAR(vp.data[[#This Row],[SDate]]),5,1),vp.data[[#This Row],[SDate]]&lt;=DATE(YEAR(vp.data[[#This Row],[SDate]]),9,15)),1,0)</f>
        <v>0</v>
      </c>
      <c r="AN639" s="4">
        <f>IF(vp.data[[#This Row],[SDate]]&lt;DATE(2016,12,1),0,1)</f>
        <v>1</v>
      </c>
      <c r="AO639" s="4">
        <f>IFERROR(vp.data[[#This Row],[Sulf]]*vp.data[[#This Row],[Net Dens]],"")</f>
        <v>5813067.5101800002</v>
      </c>
      <c r="AP639">
        <f>IFERROR(vp.data[[#This Row],[Dens]]*vp.data[[#This Row],[VolumeM3]],"")</f>
        <v>4613545.6430000002</v>
      </c>
      <c r="AQ639" s="15">
        <f>IFERROR(vp.data[[#This Row],[VP]]*vp.data[[#This Row],[VolumeM3]],"")</f>
        <v>334134.67800000001</v>
      </c>
    </row>
    <row r="640" spans="1:43" x14ac:dyDescent="0.25">
      <c r="A640">
        <v>639</v>
      </c>
      <c r="B640" t="s">
        <v>53</v>
      </c>
      <c r="C640" t="s">
        <v>53</v>
      </c>
      <c r="D640" t="s">
        <v>54</v>
      </c>
      <c r="E640" t="s">
        <v>55</v>
      </c>
      <c r="F640" s="1">
        <v>42756</v>
      </c>
      <c r="G640" s="2">
        <v>95.8</v>
      </c>
      <c r="H640" s="2"/>
      <c r="I640" s="2">
        <f t="array" ref="I640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640" s="2">
        <v>7.6</v>
      </c>
      <c r="K640" s="2">
        <v>-4</v>
      </c>
      <c r="L640" s="2">
        <v>846</v>
      </c>
      <c r="M640" s="2">
        <f t="array" ref="M640">_xlfn.IFNA(IF(vp.data[[#This Row],[Dens Input]]="",INDEX([1]DATA!$O$3:$O$9826,MATCH(1,(vp.data[[#This Row],[Battery]]=[1]DATA!$L$3:$L$9826)*(EOMONTH(vp.data[[#This Row],[SDate]],-1)+1=[1]DATA!$G$3:$G$9826),0)),vp.data[[#This Row],[Dens Input]]),"")</f>
        <v>846</v>
      </c>
      <c r="N640" s="2">
        <f ca="1">INDEX(INDIRECT(_xlfn.CONCAT("weather.tbl[",N$1,"]")),MATCH(vp.data[[#This Row],[SDate]],weather.tbl[Date],0))</f>
        <v>-5.7333333333333334</v>
      </c>
      <c r="O640" s="2">
        <f ca="1">INDEX(INDIRECT(_xlfn.CONCAT("weather.tbl[",O$1,"]")),MATCH(vp.data[[#This Row],[SDate]],weather.tbl[Date],0))</f>
        <v>-5.7547619047619047</v>
      </c>
      <c r="P640" s="2">
        <f ca="1">INDEX(INDIRECT(_xlfn.CONCAT("weather.tbl[",P$1,"]")),MATCH(vp.data[[#This Row],[SDate]],weather.tbl[Date],0))</f>
        <v>-7</v>
      </c>
      <c r="Q640" s="2">
        <f ca="1">INDEX(INDIRECT(_xlfn.CONCAT("weather.tbl[",Q$1,"]")),MATCH(vp.data[[#This Row],[SDate]],weather.tbl[Date],0))</f>
        <v>-7.4</v>
      </c>
      <c r="R640" s="2">
        <f ca="1">INDEX(INDIRECT(_xlfn.CONCAT("weather.tbl[",R$1,"]")),MATCH(vp.data[[#This Row],[SDate]],weather.tbl[Date],0))</f>
        <v>-7.5</v>
      </c>
      <c r="S640" s="2">
        <f ca="1">INDEX(INDIRECT(_xlfn.CONCAT("weather.tbl[",S$1,"]")),MATCH(vp.data[[#This Row],[SDate]],weather.tbl[Date],0))</f>
        <v>-5.8</v>
      </c>
      <c r="T640" s="2">
        <f ca="1">INDEX(INDIRECT(_xlfn.CONCAT("weather.tbl[",T$1,"]")),MATCH(vp.data[[#This Row],[SDate]],weather.tbl[Date],0))</f>
        <v>-1.7</v>
      </c>
      <c r="U640" s="2">
        <f ca="1">INDEX(INDIRECT(_xlfn.CONCAT("weather.tbl[",U$1,"]")),MATCH(vp.data[[#This Row],[SDate]],weather.tbl[Date],0))</f>
        <v>-5</v>
      </c>
      <c r="V640" s="2">
        <f t="array" ref="V6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640" t="s">
        <v>48</v>
      </c>
      <c r="X640">
        <f>IF(OR(vp.data[[#This Row],[Sulf]]="",vp.data[[#This Row],[Dens]]=""),1,0)</f>
        <v>0</v>
      </c>
      <c r="Y640">
        <f>IF(vp.data[[#This Row],[CrudeType]]="C5+",1,0)</f>
        <v>0</v>
      </c>
      <c r="Z640">
        <f>IF(AND(vp.data[[#This Row],[CrudeType]]="Crude",vp.data[[#This Row],[Dens]]&lt;=825,vp.data[[#This Row],[Sulf]]&gt;0.5,vp.data[[#This Row],[Unknown]]=0),1,0)</f>
        <v>0</v>
      </c>
      <c r="AA640">
        <f>IF(AND(vp.data[[#This Row],[CrudeType]]="Crude",vp.data[[#This Row],[Dens]]&lt;=825,vp.data[[#This Row],[Sulf]]&lt;=0.5,vp.data[[#This Row],[Unknown]]=0),1,0)</f>
        <v>0</v>
      </c>
      <c r="AB6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40">
        <f>IF(AND(vp.data[[#This Row],[CrudeType]]="Crude",vp.data[[#This Row],[Dens]]&gt;825,vp.data[[#This Row],[Dens]]&lt;=900,vp.data[[#This Row],[Sulf]]&lt;=0.5,vp.data[[#This Row],[Unknown]]=0),1,0)</f>
        <v>0</v>
      </c>
      <c r="AD640">
        <f>IF(AND(vp.data[[#This Row],[CrudeType]]="Crude",vp.data[[#This Row],[Dens]]&gt;865,vp.data[[#This Row],[Dens]]&lt;=900,vp.data[[#This Row],[Sulf]]&gt;2,vp.data[[#This Row],[Unknown]]=0),1,0)</f>
        <v>0</v>
      </c>
      <c r="AE640">
        <f>IF(AND(vp.data[[#This Row],[CrudeType]]="Crude",vp.data[[#This Row],[Dens]]&gt;900,vp.data[[#This Row],[Sulf]]&lt;=0.5,vp.data[[#This Row],[Unknown]]=0),1,0)</f>
        <v>0</v>
      </c>
      <c r="AF640">
        <f>IF(AND(vp.data[[#This Row],[CrudeType]]="Crude",vp.data[[#This Row],[Dens]]&gt;900,vp.data[[#This Row],[Sulf]]&lt;=0.5,vp.data[[#This Row],[Unknown]]=0),1,0)</f>
        <v>0</v>
      </c>
      <c r="AG640" t="str">
        <f>INDEX(vp.data[[#Headers],[Unknown]:[Heavy_SW]],MATCH(1,vp.data[[#This Row],[Unknown]:[Heavy_SW]],0))</f>
        <v>Medium_LSB</v>
      </c>
      <c r="AH640">
        <f>INDEX([3]!crudeBD.lkup[Number],MATCH(vp.data[[#This Row],[Crude_Breakdown]],crudeBD.lkup[Crude Breakdown],0))</f>
        <v>3</v>
      </c>
      <c r="AI640">
        <f>MONTH(vp.data[[#This Row],[SDate]])</f>
        <v>1</v>
      </c>
      <c r="AJ640" s="5">
        <f>(vp.data[[#This Row],[VP]]-INDEX(crudeBD.lkup[Mean_VP],MATCH(vp.data[[#This Row],[Crude_Breakdown]],crudeBD.lkup[Crude Breakdown],0)))^2</f>
        <v>229.83540711270834</v>
      </c>
      <c r="AK640" s="5">
        <f>(vp.data[[#This Row],[Dens]]-INDEX(crudeBD.lkup[Mean_Dens],MATCH(vp.data[[#This Row],[Crude_Breakdown]],crudeBD.lkup[Crude Breakdown],0)))^2</f>
        <v>4.3264000000020619</v>
      </c>
      <c r="AL640" s="5">
        <f>(vp.data[[#This Row],[Sulf]]-INDEX(crudeBD.lkup[Mean_Sulf],MATCH(vp.data[[#This Row],[Crude_Breakdown]],crudeBD.lkup[Crude Breakdown],0)))^2</f>
        <v>2.3898647295153057E-2</v>
      </c>
      <c r="AM640" s="4">
        <f>IF(AND(vp.data[[#This Row],[SDate]]&gt;=DATE(YEAR(vp.data[[#This Row],[SDate]]),5,1),vp.data[[#This Row],[SDate]]&lt;=DATE(YEAR(vp.data[[#This Row],[SDate]]),9,15)),1,0)</f>
        <v>0</v>
      </c>
      <c r="AN640" s="4">
        <f>IF(vp.data[[#This Row],[SDate]]&lt;DATE(2016,12,1),0,1)</f>
        <v>1</v>
      </c>
      <c r="AO640" s="4">
        <f>IFERROR(vp.data[[#This Row],[Sulf]]*vp.data[[#This Row],[Net Dens]],"")</f>
        <v>66206891.908080004</v>
      </c>
      <c r="AP640">
        <f>IFERROR(vp.data[[#This Row],[Dens]]*vp.data[[#This Row],[VolumeM3]],"")</f>
        <v>42991488.252000004</v>
      </c>
      <c r="AQ640" s="15">
        <f>IFERROR(vp.data[[#This Row],[VP]]*vp.data[[#This Row],[VolumeM3]],"")</f>
        <v>4868303.2796</v>
      </c>
    </row>
    <row r="641" spans="1:43" x14ac:dyDescent="0.25">
      <c r="A641">
        <v>640</v>
      </c>
      <c r="B641" t="s">
        <v>49</v>
      </c>
      <c r="C641" t="s">
        <v>49</v>
      </c>
      <c r="D641" t="s">
        <v>147</v>
      </c>
      <c r="F641" s="1">
        <v>42756</v>
      </c>
      <c r="G641" s="2">
        <v>86.2</v>
      </c>
      <c r="H641" s="2">
        <v>0.14099999999999999</v>
      </c>
      <c r="I641" s="2">
        <f t="array" ref="I641">_xlfn.IFNA(IF(vp.data[[#This Row],[Sulf Input]]="",INDEX([1]DATA!$Q$3:$Q$9826,MATCH(1,(vp.data[[#This Row],[Battery]]=[1]DATA!$L$3:$L$9826)*(EOMONTH(vp.data[[#This Row],[SDate]],-1)+1=[1]DATA!$G$3:$G$9826),0)),vp.data[[#This Row],[Sulf Input]]),"")</f>
        <v>0.14099999999999999</v>
      </c>
      <c r="J641" s="2">
        <v>10</v>
      </c>
      <c r="K641" s="2">
        <v>-4</v>
      </c>
      <c r="L641" s="2">
        <v>809</v>
      </c>
      <c r="M641" s="2">
        <f t="array" ref="M641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641" s="2">
        <f ca="1">INDEX(INDIRECT(_xlfn.CONCAT("weather.tbl[",N$1,"]")),MATCH(vp.data[[#This Row],[SDate]],weather.tbl[Date],0))</f>
        <v>-5.7333333333333334</v>
      </c>
      <c r="O641" s="2">
        <f ca="1">INDEX(INDIRECT(_xlfn.CONCAT("weather.tbl[",O$1,"]")),MATCH(vp.data[[#This Row],[SDate]],weather.tbl[Date],0))</f>
        <v>-5.7547619047619047</v>
      </c>
      <c r="P641" s="2">
        <f ca="1">INDEX(INDIRECT(_xlfn.CONCAT("weather.tbl[",P$1,"]")),MATCH(vp.data[[#This Row],[SDate]],weather.tbl[Date],0))</f>
        <v>-7</v>
      </c>
      <c r="Q641" s="2">
        <f ca="1">INDEX(INDIRECT(_xlfn.CONCAT("weather.tbl[",Q$1,"]")),MATCH(vp.data[[#This Row],[SDate]],weather.tbl[Date],0))</f>
        <v>-7.4</v>
      </c>
      <c r="R641" s="2">
        <f ca="1">INDEX(INDIRECT(_xlfn.CONCAT("weather.tbl[",R$1,"]")),MATCH(vp.data[[#This Row],[SDate]],weather.tbl[Date],0))</f>
        <v>-7.5</v>
      </c>
      <c r="S641" s="2">
        <f ca="1">INDEX(INDIRECT(_xlfn.CONCAT("weather.tbl[",S$1,"]")),MATCH(vp.data[[#This Row],[SDate]],weather.tbl[Date],0))</f>
        <v>-5.8</v>
      </c>
      <c r="T641" s="2">
        <f ca="1">INDEX(INDIRECT(_xlfn.CONCAT("weather.tbl[",T$1,"]")),MATCH(vp.data[[#This Row],[SDate]],weather.tbl[Date],0))</f>
        <v>-1.7</v>
      </c>
      <c r="U641" s="2">
        <f ca="1">INDEX(INDIRECT(_xlfn.CONCAT("weather.tbl[",U$1,"]")),MATCH(vp.data[[#This Row],[SDate]],weather.tbl[Date],0))</f>
        <v>-5</v>
      </c>
      <c r="V641" s="2">
        <f t="array" ref="V6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410.78500000000003</v>
      </c>
      <c r="W641" t="s">
        <v>48</v>
      </c>
      <c r="X641">
        <f>IF(OR(vp.data[[#This Row],[Sulf]]="",vp.data[[#This Row],[Dens]]=""),1,0)</f>
        <v>0</v>
      </c>
      <c r="Y641">
        <f>IF(vp.data[[#This Row],[CrudeType]]="C5+",1,0)</f>
        <v>0</v>
      </c>
      <c r="Z641">
        <f>IF(AND(vp.data[[#This Row],[CrudeType]]="Crude",vp.data[[#This Row],[Dens]]&lt;=825,vp.data[[#This Row],[Sulf]]&gt;0.5,vp.data[[#This Row],[Unknown]]=0),1,0)</f>
        <v>0</v>
      </c>
      <c r="AA641">
        <f>IF(AND(vp.data[[#This Row],[CrudeType]]="Crude",vp.data[[#This Row],[Dens]]&lt;=825,vp.data[[#This Row],[Sulf]]&lt;=0.5,vp.data[[#This Row],[Unknown]]=0),1,0)</f>
        <v>1</v>
      </c>
      <c r="AB6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1">
        <f>IF(AND(vp.data[[#This Row],[CrudeType]]="Crude",vp.data[[#This Row],[Dens]]&gt;825,vp.data[[#This Row],[Dens]]&lt;=900,vp.data[[#This Row],[Sulf]]&lt;=0.5,vp.data[[#This Row],[Unknown]]=0),1,0)</f>
        <v>0</v>
      </c>
      <c r="AD641">
        <f>IF(AND(vp.data[[#This Row],[CrudeType]]="Crude",vp.data[[#This Row],[Dens]]&gt;865,vp.data[[#This Row],[Dens]]&lt;=900,vp.data[[#This Row],[Sulf]]&gt;2,vp.data[[#This Row],[Unknown]]=0),1,0)</f>
        <v>0</v>
      </c>
      <c r="AE641">
        <f>IF(AND(vp.data[[#This Row],[CrudeType]]="Crude",vp.data[[#This Row],[Dens]]&gt;900,vp.data[[#This Row],[Sulf]]&lt;=0.5,vp.data[[#This Row],[Unknown]]=0),1,0)</f>
        <v>0</v>
      </c>
      <c r="AF641">
        <f>IF(AND(vp.data[[#This Row],[CrudeType]]="Crude",vp.data[[#This Row],[Dens]]&gt;900,vp.data[[#This Row],[Sulf]]&lt;=0.5,vp.data[[#This Row],[Unknown]]=0),1,0)</f>
        <v>0</v>
      </c>
      <c r="AG641" t="str">
        <f>INDEX(vp.data[[#Headers],[Unknown]:[Heavy_SW]],MATCH(1,vp.data[[#This Row],[Unknown]:[Heavy_SW]],0))</f>
        <v>Light_SW</v>
      </c>
      <c r="AH641">
        <f>INDEX([3]!crudeBD.lkup[Number],MATCH(vp.data[[#This Row],[Crude_Breakdown]],crudeBD.lkup[Crude Breakdown],0))</f>
        <v>2</v>
      </c>
      <c r="AI641">
        <f>MONTH(vp.data[[#This Row],[SDate]])</f>
        <v>1</v>
      </c>
      <c r="AJ641" s="5">
        <f>(vp.data[[#This Row],[VP]]-INDEX(crudeBD.lkup[Mean_VP],MATCH(vp.data[[#This Row],[Crude_Breakdown]],crudeBD.lkup[Crude Breakdown],0)))^2</f>
        <v>40.32648267673477</v>
      </c>
      <c r="AK641" s="5">
        <f>(vp.data[[#This Row],[Dens]]-INDEX(crudeBD.lkup[Mean_Dens],MATCH(vp.data[[#This Row],[Crude_Breakdown]],crudeBD.lkup[Crude Breakdown],0)))^2</f>
        <v>0.4740346489580396</v>
      </c>
      <c r="AL641" s="5">
        <f>(vp.data[[#This Row],[Sulf]]-INDEX(crudeBD.lkup[Mean_Sulf],MATCH(vp.data[[#This Row],[Crude_Breakdown]],crudeBD.lkup[Crude Breakdown],0)))^2</f>
        <v>9.0710027238402532E-3</v>
      </c>
      <c r="AM641" s="4">
        <f>IF(AND(vp.data[[#This Row],[SDate]]&gt;=DATE(YEAR(vp.data[[#This Row],[SDate]]),5,1),vp.data[[#This Row],[SDate]]&lt;=DATE(YEAR(vp.data[[#This Row],[SDate]]),9,15)),1,0)</f>
        <v>0</v>
      </c>
      <c r="AN641" s="4">
        <f>IF(vp.data[[#This Row],[SDate]]&lt;DATE(2016,12,1),0,1)</f>
        <v>1</v>
      </c>
      <c r="AO641" s="4">
        <f>IFERROR(vp.data[[#This Row],[Sulf]]*vp.data[[#This Row],[Net Dens]],"")</f>
        <v>46857.834164999993</v>
      </c>
      <c r="AP641">
        <f>IFERROR(vp.data[[#This Row],[Dens]]*vp.data[[#This Row],[VolumeM3]],"")</f>
        <v>332325.065</v>
      </c>
      <c r="AQ641" s="15">
        <f>IFERROR(vp.data[[#This Row],[VP]]*vp.data[[#This Row],[VolumeM3]],"")</f>
        <v>35409.667000000001</v>
      </c>
    </row>
    <row r="642" spans="1:43" x14ac:dyDescent="0.25">
      <c r="A642">
        <v>641</v>
      </c>
      <c r="B642" t="s">
        <v>49</v>
      </c>
      <c r="C642" t="s">
        <v>49</v>
      </c>
      <c r="D642" t="s">
        <v>100</v>
      </c>
      <c r="F642" s="1">
        <v>42756</v>
      </c>
      <c r="G642" s="2">
        <v>103.6</v>
      </c>
      <c r="H642" s="2">
        <v>0.503</v>
      </c>
      <c r="I642" s="2">
        <f t="array" ref="I642">_xlfn.IFNA(IF(vp.data[[#This Row],[Sulf Input]]="",INDEX([1]DATA!$Q$3:$Q$9826,MATCH(1,(vp.data[[#This Row],[Battery]]=[1]DATA!$L$3:$L$9826)*(EOMONTH(vp.data[[#This Row],[SDate]],-1)+1=[1]DATA!$G$3:$G$9826),0)),vp.data[[#This Row],[Sulf Input]]),"")</f>
        <v>0.503</v>
      </c>
      <c r="J642" s="2">
        <v>7.5</v>
      </c>
      <c r="K642" s="2">
        <v>-6</v>
      </c>
      <c r="L642" s="2">
        <v>811.6</v>
      </c>
      <c r="M642" s="2">
        <f t="array" ref="M642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642" s="2">
        <f ca="1">INDEX(INDIRECT(_xlfn.CONCAT("weather.tbl[",N$1,"]")),MATCH(vp.data[[#This Row],[SDate]],weather.tbl[Date],0))</f>
        <v>-5.7333333333333334</v>
      </c>
      <c r="O642" s="2">
        <f ca="1">INDEX(INDIRECT(_xlfn.CONCAT("weather.tbl[",O$1,"]")),MATCH(vp.data[[#This Row],[SDate]],weather.tbl[Date],0))</f>
        <v>-5.7547619047619047</v>
      </c>
      <c r="P642" s="2">
        <f ca="1">INDEX(INDIRECT(_xlfn.CONCAT("weather.tbl[",P$1,"]")),MATCH(vp.data[[#This Row],[SDate]],weather.tbl[Date],0))</f>
        <v>-7</v>
      </c>
      <c r="Q642" s="2">
        <f ca="1">INDEX(INDIRECT(_xlfn.CONCAT("weather.tbl[",Q$1,"]")),MATCH(vp.data[[#This Row],[SDate]],weather.tbl[Date],0))</f>
        <v>-7.4</v>
      </c>
      <c r="R642" s="2">
        <f ca="1">INDEX(INDIRECT(_xlfn.CONCAT("weather.tbl[",R$1,"]")),MATCH(vp.data[[#This Row],[SDate]],weather.tbl[Date],0))</f>
        <v>-7.5</v>
      </c>
      <c r="S642" s="2">
        <f ca="1">INDEX(INDIRECT(_xlfn.CONCAT("weather.tbl[",S$1,"]")),MATCH(vp.data[[#This Row],[SDate]],weather.tbl[Date],0))</f>
        <v>-5.8</v>
      </c>
      <c r="T642" s="2">
        <f ca="1">INDEX(INDIRECT(_xlfn.CONCAT("weather.tbl[",T$1,"]")),MATCH(vp.data[[#This Row],[SDate]],weather.tbl[Date],0))</f>
        <v>-1.7</v>
      </c>
      <c r="U642" s="2">
        <f ca="1">INDEX(INDIRECT(_xlfn.CONCAT("weather.tbl[",U$1,"]")),MATCH(vp.data[[#This Row],[SDate]],weather.tbl[Date],0))</f>
        <v>-5</v>
      </c>
      <c r="V642" s="2">
        <f t="array" ref="V6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642" t="s">
        <v>48</v>
      </c>
      <c r="X642">
        <f>IF(OR(vp.data[[#This Row],[Sulf]]="",vp.data[[#This Row],[Dens]]=""),1,0)</f>
        <v>0</v>
      </c>
      <c r="Y642">
        <f>IF(vp.data[[#This Row],[CrudeType]]="C5+",1,0)</f>
        <v>0</v>
      </c>
      <c r="Z642">
        <f>IF(AND(vp.data[[#This Row],[CrudeType]]="Crude",vp.data[[#This Row],[Dens]]&lt;=825,vp.data[[#This Row],[Sulf]]&gt;0.5,vp.data[[#This Row],[Unknown]]=0),1,0)</f>
        <v>1</v>
      </c>
      <c r="AA642">
        <f>IF(AND(vp.data[[#This Row],[CrudeType]]="Crude",vp.data[[#This Row],[Dens]]&lt;=825,vp.data[[#This Row],[Sulf]]&lt;=0.5,vp.data[[#This Row],[Unknown]]=0),1,0)</f>
        <v>0</v>
      </c>
      <c r="AB6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2">
        <f>IF(AND(vp.data[[#This Row],[CrudeType]]="Crude",vp.data[[#This Row],[Dens]]&gt;825,vp.data[[#This Row],[Dens]]&lt;=900,vp.data[[#This Row],[Sulf]]&lt;=0.5,vp.data[[#This Row],[Unknown]]=0),1,0)</f>
        <v>0</v>
      </c>
      <c r="AD642">
        <f>IF(AND(vp.data[[#This Row],[CrudeType]]="Crude",vp.data[[#This Row],[Dens]]&gt;865,vp.data[[#This Row],[Dens]]&lt;=900,vp.data[[#This Row],[Sulf]]&gt;2,vp.data[[#This Row],[Unknown]]=0),1,0)</f>
        <v>0</v>
      </c>
      <c r="AE642">
        <f>IF(AND(vp.data[[#This Row],[CrudeType]]="Crude",vp.data[[#This Row],[Dens]]&gt;900,vp.data[[#This Row],[Sulf]]&lt;=0.5,vp.data[[#This Row],[Unknown]]=0),1,0)</f>
        <v>0</v>
      </c>
      <c r="AF642">
        <f>IF(AND(vp.data[[#This Row],[CrudeType]]="Crude",vp.data[[#This Row],[Dens]]&gt;900,vp.data[[#This Row],[Sulf]]&lt;=0.5,vp.data[[#This Row],[Unknown]]=0),1,0)</f>
        <v>0</v>
      </c>
      <c r="AG642" t="str">
        <f>INDEX(vp.data[[#Headers],[Unknown]:[Heavy_SW]],MATCH(1,vp.data[[#This Row],[Unknown]:[Heavy_SW]],0))</f>
        <v>Light_LSB</v>
      </c>
      <c r="AH642">
        <f>INDEX([3]!crudeBD.lkup[Number],MATCH(vp.data[[#This Row],[Crude_Breakdown]],crudeBD.lkup[Crude Breakdown],0))</f>
        <v>1</v>
      </c>
      <c r="AI642">
        <f>MONTH(vp.data[[#This Row],[SDate]])</f>
        <v>1</v>
      </c>
      <c r="AJ642" s="5">
        <f>(vp.data[[#This Row],[VP]]-INDEX(crudeBD.lkup[Mean_VP],MATCH(vp.data[[#This Row],[Crude_Breakdown]],crudeBD.lkup[Crude Breakdown],0)))^2</f>
        <v>145.29444238494969</v>
      </c>
      <c r="AK642" s="5">
        <f>(vp.data[[#This Row],[Dens]]-INDEX(crudeBD.lkup[Mean_Dens],MATCH(vp.data[[#This Row],[Crude_Breakdown]],crudeBD.lkup[Crude Breakdown],0)))^2</f>
        <v>47.841703905239726</v>
      </c>
      <c r="AL642" s="5">
        <f>(vp.data[[#This Row],[Sulf]]-INDEX(crudeBD.lkup[Mean_Sulf],MATCH(vp.data[[#This Row],[Crude_Breakdown]],crudeBD.lkup[Crude Breakdown],0)))^2</f>
        <v>0.17637578227456077</v>
      </c>
      <c r="AM642" s="4">
        <f>IF(AND(vp.data[[#This Row],[SDate]]&gt;=DATE(YEAR(vp.data[[#This Row],[SDate]]),5,1),vp.data[[#This Row],[SDate]]&lt;=DATE(YEAR(vp.data[[#This Row],[SDate]]),9,15)),1,0)</f>
        <v>0</v>
      </c>
      <c r="AN642" s="4">
        <f>IF(vp.data[[#This Row],[SDate]]&lt;DATE(2016,12,1),0,1)</f>
        <v>1</v>
      </c>
      <c r="AO642" s="4">
        <f>IFERROR(vp.data[[#This Row],[Sulf]]*vp.data[[#This Row],[Net Dens]],"")</f>
        <v>4579125.6622415995</v>
      </c>
      <c r="AP642">
        <f>IFERROR(vp.data[[#This Row],[Dens]]*vp.data[[#This Row],[VolumeM3]],"")</f>
        <v>9103629.5471999999</v>
      </c>
      <c r="AQ642" s="15">
        <f>IFERROR(vp.data[[#This Row],[VP]]*vp.data[[#This Row],[VolumeM3]],"")</f>
        <v>1162070.0111999998</v>
      </c>
    </row>
    <row r="643" spans="1:43" x14ac:dyDescent="0.25">
      <c r="A643">
        <v>642</v>
      </c>
      <c r="B643" t="s">
        <v>49</v>
      </c>
      <c r="C643" t="s">
        <v>49</v>
      </c>
      <c r="D643" t="s">
        <v>80</v>
      </c>
      <c r="F643" s="1">
        <v>42756</v>
      </c>
      <c r="G643" s="2">
        <v>102.5</v>
      </c>
      <c r="H643" s="2">
        <v>0.54200000000000004</v>
      </c>
      <c r="I643" s="2">
        <f t="array" ref="I643">_xlfn.IFNA(IF(vp.data[[#This Row],[Sulf Input]]="",INDEX([1]DATA!$Q$3:$Q$9826,MATCH(1,(vp.data[[#This Row],[Battery]]=[1]DATA!$L$3:$L$9826)*(EOMONTH(vp.data[[#This Row],[SDate]],-1)+1=[1]DATA!$G$3:$G$9826),0)),vp.data[[#This Row],[Sulf Input]]),"")</f>
        <v>0.54200000000000004</v>
      </c>
      <c r="J643" s="2">
        <v>16</v>
      </c>
      <c r="K643" s="2">
        <v>-5</v>
      </c>
      <c r="L643" s="2">
        <v>815</v>
      </c>
      <c r="M643" s="2">
        <f t="array" ref="M643">_xlfn.IFNA(IF(vp.data[[#This Row],[Dens Input]]="",INDEX([1]DATA!$O$3:$O$9826,MATCH(1,(vp.data[[#This Row],[Battery]]=[1]DATA!$L$3:$L$9826)*(EOMONTH(vp.data[[#This Row],[SDate]],-1)+1=[1]DATA!$G$3:$G$9826),0)),vp.data[[#This Row],[Dens Input]]),"")</f>
        <v>815</v>
      </c>
      <c r="N643" s="2">
        <f ca="1">INDEX(INDIRECT(_xlfn.CONCAT("weather.tbl[",N$1,"]")),MATCH(vp.data[[#This Row],[SDate]],weather.tbl[Date],0))</f>
        <v>-5.7333333333333334</v>
      </c>
      <c r="O643" s="2">
        <f ca="1">INDEX(INDIRECT(_xlfn.CONCAT("weather.tbl[",O$1,"]")),MATCH(vp.data[[#This Row],[SDate]],weather.tbl[Date],0))</f>
        <v>-5.7547619047619047</v>
      </c>
      <c r="P643" s="2">
        <f ca="1">INDEX(INDIRECT(_xlfn.CONCAT("weather.tbl[",P$1,"]")),MATCH(vp.data[[#This Row],[SDate]],weather.tbl[Date],0))</f>
        <v>-7</v>
      </c>
      <c r="Q643" s="2">
        <f ca="1">INDEX(INDIRECT(_xlfn.CONCAT("weather.tbl[",Q$1,"]")),MATCH(vp.data[[#This Row],[SDate]],weather.tbl[Date],0))</f>
        <v>-7.4</v>
      </c>
      <c r="R643" s="2">
        <f ca="1">INDEX(INDIRECT(_xlfn.CONCAT("weather.tbl[",R$1,"]")),MATCH(vp.data[[#This Row],[SDate]],weather.tbl[Date],0))</f>
        <v>-7.5</v>
      </c>
      <c r="S643" s="2">
        <f ca="1">INDEX(INDIRECT(_xlfn.CONCAT("weather.tbl[",S$1,"]")),MATCH(vp.data[[#This Row],[SDate]],weather.tbl[Date],0))</f>
        <v>-5.8</v>
      </c>
      <c r="T643" s="2">
        <f ca="1">INDEX(INDIRECT(_xlfn.CONCAT("weather.tbl[",T$1,"]")),MATCH(vp.data[[#This Row],[SDate]],weather.tbl[Date],0))</f>
        <v>-1.7</v>
      </c>
      <c r="U643" s="2">
        <f ca="1">INDEX(INDIRECT(_xlfn.CONCAT("weather.tbl[",U$1,"]")),MATCH(vp.data[[#This Row],[SDate]],weather.tbl[Date],0))</f>
        <v>-5</v>
      </c>
      <c r="V643" s="2">
        <f t="array" ref="V6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643" t="s">
        <v>48</v>
      </c>
      <c r="X643">
        <f>IF(OR(vp.data[[#This Row],[Sulf]]="",vp.data[[#This Row],[Dens]]=""),1,0)</f>
        <v>0</v>
      </c>
      <c r="Y643">
        <f>IF(vp.data[[#This Row],[CrudeType]]="C5+",1,0)</f>
        <v>0</v>
      </c>
      <c r="Z643">
        <f>IF(AND(vp.data[[#This Row],[CrudeType]]="Crude",vp.data[[#This Row],[Dens]]&lt;=825,vp.data[[#This Row],[Sulf]]&gt;0.5,vp.data[[#This Row],[Unknown]]=0),1,0)</f>
        <v>1</v>
      </c>
      <c r="AA643">
        <f>IF(AND(vp.data[[#This Row],[CrudeType]]="Crude",vp.data[[#This Row],[Dens]]&lt;=825,vp.data[[#This Row],[Sulf]]&lt;=0.5,vp.data[[#This Row],[Unknown]]=0),1,0)</f>
        <v>0</v>
      </c>
      <c r="AB6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3">
        <f>IF(AND(vp.data[[#This Row],[CrudeType]]="Crude",vp.data[[#This Row],[Dens]]&gt;825,vp.data[[#This Row],[Dens]]&lt;=900,vp.data[[#This Row],[Sulf]]&lt;=0.5,vp.data[[#This Row],[Unknown]]=0),1,0)</f>
        <v>0</v>
      </c>
      <c r="AD643">
        <f>IF(AND(vp.data[[#This Row],[CrudeType]]="Crude",vp.data[[#This Row],[Dens]]&gt;865,vp.data[[#This Row],[Dens]]&lt;=900,vp.data[[#This Row],[Sulf]]&gt;2,vp.data[[#This Row],[Unknown]]=0),1,0)</f>
        <v>0</v>
      </c>
      <c r="AE643">
        <f>IF(AND(vp.data[[#This Row],[CrudeType]]="Crude",vp.data[[#This Row],[Dens]]&gt;900,vp.data[[#This Row],[Sulf]]&lt;=0.5,vp.data[[#This Row],[Unknown]]=0),1,0)</f>
        <v>0</v>
      </c>
      <c r="AF643">
        <f>IF(AND(vp.data[[#This Row],[CrudeType]]="Crude",vp.data[[#This Row],[Dens]]&gt;900,vp.data[[#This Row],[Sulf]]&lt;=0.5,vp.data[[#This Row],[Unknown]]=0),1,0)</f>
        <v>0</v>
      </c>
      <c r="AG643" t="str">
        <f>INDEX(vp.data[[#Headers],[Unknown]:[Heavy_SW]],MATCH(1,vp.data[[#This Row],[Unknown]:[Heavy_SW]],0))</f>
        <v>Light_LSB</v>
      </c>
      <c r="AH643">
        <f>INDEX([3]!crudeBD.lkup[Number],MATCH(vp.data[[#This Row],[Crude_Breakdown]],crudeBD.lkup[Crude Breakdown],0))</f>
        <v>1</v>
      </c>
      <c r="AI643">
        <f>MONTH(vp.data[[#This Row],[SDate]])</f>
        <v>1</v>
      </c>
      <c r="AJ643" s="5">
        <f>(vp.data[[#This Row],[VP]]-INDEX(crudeBD.lkup[Mean_VP],MATCH(vp.data[[#This Row],[Crude_Breakdown]],crudeBD.lkup[Crude Breakdown],0)))^2</f>
        <v>119.98605063237258</v>
      </c>
      <c r="AK643" s="5">
        <f>(vp.data[[#This Row],[Dens]]-INDEX(crudeBD.lkup[Mean_Dens],MATCH(vp.data[[#This Row],[Crude_Breakdown]],crudeBD.lkup[Crude Breakdown],0)))^2</f>
        <v>12.36766954098101</v>
      </c>
      <c r="AL643" s="5">
        <f>(vp.data[[#This Row],[Sulf]]-INDEX(crudeBD.lkup[Mean_Sulf],MATCH(vp.data[[#This Row],[Crude_Breakdown]],crudeBD.lkup[Crude Breakdown],0)))^2</f>
        <v>0.14513903114054016</v>
      </c>
      <c r="AM643" s="4">
        <f>IF(AND(vp.data[[#This Row],[SDate]]&gt;=DATE(YEAR(vp.data[[#This Row],[SDate]]),5,1),vp.data[[#This Row],[SDate]]&lt;=DATE(YEAR(vp.data[[#This Row],[SDate]]),9,15)),1,0)</f>
        <v>0</v>
      </c>
      <c r="AN643" s="4">
        <f>IF(vp.data[[#This Row],[SDate]]&lt;DATE(2016,12,1),0,1)</f>
        <v>1</v>
      </c>
      <c r="AO643" s="4">
        <f>IFERROR(vp.data[[#This Row],[Sulf]]*vp.data[[#This Row],[Net Dens]],"")</f>
        <v>9289984.3160300013</v>
      </c>
      <c r="AP643">
        <f>IFERROR(vp.data[[#This Row],[Dens]]*vp.data[[#This Row],[VolumeM3]],"")</f>
        <v>17140192.465</v>
      </c>
      <c r="AQ643" s="15">
        <f>IFERROR(vp.data[[#This Row],[VP]]*vp.data[[#This Row],[VolumeM3]],"")</f>
        <v>2155668.3774999999</v>
      </c>
    </row>
    <row r="644" spans="1:43" x14ac:dyDescent="0.25">
      <c r="A644">
        <v>643</v>
      </c>
      <c r="B644" t="s">
        <v>49</v>
      </c>
      <c r="C644" t="s">
        <v>49</v>
      </c>
      <c r="D644" t="s">
        <v>67</v>
      </c>
      <c r="F644" s="1">
        <v>42756</v>
      </c>
      <c r="G644" s="2">
        <v>95.6</v>
      </c>
      <c r="H644" s="2">
        <v>0.58399999999999996</v>
      </c>
      <c r="I644" s="2">
        <f t="array" ref="I644">_xlfn.IFNA(IF(vp.data[[#This Row],[Sulf Input]]="",INDEX([1]DATA!$Q$3:$Q$9826,MATCH(1,(vp.data[[#This Row],[Battery]]=[1]DATA!$L$3:$L$9826)*(EOMONTH(vp.data[[#This Row],[SDate]],-1)+1=[1]DATA!$G$3:$G$9826),0)),vp.data[[#This Row],[Sulf Input]]),"")</f>
        <v>0.58399999999999996</v>
      </c>
      <c r="J644" s="2">
        <v>7</v>
      </c>
      <c r="K644" s="2">
        <v>-6</v>
      </c>
      <c r="L644" s="2">
        <v>821.8</v>
      </c>
      <c r="M644" s="2">
        <f t="array" ref="M644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644" s="2">
        <f ca="1">INDEX(INDIRECT(_xlfn.CONCAT("weather.tbl[",N$1,"]")),MATCH(vp.data[[#This Row],[SDate]],weather.tbl[Date],0))</f>
        <v>-5.7333333333333334</v>
      </c>
      <c r="O644" s="2">
        <f ca="1">INDEX(INDIRECT(_xlfn.CONCAT("weather.tbl[",O$1,"]")),MATCH(vp.data[[#This Row],[SDate]],weather.tbl[Date],0))</f>
        <v>-5.7547619047619047</v>
      </c>
      <c r="P644" s="2">
        <f ca="1">INDEX(INDIRECT(_xlfn.CONCAT("weather.tbl[",P$1,"]")),MATCH(vp.data[[#This Row],[SDate]],weather.tbl[Date],0))</f>
        <v>-7</v>
      </c>
      <c r="Q644" s="2">
        <f ca="1">INDEX(INDIRECT(_xlfn.CONCAT("weather.tbl[",Q$1,"]")),MATCH(vp.data[[#This Row],[SDate]],weather.tbl[Date],0))</f>
        <v>-7.4</v>
      </c>
      <c r="R644" s="2">
        <f ca="1">INDEX(INDIRECT(_xlfn.CONCAT("weather.tbl[",R$1,"]")),MATCH(vp.data[[#This Row],[SDate]],weather.tbl[Date],0))</f>
        <v>-7.5</v>
      </c>
      <c r="S644" s="2">
        <f ca="1">INDEX(INDIRECT(_xlfn.CONCAT("weather.tbl[",S$1,"]")),MATCH(vp.data[[#This Row],[SDate]],weather.tbl[Date],0))</f>
        <v>-5.8</v>
      </c>
      <c r="T644" s="2">
        <f ca="1">INDEX(INDIRECT(_xlfn.CONCAT("weather.tbl[",T$1,"]")),MATCH(vp.data[[#This Row],[SDate]],weather.tbl[Date],0))</f>
        <v>-1.7</v>
      </c>
      <c r="U644" s="2">
        <f ca="1">INDEX(INDIRECT(_xlfn.CONCAT("weather.tbl[",U$1,"]")),MATCH(vp.data[[#This Row],[SDate]],weather.tbl[Date],0))</f>
        <v>-5</v>
      </c>
      <c r="V644" s="2">
        <f t="array" ref="V6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44" t="s">
        <v>48</v>
      </c>
      <c r="X644">
        <f>IF(OR(vp.data[[#This Row],[Sulf]]="",vp.data[[#This Row],[Dens]]=""),1,0)</f>
        <v>0</v>
      </c>
      <c r="Y644">
        <f>IF(vp.data[[#This Row],[CrudeType]]="C5+",1,0)</f>
        <v>0</v>
      </c>
      <c r="Z644">
        <f>IF(AND(vp.data[[#This Row],[CrudeType]]="Crude",vp.data[[#This Row],[Dens]]&lt;=825,vp.data[[#This Row],[Sulf]]&gt;0.5,vp.data[[#This Row],[Unknown]]=0),1,0)</f>
        <v>1</v>
      </c>
      <c r="AA644">
        <f>IF(AND(vp.data[[#This Row],[CrudeType]]="Crude",vp.data[[#This Row],[Dens]]&lt;=825,vp.data[[#This Row],[Sulf]]&lt;=0.5,vp.data[[#This Row],[Unknown]]=0),1,0)</f>
        <v>0</v>
      </c>
      <c r="AB6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4">
        <f>IF(AND(vp.data[[#This Row],[CrudeType]]="Crude",vp.data[[#This Row],[Dens]]&gt;825,vp.data[[#This Row],[Dens]]&lt;=900,vp.data[[#This Row],[Sulf]]&lt;=0.5,vp.data[[#This Row],[Unknown]]=0),1,0)</f>
        <v>0</v>
      </c>
      <c r="AD644">
        <f>IF(AND(vp.data[[#This Row],[CrudeType]]="Crude",vp.data[[#This Row],[Dens]]&gt;865,vp.data[[#This Row],[Dens]]&lt;=900,vp.data[[#This Row],[Sulf]]&gt;2,vp.data[[#This Row],[Unknown]]=0),1,0)</f>
        <v>0</v>
      </c>
      <c r="AE644">
        <f>IF(AND(vp.data[[#This Row],[CrudeType]]="Crude",vp.data[[#This Row],[Dens]]&gt;900,vp.data[[#This Row],[Sulf]]&lt;=0.5,vp.data[[#This Row],[Unknown]]=0),1,0)</f>
        <v>0</v>
      </c>
      <c r="AF644">
        <f>IF(AND(vp.data[[#This Row],[CrudeType]]="Crude",vp.data[[#This Row],[Dens]]&gt;900,vp.data[[#This Row],[Sulf]]&lt;=0.5,vp.data[[#This Row],[Unknown]]=0),1,0)</f>
        <v>0</v>
      </c>
      <c r="AG644" t="str">
        <f>INDEX(vp.data[[#Headers],[Unknown]:[Heavy_SW]],MATCH(1,vp.data[[#This Row],[Unknown]:[Heavy_SW]],0))</f>
        <v>Light_LSB</v>
      </c>
      <c r="AH644">
        <f>INDEX([3]!crudeBD.lkup[Number],MATCH(vp.data[[#This Row],[Crude_Breakdown]],crudeBD.lkup[Crude Breakdown],0))</f>
        <v>1</v>
      </c>
      <c r="AI644">
        <f>MONTH(vp.data[[#This Row],[SDate]])</f>
        <v>1</v>
      </c>
      <c r="AJ644" s="5">
        <f>(vp.data[[#This Row],[VP]]-INDEX(crudeBD.lkup[Mean_VP],MATCH(vp.data[[#This Row],[Crude_Breakdown]],crudeBD.lkup[Crude Breakdown],0)))^2</f>
        <v>16.433411457115231</v>
      </c>
      <c r="AK644" s="5">
        <f>(vp.data[[#This Row],[Dens]]-INDEX(crudeBD.lkup[Mean_Dens],MATCH(vp.data[[#This Row],[Crude_Breakdown]],crudeBD.lkup[Crude Breakdown],0)))^2</f>
        <v>10.779600812462647</v>
      </c>
      <c r="AL644" s="5">
        <f>(vp.data[[#This Row],[Sulf]]-INDEX(crudeBD.lkup[Mean_Sulf],MATCH(vp.data[[#This Row],[Crude_Breakdown]],crudeBD.lkup[Crude Breakdown],0)))^2</f>
        <v>0.11490145299621034</v>
      </c>
      <c r="AM644" s="4">
        <f>IF(AND(vp.data[[#This Row],[SDate]]&gt;=DATE(YEAR(vp.data[[#This Row],[SDate]]),5,1),vp.data[[#This Row],[SDate]]&lt;=DATE(YEAR(vp.data[[#This Row],[SDate]]),9,15)),1,0)</f>
        <v>0</v>
      </c>
      <c r="AN644" s="4">
        <f>IF(vp.data[[#This Row],[SDate]]&lt;DATE(2016,12,1),0,1)</f>
        <v>1</v>
      </c>
      <c r="AO644" s="4">
        <f>IFERROR(vp.data[[#This Row],[Sulf]]*vp.data[[#This Row],[Net Dens]],"")</f>
        <v>58618734.376943991</v>
      </c>
      <c r="AP644">
        <f>IFERROR(vp.data[[#This Row],[Dens]]*vp.data[[#This Row],[VolumeM3]],"")</f>
        <v>100374545.16599999</v>
      </c>
      <c r="AQ644" s="15">
        <f>IFERROR(vp.data[[#This Row],[VP]]*vp.data[[#This Row],[VolumeM3]],"")</f>
        <v>11676571.571999999</v>
      </c>
    </row>
    <row r="645" spans="1:43" x14ac:dyDescent="0.25">
      <c r="A645">
        <v>644</v>
      </c>
      <c r="B645" t="s">
        <v>49</v>
      </c>
      <c r="C645" t="s">
        <v>49</v>
      </c>
      <c r="D645" t="s">
        <v>89</v>
      </c>
      <c r="F645" s="1">
        <v>42756</v>
      </c>
      <c r="G645" s="2">
        <v>107.6</v>
      </c>
      <c r="H645" s="2">
        <v>0.76200000000000001</v>
      </c>
      <c r="I645" s="2">
        <f t="array" ref="I645">_xlfn.IFNA(IF(vp.data[[#This Row],[Sulf Input]]="",INDEX([1]DATA!$Q$3:$Q$9826,MATCH(1,(vp.data[[#This Row],[Battery]]=[1]DATA!$L$3:$L$9826)*(EOMONTH(vp.data[[#This Row],[SDate]],-1)+1=[1]DATA!$G$3:$G$9826),0)),vp.data[[#This Row],[Sulf Input]]),"")</f>
        <v>0.76200000000000001</v>
      </c>
      <c r="J645" s="2">
        <v>5.9</v>
      </c>
      <c r="K645" s="2">
        <v>-6</v>
      </c>
      <c r="L645" s="2">
        <v>819.3</v>
      </c>
      <c r="M645" s="2">
        <f t="array" ref="M645">_xlfn.IFNA(IF(vp.data[[#This Row],[Dens Input]]="",INDEX([1]DATA!$O$3:$O$9826,MATCH(1,(vp.data[[#This Row],[Battery]]=[1]DATA!$L$3:$L$9826)*(EOMONTH(vp.data[[#This Row],[SDate]],-1)+1=[1]DATA!$G$3:$G$9826),0)),vp.data[[#This Row],[Dens Input]]),"")</f>
        <v>819.3</v>
      </c>
      <c r="N645" s="2">
        <f ca="1">INDEX(INDIRECT(_xlfn.CONCAT("weather.tbl[",N$1,"]")),MATCH(vp.data[[#This Row],[SDate]],weather.tbl[Date],0))</f>
        <v>-5.7333333333333334</v>
      </c>
      <c r="O645" s="2">
        <f ca="1">INDEX(INDIRECT(_xlfn.CONCAT("weather.tbl[",O$1,"]")),MATCH(vp.data[[#This Row],[SDate]],weather.tbl[Date],0))</f>
        <v>-5.7547619047619047</v>
      </c>
      <c r="P645" s="2">
        <f ca="1">INDEX(INDIRECT(_xlfn.CONCAT("weather.tbl[",P$1,"]")),MATCH(vp.data[[#This Row],[SDate]],weather.tbl[Date],0))</f>
        <v>-7</v>
      </c>
      <c r="Q645" s="2">
        <f ca="1">INDEX(INDIRECT(_xlfn.CONCAT("weather.tbl[",Q$1,"]")),MATCH(vp.data[[#This Row],[SDate]],weather.tbl[Date],0))</f>
        <v>-7.4</v>
      </c>
      <c r="R645" s="2">
        <f ca="1">INDEX(INDIRECT(_xlfn.CONCAT("weather.tbl[",R$1,"]")),MATCH(vp.data[[#This Row],[SDate]],weather.tbl[Date],0))</f>
        <v>-7.5</v>
      </c>
      <c r="S645" s="2">
        <f ca="1">INDEX(INDIRECT(_xlfn.CONCAT("weather.tbl[",S$1,"]")),MATCH(vp.data[[#This Row],[SDate]],weather.tbl[Date],0))</f>
        <v>-5.8</v>
      </c>
      <c r="T645" s="2">
        <f ca="1">INDEX(INDIRECT(_xlfn.CONCAT("weather.tbl[",T$1,"]")),MATCH(vp.data[[#This Row],[SDate]],weather.tbl[Date],0))</f>
        <v>-1.7</v>
      </c>
      <c r="U645" s="2">
        <f ca="1">INDEX(INDIRECT(_xlfn.CONCAT("weather.tbl[",U$1,"]")),MATCH(vp.data[[#This Row],[SDate]],weather.tbl[Date],0))</f>
        <v>-5</v>
      </c>
      <c r="V645" s="2">
        <f t="array" ref="V6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645" t="s">
        <v>48</v>
      </c>
      <c r="X645">
        <f>IF(OR(vp.data[[#This Row],[Sulf]]="",vp.data[[#This Row],[Dens]]=""),1,0)</f>
        <v>0</v>
      </c>
      <c r="Y645">
        <f>IF(vp.data[[#This Row],[CrudeType]]="C5+",1,0)</f>
        <v>0</v>
      </c>
      <c r="Z645">
        <f>IF(AND(vp.data[[#This Row],[CrudeType]]="Crude",vp.data[[#This Row],[Dens]]&lt;=825,vp.data[[#This Row],[Sulf]]&gt;0.5,vp.data[[#This Row],[Unknown]]=0),1,0)</f>
        <v>1</v>
      </c>
      <c r="AA645">
        <f>IF(AND(vp.data[[#This Row],[CrudeType]]="Crude",vp.data[[#This Row],[Dens]]&lt;=825,vp.data[[#This Row],[Sulf]]&lt;=0.5,vp.data[[#This Row],[Unknown]]=0),1,0)</f>
        <v>0</v>
      </c>
      <c r="AB6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5">
        <f>IF(AND(vp.data[[#This Row],[CrudeType]]="Crude",vp.data[[#This Row],[Dens]]&gt;825,vp.data[[#This Row],[Dens]]&lt;=900,vp.data[[#This Row],[Sulf]]&lt;=0.5,vp.data[[#This Row],[Unknown]]=0),1,0)</f>
        <v>0</v>
      </c>
      <c r="AD645">
        <f>IF(AND(vp.data[[#This Row],[CrudeType]]="Crude",vp.data[[#This Row],[Dens]]&gt;865,vp.data[[#This Row],[Dens]]&lt;=900,vp.data[[#This Row],[Sulf]]&gt;2,vp.data[[#This Row],[Unknown]]=0),1,0)</f>
        <v>0</v>
      </c>
      <c r="AE645">
        <f>IF(AND(vp.data[[#This Row],[CrudeType]]="Crude",vp.data[[#This Row],[Dens]]&gt;900,vp.data[[#This Row],[Sulf]]&lt;=0.5,vp.data[[#This Row],[Unknown]]=0),1,0)</f>
        <v>0</v>
      </c>
      <c r="AF645">
        <f>IF(AND(vp.data[[#This Row],[CrudeType]]="Crude",vp.data[[#This Row],[Dens]]&gt;900,vp.data[[#This Row],[Sulf]]&lt;=0.5,vp.data[[#This Row],[Unknown]]=0),1,0)</f>
        <v>0</v>
      </c>
      <c r="AG645" t="str">
        <f>INDEX(vp.data[[#Headers],[Unknown]:[Heavy_SW]],MATCH(1,vp.data[[#This Row],[Unknown]:[Heavy_SW]],0))</f>
        <v>Light_LSB</v>
      </c>
      <c r="AH645">
        <f>INDEX([3]!crudeBD.lkup[Number],MATCH(vp.data[[#This Row],[Crude_Breakdown]],crudeBD.lkup[Crude Breakdown],0))</f>
        <v>1</v>
      </c>
      <c r="AI645">
        <f>MONTH(vp.data[[#This Row],[SDate]])</f>
        <v>1</v>
      </c>
      <c r="AJ645" s="5">
        <f>(vp.data[[#This Row],[VP]]-INDEX(crudeBD.lkup[Mean_VP],MATCH(vp.data[[#This Row],[Crude_Breakdown]],crudeBD.lkup[Crude Breakdown],0)))^2</f>
        <v>257.72495784886695</v>
      </c>
      <c r="AK645" s="5">
        <f>(vp.data[[#This Row],[Dens]]-INDEX(crudeBD.lkup[Mean_Dens],MATCH(vp.data[[#This Row],[Crude_Breakdown]],crudeBD.lkup[Crude Breakdown],0)))^2</f>
        <v>0.61344960971216256</v>
      </c>
      <c r="AL645" s="5">
        <f>(vp.data[[#This Row],[Sulf]]-INDEX(crudeBD.lkup[Mean_Sulf],MATCH(vp.data[[#This Row],[Crude_Breakdown]],crudeBD.lkup[Crude Breakdown],0)))^2</f>
        <v>2.5911717051193217E-2</v>
      </c>
      <c r="AM645" s="4">
        <f>IF(AND(vp.data[[#This Row],[SDate]]&gt;=DATE(YEAR(vp.data[[#This Row],[SDate]]),5,1),vp.data[[#This Row],[SDate]]&lt;=DATE(YEAR(vp.data[[#This Row],[SDate]]),9,15)),1,0)</f>
        <v>0</v>
      </c>
      <c r="AN645" s="4">
        <f>IF(vp.data[[#This Row],[SDate]]&lt;DATE(2016,12,1),0,1)</f>
        <v>1</v>
      </c>
      <c r="AO645" s="4">
        <f>IFERROR(vp.data[[#This Row],[Sulf]]*vp.data[[#This Row],[Net Dens]],"")</f>
        <v>3857940.7174025993</v>
      </c>
      <c r="AP645">
        <f>IFERROR(vp.data[[#This Row],[Dens]]*vp.data[[#This Row],[VolumeM3]],"")</f>
        <v>5062914.3272999991</v>
      </c>
      <c r="AQ645" s="15">
        <f>IFERROR(vp.data[[#This Row],[VP]]*vp.data[[#This Row],[VolumeM3]],"")</f>
        <v>664920.76359999995</v>
      </c>
    </row>
    <row r="646" spans="1:43" x14ac:dyDescent="0.25">
      <c r="A646">
        <v>645</v>
      </c>
      <c r="B646" t="s">
        <v>49</v>
      </c>
      <c r="C646" t="s">
        <v>49</v>
      </c>
      <c r="D646" t="s">
        <v>124</v>
      </c>
      <c r="F646" s="1">
        <v>42756</v>
      </c>
      <c r="G646" s="2">
        <v>53.2</v>
      </c>
      <c r="H646" s="2">
        <v>2.12</v>
      </c>
      <c r="I646" s="2">
        <f t="array" ref="I646">_xlfn.IFNA(IF(vp.data[[#This Row],[Sulf Input]]="",INDEX([1]DATA!$Q$3:$Q$9826,MATCH(1,(vp.data[[#This Row],[Battery]]=[1]DATA!$L$3:$L$9826)*(EOMONTH(vp.data[[#This Row],[SDate]],-1)+1=[1]DATA!$G$3:$G$9826),0)),vp.data[[#This Row],[Sulf Input]]),"")</f>
        <v>2.12</v>
      </c>
      <c r="J646" s="2">
        <v>29.7</v>
      </c>
      <c r="K646" s="2">
        <v>-4</v>
      </c>
      <c r="L646" s="2">
        <v>878</v>
      </c>
      <c r="M646" s="2">
        <f t="array" ref="M646">_xlfn.IFNA(IF(vp.data[[#This Row],[Dens Input]]="",INDEX([1]DATA!$O$3:$O$9826,MATCH(1,(vp.data[[#This Row],[Battery]]=[1]DATA!$L$3:$L$9826)*(EOMONTH(vp.data[[#This Row],[SDate]],-1)+1=[1]DATA!$G$3:$G$9826),0)),vp.data[[#This Row],[Dens Input]]),"")</f>
        <v>878</v>
      </c>
      <c r="N646" s="2">
        <f ca="1">INDEX(INDIRECT(_xlfn.CONCAT("weather.tbl[",N$1,"]")),MATCH(vp.data[[#This Row],[SDate]],weather.tbl[Date],0))</f>
        <v>-5.7333333333333334</v>
      </c>
      <c r="O646" s="2">
        <f ca="1">INDEX(INDIRECT(_xlfn.CONCAT("weather.tbl[",O$1,"]")),MATCH(vp.data[[#This Row],[SDate]],weather.tbl[Date],0))</f>
        <v>-5.7547619047619047</v>
      </c>
      <c r="P646" s="2">
        <f ca="1">INDEX(INDIRECT(_xlfn.CONCAT("weather.tbl[",P$1,"]")),MATCH(vp.data[[#This Row],[SDate]],weather.tbl[Date],0))</f>
        <v>-7</v>
      </c>
      <c r="Q646" s="2">
        <f ca="1">INDEX(INDIRECT(_xlfn.CONCAT("weather.tbl[",Q$1,"]")),MATCH(vp.data[[#This Row],[SDate]],weather.tbl[Date],0))</f>
        <v>-7.4</v>
      </c>
      <c r="R646" s="2">
        <f ca="1">INDEX(INDIRECT(_xlfn.CONCAT("weather.tbl[",R$1,"]")),MATCH(vp.data[[#This Row],[SDate]],weather.tbl[Date],0))</f>
        <v>-7.5</v>
      </c>
      <c r="S646" s="2">
        <f ca="1">INDEX(INDIRECT(_xlfn.CONCAT("weather.tbl[",S$1,"]")),MATCH(vp.data[[#This Row],[SDate]],weather.tbl[Date],0))</f>
        <v>-5.8</v>
      </c>
      <c r="T646" s="2">
        <f ca="1">INDEX(INDIRECT(_xlfn.CONCAT("weather.tbl[",T$1,"]")),MATCH(vp.data[[#This Row],[SDate]],weather.tbl[Date],0))</f>
        <v>-1.7</v>
      </c>
      <c r="U646" s="2">
        <f ca="1">INDEX(INDIRECT(_xlfn.CONCAT("weather.tbl[",U$1,"]")),MATCH(vp.data[[#This Row],[SDate]],weather.tbl[Date],0))</f>
        <v>-5</v>
      </c>
      <c r="V646" s="2">
        <f t="array" ref="V6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1326.066</v>
      </c>
      <c r="W646" t="s">
        <v>48</v>
      </c>
      <c r="X646">
        <f>IF(OR(vp.data[[#This Row],[Sulf]]="",vp.data[[#This Row],[Dens]]=""),1,0)</f>
        <v>0</v>
      </c>
      <c r="Y646">
        <f>IF(vp.data[[#This Row],[CrudeType]]="C5+",1,0)</f>
        <v>0</v>
      </c>
      <c r="Z646">
        <f>IF(AND(vp.data[[#This Row],[CrudeType]]="Crude",vp.data[[#This Row],[Dens]]&lt;=825,vp.data[[#This Row],[Sulf]]&gt;0.5,vp.data[[#This Row],[Unknown]]=0),1,0)</f>
        <v>0</v>
      </c>
      <c r="AA646">
        <f>IF(AND(vp.data[[#This Row],[CrudeType]]="Crude",vp.data[[#This Row],[Dens]]&lt;=825,vp.data[[#This Row],[Sulf]]&lt;=0.5,vp.data[[#This Row],[Unknown]]=0),1,0)</f>
        <v>0</v>
      </c>
      <c r="AB6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6">
        <f>IF(AND(vp.data[[#This Row],[CrudeType]]="Crude",vp.data[[#This Row],[Dens]]&gt;825,vp.data[[#This Row],[Dens]]&lt;=900,vp.data[[#This Row],[Sulf]]&lt;=0.5,vp.data[[#This Row],[Unknown]]=0),1,0)</f>
        <v>0</v>
      </c>
      <c r="AD646">
        <f>IF(AND(vp.data[[#This Row],[CrudeType]]="Crude",vp.data[[#This Row],[Dens]]&gt;865,vp.data[[#This Row],[Dens]]&lt;=900,vp.data[[#This Row],[Sulf]]&gt;2,vp.data[[#This Row],[Unknown]]=0),1,0)</f>
        <v>1</v>
      </c>
      <c r="AE646">
        <f>IF(AND(vp.data[[#This Row],[CrudeType]]="Crude",vp.data[[#This Row],[Dens]]&gt;900,vp.data[[#This Row],[Sulf]]&lt;=0.5,vp.data[[#This Row],[Unknown]]=0),1,0)</f>
        <v>0</v>
      </c>
      <c r="AF646">
        <f>IF(AND(vp.data[[#This Row],[CrudeType]]="Crude",vp.data[[#This Row],[Dens]]&gt;900,vp.data[[#This Row],[Sulf]]&lt;=0.5,vp.data[[#This Row],[Unknown]]=0),1,0)</f>
        <v>0</v>
      </c>
      <c r="AG646" t="str">
        <f>INDEX(vp.data[[#Headers],[Unknown]:[Heavy_SW]],MATCH(1,vp.data[[#This Row],[Unknown]:[Heavy_SW]],0))</f>
        <v>Midale</v>
      </c>
      <c r="AH646">
        <f>INDEX([3]!crudeBD.lkup[Number],MATCH(vp.data[[#This Row],[Crude_Breakdown]],crudeBD.lkup[Crude Breakdown],0))</f>
        <v>5</v>
      </c>
      <c r="AI646">
        <f>MONTH(vp.data[[#This Row],[SDate]])</f>
        <v>1</v>
      </c>
      <c r="AJ646" s="5">
        <f>(vp.data[[#This Row],[VP]]-INDEX(crudeBD.lkup[Mean_VP],MATCH(vp.data[[#This Row],[Crude_Breakdown]],crudeBD.lkup[Crude Breakdown],0)))^2</f>
        <v>262.72399431395564</v>
      </c>
      <c r="AK646" s="5">
        <f>(vp.data[[#This Row],[Dens]]-INDEX(crudeBD.lkup[Mean_Dens],MATCH(vp.data[[#This Row],[Crude_Breakdown]],crudeBD.lkup[Crude Breakdown],0)))^2</f>
        <v>10.131423371238347</v>
      </c>
      <c r="AL646" s="5">
        <f>(vp.data[[#This Row],[Sulf]]-INDEX(crudeBD.lkup[Mean_Sulf],MATCH(vp.data[[#This Row],[Crude_Breakdown]],crudeBD.lkup[Crude Breakdown],0)))^2</f>
        <v>0.10472703521140302</v>
      </c>
      <c r="AM646" s="4">
        <f>IF(AND(vp.data[[#This Row],[SDate]]&gt;=DATE(YEAR(vp.data[[#This Row],[SDate]]),5,1),vp.data[[#This Row],[SDate]]&lt;=DATE(YEAR(vp.data[[#This Row],[SDate]]),9,15)),1,0)</f>
        <v>0</v>
      </c>
      <c r="AN646" s="4">
        <f>IF(vp.data[[#This Row],[SDate]]&lt;DATE(2016,12,1),0,1)</f>
        <v>1</v>
      </c>
      <c r="AO646" s="4">
        <f>IFERROR(vp.data[[#This Row],[Sulf]]*vp.data[[#This Row],[Net Dens]],"")</f>
        <v>2468286.2097600005</v>
      </c>
      <c r="AP646">
        <f>IFERROR(vp.data[[#This Row],[Dens]]*vp.data[[#This Row],[VolumeM3]],"")</f>
        <v>1164285.9480000001</v>
      </c>
      <c r="AQ646" s="15">
        <f>IFERROR(vp.data[[#This Row],[VP]]*vp.data[[#This Row],[VolumeM3]],"")</f>
        <v>70546.711200000005</v>
      </c>
    </row>
    <row r="647" spans="1:43" x14ac:dyDescent="0.25">
      <c r="A647">
        <v>646</v>
      </c>
      <c r="B647" t="s">
        <v>62</v>
      </c>
      <c r="C647" t="s">
        <v>62</v>
      </c>
      <c r="D647" t="s">
        <v>63</v>
      </c>
      <c r="F647" s="1">
        <v>42756</v>
      </c>
      <c r="G647" s="2">
        <v>124.6</v>
      </c>
      <c r="H647" s="2"/>
      <c r="I647" s="2">
        <f t="array" ref="I647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647" s="2">
        <v>20.100000000000001</v>
      </c>
      <c r="K647" s="2">
        <v>-5</v>
      </c>
      <c r="L647" s="2">
        <v>777.5</v>
      </c>
      <c r="M647" s="2">
        <f t="array" ref="M647">_xlfn.IFNA(IF(vp.data[[#This Row],[Dens Input]]="",INDEX([1]DATA!$O$3:$O$9826,MATCH(1,(vp.data[[#This Row],[Battery]]=[1]DATA!$L$3:$L$9826)*(EOMONTH(vp.data[[#This Row],[SDate]],-1)+1=[1]DATA!$G$3:$G$9826),0)),vp.data[[#This Row],[Dens Input]]),"")</f>
        <v>777.5</v>
      </c>
      <c r="N647" s="2">
        <f ca="1">INDEX(INDIRECT(_xlfn.CONCAT("weather.tbl[",N$1,"]")),MATCH(vp.data[[#This Row],[SDate]],weather.tbl[Date],0))</f>
        <v>-5.7333333333333334</v>
      </c>
      <c r="O647" s="2">
        <f ca="1">INDEX(INDIRECT(_xlfn.CONCAT("weather.tbl[",O$1,"]")),MATCH(vp.data[[#This Row],[SDate]],weather.tbl[Date],0))</f>
        <v>-5.7547619047619047</v>
      </c>
      <c r="P647" s="2">
        <f ca="1">INDEX(INDIRECT(_xlfn.CONCAT("weather.tbl[",P$1,"]")),MATCH(vp.data[[#This Row],[SDate]],weather.tbl[Date],0))</f>
        <v>-7</v>
      </c>
      <c r="Q647" s="2">
        <f ca="1">INDEX(INDIRECT(_xlfn.CONCAT("weather.tbl[",Q$1,"]")),MATCH(vp.data[[#This Row],[SDate]],weather.tbl[Date],0))</f>
        <v>-7.4</v>
      </c>
      <c r="R647" s="2">
        <f ca="1">INDEX(INDIRECT(_xlfn.CONCAT("weather.tbl[",R$1,"]")),MATCH(vp.data[[#This Row],[SDate]],weather.tbl[Date],0))</f>
        <v>-7.5</v>
      </c>
      <c r="S647" s="2">
        <f ca="1">INDEX(INDIRECT(_xlfn.CONCAT("weather.tbl[",S$1,"]")),MATCH(vp.data[[#This Row],[SDate]],weather.tbl[Date],0))</f>
        <v>-5.8</v>
      </c>
      <c r="T647" s="2">
        <f ca="1">INDEX(INDIRECT(_xlfn.CONCAT("weather.tbl[",T$1,"]")),MATCH(vp.data[[#This Row],[SDate]],weather.tbl[Date],0))</f>
        <v>-1.7</v>
      </c>
      <c r="U647" s="2">
        <f ca="1">INDEX(INDIRECT(_xlfn.CONCAT("weather.tbl[",U$1,"]")),MATCH(vp.data[[#This Row],[SDate]],weather.tbl[Date],0))</f>
        <v>-5</v>
      </c>
      <c r="V647" s="2">
        <f t="array" ref="V6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647" t="s">
        <v>48</v>
      </c>
      <c r="X647">
        <f>IF(OR(vp.data[[#This Row],[Sulf]]="",vp.data[[#This Row],[Dens]]=""),1,0)</f>
        <v>0</v>
      </c>
      <c r="Y647">
        <f>IF(vp.data[[#This Row],[CrudeType]]="C5+",1,0)</f>
        <v>0</v>
      </c>
      <c r="Z647">
        <f>IF(AND(vp.data[[#This Row],[CrudeType]]="Crude",vp.data[[#This Row],[Dens]]&lt;=825,vp.data[[#This Row],[Sulf]]&gt;0.5,vp.data[[#This Row],[Unknown]]=0),1,0)</f>
        <v>1</v>
      </c>
      <c r="AA647">
        <f>IF(AND(vp.data[[#This Row],[CrudeType]]="Crude",vp.data[[#This Row],[Dens]]&lt;=825,vp.data[[#This Row],[Sulf]]&lt;=0.5,vp.data[[#This Row],[Unknown]]=0),1,0)</f>
        <v>0</v>
      </c>
      <c r="AB6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7">
        <f>IF(AND(vp.data[[#This Row],[CrudeType]]="Crude",vp.data[[#This Row],[Dens]]&gt;825,vp.data[[#This Row],[Dens]]&lt;=900,vp.data[[#This Row],[Sulf]]&lt;=0.5,vp.data[[#This Row],[Unknown]]=0),1,0)</f>
        <v>0</v>
      </c>
      <c r="AD647">
        <f>IF(AND(vp.data[[#This Row],[CrudeType]]="Crude",vp.data[[#This Row],[Dens]]&gt;865,vp.data[[#This Row],[Dens]]&lt;=900,vp.data[[#This Row],[Sulf]]&gt;2,vp.data[[#This Row],[Unknown]]=0),1,0)</f>
        <v>0</v>
      </c>
      <c r="AE647">
        <f>IF(AND(vp.data[[#This Row],[CrudeType]]="Crude",vp.data[[#This Row],[Dens]]&gt;900,vp.data[[#This Row],[Sulf]]&lt;=0.5,vp.data[[#This Row],[Unknown]]=0),1,0)</f>
        <v>0</v>
      </c>
      <c r="AF647">
        <f>IF(AND(vp.data[[#This Row],[CrudeType]]="Crude",vp.data[[#This Row],[Dens]]&gt;900,vp.data[[#This Row],[Sulf]]&lt;=0.5,vp.data[[#This Row],[Unknown]]=0),1,0)</f>
        <v>0</v>
      </c>
      <c r="AG647" t="str">
        <f>INDEX(vp.data[[#Headers],[Unknown]:[Heavy_SW]],MATCH(1,vp.data[[#This Row],[Unknown]:[Heavy_SW]],0))</f>
        <v>Light_LSB</v>
      </c>
      <c r="AH647">
        <f>INDEX([3]!crudeBD.lkup[Number],MATCH(vp.data[[#This Row],[Crude_Breakdown]],crudeBD.lkup[Crude Breakdown],0))</f>
        <v>1</v>
      </c>
      <c r="AI647">
        <f>MONTH(vp.data[[#This Row],[SDate]])</f>
        <v>1</v>
      </c>
      <c r="AJ647" s="5">
        <f>(vp.data[[#This Row],[VP]]-INDEX(crudeBD.lkup[Mean_VP],MATCH(vp.data[[#This Row],[Crude_Breakdown]],crudeBD.lkup[Crude Breakdown],0)))^2</f>
        <v>1092.5546485705152</v>
      </c>
      <c r="AK647" s="5">
        <f>(vp.data[[#This Row],[Dens]]-INDEX(crudeBD.lkup[Mean_Dens],MATCH(vp.data[[#This Row],[Crude_Breakdown]],crudeBD.lkup[Crude Breakdown],0)))^2</f>
        <v>1682.3754014997203</v>
      </c>
      <c r="AL647" s="5">
        <f>(vp.data[[#This Row],[Sulf]]-INDEX(crudeBD.lkup[Mean_Sulf],MATCH(vp.data[[#This Row],[Crude_Breakdown]],crudeBD.lkup[Crude Breakdown],0)))^2</f>
        <v>0.31028111925050628</v>
      </c>
      <c r="AM647" s="4">
        <f>IF(AND(vp.data[[#This Row],[SDate]]&gt;=DATE(YEAR(vp.data[[#This Row],[SDate]]),5,1),vp.data[[#This Row],[SDate]]&lt;=DATE(YEAR(vp.data[[#This Row],[SDate]]),9,15)),1,0)</f>
        <v>0</v>
      </c>
      <c r="AN647" s="4">
        <f>IF(vp.data[[#This Row],[SDate]]&lt;DATE(2016,12,1),0,1)</f>
        <v>1</v>
      </c>
      <c r="AO647" s="4">
        <f>IFERROR(vp.data[[#This Row],[Sulf]]*vp.data[[#This Row],[Net Dens]],"")</f>
        <v>5631240.4264000002</v>
      </c>
      <c r="AP647">
        <f>IFERROR(vp.data[[#This Row],[Dens]]*vp.data[[#This Row],[VolumeM3]],"")</f>
        <v>3804892.18</v>
      </c>
      <c r="AQ647" s="15">
        <f>IFERROR(vp.data[[#This Row],[VP]]*vp.data[[#This Row],[VolumeM3]],"")</f>
        <v>609761.49920000008</v>
      </c>
    </row>
    <row r="648" spans="1:43" x14ac:dyDescent="0.25">
      <c r="A648">
        <v>647</v>
      </c>
      <c r="B648" t="s">
        <v>68</v>
      </c>
      <c r="C648" t="s">
        <v>68</v>
      </c>
      <c r="D648" t="s">
        <v>125</v>
      </c>
      <c r="F648" s="1">
        <v>42756</v>
      </c>
      <c r="G648" s="2">
        <v>60.3</v>
      </c>
      <c r="H648" s="2"/>
      <c r="I648" s="2">
        <f t="array" ref="I648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648" s="2">
        <v>14.8</v>
      </c>
      <c r="K648" s="2">
        <v>-4</v>
      </c>
      <c r="L648" s="2">
        <v>866</v>
      </c>
      <c r="M648" s="2">
        <f t="array" ref="M648">_xlfn.IFNA(IF(vp.data[[#This Row],[Dens Input]]="",INDEX([1]DATA!$O$3:$O$9826,MATCH(1,(vp.data[[#This Row],[Battery]]=[1]DATA!$L$3:$L$9826)*(EOMONTH(vp.data[[#This Row],[SDate]],-1)+1=[1]DATA!$G$3:$G$9826),0)),vp.data[[#This Row],[Dens Input]]),"")</f>
        <v>866</v>
      </c>
      <c r="N648" s="2">
        <f ca="1">INDEX(INDIRECT(_xlfn.CONCAT("weather.tbl[",N$1,"]")),MATCH(vp.data[[#This Row],[SDate]],weather.tbl[Date],0))</f>
        <v>-5.7333333333333334</v>
      </c>
      <c r="O648" s="2">
        <f ca="1">INDEX(INDIRECT(_xlfn.CONCAT("weather.tbl[",O$1,"]")),MATCH(vp.data[[#This Row],[SDate]],weather.tbl[Date],0))</f>
        <v>-5.7547619047619047</v>
      </c>
      <c r="P648" s="2">
        <f ca="1">INDEX(INDIRECT(_xlfn.CONCAT("weather.tbl[",P$1,"]")),MATCH(vp.data[[#This Row],[SDate]],weather.tbl[Date],0))</f>
        <v>-7</v>
      </c>
      <c r="Q648" s="2">
        <f ca="1">INDEX(INDIRECT(_xlfn.CONCAT("weather.tbl[",Q$1,"]")),MATCH(vp.data[[#This Row],[SDate]],weather.tbl[Date],0))</f>
        <v>-7.4</v>
      </c>
      <c r="R648" s="2">
        <f ca="1">INDEX(INDIRECT(_xlfn.CONCAT("weather.tbl[",R$1,"]")),MATCH(vp.data[[#This Row],[SDate]],weather.tbl[Date],0))</f>
        <v>-7.5</v>
      </c>
      <c r="S648" s="2">
        <f ca="1">INDEX(INDIRECT(_xlfn.CONCAT("weather.tbl[",S$1,"]")),MATCH(vp.data[[#This Row],[SDate]],weather.tbl[Date],0))</f>
        <v>-5.8</v>
      </c>
      <c r="T648" s="2">
        <f ca="1">INDEX(INDIRECT(_xlfn.CONCAT("weather.tbl[",T$1,"]")),MATCH(vp.data[[#This Row],[SDate]],weather.tbl[Date],0))</f>
        <v>-1.7</v>
      </c>
      <c r="U648" s="2">
        <f ca="1">INDEX(INDIRECT(_xlfn.CONCAT("weather.tbl[",U$1,"]")),MATCH(vp.data[[#This Row],[SDate]],weather.tbl[Date],0))</f>
        <v>-5</v>
      </c>
      <c r="V648" s="2">
        <f t="array" ref="V6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2281.7359999999999</v>
      </c>
      <c r="W648" t="s">
        <v>48</v>
      </c>
      <c r="X648">
        <f>IF(OR(vp.data[[#This Row],[Sulf]]="",vp.data[[#This Row],[Dens]]=""),1,0)</f>
        <v>0</v>
      </c>
      <c r="Y648">
        <f>IF(vp.data[[#This Row],[CrudeType]]="C5+",1,0)</f>
        <v>0</v>
      </c>
      <c r="Z648">
        <f>IF(AND(vp.data[[#This Row],[CrudeType]]="Crude",vp.data[[#This Row],[Dens]]&lt;=825,vp.data[[#This Row],[Sulf]]&gt;0.5,vp.data[[#This Row],[Unknown]]=0),1,0)</f>
        <v>0</v>
      </c>
      <c r="AA648">
        <f>IF(AND(vp.data[[#This Row],[CrudeType]]="Crude",vp.data[[#This Row],[Dens]]&lt;=825,vp.data[[#This Row],[Sulf]]&lt;=0.5,vp.data[[#This Row],[Unknown]]=0),1,0)</f>
        <v>0</v>
      </c>
      <c r="AB6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48">
        <f>IF(AND(vp.data[[#This Row],[CrudeType]]="Crude",vp.data[[#This Row],[Dens]]&gt;825,vp.data[[#This Row],[Dens]]&lt;=900,vp.data[[#This Row],[Sulf]]&lt;=0.5,vp.data[[#This Row],[Unknown]]=0),1,0)</f>
        <v>0</v>
      </c>
      <c r="AD648">
        <f>IF(AND(vp.data[[#This Row],[CrudeType]]="Crude",vp.data[[#This Row],[Dens]]&gt;865,vp.data[[#This Row],[Dens]]&lt;=900,vp.data[[#This Row],[Sulf]]&gt;2,vp.data[[#This Row],[Unknown]]=0),1,0)</f>
        <v>0</v>
      </c>
      <c r="AE648">
        <f>IF(AND(vp.data[[#This Row],[CrudeType]]="Crude",vp.data[[#This Row],[Dens]]&gt;900,vp.data[[#This Row],[Sulf]]&lt;=0.5,vp.data[[#This Row],[Unknown]]=0),1,0)</f>
        <v>0</v>
      </c>
      <c r="AF648">
        <f>IF(AND(vp.data[[#This Row],[CrudeType]]="Crude",vp.data[[#This Row],[Dens]]&gt;900,vp.data[[#This Row],[Sulf]]&lt;=0.5,vp.data[[#This Row],[Unknown]]=0),1,0)</f>
        <v>0</v>
      </c>
      <c r="AG648" t="str">
        <f>INDEX(vp.data[[#Headers],[Unknown]:[Heavy_SW]],MATCH(1,vp.data[[#This Row],[Unknown]:[Heavy_SW]],0))</f>
        <v>Medium_LSB</v>
      </c>
      <c r="AH648">
        <f>INDEX([3]!crudeBD.lkup[Number],MATCH(vp.data[[#This Row],[Crude_Breakdown]],crudeBD.lkup[Crude Breakdown],0))</f>
        <v>3</v>
      </c>
      <c r="AI648">
        <f>MONTH(vp.data[[#This Row],[SDate]])</f>
        <v>1</v>
      </c>
      <c r="AJ648" s="5">
        <f>(vp.data[[#This Row],[VP]]-INDEX(crudeBD.lkup[Mean_VP],MATCH(vp.data[[#This Row],[Crude_Breakdown]],crudeBD.lkup[Crude Breakdown],0)))^2</f>
        <v>413.70244215313471</v>
      </c>
      <c r="AK648" s="5">
        <f>(vp.data[[#This Row],[Dens]]-INDEX(crudeBD.lkup[Mean_Dens],MATCH(vp.data[[#This Row],[Crude_Breakdown]],crudeBD.lkup[Crude Breakdown],0)))^2</f>
        <v>487.52640000002191</v>
      </c>
      <c r="AL648" s="5">
        <f>(vp.data[[#This Row],[Sulf]]-INDEX(crudeBD.lkup[Mean_Sulf],MATCH(vp.data[[#This Row],[Crude_Breakdown]],crudeBD.lkup[Crude Breakdown],0)))^2</f>
        <v>3.4074159694074811E-2</v>
      </c>
      <c r="AM648" s="4">
        <f>IF(AND(vp.data[[#This Row],[SDate]]&gt;=DATE(YEAR(vp.data[[#This Row],[SDate]]),5,1),vp.data[[#This Row],[SDate]]&lt;=DATE(YEAR(vp.data[[#This Row],[SDate]]),9,15)),1,0)</f>
        <v>0</v>
      </c>
      <c r="AN648" s="4">
        <f>IF(vp.data[[#This Row],[SDate]]&lt;DATE(2016,12,1),0,1)</f>
        <v>1</v>
      </c>
      <c r="AO648" s="4">
        <f>IFERROR(vp.data[[#This Row],[Sulf]]*vp.data[[#This Row],[Net Dens]],"")</f>
        <v>3102293.90032</v>
      </c>
      <c r="AP648">
        <f>IFERROR(vp.data[[#This Row],[Dens]]*vp.data[[#This Row],[VolumeM3]],"")</f>
        <v>1975983.3759999999</v>
      </c>
      <c r="AQ648" s="15">
        <f>IFERROR(vp.data[[#This Row],[VP]]*vp.data[[#This Row],[VolumeM3]],"")</f>
        <v>137588.68079999997</v>
      </c>
    </row>
    <row r="649" spans="1:43" x14ac:dyDescent="0.25">
      <c r="A649">
        <v>648</v>
      </c>
      <c r="B649" t="s">
        <v>49</v>
      </c>
      <c r="C649" t="s">
        <v>49</v>
      </c>
      <c r="D649" t="s">
        <v>81</v>
      </c>
      <c r="F649" s="1">
        <v>42757</v>
      </c>
      <c r="G649" s="2">
        <v>83</v>
      </c>
      <c r="H649" s="2">
        <v>0.501</v>
      </c>
      <c r="I649" s="2">
        <f t="array" ref="I649">_xlfn.IFNA(IF(vp.data[[#This Row],[Sulf Input]]="",INDEX([1]DATA!$Q$3:$Q$9826,MATCH(1,(vp.data[[#This Row],[Battery]]=[1]DATA!$L$3:$L$9826)*(EOMONTH(vp.data[[#This Row],[SDate]],-1)+1=[1]DATA!$G$3:$G$9826),0)),vp.data[[#This Row],[Sulf Input]]),"")</f>
        <v>0.501</v>
      </c>
      <c r="J649" s="2">
        <v>3.6</v>
      </c>
      <c r="K649" s="2">
        <v>-1</v>
      </c>
      <c r="L649" s="2">
        <v>818</v>
      </c>
      <c r="M649" s="2">
        <f t="array" ref="M649">_xlfn.IFNA(IF(vp.data[[#This Row],[Dens Input]]="",INDEX([1]DATA!$O$3:$O$9826,MATCH(1,(vp.data[[#This Row],[Battery]]=[1]DATA!$L$3:$L$9826)*(EOMONTH(vp.data[[#This Row],[SDate]],-1)+1=[1]DATA!$G$3:$G$9826),0)),vp.data[[#This Row],[Dens Input]]),"")</f>
        <v>818</v>
      </c>
      <c r="N649" s="2">
        <f ca="1">INDEX(INDIRECT(_xlfn.CONCAT("weather.tbl[",N$1,"]")),MATCH(vp.data[[#This Row],[SDate]],weather.tbl[Date],0))</f>
        <v>-3.5833333333333335</v>
      </c>
      <c r="O649" s="2">
        <f ca="1">INDEX(INDIRECT(_xlfn.CONCAT("weather.tbl[",O$1,"]")),MATCH(vp.data[[#This Row],[SDate]],weather.tbl[Date],0))</f>
        <v>-4.4857142857142858</v>
      </c>
      <c r="P649" s="2">
        <f ca="1">INDEX(INDIRECT(_xlfn.CONCAT("weather.tbl[",P$1,"]")),MATCH(vp.data[[#This Row],[SDate]],weather.tbl[Date],0))</f>
        <v>-2.9</v>
      </c>
      <c r="Q649" s="2">
        <f ca="1">INDEX(INDIRECT(_xlfn.CONCAT("weather.tbl[",Q$1,"]")),MATCH(vp.data[[#This Row],[SDate]],weather.tbl[Date],0))</f>
        <v>-3.7</v>
      </c>
      <c r="R649" s="2">
        <f ca="1">INDEX(INDIRECT(_xlfn.CONCAT("weather.tbl[",R$1,"]")),MATCH(vp.data[[#This Row],[SDate]],weather.tbl[Date],0))</f>
        <v>-4</v>
      </c>
      <c r="S649" s="2">
        <f ca="1">INDEX(INDIRECT(_xlfn.CONCAT("weather.tbl[",S$1,"]")),MATCH(vp.data[[#This Row],[SDate]],weather.tbl[Date],0))</f>
        <v>-3.5</v>
      </c>
      <c r="T649" s="2">
        <f ca="1">INDEX(INDIRECT(_xlfn.CONCAT("weather.tbl[",T$1,"]")),MATCH(vp.data[[#This Row],[SDate]],weather.tbl[Date],0))</f>
        <v>-2.1</v>
      </c>
      <c r="U649" s="2">
        <f ca="1">INDEX(INDIRECT(_xlfn.CONCAT("weather.tbl[",U$1,"]")),MATCH(vp.data[[#This Row],[SDate]],weather.tbl[Date],0))</f>
        <v>-5.3</v>
      </c>
      <c r="V649" s="2">
        <f t="array" ref="V6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18973.987000000001</v>
      </c>
      <c r="W649" t="s">
        <v>48</v>
      </c>
      <c r="X649">
        <f>IF(OR(vp.data[[#This Row],[Sulf]]="",vp.data[[#This Row],[Dens]]=""),1,0)</f>
        <v>0</v>
      </c>
      <c r="Y649">
        <f>IF(vp.data[[#This Row],[CrudeType]]="C5+",1,0)</f>
        <v>0</v>
      </c>
      <c r="Z649">
        <f>IF(AND(vp.data[[#This Row],[CrudeType]]="Crude",vp.data[[#This Row],[Dens]]&lt;=825,vp.data[[#This Row],[Sulf]]&gt;0.5,vp.data[[#This Row],[Unknown]]=0),1,0)</f>
        <v>1</v>
      </c>
      <c r="AA649">
        <f>IF(AND(vp.data[[#This Row],[CrudeType]]="Crude",vp.data[[#This Row],[Dens]]&lt;=825,vp.data[[#This Row],[Sulf]]&lt;=0.5,vp.data[[#This Row],[Unknown]]=0),1,0)</f>
        <v>0</v>
      </c>
      <c r="AB6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49">
        <f>IF(AND(vp.data[[#This Row],[CrudeType]]="Crude",vp.data[[#This Row],[Dens]]&gt;825,vp.data[[#This Row],[Dens]]&lt;=900,vp.data[[#This Row],[Sulf]]&lt;=0.5,vp.data[[#This Row],[Unknown]]=0),1,0)</f>
        <v>0</v>
      </c>
      <c r="AD649">
        <f>IF(AND(vp.data[[#This Row],[CrudeType]]="Crude",vp.data[[#This Row],[Dens]]&gt;865,vp.data[[#This Row],[Dens]]&lt;=900,vp.data[[#This Row],[Sulf]]&gt;2,vp.data[[#This Row],[Unknown]]=0),1,0)</f>
        <v>0</v>
      </c>
      <c r="AE649">
        <f>IF(AND(vp.data[[#This Row],[CrudeType]]="Crude",vp.data[[#This Row],[Dens]]&gt;900,vp.data[[#This Row],[Sulf]]&lt;=0.5,vp.data[[#This Row],[Unknown]]=0),1,0)</f>
        <v>0</v>
      </c>
      <c r="AF649">
        <f>IF(AND(vp.data[[#This Row],[CrudeType]]="Crude",vp.data[[#This Row],[Dens]]&gt;900,vp.data[[#This Row],[Sulf]]&lt;=0.5,vp.data[[#This Row],[Unknown]]=0),1,0)</f>
        <v>0</v>
      </c>
      <c r="AG649" t="str">
        <f>INDEX(vp.data[[#Headers],[Unknown]:[Heavy_SW]],MATCH(1,vp.data[[#This Row],[Unknown]:[Heavy_SW]],0))</f>
        <v>Light_LSB</v>
      </c>
      <c r="AH649">
        <f>INDEX([3]!crudeBD.lkup[Number],MATCH(vp.data[[#This Row],[Crude_Breakdown]],crudeBD.lkup[Crude Breakdown],0))</f>
        <v>1</v>
      </c>
      <c r="AI649">
        <f>MONTH(vp.data[[#This Row],[SDate]])</f>
        <v>1</v>
      </c>
      <c r="AJ649" s="5">
        <f>(vp.data[[#This Row],[VP]]-INDEX(crudeBD.lkup[Mean_VP],MATCH(vp.data[[#This Row],[Crude_Breakdown]],crudeBD.lkup[Crude Breakdown],0)))^2</f>
        <v>73.037287745775856</v>
      </c>
      <c r="AK649" s="5">
        <f>(vp.data[[#This Row],[Dens]]-INDEX(crudeBD.lkup[Mean_Dens],MATCH(vp.data[[#This Row],[Crude_Breakdown]],crudeBD.lkup[Crude Breakdown],0)))^2</f>
        <v>0.2670509842818638</v>
      </c>
      <c r="AL649" s="5">
        <f>(vp.data[[#This Row],[Sulf]]-INDEX(crudeBD.lkup[Mean_Sulf],MATCH(vp.data[[#This Row],[Crude_Breakdown]],crudeBD.lkup[Crude Breakdown],0)))^2</f>
        <v>0.1780596669481003</v>
      </c>
      <c r="AM649" s="4">
        <f>IF(AND(vp.data[[#This Row],[SDate]]&gt;=DATE(YEAR(vp.data[[#This Row],[SDate]]),5,1),vp.data[[#This Row],[SDate]]&lt;=DATE(YEAR(vp.data[[#This Row],[SDate]]),9,15)),1,0)</f>
        <v>0</v>
      </c>
      <c r="AN649" s="4">
        <f>IF(vp.data[[#This Row],[SDate]]&lt;DATE(2016,12,1),0,1)</f>
        <v>1</v>
      </c>
      <c r="AO649" s="4">
        <f>IFERROR(vp.data[[#This Row],[Sulf]]*vp.data[[#This Row],[Net Dens]],"")</f>
        <v>7775881.4043660006</v>
      </c>
      <c r="AP649">
        <f>IFERROR(vp.data[[#This Row],[Dens]]*vp.data[[#This Row],[VolumeM3]],"")</f>
        <v>15520721.366</v>
      </c>
      <c r="AQ649" s="15">
        <f>IFERROR(vp.data[[#This Row],[VP]]*vp.data[[#This Row],[VolumeM3]],"")</f>
        <v>1574840.9210000001</v>
      </c>
    </row>
    <row r="650" spans="1:43" x14ac:dyDescent="0.25">
      <c r="A650">
        <v>649</v>
      </c>
      <c r="B650" t="s">
        <v>49</v>
      </c>
      <c r="C650" t="s">
        <v>49</v>
      </c>
      <c r="D650" t="s">
        <v>75</v>
      </c>
      <c r="F650" s="1">
        <v>42759</v>
      </c>
      <c r="G650" s="2">
        <v>100.8</v>
      </c>
      <c r="H650" s="2">
        <v>0.17799999999999999</v>
      </c>
      <c r="I650" s="2">
        <f t="array" ref="I650">_xlfn.IFNA(IF(vp.data[[#This Row],[Sulf Input]]="",INDEX([1]DATA!$Q$3:$Q$9826,MATCH(1,(vp.data[[#This Row],[Battery]]=[1]DATA!$L$3:$L$9826)*(EOMONTH(vp.data[[#This Row],[SDate]],-1)+1=[1]DATA!$G$3:$G$9826),0)),vp.data[[#This Row],[Sulf Input]]),"")</f>
        <v>0.17799999999999999</v>
      </c>
      <c r="J650" s="2">
        <v>22.4</v>
      </c>
      <c r="K650" s="2">
        <v>-8</v>
      </c>
      <c r="L650" s="2">
        <v>801.4</v>
      </c>
      <c r="M650" s="2">
        <f t="array" ref="M650">_xlfn.IFNA(IF(vp.data[[#This Row],[Dens Input]]="",INDEX([1]DATA!$O$3:$O$9826,MATCH(1,(vp.data[[#This Row],[Battery]]=[1]DATA!$L$3:$L$9826)*(EOMONTH(vp.data[[#This Row],[SDate]],-1)+1=[1]DATA!$G$3:$G$9826),0)),vp.data[[#This Row],[Dens Input]]),"")</f>
        <v>801.4</v>
      </c>
      <c r="N650" s="2">
        <f ca="1">INDEX(INDIRECT(_xlfn.CONCAT("weather.tbl[",N$1,"]")),MATCH(vp.data[[#This Row],[SDate]],weather.tbl[Date],0))</f>
        <v>-8.1666666666666661</v>
      </c>
      <c r="O650" s="2">
        <f ca="1">INDEX(INDIRECT(_xlfn.CONCAT("weather.tbl[",O$1,"]")),MATCH(vp.data[[#This Row],[SDate]],weather.tbl[Date],0))</f>
        <v>-4.473809523809523</v>
      </c>
      <c r="P650" s="2">
        <f ca="1">INDEX(INDIRECT(_xlfn.CONCAT("weather.tbl[",P$1,"]")),MATCH(vp.data[[#This Row],[SDate]],weather.tbl[Date],0))</f>
        <v>-8</v>
      </c>
      <c r="Q650" s="2">
        <f ca="1">INDEX(INDIRECT(_xlfn.CONCAT("weather.tbl[",Q$1,"]")),MATCH(vp.data[[#This Row],[SDate]],weather.tbl[Date],0))</f>
        <v>-8.9</v>
      </c>
      <c r="R650" s="2">
        <f ca="1">INDEX(INDIRECT(_xlfn.CONCAT("weather.tbl[",R$1,"]")),MATCH(vp.data[[#This Row],[SDate]],weather.tbl[Date],0))</f>
        <v>-8</v>
      </c>
      <c r="S650" s="2">
        <f ca="1">INDEX(INDIRECT(_xlfn.CONCAT("weather.tbl[",S$1,"]")),MATCH(vp.data[[#This Row],[SDate]],weather.tbl[Date],0))</f>
        <v>-8.9</v>
      </c>
      <c r="T650" s="2">
        <f ca="1">INDEX(INDIRECT(_xlfn.CONCAT("weather.tbl[",T$1,"]")),MATCH(vp.data[[#This Row],[SDate]],weather.tbl[Date],0))</f>
        <v>-6.2</v>
      </c>
      <c r="U650" s="2">
        <f ca="1">INDEX(INDIRECT(_xlfn.CONCAT("weather.tbl[",U$1,"]")),MATCH(vp.data[[#This Row],[SDate]],weather.tbl[Date],0))</f>
        <v>-9</v>
      </c>
      <c r="V650" s="2">
        <f t="array" ref="V6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650" t="s">
        <v>48</v>
      </c>
      <c r="X650">
        <f>IF(OR(vp.data[[#This Row],[Sulf]]="",vp.data[[#This Row],[Dens]]=""),1,0)</f>
        <v>0</v>
      </c>
      <c r="Y650">
        <f>IF(vp.data[[#This Row],[CrudeType]]="C5+",1,0)</f>
        <v>0</v>
      </c>
      <c r="Z650">
        <f>IF(AND(vp.data[[#This Row],[CrudeType]]="Crude",vp.data[[#This Row],[Dens]]&lt;=825,vp.data[[#This Row],[Sulf]]&gt;0.5,vp.data[[#This Row],[Unknown]]=0),1,0)</f>
        <v>0</v>
      </c>
      <c r="AA650">
        <f>IF(AND(vp.data[[#This Row],[CrudeType]]="Crude",vp.data[[#This Row],[Dens]]&lt;=825,vp.data[[#This Row],[Sulf]]&lt;=0.5,vp.data[[#This Row],[Unknown]]=0),1,0)</f>
        <v>1</v>
      </c>
      <c r="AB6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0">
        <f>IF(AND(vp.data[[#This Row],[CrudeType]]="Crude",vp.data[[#This Row],[Dens]]&gt;825,vp.data[[#This Row],[Dens]]&lt;=900,vp.data[[#This Row],[Sulf]]&lt;=0.5,vp.data[[#This Row],[Unknown]]=0),1,0)</f>
        <v>0</v>
      </c>
      <c r="AD650">
        <f>IF(AND(vp.data[[#This Row],[CrudeType]]="Crude",vp.data[[#This Row],[Dens]]&gt;865,vp.data[[#This Row],[Dens]]&lt;=900,vp.data[[#This Row],[Sulf]]&gt;2,vp.data[[#This Row],[Unknown]]=0),1,0)</f>
        <v>0</v>
      </c>
      <c r="AE650">
        <f>IF(AND(vp.data[[#This Row],[CrudeType]]="Crude",vp.data[[#This Row],[Dens]]&gt;900,vp.data[[#This Row],[Sulf]]&lt;=0.5,vp.data[[#This Row],[Unknown]]=0),1,0)</f>
        <v>0</v>
      </c>
      <c r="AF650">
        <f>IF(AND(vp.data[[#This Row],[CrudeType]]="Crude",vp.data[[#This Row],[Dens]]&gt;900,vp.data[[#This Row],[Sulf]]&lt;=0.5,vp.data[[#This Row],[Unknown]]=0),1,0)</f>
        <v>0</v>
      </c>
      <c r="AG650" t="str">
        <f>INDEX(vp.data[[#Headers],[Unknown]:[Heavy_SW]],MATCH(1,vp.data[[#This Row],[Unknown]:[Heavy_SW]],0))</f>
        <v>Light_SW</v>
      </c>
      <c r="AH650">
        <f>INDEX([3]!crudeBD.lkup[Number],MATCH(vp.data[[#This Row],[Crude_Breakdown]],crudeBD.lkup[Crude Breakdown],0))</f>
        <v>2</v>
      </c>
      <c r="AI650">
        <f>MONTH(vp.data[[#This Row],[SDate]])</f>
        <v>1</v>
      </c>
      <c r="AJ650" s="5">
        <f>(vp.data[[#This Row],[VP]]-INDEX(crudeBD.lkup[Mean_VP],MATCH(vp.data[[#This Row],[Crude_Breakdown]],crudeBD.lkup[Crude Breakdown],0)))^2</f>
        <v>68.057325882310536</v>
      </c>
      <c r="AK650" s="5">
        <f>(vp.data[[#This Row],[Dens]]-INDEX(crudeBD.lkup[Mean_Dens],MATCH(vp.data[[#This Row],[Crude_Breakdown]],crudeBD.lkup[Crude Breakdown],0)))^2</f>
        <v>47.768808168118795</v>
      </c>
      <c r="AL650" s="5">
        <f>(vp.data[[#This Row],[Sulf]]-INDEX(crudeBD.lkup[Mean_Sulf],MATCH(vp.data[[#This Row],[Crude_Breakdown]],crudeBD.lkup[Crude Breakdown],0)))^2</f>
        <v>3.3921086471852104E-3</v>
      </c>
      <c r="AM650" s="4">
        <f>IF(AND(vp.data[[#This Row],[SDate]]&gt;=DATE(YEAR(vp.data[[#This Row],[SDate]]),5,1),vp.data[[#This Row],[SDate]]&lt;=DATE(YEAR(vp.data[[#This Row],[SDate]]),9,15)),1,0)</f>
        <v>0</v>
      </c>
      <c r="AN650" s="4">
        <f>IF(vp.data[[#This Row],[SDate]]&lt;DATE(2016,12,1),0,1)</f>
        <v>1</v>
      </c>
      <c r="AO650" s="4">
        <f>IFERROR(vp.data[[#This Row],[Sulf]]*vp.data[[#This Row],[Net Dens]],"")</f>
        <v>1817167.3611287999</v>
      </c>
      <c r="AP650">
        <f>IFERROR(vp.data[[#This Row],[Dens]]*vp.data[[#This Row],[VolumeM3]],"")</f>
        <v>10208805.399599999</v>
      </c>
      <c r="AQ650" s="15">
        <f>IFERROR(vp.data[[#This Row],[VP]]*vp.data[[#This Row],[VolumeM3]],"")</f>
        <v>1284062.3711999999</v>
      </c>
    </row>
    <row r="651" spans="1:43" x14ac:dyDescent="0.25">
      <c r="A651">
        <v>650</v>
      </c>
      <c r="B651" t="s">
        <v>49</v>
      </c>
      <c r="C651" t="s">
        <v>49</v>
      </c>
      <c r="D651" t="s">
        <v>80</v>
      </c>
      <c r="F651" s="1">
        <v>42759</v>
      </c>
      <c r="G651" s="2">
        <v>103.8</v>
      </c>
      <c r="H651" s="2">
        <v>0.53800000000000003</v>
      </c>
      <c r="I651" s="2">
        <f t="array" ref="I651">_xlfn.IFNA(IF(vp.data[[#This Row],[Sulf Input]]="",INDEX([1]DATA!$Q$3:$Q$9826,MATCH(1,(vp.data[[#This Row],[Battery]]=[1]DATA!$L$3:$L$9826)*(EOMONTH(vp.data[[#This Row],[SDate]],-1)+1=[1]DATA!$G$3:$G$9826),0)),vp.data[[#This Row],[Sulf Input]]),"")</f>
        <v>0.53800000000000003</v>
      </c>
      <c r="J651" s="2">
        <v>17.100000000000001</v>
      </c>
      <c r="K651" s="2">
        <v>-9</v>
      </c>
      <c r="L651" s="2">
        <v>813.8</v>
      </c>
      <c r="M651" s="2">
        <f t="array" ref="M651">_xlfn.IFNA(IF(vp.data[[#This Row],[Dens Input]]="",INDEX([1]DATA!$O$3:$O$9826,MATCH(1,(vp.data[[#This Row],[Battery]]=[1]DATA!$L$3:$L$9826)*(EOMONTH(vp.data[[#This Row],[SDate]],-1)+1=[1]DATA!$G$3:$G$9826),0)),vp.data[[#This Row],[Dens Input]]),"")</f>
        <v>813.8</v>
      </c>
      <c r="N651" s="2">
        <f ca="1">INDEX(INDIRECT(_xlfn.CONCAT("weather.tbl[",N$1,"]")),MATCH(vp.data[[#This Row],[SDate]],weather.tbl[Date],0))</f>
        <v>-8.1666666666666661</v>
      </c>
      <c r="O651" s="2">
        <f ca="1">INDEX(INDIRECT(_xlfn.CONCAT("weather.tbl[",O$1,"]")),MATCH(vp.data[[#This Row],[SDate]],weather.tbl[Date],0))</f>
        <v>-4.473809523809523</v>
      </c>
      <c r="P651" s="2">
        <f ca="1">INDEX(INDIRECT(_xlfn.CONCAT("weather.tbl[",P$1,"]")),MATCH(vp.data[[#This Row],[SDate]],weather.tbl[Date],0))</f>
        <v>-8</v>
      </c>
      <c r="Q651" s="2">
        <f ca="1">INDEX(INDIRECT(_xlfn.CONCAT("weather.tbl[",Q$1,"]")),MATCH(vp.data[[#This Row],[SDate]],weather.tbl[Date],0))</f>
        <v>-8.9</v>
      </c>
      <c r="R651" s="2">
        <f ca="1">INDEX(INDIRECT(_xlfn.CONCAT("weather.tbl[",R$1,"]")),MATCH(vp.data[[#This Row],[SDate]],weather.tbl[Date],0))</f>
        <v>-8</v>
      </c>
      <c r="S651" s="2">
        <f ca="1">INDEX(INDIRECT(_xlfn.CONCAT("weather.tbl[",S$1,"]")),MATCH(vp.data[[#This Row],[SDate]],weather.tbl[Date],0))</f>
        <v>-8.9</v>
      </c>
      <c r="T651" s="2">
        <f ca="1">INDEX(INDIRECT(_xlfn.CONCAT("weather.tbl[",T$1,"]")),MATCH(vp.data[[#This Row],[SDate]],weather.tbl[Date],0))</f>
        <v>-6.2</v>
      </c>
      <c r="U651" s="2">
        <f ca="1">INDEX(INDIRECT(_xlfn.CONCAT("weather.tbl[",U$1,"]")),MATCH(vp.data[[#This Row],[SDate]],weather.tbl[Date],0))</f>
        <v>-9</v>
      </c>
      <c r="V651" s="2">
        <f t="array" ref="V6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651" t="s">
        <v>48</v>
      </c>
      <c r="X651">
        <f>IF(OR(vp.data[[#This Row],[Sulf]]="",vp.data[[#This Row],[Dens]]=""),1,0)</f>
        <v>0</v>
      </c>
      <c r="Y651">
        <f>IF(vp.data[[#This Row],[CrudeType]]="C5+",1,0)</f>
        <v>0</v>
      </c>
      <c r="Z651">
        <f>IF(AND(vp.data[[#This Row],[CrudeType]]="Crude",vp.data[[#This Row],[Dens]]&lt;=825,vp.data[[#This Row],[Sulf]]&gt;0.5,vp.data[[#This Row],[Unknown]]=0),1,0)</f>
        <v>1</v>
      </c>
      <c r="AA651">
        <f>IF(AND(vp.data[[#This Row],[CrudeType]]="Crude",vp.data[[#This Row],[Dens]]&lt;=825,vp.data[[#This Row],[Sulf]]&lt;=0.5,vp.data[[#This Row],[Unknown]]=0),1,0)</f>
        <v>0</v>
      </c>
      <c r="AB6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1">
        <f>IF(AND(vp.data[[#This Row],[CrudeType]]="Crude",vp.data[[#This Row],[Dens]]&gt;825,vp.data[[#This Row],[Dens]]&lt;=900,vp.data[[#This Row],[Sulf]]&lt;=0.5,vp.data[[#This Row],[Unknown]]=0),1,0)</f>
        <v>0</v>
      </c>
      <c r="AD651">
        <f>IF(AND(vp.data[[#This Row],[CrudeType]]="Crude",vp.data[[#This Row],[Dens]]&gt;865,vp.data[[#This Row],[Dens]]&lt;=900,vp.data[[#This Row],[Sulf]]&gt;2,vp.data[[#This Row],[Unknown]]=0),1,0)</f>
        <v>0</v>
      </c>
      <c r="AE651">
        <f>IF(AND(vp.data[[#This Row],[CrudeType]]="Crude",vp.data[[#This Row],[Dens]]&gt;900,vp.data[[#This Row],[Sulf]]&lt;=0.5,vp.data[[#This Row],[Unknown]]=0),1,0)</f>
        <v>0</v>
      </c>
      <c r="AF651">
        <f>IF(AND(vp.data[[#This Row],[CrudeType]]="Crude",vp.data[[#This Row],[Dens]]&gt;900,vp.data[[#This Row],[Sulf]]&lt;=0.5,vp.data[[#This Row],[Unknown]]=0),1,0)</f>
        <v>0</v>
      </c>
      <c r="AG651" t="str">
        <f>INDEX(vp.data[[#Headers],[Unknown]:[Heavy_SW]],MATCH(1,vp.data[[#This Row],[Unknown]:[Heavy_SW]],0))</f>
        <v>Light_LSB</v>
      </c>
      <c r="AH651">
        <f>INDEX([3]!crudeBD.lkup[Number],MATCH(vp.data[[#This Row],[Crude_Breakdown]],crudeBD.lkup[Crude Breakdown],0))</f>
        <v>1</v>
      </c>
      <c r="AI651">
        <f>MONTH(vp.data[[#This Row],[SDate]])</f>
        <v>1</v>
      </c>
      <c r="AJ651" s="5">
        <f>(vp.data[[#This Row],[VP]]-INDEX(crudeBD.lkup[Mean_VP],MATCH(vp.data[[#This Row],[Crude_Breakdown]],crudeBD.lkup[Crude Breakdown],0)))^2</f>
        <v>150.15596815814561</v>
      </c>
      <c r="AK651" s="5">
        <f>(vp.data[[#This Row],[Dens]]-INDEX(crudeBD.lkup[Mean_Dens],MATCH(vp.data[[#This Row],[Crude_Breakdown]],crudeBD.lkup[Crude Breakdown],0)))^2</f>
        <v>22.247916963661098</v>
      </c>
      <c r="AL651" s="5">
        <f>(vp.data[[#This Row],[Sulf]]-INDEX(crudeBD.lkup[Mean_Sulf],MATCH(vp.data[[#This Row],[Crude_Breakdown]],crudeBD.lkup[Crude Breakdown],0)))^2</f>
        <v>0.14820280048761919</v>
      </c>
      <c r="AM651" s="4">
        <f>IF(AND(vp.data[[#This Row],[SDate]]&gt;=DATE(YEAR(vp.data[[#This Row],[SDate]]),5,1),vp.data[[#This Row],[SDate]]&lt;=DATE(YEAR(vp.data[[#This Row],[SDate]]),9,15)),1,0)</f>
        <v>0</v>
      </c>
      <c r="AN651" s="4">
        <f>IF(vp.data[[#This Row],[SDate]]&lt;DATE(2016,12,1),0,1)</f>
        <v>1</v>
      </c>
      <c r="AO651" s="4">
        <f>IFERROR(vp.data[[#This Row],[Sulf]]*vp.data[[#This Row],[Net Dens]],"")</f>
        <v>9207845.9900284</v>
      </c>
      <c r="AP651">
        <f>IFERROR(vp.data[[#This Row],[Dens]]*vp.data[[#This Row],[VolumeM3]],"")</f>
        <v>17114955.371799998</v>
      </c>
      <c r="AQ651" s="15">
        <f>IFERROR(vp.data[[#This Row],[VP]]*vp.data[[#This Row],[VolumeM3]],"")</f>
        <v>2183008.5617999998</v>
      </c>
    </row>
    <row r="652" spans="1:43" x14ac:dyDescent="0.25">
      <c r="A652">
        <v>651</v>
      </c>
      <c r="B652" t="s">
        <v>49</v>
      </c>
      <c r="C652" t="s">
        <v>49</v>
      </c>
      <c r="D652" t="s">
        <v>67</v>
      </c>
      <c r="F652" s="1">
        <v>42759</v>
      </c>
      <c r="G652" s="2">
        <v>99.1</v>
      </c>
      <c r="H652" s="2">
        <v>0.61780000000000002</v>
      </c>
      <c r="I652" s="2">
        <f t="array" ref="I652">_xlfn.IFNA(IF(vp.data[[#This Row],[Sulf Input]]="",INDEX([1]DATA!$Q$3:$Q$9826,MATCH(1,(vp.data[[#This Row],[Battery]]=[1]DATA!$L$3:$L$9826)*(EOMONTH(vp.data[[#This Row],[SDate]],-1)+1=[1]DATA!$G$3:$G$9826),0)),vp.data[[#This Row],[Sulf Input]]),"")</f>
        <v>0.61780000000000002</v>
      </c>
      <c r="J652" s="2">
        <v>6</v>
      </c>
      <c r="K652" s="2">
        <v>-9</v>
      </c>
      <c r="L652" s="2">
        <v>822.3</v>
      </c>
      <c r="M652" s="2">
        <f t="array" ref="M652">_xlfn.IFNA(IF(vp.data[[#This Row],[Dens Input]]="",INDEX([1]DATA!$O$3:$O$9826,MATCH(1,(vp.data[[#This Row],[Battery]]=[1]DATA!$L$3:$L$9826)*(EOMONTH(vp.data[[#This Row],[SDate]],-1)+1=[1]DATA!$G$3:$G$9826),0)),vp.data[[#This Row],[Dens Input]]),"")</f>
        <v>822.3</v>
      </c>
      <c r="N652" s="2">
        <f ca="1">INDEX(INDIRECT(_xlfn.CONCAT("weather.tbl[",N$1,"]")),MATCH(vp.data[[#This Row],[SDate]],weather.tbl[Date],0))</f>
        <v>-8.1666666666666661</v>
      </c>
      <c r="O652" s="2">
        <f ca="1">INDEX(INDIRECT(_xlfn.CONCAT("weather.tbl[",O$1,"]")),MATCH(vp.data[[#This Row],[SDate]],weather.tbl[Date],0))</f>
        <v>-4.473809523809523</v>
      </c>
      <c r="P652" s="2">
        <f ca="1">INDEX(INDIRECT(_xlfn.CONCAT("weather.tbl[",P$1,"]")),MATCH(vp.data[[#This Row],[SDate]],weather.tbl[Date],0))</f>
        <v>-8</v>
      </c>
      <c r="Q652" s="2">
        <f ca="1">INDEX(INDIRECT(_xlfn.CONCAT("weather.tbl[",Q$1,"]")),MATCH(vp.data[[#This Row],[SDate]],weather.tbl[Date],0))</f>
        <v>-8.9</v>
      </c>
      <c r="R652" s="2">
        <f ca="1">INDEX(INDIRECT(_xlfn.CONCAT("weather.tbl[",R$1,"]")),MATCH(vp.data[[#This Row],[SDate]],weather.tbl[Date],0))</f>
        <v>-8</v>
      </c>
      <c r="S652" s="2">
        <f ca="1">INDEX(INDIRECT(_xlfn.CONCAT("weather.tbl[",S$1,"]")),MATCH(vp.data[[#This Row],[SDate]],weather.tbl[Date],0))</f>
        <v>-8.9</v>
      </c>
      <c r="T652" s="2">
        <f ca="1">INDEX(INDIRECT(_xlfn.CONCAT("weather.tbl[",T$1,"]")),MATCH(vp.data[[#This Row],[SDate]],weather.tbl[Date],0))</f>
        <v>-6.2</v>
      </c>
      <c r="U652" s="2">
        <f ca="1">INDEX(INDIRECT(_xlfn.CONCAT("weather.tbl[",U$1,"]")),MATCH(vp.data[[#This Row],[SDate]],weather.tbl[Date],0))</f>
        <v>-9</v>
      </c>
      <c r="V652" s="2">
        <f t="array" ref="V6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52" t="s">
        <v>48</v>
      </c>
      <c r="X652">
        <f>IF(OR(vp.data[[#This Row],[Sulf]]="",vp.data[[#This Row],[Dens]]=""),1,0)</f>
        <v>0</v>
      </c>
      <c r="Y652">
        <f>IF(vp.data[[#This Row],[CrudeType]]="C5+",1,0)</f>
        <v>0</v>
      </c>
      <c r="Z652">
        <f>IF(AND(vp.data[[#This Row],[CrudeType]]="Crude",vp.data[[#This Row],[Dens]]&lt;=825,vp.data[[#This Row],[Sulf]]&gt;0.5,vp.data[[#This Row],[Unknown]]=0),1,0)</f>
        <v>1</v>
      </c>
      <c r="AA652">
        <f>IF(AND(vp.data[[#This Row],[CrudeType]]="Crude",vp.data[[#This Row],[Dens]]&lt;=825,vp.data[[#This Row],[Sulf]]&lt;=0.5,vp.data[[#This Row],[Unknown]]=0),1,0)</f>
        <v>0</v>
      </c>
      <c r="AB6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2">
        <f>IF(AND(vp.data[[#This Row],[CrudeType]]="Crude",vp.data[[#This Row],[Dens]]&gt;825,vp.data[[#This Row],[Dens]]&lt;=900,vp.data[[#This Row],[Sulf]]&lt;=0.5,vp.data[[#This Row],[Unknown]]=0),1,0)</f>
        <v>0</v>
      </c>
      <c r="AD652">
        <f>IF(AND(vp.data[[#This Row],[CrudeType]]="Crude",vp.data[[#This Row],[Dens]]&gt;865,vp.data[[#This Row],[Dens]]&lt;=900,vp.data[[#This Row],[Sulf]]&gt;2,vp.data[[#This Row],[Unknown]]=0),1,0)</f>
        <v>0</v>
      </c>
      <c r="AE652">
        <f>IF(AND(vp.data[[#This Row],[CrudeType]]="Crude",vp.data[[#This Row],[Dens]]&gt;900,vp.data[[#This Row],[Sulf]]&lt;=0.5,vp.data[[#This Row],[Unknown]]=0),1,0)</f>
        <v>0</v>
      </c>
      <c r="AF652">
        <f>IF(AND(vp.data[[#This Row],[CrudeType]]="Crude",vp.data[[#This Row],[Dens]]&gt;900,vp.data[[#This Row],[Sulf]]&lt;=0.5,vp.data[[#This Row],[Unknown]]=0),1,0)</f>
        <v>0</v>
      </c>
      <c r="AG652" t="str">
        <f>INDEX(vp.data[[#Headers],[Unknown]:[Heavy_SW]],MATCH(1,vp.data[[#This Row],[Unknown]:[Heavy_SW]],0))</f>
        <v>Light_LSB</v>
      </c>
      <c r="AH652">
        <f>INDEX([3]!crudeBD.lkup[Number],MATCH(vp.data[[#This Row],[Crude_Breakdown]],crudeBD.lkup[Crude Breakdown],0))</f>
        <v>1</v>
      </c>
      <c r="AI652">
        <f>MONTH(vp.data[[#This Row],[SDate]])</f>
        <v>1</v>
      </c>
      <c r="AJ652" s="5">
        <f>(vp.data[[#This Row],[VP]]-INDEX(crudeBD.lkup[Mean_VP],MATCH(vp.data[[#This Row],[Crude_Breakdown]],crudeBD.lkup[Crude Breakdown],0)))^2</f>
        <v>57.060112488042805</v>
      </c>
      <c r="AK652" s="5">
        <f>(vp.data[[#This Row],[Dens]]-INDEX(crudeBD.lkup[Mean_Dens],MATCH(vp.data[[#This Row],[Crude_Breakdown]],crudeBD.lkup[Crude Breakdown],0)))^2</f>
        <v>14.312831053012744</v>
      </c>
      <c r="AL652" s="5">
        <f>(vp.data[[#This Row],[Sulf]]-INDEX(crudeBD.lkup[Mean_Sulf],MATCH(vp.data[[#This Row],[Crude_Breakdown]],crudeBD.lkup[Crude Breakdown],0)))^2</f>
        <v>9.3129442013392447E-2</v>
      </c>
      <c r="AM652" s="4">
        <f>IF(AND(vp.data[[#This Row],[SDate]]&gt;=DATE(YEAR(vp.data[[#This Row],[SDate]]),5,1),vp.data[[#This Row],[SDate]]&lt;=DATE(YEAR(vp.data[[#This Row],[SDate]]),9,15)),1,0)</f>
        <v>0</v>
      </c>
      <c r="AN652" s="4">
        <f>IF(vp.data[[#This Row],[SDate]]&lt;DATE(2016,12,1),0,1)</f>
        <v>1</v>
      </c>
      <c r="AO652" s="4">
        <f>IFERROR(vp.data[[#This Row],[Sulf]]*vp.data[[#This Row],[Net Dens]],"")</f>
        <v>62049123.009397797</v>
      </c>
      <c r="AP652">
        <f>IFERROR(vp.data[[#This Row],[Dens]]*vp.data[[#This Row],[VolumeM3]],"")</f>
        <v>100435615.101</v>
      </c>
      <c r="AQ652" s="15">
        <f>IFERROR(vp.data[[#This Row],[VP]]*vp.data[[#This Row],[VolumeM3]],"")</f>
        <v>12104061.116999999</v>
      </c>
    </row>
    <row r="653" spans="1:43" x14ac:dyDescent="0.25">
      <c r="A653">
        <v>652</v>
      </c>
      <c r="B653" t="s">
        <v>49</v>
      </c>
      <c r="C653" t="s">
        <v>49</v>
      </c>
      <c r="D653" t="s">
        <v>89</v>
      </c>
      <c r="F653" s="1">
        <v>42759</v>
      </c>
      <c r="G653" s="2">
        <v>108.6</v>
      </c>
      <c r="H653" s="2">
        <v>0.63200000000000001</v>
      </c>
      <c r="I653" s="2">
        <f t="array" ref="I653">_xlfn.IFNA(IF(vp.data[[#This Row],[Sulf Input]]="",INDEX([1]DATA!$Q$3:$Q$9826,MATCH(1,(vp.data[[#This Row],[Battery]]=[1]DATA!$L$3:$L$9826)*(EOMONTH(vp.data[[#This Row],[SDate]],-1)+1=[1]DATA!$G$3:$G$9826),0)),vp.data[[#This Row],[Sulf Input]]),"")</f>
        <v>0.63200000000000001</v>
      </c>
      <c r="J653" s="2">
        <v>2.9</v>
      </c>
      <c r="K653" s="2">
        <v>-9</v>
      </c>
      <c r="L653" s="2">
        <v>815</v>
      </c>
      <c r="M653" s="2">
        <f t="array" ref="M653">_xlfn.IFNA(IF(vp.data[[#This Row],[Dens Input]]="",INDEX([1]DATA!$O$3:$O$9826,MATCH(1,(vp.data[[#This Row],[Battery]]=[1]DATA!$L$3:$L$9826)*(EOMONTH(vp.data[[#This Row],[SDate]],-1)+1=[1]DATA!$G$3:$G$9826),0)),vp.data[[#This Row],[Dens Input]]),"")</f>
        <v>815</v>
      </c>
      <c r="N653" s="2">
        <f ca="1">INDEX(INDIRECT(_xlfn.CONCAT("weather.tbl[",N$1,"]")),MATCH(vp.data[[#This Row],[SDate]],weather.tbl[Date],0))</f>
        <v>-8.1666666666666661</v>
      </c>
      <c r="O653" s="2">
        <f ca="1">INDEX(INDIRECT(_xlfn.CONCAT("weather.tbl[",O$1,"]")),MATCH(vp.data[[#This Row],[SDate]],weather.tbl[Date],0))</f>
        <v>-4.473809523809523</v>
      </c>
      <c r="P653" s="2">
        <f ca="1">INDEX(INDIRECT(_xlfn.CONCAT("weather.tbl[",P$1,"]")),MATCH(vp.data[[#This Row],[SDate]],weather.tbl[Date],0))</f>
        <v>-8</v>
      </c>
      <c r="Q653" s="2">
        <f ca="1">INDEX(INDIRECT(_xlfn.CONCAT("weather.tbl[",Q$1,"]")),MATCH(vp.data[[#This Row],[SDate]],weather.tbl[Date],0))</f>
        <v>-8.9</v>
      </c>
      <c r="R653" s="2">
        <f ca="1">INDEX(INDIRECT(_xlfn.CONCAT("weather.tbl[",R$1,"]")),MATCH(vp.data[[#This Row],[SDate]],weather.tbl[Date],0))</f>
        <v>-8</v>
      </c>
      <c r="S653" s="2">
        <f ca="1">INDEX(INDIRECT(_xlfn.CONCAT("weather.tbl[",S$1,"]")),MATCH(vp.data[[#This Row],[SDate]],weather.tbl[Date],0))</f>
        <v>-8.9</v>
      </c>
      <c r="T653" s="2">
        <f ca="1">INDEX(INDIRECT(_xlfn.CONCAT("weather.tbl[",T$1,"]")),MATCH(vp.data[[#This Row],[SDate]],weather.tbl[Date],0))</f>
        <v>-6.2</v>
      </c>
      <c r="U653" s="2">
        <f ca="1">INDEX(INDIRECT(_xlfn.CONCAT("weather.tbl[",U$1,"]")),MATCH(vp.data[[#This Row],[SDate]],weather.tbl[Date],0))</f>
        <v>-9</v>
      </c>
      <c r="V653" s="2">
        <f t="array" ref="V6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653" t="s">
        <v>48</v>
      </c>
      <c r="X653">
        <f>IF(OR(vp.data[[#This Row],[Sulf]]="",vp.data[[#This Row],[Dens]]=""),1,0)</f>
        <v>0</v>
      </c>
      <c r="Y653">
        <f>IF(vp.data[[#This Row],[CrudeType]]="C5+",1,0)</f>
        <v>0</v>
      </c>
      <c r="Z653">
        <f>IF(AND(vp.data[[#This Row],[CrudeType]]="Crude",vp.data[[#This Row],[Dens]]&lt;=825,vp.data[[#This Row],[Sulf]]&gt;0.5,vp.data[[#This Row],[Unknown]]=0),1,0)</f>
        <v>1</v>
      </c>
      <c r="AA653">
        <f>IF(AND(vp.data[[#This Row],[CrudeType]]="Crude",vp.data[[#This Row],[Dens]]&lt;=825,vp.data[[#This Row],[Sulf]]&lt;=0.5,vp.data[[#This Row],[Unknown]]=0),1,0)</f>
        <v>0</v>
      </c>
      <c r="AB6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3">
        <f>IF(AND(vp.data[[#This Row],[CrudeType]]="Crude",vp.data[[#This Row],[Dens]]&gt;825,vp.data[[#This Row],[Dens]]&lt;=900,vp.data[[#This Row],[Sulf]]&lt;=0.5,vp.data[[#This Row],[Unknown]]=0),1,0)</f>
        <v>0</v>
      </c>
      <c r="AD653">
        <f>IF(AND(vp.data[[#This Row],[CrudeType]]="Crude",vp.data[[#This Row],[Dens]]&gt;865,vp.data[[#This Row],[Dens]]&lt;=900,vp.data[[#This Row],[Sulf]]&gt;2,vp.data[[#This Row],[Unknown]]=0),1,0)</f>
        <v>0</v>
      </c>
      <c r="AE653">
        <f>IF(AND(vp.data[[#This Row],[CrudeType]]="Crude",vp.data[[#This Row],[Dens]]&gt;900,vp.data[[#This Row],[Sulf]]&lt;=0.5,vp.data[[#This Row],[Unknown]]=0),1,0)</f>
        <v>0</v>
      </c>
      <c r="AF653">
        <f>IF(AND(vp.data[[#This Row],[CrudeType]]="Crude",vp.data[[#This Row],[Dens]]&gt;900,vp.data[[#This Row],[Sulf]]&lt;=0.5,vp.data[[#This Row],[Unknown]]=0),1,0)</f>
        <v>0</v>
      </c>
      <c r="AG653" t="str">
        <f>INDEX(vp.data[[#Headers],[Unknown]:[Heavy_SW]],MATCH(1,vp.data[[#This Row],[Unknown]:[Heavy_SW]],0))</f>
        <v>Light_LSB</v>
      </c>
      <c r="AH653">
        <f>INDEX([3]!crudeBD.lkup[Number],MATCH(vp.data[[#This Row],[Crude_Breakdown]],crudeBD.lkup[Crude Breakdown],0))</f>
        <v>1</v>
      </c>
      <c r="AI653">
        <f>MONTH(vp.data[[#This Row],[SDate]])</f>
        <v>1</v>
      </c>
      <c r="AJ653" s="5">
        <f>(vp.data[[#This Row],[VP]]-INDEX(crudeBD.lkup[Mean_VP],MATCH(vp.data[[#This Row],[Crude_Breakdown]],crudeBD.lkup[Crude Breakdown],0)))^2</f>
        <v>290.83258671484623</v>
      </c>
      <c r="AK653" s="5">
        <f>(vp.data[[#This Row],[Dens]]-INDEX(crudeBD.lkup[Mean_Dens],MATCH(vp.data[[#This Row],[Crude_Breakdown]],crudeBD.lkup[Crude Breakdown],0)))^2</f>
        <v>12.36766954098101</v>
      </c>
      <c r="AL653" s="5">
        <f>(vp.data[[#This Row],[Sulf]]-INDEX(crudeBD.lkup[Mean_Sulf],MATCH(vp.data[[#This Row],[Crude_Breakdown]],crudeBD.lkup[Crude Breakdown],0)))^2</f>
        <v>8.4664220831261877E-2</v>
      </c>
      <c r="AM653" s="4">
        <f>IF(AND(vp.data[[#This Row],[SDate]]&gt;=DATE(YEAR(vp.data[[#This Row],[SDate]]),5,1),vp.data[[#This Row],[SDate]]&lt;=DATE(YEAR(vp.data[[#This Row],[SDate]]),9,15)),1,0)</f>
        <v>0</v>
      </c>
      <c r="AN653" s="4">
        <f>IF(vp.data[[#This Row],[SDate]]&lt;DATE(2016,12,1),0,1)</f>
        <v>1</v>
      </c>
      <c r="AO653" s="4">
        <f>IFERROR(vp.data[[#This Row],[Sulf]]*vp.data[[#This Row],[Net Dens]],"")</f>
        <v>3182968.2798799998</v>
      </c>
      <c r="AP653">
        <f>IFERROR(vp.data[[#This Row],[Dens]]*vp.data[[#This Row],[VolumeM3]],"")</f>
        <v>5036342.2149999999</v>
      </c>
      <c r="AQ653" s="15">
        <f>IFERROR(vp.data[[#This Row],[VP]]*vp.data[[#This Row],[VolumeM3]],"")</f>
        <v>671100.32459999993</v>
      </c>
    </row>
    <row r="654" spans="1:43" x14ac:dyDescent="0.25">
      <c r="A654">
        <v>653</v>
      </c>
      <c r="B654" t="s">
        <v>49</v>
      </c>
      <c r="C654" t="s">
        <v>49</v>
      </c>
      <c r="D654" t="s">
        <v>148</v>
      </c>
      <c r="F654" s="1">
        <v>42759</v>
      </c>
      <c r="G654" s="2">
        <v>72.3</v>
      </c>
      <c r="H654" s="2">
        <v>0.94399999999999995</v>
      </c>
      <c r="I654" s="2">
        <f t="array" ref="I654">_xlfn.IFNA(IF(vp.data[[#This Row],[Sulf Input]]="",INDEX([1]DATA!$Q$3:$Q$9826,MATCH(1,(vp.data[[#This Row],[Battery]]=[1]DATA!$L$3:$L$9826)*(EOMONTH(vp.data[[#This Row],[SDate]],-1)+1=[1]DATA!$G$3:$G$9826),0)),vp.data[[#This Row],[Sulf Input]]),"")</f>
        <v>0.94399999999999995</v>
      </c>
      <c r="J654" s="2">
        <v>18.3</v>
      </c>
      <c r="K654" s="2">
        <v>-7</v>
      </c>
      <c r="L654" s="2"/>
      <c r="M654" s="2">
        <f t="array" ref="M654">_xlfn.IFNA(IF(vp.data[[#This Row],[Dens Input]]="",INDEX([1]DATA!$O$3:$O$9826,MATCH(1,(vp.data[[#This Row],[Battery]]=[1]DATA!$L$3:$L$9826)*(EOMONTH(vp.data[[#This Row],[SDate]],-1)+1=[1]DATA!$G$3:$G$9826),0)),vp.data[[#This Row],[Dens Input]]),"")</f>
        <v>854.5</v>
      </c>
      <c r="N654" s="2">
        <f ca="1">INDEX(INDIRECT(_xlfn.CONCAT("weather.tbl[",N$1,"]")),MATCH(vp.data[[#This Row],[SDate]],weather.tbl[Date],0))</f>
        <v>-8.1666666666666661</v>
      </c>
      <c r="O654" s="2">
        <f ca="1">INDEX(INDIRECT(_xlfn.CONCAT("weather.tbl[",O$1,"]")),MATCH(vp.data[[#This Row],[SDate]],weather.tbl[Date],0))</f>
        <v>-4.473809523809523</v>
      </c>
      <c r="P654" s="2">
        <f ca="1">INDEX(INDIRECT(_xlfn.CONCAT("weather.tbl[",P$1,"]")),MATCH(vp.data[[#This Row],[SDate]],weather.tbl[Date],0))</f>
        <v>-8</v>
      </c>
      <c r="Q654" s="2">
        <f ca="1">INDEX(INDIRECT(_xlfn.CONCAT("weather.tbl[",Q$1,"]")),MATCH(vp.data[[#This Row],[SDate]],weather.tbl[Date],0))</f>
        <v>-8.9</v>
      </c>
      <c r="R654" s="2">
        <f ca="1">INDEX(INDIRECT(_xlfn.CONCAT("weather.tbl[",R$1,"]")),MATCH(vp.data[[#This Row],[SDate]],weather.tbl[Date],0))</f>
        <v>-8</v>
      </c>
      <c r="S654" s="2">
        <f ca="1">INDEX(INDIRECT(_xlfn.CONCAT("weather.tbl[",S$1,"]")),MATCH(vp.data[[#This Row],[SDate]],weather.tbl[Date],0))</f>
        <v>-8.9</v>
      </c>
      <c r="T654" s="2">
        <f ca="1">INDEX(INDIRECT(_xlfn.CONCAT("weather.tbl[",T$1,"]")),MATCH(vp.data[[#This Row],[SDate]],weather.tbl[Date],0))</f>
        <v>-6.2</v>
      </c>
      <c r="U654" s="2">
        <f ca="1">INDEX(INDIRECT(_xlfn.CONCAT("weather.tbl[",U$1,"]")),MATCH(vp.data[[#This Row],[SDate]],weather.tbl[Date],0))</f>
        <v>-9</v>
      </c>
      <c r="V654" s="2">
        <f t="array" ref="V6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1075.114</v>
      </c>
      <c r="W654" t="s">
        <v>48</v>
      </c>
      <c r="X654">
        <f>IF(OR(vp.data[[#This Row],[Sulf]]="",vp.data[[#This Row],[Dens]]=""),1,0)</f>
        <v>0</v>
      </c>
      <c r="Y654">
        <f>IF(vp.data[[#This Row],[CrudeType]]="C5+",1,0)</f>
        <v>0</v>
      </c>
      <c r="Z654">
        <f>IF(AND(vp.data[[#This Row],[CrudeType]]="Crude",vp.data[[#This Row],[Dens]]&lt;=825,vp.data[[#This Row],[Sulf]]&gt;0.5,vp.data[[#This Row],[Unknown]]=0),1,0)</f>
        <v>0</v>
      </c>
      <c r="AA654">
        <f>IF(AND(vp.data[[#This Row],[CrudeType]]="Crude",vp.data[[#This Row],[Dens]]&lt;=825,vp.data[[#This Row],[Sulf]]&lt;=0.5,vp.data[[#This Row],[Unknown]]=0),1,0)</f>
        <v>0</v>
      </c>
      <c r="AB6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54">
        <f>IF(AND(vp.data[[#This Row],[CrudeType]]="Crude",vp.data[[#This Row],[Dens]]&gt;825,vp.data[[#This Row],[Dens]]&lt;=900,vp.data[[#This Row],[Sulf]]&lt;=0.5,vp.data[[#This Row],[Unknown]]=0),1,0)</f>
        <v>0</v>
      </c>
      <c r="AD654">
        <f>IF(AND(vp.data[[#This Row],[CrudeType]]="Crude",vp.data[[#This Row],[Dens]]&gt;865,vp.data[[#This Row],[Dens]]&lt;=900,vp.data[[#This Row],[Sulf]]&gt;2,vp.data[[#This Row],[Unknown]]=0),1,0)</f>
        <v>0</v>
      </c>
      <c r="AE654">
        <f>IF(AND(vp.data[[#This Row],[CrudeType]]="Crude",vp.data[[#This Row],[Dens]]&gt;900,vp.data[[#This Row],[Sulf]]&lt;=0.5,vp.data[[#This Row],[Unknown]]=0),1,0)</f>
        <v>0</v>
      </c>
      <c r="AF654">
        <f>IF(AND(vp.data[[#This Row],[CrudeType]]="Crude",vp.data[[#This Row],[Dens]]&gt;900,vp.data[[#This Row],[Sulf]]&lt;=0.5,vp.data[[#This Row],[Unknown]]=0),1,0)</f>
        <v>0</v>
      </c>
      <c r="AG654" t="str">
        <f>INDEX(vp.data[[#Headers],[Unknown]:[Heavy_SW]],MATCH(1,vp.data[[#This Row],[Unknown]:[Heavy_SW]],0))</f>
        <v>Medium_LSB</v>
      </c>
      <c r="AH654">
        <f>INDEX([3]!crudeBD.lkup[Number],MATCH(vp.data[[#This Row],[Crude_Breakdown]],crudeBD.lkup[Crude Breakdown],0))</f>
        <v>3</v>
      </c>
      <c r="AI654">
        <f>MONTH(vp.data[[#This Row],[SDate]])</f>
        <v>1</v>
      </c>
      <c r="AJ654" s="5">
        <f>(vp.data[[#This Row],[VP]]-INDEX(crudeBD.lkup[Mean_VP],MATCH(vp.data[[#This Row],[Crude_Breakdown]],crudeBD.lkup[Crude Breakdown],0)))^2</f>
        <v>69.550204956370862</v>
      </c>
      <c r="AK654" s="5">
        <f>(vp.data[[#This Row],[Dens]]-INDEX(crudeBD.lkup[Mean_Dens],MATCH(vp.data[[#This Row],[Crude_Breakdown]],crudeBD.lkup[Crude Breakdown],0)))^2</f>
        <v>111.93640000001049</v>
      </c>
      <c r="AL654" s="5">
        <f>(vp.data[[#This Row],[Sulf]]-INDEX(crudeBD.lkup[Mean_Sulf],MATCH(vp.data[[#This Row],[Crude_Breakdown]],crudeBD.lkup[Crude Breakdown],0)))^2</f>
        <v>0.19484113430324115</v>
      </c>
      <c r="AM654" s="4">
        <f>IF(AND(vp.data[[#This Row],[SDate]]&gt;=DATE(YEAR(vp.data[[#This Row],[SDate]]),5,1),vp.data[[#This Row],[SDate]]&lt;=DATE(YEAR(vp.data[[#This Row],[SDate]]),9,15)),1,0)</f>
        <v>0</v>
      </c>
      <c r="AN654" s="4">
        <f>IF(vp.data[[#This Row],[SDate]]&lt;DATE(2016,12,1),0,1)</f>
        <v>1</v>
      </c>
      <c r="AO654" s="4">
        <f>IFERROR(vp.data[[#This Row],[Sulf]]*vp.data[[#This Row],[Net Dens]],"")</f>
        <v>867238.55787200003</v>
      </c>
      <c r="AP654">
        <f>IFERROR(vp.data[[#This Row],[Dens]]*vp.data[[#This Row],[VolumeM3]],"")</f>
        <v>918684.91300000006</v>
      </c>
      <c r="AQ654" s="15">
        <f>IFERROR(vp.data[[#This Row],[VP]]*vp.data[[#This Row],[VolumeM3]],"")</f>
        <v>77730.742199999993</v>
      </c>
    </row>
    <row r="655" spans="1:43" x14ac:dyDescent="0.25">
      <c r="A655">
        <v>654</v>
      </c>
      <c r="B655" t="s">
        <v>62</v>
      </c>
      <c r="C655" t="s">
        <v>62</v>
      </c>
      <c r="D655" t="s">
        <v>79</v>
      </c>
      <c r="F655" s="1">
        <v>42759</v>
      </c>
      <c r="G655" s="2">
        <v>96.3</v>
      </c>
      <c r="H655" s="2"/>
      <c r="I655" s="2">
        <f t="array" ref="I655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655" s="2">
        <v>15</v>
      </c>
      <c r="K655" s="2">
        <v>-8</v>
      </c>
      <c r="L655" s="2">
        <v>805.3</v>
      </c>
      <c r="M655" s="2">
        <f t="array" ref="M655">_xlfn.IFNA(IF(vp.data[[#This Row],[Dens Input]]="",INDEX([1]DATA!$O$3:$O$9826,MATCH(1,(vp.data[[#This Row],[Battery]]=[1]DATA!$L$3:$L$9826)*(EOMONTH(vp.data[[#This Row],[SDate]],-1)+1=[1]DATA!$G$3:$G$9826),0)),vp.data[[#This Row],[Dens Input]]),"")</f>
        <v>805.3</v>
      </c>
      <c r="N655" s="2">
        <f ca="1">INDEX(INDIRECT(_xlfn.CONCAT("weather.tbl[",N$1,"]")),MATCH(vp.data[[#This Row],[SDate]],weather.tbl[Date],0))</f>
        <v>-8.1666666666666661</v>
      </c>
      <c r="O655" s="2">
        <f ca="1">INDEX(INDIRECT(_xlfn.CONCAT("weather.tbl[",O$1,"]")),MATCH(vp.data[[#This Row],[SDate]],weather.tbl[Date],0))</f>
        <v>-4.473809523809523</v>
      </c>
      <c r="P655" s="2">
        <f ca="1">INDEX(INDIRECT(_xlfn.CONCAT("weather.tbl[",P$1,"]")),MATCH(vp.data[[#This Row],[SDate]],weather.tbl[Date],0))</f>
        <v>-8</v>
      </c>
      <c r="Q655" s="2">
        <f ca="1">INDEX(INDIRECT(_xlfn.CONCAT("weather.tbl[",Q$1,"]")),MATCH(vp.data[[#This Row],[SDate]],weather.tbl[Date],0))</f>
        <v>-8.9</v>
      </c>
      <c r="R655" s="2">
        <f ca="1">INDEX(INDIRECT(_xlfn.CONCAT("weather.tbl[",R$1,"]")),MATCH(vp.data[[#This Row],[SDate]],weather.tbl[Date],0))</f>
        <v>-8</v>
      </c>
      <c r="S655" s="2">
        <f ca="1">INDEX(INDIRECT(_xlfn.CONCAT("weather.tbl[",S$1,"]")),MATCH(vp.data[[#This Row],[SDate]],weather.tbl[Date],0))</f>
        <v>-8.9</v>
      </c>
      <c r="T655" s="2">
        <f ca="1">INDEX(INDIRECT(_xlfn.CONCAT("weather.tbl[",T$1,"]")),MATCH(vp.data[[#This Row],[SDate]],weather.tbl[Date],0))</f>
        <v>-6.2</v>
      </c>
      <c r="U655" s="2">
        <f ca="1">INDEX(INDIRECT(_xlfn.CONCAT("weather.tbl[",U$1,"]")),MATCH(vp.data[[#This Row],[SDate]],weather.tbl[Date],0))</f>
        <v>-9</v>
      </c>
      <c r="V655" s="2">
        <f t="array" ref="V6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655" t="s">
        <v>48</v>
      </c>
      <c r="X655">
        <f>IF(OR(vp.data[[#This Row],[Sulf]]="",vp.data[[#This Row],[Dens]]=""),1,0)</f>
        <v>0</v>
      </c>
      <c r="Y655">
        <f>IF(vp.data[[#This Row],[CrudeType]]="C5+",1,0)</f>
        <v>0</v>
      </c>
      <c r="Z655">
        <f>IF(AND(vp.data[[#This Row],[CrudeType]]="Crude",vp.data[[#This Row],[Dens]]&lt;=825,vp.data[[#This Row],[Sulf]]&gt;0.5,vp.data[[#This Row],[Unknown]]=0),1,0)</f>
        <v>0</v>
      </c>
      <c r="AA655">
        <f>IF(AND(vp.data[[#This Row],[CrudeType]]="Crude",vp.data[[#This Row],[Dens]]&lt;=825,vp.data[[#This Row],[Sulf]]&lt;=0.5,vp.data[[#This Row],[Unknown]]=0),1,0)</f>
        <v>1</v>
      </c>
      <c r="AB6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5">
        <f>IF(AND(vp.data[[#This Row],[CrudeType]]="Crude",vp.data[[#This Row],[Dens]]&gt;825,vp.data[[#This Row],[Dens]]&lt;=900,vp.data[[#This Row],[Sulf]]&lt;=0.5,vp.data[[#This Row],[Unknown]]=0),1,0)</f>
        <v>0</v>
      </c>
      <c r="AD655">
        <f>IF(AND(vp.data[[#This Row],[CrudeType]]="Crude",vp.data[[#This Row],[Dens]]&gt;865,vp.data[[#This Row],[Dens]]&lt;=900,vp.data[[#This Row],[Sulf]]&gt;2,vp.data[[#This Row],[Unknown]]=0),1,0)</f>
        <v>0</v>
      </c>
      <c r="AE655">
        <f>IF(AND(vp.data[[#This Row],[CrudeType]]="Crude",vp.data[[#This Row],[Dens]]&gt;900,vp.data[[#This Row],[Sulf]]&lt;=0.5,vp.data[[#This Row],[Unknown]]=0),1,0)</f>
        <v>0</v>
      </c>
      <c r="AF655">
        <f>IF(AND(vp.data[[#This Row],[CrudeType]]="Crude",vp.data[[#This Row],[Dens]]&gt;900,vp.data[[#This Row],[Sulf]]&lt;=0.5,vp.data[[#This Row],[Unknown]]=0),1,0)</f>
        <v>0</v>
      </c>
      <c r="AG655" t="str">
        <f>INDEX(vp.data[[#Headers],[Unknown]:[Heavy_SW]],MATCH(1,vp.data[[#This Row],[Unknown]:[Heavy_SW]],0))</f>
        <v>Light_SW</v>
      </c>
      <c r="AH655">
        <f>INDEX([3]!crudeBD.lkup[Number],MATCH(vp.data[[#This Row],[Crude_Breakdown]],crudeBD.lkup[Crude Breakdown],0))</f>
        <v>2</v>
      </c>
      <c r="AI655">
        <f>MONTH(vp.data[[#This Row],[SDate]])</f>
        <v>1</v>
      </c>
      <c r="AJ655" s="5">
        <f>(vp.data[[#This Row],[VP]]-INDEX(crudeBD.lkup[Mean_VP],MATCH(vp.data[[#This Row],[Crude_Breakdown]],crudeBD.lkup[Crude Breakdown],0)))^2</f>
        <v>14.060148181961861</v>
      </c>
      <c r="AK655" s="5">
        <f>(vp.data[[#This Row],[Dens]]-INDEX(crudeBD.lkup[Mean_Dens],MATCH(vp.data[[#This Row],[Crude_Breakdown]],crudeBD.lkup[Crude Breakdown],0)))^2</f>
        <v>9.0691217569706346</v>
      </c>
      <c r="AL655" s="5">
        <f>(vp.data[[#This Row],[Sulf]]-INDEX(crudeBD.lkup[Mean_Sulf],MATCH(vp.data[[#This Row],[Crude_Breakdown]],crudeBD.lkup[Crude Breakdown],0)))^2</f>
        <v>1.9147790304605045E-3</v>
      </c>
      <c r="AM655" s="4">
        <f>IF(AND(vp.data[[#This Row],[SDate]]&gt;=DATE(YEAR(vp.data[[#This Row],[SDate]]),5,1),vp.data[[#This Row],[SDate]]&lt;=DATE(YEAR(vp.data[[#This Row],[SDate]]),9,15)),1,0)</f>
        <v>0</v>
      </c>
      <c r="AN655" s="4">
        <f>IF(vp.data[[#This Row],[SDate]]&lt;DATE(2016,12,1),0,1)</f>
        <v>1</v>
      </c>
      <c r="AO655" s="4">
        <f>IFERROR(vp.data[[#This Row],[Sulf]]*vp.data[[#This Row],[Net Dens]],"")</f>
        <v>3165007.9698719997</v>
      </c>
      <c r="AP655">
        <f>IFERROR(vp.data[[#This Row],[Dens]]*vp.data[[#This Row],[VolumeM3]],"")</f>
        <v>11303599.892399998</v>
      </c>
      <c r="AQ655" s="15">
        <f>IFERROR(vp.data[[#This Row],[VP]]*vp.data[[#This Row],[VolumeM3]],"")</f>
        <v>1351715.7204</v>
      </c>
    </row>
    <row r="656" spans="1:43" x14ac:dyDescent="0.25">
      <c r="A656">
        <v>655</v>
      </c>
      <c r="B656" t="s">
        <v>62</v>
      </c>
      <c r="C656" t="s">
        <v>62</v>
      </c>
      <c r="D656" t="s">
        <v>83</v>
      </c>
      <c r="F656" s="1">
        <v>42759</v>
      </c>
      <c r="G656" s="2">
        <v>92.4</v>
      </c>
      <c r="H656" s="2"/>
      <c r="I656" s="2">
        <f t="array" ref="I65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656" s="2">
        <v>-0.2</v>
      </c>
      <c r="K656" s="2">
        <v>-8</v>
      </c>
      <c r="L656" s="2">
        <v>807.3</v>
      </c>
      <c r="M656" s="2">
        <f t="array" ref="M656">_xlfn.IFNA(IF(vp.data[[#This Row],[Dens Input]]="",INDEX([1]DATA!$O$3:$O$9826,MATCH(1,(vp.data[[#This Row],[Battery]]=[1]DATA!$L$3:$L$9826)*(EOMONTH(vp.data[[#This Row],[SDate]],-1)+1=[1]DATA!$G$3:$G$9826),0)),vp.data[[#This Row],[Dens Input]]),"")</f>
        <v>807.3</v>
      </c>
      <c r="N656" s="2">
        <f ca="1">INDEX(INDIRECT(_xlfn.CONCAT("weather.tbl[",N$1,"]")),MATCH(vp.data[[#This Row],[SDate]],weather.tbl[Date],0))</f>
        <v>-8.1666666666666661</v>
      </c>
      <c r="O656" s="2">
        <f ca="1">INDEX(INDIRECT(_xlfn.CONCAT("weather.tbl[",O$1,"]")),MATCH(vp.data[[#This Row],[SDate]],weather.tbl[Date],0))</f>
        <v>-4.473809523809523</v>
      </c>
      <c r="P656" s="2">
        <f ca="1">INDEX(INDIRECT(_xlfn.CONCAT("weather.tbl[",P$1,"]")),MATCH(vp.data[[#This Row],[SDate]],weather.tbl[Date],0))</f>
        <v>-8</v>
      </c>
      <c r="Q656" s="2">
        <f ca="1">INDEX(INDIRECT(_xlfn.CONCAT("weather.tbl[",Q$1,"]")),MATCH(vp.data[[#This Row],[SDate]],weather.tbl[Date],0))</f>
        <v>-8.9</v>
      </c>
      <c r="R656" s="2">
        <f ca="1">INDEX(INDIRECT(_xlfn.CONCAT("weather.tbl[",R$1,"]")),MATCH(vp.data[[#This Row],[SDate]],weather.tbl[Date],0))</f>
        <v>-8</v>
      </c>
      <c r="S656" s="2">
        <f ca="1">INDEX(INDIRECT(_xlfn.CONCAT("weather.tbl[",S$1,"]")),MATCH(vp.data[[#This Row],[SDate]],weather.tbl[Date],0))</f>
        <v>-8.9</v>
      </c>
      <c r="T656" s="2">
        <f ca="1">INDEX(INDIRECT(_xlfn.CONCAT("weather.tbl[",T$1,"]")),MATCH(vp.data[[#This Row],[SDate]],weather.tbl[Date],0))</f>
        <v>-6.2</v>
      </c>
      <c r="U656" s="2">
        <f ca="1">INDEX(INDIRECT(_xlfn.CONCAT("weather.tbl[",U$1,"]")),MATCH(vp.data[[#This Row],[SDate]],weather.tbl[Date],0))</f>
        <v>-9</v>
      </c>
      <c r="V656" s="2">
        <f t="array" ref="V6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656" t="s">
        <v>48</v>
      </c>
      <c r="X656">
        <f>IF(OR(vp.data[[#This Row],[Sulf]]="",vp.data[[#This Row],[Dens]]=""),1,0)</f>
        <v>0</v>
      </c>
      <c r="Y656">
        <f>IF(vp.data[[#This Row],[CrudeType]]="C5+",1,0)</f>
        <v>0</v>
      </c>
      <c r="Z656">
        <f>IF(AND(vp.data[[#This Row],[CrudeType]]="Crude",vp.data[[#This Row],[Dens]]&lt;=825,vp.data[[#This Row],[Sulf]]&gt;0.5,vp.data[[#This Row],[Unknown]]=0),1,0)</f>
        <v>0</v>
      </c>
      <c r="AA656">
        <f>IF(AND(vp.data[[#This Row],[CrudeType]]="Crude",vp.data[[#This Row],[Dens]]&lt;=825,vp.data[[#This Row],[Sulf]]&lt;=0.5,vp.data[[#This Row],[Unknown]]=0),1,0)</f>
        <v>1</v>
      </c>
      <c r="AB6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6">
        <f>IF(AND(vp.data[[#This Row],[CrudeType]]="Crude",vp.data[[#This Row],[Dens]]&gt;825,vp.data[[#This Row],[Dens]]&lt;=900,vp.data[[#This Row],[Sulf]]&lt;=0.5,vp.data[[#This Row],[Unknown]]=0),1,0)</f>
        <v>0</v>
      </c>
      <c r="AD656">
        <f>IF(AND(vp.data[[#This Row],[CrudeType]]="Crude",vp.data[[#This Row],[Dens]]&gt;865,vp.data[[#This Row],[Dens]]&lt;=900,vp.data[[#This Row],[Sulf]]&gt;2,vp.data[[#This Row],[Unknown]]=0),1,0)</f>
        <v>0</v>
      </c>
      <c r="AE656">
        <f>IF(AND(vp.data[[#This Row],[CrudeType]]="Crude",vp.data[[#This Row],[Dens]]&gt;900,vp.data[[#This Row],[Sulf]]&lt;=0.5,vp.data[[#This Row],[Unknown]]=0),1,0)</f>
        <v>0</v>
      </c>
      <c r="AF656">
        <f>IF(AND(vp.data[[#This Row],[CrudeType]]="Crude",vp.data[[#This Row],[Dens]]&gt;900,vp.data[[#This Row],[Sulf]]&lt;=0.5,vp.data[[#This Row],[Unknown]]=0),1,0)</f>
        <v>0</v>
      </c>
      <c r="AG656" t="str">
        <f>INDEX(vp.data[[#Headers],[Unknown]:[Heavy_SW]],MATCH(1,vp.data[[#This Row],[Unknown]:[Heavy_SW]],0))</f>
        <v>Light_SW</v>
      </c>
      <c r="AH656">
        <f>INDEX([3]!crudeBD.lkup[Number],MATCH(vp.data[[#This Row],[Crude_Breakdown]],crudeBD.lkup[Crude Breakdown],0))</f>
        <v>2</v>
      </c>
      <c r="AI656">
        <f>MONTH(vp.data[[#This Row],[SDate]])</f>
        <v>1</v>
      </c>
      <c r="AJ656" s="5">
        <f>(vp.data[[#This Row],[VP]]-INDEX(crudeBD.lkup[Mean_VP],MATCH(vp.data[[#This Row],[Crude_Breakdown]],crudeBD.lkup[Crude Breakdown],0)))^2</f>
        <v>2.2594174993008635E-2</v>
      </c>
      <c r="AK656" s="5">
        <f>(vp.data[[#This Row],[Dens]]-INDEX(crudeBD.lkup[Mean_Dens],MATCH(vp.data[[#This Row],[Crude_Breakdown]],crudeBD.lkup[Crude Breakdown],0)))^2</f>
        <v>1.0231287256124415</v>
      </c>
      <c r="AL656" s="5">
        <f>(vp.data[[#This Row],[Sulf]]-INDEX(crudeBD.lkup[Mean_Sulf],MATCH(vp.data[[#This Row],[Crude_Breakdown]],crudeBD.lkup[Crude Breakdown],0)))^2</f>
        <v>4.3879776367322437E-3</v>
      </c>
      <c r="AM656" s="4">
        <f>IF(AND(vp.data[[#This Row],[SDate]]&gt;=DATE(YEAR(vp.data[[#This Row],[SDate]]),5,1),vp.data[[#This Row],[SDate]]&lt;=DATE(YEAR(vp.data[[#This Row],[SDate]]),9,15)),1,0)</f>
        <v>0</v>
      </c>
      <c r="AN656" s="4">
        <f>IF(vp.data[[#This Row],[SDate]]&lt;DATE(2016,12,1),0,1)</f>
        <v>1</v>
      </c>
      <c r="AO656" s="4">
        <f>IFERROR(vp.data[[#This Row],[Sulf]]*vp.data[[#This Row],[Net Dens]],"")</f>
        <v>1217779.7418540001</v>
      </c>
      <c r="AP656">
        <f>IFERROR(vp.data[[#This Row],[Dens]]*vp.data[[#This Row],[VolumeM3]],"")</f>
        <v>7163410.2461999999</v>
      </c>
      <c r="AQ656" s="15">
        <f>IFERROR(vp.data[[#This Row],[VP]]*vp.data[[#This Row],[VolumeM3]],"")</f>
        <v>819892.36560000002</v>
      </c>
    </row>
    <row r="657" spans="1:43" x14ac:dyDescent="0.25">
      <c r="A657">
        <v>656</v>
      </c>
      <c r="B657" t="s">
        <v>62</v>
      </c>
      <c r="C657" t="s">
        <v>62</v>
      </c>
      <c r="D657" t="s">
        <v>93</v>
      </c>
      <c r="F657" s="1">
        <v>42759</v>
      </c>
      <c r="G657" s="2">
        <v>112.7</v>
      </c>
      <c r="H657" s="2"/>
      <c r="I657" s="2">
        <f t="array" ref="I657">_xlfn.IFNA(IF(vp.data[[#This Row],[Sulf Input]]="",INDEX([1]DATA!$Q$3:$Q$9826,MATCH(1,(vp.data[[#This Row],[Battery]]=[1]DATA!$L$3:$L$9826)*(EOMONTH(vp.data[[#This Row],[SDate]],-1)+1=[1]DATA!$G$3:$G$9826),0)),vp.data[[#This Row],[Sulf Input]]),"")</f>
        <v>0.43</v>
      </c>
      <c r="J657" s="2">
        <v>-2.6</v>
      </c>
      <c r="K657" s="2">
        <v>-9</v>
      </c>
      <c r="L657" s="2">
        <v>810.2</v>
      </c>
      <c r="M657" s="2">
        <f t="array" ref="M657">_xlfn.IFNA(IF(vp.data[[#This Row],[Dens Input]]="",INDEX([1]DATA!$O$3:$O$9826,MATCH(1,(vp.data[[#This Row],[Battery]]=[1]DATA!$L$3:$L$9826)*(EOMONTH(vp.data[[#This Row],[SDate]],-1)+1=[1]DATA!$G$3:$G$9826),0)),vp.data[[#This Row],[Dens Input]]),"")</f>
        <v>810.2</v>
      </c>
      <c r="N657" s="2">
        <f ca="1">INDEX(INDIRECT(_xlfn.CONCAT("weather.tbl[",N$1,"]")),MATCH(vp.data[[#This Row],[SDate]],weather.tbl[Date],0))</f>
        <v>-8.1666666666666661</v>
      </c>
      <c r="O657" s="2">
        <f ca="1">INDEX(INDIRECT(_xlfn.CONCAT("weather.tbl[",O$1,"]")),MATCH(vp.data[[#This Row],[SDate]],weather.tbl[Date],0))</f>
        <v>-4.473809523809523</v>
      </c>
      <c r="P657" s="2">
        <f ca="1">INDEX(INDIRECT(_xlfn.CONCAT("weather.tbl[",P$1,"]")),MATCH(vp.data[[#This Row],[SDate]],weather.tbl[Date],0))</f>
        <v>-8</v>
      </c>
      <c r="Q657" s="2">
        <f ca="1">INDEX(INDIRECT(_xlfn.CONCAT("weather.tbl[",Q$1,"]")),MATCH(vp.data[[#This Row],[SDate]],weather.tbl[Date],0))</f>
        <v>-8.9</v>
      </c>
      <c r="R657" s="2">
        <f ca="1">INDEX(INDIRECT(_xlfn.CONCAT("weather.tbl[",R$1,"]")),MATCH(vp.data[[#This Row],[SDate]],weather.tbl[Date],0))</f>
        <v>-8</v>
      </c>
      <c r="S657" s="2">
        <f ca="1">INDEX(INDIRECT(_xlfn.CONCAT("weather.tbl[",S$1,"]")),MATCH(vp.data[[#This Row],[SDate]],weather.tbl[Date],0))</f>
        <v>-8.9</v>
      </c>
      <c r="T657" s="2">
        <f ca="1">INDEX(INDIRECT(_xlfn.CONCAT("weather.tbl[",T$1,"]")),MATCH(vp.data[[#This Row],[SDate]],weather.tbl[Date],0))</f>
        <v>-6.2</v>
      </c>
      <c r="U657" s="2">
        <f ca="1">INDEX(INDIRECT(_xlfn.CONCAT("weather.tbl[",U$1,"]")),MATCH(vp.data[[#This Row],[SDate]],weather.tbl[Date],0))</f>
        <v>-9</v>
      </c>
      <c r="V657" s="2">
        <f t="array" ref="V6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505.60500000000002</v>
      </c>
      <c r="W657" t="s">
        <v>48</v>
      </c>
      <c r="X657">
        <f>IF(OR(vp.data[[#This Row],[Sulf]]="",vp.data[[#This Row],[Dens]]=""),1,0)</f>
        <v>0</v>
      </c>
      <c r="Y657">
        <f>IF(vp.data[[#This Row],[CrudeType]]="C5+",1,0)</f>
        <v>0</v>
      </c>
      <c r="Z657">
        <f>IF(AND(vp.data[[#This Row],[CrudeType]]="Crude",vp.data[[#This Row],[Dens]]&lt;=825,vp.data[[#This Row],[Sulf]]&gt;0.5,vp.data[[#This Row],[Unknown]]=0),1,0)</f>
        <v>0</v>
      </c>
      <c r="AA657">
        <f>IF(AND(vp.data[[#This Row],[CrudeType]]="Crude",vp.data[[#This Row],[Dens]]&lt;=825,vp.data[[#This Row],[Sulf]]&lt;=0.5,vp.data[[#This Row],[Unknown]]=0),1,0)</f>
        <v>1</v>
      </c>
      <c r="AB6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7">
        <f>IF(AND(vp.data[[#This Row],[CrudeType]]="Crude",vp.data[[#This Row],[Dens]]&gt;825,vp.data[[#This Row],[Dens]]&lt;=900,vp.data[[#This Row],[Sulf]]&lt;=0.5,vp.data[[#This Row],[Unknown]]=0),1,0)</f>
        <v>0</v>
      </c>
      <c r="AD657">
        <f>IF(AND(vp.data[[#This Row],[CrudeType]]="Crude",vp.data[[#This Row],[Dens]]&gt;865,vp.data[[#This Row],[Dens]]&lt;=900,vp.data[[#This Row],[Sulf]]&gt;2,vp.data[[#This Row],[Unknown]]=0),1,0)</f>
        <v>0</v>
      </c>
      <c r="AE657">
        <f>IF(AND(vp.data[[#This Row],[CrudeType]]="Crude",vp.data[[#This Row],[Dens]]&gt;900,vp.data[[#This Row],[Sulf]]&lt;=0.5,vp.data[[#This Row],[Unknown]]=0),1,0)</f>
        <v>0</v>
      </c>
      <c r="AF657">
        <f>IF(AND(vp.data[[#This Row],[CrudeType]]="Crude",vp.data[[#This Row],[Dens]]&gt;900,vp.data[[#This Row],[Sulf]]&lt;=0.5,vp.data[[#This Row],[Unknown]]=0),1,0)</f>
        <v>0</v>
      </c>
      <c r="AG657" t="str">
        <f>INDEX(vp.data[[#Headers],[Unknown]:[Heavy_SW]],MATCH(1,vp.data[[#This Row],[Unknown]:[Heavy_SW]],0))</f>
        <v>Light_SW</v>
      </c>
      <c r="AH657">
        <f>INDEX([3]!crudeBD.lkup[Number],MATCH(vp.data[[#This Row],[Crude_Breakdown]],crudeBD.lkup[Crude Breakdown],0))</f>
        <v>2</v>
      </c>
      <c r="AI657">
        <f>MONTH(vp.data[[#This Row],[SDate]])</f>
        <v>1</v>
      </c>
      <c r="AJ657" s="5">
        <f>(vp.data[[#This Row],[VP]]-INDEX(crudeBD.lkup[Mean_VP],MATCH(vp.data[[#This Row],[Crude_Breakdown]],crudeBD.lkup[Crude Breakdown],0)))^2</f>
        <v>406.00986246767724</v>
      </c>
      <c r="AK657" s="5">
        <f>(vp.data[[#This Row],[Dens]]-INDEX(crudeBD.lkup[Mean_Dens],MATCH(vp.data[[#This Row],[Crude_Breakdown]],crudeBD.lkup[Crude Breakdown],0)))^2</f>
        <v>3.5664388301434045</v>
      </c>
      <c r="AL657" s="5">
        <f>(vp.data[[#This Row],[Sulf]]-INDEX(crudeBD.lkup[Mean_Sulf],MATCH(vp.data[[#This Row],[Crude_Breakdown]],crudeBD.lkup[Crude Breakdown],0)))^2</f>
        <v>3.7542235476453578E-2</v>
      </c>
      <c r="AM657" s="4">
        <f>IF(AND(vp.data[[#This Row],[SDate]]&gt;=DATE(YEAR(vp.data[[#This Row],[SDate]]),5,1),vp.data[[#This Row],[SDate]]&lt;=DATE(YEAR(vp.data[[#This Row],[SDate]]),9,15)),1,0)</f>
        <v>0</v>
      </c>
      <c r="AN657" s="4">
        <f>IF(vp.data[[#This Row],[SDate]]&lt;DATE(2016,12,1),0,1)</f>
        <v>1</v>
      </c>
      <c r="AO657" s="4">
        <f>IFERROR(vp.data[[#This Row],[Sulf]]*vp.data[[#This Row],[Net Dens]],"")</f>
        <v>176145.70353</v>
      </c>
      <c r="AP657">
        <f>IFERROR(vp.data[[#This Row],[Dens]]*vp.data[[#This Row],[VolumeM3]],"")</f>
        <v>409641.17100000003</v>
      </c>
      <c r="AQ657" s="15">
        <f>IFERROR(vp.data[[#This Row],[VP]]*vp.data[[#This Row],[VolumeM3]],"")</f>
        <v>56981.683500000006</v>
      </c>
    </row>
    <row r="658" spans="1:43" x14ac:dyDescent="0.25">
      <c r="A658">
        <v>657</v>
      </c>
      <c r="B658" t="s">
        <v>62</v>
      </c>
      <c r="C658" t="s">
        <v>62</v>
      </c>
      <c r="D658" t="s">
        <v>63</v>
      </c>
      <c r="F658" s="1">
        <v>42759</v>
      </c>
      <c r="G658" s="2">
        <v>107.4</v>
      </c>
      <c r="H658" s="2"/>
      <c r="I658" s="2">
        <f t="array" ref="I658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658" s="2">
        <v>8.6</v>
      </c>
      <c r="K658" s="2">
        <v>-8</v>
      </c>
      <c r="L658" s="2">
        <v>823.8</v>
      </c>
      <c r="M658" s="2">
        <f t="array" ref="M658">_xlfn.IFNA(IF(vp.data[[#This Row],[Dens Input]]="",INDEX([1]DATA!$O$3:$O$9826,MATCH(1,(vp.data[[#This Row],[Battery]]=[1]DATA!$L$3:$L$9826)*(EOMONTH(vp.data[[#This Row],[SDate]],-1)+1=[1]DATA!$G$3:$G$9826),0)),vp.data[[#This Row],[Dens Input]]),"")</f>
        <v>823.8</v>
      </c>
      <c r="N658" s="2">
        <f ca="1">INDEX(INDIRECT(_xlfn.CONCAT("weather.tbl[",N$1,"]")),MATCH(vp.data[[#This Row],[SDate]],weather.tbl[Date],0))</f>
        <v>-8.1666666666666661</v>
      </c>
      <c r="O658" s="2">
        <f ca="1">INDEX(INDIRECT(_xlfn.CONCAT("weather.tbl[",O$1,"]")),MATCH(vp.data[[#This Row],[SDate]],weather.tbl[Date],0))</f>
        <v>-4.473809523809523</v>
      </c>
      <c r="P658" s="2">
        <f ca="1">INDEX(INDIRECT(_xlfn.CONCAT("weather.tbl[",P$1,"]")),MATCH(vp.data[[#This Row],[SDate]],weather.tbl[Date],0))</f>
        <v>-8</v>
      </c>
      <c r="Q658" s="2">
        <f ca="1">INDEX(INDIRECT(_xlfn.CONCAT("weather.tbl[",Q$1,"]")),MATCH(vp.data[[#This Row],[SDate]],weather.tbl[Date],0))</f>
        <v>-8.9</v>
      </c>
      <c r="R658" s="2">
        <f ca="1">INDEX(INDIRECT(_xlfn.CONCAT("weather.tbl[",R$1,"]")),MATCH(vp.data[[#This Row],[SDate]],weather.tbl[Date],0))</f>
        <v>-8</v>
      </c>
      <c r="S658" s="2">
        <f ca="1">INDEX(INDIRECT(_xlfn.CONCAT("weather.tbl[",S$1,"]")),MATCH(vp.data[[#This Row],[SDate]],weather.tbl[Date],0))</f>
        <v>-8.9</v>
      </c>
      <c r="T658" s="2">
        <f ca="1">INDEX(INDIRECT(_xlfn.CONCAT("weather.tbl[",T$1,"]")),MATCH(vp.data[[#This Row],[SDate]],weather.tbl[Date],0))</f>
        <v>-6.2</v>
      </c>
      <c r="U658" s="2">
        <f ca="1">INDEX(INDIRECT(_xlfn.CONCAT("weather.tbl[",U$1,"]")),MATCH(vp.data[[#This Row],[SDate]],weather.tbl[Date],0))</f>
        <v>-9</v>
      </c>
      <c r="V658" s="2">
        <f t="array" ref="V6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658" t="s">
        <v>48</v>
      </c>
      <c r="X658">
        <f>IF(OR(vp.data[[#This Row],[Sulf]]="",vp.data[[#This Row],[Dens]]=""),1,0)</f>
        <v>0</v>
      </c>
      <c r="Y658">
        <f>IF(vp.data[[#This Row],[CrudeType]]="C5+",1,0)</f>
        <v>0</v>
      </c>
      <c r="Z658">
        <f>IF(AND(vp.data[[#This Row],[CrudeType]]="Crude",vp.data[[#This Row],[Dens]]&lt;=825,vp.data[[#This Row],[Sulf]]&gt;0.5,vp.data[[#This Row],[Unknown]]=0),1,0)</f>
        <v>1</v>
      </c>
      <c r="AA658">
        <f>IF(AND(vp.data[[#This Row],[CrudeType]]="Crude",vp.data[[#This Row],[Dens]]&lt;=825,vp.data[[#This Row],[Sulf]]&lt;=0.5,vp.data[[#This Row],[Unknown]]=0),1,0)</f>
        <v>0</v>
      </c>
      <c r="AB6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8">
        <f>IF(AND(vp.data[[#This Row],[CrudeType]]="Crude",vp.data[[#This Row],[Dens]]&gt;825,vp.data[[#This Row],[Dens]]&lt;=900,vp.data[[#This Row],[Sulf]]&lt;=0.5,vp.data[[#This Row],[Unknown]]=0),1,0)</f>
        <v>0</v>
      </c>
      <c r="AD658">
        <f>IF(AND(vp.data[[#This Row],[CrudeType]]="Crude",vp.data[[#This Row],[Dens]]&gt;865,vp.data[[#This Row],[Dens]]&lt;=900,vp.data[[#This Row],[Sulf]]&gt;2,vp.data[[#This Row],[Unknown]]=0),1,0)</f>
        <v>0</v>
      </c>
      <c r="AE658">
        <f>IF(AND(vp.data[[#This Row],[CrudeType]]="Crude",vp.data[[#This Row],[Dens]]&gt;900,vp.data[[#This Row],[Sulf]]&lt;=0.5,vp.data[[#This Row],[Unknown]]=0),1,0)</f>
        <v>0</v>
      </c>
      <c r="AF658">
        <f>IF(AND(vp.data[[#This Row],[CrudeType]]="Crude",vp.data[[#This Row],[Dens]]&gt;900,vp.data[[#This Row],[Sulf]]&lt;=0.5,vp.data[[#This Row],[Unknown]]=0),1,0)</f>
        <v>0</v>
      </c>
      <c r="AG658" t="str">
        <f>INDEX(vp.data[[#Headers],[Unknown]:[Heavy_SW]],MATCH(1,vp.data[[#This Row],[Unknown]:[Heavy_SW]],0))</f>
        <v>Light_LSB</v>
      </c>
      <c r="AH658">
        <f>INDEX([3]!crudeBD.lkup[Number],MATCH(vp.data[[#This Row],[Crude_Breakdown]],crudeBD.lkup[Crude Breakdown],0))</f>
        <v>1</v>
      </c>
      <c r="AI658">
        <f>MONTH(vp.data[[#This Row],[SDate]])</f>
        <v>1</v>
      </c>
      <c r="AJ658" s="5">
        <f>(vp.data[[#This Row],[VP]]-INDEX(crudeBD.lkup[Mean_VP],MATCH(vp.data[[#This Row],[Crude_Breakdown]],crudeBD.lkup[Crude Breakdown],0)))^2</f>
        <v>251.34343207567142</v>
      </c>
      <c r="AK658" s="5">
        <f>(vp.data[[#This Row],[Dens]]-INDEX(crudeBD.lkup[Mean_Dens],MATCH(vp.data[[#This Row],[Crude_Breakdown]],crudeBD.lkup[Crude Breakdown],0)))^2</f>
        <v>27.912521774663034</v>
      </c>
      <c r="AL658" s="5">
        <f>(vp.data[[#This Row],[Sulf]]-INDEX(crudeBD.lkup[Mean_Sulf],MATCH(vp.data[[#This Row],[Crude_Breakdown]],crudeBD.lkup[Crude Breakdown],0)))^2</f>
        <v>0.31028111925050628</v>
      </c>
      <c r="AM658" s="4">
        <f>IF(AND(vp.data[[#This Row],[SDate]]&gt;=DATE(YEAR(vp.data[[#This Row],[SDate]]),5,1),vp.data[[#This Row],[SDate]]&lt;=DATE(YEAR(vp.data[[#This Row],[SDate]]),9,15)),1,0)</f>
        <v>0</v>
      </c>
      <c r="AN658" s="4">
        <f>IF(vp.data[[#This Row],[SDate]]&lt;DATE(2016,12,1),0,1)</f>
        <v>1</v>
      </c>
      <c r="AO658" s="4">
        <f>IFERROR(vp.data[[#This Row],[Sulf]]*vp.data[[#This Row],[Net Dens]],"")</f>
        <v>5966579.888448</v>
      </c>
      <c r="AP658">
        <f>IFERROR(vp.data[[#This Row],[Dens]]*vp.data[[#This Row],[VolumeM3]],"")</f>
        <v>4031472.8976000003</v>
      </c>
      <c r="AQ658" s="15">
        <f>IFERROR(vp.data[[#This Row],[VP]]*vp.data[[#This Row],[VolumeM3]],"")</f>
        <v>525588.96480000007</v>
      </c>
    </row>
    <row r="659" spans="1:43" x14ac:dyDescent="0.25">
      <c r="A659">
        <v>658</v>
      </c>
      <c r="B659" t="s">
        <v>53</v>
      </c>
      <c r="C659" t="s">
        <v>53</v>
      </c>
      <c r="D659" t="s">
        <v>54</v>
      </c>
      <c r="E659" t="s">
        <v>55</v>
      </c>
      <c r="F659" s="1">
        <v>42760</v>
      </c>
      <c r="G659" s="2">
        <v>101.3</v>
      </c>
      <c r="H659" s="2"/>
      <c r="I659" s="2">
        <f t="array" ref="I659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659" s="2">
        <v>5.8</v>
      </c>
      <c r="K659" s="2">
        <v>-10</v>
      </c>
      <c r="L659" s="2">
        <v>818</v>
      </c>
      <c r="M659" s="2">
        <f t="array" ref="M659">_xlfn.IFNA(IF(vp.data[[#This Row],[Dens Input]]="",INDEX([1]DATA!$O$3:$O$9826,MATCH(1,(vp.data[[#This Row],[Battery]]=[1]DATA!$L$3:$L$9826)*(EOMONTH(vp.data[[#This Row],[SDate]],-1)+1=[1]DATA!$G$3:$G$9826),0)),vp.data[[#This Row],[Dens Input]]),"")</f>
        <v>818</v>
      </c>
      <c r="N659" s="2">
        <f ca="1">INDEX(INDIRECT(_xlfn.CONCAT("weather.tbl[",N$1,"]")),MATCH(vp.data[[#This Row],[SDate]],weather.tbl[Date],0))</f>
        <v>-11.050000000000002</v>
      </c>
      <c r="O659" s="2">
        <f ca="1">INDEX(INDIRECT(_xlfn.CONCAT("weather.tbl[",O$1,"]")),MATCH(vp.data[[#This Row],[SDate]],weather.tbl[Date],0))</f>
        <v>-6.0166666666666666</v>
      </c>
      <c r="P659" s="2">
        <f ca="1">INDEX(INDIRECT(_xlfn.CONCAT("weather.tbl[",P$1,"]")),MATCH(vp.data[[#This Row],[SDate]],weather.tbl[Date],0))</f>
        <v>-12.3</v>
      </c>
      <c r="Q659" s="2">
        <f ca="1">INDEX(INDIRECT(_xlfn.CONCAT("weather.tbl[",Q$1,"]")),MATCH(vp.data[[#This Row],[SDate]],weather.tbl[Date],0))</f>
        <v>-12.8</v>
      </c>
      <c r="R659" s="2">
        <f ca="1">INDEX(INDIRECT(_xlfn.CONCAT("weather.tbl[",R$1,"]")),MATCH(vp.data[[#This Row],[SDate]],weather.tbl[Date],0))</f>
        <v>-8.8000000000000007</v>
      </c>
      <c r="S659" s="2">
        <f ca="1">INDEX(INDIRECT(_xlfn.CONCAT("weather.tbl[",S$1,"]")),MATCH(vp.data[[#This Row],[SDate]],weather.tbl[Date],0))</f>
        <v>-11.2</v>
      </c>
      <c r="T659" s="2">
        <f ca="1">INDEX(INDIRECT(_xlfn.CONCAT("weather.tbl[",T$1,"]")),MATCH(vp.data[[#This Row],[SDate]],weather.tbl[Date],0))</f>
        <v>-10.199999999999999</v>
      </c>
      <c r="U659" s="2">
        <f ca="1">INDEX(INDIRECT(_xlfn.CONCAT("weather.tbl[",U$1,"]")),MATCH(vp.data[[#This Row],[SDate]],weather.tbl[Date],0))</f>
        <v>-11</v>
      </c>
      <c r="V659" s="2">
        <f t="array" ref="V6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659" t="s">
        <v>48</v>
      </c>
      <c r="X659">
        <f>IF(OR(vp.data[[#This Row],[Sulf]]="",vp.data[[#This Row],[Dens]]=""),1,0)</f>
        <v>0</v>
      </c>
      <c r="Y659">
        <f>IF(vp.data[[#This Row],[CrudeType]]="C5+",1,0)</f>
        <v>0</v>
      </c>
      <c r="Z659">
        <f>IF(AND(vp.data[[#This Row],[CrudeType]]="Crude",vp.data[[#This Row],[Dens]]&lt;=825,vp.data[[#This Row],[Sulf]]&gt;0.5,vp.data[[#This Row],[Unknown]]=0),1,0)</f>
        <v>1</v>
      </c>
      <c r="AA659">
        <f>IF(AND(vp.data[[#This Row],[CrudeType]]="Crude",vp.data[[#This Row],[Dens]]&lt;=825,vp.data[[#This Row],[Sulf]]&lt;=0.5,vp.data[[#This Row],[Unknown]]=0),1,0)</f>
        <v>0</v>
      </c>
      <c r="AB6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59">
        <f>IF(AND(vp.data[[#This Row],[CrudeType]]="Crude",vp.data[[#This Row],[Dens]]&gt;825,vp.data[[#This Row],[Dens]]&lt;=900,vp.data[[#This Row],[Sulf]]&lt;=0.5,vp.data[[#This Row],[Unknown]]=0),1,0)</f>
        <v>0</v>
      </c>
      <c r="AD659">
        <f>IF(AND(vp.data[[#This Row],[CrudeType]]="Crude",vp.data[[#This Row],[Dens]]&gt;865,vp.data[[#This Row],[Dens]]&lt;=900,vp.data[[#This Row],[Sulf]]&gt;2,vp.data[[#This Row],[Unknown]]=0),1,0)</f>
        <v>0</v>
      </c>
      <c r="AE659">
        <f>IF(AND(vp.data[[#This Row],[CrudeType]]="Crude",vp.data[[#This Row],[Dens]]&gt;900,vp.data[[#This Row],[Sulf]]&lt;=0.5,vp.data[[#This Row],[Unknown]]=0),1,0)</f>
        <v>0</v>
      </c>
      <c r="AF659">
        <f>IF(AND(vp.data[[#This Row],[CrudeType]]="Crude",vp.data[[#This Row],[Dens]]&gt;900,vp.data[[#This Row],[Sulf]]&lt;=0.5,vp.data[[#This Row],[Unknown]]=0),1,0)</f>
        <v>0</v>
      </c>
      <c r="AG659" t="str">
        <f>INDEX(vp.data[[#Headers],[Unknown]:[Heavy_SW]],MATCH(1,vp.data[[#This Row],[Unknown]:[Heavy_SW]],0))</f>
        <v>Light_LSB</v>
      </c>
      <c r="AH659">
        <f>INDEX([3]!crudeBD.lkup[Number],MATCH(vp.data[[#This Row],[Crude_Breakdown]],crudeBD.lkup[Crude Breakdown],0))</f>
        <v>1</v>
      </c>
      <c r="AI659">
        <f>MONTH(vp.data[[#This Row],[SDate]])</f>
        <v>1</v>
      </c>
      <c r="AJ659" s="5">
        <f>(vp.data[[#This Row],[VP]]-INDEX(crudeBD.lkup[Mean_VP],MATCH(vp.data[[#This Row],[Crude_Breakdown]],crudeBD.lkup[Crude Breakdown],0)))^2</f>
        <v>95.136895993197342</v>
      </c>
      <c r="AK659" s="5">
        <f>(vp.data[[#This Row],[Dens]]-INDEX(crudeBD.lkup[Mean_Dens],MATCH(vp.data[[#This Row],[Crude_Breakdown]],crudeBD.lkup[Crude Breakdown],0)))^2</f>
        <v>0.2670509842818638</v>
      </c>
      <c r="AL659" s="5">
        <f>(vp.data[[#This Row],[Sulf]]-INDEX(crudeBD.lkup[Mean_Sulf],MATCH(vp.data[[#This Row],[Crude_Breakdown]],crudeBD.lkup[Crude Breakdown],0)))^2</f>
        <v>0.38072457904432083</v>
      </c>
      <c r="AM659" s="4">
        <f>IF(AND(vp.data[[#This Row],[SDate]]&gt;=DATE(YEAR(vp.data[[#This Row],[SDate]]),5,1),vp.data[[#This Row],[SDate]]&lt;=DATE(YEAR(vp.data[[#This Row],[SDate]]),9,15)),1,0)</f>
        <v>0</v>
      </c>
      <c r="AN659" s="4">
        <f>IF(vp.data[[#This Row],[SDate]]&lt;DATE(2016,12,1),0,1)</f>
        <v>1</v>
      </c>
      <c r="AO659" s="4">
        <f>IFERROR(vp.data[[#This Row],[Sulf]]*vp.data[[#This Row],[Net Dens]],"")</f>
        <v>64015647.258640006</v>
      </c>
      <c r="AP659">
        <f>IFERROR(vp.data[[#This Row],[Dens]]*vp.data[[#This Row],[VolumeM3]],"")</f>
        <v>41568602.116000004</v>
      </c>
      <c r="AQ659" s="15">
        <f>IFERROR(vp.data[[#This Row],[VP]]*vp.data[[#This Row],[VolumeM3]],"")</f>
        <v>5147798.7706000004</v>
      </c>
    </row>
    <row r="660" spans="1:43" x14ac:dyDescent="0.25">
      <c r="A660">
        <v>659</v>
      </c>
      <c r="B660" t="s">
        <v>60</v>
      </c>
      <c r="C660" t="s">
        <v>60</v>
      </c>
      <c r="D660" t="s">
        <v>61</v>
      </c>
      <c r="E660" t="s">
        <v>73</v>
      </c>
      <c r="F660" s="1">
        <v>42760</v>
      </c>
      <c r="G660" s="2">
        <v>75.8</v>
      </c>
      <c r="H660" s="2"/>
      <c r="I660" s="2">
        <f t="array" ref="I660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660" s="2">
        <v>3.9</v>
      </c>
      <c r="K660" s="2">
        <v>-12</v>
      </c>
      <c r="L660" s="2">
        <v>847.5</v>
      </c>
      <c r="M660" s="2">
        <f t="array" ref="M660">_xlfn.IFNA(IF(vp.data[[#This Row],[Dens Input]]="",INDEX([1]DATA!$O$3:$O$9826,MATCH(1,(vp.data[[#This Row],[Battery]]=[1]DATA!$L$3:$L$9826)*(EOMONTH(vp.data[[#This Row],[SDate]],-1)+1=[1]DATA!$G$3:$G$9826),0)),vp.data[[#This Row],[Dens Input]]),"")</f>
        <v>847.5</v>
      </c>
      <c r="N660" s="2">
        <f ca="1">INDEX(INDIRECT(_xlfn.CONCAT("weather.tbl[",N$1,"]")),MATCH(vp.data[[#This Row],[SDate]],weather.tbl[Date],0))</f>
        <v>-11.050000000000002</v>
      </c>
      <c r="O660" s="2">
        <f ca="1">INDEX(INDIRECT(_xlfn.CONCAT("weather.tbl[",O$1,"]")),MATCH(vp.data[[#This Row],[SDate]],weather.tbl[Date],0))</f>
        <v>-6.0166666666666666</v>
      </c>
      <c r="P660" s="2">
        <f ca="1">INDEX(INDIRECT(_xlfn.CONCAT("weather.tbl[",P$1,"]")),MATCH(vp.data[[#This Row],[SDate]],weather.tbl[Date],0))</f>
        <v>-12.3</v>
      </c>
      <c r="Q660" s="2">
        <f ca="1">INDEX(INDIRECT(_xlfn.CONCAT("weather.tbl[",Q$1,"]")),MATCH(vp.data[[#This Row],[SDate]],weather.tbl[Date],0))</f>
        <v>-12.8</v>
      </c>
      <c r="R660" s="2">
        <f ca="1">INDEX(INDIRECT(_xlfn.CONCAT("weather.tbl[",R$1,"]")),MATCH(vp.data[[#This Row],[SDate]],weather.tbl[Date],0))</f>
        <v>-8.8000000000000007</v>
      </c>
      <c r="S660" s="2">
        <f ca="1">INDEX(INDIRECT(_xlfn.CONCAT("weather.tbl[",S$1,"]")),MATCH(vp.data[[#This Row],[SDate]],weather.tbl[Date],0))</f>
        <v>-11.2</v>
      </c>
      <c r="T660" s="2">
        <f ca="1">INDEX(INDIRECT(_xlfn.CONCAT("weather.tbl[",T$1,"]")),MATCH(vp.data[[#This Row],[SDate]],weather.tbl[Date],0))</f>
        <v>-10.199999999999999</v>
      </c>
      <c r="U660" s="2">
        <f ca="1">INDEX(INDIRECT(_xlfn.CONCAT("weather.tbl[",U$1,"]")),MATCH(vp.data[[#This Row],[SDate]],weather.tbl[Date],0))</f>
        <v>-11</v>
      </c>
      <c r="V660" s="2">
        <f t="array" ref="V6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60" t="s">
        <v>48</v>
      </c>
      <c r="X660">
        <f>IF(OR(vp.data[[#This Row],[Sulf]]="",vp.data[[#This Row],[Dens]]=""),1,0)</f>
        <v>0</v>
      </c>
      <c r="Y660">
        <f>IF(vp.data[[#This Row],[CrudeType]]="C5+",1,0)</f>
        <v>0</v>
      </c>
      <c r="Z660">
        <f>IF(AND(vp.data[[#This Row],[CrudeType]]="Crude",vp.data[[#This Row],[Dens]]&lt;=825,vp.data[[#This Row],[Sulf]]&gt;0.5,vp.data[[#This Row],[Unknown]]=0),1,0)</f>
        <v>0</v>
      </c>
      <c r="AA660">
        <f>IF(AND(vp.data[[#This Row],[CrudeType]]="Crude",vp.data[[#This Row],[Dens]]&lt;=825,vp.data[[#This Row],[Sulf]]&lt;=0.5,vp.data[[#This Row],[Unknown]]=0),1,0)</f>
        <v>0</v>
      </c>
      <c r="AB6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0">
        <f>IF(AND(vp.data[[#This Row],[CrudeType]]="Crude",vp.data[[#This Row],[Dens]]&gt;825,vp.data[[#This Row],[Dens]]&lt;=900,vp.data[[#This Row],[Sulf]]&lt;=0.5,vp.data[[#This Row],[Unknown]]=0),1,0)</f>
        <v>0</v>
      </c>
      <c r="AD660">
        <f>IF(AND(vp.data[[#This Row],[CrudeType]]="Crude",vp.data[[#This Row],[Dens]]&gt;865,vp.data[[#This Row],[Dens]]&lt;=900,vp.data[[#This Row],[Sulf]]&gt;2,vp.data[[#This Row],[Unknown]]=0),1,0)</f>
        <v>0</v>
      </c>
      <c r="AE660">
        <f>IF(AND(vp.data[[#This Row],[CrudeType]]="Crude",vp.data[[#This Row],[Dens]]&gt;900,vp.data[[#This Row],[Sulf]]&lt;=0.5,vp.data[[#This Row],[Unknown]]=0),1,0)</f>
        <v>0</v>
      </c>
      <c r="AF660">
        <f>IF(AND(vp.data[[#This Row],[CrudeType]]="Crude",vp.data[[#This Row],[Dens]]&gt;900,vp.data[[#This Row],[Sulf]]&lt;=0.5,vp.data[[#This Row],[Unknown]]=0),1,0)</f>
        <v>0</v>
      </c>
      <c r="AG660" t="str">
        <f>INDEX(vp.data[[#Headers],[Unknown]:[Heavy_SW]],MATCH(1,vp.data[[#This Row],[Unknown]:[Heavy_SW]],0))</f>
        <v>Medium_LSB</v>
      </c>
      <c r="AH660">
        <f>INDEX([3]!crudeBD.lkup[Number],MATCH(vp.data[[#This Row],[Crude_Breakdown]],crudeBD.lkup[Crude Breakdown],0))</f>
        <v>3</v>
      </c>
      <c r="AI660">
        <f>MONTH(vp.data[[#This Row],[SDate]])</f>
        <v>1</v>
      </c>
      <c r="AJ660" s="5">
        <f>(vp.data[[#This Row],[VP]]-INDEX(crudeBD.lkup[Mean_VP],MATCH(vp.data[[#This Row],[Crude_Breakdown]],crudeBD.lkup[Crude Breakdown],0)))^2</f>
        <v>23.422469107314743</v>
      </c>
      <c r="AK660" s="5">
        <f>(vp.data[[#This Row],[Dens]]-INDEX(crudeBD.lkup[Mean_Dens],MATCH(vp.data[[#This Row],[Crude_Breakdown]],crudeBD.lkup[Crude Breakdown],0)))^2</f>
        <v>12.816400000003549</v>
      </c>
      <c r="AL660" s="5">
        <f>(vp.data[[#This Row],[Sulf]]-INDEX(crudeBD.lkup[Mean_Sulf],MATCH(vp.data[[#This Row],[Crude_Breakdown]],crudeBD.lkup[Crude Breakdown],0)))^2</f>
        <v>2.4151685839628387E-2</v>
      </c>
      <c r="AM660" s="4">
        <f>IF(AND(vp.data[[#This Row],[SDate]]&gt;=DATE(YEAR(vp.data[[#This Row],[SDate]]),5,1),vp.data[[#This Row],[SDate]]&lt;=DATE(YEAR(vp.data[[#This Row],[SDate]]),9,15)),1,0)</f>
        <v>0</v>
      </c>
      <c r="AN660" s="4">
        <f>IF(vp.data[[#This Row],[SDate]]&lt;DATE(2016,12,1),0,1)</f>
        <v>1</v>
      </c>
      <c r="AO660" s="4">
        <f>IFERROR(vp.data[[#This Row],[Sulf]]*vp.data[[#This Row],[Net Dens]],"")</f>
        <v>109596544.90920001</v>
      </c>
      <c r="AP660">
        <f>IFERROR(vp.data[[#This Row],[Dens]]*vp.data[[#This Row],[VolumeM3]],"")</f>
        <v>89102882.040000007</v>
      </c>
      <c r="AQ660" s="15">
        <f>IFERROR(vp.data[[#This Row],[VP]]*vp.data[[#This Row],[VolumeM3]],"")</f>
        <v>7969319.7151999995</v>
      </c>
    </row>
    <row r="661" spans="1:43" x14ac:dyDescent="0.25">
      <c r="A661">
        <v>660</v>
      </c>
      <c r="B661" t="s">
        <v>56</v>
      </c>
      <c r="C661" t="s">
        <v>56</v>
      </c>
      <c r="D661" t="s">
        <v>57</v>
      </c>
      <c r="F661" s="1">
        <v>42760</v>
      </c>
      <c r="G661" s="2">
        <v>92</v>
      </c>
      <c r="H661" s="2"/>
      <c r="I661" s="2">
        <f t="array" ref="I661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661" s="2">
        <v>9.5</v>
      </c>
      <c r="K661" s="2">
        <v>-10</v>
      </c>
      <c r="L661" s="2">
        <v>844.1</v>
      </c>
      <c r="M661" s="2">
        <f t="array" ref="M661">_xlfn.IFNA(IF(vp.data[[#This Row],[Dens Input]]="",INDEX([1]DATA!$O$3:$O$9826,MATCH(1,(vp.data[[#This Row],[Battery]]=[1]DATA!$L$3:$L$9826)*(EOMONTH(vp.data[[#This Row],[SDate]],-1)+1=[1]DATA!$G$3:$G$9826),0)),vp.data[[#This Row],[Dens Input]]),"")</f>
        <v>844.1</v>
      </c>
      <c r="N661" s="2">
        <f ca="1">INDEX(INDIRECT(_xlfn.CONCAT("weather.tbl[",N$1,"]")),MATCH(vp.data[[#This Row],[SDate]],weather.tbl[Date],0))</f>
        <v>-11.050000000000002</v>
      </c>
      <c r="O661" s="2">
        <f ca="1">INDEX(INDIRECT(_xlfn.CONCAT("weather.tbl[",O$1,"]")),MATCH(vp.data[[#This Row],[SDate]],weather.tbl[Date],0))</f>
        <v>-6.0166666666666666</v>
      </c>
      <c r="P661" s="2">
        <f ca="1">INDEX(INDIRECT(_xlfn.CONCAT("weather.tbl[",P$1,"]")),MATCH(vp.data[[#This Row],[SDate]],weather.tbl[Date],0))</f>
        <v>-12.3</v>
      </c>
      <c r="Q661" s="2">
        <f ca="1">INDEX(INDIRECT(_xlfn.CONCAT("weather.tbl[",Q$1,"]")),MATCH(vp.data[[#This Row],[SDate]],weather.tbl[Date],0))</f>
        <v>-12.8</v>
      </c>
      <c r="R661" s="2">
        <f ca="1">INDEX(INDIRECT(_xlfn.CONCAT("weather.tbl[",R$1,"]")),MATCH(vp.data[[#This Row],[SDate]],weather.tbl[Date],0))</f>
        <v>-8.8000000000000007</v>
      </c>
      <c r="S661" s="2">
        <f ca="1">INDEX(INDIRECT(_xlfn.CONCAT("weather.tbl[",S$1,"]")),MATCH(vp.data[[#This Row],[SDate]],weather.tbl[Date],0))</f>
        <v>-11.2</v>
      </c>
      <c r="T661" s="2">
        <f ca="1">INDEX(INDIRECT(_xlfn.CONCAT("weather.tbl[",T$1,"]")),MATCH(vp.data[[#This Row],[SDate]],weather.tbl[Date],0))</f>
        <v>-10.199999999999999</v>
      </c>
      <c r="U661" s="2">
        <f ca="1">INDEX(INDIRECT(_xlfn.CONCAT("weather.tbl[",U$1,"]")),MATCH(vp.data[[#This Row],[SDate]],weather.tbl[Date],0))</f>
        <v>-11</v>
      </c>
      <c r="V661" s="2">
        <f t="array" ref="V6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3079.645</v>
      </c>
      <c r="W661" t="s">
        <v>48</v>
      </c>
      <c r="X661">
        <f>IF(OR(vp.data[[#This Row],[Sulf]]="",vp.data[[#This Row],[Dens]]=""),1,0)</f>
        <v>0</v>
      </c>
      <c r="Y661">
        <f>IF(vp.data[[#This Row],[CrudeType]]="C5+",1,0)</f>
        <v>0</v>
      </c>
      <c r="Z661">
        <f>IF(AND(vp.data[[#This Row],[CrudeType]]="Crude",vp.data[[#This Row],[Dens]]&lt;=825,vp.data[[#This Row],[Sulf]]&gt;0.5,vp.data[[#This Row],[Unknown]]=0),1,0)</f>
        <v>0</v>
      </c>
      <c r="AA661">
        <f>IF(AND(vp.data[[#This Row],[CrudeType]]="Crude",vp.data[[#This Row],[Dens]]&lt;=825,vp.data[[#This Row],[Sulf]]&lt;=0.5,vp.data[[#This Row],[Unknown]]=0),1,0)</f>
        <v>0</v>
      </c>
      <c r="AB6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1">
        <f>IF(AND(vp.data[[#This Row],[CrudeType]]="Crude",vp.data[[#This Row],[Dens]]&gt;825,vp.data[[#This Row],[Dens]]&lt;=900,vp.data[[#This Row],[Sulf]]&lt;=0.5,vp.data[[#This Row],[Unknown]]=0),1,0)</f>
        <v>0</v>
      </c>
      <c r="AD661">
        <f>IF(AND(vp.data[[#This Row],[CrudeType]]="Crude",vp.data[[#This Row],[Dens]]&gt;865,vp.data[[#This Row],[Dens]]&lt;=900,vp.data[[#This Row],[Sulf]]&gt;2,vp.data[[#This Row],[Unknown]]=0),1,0)</f>
        <v>0</v>
      </c>
      <c r="AE661">
        <f>IF(AND(vp.data[[#This Row],[CrudeType]]="Crude",vp.data[[#This Row],[Dens]]&gt;900,vp.data[[#This Row],[Sulf]]&lt;=0.5,vp.data[[#This Row],[Unknown]]=0),1,0)</f>
        <v>0</v>
      </c>
      <c r="AF661">
        <f>IF(AND(vp.data[[#This Row],[CrudeType]]="Crude",vp.data[[#This Row],[Dens]]&gt;900,vp.data[[#This Row],[Sulf]]&lt;=0.5,vp.data[[#This Row],[Unknown]]=0),1,0)</f>
        <v>0</v>
      </c>
      <c r="AG661" t="str">
        <f>INDEX(vp.data[[#Headers],[Unknown]:[Heavy_SW]],MATCH(1,vp.data[[#This Row],[Unknown]:[Heavy_SW]],0))</f>
        <v>Medium_LSB</v>
      </c>
      <c r="AH661">
        <f>INDEX([3]!crudeBD.lkup[Number],MATCH(vp.data[[#This Row],[Crude_Breakdown]],crudeBD.lkup[Crude Breakdown],0))</f>
        <v>3</v>
      </c>
      <c r="AI661">
        <f>MONTH(vp.data[[#This Row],[SDate]])</f>
        <v>1</v>
      </c>
      <c r="AJ661" s="5">
        <f>(vp.data[[#This Row],[VP]]-INDEX(crudeBD.lkup[Mean_VP],MATCH(vp.data[[#This Row],[Crude_Breakdown]],crudeBD.lkup[Crude Breakdown],0)))^2</f>
        <v>129.05694889168362</v>
      </c>
      <c r="AK661" s="5">
        <f>(vp.data[[#This Row],[Dens]]-INDEX(crudeBD.lkup[Mean_Dens],MATCH(vp.data[[#This Row],[Crude_Breakdown]],crudeBD.lkup[Crude Breakdown],0)))^2</f>
        <v>3.2400000000186627E-2</v>
      </c>
      <c r="AL661" s="5">
        <f>(vp.data[[#This Row],[Sulf]]-INDEX(crudeBD.lkup[Mean_Sulf],MATCH(vp.data[[#This Row],[Crude_Breakdown]],crudeBD.lkup[Crude Breakdown],0)))^2</f>
        <v>8.678437182345447E-2</v>
      </c>
      <c r="AM661" s="4">
        <f>IF(AND(vp.data[[#This Row],[SDate]]&gt;=DATE(YEAR(vp.data[[#This Row],[SDate]]),5,1),vp.data[[#This Row],[SDate]]&lt;=DATE(YEAR(vp.data[[#This Row],[SDate]]),9,15)),1,0)</f>
        <v>0</v>
      </c>
      <c r="AN661" s="4">
        <f>IF(vp.data[[#This Row],[SDate]]&lt;DATE(2016,12,1),0,1)</f>
        <v>1</v>
      </c>
      <c r="AO661" s="4">
        <f>IFERROR(vp.data[[#This Row],[Sulf]]*vp.data[[#This Row],[Net Dens]],"")</f>
        <v>4367207.61876</v>
      </c>
      <c r="AP661">
        <f>IFERROR(vp.data[[#This Row],[Dens]]*vp.data[[#This Row],[VolumeM3]],"")</f>
        <v>2599528.3445000001</v>
      </c>
      <c r="AQ661" s="15">
        <f>IFERROR(vp.data[[#This Row],[VP]]*vp.data[[#This Row],[VolumeM3]],"")</f>
        <v>283327.34000000003</v>
      </c>
    </row>
    <row r="662" spans="1:43" x14ac:dyDescent="0.25">
      <c r="A662">
        <v>661</v>
      </c>
      <c r="B662" t="s">
        <v>60</v>
      </c>
      <c r="C662" t="s">
        <v>60</v>
      </c>
      <c r="D662" t="s">
        <v>61</v>
      </c>
      <c r="E662" t="s">
        <v>55</v>
      </c>
      <c r="F662" s="1">
        <v>42760</v>
      </c>
      <c r="G662" s="2">
        <v>102.8</v>
      </c>
      <c r="H662" s="2"/>
      <c r="I662" s="2">
        <f t="array" ref="I662">_xlfn.IFNA(IF(vp.data[[#This Row],[Sulf Input]]="",INDEX([1]DATA!$Q$3:$Q$9826,MATCH(1,(vp.data[[#This Row],[Battery]]=[1]DATA!$L$3:$L$9826)*(EOMONTH(vp.data[[#This Row],[SDate]],-1)+1=[1]DATA!$G$3:$G$9826),0)),vp.data[[#This Row],[Sulf Input]]),"")</f>
        <v>1.23</v>
      </c>
      <c r="J662" s="2">
        <v>5.7</v>
      </c>
      <c r="K662" s="2">
        <v>-12</v>
      </c>
      <c r="L662" s="2">
        <v>837.8</v>
      </c>
      <c r="M662" s="2">
        <f t="array" ref="M662">_xlfn.IFNA(IF(vp.data[[#This Row],[Dens Input]]="",INDEX([1]DATA!$O$3:$O$9826,MATCH(1,(vp.data[[#This Row],[Battery]]=[1]DATA!$L$3:$L$9826)*(EOMONTH(vp.data[[#This Row],[SDate]],-1)+1=[1]DATA!$G$3:$G$9826),0)),vp.data[[#This Row],[Dens Input]]),"")</f>
        <v>837.8</v>
      </c>
      <c r="N662" s="2">
        <f ca="1">INDEX(INDIRECT(_xlfn.CONCAT("weather.tbl[",N$1,"]")),MATCH(vp.data[[#This Row],[SDate]],weather.tbl[Date],0))</f>
        <v>-11.050000000000002</v>
      </c>
      <c r="O662" s="2">
        <f ca="1">INDEX(INDIRECT(_xlfn.CONCAT("weather.tbl[",O$1,"]")),MATCH(vp.data[[#This Row],[SDate]],weather.tbl[Date],0))</f>
        <v>-6.0166666666666666</v>
      </c>
      <c r="P662" s="2">
        <f ca="1">INDEX(INDIRECT(_xlfn.CONCAT("weather.tbl[",P$1,"]")),MATCH(vp.data[[#This Row],[SDate]],weather.tbl[Date],0))</f>
        <v>-12.3</v>
      </c>
      <c r="Q662" s="2">
        <f ca="1">INDEX(INDIRECT(_xlfn.CONCAT("weather.tbl[",Q$1,"]")),MATCH(vp.data[[#This Row],[SDate]],weather.tbl[Date],0))</f>
        <v>-12.8</v>
      </c>
      <c r="R662" s="2">
        <f ca="1">INDEX(INDIRECT(_xlfn.CONCAT("weather.tbl[",R$1,"]")),MATCH(vp.data[[#This Row],[SDate]],weather.tbl[Date],0))</f>
        <v>-8.8000000000000007</v>
      </c>
      <c r="S662" s="2">
        <f ca="1">INDEX(INDIRECT(_xlfn.CONCAT("weather.tbl[",S$1,"]")),MATCH(vp.data[[#This Row],[SDate]],weather.tbl[Date],0))</f>
        <v>-11.2</v>
      </c>
      <c r="T662" s="2">
        <f ca="1">INDEX(INDIRECT(_xlfn.CONCAT("weather.tbl[",T$1,"]")),MATCH(vp.data[[#This Row],[SDate]],weather.tbl[Date],0))</f>
        <v>-10.199999999999999</v>
      </c>
      <c r="U662" s="2">
        <f ca="1">INDEX(INDIRECT(_xlfn.CONCAT("weather.tbl[",U$1,"]")),MATCH(vp.data[[#This Row],[SDate]],weather.tbl[Date],0))</f>
        <v>-11</v>
      </c>
      <c r="V662" s="2">
        <f t="array" ref="V6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62" t="s">
        <v>48</v>
      </c>
      <c r="X662">
        <f>IF(OR(vp.data[[#This Row],[Sulf]]="",vp.data[[#This Row],[Dens]]=""),1,0)</f>
        <v>0</v>
      </c>
      <c r="Y662">
        <f>IF(vp.data[[#This Row],[CrudeType]]="C5+",1,0)</f>
        <v>0</v>
      </c>
      <c r="Z662">
        <f>IF(AND(vp.data[[#This Row],[CrudeType]]="Crude",vp.data[[#This Row],[Dens]]&lt;=825,vp.data[[#This Row],[Sulf]]&gt;0.5,vp.data[[#This Row],[Unknown]]=0),1,0)</f>
        <v>0</v>
      </c>
      <c r="AA662">
        <f>IF(AND(vp.data[[#This Row],[CrudeType]]="Crude",vp.data[[#This Row],[Dens]]&lt;=825,vp.data[[#This Row],[Sulf]]&lt;=0.5,vp.data[[#This Row],[Unknown]]=0),1,0)</f>
        <v>0</v>
      </c>
      <c r="AB6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2">
        <f>IF(AND(vp.data[[#This Row],[CrudeType]]="Crude",vp.data[[#This Row],[Dens]]&gt;825,vp.data[[#This Row],[Dens]]&lt;=900,vp.data[[#This Row],[Sulf]]&lt;=0.5,vp.data[[#This Row],[Unknown]]=0),1,0)</f>
        <v>0</v>
      </c>
      <c r="AD662">
        <f>IF(AND(vp.data[[#This Row],[CrudeType]]="Crude",vp.data[[#This Row],[Dens]]&gt;865,vp.data[[#This Row],[Dens]]&lt;=900,vp.data[[#This Row],[Sulf]]&gt;2,vp.data[[#This Row],[Unknown]]=0),1,0)</f>
        <v>0</v>
      </c>
      <c r="AE662">
        <f>IF(AND(vp.data[[#This Row],[CrudeType]]="Crude",vp.data[[#This Row],[Dens]]&gt;900,vp.data[[#This Row],[Sulf]]&lt;=0.5,vp.data[[#This Row],[Unknown]]=0),1,0)</f>
        <v>0</v>
      </c>
      <c r="AF662">
        <f>IF(AND(vp.data[[#This Row],[CrudeType]]="Crude",vp.data[[#This Row],[Dens]]&gt;900,vp.data[[#This Row],[Sulf]]&lt;=0.5,vp.data[[#This Row],[Unknown]]=0),1,0)</f>
        <v>0</v>
      </c>
      <c r="AG662" t="str">
        <f>INDEX(vp.data[[#Headers],[Unknown]:[Heavy_SW]],MATCH(1,vp.data[[#This Row],[Unknown]:[Heavy_SW]],0))</f>
        <v>Medium_LSB</v>
      </c>
      <c r="AH662">
        <f>INDEX([3]!crudeBD.lkup[Number],MATCH(vp.data[[#This Row],[Crude_Breakdown]],crudeBD.lkup[Crude Breakdown],0))</f>
        <v>3</v>
      </c>
      <c r="AI662">
        <f>MONTH(vp.data[[#This Row],[SDate]])</f>
        <v>1</v>
      </c>
      <c r="AJ662" s="5">
        <f>(vp.data[[#This Row],[VP]]-INDEX(crudeBD.lkup[Mean_VP],MATCH(vp.data[[#This Row],[Crude_Breakdown]],crudeBD.lkup[Crude Breakdown],0)))^2</f>
        <v>491.07993541459609</v>
      </c>
      <c r="AK662" s="5">
        <f>(vp.data[[#This Row],[Dens]]-INDEX(crudeBD.lkup[Mean_Dens],MATCH(vp.data[[#This Row],[Crude_Breakdown]],crudeBD.lkup[Crude Breakdown],0)))^2</f>
        <v>37.454399999994493</v>
      </c>
      <c r="AL662" s="5">
        <f>(vp.data[[#This Row],[Sulf]]-INDEX(crudeBD.lkup[Mean_Sulf],MATCH(vp.data[[#This Row],[Crude_Breakdown]],crudeBD.lkup[Crude Breakdown],0)))^2</f>
        <v>2.4151685839628387E-2</v>
      </c>
      <c r="AM662" s="4">
        <f>IF(AND(vp.data[[#This Row],[SDate]]&gt;=DATE(YEAR(vp.data[[#This Row],[SDate]]),5,1),vp.data[[#This Row],[SDate]]&lt;=DATE(YEAR(vp.data[[#This Row],[SDate]]),9,15)),1,0)</f>
        <v>0</v>
      </c>
      <c r="AN662" s="4">
        <f>IF(vp.data[[#This Row],[SDate]]&lt;DATE(2016,12,1),0,1)</f>
        <v>1</v>
      </c>
      <c r="AO662" s="4">
        <f>IFERROR(vp.data[[#This Row],[Sulf]]*vp.data[[#This Row],[Net Dens]],"")</f>
        <v>108342165.57513599</v>
      </c>
      <c r="AP662">
        <f>IFERROR(vp.data[[#This Row],[Dens]]*vp.data[[#This Row],[VolumeM3]],"")</f>
        <v>88083061.443199992</v>
      </c>
      <c r="AQ662" s="15">
        <f>IFERROR(vp.data[[#This Row],[VP]]*vp.data[[#This Row],[VolumeM3]],"")</f>
        <v>10807995.6032</v>
      </c>
    </row>
    <row r="663" spans="1:43" x14ac:dyDescent="0.25">
      <c r="A663">
        <v>662</v>
      </c>
      <c r="B663" t="s">
        <v>60</v>
      </c>
      <c r="C663" t="s">
        <v>60</v>
      </c>
      <c r="D663" t="s">
        <v>61</v>
      </c>
      <c r="E663" t="s">
        <v>73</v>
      </c>
      <c r="F663" s="1">
        <v>42761</v>
      </c>
      <c r="G663" s="2">
        <v>80.599999999999994</v>
      </c>
      <c r="H663" s="2">
        <v>0.94899999999999995</v>
      </c>
      <c r="I663" s="2">
        <f t="array" ref="I663">_xlfn.IFNA(IF(vp.data[[#This Row],[Sulf Input]]="",INDEX([1]DATA!$Q$3:$Q$9826,MATCH(1,(vp.data[[#This Row],[Battery]]=[1]DATA!$L$3:$L$9826)*(EOMONTH(vp.data[[#This Row],[SDate]],-1)+1=[1]DATA!$G$3:$G$9826),0)),vp.data[[#This Row],[Sulf Input]]),"")</f>
        <v>0.94899999999999995</v>
      </c>
      <c r="J663" s="2">
        <v>4.5</v>
      </c>
      <c r="K663" s="2">
        <v>-10</v>
      </c>
      <c r="L663" s="2">
        <v>848.7</v>
      </c>
      <c r="M663" s="2">
        <f t="array" ref="M663">_xlfn.IFNA(IF(vp.data[[#This Row],[Dens Input]]="",INDEX([1]DATA!$O$3:$O$9826,MATCH(1,(vp.data[[#This Row],[Battery]]=[1]DATA!$L$3:$L$9826)*(EOMONTH(vp.data[[#This Row],[SDate]],-1)+1=[1]DATA!$G$3:$G$9826),0)),vp.data[[#This Row],[Dens Input]]),"")</f>
        <v>848.7</v>
      </c>
      <c r="N663" s="2">
        <f ca="1">INDEX(INDIRECT(_xlfn.CONCAT("weather.tbl[",N$1,"]")),MATCH(vp.data[[#This Row],[SDate]],weather.tbl[Date],0))</f>
        <v>-11.866666666666667</v>
      </c>
      <c r="O663" s="2">
        <f ca="1">INDEX(INDIRECT(_xlfn.CONCAT("weather.tbl[",O$1,"]")),MATCH(vp.data[[#This Row],[SDate]],weather.tbl[Date],0))</f>
        <v>-7.5095238095238104</v>
      </c>
      <c r="P663" s="2">
        <f ca="1">INDEX(INDIRECT(_xlfn.CONCAT("weather.tbl[",P$1,"]")),MATCH(vp.data[[#This Row],[SDate]],weather.tbl[Date],0))</f>
        <v>-12.9</v>
      </c>
      <c r="Q663" s="2">
        <f ca="1">INDEX(INDIRECT(_xlfn.CONCAT("weather.tbl[",Q$1,"]")),MATCH(vp.data[[#This Row],[SDate]],weather.tbl[Date],0))</f>
        <v>-12.1</v>
      </c>
      <c r="R663" s="2">
        <f ca="1">INDEX(INDIRECT(_xlfn.CONCAT("weather.tbl[",R$1,"]")),MATCH(vp.data[[#This Row],[SDate]],weather.tbl[Date],0))</f>
        <v>-13.5</v>
      </c>
      <c r="S663" s="2">
        <f ca="1">INDEX(INDIRECT(_xlfn.CONCAT("weather.tbl[",S$1,"]")),MATCH(vp.data[[#This Row],[SDate]],weather.tbl[Date],0))</f>
        <v>-11.3</v>
      </c>
      <c r="T663" s="2">
        <f ca="1">INDEX(INDIRECT(_xlfn.CONCAT("weather.tbl[",T$1,"]")),MATCH(vp.data[[#This Row],[SDate]],weather.tbl[Date],0))</f>
        <v>-10.6</v>
      </c>
      <c r="U663" s="2">
        <f ca="1">INDEX(INDIRECT(_xlfn.CONCAT("weather.tbl[",U$1,"]")),MATCH(vp.data[[#This Row],[SDate]],weather.tbl[Date],0))</f>
        <v>-10.8</v>
      </c>
      <c r="V663" s="2">
        <f t="array" ref="V6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63" t="s">
        <v>48</v>
      </c>
      <c r="X663">
        <f>IF(OR(vp.data[[#This Row],[Sulf]]="",vp.data[[#This Row],[Dens]]=""),1,0)</f>
        <v>0</v>
      </c>
      <c r="Y663">
        <f>IF(vp.data[[#This Row],[CrudeType]]="C5+",1,0)</f>
        <v>0</v>
      </c>
      <c r="Z663">
        <f>IF(AND(vp.data[[#This Row],[CrudeType]]="Crude",vp.data[[#This Row],[Dens]]&lt;=825,vp.data[[#This Row],[Sulf]]&gt;0.5,vp.data[[#This Row],[Unknown]]=0),1,0)</f>
        <v>0</v>
      </c>
      <c r="AA663">
        <f>IF(AND(vp.data[[#This Row],[CrudeType]]="Crude",vp.data[[#This Row],[Dens]]&lt;=825,vp.data[[#This Row],[Sulf]]&lt;=0.5,vp.data[[#This Row],[Unknown]]=0),1,0)</f>
        <v>0</v>
      </c>
      <c r="AB6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3">
        <f>IF(AND(vp.data[[#This Row],[CrudeType]]="Crude",vp.data[[#This Row],[Dens]]&gt;825,vp.data[[#This Row],[Dens]]&lt;=900,vp.data[[#This Row],[Sulf]]&lt;=0.5,vp.data[[#This Row],[Unknown]]=0),1,0)</f>
        <v>0</v>
      </c>
      <c r="AD663">
        <f>IF(AND(vp.data[[#This Row],[CrudeType]]="Crude",vp.data[[#This Row],[Dens]]&gt;865,vp.data[[#This Row],[Dens]]&lt;=900,vp.data[[#This Row],[Sulf]]&gt;2,vp.data[[#This Row],[Unknown]]=0),1,0)</f>
        <v>0</v>
      </c>
      <c r="AE663">
        <f>IF(AND(vp.data[[#This Row],[CrudeType]]="Crude",vp.data[[#This Row],[Dens]]&gt;900,vp.data[[#This Row],[Sulf]]&lt;=0.5,vp.data[[#This Row],[Unknown]]=0),1,0)</f>
        <v>0</v>
      </c>
      <c r="AF663">
        <f>IF(AND(vp.data[[#This Row],[CrudeType]]="Crude",vp.data[[#This Row],[Dens]]&gt;900,vp.data[[#This Row],[Sulf]]&lt;=0.5,vp.data[[#This Row],[Unknown]]=0),1,0)</f>
        <v>0</v>
      </c>
      <c r="AG663" t="str">
        <f>INDEX(vp.data[[#Headers],[Unknown]:[Heavy_SW]],MATCH(1,vp.data[[#This Row],[Unknown]:[Heavy_SW]],0))</f>
        <v>Medium_LSB</v>
      </c>
      <c r="AH663">
        <f>INDEX([3]!crudeBD.lkup[Number],MATCH(vp.data[[#This Row],[Crude_Breakdown]],crudeBD.lkup[Crude Breakdown],0))</f>
        <v>3</v>
      </c>
      <c r="AI663">
        <f>MONTH(vp.data[[#This Row],[SDate]])</f>
        <v>1</v>
      </c>
      <c r="AJ663" s="5">
        <f>(vp.data[[#This Row],[VP]]-INDEX(crudeBD.lkup[Mean_VP],MATCH(vp.data[[#This Row],[Crude_Breakdown]],crudeBD.lkup[Crude Breakdown],0)))^2</f>
        <v>1.5742286092027839E-3</v>
      </c>
      <c r="AK663" s="5">
        <f>(vp.data[[#This Row],[Dens]]-INDEX(crudeBD.lkup[Mean_Dens],MATCH(vp.data[[#This Row],[Crude_Breakdown]],crudeBD.lkup[Crude Breakdown],0)))^2</f>
        <v>22.848400000005174</v>
      </c>
      <c r="AL663" s="5">
        <f>(vp.data[[#This Row],[Sulf]]-INDEX(crudeBD.lkup[Mean_Sulf],MATCH(vp.data[[#This Row],[Crude_Breakdown]],crudeBD.lkup[Crude Breakdown],0)))^2</f>
        <v>0.19045205303639479</v>
      </c>
      <c r="AM663" s="4">
        <f>IF(AND(vp.data[[#This Row],[SDate]]&gt;=DATE(YEAR(vp.data[[#This Row],[SDate]]),5,1),vp.data[[#This Row],[SDate]]&lt;=DATE(YEAR(vp.data[[#This Row],[SDate]]),9,15)),1,0)</f>
        <v>0</v>
      </c>
      <c r="AN663" s="4">
        <f>IF(vp.data[[#This Row],[SDate]]&lt;DATE(2016,12,1),0,1)</f>
        <v>1</v>
      </c>
      <c r="AO663" s="4">
        <f>IFERROR(vp.data[[#This Row],[Sulf]]*vp.data[[#This Row],[Net Dens]],"")</f>
        <v>84678364.09674719</v>
      </c>
      <c r="AP663">
        <f>IFERROR(vp.data[[#This Row],[Dens]]*vp.data[[#This Row],[VolumeM3]],"")</f>
        <v>89229045.412799999</v>
      </c>
      <c r="AQ663" s="15">
        <f>IFERROR(vp.data[[#This Row],[VP]]*vp.data[[#This Row],[VolumeM3]],"")</f>
        <v>8473973.2063999996</v>
      </c>
    </row>
    <row r="664" spans="1:43" x14ac:dyDescent="0.25">
      <c r="A664">
        <v>663</v>
      </c>
      <c r="B664" t="s">
        <v>49</v>
      </c>
      <c r="C664" t="s">
        <v>49</v>
      </c>
      <c r="D664" t="s">
        <v>92</v>
      </c>
      <c r="F664" s="1">
        <v>42761</v>
      </c>
      <c r="G664" s="2">
        <v>86.1</v>
      </c>
      <c r="H664" s="2">
        <v>0.47299999999999998</v>
      </c>
      <c r="I664" s="2">
        <f t="array" ref="I664">_xlfn.IFNA(IF(vp.data[[#This Row],[Sulf Input]]="",INDEX([1]DATA!$Q$3:$Q$9826,MATCH(1,(vp.data[[#This Row],[Battery]]=[1]DATA!$L$3:$L$9826)*(EOMONTH(vp.data[[#This Row],[SDate]],-1)+1=[1]DATA!$G$3:$G$9826),0)),vp.data[[#This Row],[Sulf Input]]),"")</f>
        <v>0.47299999999999998</v>
      </c>
      <c r="J664" s="2">
        <v>16.5</v>
      </c>
      <c r="K664" s="2">
        <v>-10</v>
      </c>
      <c r="L664" s="2">
        <v>819</v>
      </c>
      <c r="M664" s="2">
        <f t="array" ref="M664">_xlfn.IFNA(IF(vp.data[[#This Row],[Dens Input]]="",INDEX([1]DATA!$O$3:$O$9826,MATCH(1,(vp.data[[#This Row],[Battery]]=[1]DATA!$L$3:$L$9826)*(EOMONTH(vp.data[[#This Row],[SDate]],-1)+1=[1]DATA!$G$3:$G$9826),0)),vp.data[[#This Row],[Dens Input]]),"")</f>
        <v>819</v>
      </c>
      <c r="N664" s="2">
        <f ca="1">INDEX(INDIRECT(_xlfn.CONCAT("weather.tbl[",N$1,"]")),MATCH(vp.data[[#This Row],[SDate]],weather.tbl[Date],0))</f>
        <v>-11.866666666666667</v>
      </c>
      <c r="O664" s="2">
        <f ca="1">INDEX(INDIRECT(_xlfn.CONCAT("weather.tbl[",O$1,"]")),MATCH(vp.data[[#This Row],[SDate]],weather.tbl[Date],0))</f>
        <v>-7.5095238095238104</v>
      </c>
      <c r="P664" s="2">
        <f ca="1">INDEX(INDIRECT(_xlfn.CONCAT("weather.tbl[",P$1,"]")),MATCH(vp.data[[#This Row],[SDate]],weather.tbl[Date],0))</f>
        <v>-12.9</v>
      </c>
      <c r="Q664" s="2">
        <f ca="1">INDEX(INDIRECT(_xlfn.CONCAT("weather.tbl[",Q$1,"]")),MATCH(vp.data[[#This Row],[SDate]],weather.tbl[Date],0))</f>
        <v>-12.1</v>
      </c>
      <c r="R664" s="2">
        <f ca="1">INDEX(INDIRECT(_xlfn.CONCAT("weather.tbl[",R$1,"]")),MATCH(vp.data[[#This Row],[SDate]],weather.tbl[Date],0))</f>
        <v>-13.5</v>
      </c>
      <c r="S664" s="2">
        <f ca="1">INDEX(INDIRECT(_xlfn.CONCAT("weather.tbl[",S$1,"]")),MATCH(vp.data[[#This Row],[SDate]],weather.tbl[Date],0))</f>
        <v>-11.3</v>
      </c>
      <c r="T664" s="2">
        <f ca="1">INDEX(INDIRECT(_xlfn.CONCAT("weather.tbl[",T$1,"]")),MATCH(vp.data[[#This Row],[SDate]],weather.tbl[Date],0))</f>
        <v>-10.6</v>
      </c>
      <c r="U664" s="2">
        <f ca="1">INDEX(INDIRECT(_xlfn.CONCAT("weather.tbl[",U$1,"]")),MATCH(vp.data[[#This Row],[SDate]],weather.tbl[Date],0))</f>
        <v>-10.8</v>
      </c>
      <c r="V664" s="2">
        <f t="array" ref="V6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25785.918000000001</v>
      </c>
      <c r="W664" t="s">
        <v>48</v>
      </c>
      <c r="X664">
        <f>IF(OR(vp.data[[#This Row],[Sulf]]="",vp.data[[#This Row],[Dens]]=""),1,0)</f>
        <v>0</v>
      </c>
      <c r="Y664">
        <f>IF(vp.data[[#This Row],[CrudeType]]="C5+",1,0)</f>
        <v>0</v>
      </c>
      <c r="Z664">
        <f>IF(AND(vp.data[[#This Row],[CrudeType]]="Crude",vp.data[[#This Row],[Dens]]&lt;=825,vp.data[[#This Row],[Sulf]]&gt;0.5,vp.data[[#This Row],[Unknown]]=0),1,0)</f>
        <v>0</v>
      </c>
      <c r="AA664">
        <f>IF(AND(vp.data[[#This Row],[CrudeType]]="Crude",vp.data[[#This Row],[Dens]]&lt;=825,vp.data[[#This Row],[Sulf]]&lt;=0.5,vp.data[[#This Row],[Unknown]]=0),1,0)</f>
        <v>1</v>
      </c>
      <c r="AB6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64">
        <f>IF(AND(vp.data[[#This Row],[CrudeType]]="Crude",vp.data[[#This Row],[Dens]]&gt;825,vp.data[[#This Row],[Dens]]&lt;=900,vp.data[[#This Row],[Sulf]]&lt;=0.5,vp.data[[#This Row],[Unknown]]=0),1,0)</f>
        <v>0</v>
      </c>
      <c r="AD664">
        <f>IF(AND(vp.data[[#This Row],[CrudeType]]="Crude",vp.data[[#This Row],[Dens]]&gt;865,vp.data[[#This Row],[Dens]]&lt;=900,vp.data[[#This Row],[Sulf]]&gt;2,vp.data[[#This Row],[Unknown]]=0),1,0)</f>
        <v>0</v>
      </c>
      <c r="AE664">
        <f>IF(AND(vp.data[[#This Row],[CrudeType]]="Crude",vp.data[[#This Row],[Dens]]&gt;900,vp.data[[#This Row],[Sulf]]&lt;=0.5,vp.data[[#This Row],[Unknown]]=0),1,0)</f>
        <v>0</v>
      </c>
      <c r="AF664">
        <f>IF(AND(vp.data[[#This Row],[CrudeType]]="Crude",vp.data[[#This Row],[Dens]]&gt;900,vp.data[[#This Row],[Sulf]]&lt;=0.5,vp.data[[#This Row],[Unknown]]=0),1,0)</f>
        <v>0</v>
      </c>
      <c r="AG664" t="str">
        <f>INDEX(vp.data[[#Headers],[Unknown]:[Heavy_SW]],MATCH(1,vp.data[[#This Row],[Unknown]:[Heavy_SW]],0))</f>
        <v>Light_SW</v>
      </c>
      <c r="AH664">
        <f>INDEX([3]!crudeBD.lkup[Number],MATCH(vp.data[[#This Row],[Crude_Breakdown]],crudeBD.lkup[Crude Breakdown],0))</f>
        <v>2</v>
      </c>
      <c r="AI664">
        <f>MONTH(vp.data[[#This Row],[SDate]])</f>
        <v>1</v>
      </c>
      <c r="AJ664" s="5">
        <f>(vp.data[[#This Row],[VP]]-INDEX(crudeBD.lkup[Mean_VP],MATCH(vp.data[[#This Row],[Crude_Breakdown]],crudeBD.lkup[Crude Breakdown],0)))^2</f>
        <v>41.606545394504906</v>
      </c>
      <c r="AK664" s="5">
        <f>(vp.data[[#This Row],[Dens]]-INDEX(crudeBD.lkup[Mean_Dens],MATCH(vp.data[[#This Row],[Crude_Breakdown]],crudeBD.lkup[Crude Breakdown],0)))^2</f>
        <v>114.24406949216798</v>
      </c>
      <c r="AL664" s="5">
        <f>(vp.data[[#This Row],[Sulf]]-INDEX(crudeBD.lkup[Mean_Sulf],MATCH(vp.data[[#This Row],[Crude_Breakdown]],crudeBD.lkup[Crude Breakdown],0)))^2</f>
        <v>5.6054439657638247E-2</v>
      </c>
      <c r="AM664" s="4">
        <f>IF(AND(vp.data[[#This Row],[SDate]]&gt;=DATE(YEAR(vp.data[[#This Row],[SDate]]),5,1),vp.data[[#This Row],[SDate]]&lt;=DATE(YEAR(vp.data[[#This Row],[SDate]]),9,15)),1,0)</f>
        <v>0</v>
      </c>
      <c r="AN664" s="4">
        <f>IF(vp.data[[#This Row],[SDate]]&lt;DATE(2016,12,1),0,1)</f>
        <v>1</v>
      </c>
      <c r="AO664" s="4">
        <f>IFERROR(vp.data[[#This Row],[Sulf]]*vp.data[[#This Row],[Net Dens]],"")</f>
        <v>9989129.4162659999</v>
      </c>
      <c r="AP664">
        <f>IFERROR(vp.data[[#This Row],[Dens]]*vp.data[[#This Row],[VolumeM3]],"")</f>
        <v>21118666.842</v>
      </c>
      <c r="AQ664" s="15">
        <f>IFERROR(vp.data[[#This Row],[VP]]*vp.data[[#This Row],[VolumeM3]],"")</f>
        <v>2220167.5397999999</v>
      </c>
    </row>
    <row r="665" spans="1:43" x14ac:dyDescent="0.25">
      <c r="A665">
        <v>664</v>
      </c>
      <c r="B665" t="s">
        <v>49</v>
      </c>
      <c r="C665" t="s">
        <v>49</v>
      </c>
      <c r="D665" t="s">
        <v>80</v>
      </c>
      <c r="F665" s="1">
        <v>42761</v>
      </c>
      <c r="G665" s="2">
        <v>82.5</v>
      </c>
      <c r="H665" s="2">
        <v>0.53600000000000003</v>
      </c>
      <c r="I665" s="2">
        <f t="array" ref="I665">_xlfn.IFNA(IF(vp.data[[#This Row],[Sulf Input]]="",INDEX([1]DATA!$Q$3:$Q$9826,MATCH(1,(vp.data[[#This Row],[Battery]]=[1]DATA!$L$3:$L$9826)*(EOMONTH(vp.data[[#This Row],[SDate]],-1)+1=[1]DATA!$G$3:$G$9826),0)),vp.data[[#This Row],[Sulf Input]]),"")</f>
        <v>0.53600000000000003</v>
      </c>
      <c r="J665" s="2">
        <v>15.6</v>
      </c>
      <c r="K665" s="2">
        <v>-10</v>
      </c>
      <c r="L665" s="2">
        <v>816.9</v>
      </c>
      <c r="M665" s="2">
        <f t="array" ref="M665">_xlfn.IFNA(IF(vp.data[[#This Row],[Dens Input]]="",INDEX([1]DATA!$O$3:$O$9826,MATCH(1,(vp.data[[#This Row],[Battery]]=[1]DATA!$L$3:$L$9826)*(EOMONTH(vp.data[[#This Row],[SDate]],-1)+1=[1]DATA!$G$3:$G$9826),0)),vp.data[[#This Row],[Dens Input]]),"")</f>
        <v>816.9</v>
      </c>
      <c r="N665" s="2">
        <f ca="1">INDEX(INDIRECT(_xlfn.CONCAT("weather.tbl[",N$1,"]")),MATCH(vp.data[[#This Row],[SDate]],weather.tbl[Date],0))</f>
        <v>-11.866666666666667</v>
      </c>
      <c r="O665" s="2">
        <f ca="1">INDEX(INDIRECT(_xlfn.CONCAT("weather.tbl[",O$1,"]")),MATCH(vp.data[[#This Row],[SDate]],weather.tbl[Date],0))</f>
        <v>-7.5095238095238104</v>
      </c>
      <c r="P665" s="2">
        <f ca="1">INDEX(INDIRECT(_xlfn.CONCAT("weather.tbl[",P$1,"]")),MATCH(vp.data[[#This Row],[SDate]],weather.tbl[Date],0))</f>
        <v>-12.9</v>
      </c>
      <c r="Q665" s="2">
        <f ca="1">INDEX(INDIRECT(_xlfn.CONCAT("weather.tbl[",Q$1,"]")),MATCH(vp.data[[#This Row],[SDate]],weather.tbl[Date],0))</f>
        <v>-12.1</v>
      </c>
      <c r="R665" s="2">
        <f ca="1">INDEX(INDIRECT(_xlfn.CONCAT("weather.tbl[",R$1,"]")),MATCH(vp.data[[#This Row],[SDate]],weather.tbl[Date],0))</f>
        <v>-13.5</v>
      </c>
      <c r="S665" s="2">
        <f ca="1">INDEX(INDIRECT(_xlfn.CONCAT("weather.tbl[",S$1,"]")),MATCH(vp.data[[#This Row],[SDate]],weather.tbl[Date],0))</f>
        <v>-11.3</v>
      </c>
      <c r="T665" s="2">
        <f ca="1">INDEX(INDIRECT(_xlfn.CONCAT("weather.tbl[",T$1,"]")),MATCH(vp.data[[#This Row],[SDate]],weather.tbl[Date],0))</f>
        <v>-10.6</v>
      </c>
      <c r="U665" s="2">
        <f ca="1">INDEX(INDIRECT(_xlfn.CONCAT("weather.tbl[",U$1,"]")),MATCH(vp.data[[#This Row],[SDate]],weather.tbl[Date],0))</f>
        <v>-10.8</v>
      </c>
      <c r="V665" s="2">
        <f t="array" ref="V6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665" t="s">
        <v>48</v>
      </c>
      <c r="X665">
        <f>IF(OR(vp.data[[#This Row],[Sulf]]="",vp.data[[#This Row],[Dens]]=""),1,0)</f>
        <v>0</v>
      </c>
      <c r="Y665">
        <f>IF(vp.data[[#This Row],[CrudeType]]="C5+",1,0)</f>
        <v>0</v>
      </c>
      <c r="Z665">
        <f>IF(AND(vp.data[[#This Row],[CrudeType]]="Crude",vp.data[[#This Row],[Dens]]&lt;=825,vp.data[[#This Row],[Sulf]]&gt;0.5,vp.data[[#This Row],[Unknown]]=0),1,0)</f>
        <v>1</v>
      </c>
      <c r="AA665">
        <f>IF(AND(vp.data[[#This Row],[CrudeType]]="Crude",vp.data[[#This Row],[Dens]]&lt;=825,vp.data[[#This Row],[Sulf]]&lt;=0.5,vp.data[[#This Row],[Unknown]]=0),1,0)</f>
        <v>0</v>
      </c>
      <c r="AB6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65">
        <f>IF(AND(vp.data[[#This Row],[CrudeType]]="Crude",vp.data[[#This Row],[Dens]]&gt;825,vp.data[[#This Row],[Dens]]&lt;=900,vp.data[[#This Row],[Sulf]]&lt;=0.5,vp.data[[#This Row],[Unknown]]=0),1,0)</f>
        <v>0</v>
      </c>
      <c r="AD665">
        <f>IF(AND(vp.data[[#This Row],[CrudeType]]="Crude",vp.data[[#This Row],[Dens]]&gt;865,vp.data[[#This Row],[Dens]]&lt;=900,vp.data[[#This Row],[Sulf]]&gt;2,vp.data[[#This Row],[Unknown]]=0),1,0)</f>
        <v>0</v>
      </c>
      <c r="AE665">
        <f>IF(AND(vp.data[[#This Row],[CrudeType]]="Crude",vp.data[[#This Row],[Dens]]&gt;900,vp.data[[#This Row],[Sulf]]&lt;=0.5,vp.data[[#This Row],[Unknown]]=0),1,0)</f>
        <v>0</v>
      </c>
      <c r="AF665">
        <f>IF(AND(vp.data[[#This Row],[CrudeType]]="Crude",vp.data[[#This Row],[Dens]]&gt;900,vp.data[[#This Row],[Sulf]]&lt;=0.5,vp.data[[#This Row],[Unknown]]=0),1,0)</f>
        <v>0</v>
      </c>
      <c r="AG665" t="str">
        <f>INDEX(vp.data[[#Headers],[Unknown]:[Heavy_SW]],MATCH(1,vp.data[[#This Row],[Unknown]:[Heavy_SW]],0))</f>
        <v>Light_LSB</v>
      </c>
      <c r="AH665">
        <f>INDEX([3]!crudeBD.lkup[Number],MATCH(vp.data[[#This Row],[Crude_Breakdown]],crudeBD.lkup[Crude Breakdown],0))</f>
        <v>1</v>
      </c>
      <c r="AI665">
        <f>MONTH(vp.data[[#This Row],[SDate]])</f>
        <v>1</v>
      </c>
      <c r="AJ665" s="5">
        <f>(vp.data[[#This Row],[VP]]-INDEX(crudeBD.lkup[Mean_VP],MATCH(vp.data[[#This Row],[Crude_Breakdown]],crudeBD.lkup[Crude Breakdown],0)))^2</f>
        <v>81.833473312786197</v>
      </c>
      <c r="AK665" s="5">
        <f>(vp.data[[#This Row],[Dens]]-INDEX(crudeBD.lkup[Mean_Dens],MATCH(vp.data[[#This Row],[Crude_Breakdown]],crudeBD.lkup[Crude Breakdown],0)))^2</f>
        <v>2.6139444550716244</v>
      </c>
      <c r="AL665" s="5">
        <f>(vp.data[[#This Row],[Sulf]]-INDEX(crudeBD.lkup[Mean_Sulf],MATCH(vp.data[[#This Row],[Crude_Breakdown]],crudeBD.lkup[Crude Breakdown],0)))^2</f>
        <v>0.14974668516115872</v>
      </c>
      <c r="AM665" s="4">
        <f>IF(AND(vp.data[[#This Row],[SDate]]&gt;=DATE(YEAR(vp.data[[#This Row],[SDate]]),5,1),vp.data[[#This Row],[SDate]]&lt;=DATE(YEAR(vp.data[[#This Row],[SDate]]),9,15)),1,0)</f>
        <v>0</v>
      </c>
      <c r="AN665" s="4">
        <f>IF(vp.data[[#This Row],[SDate]]&lt;DATE(2016,12,1),0,1)</f>
        <v>1</v>
      </c>
      <c r="AO665" s="4">
        <f>IFERROR(vp.data[[#This Row],[Sulf]]*vp.data[[#This Row],[Net Dens]],"")</f>
        <v>9208561.0410024002</v>
      </c>
      <c r="AP665">
        <f>IFERROR(vp.data[[#This Row],[Dens]]*vp.data[[#This Row],[VolumeM3]],"")</f>
        <v>17180151.195900001</v>
      </c>
      <c r="AQ665" s="15">
        <f>IFERROR(vp.data[[#This Row],[VP]]*vp.data[[#This Row],[VolumeM3]],"")</f>
        <v>1735050.1575</v>
      </c>
    </row>
    <row r="666" spans="1:43" x14ac:dyDescent="0.25">
      <c r="A666">
        <v>665</v>
      </c>
      <c r="B666" t="s">
        <v>49</v>
      </c>
      <c r="C666" t="s">
        <v>49</v>
      </c>
      <c r="D666" t="s">
        <v>89</v>
      </c>
      <c r="F666" s="1">
        <v>42761</v>
      </c>
      <c r="G666" s="2">
        <v>112.4</v>
      </c>
      <c r="H666" s="2">
        <v>0.65800000000000003</v>
      </c>
      <c r="I666" s="2">
        <f t="array" ref="I666">_xlfn.IFNA(IF(vp.data[[#This Row],[Sulf Input]]="",INDEX([1]DATA!$Q$3:$Q$9826,MATCH(1,(vp.data[[#This Row],[Battery]]=[1]DATA!$L$3:$L$9826)*(EOMONTH(vp.data[[#This Row],[SDate]],-1)+1=[1]DATA!$G$3:$G$9826),0)),vp.data[[#This Row],[Sulf Input]]),"")</f>
        <v>0.65800000000000003</v>
      </c>
      <c r="J666" s="2">
        <v>4</v>
      </c>
      <c r="K666" s="2">
        <v>-10</v>
      </c>
      <c r="L666" s="2">
        <v>816.7</v>
      </c>
      <c r="M666" s="2">
        <f t="array" ref="M666">_xlfn.IFNA(IF(vp.data[[#This Row],[Dens Input]]="",INDEX([1]DATA!$O$3:$O$9826,MATCH(1,(vp.data[[#This Row],[Battery]]=[1]DATA!$L$3:$L$9826)*(EOMONTH(vp.data[[#This Row],[SDate]],-1)+1=[1]DATA!$G$3:$G$9826),0)),vp.data[[#This Row],[Dens Input]]),"")</f>
        <v>816.7</v>
      </c>
      <c r="N666" s="2">
        <f ca="1">INDEX(INDIRECT(_xlfn.CONCAT("weather.tbl[",N$1,"]")),MATCH(vp.data[[#This Row],[SDate]],weather.tbl[Date],0))</f>
        <v>-11.866666666666667</v>
      </c>
      <c r="O666" s="2">
        <f ca="1">INDEX(INDIRECT(_xlfn.CONCAT("weather.tbl[",O$1,"]")),MATCH(vp.data[[#This Row],[SDate]],weather.tbl[Date],0))</f>
        <v>-7.5095238095238104</v>
      </c>
      <c r="P666" s="2">
        <f ca="1">INDEX(INDIRECT(_xlfn.CONCAT("weather.tbl[",P$1,"]")),MATCH(vp.data[[#This Row],[SDate]],weather.tbl[Date],0))</f>
        <v>-12.9</v>
      </c>
      <c r="Q666" s="2">
        <f ca="1">INDEX(INDIRECT(_xlfn.CONCAT("weather.tbl[",Q$1,"]")),MATCH(vp.data[[#This Row],[SDate]],weather.tbl[Date],0))</f>
        <v>-12.1</v>
      </c>
      <c r="R666" s="2">
        <f ca="1">INDEX(INDIRECT(_xlfn.CONCAT("weather.tbl[",R$1,"]")),MATCH(vp.data[[#This Row],[SDate]],weather.tbl[Date],0))</f>
        <v>-13.5</v>
      </c>
      <c r="S666" s="2">
        <f ca="1">INDEX(INDIRECT(_xlfn.CONCAT("weather.tbl[",S$1,"]")),MATCH(vp.data[[#This Row],[SDate]],weather.tbl[Date],0))</f>
        <v>-11.3</v>
      </c>
      <c r="T666" s="2">
        <f ca="1">INDEX(INDIRECT(_xlfn.CONCAT("weather.tbl[",T$1,"]")),MATCH(vp.data[[#This Row],[SDate]],weather.tbl[Date],0))</f>
        <v>-10.6</v>
      </c>
      <c r="U666" s="2">
        <f ca="1">INDEX(INDIRECT(_xlfn.CONCAT("weather.tbl[",U$1,"]")),MATCH(vp.data[[#This Row],[SDate]],weather.tbl[Date],0))</f>
        <v>-10.8</v>
      </c>
      <c r="V666" s="2">
        <f t="array" ref="V6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666" t="s">
        <v>48</v>
      </c>
      <c r="X666">
        <f>IF(OR(vp.data[[#This Row],[Sulf]]="",vp.data[[#This Row],[Dens]]=""),1,0)</f>
        <v>0</v>
      </c>
      <c r="Y666">
        <f>IF(vp.data[[#This Row],[CrudeType]]="C5+",1,0)</f>
        <v>0</v>
      </c>
      <c r="Z666">
        <f>IF(AND(vp.data[[#This Row],[CrudeType]]="Crude",vp.data[[#This Row],[Dens]]&lt;=825,vp.data[[#This Row],[Sulf]]&gt;0.5,vp.data[[#This Row],[Unknown]]=0),1,0)</f>
        <v>1</v>
      </c>
      <c r="AA666">
        <f>IF(AND(vp.data[[#This Row],[CrudeType]]="Crude",vp.data[[#This Row],[Dens]]&lt;=825,vp.data[[#This Row],[Sulf]]&lt;=0.5,vp.data[[#This Row],[Unknown]]=0),1,0)</f>
        <v>0</v>
      </c>
      <c r="AB6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66">
        <f>IF(AND(vp.data[[#This Row],[CrudeType]]="Crude",vp.data[[#This Row],[Dens]]&gt;825,vp.data[[#This Row],[Dens]]&lt;=900,vp.data[[#This Row],[Sulf]]&lt;=0.5,vp.data[[#This Row],[Unknown]]=0),1,0)</f>
        <v>0</v>
      </c>
      <c r="AD666">
        <f>IF(AND(vp.data[[#This Row],[CrudeType]]="Crude",vp.data[[#This Row],[Dens]]&gt;865,vp.data[[#This Row],[Dens]]&lt;=900,vp.data[[#This Row],[Sulf]]&gt;2,vp.data[[#This Row],[Unknown]]=0),1,0)</f>
        <v>0</v>
      </c>
      <c r="AE666">
        <f>IF(AND(vp.data[[#This Row],[CrudeType]]="Crude",vp.data[[#This Row],[Dens]]&gt;900,vp.data[[#This Row],[Sulf]]&lt;=0.5,vp.data[[#This Row],[Unknown]]=0),1,0)</f>
        <v>0</v>
      </c>
      <c r="AF666">
        <f>IF(AND(vp.data[[#This Row],[CrudeType]]="Crude",vp.data[[#This Row],[Dens]]&gt;900,vp.data[[#This Row],[Sulf]]&lt;=0.5,vp.data[[#This Row],[Unknown]]=0),1,0)</f>
        <v>0</v>
      </c>
      <c r="AG666" t="str">
        <f>INDEX(vp.data[[#Headers],[Unknown]:[Heavy_SW]],MATCH(1,vp.data[[#This Row],[Unknown]:[Heavy_SW]],0))</f>
        <v>Light_LSB</v>
      </c>
      <c r="AH666">
        <f>INDEX([3]!crudeBD.lkup[Number],MATCH(vp.data[[#This Row],[Crude_Breakdown]],crudeBD.lkup[Crude Breakdown],0))</f>
        <v>1</v>
      </c>
      <c r="AI666">
        <f>MONTH(vp.data[[#This Row],[SDate]])</f>
        <v>1</v>
      </c>
      <c r="AJ666" s="5">
        <f>(vp.data[[#This Row],[VP]]-INDEX(crudeBD.lkup[Mean_VP],MATCH(vp.data[[#This Row],[Crude_Breakdown]],crudeBD.lkup[Crude Breakdown],0)))^2</f>
        <v>434.88157640556807</v>
      </c>
      <c r="AK666" s="5">
        <f>(vp.data[[#This Row],[Dens]]-INDEX(crudeBD.lkup[Mean_Dens],MATCH(vp.data[[#This Row],[Crude_Breakdown]],crudeBD.lkup[Crude Breakdown],0)))^2</f>
        <v>3.3006523588513286</v>
      </c>
      <c r="AL666" s="5">
        <f>(vp.data[[#This Row],[Sulf]]-INDEX(crudeBD.lkup[Mean_Sulf],MATCH(vp.data[[#This Row],[Crude_Breakdown]],crudeBD.lkup[Crude Breakdown],0)))^2</f>
        <v>7.020972007524813E-2</v>
      </c>
      <c r="AM666" s="4">
        <f>IF(AND(vp.data[[#This Row],[SDate]]&gt;=DATE(YEAR(vp.data[[#This Row],[SDate]]),5,1),vp.data[[#This Row],[SDate]]&lt;=DATE(YEAR(vp.data[[#This Row],[SDate]]),9,15)),1,0)</f>
        <v>0</v>
      </c>
      <c r="AN666" s="4">
        <f>IF(vp.data[[#This Row],[SDate]]&lt;DATE(2016,12,1),0,1)</f>
        <v>1</v>
      </c>
      <c r="AO666" s="4">
        <f>IFERROR(vp.data[[#This Row],[Sulf]]*vp.data[[#This Row],[Net Dens]],"")</f>
        <v>3320825.6344046001</v>
      </c>
      <c r="AP666">
        <f>IFERROR(vp.data[[#This Row],[Dens]]*vp.data[[#This Row],[VolumeM3]],"")</f>
        <v>5046847.4687000001</v>
      </c>
      <c r="AQ666" s="15">
        <f>IFERROR(vp.data[[#This Row],[VP]]*vp.data[[#This Row],[VolumeM3]],"")</f>
        <v>694582.65639999998</v>
      </c>
    </row>
    <row r="667" spans="1:43" x14ac:dyDescent="0.25">
      <c r="A667">
        <v>666</v>
      </c>
      <c r="B667" t="s">
        <v>49</v>
      </c>
      <c r="C667" t="s">
        <v>49</v>
      </c>
      <c r="D667" t="s">
        <v>67</v>
      </c>
      <c r="F667" s="1">
        <v>42761</v>
      </c>
      <c r="G667" s="2">
        <v>101.5</v>
      </c>
      <c r="H667" s="2">
        <v>0.69799999999999995</v>
      </c>
      <c r="I667" s="2">
        <f t="array" ref="I667">_xlfn.IFNA(IF(vp.data[[#This Row],[Sulf Input]]="",INDEX([1]DATA!$Q$3:$Q$9826,MATCH(1,(vp.data[[#This Row],[Battery]]=[1]DATA!$L$3:$L$9826)*(EOMONTH(vp.data[[#This Row],[SDate]],-1)+1=[1]DATA!$G$3:$G$9826),0)),vp.data[[#This Row],[Sulf Input]]),"")</f>
        <v>0.69799999999999995</v>
      </c>
      <c r="J667" s="2">
        <v>5.0999999999999996</v>
      </c>
      <c r="K667" s="2">
        <v>-10</v>
      </c>
      <c r="L667" s="2">
        <v>823.6</v>
      </c>
      <c r="M667" s="2">
        <f t="array" ref="M667">_xlfn.IFNA(IF(vp.data[[#This Row],[Dens Input]]="",INDEX([1]DATA!$O$3:$O$9826,MATCH(1,(vp.data[[#This Row],[Battery]]=[1]DATA!$L$3:$L$9826)*(EOMONTH(vp.data[[#This Row],[SDate]],-1)+1=[1]DATA!$G$3:$G$9826),0)),vp.data[[#This Row],[Dens Input]]),"")</f>
        <v>823.6</v>
      </c>
      <c r="N667" s="2">
        <f ca="1">INDEX(INDIRECT(_xlfn.CONCAT("weather.tbl[",N$1,"]")),MATCH(vp.data[[#This Row],[SDate]],weather.tbl[Date],0))</f>
        <v>-11.866666666666667</v>
      </c>
      <c r="O667" s="2">
        <f ca="1">INDEX(INDIRECT(_xlfn.CONCAT("weather.tbl[",O$1,"]")),MATCH(vp.data[[#This Row],[SDate]],weather.tbl[Date],0))</f>
        <v>-7.5095238095238104</v>
      </c>
      <c r="P667" s="2">
        <f ca="1">INDEX(INDIRECT(_xlfn.CONCAT("weather.tbl[",P$1,"]")),MATCH(vp.data[[#This Row],[SDate]],weather.tbl[Date],0))</f>
        <v>-12.9</v>
      </c>
      <c r="Q667" s="2">
        <f ca="1">INDEX(INDIRECT(_xlfn.CONCAT("weather.tbl[",Q$1,"]")),MATCH(vp.data[[#This Row],[SDate]],weather.tbl[Date],0))</f>
        <v>-12.1</v>
      </c>
      <c r="R667" s="2">
        <f ca="1">INDEX(INDIRECT(_xlfn.CONCAT("weather.tbl[",R$1,"]")),MATCH(vp.data[[#This Row],[SDate]],weather.tbl[Date],0))</f>
        <v>-13.5</v>
      </c>
      <c r="S667" s="2">
        <f ca="1">INDEX(INDIRECT(_xlfn.CONCAT("weather.tbl[",S$1,"]")),MATCH(vp.data[[#This Row],[SDate]],weather.tbl[Date],0))</f>
        <v>-11.3</v>
      </c>
      <c r="T667" s="2">
        <f ca="1">INDEX(INDIRECT(_xlfn.CONCAT("weather.tbl[",T$1,"]")),MATCH(vp.data[[#This Row],[SDate]],weather.tbl[Date],0))</f>
        <v>-10.6</v>
      </c>
      <c r="U667" s="2">
        <f ca="1">INDEX(INDIRECT(_xlfn.CONCAT("weather.tbl[",U$1,"]")),MATCH(vp.data[[#This Row],[SDate]],weather.tbl[Date],0))</f>
        <v>-10.8</v>
      </c>
      <c r="V667" s="2">
        <f t="array" ref="V6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67" t="s">
        <v>48</v>
      </c>
      <c r="X667">
        <f>IF(OR(vp.data[[#This Row],[Sulf]]="",vp.data[[#This Row],[Dens]]=""),1,0)</f>
        <v>0</v>
      </c>
      <c r="Y667">
        <f>IF(vp.data[[#This Row],[CrudeType]]="C5+",1,0)</f>
        <v>0</v>
      </c>
      <c r="Z667">
        <f>IF(AND(vp.data[[#This Row],[CrudeType]]="Crude",vp.data[[#This Row],[Dens]]&lt;=825,vp.data[[#This Row],[Sulf]]&gt;0.5,vp.data[[#This Row],[Unknown]]=0),1,0)</f>
        <v>1</v>
      </c>
      <c r="AA667">
        <f>IF(AND(vp.data[[#This Row],[CrudeType]]="Crude",vp.data[[#This Row],[Dens]]&lt;=825,vp.data[[#This Row],[Sulf]]&lt;=0.5,vp.data[[#This Row],[Unknown]]=0),1,0)</f>
        <v>0</v>
      </c>
      <c r="AB6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67">
        <f>IF(AND(vp.data[[#This Row],[CrudeType]]="Crude",vp.data[[#This Row],[Dens]]&gt;825,vp.data[[#This Row],[Dens]]&lt;=900,vp.data[[#This Row],[Sulf]]&lt;=0.5,vp.data[[#This Row],[Unknown]]=0),1,0)</f>
        <v>0</v>
      </c>
      <c r="AD667">
        <f>IF(AND(vp.data[[#This Row],[CrudeType]]="Crude",vp.data[[#This Row],[Dens]]&gt;865,vp.data[[#This Row],[Dens]]&lt;=900,vp.data[[#This Row],[Sulf]]&gt;2,vp.data[[#This Row],[Unknown]]=0),1,0)</f>
        <v>0</v>
      </c>
      <c r="AE667">
        <f>IF(AND(vp.data[[#This Row],[CrudeType]]="Crude",vp.data[[#This Row],[Dens]]&gt;900,vp.data[[#This Row],[Sulf]]&lt;=0.5,vp.data[[#This Row],[Unknown]]=0),1,0)</f>
        <v>0</v>
      </c>
      <c r="AF667">
        <f>IF(AND(vp.data[[#This Row],[CrudeType]]="Crude",vp.data[[#This Row],[Dens]]&gt;900,vp.data[[#This Row],[Sulf]]&lt;=0.5,vp.data[[#This Row],[Unknown]]=0),1,0)</f>
        <v>0</v>
      </c>
      <c r="AG667" t="str">
        <f>INDEX(vp.data[[#Headers],[Unknown]:[Heavy_SW]],MATCH(1,vp.data[[#This Row],[Unknown]:[Heavy_SW]],0))</f>
        <v>Light_LSB</v>
      </c>
      <c r="AH667">
        <f>INDEX([3]!crudeBD.lkup[Number],MATCH(vp.data[[#This Row],[Crude_Breakdown]],crudeBD.lkup[Crude Breakdown],0))</f>
        <v>1</v>
      </c>
      <c r="AI667">
        <f>MONTH(vp.data[[#This Row],[SDate]])</f>
        <v>1</v>
      </c>
      <c r="AJ667" s="5">
        <f>(vp.data[[#This Row],[VP]]-INDEX(crudeBD.lkup[Mean_VP],MATCH(vp.data[[#This Row],[Crude_Breakdown]],crudeBD.lkup[Crude Breakdown],0)))^2</f>
        <v>99.078421766393262</v>
      </c>
      <c r="AK667" s="5">
        <f>(vp.data[[#This Row],[Dens]]-INDEX(crudeBD.lkup[Mean_Dens],MATCH(vp.data[[#This Row],[Crude_Breakdown]],crudeBD.lkup[Crude Breakdown],0)))^2</f>
        <v>25.83922967844369</v>
      </c>
      <c r="AL667" s="5">
        <f>(vp.data[[#This Row],[Sulf]]-INDEX(crudeBD.lkup[Mean_Sulf],MATCH(vp.data[[#This Row],[Crude_Breakdown]],crudeBD.lkup[Crude Breakdown],0)))^2</f>
        <v>5.0612026604457815E-2</v>
      </c>
      <c r="AM667" s="4">
        <f>IF(AND(vp.data[[#This Row],[SDate]]&gt;=DATE(YEAR(vp.data[[#This Row],[SDate]]),5,1),vp.data[[#This Row],[SDate]]&lt;=DATE(YEAR(vp.data[[#This Row],[SDate]]),9,15)),1,0)</f>
        <v>0</v>
      </c>
      <c r="AN667" s="4">
        <f>IF(vp.data[[#This Row],[SDate]]&lt;DATE(2016,12,1),0,1)</f>
        <v>1</v>
      </c>
      <c r="AO667" s="4">
        <f>IFERROR(vp.data[[#This Row],[Sulf]]*vp.data[[#This Row],[Net Dens]],"")</f>
        <v>70214889.058535993</v>
      </c>
      <c r="AP667">
        <f>IFERROR(vp.data[[#This Row],[Dens]]*vp.data[[#This Row],[VolumeM3]],"")</f>
        <v>100594396.932</v>
      </c>
      <c r="AQ667" s="15">
        <f>IFERROR(vp.data[[#This Row],[VP]]*vp.data[[#This Row],[VolumeM3]],"")</f>
        <v>12397196.805</v>
      </c>
    </row>
    <row r="668" spans="1:43" x14ac:dyDescent="0.25">
      <c r="A668">
        <v>667</v>
      </c>
      <c r="B668" t="s">
        <v>49</v>
      </c>
      <c r="C668" t="s">
        <v>49</v>
      </c>
      <c r="D668" t="s">
        <v>50</v>
      </c>
      <c r="F668" s="1">
        <v>42761</v>
      </c>
      <c r="G668" s="2">
        <v>89.6</v>
      </c>
      <c r="H668" s="2">
        <v>2.8340000000000001</v>
      </c>
      <c r="I668" s="2">
        <f t="array" ref="I668">_xlfn.IFNA(IF(vp.data[[#This Row],[Sulf Input]]="",INDEX([1]DATA!$Q$3:$Q$9826,MATCH(1,(vp.data[[#This Row],[Battery]]=[1]DATA!$L$3:$L$9826)*(EOMONTH(vp.data[[#This Row],[SDate]],-1)+1=[1]DATA!$G$3:$G$9826),0)),vp.data[[#This Row],[Sulf Input]]),"")</f>
        <v>2.8340000000000001</v>
      </c>
      <c r="J668" s="2">
        <v>14.1</v>
      </c>
      <c r="K668" s="2">
        <v>-10</v>
      </c>
      <c r="L668" s="2">
        <v>857.2</v>
      </c>
      <c r="M668" s="2">
        <f t="array" ref="M668">_xlfn.IFNA(IF(vp.data[[#This Row],[Dens Input]]="",INDEX([1]DATA!$O$3:$O$9826,MATCH(1,(vp.data[[#This Row],[Battery]]=[1]DATA!$L$3:$L$9826)*(EOMONTH(vp.data[[#This Row],[SDate]],-1)+1=[1]DATA!$G$3:$G$9826),0)),vp.data[[#This Row],[Dens Input]]),"")</f>
        <v>857.2</v>
      </c>
      <c r="N668" s="2">
        <f ca="1">INDEX(INDIRECT(_xlfn.CONCAT("weather.tbl[",N$1,"]")),MATCH(vp.data[[#This Row],[SDate]],weather.tbl[Date],0))</f>
        <v>-11.866666666666667</v>
      </c>
      <c r="O668" s="2">
        <f ca="1">INDEX(INDIRECT(_xlfn.CONCAT("weather.tbl[",O$1,"]")),MATCH(vp.data[[#This Row],[SDate]],weather.tbl[Date],0))</f>
        <v>-7.5095238095238104</v>
      </c>
      <c r="P668" s="2">
        <f ca="1">INDEX(INDIRECT(_xlfn.CONCAT("weather.tbl[",P$1,"]")),MATCH(vp.data[[#This Row],[SDate]],weather.tbl[Date],0))</f>
        <v>-12.9</v>
      </c>
      <c r="Q668" s="2">
        <f ca="1">INDEX(INDIRECT(_xlfn.CONCAT("weather.tbl[",Q$1,"]")),MATCH(vp.data[[#This Row],[SDate]],weather.tbl[Date],0))</f>
        <v>-12.1</v>
      </c>
      <c r="R668" s="2">
        <f ca="1">INDEX(INDIRECT(_xlfn.CONCAT("weather.tbl[",R$1,"]")),MATCH(vp.data[[#This Row],[SDate]],weather.tbl[Date],0))</f>
        <v>-13.5</v>
      </c>
      <c r="S668" s="2">
        <f ca="1">INDEX(INDIRECT(_xlfn.CONCAT("weather.tbl[",S$1,"]")),MATCH(vp.data[[#This Row],[SDate]],weather.tbl[Date],0))</f>
        <v>-11.3</v>
      </c>
      <c r="T668" s="2">
        <f ca="1">INDEX(INDIRECT(_xlfn.CONCAT("weather.tbl[",T$1,"]")),MATCH(vp.data[[#This Row],[SDate]],weather.tbl[Date],0))</f>
        <v>-10.6</v>
      </c>
      <c r="U668" s="2">
        <f ca="1">INDEX(INDIRECT(_xlfn.CONCAT("weather.tbl[",U$1,"]")),MATCH(vp.data[[#This Row],[SDate]],weather.tbl[Date],0))</f>
        <v>-10.8</v>
      </c>
      <c r="V668" s="2">
        <f t="array" ref="V6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5598.5039999999999</v>
      </c>
      <c r="W668" t="s">
        <v>48</v>
      </c>
      <c r="X668">
        <f>IF(OR(vp.data[[#This Row],[Sulf]]="",vp.data[[#This Row],[Dens]]=""),1,0)</f>
        <v>0</v>
      </c>
      <c r="Y668">
        <f>IF(vp.data[[#This Row],[CrudeType]]="C5+",1,0)</f>
        <v>0</v>
      </c>
      <c r="Z668">
        <f>IF(AND(vp.data[[#This Row],[CrudeType]]="Crude",vp.data[[#This Row],[Dens]]&lt;=825,vp.data[[#This Row],[Sulf]]&gt;0.5,vp.data[[#This Row],[Unknown]]=0),1,0)</f>
        <v>0</v>
      </c>
      <c r="AA668">
        <f>IF(AND(vp.data[[#This Row],[CrudeType]]="Crude",vp.data[[#This Row],[Dens]]&lt;=825,vp.data[[#This Row],[Sulf]]&lt;=0.5,vp.data[[#This Row],[Unknown]]=0),1,0)</f>
        <v>0</v>
      </c>
      <c r="AB6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68">
        <f>IF(AND(vp.data[[#This Row],[CrudeType]]="Crude",vp.data[[#This Row],[Dens]]&gt;825,vp.data[[#This Row],[Dens]]&lt;=900,vp.data[[#This Row],[Sulf]]&lt;=0.5,vp.data[[#This Row],[Unknown]]=0),1,0)</f>
        <v>0</v>
      </c>
      <c r="AD668">
        <f>IF(AND(vp.data[[#This Row],[CrudeType]]="Crude",vp.data[[#This Row],[Dens]]&gt;865,vp.data[[#This Row],[Dens]]&lt;=900,vp.data[[#This Row],[Sulf]]&gt;2,vp.data[[#This Row],[Unknown]]=0),1,0)</f>
        <v>0</v>
      </c>
      <c r="AE668">
        <f>IF(AND(vp.data[[#This Row],[CrudeType]]="Crude",vp.data[[#This Row],[Dens]]&gt;900,vp.data[[#This Row],[Sulf]]&lt;=0.5,vp.data[[#This Row],[Unknown]]=0),1,0)</f>
        <v>0</v>
      </c>
      <c r="AF668">
        <f>IF(AND(vp.data[[#This Row],[CrudeType]]="Crude",vp.data[[#This Row],[Dens]]&gt;900,vp.data[[#This Row],[Sulf]]&lt;=0.5,vp.data[[#This Row],[Unknown]]=0),1,0)</f>
        <v>0</v>
      </c>
      <c r="AG668" t="str">
        <f>INDEX(vp.data[[#Headers],[Unknown]:[Heavy_SW]],MATCH(1,vp.data[[#This Row],[Unknown]:[Heavy_SW]],0))</f>
        <v>Medium_LSB</v>
      </c>
      <c r="AH668">
        <f>INDEX([3]!crudeBD.lkup[Number],MATCH(vp.data[[#This Row],[Crude_Breakdown]],crudeBD.lkup[Crude Breakdown],0))</f>
        <v>3</v>
      </c>
      <c r="AI668">
        <f>MONTH(vp.data[[#This Row],[SDate]])</f>
        <v>1</v>
      </c>
      <c r="AJ668" s="5">
        <f>(vp.data[[#This Row],[VP]]-INDEX(crudeBD.lkup[Mean_VP],MATCH(vp.data[[#This Row],[Crude_Breakdown]],crudeBD.lkup[Crude Breakdown],0)))^2</f>
        <v>80.287396331036263</v>
      </c>
      <c r="AK668" s="5">
        <f>(vp.data[[#This Row],[Dens]]-INDEX(crudeBD.lkup[Mean_Dens],MATCH(vp.data[[#This Row],[Crude_Breakdown]],crudeBD.lkup[Crude Breakdown],0)))^2</f>
        <v>176.35840000001437</v>
      </c>
      <c r="AL668" s="5">
        <f>(vp.data[[#This Row],[Sulf]]-INDEX(crudeBD.lkup[Mean_Sulf],MATCH(vp.data[[#This Row],[Crude_Breakdown]],crudeBD.lkup[Crude Breakdown],0)))^2</f>
        <v>2.0984184154353112</v>
      </c>
      <c r="AM668" s="4">
        <f>IF(AND(vp.data[[#This Row],[SDate]]&gt;=DATE(YEAR(vp.data[[#This Row],[SDate]]),5,1),vp.data[[#This Row],[SDate]]&lt;=DATE(YEAR(vp.data[[#This Row],[SDate]]),9,15)),1,0)</f>
        <v>0</v>
      </c>
      <c r="AN668" s="4">
        <f>IF(vp.data[[#This Row],[SDate]]&lt;DATE(2016,12,1),0,1)</f>
        <v>1</v>
      </c>
      <c r="AO668" s="4">
        <f>IFERROR(vp.data[[#This Row],[Sulf]]*vp.data[[#This Row],[Net Dens]],"")</f>
        <v>13600472.640019201</v>
      </c>
      <c r="AP668">
        <f>IFERROR(vp.data[[#This Row],[Dens]]*vp.data[[#This Row],[VolumeM3]],"")</f>
        <v>4799037.6288000001</v>
      </c>
      <c r="AQ668" s="15">
        <f>IFERROR(vp.data[[#This Row],[VP]]*vp.data[[#This Row],[VolumeM3]],"")</f>
        <v>501625.95839999994</v>
      </c>
    </row>
    <row r="669" spans="1:43" x14ac:dyDescent="0.25">
      <c r="A669">
        <v>668</v>
      </c>
      <c r="B669" t="s">
        <v>62</v>
      </c>
      <c r="C669" t="s">
        <v>62</v>
      </c>
      <c r="D669" t="s">
        <v>93</v>
      </c>
      <c r="F669" s="1">
        <v>42761</v>
      </c>
      <c r="G669" s="2">
        <v>110.6</v>
      </c>
      <c r="H669" s="2"/>
      <c r="I669" s="2">
        <f t="array" ref="I669">_xlfn.IFNA(IF(vp.data[[#This Row],[Sulf Input]]="",INDEX([1]DATA!$Q$3:$Q$9826,MATCH(1,(vp.data[[#This Row],[Battery]]=[1]DATA!$L$3:$L$9826)*(EOMONTH(vp.data[[#This Row],[SDate]],-1)+1=[1]DATA!$G$3:$G$9826),0)),vp.data[[#This Row],[Sulf Input]]),"")</f>
        <v>0.43</v>
      </c>
      <c r="J669" s="2">
        <v>-7</v>
      </c>
      <c r="K669" s="2">
        <v>-10</v>
      </c>
      <c r="L669" s="2">
        <v>808.7</v>
      </c>
      <c r="M669" s="2">
        <f t="array" ref="M669">_xlfn.IFNA(IF(vp.data[[#This Row],[Dens Input]]="",INDEX([1]DATA!$O$3:$O$9826,MATCH(1,(vp.data[[#This Row],[Battery]]=[1]DATA!$L$3:$L$9826)*(EOMONTH(vp.data[[#This Row],[SDate]],-1)+1=[1]DATA!$G$3:$G$9826),0)),vp.data[[#This Row],[Dens Input]]),"")</f>
        <v>808.7</v>
      </c>
      <c r="N669" s="2">
        <f ca="1">INDEX(INDIRECT(_xlfn.CONCAT("weather.tbl[",N$1,"]")),MATCH(vp.data[[#This Row],[SDate]],weather.tbl[Date],0))</f>
        <v>-11.866666666666667</v>
      </c>
      <c r="O669" s="2">
        <f ca="1">INDEX(INDIRECT(_xlfn.CONCAT("weather.tbl[",O$1,"]")),MATCH(vp.data[[#This Row],[SDate]],weather.tbl[Date],0))</f>
        <v>-7.5095238095238104</v>
      </c>
      <c r="P669" s="2">
        <f ca="1">INDEX(INDIRECT(_xlfn.CONCAT("weather.tbl[",P$1,"]")),MATCH(vp.data[[#This Row],[SDate]],weather.tbl[Date],0))</f>
        <v>-12.9</v>
      </c>
      <c r="Q669" s="2">
        <f ca="1">INDEX(INDIRECT(_xlfn.CONCAT("weather.tbl[",Q$1,"]")),MATCH(vp.data[[#This Row],[SDate]],weather.tbl[Date],0))</f>
        <v>-12.1</v>
      </c>
      <c r="R669" s="2">
        <f ca="1">INDEX(INDIRECT(_xlfn.CONCAT("weather.tbl[",R$1,"]")),MATCH(vp.data[[#This Row],[SDate]],weather.tbl[Date],0))</f>
        <v>-13.5</v>
      </c>
      <c r="S669" s="2">
        <f ca="1">INDEX(INDIRECT(_xlfn.CONCAT("weather.tbl[",S$1,"]")),MATCH(vp.data[[#This Row],[SDate]],weather.tbl[Date],0))</f>
        <v>-11.3</v>
      </c>
      <c r="T669" s="2">
        <f ca="1">INDEX(INDIRECT(_xlfn.CONCAT("weather.tbl[",T$1,"]")),MATCH(vp.data[[#This Row],[SDate]],weather.tbl[Date],0))</f>
        <v>-10.6</v>
      </c>
      <c r="U669" s="2">
        <f ca="1">INDEX(INDIRECT(_xlfn.CONCAT("weather.tbl[",U$1,"]")),MATCH(vp.data[[#This Row],[SDate]],weather.tbl[Date],0))</f>
        <v>-10.8</v>
      </c>
      <c r="V669" s="2">
        <f t="array" ref="V6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505.60500000000002</v>
      </c>
      <c r="W669" t="s">
        <v>48</v>
      </c>
      <c r="X669">
        <f>IF(OR(vp.data[[#This Row],[Sulf]]="",vp.data[[#This Row],[Dens]]=""),1,0)</f>
        <v>0</v>
      </c>
      <c r="Y669">
        <f>IF(vp.data[[#This Row],[CrudeType]]="C5+",1,0)</f>
        <v>0</v>
      </c>
      <c r="Z669">
        <f>IF(AND(vp.data[[#This Row],[CrudeType]]="Crude",vp.data[[#This Row],[Dens]]&lt;=825,vp.data[[#This Row],[Sulf]]&gt;0.5,vp.data[[#This Row],[Unknown]]=0),1,0)</f>
        <v>0</v>
      </c>
      <c r="AA669">
        <f>IF(AND(vp.data[[#This Row],[CrudeType]]="Crude",vp.data[[#This Row],[Dens]]&lt;=825,vp.data[[#This Row],[Sulf]]&lt;=0.5,vp.data[[#This Row],[Unknown]]=0),1,0)</f>
        <v>1</v>
      </c>
      <c r="AB6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69">
        <f>IF(AND(vp.data[[#This Row],[CrudeType]]="Crude",vp.data[[#This Row],[Dens]]&gt;825,vp.data[[#This Row],[Dens]]&lt;=900,vp.data[[#This Row],[Sulf]]&lt;=0.5,vp.data[[#This Row],[Unknown]]=0),1,0)</f>
        <v>0</v>
      </c>
      <c r="AD669">
        <f>IF(AND(vp.data[[#This Row],[CrudeType]]="Crude",vp.data[[#This Row],[Dens]]&gt;865,vp.data[[#This Row],[Dens]]&lt;=900,vp.data[[#This Row],[Sulf]]&gt;2,vp.data[[#This Row],[Unknown]]=0),1,0)</f>
        <v>0</v>
      </c>
      <c r="AE669">
        <f>IF(AND(vp.data[[#This Row],[CrudeType]]="Crude",vp.data[[#This Row],[Dens]]&gt;900,vp.data[[#This Row],[Sulf]]&lt;=0.5,vp.data[[#This Row],[Unknown]]=0),1,0)</f>
        <v>0</v>
      </c>
      <c r="AF669">
        <f>IF(AND(vp.data[[#This Row],[CrudeType]]="Crude",vp.data[[#This Row],[Dens]]&gt;900,vp.data[[#This Row],[Sulf]]&lt;=0.5,vp.data[[#This Row],[Unknown]]=0),1,0)</f>
        <v>0</v>
      </c>
      <c r="AG669" t="str">
        <f>INDEX(vp.data[[#Headers],[Unknown]:[Heavy_SW]],MATCH(1,vp.data[[#This Row],[Unknown]:[Heavy_SW]],0))</f>
        <v>Light_SW</v>
      </c>
      <c r="AH669">
        <f>INDEX([3]!crudeBD.lkup[Number],MATCH(vp.data[[#This Row],[Crude_Breakdown]],crudeBD.lkup[Crude Breakdown],0))</f>
        <v>2</v>
      </c>
      <c r="AI669">
        <f>MONTH(vp.data[[#This Row],[SDate]])</f>
        <v>1</v>
      </c>
      <c r="AJ669" s="5">
        <f>(vp.data[[#This Row],[VP]]-INDEX(crudeBD.lkup[Mean_VP],MATCH(vp.data[[#This Row],[Crude_Breakdown]],crudeBD.lkup[Crude Breakdown],0)))^2</f>
        <v>325.79117954084757</v>
      </c>
      <c r="AK669" s="5">
        <f>(vp.data[[#This Row],[Dens]]-INDEX(crudeBD.lkup[Mean_Dens],MATCH(vp.data[[#This Row],[Crude_Breakdown]],crudeBD.lkup[Crude Breakdown],0)))^2</f>
        <v>0.15093360366177669</v>
      </c>
      <c r="AL669" s="5">
        <f>(vp.data[[#This Row],[Sulf]]-INDEX(crudeBD.lkup[Mean_Sulf],MATCH(vp.data[[#This Row],[Crude_Breakdown]],crudeBD.lkup[Crude Breakdown],0)))^2</f>
        <v>3.7542235476453578E-2</v>
      </c>
      <c r="AM669" s="4">
        <f>IF(AND(vp.data[[#This Row],[SDate]]&gt;=DATE(YEAR(vp.data[[#This Row],[SDate]]),5,1),vp.data[[#This Row],[SDate]]&lt;=DATE(YEAR(vp.data[[#This Row],[SDate]]),9,15)),1,0)</f>
        <v>0</v>
      </c>
      <c r="AN669" s="4">
        <f>IF(vp.data[[#This Row],[SDate]]&lt;DATE(2016,12,1),0,1)</f>
        <v>1</v>
      </c>
      <c r="AO669" s="4">
        <f>IFERROR(vp.data[[#This Row],[Sulf]]*vp.data[[#This Row],[Net Dens]],"")</f>
        <v>175819.58830500001</v>
      </c>
      <c r="AP669">
        <f>IFERROR(vp.data[[#This Row],[Dens]]*vp.data[[#This Row],[VolumeM3]],"")</f>
        <v>408882.76350000006</v>
      </c>
      <c r="AQ669" s="15">
        <f>IFERROR(vp.data[[#This Row],[VP]]*vp.data[[#This Row],[VolumeM3]],"")</f>
        <v>55919.913</v>
      </c>
    </row>
    <row r="670" spans="1:43" x14ac:dyDescent="0.25">
      <c r="A670">
        <v>669</v>
      </c>
      <c r="B670" t="s">
        <v>56</v>
      </c>
      <c r="C670" t="s">
        <v>56</v>
      </c>
      <c r="D670" t="s">
        <v>149</v>
      </c>
      <c r="F670" s="1">
        <v>42761</v>
      </c>
      <c r="G670" s="2">
        <v>88.5</v>
      </c>
      <c r="H670" s="2"/>
      <c r="I670" s="2">
        <f t="array" ref="I670">_xlfn.IFNA(IF(vp.data[[#This Row],[Sulf Input]]="",INDEX([1]DATA!$Q$3:$Q$9826,MATCH(1,(vp.data[[#This Row],[Battery]]=[1]DATA!$L$3:$L$9826)*(EOMONTH(vp.data[[#This Row],[SDate]],-1)+1=[1]DATA!$G$3:$G$9826),0)),vp.data[[#This Row],[Sulf Input]]),"")</f>
        <v>0.72</v>
      </c>
      <c r="J670" s="2">
        <v>25.9</v>
      </c>
      <c r="K670" s="2">
        <v>-10</v>
      </c>
      <c r="L670" s="2">
        <v>824.6</v>
      </c>
      <c r="M670" s="2">
        <f t="array" ref="M670">_xlfn.IFNA(IF(vp.data[[#This Row],[Dens Input]]="",INDEX([1]DATA!$O$3:$O$9826,MATCH(1,(vp.data[[#This Row],[Battery]]=[1]DATA!$L$3:$L$9826)*(EOMONTH(vp.data[[#This Row],[SDate]],-1)+1=[1]DATA!$G$3:$G$9826),0)),vp.data[[#This Row],[Dens Input]]),"")</f>
        <v>824.6</v>
      </c>
      <c r="N670" s="2">
        <f ca="1">INDEX(INDIRECT(_xlfn.CONCAT("weather.tbl[",N$1,"]")),MATCH(vp.data[[#This Row],[SDate]],weather.tbl[Date],0))</f>
        <v>-11.866666666666667</v>
      </c>
      <c r="O670" s="2">
        <f ca="1">INDEX(INDIRECT(_xlfn.CONCAT("weather.tbl[",O$1,"]")),MATCH(vp.data[[#This Row],[SDate]],weather.tbl[Date],0))</f>
        <v>-7.5095238095238104</v>
      </c>
      <c r="P670" s="2">
        <f ca="1">INDEX(INDIRECT(_xlfn.CONCAT("weather.tbl[",P$1,"]")),MATCH(vp.data[[#This Row],[SDate]],weather.tbl[Date],0))</f>
        <v>-12.9</v>
      </c>
      <c r="Q670" s="2">
        <f ca="1">INDEX(INDIRECT(_xlfn.CONCAT("weather.tbl[",Q$1,"]")),MATCH(vp.data[[#This Row],[SDate]],weather.tbl[Date],0))</f>
        <v>-12.1</v>
      </c>
      <c r="R670" s="2">
        <f ca="1">INDEX(INDIRECT(_xlfn.CONCAT("weather.tbl[",R$1,"]")),MATCH(vp.data[[#This Row],[SDate]],weather.tbl[Date],0))</f>
        <v>-13.5</v>
      </c>
      <c r="S670" s="2">
        <f ca="1">INDEX(INDIRECT(_xlfn.CONCAT("weather.tbl[",S$1,"]")),MATCH(vp.data[[#This Row],[SDate]],weather.tbl[Date],0))</f>
        <v>-11.3</v>
      </c>
      <c r="T670" s="2">
        <f ca="1">INDEX(INDIRECT(_xlfn.CONCAT("weather.tbl[",T$1,"]")),MATCH(vp.data[[#This Row],[SDate]],weather.tbl[Date],0))</f>
        <v>-10.6</v>
      </c>
      <c r="U670" s="2">
        <f ca="1">INDEX(INDIRECT(_xlfn.CONCAT("weather.tbl[",U$1,"]")),MATCH(vp.data[[#This Row],[SDate]],weather.tbl[Date],0))</f>
        <v>-10.8</v>
      </c>
      <c r="V670" s="2">
        <f t="array" ref="V6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5925.384</v>
      </c>
      <c r="W670" t="s">
        <v>48</v>
      </c>
      <c r="X670">
        <f>IF(OR(vp.data[[#This Row],[Sulf]]="",vp.data[[#This Row],[Dens]]=""),1,0)</f>
        <v>0</v>
      </c>
      <c r="Y670">
        <f>IF(vp.data[[#This Row],[CrudeType]]="C5+",1,0)</f>
        <v>0</v>
      </c>
      <c r="Z670">
        <f>IF(AND(vp.data[[#This Row],[CrudeType]]="Crude",vp.data[[#This Row],[Dens]]&lt;=825,vp.data[[#This Row],[Sulf]]&gt;0.5,vp.data[[#This Row],[Unknown]]=0),1,0)</f>
        <v>1</v>
      </c>
      <c r="AA670">
        <f>IF(AND(vp.data[[#This Row],[CrudeType]]="Crude",vp.data[[#This Row],[Dens]]&lt;=825,vp.data[[#This Row],[Sulf]]&lt;=0.5,vp.data[[#This Row],[Unknown]]=0),1,0)</f>
        <v>0</v>
      </c>
      <c r="AB6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70">
        <f>IF(AND(vp.data[[#This Row],[CrudeType]]="Crude",vp.data[[#This Row],[Dens]]&gt;825,vp.data[[#This Row],[Dens]]&lt;=900,vp.data[[#This Row],[Sulf]]&lt;=0.5,vp.data[[#This Row],[Unknown]]=0),1,0)</f>
        <v>0</v>
      </c>
      <c r="AD670">
        <f>IF(AND(vp.data[[#This Row],[CrudeType]]="Crude",vp.data[[#This Row],[Dens]]&gt;865,vp.data[[#This Row],[Dens]]&lt;=900,vp.data[[#This Row],[Sulf]]&gt;2,vp.data[[#This Row],[Unknown]]=0),1,0)</f>
        <v>0</v>
      </c>
      <c r="AE670">
        <f>IF(AND(vp.data[[#This Row],[CrudeType]]="Crude",vp.data[[#This Row],[Dens]]&gt;900,vp.data[[#This Row],[Sulf]]&lt;=0.5,vp.data[[#This Row],[Unknown]]=0),1,0)</f>
        <v>0</v>
      </c>
      <c r="AF670">
        <f>IF(AND(vp.data[[#This Row],[CrudeType]]="Crude",vp.data[[#This Row],[Dens]]&gt;900,vp.data[[#This Row],[Sulf]]&lt;=0.5,vp.data[[#This Row],[Unknown]]=0),1,0)</f>
        <v>0</v>
      </c>
      <c r="AG670" t="str">
        <f>INDEX(vp.data[[#Headers],[Unknown]:[Heavy_SW]],MATCH(1,vp.data[[#This Row],[Unknown]:[Heavy_SW]],0))</f>
        <v>Light_LSB</v>
      </c>
      <c r="AH670">
        <f>INDEX([3]!crudeBD.lkup[Number],MATCH(vp.data[[#This Row],[Crude_Breakdown]],crudeBD.lkup[Crude Breakdown],0))</f>
        <v>1</v>
      </c>
      <c r="AI670">
        <f>MONTH(vp.data[[#This Row],[SDate]])</f>
        <v>1</v>
      </c>
      <c r="AJ670" s="5">
        <f>(vp.data[[#This Row],[VP]]-INDEX(crudeBD.lkup[Mean_VP],MATCH(vp.data[[#This Row],[Crude_Breakdown]],crudeBD.lkup[Crude Breakdown],0)))^2</f>
        <v>9.2792465086621085</v>
      </c>
      <c r="AK670" s="5">
        <f>(vp.data[[#This Row],[Dens]]-INDEX(crudeBD.lkup[Mean_Dens],MATCH(vp.data[[#This Row],[Crude_Breakdown]],crudeBD.lkup[Crude Breakdown],0)))^2</f>
        <v>37.005690159544017</v>
      </c>
      <c r="AL670" s="5">
        <f>(vp.data[[#This Row],[Sulf]]-INDEX(crudeBD.lkup[Mean_Sulf],MATCH(vp.data[[#This Row],[Crude_Breakdown]],crudeBD.lkup[Crude Breakdown],0)))^2</f>
        <v>4.1197295195523106E-2</v>
      </c>
      <c r="AM670" s="4">
        <f>IF(AND(vp.data[[#This Row],[SDate]]&gt;=DATE(YEAR(vp.data[[#This Row],[SDate]]),5,1),vp.data[[#This Row],[SDate]]&lt;=DATE(YEAR(vp.data[[#This Row],[SDate]]),9,15)),1,0)</f>
        <v>0</v>
      </c>
      <c r="AN670" s="4">
        <f>IF(vp.data[[#This Row],[SDate]]&lt;DATE(2016,12,1),0,1)</f>
        <v>1</v>
      </c>
      <c r="AO670" s="4">
        <f>IFERROR(vp.data[[#This Row],[Sulf]]*vp.data[[#This Row],[Net Dens]],"")</f>
        <v>3517971.5854079998</v>
      </c>
      <c r="AP670">
        <f>IFERROR(vp.data[[#This Row],[Dens]]*vp.data[[#This Row],[VolumeM3]],"")</f>
        <v>4886071.6464</v>
      </c>
      <c r="AQ670" s="15">
        <f>IFERROR(vp.data[[#This Row],[VP]]*vp.data[[#This Row],[VolumeM3]],"")</f>
        <v>524396.48400000005</v>
      </c>
    </row>
    <row r="671" spans="1:43" x14ac:dyDescent="0.25">
      <c r="A671">
        <v>670</v>
      </c>
      <c r="B671" t="s">
        <v>51</v>
      </c>
      <c r="C671" t="s">
        <v>51</v>
      </c>
      <c r="D671" t="s">
        <v>72</v>
      </c>
      <c r="F671" s="1">
        <v>42761</v>
      </c>
      <c r="G671" s="2">
        <v>97.4</v>
      </c>
      <c r="H671" s="2"/>
      <c r="I671" s="2">
        <f t="array" ref="I671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671" s="2">
        <v>21.3</v>
      </c>
      <c r="K671" s="2">
        <v>-10</v>
      </c>
      <c r="L671" s="2">
        <v>833.2</v>
      </c>
      <c r="M671" s="2">
        <f t="array" ref="M671">_xlfn.IFNA(IF(vp.data[[#This Row],[Dens Input]]="",INDEX([1]DATA!$O$3:$O$9826,MATCH(1,(vp.data[[#This Row],[Battery]]=[1]DATA!$L$3:$L$9826)*(EOMONTH(vp.data[[#This Row],[SDate]],-1)+1=[1]DATA!$G$3:$G$9826),0)),vp.data[[#This Row],[Dens Input]]),"")</f>
        <v>833.2</v>
      </c>
      <c r="N671" s="2">
        <f ca="1">INDEX(INDIRECT(_xlfn.CONCAT("weather.tbl[",N$1,"]")),MATCH(vp.data[[#This Row],[SDate]],weather.tbl[Date],0))</f>
        <v>-11.866666666666667</v>
      </c>
      <c r="O671" s="2">
        <f ca="1">INDEX(INDIRECT(_xlfn.CONCAT("weather.tbl[",O$1,"]")),MATCH(vp.data[[#This Row],[SDate]],weather.tbl[Date],0))</f>
        <v>-7.5095238095238104</v>
      </c>
      <c r="P671" s="2">
        <f ca="1">INDEX(INDIRECT(_xlfn.CONCAT("weather.tbl[",P$1,"]")),MATCH(vp.data[[#This Row],[SDate]],weather.tbl[Date],0))</f>
        <v>-12.9</v>
      </c>
      <c r="Q671" s="2">
        <f ca="1">INDEX(INDIRECT(_xlfn.CONCAT("weather.tbl[",Q$1,"]")),MATCH(vp.data[[#This Row],[SDate]],weather.tbl[Date],0))</f>
        <v>-12.1</v>
      </c>
      <c r="R671" s="2">
        <f ca="1">INDEX(INDIRECT(_xlfn.CONCAT("weather.tbl[",R$1,"]")),MATCH(vp.data[[#This Row],[SDate]],weather.tbl[Date],0))</f>
        <v>-13.5</v>
      </c>
      <c r="S671" s="2">
        <f ca="1">INDEX(INDIRECT(_xlfn.CONCAT("weather.tbl[",S$1,"]")),MATCH(vp.data[[#This Row],[SDate]],weather.tbl[Date],0))</f>
        <v>-11.3</v>
      </c>
      <c r="T671" s="2">
        <f ca="1">INDEX(INDIRECT(_xlfn.CONCAT("weather.tbl[",T$1,"]")),MATCH(vp.data[[#This Row],[SDate]],weather.tbl[Date],0))</f>
        <v>-10.6</v>
      </c>
      <c r="U671" s="2">
        <f ca="1">INDEX(INDIRECT(_xlfn.CONCAT("weather.tbl[",U$1,"]")),MATCH(vp.data[[#This Row],[SDate]],weather.tbl[Date],0))</f>
        <v>-10.8</v>
      </c>
      <c r="V671" s="2">
        <f t="array" ref="V6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14039.305</v>
      </c>
      <c r="W671" t="s">
        <v>48</v>
      </c>
      <c r="X671">
        <f>IF(OR(vp.data[[#This Row],[Sulf]]="",vp.data[[#This Row],[Dens]]=""),1,0)</f>
        <v>0</v>
      </c>
      <c r="Y671">
        <f>IF(vp.data[[#This Row],[CrudeType]]="C5+",1,0)</f>
        <v>0</v>
      </c>
      <c r="Z671">
        <f>IF(AND(vp.data[[#This Row],[CrudeType]]="Crude",vp.data[[#This Row],[Dens]]&lt;=825,vp.data[[#This Row],[Sulf]]&gt;0.5,vp.data[[#This Row],[Unknown]]=0),1,0)</f>
        <v>0</v>
      </c>
      <c r="AA671">
        <f>IF(AND(vp.data[[#This Row],[CrudeType]]="Crude",vp.data[[#This Row],[Dens]]&lt;=825,vp.data[[#This Row],[Sulf]]&lt;=0.5,vp.data[[#This Row],[Unknown]]=0),1,0)</f>
        <v>0</v>
      </c>
      <c r="AB6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1">
        <f>IF(AND(vp.data[[#This Row],[CrudeType]]="Crude",vp.data[[#This Row],[Dens]]&gt;825,vp.data[[#This Row],[Dens]]&lt;=900,vp.data[[#This Row],[Sulf]]&lt;=0.5,vp.data[[#This Row],[Unknown]]=0),1,0)</f>
        <v>0</v>
      </c>
      <c r="AD671">
        <f>IF(AND(vp.data[[#This Row],[CrudeType]]="Crude",vp.data[[#This Row],[Dens]]&gt;865,vp.data[[#This Row],[Dens]]&lt;=900,vp.data[[#This Row],[Sulf]]&gt;2,vp.data[[#This Row],[Unknown]]=0),1,0)</f>
        <v>0</v>
      </c>
      <c r="AE671">
        <f>IF(AND(vp.data[[#This Row],[CrudeType]]="Crude",vp.data[[#This Row],[Dens]]&gt;900,vp.data[[#This Row],[Sulf]]&lt;=0.5,vp.data[[#This Row],[Unknown]]=0),1,0)</f>
        <v>0</v>
      </c>
      <c r="AF671">
        <f>IF(AND(vp.data[[#This Row],[CrudeType]]="Crude",vp.data[[#This Row],[Dens]]&gt;900,vp.data[[#This Row],[Sulf]]&lt;=0.5,vp.data[[#This Row],[Unknown]]=0),1,0)</f>
        <v>0</v>
      </c>
      <c r="AG671" t="str">
        <f>INDEX(vp.data[[#Headers],[Unknown]:[Heavy_SW]],MATCH(1,vp.data[[#This Row],[Unknown]:[Heavy_SW]],0))</f>
        <v>Medium_LSB</v>
      </c>
      <c r="AH671">
        <f>INDEX([3]!crudeBD.lkup[Number],MATCH(vp.data[[#This Row],[Crude_Breakdown]],crudeBD.lkup[Crude Breakdown],0))</f>
        <v>3</v>
      </c>
      <c r="AI671">
        <f>MONTH(vp.data[[#This Row],[SDate]])</f>
        <v>1</v>
      </c>
      <c r="AJ671" s="5">
        <f>(vp.data[[#This Row],[VP]]-INDEX(crudeBD.lkup[Mean_VP],MATCH(vp.data[[#This Row],[Crude_Breakdown]],crudeBD.lkup[Crude Breakdown],0)))^2</f>
        <v>280.90844215314007</v>
      </c>
      <c r="AK671" s="5">
        <f>(vp.data[[#This Row],[Dens]]-INDEX(crudeBD.lkup[Mean_Dens],MATCH(vp.data[[#This Row],[Crude_Breakdown]],crudeBD.lkup[Crude Breakdown],0)))^2</f>
        <v>114.9183999999884</v>
      </c>
      <c r="AL671" s="5">
        <f>(vp.data[[#This Row],[Sulf]]-INDEX(crudeBD.lkup[Mean_Sulf],MATCH(vp.data[[#This Row],[Crude_Breakdown]],crudeBD.lkup[Crude Breakdown],0)))^2</f>
        <v>5.0808823575477689E-2</v>
      </c>
      <c r="AM671" s="4">
        <f>IF(AND(vp.data[[#This Row],[SDate]]&gt;=DATE(YEAR(vp.data[[#This Row],[SDate]]),5,1),vp.data[[#This Row],[SDate]]&lt;=DATE(YEAR(vp.data[[#This Row],[SDate]]),9,15)),1,0)</f>
        <v>0</v>
      </c>
      <c r="AN671" s="4">
        <f>IF(vp.data[[#This Row],[SDate]]&lt;DATE(2016,12,1),0,1)</f>
        <v>1</v>
      </c>
      <c r="AO671" s="4">
        <f>IFERROR(vp.data[[#This Row],[Sulf]]*vp.data[[#This Row],[Net Dens]],"")</f>
        <v>13569156.75416</v>
      </c>
      <c r="AP671">
        <f>IFERROR(vp.data[[#This Row],[Dens]]*vp.data[[#This Row],[VolumeM3]],"")</f>
        <v>11697548.926000001</v>
      </c>
      <c r="AQ671" s="15">
        <f>IFERROR(vp.data[[#This Row],[VP]]*vp.data[[#This Row],[VolumeM3]],"")</f>
        <v>1367428.307</v>
      </c>
    </row>
    <row r="672" spans="1:43" x14ac:dyDescent="0.25">
      <c r="A672">
        <v>671</v>
      </c>
      <c r="B672" t="s">
        <v>49</v>
      </c>
      <c r="C672" t="s">
        <v>49</v>
      </c>
      <c r="D672" t="s">
        <v>59</v>
      </c>
      <c r="F672" s="1">
        <v>42761</v>
      </c>
      <c r="G672" s="2">
        <v>86.3</v>
      </c>
      <c r="H672" s="2"/>
      <c r="I672" s="2">
        <f t="array" ref="I672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672" s="2">
        <v>-1.4</v>
      </c>
      <c r="K672" s="2">
        <v>-10</v>
      </c>
      <c r="L672" s="2">
        <v>840</v>
      </c>
      <c r="M672" s="2">
        <f t="array" ref="M672">_xlfn.IFNA(IF(vp.data[[#This Row],[Dens Input]]="",INDEX([1]DATA!$O$3:$O$9826,MATCH(1,(vp.data[[#This Row],[Battery]]=[1]DATA!$L$3:$L$9826)*(EOMONTH(vp.data[[#This Row],[SDate]],-1)+1=[1]DATA!$G$3:$G$9826),0)),vp.data[[#This Row],[Dens Input]]),"")</f>
        <v>840</v>
      </c>
      <c r="N672" s="2">
        <f ca="1">INDEX(INDIRECT(_xlfn.CONCAT("weather.tbl[",N$1,"]")),MATCH(vp.data[[#This Row],[SDate]],weather.tbl[Date],0))</f>
        <v>-11.866666666666667</v>
      </c>
      <c r="O672" s="2">
        <f ca="1">INDEX(INDIRECT(_xlfn.CONCAT("weather.tbl[",O$1,"]")),MATCH(vp.data[[#This Row],[SDate]],weather.tbl[Date],0))</f>
        <v>-7.5095238095238104</v>
      </c>
      <c r="P672" s="2">
        <f ca="1">INDEX(INDIRECT(_xlfn.CONCAT("weather.tbl[",P$1,"]")),MATCH(vp.data[[#This Row],[SDate]],weather.tbl[Date],0))</f>
        <v>-12.9</v>
      </c>
      <c r="Q672" s="2">
        <f ca="1">INDEX(INDIRECT(_xlfn.CONCAT("weather.tbl[",Q$1,"]")),MATCH(vp.data[[#This Row],[SDate]],weather.tbl[Date],0))</f>
        <v>-12.1</v>
      </c>
      <c r="R672" s="2">
        <f ca="1">INDEX(INDIRECT(_xlfn.CONCAT("weather.tbl[",R$1,"]")),MATCH(vp.data[[#This Row],[SDate]],weather.tbl[Date],0))</f>
        <v>-13.5</v>
      </c>
      <c r="S672" s="2">
        <f ca="1">INDEX(INDIRECT(_xlfn.CONCAT("weather.tbl[",S$1,"]")),MATCH(vp.data[[#This Row],[SDate]],weather.tbl[Date],0))</f>
        <v>-11.3</v>
      </c>
      <c r="T672" s="2">
        <f ca="1">INDEX(INDIRECT(_xlfn.CONCAT("weather.tbl[",T$1,"]")),MATCH(vp.data[[#This Row],[SDate]],weather.tbl[Date],0))</f>
        <v>-10.6</v>
      </c>
      <c r="U672" s="2">
        <f ca="1">INDEX(INDIRECT(_xlfn.CONCAT("weather.tbl[",U$1,"]")),MATCH(vp.data[[#This Row],[SDate]],weather.tbl[Date],0))</f>
        <v>-10.8</v>
      </c>
      <c r="V672" s="2">
        <f t="array" ref="V6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1887.288</v>
      </c>
      <c r="W672" t="s">
        <v>48</v>
      </c>
      <c r="X672">
        <f>IF(OR(vp.data[[#This Row],[Sulf]]="",vp.data[[#This Row],[Dens]]=""),1,0)</f>
        <v>0</v>
      </c>
      <c r="Y672">
        <f>IF(vp.data[[#This Row],[CrudeType]]="C5+",1,0)</f>
        <v>0</v>
      </c>
      <c r="Z672">
        <f>IF(AND(vp.data[[#This Row],[CrudeType]]="Crude",vp.data[[#This Row],[Dens]]&lt;=825,vp.data[[#This Row],[Sulf]]&gt;0.5,vp.data[[#This Row],[Unknown]]=0),1,0)</f>
        <v>0</v>
      </c>
      <c r="AA672">
        <f>IF(AND(vp.data[[#This Row],[CrudeType]]="Crude",vp.data[[#This Row],[Dens]]&lt;=825,vp.data[[#This Row],[Sulf]]&lt;=0.5,vp.data[[#This Row],[Unknown]]=0),1,0)</f>
        <v>0</v>
      </c>
      <c r="AB6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2">
        <f>IF(AND(vp.data[[#This Row],[CrudeType]]="Crude",vp.data[[#This Row],[Dens]]&gt;825,vp.data[[#This Row],[Dens]]&lt;=900,vp.data[[#This Row],[Sulf]]&lt;=0.5,vp.data[[#This Row],[Unknown]]=0),1,0)</f>
        <v>0</v>
      </c>
      <c r="AD672">
        <f>IF(AND(vp.data[[#This Row],[CrudeType]]="Crude",vp.data[[#This Row],[Dens]]&gt;865,vp.data[[#This Row],[Dens]]&lt;=900,vp.data[[#This Row],[Sulf]]&gt;2,vp.data[[#This Row],[Unknown]]=0),1,0)</f>
        <v>0</v>
      </c>
      <c r="AE672">
        <f>IF(AND(vp.data[[#This Row],[CrudeType]]="Crude",vp.data[[#This Row],[Dens]]&gt;900,vp.data[[#This Row],[Sulf]]&lt;=0.5,vp.data[[#This Row],[Unknown]]=0),1,0)</f>
        <v>0</v>
      </c>
      <c r="AF672">
        <f>IF(AND(vp.data[[#This Row],[CrudeType]]="Crude",vp.data[[#This Row],[Dens]]&gt;900,vp.data[[#This Row],[Sulf]]&lt;=0.5,vp.data[[#This Row],[Unknown]]=0),1,0)</f>
        <v>0</v>
      </c>
      <c r="AG672" t="str">
        <f>INDEX(vp.data[[#Headers],[Unknown]:[Heavy_SW]],MATCH(1,vp.data[[#This Row],[Unknown]:[Heavy_SW]],0))</f>
        <v>Medium_LSB</v>
      </c>
      <c r="AH672">
        <f>INDEX([3]!crudeBD.lkup[Number],MATCH(vp.data[[#This Row],[Crude_Breakdown]],crudeBD.lkup[Crude Breakdown],0))</f>
        <v>3</v>
      </c>
      <c r="AI672">
        <f>MONTH(vp.data[[#This Row],[SDate]])</f>
        <v>1</v>
      </c>
      <c r="AJ672" s="5">
        <f>(vp.data[[#This Row],[VP]]-INDEX(crudeBD.lkup[Mean_VP],MATCH(vp.data[[#This Row],[Crude_Breakdown]],crudeBD.lkup[Crude Breakdown],0)))^2</f>
        <v>32.039261560146372</v>
      </c>
      <c r="AK672" s="5">
        <f>(vp.data[[#This Row],[Dens]]-INDEX(crudeBD.lkup[Mean_Dens],MATCH(vp.data[[#This Row],[Crude_Breakdown]],crudeBD.lkup[Crude Breakdown],0)))^2</f>
        <v>15.366399999996114</v>
      </c>
      <c r="AL672" s="5">
        <f>(vp.data[[#This Row],[Sulf]]-INDEX(crudeBD.lkup[Mean_Sulf],MATCH(vp.data[[#This Row],[Crude_Breakdown]],crudeBD.lkup[Crude Breakdown],0)))^2</f>
        <v>0.16369458395283426</v>
      </c>
      <c r="AM672" s="4">
        <f>IF(AND(vp.data[[#This Row],[SDate]]&gt;=DATE(YEAR(vp.data[[#This Row],[SDate]]),5,1),vp.data[[#This Row],[SDate]]&lt;=DATE(YEAR(vp.data[[#This Row],[SDate]]),9,15)),1,0)</f>
        <v>0</v>
      </c>
      <c r="AN672" s="4">
        <f>IF(vp.data[[#This Row],[SDate]]&lt;DATE(2016,12,1),0,1)</f>
        <v>1</v>
      </c>
      <c r="AO672" s="4">
        <f>IFERROR(vp.data[[#This Row],[Sulf]]*vp.data[[#This Row],[Net Dens]],"")</f>
        <v>2837726.2368000001</v>
      </c>
      <c r="AP672">
        <f>IFERROR(vp.data[[#This Row],[Dens]]*vp.data[[#This Row],[VolumeM3]],"")</f>
        <v>1585321.92</v>
      </c>
      <c r="AQ672" s="15">
        <f>IFERROR(vp.data[[#This Row],[VP]]*vp.data[[#This Row],[VolumeM3]],"")</f>
        <v>162872.95439999999</v>
      </c>
    </row>
    <row r="673" spans="1:43" x14ac:dyDescent="0.25">
      <c r="A673">
        <v>672</v>
      </c>
      <c r="B673" t="s">
        <v>51</v>
      </c>
      <c r="C673" t="s">
        <v>51</v>
      </c>
      <c r="D673" t="s">
        <v>95</v>
      </c>
      <c r="F673" s="1">
        <v>42761</v>
      </c>
      <c r="G673" s="2">
        <v>64.7</v>
      </c>
      <c r="H673" s="2"/>
      <c r="I673" s="2">
        <f t="array" ref="I673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673" s="2">
        <v>35.200000000000003</v>
      </c>
      <c r="K673" s="2">
        <v>-10</v>
      </c>
      <c r="L673" s="2">
        <v>843.3</v>
      </c>
      <c r="M673" s="2">
        <f t="array" ref="M673">_xlfn.IFNA(IF(vp.data[[#This Row],[Dens Input]]="",INDEX([1]DATA!$O$3:$O$9826,MATCH(1,(vp.data[[#This Row],[Battery]]=[1]DATA!$L$3:$L$9826)*(EOMONTH(vp.data[[#This Row],[SDate]],-1)+1=[1]DATA!$G$3:$G$9826),0)),vp.data[[#This Row],[Dens Input]]),"")</f>
        <v>843.3</v>
      </c>
      <c r="N673" s="2">
        <f ca="1">INDEX(INDIRECT(_xlfn.CONCAT("weather.tbl[",N$1,"]")),MATCH(vp.data[[#This Row],[SDate]],weather.tbl[Date],0))</f>
        <v>-11.866666666666667</v>
      </c>
      <c r="O673" s="2">
        <f ca="1">INDEX(INDIRECT(_xlfn.CONCAT("weather.tbl[",O$1,"]")),MATCH(vp.data[[#This Row],[SDate]],weather.tbl[Date],0))</f>
        <v>-7.5095238095238104</v>
      </c>
      <c r="P673" s="2">
        <f ca="1">INDEX(INDIRECT(_xlfn.CONCAT("weather.tbl[",P$1,"]")),MATCH(vp.data[[#This Row],[SDate]],weather.tbl[Date],0))</f>
        <v>-12.9</v>
      </c>
      <c r="Q673" s="2">
        <f ca="1">INDEX(INDIRECT(_xlfn.CONCAT("weather.tbl[",Q$1,"]")),MATCH(vp.data[[#This Row],[SDate]],weather.tbl[Date],0))</f>
        <v>-12.1</v>
      </c>
      <c r="R673" s="2">
        <f ca="1">INDEX(INDIRECT(_xlfn.CONCAT("weather.tbl[",R$1,"]")),MATCH(vp.data[[#This Row],[SDate]],weather.tbl[Date],0))</f>
        <v>-13.5</v>
      </c>
      <c r="S673" s="2">
        <f ca="1">INDEX(INDIRECT(_xlfn.CONCAT("weather.tbl[",S$1,"]")),MATCH(vp.data[[#This Row],[SDate]],weather.tbl[Date],0))</f>
        <v>-11.3</v>
      </c>
      <c r="T673" s="2">
        <f ca="1">INDEX(INDIRECT(_xlfn.CONCAT("weather.tbl[",T$1,"]")),MATCH(vp.data[[#This Row],[SDate]],weather.tbl[Date],0))</f>
        <v>-10.6</v>
      </c>
      <c r="U673" s="2">
        <f ca="1">INDEX(INDIRECT(_xlfn.CONCAT("weather.tbl[",U$1,"]")),MATCH(vp.data[[#This Row],[SDate]],weather.tbl[Date],0))</f>
        <v>-10.8</v>
      </c>
      <c r="V673" s="2">
        <f t="array" ref="V6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6182.9449999999997</v>
      </c>
      <c r="W673" t="s">
        <v>48</v>
      </c>
      <c r="X673">
        <f>IF(OR(vp.data[[#This Row],[Sulf]]="",vp.data[[#This Row],[Dens]]=""),1,0)</f>
        <v>0</v>
      </c>
      <c r="Y673">
        <f>IF(vp.data[[#This Row],[CrudeType]]="C5+",1,0)</f>
        <v>0</v>
      </c>
      <c r="Z673">
        <f>IF(AND(vp.data[[#This Row],[CrudeType]]="Crude",vp.data[[#This Row],[Dens]]&lt;=825,vp.data[[#This Row],[Sulf]]&gt;0.5,vp.data[[#This Row],[Unknown]]=0),1,0)</f>
        <v>0</v>
      </c>
      <c r="AA673">
        <f>IF(AND(vp.data[[#This Row],[CrudeType]]="Crude",vp.data[[#This Row],[Dens]]&lt;=825,vp.data[[#This Row],[Sulf]]&lt;=0.5,vp.data[[#This Row],[Unknown]]=0),1,0)</f>
        <v>0</v>
      </c>
      <c r="AB6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3">
        <f>IF(AND(vp.data[[#This Row],[CrudeType]]="Crude",vp.data[[#This Row],[Dens]]&gt;825,vp.data[[#This Row],[Dens]]&lt;=900,vp.data[[#This Row],[Sulf]]&lt;=0.5,vp.data[[#This Row],[Unknown]]=0),1,0)</f>
        <v>0</v>
      </c>
      <c r="AD673">
        <f>IF(AND(vp.data[[#This Row],[CrudeType]]="Crude",vp.data[[#This Row],[Dens]]&gt;865,vp.data[[#This Row],[Dens]]&lt;=900,vp.data[[#This Row],[Sulf]]&gt;2,vp.data[[#This Row],[Unknown]]=0),1,0)</f>
        <v>0</v>
      </c>
      <c r="AE673">
        <f>IF(AND(vp.data[[#This Row],[CrudeType]]="Crude",vp.data[[#This Row],[Dens]]&gt;900,vp.data[[#This Row],[Sulf]]&lt;=0.5,vp.data[[#This Row],[Unknown]]=0),1,0)</f>
        <v>0</v>
      </c>
      <c r="AF673">
        <f>IF(AND(vp.data[[#This Row],[CrudeType]]="Crude",vp.data[[#This Row],[Dens]]&gt;900,vp.data[[#This Row],[Sulf]]&lt;=0.5,vp.data[[#This Row],[Unknown]]=0),1,0)</f>
        <v>0</v>
      </c>
      <c r="AG673" t="str">
        <f>INDEX(vp.data[[#Headers],[Unknown]:[Heavy_SW]],MATCH(1,vp.data[[#This Row],[Unknown]:[Heavy_SW]],0))</f>
        <v>Medium_LSB</v>
      </c>
      <c r="AH673">
        <f>INDEX([3]!crudeBD.lkup[Number],MATCH(vp.data[[#This Row],[Crude_Breakdown]],crudeBD.lkup[Crude Breakdown],0))</f>
        <v>3</v>
      </c>
      <c r="AI673">
        <f>MONTH(vp.data[[#This Row],[SDate]])</f>
        <v>1</v>
      </c>
      <c r="AJ673" s="5">
        <f>(vp.data[[#This Row],[VP]]-INDEX(crudeBD.lkup[Mean_VP],MATCH(vp.data[[#This Row],[Crude_Breakdown]],crudeBD.lkup[Crude Breakdown],0)))^2</f>
        <v>254.07328851432112</v>
      </c>
      <c r="AK673" s="5">
        <f>(vp.data[[#This Row],[Dens]]-INDEX(crudeBD.lkup[Mean_Dens],MATCH(vp.data[[#This Row],[Crude_Breakdown]],crudeBD.lkup[Crude Breakdown],0)))^2</f>
        <v>0.38439999999944174</v>
      </c>
      <c r="AL673" s="5">
        <f>(vp.data[[#This Row],[Sulf]]-INDEX(crudeBD.lkup[Mean_Sulf],MATCH(vp.data[[#This Row],[Crude_Breakdown]],crudeBD.lkup[Crude Breakdown],0)))^2</f>
        <v>2.7359848373321144E-2</v>
      </c>
      <c r="AM673" s="4">
        <f>IF(AND(vp.data[[#This Row],[SDate]]&gt;=DATE(YEAR(vp.data[[#This Row],[SDate]]),5,1),vp.data[[#This Row],[SDate]]&lt;=DATE(YEAR(vp.data[[#This Row],[SDate]]),9,15)),1,0)</f>
        <v>0</v>
      </c>
      <c r="AN673" s="4">
        <f>IF(vp.data[[#This Row],[SDate]]&lt;DATE(2016,12,1),0,1)</f>
        <v>1</v>
      </c>
      <c r="AO673" s="4">
        <f>IFERROR(vp.data[[#This Row],[Sulf]]*vp.data[[#This Row],[Net Dens]],"")</f>
        <v>6361174.5725699989</v>
      </c>
      <c r="AP673">
        <f>IFERROR(vp.data[[#This Row],[Dens]]*vp.data[[#This Row],[VolumeM3]],"")</f>
        <v>5214077.5184999993</v>
      </c>
      <c r="AQ673" s="15">
        <f>IFERROR(vp.data[[#This Row],[VP]]*vp.data[[#This Row],[VolumeM3]],"")</f>
        <v>400036.54149999999</v>
      </c>
    </row>
    <row r="674" spans="1:43" x14ac:dyDescent="0.25">
      <c r="A674">
        <v>673</v>
      </c>
      <c r="B674" t="s">
        <v>56</v>
      </c>
      <c r="C674" t="s">
        <v>56</v>
      </c>
      <c r="D674" t="s">
        <v>94</v>
      </c>
      <c r="F674" s="1">
        <v>42761</v>
      </c>
      <c r="G674" s="2">
        <v>81.7</v>
      </c>
      <c r="H674" s="2"/>
      <c r="I674" s="2">
        <f t="array" ref="I674">_xlfn.IFNA(IF(vp.data[[#This Row],[Sulf Input]]="",INDEX([1]DATA!$Q$3:$Q$9826,MATCH(1,(vp.data[[#This Row],[Battery]]=[1]DATA!$L$3:$L$9826)*(EOMONTH(vp.data[[#This Row],[SDate]],-1)+1=[1]DATA!$G$3:$G$9826),0)),vp.data[[#This Row],[Sulf Input]]),"")</f>
        <v>1.98</v>
      </c>
      <c r="J674" s="2">
        <v>19</v>
      </c>
      <c r="K674" s="2">
        <v>-10</v>
      </c>
      <c r="L674" s="2">
        <v>855.7</v>
      </c>
      <c r="M674" s="2">
        <f t="array" ref="M674">_xlfn.IFNA(IF(vp.data[[#This Row],[Dens Input]]="",INDEX([1]DATA!$O$3:$O$9826,MATCH(1,(vp.data[[#This Row],[Battery]]=[1]DATA!$L$3:$L$9826)*(EOMONTH(vp.data[[#This Row],[SDate]],-1)+1=[1]DATA!$G$3:$G$9826),0)),vp.data[[#This Row],[Dens Input]]),"")</f>
        <v>855.7</v>
      </c>
      <c r="N674" s="2">
        <f ca="1">INDEX(INDIRECT(_xlfn.CONCAT("weather.tbl[",N$1,"]")),MATCH(vp.data[[#This Row],[SDate]],weather.tbl[Date],0))</f>
        <v>-11.866666666666667</v>
      </c>
      <c r="O674" s="2">
        <f ca="1">INDEX(INDIRECT(_xlfn.CONCAT("weather.tbl[",O$1,"]")),MATCH(vp.data[[#This Row],[SDate]],weather.tbl[Date],0))</f>
        <v>-7.5095238095238104</v>
      </c>
      <c r="P674" s="2">
        <f ca="1">INDEX(INDIRECT(_xlfn.CONCAT("weather.tbl[",P$1,"]")),MATCH(vp.data[[#This Row],[SDate]],weather.tbl[Date],0))</f>
        <v>-12.9</v>
      </c>
      <c r="Q674" s="2">
        <f ca="1">INDEX(INDIRECT(_xlfn.CONCAT("weather.tbl[",Q$1,"]")),MATCH(vp.data[[#This Row],[SDate]],weather.tbl[Date],0))</f>
        <v>-12.1</v>
      </c>
      <c r="R674" s="2">
        <f ca="1">INDEX(INDIRECT(_xlfn.CONCAT("weather.tbl[",R$1,"]")),MATCH(vp.data[[#This Row],[SDate]],weather.tbl[Date],0))</f>
        <v>-13.5</v>
      </c>
      <c r="S674" s="2">
        <f ca="1">INDEX(INDIRECT(_xlfn.CONCAT("weather.tbl[",S$1,"]")),MATCH(vp.data[[#This Row],[SDate]],weather.tbl[Date],0))</f>
        <v>-11.3</v>
      </c>
      <c r="T674" s="2">
        <f ca="1">INDEX(INDIRECT(_xlfn.CONCAT("weather.tbl[",T$1,"]")),MATCH(vp.data[[#This Row],[SDate]],weather.tbl[Date],0))</f>
        <v>-10.6</v>
      </c>
      <c r="U674" s="2">
        <f ca="1">INDEX(INDIRECT(_xlfn.CONCAT("weather.tbl[",U$1,"]")),MATCH(vp.data[[#This Row],[SDate]],weather.tbl[Date],0))</f>
        <v>-10.8</v>
      </c>
      <c r="V674" s="2">
        <f t="array" ref="V6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3861.2350000000001</v>
      </c>
      <c r="W674" t="s">
        <v>48</v>
      </c>
      <c r="X674">
        <f>IF(OR(vp.data[[#This Row],[Sulf]]="",vp.data[[#This Row],[Dens]]=""),1,0)</f>
        <v>0</v>
      </c>
      <c r="Y674">
        <f>IF(vp.data[[#This Row],[CrudeType]]="C5+",1,0)</f>
        <v>0</v>
      </c>
      <c r="Z674">
        <f>IF(AND(vp.data[[#This Row],[CrudeType]]="Crude",vp.data[[#This Row],[Dens]]&lt;=825,vp.data[[#This Row],[Sulf]]&gt;0.5,vp.data[[#This Row],[Unknown]]=0),1,0)</f>
        <v>0</v>
      </c>
      <c r="AA674">
        <f>IF(AND(vp.data[[#This Row],[CrudeType]]="Crude",vp.data[[#This Row],[Dens]]&lt;=825,vp.data[[#This Row],[Sulf]]&lt;=0.5,vp.data[[#This Row],[Unknown]]=0),1,0)</f>
        <v>0</v>
      </c>
      <c r="AB6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4">
        <f>IF(AND(vp.data[[#This Row],[CrudeType]]="Crude",vp.data[[#This Row],[Dens]]&gt;825,vp.data[[#This Row],[Dens]]&lt;=900,vp.data[[#This Row],[Sulf]]&lt;=0.5,vp.data[[#This Row],[Unknown]]=0),1,0)</f>
        <v>0</v>
      </c>
      <c r="AD674">
        <f>IF(AND(vp.data[[#This Row],[CrudeType]]="Crude",vp.data[[#This Row],[Dens]]&gt;865,vp.data[[#This Row],[Dens]]&lt;=900,vp.data[[#This Row],[Sulf]]&gt;2,vp.data[[#This Row],[Unknown]]=0),1,0)</f>
        <v>0</v>
      </c>
      <c r="AE674">
        <f>IF(AND(vp.data[[#This Row],[CrudeType]]="Crude",vp.data[[#This Row],[Dens]]&gt;900,vp.data[[#This Row],[Sulf]]&lt;=0.5,vp.data[[#This Row],[Unknown]]=0),1,0)</f>
        <v>0</v>
      </c>
      <c r="AF674">
        <f>IF(AND(vp.data[[#This Row],[CrudeType]]="Crude",vp.data[[#This Row],[Dens]]&gt;900,vp.data[[#This Row],[Sulf]]&lt;=0.5,vp.data[[#This Row],[Unknown]]=0),1,0)</f>
        <v>0</v>
      </c>
      <c r="AG674" t="str">
        <f>INDEX(vp.data[[#Headers],[Unknown]:[Heavy_SW]],MATCH(1,vp.data[[#This Row],[Unknown]:[Heavy_SW]],0))</f>
        <v>Medium_LSB</v>
      </c>
      <c r="AH674">
        <f>INDEX([3]!crudeBD.lkup[Number],MATCH(vp.data[[#This Row],[Crude_Breakdown]],crudeBD.lkup[Crude Breakdown],0))</f>
        <v>3</v>
      </c>
      <c r="AI674">
        <f>MONTH(vp.data[[#This Row],[SDate]])</f>
        <v>1</v>
      </c>
      <c r="AJ674" s="5">
        <f>(vp.data[[#This Row],[VP]]-INDEX(crudeBD.lkup[Mean_VP],MATCH(vp.data[[#This Row],[Crude_Breakdown]],crudeBD.lkup[Crude Breakdown],0)))^2</f>
        <v>1.1242858189058618</v>
      </c>
      <c r="AK674" s="5">
        <f>(vp.data[[#This Row],[Dens]]-INDEX(crudeBD.lkup[Mean_Dens],MATCH(vp.data[[#This Row],[Crude_Breakdown]],crudeBD.lkup[Crude Breakdown],0)))^2</f>
        <v>138.76840000001275</v>
      </c>
      <c r="AL674" s="5">
        <f>(vp.data[[#This Row],[Sulf]]-INDEX(crudeBD.lkup[Mean_Sulf],MATCH(vp.data[[#This Row],[Crude_Breakdown]],crudeBD.lkup[Crude Breakdown],0)))^2</f>
        <v>0.35353949581267191</v>
      </c>
      <c r="AM674" s="4">
        <f>IF(AND(vp.data[[#This Row],[SDate]]&gt;=DATE(YEAR(vp.data[[#This Row],[SDate]]),5,1),vp.data[[#This Row],[SDate]]&lt;=DATE(YEAR(vp.data[[#This Row],[SDate]]),9,15)),1,0)</f>
        <v>0</v>
      </c>
      <c r="AN674" s="4">
        <f>IF(vp.data[[#This Row],[SDate]]&lt;DATE(2016,12,1),0,1)</f>
        <v>1</v>
      </c>
      <c r="AO674" s="4">
        <f>IFERROR(vp.data[[#This Row],[Sulf]]*vp.data[[#This Row],[Net Dens]],"")</f>
        <v>6542036.4032100011</v>
      </c>
      <c r="AP674">
        <f>IFERROR(vp.data[[#This Row],[Dens]]*vp.data[[#This Row],[VolumeM3]],"")</f>
        <v>3304058.7895000004</v>
      </c>
      <c r="AQ674" s="15">
        <f>IFERROR(vp.data[[#This Row],[VP]]*vp.data[[#This Row],[VolumeM3]],"")</f>
        <v>315462.8995</v>
      </c>
    </row>
    <row r="675" spans="1:43" x14ac:dyDescent="0.25">
      <c r="A675">
        <v>674</v>
      </c>
      <c r="B675" t="s">
        <v>51</v>
      </c>
      <c r="C675" t="s">
        <v>51</v>
      </c>
      <c r="D675" t="s">
        <v>58</v>
      </c>
      <c r="F675" s="1">
        <v>42761</v>
      </c>
      <c r="G675" s="2">
        <v>81.5</v>
      </c>
      <c r="H675" s="2"/>
      <c r="I675" s="2">
        <f t="array" ref="I675">_xlfn.IFNA(IF(vp.data[[#This Row],[Sulf Input]]="",INDEX([1]DATA!$Q$3:$Q$9826,MATCH(1,(vp.data[[#This Row],[Battery]]=[1]DATA!$L$3:$L$9826)*(EOMONTH(vp.data[[#This Row],[SDate]],-1)+1=[1]DATA!$G$3:$G$9826),0)),vp.data[[#This Row],[Sulf Input]]),"")</f>
        <v>1.64</v>
      </c>
      <c r="J675" s="2">
        <v>28.8</v>
      </c>
      <c r="K675" s="2">
        <v>-10</v>
      </c>
      <c r="L675" s="2">
        <v>857.2</v>
      </c>
      <c r="M675" s="2">
        <f t="array" ref="M675">_xlfn.IFNA(IF(vp.data[[#This Row],[Dens Input]]="",INDEX([1]DATA!$O$3:$O$9826,MATCH(1,(vp.data[[#This Row],[Battery]]=[1]DATA!$L$3:$L$9826)*(EOMONTH(vp.data[[#This Row],[SDate]],-1)+1=[1]DATA!$G$3:$G$9826),0)),vp.data[[#This Row],[Dens Input]]),"")</f>
        <v>857.2</v>
      </c>
      <c r="N675" s="2">
        <f ca="1">INDEX(INDIRECT(_xlfn.CONCAT("weather.tbl[",N$1,"]")),MATCH(vp.data[[#This Row],[SDate]],weather.tbl[Date],0))</f>
        <v>-11.866666666666667</v>
      </c>
      <c r="O675" s="2">
        <f ca="1">INDEX(INDIRECT(_xlfn.CONCAT("weather.tbl[",O$1,"]")),MATCH(vp.data[[#This Row],[SDate]],weather.tbl[Date],0))</f>
        <v>-7.5095238095238104</v>
      </c>
      <c r="P675" s="2">
        <f ca="1">INDEX(INDIRECT(_xlfn.CONCAT("weather.tbl[",P$1,"]")),MATCH(vp.data[[#This Row],[SDate]],weather.tbl[Date],0))</f>
        <v>-12.9</v>
      </c>
      <c r="Q675" s="2">
        <f ca="1">INDEX(INDIRECT(_xlfn.CONCAT("weather.tbl[",Q$1,"]")),MATCH(vp.data[[#This Row],[SDate]],weather.tbl[Date],0))</f>
        <v>-12.1</v>
      </c>
      <c r="R675" s="2">
        <f ca="1">INDEX(INDIRECT(_xlfn.CONCAT("weather.tbl[",R$1,"]")),MATCH(vp.data[[#This Row],[SDate]],weather.tbl[Date],0))</f>
        <v>-13.5</v>
      </c>
      <c r="S675" s="2">
        <f ca="1">INDEX(INDIRECT(_xlfn.CONCAT("weather.tbl[",S$1,"]")),MATCH(vp.data[[#This Row],[SDate]],weather.tbl[Date],0))</f>
        <v>-11.3</v>
      </c>
      <c r="T675" s="2">
        <f ca="1">INDEX(INDIRECT(_xlfn.CONCAT("weather.tbl[",T$1,"]")),MATCH(vp.data[[#This Row],[SDate]],weather.tbl[Date],0))</f>
        <v>-10.6</v>
      </c>
      <c r="U675" s="2">
        <f ca="1">INDEX(INDIRECT(_xlfn.CONCAT("weather.tbl[",U$1,"]")),MATCH(vp.data[[#This Row],[SDate]],weather.tbl[Date],0))</f>
        <v>-10.8</v>
      </c>
      <c r="V675" s="2">
        <f t="array" ref="V6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5017.2560000000003</v>
      </c>
      <c r="W675" t="s">
        <v>48</v>
      </c>
      <c r="X675">
        <f>IF(OR(vp.data[[#This Row],[Sulf]]="",vp.data[[#This Row],[Dens]]=""),1,0)</f>
        <v>0</v>
      </c>
      <c r="Y675">
        <f>IF(vp.data[[#This Row],[CrudeType]]="C5+",1,0)</f>
        <v>0</v>
      </c>
      <c r="Z675">
        <f>IF(AND(vp.data[[#This Row],[CrudeType]]="Crude",vp.data[[#This Row],[Dens]]&lt;=825,vp.data[[#This Row],[Sulf]]&gt;0.5,vp.data[[#This Row],[Unknown]]=0),1,0)</f>
        <v>0</v>
      </c>
      <c r="AA675">
        <f>IF(AND(vp.data[[#This Row],[CrudeType]]="Crude",vp.data[[#This Row],[Dens]]&lt;=825,vp.data[[#This Row],[Sulf]]&lt;=0.5,vp.data[[#This Row],[Unknown]]=0),1,0)</f>
        <v>0</v>
      </c>
      <c r="AB6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5">
        <f>IF(AND(vp.data[[#This Row],[CrudeType]]="Crude",vp.data[[#This Row],[Dens]]&gt;825,vp.data[[#This Row],[Dens]]&lt;=900,vp.data[[#This Row],[Sulf]]&lt;=0.5,vp.data[[#This Row],[Unknown]]=0),1,0)</f>
        <v>0</v>
      </c>
      <c r="AD675">
        <f>IF(AND(vp.data[[#This Row],[CrudeType]]="Crude",vp.data[[#This Row],[Dens]]&gt;865,vp.data[[#This Row],[Dens]]&lt;=900,vp.data[[#This Row],[Sulf]]&gt;2,vp.data[[#This Row],[Unknown]]=0),1,0)</f>
        <v>0</v>
      </c>
      <c r="AE675">
        <f>IF(AND(vp.data[[#This Row],[CrudeType]]="Crude",vp.data[[#This Row],[Dens]]&gt;900,vp.data[[#This Row],[Sulf]]&lt;=0.5,vp.data[[#This Row],[Unknown]]=0),1,0)</f>
        <v>0</v>
      </c>
      <c r="AF675">
        <f>IF(AND(vp.data[[#This Row],[CrudeType]]="Crude",vp.data[[#This Row],[Dens]]&gt;900,vp.data[[#This Row],[Sulf]]&lt;=0.5,vp.data[[#This Row],[Unknown]]=0),1,0)</f>
        <v>0</v>
      </c>
      <c r="AG675" t="str">
        <f>INDEX(vp.data[[#Headers],[Unknown]:[Heavy_SW]],MATCH(1,vp.data[[#This Row],[Unknown]:[Heavy_SW]],0))</f>
        <v>Medium_LSB</v>
      </c>
      <c r="AH675">
        <f>INDEX([3]!crudeBD.lkup[Number],MATCH(vp.data[[#This Row],[Crude_Breakdown]],crudeBD.lkup[Crude Breakdown],0))</f>
        <v>3</v>
      </c>
      <c r="AI675">
        <f>MONTH(vp.data[[#This Row],[SDate]])</f>
        <v>1</v>
      </c>
      <c r="AJ675" s="5">
        <f>(vp.data[[#This Row],[VP]]-INDEX(crudeBD.lkup[Mean_VP],MATCH(vp.data[[#This Row],[Crude_Breakdown]],crudeBD.lkup[Crude Breakdown],0)))^2</f>
        <v>0.74015643885191873</v>
      </c>
      <c r="AK675" s="5">
        <f>(vp.data[[#This Row],[Dens]]-INDEX(crudeBD.lkup[Mean_Dens],MATCH(vp.data[[#This Row],[Crude_Breakdown]],crudeBD.lkup[Crude Breakdown],0)))^2</f>
        <v>176.35840000001437</v>
      </c>
      <c r="AL675" s="5">
        <f>(vp.data[[#This Row],[Sulf]]-INDEX(crudeBD.lkup[Mean_Sulf],MATCH(vp.data[[#This Row],[Crude_Breakdown]],crudeBD.lkup[Crude Breakdown],0)))^2</f>
        <v>6.481702195822546E-2</v>
      </c>
      <c r="AM675" s="4">
        <f>IF(AND(vp.data[[#This Row],[SDate]]&gt;=DATE(YEAR(vp.data[[#This Row],[SDate]]),5,1),vp.data[[#This Row],[SDate]]&lt;=DATE(YEAR(vp.data[[#This Row],[SDate]]),9,15)),1,0)</f>
        <v>0</v>
      </c>
      <c r="AN675" s="4">
        <f>IF(vp.data[[#This Row],[SDate]]&lt;DATE(2016,12,1),0,1)</f>
        <v>1</v>
      </c>
      <c r="AO675" s="4">
        <f>IFERROR(vp.data[[#This Row],[Sulf]]*vp.data[[#This Row],[Net Dens]],"")</f>
        <v>7053298.6228480013</v>
      </c>
      <c r="AP675">
        <f>IFERROR(vp.data[[#This Row],[Dens]]*vp.data[[#This Row],[VolumeM3]],"")</f>
        <v>4300791.8432000009</v>
      </c>
      <c r="AQ675" s="15">
        <f>IFERROR(vp.data[[#This Row],[VP]]*vp.data[[#This Row],[VolumeM3]],"")</f>
        <v>408906.364</v>
      </c>
    </row>
    <row r="676" spans="1:43" x14ac:dyDescent="0.25">
      <c r="A676">
        <v>675</v>
      </c>
      <c r="B676" t="s">
        <v>46</v>
      </c>
      <c r="C676" t="s">
        <v>46</v>
      </c>
      <c r="D676" t="s">
        <v>47</v>
      </c>
      <c r="F676" s="1">
        <v>42761</v>
      </c>
      <c r="G676" s="2">
        <v>57.6</v>
      </c>
      <c r="H676" s="2"/>
      <c r="I676" s="2">
        <f t="array" ref="I676">_xlfn.IFNA(IF(vp.data[[#This Row],[Sulf Input]]="",INDEX([1]DATA!$Q$3:$Q$9826,MATCH(1,(vp.data[[#This Row],[Battery]]=[1]DATA!$L$3:$L$9826)*(EOMONTH(vp.data[[#This Row],[SDate]],-1)+1=[1]DATA!$G$3:$G$9826),0)),vp.data[[#This Row],[Sulf Input]]),"")</f>
        <v>2.34</v>
      </c>
      <c r="J676" s="2">
        <v>28.5</v>
      </c>
      <c r="K676" s="2">
        <v>-10</v>
      </c>
      <c r="L676" s="2">
        <v>865.8</v>
      </c>
      <c r="M676" s="2">
        <f t="array" ref="M676">_xlfn.IFNA(IF(vp.data[[#This Row],[Dens Input]]="",INDEX([1]DATA!$O$3:$O$9826,MATCH(1,(vp.data[[#This Row],[Battery]]=[1]DATA!$L$3:$L$9826)*(EOMONTH(vp.data[[#This Row],[SDate]],-1)+1=[1]DATA!$G$3:$G$9826),0)),vp.data[[#This Row],[Dens Input]]),"")</f>
        <v>865.8</v>
      </c>
      <c r="N676" s="2">
        <f ca="1">INDEX(INDIRECT(_xlfn.CONCAT("weather.tbl[",N$1,"]")),MATCH(vp.data[[#This Row],[SDate]],weather.tbl[Date],0))</f>
        <v>-11.866666666666667</v>
      </c>
      <c r="O676" s="2">
        <f ca="1">INDEX(INDIRECT(_xlfn.CONCAT("weather.tbl[",O$1,"]")),MATCH(vp.data[[#This Row],[SDate]],weather.tbl[Date],0))</f>
        <v>-7.5095238095238104</v>
      </c>
      <c r="P676" s="2">
        <f ca="1">INDEX(INDIRECT(_xlfn.CONCAT("weather.tbl[",P$1,"]")),MATCH(vp.data[[#This Row],[SDate]],weather.tbl[Date],0))</f>
        <v>-12.9</v>
      </c>
      <c r="Q676" s="2">
        <f ca="1">INDEX(INDIRECT(_xlfn.CONCAT("weather.tbl[",Q$1,"]")),MATCH(vp.data[[#This Row],[SDate]],weather.tbl[Date],0))</f>
        <v>-12.1</v>
      </c>
      <c r="R676" s="2">
        <f ca="1">INDEX(INDIRECT(_xlfn.CONCAT("weather.tbl[",R$1,"]")),MATCH(vp.data[[#This Row],[SDate]],weather.tbl[Date],0))</f>
        <v>-13.5</v>
      </c>
      <c r="S676" s="2">
        <f ca="1">INDEX(INDIRECT(_xlfn.CONCAT("weather.tbl[",S$1,"]")),MATCH(vp.data[[#This Row],[SDate]],weather.tbl[Date],0))</f>
        <v>-11.3</v>
      </c>
      <c r="T676" s="2">
        <f ca="1">INDEX(INDIRECT(_xlfn.CONCAT("weather.tbl[",T$1,"]")),MATCH(vp.data[[#This Row],[SDate]],weather.tbl[Date],0))</f>
        <v>-10.6</v>
      </c>
      <c r="U676" s="2">
        <f ca="1">INDEX(INDIRECT(_xlfn.CONCAT("weather.tbl[",U$1,"]")),MATCH(vp.data[[#This Row],[SDate]],weather.tbl[Date],0))</f>
        <v>-10.8</v>
      </c>
      <c r="V676" s="2">
        <f t="array" ref="V6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115522.52099999999</v>
      </c>
      <c r="W676" t="s">
        <v>48</v>
      </c>
      <c r="X676">
        <f>IF(OR(vp.data[[#This Row],[Sulf]]="",vp.data[[#This Row],[Dens]]=""),1,0)</f>
        <v>0</v>
      </c>
      <c r="Y676">
        <f>IF(vp.data[[#This Row],[CrudeType]]="C5+",1,0)</f>
        <v>0</v>
      </c>
      <c r="Z676">
        <f>IF(AND(vp.data[[#This Row],[CrudeType]]="Crude",vp.data[[#This Row],[Dens]]&lt;=825,vp.data[[#This Row],[Sulf]]&gt;0.5,vp.data[[#This Row],[Unknown]]=0),1,0)</f>
        <v>0</v>
      </c>
      <c r="AA676">
        <f>IF(AND(vp.data[[#This Row],[CrudeType]]="Crude",vp.data[[#This Row],[Dens]]&lt;=825,vp.data[[#This Row],[Sulf]]&lt;=0.5,vp.data[[#This Row],[Unknown]]=0),1,0)</f>
        <v>0</v>
      </c>
      <c r="AB6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76">
        <f>IF(AND(vp.data[[#This Row],[CrudeType]]="Crude",vp.data[[#This Row],[Dens]]&gt;825,vp.data[[#This Row],[Dens]]&lt;=900,vp.data[[#This Row],[Sulf]]&lt;=0.5,vp.data[[#This Row],[Unknown]]=0),1,0)</f>
        <v>0</v>
      </c>
      <c r="AD676">
        <f>IF(AND(vp.data[[#This Row],[CrudeType]]="Crude",vp.data[[#This Row],[Dens]]&gt;865,vp.data[[#This Row],[Dens]]&lt;=900,vp.data[[#This Row],[Sulf]]&gt;2,vp.data[[#This Row],[Unknown]]=0),1,0)</f>
        <v>1</v>
      </c>
      <c r="AE676">
        <f>IF(AND(vp.data[[#This Row],[CrudeType]]="Crude",vp.data[[#This Row],[Dens]]&gt;900,vp.data[[#This Row],[Sulf]]&lt;=0.5,vp.data[[#This Row],[Unknown]]=0),1,0)</f>
        <v>0</v>
      </c>
      <c r="AF676">
        <f>IF(AND(vp.data[[#This Row],[CrudeType]]="Crude",vp.data[[#This Row],[Dens]]&gt;900,vp.data[[#This Row],[Sulf]]&lt;=0.5,vp.data[[#This Row],[Unknown]]=0),1,0)</f>
        <v>0</v>
      </c>
      <c r="AG676" t="str">
        <f>INDEX(vp.data[[#Headers],[Unknown]:[Heavy_SW]],MATCH(1,vp.data[[#This Row],[Unknown]:[Heavy_SW]],0))</f>
        <v>Midale</v>
      </c>
      <c r="AH676">
        <f>INDEX([3]!crudeBD.lkup[Number],MATCH(vp.data[[#This Row],[Crude_Breakdown]],crudeBD.lkup[Crude Breakdown],0))</f>
        <v>5</v>
      </c>
      <c r="AI676">
        <f>MONTH(vp.data[[#This Row],[SDate]])</f>
        <v>1</v>
      </c>
      <c r="AJ676" s="5">
        <f>(vp.data[[#This Row],[VP]]-INDEX(crudeBD.lkup[Mean_VP],MATCH(vp.data[[#This Row],[Crude_Breakdown]],crudeBD.lkup[Crude Breakdown],0)))^2</f>
        <v>139.44688091189357</v>
      </c>
      <c r="AK676" s="5">
        <f>(vp.data[[#This Row],[Dens]]-INDEX(crudeBD.lkup[Mean_Dens],MATCH(vp.data[[#This Row],[Crude_Breakdown]],crudeBD.lkup[Crude Breakdown],0)))^2</f>
        <v>81.306474917638411</v>
      </c>
      <c r="AL676" s="5">
        <f>(vp.data[[#This Row],[Sulf]]-INDEX(crudeBD.lkup[Mean_Sulf],MATCH(vp.data[[#This Row],[Crude_Breakdown]],crudeBD.lkup[Crude Breakdown],0)))^2</f>
        <v>1.0736185726867638E-2</v>
      </c>
      <c r="AM676" s="4">
        <f>IF(AND(vp.data[[#This Row],[SDate]]&gt;=DATE(YEAR(vp.data[[#This Row],[SDate]]),5,1),vp.data[[#This Row],[SDate]]&lt;=DATE(YEAR(vp.data[[#This Row],[SDate]]),9,15)),1,0)</f>
        <v>0</v>
      </c>
      <c r="AN676" s="4">
        <f>IF(vp.data[[#This Row],[SDate]]&lt;DATE(2016,12,1),0,1)</f>
        <v>1</v>
      </c>
      <c r="AO676" s="4">
        <f>IFERROR(vp.data[[#This Row],[Sulf]]*vp.data[[#This Row],[Net Dens]],"")</f>
        <v>234045392.91541198</v>
      </c>
      <c r="AP676">
        <f>IFERROR(vp.data[[#This Row],[Dens]]*vp.data[[#This Row],[VolumeM3]],"")</f>
        <v>100019398.68179999</v>
      </c>
      <c r="AQ676" s="15">
        <f>IFERROR(vp.data[[#This Row],[VP]]*vp.data[[#This Row],[VolumeM3]],"")</f>
        <v>6654097.2095999997</v>
      </c>
    </row>
    <row r="677" spans="1:43" x14ac:dyDescent="0.25">
      <c r="A677">
        <v>676</v>
      </c>
      <c r="B677" t="s">
        <v>60</v>
      </c>
      <c r="C677" t="s">
        <v>60</v>
      </c>
      <c r="D677" t="s">
        <v>61</v>
      </c>
      <c r="E677" t="s">
        <v>55</v>
      </c>
      <c r="F677" s="1">
        <v>42761</v>
      </c>
      <c r="G677" s="2">
        <v>97.1</v>
      </c>
      <c r="H677" s="2">
        <v>1.228</v>
      </c>
      <c r="I677" s="2">
        <f t="array" ref="I677">_xlfn.IFNA(IF(vp.data[[#This Row],[Sulf Input]]="",INDEX([1]DATA!$Q$3:$Q$9826,MATCH(1,(vp.data[[#This Row],[Battery]]=[1]DATA!$L$3:$L$9826)*(EOMONTH(vp.data[[#This Row],[SDate]],-1)+1=[1]DATA!$G$3:$G$9826),0)),vp.data[[#This Row],[Sulf Input]]),"")</f>
        <v>1.228</v>
      </c>
      <c r="J677" s="2">
        <v>4</v>
      </c>
      <c r="K677" s="2">
        <v>-10</v>
      </c>
      <c r="L677" s="2">
        <v>838.8</v>
      </c>
      <c r="M677" s="2">
        <f t="array" ref="M677">_xlfn.IFNA(IF(vp.data[[#This Row],[Dens Input]]="",INDEX([1]DATA!$O$3:$O$9826,MATCH(1,(vp.data[[#This Row],[Battery]]=[1]DATA!$L$3:$L$9826)*(EOMONTH(vp.data[[#This Row],[SDate]],-1)+1=[1]DATA!$G$3:$G$9826),0)),vp.data[[#This Row],[Dens Input]]),"")</f>
        <v>838.8</v>
      </c>
      <c r="N677" s="2">
        <f ca="1">INDEX(INDIRECT(_xlfn.CONCAT("weather.tbl[",N$1,"]")),MATCH(vp.data[[#This Row],[SDate]],weather.tbl[Date],0))</f>
        <v>-11.866666666666667</v>
      </c>
      <c r="O677" s="2">
        <f ca="1">INDEX(INDIRECT(_xlfn.CONCAT("weather.tbl[",O$1,"]")),MATCH(vp.data[[#This Row],[SDate]],weather.tbl[Date],0))</f>
        <v>-7.5095238095238104</v>
      </c>
      <c r="P677" s="2">
        <f ca="1">INDEX(INDIRECT(_xlfn.CONCAT("weather.tbl[",P$1,"]")),MATCH(vp.data[[#This Row],[SDate]],weather.tbl[Date],0))</f>
        <v>-12.9</v>
      </c>
      <c r="Q677" s="2">
        <f ca="1">INDEX(INDIRECT(_xlfn.CONCAT("weather.tbl[",Q$1,"]")),MATCH(vp.data[[#This Row],[SDate]],weather.tbl[Date],0))</f>
        <v>-12.1</v>
      </c>
      <c r="R677" s="2">
        <f ca="1">INDEX(INDIRECT(_xlfn.CONCAT("weather.tbl[",R$1,"]")),MATCH(vp.data[[#This Row],[SDate]],weather.tbl[Date],0))</f>
        <v>-13.5</v>
      </c>
      <c r="S677" s="2">
        <f ca="1">INDEX(INDIRECT(_xlfn.CONCAT("weather.tbl[",S$1,"]")),MATCH(vp.data[[#This Row],[SDate]],weather.tbl[Date],0))</f>
        <v>-11.3</v>
      </c>
      <c r="T677" s="2">
        <f ca="1">INDEX(INDIRECT(_xlfn.CONCAT("weather.tbl[",T$1,"]")),MATCH(vp.data[[#This Row],[SDate]],weather.tbl[Date],0))</f>
        <v>-10.6</v>
      </c>
      <c r="U677" s="2">
        <f ca="1">INDEX(INDIRECT(_xlfn.CONCAT("weather.tbl[",U$1,"]")),MATCH(vp.data[[#This Row],[SDate]],weather.tbl[Date],0))</f>
        <v>-10.8</v>
      </c>
      <c r="V677" s="2">
        <f t="array" ref="V6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677" t="s">
        <v>48</v>
      </c>
      <c r="X677">
        <f>IF(OR(vp.data[[#This Row],[Sulf]]="",vp.data[[#This Row],[Dens]]=""),1,0)</f>
        <v>0</v>
      </c>
      <c r="Y677">
        <f>IF(vp.data[[#This Row],[CrudeType]]="C5+",1,0)</f>
        <v>0</v>
      </c>
      <c r="Z677">
        <f>IF(AND(vp.data[[#This Row],[CrudeType]]="Crude",vp.data[[#This Row],[Dens]]&lt;=825,vp.data[[#This Row],[Sulf]]&gt;0.5,vp.data[[#This Row],[Unknown]]=0),1,0)</f>
        <v>0</v>
      </c>
      <c r="AA677">
        <f>IF(AND(vp.data[[#This Row],[CrudeType]]="Crude",vp.data[[#This Row],[Dens]]&lt;=825,vp.data[[#This Row],[Sulf]]&lt;=0.5,vp.data[[#This Row],[Unknown]]=0),1,0)</f>
        <v>0</v>
      </c>
      <c r="AB6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77">
        <f>IF(AND(vp.data[[#This Row],[CrudeType]]="Crude",vp.data[[#This Row],[Dens]]&gt;825,vp.data[[#This Row],[Dens]]&lt;=900,vp.data[[#This Row],[Sulf]]&lt;=0.5,vp.data[[#This Row],[Unknown]]=0),1,0)</f>
        <v>0</v>
      </c>
      <c r="AD677">
        <f>IF(AND(vp.data[[#This Row],[CrudeType]]="Crude",vp.data[[#This Row],[Dens]]&gt;865,vp.data[[#This Row],[Dens]]&lt;=900,vp.data[[#This Row],[Sulf]]&gt;2,vp.data[[#This Row],[Unknown]]=0),1,0)</f>
        <v>0</v>
      </c>
      <c r="AE677">
        <f>IF(AND(vp.data[[#This Row],[CrudeType]]="Crude",vp.data[[#This Row],[Dens]]&gt;900,vp.data[[#This Row],[Sulf]]&lt;=0.5,vp.data[[#This Row],[Unknown]]=0),1,0)</f>
        <v>0</v>
      </c>
      <c r="AF677">
        <f>IF(AND(vp.data[[#This Row],[CrudeType]]="Crude",vp.data[[#This Row],[Dens]]&gt;900,vp.data[[#This Row],[Sulf]]&lt;=0.5,vp.data[[#This Row],[Unknown]]=0),1,0)</f>
        <v>0</v>
      </c>
      <c r="AG677" t="str">
        <f>INDEX(vp.data[[#Headers],[Unknown]:[Heavy_SW]],MATCH(1,vp.data[[#This Row],[Unknown]:[Heavy_SW]],0))</f>
        <v>Medium_LSB</v>
      </c>
      <c r="AH677">
        <f>INDEX([3]!crudeBD.lkup[Number],MATCH(vp.data[[#This Row],[Crude_Breakdown]],crudeBD.lkup[Crude Breakdown],0))</f>
        <v>3</v>
      </c>
      <c r="AI677">
        <f>MONTH(vp.data[[#This Row],[SDate]])</f>
        <v>1</v>
      </c>
      <c r="AJ677" s="5">
        <f>(vp.data[[#This Row],[VP]]-INDEX(crudeBD.lkup[Mean_VP],MATCH(vp.data[[#This Row],[Crude_Breakdown]],crudeBD.lkup[Crude Breakdown],0)))^2</f>
        <v>270.94224808305881</v>
      </c>
      <c r="AK677" s="5">
        <f>(vp.data[[#This Row],[Dens]]-INDEX(crudeBD.lkup[Mean_Dens],MATCH(vp.data[[#This Row],[Crude_Breakdown]],crudeBD.lkup[Crude Breakdown],0)))^2</f>
        <v>26.21439999999539</v>
      </c>
      <c r="AL677" s="5">
        <f>(vp.data[[#This Row],[Sulf]]-INDEX(crudeBD.lkup[Mean_Sulf],MATCH(vp.data[[#This Row],[Crude_Breakdown]],crudeBD.lkup[Crude Breakdown],0)))^2</f>
        <v>2.4777318346366938E-2</v>
      </c>
      <c r="AM677" s="4">
        <f>IF(AND(vp.data[[#This Row],[SDate]]&gt;=DATE(YEAR(vp.data[[#This Row],[SDate]]),5,1),vp.data[[#This Row],[SDate]]&lt;=DATE(YEAR(vp.data[[#This Row],[SDate]]),9,15)),1,0)</f>
        <v>0</v>
      </c>
      <c r="AN677" s="4">
        <f>IF(vp.data[[#This Row],[SDate]]&lt;DATE(2016,12,1),0,1)</f>
        <v>1</v>
      </c>
      <c r="AO677" s="4">
        <f>IFERROR(vp.data[[#This Row],[Sulf]]*vp.data[[#This Row],[Net Dens]],"")</f>
        <v>108295106.63708159</v>
      </c>
      <c r="AP677">
        <f>IFERROR(vp.data[[#This Row],[Dens]]*vp.data[[#This Row],[VolumeM3]],"")</f>
        <v>88188197.587200001</v>
      </c>
      <c r="AQ677" s="15">
        <f>IFERROR(vp.data[[#This Row],[VP]]*vp.data[[#This Row],[VolumeM3]],"")</f>
        <v>10208719.5824</v>
      </c>
    </row>
    <row r="678" spans="1:43" x14ac:dyDescent="0.25">
      <c r="A678">
        <v>677</v>
      </c>
      <c r="B678" t="s">
        <v>53</v>
      </c>
      <c r="C678" t="s">
        <v>53</v>
      </c>
      <c r="D678" t="s">
        <v>54</v>
      </c>
      <c r="E678" t="s">
        <v>55</v>
      </c>
      <c r="F678" s="1">
        <v>42762</v>
      </c>
      <c r="G678" s="2">
        <v>100</v>
      </c>
      <c r="H678" s="2">
        <v>1.63</v>
      </c>
      <c r="I678" s="2">
        <f t="array" ref="I678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678" s="2">
        <v>6</v>
      </c>
      <c r="K678" s="2">
        <v>-8</v>
      </c>
      <c r="L678" s="2">
        <v>822</v>
      </c>
      <c r="M678" s="2">
        <f t="array" ref="M678">_xlfn.IFNA(IF(vp.data[[#This Row],[Dens Input]]="",INDEX([1]DATA!$O$3:$O$9826,MATCH(1,(vp.data[[#This Row],[Battery]]=[1]DATA!$L$3:$L$9826)*(EOMONTH(vp.data[[#This Row],[SDate]],-1)+1=[1]DATA!$G$3:$G$9826),0)),vp.data[[#This Row],[Dens Input]]),"")</f>
        <v>822</v>
      </c>
      <c r="N678" s="2">
        <f ca="1">INDEX(INDIRECT(_xlfn.CONCAT("weather.tbl[",N$1,"]")),MATCH(vp.data[[#This Row],[SDate]],weather.tbl[Date],0))</f>
        <v>-5.1499999999999995</v>
      </c>
      <c r="O678" s="2">
        <f ca="1">INDEX(INDIRECT(_xlfn.CONCAT("weather.tbl[",O$1,"]")),MATCH(vp.data[[#This Row],[SDate]],weather.tbl[Date],0))</f>
        <v>-7.4119047619047622</v>
      </c>
      <c r="P678" s="2">
        <f ca="1">INDEX(INDIRECT(_xlfn.CONCAT("weather.tbl[",P$1,"]")),MATCH(vp.data[[#This Row],[SDate]],weather.tbl[Date],0))</f>
        <v>-5.9</v>
      </c>
      <c r="Q678" s="2">
        <f ca="1">INDEX(INDIRECT(_xlfn.CONCAT("weather.tbl[",Q$1,"]")),MATCH(vp.data[[#This Row],[SDate]],weather.tbl[Date],0))</f>
        <v>-4.0999999999999996</v>
      </c>
      <c r="R678" s="2">
        <f ca="1">INDEX(INDIRECT(_xlfn.CONCAT("weather.tbl[",R$1,"]")),MATCH(vp.data[[#This Row],[SDate]],weather.tbl[Date],0))</f>
        <v>-6.5</v>
      </c>
      <c r="S678" s="2">
        <f ca="1">INDEX(INDIRECT(_xlfn.CONCAT("weather.tbl[",S$1,"]")),MATCH(vp.data[[#This Row],[SDate]],weather.tbl[Date],0))</f>
        <v>-2.4</v>
      </c>
      <c r="T678" s="2">
        <f ca="1">INDEX(INDIRECT(_xlfn.CONCAT("weather.tbl[",T$1,"]")),MATCH(vp.data[[#This Row],[SDate]],weather.tbl[Date],0))</f>
        <v>-7.2</v>
      </c>
      <c r="U678" s="2">
        <f ca="1">INDEX(INDIRECT(_xlfn.CONCAT("weather.tbl[",U$1,"]")),MATCH(vp.data[[#This Row],[SDate]],weather.tbl[Date],0))</f>
        <v>-4.8</v>
      </c>
      <c r="V678" s="2">
        <f t="array" ref="V6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678" t="s">
        <v>48</v>
      </c>
      <c r="X678">
        <f>IF(OR(vp.data[[#This Row],[Sulf]]="",vp.data[[#This Row],[Dens]]=""),1,0)</f>
        <v>0</v>
      </c>
      <c r="Y678">
        <f>IF(vp.data[[#This Row],[CrudeType]]="C5+",1,0)</f>
        <v>0</v>
      </c>
      <c r="Z678">
        <f>IF(AND(vp.data[[#This Row],[CrudeType]]="Crude",vp.data[[#This Row],[Dens]]&lt;=825,vp.data[[#This Row],[Sulf]]&gt;0.5,vp.data[[#This Row],[Unknown]]=0),1,0)</f>
        <v>1</v>
      </c>
      <c r="AA678">
        <f>IF(AND(vp.data[[#This Row],[CrudeType]]="Crude",vp.data[[#This Row],[Dens]]&lt;=825,vp.data[[#This Row],[Sulf]]&lt;=0.5,vp.data[[#This Row],[Unknown]]=0),1,0)</f>
        <v>0</v>
      </c>
      <c r="AB6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78">
        <f>IF(AND(vp.data[[#This Row],[CrudeType]]="Crude",vp.data[[#This Row],[Dens]]&gt;825,vp.data[[#This Row],[Dens]]&lt;=900,vp.data[[#This Row],[Sulf]]&lt;=0.5,vp.data[[#This Row],[Unknown]]=0),1,0)</f>
        <v>0</v>
      </c>
      <c r="AD678">
        <f>IF(AND(vp.data[[#This Row],[CrudeType]]="Crude",vp.data[[#This Row],[Dens]]&gt;865,vp.data[[#This Row],[Dens]]&lt;=900,vp.data[[#This Row],[Sulf]]&gt;2,vp.data[[#This Row],[Unknown]]=0),1,0)</f>
        <v>0</v>
      </c>
      <c r="AE678">
        <f>IF(AND(vp.data[[#This Row],[CrudeType]]="Crude",vp.data[[#This Row],[Dens]]&gt;900,vp.data[[#This Row],[Sulf]]&lt;=0.5,vp.data[[#This Row],[Unknown]]=0),1,0)</f>
        <v>0</v>
      </c>
      <c r="AF678">
        <f>IF(AND(vp.data[[#This Row],[CrudeType]]="Crude",vp.data[[#This Row],[Dens]]&gt;900,vp.data[[#This Row],[Sulf]]&lt;=0.5,vp.data[[#This Row],[Unknown]]=0),1,0)</f>
        <v>0</v>
      </c>
      <c r="AG678" t="str">
        <f>INDEX(vp.data[[#Headers],[Unknown]:[Heavy_SW]],MATCH(1,vp.data[[#This Row],[Unknown]:[Heavy_SW]],0))</f>
        <v>Light_LSB</v>
      </c>
      <c r="AH678">
        <f>INDEX([3]!crudeBD.lkup[Number],MATCH(vp.data[[#This Row],[Crude_Breakdown]],crudeBD.lkup[Crude Breakdown],0))</f>
        <v>1</v>
      </c>
      <c r="AI678">
        <f>MONTH(vp.data[[#This Row],[SDate]])</f>
        <v>1</v>
      </c>
      <c r="AJ678" s="5">
        <f>(vp.data[[#This Row],[VP]]-INDEX(crudeBD.lkup[Mean_VP],MATCH(vp.data[[#This Row],[Crude_Breakdown]],crudeBD.lkup[Crude Breakdown],0)))^2</f>
        <v>71.466978467424283</v>
      </c>
      <c r="AK678" s="5">
        <f>(vp.data[[#This Row],[Dens]]-INDEX(crudeBD.lkup[Mean_Dens],MATCH(vp.data[[#This Row],[Crude_Breakdown]],crudeBD.lkup[Crude Breakdown],0)))^2</f>
        <v>12.132892908683003</v>
      </c>
      <c r="AL678" s="5">
        <f>(vp.data[[#This Row],[Sulf]]-INDEX(crudeBD.lkup[Mean_Sulf],MATCH(vp.data[[#This Row],[Crude_Breakdown]],crudeBD.lkup[Crude Breakdown],0)))^2</f>
        <v>0.49988976873504232</v>
      </c>
      <c r="AM678" s="4">
        <f>IF(AND(vp.data[[#This Row],[SDate]]&gt;=DATE(YEAR(vp.data[[#This Row],[SDate]]),5,1),vp.data[[#This Row],[SDate]]&lt;=DATE(YEAR(vp.data[[#This Row],[SDate]]),9,15)),1,0)</f>
        <v>0</v>
      </c>
      <c r="AN678" s="4">
        <f>IF(vp.data[[#This Row],[SDate]]&lt;DATE(2016,12,1),0,1)</f>
        <v>1</v>
      </c>
      <c r="AO678" s="4">
        <f>IFERROR(vp.data[[#This Row],[Sulf]]*vp.data[[#This Row],[Net Dens]],"")</f>
        <v>68088150.649320006</v>
      </c>
      <c r="AP678">
        <f>IFERROR(vp.data[[#This Row],[Dens]]*vp.data[[#This Row],[VolumeM3]],"")</f>
        <v>41771871.564000003</v>
      </c>
      <c r="AQ678" s="15">
        <f>IFERROR(vp.data[[#This Row],[VP]]*vp.data[[#This Row],[VolumeM3]],"")</f>
        <v>5081736.2</v>
      </c>
    </row>
    <row r="679" spans="1:43" x14ac:dyDescent="0.25">
      <c r="A679">
        <v>678</v>
      </c>
      <c r="B679" t="s">
        <v>49</v>
      </c>
      <c r="C679" t="s">
        <v>49</v>
      </c>
      <c r="D679" t="s">
        <v>75</v>
      </c>
      <c r="F679" s="1">
        <v>42762</v>
      </c>
      <c r="G679" s="2">
        <v>99.4</v>
      </c>
      <c r="H679" s="2">
        <v>0.14899999999999999</v>
      </c>
      <c r="I679" s="2">
        <f t="array" ref="I679">_xlfn.IFNA(IF(vp.data[[#This Row],[Sulf Input]]="",INDEX([1]DATA!$Q$3:$Q$9826,MATCH(1,(vp.data[[#This Row],[Battery]]=[1]DATA!$L$3:$L$9826)*(EOMONTH(vp.data[[#This Row],[SDate]],-1)+1=[1]DATA!$G$3:$G$9826),0)),vp.data[[#This Row],[Sulf Input]]),"")</f>
        <v>0.14899999999999999</v>
      </c>
      <c r="J679" s="2">
        <v>21.9</v>
      </c>
      <c r="K679" s="2">
        <v>-8</v>
      </c>
      <c r="L679" s="2">
        <v>801</v>
      </c>
      <c r="M679" s="2">
        <f t="array" ref="M679">_xlfn.IFNA(IF(vp.data[[#This Row],[Dens Input]]="",INDEX([1]DATA!$O$3:$O$9826,MATCH(1,(vp.data[[#This Row],[Battery]]=[1]DATA!$L$3:$L$9826)*(EOMONTH(vp.data[[#This Row],[SDate]],-1)+1=[1]DATA!$G$3:$G$9826),0)),vp.data[[#This Row],[Dens Input]]),"")</f>
        <v>801</v>
      </c>
      <c r="N679" s="2">
        <f ca="1">INDEX(INDIRECT(_xlfn.CONCAT("weather.tbl[",N$1,"]")),MATCH(vp.data[[#This Row],[SDate]],weather.tbl[Date],0))</f>
        <v>-5.1499999999999995</v>
      </c>
      <c r="O679" s="2">
        <f ca="1">INDEX(INDIRECT(_xlfn.CONCAT("weather.tbl[",O$1,"]")),MATCH(vp.data[[#This Row],[SDate]],weather.tbl[Date],0))</f>
        <v>-7.4119047619047622</v>
      </c>
      <c r="P679" s="2">
        <f ca="1">INDEX(INDIRECT(_xlfn.CONCAT("weather.tbl[",P$1,"]")),MATCH(vp.data[[#This Row],[SDate]],weather.tbl[Date],0))</f>
        <v>-5.9</v>
      </c>
      <c r="Q679" s="2">
        <f ca="1">INDEX(INDIRECT(_xlfn.CONCAT("weather.tbl[",Q$1,"]")),MATCH(vp.data[[#This Row],[SDate]],weather.tbl[Date],0))</f>
        <v>-4.0999999999999996</v>
      </c>
      <c r="R679" s="2">
        <f ca="1">INDEX(INDIRECT(_xlfn.CONCAT("weather.tbl[",R$1,"]")),MATCH(vp.data[[#This Row],[SDate]],weather.tbl[Date],0))</f>
        <v>-6.5</v>
      </c>
      <c r="S679" s="2">
        <f ca="1">INDEX(INDIRECT(_xlfn.CONCAT("weather.tbl[",S$1,"]")),MATCH(vp.data[[#This Row],[SDate]],weather.tbl[Date],0))</f>
        <v>-2.4</v>
      </c>
      <c r="T679" s="2">
        <f ca="1">INDEX(INDIRECT(_xlfn.CONCAT("weather.tbl[",T$1,"]")),MATCH(vp.data[[#This Row],[SDate]],weather.tbl[Date],0))</f>
        <v>-7.2</v>
      </c>
      <c r="U679" s="2">
        <f ca="1">INDEX(INDIRECT(_xlfn.CONCAT("weather.tbl[",U$1,"]")),MATCH(vp.data[[#This Row],[SDate]],weather.tbl[Date],0))</f>
        <v>-4.8</v>
      </c>
      <c r="V679" s="2">
        <f t="array" ref="V6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679" t="s">
        <v>48</v>
      </c>
      <c r="X679">
        <f>IF(OR(vp.data[[#This Row],[Sulf]]="",vp.data[[#This Row],[Dens]]=""),1,0)</f>
        <v>0</v>
      </c>
      <c r="Y679">
        <f>IF(vp.data[[#This Row],[CrudeType]]="C5+",1,0)</f>
        <v>0</v>
      </c>
      <c r="Z679">
        <f>IF(AND(vp.data[[#This Row],[CrudeType]]="Crude",vp.data[[#This Row],[Dens]]&lt;=825,vp.data[[#This Row],[Sulf]]&gt;0.5,vp.data[[#This Row],[Unknown]]=0),1,0)</f>
        <v>0</v>
      </c>
      <c r="AA679">
        <f>IF(AND(vp.data[[#This Row],[CrudeType]]="Crude",vp.data[[#This Row],[Dens]]&lt;=825,vp.data[[#This Row],[Sulf]]&lt;=0.5,vp.data[[#This Row],[Unknown]]=0),1,0)</f>
        <v>1</v>
      </c>
      <c r="AB6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79">
        <f>IF(AND(vp.data[[#This Row],[CrudeType]]="Crude",vp.data[[#This Row],[Dens]]&gt;825,vp.data[[#This Row],[Dens]]&lt;=900,vp.data[[#This Row],[Sulf]]&lt;=0.5,vp.data[[#This Row],[Unknown]]=0),1,0)</f>
        <v>0</v>
      </c>
      <c r="AD679">
        <f>IF(AND(vp.data[[#This Row],[CrudeType]]="Crude",vp.data[[#This Row],[Dens]]&gt;865,vp.data[[#This Row],[Dens]]&lt;=900,vp.data[[#This Row],[Sulf]]&gt;2,vp.data[[#This Row],[Unknown]]=0),1,0)</f>
        <v>0</v>
      </c>
      <c r="AE679">
        <f>IF(AND(vp.data[[#This Row],[CrudeType]]="Crude",vp.data[[#This Row],[Dens]]&gt;900,vp.data[[#This Row],[Sulf]]&lt;=0.5,vp.data[[#This Row],[Unknown]]=0),1,0)</f>
        <v>0</v>
      </c>
      <c r="AF679">
        <f>IF(AND(vp.data[[#This Row],[CrudeType]]="Crude",vp.data[[#This Row],[Dens]]&gt;900,vp.data[[#This Row],[Sulf]]&lt;=0.5,vp.data[[#This Row],[Unknown]]=0),1,0)</f>
        <v>0</v>
      </c>
      <c r="AG679" t="str">
        <f>INDEX(vp.data[[#Headers],[Unknown]:[Heavy_SW]],MATCH(1,vp.data[[#This Row],[Unknown]:[Heavy_SW]],0))</f>
        <v>Light_SW</v>
      </c>
      <c r="AH679">
        <f>INDEX([3]!crudeBD.lkup[Number],MATCH(vp.data[[#This Row],[Crude_Breakdown]],crudeBD.lkup[Crude Breakdown],0))</f>
        <v>2</v>
      </c>
      <c r="AI679">
        <f>MONTH(vp.data[[#This Row],[SDate]])</f>
        <v>1</v>
      </c>
      <c r="AJ679" s="5">
        <f>(vp.data[[#This Row],[VP]]-INDEX(crudeBD.lkup[Mean_VP],MATCH(vp.data[[#This Row],[Crude_Breakdown]],crudeBD.lkup[Crude Breakdown],0)))^2</f>
        <v>46.918203931091064</v>
      </c>
      <c r="AK679" s="5">
        <f>(vp.data[[#This Row],[Dens]]-INDEX(crudeBD.lkup[Mean_Dens],MATCH(vp.data[[#This Row],[Crude_Breakdown]],crudeBD.lkup[Crude Breakdown],0)))^2</f>
        <v>53.458006774390086</v>
      </c>
      <c r="AL679" s="5">
        <f>(vp.data[[#This Row],[Sulf]]-INDEX(crudeBD.lkup[Mean_Sulf],MATCH(vp.data[[#This Row],[Crude_Breakdown]],crudeBD.lkup[Crude Breakdown],0)))^2</f>
        <v>7.6111337342932156E-3</v>
      </c>
      <c r="AM679" s="4">
        <f>IF(AND(vp.data[[#This Row],[SDate]]&gt;=DATE(YEAR(vp.data[[#This Row],[SDate]]),5,1),vp.data[[#This Row],[SDate]]&lt;=DATE(YEAR(vp.data[[#This Row],[SDate]]),9,15)),1,0)</f>
        <v>0</v>
      </c>
      <c r="AN679" s="4">
        <f>IF(vp.data[[#This Row],[SDate]]&lt;DATE(2016,12,1),0,1)</f>
        <v>1</v>
      </c>
      <c r="AO679" s="4">
        <f>IFERROR(vp.data[[#This Row],[Sulf]]*vp.data[[#This Row],[Net Dens]],"")</f>
        <v>1520352.777186</v>
      </c>
      <c r="AP679">
        <f>IFERROR(vp.data[[#This Row],[Dens]]*vp.data[[#This Row],[VolumeM3]],"")</f>
        <v>10203709.914000001</v>
      </c>
      <c r="AQ679" s="15">
        <f>IFERROR(vp.data[[#This Row],[VP]]*vp.data[[#This Row],[VolumeM3]],"")</f>
        <v>1266228.1716</v>
      </c>
    </row>
    <row r="680" spans="1:43" x14ac:dyDescent="0.25">
      <c r="A680">
        <v>679</v>
      </c>
      <c r="B680" t="s">
        <v>49</v>
      </c>
      <c r="C680" t="s">
        <v>49</v>
      </c>
      <c r="D680" t="s">
        <v>67</v>
      </c>
      <c r="F680" s="1">
        <v>42762</v>
      </c>
      <c r="G680" s="2">
        <v>99.7</v>
      </c>
      <c r="H680" s="2">
        <v>0.68600000000000005</v>
      </c>
      <c r="I680" s="2">
        <f t="array" ref="I680">_xlfn.IFNA(IF(vp.data[[#This Row],[Sulf Input]]="",INDEX([1]DATA!$Q$3:$Q$9826,MATCH(1,(vp.data[[#This Row],[Battery]]=[1]DATA!$L$3:$L$9826)*(EOMONTH(vp.data[[#This Row],[SDate]],-1)+1=[1]DATA!$G$3:$G$9826),0)),vp.data[[#This Row],[Sulf Input]]),"")</f>
        <v>0.68600000000000005</v>
      </c>
      <c r="J680" s="2">
        <v>5.7</v>
      </c>
      <c r="K680" s="2">
        <v>-8</v>
      </c>
      <c r="L680" s="2">
        <v>823.1</v>
      </c>
      <c r="M680" s="2">
        <f t="array" ref="M680">_xlfn.IFNA(IF(vp.data[[#This Row],[Dens Input]]="",INDEX([1]DATA!$O$3:$O$9826,MATCH(1,(vp.data[[#This Row],[Battery]]=[1]DATA!$L$3:$L$9826)*(EOMONTH(vp.data[[#This Row],[SDate]],-1)+1=[1]DATA!$G$3:$G$9826),0)),vp.data[[#This Row],[Dens Input]]),"")</f>
        <v>823.1</v>
      </c>
      <c r="N680" s="2">
        <f ca="1">INDEX(INDIRECT(_xlfn.CONCAT("weather.tbl[",N$1,"]")),MATCH(vp.data[[#This Row],[SDate]],weather.tbl[Date],0))</f>
        <v>-5.1499999999999995</v>
      </c>
      <c r="O680" s="2">
        <f ca="1">INDEX(INDIRECT(_xlfn.CONCAT("weather.tbl[",O$1,"]")),MATCH(vp.data[[#This Row],[SDate]],weather.tbl[Date],0))</f>
        <v>-7.4119047619047622</v>
      </c>
      <c r="P680" s="2">
        <f ca="1">INDEX(INDIRECT(_xlfn.CONCAT("weather.tbl[",P$1,"]")),MATCH(vp.data[[#This Row],[SDate]],weather.tbl[Date],0))</f>
        <v>-5.9</v>
      </c>
      <c r="Q680" s="2">
        <f ca="1">INDEX(INDIRECT(_xlfn.CONCAT("weather.tbl[",Q$1,"]")),MATCH(vp.data[[#This Row],[SDate]],weather.tbl[Date],0))</f>
        <v>-4.0999999999999996</v>
      </c>
      <c r="R680" s="2">
        <f ca="1">INDEX(INDIRECT(_xlfn.CONCAT("weather.tbl[",R$1,"]")),MATCH(vp.data[[#This Row],[SDate]],weather.tbl[Date],0))</f>
        <v>-6.5</v>
      </c>
      <c r="S680" s="2">
        <f ca="1">INDEX(INDIRECT(_xlfn.CONCAT("weather.tbl[",S$1,"]")),MATCH(vp.data[[#This Row],[SDate]],weather.tbl[Date],0))</f>
        <v>-2.4</v>
      </c>
      <c r="T680" s="2">
        <f ca="1">INDEX(INDIRECT(_xlfn.CONCAT("weather.tbl[",T$1,"]")),MATCH(vp.data[[#This Row],[SDate]],weather.tbl[Date],0))</f>
        <v>-7.2</v>
      </c>
      <c r="U680" s="2">
        <f ca="1">INDEX(INDIRECT(_xlfn.CONCAT("weather.tbl[",U$1,"]")),MATCH(vp.data[[#This Row],[SDate]],weather.tbl[Date],0))</f>
        <v>-4.8</v>
      </c>
      <c r="V680" s="2">
        <f t="array" ref="V6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80" t="s">
        <v>48</v>
      </c>
      <c r="X680">
        <f>IF(OR(vp.data[[#This Row],[Sulf]]="",vp.data[[#This Row],[Dens]]=""),1,0)</f>
        <v>0</v>
      </c>
      <c r="Y680">
        <f>IF(vp.data[[#This Row],[CrudeType]]="C5+",1,0)</f>
        <v>0</v>
      </c>
      <c r="Z680">
        <f>IF(AND(vp.data[[#This Row],[CrudeType]]="Crude",vp.data[[#This Row],[Dens]]&lt;=825,vp.data[[#This Row],[Sulf]]&gt;0.5,vp.data[[#This Row],[Unknown]]=0),1,0)</f>
        <v>1</v>
      </c>
      <c r="AA680">
        <f>IF(AND(vp.data[[#This Row],[CrudeType]]="Crude",vp.data[[#This Row],[Dens]]&lt;=825,vp.data[[#This Row],[Sulf]]&lt;=0.5,vp.data[[#This Row],[Unknown]]=0),1,0)</f>
        <v>0</v>
      </c>
      <c r="AB6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0">
        <f>IF(AND(vp.data[[#This Row],[CrudeType]]="Crude",vp.data[[#This Row],[Dens]]&gt;825,vp.data[[#This Row],[Dens]]&lt;=900,vp.data[[#This Row],[Sulf]]&lt;=0.5,vp.data[[#This Row],[Unknown]]=0),1,0)</f>
        <v>0</v>
      </c>
      <c r="AD680">
        <f>IF(AND(vp.data[[#This Row],[CrudeType]]="Crude",vp.data[[#This Row],[Dens]]&gt;865,vp.data[[#This Row],[Dens]]&lt;=900,vp.data[[#This Row],[Sulf]]&gt;2,vp.data[[#This Row],[Unknown]]=0),1,0)</f>
        <v>0</v>
      </c>
      <c r="AE680">
        <f>IF(AND(vp.data[[#This Row],[CrudeType]]="Crude",vp.data[[#This Row],[Dens]]&gt;900,vp.data[[#This Row],[Sulf]]&lt;=0.5,vp.data[[#This Row],[Unknown]]=0),1,0)</f>
        <v>0</v>
      </c>
      <c r="AF680">
        <f>IF(AND(vp.data[[#This Row],[CrudeType]]="Crude",vp.data[[#This Row],[Dens]]&gt;900,vp.data[[#This Row],[Sulf]]&lt;=0.5,vp.data[[#This Row],[Unknown]]=0),1,0)</f>
        <v>0</v>
      </c>
      <c r="AG680" t="str">
        <f>INDEX(vp.data[[#Headers],[Unknown]:[Heavy_SW]],MATCH(1,vp.data[[#This Row],[Unknown]:[Heavy_SW]],0))</f>
        <v>Light_LSB</v>
      </c>
      <c r="AH680">
        <f>INDEX([3]!crudeBD.lkup[Number],MATCH(vp.data[[#This Row],[Crude_Breakdown]],crudeBD.lkup[Crude Breakdown],0))</f>
        <v>1</v>
      </c>
      <c r="AI680">
        <f>MONTH(vp.data[[#This Row],[SDate]])</f>
        <v>1</v>
      </c>
      <c r="AJ680" s="5">
        <f>(vp.data[[#This Row],[VP]]-INDEX(crudeBD.lkup[Mean_VP],MATCH(vp.data[[#This Row],[Crude_Breakdown]],crudeBD.lkup[Crude Breakdown],0)))^2</f>
        <v>66.484689807630531</v>
      </c>
      <c r="AK680" s="5">
        <f>(vp.data[[#This Row],[Dens]]-INDEX(crudeBD.lkup[Mean_Dens],MATCH(vp.data[[#This Row],[Crude_Breakdown]],crudeBD.lkup[Crude Breakdown],0)))^2</f>
        <v>21.005999437893525</v>
      </c>
      <c r="AL680" s="5">
        <f>(vp.data[[#This Row],[Sulf]]-INDEX(crudeBD.lkup[Mean_Sulf],MATCH(vp.data[[#This Row],[Crude_Breakdown]],crudeBD.lkup[Crude Breakdown],0)))^2</f>
        <v>5.6155334645694874E-2</v>
      </c>
      <c r="AM680" s="4">
        <f>IF(AND(vp.data[[#This Row],[SDate]]&gt;=DATE(YEAR(vp.data[[#This Row],[SDate]]),5,1),vp.data[[#This Row],[SDate]]&lt;=DATE(YEAR(vp.data[[#This Row],[SDate]]),9,15)),1,0)</f>
        <v>0</v>
      </c>
      <c r="AN680" s="4">
        <f>IF(vp.data[[#This Row],[SDate]]&lt;DATE(2016,12,1),0,1)</f>
        <v>1</v>
      </c>
      <c r="AO680" s="4">
        <f>IFERROR(vp.data[[#This Row],[Sulf]]*vp.data[[#This Row],[Net Dens]],"")</f>
        <v>68965862.319941998</v>
      </c>
      <c r="AP680">
        <f>IFERROR(vp.data[[#This Row],[Dens]]*vp.data[[#This Row],[VolumeM3]],"")</f>
        <v>100533326.99699999</v>
      </c>
      <c r="AQ680" s="15">
        <f>IFERROR(vp.data[[#This Row],[VP]]*vp.data[[#This Row],[VolumeM3]],"")</f>
        <v>12177345.039000001</v>
      </c>
    </row>
    <row r="681" spans="1:43" x14ac:dyDescent="0.25">
      <c r="A681">
        <v>680</v>
      </c>
      <c r="B681" t="s">
        <v>62</v>
      </c>
      <c r="C681" t="s">
        <v>62</v>
      </c>
      <c r="D681" t="s">
        <v>79</v>
      </c>
      <c r="F681" s="1">
        <v>42762</v>
      </c>
      <c r="G681" s="2">
        <v>105.8</v>
      </c>
      <c r="H681" s="2"/>
      <c r="I681" s="2">
        <f t="array" ref="I681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681" s="2">
        <v>13</v>
      </c>
      <c r="K681" s="2">
        <v>-8</v>
      </c>
      <c r="L681" s="2">
        <v>804.3</v>
      </c>
      <c r="M681" s="2">
        <f t="array" ref="M681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681" s="2">
        <f ca="1">INDEX(INDIRECT(_xlfn.CONCAT("weather.tbl[",N$1,"]")),MATCH(vp.data[[#This Row],[SDate]],weather.tbl[Date],0))</f>
        <v>-5.1499999999999995</v>
      </c>
      <c r="O681" s="2">
        <f ca="1">INDEX(INDIRECT(_xlfn.CONCAT("weather.tbl[",O$1,"]")),MATCH(vp.data[[#This Row],[SDate]],weather.tbl[Date],0))</f>
        <v>-7.4119047619047622</v>
      </c>
      <c r="P681" s="2">
        <f ca="1">INDEX(INDIRECT(_xlfn.CONCAT("weather.tbl[",P$1,"]")),MATCH(vp.data[[#This Row],[SDate]],weather.tbl[Date],0))</f>
        <v>-5.9</v>
      </c>
      <c r="Q681" s="2">
        <f ca="1">INDEX(INDIRECT(_xlfn.CONCAT("weather.tbl[",Q$1,"]")),MATCH(vp.data[[#This Row],[SDate]],weather.tbl[Date],0))</f>
        <v>-4.0999999999999996</v>
      </c>
      <c r="R681" s="2">
        <f ca="1">INDEX(INDIRECT(_xlfn.CONCAT("weather.tbl[",R$1,"]")),MATCH(vp.data[[#This Row],[SDate]],weather.tbl[Date],0))</f>
        <v>-6.5</v>
      </c>
      <c r="S681" s="2">
        <f ca="1">INDEX(INDIRECT(_xlfn.CONCAT("weather.tbl[",S$1,"]")),MATCH(vp.data[[#This Row],[SDate]],weather.tbl[Date],0))</f>
        <v>-2.4</v>
      </c>
      <c r="T681" s="2">
        <f ca="1">INDEX(INDIRECT(_xlfn.CONCAT("weather.tbl[",T$1,"]")),MATCH(vp.data[[#This Row],[SDate]],weather.tbl[Date],0))</f>
        <v>-7.2</v>
      </c>
      <c r="U681" s="2">
        <f ca="1">INDEX(INDIRECT(_xlfn.CONCAT("weather.tbl[",U$1,"]")),MATCH(vp.data[[#This Row],[SDate]],weather.tbl[Date],0))</f>
        <v>-4.8</v>
      </c>
      <c r="V681" s="2">
        <f t="array" ref="V6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681" t="s">
        <v>48</v>
      </c>
      <c r="X681">
        <f>IF(OR(vp.data[[#This Row],[Sulf]]="",vp.data[[#This Row],[Dens]]=""),1,0)</f>
        <v>0</v>
      </c>
      <c r="Y681">
        <f>IF(vp.data[[#This Row],[CrudeType]]="C5+",1,0)</f>
        <v>0</v>
      </c>
      <c r="Z681">
        <f>IF(AND(vp.data[[#This Row],[CrudeType]]="Crude",vp.data[[#This Row],[Dens]]&lt;=825,vp.data[[#This Row],[Sulf]]&gt;0.5,vp.data[[#This Row],[Unknown]]=0),1,0)</f>
        <v>0</v>
      </c>
      <c r="AA681">
        <f>IF(AND(vp.data[[#This Row],[CrudeType]]="Crude",vp.data[[#This Row],[Dens]]&lt;=825,vp.data[[#This Row],[Sulf]]&lt;=0.5,vp.data[[#This Row],[Unknown]]=0),1,0)</f>
        <v>1</v>
      </c>
      <c r="AB6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1">
        <f>IF(AND(vp.data[[#This Row],[CrudeType]]="Crude",vp.data[[#This Row],[Dens]]&gt;825,vp.data[[#This Row],[Dens]]&lt;=900,vp.data[[#This Row],[Sulf]]&lt;=0.5,vp.data[[#This Row],[Unknown]]=0),1,0)</f>
        <v>0</v>
      </c>
      <c r="AD681">
        <f>IF(AND(vp.data[[#This Row],[CrudeType]]="Crude",vp.data[[#This Row],[Dens]]&gt;865,vp.data[[#This Row],[Dens]]&lt;=900,vp.data[[#This Row],[Sulf]]&gt;2,vp.data[[#This Row],[Unknown]]=0),1,0)</f>
        <v>0</v>
      </c>
      <c r="AE681">
        <f>IF(AND(vp.data[[#This Row],[CrudeType]]="Crude",vp.data[[#This Row],[Dens]]&gt;900,vp.data[[#This Row],[Sulf]]&lt;=0.5,vp.data[[#This Row],[Unknown]]=0),1,0)</f>
        <v>0</v>
      </c>
      <c r="AF681">
        <f>IF(AND(vp.data[[#This Row],[CrudeType]]="Crude",vp.data[[#This Row],[Dens]]&gt;900,vp.data[[#This Row],[Sulf]]&lt;=0.5,vp.data[[#This Row],[Unknown]]=0),1,0)</f>
        <v>0</v>
      </c>
      <c r="AG681" t="str">
        <f>INDEX(vp.data[[#Headers],[Unknown]:[Heavy_SW]],MATCH(1,vp.data[[#This Row],[Unknown]:[Heavy_SW]],0))</f>
        <v>Light_SW</v>
      </c>
      <c r="AH681">
        <f>INDEX([3]!crudeBD.lkup[Number],MATCH(vp.data[[#This Row],[Crude_Breakdown]],crudeBD.lkup[Crude Breakdown],0))</f>
        <v>2</v>
      </c>
      <c r="AI681">
        <f>MONTH(vp.data[[#This Row],[SDate]])</f>
        <v>1</v>
      </c>
      <c r="AJ681" s="5">
        <f>(vp.data[[#This Row],[VP]]-INDEX(crudeBD.lkup[Mean_VP],MATCH(vp.data[[#This Row],[Crude_Breakdown]],crudeBD.lkup[Crude Breakdown],0)))^2</f>
        <v>175.55418999380905</v>
      </c>
      <c r="AK681" s="5">
        <f>(vp.data[[#This Row],[Dens]]-INDEX(crudeBD.lkup[Mean_Dens],MATCH(vp.data[[#This Row],[Crude_Breakdown]],crudeBD.lkup[Crude Breakdown],0)))^2</f>
        <v>16.092118272649731</v>
      </c>
      <c r="AL681" s="5">
        <f>(vp.data[[#This Row],[Sulf]]-INDEX(crudeBD.lkup[Mean_Sulf],MATCH(vp.data[[#This Row],[Crude_Breakdown]],crudeBD.lkup[Crude Breakdown],0)))^2</f>
        <v>1.9147790304605045E-3</v>
      </c>
      <c r="AM681" s="4">
        <f>IF(AND(vp.data[[#This Row],[SDate]]&gt;=DATE(YEAR(vp.data[[#This Row],[SDate]]),5,1),vp.data[[#This Row],[SDate]]&lt;=DATE(YEAR(vp.data[[#This Row],[SDate]]),9,15)),1,0)</f>
        <v>0</v>
      </c>
      <c r="AN681" s="4">
        <f>IF(vp.data[[#This Row],[SDate]]&lt;DATE(2016,12,1),0,1)</f>
        <v>1</v>
      </c>
      <c r="AO681" s="4">
        <f>IFERROR(vp.data[[#This Row],[Sulf]]*vp.data[[#This Row],[Net Dens]],"")</f>
        <v>3161077.7476320001</v>
      </c>
      <c r="AP681">
        <f>IFERROR(vp.data[[#This Row],[Dens]]*vp.data[[#This Row],[VolumeM3]],"")</f>
        <v>11289563.384399999</v>
      </c>
      <c r="AQ681" s="15">
        <f>IFERROR(vp.data[[#This Row],[VP]]*vp.data[[#This Row],[VolumeM3]],"")</f>
        <v>1485062.5463999999</v>
      </c>
    </row>
    <row r="682" spans="1:43" x14ac:dyDescent="0.25">
      <c r="A682">
        <v>681</v>
      </c>
      <c r="B682" t="s">
        <v>62</v>
      </c>
      <c r="C682" t="s">
        <v>62</v>
      </c>
      <c r="D682" t="s">
        <v>63</v>
      </c>
      <c r="F682" s="1">
        <v>42762</v>
      </c>
      <c r="G682" s="2">
        <v>129.1</v>
      </c>
      <c r="H682" s="2"/>
      <c r="I682" s="2">
        <f t="array" ref="I682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682" s="2">
        <v>11.7</v>
      </c>
      <c r="K682" s="2">
        <v>-8</v>
      </c>
      <c r="L682" s="2">
        <v>804.4</v>
      </c>
      <c r="M682" s="2">
        <f t="array" ref="M682">_xlfn.IFNA(IF(vp.data[[#This Row],[Dens Input]]="",INDEX([1]DATA!$O$3:$O$9826,MATCH(1,(vp.data[[#This Row],[Battery]]=[1]DATA!$L$3:$L$9826)*(EOMONTH(vp.data[[#This Row],[SDate]],-1)+1=[1]DATA!$G$3:$G$9826),0)),vp.data[[#This Row],[Dens Input]]),"")</f>
        <v>804.4</v>
      </c>
      <c r="N682" s="2">
        <f ca="1">INDEX(INDIRECT(_xlfn.CONCAT("weather.tbl[",N$1,"]")),MATCH(vp.data[[#This Row],[SDate]],weather.tbl[Date],0))</f>
        <v>-5.1499999999999995</v>
      </c>
      <c r="O682" s="2">
        <f ca="1">INDEX(INDIRECT(_xlfn.CONCAT("weather.tbl[",O$1,"]")),MATCH(vp.data[[#This Row],[SDate]],weather.tbl[Date],0))</f>
        <v>-7.4119047619047622</v>
      </c>
      <c r="P682" s="2">
        <f ca="1">INDEX(INDIRECT(_xlfn.CONCAT("weather.tbl[",P$1,"]")),MATCH(vp.data[[#This Row],[SDate]],weather.tbl[Date],0))</f>
        <v>-5.9</v>
      </c>
      <c r="Q682" s="2">
        <f ca="1">INDEX(INDIRECT(_xlfn.CONCAT("weather.tbl[",Q$1,"]")),MATCH(vp.data[[#This Row],[SDate]],weather.tbl[Date],0))</f>
        <v>-4.0999999999999996</v>
      </c>
      <c r="R682" s="2">
        <f ca="1">INDEX(INDIRECT(_xlfn.CONCAT("weather.tbl[",R$1,"]")),MATCH(vp.data[[#This Row],[SDate]],weather.tbl[Date],0))</f>
        <v>-6.5</v>
      </c>
      <c r="S682" s="2">
        <f ca="1">INDEX(INDIRECT(_xlfn.CONCAT("weather.tbl[",S$1,"]")),MATCH(vp.data[[#This Row],[SDate]],weather.tbl[Date],0))</f>
        <v>-2.4</v>
      </c>
      <c r="T682" s="2">
        <f ca="1">INDEX(INDIRECT(_xlfn.CONCAT("weather.tbl[",T$1,"]")),MATCH(vp.data[[#This Row],[SDate]],weather.tbl[Date],0))</f>
        <v>-7.2</v>
      </c>
      <c r="U682" s="2">
        <f ca="1">INDEX(INDIRECT(_xlfn.CONCAT("weather.tbl[",U$1,"]")),MATCH(vp.data[[#This Row],[SDate]],weather.tbl[Date],0))</f>
        <v>-4.8</v>
      </c>
      <c r="V682" s="2">
        <f t="array" ref="V6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682" t="s">
        <v>48</v>
      </c>
      <c r="X682">
        <f>IF(OR(vp.data[[#This Row],[Sulf]]="",vp.data[[#This Row],[Dens]]=""),1,0)</f>
        <v>0</v>
      </c>
      <c r="Y682">
        <f>IF(vp.data[[#This Row],[CrudeType]]="C5+",1,0)</f>
        <v>0</v>
      </c>
      <c r="Z682">
        <f>IF(AND(vp.data[[#This Row],[CrudeType]]="Crude",vp.data[[#This Row],[Dens]]&lt;=825,vp.data[[#This Row],[Sulf]]&gt;0.5,vp.data[[#This Row],[Unknown]]=0),1,0)</f>
        <v>1</v>
      </c>
      <c r="AA682">
        <f>IF(AND(vp.data[[#This Row],[CrudeType]]="Crude",vp.data[[#This Row],[Dens]]&lt;=825,vp.data[[#This Row],[Sulf]]&lt;=0.5,vp.data[[#This Row],[Unknown]]=0),1,0)</f>
        <v>0</v>
      </c>
      <c r="AB6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2">
        <f>IF(AND(vp.data[[#This Row],[CrudeType]]="Crude",vp.data[[#This Row],[Dens]]&gt;825,vp.data[[#This Row],[Dens]]&lt;=900,vp.data[[#This Row],[Sulf]]&lt;=0.5,vp.data[[#This Row],[Unknown]]=0),1,0)</f>
        <v>0</v>
      </c>
      <c r="AD682">
        <f>IF(AND(vp.data[[#This Row],[CrudeType]]="Crude",vp.data[[#This Row],[Dens]]&gt;865,vp.data[[#This Row],[Dens]]&lt;=900,vp.data[[#This Row],[Sulf]]&gt;2,vp.data[[#This Row],[Unknown]]=0),1,0)</f>
        <v>0</v>
      </c>
      <c r="AE682">
        <f>IF(AND(vp.data[[#This Row],[CrudeType]]="Crude",vp.data[[#This Row],[Dens]]&gt;900,vp.data[[#This Row],[Sulf]]&lt;=0.5,vp.data[[#This Row],[Unknown]]=0),1,0)</f>
        <v>0</v>
      </c>
      <c r="AF682">
        <f>IF(AND(vp.data[[#This Row],[CrudeType]]="Crude",vp.data[[#This Row],[Dens]]&gt;900,vp.data[[#This Row],[Sulf]]&lt;=0.5,vp.data[[#This Row],[Unknown]]=0),1,0)</f>
        <v>0</v>
      </c>
      <c r="AG682" t="str">
        <f>INDEX(vp.data[[#Headers],[Unknown]:[Heavy_SW]],MATCH(1,vp.data[[#This Row],[Unknown]:[Heavy_SW]],0))</f>
        <v>Light_LSB</v>
      </c>
      <c r="AH682">
        <f>INDEX([3]!crudeBD.lkup[Number],MATCH(vp.data[[#This Row],[Crude_Breakdown]],crudeBD.lkup[Crude Breakdown],0))</f>
        <v>1</v>
      </c>
      <c r="AI682">
        <f>MONTH(vp.data[[#This Row],[SDate]])</f>
        <v>1</v>
      </c>
      <c r="AJ682" s="5">
        <f>(vp.data[[#This Row],[VP]]-INDEX(crudeBD.lkup[Mean_VP],MATCH(vp.data[[#This Row],[Crude_Breakdown]],crudeBD.lkup[Crude Breakdown],0)))^2</f>
        <v>1410.2889784674221</v>
      </c>
      <c r="AK682" s="5">
        <f>(vp.data[[#This Row],[Dens]]-INDEX(crudeBD.lkup[Mean_Dens],MATCH(vp.data[[#This Row],[Crude_Breakdown]],crudeBD.lkup[Crude Breakdown],0)))^2</f>
        <v>199.28318844131863</v>
      </c>
      <c r="AL682" s="5">
        <f>(vp.data[[#This Row],[Sulf]]-INDEX(crudeBD.lkup[Mean_Sulf],MATCH(vp.data[[#This Row],[Crude_Breakdown]],crudeBD.lkup[Crude Breakdown],0)))^2</f>
        <v>0.31028111925050628</v>
      </c>
      <c r="AM682" s="4">
        <f>IF(AND(vp.data[[#This Row],[SDate]]&gt;=DATE(YEAR(vp.data[[#This Row],[SDate]]),5,1),vp.data[[#This Row],[SDate]]&lt;=DATE(YEAR(vp.data[[#This Row],[SDate]]),9,15)),1,0)</f>
        <v>0</v>
      </c>
      <c r="AN682" s="4">
        <f>IF(vp.data[[#This Row],[SDate]]&lt;DATE(2016,12,1),0,1)</f>
        <v>1</v>
      </c>
      <c r="AO682" s="4">
        <f>IFERROR(vp.data[[#This Row],[Sulf]]*vp.data[[#This Row],[Net Dens]],"")</f>
        <v>5826070.4810239999</v>
      </c>
      <c r="AP682">
        <f>IFERROR(vp.data[[#This Row],[Dens]]*vp.data[[#This Row],[VolumeM3]],"")</f>
        <v>3936534.1088</v>
      </c>
      <c r="AQ682" s="15">
        <f>IFERROR(vp.data[[#This Row],[VP]]*vp.data[[#This Row],[VolumeM3]],"")</f>
        <v>631783.38320000004</v>
      </c>
    </row>
    <row r="683" spans="1:43" x14ac:dyDescent="0.25">
      <c r="A683">
        <v>682</v>
      </c>
      <c r="B683" t="s">
        <v>62</v>
      </c>
      <c r="C683" t="s">
        <v>62</v>
      </c>
      <c r="D683" t="s">
        <v>83</v>
      </c>
      <c r="F683" s="1">
        <v>42762</v>
      </c>
      <c r="G683" s="2">
        <v>89.9</v>
      </c>
      <c r="H683" s="2"/>
      <c r="I683" s="2">
        <f t="array" ref="I683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683" s="2">
        <v>0.4</v>
      </c>
      <c r="K683" s="2">
        <v>-8</v>
      </c>
      <c r="L683" s="2">
        <v>807.5</v>
      </c>
      <c r="M683" s="2">
        <f t="array" ref="M683">_xlfn.IFNA(IF(vp.data[[#This Row],[Dens Input]]="",INDEX([1]DATA!$O$3:$O$9826,MATCH(1,(vp.data[[#This Row],[Battery]]=[1]DATA!$L$3:$L$9826)*(EOMONTH(vp.data[[#This Row],[SDate]],-1)+1=[1]DATA!$G$3:$G$9826),0)),vp.data[[#This Row],[Dens Input]]),"")</f>
        <v>807.5</v>
      </c>
      <c r="N683" s="2">
        <f ca="1">INDEX(INDIRECT(_xlfn.CONCAT("weather.tbl[",N$1,"]")),MATCH(vp.data[[#This Row],[SDate]],weather.tbl[Date],0))</f>
        <v>-5.1499999999999995</v>
      </c>
      <c r="O683" s="2">
        <f ca="1">INDEX(INDIRECT(_xlfn.CONCAT("weather.tbl[",O$1,"]")),MATCH(vp.data[[#This Row],[SDate]],weather.tbl[Date],0))</f>
        <v>-7.4119047619047622</v>
      </c>
      <c r="P683" s="2">
        <f ca="1">INDEX(INDIRECT(_xlfn.CONCAT("weather.tbl[",P$1,"]")),MATCH(vp.data[[#This Row],[SDate]],weather.tbl[Date],0))</f>
        <v>-5.9</v>
      </c>
      <c r="Q683" s="2">
        <f ca="1">INDEX(INDIRECT(_xlfn.CONCAT("weather.tbl[",Q$1,"]")),MATCH(vp.data[[#This Row],[SDate]],weather.tbl[Date],0))</f>
        <v>-4.0999999999999996</v>
      </c>
      <c r="R683" s="2">
        <f ca="1">INDEX(INDIRECT(_xlfn.CONCAT("weather.tbl[",R$1,"]")),MATCH(vp.data[[#This Row],[SDate]],weather.tbl[Date],0))</f>
        <v>-6.5</v>
      </c>
      <c r="S683" s="2">
        <f ca="1">INDEX(INDIRECT(_xlfn.CONCAT("weather.tbl[",S$1,"]")),MATCH(vp.data[[#This Row],[SDate]],weather.tbl[Date],0))</f>
        <v>-2.4</v>
      </c>
      <c r="T683" s="2">
        <f ca="1">INDEX(INDIRECT(_xlfn.CONCAT("weather.tbl[",T$1,"]")),MATCH(vp.data[[#This Row],[SDate]],weather.tbl[Date],0))</f>
        <v>-7.2</v>
      </c>
      <c r="U683" s="2">
        <f ca="1">INDEX(INDIRECT(_xlfn.CONCAT("weather.tbl[",U$1,"]")),MATCH(vp.data[[#This Row],[SDate]],weather.tbl[Date],0))</f>
        <v>-4.8</v>
      </c>
      <c r="V683" s="2">
        <f t="array" ref="V6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683" t="s">
        <v>48</v>
      </c>
      <c r="X683">
        <f>IF(OR(vp.data[[#This Row],[Sulf]]="",vp.data[[#This Row],[Dens]]=""),1,0)</f>
        <v>0</v>
      </c>
      <c r="Y683">
        <f>IF(vp.data[[#This Row],[CrudeType]]="C5+",1,0)</f>
        <v>0</v>
      </c>
      <c r="Z683">
        <f>IF(AND(vp.data[[#This Row],[CrudeType]]="Crude",vp.data[[#This Row],[Dens]]&lt;=825,vp.data[[#This Row],[Sulf]]&gt;0.5,vp.data[[#This Row],[Unknown]]=0),1,0)</f>
        <v>0</v>
      </c>
      <c r="AA683">
        <f>IF(AND(vp.data[[#This Row],[CrudeType]]="Crude",vp.data[[#This Row],[Dens]]&lt;=825,vp.data[[#This Row],[Sulf]]&lt;=0.5,vp.data[[#This Row],[Unknown]]=0),1,0)</f>
        <v>1</v>
      </c>
      <c r="AB6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3">
        <f>IF(AND(vp.data[[#This Row],[CrudeType]]="Crude",vp.data[[#This Row],[Dens]]&gt;825,vp.data[[#This Row],[Dens]]&lt;=900,vp.data[[#This Row],[Sulf]]&lt;=0.5,vp.data[[#This Row],[Unknown]]=0),1,0)</f>
        <v>0</v>
      </c>
      <c r="AD683">
        <f>IF(AND(vp.data[[#This Row],[CrudeType]]="Crude",vp.data[[#This Row],[Dens]]&gt;865,vp.data[[#This Row],[Dens]]&lt;=900,vp.data[[#This Row],[Sulf]]&gt;2,vp.data[[#This Row],[Unknown]]=0),1,0)</f>
        <v>0</v>
      </c>
      <c r="AE683">
        <f>IF(AND(vp.data[[#This Row],[CrudeType]]="Crude",vp.data[[#This Row],[Dens]]&gt;900,vp.data[[#This Row],[Sulf]]&lt;=0.5,vp.data[[#This Row],[Unknown]]=0),1,0)</f>
        <v>0</v>
      </c>
      <c r="AF683">
        <f>IF(AND(vp.data[[#This Row],[CrudeType]]="Crude",vp.data[[#This Row],[Dens]]&gt;900,vp.data[[#This Row],[Sulf]]&lt;=0.5,vp.data[[#This Row],[Unknown]]=0),1,0)</f>
        <v>0</v>
      </c>
      <c r="AG683" t="str">
        <f>INDEX(vp.data[[#Headers],[Unknown]:[Heavy_SW]],MATCH(1,vp.data[[#This Row],[Unknown]:[Heavy_SW]],0))</f>
        <v>Light_SW</v>
      </c>
      <c r="AH683">
        <f>INDEX([3]!crudeBD.lkup[Number],MATCH(vp.data[[#This Row],[Crude_Breakdown]],crudeBD.lkup[Crude Breakdown],0))</f>
        <v>2</v>
      </c>
      <c r="AI683">
        <f>MONTH(vp.data[[#This Row],[SDate]])</f>
        <v>1</v>
      </c>
      <c r="AJ683" s="5">
        <f>(vp.data[[#This Row],[VP]]-INDEX(crudeBD.lkup[Mean_VP],MATCH(vp.data[[#This Row],[Crude_Breakdown]],crudeBD.lkup[Crude Breakdown],0)))^2</f>
        <v>7.0241621192437034</v>
      </c>
      <c r="AK683" s="5">
        <f>(vp.data[[#This Row],[Dens]]-INDEX(crudeBD.lkup[Mean_Dens],MATCH(vp.data[[#This Row],[Crude_Breakdown]],crudeBD.lkup[Crude Breakdown],0)))^2</f>
        <v>0.65852942247654833</v>
      </c>
      <c r="AL683" s="5">
        <f>(vp.data[[#This Row],[Sulf]]-INDEX(crudeBD.lkup[Mean_Sulf],MATCH(vp.data[[#This Row],[Crude_Breakdown]],crudeBD.lkup[Crude Breakdown],0)))^2</f>
        <v>4.3879776367322437E-3</v>
      </c>
      <c r="AM683" s="4">
        <f>IF(AND(vp.data[[#This Row],[SDate]]&gt;=DATE(YEAR(vp.data[[#This Row],[SDate]]),5,1),vp.data[[#This Row],[SDate]]&lt;=DATE(YEAR(vp.data[[#This Row],[SDate]]),9,15)),1,0)</f>
        <v>0</v>
      </c>
      <c r="AN683" s="4">
        <f>IF(vp.data[[#This Row],[SDate]]&lt;DATE(2016,12,1),0,1)</f>
        <v>1</v>
      </c>
      <c r="AO683" s="4">
        <f>IFERROR(vp.data[[#This Row],[Sulf]]*vp.data[[#This Row],[Net Dens]],"")</f>
        <v>1218081.4338500001</v>
      </c>
      <c r="AP683">
        <f>IFERROR(vp.data[[#This Row],[Dens]]*vp.data[[#This Row],[VolumeM3]],"")</f>
        <v>7165184.9050000003</v>
      </c>
      <c r="AQ683" s="15">
        <f>IFERROR(vp.data[[#This Row],[VP]]*vp.data[[#This Row],[VolumeM3]],"")</f>
        <v>797709.13060000003</v>
      </c>
    </row>
    <row r="684" spans="1:43" x14ac:dyDescent="0.25">
      <c r="A684">
        <v>683</v>
      </c>
      <c r="B684" t="s">
        <v>51</v>
      </c>
      <c r="C684" t="s">
        <v>51</v>
      </c>
      <c r="D684" t="s">
        <v>71</v>
      </c>
      <c r="F684" s="1">
        <v>42762</v>
      </c>
      <c r="G684" s="2">
        <v>91.1</v>
      </c>
      <c r="H684" s="2"/>
      <c r="I684" s="2">
        <f t="array" ref="I684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684" s="2">
        <v>12.7</v>
      </c>
      <c r="K684" s="2">
        <v>-8</v>
      </c>
      <c r="L684" s="2">
        <v>833.3</v>
      </c>
      <c r="M684" s="2">
        <f t="array" ref="M684">_xlfn.IFNA(IF(vp.data[[#This Row],[Dens Input]]="",INDEX([1]DATA!$O$3:$O$9826,MATCH(1,(vp.data[[#This Row],[Battery]]=[1]DATA!$L$3:$L$9826)*(EOMONTH(vp.data[[#This Row],[SDate]],-1)+1=[1]DATA!$G$3:$G$9826),0)),vp.data[[#This Row],[Dens Input]]),"")</f>
        <v>833.3</v>
      </c>
      <c r="N684" s="2">
        <f ca="1">INDEX(INDIRECT(_xlfn.CONCAT("weather.tbl[",N$1,"]")),MATCH(vp.data[[#This Row],[SDate]],weather.tbl[Date],0))</f>
        <v>-5.1499999999999995</v>
      </c>
      <c r="O684" s="2">
        <f ca="1">INDEX(INDIRECT(_xlfn.CONCAT("weather.tbl[",O$1,"]")),MATCH(vp.data[[#This Row],[SDate]],weather.tbl[Date],0))</f>
        <v>-7.4119047619047622</v>
      </c>
      <c r="P684" s="2">
        <f ca="1">INDEX(INDIRECT(_xlfn.CONCAT("weather.tbl[",P$1,"]")),MATCH(vp.data[[#This Row],[SDate]],weather.tbl[Date],0))</f>
        <v>-5.9</v>
      </c>
      <c r="Q684" s="2">
        <f ca="1">INDEX(INDIRECT(_xlfn.CONCAT("weather.tbl[",Q$1,"]")),MATCH(vp.data[[#This Row],[SDate]],weather.tbl[Date],0))</f>
        <v>-4.0999999999999996</v>
      </c>
      <c r="R684" s="2">
        <f ca="1">INDEX(INDIRECT(_xlfn.CONCAT("weather.tbl[",R$1,"]")),MATCH(vp.data[[#This Row],[SDate]],weather.tbl[Date],0))</f>
        <v>-6.5</v>
      </c>
      <c r="S684" s="2">
        <f ca="1">INDEX(INDIRECT(_xlfn.CONCAT("weather.tbl[",S$1,"]")),MATCH(vp.data[[#This Row],[SDate]],weather.tbl[Date],0))</f>
        <v>-2.4</v>
      </c>
      <c r="T684" s="2">
        <f ca="1">INDEX(INDIRECT(_xlfn.CONCAT("weather.tbl[",T$1,"]")),MATCH(vp.data[[#This Row],[SDate]],weather.tbl[Date],0))</f>
        <v>-7.2</v>
      </c>
      <c r="U684" s="2">
        <f ca="1">INDEX(INDIRECT(_xlfn.CONCAT("weather.tbl[",U$1,"]")),MATCH(vp.data[[#This Row],[SDate]],weather.tbl[Date],0))</f>
        <v>-4.8</v>
      </c>
      <c r="V684" s="2">
        <f t="array" ref="V6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7460.0540000000001</v>
      </c>
      <c r="W684" t="s">
        <v>48</v>
      </c>
      <c r="X684">
        <f>IF(OR(vp.data[[#This Row],[Sulf]]="",vp.data[[#This Row],[Dens]]=""),1,0)</f>
        <v>0</v>
      </c>
      <c r="Y684">
        <f>IF(vp.data[[#This Row],[CrudeType]]="C5+",1,0)</f>
        <v>0</v>
      </c>
      <c r="Z684">
        <f>IF(AND(vp.data[[#This Row],[CrudeType]]="Crude",vp.data[[#This Row],[Dens]]&lt;=825,vp.data[[#This Row],[Sulf]]&gt;0.5,vp.data[[#This Row],[Unknown]]=0),1,0)</f>
        <v>0</v>
      </c>
      <c r="AA684">
        <f>IF(AND(vp.data[[#This Row],[CrudeType]]="Crude",vp.data[[#This Row],[Dens]]&lt;=825,vp.data[[#This Row],[Sulf]]&lt;=0.5,vp.data[[#This Row],[Unknown]]=0),1,0)</f>
        <v>0</v>
      </c>
      <c r="AB6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84">
        <f>IF(AND(vp.data[[#This Row],[CrudeType]]="Crude",vp.data[[#This Row],[Dens]]&gt;825,vp.data[[#This Row],[Dens]]&lt;=900,vp.data[[#This Row],[Sulf]]&lt;=0.5,vp.data[[#This Row],[Unknown]]=0),1,0)</f>
        <v>0</v>
      </c>
      <c r="AD684">
        <f>IF(AND(vp.data[[#This Row],[CrudeType]]="Crude",vp.data[[#This Row],[Dens]]&gt;865,vp.data[[#This Row],[Dens]]&lt;=900,vp.data[[#This Row],[Sulf]]&gt;2,vp.data[[#This Row],[Unknown]]=0),1,0)</f>
        <v>0</v>
      </c>
      <c r="AE684">
        <f>IF(AND(vp.data[[#This Row],[CrudeType]]="Crude",vp.data[[#This Row],[Dens]]&gt;900,vp.data[[#This Row],[Sulf]]&lt;=0.5,vp.data[[#This Row],[Unknown]]=0),1,0)</f>
        <v>0</v>
      </c>
      <c r="AF684">
        <f>IF(AND(vp.data[[#This Row],[CrudeType]]="Crude",vp.data[[#This Row],[Dens]]&gt;900,vp.data[[#This Row],[Sulf]]&lt;=0.5,vp.data[[#This Row],[Unknown]]=0),1,0)</f>
        <v>0</v>
      </c>
      <c r="AG684" t="str">
        <f>INDEX(vp.data[[#Headers],[Unknown]:[Heavy_SW]],MATCH(1,vp.data[[#This Row],[Unknown]:[Heavy_SW]],0))</f>
        <v>Medium_LSB</v>
      </c>
      <c r="AH684">
        <f>INDEX([3]!crudeBD.lkup[Number],MATCH(vp.data[[#This Row],[Crude_Breakdown]],crudeBD.lkup[Crude Breakdown],0))</f>
        <v>3</v>
      </c>
      <c r="AI684">
        <f>MONTH(vp.data[[#This Row],[SDate]])</f>
        <v>1</v>
      </c>
      <c r="AJ684" s="5">
        <f>(vp.data[[#This Row],[VP]]-INDEX(crudeBD.lkup[Mean_VP],MATCH(vp.data[[#This Row],[Crude_Breakdown]],crudeBD.lkup[Crude Breakdown],0)))^2</f>
        <v>109.41836668144077</v>
      </c>
      <c r="AK684" s="5">
        <f>(vp.data[[#This Row],[Dens]]-INDEX(crudeBD.lkup[Mean_Dens],MATCH(vp.data[[#This Row],[Crude_Breakdown]],crudeBD.lkup[Crude Breakdown],0)))^2</f>
        <v>112.78439999999044</v>
      </c>
      <c r="AL684" s="5">
        <f>(vp.data[[#This Row],[Sulf]]-INDEX(crudeBD.lkup[Mean_Sulf],MATCH(vp.data[[#This Row],[Crude_Breakdown]],crudeBD.lkup[Crude Breakdown],0)))^2</f>
        <v>1.1965976994660734E-3</v>
      </c>
      <c r="AM684" s="4">
        <f>IF(AND(vp.data[[#This Row],[SDate]]&gt;=DATE(YEAR(vp.data[[#This Row],[SDate]]),5,1),vp.data[[#This Row],[SDate]]&lt;=DATE(YEAR(vp.data[[#This Row],[SDate]]),9,15)),1,0)</f>
        <v>0</v>
      </c>
      <c r="AN684" s="4">
        <f>IF(vp.data[[#This Row],[SDate]]&lt;DATE(2016,12,1),0,1)</f>
        <v>1</v>
      </c>
      <c r="AO684" s="4">
        <f>IFERROR(vp.data[[#This Row],[Sulf]]*vp.data[[#This Row],[Net Dens]],"")</f>
        <v>8827377.4574439991</v>
      </c>
      <c r="AP684">
        <f>IFERROR(vp.data[[#This Row],[Dens]]*vp.data[[#This Row],[VolumeM3]],"")</f>
        <v>6216462.9981999993</v>
      </c>
      <c r="AQ684" s="15">
        <f>IFERROR(vp.data[[#This Row],[VP]]*vp.data[[#This Row],[VolumeM3]],"")</f>
        <v>679610.91940000001</v>
      </c>
    </row>
    <row r="685" spans="1:43" x14ac:dyDescent="0.25">
      <c r="A685">
        <v>684</v>
      </c>
      <c r="B685" t="s">
        <v>51</v>
      </c>
      <c r="C685" t="s">
        <v>51</v>
      </c>
      <c r="D685" t="s">
        <v>126</v>
      </c>
      <c r="F685" s="1">
        <v>42762</v>
      </c>
      <c r="G685" s="2">
        <v>113.6</v>
      </c>
      <c r="H685" s="2"/>
      <c r="I685" s="2">
        <f t="array" ref="I685">_xlfn.IFNA(IF(vp.data[[#This Row],[Sulf Input]]="",INDEX([1]DATA!$Q$3:$Q$9826,MATCH(1,(vp.data[[#This Row],[Battery]]=[1]DATA!$L$3:$L$9826)*(EOMONTH(vp.data[[#This Row],[SDate]],-1)+1=[1]DATA!$G$3:$G$9826),0)),vp.data[[#This Row],[Sulf Input]]),"")</f>
        <v>1.71</v>
      </c>
      <c r="J685" s="2">
        <v>-2.7</v>
      </c>
      <c r="K685" s="2">
        <v>-8</v>
      </c>
      <c r="L685" s="2">
        <v>845.5</v>
      </c>
      <c r="M685" s="2">
        <f t="array" ref="M685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685" s="2">
        <f ca="1">INDEX(INDIRECT(_xlfn.CONCAT("weather.tbl[",N$1,"]")),MATCH(vp.data[[#This Row],[SDate]],weather.tbl[Date],0))</f>
        <v>-5.1499999999999995</v>
      </c>
      <c r="O685" s="2">
        <f ca="1">INDEX(INDIRECT(_xlfn.CONCAT("weather.tbl[",O$1,"]")),MATCH(vp.data[[#This Row],[SDate]],weather.tbl[Date],0))</f>
        <v>-7.4119047619047622</v>
      </c>
      <c r="P685" s="2">
        <f ca="1">INDEX(INDIRECT(_xlfn.CONCAT("weather.tbl[",P$1,"]")),MATCH(vp.data[[#This Row],[SDate]],weather.tbl[Date],0))</f>
        <v>-5.9</v>
      </c>
      <c r="Q685" s="2">
        <f ca="1">INDEX(INDIRECT(_xlfn.CONCAT("weather.tbl[",Q$1,"]")),MATCH(vp.data[[#This Row],[SDate]],weather.tbl[Date],0))</f>
        <v>-4.0999999999999996</v>
      </c>
      <c r="R685" s="2">
        <f ca="1">INDEX(INDIRECT(_xlfn.CONCAT("weather.tbl[",R$1,"]")),MATCH(vp.data[[#This Row],[SDate]],weather.tbl[Date],0))</f>
        <v>-6.5</v>
      </c>
      <c r="S685" s="2">
        <f ca="1">INDEX(INDIRECT(_xlfn.CONCAT("weather.tbl[",S$1,"]")),MATCH(vp.data[[#This Row],[SDate]],weather.tbl[Date],0))</f>
        <v>-2.4</v>
      </c>
      <c r="T685" s="2">
        <f ca="1">INDEX(INDIRECT(_xlfn.CONCAT("weather.tbl[",T$1,"]")),MATCH(vp.data[[#This Row],[SDate]],weather.tbl[Date],0))</f>
        <v>-7.2</v>
      </c>
      <c r="U685" s="2">
        <f ca="1">INDEX(INDIRECT(_xlfn.CONCAT("weather.tbl[",U$1,"]")),MATCH(vp.data[[#This Row],[SDate]],weather.tbl[Date],0))</f>
        <v>-4.8</v>
      </c>
      <c r="V685" s="2">
        <f t="array" ref="V6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1144.7719999999999</v>
      </c>
      <c r="W685" t="s">
        <v>48</v>
      </c>
      <c r="X685">
        <f>IF(OR(vp.data[[#This Row],[Sulf]]="",vp.data[[#This Row],[Dens]]=""),1,0)</f>
        <v>0</v>
      </c>
      <c r="Y685">
        <f>IF(vp.data[[#This Row],[CrudeType]]="C5+",1,0)</f>
        <v>0</v>
      </c>
      <c r="Z685">
        <f>IF(AND(vp.data[[#This Row],[CrudeType]]="Crude",vp.data[[#This Row],[Dens]]&lt;=825,vp.data[[#This Row],[Sulf]]&gt;0.5,vp.data[[#This Row],[Unknown]]=0),1,0)</f>
        <v>0</v>
      </c>
      <c r="AA685">
        <f>IF(AND(vp.data[[#This Row],[CrudeType]]="Crude",vp.data[[#This Row],[Dens]]&lt;=825,vp.data[[#This Row],[Sulf]]&lt;=0.5,vp.data[[#This Row],[Unknown]]=0),1,0)</f>
        <v>0</v>
      </c>
      <c r="AB6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85">
        <f>IF(AND(vp.data[[#This Row],[CrudeType]]="Crude",vp.data[[#This Row],[Dens]]&gt;825,vp.data[[#This Row],[Dens]]&lt;=900,vp.data[[#This Row],[Sulf]]&lt;=0.5,vp.data[[#This Row],[Unknown]]=0),1,0)</f>
        <v>0</v>
      </c>
      <c r="AD685">
        <f>IF(AND(vp.data[[#This Row],[CrudeType]]="Crude",vp.data[[#This Row],[Dens]]&gt;865,vp.data[[#This Row],[Dens]]&lt;=900,vp.data[[#This Row],[Sulf]]&gt;2,vp.data[[#This Row],[Unknown]]=0),1,0)</f>
        <v>0</v>
      </c>
      <c r="AE685">
        <f>IF(AND(vp.data[[#This Row],[CrudeType]]="Crude",vp.data[[#This Row],[Dens]]&gt;900,vp.data[[#This Row],[Sulf]]&lt;=0.5,vp.data[[#This Row],[Unknown]]=0),1,0)</f>
        <v>0</v>
      </c>
      <c r="AF685">
        <f>IF(AND(vp.data[[#This Row],[CrudeType]]="Crude",vp.data[[#This Row],[Dens]]&gt;900,vp.data[[#This Row],[Sulf]]&lt;=0.5,vp.data[[#This Row],[Unknown]]=0),1,0)</f>
        <v>0</v>
      </c>
      <c r="AG685" t="str">
        <f>INDEX(vp.data[[#Headers],[Unknown]:[Heavy_SW]],MATCH(1,vp.data[[#This Row],[Unknown]:[Heavy_SW]],0))</f>
        <v>Medium_LSB</v>
      </c>
      <c r="AH685">
        <f>INDEX([3]!crudeBD.lkup[Number],MATCH(vp.data[[#This Row],[Crude_Breakdown]],crudeBD.lkup[Crude Breakdown],0))</f>
        <v>3</v>
      </c>
      <c r="AI685">
        <f>MONTH(vp.data[[#This Row],[SDate]])</f>
        <v>1</v>
      </c>
      <c r="AJ685" s="5">
        <f>(vp.data[[#This Row],[VP]]-INDEX(crudeBD.lkup[Mean_VP],MATCH(vp.data[[#This Row],[Crude_Breakdown]],crudeBD.lkup[Crude Breakdown],0)))^2</f>
        <v>1086.3829219375084</v>
      </c>
      <c r="AK685" s="5">
        <f>(vp.data[[#This Row],[Dens]]-INDEX(crudeBD.lkup[Mean_Dens],MATCH(vp.data[[#This Row],[Crude_Breakdown]],crudeBD.lkup[Crude Breakdown],0)))^2</f>
        <v>2.4964000000015663</v>
      </c>
      <c r="AL685" s="5">
        <f>(vp.data[[#This Row],[Sulf]]-INDEX(crudeBD.lkup[Mean_Sulf],MATCH(vp.data[[#This Row],[Crude_Breakdown]],crudeBD.lkup[Crude Breakdown],0)))^2</f>
        <v>0.10535988422237623</v>
      </c>
      <c r="AM685" s="4">
        <f>IF(AND(vp.data[[#This Row],[SDate]]&gt;=DATE(YEAR(vp.data[[#This Row],[SDate]]),5,1),vp.data[[#This Row],[SDate]]&lt;=DATE(YEAR(vp.data[[#This Row],[SDate]]),9,15)),1,0)</f>
        <v>0</v>
      </c>
      <c r="AN685" s="4">
        <f>IF(vp.data[[#This Row],[SDate]]&lt;DATE(2016,12,1),0,1)</f>
        <v>1</v>
      </c>
      <c r="AO685" s="4">
        <f>IFERROR(vp.data[[#This Row],[Sulf]]*vp.data[[#This Row],[Net Dens]],"")</f>
        <v>1655117.0814599998</v>
      </c>
      <c r="AP685">
        <f>IFERROR(vp.data[[#This Row],[Dens]]*vp.data[[#This Row],[VolumeM3]],"")</f>
        <v>967904.72599999991</v>
      </c>
      <c r="AQ685" s="15">
        <f>IFERROR(vp.data[[#This Row],[VP]]*vp.data[[#This Row],[VolumeM3]],"")</f>
        <v>130046.09919999998</v>
      </c>
    </row>
    <row r="686" spans="1:43" x14ac:dyDescent="0.25">
      <c r="A686">
        <v>685</v>
      </c>
      <c r="B686" t="s">
        <v>49</v>
      </c>
      <c r="C686" t="s">
        <v>49</v>
      </c>
      <c r="D686" t="s">
        <v>81</v>
      </c>
      <c r="F686" s="1">
        <v>42764</v>
      </c>
      <c r="G686" s="2">
        <v>91.3</v>
      </c>
      <c r="H686" s="2">
        <v>0.55800000000000005</v>
      </c>
      <c r="I686" s="2">
        <f t="array" ref="I686">_xlfn.IFNA(IF(vp.data[[#This Row],[Sulf Input]]="",INDEX([1]DATA!$Q$3:$Q$9826,MATCH(1,(vp.data[[#This Row],[Battery]]=[1]DATA!$L$3:$L$9826)*(EOMONTH(vp.data[[#This Row],[SDate]],-1)+1=[1]DATA!$G$3:$G$9826),0)),vp.data[[#This Row],[Sulf Input]]),"")</f>
        <v>0.55800000000000005</v>
      </c>
      <c r="J686" s="2">
        <v>4.5</v>
      </c>
      <c r="K686" s="2">
        <v>2</v>
      </c>
      <c r="L686" s="2">
        <v>812.2</v>
      </c>
      <c r="M686" s="2">
        <f t="array" ref="M686">_xlfn.IFNA(IF(vp.data[[#This Row],[Dens Input]]="",INDEX([1]DATA!$O$3:$O$9826,MATCH(1,(vp.data[[#This Row],[Battery]]=[1]DATA!$L$3:$L$9826)*(EOMONTH(vp.data[[#This Row],[SDate]],-1)+1=[1]DATA!$G$3:$G$9826),0)),vp.data[[#This Row],[Dens Input]]),"")</f>
        <v>812.2</v>
      </c>
      <c r="N686" s="2">
        <f ca="1">INDEX(INDIRECT(_xlfn.CONCAT("weather.tbl[",N$1,"]")),MATCH(vp.data[[#This Row],[SDate]],weather.tbl[Date],0))</f>
        <v>-2.0500000000000003</v>
      </c>
      <c r="O686" s="2">
        <f ca="1">INDEX(INDIRECT(_xlfn.CONCAT("weather.tbl[",O$1,"]")),MATCH(vp.data[[#This Row],[SDate]],weather.tbl[Date],0))</f>
        <v>-6.545238095238096</v>
      </c>
      <c r="P686" s="2">
        <f ca="1">INDEX(INDIRECT(_xlfn.CONCAT("weather.tbl[",P$1,"]")),MATCH(vp.data[[#This Row],[SDate]],weather.tbl[Date],0))</f>
        <v>-2</v>
      </c>
      <c r="Q686" s="2">
        <f ca="1">INDEX(INDIRECT(_xlfn.CONCAT("weather.tbl[",Q$1,"]")),MATCH(vp.data[[#This Row],[SDate]],weather.tbl[Date],0))</f>
        <v>-0.6</v>
      </c>
      <c r="R686" s="2">
        <f ca="1">INDEX(INDIRECT(_xlfn.CONCAT("weather.tbl[",R$1,"]")),MATCH(vp.data[[#This Row],[SDate]],weather.tbl[Date],0))</f>
        <v>-2.2999999999999998</v>
      </c>
      <c r="S686" s="2">
        <f ca="1">INDEX(INDIRECT(_xlfn.CONCAT("weather.tbl[",S$1,"]")),MATCH(vp.data[[#This Row],[SDate]],weather.tbl[Date],0))</f>
        <v>0.7</v>
      </c>
      <c r="T686" s="2">
        <f ca="1">INDEX(INDIRECT(_xlfn.CONCAT("weather.tbl[",T$1,"]")),MATCH(vp.data[[#This Row],[SDate]],weather.tbl[Date],0))</f>
        <v>-5.8</v>
      </c>
      <c r="U686" s="2">
        <f ca="1">INDEX(INDIRECT(_xlfn.CONCAT("weather.tbl[",U$1,"]")),MATCH(vp.data[[#This Row],[SDate]],weather.tbl[Date],0))</f>
        <v>-2.2999999999999998</v>
      </c>
      <c r="V686" s="2">
        <f t="array" ref="V6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18973.987000000001</v>
      </c>
      <c r="W686" t="s">
        <v>48</v>
      </c>
      <c r="X686">
        <f>IF(OR(vp.data[[#This Row],[Sulf]]="",vp.data[[#This Row],[Dens]]=""),1,0)</f>
        <v>0</v>
      </c>
      <c r="Y686">
        <f>IF(vp.data[[#This Row],[CrudeType]]="C5+",1,0)</f>
        <v>0</v>
      </c>
      <c r="Z686">
        <f>IF(AND(vp.data[[#This Row],[CrudeType]]="Crude",vp.data[[#This Row],[Dens]]&lt;=825,vp.data[[#This Row],[Sulf]]&gt;0.5,vp.data[[#This Row],[Unknown]]=0),1,0)</f>
        <v>1</v>
      </c>
      <c r="AA686">
        <f>IF(AND(vp.data[[#This Row],[CrudeType]]="Crude",vp.data[[#This Row],[Dens]]&lt;=825,vp.data[[#This Row],[Sulf]]&lt;=0.5,vp.data[[#This Row],[Unknown]]=0),1,0)</f>
        <v>0</v>
      </c>
      <c r="AB6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6">
        <f>IF(AND(vp.data[[#This Row],[CrudeType]]="Crude",vp.data[[#This Row],[Dens]]&gt;825,vp.data[[#This Row],[Dens]]&lt;=900,vp.data[[#This Row],[Sulf]]&lt;=0.5,vp.data[[#This Row],[Unknown]]=0),1,0)</f>
        <v>0</v>
      </c>
      <c r="AD686">
        <f>IF(AND(vp.data[[#This Row],[CrudeType]]="Crude",vp.data[[#This Row],[Dens]]&gt;865,vp.data[[#This Row],[Dens]]&lt;=900,vp.data[[#This Row],[Sulf]]&gt;2,vp.data[[#This Row],[Unknown]]=0),1,0)</f>
        <v>0</v>
      </c>
      <c r="AE686">
        <f>IF(AND(vp.data[[#This Row],[CrudeType]]="Crude",vp.data[[#This Row],[Dens]]&gt;900,vp.data[[#This Row],[Sulf]]&lt;=0.5,vp.data[[#This Row],[Unknown]]=0),1,0)</f>
        <v>0</v>
      </c>
      <c r="AF686">
        <f>IF(AND(vp.data[[#This Row],[CrudeType]]="Crude",vp.data[[#This Row],[Dens]]&gt;900,vp.data[[#This Row],[Sulf]]&lt;=0.5,vp.data[[#This Row],[Unknown]]=0),1,0)</f>
        <v>0</v>
      </c>
      <c r="AG686" t="str">
        <f>INDEX(vp.data[[#Headers],[Unknown]:[Heavy_SW]],MATCH(1,vp.data[[#This Row],[Unknown]:[Heavy_SW]],0))</f>
        <v>Light_LSB</v>
      </c>
      <c r="AH686">
        <f>INDEX([3]!crudeBD.lkup[Number],MATCH(vp.data[[#This Row],[Crude_Breakdown]],crudeBD.lkup[Crude Breakdown],0))</f>
        <v>1</v>
      </c>
      <c r="AI686">
        <f>MONTH(vp.data[[#This Row],[SDate]])</f>
        <v>1</v>
      </c>
      <c r="AJ686" s="5">
        <f>(vp.data[[#This Row],[VP]]-INDEX(crudeBD.lkup[Mean_VP],MATCH(vp.data[[#This Row],[Crude_Breakdown]],crudeBD.lkup[Crude Breakdown],0)))^2</f>
        <v>6.060733340420419E-2</v>
      </c>
      <c r="AK686" s="5">
        <f>(vp.data[[#This Row],[Dens]]-INDEX(crudeBD.lkup[Mean_Dens],MATCH(vp.data[[#This Row],[Crude_Breakdown]],crudeBD.lkup[Crude Breakdown],0)))^2</f>
        <v>39.90158019389964</v>
      </c>
      <c r="AL686" s="5">
        <f>(vp.data[[#This Row],[Sulf]]-INDEX(crudeBD.lkup[Mean_Sulf],MATCH(vp.data[[#This Row],[Crude_Breakdown]],crudeBD.lkup[Crude Breakdown],0)))^2</f>
        <v>0.13320395375222402</v>
      </c>
      <c r="AM686" s="4">
        <f>IF(AND(vp.data[[#This Row],[SDate]]&gt;=DATE(YEAR(vp.data[[#This Row],[SDate]]),5,1),vp.data[[#This Row],[SDate]]&lt;=DATE(YEAR(vp.data[[#This Row],[SDate]]),9,15)),1,0)</f>
        <v>0</v>
      </c>
      <c r="AN686" s="4">
        <f>IF(vp.data[[#This Row],[SDate]]&lt;DATE(2016,12,1),0,1)</f>
        <v>1</v>
      </c>
      <c r="AO686" s="4">
        <f>IFERROR(vp.data[[#This Row],[Sulf]]*vp.data[[#This Row],[Net Dens]],"")</f>
        <v>8599155.1107012015</v>
      </c>
      <c r="AP686">
        <f>IFERROR(vp.data[[#This Row],[Dens]]*vp.data[[#This Row],[VolumeM3]],"")</f>
        <v>15410672.241400002</v>
      </c>
      <c r="AQ686" s="15">
        <f>IFERROR(vp.data[[#This Row],[VP]]*vp.data[[#This Row],[VolumeM3]],"")</f>
        <v>1732325.0131000001</v>
      </c>
    </row>
    <row r="687" spans="1:43" x14ac:dyDescent="0.25">
      <c r="A687">
        <v>686</v>
      </c>
      <c r="B687" t="s">
        <v>49</v>
      </c>
      <c r="C687" t="s">
        <v>49</v>
      </c>
      <c r="D687" t="s">
        <v>89</v>
      </c>
      <c r="F687" s="1">
        <v>42764</v>
      </c>
      <c r="G687" s="2">
        <v>109.6</v>
      </c>
      <c r="H687" s="2">
        <v>0.67500000000000004</v>
      </c>
      <c r="I687" s="2">
        <f t="array" ref="I687">_xlfn.IFNA(IF(vp.data[[#This Row],[Sulf Input]]="",INDEX([1]DATA!$Q$3:$Q$9826,MATCH(1,(vp.data[[#This Row],[Battery]]=[1]DATA!$L$3:$L$9826)*(EOMONTH(vp.data[[#This Row],[SDate]],-1)+1=[1]DATA!$G$3:$G$9826),0)),vp.data[[#This Row],[Sulf Input]]),"")</f>
        <v>0.67500000000000004</v>
      </c>
      <c r="J687" s="2">
        <v>6.3</v>
      </c>
      <c r="K687" s="2">
        <v>-2</v>
      </c>
      <c r="L687" s="2">
        <v>815.9</v>
      </c>
      <c r="M687" s="2">
        <f t="array" ref="M687">_xlfn.IFNA(IF(vp.data[[#This Row],[Dens Input]]="",INDEX([1]DATA!$O$3:$O$9826,MATCH(1,(vp.data[[#This Row],[Battery]]=[1]DATA!$L$3:$L$9826)*(EOMONTH(vp.data[[#This Row],[SDate]],-1)+1=[1]DATA!$G$3:$G$9826),0)),vp.data[[#This Row],[Dens Input]]),"")</f>
        <v>815.9</v>
      </c>
      <c r="N687" s="2">
        <f ca="1">INDEX(INDIRECT(_xlfn.CONCAT("weather.tbl[",N$1,"]")),MATCH(vp.data[[#This Row],[SDate]],weather.tbl[Date],0))</f>
        <v>-2.0500000000000003</v>
      </c>
      <c r="O687" s="2">
        <f ca="1">INDEX(INDIRECT(_xlfn.CONCAT("weather.tbl[",O$1,"]")),MATCH(vp.data[[#This Row],[SDate]],weather.tbl[Date],0))</f>
        <v>-6.545238095238096</v>
      </c>
      <c r="P687" s="2">
        <f ca="1">INDEX(INDIRECT(_xlfn.CONCAT("weather.tbl[",P$1,"]")),MATCH(vp.data[[#This Row],[SDate]],weather.tbl[Date],0))</f>
        <v>-2</v>
      </c>
      <c r="Q687" s="2">
        <f ca="1">INDEX(INDIRECT(_xlfn.CONCAT("weather.tbl[",Q$1,"]")),MATCH(vp.data[[#This Row],[SDate]],weather.tbl[Date],0))</f>
        <v>-0.6</v>
      </c>
      <c r="R687" s="2">
        <f ca="1">INDEX(INDIRECT(_xlfn.CONCAT("weather.tbl[",R$1,"]")),MATCH(vp.data[[#This Row],[SDate]],weather.tbl[Date],0))</f>
        <v>-2.2999999999999998</v>
      </c>
      <c r="S687" s="2">
        <f ca="1">INDEX(INDIRECT(_xlfn.CONCAT("weather.tbl[",S$1,"]")),MATCH(vp.data[[#This Row],[SDate]],weather.tbl[Date],0))</f>
        <v>0.7</v>
      </c>
      <c r="T687" s="2">
        <f ca="1">INDEX(INDIRECT(_xlfn.CONCAT("weather.tbl[",T$1,"]")),MATCH(vp.data[[#This Row],[SDate]],weather.tbl[Date],0))</f>
        <v>-5.8</v>
      </c>
      <c r="U687" s="2">
        <f ca="1">INDEX(INDIRECT(_xlfn.CONCAT("weather.tbl[",U$1,"]")),MATCH(vp.data[[#This Row],[SDate]],weather.tbl[Date],0))</f>
        <v>-2.2999999999999998</v>
      </c>
      <c r="V687" s="2">
        <f t="array" ref="V6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687" t="s">
        <v>48</v>
      </c>
      <c r="X687">
        <f>IF(OR(vp.data[[#This Row],[Sulf]]="",vp.data[[#This Row],[Dens]]=""),1,0)</f>
        <v>0</v>
      </c>
      <c r="Y687">
        <f>IF(vp.data[[#This Row],[CrudeType]]="C5+",1,0)</f>
        <v>0</v>
      </c>
      <c r="Z687">
        <f>IF(AND(vp.data[[#This Row],[CrudeType]]="Crude",vp.data[[#This Row],[Dens]]&lt;=825,vp.data[[#This Row],[Sulf]]&gt;0.5,vp.data[[#This Row],[Unknown]]=0),1,0)</f>
        <v>1</v>
      </c>
      <c r="AA687">
        <f>IF(AND(vp.data[[#This Row],[CrudeType]]="Crude",vp.data[[#This Row],[Dens]]&lt;=825,vp.data[[#This Row],[Sulf]]&lt;=0.5,vp.data[[#This Row],[Unknown]]=0),1,0)</f>
        <v>0</v>
      </c>
      <c r="AB6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7">
        <f>IF(AND(vp.data[[#This Row],[CrudeType]]="Crude",vp.data[[#This Row],[Dens]]&gt;825,vp.data[[#This Row],[Dens]]&lt;=900,vp.data[[#This Row],[Sulf]]&lt;=0.5,vp.data[[#This Row],[Unknown]]=0),1,0)</f>
        <v>0</v>
      </c>
      <c r="AD687">
        <f>IF(AND(vp.data[[#This Row],[CrudeType]]="Crude",vp.data[[#This Row],[Dens]]&gt;865,vp.data[[#This Row],[Dens]]&lt;=900,vp.data[[#This Row],[Sulf]]&gt;2,vp.data[[#This Row],[Unknown]]=0),1,0)</f>
        <v>0</v>
      </c>
      <c r="AE687">
        <f>IF(AND(vp.data[[#This Row],[CrudeType]]="Crude",vp.data[[#This Row],[Dens]]&gt;900,vp.data[[#This Row],[Sulf]]&lt;=0.5,vp.data[[#This Row],[Unknown]]=0),1,0)</f>
        <v>0</v>
      </c>
      <c r="AF687">
        <f>IF(AND(vp.data[[#This Row],[CrudeType]]="Crude",vp.data[[#This Row],[Dens]]&gt;900,vp.data[[#This Row],[Sulf]]&lt;=0.5,vp.data[[#This Row],[Unknown]]=0),1,0)</f>
        <v>0</v>
      </c>
      <c r="AG687" t="str">
        <f>INDEX(vp.data[[#Headers],[Unknown]:[Heavy_SW]],MATCH(1,vp.data[[#This Row],[Unknown]:[Heavy_SW]],0))</f>
        <v>Light_LSB</v>
      </c>
      <c r="AH687">
        <f>INDEX([3]!crudeBD.lkup[Number],MATCH(vp.data[[#This Row],[Crude_Breakdown]],crudeBD.lkup[Crude Breakdown],0))</f>
        <v>1</v>
      </c>
      <c r="AI687">
        <f>MONTH(vp.data[[#This Row],[SDate]])</f>
        <v>1</v>
      </c>
      <c r="AJ687" s="5">
        <f>(vp.data[[#This Row],[VP]]-INDEX(crudeBD.lkup[Mean_VP],MATCH(vp.data[[#This Row],[Crude_Breakdown]],crudeBD.lkup[Crude Breakdown],0)))^2</f>
        <v>325.94021558082557</v>
      </c>
      <c r="AK687" s="5">
        <f>(vp.data[[#This Row],[Dens]]-INDEX(crudeBD.lkup[Mean_Dens],MATCH(vp.data[[#This Row],[Crude_Breakdown]],crudeBD.lkup[Crude Breakdown],0)))^2</f>
        <v>6.8474839739713849</v>
      </c>
      <c r="AL687" s="5">
        <f>(vp.data[[#This Row],[Sulf]]-INDEX(crudeBD.lkup[Mean_Sulf],MATCH(vp.data[[#This Row],[Crude_Breakdown]],crudeBD.lkup[Crude Breakdown],0)))^2</f>
        <v>6.1489700350162227E-2</v>
      </c>
      <c r="AM687" s="4">
        <f>IF(AND(vp.data[[#This Row],[SDate]]&gt;=DATE(YEAR(vp.data[[#This Row],[SDate]]),5,1),vp.data[[#This Row],[SDate]]&lt;=DATE(YEAR(vp.data[[#This Row],[SDate]]),9,15)),1,0)</f>
        <v>0</v>
      </c>
      <c r="AN687" s="4">
        <f>IF(vp.data[[#This Row],[SDate]]&lt;DATE(2016,12,1),0,1)</f>
        <v>1</v>
      </c>
      <c r="AO687" s="4">
        <f>IFERROR(vp.data[[#This Row],[Sulf]]*vp.data[[#This Row],[Net Dens]],"")</f>
        <v>3403285.0784324999</v>
      </c>
      <c r="AP687">
        <f>IFERROR(vp.data[[#This Row],[Dens]]*vp.data[[#This Row],[VolumeM3]],"")</f>
        <v>5041903.8198999995</v>
      </c>
      <c r="AQ687" s="15">
        <f>IFERROR(vp.data[[#This Row],[VP]]*vp.data[[#This Row],[VolumeM3]],"")</f>
        <v>677279.88559999992</v>
      </c>
    </row>
    <row r="688" spans="1:43" x14ac:dyDescent="0.25">
      <c r="A688">
        <v>687</v>
      </c>
      <c r="B688" t="s">
        <v>49</v>
      </c>
      <c r="C688" t="s">
        <v>49</v>
      </c>
      <c r="D688" t="s">
        <v>67</v>
      </c>
      <c r="F688" s="1">
        <v>42764</v>
      </c>
      <c r="G688" s="2">
        <v>92.8</v>
      </c>
      <c r="H688" s="2">
        <v>0.83799999999999997</v>
      </c>
      <c r="I688" s="2">
        <f t="array" ref="I688">_xlfn.IFNA(IF(vp.data[[#This Row],[Sulf Input]]="",INDEX([1]DATA!$Q$3:$Q$9826,MATCH(1,(vp.data[[#This Row],[Battery]]=[1]DATA!$L$3:$L$9826)*(EOMONTH(vp.data[[#This Row],[SDate]],-1)+1=[1]DATA!$G$3:$G$9826),0)),vp.data[[#This Row],[Sulf Input]]),"")</f>
        <v>0.83799999999999997</v>
      </c>
      <c r="J688" s="2">
        <v>8.1</v>
      </c>
      <c r="K688" s="2">
        <v>-1</v>
      </c>
      <c r="L688" s="2">
        <v>824.7</v>
      </c>
      <c r="M688" s="2">
        <f t="array" ref="M688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688" s="2">
        <f ca="1">INDEX(INDIRECT(_xlfn.CONCAT("weather.tbl[",N$1,"]")),MATCH(vp.data[[#This Row],[SDate]],weather.tbl[Date],0))</f>
        <v>-2.0500000000000003</v>
      </c>
      <c r="O688" s="2">
        <f ca="1">INDEX(INDIRECT(_xlfn.CONCAT("weather.tbl[",O$1,"]")),MATCH(vp.data[[#This Row],[SDate]],weather.tbl[Date],0))</f>
        <v>-6.545238095238096</v>
      </c>
      <c r="P688" s="2">
        <f ca="1">INDEX(INDIRECT(_xlfn.CONCAT("weather.tbl[",P$1,"]")),MATCH(vp.data[[#This Row],[SDate]],weather.tbl[Date],0))</f>
        <v>-2</v>
      </c>
      <c r="Q688" s="2">
        <f ca="1">INDEX(INDIRECT(_xlfn.CONCAT("weather.tbl[",Q$1,"]")),MATCH(vp.data[[#This Row],[SDate]],weather.tbl[Date],0))</f>
        <v>-0.6</v>
      </c>
      <c r="R688" s="2">
        <f ca="1">INDEX(INDIRECT(_xlfn.CONCAT("weather.tbl[",R$1,"]")),MATCH(vp.data[[#This Row],[SDate]],weather.tbl[Date],0))</f>
        <v>-2.2999999999999998</v>
      </c>
      <c r="S688" s="2">
        <f ca="1">INDEX(INDIRECT(_xlfn.CONCAT("weather.tbl[",S$1,"]")),MATCH(vp.data[[#This Row],[SDate]],weather.tbl[Date],0))</f>
        <v>0.7</v>
      </c>
      <c r="T688" s="2">
        <f ca="1">INDEX(INDIRECT(_xlfn.CONCAT("weather.tbl[",T$1,"]")),MATCH(vp.data[[#This Row],[SDate]],weather.tbl[Date],0))</f>
        <v>-5.8</v>
      </c>
      <c r="U688" s="2">
        <f ca="1">INDEX(INDIRECT(_xlfn.CONCAT("weather.tbl[",U$1,"]")),MATCH(vp.data[[#This Row],[SDate]],weather.tbl[Date],0))</f>
        <v>-2.2999999999999998</v>
      </c>
      <c r="V688" s="2">
        <f t="array" ref="V6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688" t="s">
        <v>48</v>
      </c>
      <c r="X688">
        <f>IF(OR(vp.data[[#This Row],[Sulf]]="",vp.data[[#This Row],[Dens]]=""),1,0)</f>
        <v>0</v>
      </c>
      <c r="Y688">
        <f>IF(vp.data[[#This Row],[CrudeType]]="C5+",1,0)</f>
        <v>0</v>
      </c>
      <c r="Z688">
        <f>IF(AND(vp.data[[#This Row],[CrudeType]]="Crude",vp.data[[#This Row],[Dens]]&lt;=825,vp.data[[#This Row],[Sulf]]&gt;0.5,vp.data[[#This Row],[Unknown]]=0),1,0)</f>
        <v>1</v>
      </c>
      <c r="AA688">
        <f>IF(AND(vp.data[[#This Row],[CrudeType]]="Crude",vp.data[[#This Row],[Dens]]&lt;=825,vp.data[[#This Row],[Sulf]]&lt;=0.5,vp.data[[#This Row],[Unknown]]=0),1,0)</f>
        <v>0</v>
      </c>
      <c r="AB6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88">
        <f>IF(AND(vp.data[[#This Row],[CrudeType]]="Crude",vp.data[[#This Row],[Dens]]&gt;825,vp.data[[#This Row],[Dens]]&lt;=900,vp.data[[#This Row],[Sulf]]&lt;=0.5,vp.data[[#This Row],[Unknown]]=0),1,0)</f>
        <v>0</v>
      </c>
      <c r="AD688">
        <f>IF(AND(vp.data[[#This Row],[CrudeType]]="Crude",vp.data[[#This Row],[Dens]]&gt;865,vp.data[[#This Row],[Dens]]&lt;=900,vp.data[[#This Row],[Sulf]]&gt;2,vp.data[[#This Row],[Unknown]]=0),1,0)</f>
        <v>0</v>
      </c>
      <c r="AE688">
        <f>IF(AND(vp.data[[#This Row],[CrudeType]]="Crude",vp.data[[#This Row],[Dens]]&gt;900,vp.data[[#This Row],[Sulf]]&lt;=0.5,vp.data[[#This Row],[Unknown]]=0),1,0)</f>
        <v>0</v>
      </c>
      <c r="AF688">
        <f>IF(AND(vp.data[[#This Row],[CrudeType]]="Crude",vp.data[[#This Row],[Dens]]&gt;900,vp.data[[#This Row],[Sulf]]&lt;=0.5,vp.data[[#This Row],[Unknown]]=0),1,0)</f>
        <v>0</v>
      </c>
      <c r="AG688" t="str">
        <f>INDEX(vp.data[[#Headers],[Unknown]:[Heavy_SW]],MATCH(1,vp.data[[#This Row],[Unknown]:[Heavy_SW]],0))</f>
        <v>Light_LSB</v>
      </c>
      <c r="AH688">
        <f>INDEX([3]!crudeBD.lkup[Number],MATCH(vp.data[[#This Row],[Crude_Breakdown]],crudeBD.lkup[Crude Breakdown],0))</f>
        <v>1</v>
      </c>
      <c r="AI688">
        <f>MONTH(vp.data[[#This Row],[SDate]])</f>
        <v>1</v>
      </c>
      <c r="AJ688" s="5">
        <f>(vp.data[[#This Row],[VP]]-INDEX(crudeBD.lkup[Mean_VP],MATCH(vp.data[[#This Row],[Crude_Breakdown]],crudeBD.lkup[Crude Breakdown],0)))^2</f>
        <v>1.5720506323731744</v>
      </c>
      <c r="AK688" s="5">
        <f>(vp.data[[#This Row],[Dens]]-INDEX(crudeBD.lkup[Mean_Dens],MATCH(vp.data[[#This Row],[Crude_Breakdown]],crudeBD.lkup[Crude Breakdown],0)))^2</f>
        <v>38.232336207654335</v>
      </c>
      <c r="AL688" s="5">
        <f>(vp.data[[#This Row],[Sulf]]-INDEX(crudeBD.lkup[Mean_Sulf],MATCH(vp.data[[#This Row],[Crude_Breakdown]],crudeBD.lkup[Crude Breakdown],0)))^2</f>
        <v>7.2200994566915463E-3</v>
      </c>
      <c r="AM688" s="4">
        <f>IF(AND(vp.data[[#This Row],[SDate]]&gt;=DATE(YEAR(vp.data[[#This Row],[SDate]]),5,1),vp.data[[#This Row],[SDate]]&lt;=DATE(YEAR(vp.data[[#This Row],[SDate]]),9,15)),1,0)</f>
        <v>0</v>
      </c>
      <c r="AN688" s="4">
        <f>IF(vp.data[[#This Row],[SDate]]&lt;DATE(2016,12,1),0,1)</f>
        <v>1</v>
      </c>
      <c r="AO688" s="4">
        <f>IFERROR(vp.data[[#This Row],[Sulf]]*vp.data[[#This Row],[Net Dens]],"")</f>
        <v>84410693.161182001</v>
      </c>
      <c r="AP688">
        <f>IFERROR(vp.data[[#This Row],[Dens]]*vp.data[[#This Row],[VolumeM3]],"")</f>
        <v>100728750.789</v>
      </c>
      <c r="AQ688" s="15">
        <f>IFERROR(vp.data[[#This Row],[VP]]*vp.data[[#This Row],[VolumeM3]],"")</f>
        <v>11334579.935999999</v>
      </c>
    </row>
    <row r="689" spans="1:43" x14ac:dyDescent="0.25">
      <c r="A689">
        <v>688</v>
      </c>
      <c r="B689" t="s">
        <v>49</v>
      </c>
      <c r="C689" t="s">
        <v>49</v>
      </c>
      <c r="D689" t="s">
        <v>70</v>
      </c>
      <c r="F689" s="1">
        <v>42764</v>
      </c>
      <c r="G689" s="2">
        <v>88.6</v>
      </c>
      <c r="H689" s="2">
        <v>0.96199999999999997</v>
      </c>
      <c r="I689" s="2">
        <f t="array" ref="I689">_xlfn.IFNA(IF(vp.data[[#This Row],[Sulf Input]]="",INDEX([1]DATA!$Q$3:$Q$9826,MATCH(1,(vp.data[[#This Row],[Battery]]=[1]DATA!$L$3:$L$9826)*(EOMONTH(vp.data[[#This Row],[SDate]],-1)+1=[1]DATA!$G$3:$G$9826),0)),vp.data[[#This Row],[Sulf Input]]),"")</f>
        <v>0.96199999999999997</v>
      </c>
      <c r="J689" s="2">
        <v>13.4</v>
      </c>
      <c r="K689" s="2">
        <v>-2</v>
      </c>
      <c r="L689" s="2">
        <v>825.2</v>
      </c>
      <c r="M689" s="2">
        <f t="array" ref="M689">_xlfn.IFNA(IF(vp.data[[#This Row],[Dens Input]]="",INDEX([1]DATA!$O$3:$O$9826,MATCH(1,(vp.data[[#This Row],[Battery]]=[1]DATA!$L$3:$L$9826)*(EOMONTH(vp.data[[#This Row],[SDate]],-1)+1=[1]DATA!$G$3:$G$9826),0)),vp.data[[#This Row],[Dens Input]]),"")</f>
        <v>825.2</v>
      </c>
      <c r="N689" s="2">
        <f ca="1">INDEX(INDIRECT(_xlfn.CONCAT("weather.tbl[",N$1,"]")),MATCH(vp.data[[#This Row],[SDate]],weather.tbl[Date],0))</f>
        <v>-2.0500000000000003</v>
      </c>
      <c r="O689" s="2">
        <f ca="1">INDEX(INDIRECT(_xlfn.CONCAT("weather.tbl[",O$1,"]")),MATCH(vp.data[[#This Row],[SDate]],weather.tbl[Date],0))</f>
        <v>-6.545238095238096</v>
      </c>
      <c r="P689" s="2">
        <f ca="1">INDEX(INDIRECT(_xlfn.CONCAT("weather.tbl[",P$1,"]")),MATCH(vp.data[[#This Row],[SDate]],weather.tbl[Date],0))</f>
        <v>-2</v>
      </c>
      <c r="Q689" s="2">
        <f ca="1">INDEX(INDIRECT(_xlfn.CONCAT("weather.tbl[",Q$1,"]")),MATCH(vp.data[[#This Row],[SDate]],weather.tbl[Date],0))</f>
        <v>-0.6</v>
      </c>
      <c r="R689" s="2">
        <f ca="1">INDEX(INDIRECT(_xlfn.CONCAT("weather.tbl[",R$1,"]")),MATCH(vp.data[[#This Row],[SDate]],weather.tbl[Date],0))</f>
        <v>-2.2999999999999998</v>
      </c>
      <c r="S689" s="2">
        <f ca="1">INDEX(INDIRECT(_xlfn.CONCAT("weather.tbl[",S$1,"]")),MATCH(vp.data[[#This Row],[SDate]],weather.tbl[Date],0))</f>
        <v>0.7</v>
      </c>
      <c r="T689" s="2">
        <f ca="1">INDEX(INDIRECT(_xlfn.CONCAT("weather.tbl[",T$1,"]")),MATCH(vp.data[[#This Row],[SDate]],weather.tbl[Date],0))</f>
        <v>-5.8</v>
      </c>
      <c r="U689" s="2">
        <f ca="1">INDEX(INDIRECT(_xlfn.CONCAT("weather.tbl[",U$1,"]")),MATCH(vp.data[[#This Row],[SDate]],weather.tbl[Date],0))</f>
        <v>-2.2999999999999998</v>
      </c>
      <c r="V689" s="2">
        <f t="array" ref="V6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3332.451</v>
      </c>
      <c r="W689" t="s">
        <v>48</v>
      </c>
      <c r="X689">
        <f>IF(OR(vp.data[[#This Row],[Sulf]]="",vp.data[[#This Row],[Dens]]=""),1,0)</f>
        <v>0</v>
      </c>
      <c r="Y689">
        <f>IF(vp.data[[#This Row],[CrudeType]]="C5+",1,0)</f>
        <v>0</v>
      </c>
      <c r="Z689">
        <f>IF(AND(vp.data[[#This Row],[CrudeType]]="Crude",vp.data[[#This Row],[Dens]]&lt;=825,vp.data[[#This Row],[Sulf]]&gt;0.5,vp.data[[#This Row],[Unknown]]=0),1,0)</f>
        <v>0</v>
      </c>
      <c r="AA689">
        <f>IF(AND(vp.data[[#This Row],[CrudeType]]="Crude",vp.data[[#This Row],[Dens]]&lt;=825,vp.data[[#This Row],[Sulf]]&lt;=0.5,vp.data[[#This Row],[Unknown]]=0),1,0)</f>
        <v>0</v>
      </c>
      <c r="AB6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89">
        <f>IF(AND(vp.data[[#This Row],[CrudeType]]="Crude",vp.data[[#This Row],[Dens]]&gt;825,vp.data[[#This Row],[Dens]]&lt;=900,vp.data[[#This Row],[Sulf]]&lt;=0.5,vp.data[[#This Row],[Unknown]]=0),1,0)</f>
        <v>0</v>
      </c>
      <c r="AD689">
        <f>IF(AND(vp.data[[#This Row],[CrudeType]]="Crude",vp.data[[#This Row],[Dens]]&gt;865,vp.data[[#This Row],[Dens]]&lt;=900,vp.data[[#This Row],[Sulf]]&gt;2,vp.data[[#This Row],[Unknown]]=0),1,0)</f>
        <v>0</v>
      </c>
      <c r="AE689">
        <f>IF(AND(vp.data[[#This Row],[CrudeType]]="Crude",vp.data[[#This Row],[Dens]]&gt;900,vp.data[[#This Row],[Sulf]]&lt;=0.5,vp.data[[#This Row],[Unknown]]=0),1,0)</f>
        <v>0</v>
      </c>
      <c r="AF689">
        <f>IF(AND(vp.data[[#This Row],[CrudeType]]="Crude",vp.data[[#This Row],[Dens]]&gt;900,vp.data[[#This Row],[Sulf]]&lt;=0.5,vp.data[[#This Row],[Unknown]]=0),1,0)</f>
        <v>0</v>
      </c>
      <c r="AG689" t="str">
        <f>INDEX(vp.data[[#Headers],[Unknown]:[Heavy_SW]],MATCH(1,vp.data[[#This Row],[Unknown]:[Heavy_SW]],0))</f>
        <v>Medium_LSB</v>
      </c>
      <c r="AH689">
        <f>INDEX([3]!crudeBD.lkup[Number],MATCH(vp.data[[#This Row],[Crude_Breakdown]],crudeBD.lkup[Crude Breakdown],0))</f>
        <v>3</v>
      </c>
      <c r="AI689">
        <f>MONTH(vp.data[[#This Row],[SDate]])</f>
        <v>1</v>
      </c>
      <c r="AJ689" s="5">
        <f>(vp.data[[#This Row],[VP]]-INDEX(crudeBD.lkup[Mean_VP],MATCH(vp.data[[#This Row],[Crude_Breakdown]],crudeBD.lkup[Crude Breakdown],0)))^2</f>
        <v>63.366749430766589</v>
      </c>
      <c r="AK689" s="5">
        <f>(vp.data[[#This Row],[Dens]]-INDEX(crudeBD.lkup[Mean_Dens],MATCH(vp.data[[#This Row],[Crude_Breakdown]],crudeBD.lkup[Crude Breakdown],0)))^2</f>
        <v>350.43839999997977</v>
      </c>
      <c r="AL689" s="5">
        <f>(vp.data[[#This Row],[Sulf]]-INDEX(crudeBD.lkup[Mean_Sulf],MATCH(vp.data[[#This Row],[Crude_Breakdown]],crudeBD.lkup[Crude Breakdown],0)))^2</f>
        <v>0.17927444174259419</v>
      </c>
      <c r="AM689" s="4">
        <f>IF(AND(vp.data[[#This Row],[SDate]]&gt;=DATE(YEAR(vp.data[[#This Row],[SDate]]),5,1),vp.data[[#This Row],[SDate]]&lt;=DATE(YEAR(vp.data[[#This Row],[SDate]]),9,15)),1,0)</f>
        <v>0</v>
      </c>
      <c r="AN689" s="4">
        <f>IF(vp.data[[#This Row],[SDate]]&lt;DATE(2016,12,1),0,1)</f>
        <v>1</v>
      </c>
      <c r="AO689" s="4">
        <f>IFERROR(vp.data[[#This Row],[Sulf]]*vp.data[[#This Row],[Net Dens]],"")</f>
        <v>2645440.8997224001</v>
      </c>
      <c r="AP689">
        <f>IFERROR(vp.data[[#This Row],[Dens]]*vp.data[[#This Row],[VolumeM3]],"")</f>
        <v>2749938.5652000001</v>
      </c>
      <c r="AQ689" s="15">
        <f>IFERROR(vp.data[[#This Row],[VP]]*vp.data[[#This Row],[VolumeM3]],"")</f>
        <v>295255.15859999997</v>
      </c>
    </row>
    <row r="690" spans="1:43" x14ac:dyDescent="0.25">
      <c r="A690">
        <v>689</v>
      </c>
      <c r="B690" t="s">
        <v>49</v>
      </c>
      <c r="C690" t="s">
        <v>49</v>
      </c>
      <c r="D690" t="s">
        <v>150</v>
      </c>
      <c r="F690" s="1">
        <v>42764</v>
      </c>
      <c r="G690" s="2">
        <v>63.3</v>
      </c>
      <c r="H690" s="2">
        <v>1.1100000000000001</v>
      </c>
      <c r="I690" s="2">
        <f t="array" ref="I690">_xlfn.IFNA(IF(vp.data[[#This Row],[Sulf Input]]="",INDEX([1]DATA!$Q$3:$Q$9826,MATCH(1,(vp.data[[#This Row],[Battery]]=[1]DATA!$L$3:$L$9826)*(EOMONTH(vp.data[[#This Row],[SDate]],-1)+1=[1]DATA!$G$3:$G$9826),0)),vp.data[[#This Row],[Sulf Input]]),"")</f>
        <v>1.1100000000000001</v>
      </c>
      <c r="J690" s="2">
        <v>16</v>
      </c>
      <c r="K690" s="2">
        <v>-2</v>
      </c>
      <c r="L690" s="2">
        <v>841.7</v>
      </c>
      <c r="M690" s="2">
        <f t="array" ref="M690">_xlfn.IFNA(IF(vp.data[[#This Row],[Dens Input]]="",INDEX([1]DATA!$O$3:$O$9826,MATCH(1,(vp.data[[#This Row],[Battery]]=[1]DATA!$L$3:$L$9826)*(EOMONTH(vp.data[[#This Row],[SDate]],-1)+1=[1]DATA!$G$3:$G$9826),0)),vp.data[[#This Row],[Dens Input]]),"")</f>
        <v>841.7</v>
      </c>
      <c r="N690" s="2">
        <f ca="1">INDEX(INDIRECT(_xlfn.CONCAT("weather.tbl[",N$1,"]")),MATCH(vp.data[[#This Row],[SDate]],weather.tbl[Date],0))</f>
        <v>-2.0500000000000003</v>
      </c>
      <c r="O690" s="2">
        <f ca="1">INDEX(INDIRECT(_xlfn.CONCAT("weather.tbl[",O$1,"]")),MATCH(vp.data[[#This Row],[SDate]],weather.tbl[Date],0))</f>
        <v>-6.545238095238096</v>
      </c>
      <c r="P690" s="2">
        <f ca="1">INDEX(INDIRECT(_xlfn.CONCAT("weather.tbl[",P$1,"]")),MATCH(vp.data[[#This Row],[SDate]],weather.tbl[Date],0))</f>
        <v>-2</v>
      </c>
      <c r="Q690" s="2">
        <f ca="1">INDEX(INDIRECT(_xlfn.CONCAT("weather.tbl[",Q$1,"]")),MATCH(vp.data[[#This Row],[SDate]],weather.tbl[Date],0))</f>
        <v>-0.6</v>
      </c>
      <c r="R690" s="2">
        <f ca="1">INDEX(INDIRECT(_xlfn.CONCAT("weather.tbl[",R$1,"]")),MATCH(vp.data[[#This Row],[SDate]],weather.tbl[Date],0))</f>
        <v>-2.2999999999999998</v>
      </c>
      <c r="S690" s="2">
        <f ca="1">INDEX(INDIRECT(_xlfn.CONCAT("weather.tbl[",S$1,"]")),MATCH(vp.data[[#This Row],[SDate]],weather.tbl[Date],0))</f>
        <v>0.7</v>
      </c>
      <c r="T690" s="2">
        <f ca="1">INDEX(INDIRECT(_xlfn.CONCAT("weather.tbl[",T$1,"]")),MATCH(vp.data[[#This Row],[SDate]],weather.tbl[Date],0))</f>
        <v>-5.8</v>
      </c>
      <c r="U690" s="2">
        <f ca="1">INDEX(INDIRECT(_xlfn.CONCAT("weather.tbl[",U$1,"]")),MATCH(vp.data[[#This Row],[SDate]],weather.tbl[Date],0))</f>
        <v>-2.2999999999999998</v>
      </c>
      <c r="V690" s="2">
        <f t="array" ref="V6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768.94100000000003</v>
      </c>
      <c r="W690" t="s">
        <v>48</v>
      </c>
      <c r="X690">
        <f>IF(OR(vp.data[[#This Row],[Sulf]]="",vp.data[[#This Row],[Dens]]=""),1,0)</f>
        <v>0</v>
      </c>
      <c r="Y690">
        <f>IF(vp.data[[#This Row],[CrudeType]]="C5+",1,0)</f>
        <v>0</v>
      </c>
      <c r="Z690">
        <f>IF(AND(vp.data[[#This Row],[CrudeType]]="Crude",vp.data[[#This Row],[Dens]]&lt;=825,vp.data[[#This Row],[Sulf]]&gt;0.5,vp.data[[#This Row],[Unknown]]=0),1,0)</f>
        <v>0</v>
      </c>
      <c r="AA690">
        <f>IF(AND(vp.data[[#This Row],[CrudeType]]="Crude",vp.data[[#This Row],[Dens]]&lt;=825,vp.data[[#This Row],[Sulf]]&lt;=0.5,vp.data[[#This Row],[Unknown]]=0),1,0)</f>
        <v>0</v>
      </c>
      <c r="AB6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0">
        <f>IF(AND(vp.data[[#This Row],[CrudeType]]="Crude",vp.data[[#This Row],[Dens]]&gt;825,vp.data[[#This Row],[Dens]]&lt;=900,vp.data[[#This Row],[Sulf]]&lt;=0.5,vp.data[[#This Row],[Unknown]]=0),1,0)</f>
        <v>0</v>
      </c>
      <c r="AD690">
        <f>IF(AND(vp.data[[#This Row],[CrudeType]]="Crude",vp.data[[#This Row],[Dens]]&gt;865,vp.data[[#This Row],[Dens]]&lt;=900,vp.data[[#This Row],[Sulf]]&gt;2,vp.data[[#This Row],[Unknown]]=0),1,0)</f>
        <v>0</v>
      </c>
      <c r="AE690">
        <f>IF(AND(vp.data[[#This Row],[CrudeType]]="Crude",vp.data[[#This Row],[Dens]]&gt;900,vp.data[[#This Row],[Sulf]]&lt;=0.5,vp.data[[#This Row],[Unknown]]=0),1,0)</f>
        <v>0</v>
      </c>
      <c r="AF690">
        <f>IF(AND(vp.data[[#This Row],[CrudeType]]="Crude",vp.data[[#This Row],[Dens]]&gt;900,vp.data[[#This Row],[Sulf]]&lt;=0.5,vp.data[[#This Row],[Unknown]]=0),1,0)</f>
        <v>0</v>
      </c>
      <c r="AG690" t="str">
        <f>INDEX(vp.data[[#Headers],[Unknown]:[Heavy_SW]],MATCH(1,vp.data[[#This Row],[Unknown]:[Heavy_SW]],0))</f>
        <v>Medium_LSB</v>
      </c>
      <c r="AH690">
        <f>INDEX([3]!crudeBD.lkup[Number],MATCH(vp.data[[#This Row],[Crude_Breakdown]],crudeBD.lkup[Crude Breakdown],0))</f>
        <v>3</v>
      </c>
      <c r="AI690">
        <f>MONTH(vp.data[[#This Row],[SDate]])</f>
        <v>1</v>
      </c>
      <c r="AJ690" s="5">
        <f>(vp.data[[#This Row],[VP]]-INDEX(crudeBD.lkup[Mean_VP],MATCH(vp.data[[#This Row],[Crude_Breakdown]],crudeBD.lkup[Crude Breakdown],0)))^2</f>
        <v>300.66438285394378</v>
      </c>
      <c r="AK690" s="5">
        <f>(vp.data[[#This Row],[Dens]]-INDEX(crudeBD.lkup[Mean_Dens],MATCH(vp.data[[#This Row],[Crude_Breakdown]],crudeBD.lkup[Crude Breakdown],0)))^2</f>
        <v>4.9283999999975974</v>
      </c>
      <c r="AL690" s="5">
        <f>(vp.data[[#This Row],[Sulf]]-INDEX(crudeBD.lkup[Mean_Sulf],MATCH(vp.data[[#This Row],[Crude_Breakdown]],crudeBD.lkup[Crude Breakdown],0)))^2</f>
        <v>7.5849636243941365E-2</v>
      </c>
      <c r="AM690" s="4">
        <f>IF(AND(vp.data[[#This Row],[SDate]]&gt;=DATE(YEAR(vp.data[[#This Row],[SDate]]),5,1),vp.data[[#This Row],[SDate]]&lt;=DATE(YEAR(vp.data[[#This Row],[SDate]]),9,15)),1,0)</f>
        <v>0</v>
      </c>
      <c r="AN690" s="4">
        <f>IF(vp.data[[#This Row],[SDate]]&lt;DATE(2016,12,1),0,1)</f>
        <v>1</v>
      </c>
      <c r="AO690" s="4">
        <f>IFERROR(vp.data[[#This Row],[Sulf]]*vp.data[[#This Row],[Net Dens]],"")</f>
        <v>718411.58006700012</v>
      </c>
      <c r="AP690">
        <f>IFERROR(vp.data[[#This Row],[Dens]]*vp.data[[#This Row],[VolumeM3]],"")</f>
        <v>647217.63970000006</v>
      </c>
      <c r="AQ690" s="15">
        <f>IFERROR(vp.data[[#This Row],[VP]]*vp.data[[#This Row],[VolumeM3]],"")</f>
        <v>48673.965299999996</v>
      </c>
    </row>
    <row r="691" spans="1:43" x14ac:dyDescent="0.25">
      <c r="A691">
        <v>690</v>
      </c>
      <c r="B691" t="s">
        <v>49</v>
      </c>
      <c r="C691" t="s">
        <v>49</v>
      </c>
      <c r="D691" t="s">
        <v>59</v>
      </c>
      <c r="F691" s="1">
        <v>42764</v>
      </c>
      <c r="G691" s="2">
        <v>77.900000000000006</v>
      </c>
      <c r="H691" s="2">
        <v>1.5760000000000001</v>
      </c>
      <c r="I691" s="2">
        <f t="array" ref="I691">_xlfn.IFNA(IF(vp.data[[#This Row],[Sulf Input]]="",INDEX([1]DATA!$Q$3:$Q$9826,MATCH(1,(vp.data[[#This Row],[Battery]]=[1]DATA!$L$3:$L$9826)*(EOMONTH(vp.data[[#This Row],[SDate]],-1)+1=[1]DATA!$G$3:$G$9826),0)),vp.data[[#This Row],[Sulf Input]]),"")</f>
        <v>1.5760000000000001</v>
      </c>
      <c r="J691" s="2">
        <v>26.3</v>
      </c>
      <c r="K691" s="2">
        <v>-1</v>
      </c>
      <c r="L691" s="2">
        <v>858.6</v>
      </c>
      <c r="M691" s="2">
        <f t="array" ref="M691">_xlfn.IFNA(IF(vp.data[[#This Row],[Dens Input]]="",INDEX([1]DATA!$O$3:$O$9826,MATCH(1,(vp.data[[#This Row],[Battery]]=[1]DATA!$L$3:$L$9826)*(EOMONTH(vp.data[[#This Row],[SDate]],-1)+1=[1]DATA!$G$3:$G$9826),0)),vp.data[[#This Row],[Dens Input]]),"")</f>
        <v>858.6</v>
      </c>
      <c r="N691" s="2">
        <f ca="1">INDEX(INDIRECT(_xlfn.CONCAT("weather.tbl[",N$1,"]")),MATCH(vp.data[[#This Row],[SDate]],weather.tbl[Date],0))</f>
        <v>-2.0500000000000003</v>
      </c>
      <c r="O691" s="2">
        <f ca="1">INDEX(INDIRECT(_xlfn.CONCAT("weather.tbl[",O$1,"]")),MATCH(vp.data[[#This Row],[SDate]],weather.tbl[Date],0))</f>
        <v>-6.545238095238096</v>
      </c>
      <c r="P691" s="2">
        <f ca="1">INDEX(INDIRECT(_xlfn.CONCAT("weather.tbl[",P$1,"]")),MATCH(vp.data[[#This Row],[SDate]],weather.tbl[Date],0))</f>
        <v>-2</v>
      </c>
      <c r="Q691" s="2">
        <f ca="1">INDEX(INDIRECT(_xlfn.CONCAT("weather.tbl[",Q$1,"]")),MATCH(vp.data[[#This Row],[SDate]],weather.tbl[Date],0))</f>
        <v>-0.6</v>
      </c>
      <c r="R691" s="2">
        <f ca="1">INDEX(INDIRECT(_xlfn.CONCAT("weather.tbl[",R$1,"]")),MATCH(vp.data[[#This Row],[SDate]],weather.tbl[Date],0))</f>
        <v>-2.2999999999999998</v>
      </c>
      <c r="S691" s="2">
        <f ca="1">INDEX(INDIRECT(_xlfn.CONCAT("weather.tbl[",S$1,"]")),MATCH(vp.data[[#This Row],[SDate]],weather.tbl[Date],0))</f>
        <v>0.7</v>
      </c>
      <c r="T691" s="2">
        <f ca="1">INDEX(INDIRECT(_xlfn.CONCAT("weather.tbl[",T$1,"]")),MATCH(vp.data[[#This Row],[SDate]],weather.tbl[Date],0))</f>
        <v>-5.8</v>
      </c>
      <c r="U691" s="2">
        <f ca="1">INDEX(INDIRECT(_xlfn.CONCAT("weather.tbl[",U$1,"]")),MATCH(vp.data[[#This Row],[SDate]],weather.tbl[Date],0))</f>
        <v>-2.2999999999999998</v>
      </c>
      <c r="V691" s="2">
        <f t="array" ref="V6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1887.288</v>
      </c>
      <c r="W691" t="s">
        <v>48</v>
      </c>
      <c r="X691">
        <f>IF(OR(vp.data[[#This Row],[Sulf]]="",vp.data[[#This Row],[Dens]]=""),1,0)</f>
        <v>0</v>
      </c>
      <c r="Y691">
        <f>IF(vp.data[[#This Row],[CrudeType]]="C5+",1,0)</f>
        <v>0</v>
      </c>
      <c r="Z691">
        <f>IF(AND(vp.data[[#This Row],[CrudeType]]="Crude",vp.data[[#This Row],[Dens]]&lt;=825,vp.data[[#This Row],[Sulf]]&gt;0.5,vp.data[[#This Row],[Unknown]]=0),1,0)</f>
        <v>0</v>
      </c>
      <c r="AA691">
        <f>IF(AND(vp.data[[#This Row],[CrudeType]]="Crude",vp.data[[#This Row],[Dens]]&lt;=825,vp.data[[#This Row],[Sulf]]&lt;=0.5,vp.data[[#This Row],[Unknown]]=0),1,0)</f>
        <v>0</v>
      </c>
      <c r="AB6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1">
        <f>IF(AND(vp.data[[#This Row],[CrudeType]]="Crude",vp.data[[#This Row],[Dens]]&gt;825,vp.data[[#This Row],[Dens]]&lt;=900,vp.data[[#This Row],[Sulf]]&lt;=0.5,vp.data[[#This Row],[Unknown]]=0),1,0)</f>
        <v>0</v>
      </c>
      <c r="AD691">
        <f>IF(AND(vp.data[[#This Row],[CrudeType]]="Crude",vp.data[[#This Row],[Dens]]&gt;865,vp.data[[#This Row],[Dens]]&lt;=900,vp.data[[#This Row],[Sulf]]&gt;2,vp.data[[#This Row],[Unknown]]=0),1,0)</f>
        <v>0</v>
      </c>
      <c r="AE691">
        <f>IF(AND(vp.data[[#This Row],[CrudeType]]="Crude",vp.data[[#This Row],[Dens]]&gt;900,vp.data[[#This Row],[Sulf]]&lt;=0.5,vp.data[[#This Row],[Unknown]]=0),1,0)</f>
        <v>0</v>
      </c>
      <c r="AF691">
        <f>IF(AND(vp.data[[#This Row],[CrudeType]]="Crude",vp.data[[#This Row],[Dens]]&gt;900,vp.data[[#This Row],[Sulf]]&lt;=0.5,vp.data[[#This Row],[Unknown]]=0),1,0)</f>
        <v>0</v>
      </c>
      <c r="AG691" t="str">
        <f>INDEX(vp.data[[#Headers],[Unknown]:[Heavy_SW]],MATCH(1,vp.data[[#This Row],[Unknown]:[Heavy_SW]],0))</f>
        <v>Medium_LSB</v>
      </c>
      <c r="AH691">
        <f>INDEX([3]!crudeBD.lkup[Number],MATCH(vp.data[[#This Row],[Crude_Breakdown]],crudeBD.lkup[Crude Breakdown],0))</f>
        <v>3</v>
      </c>
      <c r="AI691">
        <f>MONTH(vp.data[[#This Row],[SDate]])</f>
        <v>1</v>
      </c>
      <c r="AJ691" s="5">
        <f>(vp.data[[#This Row],[VP]]-INDEX(crudeBD.lkup[Mean_VP],MATCH(vp.data[[#This Row],[Crude_Breakdown]],crudeBD.lkup[Crude Breakdown],0)))^2</f>
        <v>7.5058275978810221</v>
      </c>
      <c r="AK691" s="5">
        <f>(vp.data[[#This Row],[Dens]]-INDEX(crudeBD.lkup[Mean_Dens],MATCH(vp.data[[#This Row],[Crude_Breakdown]],crudeBD.lkup[Crude Breakdown],0)))^2</f>
        <v>215.50240000001523</v>
      </c>
      <c r="AL691" s="5">
        <f>(vp.data[[#This Row],[Sulf]]-INDEX(crudeBD.lkup[Mean_Sulf],MATCH(vp.data[[#This Row],[Crude_Breakdown]],crudeBD.lkup[Crude Breakdown],0)))^2</f>
        <v>3.632526217385916E-2</v>
      </c>
      <c r="AM691" s="4">
        <f>IF(AND(vp.data[[#This Row],[SDate]]&gt;=DATE(YEAR(vp.data[[#This Row],[SDate]]),5,1),vp.data[[#This Row],[SDate]]&lt;=DATE(YEAR(vp.data[[#This Row],[SDate]]),9,15)),1,0)</f>
        <v>0</v>
      </c>
      <c r="AN691" s="4">
        <f>IF(vp.data[[#This Row],[SDate]]&lt;DATE(2016,12,1),0,1)</f>
        <v>1</v>
      </c>
      <c r="AO691" s="4">
        <f>IFERROR(vp.data[[#This Row],[Sulf]]*vp.data[[#This Row],[Net Dens]],"")</f>
        <v>2553790.5514368</v>
      </c>
      <c r="AP691">
        <f>IFERROR(vp.data[[#This Row],[Dens]]*vp.data[[#This Row],[VolumeM3]],"")</f>
        <v>1620425.4768000001</v>
      </c>
      <c r="AQ691" s="15">
        <f>IFERROR(vp.data[[#This Row],[VP]]*vp.data[[#This Row],[VolumeM3]],"")</f>
        <v>147019.73520000002</v>
      </c>
    </row>
    <row r="692" spans="1:43" x14ac:dyDescent="0.25">
      <c r="A692">
        <v>691</v>
      </c>
      <c r="B692" t="s">
        <v>62</v>
      </c>
      <c r="C692" t="s">
        <v>62</v>
      </c>
      <c r="D692" t="s">
        <v>63</v>
      </c>
      <c r="F692" s="1">
        <v>42764</v>
      </c>
      <c r="G692" s="2">
        <v>114.7</v>
      </c>
      <c r="H692" s="2"/>
      <c r="I692" s="2">
        <f t="array" ref="I692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692" s="2">
        <v>15.1</v>
      </c>
      <c r="K692" s="2">
        <v>-2</v>
      </c>
      <c r="L692" s="2">
        <v>811.2</v>
      </c>
      <c r="M692" s="2">
        <f t="array" ref="M692">_xlfn.IFNA(IF(vp.data[[#This Row],[Dens Input]]="",INDEX([1]DATA!$O$3:$O$9826,MATCH(1,(vp.data[[#This Row],[Battery]]=[1]DATA!$L$3:$L$9826)*(EOMONTH(vp.data[[#This Row],[SDate]],-1)+1=[1]DATA!$G$3:$G$9826),0)),vp.data[[#This Row],[Dens Input]]),"")</f>
        <v>811.2</v>
      </c>
      <c r="N692" s="2">
        <f ca="1">INDEX(INDIRECT(_xlfn.CONCAT("weather.tbl[",N$1,"]")),MATCH(vp.data[[#This Row],[SDate]],weather.tbl[Date],0))</f>
        <v>-2.0500000000000003</v>
      </c>
      <c r="O692" s="2">
        <f ca="1">INDEX(INDIRECT(_xlfn.CONCAT("weather.tbl[",O$1,"]")),MATCH(vp.data[[#This Row],[SDate]],weather.tbl[Date],0))</f>
        <v>-6.545238095238096</v>
      </c>
      <c r="P692" s="2">
        <f ca="1">INDEX(INDIRECT(_xlfn.CONCAT("weather.tbl[",P$1,"]")),MATCH(vp.data[[#This Row],[SDate]],weather.tbl[Date],0))</f>
        <v>-2</v>
      </c>
      <c r="Q692" s="2">
        <f ca="1">INDEX(INDIRECT(_xlfn.CONCAT("weather.tbl[",Q$1,"]")),MATCH(vp.data[[#This Row],[SDate]],weather.tbl[Date],0))</f>
        <v>-0.6</v>
      </c>
      <c r="R692" s="2">
        <f ca="1">INDEX(INDIRECT(_xlfn.CONCAT("weather.tbl[",R$1,"]")),MATCH(vp.data[[#This Row],[SDate]],weather.tbl[Date],0))</f>
        <v>-2.2999999999999998</v>
      </c>
      <c r="S692" s="2">
        <f ca="1">INDEX(INDIRECT(_xlfn.CONCAT("weather.tbl[",S$1,"]")),MATCH(vp.data[[#This Row],[SDate]],weather.tbl[Date],0))</f>
        <v>0.7</v>
      </c>
      <c r="T692" s="2">
        <f ca="1">INDEX(INDIRECT(_xlfn.CONCAT("weather.tbl[",T$1,"]")),MATCH(vp.data[[#This Row],[SDate]],weather.tbl[Date],0))</f>
        <v>-5.8</v>
      </c>
      <c r="U692" s="2">
        <f ca="1">INDEX(INDIRECT(_xlfn.CONCAT("weather.tbl[",U$1,"]")),MATCH(vp.data[[#This Row],[SDate]],weather.tbl[Date],0))</f>
        <v>-2.2999999999999998</v>
      </c>
      <c r="V692" s="2">
        <f t="array" ref="V6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692" t="s">
        <v>48</v>
      </c>
      <c r="X692">
        <f>IF(OR(vp.data[[#This Row],[Sulf]]="",vp.data[[#This Row],[Dens]]=""),1,0)</f>
        <v>0</v>
      </c>
      <c r="Y692">
        <f>IF(vp.data[[#This Row],[CrudeType]]="C5+",1,0)</f>
        <v>0</v>
      </c>
      <c r="Z692">
        <f>IF(AND(vp.data[[#This Row],[CrudeType]]="Crude",vp.data[[#This Row],[Dens]]&lt;=825,vp.data[[#This Row],[Sulf]]&gt;0.5,vp.data[[#This Row],[Unknown]]=0),1,0)</f>
        <v>1</v>
      </c>
      <c r="AA692">
        <f>IF(AND(vp.data[[#This Row],[CrudeType]]="Crude",vp.data[[#This Row],[Dens]]&lt;=825,vp.data[[#This Row],[Sulf]]&lt;=0.5,vp.data[[#This Row],[Unknown]]=0),1,0)</f>
        <v>0</v>
      </c>
      <c r="AB6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92">
        <f>IF(AND(vp.data[[#This Row],[CrudeType]]="Crude",vp.data[[#This Row],[Dens]]&gt;825,vp.data[[#This Row],[Dens]]&lt;=900,vp.data[[#This Row],[Sulf]]&lt;=0.5,vp.data[[#This Row],[Unknown]]=0),1,0)</f>
        <v>0</v>
      </c>
      <c r="AD692">
        <f>IF(AND(vp.data[[#This Row],[CrudeType]]="Crude",vp.data[[#This Row],[Dens]]&gt;865,vp.data[[#This Row],[Dens]]&lt;=900,vp.data[[#This Row],[Sulf]]&gt;2,vp.data[[#This Row],[Unknown]]=0),1,0)</f>
        <v>0</v>
      </c>
      <c r="AE692">
        <f>IF(AND(vp.data[[#This Row],[CrudeType]]="Crude",vp.data[[#This Row],[Dens]]&gt;900,vp.data[[#This Row],[Sulf]]&lt;=0.5,vp.data[[#This Row],[Unknown]]=0),1,0)</f>
        <v>0</v>
      </c>
      <c r="AF692">
        <f>IF(AND(vp.data[[#This Row],[CrudeType]]="Crude",vp.data[[#This Row],[Dens]]&gt;900,vp.data[[#This Row],[Sulf]]&lt;=0.5,vp.data[[#This Row],[Unknown]]=0),1,0)</f>
        <v>0</v>
      </c>
      <c r="AG692" t="str">
        <f>INDEX(vp.data[[#Headers],[Unknown]:[Heavy_SW]],MATCH(1,vp.data[[#This Row],[Unknown]:[Heavy_SW]],0))</f>
        <v>Light_LSB</v>
      </c>
      <c r="AH692">
        <f>INDEX([3]!crudeBD.lkup[Number],MATCH(vp.data[[#This Row],[Crude_Breakdown]],crudeBD.lkup[Crude Breakdown],0))</f>
        <v>1</v>
      </c>
      <c r="AI692">
        <f>MONTH(vp.data[[#This Row],[SDate]])</f>
        <v>1</v>
      </c>
      <c r="AJ692" s="5">
        <f>(vp.data[[#This Row],[VP]]-INDEX(crudeBD.lkup[Mean_VP],MATCH(vp.data[[#This Row],[Crude_Breakdown]],crudeBD.lkup[Crude Breakdown],0)))^2</f>
        <v>536.09912279732043</v>
      </c>
      <c r="AK692" s="5">
        <f>(vp.data[[#This Row],[Dens]]-INDEX(crudeBD.lkup[Mean_Dens],MATCH(vp.data[[#This Row],[Crude_Breakdown]],crudeBD.lkup[Crude Breakdown],0)))^2</f>
        <v>53.535119712799265</v>
      </c>
      <c r="AL692" s="5">
        <f>(vp.data[[#This Row],[Sulf]]-INDEX(crudeBD.lkup[Mean_Sulf],MATCH(vp.data[[#This Row],[Crude_Breakdown]],crudeBD.lkup[Crude Breakdown],0)))^2</f>
        <v>0.31028111925050628</v>
      </c>
      <c r="AM692" s="4">
        <f>IF(AND(vp.data[[#This Row],[SDate]]&gt;=DATE(YEAR(vp.data[[#This Row],[SDate]]),5,1),vp.data[[#This Row],[SDate]]&lt;=DATE(YEAR(vp.data[[#This Row],[SDate]]),9,15)),1,0)</f>
        <v>0</v>
      </c>
      <c r="AN692" s="4">
        <f>IF(vp.data[[#This Row],[SDate]]&lt;DATE(2016,12,1),0,1)</f>
        <v>1</v>
      </c>
      <c r="AO692" s="4">
        <f>IFERROR(vp.data[[#This Row],[Sulf]]*vp.data[[#This Row],[Net Dens]],"")</f>
        <v>5875321.2011520006</v>
      </c>
      <c r="AP692">
        <f>IFERROR(vp.data[[#This Row],[Dens]]*vp.data[[#This Row],[VolumeM3]],"")</f>
        <v>3969811.6224000007</v>
      </c>
      <c r="AQ692" s="15">
        <f>IFERROR(vp.data[[#This Row],[VP]]*vp.data[[#This Row],[VolumeM3]],"")</f>
        <v>561313.35440000007</v>
      </c>
    </row>
    <row r="693" spans="1:43" x14ac:dyDescent="0.25">
      <c r="A693">
        <v>692</v>
      </c>
      <c r="B693" t="s">
        <v>51</v>
      </c>
      <c r="C693" t="s">
        <v>51</v>
      </c>
      <c r="D693" t="s">
        <v>140</v>
      </c>
      <c r="F693" s="1">
        <v>42764</v>
      </c>
      <c r="G693" s="2">
        <v>73.8</v>
      </c>
      <c r="H693" s="2"/>
      <c r="I693" s="2">
        <f t="array" ref="I693">_xlfn.IFNA(IF(vp.data[[#This Row],[Sulf Input]]="",INDEX([1]DATA!$Q$3:$Q$9826,MATCH(1,(vp.data[[#This Row],[Battery]]=[1]DATA!$L$3:$L$9826)*(EOMONTH(vp.data[[#This Row],[SDate]],-1)+1=[1]DATA!$G$3:$G$9826),0)),vp.data[[#This Row],[Sulf Input]]),"")</f>
        <v>0.54</v>
      </c>
      <c r="J693" s="2"/>
      <c r="K693" s="2">
        <v>-1</v>
      </c>
      <c r="L693" s="2">
        <v>824.8</v>
      </c>
      <c r="M693" s="2">
        <f t="array" ref="M693">_xlfn.IFNA(IF(vp.data[[#This Row],[Dens Input]]="",INDEX([1]DATA!$O$3:$O$9826,MATCH(1,(vp.data[[#This Row],[Battery]]=[1]DATA!$L$3:$L$9826)*(EOMONTH(vp.data[[#This Row],[SDate]],-1)+1=[1]DATA!$G$3:$G$9826),0)),vp.data[[#This Row],[Dens Input]]),"")</f>
        <v>824.8</v>
      </c>
      <c r="N693" s="2">
        <f ca="1">INDEX(INDIRECT(_xlfn.CONCAT("weather.tbl[",N$1,"]")),MATCH(vp.data[[#This Row],[SDate]],weather.tbl[Date],0))</f>
        <v>-2.0500000000000003</v>
      </c>
      <c r="O693" s="2">
        <f ca="1">INDEX(INDIRECT(_xlfn.CONCAT("weather.tbl[",O$1,"]")),MATCH(vp.data[[#This Row],[SDate]],weather.tbl[Date],0))</f>
        <v>-6.545238095238096</v>
      </c>
      <c r="P693" s="2">
        <f ca="1">INDEX(INDIRECT(_xlfn.CONCAT("weather.tbl[",P$1,"]")),MATCH(vp.data[[#This Row],[SDate]],weather.tbl[Date],0))</f>
        <v>-2</v>
      </c>
      <c r="Q693" s="2">
        <f ca="1">INDEX(INDIRECT(_xlfn.CONCAT("weather.tbl[",Q$1,"]")),MATCH(vp.data[[#This Row],[SDate]],weather.tbl[Date],0))</f>
        <v>-0.6</v>
      </c>
      <c r="R693" s="2">
        <f ca="1">INDEX(INDIRECT(_xlfn.CONCAT("weather.tbl[",R$1,"]")),MATCH(vp.data[[#This Row],[SDate]],weather.tbl[Date],0))</f>
        <v>-2.2999999999999998</v>
      </c>
      <c r="S693" s="2">
        <f ca="1">INDEX(INDIRECT(_xlfn.CONCAT("weather.tbl[",S$1,"]")),MATCH(vp.data[[#This Row],[SDate]],weather.tbl[Date],0))</f>
        <v>0.7</v>
      </c>
      <c r="T693" s="2">
        <f ca="1">INDEX(INDIRECT(_xlfn.CONCAT("weather.tbl[",T$1,"]")),MATCH(vp.data[[#This Row],[SDate]],weather.tbl[Date],0))</f>
        <v>-5.8</v>
      </c>
      <c r="U693" s="2">
        <f ca="1">INDEX(INDIRECT(_xlfn.CONCAT("weather.tbl[",U$1,"]")),MATCH(vp.data[[#This Row],[SDate]],weather.tbl[Date],0))</f>
        <v>-2.2999999999999998</v>
      </c>
      <c r="V693" s="2">
        <f t="array" ref="V6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420.01900000000001</v>
      </c>
      <c r="W693" t="s">
        <v>48</v>
      </c>
      <c r="X693">
        <f>IF(OR(vp.data[[#This Row],[Sulf]]="",vp.data[[#This Row],[Dens]]=""),1,0)</f>
        <v>0</v>
      </c>
      <c r="Y693">
        <f>IF(vp.data[[#This Row],[CrudeType]]="C5+",1,0)</f>
        <v>0</v>
      </c>
      <c r="Z693">
        <f>IF(AND(vp.data[[#This Row],[CrudeType]]="Crude",vp.data[[#This Row],[Dens]]&lt;=825,vp.data[[#This Row],[Sulf]]&gt;0.5,vp.data[[#This Row],[Unknown]]=0),1,0)</f>
        <v>1</v>
      </c>
      <c r="AA693">
        <f>IF(AND(vp.data[[#This Row],[CrudeType]]="Crude",vp.data[[#This Row],[Dens]]&lt;=825,vp.data[[#This Row],[Sulf]]&lt;=0.5,vp.data[[#This Row],[Unknown]]=0),1,0)</f>
        <v>0</v>
      </c>
      <c r="AB6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693">
        <f>IF(AND(vp.data[[#This Row],[CrudeType]]="Crude",vp.data[[#This Row],[Dens]]&gt;825,vp.data[[#This Row],[Dens]]&lt;=900,vp.data[[#This Row],[Sulf]]&lt;=0.5,vp.data[[#This Row],[Unknown]]=0),1,0)</f>
        <v>0</v>
      </c>
      <c r="AD693">
        <f>IF(AND(vp.data[[#This Row],[CrudeType]]="Crude",vp.data[[#This Row],[Dens]]&gt;865,vp.data[[#This Row],[Dens]]&lt;=900,vp.data[[#This Row],[Sulf]]&gt;2,vp.data[[#This Row],[Unknown]]=0),1,0)</f>
        <v>0</v>
      </c>
      <c r="AE693">
        <f>IF(AND(vp.data[[#This Row],[CrudeType]]="Crude",vp.data[[#This Row],[Dens]]&gt;900,vp.data[[#This Row],[Sulf]]&lt;=0.5,vp.data[[#This Row],[Unknown]]=0),1,0)</f>
        <v>0</v>
      </c>
      <c r="AF693">
        <f>IF(AND(vp.data[[#This Row],[CrudeType]]="Crude",vp.data[[#This Row],[Dens]]&gt;900,vp.data[[#This Row],[Sulf]]&lt;=0.5,vp.data[[#This Row],[Unknown]]=0),1,0)</f>
        <v>0</v>
      </c>
      <c r="AG693" t="str">
        <f>INDEX(vp.data[[#Headers],[Unknown]:[Heavy_SW]],MATCH(1,vp.data[[#This Row],[Unknown]:[Heavy_SW]],0))</f>
        <v>Light_LSB</v>
      </c>
      <c r="AH693">
        <f>INDEX([3]!crudeBD.lkup[Number],MATCH(vp.data[[#This Row],[Crude_Breakdown]],crudeBD.lkup[Crude Breakdown],0))</f>
        <v>1</v>
      </c>
      <c r="AI693">
        <f>MONTH(vp.data[[#This Row],[SDate]])</f>
        <v>1</v>
      </c>
      <c r="AJ693" s="5">
        <f>(vp.data[[#This Row],[VP]]-INDEX(crudeBD.lkup[Mean_VP],MATCH(vp.data[[#This Row],[Crude_Breakdown]],crudeBD.lkup[Crude Breakdown],0)))^2</f>
        <v>314.92710217876623</v>
      </c>
      <c r="AK693" s="5">
        <f>(vp.data[[#This Row],[Dens]]-INDEX(crudeBD.lkup[Mean_Dens],MATCH(vp.data[[#This Row],[Crude_Breakdown]],crudeBD.lkup[Crude Breakdown],0)))^2</f>
        <v>39.478982255763228</v>
      </c>
      <c r="AL693" s="5">
        <f>(vp.data[[#This Row],[Sulf]]-INDEX(crudeBD.lkup[Mean_Sulf],MATCH(vp.data[[#This Row],[Crude_Breakdown]],crudeBD.lkup[Crude Breakdown],0)))^2</f>
        <v>0.14666691581407967</v>
      </c>
      <c r="AM693" s="4">
        <f>IF(AND(vp.data[[#This Row],[SDate]]&gt;=DATE(YEAR(vp.data[[#This Row],[SDate]]),5,1),vp.data[[#This Row],[SDate]]&lt;=DATE(YEAR(vp.data[[#This Row],[SDate]]),9,15)),1,0)</f>
        <v>0</v>
      </c>
      <c r="AN693" s="4">
        <f>IF(vp.data[[#This Row],[SDate]]&lt;DATE(2016,12,1),0,1)</f>
        <v>1</v>
      </c>
      <c r="AO693" s="4">
        <f>IFERROR(vp.data[[#This Row],[Sulf]]*vp.data[[#This Row],[Net Dens]],"")</f>
        <v>187073.10244799999</v>
      </c>
      <c r="AP693">
        <f>IFERROR(vp.data[[#This Row],[Dens]]*vp.data[[#This Row],[VolumeM3]],"")</f>
        <v>346431.67119999998</v>
      </c>
      <c r="AQ693" s="15">
        <f>IFERROR(vp.data[[#This Row],[VP]]*vp.data[[#This Row],[VolumeM3]],"")</f>
        <v>30997.4022</v>
      </c>
    </row>
    <row r="694" spans="1:43" x14ac:dyDescent="0.25">
      <c r="A694">
        <v>693</v>
      </c>
      <c r="B694" t="s">
        <v>51</v>
      </c>
      <c r="C694" t="s">
        <v>51</v>
      </c>
      <c r="D694" t="s">
        <v>66</v>
      </c>
      <c r="F694" s="1">
        <v>42764</v>
      </c>
      <c r="G694" s="2">
        <v>96.8</v>
      </c>
      <c r="H694" s="2"/>
      <c r="I694" s="2">
        <f t="array" ref="I694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694" s="2">
        <v>3.5</v>
      </c>
      <c r="K694" s="2">
        <v>-5</v>
      </c>
      <c r="L694" s="2">
        <v>825.1</v>
      </c>
      <c r="M694" s="2">
        <f t="array" ref="M694">_xlfn.IFNA(IF(vp.data[[#This Row],[Dens Input]]="",INDEX([1]DATA!$O$3:$O$9826,MATCH(1,(vp.data[[#This Row],[Battery]]=[1]DATA!$L$3:$L$9826)*(EOMONTH(vp.data[[#This Row],[SDate]],-1)+1=[1]DATA!$G$3:$G$9826),0)),vp.data[[#This Row],[Dens Input]]),"")</f>
        <v>825.1</v>
      </c>
      <c r="N694" s="2">
        <f ca="1">INDEX(INDIRECT(_xlfn.CONCAT("weather.tbl[",N$1,"]")),MATCH(vp.data[[#This Row],[SDate]],weather.tbl[Date],0))</f>
        <v>-2.0500000000000003</v>
      </c>
      <c r="O694" s="2">
        <f ca="1">INDEX(INDIRECT(_xlfn.CONCAT("weather.tbl[",O$1,"]")),MATCH(vp.data[[#This Row],[SDate]],weather.tbl[Date],0))</f>
        <v>-6.545238095238096</v>
      </c>
      <c r="P694" s="2">
        <f ca="1">INDEX(INDIRECT(_xlfn.CONCAT("weather.tbl[",P$1,"]")),MATCH(vp.data[[#This Row],[SDate]],weather.tbl[Date],0))</f>
        <v>-2</v>
      </c>
      <c r="Q694" s="2">
        <f ca="1">INDEX(INDIRECT(_xlfn.CONCAT("weather.tbl[",Q$1,"]")),MATCH(vp.data[[#This Row],[SDate]],weather.tbl[Date],0))</f>
        <v>-0.6</v>
      </c>
      <c r="R694" s="2">
        <f ca="1">INDEX(INDIRECT(_xlfn.CONCAT("weather.tbl[",R$1,"]")),MATCH(vp.data[[#This Row],[SDate]],weather.tbl[Date],0))</f>
        <v>-2.2999999999999998</v>
      </c>
      <c r="S694" s="2">
        <f ca="1">INDEX(INDIRECT(_xlfn.CONCAT("weather.tbl[",S$1,"]")),MATCH(vp.data[[#This Row],[SDate]],weather.tbl[Date],0))</f>
        <v>0.7</v>
      </c>
      <c r="T694" s="2">
        <f ca="1">INDEX(INDIRECT(_xlfn.CONCAT("weather.tbl[",T$1,"]")),MATCH(vp.data[[#This Row],[SDate]],weather.tbl[Date],0))</f>
        <v>-5.8</v>
      </c>
      <c r="U694" s="2">
        <f ca="1">INDEX(INDIRECT(_xlfn.CONCAT("weather.tbl[",U$1,"]")),MATCH(vp.data[[#This Row],[SDate]],weather.tbl[Date],0))</f>
        <v>-2.2999999999999998</v>
      </c>
      <c r="V694" s="2">
        <f t="array" ref="V6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3297.86</v>
      </c>
      <c r="W694" t="s">
        <v>48</v>
      </c>
      <c r="X694">
        <f>IF(OR(vp.data[[#This Row],[Sulf]]="",vp.data[[#This Row],[Dens]]=""),1,0)</f>
        <v>0</v>
      </c>
      <c r="Y694">
        <f>IF(vp.data[[#This Row],[CrudeType]]="C5+",1,0)</f>
        <v>0</v>
      </c>
      <c r="Z694">
        <f>IF(AND(vp.data[[#This Row],[CrudeType]]="Crude",vp.data[[#This Row],[Dens]]&lt;=825,vp.data[[#This Row],[Sulf]]&gt;0.5,vp.data[[#This Row],[Unknown]]=0),1,0)</f>
        <v>0</v>
      </c>
      <c r="AA694">
        <f>IF(AND(vp.data[[#This Row],[CrudeType]]="Crude",vp.data[[#This Row],[Dens]]&lt;=825,vp.data[[#This Row],[Sulf]]&lt;=0.5,vp.data[[#This Row],[Unknown]]=0),1,0)</f>
        <v>0</v>
      </c>
      <c r="AB6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4">
        <f>IF(AND(vp.data[[#This Row],[CrudeType]]="Crude",vp.data[[#This Row],[Dens]]&gt;825,vp.data[[#This Row],[Dens]]&lt;=900,vp.data[[#This Row],[Sulf]]&lt;=0.5,vp.data[[#This Row],[Unknown]]=0),1,0)</f>
        <v>0</v>
      </c>
      <c r="AD694">
        <f>IF(AND(vp.data[[#This Row],[CrudeType]]="Crude",vp.data[[#This Row],[Dens]]&gt;865,vp.data[[#This Row],[Dens]]&lt;=900,vp.data[[#This Row],[Sulf]]&gt;2,vp.data[[#This Row],[Unknown]]=0),1,0)</f>
        <v>0</v>
      </c>
      <c r="AE694">
        <f>IF(AND(vp.data[[#This Row],[CrudeType]]="Crude",vp.data[[#This Row],[Dens]]&gt;900,vp.data[[#This Row],[Sulf]]&lt;=0.5,vp.data[[#This Row],[Unknown]]=0),1,0)</f>
        <v>0</v>
      </c>
      <c r="AF694">
        <f>IF(AND(vp.data[[#This Row],[CrudeType]]="Crude",vp.data[[#This Row],[Dens]]&gt;900,vp.data[[#This Row],[Sulf]]&lt;=0.5,vp.data[[#This Row],[Unknown]]=0),1,0)</f>
        <v>0</v>
      </c>
      <c r="AG694" t="str">
        <f>INDEX(vp.data[[#Headers],[Unknown]:[Heavy_SW]],MATCH(1,vp.data[[#This Row],[Unknown]:[Heavy_SW]],0))</f>
        <v>Medium_LSB</v>
      </c>
      <c r="AH694">
        <f>INDEX([3]!crudeBD.lkup[Number],MATCH(vp.data[[#This Row],[Crude_Breakdown]],crudeBD.lkup[Crude Breakdown],0))</f>
        <v>3</v>
      </c>
      <c r="AI694">
        <f>MONTH(vp.data[[#This Row],[SDate]])</f>
        <v>1</v>
      </c>
      <c r="AJ694" s="5">
        <f>(vp.data[[#This Row],[VP]]-INDEX(crudeBD.lkup[Mean_VP],MATCH(vp.data[[#This Row],[Crude_Breakdown]],crudeBD.lkup[Crude Breakdown],0)))^2</f>
        <v>261.15605401297802</v>
      </c>
      <c r="AK694" s="5">
        <f>(vp.data[[#This Row],[Dens]]-INDEX(crudeBD.lkup[Mean_Dens],MATCH(vp.data[[#This Row],[Crude_Breakdown]],crudeBD.lkup[Crude Breakdown],0)))^2</f>
        <v>354.19239999998047</v>
      </c>
      <c r="AL694" s="5">
        <f>(vp.data[[#This Row],[Sulf]]-INDEX(crudeBD.lkup[Mean_Sulf],MATCH(vp.data[[#This Row],[Crude_Breakdown]],crudeBD.lkup[Crude Breakdown],0)))^2</f>
        <v>5.5033347025611072E-2</v>
      </c>
      <c r="AM694" s="4">
        <f>IF(AND(vp.data[[#This Row],[SDate]]&gt;=DATE(YEAR(vp.data[[#This Row],[SDate]]),5,1),vp.data[[#This Row],[SDate]]&lt;=DATE(YEAR(vp.data[[#This Row],[SDate]]),9,15)),1,0)</f>
        <v>0</v>
      </c>
      <c r="AN694" s="4">
        <f>IF(vp.data[[#This Row],[SDate]]&lt;DATE(2016,12,1),0,1)</f>
        <v>1</v>
      </c>
      <c r="AO694" s="4">
        <f>IFERROR(vp.data[[#This Row],[Sulf]]*vp.data[[#This Row],[Net Dens]],"")</f>
        <v>4408124.1433200007</v>
      </c>
      <c r="AP694">
        <f>IFERROR(vp.data[[#This Row],[Dens]]*vp.data[[#This Row],[VolumeM3]],"")</f>
        <v>2721064.2860000003</v>
      </c>
      <c r="AQ694" s="15">
        <f>IFERROR(vp.data[[#This Row],[VP]]*vp.data[[#This Row],[VolumeM3]],"")</f>
        <v>319232.848</v>
      </c>
    </row>
    <row r="695" spans="1:43" x14ac:dyDescent="0.25">
      <c r="A695">
        <v>694</v>
      </c>
      <c r="B695" t="s">
        <v>96</v>
      </c>
      <c r="C695" t="s">
        <v>96</v>
      </c>
      <c r="D695" t="s">
        <v>97</v>
      </c>
      <c r="F695" s="1">
        <v>42764</v>
      </c>
      <c r="G695" s="2">
        <v>78.400000000000006</v>
      </c>
      <c r="H695" s="2"/>
      <c r="I695" s="2">
        <f t="array" ref="I695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695" s="2">
        <v>32.299999999999997</v>
      </c>
      <c r="K695" s="2">
        <v>0</v>
      </c>
      <c r="L695" s="2">
        <v>827.9</v>
      </c>
      <c r="M695" s="2">
        <f t="array" ref="M695">_xlfn.IFNA(IF(vp.data[[#This Row],[Dens Input]]="",INDEX([1]DATA!$O$3:$O$9826,MATCH(1,(vp.data[[#This Row],[Battery]]=[1]DATA!$L$3:$L$9826)*(EOMONTH(vp.data[[#This Row],[SDate]],-1)+1=[1]DATA!$G$3:$G$9826),0)),vp.data[[#This Row],[Dens Input]]),"")</f>
        <v>827.9</v>
      </c>
      <c r="N695" s="2">
        <f ca="1">INDEX(INDIRECT(_xlfn.CONCAT("weather.tbl[",N$1,"]")),MATCH(vp.data[[#This Row],[SDate]],weather.tbl[Date],0))</f>
        <v>-2.0500000000000003</v>
      </c>
      <c r="O695" s="2">
        <f ca="1">INDEX(INDIRECT(_xlfn.CONCAT("weather.tbl[",O$1,"]")),MATCH(vp.data[[#This Row],[SDate]],weather.tbl[Date],0))</f>
        <v>-6.545238095238096</v>
      </c>
      <c r="P695" s="2">
        <f ca="1">INDEX(INDIRECT(_xlfn.CONCAT("weather.tbl[",P$1,"]")),MATCH(vp.data[[#This Row],[SDate]],weather.tbl[Date],0))</f>
        <v>-2</v>
      </c>
      <c r="Q695" s="2">
        <f ca="1">INDEX(INDIRECT(_xlfn.CONCAT("weather.tbl[",Q$1,"]")),MATCH(vp.data[[#This Row],[SDate]],weather.tbl[Date],0))</f>
        <v>-0.6</v>
      </c>
      <c r="R695" s="2">
        <f ca="1">INDEX(INDIRECT(_xlfn.CONCAT("weather.tbl[",R$1,"]")),MATCH(vp.data[[#This Row],[SDate]],weather.tbl[Date],0))</f>
        <v>-2.2999999999999998</v>
      </c>
      <c r="S695" s="2">
        <f ca="1">INDEX(INDIRECT(_xlfn.CONCAT("weather.tbl[",S$1,"]")),MATCH(vp.data[[#This Row],[SDate]],weather.tbl[Date],0))</f>
        <v>0.7</v>
      </c>
      <c r="T695" s="2">
        <f ca="1">INDEX(INDIRECT(_xlfn.CONCAT("weather.tbl[",T$1,"]")),MATCH(vp.data[[#This Row],[SDate]],weather.tbl[Date],0))</f>
        <v>-5.8</v>
      </c>
      <c r="U695" s="2">
        <f ca="1">INDEX(INDIRECT(_xlfn.CONCAT("weather.tbl[",U$1,"]")),MATCH(vp.data[[#This Row],[SDate]],weather.tbl[Date],0))</f>
        <v>-2.2999999999999998</v>
      </c>
      <c r="V695" s="2">
        <f t="array" ref="V6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8927.0429999999997</v>
      </c>
      <c r="W695" t="s">
        <v>48</v>
      </c>
      <c r="X695">
        <f>IF(OR(vp.data[[#This Row],[Sulf]]="",vp.data[[#This Row],[Dens]]=""),1,0)</f>
        <v>0</v>
      </c>
      <c r="Y695">
        <f>IF(vp.data[[#This Row],[CrudeType]]="C5+",1,0)</f>
        <v>0</v>
      </c>
      <c r="Z695">
        <f>IF(AND(vp.data[[#This Row],[CrudeType]]="Crude",vp.data[[#This Row],[Dens]]&lt;=825,vp.data[[#This Row],[Sulf]]&gt;0.5,vp.data[[#This Row],[Unknown]]=0),1,0)</f>
        <v>0</v>
      </c>
      <c r="AA695">
        <f>IF(AND(vp.data[[#This Row],[CrudeType]]="Crude",vp.data[[#This Row],[Dens]]&lt;=825,vp.data[[#This Row],[Sulf]]&lt;=0.5,vp.data[[#This Row],[Unknown]]=0),1,0)</f>
        <v>0</v>
      </c>
      <c r="AB6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5">
        <f>IF(AND(vp.data[[#This Row],[CrudeType]]="Crude",vp.data[[#This Row],[Dens]]&gt;825,vp.data[[#This Row],[Dens]]&lt;=900,vp.data[[#This Row],[Sulf]]&lt;=0.5,vp.data[[#This Row],[Unknown]]=0),1,0)</f>
        <v>0</v>
      </c>
      <c r="AD695">
        <f>IF(AND(vp.data[[#This Row],[CrudeType]]="Crude",vp.data[[#This Row],[Dens]]&gt;865,vp.data[[#This Row],[Dens]]&lt;=900,vp.data[[#This Row],[Sulf]]&gt;2,vp.data[[#This Row],[Unknown]]=0),1,0)</f>
        <v>0</v>
      </c>
      <c r="AE695">
        <f>IF(AND(vp.data[[#This Row],[CrudeType]]="Crude",vp.data[[#This Row],[Dens]]&gt;900,vp.data[[#This Row],[Sulf]]&lt;=0.5,vp.data[[#This Row],[Unknown]]=0),1,0)</f>
        <v>0</v>
      </c>
      <c r="AF695">
        <f>IF(AND(vp.data[[#This Row],[CrudeType]]="Crude",vp.data[[#This Row],[Dens]]&gt;900,vp.data[[#This Row],[Sulf]]&lt;=0.5,vp.data[[#This Row],[Unknown]]=0),1,0)</f>
        <v>0</v>
      </c>
      <c r="AG695" t="str">
        <f>INDEX(vp.data[[#Headers],[Unknown]:[Heavy_SW]],MATCH(1,vp.data[[#This Row],[Unknown]:[Heavy_SW]],0))</f>
        <v>Medium_LSB</v>
      </c>
      <c r="AH695">
        <f>INDEX([3]!crudeBD.lkup[Number],MATCH(vp.data[[#This Row],[Crude_Breakdown]],crudeBD.lkup[Crude Breakdown],0))</f>
        <v>3</v>
      </c>
      <c r="AI695">
        <f>MONTH(vp.data[[#This Row],[SDate]])</f>
        <v>1</v>
      </c>
      <c r="AJ695" s="5">
        <f>(vp.data[[#This Row],[VP]]-INDEX(crudeBD.lkup[Mean_VP],MATCH(vp.data[[#This Row],[Crude_Breakdown]],crudeBD.lkup[Crude Breakdown],0)))^2</f>
        <v>5.0161510480158702</v>
      </c>
      <c r="AK695" s="5">
        <f>(vp.data[[#This Row],[Dens]]-INDEX(crudeBD.lkup[Mean_Dens],MATCH(vp.data[[#This Row],[Crude_Breakdown]],crudeBD.lkup[Crude Breakdown],0)))^2</f>
        <v>256.64039999998482</v>
      </c>
      <c r="AL695" s="5">
        <f>(vp.data[[#This Row],[Sulf]]-INDEX(crudeBD.lkup[Mean_Sulf],MATCH(vp.data[[#This Row],[Crude_Breakdown]],crudeBD.lkup[Crude Breakdown],0)))^2</f>
        <v>0.35451083732210947</v>
      </c>
      <c r="AM695" s="4">
        <f>IF(AND(vp.data[[#This Row],[SDate]]&gt;=DATE(YEAR(vp.data[[#This Row],[SDate]]),5,1),vp.data[[#This Row],[SDate]]&lt;=DATE(YEAR(vp.data[[#This Row],[SDate]]),9,15)),1,0)</f>
        <v>0</v>
      </c>
      <c r="AN695" s="4">
        <f>IF(vp.data[[#This Row],[SDate]]&lt;DATE(2016,12,1),0,1)</f>
        <v>1</v>
      </c>
      <c r="AO695" s="4">
        <f>IFERROR(vp.data[[#This Row],[Sulf]]*vp.data[[#This Row],[Net Dens]],"")</f>
        <v>5838652.1307629999</v>
      </c>
      <c r="AP695">
        <f>IFERROR(vp.data[[#This Row],[Dens]]*vp.data[[#This Row],[VolumeM3]],"")</f>
        <v>7390698.8997</v>
      </c>
      <c r="AQ695" s="15">
        <f>IFERROR(vp.data[[#This Row],[VP]]*vp.data[[#This Row],[VolumeM3]],"")</f>
        <v>699880.17119999998</v>
      </c>
    </row>
    <row r="696" spans="1:43" x14ac:dyDescent="0.25">
      <c r="A696">
        <v>695</v>
      </c>
      <c r="B696" t="s">
        <v>108</v>
      </c>
      <c r="C696" t="s">
        <v>108</v>
      </c>
      <c r="D696" t="s">
        <v>109</v>
      </c>
      <c r="F696" s="1">
        <v>42764</v>
      </c>
      <c r="G696" s="2">
        <v>83.7</v>
      </c>
      <c r="H696" s="2"/>
      <c r="I696" s="2">
        <f t="array" ref="I696">_xlfn.IFNA(IF(vp.data[[#This Row],[Sulf Input]]="",INDEX([1]DATA!$Q$3:$Q$9826,MATCH(1,(vp.data[[#This Row],[Battery]]=[1]DATA!$L$3:$L$9826)*(EOMONTH(vp.data[[#This Row],[SDate]],-1)+1=[1]DATA!$G$3:$G$9826),0)),vp.data[[#This Row],[Sulf Input]]),"")</f>
        <v>0.78</v>
      </c>
      <c r="J696" s="2">
        <v>26.8</v>
      </c>
      <c r="K696" s="2">
        <v>-5</v>
      </c>
      <c r="L696" s="2">
        <v>836.3</v>
      </c>
      <c r="M696" s="2">
        <f t="array" ref="M696">_xlfn.IFNA(IF(vp.data[[#This Row],[Dens Input]]="",INDEX([1]DATA!$O$3:$O$9826,MATCH(1,(vp.data[[#This Row],[Battery]]=[1]DATA!$L$3:$L$9826)*(EOMONTH(vp.data[[#This Row],[SDate]],-1)+1=[1]DATA!$G$3:$G$9826),0)),vp.data[[#This Row],[Dens Input]]),"")</f>
        <v>836.3</v>
      </c>
      <c r="N696" s="2">
        <f ca="1">INDEX(INDIRECT(_xlfn.CONCAT("weather.tbl[",N$1,"]")),MATCH(vp.data[[#This Row],[SDate]],weather.tbl[Date],0))</f>
        <v>-2.0500000000000003</v>
      </c>
      <c r="O696" s="2">
        <f ca="1">INDEX(INDIRECT(_xlfn.CONCAT("weather.tbl[",O$1,"]")),MATCH(vp.data[[#This Row],[SDate]],weather.tbl[Date],0))</f>
        <v>-6.545238095238096</v>
      </c>
      <c r="P696" s="2">
        <f ca="1">INDEX(INDIRECT(_xlfn.CONCAT("weather.tbl[",P$1,"]")),MATCH(vp.data[[#This Row],[SDate]],weather.tbl[Date],0))</f>
        <v>-2</v>
      </c>
      <c r="Q696" s="2">
        <f ca="1">INDEX(INDIRECT(_xlfn.CONCAT("weather.tbl[",Q$1,"]")),MATCH(vp.data[[#This Row],[SDate]],weather.tbl[Date],0))</f>
        <v>-0.6</v>
      </c>
      <c r="R696" s="2">
        <f ca="1">INDEX(INDIRECT(_xlfn.CONCAT("weather.tbl[",R$1,"]")),MATCH(vp.data[[#This Row],[SDate]],weather.tbl[Date],0))</f>
        <v>-2.2999999999999998</v>
      </c>
      <c r="S696" s="2">
        <f ca="1">INDEX(INDIRECT(_xlfn.CONCAT("weather.tbl[",S$1,"]")),MATCH(vp.data[[#This Row],[SDate]],weather.tbl[Date],0))</f>
        <v>0.7</v>
      </c>
      <c r="T696" s="2">
        <f ca="1">INDEX(INDIRECT(_xlfn.CONCAT("weather.tbl[",T$1,"]")),MATCH(vp.data[[#This Row],[SDate]],weather.tbl[Date],0))</f>
        <v>-5.8</v>
      </c>
      <c r="U696" s="2">
        <f ca="1">INDEX(INDIRECT(_xlfn.CONCAT("weather.tbl[",U$1,"]")),MATCH(vp.data[[#This Row],[SDate]],weather.tbl[Date],0))</f>
        <v>-2.2999999999999998</v>
      </c>
      <c r="V696" s="2">
        <f t="array" ref="V6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9355.1880000000001</v>
      </c>
      <c r="W696" t="s">
        <v>48</v>
      </c>
      <c r="X696">
        <f>IF(OR(vp.data[[#This Row],[Sulf]]="",vp.data[[#This Row],[Dens]]=""),1,0)</f>
        <v>0</v>
      </c>
      <c r="Y696">
        <f>IF(vp.data[[#This Row],[CrudeType]]="C5+",1,0)</f>
        <v>0</v>
      </c>
      <c r="Z696">
        <f>IF(AND(vp.data[[#This Row],[CrudeType]]="Crude",vp.data[[#This Row],[Dens]]&lt;=825,vp.data[[#This Row],[Sulf]]&gt;0.5,vp.data[[#This Row],[Unknown]]=0),1,0)</f>
        <v>0</v>
      </c>
      <c r="AA696">
        <f>IF(AND(vp.data[[#This Row],[CrudeType]]="Crude",vp.data[[#This Row],[Dens]]&lt;=825,vp.data[[#This Row],[Sulf]]&lt;=0.5,vp.data[[#This Row],[Unknown]]=0),1,0)</f>
        <v>0</v>
      </c>
      <c r="AB6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6">
        <f>IF(AND(vp.data[[#This Row],[CrudeType]]="Crude",vp.data[[#This Row],[Dens]]&gt;825,vp.data[[#This Row],[Dens]]&lt;=900,vp.data[[#This Row],[Sulf]]&lt;=0.5,vp.data[[#This Row],[Unknown]]=0),1,0)</f>
        <v>0</v>
      </c>
      <c r="AD696">
        <f>IF(AND(vp.data[[#This Row],[CrudeType]]="Crude",vp.data[[#This Row],[Dens]]&gt;865,vp.data[[#This Row],[Dens]]&lt;=900,vp.data[[#This Row],[Sulf]]&gt;2,vp.data[[#This Row],[Unknown]]=0),1,0)</f>
        <v>0</v>
      </c>
      <c r="AE696">
        <f>IF(AND(vp.data[[#This Row],[CrudeType]]="Crude",vp.data[[#This Row],[Dens]]&gt;900,vp.data[[#This Row],[Sulf]]&lt;=0.5,vp.data[[#This Row],[Unknown]]=0),1,0)</f>
        <v>0</v>
      </c>
      <c r="AF696">
        <f>IF(AND(vp.data[[#This Row],[CrudeType]]="Crude",vp.data[[#This Row],[Dens]]&gt;900,vp.data[[#This Row],[Sulf]]&lt;=0.5,vp.data[[#This Row],[Unknown]]=0),1,0)</f>
        <v>0</v>
      </c>
      <c r="AG696" t="str">
        <f>INDEX(vp.data[[#Headers],[Unknown]:[Heavy_SW]],MATCH(1,vp.data[[#This Row],[Unknown]:[Heavy_SW]],0))</f>
        <v>Medium_LSB</v>
      </c>
      <c r="AH696">
        <f>INDEX([3]!crudeBD.lkup[Number],MATCH(vp.data[[#This Row],[Crude_Breakdown]],crudeBD.lkup[Crude Breakdown],0))</f>
        <v>3</v>
      </c>
      <c r="AI696">
        <f>MONTH(vp.data[[#This Row],[SDate]])</f>
        <v>1</v>
      </c>
      <c r="AJ696" s="5">
        <f>(vp.data[[#This Row],[VP]]-INDEX(crudeBD.lkup[Mean_VP],MATCH(vp.data[[#This Row],[Crude_Breakdown]],crudeBD.lkup[Crude Breakdown],0)))^2</f>
        <v>9.3655796194452439</v>
      </c>
      <c r="AK696" s="5">
        <f>(vp.data[[#This Row],[Dens]]-INDEX(crudeBD.lkup[Mean_Dens],MATCH(vp.data[[#This Row],[Crude_Breakdown]],crudeBD.lkup[Crude Breakdown],0)))^2</f>
        <v>58.064399999993142</v>
      </c>
      <c r="AL696" s="5">
        <f>(vp.data[[#This Row],[Sulf]]-INDEX(crudeBD.lkup[Mean_Sulf],MATCH(vp.data[[#This Row],[Crude_Breakdown]],crudeBD.lkup[Crude Breakdown],0)))^2</f>
        <v>0.36651899985580222</v>
      </c>
      <c r="AM696" s="4">
        <f>IF(AND(vp.data[[#This Row],[SDate]]&gt;=DATE(YEAR(vp.data[[#This Row],[SDate]]),5,1),vp.data[[#This Row],[SDate]]&lt;=DATE(YEAR(vp.data[[#This Row],[SDate]]),9,15)),1,0)</f>
        <v>0</v>
      </c>
      <c r="AN696" s="4">
        <f>IF(vp.data[[#This Row],[SDate]]&lt;DATE(2016,12,1),0,1)</f>
        <v>1</v>
      </c>
      <c r="AO696" s="4">
        <f>IFERROR(vp.data[[#This Row],[Sulf]]*vp.data[[#This Row],[Net Dens]],"")</f>
        <v>6102520.1050319998</v>
      </c>
      <c r="AP696">
        <f>IFERROR(vp.data[[#This Row],[Dens]]*vp.data[[#This Row],[VolumeM3]],"")</f>
        <v>7823743.7243999997</v>
      </c>
      <c r="AQ696" s="15">
        <f>IFERROR(vp.data[[#This Row],[VP]]*vp.data[[#This Row],[VolumeM3]],"")</f>
        <v>783029.23560000001</v>
      </c>
    </row>
    <row r="697" spans="1:43" x14ac:dyDescent="0.25">
      <c r="A697">
        <v>696</v>
      </c>
      <c r="B697" t="s">
        <v>51</v>
      </c>
      <c r="C697" t="s">
        <v>51</v>
      </c>
      <c r="D697" t="s">
        <v>72</v>
      </c>
      <c r="F697" s="1">
        <v>42764</v>
      </c>
      <c r="G697" s="2">
        <v>84.9</v>
      </c>
      <c r="H697" s="2"/>
      <c r="I697" s="2">
        <f t="array" ref="I697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697" s="2">
        <v>25.6</v>
      </c>
      <c r="K697" s="2">
        <v>1</v>
      </c>
      <c r="L697" s="2">
        <v>838.2</v>
      </c>
      <c r="M697" s="2">
        <f t="array" ref="M697">_xlfn.IFNA(IF(vp.data[[#This Row],[Dens Input]]="",INDEX([1]DATA!$O$3:$O$9826,MATCH(1,(vp.data[[#This Row],[Battery]]=[1]DATA!$L$3:$L$9826)*(EOMONTH(vp.data[[#This Row],[SDate]],-1)+1=[1]DATA!$G$3:$G$9826),0)),vp.data[[#This Row],[Dens Input]]),"")</f>
        <v>838.2</v>
      </c>
      <c r="N697" s="2">
        <f ca="1">INDEX(INDIRECT(_xlfn.CONCAT("weather.tbl[",N$1,"]")),MATCH(vp.data[[#This Row],[SDate]],weather.tbl[Date],0))</f>
        <v>-2.0500000000000003</v>
      </c>
      <c r="O697" s="2">
        <f ca="1">INDEX(INDIRECT(_xlfn.CONCAT("weather.tbl[",O$1,"]")),MATCH(vp.data[[#This Row],[SDate]],weather.tbl[Date],0))</f>
        <v>-6.545238095238096</v>
      </c>
      <c r="P697" s="2">
        <f ca="1">INDEX(INDIRECT(_xlfn.CONCAT("weather.tbl[",P$1,"]")),MATCH(vp.data[[#This Row],[SDate]],weather.tbl[Date],0))</f>
        <v>-2</v>
      </c>
      <c r="Q697" s="2">
        <f ca="1">INDEX(INDIRECT(_xlfn.CONCAT("weather.tbl[",Q$1,"]")),MATCH(vp.data[[#This Row],[SDate]],weather.tbl[Date],0))</f>
        <v>-0.6</v>
      </c>
      <c r="R697" s="2">
        <f ca="1">INDEX(INDIRECT(_xlfn.CONCAT("weather.tbl[",R$1,"]")),MATCH(vp.data[[#This Row],[SDate]],weather.tbl[Date],0))</f>
        <v>-2.2999999999999998</v>
      </c>
      <c r="S697" s="2">
        <f ca="1">INDEX(INDIRECT(_xlfn.CONCAT("weather.tbl[",S$1,"]")),MATCH(vp.data[[#This Row],[SDate]],weather.tbl[Date],0))</f>
        <v>0.7</v>
      </c>
      <c r="T697" s="2">
        <f ca="1">INDEX(INDIRECT(_xlfn.CONCAT("weather.tbl[",T$1,"]")),MATCH(vp.data[[#This Row],[SDate]],weather.tbl[Date],0))</f>
        <v>-5.8</v>
      </c>
      <c r="U697" s="2">
        <f ca="1">INDEX(INDIRECT(_xlfn.CONCAT("weather.tbl[",U$1,"]")),MATCH(vp.data[[#This Row],[SDate]],weather.tbl[Date],0))</f>
        <v>-2.2999999999999998</v>
      </c>
      <c r="V697" s="2">
        <f t="array" ref="V6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14039.305</v>
      </c>
      <c r="W697" t="s">
        <v>48</v>
      </c>
      <c r="X697">
        <f>IF(OR(vp.data[[#This Row],[Sulf]]="",vp.data[[#This Row],[Dens]]=""),1,0)</f>
        <v>0</v>
      </c>
      <c r="Y697">
        <f>IF(vp.data[[#This Row],[CrudeType]]="C5+",1,0)</f>
        <v>0</v>
      </c>
      <c r="Z697">
        <f>IF(AND(vp.data[[#This Row],[CrudeType]]="Crude",vp.data[[#This Row],[Dens]]&lt;=825,vp.data[[#This Row],[Sulf]]&gt;0.5,vp.data[[#This Row],[Unknown]]=0),1,0)</f>
        <v>0</v>
      </c>
      <c r="AA697">
        <f>IF(AND(vp.data[[#This Row],[CrudeType]]="Crude",vp.data[[#This Row],[Dens]]&lt;=825,vp.data[[#This Row],[Sulf]]&lt;=0.5,vp.data[[#This Row],[Unknown]]=0),1,0)</f>
        <v>0</v>
      </c>
      <c r="AB6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7">
        <f>IF(AND(vp.data[[#This Row],[CrudeType]]="Crude",vp.data[[#This Row],[Dens]]&gt;825,vp.data[[#This Row],[Dens]]&lt;=900,vp.data[[#This Row],[Sulf]]&lt;=0.5,vp.data[[#This Row],[Unknown]]=0),1,0)</f>
        <v>0</v>
      </c>
      <c r="AD697">
        <f>IF(AND(vp.data[[#This Row],[CrudeType]]="Crude",vp.data[[#This Row],[Dens]]&gt;865,vp.data[[#This Row],[Dens]]&lt;=900,vp.data[[#This Row],[Sulf]]&gt;2,vp.data[[#This Row],[Unknown]]=0),1,0)</f>
        <v>0</v>
      </c>
      <c r="AE697">
        <f>IF(AND(vp.data[[#This Row],[CrudeType]]="Crude",vp.data[[#This Row],[Dens]]&gt;900,vp.data[[#This Row],[Sulf]]&lt;=0.5,vp.data[[#This Row],[Unknown]]=0),1,0)</f>
        <v>0</v>
      </c>
      <c r="AF697">
        <f>IF(AND(vp.data[[#This Row],[CrudeType]]="Crude",vp.data[[#This Row],[Dens]]&gt;900,vp.data[[#This Row],[Sulf]]&lt;=0.5,vp.data[[#This Row],[Unknown]]=0),1,0)</f>
        <v>0</v>
      </c>
      <c r="AG697" t="str">
        <f>INDEX(vp.data[[#Headers],[Unknown]:[Heavy_SW]],MATCH(1,vp.data[[#This Row],[Unknown]:[Heavy_SW]],0))</f>
        <v>Medium_LSB</v>
      </c>
      <c r="AH697">
        <f>INDEX([3]!crudeBD.lkup[Number],MATCH(vp.data[[#This Row],[Crude_Breakdown]],crudeBD.lkup[Crude Breakdown],0))</f>
        <v>3</v>
      </c>
      <c r="AI697">
        <f>MONTH(vp.data[[#This Row],[SDate]])</f>
        <v>1</v>
      </c>
      <c r="AJ697" s="5">
        <f>(vp.data[[#This Row],[VP]]-INDEX(crudeBD.lkup[Mean_VP],MATCH(vp.data[[#This Row],[Crude_Breakdown]],crudeBD.lkup[Crude Breakdown],0)))^2</f>
        <v>18.150355899768897</v>
      </c>
      <c r="AK697" s="5">
        <f>(vp.data[[#This Row],[Dens]]-INDEX(crudeBD.lkup[Mean_Dens],MATCH(vp.data[[#This Row],[Crude_Breakdown]],crudeBD.lkup[Crude Breakdown],0)))^2</f>
        <v>32.718399999993807</v>
      </c>
      <c r="AL697" s="5">
        <f>(vp.data[[#This Row],[Sulf]]-INDEX(crudeBD.lkup[Mean_Sulf],MATCH(vp.data[[#This Row],[Crude_Breakdown]],crudeBD.lkup[Crude Breakdown],0)))^2</f>
        <v>5.0808823575477689E-2</v>
      </c>
      <c r="AM697" s="4">
        <f>IF(AND(vp.data[[#This Row],[SDate]]&gt;=DATE(YEAR(vp.data[[#This Row],[SDate]]),5,1),vp.data[[#This Row],[SDate]]&lt;=DATE(YEAR(vp.data[[#This Row],[SDate]]),9,15)),1,0)</f>
        <v>0</v>
      </c>
      <c r="AN697" s="4">
        <f>IF(vp.data[[#This Row],[SDate]]&lt;DATE(2016,12,1),0,1)</f>
        <v>1</v>
      </c>
      <c r="AO697" s="4">
        <f>IFERROR(vp.data[[#This Row],[Sulf]]*vp.data[[#This Row],[Net Dens]],"")</f>
        <v>13650584.723160001</v>
      </c>
      <c r="AP697">
        <f>IFERROR(vp.data[[#This Row],[Dens]]*vp.data[[#This Row],[VolumeM3]],"")</f>
        <v>11767745.451000001</v>
      </c>
      <c r="AQ697" s="15">
        <f>IFERROR(vp.data[[#This Row],[VP]]*vp.data[[#This Row],[VolumeM3]],"")</f>
        <v>1191936.9945</v>
      </c>
    </row>
    <row r="698" spans="1:43" x14ac:dyDescent="0.25">
      <c r="A698">
        <v>697</v>
      </c>
      <c r="B698" t="s">
        <v>68</v>
      </c>
      <c r="C698" t="s">
        <v>68</v>
      </c>
      <c r="D698" t="s">
        <v>98</v>
      </c>
      <c r="F698" s="1">
        <v>42764</v>
      </c>
      <c r="G698" s="2">
        <v>61</v>
      </c>
      <c r="H698" s="2"/>
      <c r="I698" s="2">
        <f t="array" ref="I698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698" s="2">
        <v>29.2</v>
      </c>
      <c r="K698" s="2">
        <v>1</v>
      </c>
      <c r="L698" s="2">
        <v>854.5</v>
      </c>
      <c r="M698" s="2">
        <f t="array" ref="M698">_xlfn.IFNA(IF(vp.data[[#This Row],[Dens Input]]="",INDEX([1]DATA!$O$3:$O$9826,MATCH(1,(vp.data[[#This Row],[Battery]]=[1]DATA!$L$3:$L$9826)*(EOMONTH(vp.data[[#This Row],[SDate]],-1)+1=[1]DATA!$G$3:$G$9826),0)),vp.data[[#This Row],[Dens Input]]),"")</f>
        <v>854.5</v>
      </c>
      <c r="N698" s="2">
        <f ca="1">INDEX(INDIRECT(_xlfn.CONCAT("weather.tbl[",N$1,"]")),MATCH(vp.data[[#This Row],[SDate]],weather.tbl[Date],0))</f>
        <v>-2.0500000000000003</v>
      </c>
      <c r="O698" s="2">
        <f ca="1">INDEX(INDIRECT(_xlfn.CONCAT("weather.tbl[",O$1,"]")),MATCH(vp.data[[#This Row],[SDate]],weather.tbl[Date],0))</f>
        <v>-6.545238095238096</v>
      </c>
      <c r="P698" s="2">
        <f ca="1">INDEX(INDIRECT(_xlfn.CONCAT("weather.tbl[",P$1,"]")),MATCH(vp.data[[#This Row],[SDate]],weather.tbl[Date],0))</f>
        <v>-2</v>
      </c>
      <c r="Q698" s="2">
        <f ca="1">INDEX(INDIRECT(_xlfn.CONCAT("weather.tbl[",Q$1,"]")),MATCH(vp.data[[#This Row],[SDate]],weather.tbl[Date],0))</f>
        <v>-0.6</v>
      </c>
      <c r="R698" s="2">
        <f ca="1">INDEX(INDIRECT(_xlfn.CONCAT("weather.tbl[",R$1,"]")),MATCH(vp.data[[#This Row],[SDate]],weather.tbl[Date],0))</f>
        <v>-2.2999999999999998</v>
      </c>
      <c r="S698" s="2">
        <f ca="1">INDEX(INDIRECT(_xlfn.CONCAT("weather.tbl[",S$1,"]")),MATCH(vp.data[[#This Row],[SDate]],weather.tbl[Date],0))</f>
        <v>0.7</v>
      </c>
      <c r="T698" s="2">
        <f ca="1">INDEX(INDIRECT(_xlfn.CONCAT("weather.tbl[",T$1,"]")),MATCH(vp.data[[#This Row],[SDate]],weather.tbl[Date],0))</f>
        <v>-5.8</v>
      </c>
      <c r="U698" s="2">
        <f ca="1">INDEX(INDIRECT(_xlfn.CONCAT("weather.tbl[",U$1,"]")),MATCH(vp.data[[#This Row],[SDate]],weather.tbl[Date],0))</f>
        <v>-2.2999999999999998</v>
      </c>
      <c r="V698" s="2">
        <f t="array" ref="V6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5406.71</v>
      </c>
      <c r="W698" t="s">
        <v>48</v>
      </c>
      <c r="X698">
        <f>IF(OR(vp.data[[#This Row],[Sulf]]="",vp.data[[#This Row],[Dens]]=""),1,0)</f>
        <v>0</v>
      </c>
      <c r="Y698">
        <f>IF(vp.data[[#This Row],[CrudeType]]="C5+",1,0)</f>
        <v>0</v>
      </c>
      <c r="Z698">
        <f>IF(AND(vp.data[[#This Row],[CrudeType]]="Crude",vp.data[[#This Row],[Dens]]&lt;=825,vp.data[[#This Row],[Sulf]]&gt;0.5,vp.data[[#This Row],[Unknown]]=0),1,0)</f>
        <v>0</v>
      </c>
      <c r="AA698">
        <f>IF(AND(vp.data[[#This Row],[CrudeType]]="Crude",vp.data[[#This Row],[Dens]]&lt;=825,vp.data[[#This Row],[Sulf]]&lt;=0.5,vp.data[[#This Row],[Unknown]]=0),1,0)</f>
        <v>0</v>
      </c>
      <c r="AB6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8">
        <f>IF(AND(vp.data[[#This Row],[CrudeType]]="Crude",vp.data[[#This Row],[Dens]]&gt;825,vp.data[[#This Row],[Dens]]&lt;=900,vp.data[[#This Row],[Sulf]]&lt;=0.5,vp.data[[#This Row],[Unknown]]=0),1,0)</f>
        <v>0</v>
      </c>
      <c r="AD698">
        <f>IF(AND(vp.data[[#This Row],[CrudeType]]="Crude",vp.data[[#This Row],[Dens]]&gt;865,vp.data[[#This Row],[Dens]]&lt;=900,vp.data[[#This Row],[Sulf]]&gt;2,vp.data[[#This Row],[Unknown]]=0),1,0)</f>
        <v>0</v>
      </c>
      <c r="AE698">
        <f>IF(AND(vp.data[[#This Row],[CrudeType]]="Crude",vp.data[[#This Row],[Dens]]&gt;900,vp.data[[#This Row],[Sulf]]&lt;=0.5,vp.data[[#This Row],[Unknown]]=0),1,0)</f>
        <v>0</v>
      </c>
      <c r="AF698">
        <f>IF(AND(vp.data[[#This Row],[CrudeType]]="Crude",vp.data[[#This Row],[Dens]]&gt;900,vp.data[[#This Row],[Sulf]]&lt;=0.5,vp.data[[#This Row],[Unknown]]=0),1,0)</f>
        <v>0</v>
      </c>
      <c r="AG698" t="str">
        <f>INDEX(vp.data[[#Headers],[Unknown]:[Heavy_SW]],MATCH(1,vp.data[[#This Row],[Unknown]:[Heavy_SW]],0))</f>
        <v>Medium_LSB</v>
      </c>
      <c r="AH698">
        <f>INDEX([3]!crudeBD.lkup[Number],MATCH(vp.data[[#This Row],[Crude_Breakdown]],crudeBD.lkup[Crude Breakdown],0))</f>
        <v>3</v>
      </c>
      <c r="AI698">
        <f>MONTH(vp.data[[#This Row],[SDate]])</f>
        <v>1</v>
      </c>
      <c r="AJ698" s="5">
        <f>(vp.data[[#This Row],[VP]]-INDEX(crudeBD.lkup[Mean_VP],MATCH(vp.data[[#This Row],[Crude_Breakdown]],crudeBD.lkup[Crude Breakdown],0)))^2</f>
        <v>385.71689498332336</v>
      </c>
      <c r="AK698" s="5">
        <f>(vp.data[[#This Row],[Dens]]-INDEX(crudeBD.lkup[Mean_Dens],MATCH(vp.data[[#This Row],[Crude_Breakdown]],crudeBD.lkup[Crude Breakdown],0)))^2</f>
        <v>111.93640000001049</v>
      </c>
      <c r="AL698" s="5">
        <f>(vp.data[[#This Row],[Sulf]]-INDEX(crudeBD.lkup[Mean_Sulf],MATCH(vp.data[[#This Row],[Crude_Breakdown]],crudeBD.lkup[Crude Breakdown],0)))^2</f>
        <v>1.5727198238550122E-2</v>
      </c>
      <c r="AM698" s="4">
        <f>IF(AND(vp.data[[#This Row],[SDate]]&gt;=DATE(YEAR(vp.data[[#This Row],[SDate]]),5,1),vp.data[[#This Row],[SDate]]&lt;=DATE(YEAR(vp.data[[#This Row],[SDate]]),9,15)),1,0)</f>
        <v>0</v>
      </c>
      <c r="AN698" s="4">
        <f>IF(vp.data[[#This Row],[SDate]]&lt;DATE(2016,12,1),0,1)</f>
        <v>1</v>
      </c>
      <c r="AO698" s="4">
        <f>IFERROR(vp.data[[#This Row],[Sulf]]*vp.data[[#This Row],[Net Dens]],"")</f>
        <v>5821242.4557000007</v>
      </c>
      <c r="AP698">
        <f>IFERROR(vp.data[[#This Row],[Dens]]*vp.data[[#This Row],[VolumeM3]],"")</f>
        <v>4620033.6950000003</v>
      </c>
      <c r="AQ698" s="15">
        <f>IFERROR(vp.data[[#This Row],[VP]]*vp.data[[#This Row],[VolumeM3]],"")</f>
        <v>329809.31</v>
      </c>
    </row>
    <row r="699" spans="1:43" x14ac:dyDescent="0.25">
      <c r="A699">
        <v>698</v>
      </c>
      <c r="B699" t="s">
        <v>68</v>
      </c>
      <c r="C699" t="s">
        <v>68</v>
      </c>
      <c r="D699" t="s">
        <v>69</v>
      </c>
      <c r="F699" s="1">
        <v>42764</v>
      </c>
      <c r="G699" s="2">
        <v>74.3</v>
      </c>
      <c r="H699" s="2"/>
      <c r="I699" s="2">
        <f t="array" ref="I699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699" s="2">
        <v>15.3</v>
      </c>
      <c r="K699" s="2">
        <v>-6</v>
      </c>
      <c r="L699" s="2">
        <v>862.1</v>
      </c>
      <c r="M699" s="2">
        <f t="array" ref="M699">_xlfn.IFNA(IF(vp.data[[#This Row],[Dens Input]]="",INDEX([1]DATA!$O$3:$O$9826,MATCH(1,(vp.data[[#This Row],[Battery]]=[1]DATA!$L$3:$L$9826)*(EOMONTH(vp.data[[#This Row],[SDate]],-1)+1=[1]DATA!$G$3:$G$9826),0)),vp.data[[#This Row],[Dens Input]]),"")</f>
        <v>862.1</v>
      </c>
      <c r="N699" s="2">
        <f ca="1">INDEX(INDIRECT(_xlfn.CONCAT("weather.tbl[",N$1,"]")),MATCH(vp.data[[#This Row],[SDate]],weather.tbl[Date],0))</f>
        <v>-2.0500000000000003</v>
      </c>
      <c r="O699" s="2">
        <f ca="1">INDEX(INDIRECT(_xlfn.CONCAT("weather.tbl[",O$1,"]")),MATCH(vp.data[[#This Row],[SDate]],weather.tbl[Date],0))</f>
        <v>-6.545238095238096</v>
      </c>
      <c r="P699" s="2">
        <f ca="1">INDEX(INDIRECT(_xlfn.CONCAT("weather.tbl[",P$1,"]")),MATCH(vp.data[[#This Row],[SDate]],weather.tbl[Date],0))</f>
        <v>-2</v>
      </c>
      <c r="Q699" s="2">
        <f ca="1">INDEX(INDIRECT(_xlfn.CONCAT("weather.tbl[",Q$1,"]")),MATCH(vp.data[[#This Row],[SDate]],weather.tbl[Date],0))</f>
        <v>-0.6</v>
      </c>
      <c r="R699" s="2">
        <f ca="1">INDEX(INDIRECT(_xlfn.CONCAT("weather.tbl[",R$1,"]")),MATCH(vp.data[[#This Row],[SDate]],weather.tbl[Date],0))</f>
        <v>-2.2999999999999998</v>
      </c>
      <c r="S699" s="2">
        <f ca="1">INDEX(INDIRECT(_xlfn.CONCAT("weather.tbl[",S$1,"]")),MATCH(vp.data[[#This Row],[SDate]],weather.tbl[Date],0))</f>
        <v>0.7</v>
      </c>
      <c r="T699" s="2">
        <f ca="1">INDEX(INDIRECT(_xlfn.CONCAT("weather.tbl[",T$1,"]")),MATCH(vp.data[[#This Row],[SDate]],weather.tbl[Date],0))</f>
        <v>-5.8</v>
      </c>
      <c r="U699" s="2">
        <f ca="1">INDEX(INDIRECT(_xlfn.CONCAT("weather.tbl[",U$1,"]")),MATCH(vp.data[[#This Row],[SDate]],weather.tbl[Date],0))</f>
        <v>-2.2999999999999998</v>
      </c>
      <c r="V699" s="2">
        <f t="array" ref="V6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1452.5409999999999</v>
      </c>
      <c r="W699" t="s">
        <v>48</v>
      </c>
      <c r="X699">
        <f>IF(OR(vp.data[[#This Row],[Sulf]]="",vp.data[[#This Row],[Dens]]=""),1,0)</f>
        <v>0</v>
      </c>
      <c r="Y699">
        <f>IF(vp.data[[#This Row],[CrudeType]]="C5+",1,0)</f>
        <v>0</v>
      </c>
      <c r="Z699">
        <f>IF(AND(vp.data[[#This Row],[CrudeType]]="Crude",vp.data[[#This Row],[Dens]]&lt;=825,vp.data[[#This Row],[Sulf]]&gt;0.5,vp.data[[#This Row],[Unknown]]=0),1,0)</f>
        <v>0</v>
      </c>
      <c r="AA699">
        <f>IF(AND(vp.data[[#This Row],[CrudeType]]="Crude",vp.data[[#This Row],[Dens]]&lt;=825,vp.data[[#This Row],[Sulf]]&lt;=0.5,vp.data[[#This Row],[Unknown]]=0),1,0)</f>
        <v>0</v>
      </c>
      <c r="AB6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699">
        <f>IF(AND(vp.data[[#This Row],[CrudeType]]="Crude",vp.data[[#This Row],[Dens]]&gt;825,vp.data[[#This Row],[Dens]]&lt;=900,vp.data[[#This Row],[Sulf]]&lt;=0.5,vp.data[[#This Row],[Unknown]]=0),1,0)</f>
        <v>0</v>
      </c>
      <c r="AD699">
        <f>IF(AND(vp.data[[#This Row],[CrudeType]]="Crude",vp.data[[#This Row],[Dens]]&gt;865,vp.data[[#This Row],[Dens]]&lt;=900,vp.data[[#This Row],[Sulf]]&gt;2,vp.data[[#This Row],[Unknown]]=0),1,0)</f>
        <v>0</v>
      </c>
      <c r="AE699">
        <f>IF(AND(vp.data[[#This Row],[CrudeType]]="Crude",vp.data[[#This Row],[Dens]]&gt;900,vp.data[[#This Row],[Sulf]]&lt;=0.5,vp.data[[#This Row],[Unknown]]=0),1,0)</f>
        <v>0</v>
      </c>
      <c r="AF699">
        <f>IF(AND(vp.data[[#This Row],[CrudeType]]="Crude",vp.data[[#This Row],[Dens]]&gt;900,vp.data[[#This Row],[Sulf]]&lt;=0.5,vp.data[[#This Row],[Unknown]]=0),1,0)</f>
        <v>0</v>
      </c>
      <c r="AG699" t="str">
        <f>INDEX(vp.data[[#Headers],[Unknown]:[Heavy_SW]],MATCH(1,vp.data[[#This Row],[Unknown]:[Heavy_SW]],0))</f>
        <v>Medium_LSB</v>
      </c>
      <c r="AH699">
        <f>INDEX([3]!crudeBD.lkup[Number],MATCH(vp.data[[#This Row],[Crude_Breakdown]],crudeBD.lkup[Crude Breakdown],0))</f>
        <v>3</v>
      </c>
      <c r="AI699">
        <f>MONTH(vp.data[[#This Row],[SDate]])</f>
        <v>1</v>
      </c>
      <c r="AJ699" s="5">
        <f>(vp.data[[#This Row],[VP]]-INDEX(crudeBD.lkup[Mean_VP],MATCH(vp.data[[#This Row],[Crude_Breakdown]],crudeBD.lkup[Crude Breakdown],0)))^2</f>
        <v>40.191498756910221</v>
      </c>
      <c r="AK699" s="5">
        <f>(vp.data[[#This Row],[Dens]]-INDEX(crudeBD.lkup[Mean_Dens],MATCH(vp.data[[#This Row],[Crude_Breakdown]],crudeBD.lkup[Crude Breakdown],0)))^2</f>
        <v>330.51240000001883</v>
      </c>
      <c r="AL699" s="5">
        <f>(vp.data[[#This Row],[Sulf]]-INDEX(crudeBD.lkup[Mean_Sulf],MATCH(vp.data[[#This Row],[Crude_Breakdown]],crudeBD.lkup[Crude Breakdown],0)))^2</f>
        <v>0.15570274648652699</v>
      </c>
      <c r="AM699" s="4">
        <f>IF(AND(vp.data[[#This Row],[SDate]]&gt;=DATE(YEAR(vp.data[[#This Row],[SDate]]),5,1),vp.data[[#This Row],[SDate]]&lt;=DATE(YEAR(vp.data[[#This Row],[SDate]]),9,15)),1,0)</f>
        <v>0</v>
      </c>
      <c r="AN699" s="4">
        <f>IF(vp.data[[#This Row],[SDate]]&lt;DATE(2016,12,1),0,1)</f>
        <v>1</v>
      </c>
      <c r="AO699" s="4">
        <f>IFERROR(vp.data[[#This Row],[Sulf]]*vp.data[[#This Row],[Net Dens]],"")</f>
        <v>2228979.361058</v>
      </c>
      <c r="AP699">
        <f>IFERROR(vp.data[[#This Row],[Dens]]*vp.data[[#This Row],[VolumeM3]],"")</f>
        <v>1252235.5961</v>
      </c>
      <c r="AQ699" s="15">
        <f>IFERROR(vp.data[[#This Row],[VP]]*vp.data[[#This Row],[VolumeM3]],"")</f>
        <v>107923.79629999999</v>
      </c>
    </row>
    <row r="700" spans="1:43" x14ac:dyDescent="0.25">
      <c r="A700">
        <v>699</v>
      </c>
      <c r="B700" t="s">
        <v>53</v>
      </c>
      <c r="C700" t="s">
        <v>53</v>
      </c>
      <c r="D700" t="s">
        <v>54</v>
      </c>
      <c r="E700" t="s">
        <v>55</v>
      </c>
      <c r="F700" s="1">
        <v>42766</v>
      </c>
      <c r="G700" s="2">
        <v>93.2</v>
      </c>
      <c r="H700" s="2"/>
      <c r="I700" s="2">
        <f t="array" ref="I700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700" s="2">
        <v>8</v>
      </c>
      <c r="K700" s="2">
        <v>-2</v>
      </c>
      <c r="L700" s="2">
        <v>827.3</v>
      </c>
      <c r="M700" s="2">
        <f t="array" ref="M700">_xlfn.IFNA(IF(vp.data[[#This Row],[Dens Input]]="",INDEX([1]DATA!$O$3:$O$9826,MATCH(1,(vp.data[[#This Row],[Battery]]=[1]DATA!$L$3:$L$9826)*(EOMONTH(vp.data[[#This Row],[SDate]],-1)+1=[1]DATA!$G$3:$G$9826),0)),vp.data[[#This Row],[Dens Input]]),"")</f>
        <v>827.3</v>
      </c>
      <c r="N700" s="2">
        <f ca="1">INDEX(INDIRECT(_xlfn.CONCAT("weather.tbl[",N$1,"]")),MATCH(vp.data[[#This Row],[SDate]],weather.tbl[Date],0))</f>
        <v>-10.783333333333333</v>
      </c>
      <c r="O700" s="2">
        <f ca="1">INDEX(INDIRECT(_xlfn.CONCAT("weather.tbl[",O$1,"]")),MATCH(vp.data[[#This Row],[SDate]],weather.tbl[Date],0))</f>
        <v>-5.9547619047619049</v>
      </c>
      <c r="P700" s="2">
        <f ca="1">INDEX(INDIRECT(_xlfn.CONCAT("weather.tbl[",P$1,"]")),MATCH(vp.data[[#This Row],[SDate]],weather.tbl[Date],0))</f>
        <v>-10.6</v>
      </c>
      <c r="Q700" s="2">
        <f ca="1">INDEX(INDIRECT(_xlfn.CONCAT("weather.tbl[",Q$1,"]")),MATCH(vp.data[[#This Row],[SDate]],weather.tbl[Date],0))</f>
        <v>-11.6</v>
      </c>
      <c r="R700" s="2">
        <f ca="1">INDEX(INDIRECT(_xlfn.CONCAT("weather.tbl[",R$1,"]")),MATCH(vp.data[[#This Row],[SDate]],weather.tbl[Date],0))</f>
        <v>-9.3000000000000007</v>
      </c>
      <c r="S700" s="2">
        <f ca="1">INDEX(INDIRECT(_xlfn.CONCAT("weather.tbl[",S$1,"]")),MATCH(vp.data[[#This Row],[SDate]],weather.tbl[Date],0))</f>
        <v>-11.2</v>
      </c>
      <c r="T700" s="2">
        <f ca="1">INDEX(INDIRECT(_xlfn.CONCAT("weather.tbl[",T$1,"]")),MATCH(vp.data[[#This Row],[SDate]],weather.tbl[Date],0))</f>
        <v>-11</v>
      </c>
      <c r="U700" s="2">
        <f ca="1">INDEX(INDIRECT(_xlfn.CONCAT("weather.tbl[",U$1,"]")),MATCH(vp.data[[#This Row],[SDate]],weather.tbl[Date],0))</f>
        <v>-11</v>
      </c>
      <c r="V700" s="2">
        <f t="array" ref="V7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50817.362000000001</v>
      </c>
      <c r="W700" t="s">
        <v>48</v>
      </c>
      <c r="X700">
        <f>IF(OR(vp.data[[#This Row],[Sulf]]="",vp.data[[#This Row],[Dens]]=""),1,0)</f>
        <v>0</v>
      </c>
      <c r="Y700">
        <f>IF(vp.data[[#This Row],[CrudeType]]="C5+",1,0)</f>
        <v>0</v>
      </c>
      <c r="Z700">
        <f>IF(AND(vp.data[[#This Row],[CrudeType]]="Crude",vp.data[[#This Row],[Dens]]&lt;=825,vp.data[[#This Row],[Sulf]]&gt;0.5,vp.data[[#This Row],[Unknown]]=0),1,0)</f>
        <v>0</v>
      </c>
      <c r="AA700">
        <f>IF(AND(vp.data[[#This Row],[CrudeType]]="Crude",vp.data[[#This Row],[Dens]]&lt;=825,vp.data[[#This Row],[Sulf]]&lt;=0.5,vp.data[[#This Row],[Unknown]]=0),1,0)</f>
        <v>0</v>
      </c>
      <c r="AB7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00">
        <f>IF(AND(vp.data[[#This Row],[CrudeType]]="Crude",vp.data[[#This Row],[Dens]]&gt;825,vp.data[[#This Row],[Dens]]&lt;=900,vp.data[[#This Row],[Sulf]]&lt;=0.5,vp.data[[#This Row],[Unknown]]=0),1,0)</f>
        <v>0</v>
      </c>
      <c r="AD700">
        <f>IF(AND(vp.data[[#This Row],[CrudeType]]="Crude",vp.data[[#This Row],[Dens]]&gt;865,vp.data[[#This Row],[Dens]]&lt;=900,vp.data[[#This Row],[Sulf]]&gt;2,vp.data[[#This Row],[Unknown]]=0),1,0)</f>
        <v>0</v>
      </c>
      <c r="AE700">
        <f>IF(AND(vp.data[[#This Row],[CrudeType]]="Crude",vp.data[[#This Row],[Dens]]&gt;900,vp.data[[#This Row],[Sulf]]&lt;=0.5,vp.data[[#This Row],[Unknown]]=0),1,0)</f>
        <v>0</v>
      </c>
      <c r="AF700">
        <f>IF(AND(vp.data[[#This Row],[CrudeType]]="Crude",vp.data[[#This Row],[Dens]]&gt;900,vp.data[[#This Row],[Sulf]]&lt;=0.5,vp.data[[#This Row],[Unknown]]=0),1,0)</f>
        <v>0</v>
      </c>
      <c r="AG700" t="str">
        <f>INDEX(vp.data[[#Headers],[Unknown]:[Heavy_SW]],MATCH(1,vp.data[[#This Row],[Unknown]:[Heavy_SW]],0))</f>
        <v>Medium_LSB</v>
      </c>
      <c r="AH700">
        <f>INDEX([3]!crudeBD.lkup[Number],MATCH(vp.data[[#This Row],[Crude_Breakdown]],crudeBD.lkup[Crude Breakdown],0))</f>
        <v>3</v>
      </c>
      <c r="AI700">
        <f>MONTH(vp.data[[#This Row],[SDate]])</f>
        <v>1</v>
      </c>
      <c r="AJ700" s="5">
        <f>(vp.data[[#This Row],[VP]]-INDEX(crudeBD.lkup[Mean_VP],MATCH(vp.data[[#This Row],[Crude_Breakdown]],crudeBD.lkup[Crude Breakdown],0)))^2</f>
        <v>157.76172517200732</v>
      </c>
      <c r="AK700" s="5">
        <f>(vp.data[[#This Row],[Dens]]-INDEX(crudeBD.lkup[Mean_Dens],MATCH(vp.data[[#This Row],[Crude_Breakdown]],crudeBD.lkup[Crude Breakdown],0)))^2</f>
        <v>276.22439999998505</v>
      </c>
      <c r="AL700" s="5">
        <f>(vp.data[[#This Row],[Sulf]]-INDEX(crudeBD.lkup[Mean_Sulf],MATCH(vp.data[[#This Row],[Crude_Breakdown]],crudeBD.lkup[Crude Breakdown],0)))^2</f>
        <v>2.3898647295153057E-2</v>
      </c>
      <c r="AM700" s="4">
        <f>IF(AND(vp.data[[#This Row],[SDate]]&gt;=DATE(YEAR(vp.data[[#This Row],[SDate]]),5,1),vp.data[[#This Row],[SDate]]&lt;=DATE(YEAR(vp.data[[#This Row],[SDate]]),9,15)),1,0)</f>
        <v>0</v>
      </c>
      <c r="AN700" s="4">
        <f>IF(vp.data[[#This Row],[SDate]]&lt;DATE(2016,12,1),0,1)</f>
        <v>1</v>
      </c>
      <c r="AO700" s="4">
        <f>IFERROR(vp.data[[#This Row],[Sulf]]*vp.data[[#This Row],[Net Dens]],"")</f>
        <v>64743453.517203994</v>
      </c>
      <c r="AP700">
        <f>IFERROR(vp.data[[#This Row],[Dens]]*vp.data[[#This Row],[VolumeM3]],"")</f>
        <v>42041203.582599998</v>
      </c>
      <c r="AQ700" s="15">
        <f>IFERROR(vp.data[[#This Row],[VP]]*vp.data[[#This Row],[VolumeM3]],"")</f>
        <v>4736178.1384000005</v>
      </c>
    </row>
    <row r="701" spans="1:43" x14ac:dyDescent="0.25">
      <c r="A701">
        <v>700</v>
      </c>
      <c r="B701" t="s">
        <v>49</v>
      </c>
      <c r="C701" t="s">
        <v>49</v>
      </c>
      <c r="D701" t="s">
        <v>75</v>
      </c>
      <c r="F701" s="1">
        <v>42766</v>
      </c>
      <c r="G701" s="2">
        <v>104.4</v>
      </c>
      <c r="H701" s="2">
        <v>0.19500000000000001</v>
      </c>
      <c r="I701" s="2">
        <f t="array" ref="I701">_xlfn.IFNA(IF(vp.data[[#This Row],[Sulf Input]]="",INDEX([1]DATA!$Q$3:$Q$9826,MATCH(1,(vp.data[[#This Row],[Battery]]=[1]DATA!$L$3:$L$9826)*(EOMONTH(vp.data[[#This Row],[SDate]],-1)+1=[1]DATA!$G$3:$G$9826),0)),vp.data[[#This Row],[Sulf Input]]),"")</f>
        <v>0.19500000000000001</v>
      </c>
      <c r="J701" s="2">
        <v>1.1000000000000001</v>
      </c>
      <c r="K701" s="2">
        <v>-2</v>
      </c>
      <c r="L701" s="2">
        <v>799.5</v>
      </c>
      <c r="M701" s="2">
        <f t="array" ref="M701">_xlfn.IFNA(IF(vp.data[[#This Row],[Dens Input]]="",INDEX([1]DATA!$O$3:$O$9826,MATCH(1,(vp.data[[#This Row],[Battery]]=[1]DATA!$L$3:$L$9826)*(EOMONTH(vp.data[[#This Row],[SDate]],-1)+1=[1]DATA!$G$3:$G$9826),0)),vp.data[[#This Row],[Dens Input]]),"")</f>
        <v>799.5</v>
      </c>
      <c r="N701" s="2">
        <f ca="1">INDEX(INDIRECT(_xlfn.CONCAT("weather.tbl[",N$1,"]")),MATCH(vp.data[[#This Row],[SDate]],weather.tbl[Date],0))</f>
        <v>-10.783333333333333</v>
      </c>
      <c r="O701" s="2">
        <f ca="1">INDEX(INDIRECT(_xlfn.CONCAT("weather.tbl[",O$1,"]")),MATCH(vp.data[[#This Row],[SDate]],weather.tbl[Date],0))</f>
        <v>-5.9547619047619049</v>
      </c>
      <c r="P701" s="2">
        <f ca="1">INDEX(INDIRECT(_xlfn.CONCAT("weather.tbl[",P$1,"]")),MATCH(vp.data[[#This Row],[SDate]],weather.tbl[Date],0))</f>
        <v>-10.6</v>
      </c>
      <c r="Q701" s="2">
        <f ca="1">INDEX(INDIRECT(_xlfn.CONCAT("weather.tbl[",Q$1,"]")),MATCH(vp.data[[#This Row],[SDate]],weather.tbl[Date],0))</f>
        <v>-11.6</v>
      </c>
      <c r="R701" s="2">
        <f ca="1">INDEX(INDIRECT(_xlfn.CONCAT("weather.tbl[",R$1,"]")),MATCH(vp.data[[#This Row],[SDate]],weather.tbl[Date],0))</f>
        <v>-9.3000000000000007</v>
      </c>
      <c r="S701" s="2">
        <f ca="1">INDEX(INDIRECT(_xlfn.CONCAT("weather.tbl[",S$1,"]")),MATCH(vp.data[[#This Row],[SDate]],weather.tbl[Date],0))</f>
        <v>-11.2</v>
      </c>
      <c r="T701" s="2">
        <f ca="1">INDEX(INDIRECT(_xlfn.CONCAT("weather.tbl[",T$1,"]")),MATCH(vp.data[[#This Row],[SDate]],weather.tbl[Date],0))</f>
        <v>-11</v>
      </c>
      <c r="U701" s="2">
        <f ca="1">INDEX(INDIRECT(_xlfn.CONCAT("weather.tbl[",U$1,"]")),MATCH(vp.data[[#This Row],[SDate]],weather.tbl[Date],0))</f>
        <v>-11</v>
      </c>
      <c r="V701" s="2">
        <f t="array" ref="V7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12738.714</v>
      </c>
      <c r="W701" t="s">
        <v>48</v>
      </c>
      <c r="X701">
        <f>IF(OR(vp.data[[#This Row],[Sulf]]="",vp.data[[#This Row],[Dens]]=""),1,0)</f>
        <v>0</v>
      </c>
      <c r="Y701">
        <f>IF(vp.data[[#This Row],[CrudeType]]="C5+",1,0)</f>
        <v>0</v>
      </c>
      <c r="Z701">
        <f>IF(AND(vp.data[[#This Row],[CrudeType]]="Crude",vp.data[[#This Row],[Dens]]&lt;=825,vp.data[[#This Row],[Sulf]]&gt;0.5,vp.data[[#This Row],[Unknown]]=0),1,0)</f>
        <v>0</v>
      </c>
      <c r="AA701">
        <f>IF(AND(vp.data[[#This Row],[CrudeType]]="Crude",vp.data[[#This Row],[Dens]]&lt;=825,vp.data[[#This Row],[Sulf]]&lt;=0.5,vp.data[[#This Row],[Unknown]]=0),1,0)</f>
        <v>1</v>
      </c>
      <c r="AB7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1">
        <f>IF(AND(vp.data[[#This Row],[CrudeType]]="Crude",vp.data[[#This Row],[Dens]]&gt;825,vp.data[[#This Row],[Dens]]&lt;=900,vp.data[[#This Row],[Sulf]]&lt;=0.5,vp.data[[#This Row],[Unknown]]=0),1,0)</f>
        <v>0</v>
      </c>
      <c r="AD701">
        <f>IF(AND(vp.data[[#This Row],[CrudeType]]="Crude",vp.data[[#This Row],[Dens]]&gt;865,vp.data[[#This Row],[Dens]]&lt;=900,vp.data[[#This Row],[Sulf]]&gt;2,vp.data[[#This Row],[Unknown]]=0),1,0)</f>
        <v>0</v>
      </c>
      <c r="AE701">
        <f>IF(AND(vp.data[[#This Row],[CrudeType]]="Crude",vp.data[[#This Row],[Dens]]&gt;900,vp.data[[#This Row],[Sulf]]&lt;=0.5,vp.data[[#This Row],[Unknown]]=0),1,0)</f>
        <v>0</v>
      </c>
      <c r="AF701">
        <f>IF(AND(vp.data[[#This Row],[CrudeType]]="Crude",vp.data[[#This Row],[Dens]]&gt;900,vp.data[[#This Row],[Sulf]]&lt;=0.5,vp.data[[#This Row],[Unknown]]=0),1,0)</f>
        <v>0</v>
      </c>
      <c r="AG701" t="str">
        <f>INDEX(vp.data[[#Headers],[Unknown]:[Heavy_SW]],MATCH(1,vp.data[[#This Row],[Unknown]:[Heavy_SW]],0))</f>
        <v>Light_SW</v>
      </c>
      <c r="AH701">
        <f>INDEX([3]!crudeBD.lkup[Number],MATCH(vp.data[[#This Row],[Crude_Breakdown]],crudeBD.lkup[Crude Breakdown],0))</f>
        <v>2</v>
      </c>
      <c r="AI701">
        <f>MONTH(vp.data[[#This Row],[SDate]])</f>
        <v>1</v>
      </c>
      <c r="AJ701" s="5">
        <f>(vp.data[[#This Row],[VP]]-INDEX(crudeBD.lkup[Mean_VP],MATCH(vp.data[[#This Row],[Crude_Breakdown]],crudeBD.lkup[Crude Breakdown],0)))^2</f>
        <v>140.41506804258967</v>
      </c>
      <c r="AK701" s="5">
        <f>(vp.data[[#This Row],[Dens]]-INDEX(crudeBD.lkup[Mean_Dens],MATCH(vp.data[[#This Row],[Crude_Breakdown]],crudeBD.lkup[Crude Breakdown],0)))^2</f>
        <v>77.642501547908594</v>
      </c>
      <c r="AL701" s="5">
        <f>(vp.data[[#This Row],[Sulf]]-INDEX(crudeBD.lkup[Mean_Sulf],MATCH(vp.data[[#This Row],[Crude_Breakdown]],crudeBD.lkup[Crude Breakdown],0)))^2</f>
        <v>1.7008870443977577E-3</v>
      </c>
      <c r="AM701" s="4">
        <f>IF(AND(vp.data[[#This Row],[SDate]]&gt;=DATE(YEAR(vp.data[[#This Row],[SDate]]),5,1),vp.data[[#This Row],[SDate]]&lt;=DATE(YEAR(vp.data[[#This Row],[SDate]]),9,15)),1,0)</f>
        <v>0</v>
      </c>
      <c r="AN701" s="4">
        <f>IF(vp.data[[#This Row],[SDate]]&lt;DATE(2016,12,1),0,1)</f>
        <v>1</v>
      </c>
      <c r="AO701" s="4">
        <f>IFERROR(vp.data[[#This Row],[Sulf]]*vp.data[[#This Row],[Net Dens]],"")</f>
        <v>1985997.3593850001</v>
      </c>
      <c r="AP701">
        <f>IFERROR(vp.data[[#This Row],[Dens]]*vp.data[[#This Row],[VolumeM3]],"")</f>
        <v>10184601.843</v>
      </c>
      <c r="AQ701" s="15">
        <f>IFERROR(vp.data[[#This Row],[VP]]*vp.data[[#This Row],[VolumeM3]],"")</f>
        <v>1329921.7416000001</v>
      </c>
    </row>
    <row r="702" spans="1:43" x14ac:dyDescent="0.25">
      <c r="A702">
        <v>701</v>
      </c>
      <c r="B702" t="s">
        <v>49</v>
      </c>
      <c r="C702" t="s">
        <v>49</v>
      </c>
      <c r="D702" t="s">
        <v>100</v>
      </c>
      <c r="F702" s="1">
        <v>42766</v>
      </c>
      <c r="G702" s="2">
        <v>91.8</v>
      </c>
      <c r="H702" s="2">
        <v>0.61</v>
      </c>
      <c r="I702" s="2">
        <f t="array" ref="I702">_xlfn.IFNA(IF(vp.data[[#This Row],[Sulf Input]]="",INDEX([1]DATA!$Q$3:$Q$9826,MATCH(1,(vp.data[[#This Row],[Battery]]=[1]DATA!$L$3:$L$9826)*(EOMONTH(vp.data[[#This Row],[SDate]],-1)+1=[1]DATA!$G$3:$G$9826),0)),vp.data[[#This Row],[Sulf Input]]),"")</f>
        <v>0.61</v>
      </c>
      <c r="J702" s="2">
        <v>10.9</v>
      </c>
      <c r="K702" s="2">
        <v>-2</v>
      </c>
      <c r="L702" s="2">
        <v>821.1</v>
      </c>
      <c r="M702" s="2">
        <f t="array" ref="M702">_xlfn.IFNA(IF(vp.data[[#This Row],[Dens Input]]="",INDEX([1]DATA!$O$3:$O$9826,MATCH(1,(vp.data[[#This Row],[Battery]]=[1]DATA!$L$3:$L$9826)*(EOMONTH(vp.data[[#This Row],[SDate]],-1)+1=[1]DATA!$G$3:$G$9826),0)),vp.data[[#This Row],[Dens Input]]),"")</f>
        <v>821.1</v>
      </c>
      <c r="N702" s="2">
        <f ca="1">INDEX(INDIRECT(_xlfn.CONCAT("weather.tbl[",N$1,"]")),MATCH(vp.data[[#This Row],[SDate]],weather.tbl[Date],0))</f>
        <v>-10.783333333333333</v>
      </c>
      <c r="O702" s="2">
        <f ca="1">INDEX(INDIRECT(_xlfn.CONCAT("weather.tbl[",O$1,"]")),MATCH(vp.data[[#This Row],[SDate]],weather.tbl[Date],0))</f>
        <v>-5.9547619047619049</v>
      </c>
      <c r="P702" s="2">
        <f ca="1">INDEX(INDIRECT(_xlfn.CONCAT("weather.tbl[",P$1,"]")),MATCH(vp.data[[#This Row],[SDate]],weather.tbl[Date],0))</f>
        <v>-10.6</v>
      </c>
      <c r="Q702" s="2">
        <f ca="1">INDEX(INDIRECT(_xlfn.CONCAT("weather.tbl[",Q$1,"]")),MATCH(vp.data[[#This Row],[SDate]],weather.tbl[Date],0))</f>
        <v>-11.6</v>
      </c>
      <c r="R702" s="2">
        <f ca="1">INDEX(INDIRECT(_xlfn.CONCAT("weather.tbl[",R$1,"]")),MATCH(vp.data[[#This Row],[SDate]],weather.tbl[Date],0))</f>
        <v>-9.3000000000000007</v>
      </c>
      <c r="S702" s="2">
        <f ca="1">INDEX(INDIRECT(_xlfn.CONCAT("weather.tbl[",S$1,"]")),MATCH(vp.data[[#This Row],[SDate]],weather.tbl[Date],0))</f>
        <v>-11.2</v>
      </c>
      <c r="T702" s="2">
        <f ca="1">INDEX(INDIRECT(_xlfn.CONCAT("weather.tbl[",T$1,"]")),MATCH(vp.data[[#This Row],[SDate]],weather.tbl[Date],0))</f>
        <v>-11</v>
      </c>
      <c r="U702" s="2">
        <f ca="1">INDEX(INDIRECT(_xlfn.CONCAT("weather.tbl[",U$1,"]")),MATCH(vp.data[[#This Row],[SDate]],weather.tbl[Date],0))</f>
        <v>-11</v>
      </c>
      <c r="V702" s="2">
        <f t="array" ref="V7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11216.892</v>
      </c>
      <c r="W702" t="s">
        <v>48</v>
      </c>
      <c r="X702">
        <f>IF(OR(vp.data[[#This Row],[Sulf]]="",vp.data[[#This Row],[Dens]]=""),1,0)</f>
        <v>0</v>
      </c>
      <c r="Y702">
        <f>IF(vp.data[[#This Row],[CrudeType]]="C5+",1,0)</f>
        <v>0</v>
      </c>
      <c r="Z702">
        <f>IF(AND(vp.data[[#This Row],[CrudeType]]="Crude",vp.data[[#This Row],[Dens]]&lt;=825,vp.data[[#This Row],[Sulf]]&gt;0.5,vp.data[[#This Row],[Unknown]]=0),1,0)</f>
        <v>1</v>
      </c>
      <c r="AA702">
        <f>IF(AND(vp.data[[#This Row],[CrudeType]]="Crude",vp.data[[#This Row],[Dens]]&lt;=825,vp.data[[#This Row],[Sulf]]&lt;=0.5,vp.data[[#This Row],[Unknown]]=0),1,0)</f>
        <v>0</v>
      </c>
      <c r="AB7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2">
        <f>IF(AND(vp.data[[#This Row],[CrudeType]]="Crude",vp.data[[#This Row],[Dens]]&gt;825,vp.data[[#This Row],[Dens]]&lt;=900,vp.data[[#This Row],[Sulf]]&lt;=0.5,vp.data[[#This Row],[Unknown]]=0),1,0)</f>
        <v>0</v>
      </c>
      <c r="AD702">
        <f>IF(AND(vp.data[[#This Row],[CrudeType]]="Crude",vp.data[[#This Row],[Dens]]&gt;865,vp.data[[#This Row],[Dens]]&lt;=900,vp.data[[#This Row],[Sulf]]&gt;2,vp.data[[#This Row],[Unknown]]=0),1,0)</f>
        <v>0</v>
      </c>
      <c r="AE702">
        <f>IF(AND(vp.data[[#This Row],[CrudeType]]="Crude",vp.data[[#This Row],[Dens]]&gt;900,vp.data[[#This Row],[Sulf]]&lt;=0.5,vp.data[[#This Row],[Unknown]]=0),1,0)</f>
        <v>0</v>
      </c>
      <c r="AF702">
        <f>IF(AND(vp.data[[#This Row],[CrudeType]]="Crude",vp.data[[#This Row],[Dens]]&gt;900,vp.data[[#This Row],[Sulf]]&lt;=0.5,vp.data[[#This Row],[Unknown]]=0),1,0)</f>
        <v>0</v>
      </c>
      <c r="AG702" t="str">
        <f>INDEX(vp.data[[#Headers],[Unknown]:[Heavy_SW]],MATCH(1,vp.data[[#This Row],[Unknown]:[Heavy_SW]],0))</f>
        <v>Light_LSB</v>
      </c>
      <c r="AH702">
        <f>INDEX([3]!crudeBD.lkup[Number],MATCH(vp.data[[#This Row],[Crude_Breakdown]],crudeBD.lkup[Crude Breakdown],0))</f>
        <v>1</v>
      </c>
      <c r="AI702">
        <f>MONTH(vp.data[[#This Row],[SDate]])</f>
        <v>1</v>
      </c>
      <c r="AJ702" s="5">
        <f>(vp.data[[#This Row],[VP]]-INDEX(crudeBD.lkup[Mean_VP],MATCH(vp.data[[#This Row],[Crude_Breakdown]],crudeBD.lkup[Crude Breakdown],0)))^2</f>
        <v>6.4421766393860977E-2</v>
      </c>
      <c r="AK702" s="5">
        <f>(vp.data[[#This Row],[Dens]]-INDEX(crudeBD.lkup[Mean_Dens],MATCH(vp.data[[#This Row],[Crude_Breakdown]],crudeBD.lkup[Crude Breakdown],0)))^2</f>
        <v>6.6730784756928632</v>
      </c>
      <c r="AL702" s="5">
        <f>(vp.data[[#This Row],[Sulf]]-INDEX(crudeBD.lkup[Mean_Sulf],MATCH(vp.data[[#This Row],[Crude_Breakdown]],crudeBD.lkup[Crude Breakdown],0)))^2</f>
        <v>9.7950952240196593E-2</v>
      </c>
      <c r="AM702" s="4">
        <f>IF(AND(vp.data[[#This Row],[SDate]]&gt;=DATE(YEAR(vp.data[[#This Row],[SDate]]),5,1),vp.data[[#This Row],[SDate]]&lt;=DATE(YEAR(vp.data[[#This Row],[SDate]]),9,15)),1,0)</f>
        <v>0</v>
      </c>
      <c r="AN702" s="4">
        <f>IF(vp.data[[#This Row],[SDate]]&lt;DATE(2016,12,1),0,1)</f>
        <v>1</v>
      </c>
      <c r="AO702" s="4">
        <f>IFERROR(vp.data[[#This Row],[Sulf]]*vp.data[[#This Row],[Net Dens]],"")</f>
        <v>5618215.9129319992</v>
      </c>
      <c r="AP702">
        <f>IFERROR(vp.data[[#This Row],[Dens]]*vp.data[[#This Row],[VolumeM3]],"")</f>
        <v>9210190.0211999994</v>
      </c>
      <c r="AQ702" s="15">
        <f>IFERROR(vp.data[[#This Row],[VP]]*vp.data[[#This Row],[VolumeM3]],"")</f>
        <v>1029710.6856</v>
      </c>
    </row>
    <row r="703" spans="1:43" x14ac:dyDescent="0.25">
      <c r="A703">
        <v>702</v>
      </c>
      <c r="B703" t="s">
        <v>49</v>
      </c>
      <c r="C703" t="s">
        <v>49</v>
      </c>
      <c r="D703" t="s">
        <v>80</v>
      </c>
      <c r="F703" s="1">
        <v>42766</v>
      </c>
      <c r="G703" s="2">
        <v>86.7</v>
      </c>
      <c r="H703" s="2">
        <v>0.626</v>
      </c>
      <c r="I703" s="2">
        <f t="array" ref="I703">_xlfn.IFNA(IF(vp.data[[#This Row],[Sulf Input]]="",INDEX([1]DATA!$Q$3:$Q$9826,MATCH(1,(vp.data[[#This Row],[Battery]]=[1]DATA!$L$3:$L$9826)*(EOMONTH(vp.data[[#This Row],[SDate]],-1)+1=[1]DATA!$G$3:$G$9826),0)),vp.data[[#This Row],[Sulf Input]]),"")</f>
        <v>0.626</v>
      </c>
      <c r="J703" s="2">
        <v>11.2</v>
      </c>
      <c r="K703" s="2">
        <v>-2</v>
      </c>
      <c r="L703" s="2">
        <v>823.2</v>
      </c>
      <c r="M703" s="2">
        <f t="array" ref="M703">_xlfn.IFNA(IF(vp.data[[#This Row],[Dens Input]]="",INDEX([1]DATA!$O$3:$O$9826,MATCH(1,(vp.data[[#This Row],[Battery]]=[1]DATA!$L$3:$L$9826)*(EOMONTH(vp.data[[#This Row],[SDate]],-1)+1=[1]DATA!$G$3:$G$9826),0)),vp.data[[#This Row],[Dens Input]]),"")</f>
        <v>823.2</v>
      </c>
      <c r="N703" s="2">
        <f ca="1">INDEX(INDIRECT(_xlfn.CONCAT("weather.tbl[",N$1,"]")),MATCH(vp.data[[#This Row],[SDate]],weather.tbl[Date],0))</f>
        <v>-10.783333333333333</v>
      </c>
      <c r="O703" s="2">
        <f ca="1">INDEX(INDIRECT(_xlfn.CONCAT("weather.tbl[",O$1,"]")),MATCH(vp.data[[#This Row],[SDate]],weather.tbl[Date],0))</f>
        <v>-5.9547619047619049</v>
      </c>
      <c r="P703" s="2">
        <f ca="1">INDEX(INDIRECT(_xlfn.CONCAT("weather.tbl[",P$1,"]")),MATCH(vp.data[[#This Row],[SDate]],weather.tbl[Date],0))</f>
        <v>-10.6</v>
      </c>
      <c r="Q703" s="2">
        <f ca="1">INDEX(INDIRECT(_xlfn.CONCAT("weather.tbl[",Q$1,"]")),MATCH(vp.data[[#This Row],[SDate]],weather.tbl[Date],0))</f>
        <v>-11.6</v>
      </c>
      <c r="R703" s="2">
        <f ca="1">INDEX(INDIRECT(_xlfn.CONCAT("weather.tbl[",R$1,"]")),MATCH(vp.data[[#This Row],[SDate]],weather.tbl[Date],0))</f>
        <v>-9.3000000000000007</v>
      </c>
      <c r="S703" s="2">
        <f ca="1">INDEX(INDIRECT(_xlfn.CONCAT("weather.tbl[",S$1,"]")),MATCH(vp.data[[#This Row],[SDate]],weather.tbl[Date],0))</f>
        <v>-11.2</v>
      </c>
      <c r="T703" s="2">
        <f ca="1">INDEX(INDIRECT(_xlfn.CONCAT("weather.tbl[",T$1,"]")),MATCH(vp.data[[#This Row],[SDate]],weather.tbl[Date],0))</f>
        <v>-11</v>
      </c>
      <c r="U703" s="2">
        <f ca="1">INDEX(INDIRECT(_xlfn.CONCAT("weather.tbl[",U$1,"]")),MATCH(vp.data[[#This Row],[SDate]],weather.tbl[Date],0))</f>
        <v>-11</v>
      </c>
      <c r="V703" s="2">
        <f t="array" ref="V7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21030.911</v>
      </c>
      <c r="W703" t="s">
        <v>48</v>
      </c>
      <c r="X703">
        <f>IF(OR(vp.data[[#This Row],[Sulf]]="",vp.data[[#This Row],[Dens]]=""),1,0)</f>
        <v>0</v>
      </c>
      <c r="Y703">
        <f>IF(vp.data[[#This Row],[CrudeType]]="C5+",1,0)</f>
        <v>0</v>
      </c>
      <c r="Z703">
        <f>IF(AND(vp.data[[#This Row],[CrudeType]]="Crude",vp.data[[#This Row],[Dens]]&lt;=825,vp.data[[#This Row],[Sulf]]&gt;0.5,vp.data[[#This Row],[Unknown]]=0),1,0)</f>
        <v>1</v>
      </c>
      <c r="AA703">
        <f>IF(AND(vp.data[[#This Row],[CrudeType]]="Crude",vp.data[[#This Row],[Dens]]&lt;=825,vp.data[[#This Row],[Sulf]]&lt;=0.5,vp.data[[#This Row],[Unknown]]=0),1,0)</f>
        <v>0</v>
      </c>
      <c r="AB7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3">
        <f>IF(AND(vp.data[[#This Row],[CrudeType]]="Crude",vp.data[[#This Row],[Dens]]&gt;825,vp.data[[#This Row],[Dens]]&lt;=900,vp.data[[#This Row],[Sulf]]&lt;=0.5,vp.data[[#This Row],[Unknown]]=0),1,0)</f>
        <v>0</v>
      </c>
      <c r="AD703">
        <f>IF(AND(vp.data[[#This Row],[CrudeType]]="Crude",vp.data[[#This Row],[Dens]]&gt;865,vp.data[[#This Row],[Dens]]&lt;=900,vp.data[[#This Row],[Sulf]]&gt;2,vp.data[[#This Row],[Unknown]]=0),1,0)</f>
        <v>0</v>
      </c>
      <c r="AE703">
        <f>IF(AND(vp.data[[#This Row],[CrudeType]]="Crude",vp.data[[#This Row],[Dens]]&gt;900,vp.data[[#This Row],[Sulf]]&lt;=0.5,vp.data[[#This Row],[Unknown]]=0),1,0)</f>
        <v>0</v>
      </c>
      <c r="AF703">
        <f>IF(AND(vp.data[[#This Row],[CrudeType]]="Crude",vp.data[[#This Row],[Dens]]&gt;900,vp.data[[#This Row],[Sulf]]&lt;=0.5,vp.data[[#This Row],[Unknown]]=0),1,0)</f>
        <v>0</v>
      </c>
      <c r="AG703" t="str">
        <f>INDEX(vp.data[[#Headers],[Unknown]:[Heavy_SW]],MATCH(1,vp.data[[#This Row],[Unknown]:[Heavy_SW]],0))</f>
        <v>Light_LSB</v>
      </c>
      <c r="AH703">
        <f>INDEX([3]!crudeBD.lkup[Number],MATCH(vp.data[[#This Row],[Crude_Breakdown]],crudeBD.lkup[Crude Breakdown],0))</f>
        <v>1</v>
      </c>
      <c r="AI703">
        <f>MONTH(vp.data[[#This Row],[SDate]])</f>
        <v>1</v>
      </c>
      <c r="AJ703" s="5">
        <f>(vp.data[[#This Row],[VP]]-INDEX(crudeBD.lkup[Mean_VP],MATCH(vp.data[[#This Row],[Crude_Breakdown]],crudeBD.lkup[Crude Breakdown],0)))^2</f>
        <v>23.485514549899307</v>
      </c>
      <c r="AK703" s="5">
        <f>(vp.data[[#This Row],[Dens]]-INDEX(crudeBD.lkup[Mean_Dens],MATCH(vp.data[[#This Row],[Crude_Breakdown]],crudeBD.lkup[Crude Breakdown],0)))^2</f>
        <v>21.932645486003771</v>
      </c>
      <c r="AL703" s="5">
        <f>(vp.data[[#This Row],[Sulf]]-INDEX(crudeBD.lkup[Mean_Sulf],MATCH(vp.data[[#This Row],[Crude_Breakdown]],crudeBD.lkup[Crude Breakdown],0)))^2</f>
        <v>8.8191874851880431E-2</v>
      </c>
      <c r="AM703" s="4">
        <f>IF(AND(vp.data[[#This Row],[SDate]]&gt;=DATE(YEAR(vp.data[[#This Row],[SDate]]),5,1),vp.data[[#This Row],[SDate]]&lt;=DATE(YEAR(vp.data[[#This Row],[SDate]]),9,15)),1,0)</f>
        <v>0</v>
      </c>
      <c r="AN703" s="4">
        <f>IF(vp.data[[#This Row],[SDate]]&lt;DATE(2016,12,1),0,1)</f>
        <v>1</v>
      </c>
      <c r="AO703" s="4">
        <f>IFERROR(vp.data[[#This Row],[Sulf]]*vp.data[[#This Row],[Net Dens]],"")</f>
        <v>10837716.355435202</v>
      </c>
      <c r="AP703">
        <f>IFERROR(vp.data[[#This Row],[Dens]]*vp.data[[#This Row],[VolumeM3]],"")</f>
        <v>17312645.935200002</v>
      </c>
      <c r="AQ703" s="15">
        <f>IFERROR(vp.data[[#This Row],[VP]]*vp.data[[#This Row],[VolumeM3]],"")</f>
        <v>1823379.9837</v>
      </c>
    </row>
    <row r="704" spans="1:43" x14ac:dyDescent="0.25">
      <c r="A704">
        <v>703</v>
      </c>
      <c r="B704" t="s">
        <v>49</v>
      </c>
      <c r="C704" t="s">
        <v>49</v>
      </c>
      <c r="D704" t="s">
        <v>89</v>
      </c>
      <c r="F704" s="1">
        <v>42766</v>
      </c>
      <c r="G704" s="2">
        <v>106.6</v>
      </c>
      <c r="H704" s="2">
        <v>0.67800000000000005</v>
      </c>
      <c r="I704" s="2">
        <f t="array" ref="I704">_xlfn.IFNA(IF(vp.data[[#This Row],[Sulf Input]]="",INDEX([1]DATA!$Q$3:$Q$9826,MATCH(1,(vp.data[[#This Row],[Battery]]=[1]DATA!$L$3:$L$9826)*(EOMONTH(vp.data[[#This Row],[SDate]],-1)+1=[1]DATA!$G$3:$G$9826),0)),vp.data[[#This Row],[Sulf Input]]),"")</f>
        <v>0.67800000000000005</v>
      </c>
      <c r="J704" s="2">
        <v>3.1</v>
      </c>
      <c r="K704" s="2">
        <v>-2</v>
      </c>
      <c r="L704" s="2">
        <v>818.2</v>
      </c>
      <c r="M704" s="2">
        <f t="array" ref="M704">_xlfn.IFNA(IF(vp.data[[#This Row],[Dens Input]]="",INDEX([1]DATA!$O$3:$O$9826,MATCH(1,(vp.data[[#This Row],[Battery]]=[1]DATA!$L$3:$L$9826)*(EOMONTH(vp.data[[#This Row],[SDate]],-1)+1=[1]DATA!$G$3:$G$9826),0)),vp.data[[#This Row],[Dens Input]]),"")</f>
        <v>818.2</v>
      </c>
      <c r="N704" s="2">
        <f ca="1">INDEX(INDIRECT(_xlfn.CONCAT("weather.tbl[",N$1,"]")),MATCH(vp.data[[#This Row],[SDate]],weather.tbl[Date],0))</f>
        <v>-10.783333333333333</v>
      </c>
      <c r="O704" s="2">
        <f ca="1">INDEX(INDIRECT(_xlfn.CONCAT("weather.tbl[",O$1,"]")),MATCH(vp.data[[#This Row],[SDate]],weather.tbl[Date],0))</f>
        <v>-5.9547619047619049</v>
      </c>
      <c r="P704" s="2">
        <f ca="1">INDEX(INDIRECT(_xlfn.CONCAT("weather.tbl[",P$1,"]")),MATCH(vp.data[[#This Row],[SDate]],weather.tbl[Date],0))</f>
        <v>-10.6</v>
      </c>
      <c r="Q704" s="2">
        <f ca="1">INDEX(INDIRECT(_xlfn.CONCAT("weather.tbl[",Q$1,"]")),MATCH(vp.data[[#This Row],[SDate]],weather.tbl[Date],0))</f>
        <v>-11.6</v>
      </c>
      <c r="R704" s="2">
        <f ca="1">INDEX(INDIRECT(_xlfn.CONCAT("weather.tbl[",R$1,"]")),MATCH(vp.data[[#This Row],[SDate]],weather.tbl[Date],0))</f>
        <v>-9.3000000000000007</v>
      </c>
      <c r="S704" s="2">
        <f ca="1">INDEX(INDIRECT(_xlfn.CONCAT("weather.tbl[",S$1,"]")),MATCH(vp.data[[#This Row],[SDate]],weather.tbl[Date],0))</f>
        <v>-11.2</v>
      </c>
      <c r="T704" s="2">
        <f ca="1">INDEX(INDIRECT(_xlfn.CONCAT("weather.tbl[",T$1,"]")),MATCH(vp.data[[#This Row],[SDate]],weather.tbl[Date],0))</f>
        <v>-11</v>
      </c>
      <c r="U704" s="2">
        <f ca="1">INDEX(INDIRECT(_xlfn.CONCAT("weather.tbl[",U$1,"]")),MATCH(vp.data[[#This Row],[SDate]],weather.tbl[Date],0))</f>
        <v>-11</v>
      </c>
      <c r="V704" s="2">
        <f t="array" ref="V7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6179.5609999999997</v>
      </c>
      <c r="W704" t="s">
        <v>48</v>
      </c>
      <c r="X704">
        <f>IF(OR(vp.data[[#This Row],[Sulf]]="",vp.data[[#This Row],[Dens]]=""),1,0)</f>
        <v>0</v>
      </c>
      <c r="Y704">
        <f>IF(vp.data[[#This Row],[CrudeType]]="C5+",1,0)</f>
        <v>0</v>
      </c>
      <c r="Z704">
        <f>IF(AND(vp.data[[#This Row],[CrudeType]]="Crude",vp.data[[#This Row],[Dens]]&lt;=825,vp.data[[#This Row],[Sulf]]&gt;0.5,vp.data[[#This Row],[Unknown]]=0),1,0)</f>
        <v>1</v>
      </c>
      <c r="AA704">
        <f>IF(AND(vp.data[[#This Row],[CrudeType]]="Crude",vp.data[[#This Row],[Dens]]&lt;=825,vp.data[[#This Row],[Sulf]]&lt;=0.5,vp.data[[#This Row],[Unknown]]=0),1,0)</f>
        <v>0</v>
      </c>
      <c r="AB7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4">
        <f>IF(AND(vp.data[[#This Row],[CrudeType]]="Crude",vp.data[[#This Row],[Dens]]&gt;825,vp.data[[#This Row],[Dens]]&lt;=900,vp.data[[#This Row],[Sulf]]&lt;=0.5,vp.data[[#This Row],[Unknown]]=0),1,0)</f>
        <v>0</v>
      </c>
      <c r="AD704">
        <f>IF(AND(vp.data[[#This Row],[CrudeType]]="Crude",vp.data[[#This Row],[Dens]]&gt;865,vp.data[[#This Row],[Dens]]&lt;=900,vp.data[[#This Row],[Sulf]]&gt;2,vp.data[[#This Row],[Unknown]]=0),1,0)</f>
        <v>0</v>
      </c>
      <c r="AE704">
        <f>IF(AND(vp.data[[#This Row],[CrudeType]]="Crude",vp.data[[#This Row],[Dens]]&gt;900,vp.data[[#This Row],[Sulf]]&lt;=0.5,vp.data[[#This Row],[Unknown]]=0),1,0)</f>
        <v>0</v>
      </c>
      <c r="AF704">
        <f>IF(AND(vp.data[[#This Row],[CrudeType]]="Crude",vp.data[[#This Row],[Dens]]&gt;900,vp.data[[#This Row],[Sulf]]&lt;=0.5,vp.data[[#This Row],[Unknown]]=0),1,0)</f>
        <v>0</v>
      </c>
      <c r="AG704" t="str">
        <f>INDEX(vp.data[[#Headers],[Unknown]:[Heavy_SW]],MATCH(1,vp.data[[#This Row],[Unknown]:[Heavy_SW]],0))</f>
        <v>Light_LSB</v>
      </c>
      <c r="AH704">
        <f>INDEX([3]!crudeBD.lkup[Number],MATCH(vp.data[[#This Row],[Crude_Breakdown]],crudeBD.lkup[Crude Breakdown],0))</f>
        <v>1</v>
      </c>
      <c r="AI704">
        <f>MONTH(vp.data[[#This Row],[SDate]])</f>
        <v>1</v>
      </c>
      <c r="AJ704" s="5">
        <f>(vp.data[[#This Row],[VP]]-INDEX(crudeBD.lkup[Mean_VP],MATCH(vp.data[[#This Row],[Crude_Breakdown]],crudeBD.lkup[Crude Breakdown],0)))^2</f>
        <v>226.61732898288761</v>
      </c>
      <c r="AK704" s="5">
        <f>(vp.data[[#This Row],[Dens]]-INDEX(crudeBD.lkup[Mean_Dens],MATCH(vp.data[[#This Row],[Crude_Breakdown]],crudeBD.lkup[Crude Breakdown],0)))^2</f>
        <v>0.1003430805018919</v>
      </c>
      <c r="AL704" s="5">
        <f>(vp.data[[#This Row],[Sulf]]-INDEX(crudeBD.lkup[Mean_Sulf],MATCH(vp.data[[#This Row],[Crude_Breakdown]],crudeBD.lkup[Crude Breakdown],0)))^2</f>
        <v>6.0010873339852951E-2</v>
      </c>
      <c r="AM704" s="4">
        <f>IF(AND(vp.data[[#This Row],[SDate]]&gt;=DATE(YEAR(vp.data[[#This Row],[SDate]]),5,1),vp.data[[#This Row],[SDate]]&lt;=DATE(YEAR(vp.data[[#This Row],[SDate]]),9,15)),1,0)</f>
        <v>0</v>
      </c>
      <c r="AN704" s="4">
        <f>IF(vp.data[[#This Row],[SDate]]&lt;DATE(2016,12,1),0,1)</f>
        <v>1</v>
      </c>
      <c r="AO704" s="4">
        <f>IFERROR(vp.data[[#This Row],[Sulf]]*vp.data[[#This Row],[Net Dens]],"")</f>
        <v>3428047.1973156002</v>
      </c>
      <c r="AP704">
        <f>IFERROR(vp.data[[#This Row],[Dens]]*vp.data[[#This Row],[VolumeM3]],"")</f>
        <v>5056116.8102000002</v>
      </c>
      <c r="AQ704" s="15">
        <f>IFERROR(vp.data[[#This Row],[VP]]*vp.data[[#This Row],[VolumeM3]],"")</f>
        <v>658741.20259999996</v>
      </c>
    </row>
    <row r="705" spans="1:43" x14ac:dyDescent="0.25">
      <c r="A705">
        <v>704</v>
      </c>
      <c r="B705" t="s">
        <v>49</v>
      </c>
      <c r="C705" t="s">
        <v>49</v>
      </c>
      <c r="D705" t="s">
        <v>67</v>
      </c>
      <c r="F705" s="1">
        <v>42766</v>
      </c>
      <c r="G705" s="2">
        <v>92.7</v>
      </c>
      <c r="H705" s="2">
        <v>0.75700000000000001</v>
      </c>
      <c r="I705" s="2">
        <f t="array" ref="I705">_xlfn.IFNA(IF(vp.data[[#This Row],[Sulf Input]]="",INDEX([1]DATA!$Q$3:$Q$9826,MATCH(1,(vp.data[[#This Row],[Battery]]=[1]DATA!$L$3:$L$9826)*(EOMONTH(vp.data[[#This Row],[SDate]],-1)+1=[1]DATA!$G$3:$G$9826),0)),vp.data[[#This Row],[Sulf Input]]),"")</f>
        <v>0.75700000000000001</v>
      </c>
      <c r="J705" s="2">
        <v>7.8</v>
      </c>
      <c r="K705" s="2">
        <v>-2</v>
      </c>
      <c r="L705" s="2">
        <v>825.7</v>
      </c>
      <c r="M705" s="2">
        <f t="array" ref="M705">_xlfn.IFNA(IF(vp.data[[#This Row],[Dens Input]]="",INDEX([1]DATA!$O$3:$O$9826,MATCH(1,(vp.data[[#This Row],[Battery]]=[1]DATA!$L$3:$L$9826)*(EOMONTH(vp.data[[#This Row],[SDate]],-1)+1=[1]DATA!$G$3:$G$9826),0)),vp.data[[#This Row],[Dens Input]]),"")</f>
        <v>825.7</v>
      </c>
      <c r="N705" s="2">
        <f ca="1">INDEX(INDIRECT(_xlfn.CONCAT("weather.tbl[",N$1,"]")),MATCH(vp.data[[#This Row],[SDate]],weather.tbl[Date],0))</f>
        <v>-10.783333333333333</v>
      </c>
      <c r="O705" s="2">
        <f ca="1">INDEX(INDIRECT(_xlfn.CONCAT("weather.tbl[",O$1,"]")),MATCH(vp.data[[#This Row],[SDate]],weather.tbl[Date],0))</f>
        <v>-5.9547619047619049</v>
      </c>
      <c r="P705" s="2">
        <f ca="1">INDEX(INDIRECT(_xlfn.CONCAT("weather.tbl[",P$1,"]")),MATCH(vp.data[[#This Row],[SDate]],weather.tbl[Date],0))</f>
        <v>-10.6</v>
      </c>
      <c r="Q705" s="2">
        <f ca="1">INDEX(INDIRECT(_xlfn.CONCAT("weather.tbl[",Q$1,"]")),MATCH(vp.data[[#This Row],[SDate]],weather.tbl[Date],0))</f>
        <v>-11.6</v>
      </c>
      <c r="R705" s="2">
        <f ca="1">INDEX(INDIRECT(_xlfn.CONCAT("weather.tbl[",R$1,"]")),MATCH(vp.data[[#This Row],[SDate]],weather.tbl[Date],0))</f>
        <v>-9.3000000000000007</v>
      </c>
      <c r="S705" s="2">
        <f ca="1">INDEX(INDIRECT(_xlfn.CONCAT("weather.tbl[",S$1,"]")),MATCH(vp.data[[#This Row],[SDate]],weather.tbl[Date],0))</f>
        <v>-11.2</v>
      </c>
      <c r="T705" s="2">
        <f ca="1">INDEX(INDIRECT(_xlfn.CONCAT("weather.tbl[",T$1,"]")),MATCH(vp.data[[#This Row],[SDate]],weather.tbl[Date],0))</f>
        <v>-11</v>
      </c>
      <c r="U705" s="2">
        <f ca="1">INDEX(INDIRECT(_xlfn.CONCAT("weather.tbl[",U$1,"]")),MATCH(vp.data[[#This Row],[SDate]],weather.tbl[Date],0))</f>
        <v>-11</v>
      </c>
      <c r="V705" s="2">
        <f t="array" ref="V7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122139.87</v>
      </c>
      <c r="W705" t="s">
        <v>48</v>
      </c>
      <c r="X705">
        <f>IF(OR(vp.data[[#This Row],[Sulf]]="",vp.data[[#This Row],[Dens]]=""),1,0)</f>
        <v>0</v>
      </c>
      <c r="Y705">
        <f>IF(vp.data[[#This Row],[CrudeType]]="C5+",1,0)</f>
        <v>0</v>
      </c>
      <c r="Z705">
        <f>IF(AND(vp.data[[#This Row],[CrudeType]]="Crude",vp.data[[#This Row],[Dens]]&lt;=825,vp.data[[#This Row],[Sulf]]&gt;0.5,vp.data[[#This Row],[Unknown]]=0),1,0)</f>
        <v>0</v>
      </c>
      <c r="AA705">
        <f>IF(AND(vp.data[[#This Row],[CrudeType]]="Crude",vp.data[[#This Row],[Dens]]&lt;=825,vp.data[[#This Row],[Sulf]]&lt;=0.5,vp.data[[#This Row],[Unknown]]=0),1,0)</f>
        <v>0</v>
      </c>
      <c r="AB7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05">
        <f>IF(AND(vp.data[[#This Row],[CrudeType]]="Crude",vp.data[[#This Row],[Dens]]&gt;825,vp.data[[#This Row],[Dens]]&lt;=900,vp.data[[#This Row],[Sulf]]&lt;=0.5,vp.data[[#This Row],[Unknown]]=0),1,0)</f>
        <v>0</v>
      </c>
      <c r="AD705">
        <f>IF(AND(vp.data[[#This Row],[CrudeType]]="Crude",vp.data[[#This Row],[Dens]]&gt;865,vp.data[[#This Row],[Dens]]&lt;=900,vp.data[[#This Row],[Sulf]]&gt;2,vp.data[[#This Row],[Unknown]]=0),1,0)</f>
        <v>0</v>
      </c>
      <c r="AE705">
        <f>IF(AND(vp.data[[#This Row],[CrudeType]]="Crude",vp.data[[#This Row],[Dens]]&gt;900,vp.data[[#This Row],[Sulf]]&lt;=0.5,vp.data[[#This Row],[Unknown]]=0),1,0)</f>
        <v>0</v>
      </c>
      <c r="AF705">
        <f>IF(AND(vp.data[[#This Row],[CrudeType]]="Crude",vp.data[[#This Row],[Dens]]&gt;900,vp.data[[#This Row],[Sulf]]&lt;=0.5,vp.data[[#This Row],[Unknown]]=0),1,0)</f>
        <v>0</v>
      </c>
      <c r="AG705" t="str">
        <f>INDEX(vp.data[[#Headers],[Unknown]:[Heavy_SW]],MATCH(1,vp.data[[#This Row],[Unknown]:[Heavy_SW]],0))</f>
        <v>Medium_LSB</v>
      </c>
      <c r="AH705">
        <f>INDEX([3]!crudeBD.lkup[Number],MATCH(vp.data[[#This Row],[Crude_Breakdown]],crudeBD.lkup[Crude Breakdown],0))</f>
        <v>3</v>
      </c>
      <c r="AI705">
        <f>MONTH(vp.data[[#This Row],[SDate]])</f>
        <v>1</v>
      </c>
      <c r="AJ705" s="5">
        <f>(vp.data[[#This Row],[VP]]-INDEX(crudeBD.lkup[Mean_VP],MATCH(vp.data[[#This Row],[Crude_Breakdown]],crudeBD.lkup[Crude Breakdown],0)))^2</f>
        <v>145.45140172187246</v>
      </c>
      <c r="AK705" s="5">
        <f>(vp.data[[#This Row],[Dens]]-INDEX(crudeBD.lkup[Mean_Dens],MATCH(vp.data[[#This Row],[Crude_Breakdown]],crudeBD.lkup[Crude Breakdown],0)))^2</f>
        <v>331.96839999998031</v>
      </c>
      <c r="AL705" s="5">
        <f>(vp.data[[#This Row],[Sulf]]-INDEX(crudeBD.lkup[Mean_Sulf],MATCH(vp.data[[#This Row],[Crude_Breakdown]],crudeBD.lkup[Crude Breakdown],0)))^2</f>
        <v>0.39489677368329557</v>
      </c>
      <c r="AM705" s="4">
        <f>IF(AND(vp.data[[#This Row],[SDate]]&gt;=DATE(YEAR(vp.data[[#This Row],[SDate]]),5,1),vp.data[[#This Row],[SDate]]&lt;=DATE(YEAR(vp.data[[#This Row],[SDate]]),9,15)),1,0)</f>
        <v>0</v>
      </c>
      <c r="AN705" s="4">
        <f>IF(vp.data[[#This Row],[SDate]]&lt;DATE(2016,12,1),0,1)</f>
        <v>1</v>
      </c>
      <c r="AO705" s="4">
        <f>IFERROR(vp.data[[#This Row],[Sulf]]*vp.data[[#This Row],[Net Dens]],"")</f>
        <v>76344124.228863001</v>
      </c>
      <c r="AP705">
        <f>IFERROR(vp.data[[#This Row],[Dens]]*vp.data[[#This Row],[VolumeM3]],"")</f>
        <v>100850890.65899999</v>
      </c>
      <c r="AQ705" s="15">
        <f>IFERROR(vp.data[[#This Row],[VP]]*vp.data[[#This Row],[VolumeM3]],"")</f>
        <v>11322365.948999999</v>
      </c>
    </row>
    <row r="706" spans="1:43" x14ac:dyDescent="0.25">
      <c r="A706">
        <v>705</v>
      </c>
      <c r="B706" t="s">
        <v>60</v>
      </c>
      <c r="C706" t="s">
        <v>60</v>
      </c>
      <c r="D706" t="s">
        <v>61</v>
      </c>
      <c r="E706" t="s">
        <v>73</v>
      </c>
      <c r="F706" s="1">
        <v>42766</v>
      </c>
      <c r="G706" s="2">
        <v>75.3</v>
      </c>
      <c r="H706" s="2">
        <v>1.1399999999999999</v>
      </c>
      <c r="I706" s="2">
        <f t="array" ref="I706">_xlfn.IFNA(IF(vp.data[[#This Row],[Sulf Input]]="",INDEX([1]DATA!$Q$3:$Q$9826,MATCH(1,(vp.data[[#This Row],[Battery]]=[1]DATA!$L$3:$L$9826)*(EOMONTH(vp.data[[#This Row],[SDate]],-1)+1=[1]DATA!$G$3:$G$9826),0)),vp.data[[#This Row],[Sulf Input]]),"")</f>
        <v>1.1399999999999999</v>
      </c>
      <c r="J706" s="2">
        <v>4</v>
      </c>
      <c r="K706" s="2">
        <v>-2</v>
      </c>
      <c r="L706" s="2">
        <v>843</v>
      </c>
      <c r="M706" s="2">
        <f t="array" ref="M706">_xlfn.IFNA(IF(vp.data[[#This Row],[Dens Input]]="",INDEX([1]DATA!$O$3:$O$9826,MATCH(1,(vp.data[[#This Row],[Battery]]=[1]DATA!$L$3:$L$9826)*(EOMONTH(vp.data[[#This Row],[SDate]],-1)+1=[1]DATA!$G$3:$G$9826),0)),vp.data[[#This Row],[Dens Input]]),"")</f>
        <v>843</v>
      </c>
      <c r="N706" s="2">
        <f ca="1">INDEX(INDIRECT(_xlfn.CONCAT("weather.tbl[",N$1,"]")),MATCH(vp.data[[#This Row],[SDate]],weather.tbl[Date],0))</f>
        <v>-10.783333333333333</v>
      </c>
      <c r="O706" s="2">
        <f ca="1">INDEX(INDIRECT(_xlfn.CONCAT("weather.tbl[",O$1,"]")),MATCH(vp.data[[#This Row],[SDate]],weather.tbl[Date],0))</f>
        <v>-5.9547619047619049</v>
      </c>
      <c r="P706" s="2">
        <f ca="1">INDEX(INDIRECT(_xlfn.CONCAT("weather.tbl[",P$1,"]")),MATCH(vp.data[[#This Row],[SDate]],weather.tbl[Date],0))</f>
        <v>-10.6</v>
      </c>
      <c r="Q706" s="2">
        <f ca="1">INDEX(INDIRECT(_xlfn.CONCAT("weather.tbl[",Q$1,"]")),MATCH(vp.data[[#This Row],[SDate]],weather.tbl[Date],0))</f>
        <v>-11.6</v>
      </c>
      <c r="R706" s="2">
        <f ca="1">INDEX(INDIRECT(_xlfn.CONCAT("weather.tbl[",R$1,"]")),MATCH(vp.data[[#This Row],[SDate]],weather.tbl[Date],0))</f>
        <v>-9.3000000000000007</v>
      </c>
      <c r="S706" s="2">
        <f ca="1">INDEX(INDIRECT(_xlfn.CONCAT("weather.tbl[",S$1,"]")),MATCH(vp.data[[#This Row],[SDate]],weather.tbl[Date],0))</f>
        <v>-11.2</v>
      </c>
      <c r="T706" s="2">
        <f ca="1">INDEX(INDIRECT(_xlfn.CONCAT("weather.tbl[",T$1,"]")),MATCH(vp.data[[#This Row],[SDate]],weather.tbl[Date],0))</f>
        <v>-11</v>
      </c>
      <c r="U706" s="2">
        <f ca="1">INDEX(INDIRECT(_xlfn.CONCAT("weather.tbl[",U$1,"]")),MATCH(vp.data[[#This Row],[SDate]],weather.tbl[Date],0))</f>
        <v>-11</v>
      </c>
      <c r="V706" s="2">
        <f t="array" ref="V7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706" t="s">
        <v>48</v>
      </c>
      <c r="X706">
        <f>IF(OR(vp.data[[#This Row],[Sulf]]="",vp.data[[#This Row],[Dens]]=""),1,0)</f>
        <v>0</v>
      </c>
      <c r="Y706">
        <f>IF(vp.data[[#This Row],[CrudeType]]="C5+",1,0)</f>
        <v>0</v>
      </c>
      <c r="Z706">
        <f>IF(AND(vp.data[[#This Row],[CrudeType]]="Crude",vp.data[[#This Row],[Dens]]&lt;=825,vp.data[[#This Row],[Sulf]]&gt;0.5,vp.data[[#This Row],[Unknown]]=0),1,0)</f>
        <v>0</v>
      </c>
      <c r="AA706">
        <f>IF(AND(vp.data[[#This Row],[CrudeType]]="Crude",vp.data[[#This Row],[Dens]]&lt;=825,vp.data[[#This Row],[Sulf]]&lt;=0.5,vp.data[[#This Row],[Unknown]]=0),1,0)</f>
        <v>0</v>
      </c>
      <c r="AB7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06">
        <f>IF(AND(vp.data[[#This Row],[CrudeType]]="Crude",vp.data[[#This Row],[Dens]]&gt;825,vp.data[[#This Row],[Dens]]&lt;=900,vp.data[[#This Row],[Sulf]]&lt;=0.5,vp.data[[#This Row],[Unknown]]=0),1,0)</f>
        <v>0</v>
      </c>
      <c r="AD706">
        <f>IF(AND(vp.data[[#This Row],[CrudeType]]="Crude",vp.data[[#This Row],[Dens]]&gt;865,vp.data[[#This Row],[Dens]]&lt;=900,vp.data[[#This Row],[Sulf]]&gt;2,vp.data[[#This Row],[Unknown]]=0),1,0)</f>
        <v>0</v>
      </c>
      <c r="AE706">
        <f>IF(AND(vp.data[[#This Row],[CrudeType]]="Crude",vp.data[[#This Row],[Dens]]&gt;900,vp.data[[#This Row],[Sulf]]&lt;=0.5,vp.data[[#This Row],[Unknown]]=0),1,0)</f>
        <v>0</v>
      </c>
      <c r="AF706">
        <f>IF(AND(vp.data[[#This Row],[CrudeType]]="Crude",vp.data[[#This Row],[Dens]]&gt;900,vp.data[[#This Row],[Sulf]]&lt;=0.5,vp.data[[#This Row],[Unknown]]=0),1,0)</f>
        <v>0</v>
      </c>
      <c r="AG706" t="str">
        <f>INDEX(vp.data[[#Headers],[Unknown]:[Heavy_SW]],MATCH(1,vp.data[[#This Row],[Unknown]:[Heavy_SW]],0))</f>
        <v>Medium_LSB</v>
      </c>
      <c r="AH706">
        <f>INDEX([3]!crudeBD.lkup[Number],MATCH(vp.data[[#This Row],[Crude_Breakdown]],crudeBD.lkup[Crude Breakdown],0))</f>
        <v>3</v>
      </c>
      <c r="AI706">
        <f>MONTH(vp.data[[#This Row],[SDate]])</f>
        <v>1</v>
      </c>
      <c r="AJ706" s="5">
        <f>(vp.data[[#This Row],[VP]]-INDEX(crudeBD.lkup[Mean_VP],MATCH(vp.data[[#This Row],[Crude_Breakdown]],crudeBD.lkup[Crude Breakdown],0)))^2</f>
        <v>28.512145657179904</v>
      </c>
      <c r="AK706" s="5">
        <f>(vp.data[[#This Row],[Dens]]-INDEX(crudeBD.lkup[Mean_Dens],MATCH(vp.data[[#This Row],[Crude_Breakdown]],crudeBD.lkup[Crude Breakdown],0)))^2</f>
        <v>0.84639999999908799</v>
      </c>
      <c r="AL706" s="5">
        <f>(vp.data[[#This Row],[Sulf]]-INDEX(crudeBD.lkup[Mean_Sulf],MATCH(vp.data[[#This Row],[Crude_Breakdown]],crudeBD.lkup[Crude Breakdown],0)))^2</f>
        <v>6.0225148642863206E-2</v>
      </c>
      <c r="AM706" s="4">
        <f>IF(AND(vp.data[[#This Row],[SDate]]&gt;=DATE(YEAR(vp.data[[#This Row],[SDate]]),5,1),vp.data[[#This Row],[SDate]]&lt;=DATE(YEAR(vp.data[[#This Row],[SDate]]),9,15)),1,0)</f>
        <v>0</v>
      </c>
      <c r="AN706" s="4">
        <f>IF(vp.data[[#This Row],[SDate]]&lt;DATE(2016,12,1),0,1)</f>
        <v>1</v>
      </c>
      <c r="AO706" s="4">
        <f>IFERROR(vp.data[[#This Row],[Sulf]]*vp.data[[#This Row],[Net Dens]],"")</f>
        <v>101037937.10687999</v>
      </c>
      <c r="AP706">
        <f>IFERROR(vp.data[[#This Row],[Dens]]*vp.data[[#This Row],[VolumeM3]],"")</f>
        <v>88629769.392000005</v>
      </c>
      <c r="AQ706" s="15">
        <f>IFERROR(vp.data[[#This Row],[VP]]*vp.data[[#This Row],[VolumeM3]],"")</f>
        <v>7916751.6431999998</v>
      </c>
    </row>
    <row r="707" spans="1:43" x14ac:dyDescent="0.25">
      <c r="A707">
        <v>706</v>
      </c>
      <c r="B707" t="s">
        <v>62</v>
      </c>
      <c r="C707" t="s">
        <v>62</v>
      </c>
      <c r="D707" t="s">
        <v>83</v>
      </c>
      <c r="F707" s="1">
        <v>42766</v>
      </c>
      <c r="G707" s="2">
        <v>90.8</v>
      </c>
      <c r="H707" s="2"/>
      <c r="I707" s="2">
        <f t="array" ref="I707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707" s="2">
        <v>0.9</v>
      </c>
      <c r="K707" s="2">
        <v>-2</v>
      </c>
      <c r="L707" s="2">
        <v>807.3</v>
      </c>
      <c r="M707" s="2">
        <f t="array" ref="M707">_xlfn.IFNA(IF(vp.data[[#This Row],[Dens Input]]="",INDEX([1]DATA!$O$3:$O$9826,MATCH(1,(vp.data[[#This Row],[Battery]]=[1]DATA!$L$3:$L$9826)*(EOMONTH(vp.data[[#This Row],[SDate]],-1)+1=[1]DATA!$G$3:$G$9826),0)),vp.data[[#This Row],[Dens Input]]),"")</f>
        <v>807.3</v>
      </c>
      <c r="N707" s="2">
        <f ca="1">INDEX(INDIRECT(_xlfn.CONCAT("weather.tbl[",N$1,"]")),MATCH(vp.data[[#This Row],[SDate]],weather.tbl[Date],0))</f>
        <v>-10.783333333333333</v>
      </c>
      <c r="O707" s="2">
        <f ca="1">INDEX(INDIRECT(_xlfn.CONCAT("weather.tbl[",O$1,"]")),MATCH(vp.data[[#This Row],[SDate]],weather.tbl[Date],0))</f>
        <v>-5.9547619047619049</v>
      </c>
      <c r="P707" s="2">
        <f ca="1">INDEX(INDIRECT(_xlfn.CONCAT("weather.tbl[",P$1,"]")),MATCH(vp.data[[#This Row],[SDate]],weather.tbl[Date],0))</f>
        <v>-10.6</v>
      </c>
      <c r="Q707" s="2">
        <f ca="1">INDEX(INDIRECT(_xlfn.CONCAT("weather.tbl[",Q$1,"]")),MATCH(vp.data[[#This Row],[SDate]],weather.tbl[Date],0))</f>
        <v>-11.6</v>
      </c>
      <c r="R707" s="2">
        <f ca="1">INDEX(INDIRECT(_xlfn.CONCAT("weather.tbl[",R$1,"]")),MATCH(vp.data[[#This Row],[SDate]],weather.tbl[Date],0))</f>
        <v>-9.3000000000000007</v>
      </c>
      <c r="S707" s="2">
        <f ca="1">INDEX(INDIRECT(_xlfn.CONCAT("weather.tbl[",S$1,"]")),MATCH(vp.data[[#This Row],[SDate]],weather.tbl[Date],0))</f>
        <v>-11.2</v>
      </c>
      <c r="T707" s="2">
        <f ca="1">INDEX(INDIRECT(_xlfn.CONCAT("weather.tbl[",T$1,"]")),MATCH(vp.data[[#This Row],[SDate]],weather.tbl[Date],0))</f>
        <v>-11</v>
      </c>
      <c r="U707" s="2">
        <f ca="1">INDEX(INDIRECT(_xlfn.CONCAT("weather.tbl[",U$1,"]")),MATCH(vp.data[[#This Row],[SDate]],weather.tbl[Date],0))</f>
        <v>-11</v>
      </c>
      <c r="V707" s="2">
        <f t="array" ref="V7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8873.2939999999999</v>
      </c>
      <c r="W707" t="s">
        <v>48</v>
      </c>
      <c r="X707">
        <f>IF(OR(vp.data[[#This Row],[Sulf]]="",vp.data[[#This Row],[Dens]]=""),1,0)</f>
        <v>0</v>
      </c>
      <c r="Y707">
        <f>IF(vp.data[[#This Row],[CrudeType]]="C5+",1,0)</f>
        <v>0</v>
      </c>
      <c r="Z707">
        <f>IF(AND(vp.data[[#This Row],[CrudeType]]="Crude",vp.data[[#This Row],[Dens]]&lt;=825,vp.data[[#This Row],[Sulf]]&gt;0.5,vp.data[[#This Row],[Unknown]]=0),1,0)</f>
        <v>0</v>
      </c>
      <c r="AA707">
        <f>IF(AND(vp.data[[#This Row],[CrudeType]]="Crude",vp.data[[#This Row],[Dens]]&lt;=825,vp.data[[#This Row],[Sulf]]&lt;=0.5,vp.data[[#This Row],[Unknown]]=0),1,0)</f>
        <v>1</v>
      </c>
      <c r="AB7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7">
        <f>IF(AND(vp.data[[#This Row],[CrudeType]]="Crude",vp.data[[#This Row],[Dens]]&gt;825,vp.data[[#This Row],[Dens]]&lt;=900,vp.data[[#This Row],[Sulf]]&lt;=0.5,vp.data[[#This Row],[Unknown]]=0),1,0)</f>
        <v>0</v>
      </c>
      <c r="AD707">
        <f>IF(AND(vp.data[[#This Row],[CrudeType]]="Crude",vp.data[[#This Row],[Dens]]&gt;865,vp.data[[#This Row],[Dens]]&lt;=900,vp.data[[#This Row],[Sulf]]&gt;2,vp.data[[#This Row],[Unknown]]=0),1,0)</f>
        <v>0</v>
      </c>
      <c r="AE707">
        <f>IF(AND(vp.data[[#This Row],[CrudeType]]="Crude",vp.data[[#This Row],[Dens]]&gt;900,vp.data[[#This Row],[Sulf]]&lt;=0.5,vp.data[[#This Row],[Unknown]]=0),1,0)</f>
        <v>0</v>
      </c>
      <c r="AF707">
        <f>IF(AND(vp.data[[#This Row],[CrudeType]]="Crude",vp.data[[#This Row],[Dens]]&gt;900,vp.data[[#This Row],[Sulf]]&lt;=0.5,vp.data[[#This Row],[Unknown]]=0),1,0)</f>
        <v>0</v>
      </c>
      <c r="AG707" t="str">
        <f>INDEX(vp.data[[#Headers],[Unknown]:[Heavy_SW]],MATCH(1,vp.data[[#This Row],[Unknown]:[Heavy_SW]],0))</f>
        <v>Light_SW</v>
      </c>
      <c r="AH707">
        <f>INDEX([3]!crudeBD.lkup[Number],MATCH(vp.data[[#This Row],[Crude_Breakdown]],crudeBD.lkup[Crude Breakdown],0))</f>
        <v>2</v>
      </c>
      <c r="AI707">
        <f>MONTH(vp.data[[#This Row],[SDate]])</f>
        <v>1</v>
      </c>
      <c r="AJ707" s="5">
        <f>(vp.data[[#This Row],[VP]]-INDEX(crudeBD.lkup[Mean_VP],MATCH(vp.data[[#This Row],[Crude_Breakdown]],crudeBD.lkup[Crude Breakdown],0)))^2</f>
        <v>3.0635976593134835</v>
      </c>
      <c r="AK707" s="5">
        <f>(vp.data[[#This Row],[Dens]]-INDEX(crudeBD.lkup[Mean_Dens],MATCH(vp.data[[#This Row],[Crude_Breakdown]],crudeBD.lkup[Crude Breakdown],0)))^2</f>
        <v>1.0231287256124415</v>
      </c>
      <c r="AL707" s="5">
        <f>(vp.data[[#This Row],[Sulf]]-INDEX(crudeBD.lkup[Mean_Sulf],MATCH(vp.data[[#This Row],[Crude_Breakdown]],crudeBD.lkup[Crude Breakdown],0)))^2</f>
        <v>4.3879776367322437E-3</v>
      </c>
      <c r="AM707" s="4">
        <f>IF(AND(vp.data[[#This Row],[SDate]]&gt;=DATE(YEAR(vp.data[[#This Row],[SDate]]),5,1),vp.data[[#This Row],[SDate]]&lt;=DATE(YEAR(vp.data[[#This Row],[SDate]]),9,15)),1,0)</f>
        <v>0</v>
      </c>
      <c r="AN707" s="4">
        <f>IF(vp.data[[#This Row],[SDate]]&lt;DATE(2016,12,1),0,1)</f>
        <v>1</v>
      </c>
      <c r="AO707" s="4">
        <f>IFERROR(vp.data[[#This Row],[Sulf]]*vp.data[[#This Row],[Net Dens]],"")</f>
        <v>1217779.7418540001</v>
      </c>
      <c r="AP707">
        <f>IFERROR(vp.data[[#This Row],[Dens]]*vp.data[[#This Row],[VolumeM3]],"")</f>
        <v>7163410.2461999999</v>
      </c>
      <c r="AQ707" s="15">
        <f>IFERROR(vp.data[[#This Row],[VP]]*vp.data[[#This Row],[VolumeM3]],"")</f>
        <v>805695.09519999998</v>
      </c>
    </row>
    <row r="708" spans="1:43" x14ac:dyDescent="0.25">
      <c r="A708">
        <v>707</v>
      </c>
      <c r="B708" t="s">
        <v>62</v>
      </c>
      <c r="C708" t="s">
        <v>62</v>
      </c>
      <c r="D708" t="s">
        <v>79</v>
      </c>
      <c r="F708" s="1">
        <v>42766</v>
      </c>
      <c r="G708" s="2">
        <v>92.4</v>
      </c>
      <c r="H708" s="2"/>
      <c r="I708" s="2">
        <f t="array" ref="I708">_xlfn.IFNA(IF(vp.data[[#This Row],[Sulf Input]]="",INDEX([1]DATA!$Q$3:$Q$9826,MATCH(1,(vp.data[[#This Row],[Battery]]=[1]DATA!$L$3:$L$9826)*(EOMONTH(vp.data[[#This Row],[SDate]],-1)+1=[1]DATA!$G$3:$G$9826),0)),vp.data[[#This Row],[Sulf Input]]),"")</f>
        <v>0.28000000000000003</v>
      </c>
      <c r="J708" s="2">
        <v>18.600000000000001</v>
      </c>
      <c r="K708" s="2">
        <v>-2</v>
      </c>
      <c r="L708" s="2">
        <v>808</v>
      </c>
      <c r="M708" s="2">
        <f t="array" ref="M708">_xlfn.IFNA(IF(vp.data[[#This Row],[Dens Input]]="",INDEX([1]DATA!$O$3:$O$9826,MATCH(1,(vp.data[[#This Row],[Battery]]=[1]DATA!$L$3:$L$9826)*(EOMONTH(vp.data[[#This Row],[SDate]],-1)+1=[1]DATA!$G$3:$G$9826),0)),vp.data[[#This Row],[Dens Input]]),"")</f>
        <v>808</v>
      </c>
      <c r="N708" s="2">
        <f ca="1">INDEX(INDIRECT(_xlfn.CONCAT("weather.tbl[",N$1,"]")),MATCH(vp.data[[#This Row],[SDate]],weather.tbl[Date],0))</f>
        <v>-10.783333333333333</v>
      </c>
      <c r="O708" s="2">
        <f ca="1">INDEX(INDIRECT(_xlfn.CONCAT("weather.tbl[",O$1,"]")),MATCH(vp.data[[#This Row],[SDate]],weather.tbl[Date],0))</f>
        <v>-5.9547619047619049</v>
      </c>
      <c r="P708" s="2">
        <f ca="1">INDEX(INDIRECT(_xlfn.CONCAT("weather.tbl[",P$1,"]")),MATCH(vp.data[[#This Row],[SDate]],weather.tbl[Date],0))</f>
        <v>-10.6</v>
      </c>
      <c r="Q708" s="2">
        <f ca="1">INDEX(INDIRECT(_xlfn.CONCAT("weather.tbl[",Q$1,"]")),MATCH(vp.data[[#This Row],[SDate]],weather.tbl[Date],0))</f>
        <v>-11.6</v>
      </c>
      <c r="R708" s="2">
        <f ca="1">INDEX(INDIRECT(_xlfn.CONCAT("weather.tbl[",R$1,"]")),MATCH(vp.data[[#This Row],[SDate]],weather.tbl[Date],0))</f>
        <v>-9.3000000000000007</v>
      </c>
      <c r="S708" s="2">
        <f ca="1">INDEX(INDIRECT(_xlfn.CONCAT("weather.tbl[",S$1,"]")),MATCH(vp.data[[#This Row],[SDate]],weather.tbl[Date],0))</f>
        <v>-11.2</v>
      </c>
      <c r="T708" s="2">
        <f ca="1">INDEX(INDIRECT(_xlfn.CONCAT("weather.tbl[",T$1,"]")),MATCH(vp.data[[#This Row],[SDate]],weather.tbl[Date],0))</f>
        <v>-11</v>
      </c>
      <c r="U708" s="2">
        <f ca="1">INDEX(INDIRECT(_xlfn.CONCAT("weather.tbl[",U$1,"]")),MATCH(vp.data[[#This Row],[SDate]],weather.tbl[Date],0))</f>
        <v>-11</v>
      </c>
      <c r="V708" s="2">
        <f t="array" ref="V7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14036.508</v>
      </c>
      <c r="W708" t="s">
        <v>48</v>
      </c>
      <c r="X708">
        <f>IF(OR(vp.data[[#This Row],[Sulf]]="",vp.data[[#This Row],[Dens]]=""),1,0)</f>
        <v>0</v>
      </c>
      <c r="Y708">
        <f>IF(vp.data[[#This Row],[CrudeType]]="C5+",1,0)</f>
        <v>0</v>
      </c>
      <c r="Z708">
        <f>IF(AND(vp.data[[#This Row],[CrudeType]]="Crude",vp.data[[#This Row],[Dens]]&lt;=825,vp.data[[#This Row],[Sulf]]&gt;0.5,vp.data[[#This Row],[Unknown]]=0),1,0)</f>
        <v>0</v>
      </c>
      <c r="AA708">
        <f>IF(AND(vp.data[[#This Row],[CrudeType]]="Crude",vp.data[[#This Row],[Dens]]&lt;=825,vp.data[[#This Row],[Sulf]]&lt;=0.5,vp.data[[#This Row],[Unknown]]=0),1,0)</f>
        <v>1</v>
      </c>
      <c r="AB7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8">
        <f>IF(AND(vp.data[[#This Row],[CrudeType]]="Crude",vp.data[[#This Row],[Dens]]&gt;825,vp.data[[#This Row],[Dens]]&lt;=900,vp.data[[#This Row],[Sulf]]&lt;=0.5,vp.data[[#This Row],[Unknown]]=0),1,0)</f>
        <v>0</v>
      </c>
      <c r="AD708">
        <f>IF(AND(vp.data[[#This Row],[CrudeType]]="Crude",vp.data[[#This Row],[Dens]]&gt;865,vp.data[[#This Row],[Dens]]&lt;=900,vp.data[[#This Row],[Sulf]]&gt;2,vp.data[[#This Row],[Unknown]]=0),1,0)</f>
        <v>0</v>
      </c>
      <c r="AE708">
        <f>IF(AND(vp.data[[#This Row],[CrudeType]]="Crude",vp.data[[#This Row],[Dens]]&gt;900,vp.data[[#This Row],[Sulf]]&lt;=0.5,vp.data[[#This Row],[Unknown]]=0),1,0)</f>
        <v>0</v>
      </c>
      <c r="AF708">
        <f>IF(AND(vp.data[[#This Row],[CrudeType]]="Crude",vp.data[[#This Row],[Dens]]&gt;900,vp.data[[#This Row],[Sulf]]&lt;=0.5,vp.data[[#This Row],[Unknown]]=0),1,0)</f>
        <v>0</v>
      </c>
      <c r="AG708" t="str">
        <f>INDEX(vp.data[[#Headers],[Unknown]:[Heavy_SW]],MATCH(1,vp.data[[#This Row],[Unknown]:[Heavy_SW]],0))</f>
        <v>Light_SW</v>
      </c>
      <c r="AH708">
        <f>INDEX([3]!crudeBD.lkup[Number],MATCH(vp.data[[#This Row],[Crude_Breakdown]],crudeBD.lkup[Crude Breakdown],0))</f>
        <v>2</v>
      </c>
      <c r="AI708">
        <f>MONTH(vp.data[[#This Row],[SDate]])</f>
        <v>1</v>
      </c>
      <c r="AJ708" s="5">
        <f>(vp.data[[#This Row],[VP]]-INDEX(crudeBD.lkup[Mean_VP],MATCH(vp.data[[#This Row],[Crude_Breakdown]],crudeBD.lkup[Crude Breakdown],0)))^2</f>
        <v>2.2594174993008635E-2</v>
      </c>
      <c r="AK708" s="5">
        <f>(vp.data[[#This Row],[Dens]]-INDEX(crudeBD.lkup[Mean_Dens],MATCH(vp.data[[#This Row],[Crude_Breakdown]],crudeBD.lkup[Crude Breakdown],0)))^2</f>
        <v>9.7031164637045433E-2</v>
      </c>
      <c r="AL708" s="5">
        <f>(vp.data[[#This Row],[Sulf]]-INDEX(crudeBD.lkup[Mean_Sulf],MATCH(vp.data[[#This Row],[Crude_Breakdown]],crudeBD.lkup[Crude Breakdown],0)))^2</f>
        <v>1.9147790304605045E-3</v>
      </c>
      <c r="AM708" s="4">
        <f>IF(AND(vp.data[[#This Row],[SDate]]&gt;=DATE(YEAR(vp.data[[#This Row],[SDate]]),5,1),vp.data[[#This Row],[SDate]]&lt;=DATE(YEAR(vp.data[[#This Row],[SDate]]),9,15)),1,0)</f>
        <v>0</v>
      </c>
      <c r="AN708" s="4">
        <f>IF(vp.data[[#This Row],[SDate]]&lt;DATE(2016,12,1),0,1)</f>
        <v>1</v>
      </c>
      <c r="AO708" s="4">
        <f>IFERROR(vp.data[[#This Row],[Sulf]]*vp.data[[#This Row],[Net Dens]],"")</f>
        <v>3175619.5699200002</v>
      </c>
      <c r="AP708">
        <f>IFERROR(vp.data[[#This Row],[Dens]]*vp.data[[#This Row],[VolumeM3]],"")</f>
        <v>11341498.464</v>
      </c>
      <c r="AQ708" s="15">
        <f>IFERROR(vp.data[[#This Row],[VP]]*vp.data[[#This Row],[VolumeM3]],"")</f>
        <v>1296973.3392</v>
      </c>
    </row>
    <row r="709" spans="1:43" x14ac:dyDescent="0.25">
      <c r="A709">
        <v>708</v>
      </c>
      <c r="B709" t="s">
        <v>62</v>
      </c>
      <c r="C709" t="s">
        <v>62</v>
      </c>
      <c r="D709" t="s">
        <v>87</v>
      </c>
      <c r="F709" s="1">
        <v>42766</v>
      </c>
      <c r="G709" s="2">
        <v>83.6</v>
      </c>
      <c r="H709" s="2"/>
      <c r="I709" s="2">
        <f t="array" ref="I709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709" s="2">
        <v>19.100000000000001</v>
      </c>
      <c r="K709" s="2">
        <v>-2</v>
      </c>
      <c r="L709" s="2">
        <v>810</v>
      </c>
      <c r="M709" s="2">
        <f t="array" ref="M709">_xlfn.IFNA(IF(vp.data[[#This Row],[Dens Input]]="",INDEX([1]DATA!$O$3:$O$9826,MATCH(1,(vp.data[[#This Row],[Battery]]=[1]DATA!$L$3:$L$9826)*(EOMONTH(vp.data[[#This Row],[SDate]],-1)+1=[1]DATA!$G$3:$G$9826),0)),vp.data[[#This Row],[Dens Input]]),"")</f>
        <v>810</v>
      </c>
      <c r="N709" s="2">
        <f ca="1">INDEX(INDIRECT(_xlfn.CONCAT("weather.tbl[",N$1,"]")),MATCH(vp.data[[#This Row],[SDate]],weather.tbl[Date],0))</f>
        <v>-10.783333333333333</v>
      </c>
      <c r="O709" s="2">
        <f ca="1">INDEX(INDIRECT(_xlfn.CONCAT("weather.tbl[",O$1,"]")),MATCH(vp.data[[#This Row],[SDate]],weather.tbl[Date],0))</f>
        <v>-5.9547619047619049</v>
      </c>
      <c r="P709" s="2">
        <f ca="1">INDEX(INDIRECT(_xlfn.CONCAT("weather.tbl[",P$1,"]")),MATCH(vp.data[[#This Row],[SDate]],weather.tbl[Date],0))</f>
        <v>-10.6</v>
      </c>
      <c r="Q709" s="2">
        <f ca="1">INDEX(INDIRECT(_xlfn.CONCAT("weather.tbl[",Q$1,"]")),MATCH(vp.data[[#This Row],[SDate]],weather.tbl[Date],0))</f>
        <v>-11.6</v>
      </c>
      <c r="R709" s="2">
        <f ca="1">INDEX(INDIRECT(_xlfn.CONCAT("weather.tbl[",R$1,"]")),MATCH(vp.data[[#This Row],[SDate]],weather.tbl[Date],0))</f>
        <v>-9.3000000000000007</v>
      </c>
      <c r="S709" s="2">
        <f ca="1">INDEX(INDIRECT(_xlfn.CONCAT("weather.tbl[",S$1,"]")),MATCH(vp.data[[#This Row],[SDate]],weather.tbl[Date],0))</f>
        <v>-11.2</v>
      </c>
      <c r="T709" s="2">
        <f ca="1">INDEX(INDIRECT(_xlfn.CONCAT("weather.tbl[",T$1,"]")),MATCH(vp.data[[#This Row],[SDate]],weather.tbl[Date],0))</f>
        <v>-11</v>
      </c>
      <c r="U709" s="2">
        <f ca="1">INDEX(INDIRECT(_xlfn.CONCAT("weather.tbl[",U$1,"]")),MATCH(vp.data[[#This Row],[SDate]],weather.tbl[Date],0))</f>
        <v>-11</v>
      </c>
      <c r="V709" s="2">
        <f t="array" ref="V7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7624.6970000000001</v>
      </c>
      <c r="W709" t="s">
        <v>48</v>
      </c>
      <c r="X709">
        <f>IF(OR(vp.data[[#This Row],[Sulf]]="",vp.data[[#This Row],[Dens]]=""),1,0)</f>
        <v>0</v>
      </c>
      <c r="Y709">
        <f>IF(vp.data[[#This Row],[CrudeType]]="C5+",1,0)</f>
        <v>0</v>
      </c>
      <c r="Z709">
        <f>IF(AND(vp.data[[#This Row],[CrudeType]]="Crude",vp.data[[#This Row],[Dens]]&lt;=825,vp.data[[#This Row],[Sulf]]&gt;0.5,vp.data[[#This Row],[Unknown]]=0),1,0)</f>
        <v>0</v>
      </c>
      <c r="AA709">
        <f>IF(AND(vp.data[[#This Row],[CrudeType]]="Crude",vp.data[[#This Row],[Dens]]&lt;=825,vp.data[[#This Row],[Sulf]]&lt;=0.5,vp.data[[#This Row],[Unknown]]=0),1,0)</f>
        <v>1</v>
      </c>
      <c r="AB7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09">
        <f>IF(AND(vp.data[[#This Row],[CrudeType]]="Crude",vp.data[[#This Row],[Dens]]&gt;825,vp.data[[#This Row],[Dens]]&lt;=900,vp.data[[#This Row],[Sulf]]&lt;=0.5,vp.data[[#This Row],[Unknown]]=0),1,0)</f>
        <v>0</v>
      </c>
      <c r="AD709">
        <f>IF(AND(vp.data[[#This Row],[CrudeType]]="Crude",vp.data[[#This Row],[Dens]]&gt;865,vp.data[[#This Row],[Dens]]&lt;=900,vp.data[[#This Row],[Sulf]]&gt;2,vp.data[[#This Row],[Unknown]]=0),1,0)</f>
        <v>0</v>
      </c>
      <c r="AE709">
        <f>IF(AND(vp.data[[#This Row],[CrudeType]]="Crude",vp.data[[#This Row],[Dens]]&gt;900,vp.data[[#This Row],[Sulf]]&lt;=0.5,vp.data[[#This Row],[Unknown]]=0),1,0)</f>
        <v>0</v>
      </c>
      <c r="AF709">
        <f>IF(AND(vp.data[[#This Row],[CrudeType]]="Crude",vp.data[[#This Row],[Dens]]&gt;900,vp.data[[#This Row],[Sulf]]&lt;=0.5,vp.data[[#This Row],[Unknown]]=0),1,0)</f>
        <v>0</v>
      </c>
      <c r="AG709" t="str">
        <f>INDEX(vp.data[[#Headers],[Unknown]:[Heavy_SW]],MATCH(1,vp.data[[#This Row],[Unknown]:[Heavy_SW]],0))</f>
        <v>Light_SW</v>
      </c>
      <c r="AH709">
        <f>INDEX([3]!crudeBD.lkup[Number],MATCH(vp.data[[#This Row],[Crude_Breakdown]],crudeBD.lkup[Crude Breakdown],0))</f>
        <v>2</v>
      </c>
      <c r="AI709">
        <f>MONTH(vp.data[[#This Row],[SDate]])</f>
        <v>1</v>
      </c>
      <c r="AJ709" s="5">
        <f>(vp.data[[#This Row],[VP]]-INDEX(crudeBD.lkup[Mean_VP],MATCH(vp.data[[#This Row],[Crude_Breakdown]],crudeBD.lkup[Crude Breakdown],0)))^2</f>
        <v>80.108113338755658</v>
      </c>
      <c r="AK709" s="5">
        <f>(vp.data[[#This Row],[Dens]]-INDEX(crudeBD.lkup[Mean_Dens],MATCH(vp.data[[#This Row],[Crude_Breakdown]],crudeBD.lkup[Crude Breakdown],0)))^2</f>
        <v>2.851038133279034</v>
      </c>
      <c r="AL709" s="5">
        <f>(vp.data[[#This Row],[Sulf]]-INDEX(crudeBD.lkup[Mean_Sulf],MATCH(vp.data[[#This Row],[Crude_Breakdown]],crudeBD.lkup[Crude Breakdown],0)))^2</f>
        <v>2.1383051628646554E-3</v>
      </c>
      <c r="AM709" s="4">
        <f>IF(AND(vp.data[[#This Row],[SDate]]&gt;=DATE(YEAR(vp.data[[#This Row],[SDate]]),5,1),vp.data[[#This Row],[SDate]]&lt;=DATE(YEAR(vp.data[[#This Row],[SDate]]),9,15)),1,0)</f>
        <v>0</v>
      </c>
      <c r="AN709" s="4">
        <f>IF(vp.data[[#This Row],[SDate]]&lt;DATE(2016,12,1),0,1)</f>
        <v>1</v>
      </c>
      <c r="AO709" s="4">
        <f>IFERROR(vp.data[[#This Row],[Sulf]]*vp.data[[#This Row],[Net Dens]],"")</f>
        <v>1173440.8683</v>
      </c>
      <c r="AP709">
        <f>IFERROR(vp.data[[#This Row],[Dens]]*vp.data[[#This Row],[VolumeM3]],"")</f>
        <v>6176004.5700000003</v>
      </c>
      <c r="AQ709" s="15">
        <f>IFERROR(vp.data[[#This Row],[VP]]*vp.data[[#This Row],[VolumeM3]],"")</f>
        <v>637424.6692</v>
      </c>
    </row>
    <row r="710" spans="1:43" x14ac:dyDescent="0.25">
      <c r="A710">
        <v>709</v>
      </c>
      <c r="B710" t="s">
        <v>62</v>
      </c>
      <c r="C710" t="s">
        <v>62</v>
      </c>
      <c r="D710" t="s">
        <v>63</v>
      </c>
      <c r="F710" s="1">
        <v>42766</v>
      </c>
      <c r="G710" s="2">
        <v>112.2</v>
      </c>
      <c r="H710" s="2"/>
      <c r="I710" s="2">
        <f t="array" ref="I710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710" s="2">
        <v>12.7</v>
      </c>
      <c r="K710" s="2">
        <v>-2</v>
      </c>
      <c r="L710" s="2">
        <v>827.3</v>
      </c>
      <c r="M710" s="2">
        <f t="array" ref="M710">_xlfn.IFNA(IF(vp.data[[#This Row],[Dens Input]]="",INDEX([1]DATA!$O$3:$O$9826,MATCH(1,(vp.data[[#This Row],[Battery]]=[1]DATA!$L$3:$L$9826)*(EOMONTH(vp.data[[#This Row],[SDate]],-1)+1=[1]DATA!$G$3:$G$9826),0)),vp.data[[#This Row],[Dens Input]]),"")</f>
        <v>827.3</v>
      </c>
      <c r="N710" s="2">
        <f ca="1">INDEX(INDIRECT(_xlfn.CONCAT("weather.tbl[",N$1,"]")),MATCH(vp.data[[#This Row],[SDate]],weather.tbl[Date],0))</f>
        <v>-10.783333333333333</v>
      </c>
      <c r="O710" s="2">
        <f ca="1">INDEX(INDIRECT(_xlfn.CONCAT("weather.tbl[",O$1,"]")),MATCH(vp.data[[#This Row],[SDate]],weather.tbl[Date],0))</f>
        <v>-5.9547619047619049</v>
      </c>
      <c r="P710" s="2">
        <f ca="1">INDEX(INDIRECT(_xlfn.CONCAT("weather.tbl[",P$1,"]")),MATCH(vp.data[[#This Row],[SDate]],weather.tbl[Date],0))</f>
        <v>-10.6</v>
      </c>
      <c r="Q710" s="2">
        <f ca="1">INDEX(INDIRECT(_xlfn.CONCAT("weather.tbl[",Q$1,"]")),MATCH(vp.data[[#This Row],[SDate]],weather.tbl[Date],0))</f>
        <v>-11.6</v>
      </c>
      <c r="R710" s="2">
        <f ca="1">INDEX(INDIRECT(_xlfn.CONCAT("weather.tbl[",R$1,"]")),MATCH(vp.data[[#This Row],[SDate]],weather.tbl[Date],0))</f>
        <v>-9.3000000000000007</v>
      </c>
      <c r="S710" s="2">
        <f ca="1">INDEX(INDIRECT(_xlfn.CONCAT("weather.tbl[",S$1,"]")),MATCH(vp.data[[#This Row],[SDate]],weather.tbl[Date],0))</f>
        <v>-11.2</v>
      </c>
      <c r="T710" s="2">
        <f ca="1">INDEX(INDIRECT(_xlfn.CONCAT("weather.tbl[",T$1,"]")),MATCH(vp.data[[#This Row],[SDate]],weather.tbl[Date],0))</f>
        <v>-11</v>
      </c>
      <c r="U710" s="2">
        <f ca="1">INDEX(INDIRECT(_xlfn.CONCAT("weather.tbl[",U$1,"]")),MATCH(vp.data[[#This Row],[SDate]],weather.tbl[Date],0))</f>
        <v>-11</v>
      </c>
      <c r="V710" s="2">
        <f t="array" ref="V7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4893.7520000000004</v>
      </c>
      <c r="W710" t="s">
        <v>48</v>
      </c>
      <c r="X710">
        <f>IF(OR(vp.data[[#This Row],[Sulf]]="",vp.data[[#This Row],[Dens]]=""),1,0)</f>
        <v>0</v>
      </c>
      <c r="Y710">
        <f>IF(vp.data[[#This Row],[CrudeType]]="C5+",1,0)</f>
        <v>0</v>
      </c>
      <c r="Z710">
        <f>IF(AND(vp.data[[#This Row],[CrudeType]]="Crude",vp.data[[#This Row],[Dens]]&lt;=825,vp.data[[#This Row],[Sulf]]&gt;0.5,vp.data[[#This Row],[Unknown]]=0),1,0)</f>
        <v>0</v>
      </c>
      <c r="AA710">
        <f>IF(AND(vp.data[[#This Row],[CrudeType]]="Crude",vp.data[[#This Row],[Dens]]&lt;=825,vp.data[[#This Row],[Sulf]]&lt;=0.5,vp.data[[#This Row],[Unknown]]=0),1,0)</f>
        <v>0</v>
      </c>
      <c r="AB7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0">
        <f>IF(AND(vp.data[[#This Row],[CrudeType]]="Crude",vp.data[[#This Row],[Dens]]&gt;825,vp.data[[#This Row],[Dens]]&lt;=900,vp.data[[#This Row],[Sulf]]&lt;=0.5,vp.data[[#This Row],[Unknown]]=0),1,0)</f>
        <v>0</v>
      </c>
      <c r="AD710">
        <f>IF(AND(vp.data[[#This Row],[CrudeType]]="Crude",vp.data[[#This Row],[Dens]]&gt;865,vp.data[[#This Row],[Dens]]&lt;=900,vp.data[[#This Row],[Sulf]]&gt;2,vp.data[[#This Row],[Unknown]]=0),1,0)</f>
        <v>0</v>
      </c>
      <c r="AE710">
        <f>IF(AND(vp.data[[#This Row],[CrudeType]]="Crude",vp.data[[#This Row],[Dens]]&gt;900,vp.data[[#This Row],[Sulf]]&lt;=0.5,vp.data[[#This Row],[Unknown]]=0),1,0)</f>
        <v>0</v>
      </c>
      <c r="AF710">
        <f>IF(AND(vp.data[[#This Row],[CrudeType]]="Crude",vp.data[[#This Row],[Dens]]&gt;900,vp.data[[#This Row],[Sulf]]&lt;=0.5,vp.data[[#This Row],[Unknown]]=0),1,0)</f>
        <v>0</v>
      </c>
      <c r="AG710" t="str">
        <f>INDEX(vp.data[[#Headers],[Unknown]:[Heavy_SW]],MATCH(1,vp.data[[#This Row],[Unknown]:[Heavy_SW]],0))</f>
        <v>Medium_LSB</v>
      </c>
      <c r="AH710">
        <f>INDEX([3]!crudeBD.lkup[Number],MATCH(vp.data[[#This Row],[Crude_Breakdown]],crudeBD.lkup[Crude Breakdown],0))</f>
        <v>3</v>
      </c>
      <c r="AI710">
        <f>MONTH(vp.data[[#This Row],[SDate]])</f>
        <v>1</v>
      </c>
      <c r="AJ710" s="5">
        <f>(vp.data[[#This Row],[VP]]-INDEX(crudeBD.lkup[Mean_VP],MATCH(vp.data[[#This Row],[Crude_Breakdown]],crudeBD.lkup[Crude Breakdown],0)))^2</f>
        <v>996.05401627713138</v>
      </c>
      <c r="AK710" s="5">
        <f>(vp.data[[#This Row],[Dens]]-INDEX(crudeBD.lkup[Mean_Dens],MATCH(vp.data[[#This Row],[Crude_Breakdown]],crudeBD.lkup[Crude Breakdown],0)))^2</f>
        <v>276.22439999998505</v>
      </c>
      <c r="AL710" s="5">
        <f>(vp.data[[#This Row],[Sulf]]-INDEX(crudeBD.lkup[Mean_Sulf],MATCH(vp.data[[#This Row],[Crude_Breakdown]],crudeBD.lkup[Crude Breakdown],0)))^2</f>
        <v>8.9476224973095587E-3</v>
      </c>
      <c r="AM710" s="4">
        <f>IF(AND(vp.data[[#This Row],[SDate]]&gt;=DATE(YEAR(vp.data[[#This Row],[SDate]]),5,1),vp.data[[#This Row],[SDate]]&lt;=DATE(YEAR(vp.data[[#This Row],[SDate]]),9,15)),1,0)</f>
        <v>0</v>
      </c>
      <c r="AN710" s="4">
        <f>IF(vp.data[[#This Row],[SDate]]&lt;DATE(2016,12,1),0,1)</f>
        <v>1</v>
      </c>
      <c r="AO710" s="4">
        <f>IFERROR(vp.data[[#This Row],[Sulf]]*vp.data[[#This Row],[Net Dens]],"")</f>
        <v>5991929.5238079997</v>
      </c>
      <c r="AP710">
        <f>IFERROR(vp.data[[#This Row],[Dens]]*vp.data[[#This Row],[VolumeM3]],"")</f>
        <v>4048601.0296</v>
      </c>
      <c r="AQ710" s="15">
        <f>IFERROR(vp.data[[#This Row],[VP]]*vp.data[[#This Row],[VolumeM3]],"")</f>
        <v>549078.97440000006</v>
      </c>
    </row>
    <row r="711" spans="1:43" x14ac:dyDescent="0.25">
      <c r="A711">
        <v>710</v>
      </c>
      <c r="B711" t="s">
        <v>51</v>
      </c>
      <c r="C711" t="s">
        <v>51</v>
      </c>
      <c r="D711" t="s">
        <v>95</v>
      </c>
      <c r="F711" s="1">
        <v>42766</v>
      </c>
      <c r="G711" s="2">
        <v>67</v>
      </c>
      <c r="H711" s="2"/>
      <c r="I711" s="2">
        <f t="array" ref="I711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711" s="2">
        <v>30.8</v>
      </c>
      <c r="K711" s="2">
        <v>-2</v>
      </c>
      <c r="L711" s="2">
        <v>843.8</v>
      </c>
      <c r="M711" s="2">
        <f t="array" ref="M711">_xlfn.IFNA(IF(vp.data[[#This Row],[Dens Input]]="",INDEX([1]DATA!$O$3:$O$9826,MATCH(1,(vp.data[[#This Row],[Battery]]=[1]DATA!$L$3:$L$9826)*(EOMONTH(vp.data[[#This Row],[SDate]],-1)+1=[1]DATA!$G$3:$G$9826),0)),vp.data[[#This Row],[Dens Input]]),"")</f>
        <v>843.8</v>
      </c>
      <c r="N711" s="2">
        <f ca="1">INDEX(INDIRECT(_xlfn.CONCAT("weather.tbl[",N$1,"]")),MATCH(vp.data[[#This Row],[SDate]],weather.tbl[Date],0))</f>
        <v>-10.783333333333333</v>
      </c>
      <c r="O711" s="2">
        <f ca="1">INDEX(INDIRECT(_xlfn.CONCAT("weather.tbl[",O$1,"]")),MATCH(vp.data[[#This Row],[SDate]],weather.tbl[Date],0))</f>
        <v>-5.9547619047619049</v>
      </c>
      <c r="P711" s="2">
        <f ca="1">INDEX(INDIRECT(_xlfn.CONCAT("weather.tbl[",P$1,"]")),MATCH(vp.data[[#This Row],[SDate]],weather.tbl[Date],0))</f>
        <v>-10.6</v>
      </c>
      <c r="Q711" s="2">
        <f ca="1">INDEX(INDIRECT(_xlfn.CONCAT("weather.tbl[",Q$1,"]")),MATCH(vp.data[[#This Row],[SDate]],weather.tbl[Date],0))</f>
        <v>-11.6</v>
      </c>
      <c r="R711" s="2">
        <f ca="1">INDEX(INDIRECT(_xlfn.CONCAT("weather.tbl[",R$1,"]")),MATCH(vp.data[[#This Row],[SDate]],weather.tbl[Date],0))</f>
        <v>-9.3000000000000007</v>
      </c>
      <c r="S711" s="2">
        <f ca="1">INDEX(INDIRECT(_xlfn.CONCAT("weather.tbl[",S$1,"]")),MATCH(vp.data[[#This Row],[SDate]],weather.tbl[Date],0))</f>
        <v>-11.2</v>
      </c>
      <c r="T711" s="2">
        <f ca="1">INDEX(INDIRECT(_xlfn.CONCAT("weather.tbl[",T$1,"]")),MATCH(vp.data[[#This Row],[SDate]],weather.tbl[Date],0))</f>
        <v>-11</v>
      </c>
      <c r="U711" s="2">
        <f ca="1">INDEX(INDIRECT(_xlfn.CONCAT("weather.tbl[",U$1,"]")),MATCH(vp.data[[#This Row],[SDate]],weather.tbl[Date],0))</f>
        <v>-11</v>
      </c>
      <c r="V711" s="2">
        <f t="array" ref="V7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6182.9449999999997</v>
      </c>
      <c r="W711" t="s">
        <v>48</v>
      </c>
      <c r="X711">
        <f>IF(OR(vp.data[[#This Row],[Sulf]]="",vp.data[[#This Row],[Dens]]=""),1,0)</f>
        <v>0</v>
      </c>
      <c r="Y711">
        <f>IF(vp.data[[#This Row],[CrudeType]]="C5+",1,0)</f>
        <v>0</v>
      </c>
      <c r="Z711">
        <f>IF(AND(vp.data[[#This Row],[CrudeType]]="Crude",vp.data[[#This Row],[Dens]]&lt;=825,vp.data[[#This Row],[Sulf]]&gt;0.5,vp.data[[#This Row],[Unknown]]=0),1,0)</f>
        <v>0</v>
      </c>
      <c r="AA711">
        <f>IF(AND(vp.data[[#This Row],[CrudeType]]="Crude",vp.data[[#This Row],[Dens]]&lt;=825,vp.data[[#This Row],[Sulf]]&lt;=0.5,vp.data[[#This Row],[Unknown]]=0),1,0)</f>
        <v>0</v>
      </c>
      <c r="AB7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1">
        <f>IF(AND(vp.data[[#This Row],[CrudeType]]="Crude",vp.data[[#This Row],[Dens]]&gt;825,vp.data[[#This Row],[Dens]]&lt;=900,vp.data[[#This Row],[Sulf]]&lt;=0.5,vp.data[[#This Row],[Unknown]]=0),1,0)</f>
        <v>0</v>
      </c>
      <c r="AD711">
        <f>IF(AND(vp.data[[#This Row],[CrudeType]]="Crude",vp.data[[#This Row],[Dens]]&gt;865,vp.data[[#This Row],[Dens]]&lt;=900,vp.data[[#This Row],[Sulf]]&gt;2,vp.data[[#This Row],[Unknown]]=0),1,0)</f>
        <v>0</v>
      </c>
      <c r="AE711">
        <f>IF(AND(vp.data[[#This Row],[CrudeType]]="Crude",vp.data[[#This Row],[Dens]]&gt;900,vp.data[[#This Row],[Sulf]]&lt;=0.5,vp.data[[#This Row],[Unknown]]=0),1,0)</f>
        <v>0</v>
      </c>
      <c r="AF711">
        <f>IF(AND(vp.data[[#This Row],[CrudeType]]="Crude",vp.data[[#This Row],[Dens]]&gt;900,vp.data[[#This Row],[Sulf]]&lt;=0.5,vp.data[[#This Row],[Unknown]]=0),1,0)</f>
        <v>0</v>
      </c>
      <c r="AG711" t="str">
        <f>INDEX(vp.data[[#Headers],[Unknown]:[Heavy_SW]],MATCH(1,vp.data[[#This Row],[Unknown]:[Heavy_SW]],0))</f>
        <v>Medium_LSB</v>
      </c>
      <c r="AH711">
        <f>INDEX([3]!crudeBD.lkup[Number],MATCH(vp.data[[#This Row],[Crude_Breakdown]],crudeBD.lkup[Crude Breakdown],0))</f>
        <v>3</v>
      </c>
      <c r="AI711">
        <f>MONTH(vp.data[[#This Row],[SDate]])</f>
        <v>1</v>
      </c>
      <c r="AJ711" s="5">
        <f>(vp.data[[#This Row],[VP]]-INDEX(crudeBD.lkup[Mean_VP],MATCH(vp.data[[#This Row],[Crude_Breakdown]],crudeBD.lkup[Crude Breakdown],0)))^2</f>
        <v>186.04077638494149</v>
      </c>
      <c r="AK711" s="5">
        <f>(vp.data[[#This Row],[Dens]]-INDEX(crudeBD.lkup[Mean_Dens],MATCH(vp.data[[#This Row],[Crude_Breakdown]],crudeBD.lkup[Crude Breakdown],0)))^2</f>
        <v>1.4399999999891952E-2</v>
      </c>
      <c r="AL711" s="5">
        <f>(vp.data[[#This Row],[Sulf]]-INDEX(crudeBD.lkup[Mean_Sulf],MATCH(vp.data[[#This Row],[Crude_Breakdown]],crudeBD.lkup[Crude Breakdown],0)))^2</f>
        <v>2.7359848373321144E-2</v>
      </c>
      <c r="AM711" s="4">
        <f>IF(AND(vp.data[[#This Row],[SDate]]&gt;=DATE(YEAR(vp.data[[#This Row],[SDate]]),5,1),vp.data[[#This Row],[SDate]]&lt;=DATE(YEAR(vp.data[[#This Row],[SDate]]),9,15)),1,0)</f>
        <v>0</v>
      </c>
      <c r="AN711" s="4">
        <f>IF(vp.data[[#This Row],[SDate]]&lt;DATE(2016,12,1),0,1)</f>
        <v>1</v>
      </c>
      <c r="AO711" s="4">
        <f>IFERROR(vp.data[[#This Row],[Sulf]]*vp.data[[#This Row],[Net Dens]],"")</f>
        <v>6364946.169019999</v>
      </c>
      <c r="AP711">
        <f>IFERROR(vp.data[[#This Row],[Dens]]*vp.data[[#This Row],[VolumeM3]],"")</f>
        <v>5217168.9909999995</v>
      </c>
      <c r="AQ711" s="15">
        <f>IFERROR(vp.data[[#This Row],[VP]]*vp.data[[#This Row],[VolumeM3]],"")</f>
        <v>414257.315</v>
      </c>
    </row>
    <row r="712" spans="1:43" x14ac:dyDescent="0.25">
      <c r="A712">
        <v>711</v>
      </c>
      <c r="B712" t="s">
        <v>60</v>
      </c>
      <c r="C712" t="s">
        <v>60</v>
      </c>
      <c r="D712" t="s">
        <v>61</v>
      </c>
      <c r="E712" t="s">
        <v>55</v>
      </c>
      <c r="F712" s="1">
        <v>42766</v>
      </c>
      <c r="G712" s="2">
        <v>95.2</v>
      </c>
      <c r="H712" s="2">
        <v>1.196</v>
      </c>
      <c r="I712" s="2">
        <f t="array" ref="I712">_xlfn.IFNA(IF(vp.data[[#This Row],[Sulf Input]]="",INDEX([1]DATA!$Q$3:$Q$9826,MATCH(1,(vp.data[[#This Row],[Battery]]=[1]DATA!$L$3:$L$9826)*(EOMONTH(vp.data[[#This Row],[SDate]],-1)+1=[1]DATA!$G$3:$G$9826),0)),vp.data[[#This Row],[Sulf Input]]),"")</f>
        <v>1.196</v>
      </c>
      <c r="J712" s="2">
        <v>5.5</v>
      </c>
      <c r="K712" s="2">
        <v>-2</v>
      </c>
      <c r="L712" s="2">
        <v>836.9</v>
      </c>
      <c r="M712" s="2">
        <f t="array" ref="M712">_xlfn.IFNA(IF(vp.data[[#This Row],[Dens Input]]="",INDEX([1]DATA!$O$3:$O$9826,MATCH(1,(vp.data[[#This Row],[Battery]]=[1]DATA!$L$3:$L$9826)*(EOMONTH(vp.data[[#This Row],[SDate]],-1)+1=[1]DATA!$G$3:$G$9826),0)),vp.data[[#This Row],[Dens Input]]),"")</f>
        <v>836.9</v>
      </c>
      <c r="N712" s="2">
        <f ca="1">INDEX(INDIRECT(_xlfn.CONCAT("weather.tbl[",N$1,"]")),MATCH(vp.data[[#This Row],[SDate]],weather.tbl[Date],0))</f>
        <v>-10.783333333333333</v>
      </c>
      <c r="O712" s="2">
        <f ca="1">INDEX(INDIRECT(_xlfn.CONCAT("weather.tbl[",O$1,"]")),MATCH(vp.data[[#This Row],[SDate]],weather.tbl[Date],0))</f>
        <v>-5.9547619047619049</v>
      </c>
      <c r="P712" s="2">
        <f ca="1">INDEX(INDIRECT(_xlfn.CONCAT("weather.tbl[",P$1,"]")),MATCH(vp.data[[#This Row],[SDate]],weather.tbl[Date],0))</f>
        <v>-10.6</v>
      </c>
      <c r="Q712" s="2">
        <f ca="1">INDEX(INDIRECT(_xlfn.CONCAT("weather.tbl[",Q$1,"]")),MATCH(vp.data[[#This Row],[SDate]],weather.tbl[Date],0))</f>
        <v>-11.6</v>
      </c>
      <c r="R712" s="2">
        <f ca="1">INDEX(INDIRECT(_xlfn.CONCAT("weather.tbl[",R$1,"]")),MATCH(vp.data[[#This Row],[SDate]],weather.tbl[Date],0))</f>
        <v>-9.3000000000000007</v>
      </c>
      <c r="S712" s="2">
        <f ca="1">INDEX(INDIRECT(_xlfn.CONCAT("weather.tbl[",S$1,"]")),MATCH(vp.data[[#This Row],[SDate]],weather.tbl[Date],0))</f>
        <v>-11.2</v>
      </c>
      <c r="T712" s="2">
        <f ca="1">INDEX(INDIRECT(_xlfn.CONCAT("weather.tbl[",T$1,"]")),MATCH(vp.data[[#This Row],[SDate]],weather.tbl[Date],0))</f>
        <v>-11</v>
      </c>
      <c r="U712" s="2">
        <f ca="1">INDEX(INDIRECT(_xlfn.CONCAT("weather.tbl[",U$1,"]")),MATCH(vp.data[[#This Row],[SDate]],weather.tbl[Date],0))</f>
        <v>-11</v>
      </c>
      <c r="V712" s="2">
        <f t="array" ref="V7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105136.144</v>
      </c>
      <c r="W712" t="s">
        <v>48</v>
      </c>
      <c r="X712">
        <f>IF(OR(vp.data[[#This Row],[Sulf]]="",vp.data[[#This Row],[Dens]]=""),1,0)</f>
        <v>0</v>
      </c>
      <c r="Y712">
        <f>IF(vp.data[[#This Row],[CrudeType]]="C5+",1,0)</f>
        <v>0</v>
      </c>
      <c r="Z712">
        <f>IF(AND(vp.data[[#This Row],[CrudeType]]="Crude",vp.data[[#This Row],[Dens]]&lt;=825,vp.data[[#This Row],[Sulf]]&gt;0.5,vp.data[[#This Row],[Unknown]]=0),1,0)</f>
        <v>0</v>
      </c>
      <c r="AA712">
        <f>IF(AND(vp.data[[#This Row],[CrudeType]]="Crude",vp.data[[#This Row],[Dens]]&lt;=825,vp.data[[#This Row],[Sulf]]&lt;=0.5,vp.data[[#This Row],[Unknown]]=0),1,0)</f>
        <v>0</v>
      </c>
      <c r="AB7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2">
        <f>IF(AND(vp.data[[#This Row],[CrudeType]]="Crude",vp.data[[#This Row],[Dens]]&gt;825,vp.data[[#This Row],[Dens]]&lt;=900,vp.data[[#This Row],[Sulf]]&lt;=0.5,vp.data[[#This Row],[Unknown]]=0),1,0)</f>
        <v>0</v>
      </c>
      <c r="AD712">
        <f>IF(AND(vp.data[[#This Row],[CrudeType]]="Crude",vp.data[[#This Row],[Dens]]&gt;865,vp.data[[#This Row],[Dens]]&lt;=900,vp.data[[#This Row],[Sulf]]&gt;2,vp.data[[#This Row],[Unknown]]=0),1,0)</f>
        <v>0</v>
      </c>
      <c r="AE712">
        <f>IF(AND(vp.data[[#This Row],[CrudeType]]="Crude",vp.data[[#This Row],[Dens]]&gt;900,vp.data[[#This Row],[Sulf]]&lt;=0.5,vp.data[[#This Row],[Unknown]]=0),1,0)</f>
        <v>0</v>
      </c>
      <c r="AF712">
        <f>IF(AND(vp.data[[#This Row],[CrudeType]]="Crude",vp.data[[#This Row],[Dens]]&gt;900,vp.data[[#This Row],[Sulf]]&lt;=0.5,vp.data[[#This Row],[Unknown]]=0),1,0)</f>
        <v>0</v>
      </c>
      <c r="AG712" t="str">
        <f>INDEX(vp.data[[#Headers],[Unknown]:[Heavy_SW]],MATCH(1,vp.data[[#This Row],[Unknown]:[Heavy_SW]],0))</f>
        <v>Medium_LSB</v>
      </c>
      <c r="AH712">
        <f>INDEX([3]!crudeBD.lkup[Number],MATCH(vp.data[[#This Row],[Crude_Breakdown]],crudeBD.lkup[Crude Breakdown],0))</f>
        <v>3</v>
      </c>
      <c r="AI712">
        <f>MONTH(vp.data[[#This Row],[SDate]])</f>
        <v>1</v>
      </c>
      <c r="AJ712" s="5">
        <f>(vp.data[[#This Row],[VP]]-INDEX(crudeBD.lkup[Mean_VP],MATCH(vp.data[[#This Row],[Crude_Breakdown]],crudeBD.lkup[Crude Breakdown],0)))^2</f>
        <v>212.0030189725467</v>
      </c>
      <c r="AK712" s="5">
        <f>(vp.data[[#This Row],[Dens]]-INDEX(crudeBD.lkup[Mean_Dens],MATCH(vp.data[[#This Row],[Crude_Breakdown]],crudeBD.lkup[Crude Breakdown],0)))^2</f>
        <v>49.280399999993357</v>
      </c>
      <c r="AL712" s="5">
        <f>(vp.data[[#This Row],[Sulf]]-INDEX(crudeBD.lkup[Mean_Sulf],MATCH(vp.data[[#This Row],[Crude_Breakdown]],crudeBD.lkup[Crude Breakdown],0)))^2</f>
        <v>3.5875438454183763E-2</v>
      </c>
      <c r="AM712" s="4">
        <f>IF(AND(vp.data[[#This Row],[SDate]]&gt;=DATE(YEAR(vp.data[[#This Row],[SDate]]),5,1),vp.data[[#This Row],[SDate]]&lt;=DATE(YEAR(vp.data[[#This Row],[SDate]]),9,15)),1,0)</f>
        <v>0</v>
      </c>
      <c r="AN712" s="4">
        <f>IF(vp.data[[#This Row],[SDate]]&lt;DATE(2016,12,1),0,1)</f>
        <v>1</v>
      </c>
      <c r="AO712" s="4">
        <f>IFERROR(vp.data[[#This Row],[Sulf]]*vp.data[[#This Row],[Net Dens]],"")</f>
        <v>105234172.94066559</v>
      </c>
      <c r="AP712">
        <f>IFERROR(vp.data[[#This Row],[Dens]]*vp.data[[#This Row],[VolumeM3]],"")</f>
        <v>87988438.913599998</v>
      </c>
      <c r="AQ712" s="15">
        <f>IFERROR(vp.data[[#This Row],[VP]]*vp.data[[#This Row],[VolumeM3]],"")</f>
        <v>10008960.9088</v>
      </c>
    </row>
    <row r="713" spans="1:43" x14ac:dyDescent="0.25">
      <c r="A713">
        <v>712</v>
      </c>
      <c r="B713" t="s">
        <v>49</v>
      </c>
      <c r="C713" t="s">
        <v>49</v>
      </c>
      <c r="D713" t="s">
        <v>151</v>
      </c>
      <c r="F713" s="1">
        <v>42767</v>
      </c>
      <c r="G713" s="2">
        <v>108.5</v>
      </c>
      <c r="H713" s="2">
        <v>0.39900000000000002</v>
      </c>
      <c r="I713" s="2">
        <f t="array" ref="I713">_xlfn.IFNA(IF(vp.data[[#This Row],[Sulf Input]]="",INDEX([1]DATA!$Q$3:$Q$9826,MATCH(1,(vp.data[[#This Row],[Battery]]=[1]DATA!$L$3:$L$9826)*(EOMONTH(vp.data[[#This Row],[SDate]],-1)+1=[1]DATA!$G$3:$G$9826),0)),vp.data[[#This Row],[Sulf Input]]),"")</f>
        <v>0.39900000000000002</v>
      </c>
      <c r="J713" s="2">
        <v>-8.4</v>
      </c>
      <c r="K713" s="2">
        <v>-14</v>
      </c>
      <c r="L713" s="2">
        <v>821.8</v>
      </c>
      <c r="M713" s="2">
        <f t="array" ref="M713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713" s="2">
        <f ca="1">INDEX(INDIRECT(_xlfn.CONCAT("weather.tbl[",N$1,"]")),MATCH(vp.data[[#This Row],[SDate]],weather.tbl[Date],0))</f>
        <v>-17.433333333333334</v>
      </c>
      <c r="O713" s="2">
        <f ca="1">INDEX(INDIRECT(_xlfn.CONCAT("weather.tbl[",O$1,"]")),MATCH(vp.data[[#This Row],[SDate]],weather.tbl[Date],0))</f>
        <v>-6.8666666666666663</v>
      </c>
      <c r="P713" s="2">
        <f ca="1">INDEX(INDIRECT(_xlfn.CONCAT("weather.tbl[",P$1,"]")),MATCH(vp.data[[#This Row],[SDate]],weather.tbl[Date],0))</f>
        <v>-18</v>
      </c>
      <c r="Q713" s="2">
        <f ca="1">INDEX(INDIRECT(_xlfn.CONCAT("weather.tbl[",Q$1,"]")),MATCH(vp.data[[#This Row],[SDate]],weather.tbl[Date],0))</f>
        <v>-17.2</v>
      </c>
      <c r="R713" s="2">
        <f ca="1">INDEX(INDIRECT(_xlfn.CONCAT("weather.tbl[",R$1,"]")),MATCH(vp.data[[#This Row],[SDate]],weather.tbl[Date],0))</f>
        <v>-19.3</v>
      </c>
      <c r="S713" s="2">
        <f ca="1">INDEX(INDIRECT(_xlfn.CONCAT("weather.tbl[",S$1,"]")),MATCH(vp.data[[#This Row],[SDate]],weather.tbl[Date],0))</f>
        <v>-11.2</v>
      </c>
      <c r="T713" s="2">
        <f ca="1">INDEX(INDIRECT(_xlfn.CONCAT("weather.tbl[",T$1,"]")),MATCH(vp.data[[#This Row],[SDate]],weather.tbl[Date],0))</f>
        <v>-19.399999999999999</v>
      </c>
      <c r="U713" s="2">
        <f ca="1">INDEX(INDIRECT(_xlfn.CONCAT("weather.tbl[",U$1,"]")),MATCH(vp.data[[#This Row],[SDate]],weather.tbl[Date],0))</f>
        <v>-19.5</v>
      </c>
      <c r="V713" s="2">
        <f t="array" ref="V7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153.81800000000001</v>
      </c>
      <c r="W713" t="s">
        <v>48</v>
      </c>
      <c r="X713">
        <f>IF(OR(vp.data[[#This Row],[Sulf]]="",vp.data[[#This Row],[Dens]]=""),1,0)</f>
        <v>0</v>
      </c>
      <c r="Y713">
        <f>IF(vp.data[[#This Row],[CrudeType]]="C5+",1,0)</f>
        <v>0</v>
      </c>
      <c r="Z713">
        <f>IF(AND(vp.data[[#This Row],[CrudeType]]="Crude",vp.data[[#This Row],[Dens]]&lt;=825,vp.data[[#This Row],[Sulf]]&gt;0.5,vp.data[[#This Row],[Unknown]]=0),1,0)</f>
        <v>0</v>
      </c>
      <c r="AA713">
        <f>IF(AND(vp.data[[#This Row],[CrudeType]]="Crude",vp.data[[#This Row],[Dens]]&lt;=825,vp.data[[#This Row],[Sulf]]&lt;=0.5,vp.data[[#This Row],[Unknown]]=0),1,0)</f>
        <v>1</v>
      </c>
      <c r="AB7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13">
        <f>IF(AND(vp.data[[#This Row],[CrudeType]]="Crude",vp.data[[#This Row],[Dens]]&gt;825,vp.data[[#This Row],[Dens]]&lt;=900,vp.data[[#This Row],[Sulf]]&lt;=0.5,vp.data[[#This Row],[Unknown]]=0),1,0)</f>
        <v>0</v>
      </c>
      <c r="AD713">
        <f>IF(AND(vp.data[[#This Row],[CrudeType]]="Crude",vp.data[[#This Row],[Dens]]&gt;865,vp.data[[#This Row],[Dens]]&lt;=900,vp.data[[#This Row],[Sulf]]&gt;2,vp.data[[#This Row],[Unknown]]=0),1,0)</f>
        <v>0</v>
      </c>
      <c r="AE713">
        <f>IF(AND(vp.data[[#This Row],[CrudeType]]="Crude",vp.data[[#This Row],[Dens]]&gt;900,vp.data[[#This Row],[Sulf]]&lt;=0.5,vp.data[[#This Row],[Unknown]]=0),1,0)</f>
        <v>0</v>
      </c>
      <c r="AF713">
        <f>IF(AND(vp.data[[#This Row],[CrudeType]]="Crude",vp.data[[#This Row],[Dens]]&gt;900,vp.data[[#This Row],[Sulf]]&lt;=0.5,vp.data[[#This Row],[Unknown]]=0),1,0)</f>
        <v>0</v>
      </c>
      <c r="AG713" t="str">
        <f>INDEX(vp.data[[#Headers],[Unknown]:[Heavy_SW]],MATCH(1,vp.data[[#This Row],[Unknown]:[Heavy_SW]],0))</f>
        <v>Light_SW</v>
      </c>
      <c r="AH713">
        <f>INDEX([3]!crudeBD.lkup[Number],MATCH(vp.data[[#This Row],[Crude_Breakdown]],crudeBD.lkup[Crude Breakdown],0))</f>
        <v>2</v>
      </c>
      <c r="AI713">
        <f>MONTH(vp.data[[#This Row],[SDate]])</f>
        <v>2</v>
      </c>
      <c r="AJ713" s="5">
        <f>(vp.data[[#This Row],[VP]]-INDEX(crudeBD.lkup[Mean_VP],MATCH(vp.data[[#This Row],[Crude_Breakdown]],crudeBD.lkup[Crude Breakdown],0)))^2</f>
        <v>254.39249661401834</v>
      </c>
      <c r="AK713" s="5">
        <f>(vp.data[[#This Row],[Dens]]-INDEX(crudeBD.lkup[Mean_Dens],MATCH(vp.data[[#This Row],[Crude_Breakdown]],crudeBD.lkup[Crude Breakdown],0)))^2</f>
        <v>181.93967924826555</v>
      </c>
      <c r="AL713" s="5">
        <f>(vp.data[[#This Row],[Sulf]]-INDEX(crudeBD.lkup[Mean_Sulf],MATCH(vp.data[[#This Row],[Crude_Breakdown]],crudeBD.lkup[Crude Breakdown],0)))^2</f>
        <v>2.6490227810948352E-2</v>
      </c>
      <c r="AM713" s="4">
        <f>IF(AND(vp.data[[#This Row],[SDate]]&gt;=DATE(YEAR(vp.data[[#This Row],[SDate]]),5,1),vp.data[[#This Row],[SDate]]&lt;=DATE(YEAR(vp.data[[#This Row],[SDate]]),9,15)),1,0)</f>
        <v>0</v>
      </c>
      <c r="AN713" s="4">
        <f>IF(vp.data[[#This Row],[SDate]]&lt;DATE(2016,12,1),0,1)</f>
        <v>1</v>
      </c>
      <c r="AO713" s="4">
        <f>IFERROR(vp.data[[#This Row],[Sulf]]*vp.data[[#This Row],[Net Dens]],"")</f>
        <v>50436.645327600003</v>
      </c>
      <c r="AP713">
        <f>IFERROR(vp.data[[#This Row],[Dens]]*vp.data[[#This Row],[VolumeM3]],"")</f>
        <v>126407.6324</v>
      </c>
      <c r="AQ713" s="15">
        <f>IFERROR(vp.data[[#This Row],[VP]]*vp.data[[#This Row],[VolumeM3]],"")</f>
        <v>16689.253000000001</v>
      </c>
    </row>
    <row r="714" spans="1:43" x14ac:dyDescent="0.25">
      <c r="A714">
        <v>713</v>
      </c>
      <c r="B714" t="s">
        <v>49</v>
      </c>
      <c r="C714" t="s">
        <v>49</v>
      </c>
      <c r="D714" t="s">
        <v>89</v>
      </c>
      <c r="F714" s="1">
        <v>42767</v>
      </c>
      <c r="G714" s="2">
        <v>115.5</v>
      </c>
      <c r="H714" s="2">
        <v>0.62</v>
      </c>
      <c r="I714" s="2">
        <f t="array" ref="I714">_xlfn.IFNA(IF(vp.data[[#This Row],[Sulf Input]]="",INDEX([1]DATA!$Q$3:$Q$9826,MATCH(1,(vp.data[[#This Row],[Battery]]=[1]DATA!$L$3:$L$9826)*(EOMONTH(vp.data[[#This Row],[SDate]],-1)+1=[1]DATA!$G$3:$G$9826),0)),vp.data[[#This Row],[Sulf Input]]),"")</f>
        <v>0.62</v>
      </c>
      <c r="J714" s="2">
        <v>0.86</v>
      </c>
      <c r="K714" s="2">
        <v>-14</v>
      </c>
      <c r="L714" s="2">
        <v>820.8</v>
      </c>
      <c r="M714" s="2">
        <f t="array" ref="M714">_xlfn.IFNA(IF(vp.data[[#This Row],[Dens Input]]="",INDEX([1]DATA!$O$3:$O$9826,MATCH(1,(vp.data[[#This Row],[Battery]]=[1]DATA!$L$3:$L$9826)*(EOMONTH(vp.data[[#This Row],[SDate]],-1)+1=[1]DATA!$G$3:$G$9826),0)),vp.data[[#This Row],[Dens Input]]),"")</f>
        <v>820.8</v>
      </c>
      <c r="N714" s="2">
        <f ca="1">INDEX(INDIRECT(_xlfn.CONCAT("weather.tbl[",N$1,"]")),MATCH(vp.data[[#This Row],[SDate]],weather.tbl[Date],0))</f>
        <v>-17.433333333333334</v>
      </c>
      <c r="O714" s="2">
        <f ca="1">INDEX(INDIRECT(_xlfn.CONCAT("weather.tbl[",O$1,"]")),MATCH(vp.data[[#This Row],[SDate]],weather.tbl[Date],0))</f>
        <v>-6.8666666666666663</v>
      </c>
      <c r="P714" s="2">
        <f ca="1">INDEX(INDIRECT(_xlfn.CONCAT("weather.tbl[",P$1,"]")),MATCH(vp.data[[#This Row],[SDate]],weather.tbl[Date],0))</f>
        <v>-18</v>
      </c>
      <c r="Q714" s="2">
        <f ca="1">INDEX(INDIRECT(_xlfn.CONCAT("weather.tbl[",Q$1,"]")),MATCH(vp.data[[#This Row],[SDate]],weather.tbl[Date],0))</f>
        <v>-17.2</v>
      </c>
      <c r="R714" s="2">
        <f ca="1">INDEX(INDIRECT(_xlfn.CONCAT("weather.tbl[",R$1,"]")),MATCH(vp.data[[#This Row],[SDate]],weather.tbl[Date],0))</f>
        <v>-19.3</v>
      </c>
      <c r="S714" s="2">
        <f ca="1">INDEX(INDIRECT(_xlfn.CONCAT("weather.tbl[",S$1,"]")),MATCH(vp.data[[#This Row],[SDate]],weather.tbl[Date],0))</f>
        <v>-11.2</v>
      </c>
      <c r="T714" s="2">
        <f ca="1">INDEX(INDIRECT(_xlfn.CONCAT("weather.tbl[",T$1,"]")),MATCH(vp.data[[#This Row],[SDate]],weather.tbl[Date],0))</f>
        <v>-19.399999999999999</v>
      </c>
      <c r="U714" s="2">
        <f ca="1">INDEX(INDIRECT(_xlfn.CONCAT("weather.tbl[",U$1,"]")),MATCH(vp.data[[#This Row],[SDate]],weather.tbl[Date],0))</f>
        <v>-19.5</v>
      </c>
      <c r="V714" s="2">
        <f t="array" ref="V7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714" t="s">
        <v>48</v>
      </c>
      <c r="X714">
        <f>IF(OR(vp.data[[#This Row],[Sulf]]="",vp.data[[#This Row],[Dens]]=""),1,0)</f>
        <v>0</v>
      </c>
      <c r="Y714">
        <f>IF(vp.data[[#This Row],[CrudeType]]="C5+",1,0)</f>
        <v>0</v>
      </c>
      <c r="Z714">
        <f>IF(AND(vp.data[[#This Row],[CrudeType]]="Crude",vp.data[[#This Row],[Dens]]&lt;=825,vp.data[[#This Row],[Sulf]]&gt;0.5,vp.data[[#This Row],[Unknown]]=0),1,0)</f>
        <v>1</v>
      </c>
      <c r="AA714">
        <f>IF(AND(vp.data[[#This Row],[CrudeType]]="Crude",vp.data[[#This Row],[Dens]]&lt;=825,vp.data[[#This Row],[Sulf]]&lt;=0.5,vp.data[[#This Row],[Unknown]]=0),1,0)</f>
        <v>0</v>
      </c>
      <c r="AB7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14">
        <f>IF(AND(vp.data[[#This Row],[CrudeType]]="Crude",vp.data[[#This Row],[Dens]]&gt;825,vp.data[[#This Row],[Dens]]&lt;=900,vp.data[[#This Row],[Sulf]]&lt;=0.5,vp.data[[#This Row],[Unknown]]=0),1,0)</f>
        <v>0</v>
      </c>
      <c r="AD714">
        <f>IF(AND(vp.data[[#This Row],[CrudeType]]="Crude",vp.data[[#This Row],[Dens]]&gt;865,vp.data[[#This Row],[Dens]]&lt;=900,vp.data[[#This Row],[Sulf]]&gt;2,vp.data[[#This Row],[Unknown]]=0),1,0)</f>
        <v>0</v>
      </c>
      <c r="AE714">
        <f>IF(AND(vp.data[[#This Row],[CrudeType]]="Crude",vp.data[[#This Row],[Dens]]&gt;900,vp.data[[#This Row],[Sulf]]&lt;=0.5,vp.data[[#This Row],[Unknown]]=0),1,0)</f>
        <v>0</v>
      </c>
      <c r="AF714">
        <f>IF(AND(vp.data[[#This Row],[CrudeType]]="Crude",vp.data[[#This Row],[Dens]]&gt;900,vp.data[[#This Row],[Sulf]]&lt;=0.5,vp.data[[#This Row],[Unknown]]=0),1,0)</f>
        <v>0</v>
      </c>
      <c r="AG714" t="str">
        <f>INDEX(vp.data[[#Headers],[Unknown]:[Heavy_SW]],MATCH(1,vp.data[[#This Row],[Unknown]:[Heavy_SW]],0))</f>
        <v>Light_LSB</v>
      </c>
      <c r="AH714">
        <f>INDEX([3]!crudeBD.lkup[Number],MATCH(vp.data[[#This Row],[Crude_Breakdown]],crudeBD.lkup[Crude Breakdown],0))</f>
        <v>1</v>
      </c>
      <c r="AI714">
        <f>MONTH(vp.data[[#This Row],[SDate]])</f>
        <v>2</v>
      </c>
      <c r="AJ714" s="5">
        <f>(vp.data[[#This Row],[VP]]-INDEX(crudeBD.lkup[Mean_VP],MATCH(vp.data[[#This Row],[Crude_Breakdown]],crudeBD.lkup[Crude Breakdown],0)))^2</f>
        <v>573.78522589010367</v>
      </c>
      <c r="AK714" s="5">
        <f>(vp.data[[#This Row],[Dens]]-INDEX(crudeBD.lkup[Mean_Dens],MATCH(vp.data[[#This Row],[Crude_Breakdown]],crudeBD.lkup[Crude Breakdown],0)))^2</f>
        <v>5.2131403313624531</v>
      </c>
      <c r="AL714" s="5">
        <f>(vp.data[[#This Row],[Sulf]]-INDEX(crudeBD.lkup[Mean_Sulf],MATCH(vp.data[[#This Row],[Crude_Breakdown]],crudeBD.lkup[Crude Breakdown],0)))^2</f>
        <v>9.1791528872498987E-2</v>
      </c>
      <c r="AM714" s="4">
        <f>IF(AND(vp.data[[#This Row],[SDate]]&gt;=DATE(YEAR(vp.data[[#This Row],[SDate]]),5,1),vp.data[[#This Row],[SDate]]&lt;=DATE(YEAR(vp.data[[#This Row],[SDate]]),9,15)),1,0)</f>
        <v>0</v>
      </c>
      <c r="AN714" s="4">
        <f>IF(vp.data[[#This Row],[SDate]]&lt;DATE(2016,12,1),0,1)</f>
        <v>1</v>
      </c>
      <c r="AO714" s="4">
        <f>IFERROR(vp.data[[#This Row],[Sulf]]*vp.data[[#This Row],[Net Dens]],"")</f>
        <v>2576654.4407039997</v>
      </c>
      <c r="AP714">
        <f>IFERROR(vp.data[[#This Row],[Dens]]*vp.data[[#This Row],[VolumeM3]],"")</f>
        <v>4155894.2591999997</v>
      </c>
      <c r="AQ714" s="15">
        <f>IFERROR(vp.data[[#This Row],[VP]]*vp.data[[#This Row],[VolumeM3]],"")</f>
        <v>584802.37199999997</v>
      </c>
    </row>
    <row r="715" spans="1:43" x14ac:dyDescent="0.25">
      <c r="A715">
        <v>714</v>
      </c>
      <c r="B715" t="s">
        <v>49</v>
      </c>
      <c r="C715" t="s">
        <v>49</v>
      </c>
      <c r="D715" t="s">
        <v>67</v>
      </c>
      <c r="F715" s="1">
        <v>42767</v>
      </c>
      <c r="G715" s="2">
        <v>95.8</v>
      </c>
      <c r="H715" s="2">
        <v>0.73899999999999999</v>
      </c>
      <c r="I715" s="2">
        <f t="array" ref="I715">_xlfn.IFNA(IF(vp.data[[#This Row],[Sulf Input]]="",INDEX([1]DATA!$Q$3:$Q$9826,MATCH(1,(vp.data[[#This Row],[Battery]]=[1]DATA!$L$3:$L$9826)*(EOMONTH(vp.data[[#This Row],[SDate]],-1)+1=[1]DATA!$G$3:$G$9826),0)),vp.data[[#This Row],[Sulf Input]]),"")</f>
        <v>0.73899999999999999</v>
      </c>
      <c r="J715" s="2">
        <v>4.2</v>
      </c>
      <c r="K715" s="2">
        <v>-14</v>
      </c>
      <c r="L715" s="2">
        <v>825.1</v>
      </c>
      <c r="M715" s="2">
        <f t="array" ref="M715">_xlfn.IFNA(IF(vp.data[[#This Row],[Dens Input]]="",INDEX([1]DATA!$O$3:$O$9826,MATCH(1,(vp.data[[#This Row],[Battery]]=[1]DATA!$L$3:$L$9826)*(EOMONTH(vp.data[[#This Row],[SDate]],-1)+1=[1]DATA!$G$3:$G$9826),0)),vp.data[[#This Row],[Dens Input]]),"")</f>
        <v>825.1</v>
      </c>
      <c r="N715" s="2">
        <f ca="1">INDEX(INDIRECT(_xlfn.CONCAT("weather.tbl[",N$1,"]")),MATCH(vp.data[[#This Row],[SDate]],weather.tbl[Date],0))</f>
        <v>-17.433333333333334</v>
      </c>
      <c r="O715" s="2">
        <f ca="1">INDEX(INDIRECT(_xlfn.CONCAT("weather.tbl[",O$1,"]")),MATCH(vp.data[[#This Row],[SDate]],weather.tbl[Date],0))</f>
        <v>-6.8666666666666663</v>
      </c>
      <c r="P715" s="2">
        <f ca="1">INDEX(INDIRECT(_xlfn.CONCAT("weather.tbl[",P$1,"]")),MATCH(vp.data[[#This Row],[SDate]],weather.tbl[Date],0))</f>
        <v>-18</v>
      </c>
      <c r="Q715" s="2">
        <f ca="1">INDEX(INDIRECT(_xlfn.CONCAT("weather.tbl[",Q$1,"]")),MATCH(vp.data[[#This Row],[SDate]],weather.tbl[Date],0))</f>
        <v>-17.2</v>
      </c>
      <c r="R715" s="2">
        <f ca="1">INDEX(INDIRECT(_xlfn.CONCAT("weather.tbl[",R$1,"]")),MATCH(vp.data[[#This Row],[SDate]],weather.tbl[Date],0))</f>
        <v>-19.3</v>
      </c>
      <c r="S715" s="2">
        <f ca="1">INDEX(INDIRECT(_xlfn.CONCAT("weather.tbl[",S$1,"]")),MATCH(vp.data[[#This Row],[SDate]],weather.tbl[Date],0))</f>
        <v>-11.2</v>
      </c>
      <c r="T715" s="2">
        <f ca="1">INDEX(INDIRECT(_xlfn.CONCAT("weather.tbl[",T$1,"]")),MATCH(vp.data[[#This Row],[SDate]],weather.tbl[Date],0))</f>
        <v>-19.399999999999999</v>
      </c>
      <c r="U715" s="2">
        <f ca="1">INDEX(INDIRECT(_xlfn.CONCAT("weather.tbl[",U$1,"]")),MATCH(vp.data[[#This Row],[SDate]],weather.tbl[Date],0))</f>
        <v>-19.5</v>
      </c>
      <c r="V715" s="2">
        <f t="array" ref="V7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715" t="s">
        <v>48</v>
      </c>
      <c r="X715">
        <f>IF(OR(vp.data[[#This Row],[Sulf]]="",vp.data[[#This Row],[Dens]]=""),1,0)</f>
        <v>0</v>
      </c>
      <c r="Y715">
        <f>IF(vp.data[[#This Row],[CrudeType]]="C5+",1,0)</f>
        <v>0</v>
      </c>
      <c r="Z715">
        <f>IF(AND(vp.data[[#This Row],[CrudeType]]="Crude",vp.data[[#This Row],[Dens]]&lt;=825,vp.data[[#This Row],[Sulf]]&gt;0.5,vp.data[[#This Row],[Unknown]]=0),1,0)</f>
        <v>0</v>
      </c>
      <c r="AA715">
        <f>IF(AND(vp.data[[#This Row],[CrudeType]]="Crude",vp.data[[#This Row],[Dens]]&lt;=825,vp.data[[#This Row],[Sulf]]&lt;=0.5,vp.data[[#This Row],[Unknown]]=0),1,0)</f>
        <v>0</v>
      </c>
      <c r="AB7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5">
        <f>IF(AND(vp.data[[#This Row],[CrudeType]]="Crude",vp.data[[#This Row],[Dens]]&gt;825,vp.data[[#This Row],[Dens]]&lt;=900,vp.data[[#This Row],[Sulf]]&lt;=0.5,vp.data[[#This Row],[Unknown]]=0),1,0)</f>
        <v>0</v>
      </c>
      <c r="AD715">
        <f>IF(AND(vp.data[[#This Row],[CrudeType]]="Crude",vp.data[[#This Row],[Dens]]&gt;865,vp.data[[#This Row],[Dens]]&lt;=900,vp.data[[#This Row],[Sulf]]&gt;2,vp.data[[#This Row],[Unknown]]=0),1,0)</f>
        <v>0</v>
      </c>
      <c r="AE715">
        <f>IF(AND(vp.data[[#This Row],[CrudeType]]="Crude",vp.data[[#This Row],[Dens]]&gt;900,vp.data[[#This Row],[Sulf]]&lt;=0.5,vp.data[[#This Row],[Unknown]]=0),1,0)</f>
        <v>0</v>
      </c>
      <c r="AF715">
        <f>IF(AND(vp.data[[#This Row],[CrudeType]]="Crude",vp.data[[#This Row],[Dens]]&gt;900,vp.data[[#This Row],[Sulf]]&lt;=0.5,vp.data[[#This Row],[Unknown]]=0),1,0)</f>
        <v>0</v>
      </c>
      <c r="AG715" t="str">
        <f>INDEX(vp.data[[#Headers],[Unknown]:[Heavy_SW]],MATCH(1,vp.data[[#This Row],[Unknown]:[Heavy_SW]],0))</f>
        <v>Medium_LSB</v>
      </c>
      <c r="AH715">
        <f>INDEX([3]!crudeBD.lkup[Number],MATCH(vp.data[[#This Row],[Crude_Breakdown]],crudeBD.lkup[Crude Breakdown],0))</f>
        <v>3</v>
      </c>
      <c r="AI715">
        <f>MONTH(vp.data[[#This Row],[SDate]])</f>
        <v>2</v>
      </c>
      <c r="AJ715" s="5">
        <f>(vp.data[[#This Row],[VP]]-INDEX(crudeBD.lkup[Mean_VP],MATCH(vp.data[[#This Row],[Crude_Breakdown]],crudeBD.lkup[Crude Breakdown],0)))^2</f>
        <v>229.83540711270834</v>
      </c>
      <c r="AK715" s="5">
        <f>(vp.data[[#This Row],[Dens]]-INDEX(crudeBD.lkup[Mean_Dens],MATCH(vp.data[[#This Row],[Crude_Breakdown]],crudeBD.lkup[Crude Breakdown],0)))^2</f>
        <v>354.19239999998047</v>
      </c>
      <c r="AL715" s="5">
        <f>(vp.data[[#This Row],[Sulf]]-INDEX(crudeBD.lkup[Mean_Sulf],MATCH(vp.data[[#This Row],[Crude_Breakdown]],crudeBD.lkup[Crude Breakdown],0)))^2</f>
        <v>0.41784346624394259</v>
      </c>
      <c r="AM715" s="4">
        <f>IF(AND(vp.data[[#This Row],[SDate]]&gt;=DATE(YEAR(vp.data[[#This Row],[SDate]]),5,1),vp.data[[#This Row],[SDate]]&lt;=DATE(YEAR(vp.data[[#This Row],[SDate]]),9,15)),1,0)</f>
        <v>0</v>
      </c>
      <c r="AN715" s="4">
        <f>IF(vp.data[[#This Row],[SDate]]&lt;DATE(2016,12,1),0,1)</f>
        <v>1</v>
      </c>
      <c r="AO715" s="4">
        <f>IFERROR(vp.data[[#This Row],[Sulf]]*vp.data[[#This Row],[Net Dens]],"")</f>
        <v>75870344.659782603</v>
      </c>
      <c r="AP715">
        <f>IFERROR(vp.data[[#This Row],[Dens]]*vp.data[[#This Row],[VolumeM3]],"")</f>
        <v>102666230.93340001</v>
      </c>
      <c r="AQ715" s="15">
        <f>IFERROR(vp.data[[#This Row],[VP]]*vp.data[[#This Row],[VolumeM3]],"")</f>
        <v>11920282.2972</v>
      </c>
    </row>
    <row r="716" spans="1:43" x14ac:dyDescent="0.25">
      <c r="A716">
        <v>715</v>
      </c>
      <c r="B716" t="s">
        <v>49</v>
      </c>
      <c r="C716" t="s">
        <v>49</v>
      </c>
      <c r="D716" t="s">
        <v>152</v>
      </c>
      <c r="F716" s="1">
        <v>42767</v>
      </c>
      <c r="G716" s="2">
        <v>66.599999999999994</v>
      </c>
      <c r="H716" s="2">
        <v>0.79200000000000004</v>
      </c>
      <c r="I716" s="2">
        <f t="array" ref="I716">_xlfn.IFNA(IF(vp.data[[#This Row],[Sulf Input]]="",INDEX([1]DATA!$Q$3:$Q$9826,MATCH(1,(vp.data[[#This Row],[Battery]]=[1]DATA!$L$3:$L$9826)*(EOMONTH(vp.data[[#This Row],[SDate]],-1)+1=[1]DATA!$G$3:$G$9826),0)),vp.data[[#This Row],[Sulf Input]]),"")</f>
        <v>0.79200000000000004</v>
      </c>
      <c r="J716" s="2">
        <v>20.9</v>
      </c>
      <c r="K716" s="2">
        <v>-14</v>
      </c>
      <c r="L716" s="2">
        <v>842.6</v>
      </c>
      <c r="M716" s="2">
        <f t="array" ref="M716">_xlfn.IFNA(IF(vp.data[[#This Row],[Dens Input]]="",INDEX([1]DATA!$O$3:$O$9826,MATCH(1,(vp.data[[#This Row],[Battery]]=[1]DATA!$L$3:$L$9826)*(EOMONTH(vp.data[[#This Row],[SDate]],-1)+1=[1]DATA!$G$3:$G$9826),0)),vp.data[[#This Row],[Dens Input]]),"")</f>
        <v>842.6</v>
      </c>
      <c r="N716" s="2">
        <f ca="1">INDEX(INDIRECT(_xlfn.CONCAT("weather.tbl[",N$1,"]")),MATCH(vp.data[[#This Row],[SDate]],weather.tbl[Date],0))</f>
        <v>-17.433333333333334</v>
      </c>
      <c r="O716" s="2">
        <f ca="1">INDEX(INDIRECT(_xlfn.CONCAT("weather.tbl[",O$1,"]")),MATCH(vp.data[[#This Row],[SDate]],weather.tbl[Date],0))</f>
        <v>-6.8666666666666663</v>
      </c>
      <c r="P716" s="2">
        <f ca="1">INDEX(INDIRECT(_xlfn.CONCAT("weather.tbl[",P$1,"]")),MATCH(vp.data[[#This Row],[SDate]],weather.tbl[Date],0))</f>
        <v>-18</v>
      </c>
      <c r="Q716" s="2">
        <f ca="1">INDEX(INDIRECT(_xlfn.CONCAT("weather.tbl[",Q$1,"]")),MATCH(vp.data[[#This Row],[SDate]],weather.tbl[Date],0))</f>
        <v>-17.2</v>
      </c>
      <c r="R716" s="2">
        <f ca="1">INDEX(INDIRECT(_xlfn.CONCAT("weather.tbl[",R$1,"]")),MATCH(vp.data[[#This Row],[SDate]],weather.tbl[Date],0))</f>
        <v>-19.3</v>
      </c>
      <c r="S716" s="2">
        <f ca="1">INDEX(INDIRECT(_xlfn.CONCAT("weather.tbl[",S$1,"]")),MATCH(vp.data[[#This Row],[SDate]],weather.tbl[Date],0))</f>
        <v>-11.2</v>
      </c>
      <c r="T716" s="2">
        <f ca="1">INDEX(INDIRECT(_xlfn.CONCAT("weather.tbl[",T$1,"]")),MATCH(vp.data[[#This Row],[SDate]],weather.tbl[Date],0))</f>
        <v>-19.399999999999999</v>
      </c>
      <c r="U716" s="2">
        <f ca="1">INDEX(INDIRECT(_xlfn.CONCAT("weather.tbl[",U$1,"]")),MATCH(vp.data[[#This Row],[SDate]],weather.tbl[Date],0))</f>
        <v>-19.5</v>
      </c>
      <c r="V716" s="2">
        <f t="array" ref="V7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665.44299999999998</v>
      </c>
      <c r="W716" t="s">
        <v>48</v>
      </c>
      <c r="X716">
        <f>IF(OR(vp.data[[#This Row],[Sulf]]="",vp.data[[#This Row],[Dens]]=""),1,0)</f>
        <v>0</v>
      </c>
      <c r="Y716">
        <f>IF(vp.data[[#This Row],[CrudeType]]="C5+",1,0)</f>
        <v>0</v>
      </c>
      <c r="Z716">
        <f>IF(AND(vp.data[[#This Row],[CrudeType]]="Crude",vp.data[[#This Row],[Dens]]&lt;=825,vp.data[[#This Row],[Sulf]]&gt;0.5,vp.data[[#This Row],[Unknown]]=0),1,0)</f>
        <v>0</v>
      </c>
      <c r="AA716">
        <f>IF(AND(vp.data[[#This Row],[CrudeType]]="Crude",vp.data[[#This Row],[Dens]]&lt;=825,vp.data[[#This Row],[Sulf]]&lt;=0.5,vp.data[[#This Row],[Unknown]]=0),1,0)</f>
        <v>0</v>
      </c>
      <c r="AB7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6">
        <f>IF(AND(vp.data[[#This Row],[CrudeType]]="Crude",vp.data[[#This Row],[Dens]]&gt;825,vp.data[[#This Row],[Dens]]&lt;=900,vp.data[[#This Row],[Sulf]]&lt;=0.5,vp.data[[#This Row],[Unknown]]=0),1,0)</f>
        <v>0</v>
      </c>
      <c r="AD716">
        <f>IF(AND(vp.data[[#This Row],[CrudeType]]="Crude",vp.data[[#This Row],[Dens]]&gt;865,vp.data[[#This Row],[Dens]]&lt;=900,vp.data[[#This Row],[Sulf]]&gt;2,vp.data[[#This Row],[Unknown]]=0),1,0)</f>
        <v>0</v>
      </c>
      <c r="AE716">
        <f>IF(AND(vp.data[[#This Row],[CrudeType]]="Crude",vp.data[[#This Row],[Dens]]&gt;900,vp.data[[#This Row],[Sulf]]&lt;=0.5,vp.data[[#This Row],[Unknown]]=0),1,0)</f>
        <v>0</v>
      </c>
      <c r="AF716">
        <f>IF(AND(vp.data[[#This Row],[CrudeType]]="Crude",vp.data[[#This Row],[Dens]]&gt;900,vp.data[[#This Row],[Sulf]]&lt;=0.5,vp.data[[#This Row],[Unknown]]=0),1,0)</f>
        <v>0</v>
      </c>
      <c r="AG716" t="str">
        <f>INDEX(vp.data[[#Headers],[Unknown]:[Heavy_SW]],MATCH(1,vp.data[[#This Row],[Unknown]:[Heavy_SW]],0))</f>
        <v>Medium_LSB</v>
      </c>
      <c r="AH716">
        <f>INDEX([3]!crudeBD.lkup[Number],MATCH(vp.data[[#This Row],[Crude_Breakdown]],crudeBD.lkup[Crude Breakdown],0))</f>
        <v>3</v>
      </c>
      <c r="AI716">
        <f>MONTH(vp.data[[#This Row],[SDate]])</f>
        <v>2</v>
      </c>
      <c r="AJ716" s="5">
        <f>(vp.data[[#This Row],[VP]]-INDEX(crudeBD.lkup[Mean_VP],MATCH(vp.data[[#This Row],[Crude_Breakdown]],crudeBD.lkup[Crude Breakdown],0)))^2</f>
        <v>197.11251762483377</v>
      </c>
      <c r="AK716" s="5">
        <f>(vp.data[[#This Row],[Dens]]-INDEX(crudeBD.lkup[Mean_Dens],MATCH(vp.data[[#This Row],[Crude_Breakdown]],crudeBD.lkup[Crude Breakdown],0)))^2</f>
        <v>1.7423999999986315</v>
      </c>
      <c r="AL716" s="5">
        <f>(vp.data[[#This Row],[Sulf]]-INDEX(crudeBD.lkup[Mean_Sulf],MATCH(vp.data[[#This Row],[Crude_Breakdown]],crudeBD.lkup[Crude Breakdown],0)))^2</f>
        <v>0.35213320481537091</v>
      </c>
      <c r="AM716" s="4">
        <f>IF(AND(vp.data[[#This Row],[SDate]]&gt;=DATE(YEAR(vp.data[[#This Row],[SDate]]),5,1),vp.data[[#This Row],[SDate]]&lt;=DATE(YEAR(vp.data[[#This Row],[SDate]]),9,15)),1,0)</f>
        <v>0</v>
      </c>
      <c r="AN716" s="4">
        <f>IF(vp.data[[#This Row],[SDate]]&lt;DATE(2016,12,1),0,1)</f>
        <v>1</v>
      </c>
      <c r="AO716" s="4">
        <f>IFERROR(vp.data[[#This Row],[Sulf]]*vp.data[[#This Row],[Net Dens]],"")</f>
        <v>444076.19926560001</v>
      </c>
      <c r="AP716">
        <f>IFERROR(vp.data[[#This Row],[Dens]]*vp.data[[#This Row],[VolumeM3]],"")</f>
        <v>560702.27179999999</v>
      </c>
      <c r="AQ716" s="15">
        <f>IFERROR(vp.data[[#This Row],[VP]]*vp.data[[#This Row],[VolumeM3]],"")</f>
        <v>44318.503799999999</v>
      </c>
    </row>
    <row r="717" spans="1:43" x14ac:dyDescent="0.25">
      <c r="A717">
        <v>716</v>
      </c>
      <c r="B717" t="s">
        <v>49</v>
      </c>
      <c r="C717" t="s">
        <v>49</v>
      </c>
      <c r="D717" t="s">
        <v>59</v>
      </c>
      <c r="F717" s="1">
        <v>42767</v>
      </c>
      <c r="G717" s="2">
        <v>87.2</v>
      </c>
      <c r="H717" s="2">
        <v>1.5760000000000001</v>
      </c>
      <c r="I717" s="2">
        <f t="array" ref="I717">_xlfn.IFNA(IF(vp.data[[#This Row],[Sulf Input]]="",INDEX([1]DATA!$Q$3:$Q$9826,MATCH(1,(vp.data[[#This Row],[Battery]]=[1]DATA!$L$3:$L$9826)*(EOMONTH(vp.data[[#This Row],[SDate]],-1)+1=[1]DATA!$G$3:$G$9826),0)),vp.data[[#This Row],[Sulf Input]]),"")</f>
        <v>1.5760000000000001</v>
      </c>
      <c r="J717" s="2">
        <v>11.2</v>
      </c>
      <c r="K717" s="2">
        <v>-14</v>
      </c>
      <c r="L717" s="2">
        <v>850.5</v>
      </c>
      <c r="M717" s="2">
        <f t="array" ref="M717">_xlfn.IFNA(IF(vp.data[[#This Row],[Dens Input]]="",INDEX([1]DATA!$O$3:$O$9826,MATCH(1,(vp.data[[#This Row],[Battery]]=[1]DATA!$L$3:$L$9826)*(EOMONTH(vp.data[[#This Row],[SDate]],-1)+1=[1]DATA!$G$3:$G$9826),0)),vp.data[[#This Row],[Dens Input]]),"")</f>
        <v>850.5</v>
      </c>
      <c r="N717" s="2">
        <f ca="1">INDEX(INDIRECT(_xlfn.CONCAT("weather.tbl[",N$1,"]")),MATCH(vp.data[[#This Row],[SDate]],weather.tbl[Date],0))</f>
        <v>-17.433333333333334</v>
      </c>
      <c r="O717" s="2">
        <f ca="1">INDEX(INDIRECT(_xlfn.CONCAT("weather.tbl[",O$1,"]")),MATCH(vp.data[[#This Row],[SDate]],weather.tbl[Date],0))</f>
        <v>-6.8666666666666663</v>
      </c>
      <c r="P717" s="2">
        <f ca="1">INDEX(INDIRECT(_xlfn.CONCAT("weather.tbl[",P$1,"]")),MATCH(vp.data[[#This Row],[SDate]],weather.tbl[Date],0))</f>
        <v>-18</v>
      </c>
      <c r="Q717" s="2">
        <f ca="1">INDEX(INDIRECT(_xlfn.CONCAT("weather.tbl[",Q$1,"]")),MATCH(vp.data[[#This Row],[SDate]],weather.tbl[Date],0))</f>
        <v>-17.2</v>
      </c>
      <c r="R717" s="2">
        <f ca="1">INDEX(INDIRECT(_xlfn.CONCAT("weather.tbl[",R$1,"]")),MATCH(vp.data[[#This Row],[SDate]],weather.tbl[Date],0))</f>
        <v>-19.3</v>
      </c>
      <c r="S717" s="2">
        <f ca="1">INDEX(INDIRECT(_xlfn.CONCAT("weather.tbl[",S$1,"]")),MATCH(vp.data[[#This Row],[SDate]],weather.tbl[Date],0))</f>
        <v>-11.2</v>
      </c>
      <c r="T717" s="2">
        <f ca="1">INDEX(INDIRECT(_xlfn.CONCAT("weather.tbl[",T$1,"]")),MATCH(vp.data[[#This Row],[SDate]],weather.tbl[Date],0))</f>
        <v>-19.399999999999999</v>
      </c>
      <c r="U717" s="2">
        <f ca="1">INDEX(INDIRECT(_xlfn.CONCAT("weather.tbl[",U$1,"]")),MATCH(vp.data[[#This Row],[SDate]],weather.tbl[Date],0))</f>
        <v>-19.5</v>
      </c>
      <c r="V717" s="2">
        <f t="array" ref="V7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1437.386</v>
      </c>
      <c r="W717" t="s">
        <v>48</v>
      </c>
      <c r="X717">
        <f>IF(OR(vp.data[[#This Row],[Sulf]]="",vp.data[[#This Row],[Dens]]=""),1,0)</f>
        <v>0</v>
      </c>
      <c r="Y717">
        <f>IF(vp.data[[#This Row],[CrudeType]]="C5+",1,0)</f>
        <v>0</v>
      </c>
      <c r="Z717">
        <f>IF(AND(vp.data[[#This Row],[CrudeType]]="Crude",vp.data[[#This Row],[Dens]]&lt;=825,vp.data[[#This Row],[Sulf]]&gt;0.5,vp.data[[#This Row],[Unknown]]=0),1,0)</f>
        <v>0</v>
      </c>
      <c r="AA717">
        <f>IF(AND(vp.data[[#This Row],[CrudeType]]="Crude",vp.data[[#This Row],[Dens]]&lt;=825,vp.data[[#This Row],[Sulf]]&lt;=0.5,vp.data[[#This Row],[Unknown]]=0),1,0)</f>
        <v>0</v>
      </c>
      <c r="AB7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7">
        <f>IF(AND(vp.data[[#This Row],[CrudeType]]="Crude",vp.data[[#This Row],[Dens]]&gt;825,vp.data[[#This Row],[Dens]]&lt;=900,vp.data[[#This Row],[Sulf]]&lt;=0.5,vp.data[[#This Row],[Unknown]]=0),1,0)</f>
        <v>0</v>
      </c>
      <c r="AD717">
        <f>IF(AND(vp.data[[#This Row],[CrudeType]]="Crude",vp.data[[#This Row],[Dens]]&gt;865,vp.data[[#This Row],[Dens]]&lt;=900,vp.data[[#This Row],[Sulf]]&gt;2,vp.data[[#This Row],[Unknown]]=0),1,0)</f>
        <v>0</v>
      </c>
      <c r="AE717">
        <f>IF(AND(vp.data[[#This Row],[CrudeType]]="Crude",vp.data[[#This Row],[Dens]]&gt;900,vp.data[[#This Row],[Sulf]]&lt;=0.5,vp.data[[#This Row],[Unknown]]=0),1,0)</f>
        <v>0</v>
      </c>
      <c r="AF717">
        <f>IF(AND(vp.data[[#This Row],[CrudeType]]="Crude",vp.data[[#This Row],[Dens]]&gt;900,vp.data[[#This Row],[Sulf]]&lt;=0.5,vp.data[[#This Row],[Unknown]]=0),1,0)</f>
        <v>0</v>
      </c>
      <c r="AG717" t="str">
        <f>INDEX(vp.data[[#Headers],[Unknown]:[Heavy_SW]],MATCH(1,vp.data[[#This Row],[Unknown]:[Heavy_SW]],0))</f>
        <v>Medium_LSB</v>
      </c>
      <c r="AH717">
        <f>INDEX([3]!crudeBD.lkup[Number],MATCH(vp.data[[#This Row],[Crude_Breakdown]],crudeBD.lkup[Crude Breakdown],0))</f>
        <v>3</v>
      </c>
      <c r="AI717">
        <f>MONTH(vp.data[[#This Row],[SDate]])</f>
        <v>2</v>
      </c>
      <c r="AJ717" s="5">
        <f>(vp.data[[#This Row],[VP]]-INDEX(crudeBD.lkup[Mean_VP],MATCH(vp.data[[#This Row],[Crude_Breakdown]],crudeBD.lkup[Crude Breakdown],0)))^2</f>
        <v>43.037843770389159</v>
      </c>
      <c r="AK717" s="5">
        <f>(vp.data[[#This Row],[Dens]]-INDEX(crudeBD.lkup[Mean_Dens],MATCH(vp.data[[#This Row],[Crude_Breakdown]],crudeBD.lkup[Crude Breakdown],0)))^2</f>
        <v>43.296400000006521</v>
      </c>
      <c r="AL717" s="5">
        <f>(vp.data[[#This Row],[Sulf]]-INDEX(crudeBD.lkup[Mean_Sulf],MATCH(vp.data[[#This Row],[Crude_Breakdown]],crudeBD.lkup[Crude Breakdown],0)))^2</f>
        <v>3.632526217385916E-2</v>
      </c>
      <c r="AM717" s="4">
        <f>IF(AND(vp.data[[#This Row],[SDate]]&gt;=DATE(YEAR(vp.data[[#This Row],[SDate]]),5,1),vp.data[[#This Row],[SDate]]&lt;=DATE(YEAR(vp.data[[#This Row],[SDate]]),9,15)),1,0)</f>
        <v>0</v>
      </c>
      <c r="AN717" s="4">
        <f>IF(vp.data[[#This Row],[SDate]]&lt;DATE(2016,12,1),0,1)</f>
        <v>1</v>
      </c>
      <c r="AO717" s="4">
        <f>IFERROR(vp.data[[#This Row],[Sulf]]*vp.data[[#This Row],[Net Dens]],"")</f>
        <v>1926654.9457680001</v>
      </c>
      <c r="AP717">
        <f>IFERROR(vp.data[[#This Row],[Dens]]*vp.data[[#This Row],[VolumeM3]],"")</f>
        <v>1222496.7930000001</v>
      </c>
      <c r="AQ717" s="15">
        <f>IFERROR(vp.data[[#This Row],[VP]]*vp.data[[#This Row],[VolumeM3]],"")</f>
        <v>125340.0592</v>
      </c>
    </row>
    <row r="718" spans="1:43" x14ac:dyDescent="0.25">
      <c r="A718">
        <v>717</v>
      </c>
      <c r="B718" t="s">
        <v>62</v>
      </c>
      <c r="C718" t="s">
        <v>62</v>
      </c>
      <c r="D718" t="s">
        <v>63</v>
      </c>
      <c r="F718" s="1">
        <v>42767</v>
      </c>
      <c r="G718" s="2">
        <v>118.6</v>
      </c>
      <c r="H718" s="2"/>
      <c r="I718" s="2">
        <f t="array" ref="I718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18" s="2">
        <v>4.5999999999999996</v>
      </c>
      <c r="K718" s="2">
        <v>-14</v>
      </c>
      <c r="L718" s="2">
        <v>823.9</v>
      </c>
      <c r="M718" s="2">
        <f t="array" ref="M718">_xlfn.IFNA(IF(vp.data[[#This Row],[Dens Input]]="",INDEX([1]DATA!$O$3:$O$9826,MATCH(1,(vp.data[[#This Row],[Battery]]=[1]DATA!$L$3:$L$9826)*(EOMONTH(vp.data[[#This Row],[SDate]],-1)+1=[1]DATA!$G$3:$G$9826),0)),vp.data[[#This Row],[Dens Input]]),"")</f>
        <v>823.9</v>
      </c>
      <c r="N718" s="2">
        <f ca="1">INDEX(INDIRECT(_xlfn.CONCAT("weather.tbl[",N$1,"]")),MATCH(vp.data[[#This Row],[SDate]],weather.tbl[Date],0))</f>
        <v>-17.433333333333334</v>
      </c>
      <c r="O718" s="2">
        <f ca="1">INDEX(INDIRECT(_xlfn.CONCAT("weather.tbl[",O$1,"]")),MATCH(vp.data[[#This Row],[SDate]],weather.tbl[Date],0))</f>
        <v>-6.8666666666666663</v>
      </c>
      <c r="P718" s="2">
        <f ca="1">INDEX(INDIRECT(_xlfn.CONCAT("weather.tbl[",P$1,"]")),MATCH(vp.data[[#This Row],[SDate]],weather.tbl[Date],0))</f>
        <v>-18</v>
      </c>
      <c r="Q718" s="2">
        <f ca="1">INDEX(INDIRECT(_xlfn.CONCAT("weather.tbl[",Q$1,"]")),MATCH(vp.data[[#This Row],[SDate]],weather.tbl[Date],0))</f>
        <v>-17.2</v>
      </c>
      <c r="R718" s="2">
        <f ca="1">INDEX(INDIRECT(_xlfn.CONCAT("weather.tbl[",R$1,"]")),MATCH(vp.data[[#This Row],[SDate]],weather.tbl[Date],0))</f>
        <v>-19.3</v>
      </c>
      <c r="S718" s="2">
        <f ca="1">INDEX(INDIRECT(_xlfn.CONCAT("weather.tbl[",S$1,"]")),MATCH(vp.data[[#This Row],[SDate]],weather.tbl[Date],0))</f>
        <v>-11.2</v>
      </c>
      <c r="T718" s="2">
        <f ca="1">INDEX(INDIRECT(_xlfn.CONCAT("weather.tbl[",T$1,"]")),MATCH(vp.data[[#This Row],[SDate]],weather.tbl[Date],0))</f>
        <v>-19.399999999999999</v>
      </c>
      <c r="U718" s="2">
        <f ca="1">INDEX(INDIRECT(_xlfn.CONCAT("weather.tbl[",U$1,"]")),MATCH(vp.data[[#This Row],[SDate]],weather.tbl[Date],0))</f>
        <v>-19.5</v>
      </c>
      <c r="V718" s="2">
        <f t="array" ref="V7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18" t="s">
        <v>48</v>
      </c>
      <c r="X718">
        <f>IF(OR(vp.data[[#This Row],[Sulf]]="",vp.data[[#This Row],[Dens]]=""),1,0)</f>
        <v>0</v>
      </c>
      <c r="Y718">
        <f>IF(vp.data[[#This Row],[CrudeType]]="C5+",1,0)</f>
        <v>0</v>
      </c>
      <c r="Z718">
        <f>IF(AND(vp.data[[#This Row],[CrudeType]]="Crude",vp.data[[#This Row],[Dens]]&lt;=825,vp.data[[#This Row],[Sulf]]&gt;0.5,vp.data[[#This Row],[Unknown]]=0),1,0)</f>
        <v>1</v>
      </c>
      <c r="AA718">
        <f>IF(AND(vp.data[[#This Row],[CrudeType]]="Crude",vp.data[[#This Row],[Dens]]&lt;=825,vp.data[[#This Row],[Sulf]]&lt;=0.5,vp.data[[#This Row],[Unknown]]=0),1,0)</f>
        <v>0</v>
      </c>
      <c r="AB7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18">
        <f>IF(AND(vp.data[[#This Row],[CrudeType]]="Crude",vp.data[[#This Row],[Dens]]&gt;825,vp.data[[#This Row],[Dens]]&lt;=900,vp.data[[#This Row],[Sulf]]&lt;=0.5,vp.data[[#This Row],[Unknown]]=0),1,0)</f>
        <v>0</v>
      </c>
      <c r="AD718">
        <f>IF(AND(vp.data[[#This Row],[CrudeType]]="Crude",vp.data[[#This Row],[Dens]]&gt;865,vp.data[[#This Row],[Dens]]&lt;=900,vp.data[[#This Row],[Sulf]]&gt;2,vp.data[[#This Row],[Unknown]]=0),1,0)</f>
        <v>0</v>
      </c>
      <c r="AE718">
        <f>IF(AND(vp.data[[#This Row],[CrudeType]]="Crude",vp.data[[#This Row],[Dens]]&gt;900,vp.data[[#This Row],[Sulf]]&lt;=0.5,vp.data[[#This Row],[Unknown]]=0),1,0)</f>
        <v>0</v>
      </c>
      <c r="AF718">
        <f>IF(AND(vp.data[[#This Row],[CrudeType]]="Crude",vp.data[[#This Row],[Dens]]&gt;900,vp.data[[#This Row],[Sulf]]&lt;=0.5,vp.data[[#This Row],[Unknown]]=0),1,0)</f>
        <v>0</v>
      </c>
      <c r="AG718" t="str">
        <f>INDEX(vp.data[[#Headers],[Unknown]:[Heavy_SW]],MATCH(1,vp.data[[#This Row],[Unknown]:[Heavy_SW]],0))</f>
        <v>Light_LSB</v>
      </c>
      <c r="AH718">
        <f>INDEX([3]!crudeBD.lkup[Number],MATCH(vp.data[[#This Row],[Crude_Breakdown]],crudeBD.lkup[Crude Breakdown],0))</f>
        <v>1</v>
      </c>
      <c r="AI718">
        <f>MONTH(vp.data[[#This Row],[SDate]])</f>
        <v>2</v>
      </c>
      <c r="AJ718" s="5">
        <f>(vp.data[[#This Row],[VP]]-INDEX(crudeBD.lkup[Mean_VP],MATCH(vp.data[[#This Row],[Crude_Breakdown]],crudeBD.lkup[Crude Breakdown],0)))^2</f>
        <v>731.90887537463936</v>
      </c>
      <c r="AK718" s="5">
        <f>(vp.data[[#This Row],[Dens]]-INDEX(crudeBD.lkup[Mean_Dens],MATCH(vp.data[[#This Row],[Crude_Breakdown]],crudeBD.lkup[Crude Breakdown],0)))^2</f>
        <v>28.979167822773299</v>
      </c>
      <c r="AL718" s="5">
        <f>(vp.data[[#This Row],[Sulf]]-INDEX(crudeBD.lkup[Mean_Sulf],MATCH(vp.data[[#This Row],[Crude_Breakdown]],crudeBD.lkup[Crude Breakdown],0)))^2</f>
        <v>0.3684840024120184</v>
      </c>
      <c r="AM718" s="4">
        <f>IF(AND(vp.data[[#This Row],[SDate]]&gt;=DATE(YEAR(vp.data[[#This Row],[SDate]]),5,1),vp.data[[#This Row],[SDate]]&lt;=DATE(YEAR(vp.data[[#This Row],[SDate]]),9,15)),1,0)</f>
        <v>0</v>
      </c>
      <c r="AN718" s="4">
        <f>IF(vp.data[[#This Row],[SDate]]&lt;DATE(2016,12,1),0,1)</f>
        <v>1</v>
      </c>
      <c r="AO718" s="4">
        <f>IFERROR(vp.data[[#This Row],[Sulf]]*vp.data[[#This Row],[Net Dens]],"")</f>
        <v>6276034.0850129994</v>
      </c>
      <c r="AP718">
        <f>IFERROR(vp.data[[#This Row],[Dens]]*vp.data[[#This Row],[VolumeM3]],"")</f>
        <v>4101983.0620999997</v>
      </c>
      <c r="AQ718" s="15">
        <f>IFERROR(vp.data[[#This Row],[VP]]*vp.data[[#This Row],[VolumeM3]],"")</f>
        <v>590478.44539999997</v>
      </c>
    </row>
    <row r="719" spans="1:43" x14ac:dyDescent="0.25">
      <c r="A719">
        <v>718</v>
      </c>
      <c r="B719" t="s">
        <v>51</v>
      </c>
      <c r="C719" t="s">
        <v>51</v>
      </c>
      <c r="D719" t="s">
        <v>153</v>
      </c>
      <c r="F719" s="1">
        <v>42767</v>
      </c>
      <c r="G719" s="2">
        <v>80.7</v>
      </c>
      <c r="H719" s="2"/>
      <c r="I719" s="2">
        <f t="array" ref="I719">_xlfn.IFNA(IF(vp.data[[#This Row],[Sulf Input]]="",INDEX([1]DATA!$Q$3:$Q$9826,MATCH(1,(vp.data[[#This Row],[Battery]]=[1]DATA!$L$3:$L$9826)*(EOMONTH(vp.data[[#This Row],[SDate]],-1)+1=[1]DATA!$G$3:$G$9826),0)),vp.data[[#This Row],[Sulf Input]]),"")</f>
        <v>0.99</v>
      </c>
      <c r="J719" s="2">
        <v>11.6</v>
      </c>
      <c r="K719" s="2">
        <v>-14</v>
      </c>
      <c r="L719" s="2">
        <v>834.8</v>
      </c>
      <c r="M719" s="2">
        <f t="array" ref="M719">_xlfn.IFNA(IF(vp.data[[#This Row],[Dens Input]]="",INDEX([1]DATA!$O$3:$O$9826,MATCH(1,(vp.data[[#This Row],[Battery]]=[1]DATA!$L$3:$L$9826)*(EOMONTH(vp.data[[#This Row],[SDate]],-1)+1=[1]DATA!$G$3:$G$9826),0)),vp.data[[#This Row],[Dens Input]]),"")</f>
        <v>834.8</v>
      </c>
      <c r="N719" s="2">
        <f ca="1">INDEX(INDIRECT(_xlfn.CONCAT("weather.tbl[",N$1,"]")),MATCH(vp.data[[#This Row],[SDate]],weather.tbl[Date],0))</f>
        <v>-17.433333333333334</v>
      </c>
      <c r="O719" s="2">
        <f ca="1">INDEX(INDIRECT(_xlfn.CONCAT("weather.tbl[",O$1,"]")),MATCH(vp.data[[#This Row],[SDate]],weather.tbl[Date],0))</f>
        <v>-6.8666666666666663</v>
      </c>
      <c r="P719" s="2">
        <f ca="1">INDEX(INDIRECT(_xlfn.CONCAT("weather.tbl[",P$1,"]")),MATCH(vp.data[[#This Row],[SDate]],weather.tbl[Date],0))</f>
        <v>-18</v>
      </c>
      <c r="Q719" s="2">
        <f ca="1">INDEX(INDIRECT(_xlfn.CONCAT("weather.tbl[",Q$1,"]")),MATCH(vp.data[[#This Row],[SDate]],weather.tbl[Date],0))</f>
        <v>-17.2</v>
      </c>
      <c r="R719" s="2">
        <f ca="1">INDEX(INDIRECT(_xlfn.CONCAT("weather.tbl[",R$1,"]")),MATCH(vp.data[[#This Row],[SDate]],weather.tbl[Date],0))</f>
        <v>-19.3</v>
      </c>
      <c r="S719" s="2">
        <f ca="1">INDEX(INDIRECT(_xlfn.CONCAT("weather.tbl[",S$1,"]")),MATCH(vp.data[[#This Row],[SDate]],weather.tbl[Date],0))</f>
        <v>-11.2</v>
      </c>
      <c r="T719" s="2">
        <f ca="1">INDEX(INDIRECT(_xlfn.CONCAT("weather.tbl[",T$1,"]")),MATCH(vp.data[[#This Row],[SDate]],weather.tbl[Date],0))</f>
        <v>-19.399999999999999</v>
      </c>
      <c r="U719" s="2">
        <f ca="1">INDEX(INDIRECT(_xlfn.CONCAT("weather.tbl[",U$1,"]")),MATCH(vp.data[[#This Row],[SDate]],weather.tbl[Date],0))</f>
        <v>-19.5</v>
      </c>
      <c r="V719" s="2">
        <f t="array" ref="V7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1340.56</v>
      </c>
      <c r="W719" t="s">
        <v>48</v>
      </c>
      <c r="X719">
        <f>IF(OR(vp.data[[#This Row],[Sulf]]="",vp.data[[#This Row],[Dens]]=""),1,0)</f>
        <v>0</v>
      </c>
      <c r="Y719">
        <f>IF(vp.data[[#This Row],[CrudeType]]="C5+",1,0)</f>
        <v>0</v>
      </c>
      <c r="Z719">
        <f>IF(AND(vp.data[[#This Row],[CrudeType]]="Crude",vp.data[[#This Row],[Dens]]&lt;=825,vp.data[[#This Row],[Sulf]]&gt;0.5,vp.data[[#This Row],[Unknown]]=0),1,0)</f>
        <v>0</v>
      </c>
      <c r="AA719">
        <f>IF(AND(vp.data[[#This Row],[CrudeType]]="Crude",vp.data[[#This Row],[Dens]]&lt;=825,vp.data[[#This Row],[Sulf]]&lt;=0.5,vp.data[[#This Row],[Unknown]]=0),1,0)</f>
        <v>0</v>
      </c>
      <c r="AB7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19">
        <f>IF(AND(vp.data[[#This Row],[CrudeType]]="Crude",vp.data[[#This Row],[Dens]]&gt;825,vp.data[[#This Row],[Dens]]&lt;=900,vp.data[[#This Row],[Sulf]]&lt;=0.5,vp.data[[#This Row],[Unknown]]=0),1,0)</f>
        <v>0</v>
      </c>
      <c r="AD719">
        <f>IF(AND(vp.data[[#This Row],[CrudeType]]="Crude",vp.data[[#This Row],[Dens]]&gt;865,vp.data[[#This Row],[Dens]]&lt;=900,vp.data[[#This Row],[Sulf]]&gt;2,vp.data[[#This Row],[Unknown]]=0),1,0)</f>
        <v>0</v>
      </c>
      <c r="AE719">
        <f>IF(AND(vp.data[[#This Row],[CrudeType]]="Crude",vp.data[[#This Row],[Dens]]&gt;900,vp.data[[#This Row],[Sulf]]&lt;=0.5,vp.data[[#This Row],[Unknown]]=0),1,0)</f>
        <v>0</v>
      </c>
      <c r="AF719">
        <f>IF(AND(vp.data[[#This Row],[CrudeType]]="Crude",vp.data[[#This Row],[Dens]]&gt;900,vp.data[[#This Row],[Sulf]]&lt;=0.5,vp.data[[#This Row],[Unknown]]=0),1,0)</f>
        <v>0</v>
      </c>
      <c r="AG719" t="str">
        <f>INDEX(vp.data[[#Headers],[Unknown]:[Heavy_SW]],MATCH(1,vp.data[[#This Row],[Unknown]:[Heavy_SW]],0))</f>
        <v>Medium_LSB</v>
      </c>
      <c r="AH719">
        <f>INDEX([3]!crudeBD.lkup[Number],MATCH(vp.data[[#This Row],[Crude_Breakdown]],crudeBD.lkup[Crude Breakdown],0))</f>
        <v>3</v>
      </c>
      <c r="AI719">
        <f>MONTH(vp.data[[#This Row],[SDate]])</f>
        <v>2</v>
      </c>
      <c r="AJ719" s="5">
        <f>(vp.data[[#This Row],[VP]]-INDEX(crudeBD.lkup[Mean_VP],MATCH(vp.data[[#This Row],[Crude_Breakdown]],crudeBD.lkup[Crude Breakdown],0)))^2</f>
        <v>3.6389186361711679E-3</v>
      </c>
      <c r="AK719" s="5">
        <f>(vp.data[[#This Row],[Dens]]-INDEX(crudeBD.lkup[Mean_Dens],MATCH(vp.data[[#This Row],[Crude_Breakdown]],crudeBD.lkup[Crude Breakdown],0)))^2</f>
        <v>83.174399999991792</v>
      </c>
      <c r="AL719" s="5">
        <f>(vp.data[[#This Row],[Sulf]]-INDEX(crudeBD.lkup[Mean_Sulf],MATCH(vp.data[[#This Row],[Crude_Breakdown]],crudeBD.lkup[Crude Breakdown],0)))^2</f>
        <v>0.15634758664825446</v>
      </c>
      <c r="AM719" s="4">
        <f>IF(AND(vp.data[[#This Row],[SDate]]&gt;=DATE(YEAR(vp.data[[#This Row],[SDate]]),5,1),vp.data[[#This Row],[SDate]]&lt;=DATE(YEAR(vp.data[[#This Row],[SDate]]),9,15)),1,0)</f>
        <v>0</v>
      </c>
      <c r="AN719" s="4">
        <f>IF(vp.data[[#This Row],[SDate]]&lt;DATE(2016,12,1),0,1)</f>
        <v>1</v>
      </c>
      <c r="AO719" s="4">
        <f>IFERROR(vp.data[[#This Row],[Sulf]]*vp.data[[#This Row],[Net Dens]],"")</f>
        <v>1107908.49312</v>
      </c>
      <c r="AP719">
        <f>IFERROR(vp.data[[#This Row],[Dens]]*vp.data[[#This Row],[VolumeM3]],"")</f>
        <v>1119099.4879999999</v>
      </c>
      <c r="AQ719" s="15">
        <f>IFERROR(vp.data[[#This Row],[VP]]*vp.data[[#This Row],[VolumeM3]],"")</f>
        <v>108183.192</v>
      </c>
    </row>
    <row r="720" spans="1:43" x14ac:dyDescent="0.25">
      <c r="A720">
        <v>719</v>
      </c>
      <c r="B720" t="s">
        <v>51</v>
      </c>
      <c r="C720" t="s">
        <v>51</v>
      </c>
      <c r="D720" t="s">
        <v>72</v>
      </c>
      <c r="F720" s="1">
        <v>42767</v>
      </c>
      <c r="G720" s="2">
        <v>97.9</v>
      </c>
      <c r="H720" s="2"/>
      <c r="I720" s="2">
        <f t="array" ref="I720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720" s="2">
        <v>15.6</v>
      </c>
      <c r="K720" s="2">
        <v>-14</v>
      </c>
      <c r="L720" s="2">
        <v>835.1</v>
      </c>
      <c r="M720" s="2">
        <f t="array" ref="M720">_xlfn.IFNA(IF(vp.data[[#This Row],[Dens Input]]="",INDEX([1]DATA!$O$3:$O$9826,MATCH(1,(vp.data[[#This Row],[Battery]]=[1]DATA!$L$3:$L$9826)*(EOMONTH(vp.data[[#This Row],[SDate]],-1)+1=[1]DATA!$G$3:$G$9826),0)),vp.data[[#This Row],[Dens Input]]),"")</f>
        <v>835.1</v>
      </c>
      <c r="N720" s="2">
        <f ca="1">INDEX(INDIRECT(_xlfn.CONCAT("weather.tbl[",N$1,"]")),MATCH(vp.data[[#This Row],[SDate]],weather.tbl[Date],0))</f>
        <v>-17.433333333333334</v>
      </c>
      <c r="O720" s="2">
        <f ca="1">INDEX(INDIRECT(_xlfn.CONCAT("weather.tbl[",O$1,"]")),MATCH(vp.data[[#This Row],[SDate]],weather.tbl[Date],0))</f>
        <v>-6.8666666666666663</v>
      </c>
      <c r="P720" s="2">
        <f ca="1">INDEX(INDIRECT(_xlfn.CONCAT("weather.tbl[",P$1,"]")),MATCH(vp.data[[#This Row],[SDate]],weather.tbl[Date],0))</f>
        <v>-18</v>
      </c>
      <c r="Q720" s="2">
        <f ca="1">INDEX(INDIRECT(_xlfn.CONCAT("weather.tbl[",Q$1,"]")),MATCH(vp.data[[#This Row],[SDate]],weather.tbl[Date],0))</f>
        <v>-17.2</v>
      </c>
      <c r="R720" s="2">
        <f ca="1">INDEX(INDIRECT(_xlfn.CONCAT("weather.tbl[",R$1,"]")),MATCH(vp.data[[#This Row],[SDate]],weather.tbl[Date],0))</f>
        <v>-19.3</v>
      </c>
      <c r="S720" s="2">
        <f ca="1">INDEX(INDIRECT(_xlfn.CONCAT("weather.tbl[",S$1,"]")),MATCH(vp.data[[#This Row],[SDate]],weather.tbl[Date],0))</f>
        <v>-11.2</v>
      </c>
      <c r="T720" s="2">
        <f ca="1">INDEX(INDIRECT(_xlfn.CONCAT("weather.tbl[",T$1,"]")),MATCH(vp.data[[#This Row],[SDate]],weather.tbl[Date],0))</f>
        <v>-19.399999999999999</v>
      </c>
      <c r="U720" s="2">
        <f ca="1">INDEX(INDIRECT(_xlfn.CONCAT("weather.tbl[",U$1,"]")),MATCH(vp.data[[#This Row],[SDate]],weather.tbl[Date],0))</f>
        <v>-19.5</v>
      </c>
      <c r="V720" s="2">
        <f t="array" ref="V7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720" t="s">
        <v>48</v>
      </c>
      <c r="X720">
        <f>IF(OR(vp.data[[#This Row],[Sulf]]="",vp.data[[#This Row],[Dens]]=""),1,0)</f>
        <v>0</v>
      </c>
      <c r="Y720">
        <f>IF(vp.data[[#This Row],[CrudeType]]="C5+",1,0)</f>
        <v>0</v>
      </c>
      <c r="Z720">
        <f>IF(AND(vp.data[[#This Row],[CrudeType]]="Crude",vp.data[[#This Row],[Dens]]&lt;=825,vp.data[[#This Row],[Sulf]]&gt;0.5,vp.data[[#This Row],[Unknown]]=0),1,0)</f>
        <v>0</v>
      </c>
      <c r="AA720">
        <f>IF(AND(vp.data[[#This Row],[CrudeType]]="Crude",vp.data[[#This Row],[Dens]]&lt;=825,vp.data[[#This Row],[Sulf]]&lt;=0.5,vp.data[[#This Row],[Unknown]]=0),1,0)</f>
        <v>0</v>
      </c>
      <c r="AB7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0">
        <f>IF(AND(vp.data[[#This Row],[CrudeType]]="Crude",vp.data[[#This Row],[Dens]]&gt;825,vp.data[[#This Row],[Dens]]&lt;=900,vp.data[[#This Row],[Sulf]]&lt;=0.5,vp.data[[#This Row],[Unknown]]=0),1,0)</f>
        <v>0</v>
      </c>
      <c r="AD720">
        <f>IF(AND(vp.data[[#This Row],[CrudeType]]="Crude",vp.data[[#This Row],[Dens]]&gt;865,vp.data[[#This Row],[Dens]]&lt;=900,vp.data[[#This Row],[Sulf]]&gt;2,vp.data[[#This Row],[Unknown]]=0),1,0)</f>
        <v>0</v>
      </c>
      <c r="AE720">
        <f>IF(AND(vp.data[[#This Row],[CrudeType]]="Crude",vp.data[[#This Row],[Dens]]&gt;900,vp.data[[#This Row],[Sulf]]&lt;=0.5,vp.data[[#This Row],[Unknown]]=0),1,0)</f>
        <v>0</v>
      </c>
      <c r="AF720">
        <f>IF(AND(vp.data[[#This Row],[CrudeType]]="Crude",vp.data[[#This Row],[Dens]]&gt;900,vp.data[[#This Row],[Sulf]]&lt;=0.5,vp.data[[#This Row],[Unknown]]=0),1,0)</f>
        <v>0</v>
      </c>
      <c r="AG720" t="str">
        <f>INDEX(vp.data[[#Headers],[Unknown]:[Heavy_SW]],MATCH(1,vp.data[[#This Row],[Unknown]:[Heavy_SW]],0))</f>
        <v>Medium_LSB</v>
      </c>
      <c r="AH720">
        <f>INDEX([3]!crudeBD.lkup[Number],MATCH(vp.data[[#This Row],[Crude_Breakdown]],crudeBD.lkup[Crude Breakdown],0))</f>
        <v>3</v>
      </c>
      <c r="AI720">
        <f>MONTH(vp.data[[#This Row],[SDate]])</f>
        <v>2</v>
      </c>
      <c r="AJ720" s="5">
        <f>(vp.data[[#This Row],[VP]]-INDEX(crudeBD.lkup[Mean_VP],MATCH(vp.data[[#This Row],[Crude_Breakdown]],crudeBD.lkup[Crude Breakdown],0)))^2</f>
        <v>297.91876560327495</v>
      </c>
      <c r="AK720" s="5">
        <f>(vp.data[[#This Row],[Dens]]-INDEX(crudeBD.lkup[Mean_Dens],MATCH(vp.data[[#This Row],[Crude_Breakdown]],crudeBD.lkup[Crude Breakdown],0)))^2</f>
        <v>77.792399999990849</v>
      </c>
      <c r="AL720" s="5">
        <f>(vp.data[[#This Row],[Sulf]]-INDEX(crudeBD.lkup[Mean_Sulf],MATCH(vp.data[[#This Row],[Crude_Breakdown]],crudeBD.lkup[Crude Breakdown],0)))^2</f>
        <v>6.5233311176555966E-2</v>
      </c>
      <c r="AM720" s="4">
        <f>IF(AND(vp.data[[#This Row],[SDate]]&gt;=DATE(YEAR(vp.data[[#This Row],[SDate]]),5,1),vp.data[[#This Row],[SDate]]&lt;=DATE(YEAR(vp.data[[#This Row],[SDate]]),9,15)),1,0)</f>
        <v>0</v>
      </c>
      <c r="AN720" s="4">
        <f>IF(vp.data[[#This Row],[SDate]]&lt;DATE(2016,12,1),0,1)</f>
        <v>1</v>
      </c>
      <c r="AO720" s="4">
        <f>IFERROR(vp.data[[#This Row],[Sulf]]*vp.data[[#This Row],[Net Dens]],"")</f>
        <v>11834980.655378999</v>
      </c>
      <c r="AP720">
        <f>IFERROR(vp.data[[#This Row],[Dens]]*vp.data[[#This Row],[VolumeM3]],"")</f>
        <v>10473434.2083</v>
      </c>
      <c r="AQ720" s="15">
        <f>IFERROR(vp.data[[#This Row],[VP]]*vp.data[[#This Row],[VolumeM3]],"")</f>
        <v>1227816.0807</v>
      </c>
    </row>
    <row r="721" spans="1:43" x14ac:dyDescent="0.25">
      <c r="A721">
        <v>720</v>
      </c>
      <c r="B721" t="s">
        <v>68</v>
      </c>
      <c r="C721" t="s">
        <v>68</v>
      </c>
      <c r="D721" t="s">
        <v>98</v>
      </c>
      <c r="F721" s="1">
        <v>42767</v>
      </c>
      <c r="G721" s="2">
        <v>60.7</v>
      </c>
      <c r="H721" s="2"/>
      <c r="I721" s="2">
        <f t="array" ref="I721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721" s="2">
        <v>22.1</v>
      </c>
      <c r="K721" s="2">
        <v>-14</v>
      </c>
      <c r="L721" s="2">
        <v>853.9</v>
      </c>
      <c r="M721" s="2">
        <f t="array" ref="M721">_xlfn.IFNA(IF(vp.data[[#This Row],[Dens Input]]="",INDEX([1]DATA!$O$3:$O$9826,MATCH(1,(vp.data[[#This Row],[Battery]]=[1]DATA!$L$3:$L$9826)*(EOMONTH(vp.data[[#This Row],[SDate]],-1)+1=[1]DATA!$G$3:$G$9826),0)),vp.data[[#This Row],[Dens Input]]),"")</f>
        <v>853.9</v>
      </c>
      <c r="N721" s="2">
        <f ca="1">INDEX(INDIRECT(_xlfn.CONCAT("weather.tbl[",N$1,"]")),MATCH(vp.data[[#This Row],[SDate]],weather.tbl[Date],0))</f>
        <v>-17.433333333333334</v>
      </c>
      <c r="O721" s="2">
        <f ca="1">INDEX(INDIRECT(_xlfn.CONCAT("weather.tbl[",O$1,"]")),MATCH(vp.data[[#This Row],[SDate]],weather.tbl[Date],0))</f>
        <v>-6.8666666666666663</v>
      </c>
      <c r="P721" s="2">
        <f ca="1">INDEX(INDIRECT(_xlfn.CONCAT("weather.tbl[",P$1,"]")),MATCH(vp.data[[#This Row],[SDate]],weather.tbl[Date],0))</f>
        <v>-18</v>
      </c>
      <c r="Q721" s="2">
        <f ca="1">INDEX(INDIRECT(_xlfn.CONCAT("weather.tbl[",Q$1,"]")),MATCH(vp.data[[#This Row],[SDate]],weather.tbl[Date],0))</f>
        <v>-17.2</v>
      </c>
      <c r="R721" s="2">
        <f ca="1">INDEX(INDIRECT(_xlfn.CONCAT("weather.tbl[",R$1,"]")),MATCH(vp.data[[#This Row],[SDate]],weather.tbl[Date],0))</f>
        <v>-19.3</v>
      </c>
      <c r="S721" s="2">
        <f ca="1">INDEX(INDIRECT(_xlfn.CONCAT("weather.tbl[",S$1,"]")),MATCH(vp.data[[#This Row],[SDate]],weather.tbl[Date],0))</f>
        <v>-11.2</v>
      </c>
      <c r="T721" s="2">
        <f ca="1">INDEX(INDIRECT(_xlfn.CONCAT("weather.tbl[",T$1,"]")),MATCH(vp.data[[#This Row],[SDate]],weather.tbl[Date],0))</f>
        <v>-19.399999999999999</v>
      </c>
      <c r="U721" s="2">
        <f ca="1">INDEX(INDIRECT(_xlfn.CONCAT("weather.tbl[",U$1,"]")),MATCH(vp.data[[#This Row],[SDate]],weather.tbl[Date],0))</f>
        <v>-19.5</v>
      </c>
      <c r="V721" s="2">
        <f t="array" ref="V7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4577.7129999999997</v>
      </c>
      <c r="W721" t="s">
        <v>48</v>
      </c>
      <c r="X721">
        <f>IF(OR(vp.data[[#This Row],[Sulf]]="",vp.data[[#This Row],[Dens]]=""),1,0)</f>
        <v>0</v>
      </c>
      <c r="Y721">
        <f>IF(vp.data[[#This Row],[CrudeType]]="C5+",1,0)</f>
        <v>0</v>
      </c>
      <c r="Z721">
        <f>IF(AND(vp.data[[#This Row],[CrudeType]]="Crude",vp.data[[#This Row],[Dens]]&lt;=825,vp.data[[#This Row],[Sulf]]&gt;0.5,vp.data[[#This Row],[Unknown]]=0),1,0)</f>
        <v>0</v>
      </c>
      <c r="AA721">
        <f>IF(AND(vp.data[[#This Row],[CrudeType]]="Crude",vp.data[[#This Row],[Dens]]&lt;=825,vp.data[[#This Row],[Sulf]]&lt;=0.5,vp.data[[#This Row],[Unknown]]=0),1,0)</f>
        <v>0</v>
      </c>
      <c r="AB7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1">
        <f>IF(AND(vp.data[[#This Row],[CrudeType]]="Crude",vp.data[[#This Row],[Dens]]&gt;825,vp.data[[#This Row],[Dens]]&lt;=900,vp.data[[#This Row],[Sulf]]&lt;=0.5,vp.data[[#This Row],[Unknown]]=0),1,0)</f>
        <v>0</v>
      </c>
      <c r="AD721">
        <f>IF(AND(vp.data[[#This Row],[CrudeType]]="Crude",vp.data[[#This Row],[Dens]]&gt;865,vp.data[[#This Row],[Dens]]&lt;=900,vp.data[[#This Row],[Sulf]]&gt;2,vp.data[[#This Row],[Unknown]]=0),1,0)</f>
        <v>0</v>
      </c>
      <c r="AE721">
        <f>IF(AND(vp.data[[#This Row],[CrudeType]]="Crude",vp.data[[#This Row],[Dens]]&gt;900,vp.data[[#This Row],[Sulf]]&lt;=0.5,vp.data[[#This Row],[Unknown]]=0),1,0)</f>
        <v>0</v>
      </c>
      <c r="AF721">
        <f>IF(AND(vp.data[[#This Row],[CrudeType]]="Crude",vp.data[[#This Row],[Dens]]&gt;900,vp.data[[#This Row],[Sulf]]&lt;=0.5,vp.data[[#This Row],[Unknown]]=0),1,0)</f>
        <v>0</v>
      </c>
      <c r="AG721" t="str">
        <f>INDEX(vp.data[[#Headers],[Unknown]:[Heavy_SW]],MATCH(1,vp.data[[#This Row],[Unknown]:[Heavy_SW]],0))</f>
        <v>Medium_LSB</v>
      </c>
      <c r="AH721">
        <f>INDEX([3]!crudeBD.lkup[Number],MATCH(vp.data[[#This Row],[Crude_Breakdown]],crudeBD.lkup[Crude Breakdown],0))</f>
        <v>3</v>
      </c>
      <c r="AI721">
        <f>MONTH(vp.data[[#This Row],[SDate]])</f>
        <v>2</v>
      </c>
      <c r="AJ721" s="5">
        <f>(vp.data[[#This Row],[VP]]-INDEX(crudeBD.lkup[Mean_VP],MATCH(vp.data[[#This Row],[Crude_Breakdown]],crudeBD.lkup[Crude Breakdown],0)))^2</f>
        <v>397.59070091324236</v>
      </c>
      <c r="AK721" s="5">
        <f>(vp.data[[#This Row],[Dens]]-INDEX(crudeBD.lkup[Mean_Dens],MATCH(vp.data[[#This Row],[Crude_Breakdown]],crudeBD.lkup[Crude Breakdown],0)))^2</f>
        <v>99.600400000009444</v>
      </c>
      <c r="AL721" s="5">
        <f>(vp.data[[#This Row],[Sulf]]-INDEX(crudeBD.lkup[Mean_Sulf],MATCH(vp.data[[#This Row],[Crude_Breakdown]],crudeBD.lkup[Crude Breakdown],0)))^2</f>
        <v>3.0700605027008461E-3</v>
      </c>
      <c r="AM721" s="4">
        <f>IF(AND(vp.data[[#This Row],[SDate]]&gt;=DATE(YEAR(vp.data[[#This Row],[SDate]]),5,1),vp.data[[#This Row],[SDate]]&lt;=DATE(YEAR(vp.data[[#This Row],[SDate]]),9,15)),1,0)</f>
        <v>0</v>
      </c>
      <c r="AN721" s="4">
        <f>IF(vp.data[[#This Row],[SDate]]&lt;DATE(2016,12,1),0,1)</f>
        <v>1</v>
      </c>
      <c r="AO721" s="4">
        <f>IFERROR(vp.data[[#This Row],[Sulf]]*vp.data[[#This Row],[Net Dens]],"")</f>
        <v>5198849.1438309997</v>
      </c>
      <c r="AP721">
        <f>IFERROR(vp.data[[#This Row],[Dens]]*vp.data[[#This Row],[VolumeM3]],"")</f>
        <v>3908909.1306999996</v>
      </c>
      <c r="AQ721" s="15">
        <f>IFERROR(vp.data[[#This Row],[VP]]*vp.data[[#This Row],[VolumeM3]],"")</f>
        <v>277867.17910000001</v>
      </c>
    </row>
    <row r="722" spans="1:43" x14ac:dyDescent="0.25">
      <c r="A722">
        <v>721</v>
      </c>
      <c r="B722" t="s">
        <v>62</v>
      </c>
      <c r="C722" t="s">
        <v>62</v>
      </c>
      <c r="D722" t="s">
        <v>63</v>
      </c>
      <c r="F722" s="1">
        <v>42769</v>
      </c>
      <c r="G722" s="2">
        <v>112.8</v>
      </c>
      <c r="H722" s="2"/>
      <c r="I722" s="2">
        <f t="array" ref="I722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22" s="2">
        <v>1.4</v>
      </c>
      <c r="K722" s="2">
        <v>-6</v>
      </c>
      <c r="L722" s="2">
        <v>831.4</v>
      </c>
      <c r="M722" s="2">
        <f t="array" ref="M722">_xlfn.IFNA(IF(vp.data[[#This Row],[Dens Input]]="",INDEX([1]DATA!$O$3:$O$9826,MATCH(1,(vp.data[[#This Row],[Battery]]=[1]DATA!$L$3:$L$9826)*(EOMONTH(vp.data[[#This Row],[SDate]],-1)+1=[1]DATA!$G$3:$G$9826),0)),vp.data[[#This Row],[Dens Input]]),"")</f>
        <v>831.4</v>
      </c>
      <c r="N722" s="2">
        <f ca="1">INDEX(INDIRECT(_xlfn.CONCAT("weather.tbl[",N$1,"]")),MATCH(vp.data[[#This Row],[SDate]],weather.tbl[Date],0))</f>
        <v>-15.966666666666667</v>
      </c>
      <c r="O722" s="2">
        <f ca="1">INDEX(INDIRECT(_xlfn.CONCAT("weather.tbl[",O$1,"]")),MATCH(vp.data[[#This Row],[SDate]],weather.tbl[Date],0))</f>
        <v>-9.2309523809523828</v>
      </c>
      <c r="P722" s="2">
        <f ca="1">INDEX(INDIRECT(_xlfn.CONCAT("weather.tbl[",P$1,"]")),MATCH(vp.data[[#This Row],[SDate]],weather.tbl[Date],0))</f>
        <v>-16</v>
      </c>
      <c r="Q722" s="2">
        <f ca="1">INDEX(INDIRECT(_xlfn.CONCAT("weather.tbl[",Q$1,"]")),MATCH(vp.data[[#This Row],[SDate]],weather.tbl[Date],0))</f>
        <v>-16</v>
      </c>
      <c r="R722" s="2">
        <f ca="1">INDEX(INDIRECT(_xlfn.CONCAT("weather.tbl[",R$1,"]")),MATCH(vp.data[[#This Row],[SDate]],weather.tbl[Date],0))</f>
        <v>-16.5</v>
      </c>
      <c r="S722" s="2">
        <f ca="1">INDEX(INDIRECT(_xlfn.CONCAT("weather.tbl[",S$1,"]")),MATCH(vp.data[[#This Row],[SDate]],weather.tbl[Date],0))</f>
        <v>-13.4</v>
      </c>
      <c r="T722" s="2">
        <f ca="1">INDEX(INDIRECT(_xlfn.CONCAT("weather.tbl[",T$1,"]")),MATCH(vp.data[[#This Row],[SDate]],weather.tbl[Date],0))</f>
        <v>-17.399999999999999</v>
      </c>
      <c r="U722" s="2">
        <f ca="1">INDEX(INDIRECT(_xlfn.CONCAT("weather.tbl[",U$1,"]")),MATCH(vp.data[[#This Row],[SDate]],weather.tbl[Date],0))</f>
        <v>-16.5</v>
      </c>
      <c r="V722" s="2">
        <f t="array" ref="V7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22" t="s">
        <v>48</v>
      </c>
      <c r="X722">
        <f>IF(OR(vp.data[[#This Row],[Sulf]]="",vp.data[[#This Row],[Dens]]=""),1,0)</f>
        <v>0</v>
      </c>
      <c r="Y722">
        <f>IF(vp.data[[#This Row],[CrudeType]]="C5+",1,0)</f>
        <v>0</v>
      </c>
      <c r="Z722">
        <f>IF(AND(vp.data[[#This Row],[CrudeType]]="Crude",vp.data[[#This Row],[Dens]]&lt;=825,vp.data[[#This Row],[Sulf]]&gt;0.5,vp.data[[#This Row],[Unknown]]=0),1,0)</f>
        <v>0</v>
      </c>
      <c r="AA722">
        <f>IF(AND(vp.data[[#This Row],[CrudeType]]="Crude",vp.data[[#This Row],[Dens]]&lt;=825,vp.data[[#This Row],[Sulf]]&lt;=0.5,vp.data[[#This Row],[Unknown]]=0),1,0)</f>
        <v>0</v>
      </c>
      <c r="AB7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2">
        <f>IF(AND(vp.data[[#This Row],[CrudeType]]="Crude",vp.data[[#This Row],[Dens]]&gt;825,vp.data[[#This Row],[Dens]]&lt;=900,vp.data[[#This Row],[Sulf]]&lt;=0.5,vp.data[[#This Row],[Unknown]]=0),1,0)</f>
        <v>0</v>
      </c>
      <c r="AD722">
        <f>IF(AND(vp.data[[#This Row],[CrudeType]]="Crude",vp.data[[#This Row],[Dens]]&gt;865,vp.data[[#This Row],[Dens]]&lt;=900,vp.data[[#This Row],[Sulf]]&gt;2,vp.data[[#This Row],[Unknown]]=0),1,0)</f>
        <v>0</v>
      </c>
      <c r="AE722">
        <f>IF(AND(vp.data[[#This Row],[CrudeType]]="Crude",vp.data[[#This Row],[Dens]]&gt;900,vp.data[[#This Row],[Sulf]]&lt;=0.5,vp.data[[#This Row],[Unknown]]=0),1,0)</f>
        <v>0</v>
      </c>
      <c r="AF722">
        <f>IF(AND(vp.data[[#This Row],[CrudeType]]="Crude",vp.data[[#This Row],[Dens]]&gt;900,vp.data[[#This Row],[Sulf]]&lt;=0.5,vp.data[[#This Row],[Unknown]]=0),1,0)</f>
        <v>0</v>
      </c>
      <c r="AG722" t="str">
        <f>INDEX(vp.data[[#Headers],[Unknown]:[Heavy_SW]],MATCH(1,vp.data[[#This Row],[Unknown]:[Heavy_SW]],0))</f>
        <v>Medium_LSB</v>
      </c>
      <c r="AH722">
        <f>INDEX([3]!crudeBD.lkup[Number],MATCH(vp.data[[#This Row],[Crude_Breakdown]],crudeBD.lkup[Crude Breakdown],0))</f>
        <v>3</v>
      </c>
      <c r="AI722">
        <f>MONTH(vp.data[[#This Row],[SDate]])</f>
        <v>2</v>
      </c>
      <c r="AJ722" s="5">
        <f>(vp.data[[#This Row],[VP]]-INDEX(crudeBD.lkup[Mean_VP],MATCH(vp.data[[#This Row],[Crude_Breakdown]],crudeBD.lkup[Crude Breakdown],0)))^2</f>
        <v>1034.2864044172929</v>
      </c>
      <c r="AK722" s="5">
        <f>(vp.data[[#This Row],[Dens]]-INDEX(crudeBD.lkup[Mean_Dens],MATCH(vp.data[[#This Row],[Crude_Breakdown]],crudeBD.lkup[Crude Breakdown],0)))^2</f>
        <v>156.75039999998816</v>
      </c>
      <c r="AL722" s="5">
        <f>(vp.data[[#This Row],[Sulf]]-INDEX(crudeBD.lkup[Mean_Sulf],MATCH(vp.data[[#This Row],[Crude_Breakdown]],crudeBD.lkup[Crude Breakdown],0)))^2</f>
        <v>2.0906809828845806E-2</v>
      </c>
      <c r="AM722" s="4">
        <f>IF(AND(vp.data[[#This Row],[SDate]]&gt;=DATE(YEAR(vp.data[[#This Row],[SDate]]),5,1),vp.data[[#This Row],[SDate]]&lt;=DATE(YEAR(vp.data[[#This Row],[SDate]]),9,15)),1,0)</f>
        <v>0</v>
      </c>
      <c r="AN722" s="4">
        <f>IF(vp.data[[#This Row],[SDate]]&lt;DATE(2016,12,1),0,1)</f>
        <v>1</v>
      </c>
      <c r="AO722" s="4">
        <f>IFERROR(vp.data[[#This Row],[Sulf]]*vp.data[[#This Row],[Net Dens]],"")</f>
        <v>6333165.115038</v>
      </c>
      <c r="AP722">
        <f>IFERROR(vp.data[[#This Row],[Dens]]*vp.data[[#This Row],[VolumeM3]],"")</f>
        <v>4139323.6045999997</v>
      </c>
      <c r="AQ722" s="15">
        <f>IFERROR(vp.data[[#This Row],[VP]]*vp.data[[#This Row],[VolumeM3]],"")</f>
        <v>561601.75919999997</v>
      </c>
    </row>
    <row r="723" spans="1:43" x14ac:dyDescent="0.25">
      <c r="A723">
        <v>722</v>
      </c>
      <c r="B723" t="s">
        <v>60</v>
      </c>
      <c r="C723" t="s">
        <v>60</v>
      </c>
      <c r="D723" t="s">
        <v>61</v>
      </c>
      <c r="E723" t="s">
        <v>73</v>
      </c>
      <c r="F723" s="1">
        <v>42770</v>
      </c>
      <c r="G723" s="2">
        <v>79</v>
      </c>
      <c r="H723" s="2">
        <v>1.202</v>
      </c>
      <c r="I723" s="2">
        <f t="array" ref="I723">_xlfn.IFNA(IF(vp.data[[#This Row],[Sulf Input]]="",INDEX([1]DATA!$Q$3:$Q$9826,MATCH(1,(vp.data[[#This Row],[Battery]]=[1]DATA!$L$3:$L$9826)*(EOMONTH(vp.data[[#This Row],[SDate]],-1)+1=[1]DATA!$G$3:$G$9826),0)),vp.data[[#This Row],[Sulf Input]]),"")</f>
        <v>1.202</v>
      </c>
      <c r="J723" s="2">
        <v>3.3</v>
      </c>
      <c r="K723" s="2">
        <v>-12</v>
      </c>
      <c r="L723" s="2">
        <v>839.5</v>
      </c>
      <c r="M723" s="2">
        <f t="array" ref="M723">_xlfn.IFNA(IF(vp.data[[#This Row],[Dens Input]]="",INDEX([1]DATA!$O$3:$O$9826,MATCH(1,(vp.data[[#This Row],[Battery]]=[1]DATA!$L$3:$L$9826)*(EOMONTH(vp.data[[#This Row],[SDate]],-1)+1=[1]DATA!$G$3:$G$9826),0)),vp.data[[#This Row],[Dens Input]]),"")</f>
        <v>839.5</v>
      </c>
      <c r="N723" s="2">
        <f ca="1">INDEX(INDIRECT(_xlfn.CONCAT("weather.tbl[",N$1,"]")),MATCH(vp.data[[#This Row],[SDate]],weather.tbl[Date],0))</f>
        <v>-14.933333333333332</v>
      </c>
      <c r="O723" s="2">
        <f ca="1">INDEX(INDIRECT(_xlfn.CONCAT("weather.tbl[",O$1,"]")),MATCH(vp.data[[#This Row],[SDate]],weather.tbl[Date],0))</f>
        <v>-11.192857142857145</v>
      </c>
      <c r="P723" s="2">
        <f ca="1">INDEX(INDIRECT(_xlfn.CONCAT("weather.tbl[",P$1,"]")),MATCH(vp.data[[#This Row],[SDate]],weather.tbl[Date],0))</f>
        <v>-14.5</v>
      </c>
      <c r="Q723" s="2">
        <f ca="1">INDEX(INDIRECT(_xlfn.CONCAT("weather.tbl[",Q$1,"]")),MATCH(vp.data[[#This Row],[SDate]],weather.tbl[Date],0))</f>
        <v>-15</v>
      </c>
      <c r="R723" s="2">
        <f ca="1">INDEX(INDIRECT(_xlfn.CONCAT("weather.tbl[",R$1,"]")),MATCH(vp.data[[#This Row],[SDate]],weather.tbl[Date],0))</f>
        <v>-14.5</v>
      </c>
      <c r="S723" s="2">
        <f ca="1">INDEX(INDIRECT(_xlfn.CONCAT("weather.tbl[",S$1,"]")),MATCH(vp.data[[#This Row],[SDate]],weather.tbl[Date],0))</f>
        <v>-14.2</v>
      </c>
      <c r="T723" s="2">
        <f ca="1">INDEX(INDIRECT(_xlfn.CONCAT("weather.tbl[",T$1,"]")),MATCH(vp.data[[#This Row],[SDate]],weather.tbl[Date],0))</f>
        <v>-15.6</v>
      </c>
      <c r="U723" s="2">
        <f ca="1">INDEX(INDIRECT(_xlfn.CONCAT("weather.tbl[",U$1,"]")),MATCH(vp.data[[#This Row],[SDate]],weather.tbl[Date],0))</f>
        <v>-15.8</v>
      </c>
      <c r="V723" s="2">
        <f t="array" ref="V7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23" t="s">
        <v>48</v>
      </c>
      <c r="X723">
        <f>IF(OR(vp.data[[#This Row],[Sulf]]="",vp.data[[#This Row],[Dens]]=""),1,0)</f>
        <v>0</v>
      </c>
      <c r="Y723">
        <f>IF(vp.data[[#This Row],[CrudeType]]="C5+",1,0)</f>
        <v>0</v>
      </c>
      <c r="Z723">
        <f>IF(AND(vp.data[[#This Row],[CrudeType]]="Crude",vp.data[[#This Row],[Dens]]&lt;=825,vp.data[[#This Row],[Sulf]]&gt;0.5,vp.data[[#This Row],[Unknown]]=0),1,0)</f>
        <v>0</v>
      </c>
      <c r="AA723">
        <f>IF(AND(vp.data[[#This Row],[CrudeType]]="Crude",vp.data[[#This Row],[Dens]]&lt;=825,vp.data[[#This Row],[Sulf]]&lt;=0.5,vp.data[[#This Row],[Unknown]]=0),1,0)</f>
        <v>0</v>
      </c>
      <c r="AB7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3">
        <f>IF(AND(vp.data[[#This Row],[CrudeType]]="Crude",vp.data[[#This Row],[Dens]]&gt;825,vp.data[[#This Row],[Dens]]&lt;=900,vp.data[[#This Row],[Sulf]]&lt;=0.5,vp.data[[#This Row],[Unknown]]=0),1,0)</f>
        <v>0</v>
      </c>
      <c r="AD723">
        <f>IF(AND(vp.data[[#This Row],[CrudeType]]="Crude",vp.data[[#This Row],[Dens]]&gt;865,vp.data[[#This Row],[Dens]]&lt;=900,vp.data[[#This Row],[Sulf]]&gt;2,vp.data[[#This Row],[Unknown]]=0),1,0)</f>
        <v>0</v>
      </c>
      <c r="AE723">
        <f>IF(AND(vp.data[[#This Row],[CrudeType]]="Crude",vp.data[[#This Row],[Dens]]&gt;900,vp.data[[#This Row],[Sulf]]&lt;=0.5,vp.data[[#This Row],[Unknown]]=0),1,0)</f>
        <v>0</v>
      </c>
      <c r="AF723">
        <f>IF(AND(vp.data[[#This Row],[CrudeType]]="Crude",vp.data[[#This Row],[Dens]]&gt;900,vp.data[[#This Row],[Sulf]]&lt;=0.5,vp.data[[#This Row],[Unknown]]=0),1,0)</f>
        <v>0</v>
      </c>
      <c r="AG723" t="str">
        <f>INDEX(vp.data[[#Headers],[Unknown]:[Heavy_SW]],MATCH(1,vp.data[[#This Row],[Unknown]:[Heavy_SW]],0))</f>
        <v>Medium_LSB</v>
      </c>
      <c r="AH723">
        <f>INDEX([3]!crudeBD.lkup[Number],MATCH(vp.data[[#This Row],[Crude_Breakdown]],crudeBD.lkup[Crude Breakdown],0))</f>
        <v>3</v>
      </c>
      <c r="AI723">
        <f>MONTH(vp.data[[#This Row],[SDate]])</f>
        <v>2</v>
      </c>
      <c r="AJ723" s="5">
        <f>(vp.data[[#This Row],[VP]]-INDEX(crudeBD.lkup[Mean_VP],MATCH(vp.data[[#This Row],[Crude_Breakdown]],crudeBD.lkup[Crude Breakdown],0)))^2</f>
        <v>2.6885391881777063</v>
      </c>
      <c r="AK723" s="5">
        <f>(vp.data[[#This Row],[Dens]]-INDEX(crudeBD.lkup[Mean_Dens],MATCH(vp.data[[#This Row],[Crude_Breakdown]],crudeBD.lkup[Crude Breakdown],0)))^2</f>
        <v>19.53639999999562</v>
      </c>
      <c r="AL723" s="5">
        <f>(vp.data[[#This Row],[Sulf]]-INDEX(crudeBD.lkup[Mean_Sulf],MATCH(vp.data[[#This Row],[Crude_Breakdown]],crudeBD.lkup[Crude Breakdown],0)))^2</f>
        <v>3.3638540933968106E-2</v>
      </c>
      <c r="AM723" s="4">
        <f>IF(AND(vp.data[[#This Row],[SDate]]&gt;=DATE(YEAR(vp.data[[#This Row],[SDate]]),5,1),vp.data[[#This Row],[SDate]]&lt;=DATE(YEAR(vp.data[[#This Row],[SDate]]),9,15)),1,0)</f>
        <v>0</v>
      </c>
      <c r="AN723" s="4">
        <f>IF(vp.data[[#This Row],[SDate]]&lt;DATE(2016,12,1),0,1)</f>
        <v>1</v>
      </c>
      <c r="AO723" s="4">
        <f>IFERROR(vp.data[[#This Row],[Sulf]]*vp.data[[#This Row],[Net Dens]],"")</f>
        <v>97378092.213128999</v>
      </c>
      <c r="AP723">
        <f>IFERROR(vp.data[[#This Row],[Dens]]*vp.data[[#This Row],[VolumeM3]],"")</f>
        <v>81013387.864500001</v>
      </c>
      <c r="AQ723" s="15">
        <f>IFERROR(vp.data[[#This Row],[VP]]*vp.data[[#This Row],[VolumeM3]],"")</f>
        <v>7623654.1289999997</v>
      </c>
    </row>
    <row r="724" spans="1:43" x14ac:dyDescent="0.25">
      <c r="A724">
        <v>723</v>
      </c>
      <c r="B724" t="s">
        <v>49</v>
      </c>
      <c r="C724" t="s">
        <v>49</v>
      </c>
      <c r="D724" t="s">
        <v>154</v>
      </c>
      <c r="F724" s="1">
        <v>42770</v>
      </c>
      <c r="G724" s="2">
        <v>98.5</v>
      </c>
      <c r="H724" s="2">
        <v>1.2110000000000001</v>
      </c>
      <c r="I724" s="2">
        <f t="array" ref="I724">_xlfn.IFNA(IF(vp.data[[#This Row],[Sulf Input]]="",INDEX([1]DATA!$Q$3:$Q$9826,MATCH(1,(vp.data[[#This Row],[Battery]]=[1]DATA!$L$3:$L$9826)*(EOMONTH(vp.data[[#This Row],[SDate]],-1)+1=[1]DATA!$G$3:$G$9826),0)),vp.data[[#This Row],[Sulf Input]]),"")</f>
        <v>1.2110000000000001</v>
      </c>
      <c r="J724" s="2">
        <v>11.9</v>
      </c>
      <c r="K724" s="2">
        <v>-15</v>
      </c>
      <c r="L724" s="2">
        <v>840.1</v>
      </c>
      <c r="M724" s="2">
        <f t="array" ref="M724">_xlfn.IFNA(IF(vp.data[[#This Row],[Dens Input]]="",INDEX([1]DATA!$O$3:$O$9826,MATCH(1,(vp.data[[#This Row],[Battery]]=[1]DATA!$L$3:$L$9826)*(EOMONTH(vp.data[[#This Row],[SDate]],-1)+1=[1]DATA!$G$3:$G$9826),0)),vp.data[[#This Row],[Dens Input]]),"")</f>
        <v>840.1</v>
      </c>
      <c r="N724" s="2">
        <f ca="1">INDEX(INDIRECT(_xlfn.CONCAT("weather.tbl[",N$1,"]")),MATCH(vp.data[[#This Row],[SDate]],weather.tbl[Date],0))</f>
        <v>-14.933333333333332</v>
      </c>
      <c r="O724" s="2">
        <f ca="1">INDEX(INDIRECT(_xlfn.CONCAT("weather.tbl[",O$1,"]")),MATCH(vp.data[[#This Row],[SDate]],weather.tbl[Date],0))</f>
        <v>-11.192857142857145</v>
      </c>
      <c r="P724" s="2">
        <f ca="1">INDEX(INDIRECT(_xlfn.CONCAT("weather.tbl[",P$1,"]")),MATCH(vp.data[[#This Row],[SDate]],weather.tbl[Date],0))</f>
        <v>-14.5</v>
      </c>
      <c r="Q724" s="2">
        <f ca="1">INDEX(INDIRECT(_xlfn.CONCAT("weather.tbl[",Q$1,"]")),MATCH(vp.data[[#This Row],[SDate]],weather.tbl[Date],0))</f>
        <v>-15</v>
      </c>
      <c r="R724" s="2">
        <f ca="1">INDEX(INDIRECT(_xlfn.CONCAT("weather.tbl[",R$1,"]")),MATCH(vp.data[[#This Row],[SDate]],weather.tbl[Date],0))</f>
        <v>-14.5</v>
      </c>
      <c r="S724" s="2">
        <f ca="1">INDEX(INDIRECT(_xlfn.CONCAT("weather.tbl[",S$1,"]")),MATCH(vp.data[[#This Row],[SDate]],weather.tbl[Date],0))</f>
        <v>-14.2</v>
      </c>
      <c r="T724" s="2">
        <f ca="1">INDEX(INDIRECT(_xlfn.CONCAT("weather.tbl[",T$1,"]")),MATCH(vp.data[[#This Row],[SDate]],weather.tbl[Date],0))</f>
        <v>-15.6</v>
      </c>
      <c r="U724" s="2">
        <f ca="1">INDEX(INDIRECT(_xlfn.CONCAT("weather.tbl[",U$1,"]")),MATCH(vp.data[[#This Row],[SDate]],weather.tbl[Date],0))</f>
        <v>-15.8</v>
      </c>
      <c r="V724" s="2">
        <f t="array" ref="V7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2171.7860000000001</v>
      </c>
      <c r="W724" t="s">
        <v>48</v>
      </c>
      <c r="X724">
        <f>IF(OR(vp.data[[#This Row],[Sulf]]="",vp.data[[#This Row],[Dens]]=""),1,0)</f>
        <v>0</v>
      </c>
      <c r="Y724">
        <f>IF(vp.data[[#This Row],[CrudeType]]="C5+",1,0)</f>
        <v>0</v>
      </c>
      <c r="Z724">
        <f>IF(AND(vp.data[[#This Row],[CrudeType]]="Crude",vp.data[[#This Row],[Dens]]&lt;=825,vp.data[[#This Row],[Sulf]]&gt;0.5,vp.data[[#This Row],[Unknown]]=0),1,0)</f>
        <v>0</v>
      </c>
      <c r="AA724">
        <f>IF(AND(vp.data[[#This Row],[CrudeType]]="Crude",vp.data[[#This Row],[Dens]]&lt;=825,vp.data[[#This Row],[Sulf]]&lt;=0.5,vp.data[[#This Row],[Unknown]]=0),1,0)</f>
        <v>0</v>
      </c>
      <c r="AB7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4">
        <f>IF(AND(vp.data[[#This Row],[CrudeType]]="Crude",vp.data[[#This Row],[Dens]]&gt;825,vp.data[[#This Row],[Dens]]&lt;=900,vp.data[[#This Row],[Sulf]]&lt;=0.5,vp.data[[#This Row],[Unknown]]=0),1,0)</f>
        <v>0</v>
      </c>
      <c r="AD724">
        <f>IF(AND(vp.data[[#This Row],[CrudeType]]="Crude",vp.data[[#This Row],[Dens]]&gt;865,vp.data[[#This Row],[Dens]]&lt;=900,vp.data[[#This Row],[Sulf]]&gt;2,vp.data[[#This Row],[Unknown]]=0),1,0)</f>
        <v>0</v>
      </c>
      <c r="AE724">
        <f>IF(AND(vp.data[[#This Row],[CrudeType]]="Crude",vp.data[[#This Row],[Dens]]&gt;900,vp.data[[#This Row],[Sulf]]&lt;=0.5,vp.data[[#This Row],[Unknown]]=0),1,0)</f>
        <v>0</v>
      </c>
      <c r="AF724">
        <f>IF(AND(vp.data[[#This Row],[CrudeType]]="Crude",vp.data[[#This Row],[Dens]]&gt;900,vp.data[[#This Row],[Sulf]]&lt;=0.5,vp.data[[#This Row],[Unknown]]=0),1,0)</f>
        <v>0</v>
      </c>
      <c r="AG724" t="str">
        <f>INDEX(vp.data[[#Headers],[Unknown]:[Heavy_SW]],MATCH(1,vp.data[[#This Row],[Unknown]:[Heavy_SW]],0))</f>
        <v>Medium_LSB</v>
      </c>
      <c r="AH724">
        <f>INDEX([3]!crudeBD.lkup[Number],MATCH(vp.data[[#This Row],[Crude_Breakdown]],crudeBD.lkup[Crude Breakdown],0))</f>
        <v>3</v>
      </c>
      <c r="AI724">
        <f>MONTH(vp.data[[#This Row],[SDate]])</f>
        <v>2</v>
      </c>
      <c r="AJ724" s="5">
        <f>(vp.data[[#This Row],[VP]]-INDEX(crudeBD.lkup[Mean_VP],MATCH(vp.data[[#This Row],[Crude_Breakdown]],crudeBD.lkup[Crude Breakdown],0)))^2</f>
        <v>318.99115374343654</v>
      </c>
      <c r="AK724" s="5">
        <f>(vp.data[[#This Row],[Dens]]-INDEX(crudeBD.lkup[Mean_Dens],MATCH(vp.data[[#This Row],[Crude_Breakdown]],crudeBD.lkup[Crude Breakdown],0)))^2</f>
        <v>14.59239999999604</v>
      </c>
      <c r="AL724" s="5">
        <f>(vp.data[[#This Row],[Sulf]]-INDEX(crudeBD.lkup[Mean_Sulf],MATCH(vp.data[[#This Row],[Crude_Breakdown]],crudeBD.lkup[Crude Breakdown],0)))^2</f>
        <v>3.0418194653644585E-2</v>
      </c>
      <c r="AM724" s="4">
        <f>IF(AND(vp.data[[#This Row],[SDate]]&gt;=DATE(YEAR(vp.data[[#This Row],[SDate]]),5,1),vp.data[[#This Row],[SDate]]&lt;=DATE(YEAR(vp.data[[#This Row],[SDate]]),9,15)),1,0)</f>
        <v>0</v>
      </c>
      <c r="AN724" s="4">
        <f>IF(vp.data[[#This Row],[SDate]]&lt;DATE(2016,12,1),0,1)</f>
        <v>1</v>
      </c>
      <c r="AO724" s="4">
        <f>IFERROR(vp.data[[#This Row],[Sulf]]*vp.data[[#This Row],[Net Dens]],"")</f>
        <v>2209490.5939246002</v>
      </c>
      <c r="AP724">
        <f>IFERROR(vp.data[[#This Row],[Dens]]*vp.data[[#This Row],[VolumeM3]],"")</f>
        <v>1824517.4186000002</v>
      </c>
      <c r="AQ724" s="15">
        <f>IFERROR(vp.data[[#This Row],[VP]]*vp.data[[#This Row],[VolumeM3]],"")</f>
        <v>213920.921</v>
      </c>
    </row>
    <row r="725" spans="1:43" x14ac:dyDescent="0.25">
      <c r="A725">
        <v>724</v>
      </c>
      <c r="B725" t="s">
        <v>108</v>
      </c>
      <c r="C725" t="s">
        <v>108</v>
      </c>
      <c r="D725" t="s">
        <v>155</v>
      </c>
      <c r="F725" s="1">
        <v>42770</v>
      </c>
      <c r="G725" s="2">
        <v>73.400000000000006</v>
      </c>
      <c r="H725" s="2"/>
      <c r="I725" s="2">
        <f t="array" ref="I725">_xlfn.IFNA(IF(vp.data[[#This Row],[Sulf Input]]="",INDEX([1]DATA!$Q$3:$Q$9826,MATCH(1,(vp.data[[#This Row],[Battery]]=[1]DATA!$L$3:$L$9826)*(EOMONTH(vp.data[[#This Row],[SDate]],-1)+1=[1]DATA!$G$3:$G$9826),0)),vp.data[[#This Row],[Sulf Input]]),"")</f>
        <v>0.85</v>
      </c>
      <c r="J725" s="2">
        <v>17.399999999999999</v>
      </c>
      <c r="K725" s="2">
        <v>-15</v>
      </c>
      <c r="L725" s="2">
        <v>834</v>
      </c>
      <c r="M725" s="2">
        <f t="array" ref="M725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725" s="2">
        <f ca="1">INDEX(INDIRECT(_xlfn.CONCAT("weather.tbl[",N$1,"]")),MATCH(vp.data[[#This Row],[SDate]],weather.tbl[Date],0))</f>
        <v>-14.933333333333332</v>
      </c>
      <c r="O725" s="2">
        <f ca="1">INDEX(INDIRECT(_xlfn.CONCAT("weather.tbl[",O$1,"]")),MATCH(vp.data[[#This Row],[SDate]],weather.tbl[Date],0))</f>
        <v>-11.192857142857145</v>
      </c>
      <c r="P725" s="2">
        <f ca="1">INDEX(INDIRECT(_xlfn.CONCAT("weather.tbl[",P$1,"]")),MATCH(vp.data[[#This Row],[SDate]],weather.tbl[Date],0))</f>
        <v>-14.5</v>
      </c>
      <c r="Q725" s="2">
        <f ca="1">INDEX(INDIRECT(_xlfn.CONCAT("weather.tbl[",Q$1,"]")),MATCH(vp.data[[#This Row],[SDate]],weather.tbl[Date],0))</f>
        <v>-15</v>
      </c>
      <c r="R725" s="2">
        <f ca="1">INDEX(INDIRECT(_xlfn.CONCAT("weather.tbl[",R$1,"]")),MATCH(vp.data[[#This Row],[SDate]],weather.tbl[Date],0))</f>
        <v>-14.5</v>
      </c>
      <c r="S725" s="2">
        <f ca="1">INDEX(INDIRECT(_xlfn.CONCAT("weather.tbl[",S$1,"]")),MATCH(vp.data[[#This Row],[SDate]],weather.tbl[Date],0))</f>
        <v>-14.2</v>
      </c>
      <c r="T725" s="2">
        <f ca="1">INDEX(INDIRECT(_xlfn.CONCAT("weather.tbl[",T$1,"]")),MATCH(vp.data[[#This Row],[SDate]],weather.tbl[Date],0))</f>
        <v>-15.6</v>
      </c>
      <c r="U725" s="2">
        <f ca="1">INDEX(INDIRECT(_xlfn.CONCAT("weather.tbl[",U$1,"]")),MATCH(vp.data[[#This Row],[SDate]],weather.tbl[Date],0))</f>
        <v>-15.8</v>
      </c>
      <c r="V725" s="2">
        <f t="array" ref="V7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365.95499999999998</v>
      </c>
      <c r="W725" t="s">
        <v>48</v>
      </c>
      <c r="X725">
        <f>IF(OR(vp.data[[#This Row],[Sulf]]="",vp.data[[#This Row],[Dens]]=""),1,0)</f>
        <v>0</v>
      </c>
      <c r="Y725">
        <f>IF(vp.data[[#This Row],[CrudeType]]="C5+",1,0)</f>
        <v>0</v>
      </c>
      <c r="Z725">
        <f>IF(AND(vp.data[[#This Row],[CrudeType]]="Crude",vp.data[[#This Row],[Dens]]&lt;=825,vp.data[[#This Row],[Sulf]]&gt;0.5,vp.data[[#This Row],[Unknown]]=0),1,0)</f>
        <v>0</v>
      </c>
      <c r="AA725">
        <f>IF(AND(vp.data[[#This Row],[CrudeType]]="Crude",vp.data[[#This Row],[Dens]]&lt;=825,vp.data[[#This Row],[Sulf]]&lt;=0.5,vp.data[[#This Row],[Unknown]]=0),1,0)</f>
        <v>0</v>
      </c>
      <c r="AB7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5">
        <f>IF(AND(vp.data[[#This Row],[CrudeType]]="Crude",vp.data[[#This Row],[Dens]]&gt;825,vp.data[[#This Row],[Dens]]&lt;=900,vp.data[[#This Row],[Sulf]]&lt;=0.5,vp.data[[#This Row],[Unknown]]=0),1,0)</f>
        <v>0</v>
      </c>
      <c r="AD725">
        <f>IF(AND(vp.data[[#This Row],[CrudeType]]="Crude",vp.data[[#This Row],[Dens]]&gt;865,vp.data[[#This Row],[Dens]]&lt;=900,vp.data[[#This Row],[Sulf]]&gt;2,vp.data[[#This Row],[Unknown]]=0),1,0)</f>
        <v>0</v>
      </c>
      <c r="AE725">
        <f>IF(AND(vp.data[[#This Row],[CrudeType]]="Crude",vp.data[[#This Row],[Dens]]&gt;900,vp.data[[#This Row],[Sulf]]&lt;=0.5,vp.data[[#This Row],[Unknown]]=0),1,0)</f>
        <v>0</v>
      </c>
      <c r="AF725">
        <f>IF(AND(vp.data[[#This Row],[CrudeType]]="Crude",vp.data[[#This Row],[Dens]]&gt;900,vp.data[[#This Row],[Sulf]]&lt;=0.5,vp.data[[#This Row],[Unknown]]=0),1,0)</f>
        <v>0</v>
      </c>
      <c r="AG725" t="str">
        <f>INDEX(vp.data[[#Headers],[Unknown]:[Heavy_SW]],MATCH(1,vp.data[[#This Row],[Unknown]:[Heavy_SW]],0))</f>
        <v>Medium_LSB</v>
      </c>
      <c r="AH725">
        <f>INDEX([3]!crudeBD.lkup[Number],MATCH(vp.data[[#This Row],[Crude_Breakdown]],crudeBD.lkup[Crude Breakdown],0))</f>
        <v>3</v>
      </c>
      <c r="AI725">
        <f>MONTH(vp.data[[#This Row],[SDate]])</f>
        <v>2</v>
      </c>
      <c r="AJ725" s="5">
        <f>(vp.data[[#This Row],[VP]]-INDEX(crudeBD.lkup[Mean_VP],MATCH(vp.data[[#This Row],[Crude_Breakdown]],crudeBD.lkup[Crude Breakdown],0)))^2</f>
        <v>52.41291654666739</v>
      </c>
      <c r="AK725" s="5">
        <f>(vp.data[[#This Row],[Dens]]-INDEX(crudeBD.lkup[Mean_Dens],MATCH(vp.data[[#This Row],[Crude_Breakdown]],crudeBD.lkup[Crude Breakdown],0)))^2</f>
        <v>98.406399999990171</v>
      </c>
      <c r="AL725" s="5">
        <f>(vp.data[[#This Row],[Sulf]]-INDEX(crudeBD.lkup[Mean_Sulf],MATCH(vp.data[[#This Row],[Crude_Breakdown]],crudeBD.lkup[Crude Breakdown],0)))^2</f>
        <v>0.28666186211995304</v>
      </c>
      <c r="AM725" s="4">
        <f>IF(AND(vp.data[[#This Row],[SDate]]&gt;=DATE(YEAR(vp.data[[#This Row],[SDate]]),5,1),vp.data[[#This Row],[SDate]]&lt;=DATE(YEAR(vp.data[[#This Row],[SDate]]),9,15)),1,0)</f>
        <v>0</v>
      </c>
      <c r="AN725" s="4">
        <f>IF(vp.data[[#This Row],[SDate]]&lt;DATE(2016,12,1),0,1)</f>
        <v>1</v>
      </c>
      <c r="AO725" s="4">
        <f>IFERROR(vp.data[[#This Row],[Sulf]]*vp.data[[#This Row],[Net Dens]],"")</f>
        <v>259425.49949999998</v>
      </c>
      <c r="AP725">
        <f>IFERROR(vp.data[[#This Row],[Dens]]*vp.data[[#This Row],[VolumeM3]],"")</f>
        <v>305206.46999999997</v>
      </c>
      <c r="AQ725" s="15">
        <f>IFERROR(vp.data[[#This Row],[VP]]*vp.data[[#This Row],[VolumeM3]],"")</f>
        <v>26861.097000000002</v>
      </c>
    </row>
    <row r="726" spans="1:43" x14ac:dyDescent="0.25">
      <c r="A726">
        <v>725</v>
      </c>
      <c r="B726" t="s">
        <v>51</v>
      </c>
      <c r="C726" t="s">
        <v>51</v>
      </c>
      <c r="D726" t="s">
        <v>72</v>
      </c>
      <c r="F726" s="1">
        <v>42770</v>
      </c>
      <c r="G726" s="2">
        <v>94.8</v>
      </c>
      <c r="H726" s="2"/>
      <c r="I726" s="2">
        <f t="array" ref="I726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726" s="2">
        <v>21.8</v>
      </c>
      <c r="K726" s="2">
        <v>-18</v>
      </c>
      <c r="L726" s="2">
        <v>834.4</v>
      </c>
      <c r="M726" s="2">
        <f t="array" ref="M726">_xlfn.IFNA(IF(vp.data[[#This Row],[Dens Input]]="",INDEX([1]DATA!$O$3:$O$9826,MATCH(1,(vp.data[[#This Row],[Battery]]=[1]DATA!$L$3:$L$9826)*(EOMONTH(vp.data[[#This Row],[SDate]],-1)+1=[1]DATA!$G$3:$G$9826),0)),vp.data[[#This Row],[Dens Input]]),"")</f>
        <v>834.4</v>
      </c>
      <c r="N726" s="2">
        <f ca="1">INDEX(INDIRECT(_xlfn.CONCAT("weather.tbl[",N$1,"]")),MATCH(vp.data[[#This Row],[SDate]],weather.tbl[Date],0))</f>
        <v>-14.933333333333332</v>
      </c>
      <c r="O726" s="2">
        <f ca="1">INDEX(INDIRECT(_xlfn.CONCAT("weather.tbl[",O$1,"]")),MATCH(vp.data[[#This Row],[SDate]],weather.tbl[Date],0))</f>
        <v>-11.192857142857145</v>
      </c>
      <c r="P726" s="2">
        <f ca="1">INDEX(INDIRECT(_xlfn.CONCAT("weather.tbl[",P$1,"]")),MATCH(vp.data[[#This Row],[SDate]],weather.tbl[Date],0))</f>
        <v>-14.5</v>
      </c>
      <c r="Q726" s="2">
        <f ca="1">INDEX(INDIRECT(_xlfn.CONCAT("weather.tbl[",Q$1,"]")),MATCH(vp.data[[#This Row],[SDate]],weather.tbl[Date],0))</f>
        <v>-15</v>
      </c>
      <c r="R726" s="2">
        <f ca="1">INDEX(INDIRECT(_xlfn.CONCAT("weather.tbl[",R$1,"]")),MATCH(vp.data[[#This Row],[SDate]],weather.tbl[Date],0))</f>
        <v>-14.5</v>
      </c>
      <c r="S726" s="2">
        <f ca="1">INDEX(INDIRECT(_xlfn.CONCAT("weather.tbl[",S$1,"]")),MATCH(vp.data[[#This Row],[SDate]],weather.tbl[Date],0))</f>
        <v>-14.2</v>
      </c>
      <c r="T726" s="2">
        <f ca="1">INDEX(INDIRECT(_xlfn.CONCAT("weather.tbl[",T$1,"]")),MATCH(vp.data[[#This Row],[SDate]],weather.tbl[Date],0))</f>
        <v>-15.6</v>
      </c>
      <c r="U726" s="2">
        <f ca="1">INDEX(INDIRECT(_xlfn.CONCAT("weather.tbl[",U$1,"]")),MATCH(vp.data[[#This Row],[SDate]],weather.tbl[Date],0))</f>
        <v>-15.8</v>
      </c>
      <c r="V726" s="2">
        <f t="array" ref="V7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726" t="s">
        <v>48</v>
      </c>
      <c r="X726">
        <f>IF(OR(vp.data[[#This Row],[Sulf]]="",vp.data[[#This Row],[Dens]]=""),1,0)</f>
        <v>0</v>
      </c>
      <c r="Y726">
        <f>IF(vp.data[[#This Row],[CrudeType]]="C5+",1,0)</f>
        <v>0</v>
      </c>
      <c r="Z726">
        <f>IF(AND(vp.data[[#This Row],[CrudeType]]="Crude",vp.data[[#This Row],[Dens]]&lt;=825,vp.data[[#This Row],[Sulf]]&gt;0.5,vp.data[[#This Row],[Unknown]]=0),1,0)</f>
        <v>0</v>
      </c>
      <c r="AA726">
        <f>IF(AND(vp.data[[#This Row],[CrudeType]]="Crude",vp.data[[#This Row],[Dens]]&lt;=825,vp.data[[#This Row],[Sulf]]&lt;=0.5,vp.data[[#This Row],[Unknown]]=0),1,0)</f>
        <v>0</v>
      </c>
      <c r="AB7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6">
        <f>IF(AND(vp.data[[#This Row],[CrudeType]]="Crude",vp.data[[#This Row],[Dens]]&gt;825,vp.data[[#This Row],[Dens]]&lt;=900,vp.data[[#This Row],[Sulf]]&lt;=0.5,vp.data[[#This Row],[Unknown]]=0),1,0)</f>
        <v>0</v>
      </c>
      <c r="AD726">
        <f>IF(AND(vp.data[[#This Row],[CrudeType]]="Crude",vp.data[[#This Row],[Dens]]&gt;865,vp.data[[#This Row],[Dens]]&lt;=900,vp.data[[#This Row],[Sulf]]&gt;2,vp.data[[#This Row],[Unknown]]=0),1,0)</f>
        <v>0</v>
      </c>
      <c r="AE726">
        <f>IF(AND(vp.data[[#This Row],[CrudeType]]="Crude",vp.data[[#This Row],[Dens]]&gt;900,vp.data[[#This Row],[Sulf]]&lt;=0.5,vp.data[[#This Row],[Unknown]]=0),1,0)</f>
        <v>0</v>
      </c>
      <c r="AF726">
        <f>IF(AND(vp.data[[#This Row],[CrudeType]]="Crude",vp.data[[#This Row],[Dens]]&gt;900,vp.data[[#This Row],[Sulf]]&lt;=0.5,vp.data[[#This Row],[Unknown]]=0),1,0)</f>
        <v>0</v>
      </c>
      <c r="AG726" t="str">
        <f>INDEX(vp.data[[#Headers],[Unknown]:[Heavy_SW]],MATCH(1,vp.data[[#This Row],[Unknown]:[Heavy_SW]],0))</f>
        <v>Medium_LSB</v>
      </c>
      <c r="AH726">
        <f>INDEX([3]!crudeBD.lkup[Number],MATCH(vp.data[[#This Row],[Crude_Breakdown]],crudeBD.lkup[Crude Breakdown],0))</f>
        <v>3</v>
      </c>
      <c r="AI726">
        <f>MONTH(vp.data[[#This Row],[SDate]])</f>
        <v>2</v>
      </c>
      <c r="AJ726" s="5">
        <f>(vp.data[[#This Row],[VP]]-INDEX(crudeBD.lkup[Mean_VP],MATCH(vp.data[[#This Row],[Crude_Breakdown]],crudeBD.lkup[Crude Breakdown],0)))^2</f>
        <v>200.51476021243866</v>
      </c>
      <c r="AK726" s="5">
        <f>(vp.data[[#This Row],[Dens]]-INDEX(crudeBD.lkup[Mean_Dens],MATCH(vp.data[[#This Row],[Crude_Breakdown]],crudeBD.lkup[Crude Breakdown],0)))^2</f>
        <v>90.630399999990999</v>
      </c>
      <c r="AL726" s="5">
        <f>(vp.data[[#This Row],[Sulf]]-INDEX(crudeBD.lkup[Mean_Sulf],MATCH(vp.data[[#This Row],[Crude_Breakdown]],crudeBD.lkup[Crude Breakdown],0)))^2</f>
        <v>6.5233311176555966E-2</v>
      </c>
      <c r="AM726" s="4">
        <f>IF(AND(vp.data[[#This Row],[SDate]]&gt;=DATE(YEAR(vp.data[[#This Row],[SDate]]),5,1),vp.data[[#This Row],[SDate]]&lt;=DATE(YEAR(vp.data[[#This Row],[SDate]]),9,15)),1,0)</f>
        <v>0</v>
      </c>
      <c r="AN726" s="4">
        <f>IF(vp.data[[#This Row],[SDate]]&lt;DATE(2016,12,1),0,1)</f>
        <v>1</v>
      </c>
      <c r="AO726" s="4">
        <f>IFERROR(vp.data[[#This Row],[Sulf]]*vp.data[[#This Row],[Net Dens]],"")</f>
        <v>11825060.302775998</v>
      </c>
      <c r="AP726">
        <f>IFERROR(vp.data[[#This Row],[Dens]]*vp.data[[#This Row],[VolumeM3]],"")</f>
        <v>10464655.135199999</v>
      </c>
      <c r="AQ726" s="15">
        <f>IFERROR(vp.data[[#This Row],[VP]]*vp.data[[#This Row],[VolumeM3]],"")</f>
        <v>1188937.3284</v>
      </c>
    </row>
    <row r="727" spans="1:43" x14ac:dyDescent="0.25">
      <c r="A727">
        <v>726</v>
      </c>
      <c r="B727" t="s">
        <v>51</v>
      </c>
      <c r="C727" t="s">
        <v>51</v>
      </c>
      <c r="D727" t="s">
        <v>156</v>
      </c>
      <c r="F727" s="1">
        <v>42770</v>
      </c>
      <c r="G727" s="2">
        <v>75</v>
      </c>
      <c r="H727" s="2"/>
      <c r="I727" s="2">
        <f t="array" ref="I727">_xlfn.IFNA(IF(vp.data[[#This Row],[Sulf Input]]="",INDEX([1]DATA!$Q$3:$Q$9826,MATCH(1,(vp.data[[#This Row],[Battery]]=[1]DATA!$L$3:$L$9826)*(EOMONTH(vp.data[[#This Row],[SDate]],-1)+1=[1]DATA!$G$3:$G$9826),0)),vp.data[[#This Row],[Sulf Input]]),"")</f>
        <v>1.24</v>
      </c>
      <c r="J727" s="2">
        <v>19.7</v>
      </c>
      <c r="K727" s="2">
        <v>-18</v>
      </c>
      <c r="L727" s="2">
        <v>844.5</v>
      </c>
      <c r="M727" s="2">
        <f t="array" ref="M727">_xlfn.IFNA(IF(vp.data[[#This Row],[Dens Input]]="",INDEX([1]DATA!$O$3:$O$9826,MATCH(1,(vp.data[[#This Row],[Battery]]=[1]DATA!$L$3:$L$9826)*(EOMONTH(vp.data[[#This Row],[SDate]],-1)+1=[1]DATA!$G$3:$G$9826),0)),vp.data[[#This Row],[Dens Input]]),"")</f>
        <v>844.5</v>
      </c>
      <c r="N727" s="2">
        <f ca="1">INDEX(INDIRECT(_xlfn.CONCAT("weather.tbl[",N$1,"]")),MATCH(vp.data[[#This Row],[SDate]],weather.tbl[Date],0))</f>
        <v>-14.933333333333332</v>
      </c>
      <c r="O727" s="2">
        <f ca="1">INDEX(INDIRECT(_xlfn.CONCAT("weather.tbl[",O$1,"]")),MATCH(vp.data[[#This Row],[SDate]],weather.tbl[Date],0))</f>
        <v>-11.192857142857145</v>
      </c>
      <c r="P727" s="2">
        <f ca="1">INDEX(INDIRECT(_xlfn.CONCAT("weather.tbl[",P$1,"]")),MATCH(vp.data[[#This Row],[SDate]],weather.tbl[Date],0))</f>
        <v>-14.5</v>
      </c>
      <c r="Q727" s="2">
        <f ca="1">INDEX(INDIRECT(_xlfn.CONCAT("weather.tbl[",Q$1,"]")),MATCH(vp.data[[#This Row],[SDate]],weather.tbl[Date],0))</f>
        <v>-15</v>
      </c>
      <c r="R727" s="2">
        <f ca="1">INDEX(INDIRECT(_xlfn.CONCAT("weather.tbl[",R$1,"]")),MATCH(vp.data[[#This Row],[SDate]],weather.tbl[Date],0))</f>
        <v>-14.5</v>
      </c>
      <c r="S727" s="2">
        <f ca="1">INDEX(INDIRECT(_xlfn.CONCAT("weather.tbl[",S$1,"]")),MATCH(vp.data[[#This Row],[SDate]],weather.tbl[Date],0))</f>
        <v>-14.2</v>
      </c>
      <c r="T727" s="2">
        <f ca="1">INDEX(INDIRECT(_xlfn.CONCAT("weather.tbl[",T$1,"]")),MATCH(vp.data[[#This Row],[SDate]],weather.tbl[Date],0))</f>
        <v>-15.6</v>
      </c>
      <c r="U727" s="2">
        <f ca="1">INDEX(INDIRECT(_xlfn.CONCAT("weather.tbl[",U$1,"]")),MATCH(vp.data[[#This Row],[SDate]],weather.tbl[Date],0))</f>
        <v>-15.8</v>
      </c>
      <c r="V727" s="2">
        <f t="array" ref="V7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736.87699999999995</v>
      </c>
      <c r="W727" t="s">
        <v>48</v>
      </c>
      <c r="X727">
        <f>IF(OR(vp.data[[#This Row],[Sulf]]="",vp.data[[#This Row],[Dens]]=""),1,0)</f>
        <v>0</v>
      </c>
      <c r="Y727">
        <f>IF(vp.data[[#This Row],[CrudeType]]="C5+",1,0)</f>
        <v>0</v>
      </c>
      <c r="Z727">
        <f>IF(AND(vp.data[[#This Row],[CrudeType]]="Crude",vp.data[[#This Row],[Dens]]&lt;=825,vp.data[[#This Row],[Sulf]]&gt;0.5,vp.data[[#This Row],[Unknown]]=0),1,0)</f>
        <v>0</v>
      </c>
      <c r="AA727">
        <f>IF(AND(vp.data[[#This Row],[CrudeType]]="Crude",vp.data[[#This Row],[Dens]]&lt;=825,vp.data[[#This Row],[Sulf]]&lt;=0.5,vp.data[[#This Row],[Unknown]]=0),1,0)</f>
        <v>0</v>
      </c>
      <c r="AB7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7">
        <f>IF(AND(vp.data[[#This Row],[CrudeType]]="Crude",vp.data[[#This Row],[Dens]]&gt;825,vp.data[[#This Row],[Dens]]&lt;=900,vp.data[[#This Row],[Sulf]]&lt;=0.5,vp.data[[#This Row],[Unknown]]=0),1,0)</f>
        <v>0</v>
      </c>
      <c r="AD727">
        <f>IF(AND(vp.data[[#This Row],[CrudeType]]="Crude",vp.data[[#This Row],[Dens]]&gt;865,vp.data[[#This Row],[Dens]]&lt;=900,vp.data[[#This Row],[Sulf]]&gt;2,vp.data[[#This Row],[Unknown]]=0),1,0)</f>
        <v>0</v>
      </c>
      <c r="AE727">
        <f>IF(AND(vp.data[[#This Row],[CrudeType]]="Crude",vp.data[[#This Row],[Dens]]&gt;900,vp.data[[#This Row],[Sulf]]&lt;=0.5,vp.data[[#This Row],[Unknown]]=0),1,0)</f>
        <v>0</v>
      </c>
      <c r="AF727">
        <f>IF(AND(vp.data[[#This Row],[CrudeType]]="Crude",vp.data[[#This Row],[Dens]]&gt;900,vp.data[[#This Row],[Sulf]]&lt;=0.5,vp.data[[#This Row],[Unknown]]=0),1,0)</f>
        <v>0</v>
      </c>
      <c r="AG727" t="str">
        <f>INDEX(vp.data[[#Headers],[Unknown]:[Heavy_SW]],MATCH(1,vp.data[[#This Row],[Unknown]:[Heavy_SW]],0))</f>
        <v>Medium_LSB</v>
      </c>
      <c r="AH727">
        <f>INDEX([3]!crudeBD.lkup[Number],MATCH(vp.data[[#This Row],[Crude_Breakdown]],crudeBD.lkup[Crude Breakdown],0))</f>
        <v>3</v>
      </c>
      <c r="AI727">
        <f>MONTH(vp.data[[#This Row],[SDate]])</f>
        <v>2</v>
      </c>
      <c r="AJ727" s="5">
        <f>(vp.data[[#This Row],[VP]]-INDEX(crudeBD.lkup[Mean_VP],MATCH(vp.data[[#This Row],[Crude_Breakdown]],crudeBD.lkup[Crude Breakdown],0)))^2</f>
        <v>31.805951587098967</v>
      </c>
      <c r="AK727" s="5">
        <f>(vp.data[[#This Row],[Dens]]-INDEX(crudeBD.lkup[Mean_Dens],MATCH(vp.data[[#This Row],[Crude_Breakdown]],crudeBD.lkup[Crude Breakdown],0)))^2</f>
        <v>0.33640000000057496</v>
      </c>
      <c r="AL727" s="5">
        <f>(vp.data[[#This Row],[Sulf]]-INDEX(crudeBD.lkup[Mean_Sulf],MATCH(vp.data[[#This Row],[Crude_Breakdown]],crudeBD.lkup[Crude Breakdown],0)))^2</f>
        <v>2.1143523305935632E-2</v>
      </c>
      <c r="AM727" s="4">
        <f>IF(AND(vp.data[[#This Row],[SDate]]&gt;=DATE(YEAR(vp.data[[#This Row],[SDate]]),5,1),vp.data[[#This Row],[SDate]]&lt;=DATE(YEAR(vp.data[[#This Row],[SDate]]),9,15)),1,0)</f>
        <v>0</v>
      </c>
      <c r="AN727" s="4">
        <f>IF(vp.data[[#This Row],[SDate]]&lt;DATE(2016,12,1),0,1)</f>
        <v>1</v>
      </c>
      <c r="AO727" s="4">
        <f>IFERROR(vp.data[[#This Row],[Sulf]]*vp.data[[#This Row],[Net Dens]],"")</f>
        <v>771642.85686000006</v>
      </c>
      <c r="AP727">
        <f>IFERROR(vp.data[[#This Row],[Dens]]*vp.data[[#This Row],[VolumeM3]],"")</f>
        <v>622292.62650000001</v>
      </c>
      <c r="AQ727" s="15">
        <f>IFERROR(vp.data[[#This Row],[VP]]*vp.data[[#This Row],[VolumeM3]],"")</f>
        <v>55265.774999999994</v>
      </c>
    </row>
    <row r="728" spans="1:43" x14ac:dyDescent="0.25">
      <c r="A728">
        <v>727</v>
      </c>
      <c r="B728" t="s">
        <v>62</v>
      </c>
      <c r="C728" t="s">
        <v>62</v>
      </c>
      <c r="D728" t="s">
        <v>63</v>
      </c>
      <c r="F728" s="1">
        <v>42770</v>
      </c>
      <c r="G728" s="2">
        <v>86.6</v>
      </c>
      <c r="H728" s="2"/>
      <c r="I728" s="2">
        <f t="array" ref="I728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28" s="2">
        <v>16</v>
      </c>
      <c r="K728" s="2">
        <v>-19</v>
      </c>
      <c r="L728" s="2">
        <v>848.1</v>
      </c>
      <c r="M728" s="2">
        <f t="array" ref="M728">_xlfn.IFNA(IF(vp.data[[#This Row],[Dens Input]]="",INDEX([1]DATA!$O$3:$O$9826,MATCH(1,(vp.data[[#This Row],[Battery]]=[1]DATA!$L$3:$L$9826)*(EOMONTH(vp.data[[#This Row],[SDate]],-1)+1=[1]DATA!$G$3:$G$9826),0)),vp.data[[#This Row],[Dens Input]]),"")</f>
        <v>848.1</v>
      </c>
      <c r="N728" s="2">
        <f ca="1">INDEX(INDIRECT(_xlfn.CONCAT("weather.tbl[",N$1,"]")),MATCH(vp.data[[#This Row],[SDate]],weather.tbl[Date],0))</f>
        <v>-14.933333333333332</v>
      </c>
      <c r="O728" s="2">
        <f ca="1">INDEX(INDIRECT(_xlfn.CONCAT("weather.tbl[",O$1,"]")),MATCH(vp.data[[#This Row],[SDate]],weather.tbl[Date],0))</f>
        <v>-11.192857142857145</v>
      </c>
      <c r="P728" s="2">
        <f ca="1">INDEX(INDIRECT(_xlfn.CONCAT("weather.tbl[",P$1,"]")),MATCH(vp.data[[#This Row],[SDate]],weather.tbl[Date],0))</f>
        <v>-14.5</v>
      </c>
      <c r="Q728" s="2">
        <f ca="1">INDEX(INDIRECT(_xlfn.CONCAT("weather.tbl[",Q$1,"]")),MATCH(vp.data[[#This Row],[SDate]],weather.tbl[Date],0))</f>
        <v>-15</v>
      </c>
      <c r="R728" s="2">
        <f ca="1">INDEX(INDIRECT(_xlfn.CONCAT("weather.tbl[",R$1,"]")),MATCH(vp.data[[#This Row],[SDate]],weather.tbl[Date],0))</f>
        <v>-14.5</v>
      </c>
      <c r="S728" s="2">
        <f ca="1">INDEX(INDIRECT(_xlfn.CONCAT("weather.tbl[",S$1,"]")),MATCH(vp.data[[#This Row],[SDate]],weather.tbl[Date],0))</f>
        <v>-14.2</v>
      </c>
      <c r="T728" s="2">
        <f ca="1">INDEX(INDIRECT(_xlfn.CONCAT("weather.tbl[",T$1,"]")),MATCH(vp.data[[#This Row],[SDate]],weather.tbl[Date],0))</f>
        <v>-15.6</v>
      </c>
      <c r="U728" s="2">
        <f ca="1">INDEX(INDIRECT(_xlfn.CONCAT("weather.tbl[",U$1,"]")),MATCH(vp.data[[#This Row],[SDate]],weather.tbl[Date],0))</f>
        <v>-15.8</v>
      </c>
      <c r="V728" s="2">
        <f t="array" ref="V7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28" t="s">
        <v>48</v>
      </c>
      <c r="X728">
        <f>IF(OR(vp.data[[#This Row],[Sulf]]="",vp.data[[#This Row],[Dens]]=""),1,0)</f>
        <v>0</v>
      </c>
      <c r="Y728">
        <f>IF(vp.data[[#This Row],[CrudeType]]="C5+",1,0)</f>
        <v>0</v>
      </c>
      <c r="Z728">
        <f>IF(AND(vp.data[[#This Row],[CrudeType]]="Crude",vp.data[[#This Row],[Dens]]&lt;=825,vp.data[[#This Row],[Sulf]]&gt;0.5,vp.data[[#This Row],[Unknown]]=0),1,0)</f>
        <v>0</v>
      </c>
      <c r="AA728">
        <f>IF(AND(vp.data[[#This Row],[CrudeType]]="Crude",vp.data[[#This Row],[Dens]]&lt;=825,vp.data[[#This Row],[Sulf]]&lt;=0.5,vp.data[[#This Row],[Unknown]]=0),1,0)</f>
        <v>0</v>
      </c>
      <c r="AB7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8">
        <f>IF(AND(vp.data[[#This Row],[CrudeType]]="Crude",vp.data[[#This Row],[Dens]]&gt;825,vp.data[[#This Row],[Dens]]&lt;=900,vp.data[[#This Row],[Sulf]]&lt;=0.5,vp.data[[#This Row],[Unknown]]=0),1,0)</f>
        <v>0</v>
      </c>
      <c r="AD728">
        <f>IF(AND(vp.data[[#This Row],[CrudeType]]="Crude",vp.data[[#This Row],[Dens]]&gt;865,vp.data[[#This Row],[Dens]]&lt;=900,vp.data[[#This Row],[Sulf]]&gt;2,vp.data[[#This Row],[Unknown]]=0),1,0)</f>
        <v>0</v>
      </c>
      <c r="AE728">
        <f>IF(AND(vp.data[[#This Row],[CrudeType]]="Crude",vp.data[[#This Row],[Dens]]&gt;900,vp.data[[#This Row],[Sulf]]&lt;=0.5,vp.data[[#This Row],[Unknown]]=0),1,0)</f>
        <v>0</v>
      </c>
      <c r="AF728">
        <f>IF(AND(vp.data[[#This Row],[CrudeType]]="Crude",vp.data[[#This Row],[Dens]]&gt;900,vp.data[[#This Row],[Sulf]]&lt;=0.5,vp.data[[#This Row],[Unknown]]=0),1,0)</f>
        <v>0</v>
      </c>
      <c r="AG728" t="str">
        <f>INDEX(vp.data[[#Headers],[Unknown]:[Heavy_SW]],MATCH(1,vp.data[[#This Row],[Unknown]:[Heavy_SW]],0))</f>
        <v>Medium_LSB</v>
      </c>
      <c r="AH728">
        <f>INDEX([3]!crudeBD.lkup[Number],MATCH(vp.data[[#This Row],[Crude_Breakdown]],crudeBD.lkup[Crude Breakdown],0))</f>
        <v>3</v>
      </c>
      <c r="AI728">
        <f>MONTH(vp.data[[#This Row],[SDate]])</f>
        <v>2</v>
      </c>
      <c r="AJ728" s="5">
        <f>(vp.data[[#This Row],[VP]]-INDEX(crudeBD.lkup[Mean_VP],MATCH(vp.data[[#This Row],[Crude_Breakdown]],crudeBD.lkup[Crude Breakdown],0)))^2</f>
        <v>35.525455630227242</v>
      </c>
      <c r="AK728" s="5">
        <f>(vp.data[[#This Row],[Dens]]-INDEX(crudeBD.lkup[Mean_Dens],MATCH(vp.data[[#This Row],[Crude_Breakdown]],crudeBD.lkup[Crude Breakdown],0)))^2</f>
        <v>17.472400000004335</v>
      </c>
      <c r="AL728" s="5">
        <f>(vp.data[[#This Row],[Sulf]]-INDEX(crudeBD.lkup[Mean_Sulf],MATCH(vp.data[[#This Row],[Crude_Breakdown]],crudeBD.lkup[Crude Breakdown],0)))^2</f>
        <v>2.0906809828845806E-2</v>
      </c>
      <c r="AM728" s="4">
        <f>IF(AND(vp.data[[#This Row],[SDate]]&gt;=DATE(YEAR(vp.data[[#This Row],[SDate]]),5,1),vp.data[[#This Row],[SDate]]&lt;=DATE(YEAR(vp.data[[#This Row],[SDate]]),9,15)),1,0)</f>
        <v>0</v>
      </c>
      <c r="AN728" s="4">
        <f>IF(vp.data[[#This Row],[SDate]]&lt;DATE(2016,12,1),0,1)</f>
        <v>1</v>
      </c>
      <c r="AO728" s="4">
        <f>IFERROR(vp.data[[#This Row],[Sulf]]*vp.data[[#This Row],[Net Dens]],"")</f>
        <v>6460376.8752269987</v>
      </c>
      <c r="AP728">
        <f>IFERROR(vp.data[[#This Row],[Dens]]*vp.data[[#This Row],[VolumeM3]],"")</f>
        <v>4222468.5458999993</v>
      </c>
      <c r="AQ728" s="15">
        <f>IFERROR(vp.data[[#This Row],[VP]]*vp.data[[#This Row],[VolumeM3]],"")</f>
        <v>431158.79739999992</v>
      </c>
    </row>
    <row r="729" spans="1:43" x14ac:dyDescent="0.25">
      <c r="A729">
        <v>728</v>
      </c>
      <c r="B729" t="s">
        <v>68</v>
      </c>
      <c r="C729" t="s">
        <v>68</v>
      </c>
      <c r="D729" t="s">
        <v>110</v>
      </c>
      <c r="F729" s="1">
        <v>42770</v>
      </c>
      <c r="G729" s="2">
        <v>61</v>
      </c>
      <c r="H729" s="2"/>
      <c r="I729" s="2">
        <f t="array" ref="I729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729" s="2">
        <v>34.200000000000003</v>
      </c>
      <c r="K729" s="2">
        <v>-19</v>
      </c>
      <c r="L729" s="2">
        <v>852.2</v>
      </c>
      <c r="M729" s="2">
        <f t="array" ref="M729">_xlfn.IFNA(IF(vp.data[[#This Row],[Dens Input]]="",INDEX([1]DATA!$O$3:$O$9826,MATCH(1,(vp.data[[#This Row],[Battery]]=[1]DATA!$L$3:$L$9826)*(EOMONTH(vp.data[[#This Row],[SDate]],-1)+1=[1]DATA!$G$3:$G$9826),0)),vp.data[[#This Row],[Dens Input]]),"")</f>
        <v>852.2</v>
      </c>
      <c r="N729" s="2">
        <f ca="1">INDEX(INDIRECT(_xlfn.CONCAT("weather.tbl[",N$1,"]")),MATCH(vp.data[[#This Row],[SDate]],weather.tbl[Date],0))</f>
        <v>-14.933333333333332</v>
      </c>
      <c r="O729" s="2">
        <f ca="1">INDEX(INDIRECT(_xlfn.CONCAT("weather.tbl[",O$1,"]")),MATCH(vp.data[[#This Row],[SDate]],weather.tbl[Date],0))</f>
        <v>-11.192857142857145</v>
      </c>
      <c r="P729" s="2">
        <f ca="1">INDEX(INDIRECT(_xlfn.CONCAT("weather.tbl[",P$1,"]")),MATCH(vp.data[[#This Row],[SDate]],weather.tbl[Date],0))</f>
        <v>-14.5</v>
      </c>
      <c r="Q729" s="2">
        <f ca="1">INDEX(INDIRECT(_xlfn.CONCAT("weather.tbl[",Q$1,"]")),MATCH(vp.data[[#This Row],[SDate]],weather.tbl[Date],0))</f>
        <v>-15</v>
      </c>
      <c r="R729" s="2">
        <f ca="1">INDEX(INDIRECT(_xlfn.CONCAT("weather.tbl[",R$1,"]")),MATCH(vp.data[[#This Row],[SDate]],weather.tbl[Date],0))</f>
        <v>-14.5</v>
      </c>
      <c r="S729" s="2">
        <f ca="1">INDEX(INDIRECT(_xlfn.CONCAT("weather.tbl[",S$1,"]")),MATCH(vp.data[[#This Row],[SDate]],weather.tbl[Date],0))</f>
        <v>-14.2</v>
      </c>
      <c r="T729" s="2">
        <f ca="1">INDEX(INDIRECT(_xlfn.CONCAT("weather.tbl[",T$1,"]")),MATCH(vp.data[[#This Row],[SDate]],weather.tbl[Date],0))</f>
        <v>-15.6</v>
      </c>
      <c r="U729" s="2">
        <f ca="1">INDEX(INDIRECT(_xlfn.CONCAT("weather.tbl[",U$1,"]")),MATCH(vp.data[[#This Row],[SDate]],weather.tbl[Date],0))</f>
        <v>-15.8</v>
      </c>
      <c r="V729" s="2">
        <f t="array" ref="V7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4067.5740000000001</v>
      </c>
      <c r="W729" t="s">
        <v>48</v>
      </c>
      <c r="X729">
        <f>IF(OR(vp.data[[#This Row],[Sulf]]="",vp.data[[#This Row],[Dens]]=""),1,0)</f>
        <v>0</v>
      </c>
      <c r="Y729">
        <f>IF(vp.data[[#This Row],[CrudeType]]="C5+",1,0)</f>
        <v>0</v>
      </c>
      <c r="Z729">
        <f>IF(AND(vp.data[[#This Row],[CrudeType]]="Crude",vp.data[[#This Row],[Dens]]&lt;=825,vp.data[[#This Row],[Sulf]]&gt;0.5,vp.data[[#This Row],[Unknown]]=0),1,0)</f>
        <v>0</v>
      </c>
      <c r="AA729">
        <f>IF(AND(vp.data[[#This Row],[CrudeType]]="Crude",vp.data[[#This Row],[Dens]]&lt;=825,vp.data[[#This Row],[Sulf]]&lt;=0.5,vp.data[[#This Row],[Unknown]]=0),1,0)</f>
        <v>0</v>
      </c>
      <c r="AB7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29">
        <f>IF(AND(vp.data[[#This Row],[CrudeType]]="Crude",vp.data[[#This Row],[Dens]]&gt;825,vp.data[[#This Row],[Dens]]&lt;=900,vp.data[[#This Row],[Sulf]]&lt;=0.5,vp.data[[#This Row],[Unknown]]=0),1,0)</f>
        <v>0</v>
      </c>
      <c r="AD729">
        <f>IF(AND(vp.data[[#This Row],[CrudeType]]="Crude",vp.data[[#This Row],[Dens]]&gt;865,vp.data[[#This Row],[Dens]]&lt;=900,vp.data[[#This Row],[Sulf]]&gt;2,vp.data[[#This Row],[Unknown]]=0),1,0)</f>
        <v>0</v>
      </c>
      <c r="AE729">
        <f>IF(AND(vp.data[[#This Row],[CrudeType]]="Crude",vp.data[[#This Row],[Dens]]&gt;900,vp.data[[#This Row],[Sulf]]&lt;=0.5,vp.data[[#This Row],[Unknown]]=0),1,0)</f>
        <v>0</v>
      </c>
      <c r="AF729">
        <f>IF(AND(vp.data[[#This Row],[CrudeType]]="Crude",vp.data[[#This Row],[Dens]]&gt;900,vp.data[[#This Row],[Sulf]]&lt;=0.5,vp.data[[#This Row],[Unknown]]=0),1,0)</f>
        <v>0</v>
      </c>
      <c r="AG729" t="str">
        <f>INDEX(vp.data[[#Headers],[Unknown]:[Heavy_SW]],MATCH(1,vp.data[[#This Row],[Unknown]:[Heavy_SW]],0))</f>
        <v>Medium_LSB</v>
      </c>
      <c r="AH729">
        <f>INDEX([3]!crudeBD.lkup[Number],MATCH(vp.data[[#This Row],[Crude_Breakdown]],crudeBD.lkup[Crude Breakdown],0))</f>
        <v>3</v>
      </c>
      <c r="AI729">
        <f>MONTH(vp.data[[#This Row],[SDate]])</f>
        <v>2</v>
      </c>
      <c r="AJ729" s="5">
        <f>(vp.data[[#This Row],[VP]]-INDEX(crudeBD.lkup[Mean_VP],MATCH(vp.data[[#This Row],[Crude_Breakdown]],crudeBD.lkup[Crude Breakdown],0)))^2</f>
        <v>385.71689498332336</v>
      </c>
      <c r="AK729" s="5">
        <f>(vp.data[[#This Row],[Dens]]-INDEX(crudeBD.lkup[Mean_Dens],MATCH(vp.data[[#This Row],[Crude_Breakdown]],crudeBD.lkup[Crude Breakdown],0)))^2</f>
        <v>68.558400000008959</v>
      </c>
      <c r="AL729" s="5">
        <f>(vp.data[[#This Row],[Sulf]]-INDEX(crudeBD.lkup[Mean_Sulf],MATCH(vp.data[[#This Row],[Crude_Breakdown]],crudeBD.lkup[Crude Breakdown],0)))^2</f>
        <v>2.9802726320805671E-3</v>
      </c>
      <c r="AM729" s="4">
        <f>IF(AND(vp.data[[#This Row],[SDate]]&gt;=DATE(YEAR(vp.data[[#This Row],[SDate]]),5,1),vp.data[[#This Row],[SDate]]&lt;=DATE(YEAR(vp.data[[#This Row],[SDate]]),9,15)),1,0)</f>
        <v>0</v>
      </c>
      <c r="AN729" s="4">
        <f>IF(vp.data[[#This Row],[SDate]]&lt;DATE(2016,12,1),0,1)</f>
        <v>1</v>
      </c>
      <c r="AO729" s="4">
        <f>IFERROR(vp.data[[#This Row],[Sulf]]*vp.data[[#This Row],[Net Dens]],"")</f>
        <v>4991596.6504320009</v>
      </c>
      <c r="AP729">
        <f>IFERROR(vp.data[[#This Row],[Dens]]*vp.data[[#This Row],[VolumeM3]],"")</f>
        <v>3466386.5628000004</v>
      </c>
      <c r="AQ729" s="15">
        <f>IFERROR(vp.data[[#This Row],[VP]]*vp.data[[#This Row],[VolumeM3]],"")</f>
        <v>248122.014</v>
      </c>
    </row>
    <row r="730" spans="1:43" x14ac:dyDescent="0.25">
      <c r="A730">
        <v>729</v>
      </c>
      <c r="B730" t="s">
        <v>60</v>
      </c>
      <c r="C730" t="s">
        <v>60</v>
      </c>
      <c r="D730" t="s">
        <v>61</v>
      </c>
      <c r="E730" t="s">
        <v>55</v>
      </c>
      <c r="F730" s="1">
        <v>42770</v>
      </c>
      <c r="G730" s="2">
        <v>101.4</v>
      </c>
      <c r="H730" s="2">
        <v>1.1739999999999999</v>
      </c>
      <c r="I730" s="2">
        <f t="array" ref="I730">_xlfn.IFNA(IF(vp.data[[#This Row],[Sulf Input]]="",INDEX([1]DATA!$Q$3:$Q$9826,MATCH(1,(vp.data[[#This Row],[Battery]]=[1]DATA!$L$3:$L$9826)*(EOMONTH(vp.data[[#This Row],[SDate]],-1)+1=[1]DATA!$G$3:$G$9826),0)),vp.data[[#This Row],[Sulf Input]]),"")</f>
        <v>1.1739999999999999</v>
      </c>
      <c r="J730" s="2">
        <v>4.4000000000000004</v>
      </c>
      <c r="K730" s="2">
        <v>-12</v>
      </c>
      <c r="L730" s="2">
        <v>837.8</v>
      </c>
      <c r="M730" s="2">
        <f t="array" ref="M730">_xlfn.IFNA(IF(vp.data[[#This Row],[Dens Input]]="",INDEX([1]DATA!$O$3:$O$9826,MATCH(1,(vp.data[[#This Row],[Battery]]=[1]DATA!$L$3:$L$9826)*(EOMONTH(vp.data[[#This Row],[SDate]],-1)+1=[1]DATA!$G$3:$G$9826),0)),vp.data[[#This Row],[Dens Input]]),"")</f>
        <v>837.8</v>
      </c>
      <c r="N730" s="2">
        <f ca="1">INDEX(INDIRECT(_xlfn.CONCAT("weather.tbl[",N$1,"]")),MATCH(vp.data[[#This Row],[SDate]],weather.tbl[Date],0))</f>
        <v>-14.933333333333332</v>
      </c>
      <c r="O730" s="2">
        <f ca="1">INDEX(INDIRECT(_xlfn.CONCAT("weather.tbl[",O$1,"]")),MATCH(vp.data[[#This Row],[SDate]],weather.tbl[Date],0))</f>
        <v>-11.192857142857145</v>
      </c>
      <c r="P730" s="2">
        <f ca="1">INDEX(INDIRECT(_xlfn.CONCAT("weather.tbl[",P$1,"]")),MATCH(vp.data[[#This Row],[SDate]],weather.tbl[Date],0))</f>
        <v>-14.5</v>
      </c>
      <c r="Q730" s="2">
        <f ca="1">INDEX(INDIRECT(_xlfn.CONCAT("weather.tbl[",Q$1,"]")),MATCH(vp.data[[#This Row],[SDate]],weather.tbl[Date],0))</f>
        <v>-15</v>
      </c>
      <c r="R730" s="2">
        <f ca="1">INDEX(INDIRECT(_xlfn.CONCAT("weather.tbl[",R$1,"]")),MATCH(vp.data[[#This Row],[SDate]],weather.tbl[Date],0))</f>
        <v>-14.5</v>
      </c>
      <c r="S730" s="2">
        <f ca="1">INDEX(INDIRECT(_xlfn.CONCAT("weather.tbl[",S$1,"]")),MATCH(vp.data[[#This Row],[SDate]],weather.tbl[Date],0))</f>
        <v>-14.2</v>
      </c>
      <c r="T730" s="2">
        <f ca="1">INDEX(INDIRECT(_xlfn.CONCAT("weather.tbl[",T$1,"]")),MATCH(vp.data[[#This Row],[SDate]],weather.tbl[Date],0))</f>
        <v>-15.6</v>
      </c>
      <c r="U730" s="2">
        <f ca="1">INDEX(INDIRECT(_xlfn.CONCAT("weather.tbl[",U$1,"]")),MATCH(vp.data[[#This Row],[SDate]],weather.tbl[Date],0))</f>
        <v>-15.8</v>
      </c>
      <c r="V730" s="2">
        <f t="array" ref="V7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30" t="s">
        <v>48</v>
      </c>
      <c r="X730">
        <f>IF(OR(vp.data[[#This Row],[Sulf]]="",vp.data[[#This Row],[Dens]]=""),1,0)</f>
        <v>0</v>
      </c>
      <c r="Y730">
        <f>IF(vp.data[[#This Row],[CrudeType]]="C5+",1,0)</f>
        <v>0</v>
      </c>
      <c r="Z730">
        <f>IF(AND(vp.data[[#This Row],[CrudeType]]="Crude",vp.data[[#This Row],[Dens]]&lt;=825,vp.data[[#This Row],[Sulf]]&gt;0.5,vp.data[[#This Row],[Unknown]]=0),1,0)</f>
        <v>0</v>
      </c>
      <c r="AA730">
        <f>IF(AND(vp.data[[#This Row],[CrudeType]]="Crude",vp.data[[#This Row],[Dens]]&lt;=825,vp.data[[#This Row],[Sulf]]&lt;=0.5,vp.data[[#This Row],[Unknown]]=0),1,0)</f>
        <v>0</v>
      </c>
      <c r="AB7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0">
        <f>IF(AND(vp.data[[#This Row],[CrudeType]]="Crude",vp.data[[#This Row],[Dens]]&gt;825,vp.data[[#This Row],[Dens]]&lt;=900,vp.data[[#This Row],[Sulf]]&lt;=0.5,vp.data[[#This Row],[Unknown]]=0),1,0)</f>
        <v>0</v>
      </c>
      <c r="AD730">
        <f>IF(AND(vp.data[[#This Row],[CrudeType]]="Crude",vp.data[[#This Row],[Dens]]&gt;865,vp.data[[#This Row],[Dens]]&lt;=900,vp.data[[#This Row],[Sulf]]&gt;2,vp.data[[#This Row],[Unknown]]=0),1,0)</f>
        <v>0</v>
      </c>
      <c r="AE730">
        <f>IF(AND(vp.data[[#This Row],[CrudeType]]="Crude",vp.data[[#This Row],[Dens]]&gt;900,vp.data[[#This Row],[Sulf]]&lt;=0.5,vp.data[[#This Row],[Unknown]]=0),1,0)</f>
        <v>0</v>
      </c>
      <c r="AF730">
        <f>IF(AND(vp.data[[#This Row],[CrudeType]]="Crude",vp.data[[#This Row],[Dens]]&gt;900,vp.data[[#This Row],[Sulf]]&lt;=0.5,vp.data[[#This Row],[Unknown]]=0),1,0)</f>
        <v>0</v>
      </c>
      <c r="AG730" t="str">
        <f>INDEX(vp.data[[#Headers],[Unknown]:[Heavy_SW]],MATCH(1,vp.data[[#This Row],[Unknown]:[Heavy_SW]],0))</f>
        <v>Medium_LSB</v>
      </c>
      <c r="AH730">
        <f>INDEX([3]!crudeBD.lkup[Number],MATCH(vp.data[[#This Row],[Crude_Breakdown]],crudeBD.lkup[Crude Breakdown],0))</f>
        <v>3</v>
      </c>
      <c r="AI730">
        <f>MONTH(vp.data[[#This Row],[SDate]])</f>
        <v>2</v>
      </c>
      <c r="AJ730" s="5">
        <f>(vp.data[[#This Row],[VP]]-INDEX(crudeBD.lkup[Mean_VP],MATCH(vp.data[[#This Row],[Crude_Breakdown]],crudeBD.lkup[Crude Breakdown],0)))^2</f>
        <v>430.99102975421886</v>
      </c>
      <c r="AK730" s="5">
        <f>(vp.data[[#This Row],[Dens]]-INDEX(crudeBD.lkup[Mean_Dens],MATCH(vp.data[[#This Row],[Crude_Breakdown]],crudeBD.lkup[Crude Breakdown],0)))^2</f>
        <v>37.454399999994493</v>
      </c>
      <c r="AL730" s="5">
        <f>(vp.data[[#This Row],[Sulf]]-INDEX(crudeBD.lkup[Mean_Sulf],MATCH(vp.data[[#This Row],[Crude_Breakdown]],crudeBD.lkup[Crude Breakdown],0)))^2</f>
        <v>4.4693396028307825E-2</v>
      </c>
      <c r="AM730" s="4">
        <f>IF(AND(vp.data[[#This Row],[SDate]]&gt;=DATE(YEAR(vp.data[[#This Row],[SDate]]),5,1),vp.data[[#This Row],[SDate]]&lt;=DATE(YEAR(vp.data[[#This Row],[SDate]]),9,15)),1,0)</f>
        <v>0</v>
      </c>
      <c r="AN730" s="4">
        <f>IF(vp.data[[#This Row],[SDate]]&lt;DATE(2016,12,1),0,1)</f>
        <v>1</v>
      </c>
      <c r="AO730" s="4">
        <f>IFERROR(vp.data[[#This Row],[Sulf]]*vp.data[[#This Row],[Net Dens]],"")</f>
        <v>94917118.759117186</v>
      </c>
      <c r="AP730">
        <f>IFERROR(vp.data[[#This Row],[Dens]]*vp.data[[#This Row],[VolumeM3]],"")</f>
        <v>80849334.54779999</v>
      </c>
      <c r="AQ730" s="15">
        <f>IFERROR(vp.data[[#This Row],[VP]]*vp.data[[#This Row],[VolumeM3]],"")</f>
        <v>9785297.8314000014</v>
      </c>
    </row>
    <row r="731" spans="1:43" x14ac:dyDescent="0.25">
      <c r="A731">
        <v>730</v>
      </c>
      <c r="B731" t="s">
        <v>49</v>
      </c>
      <c r="C731" t="s">
        <v>49</v>
      </c>
      <c r="D731" t="s">
        <v>78</v>
      </c>
      <c r="F731" s="1">
        <v>42771</v>
      </c>
      <c r="G731" s="2">
        <v>94.3</v>
      </c>
      <c r="H731" s="2">
        <v>0.34699999999999998</v>
      </c>
      <c r="I731" s="2">
        <f t="array" ref="I731">_xlfn.IFNA(IF(vp.data[[#This Row],[Sulf Input]]="",INDEX([1]DATA!$Q$3:$Q$9826,MATCH(1,(vp.data[[#This Row],[Battery]]=[1]DATA!$L$3:$L$9826)*(EOMONTH(vp.data[[#This Row],[SDate]],-1)+1=[1]DATA!$G$3:$G$9826),0)),vp.data[[#This Row],[Sulf Input]]),"")</f>
        <v>0.34699999999999998</v>
      </c>
      <c r="J731" s="2"/>
      <c r="K731" s="2">
        <v>-16</v>
      </c>
      <c r="L731" s="2">
        <v>809.9</v>
      </c>
      <c r="M731" s="2">
        <f t="array" ref="M731">_xlfn.IFNA(IF(vp.data[[#This Row],[Dens Input]]="",INDEX([1]DATA!$O$3:$O$9826,MATCH(1,(vp.data[[#This Row],[Battery]]=[1]DATA!$L$3:$L$9826)*(EOMONTH(vp.data[[#This Row],[SDate]],-1)+1=[1]DATA!$G$3:$G$9826),0)),vp.data[[#This Row],[Dens Input]]),"")</f>
        <v>809.9</v>
      </c>
      <c r="N731" s="2">
        <f ca="1">INDEX(INDIRECT(_xlfn.CONCAT("weather.tbl[",N$1,"]")),MATCH(vp.data[[#This Row],[SDate]],weather.tbl[Date],0))</f>
        <v>-19.466666666666665</v>
      </c>
      <c r="O731" s="2">
        <f ca="1">INDEX(INDIRECT(_xlfn.CONCAT("weather.tbl[",O$1,"]")),MATCH(vp.data[[#This Row],[SDate]],weather.tbl[Date],0))</f>
        <v>-13.680952380952382</v>
      </c>
      <c r="P731" s="2">
        <f ca="1">INDEX(INDIRECT(_xlfn.CONCAT("weather.tbl[",P$1,"]")),MATCH(vp.data[[#This Row],[SDate]],weather.tbl[Date],0))</f>
        <v>-19.3</v>
      </c>
      <c r="Q731" s="2">
        <f ca="1">INDEX(INDIRECT(_xlfn.CONCAT("weather.tbl[",Q$1,"]")),MATCH(vp.data[[#This Row],[SDate]],weather.tbl[Date],0))</f>
        <v>-19</v>
      </c>
      <c r="R731" s="2">
        <f ca="1">INDEX(INDIRECT(_xlfn.CONCAT("weather.tbl[",R$1,"]")),MATCH(vp.data[[#This Row],[SDate]],weather.tbl[Date],0))</f>
        <v>-21.8</v>
      </c>
      <c r="S731" s="2">
        <f ca="1">INDEX(INDIRECT(_xlfn.CONCAT("weather.tbl[",S$1,"]")),MATCH(vp.data[[#This Row],[SDate]],weather.tbl[Date],0))</f>
        <v>-17.399999999999999</v>
      </c>
      <c r="T731" s="2">
        <f ca="1">INDEX(INDIRECT(_xlfn.CONCAT("weather.tbl[",T$1,"]")),MATCH(vp.data[[#This Row],[SDate]],weather.tbl[Date],0))</f>
        <v>-20.8</v>
      </c>
      <c r="U731" s="2">
        <f ca="1">INDEX(INDIRECT(_xlfn.CONCAT("weather.tbl[",U$1,"]")),MATCH(vp.data[[#This Row],[SDate]],weather.tbl[Date],0))</f>
        <v>-18.5</v>
      </c>
      <c r="V731" s="2">
        <f t="array" ref="V7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17200.881000000001</v>
      </c>
      <c r="W731" t="s">
        <v>48</v>
      </c>
      <c r="X731">
        <f>IF(OR(vp.data[[#This Row],[Sulf]]="",vp.data[[#This Row],[Dens]]=""),1,0)</f>
        <v>0</v>
      </c>
      <c r="Y731">
        <f>IF(vp.data[[#This Row],[CrudeType]]="C5+",1,0)</f>
        <v>0</v>
      </c>
      <c r="Z731">
        <f>IF(AND(vp.data[[#This Row],[CrudeType]]="Crude",vp.data[[#This Row],[Dens]]&lt;=825,vp.data[[#This Row],[Sulf]]&gt;0.5,vp.data[[#This Row],[Unknown]]=0),1,0)</f>
        <v>0</v>
      </c>
      <c r="AA731">
        <f>IF(AND(vp.data[[#This Row],[CrudeType]]="Crude",vp.data[[#This Row],[Dens]]&lt;=825,vp.data[[#This Row],[Sulf]]&lt;=0.5,vp.data[[#This Row],[Unknown]]=0),1,0)</f>
        <v>1</v>
      </c>
      <c r="AB7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31">
        <f>IF(AND(vp.data[[#This Row],[CrudeType]]="Crude",vp.data[[#This Row],[Dens]]&gt;825,vp.data[[#This Row],[Dens]]&lt;=900,vp.data[[#This Row],[Sulf]]&lt;=0.5,vp.data[[#This Row],[Unknown]]=0),1,0)</f>
        <v>0</v>
      </c>
      <c r="AD731">
        <f>IF(AND(vp.data[[#This Row],[CrudeType]]="Crude",vp.data[[#This Row],[Dens]]&gt;865,vp.data[[#This Row],[Dens]]&lt;=900,vp.data[[#This Row],[Sulf]]&gt;2,vp.data[[#This Row],[Unknown]]=0),1,0)</f>
        <v>0</v>
      </c>
      <c r="AE731">
        <f>IF(AND(vp.data[[#This Row],[CrudeType]]="Crude",vp.data[[#This Row],[Dens]]&gt;900,vp.data[[#This Row],[Sulf]]&lt;=0.5,vp.data[[#This Row],[Unknown]]=0),1,0)</f>
        <v>0</v>
      </c>
      <c r="AF731">
        <f>IF(AND(vp.data[[#This Row],[CrudeType]]="Crude",vp.data[[#This Row],[Dens]]&gt;900,vp.data[[#This Row],[Sulf]]&lt;=0.5,vp.data[[#This Row],[Unknown]]=0),1,0)</f>
        <v>0</v>
      </c>
      <c r="AG731" t="str">
        <f>INDEX(vp.data[[#Headers],[Unknown]:[Heavy_SW]],MATCH(1,vp.data[[#This Row],[Unknown]:[Heavy_SW]],0))</f>
        <v>Light_SW</v>
      </c>
      <c r="AH731">
        <f>INDEX([3]!crudeBD.lkup[Number],MATCH(vp.data[[#This Row],[Crude_Breakdown]],crudeBD.lkup[Crude Breakdown],0))</f>
        <v>2</v>
      </c>
      <c r="AI731">
        <f>MONTH(vp.data[[#This Row],[SDate]])</f>
        <v>2</v>
      </c>
      <c r="AJ731" s="5">
        <f>(vp.data[[#This Row],[VP]]-INDEX(crudeBD.lkup[Mean_VP],MATCH(vp.data[[#This Row],[Crude_Breakdown]],crudeBD.lkup[Crude Breakdown],0)))^2</f>
        <v>3.0614025373624507</v>
      </c>
      <c r="AK731" s="5">
        <f>(vp.data[[#This Row],[Dens]]-INDEX(crudeBD.lkup[Mean_Dens],MATCH(vp.data[[#This Row],[Crude_Breakdown]],crudeBD.lkup[Crude Breakdown],0)))^2</f>
        <v>2.5233377848468623</v>
      </c>
      <c r="AL731" s="5">
        <f>(vp.data[[#This Row],[Sulf]]-INDEX(crudeBD.lkup[Mean_Sulf],MATCH(vp.data[[#This Row],[Crude_Breakdown]],crudeBD.lkup[Crude Breakdown],0)))^2</f>
        <v>1.2267376243004072E-2</v>
      </c>
      <c r="AM731" s="4">
        <f>IF(AND(vp.data[[#This Row],[SDate]]&gt;=DATE(YEAR(vp.data[[#This Row],[SDate]]),5,1),vp.data[[#This Row],[SDate]]&lt;=DATE(YEAR(vp.data[[#This Row],[SDate]]),9,15)),1,0)</f>
        <v>0</v>
      </c>
      <c r="AN731" s="4">
        <f>IF(vp.data[[#This Row],[SDate]]&lt;DATE(2016,12,1),0,1)</f>
        <v>1</v>
      </c>
      <c r="AO731" s="4">
        <f>IFERROR(vp.data[[#This Row],[Sulf]]*vp.data[[#This Row],[Net Dens]],"")</f>
        <v>4834054.7520992998</v>
      </c>
      <c r="AP731">
        <f>IFERROR(vp.data[[#This Row],[Dens]]*vp.data[[#This Row],[VolumeM3]],"")</f>
        <v>13930993.5219</v>
      </c>
      <c r="AQ731" s="15">
        <f>IFERROR(vp.data[[#This Row],[VP]]*vp.data[[#This Row],[VolumeM3]],"")</f>
        <v>1622043.0783000002</v>
      </c>
    </row>
    <row r="732" spans="1:43" x14ac:dyDescent="0.25">
      <c r="A732">
        <v>731</v>
      </c>
      <c r="B732" t="s">
        <v>49</v>
      </c>
      <c r="C732" t="s">
        <v>49</v>
      </c>
      <c r="D732" t="s">
        <v>92</v>
      </c>
      <c r="F732" s="1">
        <v>42771</v>
      </c>
      <c r="G732" s="2">
        <v>85.2</v>
      </c>
      <c r="H732" s="2">
        <v>0.56100000000000005</v>
      </c>
      <c r="I732" s="2">
        <f t="array" ref="I732">_xlfn.IFNA(IF(vp.data[[#This Row],[Sulf Input]]="",INDEX([1]DATA!$Q$3:$Q$9826,MATCH(1,(vp.data[[#This Row],[Battery]]=[1]DATA!$L$3:$L$9826)*(EOMONTH(vp.data[[#This Row],[SDate]],-1)+1=[1]DATA!$G$3:$G$9826),0)),vp.data[[#This Row],[Sulf Input]]),"")</f>
        <v>0.56100000000000005</v>
      </c>
      <c r="J732" s="2">
        <v>20.6</v>
      </c>
      <c r="K732" s="2">
        <v>-16</v>
      </c>
      <c r="L732" s="2">
        <v>814.7</v>
      </c>
      <c r="M732" s="2">
        <f t="array" ref="M732">_xlfn.IFNA(IF(vp.data[[#This Row],[Dens Input]]="",INDEX([1]DATA!$O$3:$O$9826,MATCH(1,(vp.data[[#This Row],[Battery]]=[1]DATA!$L$3:$L$9826)*(EOMONTH(vp.data[[#This Row],[SDate]],-1)+1=[1]DATA!$G$3:$G$9826),0)),vp.data[[#This Row],[Dens Input]]),"")</f>
        <v>814.7</v>
      </c>
      <c r="N732" s="2">
        <f ca="1">INDEX(INDIRECT(_xlfn.CONCAT("weather.tbl[",N$1,"]")),MATCH(vp.data[[#This Row],[SDate]],weather.tbl[Date],0))</f>
        <v>-19.466666666666665</v>
      </c>
      <c r="O732" s="2">
        <f ca="1">INDEX(INDIRECT(_xlfn.CONCAT("weather.tbl[",O$1,"]")),MATCH(vp.data[[#This Row],[SDate]],weather.tbl[Date],0))</f>
        <v>-13.680952380952382</v>
      </c>
      <c r="P732" s="2">
        <f ca="1">INDEX(INDIRECT(_xlfn.CONCAT("weather.tbl[",P$1,"]")),MATCH(vp.data[[#This Row],[SDate]],weather.tbl[Date],0))</f>
        <v>-19.3</v>
      </c>
      <c r="Q732" s="2">
        <f ca="1">INDEX(INDIRECT(_xlfn.CONCAT("weather.tbl[",Q$1,"]")),MATCH(vp.data[[#This Row],[SDate]],weather.tbl[Date],0))</f>
        <v>-19</v>
      </c>
      <c r="R732" s="2">
        <f ca="1">INDEX(INDIRECT(_xlfn.CONCAT("weather.tbl[",R$1,"]")),MATCH(vp.data[[#This Row],[SDate]],weather.tbl[Date],0))</f>
        <v>-21.8</v>
      </c>
      <c r="S732" s="2">
        <f ca="1">INDEX(INDIRECT(_xlfn.CONCAT("weather.tbl[",S$1,"]")),MATCH(vp.data[[#This Row],[SDate]],weather.tbl[Date],0))</f>
        <v>-17.399999999999999</v>
      </c>
      <c r="T732" s="2">
        <f ca="1">INDEX(INDIRECT(_xlfn.CONCAT("weather.tbl[",T$1,"]")),MATCH(vp.data[[#This Row],[SDate]],weather.tbl[Date],0))</f>
        <v>-20.8</v>
      </c>
      <c r="U732" s="2">
        <f ca="1">INDEX(INDIRECT(_xlfn.CONCAT("weather.tbl[",U$1,"]")),MATCH(vp.data[[#This Row],[SDate]],weather.tbl[Date],0))</f>
        <v>-18.5</v>
      </c>
      <c r="V732" s="2">
        <f t="array" ref="V7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20149.223999999998</v>
      </c>
      <c r="W732" t="s">
        <v>48</v>
      </c>
      <c r="X732">
        <f>IF(OR(vp.data[[#This Row],[Sulf]]="",vp.data[[#This Row],[Dens]]=""),1,0)</f>
        <v>0</v>
      </c>
      <c r="Y732">
        <f>IF(vp.data[[#This Row],[CrudeType]]="C5+",1,0)</f>
        <v>0</v>
      </c>
      <c r="Z732">
        <f>IF(AND(vp.data[[#This Row],[CrudeType]]="Crude",vp.data[[#This Row],[Dens]]&lt;=825,vp.data[[#This Row],[Sulf]]&gt;0.5,vp.data[[#This Row],[Unknown]]=0),1,0)</f>
        <v>1</v>
      </c>
      <c r="AA732">
        <f>IF(AND(vp.data[[#This Row],[CrudeType]]="Crude",vp.data[[#This Row],[Dens]]&lt;=825,vp.data[[#This Row],[Sulf]]&lt;=0.5,vp.data[[#This Row],[Unknown]]=0),1,0)</f>
        <v>0</v>
      </c>
      <c r="AB7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32">
        <f>IF(AND(vp.data[[#This Row],[CrudeType]]="Crude",vp.data[[#This Row],[Dens]]&gt;825,vp.data[[#This Row],[Dens]]&lt;=900,vp.data[[#This Row],[Sulf]]&lt;=0.5,vp.data[[#This Row],[Unknown]]=0),1,0)</f>
        <v>0</v>
      </c>
      <c r="AD732">
        <f>IF(AND(vp.data[[#This Row],[CrudeType]]="Crude",vp.data[[#This Row],[Dens]]&gt;865,vp.data[[#This Row],[Dens]]&lt;=900,vp.data[[#This Row],[Sulf]]&gt;2,vp.data[[#This Row],[Unknown]]=0),1,0)</f>
        <v>0</v>
      </c>
      <c r="AE732">
        <f>IF(AND(vp.data[[#This Row],[CrudeType]]="Crude",vp.data[[#This Row],[Dens]]&gt;900,vp.data[[#This Row],[Sulf]]&lt;=0.5,vp.data[[#This Row],[Unknown]]=0),1,0)</f>
        <v>0</v>
      </c>
      <c r="AF732">
        <f>IF(AND(vp.data[[#This Row],[CrudeType]]="Crude",vp.data[[#This Row],[Dens]]&gt;900,vp.data[[#This Row],[Sulf]]&lt;=0.5,vp.data[[#This Row],[Unknown]]=0),1,0)</f>
        <v>0</v>
      </c>
      <c r="AG732" t="str">
        <f>INDEX(vp.data[[#Headers],[Unknown]:[Heavy_SW]],MATCH(1,vp.data[[#This Row],[Unknown]:[Heavy_SW]],0))</f>
        <v>Light_LSB</v>
      </c>
      <c r="AH732">
        <f>INDEX([3]!crudeBD.lkup[Number],MATCH(vp.data[[#This Row],[Crude_Breakdown]],crudeBD.lkup[Crude Breakdown],0))</f>
        <v>1</v>
      </c>
      <c r="AI732">
        <f>MONTH(vp.data[[#This Row],[SDate]])</f>
        <v>2</v>
      </c>
      <c r="AJ732" s="5">
        <f>(vp.data[[#This Row],[VP]]-INDEX(crudeBD.lkup[Mean_VP],MATCH(vp.data[[#This Row],[Crude_Breakdown]],crudeBD.lkup[Crude Breakdown],0)))^2</f>
        <v>40.274071250930319</v>
      </c>
      <c r="AK732" s="5">
        <f>(vp.data[[#This Row],[Dens]]-INDEX(crudeBD.lkup[Mean_Dens],MATCH(vp.data[[#This Row],[Crude_Breakdown]],crudeBD.lkup[Crude Breakdown],0)))^2</f>
        <v>14.567731396650577</v>
      </c>
      <c r="AL732" s="5">
        <f>(vp.data[[#This Row],[Sulf]]-INDEX(crudeBD.lkup[Mean_Sulf],MATCH(vp.data[[#This Row],[Crude_Breakdown]],crudeBD.lkup[Crude Breakdown],0)))^2</f>
        <v>0.13102312674191471</v>
      </c>
      <c r="AM732" s="4">
        <f>IF(AND(vp.data[[#This Row],[SDate]]&gt;=DATE(YEAR(vp.data[[#This Row],[SDate]]),5,1),vp.data[[#This Row],[SDate]]&lt;=DATE(YEAR(vp.data[[#This Row],[SDate]]),9,15)),1,0)</f>
        <v>0</v>
      </c>
      <c r="AN732" s="4">
        <f>IF(vp.data[[#This Row],[SDate]]&lt;DATE(2016,12,1),0,1)</f>
        <v>1</v>
      </c>
      <c r="AO732" s="4">
        <f>IFERROR(vp.data[[#This Row],[Sulf]]*vp.data[[#This Row],[Net Dens]],"")</f>
        <v>9209136.3367608003</v>
      </c>
      <c r="AP732">
        <f>IFERROR(vp.data[[#This Row],[Dens]]*vp.data[[#This Row],[VolumeM3]],"")</f>
        <v>16415572.7928</v>
      </c>
      <c r="AQ732" s="15">
        <f>IFERROR(vp.data[[#This Row],[VP]]*vp.data[[#This Row],[VolumeM3]],"")</f>
        <v>1716713.8847999999</v>
      </c>
    </row>
    <row r="733" spans="1:43" x14ac:dyDescent="0.25">
      <c r="A733">
        <v>732</v>
      </c>
      <c r="B733" t="s">
        <v>49</v>
      </c>
      <c r="C733" t="s">
        <v>49</v>
      </c>
      <c r="D733" t="s">
        <v>50</v>
      </c>
      <c r="F733" s="1">
        <v>42771</v>
      </c>
      <c r="G733" s="2">
        <v>81.400000000000006</v>
      </c>
      <c r="H733" s="2">
        <v>2.5459999999999998</v>
      </c>
      <c r="I733" s="2">
        <f t="array" ref="I733">_xlfn.IFNA(IF(vp.data[[#This Row],[Sulf Input]]="",INDEX([1]DATA!$Q$3:$Q$9826,MATCH(1,(vp.data[[#This Row],[Battery]]=[1]DATA!$L$3:$L$9826)*(EOMONTH(vp.data[[#This Row],[SDate]],-1)+1=[1]DATA!$G$3:$G$9826),0)),vp.data[[#This Row],[Sulf Input]]),"")</f>
        <v>2.5459999999999998</v>
      </c>
      <c r="J733" s="2">
        <v>15</v>
      </c>
      <c r="K733" s="2">
        <v>-16</v>
      </c>
      <c r="L733" s="2">
        <v>871.6</v>
      </c>
      <c r="M733" s="2">
        <f t="array" ref="M733">_xlfn.IFNA(IF(vp.data[[#This Row],[Dens Input]]="",INDEX([1]DATA!$O$3:$O$9826,MATCH(1,(vp.data[[#This Row],[Battery]]=[1]DATA!$L$3:$L$9826)*(EOMONTH(vp.data[[#This Row],[SDate]],-1)+1=[1]DATA!$G$3:$G$9826),0)),vp.data[[#This Row],[Dens Input]]),"")</f>
        <v>871.6</v>
      </c>
      <c r="N733" s="2">
        <f ca="1">INDEX(INDIRECT(_xlfn.CONCAT("weather.tbl[",N$1,"]")),MATCH(vp.data[[#This Row],[SDate]],weather.tbl[Date],0))</f>
        <v>-19.466666666666665</v>
      </c>
      <c r="O733" s="2">
        <f ca="1">INDEX(INDIRECT(_xlfn.CONCAT("weather.tbl[",O$1,"]")),MATCH(vp.data[[#This Row],[SDate]],weather.tbl[Date],0))</f>
        <v>-13.680952380952382</v>
      </c>
      <c r="P733" s="2">
        <f ca="1">INDEX(INDIRECT(_xlfn.CONCAT("weather.tbl[",P$1,"]")),MATCH(vp.data[[#This Row],[SDate]],weather.tbl[Date],0))</f>
        <v>-19.3</v>
      </c>
      <c r="Q733" s="2">
        <f ca="1">INDEX(INDIRECT(_xlfn.CONCAT("weather.tbl[",Q$1,"]")),MATCH(vp.data[[#This Row],[SDate]],weather.tbl[Date],0))</f>
        <v>-19</v>
      </c>
      <c r="R733" s="2">
        <f ca="1">INDEX(INDIRECT(_xlfn.CONCAT("weather.tbl[",R$1,"]")),MATCH(vp.data[[#This Row],[SDate]],weather.tbl[Date],0))</f>
        <v>-21.8</v>
      </c>
      <c r="S733" s="2">
        <f ca="1">INDEX(INDIRECT(_xlfn.CONCAT("weather.tbl[",S$1,"]")),MATCH(vp.data[[#This Row],[SDate]],weather.tbl[Date],0))</f>
        <v>-17.399999999999999</v>
      </c>
      <c r="T733" s="2">
        <f ca="1">INDEX(INDIRECT(_xlfn.CONCAT("weather.tbl[",T$1,"]")),MATCH(vp.data[[#This Row],[SDate]],weather.tbl[Date],0))</f>
        <v>-20.8</v>
      </c>
      <c r="U733" s="2">
        <f ca="1">INDEX(INDIRECT(_xlfn.CONCAT("weather.tbl[",U$1,"]")),MATCH(vp.data[[#This Row],[SDate]],weather.tbl[Date],0))</f>
        <v>-18.5</v>
      </c>
      <c r="V733" s="2">
        <f t="array" ref="V7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5073.817</v>
      </c>
      <c r="W733" t="s">
        <v>48</v>
      </c>
      <c r="X733">
        <f>IF(OR(vp.data[[#This Row],[Sulf]]="",vp.data[[#This Row],[Dens]]=""),1,0)</f>
        <v>0</v>
      </c>
      <c r="Y733">
        <f>IF(vp.data[[#This Row],[CrudeType]]="C5+",1,0)</f>
        <v>0</v>
      </c>
      <c r="Z733">
        <f>IF(AND(vp.data[[#This Row],[CrudeType]]="Crude",vp.data[[#This Row],[Dens]]&lt;=825,vp.data[[#This Row],[Sulf]]&gt;0.5,vp.data[[#This Row],[Unknown]]=0),1,0)</f>
        <v>0</v>
      </c>
      <c r="AA733">
        <f>IF(AND(vp.data[[#This Row],[CrudeType]]="Crude",vp.data[[#This Row],[Dens]]&lt;=825,vp.data[[#This Row],[Sulf]]&lt;=0.5,vp.data[[#This Row],[Unknown]]=0),1,0)</f>
        <v>0</v>
      </c>
      <c r="AB7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33">
        <f>IF(AND(vp.data[[#This Row],[CrudeType]]="Crude",vp.data[[#This Row],[Dens]]&gt;825,vp.data[[#This Row],[Dens]]&lt;=900,vp.data[[#This Row],[Sulf]]&lt;=0.5,vp.data[[#This Row],[Unknown]]=0),1,0)</f>
        <v>0</v>
      </c>
      <c r="AD733">
        <f>IF(AND(vp.data[[#This Row],[CrudeType]]="Crude",vp.data[[#This Row],[Dens]]&gt;865,vp.data[[#This Row],[Dens]]&lt;=900,vp.data[[#This Row],[Sulf]]&gt;2,vp.data[[#This Row],[Unknown]]=0),1,0)</f>
        <v>1</v>
      </c>
      <c r="AE733">
        <f>IF(AND(vp.data[[#This Row],[CrudeType]]="Crude",vp.data[[#This Row],[Dens]]&gt;900,vp.data[[#This Row],[Sulf]]&lt;=0.5,vp.data[[#This Row],[Unknown]]=0),1,0)</f>
        <v>0</v>
      </c>
      <c r="AF733">
        <f>IF(AND(vp.data[[#This Row],[CrudeType]]="Crude",vp.data[[#This Row],[Dens]]&gt;900,vp.data[[#This Row],[Sulf]]&lt;=0.5,vp.data[[#This Row],[Unknown]]=0),1,0)</f>
        <v>0</v>
      </c>
      <c r="AG733" t="str">
        <f>INDEX(vp.data[[#Headers],[Unknown]:[Heavy_SW]],MATCH(1,vp.data[[#This Row],[Unknown]:[Heavy_SW]],0))</f>
        <v>Midale</v>
      </c>
      <c r="AH733">
        <f>INDEX([3]!crudeBD.lkup[Number],MATCH(vp.data[[#This Row],[Crude_Breakdown]],crudeBD.lkup[Crude Breakdown],0))</f>
        <v>5</v>
      </c>
      <c r="AI733">
        <f>MONTH(vp.data[[#This Row],[SDate]])</f>
        <v>2</v>
      </c>
      <c r="AJ733" s="5">
        <f>(vp.data[[#This Row],[VP]]-INDEX(crudeBD.lkup[Mean_VP],MATCH(vp.data[[#This Row],[Crude_Breakdown]],crudeBD.lkup[Crude Breakdown],0)))^2</f>
        <v>143.7897675098304</v>
      </c>
      <c r="AK733" s="5">
        <f>(vp.data[[#This Row],[Dens]]-INDEX(crudeBD.lkup[Mean_Dens],MATCH(vp.data[[#This Row],[Crude_Breakdown]],crudeBD.lkup[Crude Breakdown],0)))^2</f>
        <v>10.349155330005019</v>
      </c>
      <c r="AL733" s="5">
        <f>(vp.data[[#This Row],[Sulf]]-INDEX(crudeBD.lkup[Mean_Sulf],MATCH(vp.data[[#This Row],[Crude_Breakdown]],crudeBD.lkup[Crude Breakdown],0)))^2</f>
        <v>1.0482572118620713E-2</v>
      </c>
      <c r="AM733" s="4">
        <f>IF(AND(vp.data[[#This Row],[SDate]]&gt;=DATE(YEAR(vp.data[[#This Row],[SDate]]),5,1),vp.data[[#This Row],[SDate]]&lt;=DATE(YEAR(vp.data[[#This Row],[SDate]]),9,15)),1,0)</f>
        <v>0</v>
      </c>
      <c r="AN733" s="4">
        <f>IF(vp.data[[#This Row],[SDate]]&lt;DATE(2016,12,1),0,1)</f>
        <v>1</v>
      </c>
      <c r="AO733" s="4">
        <f>IFERROR(vp.data[[#This Row],[Sulf]]*vp.data[[#This Row],[Net Dens]],"")</f>
        <v>11259274.8322712</v>
      </c>
      <c r="AP733">
        <f>IFERROR(vp.data[[#This Row],[Dens]]*vp.data[[#This Row],[VolumeM3]],"")</f>
        <v>4422338.8972000005</v>
      </c>
      <c r="AQ733" s="15">
        <f>IFERROR(vp.data[[#This Row],[VP]]*vp.data[[#This Row],[VolumeM3]],"")</f>
        <v>413008.70380000002</v>
      </c>
    </row>
    <row r="734" spans="1:43" x14ac:dyDescent="0.25">
      <c r="A734">
        <v>733</v>
      </c>
      <c r="B734" t="s">
        <v>51</v>
      </c>
      <c r="C734" t="s">
        <v>51</v>
      </c>
      <c r="D734" t="s">
        <v>71</v>
      </c>
      <c r="F734" s="1">
        <v>42771</v>
      </c>
      <c r="G734" s="2">
        <v>98.1</v>
      </c>
      <c r="H734" s="2"/>
      <c r="I734" s="2">
        <f t="array" ref="I734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734" s="2">
        <v>28.9</v>
      </c>
      <c r="K734" s="2">
        <v>-18</v>
      </c>
      <c r="L734" s="2">
        <v>836</v>
      </c>
      <c r="M734" s="2">
        <f t="array" ref="M734">_xlfn.IFNA(IF(vp.data[[#This Row],[Dens Input]]="",INDEX([1]DATA!$O$3:$O$9826,MATCH(1,(vp.data[[#This Row],[Battery]]=[1]DATA!$L$3:$L$9826)*(EOMONTH(vp.data[[#This Row],[SDate]],-1)+1=[1]DATA!$G$3:$G$9826),0)),vp.data[[#This Row],[Dens Input]]),"")</f>
        <v>836</v>
      </c>
      <c r="N734" s="2">
        <f ca="1">INDEX(INDIRECT(_xlfn.CONCAT("weather.tbl[",N$1,"]")),MATCH(vp.data[[#This Row],[SDate]],weather.tbl[Date],0))</f>
        <v>-19.466666666666665</v>
      </c>
      <c r="O734" s="2">
        <f ca="1">INDEX(INDIRECT(_xlfn.CONCAT("weather.tbl[",O$1,"]")),MATCH(vp.data[[#This Row],[SDate]],weather.tbl[Date],0))</f>
        <v>-13.680952380952382</v>
      </c>
      <c r="P734" s="2">
        <f ca="1">INDEX(INDIRECT(_xlfn.CONCAT("weather.tbl[",P$1,"]")),MATCH(vp.data[[#This Row],[SDate]],weather.tbl[Date],0))</f>
        <v>-19.3</v>
      </c>
      <c r="Q734" s="2">
        <f ca="1">INDEX(INDIRECT(_xlfn.CONCAT("weather.tbl[",Q$1,"]")),MATCH(vp.data[[#This Row],[SDate]],weather.tbl[Date],0))</f>
        <v>-19</v>
      </c>
      <c r="R734" s="2">
        <f ca="1">INDEX(INDIRECT(_xlfn.CONCAT("weather.tbl[",R$1,"]")),MATCH(vp.data[[#This Row],[SDate]],weather.tbl[Date],0))</f>
        <v>-21.8</v>
      </c>
      <c r="S734" s="2">
        <f ca="1">INDEX(INDIRECT(_xlfn.CONCAT("weather.tbl[",S$1,"]")),MATCH(vp.data[[#This Row],[SDate]],weather.tbl[Date],0))</f>
        <v>-17.399999999999999</v>
      </c>
      <c r="T734" s="2">
        <f ca="1">INDEX(INDIRECT(_xlfn.CONCAT("weather.tbl[",T$1,"]")),MATCH(vp.data[[#This Row],[SDate]],weather.tbl[Date],0))</f>
        <v>-20.8</v>
      </c>
      <c r="U734" s="2">
        <f ca="1">INDEX(INDIRECT(_xlfn.CONCAT("weather.tbl[",U$1,"]")),MATCH(vp.data[[#This Row],[SDate]],weather.tbl[Date],0))</f>
        <v>-18.5</v>
      </c>
      <c r="V734" s="2">
        <f t="array" ref="V7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7771.3980000000001</v>
      </c>
      <c r="W734" t="s">
        <v>48</v>
      </c>
      <c r="X734">
        <f>IF(OR(vp.data[[#This Row],[Sulf]]="",vp.data[[#This Row],[Dens]]=""),1,0)</f>
        <v>0</v>
      </c>
      <c r="Y734">
        <f>IF(vp.data[[#This Row],[CrudeType]]="C5+",1,0)</f>
        <v>0</v>
      </c>
      <c r="Z734">
        <f>IF(AND(vp.data[[#This Row],[CrudeType]]="Crude",vp.data[[#This Row],[Dens]]&lt;=825,vp.data[[#This Row],[Sulf]]&gt;0.5,vp.data[[#This Row],[Unknown]]=0),1,0)</f>
        <v>0</v>
      </c>
      <c r="AA734">
        <f>IF(AND(vp.data[[#This Row],[CrudeType]]="Crude",vp.data[[#This Row],[Dens]]&lt;=825,vp.data[[#This Row],[Sulf]]&lt;=0.5,vp.data[[#This Row],[Unknown]]=0),1,0)</f>
        <v>0</v>
      </c>
      <c r="AB7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4">
        <f>IF(AND(vp.data[[#This Row],[CrudeType]]="Crude",vp.data[[#This Row],[Dens]]&gt;825,vp.data[[#This Row],[Dens]]&lt;=900,vp.data[[#This Row],[Sulf]]&lt;=0.5,vp.data[[#This Row],[Unknown]]=0),1,0)</f>
        <v>0</v>
      </c>
      <c r="AD734">
        <f>IF(AND(vp.data[[#This Row],[CrudeType]]="Crude",vp.data[[#This Row],[Dens]]&gt;865,vp.data[[#This Row],[Dens]]&lt;=900,vp.data[[#This Row],[Sulf]]&gt;2,vp.data[[#This Row],[Unknown]]=0),1,0)</f>
        <v>0</v>
      </c>
      <c r="AE734">
        <f>IF(AND(vp.data[[#This Row],[CrudeType]]="Crude",vp.data[[#This Row],[Dens]]&gt;900,vp.data[[#This Row],[Sulf]]&lt;=0.5,vp.data[[#This Row],[Unknown]]=0),1,0)</f>
        <v>0</v>
      </c>
      <c r="AF734">
        <f>IF(AND(vp.data[[#This Row],[CrudeType]]="Crude",vp.data[[#This Row],[Dens]]&gt;900,vp.data[[#This Row],[Sulf]]&lt;=0.5,vp.data[[#This Row],[Unknown]]=0),1,0)</f>
        <v>0</v>
      </c>
      <c r="AG734" t="str">
        <f>INDEX(vp.data[[#Headers],[Unknown]:[Heavy_SW]],MATCH(1,vp.data[[#This Row],[Unknown]:[Heavy_SW]],0))</f>
        <v>Medium_LSB</v>
      </c>
      <c r="AH734">
        <f>INDEX([3]!crudeBD.lkup[Number],MATCH(vp.data[[#This Row],[Crude_Breakdown]],crudeBD.lkup[Crude Breakdown],0))</f>
        <v>3</v>
      </c>
      <c r="AI734">
        <f>MONTH(vp.data[[#This Row],[SDate]])</f>
        <v>2</v>
      </c>
      <c r="AJ734" s="5">
        <f>(vp.data[[#This Row],[VP]]-INDEX(crudeBD.lkup[Mean_VP],MATCH(vp.data[[#This Row],[Crude_Breakdown]],crudeBD.lkup[Crude Breakdown],0)))^2</f>
        <v>304.86289498332849</v>
      </c>
      <c r="AK734" s="5">
        <f>(vp.data[[#This Row],[Dens]]-INDEX(crudeBD.lkup[Mean_Dens],MATCH(vp.data[[#This Row],[Crude_Breakdown]],crudeBD.lkup[Crude Breakdown],0)))^2</f>
        <v>62.726399999992147</v>
      </c>
      <c r="AL734" s="5">
        <f>(vp.data[[#This Row],[Sulf]]-INDEX(crudeBD.lkup[Mean_Sulf],MATCH(vp.data[[#This Row],[Crude_Breakdown]],crudeBD.lkup[Crude Breakdown],0)))^2</f>
        <v>5.0441509559303821E-2</v>
      </c>
      <c r="AM734" s="4">
        <f>IF(AND(vp.data[[#This Row],[SDate]]&gt;=DATE(YEAR(vp.data[[#This Row],[SDate]]),5,1),vp.data[[#This Row],[SDate]]&lt;=DATE(YEAR(vp.data[[#This Row],[SDate]]),9,15)),1,0)</f>
        <v>0</v>
      </c>
      <c r="AN734" s="4">
        <f>IF(vp.data[[#This Row],[SDate]]&lt;DATE(2016,12,1),0,1)</f>
        <v>1</v>
      </c>
      <c r="AO734" s="4">
        <f>IFERROR(vp.data[[#This Row],[Sulf]]*vp.data[[#This Row],[Net Dens]],"")</f>
        <v>10459990.852080001</v>
      </c>
      <c r="AP734">
        <f>IFERROR(vp.data[[#This Row],[Dens]]*vp.data[[#This Row],[VolumeM3]],"")</f>
        <v>6496888.7280000001</v>
      </c>
      <c r="AQ734" s="15">
        <f>IFERROR(vp.data[[#This Row],[VP]]*vp.data[[#This Row],[VolumeM3]],"")</f>
        <v>762374.14379999996</v>
      </c>
    </row>
    <row r="735" spans="1:43" x14ac:dyDescent="0.25">
      <c r="A735">
        <v>734</v>
      </c>
      <c r="B735" t="s">
        <v>51</v>
      </c>
      <c r="C735" t="s">
        <v>51</v>
      </c>
      <c r="D735" t="s">
        <v>58</v>
      </c>
      <c r="F735" s="1">
        <v>42771</v>
      </c>
      <c r="G735" s="2">
        <v>93.4</v>
      </c>
      <c r="H735" s="2"/>
      <c r="I735" s="2">
        <f t="array" ref="I735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735" s="2">
        <v>26.2</v>
      </c>
      <c r="K735" s="2">
        <v>-16</v>
      </c>
      <c r="L735" s="2">
        <v>837.2</v>
      </c>
      <c r="M735" s="2">
        <f t="array" ref="M735">_xlfn.IFNA(IF(vp.data[[#This Row],[Dens Input]]="",INDEX([1]DATA!$O$3:$O$9826,MATCH(1,(vp.data[[#This Row],[Battery]]=[1]DATA!$L$3:$L$9826)*(EOMONTH(vp.data[[#This Row],[SDate]],-1)+1=[1]DATA!$G$3:$G$9826),0)),vp.data[[#This Row],[Dens Input]]),"")</f>
        <v>837.2</v>
      </c>
      <c r="N735" s="2">
        <f ca="1">INDEX(INDIRECT(_xlfn.CONCAT("weather.tbl[",N$1,"]")),MATCH(vp.data[[#This Row],[SDate]],weather.tbl[Date],0))</f>
        <v>-19.466666666666665</v>
      </c>
      <c r="O735" s="2">
        <f ca="1">INDEX(INDIRECT(_xlfn.CONCAT("weather.tbl[",O$1,"]")),MATCH(vp.data[[#This Row],[SDate]],weather.tbl[Date],0))</f>
        <v>-13.680952380952382</v>
      </c>
      <c r="P735" s="2">
        <f ca="1">INDEX(INDIRECT(_xlfn.CONCAT("weather.tbl[",P$1,"]")),MATCH(vp.data[[#This Row],[SDate]],weather.tbl[Date],0))</f>
        <v>-19.3</v>
      </c>
      <c r="Q735" s="2">
        <f ca="1">INDEX(INDIRECT(_xlfn.CONCAT("weather.tbl[",Q$1,"]")),MATCH(vp.data[[#This Row],[SDate]],weather.tbl[Date],0))</f>
        <v>-19</v>
      </c>
      <c r="R735" s="2">
        <f ca="1">INDEX(INDIRECT(_xlfn.CONCAT("weather.tbl[",R$1,"]")),MATCH(vp.data[[#This Row],[SDate]],weather.tbl[Date],0))</f>
        <v>-21.8</v>
      </c>
      <c r="S735" s="2">
        <f ca="1">INDEX(INDIRECT(_xlfn.CONCAT("weather.tbl[",S$1,"]")),MATCH(vp.data[[#This Row],[SDate]],weather.tbl[Date],0))</f>
        <v>-17.399999999999999</v>
      </c>
      <c r="T735" s="2">
        <f ca="1">INDEX(INDIRECT(_xlfn.CONCAT("weather.tbl[",T$1,"]")),MATCH(vp.data[[#This Row],[SDate]],weather.tbl[Date],0))</f>
        <v>-20.8</v>
      </c>
      <c r="U735" s="2">
        <f ca="1">INDEX(INDIRECT(_xlfn.CONCAT("weather.tbl[",U$1,"]")),MATCH(vp.data[[#This Row],[SDate]],weather.tbl[Date],0))</f>
        <v>-18.5</v>
      </c>
      <c r="V735" s="2">
        <f t="array" ref="V7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5483.6130000000003</v>
      </c>
      <c r="W735" t="s">
        <v>48</v>
      </c>
      <c r="X735">
        <f>IF(OR(vp.data[[#This Row],[Sulf]]="",vp.data[[#This Row],[Dens]]=""),1,0)</f>
        <v>0</v>
      </c>
      <c r="Y735">
        <f>IF(vp.data[[#This Row],[CrudeType]]="C5+",1,0)</f>
        <v>0</v>
      </c>
      <c r="Z735">
        <f>IF(AND(vp.data[[#This Row],[CrudeType]]="Crude",vp.data[[#This Row],[Dens]]&lt;=825,vp.data[[#This Row],[Sulf]]&gt;0.5,vp.data[[#This Row],[Unknown]]=0),1,0)</f>
        <v>0</v>
      </c>
      <c r="AA735">
        <f>IF(AND(vp.data[[#This Row],[CrudeType]]="Crude",vp.data[[#This Row],[Dens]]&lt;=825,vp.data[[#This Row],[Sulf]]&lt;=0.5,vp.data[[#This Row],[Unknown]]=0),1,0)</f>
        <v>0</v>
      </c>
      <c r="AB7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5">
        <f>IF(AND(vp.data[[#This Row],[CrudeType]]="Crude",vp.data[[#This Row],[Dens]]&gt;825,vp.data[[#This Row],[Dens]]&lt;=900,vp.data[[#This Row],[Sulf]]&lt;=0.5,vp.data[[#This Row],[Unknown]]=0),1,0)</f>
        <v>0</v>
      </c>
      <c r="AD735">
        <f>IF(AND(vp.data[[#This Row],[CrudeType]]="Crude",vp.data[[#This Row],[Dens]]&gt;865,vp.data[[#This Row],[Dens]]&lt;=900,vp.data[[#This Row],[Sulf]]&gt;2,vp.data[[#This Row],[Unknown]]=0),1,0)</f>
        <v>0</v>
      </c>
      <c r="AE735">
        <f>IF(AND(vp.data[[#This Row],[CrudeType]]="Crude",vp.data[[#This Row],[Dens]]&gt;900,vp.data[[#This Row],[Sulf]]&lt;=0.5,vp.data[[#This Row],[Unknown]]=0),1,0)</f>
        <v>0</v>
      </c>
      <c r="AF735">
        <f>IF(AND(vp.data[[#This Row],[CrudeType]]="Crude",vp.data[[#This Row],[Dens]]&gt;900,vp.data[[#This Row],[Sulf]]&lt;=0.5,vp.data[[#This Row],[Unknown]]=0),1,0)</f>
        <v>0</v>
      </c>
      <c r="AG735" t="str">
        <f>INDEX(vp.data[[#Headers],[Unknown]:[Heavy_SW]],MATCH(1,vp.data[[#This Row],[Unknown]:[Heavy_SW]],0))</f>
        <v>Medium_LSB</v>
      </c>
      <c r="AH735">
        <f>INDEX([3]!crudeBD.lkup[Number],MATCH(vp.data[[#This Row],[Crude_Breakdown]],crudeBD.lkup[Crude Breakdown],0))</f>
        <v>3</v>
      </c>
      <c r="AI735">
        <f>MONTH(vp.data[[#This Row],[SDate]])</f>
        <v>2</v>
      </c>
      <c r="AJ735" s="5">
        <f>(vp.data[[#This Row],[VP]]-INDEX(crudeBD.lkup[Mean_VP],MATCH(vp.data[[#This Row],[Crude_Breakdown]],crudeBD.lkup[Crude Breakdown],0)))^2</f>
        <v>162.82585455206132</v>
      </c>
      <c r="AK735" s="5">
        <f>(vp.data[[#This Row],[Dens]]-INDEX(crudeBD.lkup[Mean_Dens],MATCH(vp.data[[#This Row],[Crude_Breakdown]],crudeBD.lkup[Crude Breakdown],0)))^2</f>
        <v>45.158399999992724</v>
      </c>
      <c r="AL735" s="5">
        <f>(vp.data[[#This Row],[Sulf]]-INDEX(crudeBD.lkup[Mean_Sulf],MATCH(vp.data[[#This Row],[Crude_Breakdown]],crudeBD.lkup[Crude Breakdown],0)))^2</f>
        <v>2.9802726320805671E-3</v>
      </c>
      <c r="AM735" s="4">
        <f>IF(AND(vp.data[[#This Row],[SDate]]&gt;=DATE(YEAR(vp.data[[#This Row],[SDate]]),5,1),vp.data[[#This Row],[SDate]]&lt;=DATE(YEAR(vp.data[[#This Row],[SDate]]),9,15)),1,0)</f>
        <v>0</v>
      </c>
      <c r="AN735" s="4">
        <f>IF(vp.data[[#This Row],[SDate]]&lt;DATE(2016,12,1),0,1)</f>
        <v>1</v>
      </c>
      <c r="AO735" s="4">
        <f>IFERROR(vp.data[[#This Row],[Sulf]]*vp.data[[#This Row],[Net Dens]],"")</f>
        <v>6610868.3571840003</v>
      </c>
      <c r="AP735">
        <f>IFERROR(vp.data[[#This Row],[Dens]]*vp.data[[#This Row],[VolumeM3]],"")</f>
        <v>4590880.8036000002</v>
      </c>
      <c r="AQ735" s="15">
        <f>IFERROR(vp.data[[#This Row],[VP]]*vp.data[[#This Row],[VolumeM3]],"")</f>
        <v>512169.45420000004</v>
      </c>
    </row>
    <row r="736" spans="1:43" x14ac:dyDescent="0.25">
      <c r="A736">
        <v>735</v>
      </c>
      <c r="B736" t="s">
        <v>56</v>
      </c>
      <c r="C736" t="s">
        <v>56</v>
      </c>
      <c r="D736" t="s">
        <v>57</v>
      </c>
      <c r="F736" s="1">
        <v>42771</v>
      </c>
      <c r="G736" s="2">
        <v>107.1</v>
      </c>
      <c r="H736" s="2"/>
      <c r="I736" s="2">
        <f t="array" ref="I736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736" s="2">
        <v>5</v>
      </c>
      <c r="K736" s="2">
        <v>-16</v>
      </c>
      <c r="L736" s="2">
        <v>840.3</v>
      </c>
      <c r="M736" s="2">
        <f t="array" ref="M736">_xlfn.IFNA(IF(vp.data[[#This Row],[Dens Input]]="",INDEX([1]DATA!$O$3:$O$9826,MATCH(1,(vp.data[[#This Row],[Battery]]=[1]DATA!$L$3:$L$9826)*(EOMONTH(vp.data[[#This Row],[SDate]],-1)+1=[1]DATA!$G$3:$G$9826),0)),vp.data[[#This Row],[Dens Input]]),"")</f>
        <v>840.3</v>
      </c>
      <c r="N736" s="2">
        <f ca="1">INDEX(INDIRECT(_xlfn.CONCAT("weather.tbl[",N$1,"]")),MATCH(vp.data[[#This Row],[SDate]],weather.tbl[Date],0))</f>
        <v>-19.466666666666665</v>
      </c>
      <c r="O736" s="2">
        <f ca="1">INDEX(INDIRECT(_xlfn.CONCAT("weather.tbl[",O$1,"]")),MATCH(vp.data[[#This Row],[SDate]],weather.tbl[Date],0))</f>
        <v>-13.680952380952382</v>
      </c>
      <c r="P736" s="2">
        <f ca="1">INDEX(INDIRECT(_xlfn.CONCAT("weather.tbl[",P$1,"]")),MATCH(vp.data[[#This Row],[SDate]],weather.tbl[Date],0))</f>
        <v>-19.3</v>
      </c>
      <c r="Q736" s="2">
        <f ca="1">INDEX(INDIRECT(_xlfn.CONCAT("weather.tbl[",Q$1,"]")),MATCH(vp.data[[#This Row],[SDate]],weather.tbl[Date],0))</f>
        <v>-19</v>
      </c>
      <c r="R736" s="2">
        <f ca="1">INDEX(INDIRECT(_xlfn.CONCAT("weather.tbl[",R$1,"]")),MATCH(vp.data[[#This Row],[SDate]],weather.tbl[Date],0))</f>
        <v>-21.8</v>
      </c>
      <c r="S736" s="2">
        <f ca="1">INDEX(INDIRECT(_xlfn.CONCAT("weather.tbl[",S$1,"]")),MATCH(vp.data[[#This Row],[SDate]],weather.tbl[Date],0))</f>
        <v>-17.399999999999999</v>
      </c>
      <c r="T736" s="2">
        <f ca="1">INDEX(INDIRECT(_xlfn.CONCAT("weather.tbl[",T$1,"]")),MATCH(vp.data[[#This Row],[SDate]],weather.tbl[Date],0))</f>
        <v>-20.8</v>
      </c>
      <c r="U736" s="2">
        <f ca="1">INDEX(INDIRECT(_xlfn.CONCAT("weather.tbl[",U$1,"]")),MATCH(vp.data[[#This Row],[SDate]],weather.tbl[Date],0))</f>
        <v>-18.5</v>
      </c>
      <c r="V736" s="2">
        <f t="array" ref="V7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736" t="s">
        <v>48</v>
      </c>
      <c r="X736">
        <f>IF(OR(vp.data[[#This Row],[Sulf]]="",vp.data[[#This Row],[Dens]]=""),1,0)</f>
        <v>0</v>
      </c>
      <c r="Y736">
        <f>IF(vp.data[[#This Row],[CrudeType]]="C5+",1,0)</f>
        <v>0</v>
      </c>
      <c r="Z736">
        <f>IF(AND(vp.data[[#This Row],[CrudeType]]="Crude",vp.data[[#This Row],[Dens]]&lt;=825,vp.data[[#This Row],[Sulf]]&gt;0.5,vp.data[[#This Row],[Unknown]]=0),1,0)</f>
        <v>0</v>
      </c>
      <c r="AA736">
        <f>IF(AND(vp.data[[#This Row],[CrudeType]]="Crude",vp.data[[#This Row],[Dens]]&lt;=825,vp.data[[#This Row],[Sulf]]&lt;=0.5,vp.data[[#This Row],[Unknown]]=0),1,0)</f>
        <v>0</v>
      </c>
      <c r="AB7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6">
        <f>IF(AND(vp.data[[#This Row],[CrudeType]]="Crude",vp.data[[#This Row],[Dens]]&gt;825,vp.data[[#This Row],[Dens]]&lt;=900,vp.data[[#This Row],[Sulf]]&lt;=0.5,vp.data[[#This Row],[Unknown]]=0),1,0)</f>
        <v>0</v>
      </c>
      <c r="AD736">
        <f>IF(AND(vp.data[[#This Row],[CrudeType]]="Crude",vp.data[[#This Row],[Dens]]&gt;865,vp.data[[#This Row],[Dens]]&lt;=900,vp.data[[#This Row],[Sulf]]&gt;2,vp.data[[#This Row],[Unknown]]=0),1,0)</f>
        <v>0</v>
      </c>
      <c r="AE736">
        <f>IF(AND(vp.data[[#This Row],[CrudeType]]="Crude",vp.data[[#This Row],[Dens]]&gt;900,vp.data[[#This Row],[Sulf]]&lt;=0.5,vp.data[[#This Row],[Unknown]]=0),1,0)</f>
        <v>0</v>
      </c>
      <c r="AF736">
        <f>IF(AND(vp.data[[#This Row],[CrudeType]]="Crude",vp.data[[#This Row],[Dens]]&gt;900,vp.data[[#This Row],[Sulf]]&lt;=0.5,vp.data[[#This Row],[Unknown]]=0),1,0)</f>
        <v>0</v>
      </c>
      <c r="AG736" t="str">
        <f>INDEX(vp.data[[#Headers],[Unknown]:[Heavy_SW]],MATCH(1,vp.data[[#This Row],[Unknown]:[Heavy_SW]],0))</f>
        <v>Medium_LSB</v>
      </c>
      <c r="AH736">
        <f>INDEX([3]!crudeBD.lkup[Number],MATCH(vp.data[[#This Row],[Crude_Breakdown]],crudeBD.lkup[Crude Breakdown],0))</f>
        <v>3</v>
      </c>
      <c r="AI736">
        <f>MONTH(vp.data[[#This Row],[SDate]])</f>
        <v>2</v>
      </c>
      <c r="AJ736" s="5">
        <f>(vp.data[[#This Row],[VP]]-INDEX(crudeBD.lkup[Mean_VP],MATCH(vp.data[[#This Row],[Crude_Breakdown]],crudeBD.lkup[Crude Breakdown],0)))^2</f>
        <v>700.14871708575561</v>
      </c>
      <c r="AK736" s="5">
        <f>(vp.data[[#This Row],[Dens]]-INDEX(crudeBD.lkup[Mean_Dens],MATCH(vp.data[[#This Row],[Crude_Breakdown]],crudeBD.lkup[Crude Breakdown],0)))^2</f>
        <v>13.10439999999674</v>
      </c>
      <c r="AL736" s="5">
        <f>(vp.data[[#This Row],[Sulf]]-INDEX(crudeBD.lkup[Mean_Sulf],MATCH(vp.data[[#This Row],[Crude_Breakdown]],crudeBD.lkup[Crude Breakdown],0)))^2</f>
        <v>9.2776209289761713E-2</v>
      </c>
      <c r="AM736" s="4">
        <f>IF(AND(vp.data[[#This Row],[SDate]]&gt;=DATE(YEAR(vp.data[[#This Row],[SDate]]),5,1),vp.data[[#This Row],[SDate]]&lt;=DATE(YEAR(vp.data[[#This Row],[SDate]]),9,15)),1,0)</f>
        <v>0</v>
      </c>
      <c r="AN736" s="4">
        <f>IF(vp.data[[#This Row],[SDate]]&lt;DATE(2016,12,1),0,1)</f>
        <v>1</v>
      </c>
      <c r="AO736" s="4">
        <f>IFERROR(vp.data[[#This Row],[Sulf]]*vp.data[[#This Row],[Net Dens]],"")</f>
        <v>3907039.5615029996</v>
      </c>
      <c r="AP736">
        <f>IFERROR(vp.data[[#This Row],[Dens]]*vp.data[[#This Row],[VolumeM3]],"")</f>
        <v>2311857.7286999999</v>
      </c>
      <c r="AQ736" s="15">
        <f>IFERROR(vp.data[[#This Row],[VP]]*vp.data[[#This Row],[VolumeM3]],"")</f>
        <v>294656.62589999998</v>
      </c>
    </row>
    <row r="737" spans="1:43" x14ac:dyDescent="0.25">
      <c r="A737">
        <v>736</v>
      </c>
      <c r="B737" t="s">
        <v>62</v>
      </c>
      <c r="C737" t="s">
        <v>62</v>
      </c>
      <c r="D737" t="s">
        <v>63</v>
      </c>
      <c r="F737" s="1">
        <v>42771</v>
      </c>
      <c r="G737" s="2">
        <v>88.1</v>
      </c>
      <c r="H737" s="2"/>
      <c r="I737" s="2">
        <f t="array" ref="I737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37" s="2">
        <v>7.7</v>
      </c>
      <c r="K737" s="2">
        <v>-18</v>
      </c>
      <c r="L737" s="2">
        <v>849.2</v>
      </c>
      <c r="M737" s="2">
        <f t="array" ref="M737">_xlfn.IFNA(IF(vp.data[[#This Row],[Dens Input]]="",INDEX([1]DATA!$O$3:$O$9826,MATCH(1,(vp.data[[#This Row],[Battery]]=[1]DATA!$L$3:$L$9826)*(EOMONTH(vp.data[[#This Row],[SDate]],-1)+1=[1]DATA!$G$3:$G$9826),0)),vp.data[[#This Row],[Dens Input]]),"")</f>
        <v>849.2</v>
      </c>
      <c r="N737" s="2">
        <f ca="1">INDEX(INDIRECT(_xlfn.CONCAT("weather.tbl[",N$1,"]")),MATCH(vp.data[[#This Row],[SDate]],weather.tbl[Date],0))</f>
        <v>-19.466666666666665</v>
      </c>
      <c r="O737" s="2">
        <f ca="1">INDEX(INDIRECT(_xlfn.CONCAT("weather.tbl[",O$1,"]")),MATCH(vp.data[[#This Row],[SDate]],weather.tbl[Date],0))</f>
        <v>-13.680952380952382</v>
      </c>
      <c r="P737" s="2">
        <f ca="1">INDEX(INDIRECT(_xlfn.CONCAT("weather.tbl[",P$1,"]")),MATCH(vp.data[[#This Row],[SDate]],weather.tbl[Date],0))</f>
        <v>-19.3</v>
      </c>
      <c r="Q737" s="2">
        <f ca="1">INDEX(INDIRECT(_xlfn.CONCAT("weather.tbl[",Q$1,"]")),MATCH(vp.data[[#This Row],[SDate]],weather.tbl[Date],0))</f>
        <v>-19</v>
      </c>
      <c r="R737" s="2">
        <f ca="1">INDEX(INDIRECT(_xlfn.CONCAT("weather.tbl[",R$1,"]")),MATCH(vp.data[[#This Row],[SDate]],weather.tbl[Date],0))</f>
        <v>-21.8</v>
      </c>
      <c r="S737" s="2">
        <f ca="1">INDEX(INDIRECT(_xlfn.CONCAT("weather.tbl[",S$1,"]")),MATCH(vp.data[[#This Row],[SDate]],weather.tbl[Date],0))</f>
        <v>-17.399999999999999</v>
      </c>
      <c r="T737" s="2">
        <f ca="1">INDEX(INDIRECT(_xlfn.CONCAT("weather.tbl[",T$1,"]")),MATCH(vp.data[[#This Row],[SDate]],weather.tbl[Date],0))</f>
        <v>-20.8</v>
      </c>
      <c r="U737" s="2">
        <f ca="1">INDEX(INDIRECT(_xlfn.CONCAT("weather.tbl[",U$1,"]")),MATCH(vp.data[[#This Row],[SDate]],weather.tbl[Date],0))</f>
        <v>-18.5</v>
      </c>
      <c r="V737" s="2">
        <f t="array" ref="V7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37" t="s">
        <v>48</v>
      </c>
      <c r="X737">
        <f>IF(OR(vp.data[[#This Row],[Sulf]]="",vp.data[[#This Row],[Dens]]=""),1,0)</f>
        <v>0</v>
      </c>
      <c r="Y737">
        <f>IF(vp.data[[#This Row],[CrudeType]]="C5+",1,0)</f>
        <v>0</v>
      </c>
      <c r="Z737">
        <f>IF(AND(vp.data[[#This Row],[CrudeType]]="Crude",vp.data[[#This Row],[Dens]]&lt;=825,vp.data[[#This Row],[Sulf]]&gt;0.5,vp.data[[#This Row],[Unknown]]=0),1,0)</f>
        <v>0</v>
      </c>
      <c r="AA737">
        <f>IF(AND(vp.data[[#This Row],[CrudeType]]="Crude",vp.data[[#This Row],[Dens]]&lt;=825,vp.data[[#This Row],[Sulf]]&lt;=0.5,vp.data[[#This Row],[Unknown]]=0),1,0)</f>
        <v>0</v>
      </c>
      <c r="AB7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7">
        <f>IF(AND(vp.data[[#This Row],[CrudeType]]="Crude",vp.data[[#This Row],[Dens]]&gt;825,vp.data[[#This Row],[Dens]]&lt;=900,vp.data[[#This Row],[Sulf]]&lt;=0.5,vp.data[[#This Row],[Unknown]]=0),1,0)</f>
        <v>0</v>
      </c>
      <c r="AD737">
        <f>IF(AND(vp.data[[#This Row],[CrudeType]]="Crude",vp.data[[#This Row],[Dens]]&gt;865,vp.data[[#This Row],[Dens]]&lt;=900,vp.data[[#This Row],[Sulf]]&gt;2,vp.data[[#This Row],[Unknown]]=0),1,0)</f>
        <v>0</v>
      </c>
      <c r="AE737">
        <f>IF(AND(vp.data[[#This Row],[CrudeType]]="Crude",vp.data[[#This Row],[Dens]]&gt;900,vp.data[[#This Row],[Sulf]]&lt;=0.5,vp.data[[#This Row],[Unknown]]=0),1,0)</f>
        <v>0</v>
      </c>
      <c r="AF737">
        <f>IF(AND(vp.data[[#This Row],[CrudeType]]="Crude",vp.data[[#This Row],[Dens]]&gt;900,vp.data[[#This Row],[Sulf]]&lt;=0.5,vp.data[[#This Row],[Unknown]]=0),1,0)</f>
        <v>0</v>
      </c>
      <c r="AG737" t="str">
        <f>INDEX(vp.data[[#Headers],[Unknown]:[Heavy_SW]],MATCH(1,vp.data[[#This Row],[Unknown]:[Heavy_SW]],0))</f>
        <v>Medium_LSB</v>
      </c>
      <c r="AH737">
        <f>INDEX([3]!crudeBD.lkup[Number],MATCH(vp.data[[#This Row],[Crude_Breakdown]],crudeBD.lkup[Crude Breakdown],0))</f>
        <v>3</v>
      </c>
      <c r="AI737">
        <f>MONTH(vp.data[[#This Row],[SDate]])</f>
        <v>2</v>
      </c>
      <c r="AJ737" s="5">
        <f>(vp.data[[#This Row],[VP]]-INDEX(crudeBD.lkup[Mean_VP],MATCH(vp.data[[#This Row],[Crude_Breakdown]],crudeBD.lkup[Crude Breakdown],0)))^2</f>
        <v>55.656425980631752</v>
      </c>
      <c r="AK737" s="5">
        <f>(vp.data[[#This Row],[Dens]]-INDEX(crudeBD.lkup[Mean_Dens],MATCH(vp.data[[#This Row],[Crude_Breakdown]],crudeBD.lkup[Crude Breakdown],0)))^2</f>
        <v>27.878400000005715</v>
      </c>
      <c r="AL737" s="5">
        <f>(vp.data[[#This Row],[Sulf]]-INDEX(crudeBD.lkup[Mean_Sulf],MATCH(vp.data[[#This Row],[Crude_Breakdown]],crudeBD.lkup[Crude Breakdown],0)))^2</f>
        <v>2.0906809828845806E-2</v>
      </c>
      <c r="AM737" s="4">
        <f>IF(AND(vp.data[[#This Row],[SDate]]&gt;=DATE(YEAR(vp.data[[#This Row],[SDate]]),5,1),vp.data[[#This Row],[SDate]]&lt;=DATE(YEAR(vp.data[[#This Row],[SDate]]),9,15)),1,0)</f>
        <v>0</v>
      </c>
      <c r="AN737" s="4">
        <f>IF(vp.data[[#This Row],[SDate]]&lt;DATE(2016,12,1),0,1)</f>
        <v>1</v>
      </c>
      <c r="AO737" s="4">
        <f>IFERROR(vp.data[[#This Row],[Sulf]]*vp.data[[#This Row],[Net Dens]],"")</f>
        <v>6468756.092964001</v>
      </c>
      <c r="AP737">
        <f>IFERROR(vp.data[[#This Row],[Dens]]*vp.data[[#This Row],[VolumeM3]],"")</f>
        <v>4227945.1588000003</v>
      </c>
      <c r="AQ737" s="15">
        <f>IFERROR(vp.data[[#This Row],[VP]]*vp.data[[#This Row],[VolumeM3]],"")</f>
        <v>438626.90589999995</v>
      </c>
    </row>
    <row r="738" spans="1:43" x14ac:dyDescent="0.25">
      <c r="A738">
        <v>737</v>
      </c>
      <c r="B738" t="s">
        <v>56</v>
      </c>
      <c r="C738" t="s">
        <v>56</v>
      </c>
      <c r="D738" t="s">
        <v>94</v>
      </c>
      <c r="F738" s="1">
        <v>42771</v>
      </c>
      <c r="G738" s="2">
        <v>83.4</v>
      </c>
      <c r="H738" s="2"/>
      <c r="I738" s="2">
        <f t="array" ref="I738">_xlfn.IFNA(IF(vp.data[[#This Row],[Sulf Input]]="",INDEX([1]DATA!$Q$3:$Q$9826,MATCH(1,(vp.data[[#This Row],[Battery]]=[1]DATA!$L$3:$L$9826)*(EOMONTH(vp.data[[#This Row],[SDate]],-1)+1=[1]DATA!$G$3:$G$9826),0)),vp.data[[#This Row],[Sulf Input]]),"")</f>
        <v>1.95</v>
      </c>
      <c r="J738" s="2">
        <v>13.4</v>
      </c>
      <c r="K738" s="2">
        <v>-16</v>
      </c>
      <c r="L738" s="2">
        <v>860.3</v>
      </c>
      <c r="M738" s="2">
        <f t="array" ref="M738">_xlfn.IFNA(IF(vp.data[[#This Row],[Dens Input]]="",INDEX([1]DATA!$O$3:$O$9826,MATCH(1,(vp.data[[#This Row],[Battery]]=[1]DATA!$L$3:$L$9826)*(EOMONTH(vp.data[[#This Row],[SDate]],-1)+1=[1]DATA!$G$3:$G$9826),0)),vp.data[[#This Row],[Dens Input]]),"")</f>
        <v>860.3</v>
      </c>
      <c r="N738" s="2">
        <f ca="1">INDEX(INDIRECT(_xlfn.CONCAT("weather.tbl[",N$1,"]")),MATCH(vp.data[[#This Row],[SDate]],weather.tbl[Date],0))</f>
        <v>-19.466666666666665</v>
      </c>
      <c r="O738" s="2">
        <f ca="1">INDEX(INDIRECT(_xlfn.CONCAT("weather.tbl[",O$1,"]")),MATCH(vp.data[[#This Row],[SDate]],weather.tbl[Date],0))</f>
        <v>-13.680952380952382</v>
      </c>
      <c r="P738" s="2">
        <f ca="1">INDEX(INDIRECT(_xlfn.CONCAT("weather.tbl[",P$1,"]")),MATCH(vp.data[[#This Row],[SDate]],weather.tbl[Date],0))</f>
        <v>-19.3</v>
      </c>
      <c r="Q738" s="2">
        <f ca="1">INDEX(INDIRECT(_xlfn.CONCAT("weather.tbl[",Q$1,"]")),MATCH(vp.data[[#This Row],[SDate]],weather.tbl[Date],0))</f>
        <v>-19</v>
      </c>
      <c r="R738" s="2">
        <f ca="1">INDEX(INDIRECT(_xlfn.CONCAT("weather.tbl[",R$1,"]")),MATCH(vp.data[[#This Row],[SDate]],weather.tbl[Date],0))</f>
        <v>-21.8</v>
      </c>
      <c r="S738" s="2">
        <f ca="1">INDEX(INDIRECT(_xlfn.CONCAT("weather.tbl[",S$1,"]")),MATCH(vp.data[[#This Row],[SDate]],weather.tbl[Date],0))</f>
        <v>-17.399999999999999</v>
      </c>
      <c r="T738" s="2">
        <f ca="1">INDEX(INDIRECT(_xlfn.CONCAT("weather.tbl[",T$1,"]")),MATCH(vp.data[[#This Row],[SDate]],weather.tbl[Date],0))</f>
        <v>-20.8</v>
      </c>
      <c r="U738" s="2">
        <f ca="1">INDEX(INDIRECT(_xlfn.CONCAT("weather.tbl[",U$1,"]")),MATCH(vp.data[[#This Row],[SDate]],weather.tbl[Date],0))</f>
        <v>-18.5</v>
      </c>
      <c r="V738" s="2">
        <f t="array" ref="V7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3347.944</v>
      </c>
      <c r="W738" t="s">
        <v>48</v>
      </c>
      <c r="X738">
        <f>IF(OR(vp.data[[#This Row],[Sulf]]="",vp.data[[#This Row],[Dens]]=""),1,0)</f>
        <v>0</v>
      </c>
      <c r="Y738">
        <f>IF(vp.data[[#This Row],[CrudeType]]="C5+",1,0)</f>
        <v>0</v>
      </c>
      <c r="Z738">
        <f>IF(AND(vp.data[[#This Row],[CrudeType]]="Crude",vp.data[[#This Row],[Dens]]&lt;=825,vp.data[[#This Row],[Sulf]]&gt;0.5,vp.data[[#This Row],[Unknown]]=0),1,0)</f>
        <v>0</v>
      </c>
      <c r="AA738">
        <f>IF(AND(vp.data[[#This Row],[CrudeType]]="Crude",vp.data[[#This Row],[Dens]]&lt;=825,vp.data[[#This Row],[Sulf]]&lt;=0.5,vp.data[[#This Row],[Unknown]]=0),1,0)</f>
        <v>0</v>
      </c>
      <c r="AB7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38">
        <f>IF(AND(vp.data[[#This Row],[CrudeType]]="Crude",vp.data[[#This Row],[Dens]]&gt;825,vp.data[[#This Row],[Dens]]&lt;=900,vp.data[[#This Row],[Sulf]]&lt;=0.5,vp.data[[#This Row],[Unknown]]=0),1,0)</f>
        <v>0</v>
      </c>
      <c r="AD738">
        <f>IF(AND(vp.data[[#This Row],[CrudeType]]="Crude",vp.data[[#This Row],[Dens]]&gt;865,vp.data[[#This Row],[Dens]]&lt;=900,vp.data[[#This Row],[Sulf]]&gt;2,vp.data[[#This Row],[Unknown]]=0),1,0)</f>
        <v>0</v>
      </c>
      <c r="AE738">
        <f>IF(AND(vp.data[[#This Row],[CrudeType]]="Crude",vp.data[[#This Row],[Dens]]&gt;900,vp.data[[#This Row],[Sulf]]&lt;=0.5,vp.data[[#This Row],[Unknown]]=0),1,0)</f>
        <v>0</v>
      </c>
      <c r="AF738">
        <f>IF(AND(vp.data[[#This Row],[CrudeType]]="Crude",vp.data[[#This Row],[Dens]]&gt;900,vp.data[[#This Row],[Sulf]]&lt;=0.5,vp.data[[#This Row],[Unknown]]=0),1,0)</f>
        <v>0</v>
      </c>
      <c r="AG738" t="str">
        <f>INDEX(vp.data[[#Headers],[Unknown]:[Heavy_SW]],MATCH(1,vp.data[[#This Row],[Unknown]:[Heavy_SW]],0))</f>
        <v>Medium_LSB</v>
      </c>
      <c r="AH738">
        <f>INDEX([3]!crudeBD.lkup[Number],MATCH(vp.data[[#This Row],[Crude_Breakdown]],crudeBD.lkup[Crude Breakdown],0))</f>
        <v>3</v>
      </c>
      <c r="AI738">
        <f>MONTH(vp.data[[#This Row],[SDate]])</f>
        <v>2</v>
      </c>
      <c r="AJ738" s="5">
        <f>(vp.data[[#This Row],[VP]]-INDEX(crudeBD.lkup[Mean_VP],MATCH(vp.data[[#This Row],[Crude_Breakdown]],crudeBD.lkup[Crude Breakdown],0)))^2</f>
        <v>7.6193855493643516</v>
      </c>
      <c r="AK738" s="5">
        <f>(vp.data[[#This Row],[Dens]]-INDEX(crudeBD.lkup[Mean_Dens],MATCH(vp.data[[#This Row],[Crude_Breakdown]],crudeBD.lkup[Crude Breakdown],0)))^2</f>
        <v>268.30440000001477</v>
      </c>
      <c r="AL738" s="5">
        <f>(vp.data[[#This Row],[Sulf]]-INDEX(crudeBD.lkup[Mean_Sulf],MATCH(vp.data[[#This Row],[Crude_Breakdown]],crudeBD.lkup[Crude Breakdown],0)))^2</f>
        <v>0.31876398341375012</v>
      </c>
      <c r="AM738" s="4">
        <f>IF(AND(vp.data[[#This Row],[SDate]]&gt;=DATE(YEAR(vp.data[[#This Row],[SDate]]),5,1),vp.data[[#This Row],[SDate]]&lt;=DATE(YEAR(vp.data[[#This Row],[SDate]]),9,15)),1,0)</f>
        <v>0</v>
      </c>
      <c r="AN738" s="4">
        <f>IF(vp.data[[#This Row],[SDate]]&lt;DATE(2016,12,1),0,1)</f>
        <v>1</v>
      </c>
      <c r="AO738" s="4">
        <f>IFERROR(vp.data[[#This Row],[Sulf]]*vp.data[[#This Row],[Net Dens]],"")</f>
        <v>5616460.6352399997</v>
      </c>
      <c r="AP738">
        <f>IFERROR(vp.data[[#This Row],[Dens]]*vp.data[[#This Row],[VolumeM3]],"")</f>
        <v>2880236.2231999999</v>
      </c>
      <c r="AQ738" s="15">
        <f>IFERROR(vp.data[[#This Row],[VP]]*vp.data[[#This Row],[VolumeM3]],"")</f>
        <v>279218.52960000001</v>
      </c>
    </row>
    <row r="739" spans="1:43" x14ac:dyDescent="0.25">
      <c r="A739">
        <v>738</v>
      </c>
      <c r="B739" t="s">
        <v>46</v>
      </c>
      <c r="C739" t="s">
        <v>46</v>
      </c>
      <c r="D739" t="s">
        <v>47</v>
      </c>
      <c r="F739" s="1">
        <v>42771</v>
      </c>
      <c r="G739" s="2">
        <v>59.2</v>
      </c>
      <c r="H739" s="2"/>
      <c r="I739" s="2">
        <f t="array" ref="I739">_xlfn.IFNA(IF(vp.data[[#This Row],[Sulf Input]]="",INDEX([1]DATA!$Q$3:$Q$9826,MATCH(1,(vp.data[[#This Row],[Battery]]=[1]DATA!$L$3:$L$9826)*(EOMONTH(vp.data[[#This Row],[SDate]],-1)+1=[1]DATA!$G$3:$G$9826),0)),vp.data[[#This Row],[Sulf Input]]),"")</f>
        <v>2.39</v>
      </c>
      <c r="J739" s="2">
        <v>28.8</v>
      </c>
      <c r="K739" s="2">
        <v>-16</v>
      </c>
      <c r="L739" s="2">
        <v>867.6</v>
      </c>
      <c r="M739" s="2">
        <f t="array" ref="M739">_xlfn.IFNA(IF(vp.data[[#This Row],[Dens Input]]="",INDEX([1]DATA!$O$3:$O$9826,MATCH(1,(vp.data[[#This Row],[Battery]]=[1]DATA!$L$3:$L$9826)*(EOMONTH(vp.data[[#This Row],[SDate]],-1)+1=[1]DATA!$G$3:$G$9826),0)),vp.data[[#This Row],[Dens Input]]),"")</f>
        <v>867.6</v>
      </c>
      <c r="N739" s="2">
        <f ca="1">INDEX(INDIRECT(_xlfn.CONCAT("weather.tbl[",N$1,"]")),MATCH(vp.data[[#This Row],[SDate]],weather.tbl[Date],0))</f>
        <v>-19.466666666666665</v>
      </c>
      <c r="O739" s="2">
        <f ca="1">INDEX(INDIRECT(_xlfn.CONCAT("weather.tbl[",O$1,"]")),MATCH(vp.data[[#This Row],[SDate]],weather.tbl[Date],0))</f>
        <v>-13.680952380952382</v>
      </c>
      <c r="P739" s="2">
        <f ca="1">INDEX(INDIRECT(_xlfn.CONCAT("weather.tbl[",P$1,"]")),MATCH(vp.data[[#This Row],[SDate]],weather.tbl[Date],0))</f>
        <v>-19.3</v>
      </c>
      <c r="Q739" s="2">
        <f ca="1">INDEX(INDIRECT(_xlfn.CONCAT("weather.tbl[",Q$1,"]")),MATCH(vp.data[[#This Row],[SDate]],weather.tbl[Date],0))</f>
        <v>-19</v>
      </c>
      <c r="R739" s="2">
        <f ca="1">INDEX(INDIRECT(_xlfn.CONCAT("weather.tbl[",R$1,"]")),MATCH(vp.data[[#This Row],[SDate]],weather.tbl[Date],0))</f>
        <v>-21.8</v>
      </c>
      <c r="S739" s="2">
        <f ca="1">INDEX(INDIRECT(_xlfn.CONCAT("weather.tbl[",S$1,"]")),MATCH(vp.data[[#This Row],[SDate]],weather.tbl[Date],0))</f>
        <v>-17.399999999999999</v>
      </c>
      <c r="T739" s="2">
        <f ca="1">INDEX(INDIRECT(_xlfn.CONCAT("weather.tbl[",T$1,"]")),MATCH(vp.data[[#This Row],[SDate]],weather.tbl[Date],0))</f>
        <v>-20.8</v>
      </c>
      <c r="U739" s="2">
        <f ca="1">INDEX(INDIRECT(_xlfn.CONCAT("weather.tbl[",U$1,"]")),MATCH(vp.data[[#This Row],[SDate]],weather.tbl[Date],0))</f>
        <v>-18.5</v>
      </c>
      <c r="V739" s="2">
        <f t="array" ref="V7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104905.11500000001</v>
      </c>
      <c r="W739" t="s">
        <v>48</v>
      </c>
      <c r="X739">
        <f>IF(OR(vp.data[[#This Row],[Sulf]]="",vp.data[[#This Row],[Dens]]=""),1,0)</f>
        <v>0</v>
      </c>
      <c r="Y739">
        <f>IF(vp.data[[#This Row],[CrudeType]]="C5+",1,0)</f>
        <v>0</v>
      </c>
      <c r="Z739">
        <f>IF(AND(vp.data[[#This Row],[CrudeType]]="Crude",vp.data[[#This Row],[Dens]]&lt;=825,vp.data[[#This Row],[Sulf]]&gt;0.5,vp.data[[#This Row],[Unknown]]=0),1,0)</f>
        <v>0</v>
      </c>
      <c r="AA739">
        <f>IF(AND(vp.data[[#This Row],[CrudeType]]="Crude",vp.data[[#This Row],[Dens]]&lt;=825,vp.data[[#This Row],[Sulf]]&lt;=0.5,vp.data[[#This Row],[Unknown]]=0),1,0)</f>
        <v>0</v>
      </c>
      <c r="AB7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39">
        <f>IF(AND(vp.data[[#This Row],[CrudeType]]="Crude",vp.data[[#This Row],[Dens]]&gt;825,vp.data[[#This Row],[Dens]]&lt;=900,vp.data[[#This Row],[Sulf]]&lt;=0.5,vp.data[[#This Row],[Unknown]]=0),1,0)</f>
        <v>0</v>
      </c>
      <c r="AD739">
        <f>IF(AND(vp.data[[#This Row],[CrudeType]]="Crude",vp.data[[#This Row],[Dens]]&gt;865,vp.data[[#This Row],[Dens]]&lt;=900,vp.data[[#This Row],[Sulf]]&gt;2,vp.data[[#This Row],[Unknown]]=0),1,0)</f>
        <v>1</v>
      </c>
      <c r="AE739">
        <f>IF(AND(vp.data[[#This Row],[CrudeType]]="Crude",vp.data[[#This Row],[Dens]]&gt;900,vp.data[[#This Row],[Sulf]]&lt;=0.5,vp.data[[#This Row],[Unknown]]=0),1,0)</f>
        <v>0</v>
      </c>
      <c r="AF739">
        <f>IF(AND(vp.data[[#This Row],[CrudeType]]="Crude",vp.data[[#This Row],[Dens]]&gt;900,vp.data[[#This Row],[Sulf]]&lt;=0.5,vp.data[[#This Row],[Unknown]]=0),1,0)</f>
        <v>0</v>
      </c>
      <c r="AG739" t="str">
        <f>INDEX(vp.data[[#Headers],[Unknown]:[Heavy_SW]],MATCH(1,vp.data[[#This Row],[Unknown]:[Heavy_SW]],0))</f>
        <v>Midale</v>
      </c>
      <c r="AH739">
        <f>INDEX([3]!crudeBD.lkup[Number],MATCH(vp.data[[#This Row],[Crude_Breakdown]],crudeBD.lkup[Crude Breakdown],0))</f>
        <v>5</v>
      </c>
      <c r="AI739">
        <f>MONTH(vp.data[[#This Row],[SDate]])</f>
        <v>2</v>
      </c>
      <c r="AJ739" s="5">
        <f>(vp.data[[#This Row],[VP]]-INDEX(crudeBD.lkup[Mean_VP],MATCH(vp.data[[#This Row],[Crude_Breakdown]],crudeBD.lkup[Crude Breakdown],0)))^2</f>
        <v>104.21883967478006</v>
      </c>
      <c r="AK739" s="5">
        <f>(vp.data[[#This Row],[Dens]]-INDEX(crudeBD.lkup[Mean_Dens],MATCH(vp.data[[#This Row],[Crude_Breakdown]],crudeBD.lkup[Crude Breakdown],0)))^2</f>
        <v>52.085237804234097</v>
      </c>
      <c r="AL739" s="5">
        <f>(vp.data[[#This Row],[Sulf]]-INDEX(crudeBD.lkup[Mean_Sulf],MATCH(vp.data[[#This Row],[Crude_Breakdown]],crudeBD.lkup[Crude Breakdown],0)))^2</f>
        <v>2.8746290258368046E-3</v>
      </c>
      <c r="AM739" s="4">
        <f>IF(AND(vp.data[[#This Row],[SDate]]&gt;=DATE(YEAR(vp.data[[#This Row],[SDate]]),5,1),vp.data[[#This Row],[SDate]]&lt;=DATE(YEAR(vp.data[[#This Row],[SDate]]),9,15)),1,0)</f>
        <v>0</v>
      </c>
      <c r="AN739" s="4">
        <f>IF(vp.data[[#This Row],[SDate]]&lt;DATE(2016,12,1),0,1)</f>
        <v>1</v>
      </c>
      <c r="AO739" s="4">
        <f>IFERROR(vp.data[[#This Row],[Sulf]]*vp.data[[#This Row],[Net Dens]],"")</f>
        <v>217527469.87986001</v>
      </c>
      <c r="AP739">
        <f>IFERROR(vp.data[[#This Row],[Dens]]*vp.data[[#This Row],[VolumeM3]],"")</f>
        <v>91015677.774000004</v>
      </c>
      <c r="AQ739" s="15">
        <f>IFERROR(vp.data[[#This Row],[VP]]*vp.data[[#This Row],[VolumeM3]],"")</f>
        <v>6210382.8080000002</v>
      </c>
    </row>
    <row r="740" spans="1:43" x14ac:dyDescent="0.25">
      <c r="A740">
        <v>739</v>
      </c>
      <c r="B740" t="s">
        <v>51</v>
      </c>
      <c r="C740" t="s">
        <v>51</v>
      </c>
      <c r="D740" t="s">
        <v>52</v>
      </c>
      <c r="F740" s="1">
        <v>42771</v>
      </c>
      <c r="G740" s="2">
        <v>78.400000000000006</v>
      </c>
      <c r="H740" s="2"/>
      <c r="I740" s="2">
        <f t="array" ref="I740">_xlfn.IFNA(IF(vp.data[[#This Row],[Sulf Input]]="",INDEX([1]DATA!$Q$3:$Q$9826,MATCH(1,(vp.data[[#This Row],[Battery]]=[1]DATA!$L$3:$L$9826)*(EOMONTH(vp.data[[#This Row],[SDate]],-1)+1=[1]DATA!$G$3:$G$9826),0)),vp.data[[#This Row],[Sulf Input]]),"")</f>
        <v>2.46</v>
      </c>
      <c r="J740" s="2">
        <v>27.6</v>
      </c>
      <c r="K740" s="2">
        <v>-16</v>
      </c>
      <c r="L740" s="2">
        <v>868.3</v>
      </c>
      <c r="M740" s="2">
        <f t="array" ref="M740">_xlfn.IFNA(IF(vp.data[[#This Row],[Dens Input]]="",INDEX([1]DATA!$O$3:$O$9826,MATCH(1,(vp.data[[#This Row],[Battery]]=[1]DATA!$L$3:$L$9826)*(EOMONTH(vp.data[[#This Row],[SDate]],-1)+1=[1]DATA!$G$3:$G$9826),0)),vp.data[[#This Row],[Dens Input]]),"")</f>
        <v>868.3</v>
      </c>
      <c r="N740" s="2">
        <f ca="1">INDEX(INDIRECT(_xlfn.CONCAT("weather.tbl[",N$1,"]")),MATCH(vp.data[[#This Row],[SDate]],weather.tbl[Date],0))</f>
        <v>-19.466666666666665</v>
      </c>
      <c r="O740" s="2">
        <f ca="1">INDEX(INDIRECT(_xlfn.CONCAT("weather.tbl[",O$1,"]")),MATCH(vp.data[[#This Row],[SDate]],weather.tbl[Date],0))</f>
        <v>-13.680952380952382</v>
      </c>
      <c r="P740" s="2">
        <f ca="1">INDEX(INDIRECT(_xlfn.CONCAT("weather.tbl[",P$1,"]")),MATCH(vp.data[[#This Row],[SDate]],weather.tbl[Date],0))</f>
        <v>-19.3</v>
      </c>
      <c r="Q740" s="2">
        <f ca="1">INDEX(INDIRECT(_xlfn.CONCAT("weather.tbl[",Q$1,"]")),MATCH(vp.data[[#This Row],[SDate]],weather.tbl[Date],0))</f>
        <v>-19</v>
      </c>
      <c r="R740" s="2">
        <f ca="1">INDEX(INDIRECT(_xlfn.CONCAT("weather.tbl[",R$1,"]")),MATCH(vp.data[[#This Row],[SDate]],weather.tbl[Date],0))</f>
        <v>-21.8</v>
      </c>
      <c r="S740" s="2">
        <f ca="1">INDEX(INDIRECT(_xlfn.CONCAT("weather.tbl[",S$1,"]")),MATCH(vp.data[[#This Row],[SDate]],weather.tbl[Date],0))</f>
        <v>-17.399999999999999</v>
      </c>
      <c r="T740" s="2">
        <f ca="1">INDEX(INDIRECT(_xlfn.CONCAT("weather.tbl[",T$1,"]")),MATCH(vp.data[[#This Row],[SDate]],weather.tbl[Date],0))</f>
        <v>-20.8</v>
      </c>
      <c r="U740" s="2">
        <f ca="1">INDEX(INDIRECT(_xlfn.CONCAT("weather.tbl[",U$1,"]")),MATCH(vp.data[[#This Row],[SDate]],weather.tbl[Date],0))</f>
        <v>-18.5</v>
      </c>
      <c r="V740" s="2">
        <f t="array" ref="V7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6655.18</v>
      </c>
      <c r="W740" t="s">
        <v>48</v>
      </c>
      <c r="X740">
        <f>IF(OR(vp.data[[#This Row],[Sulf]]="",vp.data[[#This Row],[Dens]]=""),1,0)</f>
        <v>0</v>
      </c>
      <c r="Y740">
        <f>IF(vp.data[[#This Row],[CrudeType]]="C5+",1,0)</f>
        <v>0</v>
      </c>
      <c r="Z740">
        <f>IF(AND(vp.data[[#This Row],[CrudeType]]="Crude",vp.data[[#This Row],[Dens]]&lt;=825,vp.data[[#This Row],[Sulf]]&gt;0.5,vp.data[[#This Row],[Unknown]]=0),1,0)</f>
        <v>0</v>
      </c>
      <c r="AA740">
        <f>IF(AND(vp.data[[#This Row],[CrudeType]]="Crude",vp.data[[#This Row],[Dens]]&lt;=825,vp.data[[#This Row],[Sulf]]&lt;=0.5,vp.data[[#This Row],[Unknown]]=0),1,0)</f>
        <v>0</v>
      </c>
      <c r="AB7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40">
        <f>IF(AND(vp.data[[#This Row],[CrudeType]]="Crude",vp.data[[#This Row],[Dens]]&gt;825,vp.data[[#This Row],[Dens]]&lt;=900,vp.data[[#This Row],[Sulf]]&lt;=0.5,vp.data[[#This Row],[Unknown]]=0),1,0)</f>
        <v>0</v>
      </c>
      <c r="AD740">
        <f>IF(AND(vp.data[[#This Row],[CrudeType]]="Crude",vp.data[[#This Row],[Dens]]&gt;865,vp.data[[#This Row],[Dens]]&lt;=900,vp.data[[#This Row],[Sulf]]&gt;2,vp.data[[#This Row],[Unknown]]=0),1,0)</f>
        <v>1</v>
      </c>
      <c r="AE740">
        <f>IF(AND(vp.data[[#This Row],[CrudeType]]="Crude",vp.data[[#This Row],[Dens]]&gt;900,vp.data[[#This Row],[Sulf]]&lt;=0.5,vp.data[[#This Row],[Unknown]]=0),1,0)</f>
        <v>0</v>
      </c>
      <c r="AF740">
        <f>IF(AND(vp.data[[#This Row],[CrudeType]]="Crude",vp.data[[#This Row],[Dens]]&gt;900,vp.data[[#This Row],[Sulf]]&lt;=0.5,vp.data[[#This Row],[Unknown]]=0),1,0)</f>
        <v>0</v>
      </c>
      <c r="AG740" t="str">
        <f>INDEX(vp.data[[#Headers],[Unknown]:[Heavy_SW]],MATCH(1,vp.data[[#This Row],[Unknown]:[Heavy_SW]],0))</f>
        <v>Midale</v>
      </c>
      <c r="AH740">
        <f>INDEX([3]!crudeBD.lkup[Number],MATCH(vp.data[[#This Row],[Crude_Breakdown]],crudeBD.lkup[Crude Breakdown],0))</f>
        <v>5</v>
      </c>
      <c r="AI740">
        <f>MONTH(vp.data[[#This Row],[SDate]])</f>
        <v>2</v>
      </c>
      <c r="AJ740" s="5">
        <f>(vp.data[[#This Row],[VP]]-INDEX(crudeBD.lkup[Mean_VP],MATCH(vp.data[[#This Row],[Crude_Breakdown]],crudeBD.lkup[Crude Breakdown],0)))^2</f>
        <v>80.842344829418181</v>
      </c>
      <c r="AK740" s="5">
        <f>(vp.data[[#This Row],[Dens]]-INDEX(crudeBD.lkup[Mean_Dens],MATCH(vp.data[[#This Row],[Crude_Breakdown]],crudeBD.lkup[Crude Breakdown],0)))^2</f>
        <v>42.471423371244896</v>
      </c>
      <c r="AL740" s="5">
        <f>(vp.data[[#This Row],[Sulf]]-INDEX(crudeBD.lkup[Mean_Sulf],MATCH(vp.data[[#This Row],[Crude_Breakdown]],crudeBD.lkup[Crude Breakdown],0)))^2</f>
        <v>2.6844964439370932E-4</v>
      </c>
      <c r="AM740" s="4">
        <f>IF(AND(vp.data[[#This Row],[SDate]]&gt;=DATE(YEAR(vp.data[[#This Row],[SDate]]),5,1),vp.data[[#This Row],[SDate]]&lt;=DATE(YEAR(vp.data[[#This Row],[SDate]]),9,15)),1,0)</f>
        <v>0</v>
      </c>
      <c r="AN740" s="4">
        <f>IF(vp.data[[#This Row],[SDate]]&lt;DATE(2016,12,1),0,1)</f>
        <v>1</v>
      </c>
      <c r="AO740" s="4">
        <f>IFERROR(vp.data[[#This Row],[Sulf]]*vp.data[[#This Row],[Net Dens]],"")</f>
        <v>14215584.27324</v>
      </c>
      <c r="AP740">
        <f>IFERROR(vp.data[[#This Row],[Dens]]*vp.data[[#This Row],[VolumeM3]],"")</f>
        <v>5778692.7939999998</v>
      </c>
      <c r="AQ740" s="15">
        <f>IFERROR(vp.data[[#This Row],[VP]]*vp.data[[#This Row],[VolumeM3]],"")</f>
        <v>521766.11200000008</v>
      </c>
    </row>
    <row r="741" spans="1:43" x14ac:dyDescent="0.25">
      <c r="A741">
        <v>740</v>
      </c>
      <c r="B741" t="s">
        <v>53</v>
      </c>
      <c r="C741" t="s">
        <v>53</v>
      </c>
      <c r="D741" t="s">
        <v>54</v>
      </c>
      <c r="E741" t="s">
        <v>73</v>
      </c>
      <c r="F741" s="1">
        <v>42773</v>
      </c>
      <c r="G741" s="2">
        <v>87.3</v>
      </c>
      <c r="H741" s="2"/>
      <c r="I741" s="2">
        <f t="array" ref="I741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741" s="2">
        <v>3.5</v>
      </c>
      <c r="K741" s="2">
        <v>-30</v>
      </c>
      <c r="L741" s="2">
        <v>842.6</v>
      </c>
      <c r="M741" s="2">
        <f t="array" ref="M741">_xlfn.IFNA(IF(vp.data[[#This Row],[Dens Input]]="",INDEX([1]DATA!$O$3:$O$9826,MATCH(1,(vp.data[[#This Row],[Battery]]=[1]DATA!$L$3:$L$9826)*(EOMONTH(vp.data[[#This Row],[SDate]],-1)+1=[1]DATA!$G$3:$G$9826),0)),vp.data[[#This Row],[Dens Input]]),"")</f>
        <v>842.6</v>
      </c>
      <c r="N741" s="2">
        <f ca="1">INDEX(INDIRECT(_xlfn.CONCAT("weather.tbl[",N$1,"]")),MATCH(vp.data[[#This Row],[SDate]],weather.tbl[Date],0))</f>
        <v>-24.133333333333336</v>
      </c>
      <c r="O741" s="2">
        <f ca="1">INDEX(INDIRECT(_xlfn.CONCAT("weather.tbl[",O$1,"]")),MATCH(vp.data[[#This Row],[SDate]],weather.tbl[Date],0))</f>
        <v>-18.05952380952381</v>
      </c>
      <c r="P741" s="2">
        <f ca="1">INDEX(INDIRECT(_xlfn.CONCAT("weather.tbl[",P$1,"]")),MATCH(vp.data[[#This Row],[SDate]],weather.tbl[Date],0))</f>
        <v>-24.4</v>
      </c>
      <c r="Q741" s="2">
        <f ca="1">INDEX(INDIRECT(_xlfn.CONCAT("weather.tbl[",Q$1,"]")),MATCH(vp.data[[#This Row],[SDate]],weather.tbl[Date],0))</f>
        <v>-25.8</v>
      </c>
      <c r="R741" s="2">
        <f ca="1">INDEX(INDIRECT(_xlfn.CONCAT("weather.tbl[",R$1,"]")),MATCH(vp.data[[#This Row],[SDate]],weather.tbl[Date],0))</f>
        <v>-22.3</v>
      </c>
      <c r="S741" s="2">
        <f ca="1">INDEX(INDIRECT(_xlfn.CONCAT("weather.tbl[",S$1,"]")),MATCH(vp.data[[#This Row],[SDate]],weather.tbl[Date],0))</f>
        <v>-25.5</v>
      </c>
      <c r="T741" s="2">
        <f ca="1">INDEX(INDIRECT(_xlfn.CONCAT("weather.tbl[",T$1,"]")),MATCH(vp.data[[#This Row],[SDate]],weather.tbl[Date],0))</f>
        <v>-24</v>
      </c>
      <c r="U741" s="2">
        <f ca="1">INDEX(INDIRECT(_xlfn.CONCAT("weather.tbl[",U$1,"]")),MATCH(vp.data[[#This Row],[SDate]],weather.tbl[Date],0))</f>
        <v>-22.8</v>
      </c>
      <c r="V741" s="2">
        <f t="array" ref="V7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47607.114999999998</v>
      </c>
      <c r="W741" t="s">
        <v>48</v>
      </c>
      <c r="X741">
        <f>IF(OR(vp.data[[#This Row],[Sulf]]="",vp.data[[#This Row],[Dens]]=""),1,0)</f>
        <v>0</v>
      </c>
      <c r="Y741">
        <f>IF(vp.data[[#This Row],[CrudeType]]="C5+",1,0)</f>
        <v>0</v>
      </c>
      <c r="Z741">
        <f>IF(AND(vp.data[[#This Row],[CrudeType]]="Crude",vp.data[[#This Row],[Dens]]&lt;=825,vp.data[[#This Row],[Sulf]]&gt;0.5,vp.data[[#This Row],[Unknown]]=0),1,0)</f>
        <v>0</v>
      </c>
      <c r="AA741">
        <f>IF(AND(vp.data[[#This Row],[CrudeType]]="Crude",vp.data[[#This Row],[Dens]]&lt;=825,vp.data[[#This Row],[Sulf]]&lt;=0.5,vp.data[[#This Row],[Unknown]]=0),1,0)</f>
        <v>0</v>
      </c>
      <c r="AB7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1">
        <f>IF(AND(vp.data[[#This Row],[CrudeType]]="Crude",vp.data[[#This Row],[Dens]]&gt;825,vp.data[[#This Row],[Dens]]&lt;=900,vp.data[[#This Row],[Sulf]]&lt;=0.5,vp.data[[#This Row],[Unknown]]=0),1,0)</f>
        <v>0</v>
      </c>
      <c r="AD741">
        <f>IF(AND(vp.data[[#This Row],[CrudeType]]="Crude",vp.data[[#This Row],[Dens]]&gt;865,vp.data[[#This Row],[Dens]]&lt;=900,vp.data[[#This Row],[Sulf]]&gt;2,vp.data[[#This Row],[Unknown]]=0),1,0)</f>
        <v>0</v>
      </c>
      <c r="AE741">
        <f>IF(AND(vp.data[[#This Row],[CrudeType]]="Crude",vp.data[[#This Row],[Dens]]&gt;900,vp.data[[#This Row],[Sulf]]&lt;=0.5,vp.data[[#This Row],[Unknown]]=0),1,0)</f>
        <v>0</v>
      </c>
      <c r="AF741">
        <f>IF(AND(vp.data[[#This Row],[CrudeType]]="Crude",vp.data[[#This Row],[Dens]]&gt;900,vp.data[[#This Row],[Sulf]]&lt;=0.5,vp.data[[#This Row],[Unknown]]=0),1,0)</f>
        <v>0</v>
      </c>
      <c r="AG741" t="str">
        <f>INDEX(vp.data[[#Headers],[Unknown]:[Heavy_SW]],MATCH(1,vp.data[[#This Row],[Unknown]:[Heavy_SW]],0))</f>
        <v>Medium_LSB</v>
      </c>
      <c r="AH741">
        <f>INDEX([3]!crudeBD.lkup[Number],MATCH(vp.data[[#This Row],[Crude_Breakdown]],crudeBD.lkup[Crude Breakdown],0))</f>
        <v>3</v>
      </c>
      <c r="AI741">
        <f>MONTH(vp.data[[#This Row],[SDate]])</f>
        <v>2</v>
      </c>
      <c r="AJ741" s="5">
        <f>(vp.data[[#This Row],[VP]]-INDEX(crudeBD.lkup[Mean_VP],MATCH(vp.data[[#This Row],[Crude_Breakdown]],crudeBD.lkup[Crude Breakdown],0)))^2</f>
        <v>44.359908460416051</v>
      </c>
      <c r="AK741" s="5">
        <f>(vp.data[[#This Row],[Dens]]-INDEX(crudeBD.lkup[Mean_Dens],MATCH(vp.data[[#This Row],[Crude_Breakdown]],crudeBD.lkup[Crude Breakdown],0)))^2</f>
        <v>1.7423999999986315</v>
      </c>
      <c r="AL741" s="5">
        <f>(vp.data[[#This Row],[Sulf]]-INDEX(crudeBD.lkup[Mean_Sulf],MATCH(vp.data[[#This Row],[Crude_Breakdown]],crudeBD.lkup[Crude Breakdown],0)))^2</f>
        <v>8.678437182345447E-2</v>
      </c>
      <c r="AM741" s="4">
        <f>IF(AND(vp.data[[#This Row],[SDate]]&gt;=DATE(YEAR(vp.data[[#This Row],[SDate]]),5,1),vp.data[[#This Row],[SDate]]&lt;=DATE(YEAR(vp.data[[#This Row],[SDate]]),9,15)),1,0)</f>
        <v>0</v>
      </c>
      <c r="AN741" s="4">
        <f>IF(vp.data[[#This Row],[SDate]]&lt;DATE(2016,12,1),0,1)</f>
        <v>1</v>
      </c>
      <c r="AO741" s="4">
        <f>IFERROR(vp.data[[#This Row],[Sulf]]*vp.data[[#This Row],[Net Dens]],"")</f>
        <v>67391108.566320002</v>
      </c>
      <c r="AP741">
        <f>IFERROR(vp.data[[#This Row],[Dens]]*vp.data[[#This Row],[VolumeM3]],"")</f>
        <v>40113755.098999999</v>
      </c>
      <c r="AQ741" s="15">
        <f>IFERROR(vp.data[[#This Row],[VP]]*vp.data[[#This Row],[VolumeM3]],"")</f>
        <v>4156101.1394999996</v>
      </c>
    </row>
    <row r="742" spans="1:43" x14ac:dyDescent="0.25">
      <c r="A742">
        <v>741</v>
      </c>
      <c r="B742" t="s">
        <v>53</v>
      </c>
      <c r="C742" t="s">
        <v>53</v>
      </c>
      <c r="D742" t="s">
        <v>54</v>
      </c>
      <c r="E742" t="s">
        <v>55</v>
      </c>
      <c r="F742" s="1">
        <v>42773</v>
      </c>
      <c r="G742" s="2">
        <v>99.6</v>
      </c>
      <c r="H742" s="2"/>
      <c r="I742" s="2">
        <f t="array" ref="I742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742" s="2">
        <v>1.8</v>
      </c>
      <c r="K742" s="2">
        <v>-30</v>
      </c>
      <c r="L742" s="2">
        <v>833.6</v>
      </c>
      <c r="M742" s="2">
        <f t="array" ref="M742">_xlfn.IFNA(IF(vp.data[[#This Row],[Dens Input]]="",INDEX([1]DATA!$O$3:$O$9826,MATCH(1,(vp.data[[#This Row],[Battery]]=[1]DATA!$L$3:$L$9826)*(EOMONTH(vp.data[[#This Row],[SDate]],-1)+1=[1]DATA!$G$3:$G$9826),0)),vp.data[[#This Row],[Dens Input]]),"")</f>
        <v>833.6</v>
      </c>
      <c r="N742" s="2">
        <f ca="1">INDEX(INDIRECT(_xlfn.CONCAT("weather.tbl[",N$1,"]")),MATCH(vp.data[[#This Row],[SDate]],weather.tbl[Date],0))</f>
        <v>-24.133333333333336</v>
      </c>
      <c r="O742" s="2">
        <f ca="1">INDEX(INDIRECT(_xlfn.CONCAT("weather.tbl[",O$1,"]")),MATCH(vp.data[[#This Row],[SDate]],weather.tbl[Date],0))</f>
        <v>-18.05952380952381</v>
      </c>
      <c r="P742" s="2">
        <f ca="1">INDEX(INDIRECT(_xlfn.CONCAT("weather.tbl[",P$1,"]")),MATCH(vp.data[[#This Row],[SDate]],weather.tbl[Date],0))</f>
        <v>-24.4</v>
      </c>
      <c r="Q742" s="2">
        <f ca="1">INDEX(INDIRECT(_xlfn.CONCAT("weather.tbl[",Q$1,"]")),MATCH(vp.data[[#This Row],[SDate]],weather.tbl[Date],0))</f>
        <v>-25.8</v>
      </c>
      <c r="R742" s="2">
        <f ca="1">INDEX(INDIRECT(_xlfn.CONCAT("weather.tbl[",R$1,"]")),MATCH(vp.data[[#This Row],[SDate]],weather.tbl[Date],0))</f>
        <v>-22.3</v>
      </c>
      <c r="S742" s="2">
        <f ca="1">INDEX(INDIRECT(_xlfn.CONCAT("weather.tbl[",S$1,"]")),MATCH(vp.data[[#This Row],[SDate]],weather.tbl[Date],0))</f>
        <v>-25.5</v>
      </c>
      <c r="T742" s="2">
        <f ca="1">INDEX(INDIRECT(_xlfn.CONCAT("weather.tbl[",T$1,"]")),MATCH(vp.data[[#This Row],[SDate]],weather.tbl[Date],0))</f>
        <v>-24</v>
      </c>
      <c r="U742" s="2">
        <f ca="1">INDEX(INDIRECT(_xlfn.CONCAT("weather.tbl[",U$1,"]")),MATCH(vp.data[[#This Row],[SDate]],weather.tbl[Date],0))</f>
        <v>-22.8</v>
      </c>
      <c r="V742" s="2">
        <f t="array" ref="V7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47607.114999999998</v>
      </c>
      <c r="W742" t="s">
        <v>48</v>
      </c>
      <c r="X742">
        <f>IF(OR(vp.data[[#This Row],[Sulf]]="",vp.data[[#This Row],[Dens]]=""),1,0)</f>
        <v>0</v>
      </c>
      <c r="Y742">
        <f>IF(vp.data[[#This Row],[CrudeType]]="C5+",1,0)</f>
        <v>0</v>
      </c>
      <c r="Z742">
        <f>IF(AND(vp.data[[#This Row],[CrudeType]]="Crude",vp.data[[#This Row],[Dens]]&lt;=825,vp.data[[#This Row],[Sulf]]&gt;0.5,vp.data[[#This Row],[Unknown]]=0),1,0)</f>
        <v>0</v>
      </c>
      <c r="AA742">
        <f>IF(AND(vp.data[[#This Row],[CrudeType]]="Crude",vp.data[[#This Row],[Dens]]&lt;=825,vp.data[[#This Row],[Sulf]]&lt;=0.5,vp.data[[#This Row],[Unknown]]=0),1,0)</f>
        <v>0</v>
      </c>
      <c r="AB7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2">
        <f>IF(AND(vp.data[[#This Row],[CrudeType]]="Crude",vp.data[[#This Row],[Dens]]&gt;825,vp.data[[#This Row],[Dens]]&lt;=900,vp.data[[#This Row],[Sulf]]&lt;=0.5,vp.data[[#This Row],[Unknown]]=0),1,0)</f>
        <v>0</v>
      </c>
      <c r="AD742">
        <f>IF(AND(vp.data[[#This Row],[CrudeType]]="Crude",vp.data[[#This Row],[Dens]]&gt;865,vp.data[[#This Row],[Dens]]&lt;=900,vp.data[[#This Row],[Sulf]]&gt;2,vp.data[[#This Row],[Unknown]]=0),1,0)</f>
        <v>0</v>
      </c>
      <c r="AE742">
        <f>IF(AND(vp.data[[#This Row],[CrudeType]]="Crude",vp.data[[#This Row],[Dens]]&gt;900,vp.data[[#This Row],[Sulf]]&lt;=0.5,vp.data[[#This Row],[Unknown]]=0),1,0)</f>
        <v>0</v>
      </c>
      <c r="AF742">
        <f>IF(AND(vp.data[[#This Row],[CrudeType]]="Crude",vp.data[[#This Row],[Dens]]&gt;900,vp.data[[#This Row],[Sulf]]&lt;=0.5,vp.data[[#This Row],[Unknown]]=0),1,0)</f>
        <v>0</v>
      </c>
      <c r="AG742" t="str">
        <f>INDEX(vp.data[[#Headers],[Unknown]:[Heavy_SW]],MATCH(1,vp.data[[#This Row],[Unknown]:[Heavy_SW]],0))</f>
        <v>Medium_LSB</v>
      </c>
      <c r="AH742">
        <f>INDEX([3]!crudeBD.lkup[Number],MATCH(vp.data[[#This Row],[Crude_Breakdown]],crudeBD.lkup[Crude Breakdown],0))</f>
        <v>3</v>
      </c>
      <c r="AI742">
        <f>MONTH(vp.data[[#This Row],[SDate]])</f>
        <v>2</v>
      </c>
      <c r="AJ742" s="5">
        <f>(vp.data[[#This Row],[VP]]-INDEX(crudeBD.lkup[Mean_VP],MATCH(vp.data[[#This Row],[Crude_Breakdown]],crudeBD.lkup[Crude Breakdown],0)))^2</f>
        <v>359.49386533373303</v>
      </c>
      <c r="AK742" s="5">
        <f>(vp.data[[#This Row],[Dens]]-INDEX(crudeBD.lkup[Mean_Dens],MATCH(vp.data[[#This Row],[Crude_Breakdown]],crudeBD.lkup[Crude Breakdown],0)))^2</f>
        <v>106.50239999998929</v>
      </c>
      <c r="AL742" s="5">
        <f>(vp.data[[#This Row],[Sulf]]-INDEX(crudeBD.lkup[Mean_Sulf],MATCH(vp.data[[#This Row],[Crude_Breakdown]],crudeBD.lkup[Crude Breakdown],0)))^2</f>
        <v>8.678437182345447E-2</v>
      </c>
      <c r="AM742" s="4">
        <f>IF(AND(vp.data[[#This Row],[SDate]]&gt;=DATE(YEAR(vp.data[[#This Row],[SDate]]),5,1),vp.data[[#This Row],[SDate]]&lt;=DATE(YEAR(vp.data[[#This Row],[SDate]]),9,15)),1,0)</f>
        <v>0</v>
      </c>
      <c r="AN742" s="4">
        <f>IF(vp.data[[#This Row],[SDate]]&lt;DATE(2016,12,1),0,1)</f>
        <v>1</v>
      </c>
      <c r="AO742" s="4">
        <f>IFERROR(vp.data[[#This Row],[Sulf]]*vp.data[[#This Row],[Net Dens]],"")</f>
        <v>66671288.987520002</v>
      </c>
      <c r="AP742">
        <f>IFERROR(vp.data[[#This Row],[Dens]]*vp.data[[#This Row],[VolumeM3]],"")</f>
        <v>39685291.064000003</v>
      </c>
      <c r="AQ742" s="15">
        <f>IFERROR(vp.data[[#This Row],[VP]]*vp.data[[#This Row],[VolumeM3]],"")</f>
        <v>4741668.6539999992</v>
      </c>
    </row>
    <row r="743" spans="1:43" x14ac:dyDescent="0.25">
      <c r="A743">
        <v>742</v>
      </c>
      <c r="B743" t="s">
        <v>49</v>
      </c>
      <c r="C743" t="s">
        <v>49</v>
      </c>
      <c r="D743" t="s">
        <v>100</v>
      </c>
      <c r="F743" s="1">
        <v>42773</v>
      </c>
      <c r="G743" s="2">
        <v>88.1</v>
      </c>
      <c r="H743" s="2">
        <v>0.52900000000000003</v>
      </c>
      <c r="I743" s="2">
        <f t="array" ref="I743">_xlfn.IFNA(IF(vp.data[[#This Row],[Sulf Input]]="",INDEX([1]DATA!$Q$3:$Q$9826,MATCH(1,(vp.data[[#This Row],[Battery]]=[1]DATA!$L$3:$L$9826)*(EOMONTH(vp.data[[#This Row],[SDate]],-1)+1=[1]DATA!$G$3:$G$9826),0)),vp.data[[#This Row],[Sulf Input]]),"")</f>
        <v>0.52900000000000003</v>
      </c>
      <c r="J743" s="2">
        <v>12</v>
      </c>
      <c r="K743" s="2">
        <v>-30</v>
      </c>
      <c r="L743" s="2">
        <v>814.6</v>
      </c>
      <c r="M743" s="2">
        <f t="array" ref="M743">_xlfn.IFNA(IF(vp.data[[#This Row],[Dens Input]]="",INDEX([1]DATA!$O$3:$O$9826,MATCH(1,(vp.data[[#This Row],[Battery]]=[1]DATA!$L$3:$L$9826)*(EOMONTH(vp.data[[#This Row],[SDate]],-1)+1=[1]DATA!$G$3:$G$9826),0)),vp.data[[#This Row],[Dens Input]]),"")</f>
        <v>814.6</v>
      </c>
      <c r="N743" s="2">
        <f ca="1">INDEX(INDIRECT(_xlfn.CONCAT("weather.tbl[",N$1,"]")),MATCH(vp.data[[#This Row],[SDate]],weather.tbl[Date],0))</f>
        <v>-24.133333333333336</v>
      </c>
      <c r="O743" s="2">
        <f ca="1">INDEX(INDIRECT(_xlfn.CONCAT("weather.tbl[",O$1,"]")),MATCH(vp.data[[#This Row],[SDate]],weather.tbl[Date],0))</f>
        <v>-18.05952380952381</v>
      </c>
      <c r="P743" s="2">
        <f ca="1">INDEX(INDIRECT(_xlfn.CONCAT("weather.tbl[",P$1,"]")),MATCH(vp.data[[#This Row],[SDate]],weather.tbl[Date],0))</f>
        <v>-24.4</v>
      </c>
      <c r="Q743" s="2">
        <f ca="1">INDEX(INDIRECT(_xlfn.CONCAT("weather.tbl[",Q$1,"]")),MATCH(vp.data[[#This Row],[SDate]],weather.tbl[Date],0))</f>
        <v>-25.8</v>
      </c>
      <c r="R743" s="2">
        <f ca="1">INDEX(INDIRECT(_xlfn.CONCAT("weather.tbl[",R$1,"]")),MATCH(vp.data[[#This Row],[SDate]],weather.tbl[Date],0))</f>
        <v>-22.3</v>
      </c>
      <c r="S743" s="2">
        <f ca="1">INDEX(INDIRECT(_xlfn.CONCAT("weather.tbl[",S$1,"]")),MATCH(vp.data[[#This Row],[SDate]],weather.tbl[Date],0))</f>
        <v>-25.5</v>
      </c>
      <c r="T743" s="2">
        <f ca="1">INDEX(INDIRECT(_xlfn.CONCAT("weather.tbl[",T$1,"]")),MATCH(vp.data[[#This Row],[SDate]],weather.tbl[Date],0))</f>
        <v>-24</v>
      </c>
      <c r="U743" s="2">
        <f ca="1">INDEX(INDIRECT(_xlfn.CONCAT("weather.tbl[",U$1,"]")),MATCH(vp.data[[#This Row],[SDate]],weather.tbl[Date],0))</f>
        <v>-22.8</v>
      </c>
      <c r="V743" s="2">
        <f t="array" ref="V7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11683.09</v>
      </c>
      <c r="W743" t="s">
        <v>48</v>
      </c>
      <c r="X743">
        <f>IF(OR(vp.data[[#This Row],[Sulf]]="",vp.data[[#This Row],[Dens]]=""),1,0)</f>
        <v>0</v>
      </c>
      <c r="Y743">
        <f>IF(vp.data[[#This Row],[CrudeType]]="C5+",1,0)</f>
        <v>0</v>
      </c>
      <c r="Z743">
        <f>IF(AND(vp.data[[#This Row],[CrudeType]]="Crude",vp.data[[#This Row],[Dens]]&lt;=825,vp.data[[#This Row],[Sulf]]&gt;0.5,vp.data[[#This Row],[Unknown]]=0),1,0)</f>
        <v>1</v>
      </c>
      <c r="AA743">
        <f>IF(AND(vp.data[[#This Row],[CrudeType]]="Crude",vp.data[[#This Row],[Dens]]&lt;=825,vp.data[[#This Row],[Sulf]]&lt;=0.5,vp.data[[#This Row],[Unknown]]=0),1,0)</f>
        <v>0</v>
      </c>
      <c r="AB7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43">
        <f>IF(AND(vp.data[[#This Row],[CrudeType]]="Crude",vp.data[[#This Row],[Dens]]&gt;825,vp.data[[#This Row],[Dens]]&lt;=900,vp.data[[#This Row],[Sulf]]&lt;=0.5,vp.data[[#This Row],[Unknown]]=0),1,0)</f>
        <v>0</v>
      </c>
      <c r="AD743">
        <f>IF(AND(vp.data[[#This Row],[CrudeType]]="Crude",vp.data[[#This Row],[Dens]]&gt;865,vp.data[[#This Row],[Dens]]&lt;=900,vp.data[[#This Row],[Sulf]]&gt;2,vp.data[[#This Row],[Unknown]]=0),1,0)</f>
        <v>0</v>
      </c>
      <c r="AE743">
        <f>IF(AND(vp.data[[#This Row],[CrudeType]]="Crude",vp.data[[#This Row],[Dens]]&gt;900,vp.data[[#This Row],[Sulf]]&lt;=0.5,vp.data[[#This Row],[Unknown]]=0),1,0)</f>
        <v>0</v>
      </c>
      <c r="AF743">
        <f>IF(AND(vp.data[[#This Row],[CrudeType]]="Crude",vp.data[[#This Row],[Dens]]&gt;900,vp.data[[#This Row],[Sulf]]&lt;=0.5,vp.data[[#This Row],[Unknown]]=0),1,0)</f>
        <v>0</v>
      </c>
      <c r="AG743" t="str">
        <f>INDEX(vp.data[[#Headers],[Unknown]:[Heavy_SW]],MATCH(1,vp.data[[#This Row],[Unknown]:[Heavy_SW]],0))</f>
        <v>Light_LSB</v>
      </c>
      <c r="AH743">
        <f>INDEX([3]!crudeBD.lkup[Number],MATCH(vp.data[[#This Row],[Crude_Breakdown]],crudeBD.lkup[Crude Breakdown],0))</f>
        <v>1</v>
      </c>
      <c r="AI743">
        <f>MONTH(vp.data[[#This Row],[SDate]])</f>
        <v>2</v>
      </c>
      <c r="AJ743" s="5">
        <f>(vp.data[[#This Row],[VP]]-INDEX(crudeBD.lkup[Mean_VP],MATCH(vp.data[[#This Row],[Crude_Breakdown]],crudeBD.lkup[Crude Breakdown],0)))^2</f>
        <v>11.87619496227042</v>
      </c>
      <c r="AK743" s="5">
        <f>(vp.data[[#This Row],[Dens]]-INDEX(crudeBD.lkup[Mean_Dens],MATCH(vp.data[[#This Row],[Crude_Breakdown]],crudeBD.lkup[Crude Breakdown],0)))^2</f>
        <v>15.341085348540718</v>
      </c>
      <c r="AL743" s="5">
        <f>(vp.data[[#This Row],[Sulf]]-INDEX(crudeBD.lkup[Mean_Sulf],MATCH(vp.data[[#This Row],[Crude_Breakdown]],crudeBD.lkup[Crude Breakdown],0)))^2</f>
        <v>0.15521328151854702</v>
      </c>
      <c r="AM743" s="4">
        <f>IF(AND(vp.data[[#This Row],[SDate]]&gt;=DATE(YEAR(vp.data[[#This Row],[SDate]]),5,1),vp.data[[#This Row],[SDate]]&lt;=DATE(YEAR(vp.data[[#This Row],[SDate]]),9,15)),1,0)</f>
        <v>0</v>
      </c>
      <c r="AN743" s="4">
        <f>IF(vp.data[[#This Row],[SDate]]&lt;DATE(2016,12,1),0,1)</f>
        <v>1</v>
      </c>
      <c r="AO743" s="4">
        <f>IFERROR(vp.data[[#This Row],[Sulf]]*vp.data[[#This Row],[Net Dens]],"")</f>
        <v>5034516.8653060002</v>
      </c>
      <c r="AP743">
        <f>IFERROR(vp.data[[#This Row],[Dens]]*vp.data[[#This Row],[VolumeM3]],"")</f>
        <v>9517045.1140000001</v>
      </c>
      <c r="AQ743" s="15">
        <f>IFERROR(vp.data[[#This Row],[VP]]*vp.data[[#This Row],[VolumeM3]],"")</f>
        <v>1029280.2289999999</v>
      </c>
    </row>
    <row r="744" spans="1:43" x14ac:dyDescent="0.25">
      <c r="A744">
        <v>743</v>
      </c>
      <c r="B744" t="s">
        <v>49</v>
      </c>
      <c r="C744" t="s">
        <v>49</v>
      </c>
      <c r="D744" t="s">
        <v>80</v>
      </c>
      <c r="F744" s="1">
        <v>42773</v>
      </c>
      <c r="G744" s="2">
        <v>80.400000000000006</v>
      </c>
      <c r="H744" s="2">
        <v>0.55600000000000005</v>
      </c>
      <c r="I744" s="2">
        <f t="array" ref="I744">_xlfn.IFNA(IF(vp.data[[#This Row],[Sulf Input]]="",INDEX([1]DATA!$Q$3:$Q$9826,MATCH(1,(vp.data[[#This Row],[Battery]]=[1]DATA!$L$3:$L$9826)*(EOMONTH(vp.data[[#This Row],[SDate]],-1)+1=[1]DATA!$G$3:$G$9826),0)),vp.data[[#This Row],[Sulf Input]]),"")</f>
        <v>0.55600000000000005</v>
      </c>
      <c r="J744" s="2">
        <v>13.7</v>
      </c>
      <c r="K744" s="2">
        <v>-30</v>
      </c>
      <c r="L744" s="2">
        <v>815.7</v>
      </c>
      <c r="M744" s="2">
        <f t="array" ref="M744">_xlfn.IFNA(IF(vp.data[[#This Row],[Dens Input]]="",INDEX([1]DATA!$O$3:$O$9826,MATCH(1,(vp.data[[#This Row],[Battery]]=[1]DATA!$L$3:$L$9826)*(EOMONTH(vp.data[[#This Row],[SDate]],-1)+1=[1]DATA!$G$3:$G$9826),0)),vp.data[[#This Row],[Dens Input]]),"")</f>
        <v>815.7</v>
      </c>
      <c r="N744" s="2">
        <f ca="1">INDEX(INDIRECT(_xlfn.CONCAT("weather.tbl[",N$1,"]")),MATCH(vp.data[[#This Row],[SDate]],weather.tbl[Date],0))</f>
        <v>-24.133333333333336</v>
      </c>
      <c r="O744" s="2">
        <f ca="1">INDEX(INDIRECT(_xlfn.CONCAT("weather.tbl[",O$1,"]")),MATCH(vp.data[[#This Row],[SDate]],weather.tbl[Date],0))</f>
        <v>-18.05952380952381</v>
      </c>
      <c r="P744" s="2">
        <f ca="1">INDEX(INDIRECT(_xlfn.CONCAT("weather.tbl[",P$1,"]")),MATCH(vp.data[[#This Row],[SDate]],weather.tbl[Date],0))</f>
        <v>-24.4</v>
      </c>
      <c r="Q744" s="2">
        <f ca="1">INDEX(INDIRECT(_xlfn.CONCAT("weather.tbl[",Q$1,"]")),MATCH(vp.data[[#This Row],[SDate]],weather.tbl[Date],0))</f>
        <v>-25.8</v>
      </c>
      <c r="R744" s="2">
        <f ca="1">INDEX(INDIRECT(_xlfn.CONCAT("weather.tbl[",R$1,"]")),MATCH(vp.data[[#This Row],[SDate]],weather.tbl[Date],0))</f>
        <v>-22.3</v>
      </c>
      <c r="S744" s="2">
        <f ca="1">INDEX(INDIRECT(_xlfn.CONCAT("weather.tbl[",S$1,"]")),MATCH(vp.data[[#This Row],[SDate]],weather.tbl[Date],0))</f>
        <v>-25.5</v>
      </c>
      <c r="T744" s="2">
        <f ca="1">INDEX(INDIRECT(_xlfn.CONCAT("weather.tbl[",T$1,"]")),MATCH(vp.data[[#This Row],[SDate]],weather.tbl[Date],0))</f>
        <v>-24</v>
      </c>
      <c r="U744" s="2">
        <f ca="1">INDEX(INDIRECT(_xlfn.CONCAT("weather.tbl[",U$1,"]")),MATCH(vp.data[[#This Row],[SDate]],weather.tbl[Date],0))</f>
        <v>-22.8</v>
      </c>
      <c r="V744" s="2">
        <f t="array" ref="V7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16928.633000000002</v>
      </c>
      <c r="W744" t="s">
        <v>48</v>
      </c>
      <c r="X744">
        <f>IF(OR(vp.data[[#This Row],[Sulf]]="",vp.data[[#This Row],[Dens]]=""),1,0)</f>
        <v>0</v>
      </c>
      <c r="Y744">
        <f>IF(vp.data[[#This Row],[CrudeType]]="C5+",1,0)</f>
        <v>0</v>
      </c>
      <c r="Z744">
        <f>IF(AND(vp.data[[#This Row],[CrudeType]]="Crude",vp.data[[#This Row],[Dens]]&lt;=825,vp.data[[#This Row],[Sulf]]&gt;0.5,vp.data[[#This Row],[Unknown]]=0),1,0)</f>
        <v>1</v>
      </c>
      <c r="AA744">
        <f>IF(AND(vp.data[[#This Row],[CrudeType]]="Crude",vp.data[[#This Row],[Dens]]&lt;=825,vp.data[[#This Row],[Sulf]]&lt;=0.5,vp.data[[#This Row],[Unknown]]=0),1,0)</f>
        <v>0</v>
      </c>
      <c r="AB7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44">
        <f>IF(AND(vp.data[[#This Row],[CrudeType]]="Crude",vp.data[[#This Row],[Dens]]&gt;825,vp.data[[#This Row],[Dens]]&lt;=900,vp.data[[#This Row],[Sulf]]&lt;=0.5,vp.data[[#This Row],[Unknown]]=0),1,0)</f>
        <v>0</v>
      </c>
      <c r="AD744">
        <f>IF(AND(vp.data[[#This Row],[CrudeType]]="Crude",vp.data[[#This Row],[Dens]]&gt;865,vp.data[[#This Row],[Dens]]&lt;=900,vp.data[[#This Row],[Sulf]]&gt;2,vp.data[[#This Row],[Unknown]]=0),1,0)</f>
        <v>0</v>
      </c>
      <c r="AE744">
        <f>IF(AND(vp.data[[#This Row],[CrudeType]]="Crude",vp.data[[#This Row],[Dens]]&gt;900,vp.data[[#This Row],[Sulf]]&lt;=0.5,vp.data[[#This Row],[Unknown]]=0),1,0)</f>
        <v>0</v>
      </c>
      <c r="AF744">
        <f>IF(AND(vp.data[[#This Row],[CrudeType]]="Crude",vp.data[[#This Row],[Dens]]&gt;900,vp.data[[#This Row],[Sulf]]&lt;=0.5,vp.data[[#This Row],[Unknown]]=0),1,0)</f>
        <v>0</v>
      </c>
      <c r="AG744" t="str">
        <f>INDEX(vp.data[[#Headers],[Unknown]:[Heavy_SW]],MATCH(1,vp.data[[#This Row],[Unknown]:[Heavy_SW]],0))</f>
        <v>Light_LSB</v>
      </c>
      <c r="AH744">
        <f>INDEX([3]!crudeBD.lkup[Number],MATCH(vp.data[[#This Row],[Crude_Breakdown]],crudeBD.lkup[Crude Breakdown],0))</f>
        <v>1</v>
      </c>
      <c r="AI744">
        <f>MONTH(vp.data[[#This Row],[SDate]])</f>
        <v>2</v>
      </c>
      <c r="AJ744" s="5">
        <f>(vp.data[[#This Row],[VP]]-INDEX(crudeBD.lkup[Mean_VP],MATCH(vp.data[[#This Row],[Crude_Breakdown]],crudeBD.lkup[Crude Breakdown],0)))^2</f>
        <v>124.23745269422949</v>
      </c>
      <c r="AK744" s="5">
        <f>(vp.data[[#This Row],[Dens]]-INDEX(crudeBD.lkup[Mean_Dens],MATCH(vp.data[[#This Row],[Crude_Breakdown]],crudeBD.lkup[Crude Breakdown],0)))^2</f>
        <v>7.934191877750953</v>
      </c>
      <c r="AL744" s="5">
        <f>(vp.data[[#This Row],[Sulf]]-INDEX(crudeBD.lkup[Mean_Sulf],MATCH(vp.data[[#This Row],[Crude_Breakdown]],crudeBD.lkup[Crude Breakdown],0)))^2</f>
        <v>0.13466783842576352</v>
      </c>
      <c r="AM744" s="4">
        <f>IF(AND(vp.data[[#This Row],[SDate]]&gt;=DATE(YEAR(vp.data[[#This Row],[SDate]]),5,1),vp.data[[#This Row],[SDate]]&lt;=DATE(YEAR(vp.data[[#This Row],[SDate]]),9,15)),1,0)</f>
        <v>0</v>
      </c>
      <c r="AN744" s="4">
        <f>IF(vp.data[[#This Row],[SDate]]&lt;DATE(2016,12,1),0,1)</f>
        <v>1</v>
      </c>
      <c r="AO744" s="4">
        <f>IFERROR(vp.data[[#This Row],[Sulf]]*vp.data[[#This Row],[Net Dens]],"")</f>
        <v>7677629.3815836022</v>
      </c>
      <c r="AP744">
        <f>IFERROR(vp.data[[#This Row],[Dens]]*vp.data[[#This Row],[VolumeM3]],"")</f>
        <v>13808685.938100003</v>
      </c>
      <c r="AQ744" s="15">
        <f>IFERROR(vp.data[[#This Row],[VP]]*vp.data[[#This Row],[VolumeM3]],"")</f>
        <v>1361062.0932000002</v>
      </c>
    </row>
    <row r="745" spans="1:43" x14ac:dyDescent="0.25">
      <c r="A745">
        <v>744</v>
      </c>
      <c r="B745" t="s">
        <v>49</v>
      </c>
      <c r="C745" t="s">
        <v>49</v>
      </c>
      <c r="D745" t="s">
        <v>70</v>
      </c>
      <c r="F745" s="1">
        <v>42773</v>
      </c>
      <c r="G745" s="2">
        <v>83.7</v>
      </c>
      <c r="H745" s="2">
        <v>0.95699999999999996</v>
      </c>
      <c r="I745" s="2">
        <f t="array" ref="I745">_xlfn.IFNA(IF(vp.data[[#This Row],[Sulf Input]]="",INDEX([1]DATA!$Q$3:$Q$9826,MATCH(1,(vp.data[[#This Row],[Battery]]=[1]DATA!$L$3:$L$9826)*(EOMONTH(vp.data[[#This Row],[SDate]],-1)+1=[1]DATA!$G$3:$G$9826),0)),vp.data[[#This Row],[Sulf Input]]),"")</f>
        <v>0.95699999999999996</v>
      </c>
      <c r="J745" s="2">
        <v>14</v>
      </c>
      <c r="K745" s="2">
        <v>-30</v>
      </c>
      <c r="L745" s="2">
        <v>825.8</v>
      </c>
      <c r="M745" s="2">
        <f t="array" ref="M745">_xlfn.IFNA(IF(vp.data[[#This Row],[Dens Input]]="",INDEX([1]DATA!$O$3:$O$9826,MATCH(1,(vp.data[[#This Row],[Battery]]=[1]DATA!$L$3:$L$9826)*(EOMONTH(vp.data[[#This Row],[SDate]],-1)+1=[1]DATA!$G$3:$G$9826),0)),vp.data[[#This Row],[Dens Input]]),"")</f>
        <v>825.8</v>
      </c>
      <c r="N745" s="2">
        <f ca="1">INDEX(INDIRECT(_xlfn.CONCAT("weather.tbl[",N$1,"]")),MATCH(vp.data[[#This Row],[SDate]],weather.tbl[Date],0))</f>
        <v>-24.133333333333336</v>
      </c>
      <c r="O745" s="2">
        <f ca="1">INDEX(INDIRECT(_xlfn.CONCAT("weather.tbl[",O$1,"]")),MATCH(vp.data[[#This Row],[SDate]],weather.tbl[Date],0))</f>
        <v>-18.05952380952381</v>
      </c>
      <c r="P745" s="2">
        <f ca="1">INDEX(INDIRECT(_xlfn.CONCAT("weather.tbl[",P$1,"]")),MATCH(vp.data[[#This Row],[SDate]],weather.tbl[Date],0))</f>
        <v>-24.4</v>
      </c>
      <c r="Q745" s="2">
        <f ca="1">INDEX(INDIRECT(_xlfn.CONCAT("weather.tbl[",Q$1,"]")),MATCH(vp.data[[#This Row],[SDate]],weather.tbl[Date],0))</f>
        <v>-25.8</v>
      </c>
      <c r="R745" s="2">
        <f ca="1">INDEX(INDIRECT(_xlfn.CONCAT("weather.tbl[",R$1,"]")),MATCH(vp.data[[#This Row],[SDate]],weather.tbl[Date],0))</f>
        <v>-22.3</v>
      </c>
      <c r="S745" s="2">
        <f ca="1">INDEX(INDIRECT(_xlfn.CONCAT("weather.tbl[",S$1,"]")),MATCH(vp.data[[#This Row],[SDate]],weather.tbl[Date],0))</f>
        <v>-25.5</v>
      </c>
      <c r="T745" s="2">
        <f ca="1">INDEX(INDIRECT(_xlfn.CONCAT("weather.tbl[",T$1,"]")),MATCH(vp.data[[#This Row],[SDate]],weather.tbl[Date],0))</f>
        <v>-24</v>
      </c>
      <c r="U745" s="2">
        <f ca="1">INDEX(INDIRECT(_xlfn.CONCAT("weather.tbl[",U$1,"]")),MATCH(vp.data[[#This Row],[SDate]],weather.tbl[Date],0))</f>
        <v>-22.8</v>
      </c>
      <c r="V745" s="2">
        <f t="array" ref="V7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2335.377</v>
      </c>
      <c r="W745" t="s">
        <v>48</v>
      </c>
      <c r="X745">
        <f>IF(OR(vp.data[[#This Row],[Sulf]]="",vp.data[[#This Row],[Dens]]=""),1,0)</f>
        <v>0</v>
      </c>
      <c r="Y745">
        <f>IF(vp.data[[#This Row],[CrudeType]]="C5+",1,0)</f>
        <v>0</v>
      </c>
      <c r="Z745">
        <f>IF(AND(vp.data[[#This Row],[CrudeType]]="Crude",vp.data[[#This Row],[Dens]]&lt;=825,vp.data[[#This Row],[Sulf]]&gt;0.5,vp.data[[#This Row],[Unknown]]=0),1,0)</f>
        <v>0</v>
      </c>
      <c r="AA745">
        <f>IF(AND(vp.data[[#This Row],[CrudeType]]="Crude",vp.data[[#This Row],[Dens]]&lt;=825,vp.data[[#This Row],[Sulf]]&lt;=0.5,vp.data[[#This Row],[Unknown]]=0),1,0)</f>
        <v>0</v>
      </c>
      <c r="AB7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5">
        <f>IF(AND(vp.data[[#This Row],[CrudeType]]="Crude",vp.data[[#This Row],[Dens]]&gt;825,vp.data[[#This Row],[Dens]]&lt;=900,vp.data[[#This Row],[Sulf]]&lt;=0.5,vp.data[[#This Row],[Unknown]]=0),1,0)</f>
        <v>0</v>
      </c>
      <c r="AD745">
        <f>IF(AND(vp.data[[#This Row],[CrudeType]]="Crude",vp.data[[#This Row],[Dens]]&gt;865,vp.data[[#This Row],[Dens]]&lt;=900,vp.data[[#This Row],[Sulf]]&gt;2,vp.data[[#This Row],[Unknown]]=0),1,0)</f>
        <v>0</v>
      </c>
      <c r="AE745">
        <f>IF(AND(vp.data[[#This Row],[CrudeType]]="Crude",vp.data[[#This Row],[Dens]]&gt;900,vp.data[[#This Row],[Sulf]]&lt;=0.5,vp.data[[#This Row],[Unknown]]=0),1,0)</f>
        <v>0</v>
      </c>
      <c r="AF745">
        <f>IF(AND(vp.data[[#This Row],[CrudeType]]="Crude",vp.data[[#This Row],[Dens]]&gt;900,vp.data[[#This Row],[Sulf]]&lt;=0.5,vp.data[[#This Row],[Unknown]]=0),1,0)</f>
        <v>0</v>
      </c>
      <c r="AG745" t="str">
        <f>INDEX(vp.data[[#Headers],[Unknown]:[Heavy_SW]],MATCH(1,vp.data[[#This Row],[Unknown]:[Heavy_SW]],0))</f>
        <v>Medium_LSB</v>
      </c>
      <c r="AH745">
        <f>INDEX([3]!crudeBD.lkup[Number],MATCH(vp.data[[#This Row],[Crude_Breakdown]],crudeBD.lkup[Crude Breakdown],0))</f>
        <v>3</v>
      </c>
      <c r="AI745">
        <f>MONTH(vp.data[[#This Row],[SDate]])</f>
        <v>2</v>
      </c>
      <c r="AJ745" s="5">
        <f>(vp.data[[#This Row],[VP]]-INDEX(crudeBD.lkup[Mean_VP],MATCH(vp.data[[#This Row],[Crude_Breakdown]],crudeBD.lkup[Crude Breakdown],0)))^2</f>
        <v>9.3655796194452439</v>
      </c>
      <c r="AK745" s="5">
        <f>(vp.data[[#This Row],[Dens]]-INDEX(crudeBD.lkup[Mean_Dens],MATCH(vp.data[[#This Row],[Crude_Breakdown]],crudeBD.lkup[Crude Breakdown],0)))^2</f>
        <v>328.3343999999837</v>
      </c>
      <c r="AL745" s="5">
        <f>(vp.data[[#This Row],[Sulf]]-INDEX(crudeBD.lkup[Mean_Sulf],MATCH(vp.data[[#This Row],[Crude_Breakdown]],crudeBD.lkup[Crude Breakdown],0)))^2</f>
        <v>0.18353352300944056</v>
      </c>
      <c r="AM745" s="4">
        <f>IF(AND(vp.data[[#This Row],[SDate]]&gt;=DATE(YEAR(vp.data[[#This Row],[SDate]]),5,1),vp.data[[#This Row],[SDate]]&lt;=DATE(YEAR(vp.data[[#This Row],[SDate]]),9,15)),1,0)</f>
        <v>0</v>
      </c>
      <c r="AN745" s="4">
        <f>IF(vp.data[[#This Row],[SDate]]&lt;DATE(2016,12,1),0,1)</f>
        <v>1</v>
      </c>
      <c r="AO745" s="4">
        <f>IFERROR(vp.data[[#This Row],[Sulf]]*vp.data[[#This Row],[Net Dens]],"")</f>
        <v>1845626.4905561998</v>
      </c>
      <c r="AP745">
        <f>IFERROR(vp.data[[#This Row],[Dens]]*vp.data[[#This Row],[VolumeM3]],"")</f>
        <v>1928554.3265999998</v>
      </c>
      <c r="AQ745" s="15">
        <f>IFERROR(vp.data[[#This Row],[VP]]*vp.data[[#This Row],[VolumeM3]],"")</f>
        <v>195471.05489999999</v>
      </c>
    </row>
    <row r="746" spans="1:43" x14ac:dyDescent="0.25">
      <c r="A746">
        <v>745</v>
      </c>
      <c r="B746" t="s">
        <v>51</v>
      </c>
      <c r="C746" t="s">
        <v>51</v>
      </c>
      <c r="D746" t="s">
        <v>66</v>
      </c>
      <c r="F746" s="1">
        <v>42773</v>
      </c>
      <c r="G746" s="2">
        <v>91.5</v>
      </c>
      <c r="H746" s="2"/>
      <c r="I746" s="2">
        <f t="array" ref="I746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746" s="2">
        <v>-4.7</v>
      </c>
      <c r="K746" s="2">
        <v>-30</v>
      </c>
      <c r="L746" s="2">
        <v>824.7</v>
      </c>
      <c r="M746" s="2">
        <f t="array" ref="M746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746" s="2">
        <f ca="1">INDEX(INDIRECT(_xlfn.CONCAT("weather.tbl[",N$1,"]")),MATCH(vp.data[[#This Row],[SDate]],weather.tbl[Date],0))</f>
        <v>-24.133333333333336</v>
      </c>
      <c r="O746" s="2">
        <f ca="1">INDEX(INDIRECT(_xlfn.CONCAT("weather.tbl[",O$1,"]")),MATCH(vp.data[[#This Row],[SDate]],weather.tbl[Date],0))</f>
        <v>-18.05952380952381</v>
      </c>
      <c r="P746" s="2">
        <f ca="1">INDEX(INDIRECT(_xlfn.CONCAT("weather.tbl[",P$1,"]")),MATCH(vp.data[[#This Row],[SDate]],weather.tbl[Date],0))</f>
        <v>-24.4</v>
      </c>
      <c r="Q746" s="2">
        <f ca="1">INDEX(INDIRECT(_xlfn.CONCAT("weather.tbl[",Q$1,"]")),MATCH(vp.data[[#This Row],[SDate]],weather.tbl[Date],0))</f>
        <v>-25.8</v>
      </c>
      <c r="R746" s="2">
        <f ca="1">INDEX(INDIRECT(_xlfn.CONCAT("weather.tbl[",R$1,"]")),MATCH(vp.data[[#This Row],[SDate]],weather.tbl[Date],0))</f>
        <v>-22.3</v>
      </c>
      <c r="S746" s="2">
        <f ca="1">INDEX(INDIRECT(_xlfn.CONCAT("weather.tbl[",S$1,"]")),MATCH(vp.data[[#This Row],[SDate]],weather.tbl[Date],0))</f>
        <v>-25.5</v>
      </c>
      <c r="T746" s="2">
        <f ca="1">INDEX(INDIRECT(_xlfn.CONCAT("weather.tbl[",T$1,"]")),MATCH(vp.data[[#This Row],[SDate]],weather.tbl[Date],0))</f>
        <v>-24</v>
      </c>
      <c r="U746" s="2">
        <f ca="1">INDEX(INDIRECT(_xlfn.CONCAT("weather.tbl[",U$1,"]")),MATCH(vp.data[[#This Row],[SDate]],weather.tbl[Date],0))</f>
        <v>-22.8</v>
      </c>
      <c r="V746" s="2">
        <f t="array" ref="V7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3995.7719999999999</v>
      </c>
      <c r="W746" t="s">
        <v>48</v>
      </c>
      <c r="X746">
        <f>IF(OR(vp.data[[#This Row],[Sulf]]="",vp.data[[#This Row],[Dens]]=""),1,0)</f>
        <v>0</v>
      </c>
      <c r="Y746">
        <f>IF(vp.data[[#This Row],[CrudeType]]="C5+",1,0)</f>
        <v>0</v>
      </c>
      <c r="Z746">
        <f>IF(AND(vp.data[[#This Row],[CrudeType]]="Crude",vp.data[[#This Row],[Dens]]&lt;=825,vp.data[[#This Row],[Sulf]]&gt;0.5,vp.data[[#This Row],[Unknown]]=0),1,0)</f>
        <v>1</v>
      </c>
      <c r="AA746">
        <f>IF(AND(vp.data[[#This Row],[CrudeType]]="Crude",vp.data[[#This Row],[Dens]]&lt;=825,vp.data[[#This Row],[Sulf]]&lt;=0.5,vp.data[[#This Row],[Unknown]]=0),1,0)</f>
        <v>0</v>
      </c>
      <c r="AB7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46">
        <f>IF(AND(vp.data[[#This Row],[CrudeType]]="Crude",vp.data[[#This Row],[Dens]]&gt;825,vp.data[[#This Row],[Dens]]&lt;=900,vp.data[[#This Row],[Sulf]]&lt;=0.5,vp.data[[#This Row],[Unknown]]=0),1,0)</f>
        <v>0</v>
      </c>
      <c r="AD746">
        <f>IF(AND(vp.data[[#This Row],[CrudeType]]="Crude",vp.data[[#This Row],[Dens]]&gt;865,vp.data[[#This Row],[Dens]]&lt;=900,vp.data[[#This Row],[Sulf]]&gt;2,vp.data[[#This Row],[Unknown]]=0),1,0)</f>
        <v>0</v>
      </c>
      <c r="AE746">
        <f>IF(AND(vp.data[[#This Row],[CrudeType]]="Crude",vp.data[[#This Row],[Dens]]&gt;900,vp.data[[#This Row],[Sulf]]&lt;=0.5,vp.data[[#This Row],[Unknown]]=0),1,0)</f>
        <v>0</v>
      </c>
      <c r="AF746">
        <f>IF(AND(vp.data[[#This Row],[CrudeType]]="Crude",vp.data[[#This Row],[Dens]]&gt;900,vp.data[[#This Row],[Sulf]]&lt;=0.5,vp.data[[#This Row],[Unknown]]=0),1,0)</f>
        <v>0</v>
      </c>
      <c r="AG746" t="str">
        <f>INDEX(vp.data[[#Headers],[Unknown]:[Heavy_SW]],MATCH(1,vp.data[[#This Row],[Unknown]:[Heavy_SW]],0))</f>
        <v>Light_LSB</v>
      </c>
      <c r="AH746">
        <f>INDEX([3]!crudeBD.lkup[Number],MATCH(vp.data[[#This Row],[Crude_Breakdown]],crudeBD.lkup[Crude Breakdown],0))</f>
        <v>1</v>
      </c>
      <c r="AI746">
        <f>MONTH(vp.data[[#This Row],[SDate]])</f>
        <v>2</v>
      </c>
      <c r="AJ746" s="5">
        <f>(vp.data[[#This Row],[VP]]-INDEX(crudeBD.lkup[Mean_VP],MATCH(vp.data[[#This Row],[Crude_Breakdown]],crudeBD.lkup[Crude Breakdown],0)))^2</f>
        <v>2.1331066000666414E-3</v>
      </c>
      <c r="AK746" s="5">
        <f>(vp.data[[#This Row],[Dens]]-INDEX(crudeBD.lkup[Mean_Dens],MATCH(vp.data[[#This Row],[Crude_Breakdown]],crudeBD.lkup[Crude Breakdown],0)))^2</f>
        <v>38.232336207654335</v>
      </c>
      <c r="AL746" s="5">
        <f>(vp.data[[#This Row],[Sulf]]-INDEX(crudeBD.lkup[Mean_Sulf],MATCH(vp.data[[#This Row],[Crude_Breakdown]],crudeBD.lkup[Crude Breakdown],0)))^2</f>
        <v>0.41864630894122806</v>
      </c>
      <c r="AM746" s="4">
        <f>IF(AND(vp.data[[#This Row],[SDate]]&gt;=DATE(YEAR(vp.data[[#This Row],[SDate]]),5,1),vp.data[[#This Row],[SDate]]&lt;=DATE(YEAR(vp.data[[#This Row],[SDate]]),9,15)),1,0)</f>
        <v>0</v>
      </c>
      <c r="AN746" s="4">
        <f>IF(vp.data[[#This Row],[SDate]]&lt;DATE(2016,12,1),0,1)</f>
        <v>1</v>
      </c>
      <c r="AO746" s="4">
        <f>IFERROR(vp.data[[#This Row],[Sulf]]*vp.data[[#This Row],[Net Dens]],"")</f>
        <v>5173641.6743880007</v>
      </c>
      <c r="AP746">
        <f>IFERROR(vp.data[[#This Row],[Dens]]*vp.data[[#This Row],[VolumeM3]],"")</f>
        <v>3295313.1684000003</v>
      </c>
      <c r="AQ746" s="15">
        <f>IFERROR(vp.data[[#This Row],[VP]]*vp.data[[#This Row],[VolumeM3]],"")</f>
        <v>365613.13799999998</v>
      </c>
    </row>
    <row r="747" spans="1:43" x14ac:dyDescent="0.25">
      <c r="A747">
        <v>746</v>
      </c>
      <c r="B747" t="s">
        <v>96</v>
      </c>
      <c r="C747" t="s">
        <v>96</v>
      </c>
      <c r="D747" t="s">
        <v>97</v>
      </c>
      <c r="F747" s="1">
        <v>42773</v>
      </c>
      <c r="G747" s="2">
        <v>80.2</v>
      </c>
      <c r="H747" s="2"/>
      <c r="I747" s="2">
        <f t="array" ref="I747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747" s="2">
        <v>26.7</v>
      </c>
      <c r="K747" s="2">
        <v>-30</v>
      </c>
      <c r="L747" s="2">
        <v>828.9</v>
      </c>
      <c r="M747" s="2">
        <f t="array" ref="M747">_xlfn.IFNA(IF(vp.data[[#This Row],[Dens Input]]="",INDEX([1]DATA!$O$3:$O$9826,MATCH(1,(vp.data[[#This Row],[Battery]]=[1]DATA!$L$3:$L$9826)*(EOMONTH(vp.data[[#This Row],[SDate]],-1)+1=[1]DATA!$G$3:$G$9826),0)),vp.data[[#This Row],[Dens Input]]),"")</f>
        <v>828.9</v>
      </c>
      <c r="N747" s="2">
        <f ca="1">INDEX(INDIRECT(_xlfn.CONCAT("weather.tbl[",N$1,"]")),MATCH(vp.data[[#This Row],[SDate]],weather.tbl[Date],0))</f>
        <v>-24.133333333333336</v>
      </c>
      <c r="O747" s="2">
        <f ca="1">INDEX(INDIRECT(_xlfn.CONCAT("weather.tbl[",O$1,"]")),MATCH(vp.data[[#This Row],[SDate]],weather.tbl[Date],0))</f>
        <v>-18.05952380952381</v>
      </c>
      <c r="P747" s="2">
        <f ca="1">INDEX(INDIRECT(_xlfn.CONCAT("weather.tbl[",P$1,"]")),MATCH(vp.data[[#This Row],[SDate]],weather.tbl[Date],0))</f>
        <v>-24.4</v>
      </c>
      <c r="Q747" s="2">
        <f ca="1">INDEX(INDIRECT(_xlfn.CONCAT("weather.tbl[",Q$1,"]")),MATCH(vp.data[[#This Row],[SDate]],weather.tbl[Date],0))</f>
        <v>-25.8</v>
      </c>
      <c r="R747" s="2">
        <f ca="1">INDEX(INDIRECT(_xlfn.CONCAT("weather.tbl[",R$1,"]")),MATCH(vp.data[[#This Row],[SDate]],weather.tbl[Date],0))</f>
        <v>-22.3</v>
      </c>
      <c r="S747" s="2">
        <f ca="1">INDEX(INDIRECT(_xlfn.CONCAT("weather.tbl[",S$1,"]")),MATCH(vp.data[[#This Row],[SDate]],weather.tbl[Date],0))</f>
        <v>-25.5</v>
      </c>
      <c r="T747" s="2">
        <f ca="1">INDEX(INDIRECT(_xlfn.CONCAT("weather.tbl[",T$1,"]")),MATCH(vp.data[[#This Row],[SDate]],weather.tbl[Date],0))</f>
        <v>-24</v>
      </c>
      <c r="U747" s="2">
        <f ca="1">INDEX(INDIRECT(_xlfn.CONCAT("weather.tbl[",U$1,"]")),MATCH(vp.data[[#This Row],[SDate]],weather.tbl[Date],0))</f>
        <v>-22.8</v>
      </c>
      <c r="V747" s="2">
        <f t="array" ref="V7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7093.32</v>
      </c>
      <c r="W747" t="s">
        <v>48</v>
      </c>
      <c r="X747">
        <f>IF(OR(vp.data[[#This Row],[Sulf]]="",vp.data[[#This Row],[Dens]]=""),1,0)</f>
        <v>0</v>
      </c>
      <c r="Y747">
        <f>IF(vp.data[[#This Row],[CrudeType]]="C5+",1,0)</f>
        <v>0</v>
      </c>
      <c r="Z747">
        <f>IF(AND(vp.data[[#This Row],[CrudeType]]="Crude",vp.data[[#This Row],[Dens]]&lt;=825,vp.data[[#This Row],[Sulf]]&gt;0.5,vp.data[[#This Row],[Unknown]]=0),1,0)</f>
        <v>0</v>
      </c>
      <c r="AA747">
        <f>IF(AND(vp.data[[#This Row],[CrudeType]]="Crude",vp.data[[#This Row],[Dens]]&lt;=825,vp.data[[#This Row],[Sulf]]&lt;=0.5,vp.data[[#This Row],[Unknown]]=0),1,0)</f>
        <v>0</v>
      </c>
      <c r="AB7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7">
        <f>IF(AND(vp.data[[#This Row],[CrudeType]]="Crude",vp.data[[#This Row],[Dens]]&gt;825,vp.data[[#This Row],[Dens]]&lt;=900,vp.data[[#This Row],[Sulf]]&lt;=0.5,vp.data[[#This Row],[Unknown]]=0),1,0)</f>
        <v>0</v>
      </c>
      <c r="AD747">
        <f>IF(AND(vp.data[[#This Row],[CrudeType]]="Crude",vp.data[[#This Row],[Dens]]&gt;865,vp.data[[#This Row],[Dens]]&lt;=900,vp.data[[#This Row],[Sulf]]&gt;2,vp.data[[#This Row],[Unknown]]=0),1,0)</f>
        <v>0</v>
      </c>
      <c r="AE747">
        <f>IF(AND(vp.data[[#This Row],[CrudeType]]="Crude",vp.data[[#This Row],[Dens]]&gt;900,vp.data[[#This Row],[Sulf]]&lt;=0.5,vp.data[[#This Row],[Unknown]]=0),1,0)</f>
        <v>0</v>
      </c>
      <c r="AF747">
        <f>IF(AND(vp.data[[#This Row],[CrudeType]]="Crude",vp.data[[#This Row],[Dens]]&gt;900,vp.data[[#This Row],[Sulf]]&lt;=0.5,vp.data[[#This Row],[Unknown]]=0),1,0)</f>
        <v>0</v>
      </c>
      <c r="AG747" t="str">
        <f>INDEX(vp.data[[#Headers],[Unknown]:[Heavy_SW]],MATCH(1,vp.data[[#This Row],[Unknown]:[Heavy_SW]],0))</f>
        <v>Medium_LSB</v>
      </c>
      <c r="AH747">
        <f>INDEX([3]!crudeBD.lkup[Number],MATCH(vp.data[[#This Row],[Crude_Breakdown]],crudeBD.lkup[Crude Breakdown],0))</f>
        <v>3</v>
      </c>
      <c r="AI747">
        <f>MONTH(vp.data[[#This Row],[SDate]])</f>
        <v>2</v>
      </c>
      <c r="AJ747" s="5">
        <f>(vp.data[[#This Row],[VP]]-INDEX(crudeBD.lkup[Mean_VP],MATCH(vp.data[[#This Row],[Crude_Breakdown]],crudeBD.lkup[Crude Breakdown],0)))^2</f>
        <v>0.19331546850132586</v>
      </c>
      <c r="AK747" s="5">
        <f>(vp.data[[#This Row],[Dens]]-INDEX(crudeBD.lkup[Mean_Dens],MATCH(vp.data[[#This Row],[Crude_Breakdown]],crudeBD.lkup[Crude Breakdown],0)))^2</f>
        <v>225.6003999999858</v>
      </c>
      <c r="AL747" s="5">
        <f>(vp.data[[#This Row],[Sulf]]-INDEX(crudeBD.lkup[Mean_Sulf],MATCH(vp.data[[#This Row],[Crude_Breakdown]],crudeBD.lkup[Crude Breakdown],0)))^2</f>
        <v>0.42955981252426606</v>
      </c>
      <c r="AM747" s="4">
        <f>IF(AND(vp.data[[#This Row],[SDate]]&gt;=DATE(YEAR(vp.data[[#This Row],[SDate]]),5,1),vp.data[[#This Row],[SDate]]&lt;=DATE(YEAR(vp.data[[#This Row],[SDate]]),9,15)),1,0)</f>
        <v>0</v>
      </c>
      <c r="AN747" s="4">
        <f>IF(vp.data[[#This Row],[SDate]]&lt;DATE(2016,12,1),0,1)</f>
        <v>1</v>
      </c>
      <c r="AO747" s="4">
        <f>IFERROR(vp.data[[#This Row],[Sulf]]*vp.data[[#This Row],[Net Dens]],"")</f>
        <v>4292146.6520400001</v>
      </c>
      <c r="AP747">
        <f>IFERROR(vp.data[[#This Row],[Dens]]*vp.data[[#This Row],[VolumeM3]],"")</f>
        <v>5879652.9479999999</v>
      </c>
      <c r="AQ747" s="15">
        <f>IFERROR(vp.data[[#This Row],[VP]]*vp.data[[#This Row],[VolumeM3]],"")</f>
        <v>568884.26399999997</v>
      </c>
    </row>
    <row r="748" spans="1:43" x14ac:dyDescent="0.25">
      <c r="A748">
        <v>747</v>
      </c>
      <c r="B748" t="s">
        <v>62</v>
      </c>
      <c r="C748" t="s">
        <v>62</v>
      </c>
      <c r="D748" t="s">
        <v>63</v>
      </c>
      <c r="F748" s="1">
        <v>42773</v>
      </c>
      <c r="G748" s="2">
        <v>93</v>
      </c>
      <c r="H748" s="2"/>
      <c r="I748" s="2">
        <f t="array" ref="I748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48" s="2">
        <v>12.6</v>
      </c>
      <c r="K748" s="2">
        <v>-30</v>
      </c>
      <c r="L748" s="2">
        <v>840.2</v>
      </c>
      <c r="M748" s="2">
        <f t="array" ref="M748">_xlfn.IFNA(IF(vp.data[[#This Row],[Dens Input]]="",INDEX([1]DATA!$O$3:$O$9826,MATCH(1,(vp.data[[#This Row],[Battery]]=[1]DATA!$L$3:$L$9826)*(EOMONTH(vp.data[[#This Row],[SDate]],-1)+1=[1]DATA!$G$3:$G$9826),0)),vp.data[[#This Row],[Dens Input]]),"")</f>
        <v>840.2</v>
      </c>
      <c r="N748" s="2">
        <f ca="1">INDEX(INDIRECT(_xlfn.CONCAT("weather.tbl[",N$1,"]")),MATCH(vp.data[[#This Row],[SDate]],weather.tbl[Date],0))</f>
        <v>-24.133333333333336</v>
      </c>
      <c r="O748" s="2">
        <f ca="1">INDEX(INDIRECT(_xlfn.CONCAT("weather.tbl[",O$1,"]")),MATCH(vp.data[[#This Row],[SDate]],weather.tbl[Date],0))</f>
        <v>-18.05952380952381</v>
      </c>
      <c r="P748" s="2">
        <f ca="1">INDEX(INDIRECT(_xlfn.CONCAT("weather.tbl[",P$1,"]")),MATCH(vp.data[[#This Row],[SDate]],weather.tbl[Date],0))</f>
        <v>-24.4</v>
      </c>
      <c r="Q748" s="2">
        <f ca="1">INDEX(INDIRECT(_xlfn.CONCAT("weather.tbl[",Q$1,"]")),MATCH(vp.data[[#This Row],[SDate]],weather.tbl[Date],0))</f>
        <v>-25.8</v>
      </c>
      <c r="R748" s="2">
        <f ca="1">INDEX(INDIRECT(_xlfn.CONCAT("weather.tbl[",R$1,"]")),MATCH(vp.data[[#This Row],[SDate]],weather.tbl[Date],0))</f>
        <v>-22.3</v>
      </c>
      <c r="S748" s="2">
        <f ca="1">INDEX(INDIRECT(_xlfn.CONCAT("weather.tbl[",S$1,"]")),MATCH(vp.data[[#This Row],[SDate]],weather.tbl[Date],0))</f>
        <v>-25.5</v>
      </c>
      <c r="T748" s="2">
        <f ca="1">INDEX(INDIRECT(_xlfn.CONCAT("weather.tbl[",T$1,"]")),MATCH(vp.data[[#This Row],[SDate]],weather.tbl[Date],0))</f>
        <v>-24</v>
      </c>
      <c r="U748" s="2">
        <f ca="1">INDEX(INDIRECT(_xlfn.CONCAT("weather.tbl[",U$1,"]")),MATCH(vp.data[[#This Row],[SDate]],weather.tbl[Date],0))</f>
        <v>-22.8</v>
      </c>
      <c r="V748" s="2">
        <f t="array" ref="V7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48" t="s">
        <v>48</v>
      </c>
      <c r="X748">
        <f>IF(OR(vp.data[[#This Row],[Sulf]]="",vp.data[[#This Row],[Dens]]=""),1,0)</f>
        <v>0</v>
      </c>
      <c r="Y748">
        <f>IF(vp.data[[#This Row],[CrudeType]]="C5+",1,0)</f>
        <v>0</v>
      </c>
      <c r="Z748">
        <f>IF(AND(vp.data[[#This Row],[CrudeType]]="Crude",vp.data[[#This Row],[Dens]]&lt;=825,vp.data[[#This Row],[Sulf]]&gt;0.5,vp.data[[#This Row],[Unknown]]=0),1,0)</f>
        <v>0</v>
      </c>
      <c r="AA748">
        <f>IF(AND(vp.data[[#This Row],[CrudeType]]="Crude",vp.data[[#This Row],[Dens]]&lt;=825,vp.data[[#This Row],[Sulf]]&lt;=0.5,vp.data[[#This Row],[Unknown]]=0),1,0)</f>
        <v>0</v>
      </c>
      <c r="AB7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8">
        <f>IF(AND(vp.data[[#This Row],[CrudeType]]="Crude",vp.data[[#This Row],[Dens]]&gt;825,vp.data[[#This Row],[Dens]]&lt;=900,vp.data[[#This Row],[Sulf]]&lt;=0.5,vp.data[[#This Row],[Unknown]]=0),1,0)</f>
        <v>0</v>
      </c>
      <c r="AD748">
        <f>IF(AND(vp.data[[#This Row],[CrudeType]]="Crude",vp.data[[#This Row],[Dens]]&gt;865,vp.data[[#This Row],[Dens]]&lt;=900,vp.data[[#This Row],[Sulf]]&gt;2,vp.data[[#This Row],[Unknown]]=0),1,0)</f>
        <v>0</v>
      </c>
      <c r="AE748">
        <f>IF(AND(vp.data[[#This Row],[CrudeType]]="Crude",vp.data[[#This Row],[Dens]]&gt;900,vp.data[[#This Row],[Sulf]]&lt;=0.5,vp.data[[#This Row],[Unknown]]=0),1,0)</f>
        <v>0</v>
      </c>
      <c r="AF748">
        <f>IF(AND(vp.data[[#This Row],[CrudeType]]="Crude",vp.data[[#This Row],[Dens]]&gt;900,vp.data[[#This Row],[Sulf]]&lt;=0.5,vp.data[[#This Row],[Unknown]]=0),1,0)</f>
        <v>0</v>
      </c>
      <c r="AG748" t="str">
        <f>INDEX(vp.data[[#Headers],[Unknown]:[Heavy_SW]],MATCH(1,vp.data[[#This Row],[Unknown]:[Heavy_SW]],0))</f>
        <v>Medium_LSB</v>
      </c>
      <c r="AH748">
        <f>INDEX([3]!crudeBD.lkup[Number],MATCH(vp.data[[#This Row],[Crude_Breakdown]],crudeBD.lkup[Crude Breakdown],0))</f>
        <v>3</v>
      </c>
      <c r="AI748">
        <f>MONTH(vp.data[[#This Row],[SDate]])</f>
        <v>2</v>
      </c>
      <c r="AJ748" s="5">
        <f>(vp.data[[#This Row],[VP]]-INDEX(crudeBD.lkup[Mean_VP],MATCH(vp.data[[#This Row],[Crude_Breakdown]],crudeBD.lkup[Crude Breakdown],0)))^2</f>
        <v>152.7775957919533</v>
      </c>
      <c r="AK748" s="5">
        <f>(vp.data[[#This Row],[Dens]]-INDEX(crudeBD.lkup[Mean_Dens],MATCH(vp.data[[#This Row],[Crude_Breakdown]],crudeBD.lkup[Crude Breakdown],0)))^2</f>
        <v>13.838399999995973</v>
      </c>
      <c r="AL748" s="5">
        <f>(vp.data[[#This Row],[Sulf]]-INDEX(crudeBD.lkup[Mean_Sulf],MATCH(vp.data[[#This Row],[Crude_Breakdown]],crudeBD.lkup[Crude Breakdown],0)))^2</f>
        <v>2.0906809828845806E-2</v>
      </c>
      <c r="AM748" s="4">
        <f>IF(AND(vp.data[[#This Row],[SDate]]&gt;=DATE(YEAR(vp.data[[#This Row],[SDate]]),5,1),vp.data[[#This Row],[SDate]]&lt;=DATE(YEAR(vp.data[[#This Row],[SDate]]),9,15)),1,0)</f>
        <v>0</v>
      </c>
      <c r="AN748" s="4">
        <f>IF(vp.data[[#This Row],[SDate]]&lt;DATE(2016,12,1),0,1)</f>
        <v>1</v>
      </c>
      <c r="AO748" s="4">
        <f>IFERROR(vp.data[[#This Row],[Sulf]]*vp.data[[#This Row],[Net Dens]],"")</f>
        <v>6400198.8569339998</v>
      </c>
      <c r="AP748">
        <f>IFERROR(vp.data[[#This Row],[Dens]]*vp.data[[#This Row],[VolumeM3]],"")</f>
        <v>4183136.5077999998</v>
      </c>
      <c r="AQ748" s="15">
        <f>IFERROR(vp.data[[#This Row],[VP]]*vp.data[[#This Row],[VolumeM3]],"")</f>
        <v>463022.72699999996</v>
      </c>
    </row>
    <row r="749" spans="1:43" x14ac:dyDescent="0.25">
      <c r="A749">
        <v>748</v>
      </c>
      <c r="B749" t="s">
        <v>51</v>
      </c>
      <c r="C749" t="s">
        <v>51</v>
      </c>
      <c r="D749" t="s">
        <v>95</v>
      </c>
      <c r="F749" s="1">
        <v>42773</v>
      </c>
      <c r="G749" s="2">
        <v>67.400000000000006</v>
      </c>
      <c r="H749" s="2"/>
      <c r="I749" s="2">
        <f t="array" ref="I749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749" s="2">
        <v>33.799999999999997</v>
      </c>
      <c r="K749" s="2">
        <v>-30</v>
      </c>
      <c r="L749" s="2">
        <v>843.3</v>
      </c>
      <c r="M749" s="2">
        <f t="array" ref="M749">_xlfn.IFNA(IF(vp.data[[#This Row],[Dens Input]]="",INDEX([1]DATA!$O$3:$O$9826,MATCH(1,(vp.data[[#This Row],[Battery]]=[1]DATA!$L$3:$L$9826)*(EOMONTH(vp.data[[#This Row],[SDate]],-1)+1=[1]DATA!$G$3:$G$9826),0)),vp.data[[#This Row],[Dens Input]]),"")</f>
        <v>843.3</v>
      </c>
      <c r="N749" s="2">
        <f ca="1">INDEX(INDIRECT(_xlfn.CONCAT("weather.tbl[",N$1,"]")),MATCH(vp.data[[#This Row],[SDate]],weather.tbl[Date],0))</f>
        <v>-24.133333333333336</v>
      </c>
      <c r="O749" s="2">
        <f ca="1">INDEX(INDIRECT(_xlfn.CONCAT("weather.tbl[",O$1,"]")),MATCH(vp.data[[#This Row],[SDate]],weather.tbl[Date],0))</f>
        <v>-18.05952380952381</v>
      </c>
      <c r="P749" s="2">
        <f ca="1">INDEX(INDIRECT(_xlfn.CONCAT("weather.tbl[",P$1,"]")),MATCH(vp.data[[#This Row],[SDate]],weather.tbl[Date],0))</f>
        <v>-24.4</v>
      </c>
      <c r="Q749" s="2">
        <f ca="1">INDEX(INDIRECT(_xlfn.CONCAT("weather.tbl[",Q$1,"]")),MATCH(vp.data[[#This Row],[SDate]],weather.tbl[Date],0))</f>
        <v>-25.8</v>
      </c>
      <c r="R749" s="2">
        <f ca="1">INDEX(INDIRECT(_xlfn.CONCAT("weather.tbl[",R$1,"]")),MATCH(vp.data[[#This Row],[SDate]],weather.tbl[Date],0))</f>
        <v>-22.3</v>
      </c>
      <c r="S749" s="2">
        <f ca="1">INDEX(INDIRECT(_xlfn.CONCAT("weather.tbl[",S$1,"]")),MATCH(vp.data[[#This Row],[SDate]],weather.tbl[Date],0))</f>
        <v>-25.5</v>
      </c>
      <c r="T749" s="2">
        <f ca="1">INDEX(INDIRECT(_xlfn.CONCAT("weather.tbl[",T$1,"]")),MATCH(vp.data[[#This Row],[SDate]],weather.tbl[Date],0))</f>
        <v>-24</v>
      </c>
      <c r="U749" s="2">
        <f ca="1">INDEX(INDIRECT(_xlfn.CONCAT("weather.tbl[",U$1,"]")),MATCH(vp.data[[#This Row],[SDate]],weather.tbl[Date],0))</f>
        <v>-22.8</v>
      </c>
      <c r="V749" s="2">
        <f t="array" ref="V7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6151.1620000000003</v>
      </c>
      <c r="W749" t="s">
        <v>48</v>
      </c>
      <c r="X749">
        <f>IF(OR(vp.data[[#This Row],[Sulf]]="",vp.data[[#This Row],[Dens]]=""),1,0)</f>
        <v>0</v>
      </c>
      <c r="Y749">
        <f>IF(vp.data[[#This Row],[CrudeType]]="C5+",1,0)</f>
        <v>0</v>
      </c>
      <c r="Z749">
        <f>IF(AND(vp.data[[#This Row],[CrudeType]]="Crude",vp.data[[#This Row],[Dens]]&lt;=825,vp.data[[#This Row],[Sulf]]&gt;0.5,vp.data[[#This Row],[Unknown]]=0),1,0)</f>
        <v>0</v>
      </c>
      <c r="AA749">
        <f>IF(AND(vp.data[[#This Row],[CrudeType]]="Crude",vp.data[[#This Row],[Dens]]&lt;=825,vp.data[[#This Row],[Sulf]]&lt;=0.5,vp.data[[#This Row],[Unknown]]=0),1,0)</f>
        <v>0</v>
      </c>
      <c r="AB7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49">
        <f>IF(AND(vp.data[[#This Row],[CrudeType]]="Crude",vp.data[[#This Row],[Dens]]&gt;825,vp.data[[#This Row],[Dens]]&lt;=900,vp.data[[#This Row],[Sulf]]&lt;=0.5,vp.data[[#This Row],[Unknown]]=0),1,0)</f>
        <v>0</v>
      </c>
      <c r="AD749">
        <f>IF(AND(vp.data[[#This Row],[CrudeType]]="Crude",vp.data[[#This Row],[Dens]]&gt;865,vp.data[[#This Row],[Dens]]&lt;=900,vp.data[[#This Row],[Sulf]]&gt;2,vp.data[[#This Row],[Unknown]]=0),1,0)</f>
        <v>0</v>
      </c>
      <c r="AE749">
        <f>IF(AND(vp.data[[#This Row],[CrudeType]]="Crude",vp.data[[#This Row],[Dens]]&gt;900,vp.data[[#This Row],[Sulf]]&lt;=0.5,vp.data[[#This Row],[Unknown]]=0),1,0)</f>
        <v>0</v>
      </c>
      <c r="AF749">
        <f>IF(AND(vp.data[[#This Row],[CrudeType]]="Crude",vp.data[[#This Row],[Dens]]&gt;900,vp.data[[#This Row],[Sulf]]&lt;=0.5,vp.data[[#This Row],[Unknown]]=0),1,0)</f>
        <v>0</v>
      </c>
      <c r="AG749" t="str">
        <f>INDEX(vp.data[[#Headers],[Unknown]:[Heavy_SW]],MATCH(1,vp.data[[#This Row],[Unknown]:[Heavy_SW]],0))</f>
        <v>Medium_LSB</v>
      </c>
      <c r="AH749">
        <f>INDEX([3]!crudeBD.lkup[Number],MATCH(vp.data[[#This Row],[Crude_Breakdown]],crudeBD.lkup[Crude Breakdown],0))</f>
        <v>3</v>
      </c>
      <c r="AI749">
        <f>MONTH(vp.data[[#This Row],[SDate]])</f>
        <v>2</v>
      </c>
      <c r="AJ749" s="5">
        <f>(vp.data[[#This Row],[VP]]-INDEX(crudeBD.lkup[Mean_VP],MATCH(vp.data[[#This Row],[Crude_Breakdown]],crudeBD.lkup[Crude Breakdown],0)))^2</f>
        <v>175.28903514504921</v>
      </c>
      <c r="AK749" s="5">
        <f>(vp.data[[#This Row],[Dens]]-INDEX(crudeBD.lkup[Mean_Dens],MATCH(vp.data[[#This Row],[Crude_Breakdown]],crudeBD.lkup[Crude Breakdown],0)))^2</f>
        <v>0.38439999999944174</v>
      </c>
      <c r="AL749" s="5">
        <f>(vp.data[[#This Row],[Sulf]]-INDEX(crudeBD.lkup[Mean_Sulf],MATCH(vp.data[[#This Row],[Crude_Breakdown]],crudeBD.lkup[Crude Breakdown],0)))^2</f>
        <v>3.4376173440706655E-2</v>
      </c>
      <c r="AM749" s="4">
        <f>IF(AND(vp.data[[#This Row],[SDate]]&gt;=DATE(YEAR(vp.data[[#This Row],[SDate]]),5,1),vp.data[[#This Row],[SDate]]&lt;=DATE(YEAR(vp.data[[#This Row],[SDate]]),9,15)),1,0)</f>
        <v>0</v>
      </c>
      <c r="AN749" s="4">
        <f>IF(vp.data[[#This Row],[SDate]]&lt;DATE(2016,12,1),0,1)</f>
        <v>1</v>
      </c>
      <c r="AO749" s="4">
        <f>IFERROR(vp.data[[#This Row],[Sulf]]*vp.data[[#This Row],[Net Dens]],"")</f>
        <v>6224729.8975199992</v>
      </c>
      <c r="AP749">
        <f>IFERROR(vp.data[[#This Row],[Dens]]*vp.data[[#This Row],[VolumeM3]],"")</f>
        <v>5187274.9145999998</v>
      </c>
      <c r="AQ749" s="15">
        <f>IFERROR(vp.data[[#This Row],[VP]]*vp.data[[#This Row],[VolumeM3]],"")</f>
        <v>414588.31880000007</v>
      </c>
    </row>
    <row r="750" spans="1:43" x14ac:dyDescent="0.25">
      <c r="A750">
        <v>749</v>
      </c>
      <c r="B750" t="s">
        <v>68</v>
      </c>
      <c r="C750" t="s">
        <v>68</v>
      </c>
      <c r="D750" t="s">
        <v>69</v>
      </c>
      <c r="F750" s="1">
        <v>42773</v>
      </c>
      <c r="G750" s="2">
        <v>82.3</v>
      </c>
      <c r="H750" s="2"/>
      <c r="I750" s="2">
        <f t="array" ref="I750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750" s="2">
        <v>10.6</v>
      </c>
      <c r="K750" s="2">
        <v>-30</v>
      </c>
      <c r="L750" s="2">
        <v>862.2</v>
      </c>
      <c r="M750" s="2">
        <f t="array" ref="M750">_xlfn.IFNA(IF(vp.data[[#This Row],[Dens Input]]="",INDEX([1]DATA!$O$3:$O$9826,MATCH(1,(vp.data[[#This Row],[Battery]]=[1]DATA!$L$3:$L$9826)*(EOMONTH(vp.data[[#This Row],[SDate]],-1)+1=[1]DATA!$G$3:$G$9826),0)),vp.data[[#This Row],[Dens Input]]),"")</f>
        <v>862.2</v>
      </c>
      <c r="N750" s="2">
        <f ca="1">INDEX(INDIRECT(_xlfn.CONCAT("weather.tbl[",N$1,"]")),MATCH(vp.data[[#This Row],[SDate]],weather.tbl[Date],0))</f>
        <v>-24.133333333333336</v>
      </c>
      <c r="O750" s="2">
        <f ca="1">INDEX(INDIRECT(_xlfn.CONCAT("weather.tbl[",O$1,"]")),MATCH(vp.data[[#This Row],[SDate]],weather.tbl[Date],0))</f>
        <v>-18.05952380952381</v>
      </c>
      <c r="P750" s="2">
        <f ca="1">INDEX(INDIRECT(_xlfn.CONCAT("weather.tbl[",P$1,"]")),MATCH(vp.data[[#This Row],[SDate]],weather.tbl[Date],0))</f>
        <v>-24.4</v>
      </c>
      <c r="Q750" s="2">
        <f ca="1">INDEX(INDIRECT(_xlfn.CONCAT("weather.tbl[",Q$1,"]")),MATCH(vp.data[[#This Row],[SDate]],weather.tbl[Date],0))</f>
        <v>-25.8</v>
      </c>
      <c r="R750" s="2">
        <f ca="1">INDEX(INDIRECT(_xlfn.CONCAT("weather.tbl[",R$1,"]")),MATCH(vp.data[[#This Row],[SDate]],weather.tbl[Date],0))</f>
        <v>-22.3</v>
      </c>
      <c r="S750" s="2">
        <f ca="1">INDEX(INDIRECT(_xlfn.CONCAT("weather.tbl[",S$1,"]")),MATCH(vp.data[[#This Row],[SDate]],weather.tbl[Date],0))</f>
        <v>-25.5</v>
      </c>
      <c r="T750" s="2">
        <f ca="1">INDEX(INDIRECT(_xlfn.CONCAT("weather.tbl[",T$1,"]")),MATCH(vp.data[[#This Row],[SDate]],weather.tbl[Date],0))</f>
        <v>-24</v>
      </c>
      <c r="U750" s="2">
        <f ca="1">INDEX(INDIRECT(_xlfn.CONCAT("weather.tbl[",U$1,"]")),MATCH(vp.data[[#This Row],[SDate]],weather.tbl[Date],0))</f>
        <v>-22.8</v>
      </c>
      <c r="V750" s="2">
        <f t="array" ref="V7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1332.451</v>
      </c>
      <c r="W750" t="s">
        <v>48</v>
      </c>
      <c r="X750">
        <f>IF(OR(vp.data[[#This Row],[Sulf]]="",vp.data[[#This Row],[Dens]]=""),1,0)</f>
        <v>0</v>
      </c>
      <c r="Y750">
        <f>IF(vp.data[[#This Row],[CrudeType]]="C5+",1,0)</f>
        <v>0</v>
      </c>
      <c r="Z750">
        <f>IF(AND(vp.data[[#This Row],[CrudeType]]="Crude",vp.data[[#This Row],[Dens]]&lt;=825,vp.data[[#This Row],[Sulf]]&gt;0.5,vp.data[[#This Row],[Unknown]]=0),1,0)</f>
        <v>0</v>
      </c>
      <c r="AA750">
        <f>IF(AND(vp.data[[#This Row],[CrudeType]]="Crude",vp.data[[#This Row],[Dens]]&lt;=825,vp.data[[#This Row],[Sulf]]&lt;=0.5,vp.data[[#This Row],[Unknown]]=0),1,0)</f>
        <v>0</v>
      </c>
      <c r="AB7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50">
        <f>IF(AND(vp.data[[#This Row],[CrudeType]]="Crude",vp.data[[#This Row],[Dens]]&gt;825,vp.data[[#This Row],[Dens]]&lt;=900,vp.data[[#This Row],[Sulf]]&lt;=0.5,vp.data[[#This Row],[Unknown]]=0),1,0)</f>
        <v>0</v>
      </c>
      <c r="AD750">
        <f>IF(AND(vp.data[[#This Row],[CrudeType]]="Crude",vp.data[[#This Row],[Dens]]&gt;865,vp.data[[#This Row],[Dens]]&lt;=900,vp.data[[#This Row],[Sulf]]&gt;2,vp.data[[#This Row],[Unknown]]=0),1,0)</f>
        <v>0</v>
      </c>
      <c r="AE750">
        <f>IF(AND(vp.data[[#This Row],[CrudeType]]="Crude",vp.data[[#This Row],[Dens]]&gt;900,vp.data[[#This Row],[Sulf]]&lt;=0.5,vp.data[[#This Row],[Unknown]]=0),1,0)</f>
        <v>0</v>
      </c>
      <c r="AF750">
        <f>IF(AND(vp.data[[#This Row],[CrudeType]]="Crude",vp.data[[#This Row],[Dens]]&gt;900,vp.data[[#This Row],[Sulf]]&lt;=0.5,vp.data[[#This Row],[Unknown]]=0),1,0)</f>
        <v>0</v>
      </c>
      <c r="AG750" t="str">
        <f>INDEX(vp.data[[#Headers],[Unknown]:[Heavy_SW]],MATCH(1,vp.data[[#This Row],[Unknown]:[Heavy_SW]],0))</f>
        <v>Medium_LSB</v>
      </c>
      <c r="AH750">
        <f>INDEX([3]!crudeBD.lkup[Number],MATCH(vp.data[[#This Row],[Crude_Breakdown]],crudeBD.lkup[Crude Breakdown],0))</f>
        <v>3</v>
      </c>
      <c r="AI750">
        <f>MONTH(vp.data[[#This Row],[SDate]])</f>
        <v>2</v>
      </c>
      <c r="AJ750" s="5">
        <f>(vp.data[[#This Row],[VP]]-INDEX(crudeBD.lkup[Mean_VP],MATCH(vp.data[[#This Row],[Crude_Breakdown]],crudeBD.lkup[Crude Breakdown],0)))^2</f>
        <v>2.7566739590676574</v>
      </c>
      <c r="AK750" s="5">
        <f>(vp.data[[#This Row],[Dens]]-INDEX(crudeBD.lkup[Mean_Dens],MATCH(vp.data[[#This Row],[Crude_Breakdown]],crudeBD.lkup[Crude Breakdown],0)))^2</f>
        <v>334.15840000001981</v>
      </c>
      <c r="AL750" s="5">
        <f>(vp.data[[#This Row],[Sulf]]-INDEX(crudeBD.lkup[Mean_Sulf],MATCH(vp.data[[#This Row],[Crude_Breakdown]],crudeBD.lkup[Crude Breakdown],0)))^2</f>
        <v>0.12573539662129798</v>
      </c>
      <c r="AM750" s="4">
        <f>IF(AND(vp.data[[#This Row],[SDate]]&gt;=DATE(YEAR(vp.data[[#This Row],[SDate]]),5,1),vp.data[[#This Row],[SDate]]&lt;=DATE(YEAR(vp.data[[#This Row],[SDate]]),9,15)),1,0)</f>
        <v>0</v>
      </c>
      <c r="AN750" s="4">
        <f>IF(vp.data[[#This Row],[SDate]]&lt;DATE(2016,12,1),0,1)</f>
        <v>1</v>
      </c>
      <c r="AO750" s="4">
        <f>IFERROR(vp.data[[#This Row],[Sulf]]*vp.data[[#This Row],[Net Dens]],"")</f>
        <v>1998980.298828</v>
      </c>
      <c r="AP750">
        <f>IFERROR(vp.data[[#This Row],[Dens]]*vp.data[[#This Row],[VolumeM3]],"")</f>
        <v>1148839.2522</v>
      </c>
      <c r="AQ750" s="15">
        <f>IFERROR(vp.data[[#This Row],[VP]]*vp.data[[#This Row],[VolumeM3]],"")</f>
        <v>109660.7173</v>
      </c>
    </row>
    <row r="751" spans="1:43" x14ac:dyDescent="0.25">
      <c r="A751">
        <v>750</v>
      </c>
      <c r="B751" t="s">
        <v>60</v>
      </c>
      <c r="C751" t="s">
        <v>60</v>
      </c>
      <c r="D751" t="s">
        <v>61</v>
      </c>
      <c r="E751" t="s">
        <v>73</v>
      </c>
      <c r="F751" s="1">
        <v>42773</v>
      </c>
      <c r="G751" s="2">
        <v>75.400000000000006</v>
      </c>
      <c r="H751" s="2">
        <v>1.3759999999999999</v>
      </c>
      <c r="I751" s="2">
        <f t="array" ref="I751">_xlfn.IFNA(IF(vp.data[[#This Row],[Sulf Input]]="",INDEX([1]DATA!$Q$3:$Q$9826,MATCH(1,(vp.data[[#This Row],[Battery]]=[1]DATA!$L$3:$L$9826)*(EOMONTH(vp.data[[#This Row],[SDate]],-1)+1=[1]DATA!$G$3:$G$9826),0)),vp.data[[#This Row],[Sulf Input]]),"")</f>
        <v>1.3759999999999999</v>
      </c>
      <c r="J751" s="2">
        <v>5.6</v>
      </c>
      <c r="K751" s="2">
        <v>-30</v>
      </c>
      <c r="L751" s="2">
        <v>855.7</v>
      </c>
      <c r="M751" s="2">
        <f t="array" ref="M751">_xlfn.IFNA(IF(vp.data[[#This Row],[Dens Input]]="",INDEX([1]DATA!$O$3:$O$9826,MATCH(1,(vp.data[[#This Row],[Battery]]=[1]DATA!$L$3:$L$9826)*(EOMONTH(vp.data[[#This Row],[SDate]],-1)+1=[1]DATA!$G$3:$G$9826),0)),vp.data[[#This Row],[Dens Input]]),"")</f>
        <v>855.7</v>
      </c>
      <c r="N751" s="2">
        <f ca="1">INDEX(INDIRECT(_xlfn.CONCAT("weather.tbl[",N$1,"]")),MATCH(vp.data[[#This Row],[SDate]],weather.tbl[Date],0))</f>
        <v>-24.133333333333336</v>
      </c>
      <c r="O751" s="2">
        <f ca="1">INDEX(INDIRECT(_xlfn.CONCAT("weather.tbl[",O$1,"]")),MATCH(vp.data[[#This Row],[SDate]],weather.tbl[Date],0))</f>
        <v>-18.05952380952381</v>
      </c>
      <c r="P751" s="2">
        <f ca="1">INDEX(INDIRECT(_xlfn.CONCAT("weather.tbl[",P$1,"]")),MATCH(vp.data[[#This Row],[SDate]],weather.tbl[Date],0))</f>
        <v>-24.4</v>
      </c>
      <c r="Q751" s="2">
        <f ca="1">INDEX(INDIRECT(_xlfn.CONCAT("weather.tbl[",Q$1,"]")),MATCH(vp.data[[#This Row],[SDate]],weather.tbl[Date],0))</f>
        <v>-25.8</v>
      </c>
      <c r="R751" s="2">
        <f ca="1">INDEX(INDIRECT(_xlfn.CONCAT("weather.tbl[",R$1,"]")),MATCH(vp.data[[#This Row],[SDate]],weather.tbl[Date],0))</f>
        <v>-22.3</v>
      </c>
      <c r="S751" s="2">
        <f ca="1">INDEX(INDIRECT(_xlfn.CONCAT("weather.tbl[",S$1,"]")),MATCH(vp.data[[#This Row],[SDate]],weather.tbl[Date],0))</f>
        <v>-25.5</v>
      </c>
      <c r="T751" s="2">
        <f ca="1">INDEX(INDIRECT(_xlfn.CONCAT("weather.tbl[",T$1,"]")),MATCH(vp.data[[#This Row],[SDate]],weather.tbl[Date],0))</f>
        <v>-24</v>
      </c>
      <c r="U751" s="2">
        <f ca="1">INDEX(INDIRECT(_xlfn.CONCAT("weather.tbl[",U$1,"]")),MATCH(vp.data[[#This Row],[SDate]],weather.tbl[Date],0))</f>
        <v>-22.8</v>
      </c>
      <c r="V751" s="2">
        <f t="array" ref="V7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51" t="s">
        <v>48</v>
      </c>
      <c r="X751">
        <f>IF(OR(vp.data[[#This Row],[Sulf]]="",vp.data[[#This Row],[Dens]]=""),1,0)</f>
        <v>0</v>
      </c>
      <c r="Y751">
        <f>IF(vp.data[[#This Row],[CrudeType]]="C5+",1,0)</f>
        <v>0</v>
      </c>
      <c r="Z751">
        <f>IF(AND(vp.data[[#This Row],[CrudeType]]="Crude",vp.data[[#This Row],[Dens]]&lt;=825,vp.data[[#This Row],[Sulf]]&gt;0.5,vp.data[[#This Row],[Unknown]]=0),1,0)</f>
        <v>0</v>
      </c>
      <c r="AA751">
        <f>IF(AND(vp.data[[#This Row],[CrudeType]]="Crude",vp.data[[#This Row],[Dens]]&lt;=825,vp.data[[#This Row],[Sulf]]&lt;=0.5,vp.data[[#This Row],[Unknown]]=0),1,0)</f>
        <v>0</v>
      </c>
      <c r="AB7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51">
        <f>IF(AND(vp.data[[#This Row],[CrudeType]]="Crude",vp.data[[#This Row],[Dens]]&gt;825,vp.data[[#This Row],[Dens]]&lt;=900,vp.data[[#This Row],[Sulf]]&lt;=0.5,vp.data[[#This Row],[Unknown]]=0),1,0)</f>
        <v>0</v>
      </c>
      <c r="AD751">
        <f>IF(AND(vp.data[[#This Row],[CrudeType]]="Crude",vp.data[[#This Row],[Dens]]&gt;865,vp.data[[#This Row],[Dens]]&lt;=900,vp.data[[#This Row],[Sulf]]&gt;2,vp.data[[#This Row],[Unknown]]=0),1,0)</f>
        <v>0</v>
      </c>
      <c r="AE751">
        <f>IF(AND(vp.data[[#This Row],[CrudeType]]="Crude",vp.data[[#This Row],[Dens]]&gt;900,vp.data[[#This Row],[Sulf]]&lt;=0.5,vp.data[[#This Row],[Unknown]]=0),1,0)</f>
        <v>0</v>
      </c>
      <c r="AF751">
        <f>IF(AND(vp.data[[#This Row],[CrudeType]]="Crude",vp.data[[#This Row],[Dens]]&gt;900,vp.data[[#This Row],[Sulf]]&lt;=0.5,vp.data[[#This Row],[Unknown]]=0),1,0)</f>
        <v>0</v>
      </c>
      <c r="AG751" t="str">
        <f>INDEX(vp.data[[#Headers],[Unknown]:[Heavy_SW]],MATCH(1,vp.data[[#This Row],[Unknown]:[Heavy_SW]],0))</f>
        <v>Medium_LSB</v>
      </c>
      <c r="AH751">
        <f>INDEX([3]!crudeBD.lkup[Number],MATCH(vp.data[[#This Row],[Crude_Breakdown]],crudeBD.lkup[Crude Breakdown],0))</f>
        <v>3</v>
      </c>
      <c r="AI751">
        <f>MONTH(vp.data[[#This Row],[SDate]])</f>
        <v>2</v>
      </c>
      <c r="AJ751" s="5">
        <f>(vp.data[[#This Row],[VP]]-INDEX(crudeBD.lkup[Mean_VP],MATCH(vp.data[[#This Row],[Crude_Breakdown]],crudeBD.lkup[Crude Breakdown],0)))^2</f>
        <v>27.454210347206782</v>
      </c>
      <c r="AK751" s="5">
        <f>(vp.data[[#This Row],[Dens]]-INDEX(crudeBD.lkup[Mean_Dens],MATCH(vp.data[[#This Row],[Crude_Breakdown]],crudeBD.lkup[Crude Breakdown],0)))^2</f>
        <v>138.76840000001275</v>
      </c>
      <c r="AL751" s="5">
        <f>(vp.data[[#This Row],[Sulf]]-INDEX(crudeBD.lkup[Mean_Sulf],MATCH(vp.data[[#This Row],[Crude_Breakdown]],crudeBD.lkup[Crude Breakdown],0)))^2</f>
        <v>8.8512847714192946E-5</v>
      </c>
      <c r="AM751" s="4">
        <f>IF(AND(vp.data[[#This Row],[SDate]]&gt;=DATE(YEAR(vp.data[[#This Row],[SDate]]),5,1),vp.data[[#This Row],[SDate]]&lt;=DATE(YEAR(vp.data[[#This Row],[SDate]]),9,15)),1,0)</f>
        <v>0</v>
      </c>
      <c r="AN751" s="4">
        <f>IF(vp.data[[#This Row],[SDate]]&lt;DATE(2016,12,1),0,1)</f>
        <v>1</v>
      </c>
      <c r="AO751" s="4">
        <f>IFERROR(vp.data[[#This Row],[Sulf]]*vp.data[[#This Row],[Net Dens]],"")</f>
        <v>113625565.9916832</v>
      </c>
      <c r="AP751">
        <f>IFERROR(vp.data[[#This Row],[Dens]]*vp.data[[#This Row],[VolumeM3]],"")</f>
        <v>82576719.470700011</v>
      </c>
      <c r="AQ751" s="15">
        <f>IFERROR(vp.data[[#This Row],[VP]]*vp.data[[#This Row],[VolumeM3]],"")</f>
        <v>7276247.1054000007</v>
      </c>
    </row>
    <row r="752" spans="1:43" x14ac:dyDescent="0.25">
      <c r="A752">
        <v>751</v>
      </c>
      <c r="B752" t="s">
        <v>60</v>
      </c>
      <c r="C752" t="s">
        <v>60</v>
      </c>
      <c r="D752" t="s">
        <v>61</v>
      </c>
      <c r="E752" t="s">
        <v>55</v>
      </c>
      <c r="F752" s="1">
        <v>42773</v>
      </c>
      <c r="G752" s="2">
        <v>93.9</v>
      </c>
      <c r="H752" s="2">
        <v>1.256</v>
      </c>
      <c r="I752" s="2">
        <f t="array" ref="I752">_xlfn.IFNA(IF(vp.data[[#This Row],[Sulf Input]]="",INDEX([1]DATA!$Q$3:$Q$9826,MATCH(1,(vp.data[[#This Row],[Battery]]=[1]DATA!$L$3:$L$9826)*(EOMONTH(vp.data[[#This Row],[SDate]],-1)+1=[1]DATA!$G$3:$G$9826),0)),vp.data[[#This Row],[Sulf Input]]),"")</f>
        <v>1.256</v>
      </c>
      <c r="J752" s="2">
        <v>4.5</v>
      </c>
      <c r="K752" s="2">
        <v>-30</v>
      </c>
      <c r="L752" s="2">
        <v>842.2</v>
      </c>
      <c r="M752" s="2">
        <f t="array" ref="M752">_xlfn.IFNA(IF(vp.data[[#This Row],[Dens Input]]="",INDEX([1]DATA!$O$3:$O$9826,MATCH(1,(vp.data[[#This Row],[Battery]]=[1]DATA!$L$3:$L$9826)*(EOMONTH(vp.data[[#This Row],[SDate]],-1)+1=[1]DATA!$G$3:$G$9826),0)),vp.data[[#This Row],[Dens Input]]),"")</f>
        <v>842.2</v>
      </c>
      <c r="N752" s="2">
        <f ca="1">INDEX(INDIRECT(_xlfn.CONCAT("weather.tbl[",N$1,"]")),MATCH(vp.data[[#This Row],[SDate]],weather.tbl[Date],0))</f>
        <v>-24.133333333333336</v>
      </c>
      <c r="O752" s="2">
        <f ca="1">INDEX(INDIRECT(_xlfn.CONCAT("weather.tbl[",O$1,"]")),MATCH(vp.data[[#This Row],[SDate]],weather.tbl[Date],0))</f>
        <v>-18.05952380952381</v>
      </c>
      <c r="P752" s="2">
        <f ca="1">INDEX(INDIRECT(_xlfn.CONCAT("weather.tbl[",P$1,"]")),MATCH(vp.data[[#This Row],[SDate]],weather.tbl[Date],0))</f>
        <v>-24.4</v>
      </c>
      <c r="Q752" s="2">
        <f ca="1">INDEX(INDIRECT(_xlfn.CONCAT("weather.tbl[",Q$1,"]")),MATCH(vp.data[[#This Row],[SDate]],weather.tbl[Date],0))</f>
        <v>-25.8</v>
      </c>
      <c r="R752" s="2">
        <f ca="1">INDEX(INDIRECT(_xlfn.CONCAT("weather.tbl[",R$1,"]")),MATCH(vp.data[[#This Row],[SDate]],weather.tbl[Date],0))</f>
        <v>-22.3</v>
      </c>
      <c r="S752" s="2">
        <f ca="1">INDEX(INDIRECT(_xlfn.CONCAT("weather.tbl[",S$1,"]")),MATCH(vp.data[[#This Row],[SDate]],weather.tbl[Date],0))</f>
        <v>-25.5</v>
      </c>
      <c r="T752" s="2">
        <f ca="1">INDEX(INDIRECT(_xlfn.CONCAT("weather.tbl[",T$1,"]")),MATCH(vp.data[[#This Row],[SDate]],weather.tbl[Date],0))</f>
        <v>-24</v>
      </c>
      <c r="U752" s="2">
        <f ca="1">INDEX(INDIRECT(_xlfn.CONCAT("weather.tbl[",U$1,"]")),MATCH(vp.data[[#This Row],[SDate]],weather.tbl[Date],0))</f>
        <v>-22.8</v>
      </c>
      <c r="V752" s="2">
        <f t="array" ref="V7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52" t="s">
        <v>48</v>
      </c>
      <c r="X752">
        <f>IF(OR(vp.data[[#This Row],[Sulf]]="",vp.data[[#This Row],[Dens]]=""),1,0)</f>
        <v>0</v>
      </c>
      <c r="Y752">
        <f>IF(vp.data[[#This Row],[CrudeType]]="C5+",1,0)</f>
        <v>0</v>
      </c>
      <c r="Z752">
        <f>IF(AND(vp.data[[#This Row],[CrudeType]]="Crude",vp.data[[#This Row],[Dens]]&lt;=825,vp.data[[#This Row],[Sulf]]&gt;0.5,vp.data[[#This Row],[Unknown]]=0),1,0)</f>
        <v>0</v>
      </c>
      <c r="AA752">
        <f>IF(AND(vp.data[[#This Row],[CrudeType]]="Crude",vp.data[[#This Row],[Dens]]&lt;=825,vp.data[[#This Row],[Sulf]]&lt;=0.5,vp.data[[#This Row],[Unknown]]=0),1,0)</f>
        <v>0</v>
      </c>
      <c r="AB7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52">
        <f>IF(AND(vp.data[[#This Row],[CrudeType]]="Crude",vp.data[[#This Row],[Dens]]&gt;825,vp.data[[#This Row],[Dens]]&lt;=900,vp.data[[#This Row],[Sulf]]&lt;=0.5,vp.data[[#This Row],[Unknown]]=0),1,0)</f>
        <v>0</v>
      </c>
      <c r="AD752">
        <f>IF(AND(vp.data[[#This Row],[CrudeType]]="Crude",vp.data[[#This Row],[Dens]]&gt;865,vp.data[[#This Row],[Dens]]&lt;=900,vp.data[[#This Row],[Sulf]]&gt;2,vp.data[[#This Row],[Unknown]]=0),1,0)</f>
        <v>0</v>
      </c>
      <c r="AE752">
        <f>IF(AND(vp.data[[#This Row],[CrudeType]]="Crude",vp.data[[#This Row],[Dens]]&gt;900,vp.data[[#This Row],[Sulf]]&lt;=0.5,vp.data[[#This Row],[Unknown]]=0),1,0)</f>
        <v>0</v>
      </c>
      <c r="AF752">
        <f>IF(AND(vp.data[[#This Row],[CrudeType]]="Crude",vp.data[[#This Row],[Dens]]&gt;900,vp.data[[#This Row],[Sulf]]&lt;=0.5,vp.data[[#This Row],[Unknown]]=0),1,0)</f>
        <v>0</v>
      </c>
      <c r="AG752" t="str">
        <f>INDEX(vp.data[[#Headers],[Unknown]:[Heavy_SW]],MATCH(1,vp.data[[#This Row],[Unknown]:[Heavy_SW]],0))</f>
        <v>Medium_LSB</v>
      </c>
      <c r="AH752">
        <f>INDEX([3]!crudeBD.lkup[Number],MATCH(vp.data[[#This Row],[Crude_Breakdown]],crudeBD.lkup[Crude Breakdown],0))</f>
        <v>3</v>
      </c>
      <c r="AI752">
        <f>MONTH(vp.data[[#This Row],[SDate]])</f>
        <v>2</v>
      </c>
      <c r="AJ752" s="5">
        <f>(vp.data[[#This Row],[VP]]-INDEX(crudeBD.lkup[Mean_VP],MATCH(vp.data[[#This Row],[Crude_Breakdown]],crudeBD.lkup[Crude Breakdown],0)))^2</f>
        <v>175.83617800219616</v>
      </c>
      <c r="AK752" s="5">
        <f>(vp.data[[#This Row],[Dens]]-INDEX(crudeBD.lkup[Mean_Dens],MATCH(vp.data[[#This Row],[Crude_Breakdown]],crudeBD.lkup[Crude Breakdown],0)))^2</f>
        <v>2.9583999999981385</v>
      </c>
      <c r="AL752" s="5">
        <f>(vp.data[[#This Row],[Sulf]]-INDEX(crudeBD.lkup[Mean_Sulf],MATCH(vp.data[[#This Row],[Crude_Breakdown]],crudeBD.lkup[Crude Breakdown],0)))^2</f>
        <v>1.6746463252027225E-2</v>
      </c>
      <c r="AM752" s="4">
        <f>IF(AND(vp.data[[#This Row],[SDate]]&gt;=DATE(YEAR(vp.data[[#This Row],[SDate]]),5,1),vp.data[[#This Row],[SDate]]&lt;=DATE(YEAR(vp.data[[#This Row],[SDate]]),9,15)),1,0)</f>
        <v>0</v>
      </c>
      <c r="AN752" s="4">
        <f>IF(vp.data[[#This Row],[SDate]]&lt;DATE(2016,12,1),0,1)</f>
        <v>1</v>
      </c>
      <c r="AO752" s="4">
        <f>IFERROR(vp.data[[#This Row],[Sulf]]*vp.data[[#This Row],[Net Dens]],"")</f>
        <v>102080072.5740432</v>
      </c>
      <c r="AP752">
        <f>IFERROR(vp.data[[#This Row],[Dens]]*vp.data[[#This Row],[VolumeM3]],"")</f>
        <v>81273943.132200003</v>
      </c>
      <c r="AQ752" s="15">
        <f>IFERROR(vp.data[[#This Row],[VP]]*vp.data[[#This Row],[VolumeM3]],"")</f>
        <v>9061533.1989000011</v>
      </c>
    </row>
    <row r="753" spans="1:43" x14ac:dyDescent="0.25">
      <c r="A753">
        <v>752</v>
      </c>
      <c r="B753" t="s">
        <v>49</v>
      </c>
      <c r="C753" t="s">
        <v>49</v>
      </c>
      <c r="D753" t="s">
        <v>157</v>
      </c>
      <c r="F753" s="1">
        <v>42774</v>
      </c>
      <c r="G753" s="2">
        <v>91.2</v>
      </c>
      <c r="H753" s="2">
        <v>2.254</v>
      </c>
      <c r="I753" s="2">
        <f t="array" ref="I753">_xlfn.IFNA(IF(vp.data[[#This Row],[Sulf Input]]="",INDEX([1]DATA!$Q$3:$Q$9826,MATCH(1,(vp.data[[#This Row],[Battery]]=[1]DATA!$L$3:$L$9826)*(EOMONTH(vp.data[[#This Row],[SDate]],-1)+1=[1]DATA!$G$3:$G$9826),0)),vp.data[[#This Row],[Sulf Input]]),"")</f>
        <v>2.254</v>
      </c>
      <c r="J753" s="2">
        <v>12.1</v>
      </c>
      <c r="K753" s="2">
        <v>-30</v>
      </c>
      <c r="L753" s="2">
        <v>868.2</v>
      </c>
      <c r="M753" s="2">
        <f t="array" ref="M753">_xlfn.IFNA(IF(vp.data[[#This Row],[Dens Input]]="",INDEX([1]DATA!$O$3:$O$9826,MATCH(1,(vp.data[[#This Row],[Battery]]=[1]DATA!$L$3:$L$9826)*(EOMONTH(vp.data[[#This Row],[SDate]],-1)+1=[1]DATA!$G$3:$G$9826),0)),vp.data[[#This Row],[Dens Input]]),"")</f>
        <v>868.2</v>
      </c>
      <c r="N753" s="2">
        <f ca="1">INDEX(INDIRECT(_xlfn.CONCAT("weather.tbl[",N$1,"]")),MATCH(vp.data[[#This Row],[SDate]],weather.tbl[Date],0))</f>
        <v>-25.950000000000003</v>
      </c>
      <c r="O753" s="2">
        <f ca="1">INDEX(INDIRECT(_xlfn.CONCAT("weather.tbl[",O$1,"]")),MATCH(vp.data[[#This Row],[SDate]],weather.tbl[Date],0))</f>
        <v>-19.276190476190475</v>
      </c>
      <c r="P753" s="2">
        <f ca="1">INDEX(INDIRECT(_xlfn.CONCAT("weather.tbl[",P$1,"]")),MATCH(vp.data[[#This Row],[SDate]],weather.tbl[Date],0))</f>
        <v>-26.2</v>
      </c>
      <c r="Q753" s="2">
        <f ca="1">INDEX(INDIRECT(_xlfn.CONCAT("weather.tbl[",Q$1,"]")),MATCH(vp.data[[#This Row],[SDate]],weather.tbl[Date],0))</f>
        <v>-25.5</v>
      </c>
      <c r="R753" s="2">
        <f ca="1">INDEX(INDIRECT(_xlfn.CONCAT("weather.tbl[",R$1,"]")),MATCH(vp.data[[#This Row],[SDate]],weather.tbl[Date],0))</f>
        <v>-26.5</v>
      </c>
      <c r="S753" s="2">
        <f ca="1">INDEX(INDIRECT(_xlfn.CONCAT("weather.tbl[",S$1,"]")),MATCH(vp.data[[#This Row],[SDate]],weather.tbl[Date],0))</f>
        <v>-25.7</v>
      </c>
      <c r="T753" s="2">
        <f ca="1">INDEX(INDIRECT(_xlfn.CONCAT("weather.tbl[",T$1,"]")),MATCH(vp.data[[#This Row],[SDate]],weather.tbl[Date],0))</f>
        <v>-25.5</v>
      </c>
      <c r="U753" s="2">
        <f ca="1">INDEX(INDIRECT(_xlfn.CONCAT("weather.tbl[",U$1,"]")),MATCH(vp.data[[#This Row],[SDate]],weather.tbl[Date],0))</f>
        <v>-26.3</v>
      </c>
      <c r="V753" s="2">
        <f t="array" ref="V7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1304.528</v>
      </c>
      <c r="W753" t="s">
        <v>48</v>
      </c>
      <c r="X753">
        <f>IF(OR(vp.data[[#This Row],[Sulf]]="",vp.data[[#This Row],[Dens]]=""),1,0)</f>
        <v>0</v>
      </c>
      <c r="Y753">
        <f>IF(vp.data[[#This Row],[CrudeType]]="C5+",1,0)</f>
        <v>0</v>
      </c>
      <c r="Z753">
        <f>IF(AND(vp.data[[#This Row],[CrudeType]]="Crude",vp.data[[#This Row],[Dens]]&lt;=825,vp.data[[#This Row],[Sulf]]&gt;0.5,vp.data[[#This Row],[Unknown]]=0),1,0)</f>
        <v>0</v>
      </c>
      <c r="AA753">
        <f>IF(AND(vp.data[[#This Row],[CrudeType]]="Crude",vp.data[[#This Row],[Dens]]&lt;=825,vp.data[[#This Row],[Sulf]]&lt;=0.5,vp.data[[#This Row],[Unknown]]=0),1,0)</f>
        <v>0</v>
      </c>
      <c r="AB7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3">
        <f>IF(AND(vp.data[[#This Row],[CrudeType]]="Crude",vp.data[[#This Row],[Dens]]&gt;825,vp.data[[#This Row],[Dens]]&lt;=900,vp.data[[#This Row],[Sulf]]&lt;=0.5,vp.data[[#This Row],[Unknown]]=0),1,0)</f>
        <v>0</v>
      </c>
      <c r="AD753">
        <f>IF(AND(vp.data[[#This Row],[CrudeType]]="Crude",vp.data[[#This Row],[Dens]]&gt;865,vp.data[[#This Row],[Dens]]&lt;=900,vp.data[[#This Row],[Sulf]]&gt;2,vp.data[[#This Row],[Unknown]]=0),1,0)</f>
        <v>1</v>
      </c>
      <c r="AE753">
        <f>IF(AND(vp.data[[#This Row],[CrudeType]]="Crude",vp.data[[#This Row],[Dens]]&gt;900,vp.data[[#This Row],[Sulf]]&lt;=0.5,vp.data[[#This Row],[Unknown]]=0),1,0)</f>
        <v>0</v>
      </c>
      <c r="AF753">
        <f>IF(AND(vp.data[[#This Row],[CrudeType]]="Crude",vp.data[[#This Row],[Dens]]&gt;900,vp.data[[#This Row],[Sulf]]&lt;=0.5,vp.data[[#This Row],[Unknown]]=0),1,0)</f>
        <v>0</v>
      </c>
      <c r="AG753" t="str">
        <f>INDEX(vp.data[[#Headers],[Unknown]:[Heavy_SW]],MATCH(1,vp.data[[#This Row],[Unknown]:[Heavy_SW]],0))</f>
        <v>Midale</v>
      </c>
      <c r="AH753">
        <f>INDEX([3]!crudeBD.lkup[Number],MATCH(vp.data[[#This Row],[Crude_Breakdown]],crudeBD.lkup[Crude Breakdown],0))</f>
        <v>5</v>
      </c>
      <c r="AI753">
        <f>MONTH(vp.data[[#This Row],[SDate]])</f>
        <v>2</v>
      </c>
      <c r="AJ753" s="5">
        <f>(vp.data[[#This Row],[VP]]-INDEX(crudeBD.lkup[Mean_VP],MATCH(vp.data[[#This Row],[Crude_Breakdown]],crudeBD.lkup[Crude Breakdown],0)))^2</f>
        <v>474.85801493251017</v>
      </c>
      <c r="AK753" s="5">
        <f>(vp.data[[#This Row],[Dens]]-INDEX(crudeBD.lkup[Mean_Dens],MATCH(vp.data[[#This Row],[Crude_Breakdown]],crudeBD.lkup[Crude Breakdown],0)))^2</f>
        <v>43.784825433099435</v>
      </c>
      <c r="AL753" s="5">
        <f>(vp.data[[#This Row],[Sulf]]-INDEX(crudeBD.lkup[Mean_Sulf],MATCH(vp.data[[#This Row],[Crude_Breakdown]],crudeBD.lkup[Crude Breakdown],0)))^2</f>
        <v>3.595406325264057E-2</v>
      </c>
      <c r="AM753" s="4">
        <f>IF(AND(vp.data[[#This Row],[SDate]]&gt;=DATE(YEAR(vp.data[[#This Row],[SDate]]),5,1),vp.data[[#This Row],[SDate]]&lt;=DATE(YEAR(vp.data[[#This Row],[SDate]]),9,15)),1,0)</f>
        <v>0</v>
      </c>
      <c r="AN753" s="4">
        <f>IF(vp.data[[#This Row],[SDate]]&lt;DATE(2016,12,1),0,1)</f>
        <v>1</v>
      </c>
      <c r="AO753" s="4">
        <f>IFERROR(vp.data[[#This Row],[Sulf]]*vp.data[[#This Row],[Net Dens]],"")</f>
        <v>2552860.5864384002</v>
      </c>
      <c r="AP753">
        <f>IFERROR(vp.data[[#This Row],[Dens]]*vp.data[[#This Row],[VolumeM3]],"")</f>
        <v>1132591.2096000002</v>
      </c>
      <c r="AQ753" s="15">
        <f>IFERROR(vp.data[[#This Row],[VP]]*vp.data[[#This Row],[VolumeM3]],"")</f>
        <v>118972.95360000001</v>
      </c>
    </row>
    <row r="754" spans="1:43" x14ac:dyDescent="0.25">
      <c r="A754">
        <v>753</v>
      </c>
      <c r="B754" t="s">
        <v>49</v>
      </c>
      <c r="C754" t="s">
        <v>49</v>
      </c>
      <c r="D754" t="s">
        <v>50</v>
      </c>
      <c r="F754" s="1">
        <v>42774</v>
      </c>
      <c r="G754" s="2">
        <v>82.1</v>
      </c>
      <c r="H754" s="2">
        <v>2.6110000000000002</v>
      </c>
      <c r="I754" s="2">
        <f t="array" ref="I754">_xlfn.IFNA(IF(vp.data[[#This Row],[Sulf Input]]="",INDEX([1]DATA!$Q$3:$Q$9826,MATCH(1,(vp.data[[#This Row],[Battery]]=[1]DATA!$L$3:$L$9826)*(EOMONTH(vp.data[[#This Row],[SDate]],-1)+1=[1]DATA!$G$3:$G$9826),0)),vp.data[[#This Row],[Sulf Input]]),"")</f>
        <v>2.6110000000000002</v>
      </c>
      <c r="J754" s="2">
        <v>10.7</v>
      </c>
      <c r="K754" s="2">
        <v>-30</v>
      </c>
      <c r="L754" s="2">
        <v>866.1</v>
      </c>
      <c r="M754" s="2">
        <f t="array" ref="M754">_xlfn.IFNA(IF(vp.data[[#This Row],[Dens Input]]="",INDEX([1]DATA!$O$3:$O$9826,MATCH(1,(vp.data[[#This Row],[Battery]]=[1]DATA!$L$3:$L$9826)*(EOMONTH(vp.data[[#This Row],[SDate]],-1)+1=[1]DATA!$G$3:$G$9826),0)),vp.data[[#This Row],[Dens Input]]),"")</f>
        <v>866.1</v>
      </c>
      <c r="N754" s="2">
        <f ca="1">INDEX(INDIRECT(_xlfn.CONCAT("weather.tbl[",N$1,"]")),MATCH(vp.data[[#This Row],[SDate]],weather.tbl[Date],0))</f>
        <v>-25.950000000000003</v>
      </c>
      <c r="O754" s="2">
        <f ca="1">INDEX(INDIRECT(_xlfn.CONCAT("weather.tbl[",O$1,"]")),MATCH(vp.data[[#This Row],[SDate]],weather.tbl[Date],0))</f>
        <v>-19.276190476190475</v>
      </c>
      <c r="P754" s="2">
        <f ca="1">INDEX(INDIRECT(_xlfn.CONCAT("weather.tbl[",P$1,"]")),MATCH(vp.data[[#This Row],[SDate]],weather.tbl[Date],0))</f>
        <v>-26.2</v>
      </c>
      <c r="Q754" s="2">
        <f ca="1">INDEX(INDIRECT(_xlfn.CONCAT("weather.tbl[",Q$1,"]")),MATCH(vp.data[[#This Row],[SDate]],weather.tbl[Date],0))</f>
        <v>-25.5</v>
      </c>
      <c r="R754" s="2">
        <f ca="1">INDEX(INDIRECT(_xlfn.CONCAT("weather.tbl[",R$1,"]")),MATCH(vp.data[[#This Row],[SDate]],weather.tbl[Date],0))</f>
        <v>-26.5</v>
      </c>
      <c r="S754" s="2">
        <f ca="1">INDEX(INDIRECT(_xlfn.CONCAT("weather.tbl[",S$1,"]")),MATCH(vp.data[[#This Row],[SDate]],weather.tbl[Date],0))</f>
        <v>-25.7</v>
      </c>
      <c r="T754" s="2">
        <f ca="1">INDEX(INDIRECT(_xlfn.CONCAT("weather.tbl[",T$1,"]")),MATCH(vp.data[[#This Row],[SDate]],weather.tbl[Date],0))</f>
        <v>-25.5</v>
      </c>
      <c r="U754" s="2">
        <f ca="1">INDEX(INDIRECT(_xlfn.CONCAT("weather.tbl[",U$1,"]")),MATCH(vp.data[[#This Row],[SDate]],weather.tbl[Date],0))</f>
        <v>-26.3</v>
      </c>
      <c r="V754" s="2">
        <f t="array" ref="V7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5073.817</v>
      </c>
      <c r="W754" t="s">
        <v>48</v>
      </c>
      <c r="X754">
        <f>IF(OR(vp.data[[#This Row],[Sulf]]="",vp.data[[#This Row],[Dens]]=""),1,0)</f>
        <v>0</v>
      </c>
      <c r="Y754">
        <f>IF(vp.data[[#This Row],[CrudeType]]="C5+",1,0)</f>
        <v>0</v>
      </c>
      <c r="Z754">
        <f>IF(AND(vp.data[[#This Row],[CrudeType]]="Crude",vp.data[[#This Row],[Dens]]&lt;=825,vp.data[[#This Row],[Sulf]]&gt;0.5,vp.data[[#This Row],[Unknown]]=0),1,0)</f>
        <v>0</v>
      </c>
      <c r="AA754">
        <f>IF(AND(vp.data[[#This Row],[CrudeType]]="Crude",vp.data[[#This Row],[Dens]]&lt;=825,vp.data[[#This Row],[Sulf]]&lt;=0.5,vp.data[[#This Row],[Unknown]]=0),1,0)</f>
        <v>0</v>
      </c>
      <c r="AB7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4">
        <f>IF(AND(vp.data[[#This Row],[CrudeType]]="Crude",vp.data[[#This Row],[Dens]]&gt;825,vp.data[[#This Row],[Dens]]&lt;=900,vp.data[[#This Row],[Sulf]]&lt;=0.5,vp.data[[#This Row],[Unknown]]=0),1,0)</f>
        <v>0</v>
      </c>
      <c r="AD754">
        <f>IF(AND(vp.data[[#This Row],[CrudeType]]="Crude",vp.data[[#This Row],[Dens]]&gt;865,vp.data[[#This Row],[Dens]]&lt;=900,vp.data[[#This Row],[Sulf]]&gt;2,vp.data[[#This Row],[Unknown]]=0),1,0)</f>
        <v>1</v>
      </c>
      <c r="AE754">
        <f>IF(AND(vp.data[[#This Row],[CrudeType]]="Crude",vp.data[[#This Row],[Dens]]&gt;900,vp.data[[#This Row],[Sulf]]&lt;=0.5,vp.data[[#This Row],[Unknown]]=0),1,0)</f>
        <v>0</v>
      </c>
      <c r="AF754">
        <f>IF(AND(vp.data[[#This Row],[CrudeType]]="Crude",vp.data[[#This Row],[Dens]]&gt;900,vp.data[[#This Row],[Sulf]]&lt;=0.5,vp.data[[#This Row],[Unknown]]=0),1,0)</f>
        <v>0</v>
      </c>
      <c r="AG754" t="str">
        <f>INDEX(vp.data[[#Headers],[Unknown]:[Heavy_SW]],MATCH(1,vp.data[[#This Row],[Unknown]:[Heavy_SW]],0))</f>
        <v>Midale</v>
      </c>
      <c r="AH754">
        <f>INDEX([3]!crudeBD.lkup[Number],MATCH(vp.data[[#This Row],[Crude_Breakdown]],crudeBD.lkup[Crude Breakdown],0))</f>
        <v>5</v>
      </c>
      <c r="AI754">
        <f>MONTH(vp.data[[#This Row],[SDate]])</f>
        <v>2</v>
      </c>
      <c r="AJ754" s="5">
        <f>(vp.data[[#This Row],[VP]]-INDEX(crudeBD.lkup[Mean_VP],MATCH(vp.data[[#This Row],[Crude_Breakdown]],crudeBD.lkup[Crude Breakdown],0)))^2</f>
        <v>161.06749946859296</v>
      </c>
      <c r="AK754" s="5">
        <f>(vp.data[[#This Row],[Dens]]-INDEX(crudeBD.lkup[Mean_Dens],MATCH(vp.data[[#This Row],[Crude_Breakdown]],crudeBD.lkup[Crude Breakdown],0)))^2</f>
        <v>75.986268732070002</v>
      </c>
      <c r="AL754" s="5">
        <f>(vp.data[[#This Row],[Sulf]]-INDEX(crudeBD.lkup[Mean_Sulf],MATCH(vp.data[[#This Row],[Crude_Breakdown]],crudeBD.lkup[Crude Breakdown],0)))^2</f>
        <v>2.8017548407280792E-2</v>
      </c>
      <c r="AM754" s="4">
        <f>IF(AND(vp.data[[#This Row],[SDate]]&gt;=DATE(YEAR(vp.data[[#This Row],[SDate]]),5,1),vp.data[[#This Row],[SDate]]&lt;=DATE(YEAR(vp.data[[#This Row],[SDate]]),9,15)),1,0)</f>
        <v>0</v>
      </c>
      <c r="AN754" s="4">
        <f>IF(vp.data[[#This Row],[SDate]]&lt;DATE(2016,12,1),0,1)</f>
        <v>1</v>
      </c>
      <c r="AO754" s="4">
        <f>IFERROR(vp.data[[#This Row],[Sulf]]*vp.data[[#This Row],[Net Dens]],"")</f>
        <v>11473864.3115607</v>
      </c>
      <c r="AP754">
        <f>IFERROR(vp.data[[#This Row],[Dens]]*vp.data[[#This Row],[VolumeM3]],"")</f>
        <v>4394432.9036999997</v>
      </c>
      <c r="AQ754" s="15">
        <f>IFERROR(vp.data[[#This Row],[VP]]*vp.data[[#This Row],[VolumeM3]],"")</f>
        <v>416560.37569999998</v>
      </c>
    </row>
    <row r="755" spans="1:43" x14ac:dyDescent="0.25">
      <c r="A755">
        <v>754</v>
      </c>
      <c r="B755" t="s">
        <v>62</v>
      </c>
      <c r="C755" t="s">
        <v>62</v>
      </c>
      <c r="D755" t="s">
        <v>63</v>
      </c>
      <c r="F755" s="1">
        <v>42774</v>
      </c>
      <c r="G755" s="2">
        <v>110.9</v>
      </c>
      <c r="H755" s="2"/>
      <c r="I755" s="2">
        <f t="array" ref="I755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55" s="2">
        <v>-2</v>
      </c>
      <c r="K755" s="2">
        <v>-29</v>
      </c>
      <c r="L755" s="2">
        <v>825.6</v>
      </c>
      <c r="M755" s="2">
        <f t="array" ref="M755">_xlfn.IFNA(IF(vp.data[[#This Row],[Dens Input]]="",INDEX([1]DATA!$O$3:$O$9826,MATCH(1,(vp.data[[#This Row],[Battery]]=[1]DATA!$L$3:$L$9826)*(EOMONTH(vp.data[[#This Row],[SDate]],-1)+1=[1]DATA!$G$3:$G$9826),0)),vp.data[[#This Row],[Dens Input]]),"")</f>
        <v>825.6</v>
      </c>
      <c r="N755" s="2">
        <f ca="1">INDEX(INDIRECT(_xlfn.CONCAT("weather.tbl[",N$1,"]")),MATCH(vp.data[[#This Row],[SDate]],weather.tbl[Date],0))</f>
        <v>-25.950000000000003</v>
      </c>
      <c r="O755" s="2">
        <f ca="1">INDEX(INDIRECT(_xlfn.CONCAT("weather.tbl[",O$1,"]")),MATCH(vp.data[[#This Row],[SDate]],weather.tbl[Date],0))</f>
        <v>-19.276190476190475</v>
      </c>
      <c r="P755" s="2">
        <f ca="1">INDEX(INDIRECT(_xlfn.CONCAT("weather.tbl[",P$1,"]")),MATCH(vp.data[[#This Row],[SDate]],weather.tbl[Date],0))</f>
        <v>-26.2</v>
      </c>
      <c r="Q755" s="2">
        <f ca="1">INDEX(INDIRECT(_xlfn.CONCAT("weather.tbl[",Q$1,"]")),MATCH(vp.data[[#This Row],[SDate]],weather.tbl[Date],0))</f>
        <v>-25.5</v>
      </c>
      <c r="R755" s="2">
        <f ca="1">INDEX(INDIRECT(_xlfn.CONCAT("weather.tbl[",R$1,"]")),MATCH(vp.data[[#This Row],[SDate]],weather.tbl[Date],0))</f>
        <v>-26.5</v>
      </c>
      <c r="S755" s="2">
        <f ca="1">INDEX(INDIRECT(_xlfn.CONCAT("weather.tbl[",S$1,"]")),MATCH(vp.data[[#This Row],[SDate]],weather.tbl[Date],0))</f>
        <v>-25.7</v>
      </c>
      <c r="T755" s="2">
        <f ca="1">INDEX(INDIRECT(_xlfn.CONCAT("weather.tbl[",T$1,"]")),MATCH(vp.data[[#This Row],[SDate]],weather.tbl[Date],0))</f>
        <v>-25.5</v>
      </c>
      <c r="U755" s="2">
        <f ca="1">INDEX(INDIRECT(_xlfn.CONCAT("weather.tbl[",U$1,"]")),MATCH(vp.data[[#This Row],[SDate]],weather.tbl[Date],0))</f>
        <v>-26.3</v>
      </c>
      <c r="V755" s="2">
        <f t="array" ref="V7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55" t="s">
        <v>48</v>
      </c>
      <c r="X755">
        <f>IF(OR(vp.data[[#This Row],[Sulf]]="",vp.data[[#This Row],[Dens]]=""),1,0)</f>
        <v>0</v>
      </c>
      <c r="Y755">
        <f>IF(vp.data[[#This Row],[CrudeType]]="C5+",1,0)</f>
        <v>0</v>
      </c>
      <c r="Z755">
        <f>IF(AND(vp.data[[#This Row],[CrudeType]]="Crude",vp.data[[#This Row],[Dens]]&lt;=825,vp.data[[#This Row],[Sulf]]&gt;0.5,vp.data[[#This Row],[Unknown]]=0),1,0)</f>
        <v>0</v>
      </c>
      <c r="AA755">
        <f>IF(AND(vp.data[[#This Row],[CrudeType]]="Crude",vp.data[[#This Row],[Dens]]&lt;=825,vp.data[[#This Row],[Sulf]]&lt;=0.5,vp.data[[#This Row],[Unknown]]=0),1,0)</f>
        <v>0</v>
      </c>
      <c r="AB7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55">
        <f>IF(AND(vp.data[[#This Row],[CrudeType]]="Crude",vp.data[[#This Row],[Dens]]&gt;825,vp.data[[#This Row],[Dens]]&lt;=900,vp.data[[#This Row],[Sulf]]&lt;=0.5,vp.data[[#This Row],[Unknown]]=0),1,0)</f>
        <v>0</v>
      </c>
      <c r="AD755">
        <f>IF(AND(vp.data[[#This Row],[CrudeType]]="Crude",vp.data[[#This Row],[Dens]]&gt;865,vp.data[[#This Row],[Dens]]&lt;=900,vp.data[[#This Row],[Sulf]]&gt;2,vp.data[[#This Row],[Unknown]]=0),1,0)</f>
        <v>0</v>
      </c>
      <c r="AE755">
        <f>IF(AND(vp.data[[#This Row],[CrudeType]]="Crude",vp.data[[#This Row],[Dens]]&gt;900,vp.data[[#This Row],[Sulf]]&lt;=0.5,vp.data[[#This Row],[Unknown]]=0),1,0)</f>
        <v>0</v>
      </c>
      <c r="AF755">
        <f>IF(AND(vp.data[[#This Row],[CrudeType]]="Crude",vp.data[[#This Row],[Dens]]&gt;900,vp.data[[#This Row],[Sulf]]&lt;=0.5,vp.data[[#This Row],[Unknown]]=0),1,0)</f>
        <v>0</v>
      </c>
      <c r="AG755" t="str">
        <f>INDEX(vp.data[[#Headers],[Unknown]:[Heavy_SW]],MATCH(1,vp.data[[#This Row],[Unknown]:[Heavy_SW]],0))</f>
        <v>Medium_LSB</v>
      </c>
      <c r="AH755">
        <f>INDEX([3]!crudeBD.lkup[Number],MATCH(vp.data[[#This Row],[Crude_Breakdown]],crudeBD.lkup[Crude Breakdown],0))</f>
        <v>3</v>
      </c>
      <c r="AI755">
        <f>MONTH(vp.data[[#This Row],[SDate]])</f>
        <v>2</v>
      </c>
      <c r="AJ755" s="5">
        <f>(vp.data[[#This Row],[VP]]-INDEX(crudeBD.lkup[Mean_VP],MATCH(vp.data[[#This Row],[Crude_Breakdown]],crudeBD.lkup[Crude Breakdown],0)))^2</f>
        <v>915.687175306781</v>
      </c>
      <c r="AK755" s="5">
        <f>(vp.data[[#This Row],[Dens]]-INDEX(crudeBD.lkup[Mean_Dens],MATCH(vp.data[[#This Row],[Crude_Breakdown]],crudeBD.lkup[Crude Breakdown],0)))^2</f>
        <v>335.62239999998098</v>
      </c>
      <c r="AL755" s="5">
        <f>(vp.data[[#This Row],[Sulf]]-INDEX(crudeBD.lkup[Mean_Sulf],MATCH(vp.data[[#This Row],[Crude_Breakdown]],crudeBD.lkup[Crude Breakdown],0)))^2</f>
        <v>2.0906809828845806E-2</v>
      </c>
      <c r="AM755" s="4">
        <f>IF(AND(vp.data[[#This Row],[SDate]]&gt;=DATE(YEAR(vp.data[[#This Row],[SDate]]),5,1),vp.data[[#This Row],[SDate]]&lt;=DATE(YEAR(vp.data[[#This Row],[SDate]]),9,15)),1,0)</f>
        <v>0</v>
      </c>
      <c r="AN755" s="4">
        <f>IF(vp.data[[#This Row],[SDate]]&lt;DATE(2016,12,1),0,1)</f>
        <v>1</v>
      </c>
      <c r="AO755" s="4">
        <f>IFERROR(vp.data[[#This Row],[Sulf]]*vp.data[[#This Row],[Net Dens]],"")</f>
        <v>6288983.7851519994</v>
      </c>
      <c r="AP755">
        <f>IFERROR(vp.data[[#This Row],[Dens]]*vp.data[[#This Row],[VolumeM3]],"")</f>
        <v>4110446.9183999998</v>
      </c>
      <c r="AQ755" s="15">
        <f>IFERROR(vp.data[[#This Row],[VP]]*vp.data[[#This Row],[VolumeM3]],"")</f>
        <v>552142.15509999997</v>
      </c>
    </row>
    <row r="756" spans="1:43" x14ac:dyDescent="0.25">
      <c r="A756">
        <v>755</v>
      </c>
      <c r="B756" t="s">
        <v>56</v>
      </c>
      <c r="C756" t="s">
        <v>56</v>
      </c>
      <c r="D756" t="s">
        <v>57</v>
      </c>
      <c r="F756" s="1">
        <v>42774</v>
      </c>
      <c r="G756" s="2">
        <v>114</v>
      </c>
      <c r="H756" s="2"/>
      <c r="I756" s="2">
        <f t="array" ref="I756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756" s="2">
        <v>-4.8</v>
      </c>
      <c r="K756" s="2">
        <v>-29</v>
      </c>
      <c r="L756" s="2">
        <v>839.4</v>
      </c>
      <c r="M756" s="2">
        <f t="array" ref="M756">_xlfn.IFNA(IF(vp.data[[#This Row],[Dens Input]]="",INDEX([1]DATA!$O$3:$O$9826,MATCH(1,(vp.data[[#This Row],[Battery]]=[1]DATA!$L$3:$L$9826)*(EOMONTH(vp.data[[#This Row],[SDate]],-1)+1=[1]DATA!$G$3:$G$9826),0)),vp.data[[#This Row],[Dens Input]]),"")</f>
        <v>839.4</v>
      </c>
      <c r="N756" s="2">
        <f ca="1">INDEX(INDIRECT(_xlfn.CONCAT("weather.tbl[",N$1,"]")),MATCH(vp.data[[#This Row],[SDate]],weather.tbl[Date],0))</f>
        <v>-25.950000000000003</v>
      </c>
      <c r="O756" s="2">
        <f ca="1">INDEX(INDIRECT(_xlfn.CONCAT("weather.tbl[",O$1,"]")),MATCH(vp.data[[#This Row],[SDate]],weather.tbl[Date],0))</f>
        <v>-19.276190476190475</v>
      </c>
      <c r="P756" s="2">
        <f ca="1">INDEX(INDIRECT(_xlfn.CONCAT("weather.tbl[",P$1,"]")),MATCH(vp.data[[#This Row],[SDate]],weather.tbl[Date],0))</f>
        <v>-26.2</v>
      </c>
      <c r="Q756" s="2">
        <f ca="1">INDEX(INDIRECT(_xlfn.CONCAT("weather.tbl[",Q$1,"]")),MATCH(vp.data[[#This Row],[SDate]],weather.tbl[Date],0))</f>
        <v>-25.5</v>
      </c>
      <c r="R756" s="2">
        <f ca="1">INDEX(INDIRECT(_xlfn.CONCAT("weather.tbl[",R$1,"]")),MATCH(vp.data[[#This Row],[SDate]],weather.tbl[Date],0))</f>
        <v>-26.5</v>
      </c>
      <c r="S756" s="2">
        <f ca="1">INDEX(INDIRECT(_xlfn.CONCAT("weather.tbl[",S$1,"]")),MATCH(vp.data[[#This Row],[SDate]],weather.tbl[Date],0))</f>
        <v>-25.7</v>
      </c>
      <c r="T756" s="2">
        <f ca="1">INDEX(INDIRECT(_xlfn.CONCAT("weather.tbl[",T$1,"]")),MATCH(vp.data[[#This Row],[SDate]],weather.tbl[Date],0))</f>
        <v>-25.5</v>
      </c>
      <c r="U756" s="2">
        <f ca="1">INDEX(INDIRECT(_xlfn.CONCAT("weather.tbl[",U$1,"]")),MATCH(vp.data[[#This Row],[SDate]],weather.tbl[Date],0))</f>
        <v>-26.3</v>
      </c>
      <c r="V756" s="2">
        <f t="array" ref="V7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756" t="s">
        <v>48</v>
      </c>
      <c r="X756">
        <f>IF(OR(vp.data[[#This Row],[Sulf]]="",vp.data[[#This Row],[Dens]]=""),1,0)</f>
        <v>0</v>
      </c>
      <c r="Y756">
        <f>IF(vp.data[[#This Row],[CrudeType]]="C5+",1,0)</f>
        <v>0</v>
      </c>
      <c r="Z756">
        <f>IF(AND(vp.data[[#This Row],[CrudeType]]="Crude",vp.data[[#This Row],[Dens]]&lt;=825,vp.data[[#This Row],[Sulf]]&gt;0.5,vp.data[[#This Row],[Unknown]]=0),1,0)</f>
        <v>0</v>
      </c>
      <c r="AA756">
        <f>IF(AND(vp.data[[#This Row],[CrudeType]]="Crude",vp.data[[#This Row],[Dens]]&lt;=825,vp.data[[#This Row],[Sulf]]&lt;=0.5,vp.data[[#This Row],[Unknown]]=0),1,0)</f>
        <v>0</v>
      </c>
      <c r="AB7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56">
        <f>IF(AND(vp.data[[#This Row],[CrudeType]]="Crude",vp.data[[#This Row],[Dens]]&gt;825,vp.data[[#This Row],[Dens]]&lt;=900,vp.data[[#This Row],[Sulf]]&lt;=0.5,vp.data[[#This Row],[Unknown]]=0),1,0)</f>
        <v>0</v>
      </c>
      <c r="AD756">
        <f>IF(AND(vp.data[[#This Row],[CrudeType]]="Crude",vp.data[[#This Row],[Dens]]&gt;865,vp.data[[#This Row],[Dens]]&lt;=900,vp.data[[#This Row],[Sulf]]&gt;2,vp.data[[#This Row],[Unknown]]=0),1,0)</f>
        <v>0</v>
      </c>
      <c r="AE756">
        <f>IF(AND(vp.data[[#This Row],[CrudeType]]="Crude",vp.data[[#This Row],[Dens]]&gt;900,vp.data[[#This Row],[Sulf]]&lt;=0.5,vp.data[[#This Row],[Unknown]]=0),1,0)</f>
        <v>0</v>
      </c>
      <c r="AF756">
        <f>IF(AND(vp.data[[#This Row],[CrudeType]]="Crude",vp.data[[#This Row],[Dens]]&gt;900,vp.data[[#This Row],[Sulf]]&lt;=0.5,vp.data[[#This Row],[Unknown]]=0),1,0)</f>
        <v>0</v>
      </c>
      <c r="AG756" t="str">
        <f>INDEX(vp.data[[#Headers],[Unknown]:[Heavy_SW]],MATCH(1,vp.data[[#This Row],[Unknown]:[Heavy_SW]],0))</f>
        <v>Medium_LSB</v>
      </c>
      <c r="AH756">
        <f>INDEX([3]!crudeBD.lkup[Number],MATCH(vp.data[[#This Row],[Crude_Breakdown]],crudeBD.lkup[Crude Breakdown],0))</f>
        <v>3</v>
      </c>
      <c r="AI756">
        <f>MONTH(vp.data[[#This Row],[SDate]])</f>
        <v>2</v>
      </c>
      <c r="AJ756" s="5">
        <f>(vp.data[[#This Row],[VP]]-INDEX(crudeBD.lkup[Mean_VP],MATCH(vp.data[[#This Row],[Crude_Breakdown]],crudeBD.lkup[Crude Breakdown],0)))^2</f>
        <v>1112.9111806976166</v>
      </c>
      <c r="AK756" s="5">
        <f>(vp.data[[#This Row],[Dens]]-INDEX(crudeBD.lkup[Mean_Dens],MATCH(vp.data[[#This Row],[Crude_Breakdown]],crudeBD.lkup[Crude Breakdown],0)))^2</f>
        <v>20.430399999995725</v>
      </c>
      <c r="AL756" s="5">
        <f>(vp.data[[#This Row],[Sulf]]-INDEX(crudeBD.lkup[Mean_Sulf],MATCH(vp.data[[#This Row],[Crude_Breakdown]],crudeBD.lkup[Crude Breakdown],0)))^2</f>
        <v>9.2776209289761713E-2</v>
      </c>
      <c r="AM756" s="4">
        <f>IF(AND(vp.data[[#This Row],[SDate]]&gt;=DATE(YEAR(vp.data[[#This Row],[SDate]]),5,1),vp.data[[#This Row],[SDate]]&lt;=DATE(YEAR(vp.data[[#This Row],[SDate]]),9,15)),1,0)</f>
        <v>0</v>
      </c>
      <c r="AN756" s="4">
        <f>IF(vp.data[[#This Row],[SDate]]&lt;DATE(2016,12,1),0,1)</f>
        <v>1</v>
      </c>
      <c r="AO756" s="4">
        <f>IFERROR(vp.data[[#This Row],[Sulf]]*vp.data[[#This Row],[Net Dens]],"")</f>
        <v>3902854.9421939999</v>
      </c>
      <c r="AP756">
        <f>IFERROR(vp.data[[#This Row],[Dens]]*vp.data[[#This Row],[VolumeM3]],"")</f>
        <v>2309381.6225999999</v>
      </c>
      <c r="AQ756" s="15">
        <f>IFERROR(vp.data[[#This Row],[VP]]*vp.data[[#This Row],[VolumeM3]],"")</f>
        <v>313640.10599999997</v>
      </c>
    </row>
    <row r="757" spans="1:43" x14ac:dyDescent="0.25">
      <c r="A757">
        <v>756</v>
      </c>
      <c r="B757" t="s">
        <v>51</v>
      </c>
      <c r="C757" t="s">
        <v>51</v>
      </c>
      <c r="D757" t="s">
        <v>52</v>
      </c>
      <c r="F757" s="1">
        <v>42774</v>
      </c>
      <c r="G757" s="2">
        <v>86.9</v>
      </c>
      <c r="H757" s="2"/>
      <c r="I757" s="2">
        <f t="array" ref="I757">_xlfn.IFNA(IF(vp.data[[#This Row],[Sulf Input]]="",INDEX([1]DATA!$Q$3:$Q$9826,MATCH(1,(vp.data[[#This Row],[Battery]]=[1]DATA!$L$3:$L$9826)*(EOMONTH(vp.data[[#This Row],[SDate]],-1)+1=[1]DATA!$G$3:$G$9826),0)),vp.data[[#This Row],[Sulf Input]]),"")</f>
        <v>2.46</v>
      </c>
      <c r="J757" s="2">
        <v>23.6</v>
      </c>
      <c r="K757" s="2">
        <v>-30</v>
      </c>
      <c r="L757" s="2">
        <v>866.1</v>
      </c>
      <c r="M757" s="2">
        <f t="array" ref="M757">_xlfn.IFNA(IF(vp.data[[#This Row],[Dens Input]]="",INDEX([1]DATA!$O$3:$O$9826,MATCH(1,(vp.data[[#This Row],[Battery]]=[1]DATA!$L$3:$L$9826)*(EOMONTH(vp.data[[#This Row],[SDate]],-1)+1=[1]DATA!$G$3:$G$9826),0)),vp.data[[#This Row],[Dens Input]]),"")</f>
        <v>866.1</v>
      </c>
      <c r="N757" s="2">
        <f ca="1">INDEX(INDIRECT(_xlfn.CONCAT("weather.tbl[",N$1,"]")),MATCH(vp.data[[#This Row],[SDate]],weather.tbl[Date],0))</f>
        <v>-25.950000000000003</v>
      </c>
      <c r="O757" s="2">
        <f ca="1">INDEX(INDIRECT(_xlfn.CONCAT("weather.tbl[",O$1,"]")),MATCH(vp.data[[#This Row],[SDate]],weather.tbl[Date],0))</f>
        <v>-19.276190476190475</v>
      </c>
      <c r="P757" s="2">
        <f ca="1">INDEX(INDIRECT(_xlfn.CONCAT("weather.tbl[",P$1,"]")),MATCH(vp.data[[#This Row],[SDate]],weather.tbl[Date],0))</f>
        <v>-26.2</v>
      </c>
      <c r="Q757" s="2">
        <f ca="1">INDEX(INDIRECT(_xlfn.CONCAT("weather.tbl[",Q$1,"]")),MATCH(vp.data[[#This Row],[SDate]],weather.tbl[Date],0))</f>
        <v>-25.5</v>
      </c>
      <c r="R757" s="2">
        <f ca="1">INDEX(INDIRECT(_xlfn.CONCAT("weather.tbl[",R$1,"]")),MATCH(vp.data[[#This Row],[SDate]],weather.tbl[Date],0))</f>
        <v>-26.5</v>
      </c>
      <c r="S757" s="2">
        <f ca="1">INDEX(INDIRECT(_xlfn.CONCAT("weather.tbl[",S$1,"]")),MATCH(vp.data[[#This Row],[SDate]],weather.tbl[Date],0))</f>
        <v>-25.7</v>
      </c>
      <c r="T757" s="2">
        <f ca="1">INDEX(INDIRECT(_xlfn.CONCAT("weather.tbl[",T$1,"]")),MATCH(vp.data[[#This Row],[SDate]],weather.tbl[Date],0))</f>
        <v>-25.5</v>
      </c>
      <c r="U757" s="2">
        <f ca="1">INDEX(INDIRECT(_xlfn.CONCAT("weather.tbl[",U$1,"]")),MATCH(vp.data[[#This Row],[SDate]],weather.tbl[Date],0))</f>
        <v>-26.3</v>
      </c>
      <c r="V757" s="2">
        <f t="array" ref="V7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6655.18</v>
      </c>
      <c r="W757" t="s">
        <v>48</v>
      </c>
      <c r="X757">
        <f>IF(OR(vp.data[[#This Row],[Sulf]]="",vp.data[[#This Row],[Dens]]=""),1,0)</f>
        <v>0</v>
      </c>
      <c r="Y757">
        <f>IF(vp.data[[#This Row],[CrudeType]]="C5+",1,0)</f>
        <v>0</v>
      </c>
      <c r="Z757">
        <f>IF(AND(vp.data[[#This Row],[CrudeType]]="Crude",vp.data[[#This Row],[Dens]]&lt;=825,vp.data[[#This Row],[Sulf]]&gt;0.5,vp.data[[#This Row],[Unknown]]=0),1,0)</f>
        <v>0</v>
      </c>
      <c r="AA757">
        <f>IF(AND(vp.data[[#This Row],[CrudeType]]="Crude",vp.data[[#This Row],[Dens]]&lt;=825,vp.data[[#This Row],[Sulf]]&lt;=0.5,vp.data[[#This Row],[Unknown]]=0),1,0)</f>
        <v>0</v>
      </c>
      <c r="AB7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7">
        <f>IF(AND(vp.data[[#This Row],[CrudeType]]="Crude",vp.data[[#This Row],[Dens]]&gt;825,vp.data[[#This Row],[Dens]]&lt;=900,vp.data[[#This Row],[Sulf]]&lt;=0.5,vp.data[[#This Row],[Unknown]]=0),1,0)</f>
        <v>0</v>
      </c>
      <c r="AD757">
        <f>IF(AND(vp.data[[#This Row],[CrudeType]]="Crude",vp.data[[#This Row],[Dens]]&gt;865,vp.data[[#This Row],[Dens]]&lt;=900,vp.data[[#This Row],[Sulf]]&gt;2,vp.data[[#This Row],[Unknown]]=0),1,0)</f>
        <v>1</v>
      </c>
      <c r="AE757">
        <f>IF(AND(vp.data[[#This Row],[CrudeType]]="Crude",vp.data[[#This Row],[Dens]]&gt;900,vp.data[[#This Row],[Sulf]]&lt;=0.5,vp.data[[#This Row],[Unknown]]=0),1,0)</f>
        <v>0</v>
      </c>
      <c r="AF757">
        <f>IF(AND(vp.data[[#This Row],[CrudeType]]="Crude",vp.data[[#This Row],[Dens]]&gt;900,vp.data[[#This Row],[Sulf]]&lt;=0.5,vp.data[[#This Row],[Unknown]]=0),1,0)</f>
        <v>0</v>
      </c>
      <c r="AG757" t="str">
        <f>INDEX(vp.data[[#Headers],[Unknown]:[Heavy_SW]],MATCH(1,vp.data[[#This Row],[Unknown]:[Heavy_SW]],0))</f>
        <v>Midale</v>
      </c>
      <c r="AH757">
        <f>INDEX([3]!crudeBD.lkup[Number],MATCH(vp.data[[#This Row],[Crude_Breakdown]],crudeBD.lkup[Crude Breakdown],0))</f>
        <v>5</v>
      </c>
      <c r="AI757">
        <f>MONTH(vp.data[[#This Row],[SDate]])</f>
        <v>2</v>
      </c>
      <c r="AJ757" s="5">
        <f>(vp.data[[#This Row],[VP]]-INDEX(crudeBD.lkup[Mean_VP],MATCH(vp.data[[#This Row],[Crude_Breakdown]],crudeBD.lkup[Crude Breakdown],0)))^2</f>
        <v>305.9433757572528</v>
      </c>
      <c r="AK757" s="5">
        <f>(vp.data[[#This Row],[Dens]]-INDEX(crudeBD.lkup[Mean_Dens],MATCH(vp.data[[#This Row],[Crude_Breakdown]],crudeBD.lkup[Crude Breakdown],0)))^2</f>
        <v>75.986268732070002</v>
      </c>
      <c r="AL757" s="5">
        <f>(vp.data[[#This Row],[Sulf]]-INDEX(crudeBD.lkup[Mean_Sulf],MATCH(vp.data[[#This Row],[Crude_Breakdown]],crudeBD.lkup[Crude Breakdown],0)))^2</f>
        <v>2.6844964439370932E-4</v>
      </c>
      <c r="AM757" s="4">
        <f>IF(AND(vp.data[[#This Row],[SDate]]&gt;=DATE(YEAR(vp.data[[#This Row],[SDate]]),5,1),vp.data[[#This Row],[SDate]]&lt;=DATE(YEAR(vp.data[[#This Row],[SDate]]),9,15)),1,0)</f>
        <v>0</v>
      </c>
      <c r="AN757" s="4">
        <f>IF(vp.data[[#This Row],[SDate]]&lt;DATE(2016,12,1),0,1)</f>
        <v>1</v>
      </c>
      <c r="AO757" s="4">
        <f>IFERROR(vp.data[[#This Row],[Sulf]]*vp.data[[#This Row],[Net Dens]],"")</f>
        <v>14179566.43908</v>
      </c>
      <c r="AP757">
        <f>IFERROR(vp.data[[#This Row],[Dens]]*vp.data[[#This Row],[VolumeM3]],"")</f>
        <v>5764051.398</v>
      </c>
      <c r="AQ757" s="15">
        <f>IFERROR(vp.data[[#This Row],[VP]]*vp.data[[#This Row],[VolumeM3]],"")</f>
        <v>578335.14200000011</v>
      </c>
    </row>
    <row r="758" spans="1:43" x14ac:dyDescent="0.25">
      <c r="A758">
        <v>757</v>
      </c>
      <c r="B758" t="s">
        <v>46</v>
      </c>
      <c r="C758" t="s">
        <v>46</v>
      </c>
      <c r="D758" t="s">
        <v>47</v>
      </c>
      <c r="F758" s="1">
        <v>42774</v>
      </c>
      <c r="G758" s="2">
        <v>63.7</v>
      </c>
      <c r="H758" s="2"/>
      <c r="I758" s="2">
        <f t="array" ref="I758">_xlfn.IFNA(IF(vp.data[[#This Row],[Sulf Input]]="",INDEX([1]DATA!$Q$3:$Q$9826,MATCH(1,(vp.data[[#This Row],[Battery]]=[1]DATA!$L$3:$L$9826)*(EOMONTH(vp.data[[#This Row],[SDate]],-1)+1=[1]DATA!$G$3:$G$9826),0)),vp.data[[#This Row],[Sulf Input]]),"")</f>
        <v>2.39</v>
      </c>
      <c r="J758" s="2">
        <v>25.4</v>
      </c>
      <c r="K758" s="2">
        <v>-30</v>
      </c>
      <c r="L758" s="2">
        <v>867.5</v>
      </c>
      <c r="M758" s="2">
        <f t="array" ref="M758">_xlfn.IFNA(IF(vp.data[[#This Row],[Dens Input]]="",INDEX([1]DATA!$O$3:$O$9826,MATCH(1,(vp.data[[#This Row],[Battery]]=[1]DATA!$L$3:$L$9826)*(EOMONTH(vp.data[[#This Row],[SDate]],-1)+1=[1]DATA!$G$3:$G$9826),0)),vp.data[[#This Row],[Dens Input]]),"")</f>
        <v>867.5</v>
      </c>
      <c r="N758" s="2">
        <f ca="1">INDEX(INDIRECT(_xlfn.CONCAT("weather.tbl[",N$1,"]")),MATCH(vp.data[[#This Row],[SDate]],weather.tbl[Date],0))</f>
        <v>-25.950000000000003</v>
      </c>
      <c r="O758" s="2">
        <f ca="1">INDEX(INDIRECT(_xlfn.CONCAT("weather.tbl[",O$1,"]")),MATCH(vp.data[[#This Row],[SDate]],weather.tbl[Date],0))</f>
        <v>-19.276190476190475</v>
      </c>
      <c r="P758" s="2">
        <f ca="1">INDEX(INDIRECT(_xlfn.CONCAT("weather.tbl[",P$1,"]")),MATCH(vp.data[[#This Row],[SDate]],weather.tbl[Date],0))</f>
        <v>-26.2</v>
      </c>
      <c r="Q758" s="2">
        <f ca="1">INDEX(INDIRECT(_xlfn.CONCAT("weather.tbl[",Q$1,"]")),MATCH(vp.data[[#This Row],[SDate]],weather.tbl[Date],0))</f>
        <v>-25.5</v>
      </c>
      <c r="R758" s="2">
        <f ca="1">INDEX(INDIRECT(_xlfn.CONCAT("weather.tbl[",R$1,"]")),MATCH(vp.data[[#This Row],[SDate]],weather.tbl[Date],0))</f>
        <v>-26.5</v>
      </c>
      <c r="S758" s="2">
        <f ca="1">INDEX(INDIRECT(_xlfn.CONCAT("weather.tbl[",S$1,"]")),MATCH(vp.data[[#This Row],[SDate]],weather.tbl[Date],0))</f>
        <v>-25.7</v>
      </c>
      <c r="T758" s="2">
        <f ca="1">INDEX(INDIRECT(_xlfn.CONCAT("weather.tbl[",T$1,"]")),MATCH(vp.data[[#This Row],[SDate]],weather.tbl[Date],0))</f>
        <v>-25.5</v>
      </c>
      <c r="U758" s="2">
        <f ca="1">INDEX(INDIRECT(_xlfn.CONCAT("weather.tbl[",U$1,"]")),MATCH(vp.data[[#This Row],[SDate]],weather.tbl[Date],0))</f>
        <v>-26.3</v>
      </c>
      <c r="V758" s="2">
        <f t="array" ref="V7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104905.11500000001</v>
      </c>
      <c r="W758" t="s">
        <v>48</v>
      </c>
      <c r="X758">
        <f>IF(OR(vp.data[[#This Row],[Sulf]]="",vp.data[[#This Row],[Dens]]=""),1,0)</f>
        <v>0</v>
      </c>
      <c r="Y758">
        <f>IF(vp.data[[#This Row],[CrudeType]]="C5+",1,0)</f>
        <v>0</v>
      </c>
      <c r="Z758">
        <f>IF(AND(vp.data[[#This Row],[CrudeType]]="Crude",vp.data[[#This Row],[Dens]]&lt;=825,vp.data[[#This Row],[Sulf]]&gt;0.5,vp.data[[#This Row],[Unknown]]=0),1,0)</f>
        <v>0</v>
      </c>
      <c r="AA758">
        <f>IF(AND(vp.data[[#This Row],[CrudeType]]="Crude",vp.data[[#This Row],[Dens]]&lt;=825,vp.data[[#This Row],[Sulf]]&lt;=0.5,vp.data[[#This Row],[Unknown]]=0),1,0)</f>
        <v>0</v>
      </c>
      <c r="AB7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8">
        <f>IF(AND(vp.data[[#This Row],[CrudeType]]="Crude",vp.data[[#This Row],[Dens]]&gt;825,vp.data[[#This Row],[Dens]]&lt;=900,vp.data[[#This Row],[Sulf]]&lt;=0.5,vp.data[[#This Row],[Unknown]]=0),1,0)</f>
        <v>0</v>
      </c>
      <c r="AD758">
        <f>IF(AND(vp.data[[#This Row],[CrudeType]]="Crude",vp.data[[#This Row],[Dens]]&gt;865,vp.data[[#This Row],[Dens]]&lt;=900,vp.data[[#This Row],[Sulf]]&gt;2,vp.data[[#This Row],[Unknown]]=0),1,0)</f>
        <v>1</v>
      </c>
      <c r="AE758">
        <f>IF(AND(vp.data[[#This Row],[CrudeType]]="Crude",vp.data[[#This Row],[Dens]]&gt;900,vp.data[[#This Row],[Sulf]]&lt;=0.5,vp.data[[#This Row],[Unknown]]=0),1,0)</f>
        <v>0</v>
      </c>
      <c r="AF758">
        <f>IF(AND(vp.data[[#This Row],[CrudeType]]="Crude",vp.data[[#This Row],[Dens]]&gt;900,vp.data[[#This Row],[Sulf]]&lt;=0.5,vp.data[[#This Row],[Unknown]]=0),1,0)</f>
        <v>0</v>
      </c>
      <c r="AG758" t="str">
        <f>INDEX(vp.data[[#Headers],[Unknown]:[Heavy_SW]],MATCH(1,vp.data[[#This Row],[Unknown]:[Heavy_SW]],0))</f>
        <v>Midale</v>
      </c>
      <c r="AH758">
        <f>INDEX([3]!crudeBD.lkup[Number],MATCH(vp.data[[#This Row],[Crude_Breakdown]],crudeBD.lkup[Crude Breakdown],0))</f>
        <v>5</v>
      </c>
      <c r="AI758">
        <f>MONTH(vp.data[[#This Row],[SDate]])</f>
        <v>2</v>
      </c>
      <c r="AJ758" s="5">
        <f>(vp.data[[#This Row],[VP]]-INDEX(crudeBD.lkup[Mean_VP],MATCH(vp.data[[#This Row],[Crude_Breakdown]],crudeBD.lkup[Crude Breakdown],0)))^2</f>
        <v>32.589973695398349</v>
      </c>
      <c r="AK758" s="5">
        <f>(vp.data[[#This Row],[Dens]]-INDEX(crudeBD.lkup[Mean_Dens],MATCH(vp.data[[#This Row],[Crude_Breakdown]],crudeBD.lkup[Crude Breakdown],0)))^2</f>
        <v>53.538639866090158</v>
      </c>
      <c r="AL758" s="5">
        <f>(vp.data[[#This Row],[Sulf]]-INDEX(crudeBD.lkup[Mean_Sulf],MATCH(vp.data[[#This Row],[Crude_Breakdown]],crudeBD.lkup[Crude Breakdown],0)))^2</f>
        <v>2.8746290258368046E-3</v>
      </c>
      <c r="AM758" s="4">
        <f>IF(AND(vp.data[[#This Row],[SDate]]&gt;=DATE(YEAR(vp.data[[#This Row],[SDate]]),5,1),vp.data[[#This Row],[SDate]]&lt;=DATE(YEAR(vp.data[[#This Row],[SDate]]),9,15)),1,0)</f>
        <v>0</v>
      </c>
      <c r="AN758" s="4">
        <f>IF(vp.data[[#This Row],[SDate]]&lt;DATE(2016,12,1),0,1)</f>
        <v>1</v>
      </c>
      <c r="AO758" s="4">
        <f>IFERROR(vp.data[[#This Row],[Sulf]]*vp.data[[#This Row],[Net Dens]],"")</f>
        <v>217502397.55737501</v>
      </c>
      <c r="AP758">
        <f>IFERROR(vp.data[[#This Row],[Dens]]*vp.data[[#This Row],[VolumeM3]],"")</f>
        <v>91005187.262500003</v>
      </c>
      <c r="AQ758" s="15">
        <f>IFERROR(vp.data[[#This Row],[VP]]*vp.data[[#This Row],[VolumeM3]],"")</f>
        <v>6682455.8255000003</v>
      </c>
    </row>
    <row r="759" spans="1:43" x14ac:dyDescent="0.25">
      <c r="A759">
        <v>758</v>
      </c>
      <c r="B759" t="s">
        <v>108</v>
      </c>
      <c r="C759" t="s">
        <v>108</v>
      </c>
      <c r="D759" t="s">
        <v>158</v>
      </c>
      <c r="F759" s="1">
        <v>42774</v>
      </c>
      <c r="G759" s="2">
        <v>87.5</v>
      </c>
      <c r="H759" s="2"/>
      <c r="I759" s="2">
        <f t="array" ref="I759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759" s="2">
        <v>-16.7</v>
      </c>
      <c r="K759" s="2">
        <v>-30</v>
      </c>
      <c r="L759" s="2">
        <v>878.3</v>
      </c>
      <c r="M759" s="2">
        <f t="array" ref="M759">_xlfn.IFNA(IF(vp.data[[#This Row],[Dens Input]]="",INDEX([1]DATA!$O$3:$O$9826,MATCH(1,(vp.data[[#This Row],[Battery]]=[1]DATA!$L$3:$L$9826)*(EOMONTH(vp.data[[#This Row],[SDate]],-1)+1=[1]DATA!$G$3:$G$9826),0)),vp.data[[#This Row],[Dens Input]]),"")</f>
        <v>878.3</v>
      </c>
      <c r="N759" s="2">
        <f ca="1">INDEX(INDIRECT(_xlfn.CONCAT("weather.tbl[",N$1,"]")),MATCH(vp.data[[#This Row],[SDate]],weather.tbl[Date],0))</f>
        <v>-25.950000000000003</v>
      </c>
      <c r="O759" s="2">
        <f ca="1">INDEX(INDIRECT(_xlfn.CONCAT("weather.tbl[",O$1,"]")),MATCH(vp.data[[#This Row],[SDate]],weather.tbl[Date],0))</f>
        <v>-19.276190476190475</v>
      </c>
      <c r="P759" s="2">
        <f ca="1">INDEX(INDIRECT(_xlfn.CONCAT("weather.tbl[",P$1,"]")),MATCH(vp.data[[#This Row],[SDate]],weather.tbl[Date],0))</f>
        <v>-26.2</v>
      </c>
      <c r="Q759" s="2">
        <f ca="1">INDEX(INDIRECT(_xlfn.CONCAT("weather.tbl[",Q$1,"]")),MATCH(vp.data[[#This Row],[SDate]],weather.tbl[Date],0))</f>
        <v>-25.5</v>
      </c>
      <c r="R759" s="2">
        <f ca="1">INDEX(INDIRECT(_xlfn.CONCAT("weather.tbl[",R$1,"]")),MATCH(vp.data[[#This Row],[SDate]],weather.tbl[Date],0))</f>
        <v>-26.5</v>
      </c>
      <c r="S759" s="2">
        <f ca="1">INDEX(INDIRECT(_xlfn.CONCAT("weather.tbl[",S$1,"]")),MATCH(vp.data[[#This Row],[SDate]],weather.tbl[Date],0))</f>
        <v>-25.7</v>
      </c>
      <c r="T759" s="2">
        <f ca="1">INDEX(INDIRECT(_xlfn.CONCAT("weather.tbl[",T$1,"]")),MATCH(vp.data[[#This Row],[SDate]],weather.tbl[Date],0))</f>
        <v>-25.5</v>
      </c>
      <c r="U759" s="2">
        <f ca="1">INDEX(INDIRECT(_xlfn.CONCAT("weather.tbl[",U$1,"]")),MATCH(vp.data[[#This Row],[SDate]],weather.tbl[Date],0))</f>
        <v>-26.3</v>
      </c>
      <c r="V759" s="2">
        <f t="array" ref="V7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1412.5039999999999</v>
      </c>
      <c r="W759" t="s">
        <v>48</v>
      </c>
      <c r="X759">
        <f>IF(OR(vp.data[[#This Row],[Sulf]]="",vp.data[[#This Row],[Dens]]=""),1,0)</f>
        <v>0</v>
      </c>
      <c r="Y759">
        <f>IF(vp.data[[#This Row],[CrudeType]]="C5+",1,0)</f>
        <v>0</v>
      </c>
      <c r="Z759">
        <f>IF(AND(vp.data[[#This Row],[CrudeType]]="Crude",vp.data[[#This Row],[Dens]]&lt;=825,vp.data[[#This Row],[Sulf]]&gt;0.5,vp.data[[#This Row],[Unknown]]=0),1,0)</f>
        <v>0</v>
      </c>
      <c r="AA759">
        <f>IF(AND(vp.data[[#This Row],[CrudeType]]="Crude",vp.data[[#This Row],[Dens]]&lt;=825,vp.data[[#This Row],[Sulf]]&lt;=0.5,vp.data[[#This Row],[Unknown]]=0),1,0)</f>
        <v>0</v>
      </c>
      <c r="AB7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59">
        <f>IF(AND(vp.data[[#This Row],[CrudeType]]="Crude",vp.data[[#This Row],[Dens]]&gt;825,vp.data[[#This Row],[Dens]]&lt;=900,vp.data[[#This Row],[Sulf]]&lt;=0.5,vp.data[[#This Row],[Unknown]]=0),1,0)</f>
        <v>0</v>
      </c>
      <c r="AD759">
        <f>IF(AND(vp.data[[#This Row],[CrudeType]]="Crude",vp.data[[#This Row],[Dens]]&gt;865,vp.data[[#This Row],[Dens]]&lt;=900,vp.data[[#This Row],[Sulf]]&gt;2,vp.data[[#This Row],[Unknown]]=0),1,0)</f>
        <v>1</v>
      </c>
      <c r="AE759">
        <f>IF(AND(vp.data[[#This Row],[CrudeType]]="Crude",vp.data[[#This Row],[Dens]]&gt;900,vp.data[[#This Row],[Sulf]]&lt;=0.5,vp.data[[#This Row],[Unknown]]=0),1,0)</f>
        <v>0</v>
      </c>
      <c r="AF759">
        <f>IF(AND(vp.data[[#This Row],[CrudeType]]="Crude",vp.data[[#This Row],[Dens]]&gt;900,vp.data[[#This Row],[Sulf]]&lt;=0.5,vp.data[[#This Row],[Unknown]]=0),1,0)</f>
        <v>0</v>
      </c>
      <c r="AG759" t="str">
        <f>INDEX(vp.data[[#Headers],[Unknown]:[Heavy_SW]],MATCH(1,vp.data[[#This Row],[Unknown]:[Heavy_SW]],0))</f>
        <v>Midale</v>
      </c>
      <c r="AH759">
        <f>INDEX([3]!crudeBD.lkup[Number],MATCH(vp.data[[#This Row],[Crude_Breakdown]],crudeBD.lkup[Crude Breakdown],0))</f>
        <v>5</v>
      </c>
      <c r="AI759">
        <f>MONTH(vp.data[[#This Row],[SDate]])</f>
        <v>2</v>
      </c>
      <c r="AJ759" s="5">
        <f>(vp.data[[#This Row],[VP]]-INDEX(crudeBD.lkup[Mean_VP],MATCH(vp.data[[#This Row],[Crude_Breakdown]],crudeBD.lkup[Crude Breakdown],0)))^2</f>
        <v>327.29286029333502</v>
      </c>
      <c r="AK759" s="5">
        <f>(vp.data[[#This Row],[Dens]]-INDEX(crudeBD.lkup[Mean_Dens],MATCH(vp.data[[#This Row],[Crude_Breakdown]],crudeBD.lkup[Crude Breakdown],0)))^2</f>
        <v>12.131217185670836</v>
      </c>
      <c r="AL759" s="5">
        <f>(vp.data[[#This Row],[Sulf]]-INDEX(crudeBD.lkup[Mean_Sulf],MATCH(vp.data[[#This Row],[Crude_Breakdown]],crudeBD.lkup[Crude Breakdown],0)))^2</f>
        <v>0.12504396923202166</v>
      </c>
      <c r="AM759" s="4">
        <f>IF(AND(vp.data[[#This Row],[SDate]]&gt;=DATE(YEAR(vp.data[[#This Row],[SDate]]),5,1),vp.data[[#This Row],[SDate]]&lt;=DATE(YEAR(vp.data[[#This Row],[SDate]]),9,15)),1,0)</f>
        <v>0</v>
      </c>
      <c r="AN759" s="4">
        <f>IF(vp.data[[#This Row],[SDate]]&lt;DATE(2016,12,1),0,1)</f>
        <v>1</v>
      </c>
      <c r="AO759" s="4">
        <f>IFERROR(vp.data[[#This Row],[Sulf]]*vp.data[[#This Row],[Net Dens]],"")</f>
        <v>2592858.7300879997</v>
      </c>
      <c r="AP759">
        <f>IFERROR(vp.data[[#This Row],[Dens]]*vp.data[[#This Row],[VolumeM3]],"")</f>
        <v>1240602.2631999999</v>
      </c>
      <c r="AQ759" s="15">
        <f>IFERROR(vp.data[[#This Row],[VP]]*vp.data[[#This Row],[VolumeM3]],"")</f>
        <v>123594.09999999999</v>
      </c>
    </row>
    <row r="760" spans="1:43" x14ac:dyDescent="0.25">
      <c r="A760">
        <v>759</v>
      </c>
      <c r="B760" t="s">
        <v>108</v>
      </c>
      <c r="C760" t="s">
        <v>108</v>
      </c>
      <c r="D760" t="s">
        <v>159</v>
      </c>
      <c r="F760" s="1">
        <v>42774</v>
      </c>
      <c r="G760" s="2">
        <v>61.1</v>
      </c>
      <c r="H760" s="2"/>
      <c r="I760" s="2">
        <f t="array" ref="I760">_xlfn.IFNA(IF(vp.data[[#This Row],[Sulf Input]]="",INDEX([1]DATA!$Q$3:$Q$9826,MATCH(1,(vp.data[[#This Row],[Battery]]=[1]DATA!$L$3:$L$9826)*(EOMONTH(vp.data[[#This Row],[SDate]],-1)+1=[1]DATA!$G$3:$G$9826),0)),vp.data[[#This Row],[Sulf Input]]),"")</f>
        <v>2.17</v>
      </c>
      <c r="J760" s="2">
        <v>11.6</v>
      </c>
      <c r="K760" s="2">
        <v>-30</v>
      </c>
      <c r="L760" s="2">
        <v>882.5</v>
      </c>
      <c r="M760" s="2">
        <f t="array" ref="M760">_xlfn.IFNA(IF(vp.data[[#This Row],[Dens Input]]="",INDEX([1]DATA!$O$3:$O$9826,MATCH(1,(vp.data[[#This Row],[Battery]]=[1]DATA!$L$3:$L$9826)*(EOMONTH(vp.data[[#This Row],[SDate]],-1)+1=[1]DATA!$G$3:$G$9826),0)),vp.data[[#This Row],[Dens Input]]),"")</f>
        <v>882.5</v>
      </c>
      <c r="N760" s="2">
        <f ca="1">INDEX(INDIRECT(_xlfn.CONCAT("weather.tbl[",N$1,"]")),MATCH(vp.data[[#This Row],[SDate]],weather.tbl[Date],0))</f>
        <v>-25.950000000000003</v>
      </c>
      <c r="O760" s="2">
        <f ca="1">INDEX(INDIRECT(_xlfn.CONCAT("weather.tbl[",O$1,"]")),MATCH(vp.data[[#This Row],[SDate]],weather.tbl[Date],0))</f>
        <v>-19.276190476190475</v>
      </c>
      <c r="P760" s="2">
        <f ca="1">INDEX(INDIRECT(_xlfn.CONCAT("weather.tbl[",P$1,"]")),MATCH(vp.data[[#This Row],[SDate]],weather.tbl[Date],0))</f>
        <v>-26.2</v>
      </c>
      <c r="Q760" s="2">
        <f ca="1">INDEX(INDIRECT(_xlfn.CONCAT("weather.tbl[",Q$1,"]")),MATCH(vp.data[[#This Row],[SDate]],weather.tbl[Date],0))</f>
        <v>-25.5</v>
      </c>
      <c r="R760" s="2">
        <f ca="1">INDEX(INDIRECT(_xlfn.CONCAT("weather.tbl[",R$1,"]")),MATCH(vp.data[[#This Row],[SDate]],weather.tbl[Date],0))</f>
        <v>-26.5</v>
      </c>
      <c r="S760" s="2">
        <f ca="1">INDEX(INDIRECT(_xlfn.CONCAT("weather.tbl[",S$1,"]")),MATCH(vp.data[[#This Row],[SDate]],weather.tbl[Date],0))</f>
        <v>-25.7</v>
      </c>
      <c r="T760" s="2">
        <f ca="1">INDEX(INDIRECT(_xlfn.CONCAT("weather.tbl[",T$1,"]")),MATCH(vp.data[[#This Row],[SDate]],weather.tbl[Date],0))</f>
        <v>-25.5</v>
      </c>
      <c r="U760" s="2">
        <f ca="1">INDEX(INDIRECT(_xlfn.CONCAT("weather.tbl[",U$1,"]")),MATCH(vp.data[[#This Row],[SDate]],weather.tbl[Date],0))</f>
        <v>-26.3</v>
      </c>
      <c r="V760" s="2">
        <f t="array" ref="V7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1351.4469999999999</v>
      </c>
      <c r="W760" t="s">
        <v>48</v>
      </c>
      <c r="X760">
        <f>IF(OR(vp.data[[#This Row],[Sulf]]="",vp.data[[#This Row],[Dens]]=""),1,0)</f>
        <v>0</v>
      </c>
      <c r="Y760">
        <f>IF(vp.data[[#This Row],[CrudeType]]="C5+",1,0)</f>
        <v>0</v>
      </c>
      <c r="Z760">
        <f>IF(AND(vp.data[[#This Row],[CrudeType]]="Crude",vp.data[[#This Row],[Dens]]&lt;=825,vp.data[[#This Row],[Sulf]]&gt;0.5,vp.data[[#This Row],[Unknown]]=0),1,0)</f>
        <v>0</v>
      </c>
      <c r="AA760">
        <f>IF(AND(vp.data[[#This Row],[CrudeType]]="Crude",vp.data[[#This Row],[Dens]]&lt;=825,vp.data[[#This Row],[Sulf]]&lt;=0.5,vp.data[[#This Row],[Unknown]]=0),1,0)</f>
        <v>0</v>
      </c>
      <c r="AB7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0">
        <f>IF(AND(vp.data[[#This Row],[CrudeType]]="Crude",vp.data[[#This Row],[Dens]]&gt;825,vp.data[[#This Row],[Dens]]&lt;=900,vp.data[[#This Row],[Sulf]]&lt;=0.5,vp.data[[#This Row],[Unknown]]=0),1,0)</f>
        <v>0</v>
      </c>
      <c r="AD760">
        <f>IF(AND(vp.data[[#This Row],[CrudeType]]="Crude",vp.data[[#This Row],[Dens]]&gt;865,vp.data[[#This Row],[Dens]]&lt;=900,vp.data[[#This Row],[Sulf]]&gt;2,vp.data[[#This Row],[Unknown]]=0),1,0)</f>
        <v>1</v>
      </c>
      <c r="AE760">
        <f>IF(AND(vp.data[[#This Row],[CrudeType]]="Crude",vp.data[[#This Row],[Dens]]&gt;900,vp.data[[#This Row],[Sulf]]&lt;=0.5,vp.data[[#This Row],[Unknown]]=0),1,0)</f>
        <v>0</v>
      </c>
      <c r="AF760">
        <f>IF(AND(vp.data[[#This Row],[CrudeType]]="Crude",vp.data[[#This Row],[Dens]]&gt;900,vp.data[[#This Row],[Sulf]]&lt;=0.5,vp.data[[#This Row],[Unknown]]=0),1,0)</f>
        <v>0</v>
      </c>
      <c r="AG760" t="str">
        <f>INDEX(vp.data[[#Headers],[Unknown]:[Heavy_SW]],MATCH(1,vp.data[[#This Row],[Unknown]:[Heavy_SW]],0))</f>
        <v>Midale</v>
      </c>
      <c r="AH760">
        <f>INDEX([3]!crudeBD.lkup[Number],MATCH(vp.data[[#This Row],[Crude_Breakdown]],crudeBD.lkup[Crude Breakdown],0))</f>
        <v>5</v>
      </c>
      <c r="AI760">
        <f>MONTH(vp.data[[#This Row],[SDate]])</f>
        <v>2</v>
      </c>
      <c r="AJ760" s="5">
        <f>(vp.data[[#This Row],[VP]]-INDEX(crudeBD.lkup[Mean_VP],MATCH(vp.data[[#This Row],[Crude_Breakdown]],crudeBD.lkup[Crude Breakdown],0)))^2</f>
        <v>69.035540705707803</v>
      </c>
      <c r="AK760" s="5">
        <f>(vp.data[[#This Row],[Dens]]-INDEX(crudeBD.lkup[Mean_Dens],MATCH(vp.data[[#This Row],[Crude_Breakdown]],crudeBD.lkup[Crude Breakdown],0)))^2</f>
        <v>59.02833058773043</v>
      </c>
      <c r="AL760" s="5">
        <f>(vp.data[[#This Row],[Sulf]]-INDEX(crudeBD.lkup[Mean_Sulf],MATCH(vp.data[[#This Row],[Crude_Breakdown]],crudeBD.lkup[Crude Breakdown],0)))^2</f>
        <v>7.4865478510372341E-2</v>
      </c>
      <c r="AM760" s="4">
        <f>IF(AND(vp.data[[#This Row],[SDate]]&gt;=DATE(YEAR(vp.data[[#This Row],[SDate]]),5,1),vp.data[[#This Row],[SDate]]&lt;=DATE(YEAR(vp.data[[#This Row],[SDate]]),9,15)),1,0)</f>
        <v>0</v>
      </c>
      <c r="AN760" s="4">
        <f>IF(vp.data[[#This Row],[SDate]]&lt;DATE(2016,12,1),0,1)</f>
        <v>1</v>
      </c>
      <c r="AO760" s="4">
        <f>IFERROR(vp.data[[#This Row],[Sulf]]*vp.data[[#This Row],[Net Dens]],"")</f>
        <v>2588054.7911749994</v>
      </c>
      <c r="AP760">
        <f>IFERROR(vp.data[[#This Row],[Dens]]*vp.data[[#This Row],[VolumeM3]],"")</f>
        <v>1192651.9774999998</v>
      </c>
      <c r="AQ760" s="15">
        <f>IFERROR(vp.data[[#This Row],[VP]]*vp.data[[#This Row],[VolumeM3]],"")</f>
        <v>82573.411699999997</v>
      </c>
    </row>
    <row r="761" spans="1:43" x14ac:dyDescent="0.25">
      <c r="A761">
        <v>760</v>
      </c>
      <c r="B761" t="s">
        <v>56</v>
      </c>
      <c r="C761" t="s">
        <v>56</v>
      </c>
      <c r="D761" t="s">
        <v>57</v>
      </c>
      <c r="F761" s="1">
        <v>42775</v>
      </c>
      <c r="G761" s="2">
        <v>97.8</v>
      </c>
      <c r="H761" s="2"/>
      <c r="I761" s="2">
        <f t="array" ref="I761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761" s="2">
        <v>-3.4</v>
      </c>
      <c r="K761" s="2">
        <v>-24</v>
      </c>
      <c r="L761" s="2">
        <v>846.3</v>
      </c>
      <c r="M761" s="2">
        <f t="array" ref="M761">_xlfn.IFNA(IF(vp.data[[#This Row],[Dens Input]]="",INDEX([1]DATA!$O$3:$O$9826,MATCH(1,(vp.data[[#This Row],[Battery]]=[1]DATA!$L$3:$L$9826)*(EOMONTH(vp.data[[#This Row],[SDate]],-1)+1=[1]DATA!$G$3:$G$9826),0)),vp.data[[#This Row],[Dens Input]]),"")</f>
        <v>846.3</v>
      </c>
      <c r="N761" s="2">
        <f ca="1">INDEX(INDIRECT(_xlfn.CONCAT("weather.tbl[",N$1,"]")),MATCH(vp.data[[#This Row],[SDate]],weather.tbl[Date],0))</f>
        <v>-16.533333333333331</v>
      </c>
      <c r="O761" s="2">
        <f ca="1">INDEX(INDIRECT(_xlfn.CONCAT("weather.tbl[",O$1,"]")),MATCH(vp.data[[#This Row],[SDate]],weather.tbl[Date],0))</f>
        <v>-19.123809523809523</v>
      </c>
      <c r="P761" s="2">
        <f ca="1">INDEX(INDIRECT(_xlfn.CONCAT("weather.tbl[",P$1,"]")),MATCH(vp.data[[#This Row],[SDate]],weather.tbl[Date],0))</f>
        <v>-17.899999999999999</v>
      </c>
      <c r="Q761" s="2">
        <f ca="1">INDEX(INDIRECT(_xlfn.CONCAT("weather.tbl[",Q$1,"]")),MATCH(vp.data[[#This Row],[SDate]],weather.tbl[Date],0))</f>
        <v>-18.2</v>
      </c>
      <c r="R761" s="2">
        <f ca="1">INDEX(INDIRECT(_xlfn.CONCAT("weather.tbl[",R$1,"]")),MATCH(vp.data[[#This Row],[SDate]],weather.tbl[Date],0))</f>
        <v>-14</v>
      </c>
      <c r="S761" s="2">
        <f ca="1">INDEX(INDIRECT(_xlfn.CONCAT("weather.tbl[",S$1,"]")),MATCH(vp.data[[#This Row],[SDate]],weather.tbl[Date],0))</f>
        <v>-16.600000000000001</v>
      </c>
      <c r="T761" s="2">
        <f ca="1">INDEX(INDIRECT(_xlfn.CONCAT("weather.tbl[",T$1,"]")),MATCH(vp.data[[#This Row],[SDate]],weather.tbl[Date],0))</f>
        <v>-18.2</v>
      </c>
      <c r="U761" s="2">
        <f ca="1">INDEX(INDIRECT(_xlfn.CONCAT("weather.tbl[",U$1,"]")),MATCH(vp.data[[#This Row],[SDate]],weather.tbl[Date],0))</f>
        <v>-14.3</v>
      </c>
      <c r="V761" s="2">
        <f t="array" ref="V7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761" t="s">
        <v>48</v>
      </c>
      <c r="X761">
        <f>IF(OR(vp.data[[#This Row],[Sulf]]="",vp.data[[#This Row],[Dens]]=""),1,0)</f>
        <v>0</v>
      </c>
      <c r="Y761">
        <f>IF(vp.data[[#This Row],[CrudeType]]="C5+",1,0)</f>
        <v>0</v>
      </c>
      <c r="Z761">
        <f>IF(AND(vp.data[[#This Row],[CrudeType]]="Crude",vp.data[[#This Row],[Dens]]&lt;=825,vp.data[[#This Row],[Sulf]]&gt;0.5,vp.data[[#This Row],[Unknown]]=0),1,0)</f>
        <v>0</v>
      </c>
      <c r="AA761">
        <f>IF(AND(vp.data[[#This Row],[CrudeType]]="Crude",vp.data[[#This Row],[Dens]]&lt;=825,vp.data[[#This Row],[Sulf]]&lt;=0.5,vp.data[[#This Row],[Unknown]]=0),1,0)</f>
        <v>0</v>
      </c>
      <c r="AB7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61">
        <f>IF(AND(vp.data[[#This Row],[CrudeType]]="Crude",vp.data[[#This Row],[Dens]]&gt;825,vp.data[[#This Row],[Dens]]&lt;=900,vp.data[[#This Row],[Sulf]]&lt;=0.5,vp.data[[#This Row],[Unknown]]=0),1,0)</f>
        <v>0</v>
      </c>
      <c r="AD761">
        <f>IF(AND(vp.data[[#This Row],[CrudeType]]="Crude",vp.data[[#This Row],[Dens]]&gt;865,vp.data[[#This Row],[Dens]]&lt;=900,vp.data[[#This Row],[Sulf]]&gt;2,vp.data[[#This Row],[Unknown]]=0),1,0)</f>
        <v>0</v>
      </c>
      <c r="AE761">
        <f>IF(AND(vp.data[[#This Row],[CrudeType]]="Crude",vp.data[[#This Row],[Dens]]&gt;900,vp.data[[#This Row],[Sulf]]&lt;=0.5,vp.data[[#This Row],[Unknown]]=0),1,0)</f>
        <v>0</v>
      </c>
      <c r="AF761">
        <f>IF(AND(vp.data[[#This Row],[CrudeType]]="Crude",vp.data[[#This Row],[Dens]]&gt;900,vp.data[[#This Row],[Sulf]]&lt;=0.5,vp.data[[#This Row],[Unknown]]=0),1,0)</f>
        <v>0</v>
      </c>
      <c r="AG761" t="str">
        <f>INDEX(vp.data[[#Headers],[Unknown]:[Heavy_SW]],MATCH(1,vp.data[[#This Row],[Unknown]:[Heavy_SW]],0))</f>
        <v>Medium_LSB</v>
      </c>
      <c r="AH761">
        <f>INDEX([3]!crudeBD.lkup[Number],MATCH(vp.data[[#This Row],[Crude_Breakdown]],crudeBD.lkup[Crude Breakdown],0))</f>
        <v>3</v>
      </c>
      <c r="AI761">
        <f>MONTH(vp.data[[#This Row],[SDate]])</f>
        <v>2</v>
      </c>
      <c r="AJ761" s="5">
        <f>(vp.data[[#This Row],[VP]]-INDEX(crudeBD.lkup[Mean_VP],MATCH(vp.data[[#This Row],[Crude_Breakdown]],crudeBD.lkup[Crude Breakdown],0)))^2</f>
        <v>294.47670091324767</v>
      </c>
      <c r="AK761" s="5">
        <f>(vp.data[[#This Row],[Dens]]-INDEX(crudeBD.lkup[Mean_Dens],MATCH(vp.data[[#This Row],[Crude_Breakdown]],crudeBD.lkup[Crude Breakdown],0)))^2</f>
        <v>5.6644000000021428</v>
      </c>
      <c r="AL761" s="5">
        <f>(vp.data[[#This Row],[Sulf]]-INDEX(crudeBD.lkup[Mean_Sulf],MATCH(vp.data[[#This Row],[Crude_Breakdown]],crudeBD.lkup[Crude Breakdown],0)))^2</f>
        <v>9.2776209289761713E-2</v>
      </c>
      <c r="AM761" s="4">
        <f>IF(AND(vp.data[[#This Row],[SDate]]&gt;=DATE(YEAR(vp.data[[#This Row],[SDate]]),5,1),vp.data[[#This Row],[SDate]]&lt;=DATE(YEAR(vp.data[[#This Row],[SDate]]),9,15)),1,0)</f>
        <v>0</v>
      </c>
      <c r="AN761" s="4">
        <f>IF(vp.data[[#This Row],[SDate]]&lt;DATE(2016,12,1),0,1)</f>
        <v>1</v>
      </c>
      <c r="AO761" s="4">
        <f>IFERROR(vp.data[[#This Row],[Sulf]]*vp.data[[#This Row],[Net Dens]],"")</f>
        <v>3934937.0235629994</v>
      </c>
      <c r="AP761">
        <f>IFERROR(vp.data[[#This Row],[Dens]]*vp.data[[#This Row],[VolumeM3]],"")</f>
        <v>2328365.1026999997</v>
      </c>
      <c r="AQ761" s="15">
        <f>IFERROR(vp.data[[#This Row],[VP]]*vp.data[[#This Row],[VolumeM3]],"")</f>
        <v>269070.19619999995</v>
      </c>
    </row>
    <row r="762" spans="1:43" x14ac:dyDescent="0.25">
      <c r="A762">
        <v>761</v>
      </c>
      <c r="B762" t="s">
        <v>62</v>
      </c>
      <c r="C762" t="s">
        <v>62</v>
      </c>
      <c r="D762" t="s">
        <v>63</v>
      </c>
      <c r="F762" s="1">
        <v>42775</v>
      </c>
      <c r="G762" s="2">
        <v>101.3</v>
      </c>
      <c r="H762" s="2"/>
      <c r="I762" s="2">
        <f t="array" ref="I762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62" s="2">
        <v>-1</v>
      </c>
      <c r="K762" s="2">
        <v>-26</v>
      </c>
      <c r="L762" s="2">
        <v>847.6</v>
      </c>
      <c r="M762" s="2">
        <f t="array" ref="M762">_xlfn.IFNA(IF(vp.data[[#This Row],[Dens Input]]="",INDEX([1]DATA!$O$3:$O$9826,MATCH(1,(vp.data[[#This Row],[Battery]]=[1]DATA!$L$3:$L$9826)*(EOMONTH(vp.data[[#This Row],[SDate]],-1)+1=[1]DATA!$G$3:$G$9826),0)),vp.data[[#This Row],[Dens Input]]),"")</f>
        <v>847.6</v>
      </c>
      <c r="N762" s="2">
        <f ca="1">INDEX(INDIRECT(_xlfn.CONCAT("weather.tbl[",N$1,"]")),MATCH(vp.data[[#This Row],[SDate]],weather.tbl[Date],0))</f>
        <v>-16.533333333333331</v>
      </c>
      <c r="O762" s="2">
        <f ca="1">INDEX(INDIRECT(_xlfn.CONCAT("weather.tbl[",O$1,"]")),MATCH(vp.data[[#This Row],[SDate]],weather.tbl[Date],0))</f>
        <v>-19.123809523809523</v>
      </c>
      <c r="P762" s="2">
        <f ca="1">INDEX(INDIRECT(_xlfn.CONCAT("weather.tbl[",P$1,"]")),MATCH(vp.data[[#This Row],[SDate]],weather.tbl[Date],0))</f>
        <v>-17.899999999999999</v>
      </c>
      <c r="Q762" s="2">
        <f ca="1">INDEX(INDIRECT(_xlfn.CONCAT("weather.tbl[",Q$1,"]")),MATCH(vp.data[[#This Row],[SDate]],weather.tbl[Date],0))</f>
        <v>-18.2</v>
      </c>
      <c r="R762" s="2">
        <f ca="1">INDEX(INDIRECT(_xlfn.CONCAT("weather.tbl[",R$1,"]")),MATCH(vp.data[[#This Row],[SDate]],weather.tbl[Date],0))</f>
        <v>-14</v>
      </c>
      <c r="S762" s="2">
        <f ca="1">INDEX(INDIRECT(_xlfn.CONCAT("weather.tbl[",S$1,"]")),MATCH(vp.data[[#This Row],[SDate]],weather.tbl[Date],0))</f>
        <v>-16.600000000000001</v>
      </c>
      <c r="T762" s="2">
        <f ca="1">INDEX(INDIRECT(_xlfn.CONCAT("weather.tbl[",T$1,"]")),MATCH(vp.data[[#This Row],[SDate]],weather.tbl[Date],0))</f>
        <v>-18.2</v>
      </c>
      <c r="U762" s="2">
        <f ca="1">INDEX(INDIRECT(_xlfn.CONCAT("weather.tbl[",U$1,"]")),MATCH(vp.data[[#This Row],[SDate]],weather.tbl[Date],0))</f>
        <v>-14.3</v>
      </c>
      <c r="V762" s="2">
        <f t="array" ref="V7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62" t="s">
        <v>48</v>
      </c>
      <c r="X762">
        <f>IF(OR(vp.data[[#This Row],[Sulf]]="",vp.data[[#This Row],[Dens]]=""),1,0)</f>
        <v>0</v>
      </c>
      <c r="Y762">
        <f>IF(vp.data[[#This Row],[CrudeType]]="C5+",1,0)</f>
        <v>0</v>
      </c>
      <c r="Z762">
        <f>IF(AND(vp.data[[#This Row],[CrudeType]]="Crude",vp.data[[#This Row],[Dens]]&lt;=825,vp.data[[#This Row],[Sulf]]&gt;0.5,vp.data[[#This Row],[Unknown]]=0),1,0)</f>
        <v>0</v>
      </c>
      <c r="AA762">
        <f>IF(AND(vp.data[[#This Row],[CrudeType]]="Crude",vp.data[[#This Row],[Dens]]&lt;=825,vp.data[[#This Row],[Sulf]]&lt;=0.5,vp.data[[#This Row],[Unknown]]=0),1,0)</f>
        <v>0</v>
      </c>
      <c r="AB7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62">
        <f>IF(AND(vp.data[[#This Row],[CrudeType]]="Crude",vp.data[[#This Row],[Dens]]&gt;825,vp.data[[#This Row],[Dens]]&lt;=900,vp.data[[#This Row],[Sulf]]&lt;=0.5,vp.data[[#This Row],[Unknown]]=0),1,0)</f>
        <v>0</v>
      </c>
      <c r="AD762">
        <f>IF(AND(vp.data[[#This Row],[CrudeType]]="Crude",vp.data[[#This Row],[Dens]]&gt;865,vp.data[[#This Row],[Dens]]&lt;=900,vp.data[[#This Row],[Sulf]]&gt;2,vp.data[[#This Row],[Unknown]]=0),1,0)</f>
        <v>0</v>
      </c>
      <c r="AE762">
        <f>IF(AND(vp.data[[#This Row],[CrudeType]]="Crude",vp.data[[#This Row],[Dens]]&gt;900,vp.data[[#This Row],[Sulf]]&lt;=0.5,vp.data[[#This Row],[Unknown]]=0),1,0)</f>
        <v>0</v>
      </c>
      <c r="AF762">
        <f>IF(AND(vp.data[[#This Row],[CrudeType]]="Crude",vp.data[[#This Row],[Dens]]&gt;900,vp.data[[#This Row],[Sulf]]&lt;=0.5,vp.data[[#This Row],[Unknown]]=0),1,0)</f>
        <v>0</v>
      </c>
      <c r="AG762" t="str">
        <f>INDEX(vp.data[[#Headers],[Unknown]:[Heavy_SW]],MATCH(1,vp.data[[#This Row],[Unknown]:[Heavy_SW]],0))</f>
        <v>Medium_LSB</v>
      </c>
      <c r="AH762">
        <f>INDEX([3]!crudeBD.lkup[Number],MATCH(vp.data[[#This Row],[Crude_Breakdown]],crudeBD.lkup[Crude Breakdown],0))</f>
        <v>3</v>
      </c>
      <c r="AI762">
        <f>MONTH(vp.data[[#This Row],[SDate]])</f>
        <v>2</v>
      </c>
      <c r="AJ762" s="5">
        <f>(vp.data[[#This Row],[VP]]-INDEX(crudeBD.lkup[Mean_VP],MATCH(vp.data[[#This Row],[Crude_Breakdown]],crudeBD.lkup[Crude Breakdown],0)))^2</f>
        <v>426.84896506419159</v>
      </c>
      <c r="AK762" s="5">
        <f>(vp.data[[#This Row],[Dens]]-INDEX(crudeBD.lkup[Mean_Dens],MATCH(vp.data[[#This Row],[Crude_Breakdown]],crudeBD.lkup[Crude Breakdown],0)))^2</f>
        <v>13.542400000003816</v>
      </c>
      <c r="AL762" s="5">
        <f>(vp.data[[#This Row],[Sulf]]-INDEX(crudeBD.lkup[Mean_Sulf],MATCH(vp.data[[#This Row],[Crude_Breakdown]],crudeBD.lkup[Crude Breakdown],0)))^2</f>
        <v>2.0906809828845806E-2</v>
      </c>
      <c r="AM762" s="4">
        <f>IF(AND(vp.data[[#This Row],[SDate]]&gt;=DATE(YEAR(vp.data[[#This Row],[SDate]]),5,1),vp.data[[#This Row],[SDate]]&lt;=DATE(YEAR(vp.data[[#This Row],[SDate]]),9,15)),1,0)</f>
        <v>0</v>
      </c>
      <c r="AN762" s="4">
        <f>IF(vp.data[[#This Row],[SDate]]&lt;DATE(2016,12,1),0,1)</f>
        <v>1</v>
      </c>
      <c r="AO762" s="4">
        <f>IFERROR(vp.data[[#This Row],[Sulf]]*vp.data[[#This Row],[Net Dens]],"")</f>
        <v>6456568.1398919988</v>
      </c>
      <c r="AP762">
        <f>IFERROR(vp.data[[#This Row],[Dens]]*vp.data[[#This Row],[VolumeM3]],"")</f>
        <v>4219979.1763999993</v>
      </c>
      <c r="AQ762" s="15">
        <f>IFERROR(vp.data[[#This Row],[VP]]*vp.data[[#This Row],[VolumeM3]],"")</f>
        <v>504346.26069999993</v>
      </c>
    </row>
    <row r="763" spans="1:43" x14ac:dyDescent="0.25">
      <c r="A763">
        <v>762</v>
      </c>
      <c r="B763" t="s">
        <v>49</v>
      </c>
      <c r="C763" t="s">
        <v>49</v>
      </c>
      <c r="D763" t="s">
        <v>75</v>
      </c>
      <c r="F763" s="1">
        <v>42776</v>
      </c>
      <c r="G763" s="2">
        <v>99.6</v>
      </c>
      <c r="H763" s="2">
        <v>0.17</v>
      </c>
      <c r="I763" s="2">
        <f t="array" ref="I763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763" s="2">
        <v>25.5</v>
      </c>
      <c r="K763" s="2">
        <v>-6</v>
      </c>
      <c r="L763" s="2">
        <v>818.2</v>
      </c>
      <c r="M763" s="2">
        <f t="array" ref="M763">_xlfn.IFNA(IF(vp.data[[#This Row],[Dens Input]]="",INDEX([1]DATA!$O$3:$O$9826,MATCH(1,(vp.data[[#This Row],[Battery]]=[1]DATA!$L$3:$L$9826)*(EOMONTH(vp.data[[#This Row],[SDate]],-1)+1=[1]DATA!$G$3:$G$9826),0)),vp.data[[#This Row],[Dens Input]]),"")</f>
        <v>818.2</v>
      </c>
      <c r="N763" s="2">
        <f ca="1">INDEX(INDIRECT(_xlfn.CONCAT("weather.tbl[",N$1,"]")),MATCH(vp.data[[#This Row],[SDate]],weather.tbl[Date],0))</f>
        <v>-4.3500000000000005</v>
      </c>
      <c r="O763" s="2">
        <f ca="1">INDEX(INDIRECT(_xlfn.CONCAT("weather.tbl[",O$1,"]")),MATCH(vp.data[[#This Row],[SDate]],weather.tbl[Date],0))</f>
        <v>-17.464285714285715</v>
      </c>
      <c r="P763" s="2">
        <f ca="1">INDEX(INDIRECT(_xlfn.CONCAT("weather.tbl[",P$1,"]")),MATCH(vp.data[[#This Row],[SDate]],weather.tbl[Date],0))</f>
        <v>-1.4</v>
      </c>
      <c r="Q763" s="2">
        <f ca="1">INDEX(INDIRECT(_xlfn.CONCAT("weather.tbl[",Q$1,"]")),MATCH(vp.data[[#This Row],[SDate]],weather.tbl[Date],0))</f>
        <v>-1.5</v>
      </c>
      <c r="R763" s="2">
        <f ca="1">INDEX(INDIRECT(_xlfn.CONCAT("weather.tbl[",R$1,"]")),MATCH(vp.data[[#This Row],[SDate]],weather.tbl[Date],0))</f>
        <v>-6.5</v>
      </c>
      <c r="S763" s="2">
        <f ca="1">INDEX(INDIRECT(_xlfn.CONCAT("weather.tbl[",S$1,"]")),MATCH(vp.data[[#This Row],[SDate]],weather.tbl[Date],0))</f>
        <v>-2.1</v>
      </c>
      <c r="T763" s="2">
        <f ca="1">INDEX(INDIRECT(_xlfn.CONCAT("weather.tbl[",T$1,"]")),MATCH(vp.data[[#This Row],[SDate]],weather.tbl[Date],0))</f>
        <v>-5.6</v>
      </c>
      <c r="U763" s="2">
        <f ca="1">INDEX(INDIRECT(_xlfn.CONCAT("weather.tbl[",U$1,"]")),MATCH(vp.data[[#This Row],[SDate]],weather.tbl[Date],0))</f>
        <v>-9</v>
      </c>
      <c r="V763" s="2">
        <f t="array" ref="V7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8347.0130000000008</v>
      </c>
      <c r="W763" t="s">
        <v>48</v>
      </c>
      <c r="X763">
        <f>IF(OR(vp.data[[#This Row],[Sulf]]="",vp.data[[#This Row],[Dens]]=""),1,0)</f>
        <v>0</v>
      </c>
      <c r="Y763">
        <f>IF(vp.data[[#This Row],[CrudeType]]="C5+",1,0)</f>
        <v>0</v>
      </c>
      <c r="Z763">
        <f>IF(AND(vp.data[[#This Row],[CrudeType]]="Crude",vp.data[[#This Row],[Dens]]&lt;=825,vp.data[[#This Row],[Sulf]]&gt;0.5,vp.data[[#This Row],[Unknown]]=0),1,0)</f>
        <v>0</v>
      </c>
      <c r="AA763">
        <f>IF(AND(vp.data[[#This Row],[CrudeType]]="Crude",vp.data[[#This Row],[Dens]]&lt;=825,vp.data[[#This Row],[Sulf]]&lt;=0.5,vp.data[[#This Row],[Unknown]]=0),1,0)</f>
        <v>1</v>
      </c>
      <c r="AB7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3">
        <f>IF(AND(vp.data[[#This Row],[CrudeType]]="Crude",vp.data[[#This Row],[Dens]]&gt;825,vp.data[[#This Row],[Dens]]&lt;=900,vp.data[[#This Row],[Sulf]]&lt;=0.5,vp.data[[#This Row],[Unknown]]=0),1,0)</f>
        <v>0</v>
      </c>
      <c r="AD763">
        <f>IF(AND(vp.data[[#This Row],[CrudeType]]="Crude",vp.data[[#This Row],[Dens]]&gt;865,vp.data[[#This Row],[Dens]]&lt;=900,vp.data[[#This Row],[Sulf]]&gt;2,vp.data[[#This Row],[Unknown]]=0),1,0)</f>
        <v>0</v>
      </c>
      <c r="AE763">
        <f>IF(AND(vp.data[[#This Row],[CrudeType]]="Crude",vp.data[[#This Row],[Dens]]&gt;900,vp.data[[#This Row],[Sulf]]&lt;=0.5,vp.data[[#This Row],[Unknown]]=0),1,0)</f>
        <v>0</v>
      </c>
      <c r="AF763">
        <f>IF(AND(vp.data[[#This Row],[CrudeType]]="Crude",vp.data[[#This Row],[Dens]]&gt;900,vp.data[[#This Row],[Sulf]]&lt;=0.5,vp.data[[#This Row],[Unknown]]=0),1,0)</f>
        <v>0</v>
      </c>
      <c r="AG763" t="str">
        <f>INDEX(vp.data[[#Headers],[Unknown]:[Heavy_SW]],MATCH(1,vp.data[[#This Row],[Unknown]:[Heavy_SW]],0))</f>
        <v>Light_SW</v>
      </c>
      <c r="AH763">
        <f>INDEX([3]!crudeBD.lkup[Number],MATCH(vp.data[[#This Row],[Crude_Breakdown]],crudeBD.lkup[Crude Breakdown],0))</f>
        <v>2</v>
      </c>
      <c r="AI763">
        <f>MONTH(vp.data[[#This Row],[SDate]])</f>
        <v>2</v>
      </c>
      <c r="AJ763" s="5">
        <f>(vp.data[[#This Row],[VP]]-INDEX(crudeBD.lkup[Mean_VP],MATCH(vp.data[[#This Row],[Crude_Breakdown]],crudeBD.lkup[Crude Breakdown],0)))^2</f>
        <v>49.698078495550845</v>
      </c>
      <c r="AK763" s="5">
        <f>(vp.data[[#This Row],[Dens]]-INDEX(crudeBD.lkup[Mean_Dens],MATCH(vp.data[[#This Row],[Crude_Breakdown]],crudeBD.lkup[Crude Breakdown],0)))^2</f>
        <v>97.782466704712078</v>
      </c>
      <c r="AL763" s="5">
        <f>(vp.data[[#This Row],[Sulf]]-INDEX(crudeBD.lkup[Mean_Sulf],MATCH(vp.data[[#This Row],[Crude_Breakdown]],crudeBD.lkup[Crude Breakdown],0)))^2</f>
        <v>4.3879776367322437E-3</v>
      </c>
      <c r="AM763" s="4">
        <f>IF(AND(vp.data[[#This Row],[SDate]]&gt;=DATE(YEAR(vp.data[[#This Row],[SDate]]),5,1),vp.data[[#This Row],[SDate]]&lt;=DATE(YEAR(vp.data[[#This Row],[SDate]]),9,15)),1,0)</f>
        <v>0</v>
      </c>
      <c r="AN763" s="4">
        <f>IF(vp.data[[#This Row],[SDate]]&lt;DATE(2016,12,1),0,1)</f>
        <v>1</v>
      </c>
      <c r="AO763" s="4">
        <f>IFERROR(vp.data[[#This Row],[Sulf]]*vp.data[[#This Row],[Net Dens]],"")</f>
        <v>1161019.4262220003</v>
      </c>
      <c r="AP763">
        <f>IFERROR(vp.data[[#This Row],[Dens]]*vp.data[[#This Row],[VolumeM3]],"")</f>
        <v>6829526.0366000012</v>
      </c>
      <c r="AQ763" s="15">
        <f>IFERROR(vp.data[[#This Row],[VP]]*vp.data[[#This Row],[VolumeM3]],"")</f>
        <v>831362.49479999999</v>
      </c>
    </row>
    <row r="764" spans="1:43" x14ac:dyDescent="0.25">
      <c r="A764">
        <v>763</v>
      </c>
      <c r="B764" t="s">
        <v>49</v>
      </c>
      <c r="C764" t="s">
        <v>49</v>
      </c>
      <c r="D764" t="s">
        <v>67</v>
      </c>
      <c r="F764" s="1">
        <v>42776</v>
      </c>
      <c r="G764" s="2">
        <v>106.7</v>
      </c>
      <c r="H764" s="2">
        <v>0.56799999999999995</v>
      </c>
      <c r="I764" s="2">
        <f t="array" ref="I764">_xlfn.IFNA(IF(vp.data[[#This Row],[Sulf Input]]="",INDEX([1]DATA!$Q$3:$Q$9826,MATCH(1,(vp.data[[#This Row],[Battery]]=[1]DATA!$L$3:$L$9826)*(EOMONTH(vp.data[[#This Row],[SDate]],-1)+1=[1]DATA!$G$3:$G$9826),0)),vp.data[[#This Row],[Sulf Input]]),"")</f>
        <v>0.56799999999999995</v>
      </c>
      <c r="J764" s="2">
        <v>1.9</v>
      </c>
      <c r="K764" s="2">
        <v>-25</v>
      </c>
      <c r="L764" s="2">
        <v>818.2</v>
      </c>
      <c r="M764" s="2">
        <f t="array" ref="M764">_xlfn.IFNA(IF(vp.data[[#This Row],[Dens Input]]="",INDEX([1]DATA!$O$3:$O$9826,MATCH(1,(vp.data[[#This Row],[Battery]]=[1]DATA!$L$3:$L$9826)*(EOMONTH(vp.data[[#This Row],[SDate]],-1)+1=[1]DATA!$G$3:$G$9826),0)),vp.data[[#This Row],[Dens Input]]),"")</f>
        <v>818.2</v>
      </c>
      <c r="N764" s="2">
        <f ca="1">INDEX(INDIRECT(_xlfn.CONCAT("weather.tbl[",N$1,"]")),MATCH(vp.data[[#This Row],[SDate]],weather.tbl[Date],0))</f>
        <v>-4.3500000000000005</v>
      </c>
      <c r="O764" s="2">
        <f ca="1">INDEX(INDIRECT(_xlfn.CONCAT("weather.tbl[",O$1,"]")),MATCH(vp.data[[#This Row],[SDate]],weather.tbl[Date],0))</f>
        <v>-17.464285714285715</v>
      </c>
      <c r="P764" s="2">
        <f ca="1">INDEX(INDIRECT(_xlfn.CONCAT("weather.tbl[",P$1,"]")),MATCH(vp.data[[#This Row],[SDate]],weather.tbl[Date],0))</f>
        <v>-1.4</v>
      </c>
      <c r="Q764" s="2">
        <f ca="1">INDEX(INDIRECT(_xlfn.CONCAT("weather.tbl[",Q$1,"]")),MATCH(vp.data[[#This Row],[SDate]],weather.tbl[Date],0))</f>
        <v>-1.5</v>
      </c>
      <c r="R764" s="2">
        <f ca="1">INDEX(INDIRECT(_xlfn.CONCAT("weather.tbl[",R$1,"]")),MATCH(vp.data[[#This Row],[SDate]],weather.tbl[Date],0))</f>
        <v>-6.5</v>
      </c>
      <c r="S764" s="2">
        <f ca="1">INDEX(INDIRECT(_xlfn.CONCAT("weather.tbl[",S$1,"]")),MATCH(vp.data[[#This Row],[SDate]],weather.tbl[Date],0))</f>
        <v>-2.1</v>
      </c>
      <c r="T764" s="2">
        <f ca="1">INDEX(INDIRECT(_xlfn.CONCAT("weather.tbl[",T$1,"]")),MATCH(vp.data[[#This Row],[SDate]],weather.tbl[Date],0))</f>
        <v>-5.6</v>
      </c>
      <c r="U764" s="2">
        <f ca="1">INDEX(INDIRECT(_xlfn.CONCAT("weather.tbl[",U$1,"]")),MATCH(vp.data[[#This Row],[SDate]],weather.tbl[Date],0))</f>
        <v>-9</v>
      </c>
      <c r="V764" s="2">
        <f t="array" ref="V7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764" t="s">
        <v>48</v>
      </c>
      <c r="X764">
        <f>IF(OR(vp.data[[#This Row],[Sulf]]="",vp.data[[#This Row],[Dens]]=""),1,0)</f>
        <v>0</v>
      </c>
      <c r="Y764">
        <f>IF(vp.data[[#This Row],[CrudeType]]="C5+",1,0)</f>
        <v>0</v>
      </c>
      <c r="Z764">
        <f>IF(AND(vp.data[[#This Row],[CrudeType]]="Crude",vp.data[[#This Row],[Dens]]&lt;=825,vp.data[[#This Row],[Sulf]]&gt;0.5,vp.data[[#This Row],[Unknown]]=0),1,0)</f>
        <v>1</v>
      </c>
      <c r="AA764">
        <f>IF(AND(vp.data[[#This Row],[CrudeType]]="Crude",vp.data[[#This Row],[Dens]]&lt;=825,vp.data[[#This Row],[Sulf]]&lt;=0.5,vp.data[[#This Row],[Unknown]]=0),1,0)</f>
        <v>0</v>
      </c>
      <c r="AB7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4">
        <f>IF(AND(vp.data[[#This Row],[CrudeType]]="Crude",vp.data[[#This Row],[Dens]]&gt;825,vp.data[[#This Row],[Dens]]&lt;=900,vp.data[[#This Row],[Sulf]]&lt;=0.5,vp.data[[#This Row],[Unknown]]=0),1,0)</f>
        <v>0</v>
      </c>
      <c r="AD764">
        <f>IF(AND(vp.data[[#This Row],[CrudeType]]="Crude",vp.data[[#This Row],[Dens]]&gt;865,vp.data[[#This Row],[Dens]]&lt;=900,vp.data[[#This Row],[Sulf]]&gt;2,vp.data[[#This Row],[Unknown]]=0),1,0)</f>
        <v>0</v>
      </c>
      <c r="AE764">
        <f>IF(AND(vp.data[[#This Row],[CrudeType]]="Crude",vp.data[[#This Row],[Dens]]&gt;900,vp.data[[#This Row],[Sulf]]&lt;=0.5,vp.data[[#This Row],[Unknown]]=0),1,0)</f>
        <v>0</v>
      </c>
      <c r="AF764">
        <f>IF(AND(vp.data[[#This Row],[CrudeType]]="Crude",vp.data[[#This Row],[Dens]]&gt;900,vp.data[[#This Row],[Sulf]]&lt;=0.5,vp.data[[#This Row],[Unknown]]=0),1,0)</f>
        <v>0</v>
      </c>
      <c r="AG764" t="str">
        <f>INDEX(vp.data[[#Headers],[Unknown]:[Heavy_SW]],MATCH(1,vp.data[[#This Row],[Unknown]:[Heavy_SW]],0))</f>
        <v>Light_LSB</v>
      </c>
      <c r="AH764">
        <f>INDEX([3]!crudeBD.lkup[Number],MATCH(vp.data[[#This Row],[Crude_Breakdown]],crudeBD.lkup[Crude Breakdown],0))</f>
        <v>1</v>
      </c>
      <c r="AI764">
        <f>MONTH(vp.data[[#This Row],[SDate]])</f>
        <v>2</v>
      </c>
      <c r="AJ764" s="5">
        <f>(vp.data[[#This Row],[VP]]-INDEX(crudeBD.lkup[Mean_VP],MATCH(vp.data[[#This Row],[Crude_Breakdown]],crudeBD.lkup[Crude Breakdown],0)))^2</f>
        <v>229.63809186948581</v>
      </c>
      <c r="AK764" s="5">
        <f>(vp.data[[#This Row],[Dens]]-INDEX(crudeBD.lkup[Mean_Dens],MATCH(vp.data[[#This Row],[Crude_Breakdown]],crudeBD.lkup[Crude Breakdown],0)))^2</f>
        <v>0.1003430805018919</v>
      </c>
      <c r="AL764" s="5">
        <f>(vp.data[[#This Row],[Sulf]]-INDEX(crudeBD.lkup[Mean_Sulf],MATCH(vp.data[[#This Row],[Crude_Breakdown]],crudeBD.lkup[Crude Breakdown],0)))^2</f>
        <v>0.1260045303845265</v>
      </c>
      <c r="AM764" s="4">
        <f>IF(AND(vp.data[[#This Row],[SDate]]&gt;=DATE(YEAR(vp.data[[#This Row],[SDate]]),5,1),vp.data[[#This Row],[SDate]]&lt;=DATE(YEAR(vp.data[[#This Row],[SDate]]),9,15)),1,0)</f>
        <v>0</v>
      </c>
      <c r="AN764" s="4">
        <f>IF(vp.data[[#This Row],[SDate]]&lt;DATE(2016,12,1),0,1)</f>
        <v>1</v>
      </c>
      <c r="AO764" s="4">
        <f>IFERROR(vp.data[[#This Row],[Sulf]]*vp.data[[#This Row],[Net Dens]],"")</f>
        <v>57826757.683958404</v>
      </c>
      <c r="AP764">
        <f>IFERROR(vp.data[[#This Row],[Dens]]*vp.data[[#This Row],[VolumeM3]],"")</f>
        <v>101807671.97880001</v>
      </c>
      <c r="AQ764" s="15">
        <f>IFERROR(vp.data[[#This Row],[VP]]*vp.data[[#This Row],[VolumeM3]],"")</f>
        <v>13276556.5878</v>
      </c>
    </row>
    <row r="765" spans="1:43" x14ac:dyDescent="0.25">
      <c r="A765">
        <v>764</v>
      </c>
      <c r="B765" t="s">
        <v>49</v>
      </c>
      <c r="C765" t="s">
        <v>49</v>
      </c>
      <c r="D765" t="s">
        <v>99</v>
      </c>
      <c r="F765" s="1">
        <v>42776</v>
      </c>
      <c r="G765" s="2">
        <v>92</v>
      </c>
      <c r="H765" s="2">
        <v>0.56999999999999995</v>
      </c>
      <c r="I765" s="2">
        <f t="array" ref="I765">_xlfn.IFNA(IF(vp.data[[#This Row],[Sulf Input]]="",INDEX([1]DATA!$Q$3:$Q$9826,MATCH(1,(vp.data[[#This Row],[Battery]]=[1]DATA!$L$3:$L$9826)*(EOMONTH(vp.data[[#This Row],[SDate]],-1)+1=[1]DATA!$G$3:$G$9826),0)),vp.data[[#This Row],[Sulf Input]]),"")</f>
        <v>0.56999999999999995</v>
      </c>
      <c r="J765" s="2">
        <v>9.6</v>
      </c>
      <c r="K765" s="2">
        <v>-6</v>
      </c>
      <c r="L765" s="2">
        <v>822.7</v>
      </c>
      <c r="M765" s="2">
        <f t="array" ref="M765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765" s="2">
        <f ca="1">INDEX(INDIRECT(_xlfn.CONCAT("weather.tbl[",N$1,"]")),MATCH(vp.data[[#This Row],[SDate]],weather.tbl[Date],0))</f>
        <v>-4.3500000000000005</v>
      </c>
      <c r="O765" s="2">
        <f ca="1">INDEX(INDIRECT(_xlfn.CONCAT("weather.tbl[",O$1,"]")),MATCH(vp.data[[#This Row],[SDate]],weather.tbl[Date],0))</f>
        <v>-17.464285714285715</v>
      </c>
      <c r="P765" s="2">
        <f ca="1">INDEX(INDIRECT(_xlfn.CONCAT("weather.tbl[",P$1,"]")),MATCH(vp.data[[#This Row],[SDate]],weather.tbl[Date],0))</f>
        <v>-1.4</v>
      </c>
      <c r="Q765" s="2">
        <f ca="1">INDEX(INDIRECT(_xlfn.CONCAT("weather.tbl[",Q$1,"]")),MATCH(vp.data[[#This Row],[SDate]],weather.tbl[Date],0))</f>
        <v>-1.5</v>
      </c>
      <c r="R765" s="2">
        <f ca="1">INDEX(INDIRECT(_xlfn.CONCAT("weather.tbl[",R$1,"]")),MATCH(vp.data[[#This Row],[SDate]],weather.tbl[Date],0))</f>
        <v>-6.5</v>
      </c>
      <c r="S765" s="2">
        <f ca="1">INDEX(INDIRECT(_xlfn.CONCAT("weather.tbl[",S$1,"]")),MATCH(vp.data[[#This Row],[SDate]],weather.tbl[Date],0))</f>
        <v>-2.1</v>
      </c>
      <c r="T765" s="2">
        <f ca="1">INDEX(INDIRECT(_xlfn.CONCAT("weather.tbl[",T$1,"]")),MATCH(vp.data[[#This Row],[SDate]],weather.tbl[Date],0))</f>
        <v>-5.6</v>
      </c>
      <c r="U765" s="2">
        <f ca="1">INDEX(INDIRECT(_xlfn.CONCAT("weather.tbl[",U$1,"]")),MATCH(vp.data[[#This Row],[SDate]],weather.tbl[Date],0))</f>
        <v>-9</v>
      </c>
      <c r="V765" s="2">
        <f t="array" ref="V7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3171.6849999999999</v>
      </c>
      <c r="W765" t="s">
        <v>48</v>
      </c>
      <c r="X765">
        <f>IF(OR(vp.data[[#This Row],[Sulf]]="",vp.data[[#This Row],[Dens]]=""),1,0)</f>
        <v>0</v>
      </c>
      <c r="Y765">
        <f>IF(vp.data[[#This Row],[CrudeType]]="C5+",1,0)</f>
        <v>0</v>
      </c>
      <c r="Z765">
        <f>IF(AND(vp.data[[#This Row],[CrudeType]]="Crude",vp.data[[#This Row],[Dens]]&lt;=825,vp.data[[#This Row],[Sulf]]&gt;0.5,vp.data[[#This Row],[Unknown]]=0),1,0)</f>
        <v>1</v>
      </c>
      <c r="AA765">
        <f>IF(AND(vp.data[[#This Row],[CrudeType]]="Crude",vp.data[[#This Row],[Dens]]&lt;=825,vp.data[[#This Row],[Sulf]]&lt;=0.5,vp.data[[#This Row],[Unknown]]=0),1,0)</f>
        <v>0</v>
      </c>
      <c r="AB7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5">
        <f>IF(AND(vp.data[[#This Row],[CrudeType]]="Crude",vp.data[[#This Row],[Dens]]&gt;825,vp.data[[#This Row],[Dens]]&lt;=900,vp.data[[#This Row],[Sulf]]&lt;=0.5,vp.data[[#This Row],[Unknown]]=0),1,0)</f>
        <v>0</v>
      </c>
      <c r="AD765">
        <f>IF(AND(vp.data[[#This Row],[CrudeType]]="Crude",vp.data[[#This Row],[Dens]]&gt;865,vp.data[[#This Row],[Dens]]&lt;=900,vp.data[[#This Row],[Sulf]]&gt;2,vp.data[[#This Row],[Unknown]]=0),1,0)</f>
        <v>0</v>
      </c>
      <c r="AE765">
        <f>IF(AND(vp.data[[#This Row],[CrudeType]]="Crude",vp.data[[#This Row],[Dens]]&gt;900,vp.data[[#This Row],[Sulf]]&lt;=0.5,vp.data[[#This Row],[Unknown]]=0),1,0)</f>
        <v>0</v>
      </c>
      <c r="AF765">
        <f>IF(AND(vp.data[[#This Row],[CrudeType]]="Crude",vp.data[[#This Row],[Dens]]&gt;900,vp.data[[#This Row],[Sulf]]&lt;=0.5,vp.data[[#This Row],[Unknown]]=0),1,0)</f>
        <v>0</v>
      </c>
      <c r="AG765" t="str">
        <f>INDEX(vp.data[[#Headers],[Unknown]:[Heavy_SW]],MATCH(1,vp.data[[#This Row],[Unknown]:[Heavy_SW]],0))</f>
        <v>Light_LSB</v>
      </c>
      <c r="AH765">
        <f>INDEX([3]!crudeBD.lkup[Number],MATCH(vp.data[[#This Row],[Crude_Breakdown]],crudeBD.lkup[Crude Breakdown],0))</f>
        <v>1</v>
      </c>
      <c r="AI765">
        <f>MONTH(vp.data[[#This Row],[SDate]])</f>
        <v>2</v>
      </c>
      <c r="AJ765" s="5">
        <f>(vp.data[[#This Row],[VP]]-INDEX(crudeBD.lkup[Mean_VP],MATCH(vp.data[[#This Row],[Crude_Breakdown]],crudeBD.lkup[Crude Breakdown],0)))^2</f>
        <v>0.20594753958972625</v>
      </c>
      <c r="AK765" s="5">
        <f>(vp.data[[#This Row],[Dens]]-INDEX(crudeBD.lkup[Mean_Dens],MATCH(vp.data[[#This Row],[Crude_Breakdown]],crudeBD.lkup[Crude Breakdown],0)))^2</f>
        <v>17.499415245453584</v>
      </c>
      <c r="AL765" s="5">
        <f>(vp.data[[#This Row],[Sulf]]-INDEX(crudeBD.lkup[Mean_Sulf],MATCH(vp.data[[#This Row],[Crude_Breakdown]],crudeBD.lkup[Crude Breakdown],0)))^2</f>
        <v>0.12458864571098698</v>
      </c>
      <c r="AM765" s="4">
        <f>IF(AND(vp.data[[#This Row],[SDate]]&gt;=DATE(YEAR(vp.data[[#This Row],[SDate]]),5,1),vp.data[[#This Row],[SDate]]&lt;=DATE(YEAR(vp.data[[#This Row],[SDate]]),9,15)),1,0)</f>
        <v>0</v>
      </c>
      <c r="AN765" s="4">
        <f>IF(vp.data[[#This Row],[SDate]]&lt;DATE(2016,12,1),0,1)</f>
        <v>1</v>
      </c>
      <c r="AO765" s="4">
        <f>IFERROR(vp.data[[#This Row],[Sulf]]*vp.data[[#This Row],[Net Dens]],"")</f>
        <v>1487326.7922149999</v>
      </c>
      <c r="AP765">
        <f>IFERROR(vp.data[[#This Row],[Dens]]*vp.data[[#This Row],[VolumeM3]],"")</f>
        <v>2609345.2494999999</v>
      </c>
      <c r="AQ765" s="15">
        <f>IFERROR(vp.data[[#This Row],[VP]]*vp.data[[#This Row],[VolumeM3]],"")</f>
        <v>291795.02</v>
      </c>
    </row>
    <row r="766" spans="1:43" x14ac:dyDescent="0.25">
      <c r="A766">
        <v>765</v>
      </c>
      <c r="B766" t="s">
        <v>49</v>
      </c>
      <c r="C766" t="s">
        <v>49</v>
      </c>
      <c r="D766" t="s">
        <v>89</v>
      </c>
      <c r="F766" s="1">
        <v>42776</v>
      </c>
      <c r="G766" s="2">
        <v>107.6</v>
      </c>
      <c r="H766" s="2">
        <v>0.65600000000000003</v>
      </c>
      <c r="I766" s="2">
        <f t="array" ref="I766">_xlfn.IFNA(IF(vp.data[[#This Row],[Sulf Input]]="",INDEX([1]DATA!$Q$3:$Q$9826,MATCH(1,(vp.data[[#This Row],[Battery]]=[1]DATA!$L$3:$L$9826)*(EOMONTH(vp.data[[#This Row],[SDate]],-1)+1=[1]DATA!$G$3:$G$9826),0)),vp.data[[#This Row],[Sulf Input]]),"")</f>
        <v>0.65600000000000003</v>
      </c>
      <c r="J766" s="2">
        <v>4.3</v>
      </c>
      <c r="K766" s="2">
        <v>-6</v>
      </c>
      <c r="L766" s="2">
        <v>815.4</v>
      </c>
      <c r="M766" s="2">
        <f t="array" ref="M766">_xlfn.IFNA(IF(vp.data[[#This Row],[Dens Input]]="",INDEX([1]DATA!$O$3:$O$9826,MATCH(1,(vp.data[[#This Row],[Battery]]=[1]DATA!$L$3:$L$9826)*(EOMONTH(vp.data[[#This Row],[SDate]],-1)+1=[1]DATA!$G$3:$G$9826),0)),vp.data[[#This Row],[Dens Input]]),"")</f>
        <v>815.4</v>
      </c>
      <c r="N766" s="2">
        <f ca="1">INDEX(INDIRECT(_xlfn.CONCAT("weather.tbl[",N$1,"]")),MATCH(vp.data[[#This Row],[SDate]],weather.tbl[Date],0))</f>
        <v>-4.3500000000000005</v>
      </c>
      <c r="O766" s="2">
        <f ca="1">INDEX(INDIRECT(_xlfn.CONCAT("weather.tbl[",O$1,"]")),MATCH(vp.data[[#This Row],[SDate]],weather.tbl[Date],0))</f>
        <v>-17.464285714285715</v>
      </c>
      <c r="P766" s="2">
        <f ca="1">INDEX(INDIRECT(_xlfn.CONCAT("weather.tbl[",P$1,"]")),MATCH(vp.data[[#This Row],[SDate]],weather.tbl[Date],0))</f>
        <v>-1.4</v>
      </c>
      <c r="Q766" s="2">
        <f ca="1">INDEX(INDIRECT(_xlfn.CONCAT("weather.tbl[",Q$1,"]")),MATCH(vp.data[[#This Row],[SDate]],weather.tbl[Date],0))</f>
        <v>-1.5</v>
      </c>
      <c r="R766" s="2">
        <f ca="1">INDEX(INDIRECT(_xlfn.CONCAT("weather.tbl[",R$1,"]")),MATCH(vp.data[[#This Row],[SDate]],weather.tbl[Date],0))</f>
        <v>-6.5</v>
      </c>
      <c r="S766" s="2">
        <f ca="1">INDEX(INDIRECT(_xlfn.CONCAT("weather.tbl[",S$1,"]")),MATCH(vp.data[[#This Row],[SDate]],weather.tbl[Date],0))</f>
        <v>-2.1</v>
      </c>
      <c r="T766" s="2">
        <f ca="1">INDEX(INDIRECT(_xlfn.CONCAT("weather.tbl[",T$1,"]")),MATCH(vp.data[[#This Row],[SDate]],weather.tbl[Date],0))</f>
        <v>-5.6</v>
      </c>
      <c r="U766" s="2">
        <f ca="1">INDEX(INDIRECT(_xlfn.CONCAT("weather.tbl[",U$1,"]")),MATCH(vp.data[[#This Row],[SDate]],weather.tbl[Date],0))</f>
        <v>-9</v>
      </c>
      <c r="V766" s="2">
        <f t="array" ref="V7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766" t="s">
        <v>48</v>
      </c>
      <c r="X766">
        <f>IF(OR(vp.data[[#This Row],[Sulf]]="",vp.data[[#This Row],[Dens]]=""),1,0)</f>
        <v>0</v>
      </c>
      <c r="Y766">
        <f>IF(vp.data[[#This Row],[CrudeType]]="C5+",1,0)</f>
        <v>0</v>
      </c>
      <c r="Z766">
        <f>IF(AND(vp.data[[#This Row],[CrudeType]]="Crude",vp.data[[#This Row],[Dens]]&lt;=825,vp.data[[#This Row],[Sulf]]&gt;0.5,vp.data[[#This Row],[Unknown]]=0),1,0)</f>
        <v>1</v>
      </c>
      <c r="AA766">
        <f>IF(AND(vp.data[[#This Row],[CrudeType]]="Crude",vp.data[[#This Row],[Dens]]&lt;=825,vp.data[[#This Row],[Sulf]]&lt;=0.5,vp.data[[#This Row],[Unknown]]=0),1,0)</f>
        <v>0</v>
      </c>
      <c r="AB7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6">
        <f>IF(AND(vp.data[[#This Row],[CrudeType]]="Crude",vp.data[[#This Row],[Dens]]&gt;825,vp.data[[#This Row],[Dens]]&lt;=900,vp.data[[#This Row],[Sulf]]&lt;=0.5,vp.data[[#This Row],[Unknown]]=0),1,0)</f>
        <v>0</v>
      </c>
      <c r="AD766">
        <f>IF(AND(vp.data[[#This Row],[CrudeType]]="Crude",vp.data[[#This Row],[Dens]]&gt;865,vp.data[[#This Row],[Dens]]&lt;=900,vp.data[[#This Row],[Sulf]]&gt;2,vp.data[[#This Row],[Unknown]]=0),1,0)</f>
        <v>0</v>
      </c>
      <c r="AE766">
        <f>IF(AND(vp.data[[#This Row],[CrudeType]]="Crude",vp.data[[#This Row],[Dens]]&gt;900,vp.data[[#This Row],[Sulf]]&lt;=0.5,vp.data[[#This Row],[Unknown]]=0),1,0)</f>
        <v>0</v>
      </c>
      <c r="AF766">
        <f>IF(AND(vp.data[[#This Row],[CrudeType]]="Crude",vp.data[[#This Row],[Dens]]&gt;900,vp.data[[#This Row],[Sulf]]&lt;=0.5,vp.data[[#This Row],[Unknown]]=0),1,0)</f>
        <v>0</v>
      </c>
      <c r="AG766" t="str">
        <f>INDEX(vp.data[[#Headers],[Unknown]:[Heavy_SW]],MATCH(1,vp.data[[#This Row],[Unknown]:[Heavy_SW]],0))</f>
        <v>Light_LSB</v>
      </c>
      <c r="AH766">
        <f>INDEX([3]!crudeBD.lkup[Number],MATCH(vp.data[[#This Row],[Crude_Breakdown]],crudeBD.lkup[Crude Breakdown],0))</f>
        <v>1</v>
      </c>
      <c r="AI766">
        <f>MONTH(vp.data[[#This Row],[SDate]])</f>
        <v>2</v>
      </c>
      <c r="AJ766" s="5">
        <f>(vp.data[[#This Row],[VP]]-INDEX(crudeBD.lkup[Mean_VP],MATCH(vp.data[[#This Row],[Crude_Breakdown]],crudeBD.lkup[Crude Breakdown],0)))^2</f>
        <v>257.72495784886695</v>
      </c>
      <c r="AK766" s="5">
        <f>(vp.data[[#This Row],[Dens]]-INDEX(crudeBD.lkup[Mean_Dens],MATCH(vp.data[[#This Row],[Crude_Breakdown]],crudeBD.lkup[Crude Breakdown],0)))^2</f>
        <v>9.7142537334212662</v>
      </c>
      <c r="AL766" s="5">
        <f>(vp.data[[#This Row],[Sulf]]-INDEX(crudeBD.lkup[Mean_Sulf],MATCH(vp.data[[#This Row],[Crude_Breakdown]],crudeBD.lkup[Crude Breakdown],0)))^2</f>
        <v>7.1273604748787647E-2</v>
      </c>
      <c r="AM766" s="4">
        <f>IF(AND(vp.data[[#This Row],[SDate]]&gt;=DATE(YEAR(vp.data[[#This Row],[SDate]]),5,1),vp.data[[#This Row],[SDate]]&lt;=DATE(YEAR(vp.data[[#This Row],[SDate]]),9,15)),1,0)</f>
        <v>0</v>
      </c>
      <c r="AN766" s="4">
        <f>IF(vp.data[[#This Row],[SDate]]&lt;DATE(2016,12,1),0,1)</f>
        <v>1</v>
      </c>
      <c r="AO766" s="4">
        <f>IFERROR(vp.data[[#This Row],[Sulf]]*vp.data[[#This Row],[Net Dens]],"")</f>
        <v>2708330.6693376</v>
      </c>
      <c r="AP766">
        <f>IFERROR(vp.data[[#This Row],[Dens]]*vp.data[[#This Row],[VolumeM3]],"")</f>
        <v>4128552.8495999998</v>
      </c>
      <c r="AQ766" s="15">
        <f>IFERROR(vp.data[[#This Row],[VP]]*vp.data[[#This Row],[VolumeM3]],"")</f>
        <v>544802.90240000002</v>
      </c>
    </row>
    <row r="767" spans="1:43" x14ac:dyDescent="0.25">
      <c r="A767">
        <v>766</v>
      </c>
      <c r="B767" t="s">
        <v>49</v>
      </c>
      <c r="C767" t="s">
        <v>49</v>
      </c>
      <c r="D767" t="s">
        <v>67</v>
      </c>
      <c r="F767" s="1">
        <v>42776</v>
      </c>
      <c r="G767" s="2">
        <v>96.8</v>
      </c>
      <c r="H767" s="2">
        <v>0.83399999999999996</v>
      </c>
      <c r="I767" s="2">
        <f t="array" ref="I767">_xlfn.IFNA(IF(vp.data[[#This Row],[Sulf Input]]="",INDEX([1]DATA!$Q$3:$Q$9826,MATCH(1,(vp.data[[#This Row],[Battery]]=[1]DATA!$L$3:$L$9826)*(EOMONTH(vp.data[[#This Row],[SDate]],-1)+1=[1]DATA!$G$3:$G$9826),0)),vp.data[[#This Row],[Sulf Input]]),"")</f>
        <v>0.83399999999999996</v>
      </c>
      <c r="J767" s="2">
        <v>4.9000000000000004</v>
      </c>
      <c r="K767" s="2">
        <v>-6</v>
      </c>
      <c r="L767" s="2">
        <v>826.9</v>
      </c>
      <c r="M767" s="2">
        <f t="array" ref="M767">_xlfn.IFNA(IF(vp.data[[#This Row],[Dens Input]]="",INDEX([1]DATA!$O$3:$O$9826,MATCH(1,(vp.data[[#This Row],[Battery]]=[1]DATA!$L$3:$L$9826)*(EOMONTH(vp.data[[#This Row],[SDate]],-1)+1=[1]DATA!$G$3:$G$9826),0)),vp.data[[#This Row],[Dens Input]]),"")</f>
        <v>826.9</v>
      </c>
      <c r="N767" s="2">
        <f ca="1">INDEX(INDIRECT(_xlfn.CONCAT("weather.tbl[",N$1,"]")),MATCH(vp.data[[#This Row],[SDate]],weather.tbl[Date],0))</f>
        <v>-4.3500000000000005</v>
      </c>
      <c r="O767" s="2">
        <f ca="1">INDEX(INDIRECT(_xlfn.CONCAT("weather.tbl[",O$1,"]")),MATCH(vp.data[[#This Row],[SDate]],weather.tbl[Date],0))</f>
        <v>-17.464285714285715</v>
      </c>
      <c r="P767" s="2">
        <f ca="1">INDEX(INDIRECT(_xlfn.CONCAT("weather.tbl[",P$1,"]")),MATCH(vp.data[[#This Row],[SDate]],weather.tbl[Date],0))</f>
        <v>-1.4</v>
      </c>
      <c r="Q767" s="2">
        <f ca="1">INDEX(INDIRECT(_xlfn.CONCAT("weather.tbl[",Q$1,"]")),MATCH(vp.data[[#This Row],[SDate]],weather.tbl[Date],0))</f>
        <v>-1.5</v>
      </c>
      <c r="R767" s="2">
        <f ca="1">INDEX(INDIRECT(_xlfn.CONCAT("weather.tbl[",R$1,"]")),MATCH(vp.data[[#This Row],[SDate]],weather.tbl[Date],0))</f>
        <v>-6.5</v>
      </c>
      <c r="S767" s="2">
        <f ca="1">INDEX(INDIRECT(_xlfn.CONCAT("weather.tbl[",S$1,"]")),MATCH(vp.data[[#This Row],[SDate]],weather.tbl[Date],0))</f>
        <v>-2.1</v>
      </c>
      <c r="T767" s="2">
        <f ca="1">INDEX(INDIRECT(_xlfn.CONCAT("weather.tbl[",T$1,"]")),MATCH(vp.data[[#This Row],[SDate]],weather.tbl[Date],0))</f>
        <v>-5.6</v>
      </c>
      <c r="U767" s="2">
        <f ca="1">INDEX(INDIRECT(_xlfn.CONCAT("weather.tbl[",U$1,"]")),MATCH(vp.data[[#This Row],[SDate]],weather.tbl[Date],0))</f>
        <v>-9</v>
      </c>
      <c r="V767" s="2">
        <f t="array" ref="V7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767" t="s">
        <v>48</v>
      </c>
      <c r="X767">
        <f>IF(OR(vp.data[[#This Row],[Sulf]]="",vp.data[[#This Row],[Dens]]=""),1,0)</f>
        <v>0</v>
      </c>
      <c r="Y767">
        <f>IF(vp.data[[#This Row],[CrudeType]]="C5+",1,0)</f>
        <v>0</v>
      </c>
      <c r="Z767">
        <f>IF(AND(vp.data[[#This Row],[CrudeType]]="Crude",vp.data[[#This Row],[Dens]]&lt;=825,vp.data[[#This Row],[Sulf]]&gt;0.5,vp.data[[#This Row],[Unknown]]=0),1,0)</f>
        <v>0</v>
      </c>
      <c r="AA767">
        <f>IF(AND(vp.data[[#This Row],[CrudeType]]="Crude",vp.data[[#This Row],[Dens]]&lt;=825,vp.data[[#This Row],[Sulf]]&lt;=0.5,vp.data[[#This Row],[Unknown]]=0),1,0)</f>
        <v>0</v>
      </c>
      <c r="AB7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67">
        <f>IF(AND(vp.data[[#This Row],[CrudeType]]="Crude",vp.data[[#This Row],[Dens]]&gt;825,vp.data[[#This Row],[Dens]]&lt;=900,vp.data[[#This Row],[Sulf]]&lt;=0.5,vp.data[[#This Row],[Unknown]]=0),1,0)</f>
        <v>0</v>
      </c>
      <c r="AD767">
        <f>IF(AND(vp.data[[#This Row],[CrudeType]]="Crude",vp.data[[#This Row],[Dens]]&gt;865,vp.data[[#This Row],[Dens]]&lt;=900,vp.data[[#This Row],[Sulf]]&gt;2,vp.data[[#This Row],[Unknown]]=0),1,0)</f>
        <v>0</v>
      </c>
      <c r="AE767">
        <f>IF(AND(vp.data[[#This Row],[CrudeType]]="Crude",vp.data[[#This Row],[Dens]]&gt;900,vp.data[[#This Row],[Sulf]]&lt;=0.5,vp.data[[#This Row],[Unknown]]=0),1,0)</f>
        <v>0</v>
      </c>
      <c r="AF767">
        <f>IF(AND(vp.data[[#This Row],[CrudeType]]="Crude",vp.data[[#This Row],[Dens]]&gt;900,vp.data[[#This Row],[Sulf]]&lt;=0.5,vp.data[[#This Row],[Unknown]]=0),1,0)</f>
        <v>0</v>
      </c>
      <c r="AG767" t="str">
        <f>INDEX(vp.data[[#Headers],[Unknown]:[Heavy_SW]],MATCH(1,vp.data[[#This Row],[Unknown]:[Heavy_SW]],0))</f>
        <v>Medium_LSB</v>
      </c>
      <c r="AH767">
        <f>INDEX([3]!crudeBD.lkup[Number],MATCH(vp.data[[#This Row],[Crude_Breakdown]],crudeBD.lkup[Crude Breakdown],0))</f>
        <v>3</v>
      </c>
      <c r="AI767">
        <f>MONTH(vp.data[[#This Row],[SDate]])</f>
        <v>2</v>
      </c>
      <c r="AJ767" s="5">
        <f>(vp.data[[#This Row],[VP]]-INDEX(crudeBD.lkup[Mean_VP],MATCH(vp.data[[#This Row],[Crude_Breakdown]],crudeBD.lkup[Crude Breakdown],0)))^2</f>
        <v>261.15605401297802</v>
      </c>
      <c r="AK767" s="5">
        <f>(vp.data[[#This Row],[Dens]]-INDEX(crudeBD.lkup[Mean_Dens],MATCH(vp.data[[#This Row],[Crude_Breakdown]],crudeBD.lkup[Crude Breakdown],0)))^2</f>
        <v>289.68039999998388</v>
      </c>
      <c r="AL767" s="5">
        <f>(vp.data[[#This Row],[Sulf]]-INDEX(crudeBD.lkup[Mean_Sulf],MATCH(vp.data[[#This Row],[Crude_Breakdown]],crudeBD.lkup[Crude Breakdown],0)))^2</f>
        <v>0.30405092217386143</v>
      </c>
      <c r="AM767" s="4">
        <f>IF(AND(vp.data[[#This Row],[SDate]]&gt;=DATE(YEAR(vp.data[[#This Row],[SDate]]),5,1),vp.data[[#This Row],[SDate]]&lt;=DATE(YEAR(vp.data[[#This Row],[SDate]]),9,15)),1,0)</f>
        <v>0</v>
      </c>
      <c r="AN767" s="4">
        <f>IF(vp.data[[#This Row],[SDate]]&lt;DATE(2016,12,1),0,1)</f>
        <v>1</v>
      </c>
      <c r="AO767" s="4">
        <f>IFERROR(vp.data[[#This Row],[Sulf]]*vp.data[[#This Row],[Net Dens]],"")</f>
        <v>85810429.164056391</v>
      </c>
      <c r="AP767">
        <f>IFERROR(vp.data[[#This Row],[Dens]]*vp.data[[#This Row],[VolumeM3]],"")</f>
        <v>102890202.8346</v>
      </c>
      <c r="AQ767" s="15">
        <f>IFERROR(vp.data[[#This Row],[VP]]*vp.data[[#This Row],[VolumeM3]],"")</f>
        <v>12044711.131200001</v>
      </c>
    </row>
    <row r="768" spans="1:43" x14ac:dyDescent="0.25">
      <c r="A768">
        <v>767</v>
      </c>
      <c r="B768" t="s">
        <v>49</v>
      </c>
      <c r="C768" t="s">
        <v>49</v>
      </c>
      <c r="D768" t="s">
        <v>90</v>
      </c>
      <c r="F768" s="1">
        <v>42776</v>
      </c>
      <c r="G768" s="2">
        <v>75.5</v>
      </c>
      <c r="H768" s="2">
        <v>1.2430000000000001</v>
      </c>
      <c r="I768" s="2">
        <f t="array" ref="I768">_xlfn.IFNA(IF(vp.data[[#This Row],[Sulf Input]]="",INDEX([1]DATA!$Q$3:$Q$9826,MATCH(1,(vp.data[[#This Row],[Battery]]=[1]DATA!$L$3:$L$9826)*(EOMONTH(vp.data[[#This Row],[SDate]],-1)+1=[1]DATA!$G$3:$G$9826),0)),vp.data[[#This Row],[Sulf Input]]),"")</f>
        <v>1.2430000000000001</v>
      </c>
      <c r="J768" s="2">
        <v>30.5</v>
      </c>
      <c r="K768" s="2">
        <v>-6</v>
      </c>
      <c r="L768" s="2">
        <v>844</v>
      </c>
      <c r="M768" s="2">
        <f t="array" ref="M768">_xlfn.IFNA(IF(vp.data[[#This Row],[Dens Input]]="",INDEX([1]DATA!$O$3:$O$9826,MATCH(1,(vp.data[[#This Row],[Battery]]=[1]DATA!$L$3:$L$9826)*(EOMONTH(vp.data[[#This Row],[SDate]],-1)+1=[1]DATA!$G$3:$G$9826),0)),vp.data[[#This Row],[Dens Input]]),"")</f>
        <v>844</v>
      </c>
      <c r="N768" s="2">
        <f ca="1">INDEX(INDIRECT(_xlfn.CONCAT("weather.tbl[",N$1,"]")),MATCH(vp.data[[#This Row],[SDate]],weather.tbl[Date],0))</f>
        <v>-4.3500000000000005</v>
      </c>
      <c r="O768" s="2">
        <f ca="1">INDEX(INDIRECT(_xlfn.CONCAT("weather.tbl[",O$1,"]")),MATCH(vp.data[[#This Row],[SDate]],weather.tbl[Date],0))</f>
        <v>-17.464285714285715</v>
      </c>
      <c r="P768" s="2">
        <f ca="1">INDEX(INDIRECT(_xlfn.CONCAT("weather.tbl[",P$1,"]")),MATCH(vp.data[[#This Row],[SDate]],weather.tbl[Date],0))</f>
        <v>-1.4</v>
      </c>
      <c r="Q768" s="2">
        <f ca="1">INDEX(INDIRECT(_xlfn.CONCAT("weather.tbl[",Q$1,"]")),MATCH(vp.data[[#This Row],[SDate]],weather.tbl[Date],0))</f>
        <v>-1.5</v>
      </c>
      <c r="R768" s="2">
        <f ca="1">INDEX(INDIRECT(_xlfn.CONCAT("weather.tbl[",R$1,"]")),MATCH(vp.data[[#This Row],[SDate]],weather.tbl[Date],0))</f>
        <v>-6.5</v>
      </c>
      <c r="S768" s="2">
        <f ca="1">INDEX(INDIRECT(_xlfn.CONCAT("weather.tbl[",S$1,"]")),MATCH(vp.data[[#This Row],[SDate]],weather.tbl[Date],0))</f>
        <v>-2.1</v>
      </c>
      <c r="T768" s="2">
        <f ca="1">INDEX(INDIRECT(_xlfn.CONCAT("weather.tbl[",T$1,"]")),MATCH(vp.data[[#This Row],[SDate]],weather.tbl[Date],0))</f>
        <v>-5.6</v>
      </c>
      <c r="U768" s="2">
        <f ca="1">INDEX(INDIRECT(_xlfn.CONCAT("weather.tbl[",U$1,"]")),MATCH(vp.data[[#This Row],[SDate]],weather.tbl[Date],0))</f>
        <v>-9</v>
      </c>
      <c r="V768" s="2">
        <f t="array" ref="V7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4432.7370000000001</v>
      </c>
      <c r="W768" t="s">
        <v>48</v>
      </c>
      <c r="X768">
        <f>IF(OR(vp.data[[#This Row],[Sulf]]="",vp.data[[#This Row],[Dens]]=""),1,0)</f>
        <v>0</v>
      </c>
      <c r="Y768">
        <f>IF(vp.data[[#This Row],[CrudeType]]="C5+",1,0)</f>
        <v>0</v>
      </c>
      <c r="Z768">
        <f>IF(AND(vp.data[[#This Row],[CrudeType]]="Crude",vp.data[[#This Row],[Dens]]&lt;=825,vp.data[[#This Row],[Sulf]]&gt;0.5,vp.data[[#This Row],[Unknown]]=0),1,0)</f>
        <v>0</v>
      </c>
      <c r="AA768">
        <f>IF(AND(vp.data[[#This Row],[CrudeType]]="Crude",vp.data[[#This Row],[Dens]]&lt;=825,vp.data[[#This Row],[Sulf]]&lt;=0.5,vp.data[[#This Row],[Unknown]]=0),1,0)</f>
        <v>0</v>
      </c>
      <c r="AB7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68">
        <f>IF(AND(vp.data[[#This Row],[CrudeType]]="Crude",vp.data[[#This Row],[Dens]]&gt;825,vp.data[[#This Row],[Dens]]&lt;=900,vp.data[[#This Row],[Sulf]]&lt;=0.5,vp.data[[#This Row],[Unknown]]=0),1,0)</f>
        <v>0</v>
      </c>
      <c r="AD768">
        <f>IF(AND(vp.data[[#This Row],[CrudeType]]="Crude",vp.data[[#This Row],[Dens]]&gt;865,vp.data[[#This Row],[Dens]]&lt;=900,vp.data[[#This Row],[Sulf]]&gt;2,vp.data[[#This Row],[Unknown]]=0),1,0)</f>
        <v>0</v>
      </c>
      <c r="AE768">
        <f>IF(AND(vp.data[[#This Row],[CrudeType]]="Crude",vp.data[[#This Row],[Dens]]&gt;900,vp.data[[#This Row],[Sulf]]&lt;=0.5,vp.data[[#This Row],[Unknown]]=0),1,0)</f>
        <v>0</v>
      </c>
      <c r="AF768">
        <f>IF(AND(vp.data[[#This Row],[CrudeType]]="Crude",vp.data[[#This Row],[Dens]]&gt;900,vp.data[[#This Row],[Sulf]]&lt;=0.5,vp.data[[#This Row],[Unknown]]=0),1,0)</f>
        <v>0</v>
      </c>
      <c r="AG768" t="str">
        <f>INDEX(vp.data[[#Headers],[Unknown]:[Heavy_SW]],MATCH(1,vp.data[[#This Row],[Unknown]:[Heavy_SW]],0))</f>
        <v>Medium_LSB</v>
      </c>
      <c r="AH768">
        <f>INDEX([3]!crudeBD.lkup[Number],MATCH(vp.data[[#This Row],[Crude_Breakdown]],crudeBD.lkup[Crude Breakdown],0))</f>
        <v>3</v>
      </c>
      <c r="AI768">
        <f>MONTH(vp.data[[#This Row],[SDate]])</f>
        <v>2</v>
      </c>
      <c r="AJ768" s="5">
        <f>(vp.data[[#This Row],[VP]]-INDEX(crudeBD.lkup[Mean_VP],MATCH(vp.data[[#This Row],[Crude_Breakdown]],crudeBD.lkup[Crude Breakdown],0)))^2</f>
        <v>26.41627503723381</v>
      </c>
      <c r="AK768" s="5">
        <f>(vp.data[[#This Row],[Dens]]-INDEX(crudeBD.lkup[Mean_Dens],MATCH(vp.data[[#This Row],[Crude_Breakdown]],crudeBD.lkup[Crude Breakdown],0)))^2</f>
        <v>6.4000000000793075E-3</v>
      </c>
      <c r="AL768" s="5">
        <f>(vp.data[[#This Row],[Sulf]]-INDEX(crudeBD.lkup[Mean_Sulf],MATCH(vp.data[[#This Row],[Crude_Breakdown]],crudeBD.lkup[Crude Breakdown],0)))^2</f>
        <v>2.0280074545827774E-2</v>
      </c>
      <c r="AM768" s="4">
        <f>IF(AND(vp.data[[#This Row],[SDate]]&gt;=DATE(YEAR(vp.data[[#This Row],[SDate]]),5,1),vp.data[[#This Row],[SDate]]&lt;=DATE(YEAR(vp.data[[#This Row],[SDate]]),9,15)),1,0)</f>
        <v>0</v>
      </c>
      <c r="AN768" s="4">
        <f>IF(vp.data[[#This Row],[SDate]]&lt;DATE(2016,12,1),0,1)</f>
        <v>1</v>
      </c>
      <c r="AO768" s="4">
        <f>IFERROR(vp.data[[#This Row],[Sulf]]*vp.data[[#This Row],[Net Dens]],"")</f>
        <v>4650348.9248040002</v>
      </c>
      <c r="AP768">
        <f>IFERROR(vp.data[[#This Row],[Dens]]*vp.data[[#This Row],[VolumeM3]],"")</f>
        <v>3741230.0279999999</v>
      </c>
      <c r="AQ768" s="15">
        <f>IFERROR(vp.data[[#This Row],[VP]]*vp.data[[#This Row],[VolumeM3]],"")</f>
        <v>334671.64350000001</v>
      </c>
    </row>
    <row r="769" spans="1:43" x14ac:dyDescent="0.25">
      <c r="A769">
        <v>768</v>
      </c>
      <c r="B769" t="s">
        <v>49</v>
      </c>
      <c r="C769" t="s">
        <v>49</v>
      </c>
      <c r="D769" t="s">
        <v>160</v>
      </c>
      <c r="F769" s="1">
        <v>42776</v>
      </c>
      <c r="G769" s="2">
        <v>79.8</v>
      </c>
      <c r="H769" s="2">
        <v>2.0390000000000001</v>
      </c>
      <c r="I769" s="2">
        <f t="array" ref="I769">_xlfn.IFNA(IF(vp.data[[#This Row],[Sulf Input]]="",INDEX([1]DATA!$Q$3:$Q$9826,MATCH(1,(vp.data[[#This Row],[Battery]]=[1]DATA!$L$3:$L$9826)*(EOMONTH(vp.data[[#This Row],[SDate]],-1)+1=[1]DATA!$G$3:$G$9826),0)),vp.data[[#This Row],[Sulf Input]]),"")</f>
        <v>2.0390000000000001</v>
      </c>
      <c r="J769" s="2">
        <v>22.7</v>
      </c>
      <c r="K769" s="2">
        <v>-6</v>
      </c>
      <c r="L769" s="2">
        <v>877.9</v>
      </c>
      <c r="M769" s="2">
        <f t="array" ref="M769">_xlfn.IFNA(IF(vp.data[[#This Row],[Dens Input]]="",INDEX([1]DATA!$O$3:$O$9826,MATCH(1,(vp.data[[#This Row],[Battery]]=[1]DATA!$L$3:$L$9826)*(EOMONTH(vp.data[[#This Row],[SDate]],-1)+1=[1]DATA!$G$3:$G$9826),0)),vp.data[[#This Row],[Dens Input]]),"")</f>
        <v>877.9</v>
      </c>
      <c r="N769" s="2">
        <f ca="1">INDEX(INDIRECT(_xlfn.CONCAT("weather.tbl[",N$1,"]")),MATCH(vp.data[[#This Row],[SDate]],weather.tbl[Date],0))</f>
        <v>-4.3500000000000005</v>
      </c>
      <c r="O769" s="2">
        <f ca="1">INDEX(INDIRECT(_xlfn.CONCAT("weather.tbl[",O$1,"]")),MATCH(vp.data[[#This Row],[SDate]],weather.tbl[Date],0))</f>
        <v>-17.464285714285715</v>
      </c>
      <c r="P769" s="2">
        <f ca="1">INDEX(INDIRECT(_xlfn.CONCAT("weather.tbl[",P$1,"]")),MATCH(vp.data[[#This Row],[SDate]],weather.tbl[Date],0))</f>
        <v>-1.4</v>
      </c>
      <c r="Q769" s="2">
        <f ca="1">INDEX(INDIRECT(_xlfn.CONCAT("weather.tbl[",Q$1,"]")),MATCH(vp.data[[#This Row],[SDate]],weather.tbl[Date],0))</f>
        <v>-1.5</v>
      </c>
      <c r="R769" s="2">
        <f ca="1">INDEX(INDIRECT(_xlfn.CONCAT("weather.tbl[",R$1,"]")),MATCH(vp.data[[#This Row],[SDate]],weather.tbl[Date],0))</f>
        <v>-6.5</v>
      </c>
      <c r="S769" s="2">
        <f ca="1">INDEX(INDIRECT(_xlfn.CONCAT("weather.tbl[",S$1,"]")),MATCH(vp.data[[#This Row],[SDate]],weather.tbl[Date],0))</f>
        <v>-2.1</v>
      </c>
      <c r="T769" s="2">
        <f ca="1">INDEX(INDIRECT(_xlfn.CONCAT("weather.tbl[",T$1,"]")),MATCH(vp.data[[#This Row],[SDate]],weather.tbl[Date],0))</f>
        <v>-5.6</v>
      </c>
      <c r="U769" s="2">
        <f ca="1">INDEX(INDIRECT(_xlfn.CONCAT("weather.tbl[",U$1,"]")),MATCH(vp.data[[#This Row],[SDate]],weather.tbl[Date],0))</f>
        <v>-9</v>
      </c>
      <c r="V769" s="2">
        <f t="array" ref="V7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885.899</v>
      </c>
      <c r="W769" t="s">
        <v>48</v>
      </c>
      <c r="X769">
        <f>IF(OR(vp.data[[#This Row],[Sulf]]="",vp.data[[#This Row],[Dens]]=""),1,0)</f>
        <v>0</v>
      </c>
      <c r="Y769">
        <f>IF(vp.data[[#This Row],[CrudeType]]="C5+",1,0)</f>
        <v>0</v>
      </c>
      <c r="Z769">
        <f>IF(AND(vp.data[[#This Row],[CrudeType]]="Crude",vp.data[[#This Row],[Dens]]&lt;=825,vp.data[[#This Row],[Sulf]]&gt;0.5,vp.data[[#This Row],[Unknown]]=0),1,0)</f>
        <v>0</v>
      </c>
      <c r="AA769">
        <f>IF(AND(vp.data[[#This Row],[CrudeType]]="Crude",vp.data[[#This Row],[Dens]]&lt;=825,vp.data[[#This Row],[Sulf]]&lt;=0.5,vp.data[[#This Row],[Unknown]]=0),1,0)</f>
        <v>0</v>
      </c>
      <c r="AB7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69">
        <f>IF(AND(vp.data[[#This Row],[CrudeType]]="Crude",vp.data[[#This Row],[Dens]]&gt;825,vp.data[[#This Row],[Dens]]&lt;=900,vp.data[[#This Row],[Sulf]]&lt;=0.5,vp.data[[#This Row],[Unknown]]=0),1,0)</f>
        <v>0</v>
      </c>
      <c r="AD769">
        <f>IF(AND(vp.data[[#This Row],[CrudeType]]="Crude",vp.data[[#This Row],[Dens]]&gt;865,vp.data[[#This Row],[Dens]]&lt;=900,vp.data[[#This Row],[Sulf]]&gt;2,vp.data[[#This Row],[Unknown]]=0),1,0)</f>
        <v>1</v>
      </c>
      <c r="AE769">
        <f>IF(AND(vp.data[[#This Row],[CrudeType]]="Crude",vp.data[[#This Row],[Dens]]&gt;900,vp.data[[#This Row],[Sulf]]&lt;=0.5,vp.data[[#This Row],[Unknown]]=0),1,0)</f>
        <v>0</v>
      </c>
      <c r="AF769">
        <f>IF(AND(vp.data[[#This Row],[CrudeType]]="Crude",vp.data[[#This Row],[Dens]]&gt;900,vp.data[[#This Row],[Sulf]]&lt;=0.5,vp.data[[#This Row],[Unknown]]=0),1,0)</f>
        <v>0</v>
      </c>
      <c r="AG769" t="str">
        <f>INDEX(vp.data[[#Headers],[Unknown]:[Heavy_SW]],MATCH(1,vp.data[[#This Row],[Unknown]:[Heavy_SW]],0))</f>
        <v>Midale</v>
      </c>
      <c r="AH769">
        <f>INDEX([3]!crudeBD.lkup[Number],MATCH(vp.data[[#This Row],[Crude_Breakdown]],crudeBD.lkup[Crude Breakdown],0))</f>
        <v>5</v>
      </c>
      <c r="AI769">
        <f>MONTH(vp.data[[#This Row],[SDate]])</f>
        <v>2</v>
      </c>
      <c r="AJ769" s="5">
        <f>(vp.data[[#This Row],[VP]]-INDEX(crudeBD.lkup[Mean_VP],MATCH(vp.data[[#This Row],[Crude_Breakdown]],crudeBD.lkup[Crude Breakdown],0)))^2</f>
        <v>107.97780874694371</v>
      </c>
      <c r="AK769" s="5">
        <f>(vp.data[[#This Row],[Dens]]-INDEX(crudeBD.lkup[Mean_Dens],MATCH(vp.data[[#This Row],[Crude_Breakdown]],crudeBD.lkup[Crude Breakdown],0)))^2</f>
        <v>9.5048254330939379</v>
      </c>
      <c r="AL769" s="5">
        <f>(vp.data[[#This Row],[Sulf]]-INDEX(crudeBD.lkup[Mean_Sulf],MATCH(vp.data[[#This Row],[Crude_Breakdown]],crudeBD.lkup[Crude Breakdown],0)))^2</f>
        <v>0.16371375706707286</v>
      </c>
      <c r="AM769" s="4">
        <f>IF(AND(vp.data[[#This Row],[SDate]]&gt;=DATE(YEAR(vp.data[[#This Row],[SDate]]),5,1),vp.data[[#This Row],[SDate]]&lt;=DATE(YEAR(vp.data[[#This Row],[SDate]]),9,15)),1,0)</f>
        <v>0</v>
      </c>
      <c r="AN769" s="4">
        <f>IF(vp.data[[#This Row],[SDate]]&lt;DATE(2016,12,1),0,1)</f>
        <v>1</v>
      </c>
      <c r="AO769" s="4">
        <f>IFERROR(vp.data[[#This Row],[Sulf]]*vp.data[[#This Row],[Net Dens]],"")</f>
        <v>1585792.9627519001</v>
      </c>
      <c r="AP769">
        <f>IFERROR(vp.data[[#This Row],[Dens]]*vp.data[[#This Row],[VolumeM3]],"")</f>
        <v>777730.73210000002</v>
      </c>
      <c r="AQ769" s="15">
        <f>IFERROR(vp.data[[#This Row],[VP]]*vp.data[[#This Row],[VolumeM3]],"")</f>
        <v>70694.7402</v>
      </c>
    </row>
    <row r="770" spans="1:43" x14ac:dyDescent="0.25">
      <c r="A770">
        <v>769</v>
      </c>
      <c r="B770" t="s">
        <v>62</v>
      </c>
      <c r="C770" t="s">
        <v>62</v>
      </c>
      <c r="D770" t="s">
        <v>79</v>
      </c>
      <c r="F770" s="1">
        <v>42776</v>
      </c>
      <c r="G770" s="2">
        <v>98.7</v>
      </c>
      <c r="H770" s="2"/>
      <c r="I770" s="2">
        <f t="array" ref="I770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770" s="2">
        <v>10</v>
      </c>
      <c r="K770" s="2">
        <v>-6</v>
      </c>
      <c r="L770" s="2">
        <v>804.8</v>
      </c>
      <c r="M770" s="2">
        <f t="array" ref="M770">_xlfn.IFNA(IF(vp.data[[#This Row],[Dens Input]]="",INDEX([1]DATA!$O$3:$O$9826,MATCH(1,(vp.data[[#This Row],[Battery]]=[1]DATA!$L$3:$L$9826)*(EOMONTH(vp.data[[#This Row],[SDate]],-1)+1=[1]DATA!$G$3:$G$9826),0)),vp.data[[#This Row],[Dens Input]]),"")</f>
        <v>804.8</v>
      </c>
      <c r="N770" s="2">
        <f ca="1">INDEX(INDIRECT(_xlfn.CONCAT("weather.tbl[",N$1,"]")),MATCH(vp.data[[#This Row],[SDate]],weather.tbl[Date],0))</f>
        <v>-4.3500000000000005</v>
      </c>
      <c r="O770" s="2">
        <f ca="1">INDEX(INDIRECT(_xlfn.CONCAT("weather.tbl[",O$1,"]")),MATCH(vp.data[[#This Row],[SDate]],weather.tbl[Date],0))</f>
        <v>-17.464285714285715</v>
      </c>
      <c r="P770" s="2">
        <f ca="1">INDEX(INDIRECT(_xlfn.CONCAT("weather.tbl[",P$1,"]")),MATCH(vp.data[[#This Row],[SDate]],weather.tbl[Date],0))</f>
        <v>-1.4</v>
      </c>
      <c r="Q770" s="2">
        <f ca="1">INDEX(INDIRECT(_xlfn.CONCAT("weather.tbl[",Q$1,"]")),MATCH(vp.data[[#This Row],[SDate]],weather.tbl[Date],0))</f>
        <v>-1.5</v>
      </c>
      <c r="R770" s="2">
        <f ca="1">INDEX(INDIRECT(_xlfn.CONCAT("weather.tbl[",R$1,"]")),MATCH(vp.data[[#This Row],[SDate]],weather.tbl[Date],0))</f>
        <v>-6.5</v>
      </c>
      <c r="S770" s="2">
        <f ca="1">INDEX(INDIRECT(_xlfn.CONCAT("weather.tbl[",S$1,"]")),MATCH(vp.data[[#This Row],[SDate]],weather.tbl[Date],0))</f>
        <v>-2.1</v>
      </c>
      <c r="T770" s="2">
        <f ca="1">INDEX(INDIRECT(_xlfn.CONCAT("weather.tbl[",T$1,"]")),MATCH(vp.data[[#This Row],[SDate]],weather.tbl[Date],0))</f>
        <v>-5.6</v>
      </c>
      <c r="U770" s="2">
        <f ca="1">INDEX(INDIRECT(_xlfn.CONCAT("weather.tbl[",U$1,"]")),MATCH(vp.data[[#This Row],[SDate]],weather.tbl[Date],0))</f>
        <v>-9</v>
      </c>
      <c r="V770" s="2">
        <f t="array" ref="V7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12819.813</v>
      </c>
      <c r="W770" t="s">
        <v>48</v>
      </c>
      <c r="X770">
        <f>IF(OR(vp.data[[#This Row],[Sulf]]="",vp.data[[#This Row],[Dens]]=""),1,0)</f>
        <v>0</v>
      </c>
      <c r="Y770">
        <f>IF(vp.data[[#This Row],[CrudeType]]="C5+",1,0)</f>
        <v>0</v>
      </c>
      <c r="Z770">
        <f>IF(AND(vp.data[[#This Row],[CrudeType]]="Crude",vp.data[[#This Row],[Dens]]&lt;=825,vp.data[[#This Row],[Sulf]]&gt;0.5,vp.data[[#This Row],[Unknown]]=0),1,0)</f>
        <v>0</v>
      </c>
      <c r="AA770">
        <f>IF(AND(vp.data[[#This Row],[CrudeType]]="Crude",vp.data[[#This Row],[Dens]]&lt;=825,vp.data[[#This Row],[Sulf]]&lt;=0.5,vp.data[[#This Row],[Unknown]]=0),1,0)</f>
        <v>1</v>
      </c>
      <c r="AB7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0">
        <f>IF(AND(vp.data[[#This Row],[CrudeType]]="Crude",vp.data[[#This Row],[Dens]]&gt;825,vp.data[[#This Row],[Dens]]&lt;=900,vp.data[[#This Row],[Sulf]]&lt;=0.5,vp.data[[#This Row],[Unknown]]=0),1,0)</f>
        <v>0</v>
      </c>
      <c r="AD770">
        <f>IF(AND(vp.data[[#This Row],[CrudeType]]="Crude",vp.data[[#This Row],[Dens]]&gt;865,vp.data[[#This Row],[Dens]]&lt;=900,vp.data[[#This Row],[Sulf]]&gt;2,vp.data[[#This Row],[Unknown]]=0),1,0)</f>
        <v>0</v>
      </c>
      <c r="AE770">
        <f>IF(AND(vp.data[[#This Row],[CrudeType]]="Crude",vp.data[[#This Row],[Dens]]&gt;900,vp.data[[#This Row],[Sulf]]&lt;=0.5,vp.data[[#This Row],[Unknown]]=0),1,0)</f>
        <v>0</v>
      </c>
      <c r="AF770">
        <f>IF(AND(vp.data[[#This Row],[CrudeType]]="Crude",vp.data[[#This Row],[Dens]]&gt;900,vp.data[[#This Row],[Sulf]]&lt;=0.5,vp.data[[#This Row],[Unknown]]=0),1,0)</f>
        <v>0</v>
      </c>
      <c r="AG770" t="str">
        <f>INDEX(vp.data[[#Headers],[Unknown]:[Heavy_SW]],MATCH(1,vp.data[[#This Row],[Unknown]:[Heavy_SW]],0))</f>
        <v>Light_SW</v>
      </c>
      <c r="AH770">
        <f>INDEX([3]!crudeBD.lkup[Number],MATCH(vp.data[[#This Row],[Crude_Breakdown]],crudeBD.lkup[Crude Breakdown],0))</f>
        <v>2</v>
      </c>
      <c r="AI770">
        <f>MONTH(vp.data[[#This Row],[SDate]])</f>
        <v>2</v>
      </c>
      <c r="AJ770" s="5">
        <f>(vp.data[[#This Row],[VP]]-INDEX(crudeBD.lkup[Mean_VP],MATCH(vp.data[[#This Row],[Crude_Breakdown]],crudeBD.lkup[Crude Breakdown],0)))^2</f>
        <v>37.818642955481224</v>
      </c>
      <c r="AK770" s="5">
        <f>(vp.data[[#This Row],[Dens]]-INDEX(crudeBD.lkup[Mean_Dens],MATCH(vp.data[[#This Row],[Crude_Breakdown]],crudeBD.lkup[Crude Breakdown],0)))^2</f>
        <v>12.330620014810183</v>
      </c>
      <c r="AL770" s="5">
        <f>(vp.data[[#This Row],[Sulf]]-INDEX(crudeBD.lkup[Mean_Sulf],MATCH(vp.data[[#This Row],[Crude_Breakdown]],crudeBD.lkup[Crude Breakdown],0)))^2</f>
        <v>8.7905978457915313E-3</v>
      </c>
      <c r="AM770" s="4">
        <f>IF(AND(vp.data[[#This Row],[SDate]]&gt;=DATE(YEAR(vp.data[[#This Row],[SDate]]),5,1),vp.data[[#This Row],[SDate]]&lt;=DATE(YEAR(vp.data[[#This Row],[SDate]]),9,15)),1,0)</f>
        <v>0</v>
      </c>
      <c r="AN770" s="4">
        <f>IF(vp.data[[#This Row],[SDate]]&lt;DATE(2016,12,1),0,1)</f>
        <v>1</v>
      </c>
      <c r="AO770" s="4">
        <f>IFERROR(vp.data[[#This Row],[Sulf]]*vp.data[[#This Row],[Net Dens]],"")</f>
        <v>3404737.2157919998</v>
      </c>
      <c r="AP770">
        <f>IFERROR(vp.data[[#This Row],[Dens]]*vp.data[[#This Row],[VolumeM3]],"")</f>
        <v>10317385.5024</v>
      </c>
      <c r="AQ770" s="15">
        <f>IFERROR(vp.data[[#This Row],[VP]]*vp.data[[#This Row],[VolumeM3]],"")</f>
        <v>1265315.5431000001</v>
      </c>
    </row>
    <row r="771" spans="1:43" x14ac:dyDescent="0.25">
      <c r="A771">
        <v>770</v>
      </c>
      <c r="B771" t="s">
        <v>62</v>
      </c>
      <c r="C771" t="s">
        <v>62</v>
      </c>
      <c r="D771" t="s">
        <v>83</v>
      </c>
      <c r="F771" s="1">
        <v>42776</v>
      </c>
      <c r="G771" s="2">
        <v>89.5</v>
      </c>
      <c r="H771" s="2"/>
      <c r="I771" s="2">
        <f t="array" ref="I77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771" s="2">
        <v>0</v>
      </c>
      <c r="K771" s="2">
        <v>-6</v>
      </c>
      <c r="L771" s="2">
        <v>809.5</v>
      </c>
      <c r="M771" s="2">
        <f t="array" ref="M771">_xlfn.IFNA(IF(vp.data[[#This Row],[Dens Input]]="",INDEX([1]DATA!$O$3:$O$9826,MATCH(1,(vp.data[[#This Row],[Battery]]=[1]DATA!$L$3:$L$9826)*(EOMONTH(vp.data[[#This Row],[SDate]],-1)+1=[1]DATA!$G$3:$G$9826),0)),vp.data[[#This Row],[Dens Input]]),"")</f>
        <v>809.5</v>
      </c>
      <c r="N771" s="2">
        <f ca="1">INDEX(INDIRECT(_xlfn.CONCAT("weather.tbl[",N$1,"]")),MATCH(vp.data[[#This Row],[SDate]],weather.tbl[Date],0))</f>
        <v>-4.3500000000000005</v>
      </c>
      <c r="O771" s="2">
        <f ca="1">INDEX(INDIRECT(_xlfn.CONCAT("weather.tbl[",O$1,"]")),MATCH(vp.data[[#This Row],[SDate]],weather.tbl[Date],0))</f>
        <v>-17.464285714285715</v>
      </c>
      <c r="P771" s="2">
        <f ca="1">INDEX(INDIRECT(_xlfn.CONCAT("weather.tbl[",P$1,"]")),MATCH(vp.data[[#This Row],[SDate]],weather.tbl[Date],0))</f>
        <v>-1.4</v>
      </c>
      <c r="Q771" s="2">
        <f ca="1">INDEX(INDIRECT(_xlfn.CONCAT("weather.tbl[",Q$1,"]")),MATCH(vp.data[[#This Row],[SDate]],weather.tbl[Date],0))</f>
        <v>-1.5</v>
      </c>
      <c r="R771" s="2">
        <f ca="1">INDEX(INDIRECT(_xlfn.CONCAT("weather.tbl[",R$1,"]")),MATCH(vp.data[[#This Row],[SDate]],weather.tbl[Date],0))</f>
        <v>-6.5</v>
      </c>
      <c r="S771" s="2">
        <f ca="1">INDEX(INDIRECT(_xlfn.CONCAT("weather.tbl[",S$1,"]")),MATCH(vp.data[[#This Row],[SDate]],weather.tbl[Date],0))</f>
        <v>-2.1</v>
      </c>
      <c r="T771" s="2">
        <f ca="1">INDEX(INDIRECT(_xlfn.CONCAT("weather.tbl[",T$1,"]")),MATCH(vp.data[[#This Row],[SDate]],weather.tbl[Date],0))</f>
        <v>-5.6</v>
      </c>
      <c r="U771" s="2">
        <f ca="1">INDEX(INDIRECT(_xlfn.CONCAT("weather.tbl[",U$1,"]")),MATCH(vp.data[[#This Row],[SDate]],weather.tbl[Date],0))</f>
        <v>-9</v>
      </c>
      <c r="V771" s="2">
        <f t="array" ref="V7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7967.6189999999997</v>
      </c>
      <c r="W771" t="s">
        <v>48</v>
      </c>
      <c r="X771">
        <f>IF(OR(vp.data[[#This Row],[Sulf]]="",vp.data[[#This Row],[Dens]]=""),1,0)</f>
        <v>0</v>
      </c>
      <c r="Y771">
        <f>IF(vp.data[[#This Row],[CrudeType]]="C5+",1,0)</f>
        <v>0</v>
      </c>
      <c r="Z771">
        <f>IF(AND(vp.data[[#This Row],[CrudeType]]="Crude",vp.data[[#This Row],[Dens]]&lt;=825,vp.data[[#This Row],[Sulf]]&gt;0.5,vp.data[[#This Row],[Unknown]]=0),1,0)</f>
        <v>0</v>
      </c>
      <c r="AA771">
        <f>IF(AND(vp.data[[#This Row],[CrudeType]]="Crude",vp.data[[#This Row],[Dens]]&lt;=825,vp.data[[#This Row],[Sulf]]&lt;=0.5,vp.data[[#This Row],[Unknown]]=0),1,0)</f>
        <v>1</v>
      </c>
      <c r="AB7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1">
        <f>IF(AND(vp.data[[#This Row],[CrudeType]]="Crude",vp.data[[#This Row],[Dens]]&gt;825,vp.data[[#This Row],[Dens]]&lt;=900,vp.data[[#This Row],[Sulf]]&lt;=0.5,vp.data[[#This Row],[Unknown]]=0),1,0)</f>
        <v>0</v>
      </c>
      <c r="AD771">
        <f>IF(AND(vp.data[[#This Row],[CrudeType]]="Crude",vp.data[[#This Row],[Dens]]&gt;865,vp.data[[#This Row],[Dens]]&lt;=900,vp.data[[#This Row],[Sulf]]&gt;2,vp.data[[#This Row],[Unknown]]=0),1,0)</f>
        <v>0</v>
      </c>
      <c r="AE771">
        <f>IF(AND(vp.data[[#This Row],[CrudeType]]="Crude",vp.data[[#This Row],[Dens]]&gt;900,vp.data[[#This Row],[Sulf]]&lt;=0.5,vp.data[[#This Row],[Unknown]]=0),1,0)</f>
        <v>0</v>
      </c>
      <c r="AF771">
        <f>IF(AND(vp.data[[#This Row],[CrudeType]]="Crude",vp.data[[#This Row],[Dens]]&gt;900,vp.data[[#This Row],[Sulf]]&lt;=0.5,vp.data[[#This Row],[Unknown]]=0),1,0)</f>
        <v>0</v>
      </c>
      <c r="AG771" t="str">
        <f>INDEX(vp.data[[#Headers],[Unknown]:[Heavy_SW]],MATCH(1,vp.data[[#This Row],[Unknown]:[Heavy_SW]],0))</f>
        <v>Light_SW</v>
      </c>
      <c r="AH771">
        <f>INDEX([3]!crudeBD.lkup[Number],MATCH(vp.data[[#This Row],[Crude_Breakdown]],crudeBD.lkup[Crude Breakdown],0))</f>
        <v>2</v>
      </c>
      <c r="AI771">
        <f>MONTH(vp.data[[#This Row],[SDate]])</f>
        <v>2</v>
      </c>
      <c r="AJ771" s="5">
        <f>(vp.data[[#This Row],[VP]]-INDEX(crudeBD.lkup[Mean_VP],MATCH(vp.data[[#This Row],[Crude_Breakdown]],crudeBD.lkup[Crude Breakdown],0)))^2</f>
        <v>9.3044129903238488</v>
      </c>
      <c r="AK771" s="5">
        <f>(vp.data[[#This Row],[Dens]]-INDEX(crudeBD.lkup[Mean_Dens],MATCH(vp.data[[#This Row],[Crude_Breakdown]],crudeBD.lkup[Crude Breakdown],0)))^2</f>
        <v>1.4125363911185367</v>
      </c>
      <c r="AL771" s="5">
        <f>(vp.data[[#This Row],[Sulf]]-INDEX(crudeBD.lkup[Mean_Sulf],MATCH(vp.data[[#This Row],[Crude_Breakdown]],crudeBD.lkup[Crude Breakdown],0)))^2</f>
        <v>2.1383051628646554E-3</v>
      </c>
      <c r="AM771" s="4">
        <f>IF(AND(vp.data[[#This Row],[SDate]]&gt;=DATE(YEAR(vp.data[[#This Row],[SDate]]),5,1),vp.data[[#This Row],[SDate]]&lt;=DATE(YEAR(vp.data[[#This Row],[SDate]]),9,15)),1,0)</f>
        <v>0</v>
      </c>
      <c r="AN771" s="4">
        <f>IF(vp.data[[#This Row],[SDate]]&lt;DATE(2016,12,1),0,1)</f>
        <v>1</v>
      </c>
      <c r="AO771" s="4">
        <f>IFERROR(vp.data[[#This Row],[Sulf]]*vp.data[[#This Row],[Net Dens]],"")</f>
        <v>1225459.640295</v>
      </c>
      <c r="AP771">
        <f>IFERROR(vp.data[[#This Row],[Dens]]*vp.data[[#This Row],[VolumeM3]],"")</f>
        <v>6449787.5805000002</v>
      </c>
      <c r="AQ771" s="15">
        <f>IFERROR(vp.data[[#This Row],[VP]]*vp.data[[#This Row],[VolumeM3]],"")</f>
        <v>713101.90049999999</v>
      </c>
    </row>
    <row r="772" spans="1:43" x14ac:dyDescent="0.25">
      <c r="A772">
        <v>771</v>
      </c>
      <c r="B772" t="s">
        <v>62</v>
      </c>
      <c r="C772" t="s">
        <v>62</v>
      </c>
      <c r="D772" t="s">
        <v>87</v>
      </c>
      <c r="F772" s="1">
        <v>42776</v>
      </c>
      <c r="G772" s="2">
        <v>82.5</v>
      </c>
      <c r="H772" s="2"/>
      <c r="I772" s="2">
        <f t="array" ref="I77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772" s="2">
        <v>24.7</v>
      </c>
      <c r="K772" s="2">
        <v>-6</v>
      </c>
      <c r="L772" s="2">
        <v>811.1</v>
      </c>
      <c r="M772" s="2">
        <f t="array" ref="M772">_xlfn.IFNA(IF(vp.data[[#This Row],[Dens Input]]="",INDEX([1]DATA!$O$3:$O$9826,MATCH(1,(vp.data[[#This Row],[Battery]]=[1]DATA!$L$3:$L$9826)*(EOMONTH(vp.data[[#This Row],[SDate]],-1)+1=[1]DATA!$G$3:$G$9826),0)),vp.data[[#This Row],[Dens Input]]),"")</f>
        <v>811.1</v>
      </c>
      <c r="N772" s="2">
        <f ca="1">INDEX(INDIRECT(_xlfn.CONCAT("weather.tbl[",N$1,"]")),MATCH(vp.data[[#This Row],[SDate]],weather.tbl[Date],0))</f>
        <v>-4.3500000000000005</v>
      </c>
      <c r="O772" s="2">
        <f ca="1">INDEX(INDIRECT(_xlfn.CONCAT("weather.tbl[",O$1,"]")),MATCH(vp.data[[#This Row],[SDate]],weather.tbl[Date],0))</f>
        <v>-17.464285714285715</v>
      </c>
      <c r="P772" s="2">
        <f ca="1">INDEX(INDIRECT(_xlfn.CONCAT("weather.tbl[",P$1,"]")),MATCH(vp.data[[#This Row],[SDate]],weather.tbl[Date],0))</f>
        <v>-1.4</v>
      </c>
      <c r="Q772" s="2">
        <f ca="1">INDEX(INDIRECT(_xlfn.CONCAT("weather.tbl[",Q$1,"]")),MATCH(vp.data[[#This Row],[SDate]],weather.tbl[Date],0))</f>
        <v>-1.5</v>
      </c>
      <c r="R772" s="2">
        <f ca="1">INDEX(INDIRECT(_xlfn.CONCAT("weather.tbl[",R$1,"]")),MATCH(vp.data[[#This Row],[SDate]],weather.tbl[Date],0))</f>
        <v>-6.5</v>
      </c>
      <c r="S772" s="2">
        <f ca="1">INDEX(INDIRECT(_xlfn.CONCAT("weather.tbl[",S$1,"]")),MATCH(vp.data[[#This Row],[SDate]],weather.tbl[Date],0))</f>
        <v>-2.1</v>
      </c>
      <c r="T772" s="2">
        <f ca="1">INDEX(INDIRECT(_xlfn.CONCAT("weather.tbl[",T$1,"]")),MATCH(vp.data[[#This Row],[SDate]],weather.tbl[Date],0))</f>
        <v>-5.6</v>
      </c>
      <c r="U772" s="2">
        <f ca="1">INDEX(INDIRECT(_xlfn.CONCAT("weather.tbl[",U$1,"]")),MATCH(vp.data[[#This Row],[SDate]],weather.tbl[Date],0))</f>
        <v>-9</v>
      </c>
      <c r="V772" s="2">
        <f t="array" ref="V7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7768.6840000000002</v>
      </c>
      <c r="W772" t="s">
        <v>48</v>
      </c>
      <c r="X772">
        <f>IF(OR(vp.data[[#This Row],[Sulf]]="",vp.data[[#This Row],[Dens]]=""),1,0)</f>
        <v>0</v>
      </c>
      <c r="Y772">
        <f>IF(vp.data[[#This Row],[CrudeType]]="C5+",1,0)</f>
        <v>0</v>
      </c>
      <c r="Z772">
        <f>IF(AND(vp.data[[#This Row],[CrudeType]]="Crude",vp.data[[#This Row],[Dens]]&lt;=825,vp.data[[#This Row],[Sulf]]&gt;0.5,vp.data[[#This Row],[Unknown]]=0),1,0)</f>
        <v>0</v>
      </c>
      <c r="AA772">
        <f>IF(AND(vp.data[[#This Row],[CrudeType]]="Crude",vp.data[[#This Row],[Dens]]&lt;=825,vp.data[[#This Row],[Sulf]]&lt;=0.5,vp.data[[#This Row],[Unknown]]=0),1,0)</f>
        <v>1</v>
      </c>
      <c r="AB7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2">
        <f>IF(AND(vp.data[[#This Row],[CrudeType]]="Crude",vp.data[[#This Row],[Dens]]&gt;825,vp.data[[#This Row],[Dens]]&lt;=900,vp.data[[#This Row],[Sulf]]&lt;=0.5,vp.data[[#This Row],[Unknown]]=0),1,0)</f>
        <v>0</v>
      </c>
      <c r="AD772">
        <f>IF(AND(vp.data[[#This Row],[CrudeType]]="Crude",vp.data[[#This Row],[Dens]]&gt;865,vp.data[[#This Row],[Dens]]&lt;=900,vp.data[[#This Row],[Sulf]]&gt;2,vp.data[[#This Row],[Unknown]]=0),1,0)</f>
        <v>0</v>
      </c>
      <c r="AE772">
        <f>IF(AND(vp.data[[#This Row],[CrudeType]]="Crude",vp.data[[#This Row],[Dens]]&gt;900,vp.data[[#This Row],[Sulf]]&lt;=0.5,vp.data[[#This Row],[Unknown]]=0),1,0)</f>
        <v>0</v>
      </c>
      <c r="AF772">
        <f>IF(AND(vp.data[[#This Row],[CrudeType]]="Crude",vp.data[[#This Row],[Dens]]&gt;900,vp.data[[#This Row],[Sulf]]&lt;=0.5,vp.data[[#This Row],[Unknown]]=0),1,0)</f>
        <v>0</v>
      </c>
      <c r="AG772" t="str">
        <f>INDEX(vp.data[[#Headers],[Unknown]:[Heavy_SW]],MATCH(1,vp.data[[#This Row],[Unknown]:[Heavy_SW]],0))</f>
        <v>Light_SW</v>
      </c>
      <c r="AH772">
        <f>INDEX([3]!crudeBD.lkup[Number],MATCH(vp.data[[#This Row],[Crude_Breakdown]],crudeBD.lkup[Crude Breakdown],0))</f>
        <v>2</v>
      </c>
      <c r="AI772">
        <f>MONTH(vp.data[[#This Row],[SDate]])</f>
        <v>2</v>
      </c>
      <c r="AJ772" s="5">
        <f>(vp.data[[#This Row],[VP]]-INDEX(crudeBD.lkup[Mean_VP],MATCH(vp.data[[#This Row],[Crude_Breakdown]],crudeBD.lkup[Crude Breakdown],0)))^2</f>
        <v>101.00880323422588</v>
      </c>
      <c r="AK772" s="5">
        <f>(vp.data[[#This Row],[Dens]]-INDEX(crudeBD.lkup[Mean_Dens],MATCH(vp.data[[#This Row],[Crude_Breakdown]],crudeBD.lkup[Crude Breakdown],0)))^2</f>
        <v>7.7757419660322542</v>
      </c>
      <c r="AL772" s="5">
        <f>(vp.data[[#This Row],[Sulf]]-INDEX(crudeBD.lkup[Mean_Sulf],MATCH(vp.data[[#This Row],[Crude_Breakdown]],crudeBD.lkup[Crude Breakdown],0)))^2</f>
        <v>4.3879776367322437E-3</v>
      </c>
      <c r="AM772" s="4">
        <f>IF(AND(vp.data[[#This Row],[SDate]]&gt;=DATE(YEAR(vp.data[[#This Row],[SDate]]),5,1),vp.data[[#This Row],[SDate]]&lt;=DATE(YEAR(vp.data[[#This Row],[SDate]]),9,15)),1,0)</f>
        <v>0</v>
      </c>
      <c r="AN772" s="4">
        <f>IF(vp.data[[#This Row],[SDate]]&lt;DATE(2016,12,1),0,1)</f>
        <v>1</v>
      </c>
      <c r="AO772" s="4">
        <f>IFERROR(vp.data[[#This Row],[Sulf]]*vp.data[[#This Row],[Net Dens]],"")</f>
        <v>1071200.5307080001</v>
      </c>
      <c r="AP772">
        <f>IFERROR(vp.data[[#This Row],[Dens]]*vp.data[[#This Row],[VolumeM3]],"")</f>
        <v>6301179.5924000004</v>
      </c>
      <c r="AQ772" s="15">
        <f>IFERROR(vp.data[[#This Row],[VP]]*vp.data[[#This Row],[VolumeM3]],"")</f>
        <v>640916.43000000005</v>
      </c>
    </row>
    <row r="773" spans="1:43" x14ac:dyDescent="0.25">
      <c r="A773">
        <v>772</v>
      </c>
      <c r="B773" t="s">
        <v>62</v>
      </c>
      <c r="C773" t="s">
        <v>62</v>
      </c>
      <c r="D773" t="s">
        <v>63</v>
      </c>
      <c r="F773" s="1">
        <v>42776</v>
      </c>
      <c r="G773" s="2">
        <v>89.4</v>
      </c>
      <c r="H773" s="2"/>
      <c r="I773" s="2">
        <f t="array" ref="I773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773" s="2">
        <v>8.1</v>
      </c>
      <c r="K773" s="2">
        <v>-6</v>
      </c>
      <c r="L773" s="2">
        <v>844.1</v>
      </c>
      <c r="M773" s="2">
        <f t="array" ref="M773">_xlfn.IFNA(IF(vp.data[[#This Row],[Dens Input]]="",INDEX([1]DATA!$O$3:$O$9826,MATCH(1,(vp.data[[#This Row],[Battery]]=[1]DATA!$L$3:$L$9826)*(EOMONTH(vp.data[[#This Row],[SDate]],-1)+1=[1]DATA!$G$3:$G$9826),0)),vp.data[[#This Row],[Dens Input]]),"")</f>
        <v>844.1</v>
      </c>
      <c r="N773" s="2">
        <f ca="1">INDEX(INDIRECT(_xlfn.CONCAT("weather.tbl[",N$1,"]")),MATCH(vp.data[[#This Row],[SDate]],weather.tbl[Date],0))</f>
        <v>-4.3500000000000005</v>
      </c>
      <c r="O773" s="2">
        <f ca="1">INDEX(INDIRECT(_xlfn.CONCAT("weather.tbl[",O$1,"]")),MATCH(vp.data[[#This Row],[SDate]],weather.tbl[Date],0))</f>
        <v>-17.464285714285715</v>
      </c>
      <c r="P773" s="2">
        <f ca="1">INDEX(INDIRECT(_xlfn.CONCAT("weather.tbl[",P$1,"]")),MATCH(vp.data[[#This Row],[SDate]],weather.tbl[Date],0))</f>
        <v>-1.4</v>
      </c>
      <c r="Q773" s="2">
        <f ca="1">INDEX(INDIRECT(_xlfn.CONCAT("weather.tbl[",Q$1,"]")),MATCH(vp.data[[#This Row],[SDate]],weather.tbl[Date],0))</f>
        <v>-1.5</v>
      </c>
      <c r="R773" s="2">
        <f ca="1">INDEX(INDIRECT(_xlfn.CONCAT("weather.tbl[",R$1,"]")),MATCH(vp.data[[#This Row],[SDate]],weather.tbl[Date],0))</f>
        <v>-6.5</v>
      </c>
      <c r="S773" s="2">
        <f ca="1">INDEX(INDIRECT(_xlfn.CONCAT("weather.tbl[",S$1,"]")),MATCH(vp.data[[#This Row],[SDate]],weather.tbl[Date],0))</f>
        <v>-2.1</v>
      </c>
      <c r="T773" s="2">
        <f ca="1">INDEX(INDIRECT(_xlfn.CONCAT("weather.tbl[",T$1,"]")),MATCH(vp.data[[#This Row],[SDate]],weather.tbl[Date],0))</f>
        <v>-5.6</v>
      </c>
      <c r="U773" s="2">
        <f ca="1">INDEX(INDIRECT(_xlfn.CONCAT("weather.tbl[",U$1,"]")),MATCH(vp.data[[#This Row],[SDate]],weather.tbl[Date],0))</f>
        <v>-9</v>
      </c>
      <c r="V773" s="2">
        <f t="array" ref="V7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773" t="s">
        <v>48</v>
      </c>
      <c r="X773">
        <f>IF(OR(vp.data[[#This Row],[Sulf]]="",vp.data[[#This Row],[Dens]]=""),1,0)</f>
        <v>0</v>
      </c>
      <c r="Y773">
        <f>IF(vp.data[[#This Row],[CrudeType]]="C5+",1,0)</f>
        <v>0</v>
      </c>
      <c r="Z773">
        <f>IF(AND(vp.data[[#This Row],[CrudeType]]="Crude",vp.data[[#This Row],[Dens]]&lt;=825,vp.data[[#This Row],[Sulf]]&gt;0.5,vp.data[[#This Row],[Unknown]]=0),1,0)</f>
        <v>0</v>
      </c>
      <c r="AA773">
        <f>IF(AND(vp.data[[#This Row],[CrudeType]]="Crude",vp.data[[#This Row],[Dens]]&lt;=825,vp.data[[#This Row],[Sulf]]&lt;=0.5,vp.data[[#This Row],[Unknown]]=0),1,0)</f>
        <v>0</v>
      </c>
      <c r="AB7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73">
        <f>IF(AND(vp.data[[#This Row],[CrudeType]]="Crude",vp.data[[#This Row],[Dens]]&gt;825,vp.data[[#This Row],[Dens]]&lt;=900,vp.data[[#This Row],[Sulf]]&lt;=0.5,vp.data[[#This Row],[Unknown]]=0),1,0)</f>
        <v>0</v>
      </c>
      <c r="AD773">
        <f>IF(AND(vp.data[[#This Row],[CrudeType]]="Crude",vp.data[[#This Row],[Dens]]&gt;865,vp.data[[#This Row],[Dens]]&lt;=900,vp.data[[#This Row],[Sulf]]&gt;2,vp.data[[#This Row],[Unknown]]=0),1,0)</f>
        <v>0</v>
      </c>
      <c r="AE773">
        <f>IF(AND(vp.data[[#This Row],[CrudeType]]="Crude",vp.data[[#This Row],[Dens]]&gt;900,vp.data[[#This Row],[Sulf]]&lt;=0.5,vp.data[[#This Row],[Unknown]]=0),1,0)</f>
        <v>0</v>
      </c>
      <c r="AF773">
        <f>IF(AND(vp.data[[#This Row],[CrudeType]]="Crude",vp.data[[#This Row],[Dens]]&gt;900,vp.data[[#This Row],[Sulf]]&lt;=0.5,vp.data[[#This Row],[Unknown]]=0),1,0)</f>
        <v>0</v>
      </c>
      <c r="AG773" t="str">
        <f>INDEX(vp.data[[#Headers],[Unknown]:[Heavy_SW]],MATCH(1,vp.data[[#This Row],[Unknown]:[Heavy_SW]],0))</f>
        <v>Medium_LSB</v>
      </c>
      <c r="AH773">
        <f>INDEX([3]!crudeBD.lkup[Number],MATCH(vp.data[[#This Row],[Crude_Breakdown]],crudeBD.lkup[Crude Breakdown],0))</f>
        <v>3</v>
      </c>
      <c r="AI773">
        <f>MONTH(vp.data[[#This Row],[SDate]])</f>
        <v>2</v>
      </c>
      <c r="AJ773" s="5">
        <f>(vp.data[[#This Row],[VP]]-INDEX(crudeBD.lkup[Mean_VP],MATCH(vp.data[[#This Row],[Crude_Breakdown]],crudeBD.lkup[Crude Breakdown],0)))^2</f>
        <v>76.74326695098253</v>
      </c>
      <c r="AK773" s="5">
        <f>(vp.data[[#This Row],[Dens]]-INDEX(crudeBD.lkup[Mean_Dens],MATCH(vp.data[[#This Row],[Crude_Breakdown]],crudeBD.lkup[Crude Breakdown],0)))^2</f>
        <v>3.2400000000186627E-2</v>
      </c>
      <c r="AL773" s="5">
        <f>(vp.data[[#This Row],[Sulf]]-INDEX(crudeBD.lkup[Mean_Sulf],MATCH(vp.data[[#This Row],[Crude_Breakdown]],crudeBD.lkup[Crude Breakdown],0)))^2</f>
        <v>2.0906809828845806E-2</v>
      </c>
      <c r="AM773" s="4">
        <f>IF(AND(vp.data[[#This Row],[SDate]]&gt;=DATE(YEAR(vp.data[[#This Row],[SDate]]),5,1),vp.data[[#This Row],[SDate]]&lt;=DATE(YEAR(vp.data[[#This Row],[SDate]]),9,15)),1,0)</f>
        <v>0</v>
      </c>
      <c r="AN773" s="4">
        <f>IF(vp.data[[#This Row],[SDate]]&lt;DATE(2016,12,1),0,1)</f>
        <v>1</v>
      </c>
      <c r="AO773" s="4">
        <f>IFERROR(vp.data[[#This Row],[Sulf]]*vp.data[[#This Row],[Net Dens]],"")</f>
        <v>6429906.9925469998</v>
      </c>
      <c r="AP773">
        <f>IFERROR(vp.data[[#This Row],[Dens]]*vp.data[[#This Row],[VolumeM3]],"")</f>
        <v>4202553.5899</v>
      </c>
      <c r="AQ773" s="15">
        <f>IFERROR(vp.data[[#This Row],[VP]]*vp.data[[#This Row],[VolumeM3]],"")</f>
        <v>445099.26659999997</v>
      </c>
    </row>
    <row r="774" spans="1:43" x14ac:dyDescent="0.25">
      <c r="A774">
        <v>773</v>
      </c>
      <c r="B774" t="s">
        <v>56</v>
      </c>
      <c r="C774" t="s">
        <v>56</v>
      </c>
      <c r="D774" t="s">
        <v>57</v>
      </c>
      <c r="F774" s="1">
        <v>42776</v>
      </c>
      <c r="G774" s="2">
        <v>89.3</v>
      </c>
      <c r="H774" s="2"/>
      <c r="I774" s="2">
        <f t="array" ref="I774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774" s="2">
        <v>10.1</v>
      </c>
      <c r="K774" s="2">
        <v>-6</v>
      </c>
      <c r="L774" s="2">
        <v>844.6</v>
      </c>
      <c r="M774" s="2">
        <f t="array" ref="M774">_xlfn.IFNA(IF(vp.data[[#This Row],[Dens Input]]="",INDEX([1]DATA!$O$3:$O$9826,MATCH(1,(vp.data[[#This Row],[Battery]]=[1]DATA!$L$3:$L$9826)*(EOMONTH(vp.data[[#This Row],[SDate]],-1)+1=[1]DATA!$G$3:$G$9826),0)),vp.data[[#This Row],[Dens Input]]),"")</f>
        <v>844.6</v>
      </c>
      <c r="N774" s="2">
        <f ca="1">INDEX(INDIRECT(_xlfn.CONCAT("weather.tbl[",N$1,"]")),MATCH(vp.data[[#This Row],[SDate]],weather.tbl[Date],0))</f>
        <v>-4.3500000000000005</v>
      </c>
      <c r="O774" s="2">
        <f ca="1">INDEX(INDIRECT(_xlfn.CONCAT("weather.tbl[",O$1,"]")),MATCH(vp.data[[#This Row],[SDate]],weather.tbl[Date],0))</f>
        <v>-17.464285714285715</v>
      </c>
      <c r="P774" s="2">
        <f ca="1">INDEX(INDIRECT(_xlfn.CONCAT("weather.tbl[",P$1,"]")),MATCH(vp.data[[#This Row],[SDate]],weather.tbl[Date],0))</f>
        <v>-1.4</v>
      </c>
      <c r="Q774" s="2">
        <f ca="1">INDEX(INDIRECT(_xlfn.CONCAT("weather.tbl[",Q$1,"]")),MATCH(vp.data[[#This Row],[SDate]],weather.tbl[Date],0))</f>
        <v>-1.5</v>
      </c>
      <c r="R774" s="2">
        <f ca="1">INDEX(INDIRECT(_xlfn.CONCAT("weather.tbl[",R$1,"]")),MATCH(vp.data[[#This Row],[SDate]],weather.tbl[Date],0))</f>
        <v>-6.5</v>
      </c>
      <c r="S774" s="2">
        <f ca="1">INDEX(INDIRECT(_xlfn.CONCAT("weather.tbl[",S$1,"]")),MATCH(vp.data[[#This Row],[SDate]],weather.tbl[Date],0))</f>
        <v>-2.1</v>
      </c>
      <c r="T774" s="2">
        <f ca="1">INDEX(INDIRECT(_xlfn.CONCAT("weather.tbl[",T$1,"]")),MATCH(vp.data[[#This Row],[SDate]],weather.tbl[Date],0))</f>
        <v>-5.6</v>
      </c>
      <c r="U774" s="2">
        <f ca="1">INDEX(INDIRECT(_xlfn.CONCAT("weather.tbl[",U$1,"]")),MATCH(vp.data[[#This Row],[SDate]],weather.tbl[Date],0))</f>
        <v>-9</v>
      </c>
      <c r="V774" s="2">
        <f t="array" ref="V7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774" t="s">
        <v>48</v>
      </c>
      <c r="X774">
        <f>IF(OR(vp.data[[#This Row],[Sulf]]="",vp.data[[#This Row],[Dens]]=""),1,0)</f>
        <v>0</v>
      </c>
      <c r="Y774">
        <f>IF(vp.data[[#This Row],[CrudeType]]="C5+",1,0)</f>
        <v>0</v>
      </c>
      <c r="Z774">
        <f>IF(AND(vp.data[[#This Row],[CrudeType]]="Crude",vp.data[[#This Row],[Dens]]&lt;=825,vp.data[[#This Row],[Sulf]]&gt;0.5,vp.data[[#This Row],[Unknown]]=0),1,0)</f>
        <v>0</v>
      </c>
      <c r="AA774">
        <f>IF(AND(vp.data[[#This Row],[CrudeType]]="Crude",vp.data[[#This Row],[Dens]]&lt;=825,vp.data[[#This Row],[Sulf]]&lt;=0.5,vp.data[[#This Row],[Unknown]]=0),1,0)</f>
        <v>0</v>
      </c>
      <c r="AB7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74">
        <f>IF(AND(vp.data[[#This Row],[CrudeType]]="Crude",vp.data[[#This Row],[Dens]]&gt;825,vp.data[[#This Row],[Dens]]&lt;=900,vp.data[[#This Row],[Sulf]]&lt;=0.5,vp.data[[#This Row],[Unknown]]=0),1,0)</f>
        <v>0</v>
      </c>
      <c r="AD774">
        <f>IF(AND(vp.data[[#This Row],[CrudeType]]="Crude",vp.data[[#This Row],[Dens]]&gt;865,vp.data[[#This Row],[Dens]]&lt;=900,vp.data[[#This Row],[Sulf]]&gt;2,vp.data[[#This Row],[Unknown]]=0),1,0)</f>
        <v>0</v>
      </c>
      <c r="AE774">
        <f>IF(AND(vp.data[[#This Row],[CrudeType]]="Crude",vp.data[[#This Row],[Dens]]&gt;900,vp.data[[#This Row],[Sulf]]&lt;=0.5,vp.data[[#This Row],[Unknown]]=0),1,0)</f>
        <v>0</v>
      </c>
      <c r="AF774">
        <f>IF(AND(vp.data[[#This Row],[CrudeType]]="Crude",vp.data[[#This Row],[Dens]]&gt;900,vp.data[[#This Row],[Sulf]]&lt;=0.5,vp.data[[#This Row],[Unknown]]=0),1,0)</f>
        <v>0</v>
      </c>
      <c r="AG774" t="str">
        <f>INDEX(vp.data[[#Headers],[Unknown]:[Heavy_SW]],MATCH(1,vp.data[[#This Row],[Unknown]:[Heavy_SW]],0))</f>
        <v>Medium_LSB</v>
      </c>
      <c r="AH774">
        <f>INDEX([3]!crudeBD.lkup[Number],MATCH(vp.data[[#This Row],[Crude_Breakdown]],crudeBD.lkup[Crude Breakdown],0))</f>
        <v>3</v>
      </c>
      <c r="AI774">
        <f>MONTH(vp.data[[#This Row],[SDate]])</f>
        <v>2</v>
      </c>
      <c r="AJ774" s="5">
        <f>(vp.data[[#This Row],[VP]]-INDEX(crudeBD.lkup[Mean_VP],MATCH(vp.data[[#This Row],[Crude_Breakdown]],crudeBD.lkup[Crude Breakdown],0)))^2</f>
        <v>75.001202260955409</v>
      </c>
      <c r="AK774" s="5">
        <f>(vp.data[[#This Row],[Dens]]-INDEX(crudeBD.lkup[Mean_Dens],MATCH(vp.data[[#This Row],[Crude_Breakdown]],crudeBD.lkup[Crude Breakdown],0)))^2</f>
        <v>0.46240000000070502</v>
      </c>
      <c r="AL774" s="5">
        <f>(vp.data[[#This Row],[Sulf]]-INDEX(crudeBD.lkup[Mean_Sulf],MATCH(vp.data[[#This Row],[Crude_Breakdown]],crudeBD.lkup[Crude Breakdown],0)))^2</f>
        <v>9.2776209289761713E-2</v>
      </c>
      <c r="AM774" s="4">
        <f>IF(AND(vp.data[[#This Row],[SDate]]&gt;=DATE(YEAR(vp.data[[#This Row],[SDate]]),5,1),vp.data[[#This Row],[SDate]]&lt;=DATE(YEAR(vp.data[[#This Row],[SDate]]),9,15)),1,0)</f>
        <v>0</v>
      </c>
      <c r="AN774" s="4">
        <f>IF(vp.data[[#This Row],[SDate]]&lt;DATE(2016,12,1),0,1)</f>
        <v>1</v>
      </c>
      <c r="AO774" s="4">
        <f>IFERROR(vp.data[[#This Row],[Sulf]]*vp.data[[#This Row],[Net Dens]],"")</f>
        <v>3927032.7426459999</v>
      </c>
      <c r="AP774">
        <f>IFERROR(vp.data[[#This Row],[Dens]]*vp.data[[#This Row],[VolumeM3]],"")</f>
        <v>2323688.0134000001</v>
      </c>
      <c r="AQ774" s="15">
        <f>IFERROR(vp.data[[#This Row],[VP]]*vp.data[[#This Row],[VolumeM3]],"")</f>
        <v>245684.74969999999</v>
      </c>
    </row>
    <row r="775" spans="1:43" x14ac:dyDescent="0.25">
      <c r="A775">
        <v>774</v>
      </c>
      <c r="B775" t="s">
        <v>111</v>
      </c>
      <c r="C775" t="s">
        <v>111</v>
      </c>
      <c r="D775" t="s">
        <v>112</v>
      </c>
      <c r="F775" s="1">
        <v>42776</v>
      </c>
      <c r="G775" s="2">
        <v>71.900000000000006</v>
      </c>
      <c r="H775" s="2"/>
      <c r="I775" s="2">
        <f t="array" ref="I775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775" s="2">
        <v>30.9</v>
      </c>
      <c r="K775" s="2">
        <v>-6</v>
      </c>
      <c r="L775" s="2">
        <v>858</v>
      </c>
      <c r="M775" s="2">
        <f t="array" ref="M775">_xlfn.IFNA(IF(vp.data[[#This Row],[Dens Input]]="",INDEX([1]DATA!$O$3:$O$9826,MATCH(1,(vp.data[[#This Row],[Battery]]=[1]DATA!$L$3:$L$9826)*(EOMONTH(vp.data[[#This Row],[SDate]],-1)+1=[1]DATA!$G$3:$G$9826),0)),vp.data[[#This Row],[Dens Input]]),"")</f>
        <v>858</v>
      </c>
      <c r="N775" s="2">
        <f ca="1">INDEX(INDIRECT(_xlfn.CONCAT("weather.tbl[",N$1,"]")),MATCH(vp.data[[#This Row],[SDate]],weather.tbl[Date],0))</f>
        <v>-4.3500000000000005</v>
      </c>
      <c r="O775" s="2">
        <f ca="1">INDEX(INDIRECT(_xlfn.CONCAT("weather.tbl[",O$1,"]")),MATCH(vp.data[[#This Row],[SDate]],weather.tbl[Date],0))</f>
        <v>-17.464285714285715</v>
      </c>
      <c r="P775" s="2">
        <f ca="1">INDEX(INDIRECT(_xlfn.CONCAT("weather.tbl[",P$1,"]")),MATCH(vp.data[[#This Row],[SDate]],weather.tbl[Date],0))</f>
        <v>-1.4</v>
      </c>
      <c r="Q775" s="2">
        <f ca="1">INDEX(INDIRECT(_xlfn.CONCAT("weather.tbl[",Q$1,"]")),MATCH(vp.data[[#This Row],[SDate]],weather.tbl[Date],0))</f>
        <v>-1.5</v>
      </c>
      <c r="R775" s="2">
        <f ca="1">INDEX(INDIRECT(_xlfn.CONCAT("weather.tbl[",R$1,"]")),MATCH(vp.data[[#This Row],[SDate]],weather.tbl[Date],0))</f>
        <v>-6.5</v>
      </c>
      <c r="S775" s="2">
        <f ca="1">INDEX(INDIRECT(_xlfn.CONCAT("weather.tbl[",S$1,"]")),MATCH(vp.data[[#This Row],[SDate]],weather.tbl[Date],0))</f>
        <v>-2.1</v>
      </c>
      <c r="T775" s="2">
        <f ca="1">INDEX(INDIRECT(_xlfn.CONCAT("weather.tbl[",T$1,"]")),MATCH(vp.data[[#This Row],[SDate]],weather.tbl[Date],0))</f>
        <v>-5.6</v>
      </c>
      <c r="U775" s="2">
        <f ca="1">INDEX(INDIRECT(_xlfn.CONCAT("weather.tbl[",U$1,"]")),MATCH(vp.data[[#This Row],[SDate]],weather.tbl[Date],0))</f>
        <v>-9</v>
      </c>
      <c r="V775" s="2">
        <f t="array" ref="V7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6942.3440000000001</v>
      </c>
      <c r="W775" t="s">
        <v>48</v>
      </c>
      <c r="X775">
        <f>IF(OR(vp.data[[#This Row],[Sulf]]="",vp.data[[#This Row],[Dens]]=""),1,0)</f>
        <v>0</v>
      </c>
      <c r="Y775">
        <f>IF(vp.data[[#This Row],[CrudeType]]="C5+",1,0)</f>
        <v>0</v>
      </c>
      <c r="Z775">
        <f>IF(AND(vp.data[[#This Row],[CrudeType]]="Crude",vp.data[[#This Row],[Dens]]&lt;=825,vp.data[[#This Row],[Sulf]]&gt;0.5,vp.data[[#This Row],[Unknown]]=0),1,0)</f>
        <v>0</v>
      </c>
      <c r="AA775">
        <f>IF(AND(vp.data[[#This Row],[CrudeType]]="Crude",vp.data[[#This Row],[Dens]]&lt;=825,vp.data[[#This Row],[Sulf]]&lt;=0.5,vp.data[[#This Row],[Unknown]]=0),1,0)</f>
        <v>0</v>
      </c>
      <c r="AB7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75">
        <f>IF(AND(vp.data[[#This Row],[CrudeType]]="Crude",vp.data[[#This Row],[Dens]]&gt;825,vp.data[[#This Row],[Dens]]&lt;=900,vp.data[[#This Row],[Sulf]]&lt;=0.5,vp.data[[#This Row],[Unknown]]=0),1,0)</f>
        <v>0</v>
      </c>
      <c r="AD775">
        <f>IF(AND(vp.data[[#This Row],[CrudeType]]="Crude",vp.data[[#This Row],[Dens]]&gt;865,vp.data[[#This Row],[Dens]]&lt;=900,vp.data[[#This Row],[Sulf]]&gt;2,vp.data[[#This Row],[Unknown]]=0),1,0)</f>
        <v>0</v>
      </c>
      <c r="AE775">
        <f>IF(AND(vp.data[[#This Row],[CrudeType]]="Crude",vp.data[[#This Row],[Dens]]&gt;900,vp.data[[#This Row],[Sulf]]&lt;=0.5,vp.data[[#This Row],[Unknown]]=0),1,0)</f>
        <v>0</v>
      </c>
      <c r="AF775">
        <f>IF(AND(vp.data[[#This Row],[CrudeType]]="Crude",vp.data[[#This Row],[Dens]]&gt;900,vp.data[[#This Row],[Sulf]]&lt;=0.5,vp.data[[#This Row],[Unknown]]=0),1,0)</f>
        <v>0</v>
      </c>
      <c r="AG775" t="str">
        <f>INDEX(vp.data[[#Headers],[Unknown]:[Heavy_SW]],MATCH(1,vp.data[[#This Row],[Unknown]:[Heavy_SW]],0))</f>
        <v>Medium_LSB</v>
      </c>
      <c r="AH775">
        <f>INDEX([3]!crudeBD.lkup[Number],MATCH(vp.data[[#This Row],[Crude_Breakdown]],crudeBD.lkup[Crude Breakdown],0))</f>
        <v>3</v>
      </c>
      <c r="AI775">
        <f>MONTH(vp.data[[#This Row],[SDate]])</f>
        <v>2</v>
      </c>
      <c r="AJ775" s="5">
        <f>(vp.data[[#This Row],[VP]]-INDEX(crudeBD.lkup[Mean_VP],MATCH(vp.data[[#This Row],[Crude_Breakdown]],crudeBD.lkup[Crude Breakdown],0)))^2</f>
        <v>76.381946196262845</v>
      </c>
      <c r="AK775" s="5">
        <f>(vp.data[[#This Row],[Dens]]-INDEX(crudeBD.lkup[Mean_Dens],MATCH(vp.data[[#This Row],[Crude_Breakdown]],crudeBD.lkup[Crude Breakdown],0)))^2</f>
        <v>198.24640000001395</v>
      </c>
      <c r="AL775" s="5">
        <f>(vp.data[[#This Row],[Sulf]]-INDEX(crudeBD.lkup[Mean_Sulf],MATCH(vp.data[[#This Row],[Crude_Breakdown]],crudeBD.lkup[Crude Breakdown],0)))^2</f>
        <v>0.23482928368329231</v>
      </c>
      <c r="AM775" s="4">
        <f>IF(AND(vp.data[[#This Row],[SDate]]&gt;=DATE(YEAR(vp.data[[#This Row],[SDate]]),5,1),vp.data[[#This Row],[SDate]]&lt;=DATE(YEAR(vp.data[[#This Row],[SDate]]),9,15)),1,0)</f>
        <v>0</v>
      </c>
      <c r="AN775" s="4">
        <f>IF(vp.data[[#This Row],[SDate]]&lt;DATE(2016,12,1),0,1)</f>
        <v>1</v>
      </c>
      <c r="AO775" s="4">
        <f>IFERROR(vp.data[[#This Row],[Sulf]]*vp.data[[#This Row],[Net Dens]],"")</f>
        <v>11138713.254240001</v>
      </c>
      <c r="AP775">
        <f>IFERROR(vp.data[[#This Row],[Dens]]*vp.data[[#This Row],[VolumeM3]],"")</f>
        <v>5956531.1519999998</v>
      </c>
      <c r="AQ775" s="15">
        <f>IFERROR(vp.data[[#This Row],[VP]]*vp.data[[#This Row],[VolumeM3]],"")</f>
        <v>499154.53360000002</v>
      </c>
    </row>
    <row r="776" spans="1:43" x14ac:dyDescent="0.25">
      <c r="A776">
        <v>775</v>
      </c>
      <c r="B776" t="s">
        <v>49</v>
      </c>
      <c r="C776" t="s">
        <v>49</v>
      </c>
      <c r="D776" t="s">
        <v>78</v>
      </c>
      <c r="F776" s="1">
        <v>42777</v>
      </c>
      <c r="G776" s="2">
        <v>87.3</v>
      </c>
      <c r="H776" s="2">
        <v>0.40400000000000003</v>
      </c>
      <c r="I776" s="2">
        <f t="array" ref="I776">_xlfn.IFNA(IF(vp.data[[#This Row],[Sulf Input]]="",INDEX([1]DATA!$Q$3:$Q$9826,MATCH(1,(vp.data[[#This Row],[Battery]]=[1]DATA!$L$3:$L$9826)*(EOMONTH(vp.data[[#This Row],[SDate]],-1)+1=[1]DATA!$G$3:$G$9826),0)),vp.data[[#This Row],[Sulf Input]]),"")</f>
        <v>0.40400000000000003</v>
      </c>
      <c r="J776" s="2"/>
      <c r="K776" s="2">
        <v>-2</v>
      </c>
      <c r="L776" s="2">
        <v>814.8</v>
      </c>
      <c r="M776" s="2">
        <f t="array" ref="M776">_xlfn.IFNA(IF(vp.data[[#This Row],[Dens Input]]="",INDEX([1]DATA!$O$3:$O$9826,MATCH(1,(vp.data[[#This Row],[Battery]]=[1]DATA!$L$3:$L$9826)*(EOMONTH(vp.data[[#This Row],[SDate]],-1)+1=[1]DATA!$G$3:$G$9826),0)),vp.data[[#This Row],[Dens Input]]),"")</f>
        <v>814.8</v>
      </c>
      <c r="N776" s="2">
        <f ca="1">INDEX(INDIRECT(_xlfn.CONCAT("weather.tbl[",N$1,"]")),MATCH(vp.data[[#This Row],[SDate]],weather.tbl[Date],0))</f>
        <v>-5.2833333333333341</v>
      </c>
      <c r="O776" s="2">
        <f ca="1">INDEX(INDIRECT(_xlfn.CONCAT("weather.tbl[",O$1,"]")),MATCH(vp.data[[#This Row],[SDate]],weather.tbl[Date],0))</f>
        <v>-16.085714285714285</v>
      </c>
      <c r="P776" s="2">
        <f ca="1">INDEX(INDIRECT(_xlfn.CONCAT("weather.tbl[",P$1,"]")),MATCH(vp.data[[#This Row],[SDate]],weather.tbl[Date],0))</f>
        <v>-5.3</v>
      </c>
      <c r="Q776" s="2">
        <f ca="1">INDEX(INDIRECT(_xlfn.CONCAT("weather.tbl[",Q$1,"]")),MATCH(vp.data[[#This Row],[SDate]],weather.tbl[Date],0))</f>
        <v>-4.8</v>
      </c>
      <c r="R776" s="2">
        <f ca="1">INDEX(INDIRECT(_xlfn.CONCAT("weather.tbl[",R$1,"]")),MATCH(vp.data[[#This Row],[SDate]],weather.tbl[Date],0))</f>
        <v>-6</v>
      </c>
      <c r="S776" s="2">
        <f ca="1">INDEX(INDIRECT(_xlfn.CONCAT("weather.tbl[",S$1,"]")),MATCH(vp.data[[#This Row],[SDate]],weather.tbl[Date],0))</f>
        <v>-5.3</v>
      </c>
      <c r="T776" s="2">
        <f ca="1">INDEX(INDIRECT(_xlfn.CONCAT("weather.tbl[",T$1,"]")),MATCH(vp.data[[#This Row],[SDate]],weather.tbl[Date],0))</f>
        <v>-3.5</v>
      </c>
      <c r="U776" s="2">
        <f ca="1">INDEX(INDIRECT(_xlfn.CONCAT("weather.tbl[",U$1,"]")),MATCH(vp.data[[#This Row],[SDate]],weather.tbl[Date],0))</f>
        <v>-6.8</v>
      </c>
      <c r="V776" s="2">
        <f t="array" ref="V7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17200.881000000001</v>
      </c>
      <c r="W776" t="s">
        <v>48</v>
      </c>
      <c r="X776">
        <f>IF(OR(vp.data[[#This Row],[Sulf]]="",vp.data[[#This Row],[Dens]]=""),1,0)</f>
        <v>0</v>
      </c>
      <c r="Y776">
        <f>IF(vp.data[[#This Row],[CrudeType]]="C5+",1,0)</f>
        <v>0</v>
      </c>
      <c r="Z776">
        <f>IF(AND(vp.data[[#This Row],[CrudeType]]="Crude",vp.data[[#This Row],[Dens]]&lt;=825,vp.data[[#This Row],[Sulf]]&gt;0.5,vp.data[[#This Row],[Unknown]]=0),1,0)</f>
        <v>0</v>
      </c>
      <c r="AA776">
        <f>IF(AND(vp.data[[#This Row],[CrudeType]]="Crude",vp.data[[#This Row],[Dens]]&lt;=825,vp.data[[#This Row],[Sulf]]&lt;=0.5,vp.data[[#This Row],[Unknown]]=0),1,0)</f>
        <v>1</v>
      </c>
      <c r="AB7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6">
        <f>IF(AND(vp.data[[#This Row],[CrudeType]]="Crude",vp.data[[#This Row],[Dens]]&gt;825,vp.data[[#This Row],[Dens]]&lt;=900,vp.data[[#This Row],[Sulf]]&lt;=0.5,vp.data[[#This Row],[Unknown]]=0),1,0)</f>
        <v>0</v>
      </c>
      <c r="AD776">
        <f>IF(AND(vp.data[[#This Row],[CrudeType]]="Crude",vp.data[[#This Row],[Dens]]&gt;865,vp.data[[#This Row],[Dens]]&lt;=900,vp.data[[#This Row],[Sulf]]&gt;2,vp.data[[#This Row],[Unknown]]=0),1,0)</f>
        <v>0</v>
      </c>
      <c r="AE776">
        <f>IF(AND(vp.data[[#This Row],[CrudeType]]="Crude",vp.data[[#This Row],[Dens]]&gt;900,vp.data[[#This Row],[Sulf]]&lt;=0.5,vp.data[[#This Row],[Unknown]]=0),1,0)</f>
        <v>0</v>
      </c>
      <c r="AF776">
        <f>IF(AND(vp.data[[#This Row],[CrudeType]]="Crude",vp.data[[#This Row],[Dens]]&gt;900,vp.data[[#This Row],[Sulf]]&lt;=0.5,vp.data[[#This Row],[Unknown]]=0),1,0)</f>
        <v>0</v>
      </c>
      <c r="AG776" t="str">
        <f>INDEX(vp.data[[#Headers],[Unknown]:[Heavy_SW]],MATCH(1,vp.data[[#This Row],[Unknown]:[Heavy_SW]],0))</f>
        <v>Light_SW</v>
      </c>
      <c r="AH776">
        <f>INDEX([3]!crudeBD.lkup[Number],MATCH(vp.data[[#This Row],[Crude_Breakdown]],crudeBD.lkup[Crude Breakdown],0))</f>
        <v>2</v>
      </c>
      <c r="AI776">
        <f>MONTH(vp.data[[#This Row],[SDate]])</f>
        <v>2</v>
      </c>
      <c r="AJ776" s="5">
        <f>(vp.data[[#This Row],[VP]]-INDEX(crudeBD.lkup[Mean_VP],MATCH(vp.data[[#This Row],[Crude_Breakdown]],crudeBD.lkup[Crude Breakdown],0)))^2</f>
        <v>27.565792781264516</v>
      </c>
      <c r="AK776" s="5">
        <f>(vp.data[[#This Row],[Dens]]-INDEX(crudeBD.lkup[Mean_Dens],MATCH(vp.data[[#This Row],[Crude_Breakdown]],crudeBD.lkup[Crude Breakdown],0)))^2</f>
        <v>42.100654858019219</v>
      </c>
      <c r="AL776" s="5">
        <f>(vp.data[[#This Row],[Sulf]]-INDEX(crudeBD.lkup[Mean_Sulf],MATCH(vp.data[[#This Row],[Crude_Breakdown]],crudeBD.lkup[Crude Breakdown],0)))^2</f>
        <v>2.8142809692481455E-2</v>
      </c>
      <c r="AM776" s="4">
        <f>IF(AND(vp.data[[#This Row],[SDate]]&gt;=DATE(YEAR(vp.data[[#This Row],[SDate]]),5,1),vp.data[[#This Row],[SDate]]&lt;=DATE(YEAR(vp.data[[#This Row],[SDate]]),9,15)),1,0)</f>
        <v>0</v>
      </c>
      <c r="AN776" s="4">
        <f>IF(vp.data[[#This Row],[SDate]]&lt;DATE(2016,12,1),0,1)</f>
        <v>1</v>
      </c>
      <c r="AO776" s="4">
        <f>IFERROR(vp.data[[#This Row],[Sulf]]*vp.data[[#This Row],[Net Dens]],"")</f>
        <v>5662172.2468752004</v>
      </c>
      <c r="AP776">
        <f>IFERROR(vp.data[[#This Row],[Dens]]*vp.data[[#This Row],[VolumeM3]],"")</f>
        <v>14015277.8388</v>
      </c>
      <c r="AQ776" s="15">
        <f>IFERROR(vp.data[[#This Row],[VP]]*vp.data[[#This Row],[VolumeM3]],"")</f>
        <v>1501636.9113</v>
      </c>
    </row>
    <row r="777" spans="1:43" x14ac:dyDescent="0.25">
      <c r="A777">
        <v>776</v>
      </c>
      <c r="B777" t="s">
        <v>49</v>
      </c>
      <c r="C777" t="s">
        <v>49</v>
      </c>
      <c r="D777" t="s">
        <v>81</v>
      </c>
      <c r="F777" s="1">
        <v>42777</v>
      </c>
      <c r="G777" s="2">
        <v>90.5</v>
      </c>
      <c r="H777" s="2">
        <v>0.48299999999999998</v>
      </c>
      <c r="I777" s="2">
        <f t="array" ref="I777">_xlfn.IFNA(IF(vp.data[[#This Row],[Sulf Input]]="",INDEX([1]DATA!$Q$3:$Q$9826,MATCH(1,(vp.data[[#This Row],[Battery]]=[1]DATA!$L$3:$L$9826)*(EOMONTH(vp.data[[#This Row],[SDate]],-1)+1=[1]DATA!$G$3:$G$9826),0)),vp.data[[#This Row],[Sulf Input]]),"")</f>
        <v>0.48299999999999998</v>
      </c>
      <c r="J777" s="2">
        <v>4.7</v>
      </c>
      <c r="K777" s="2">
        <v>-2</v>
      </c>
      <c r="L777" s="2">
        <v>809.1</v>
      </c>
      <c r="M777" s="2">
        <f t="array" ref="M777">_xlfn.IFNA(IF(vp.data[[#This Row],[Dens Input]]="",INDEX([1]DATA!$O$3:$O$9826,MATCH(1,(vp.data[[#This Row],[Battery]]=[1]DATA!$L$3:$L$9826)*(EOMONTH(vp.data[[#This Row],[SDate]],-1)+1=[1]DATA!$G$3:$G$9826),0)),vp.data[[#This Row],[Dens Input]]),"")</f>
        <v>809.1</v>
      </c>
      <c r="N777" s="2">
        <f ca="1">INDEX(INDIRECT(_xlfn.CONCAT("weather.tbl[",N$1,"]")),MATCH(vp.data[[#This Row],[SDate]],weather.tbl[Date],0))</f>
        <v>-5.2833333333333341</v>
      </c>
      <c r="O777" s="2">
        <f ca="1">INDEX(INDIRECT(_xlfn.CONCAT("weather.tbl[",O$1,"]")),MATCH(vp.data[[#This Row],[SDate]],weather.tbl[Date],0))</f>
        <v>-16.085714285714285</v>
      </c>
      <c r="P777" s="2">
        <f ca="1">INDEX(INDIRECT(_xlfn.CONCAT("weather.tbl[",P$1,"]")),MATCH(vp.data[[#This Row],[SDate]],weather.tbl[Date],0))</f>
        <v>-5.3</v>
      </c>
      <c r="Q777" s="2">
        <f ca="1">INDEX(INDIRECT(_xlfn.CONCAT("weather.tbl[",Q$1,"]")),MATCH(vp.data[[#This Row],[SDate]],weather.tbl[Date],0))</f>
        <v>-4.8</v>
      </c>
      <c r="R777" s="2">
        <f ca="1">INDEX(INDIRECT(_xlfn.CONCAT("weather.tbl[",R$1,"]")),MATCH(vp.data[[#This Row],[SDate]],weather.tbl[Date],0))</f>
        <v>-6</v>
      </c>
      <c r="S777" s="2">
        <f ca="1">INDEX(INDIRECT(_xlfn.CONCAT("weather.tbl[",S$1,"]")),MATCH(vp.data[[#This Row],[SDate]],weather.tbl[Date],0))</f>
        <v>-5.3</v>
      </c>
      <c r="T777" s="2">
        <f ca="1">INDEX(INDIRECT(_xlfn.CONCAT("weather.tbl[",T$1,"]")),MATCH(vp.data[[#This Row],[SDate]],weather.tbl[Date],0))</f>
        <v>-3.5</v>
      </c>
      <c r="U777" s="2">
        <f ca="1">INDEX(INDIRECT(_xlfn.CONCAT("weather.tbl[",U$1,"]")),MATCH(vp.data[[#This Row],[SDate]],weather.tbl[Date],0))</f>
        <v>-6.8</v>
      </c>
      <c r="V777" s="2">
        <f t="array" ref="V7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20596.550999999999</v>
      </c>
      <c r="W777" t="s">
        <v>48</v>
      </c>
      <c r="X777">
        <f>IF(OR(vp.data[[#This Row],[Sulf]]="",vp.data[[#This Row],[Dens]]=""),1,0)</f>
        <v>0</v>
      </c>
      <c r="Y777">
        <f>IF(vp.data[[#This Row],[CrudeType]]="C5+",1,0)</f>
        <v>0</v>
      </c>
      <c r="Z777">
        <f>IF(AND(vp.data[[#This Row],[CrudeType]]="Crude",vp.data[[#This Row],[Dens]]&lt;=825,vp.data[[#This Row],[Sulf]]&gt;0.5,vp.data[[#This Row],[Unknown]]=0),1,0)</f>
        <v>0</v>
      </c>
      <c r="AA777">
        <f>IF(AND(vp.data[[#This Row],[CrudeType]]="Crude",vp.data[[#This Row],[Dens]]&lt;=825,vp.data[[#This Row],[Sulf]]&lt;=0.5,vp.data[[#This Row],[Unknown]]=0),1,0)</f>
        <v>1</v>
      </c>
      <c r="AB7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7">
        <f>IF(AND(vp.data[[#This Row],[CrudeType]]="Crude",vp.data[[#This Row],[Dens]]&gt;825,vp.data[[#This Row],[Dens]]&lt;=900,vp.data[[#This Row],[Sulf]]&lt;=0.5,vp.data[[#This Row],[Unknown]]=0),1,0)</f>
        <v>0</v>
      </c>
      <c r="AD777">
        <f>IF(AND(vp.data[[#This Row],[CrudeType]]="Crude",vp.data[[#This Row],[Dens]]&gt;865,vp.data[[#This Row],[Dens]]&lt;=900,vp.data[[#This Row],[Sulf]]&gt;2,vp.data[[#This Row],[Unknown]]=0),1,0)</f>
        <v>0</v>
      </c>
      <c r="AE777">
        <f>IF(AND(vp.data[[#This Row],[CrudeType]]="Crude",vp.data[[#This Row],[Dens]]&gt;900,vp.data[[#This Row],[Sulf]]&lt;=0.5,vp.data[[#This Row],[Unknown]]=0),1,0)</f>
        <v>0</v>
      </c>
      <c r="AF777">
        <f>IF(AND(vp.data[[#This Row],[CrudeType]]="Crude",vp.data[[#This Row],[Dens]]&gt;900,vp.data[[#This Row],[Sulf]]&lt;=0.5,vp.data[[#This Row],[Unknown]]=0),1,0)</f>
        <v>0</v>
      </c>
      <c r="AG777" t="str">
        <f>INDEX(vp.data[[#Headers],[Unknown]:[Heavy_SW]],MATCH(1,vp.data[[#This Row],[Unknown]:[Heavy_SW]],0))</f>
        <v>Light_SW</v>
      </c>
      <c r="AH777">
        <f>INDEX([3]!crudeBD.lkup[Number],MATCH(vp.data[[#This Row],[Crude_Breakdown]],crudeBD.lkup[Crude Breakdown],0))</f>
        <v>2</v>
      </c>
      <c r="AI777">
        <f>MONTH(vp.data[[#This Row],[SDate]])</f>
        <v>2</v>
      </c>
      <c r="AJ777" s="5">
        <f>(vp.data[[#This Row],[VP]]-INDEX(crudeBD.lkup[Mean_VP],MATCH(vp.data[[#This Row],[Crude_Breakdown]],crudeBD.lkup[Crude Breakdown],0)))^2</f>
        <v>4.2037858126235603</v>
      </c>
      <c r="AK777" s="5">
        <f>(vp.data[[#This Row],[Dens]]-INDEX(crudeBD.lkup[Mean_Dens],MATCH(vp.data[[#This Row],[Crude_Breakdown]],crudeBD.lkup[Crude Breakdown],0)))^2</f>
        <v>0.6217349973901749</v>
      </c>
      <c r="AL777" s="5">
        <f>(vp.data[[#This Row],[Sulf]]-INDEX(crudeBD.lkup[Mean_Sulf],MATCH(vp.data[[#This Row],[Crude_Breakdown]],crudeBD.lkup[Crude Breakdown],0)))^2</f>
        <v>6.0889603420704458E-2</v>
      </c>
      <c r="AM777" s="4">
        <f>IF(AND(vp.data[[#This Row],[SDate]]&gt;=DATE(YEAR(vp.data[[#This Row],[SDate]]),5,1),vp.data[[#This Row],[SDate]]&lt;=DATE(YEAR(vp.data[[#This Row],[SDate]]),9,15)),1,0)</f>
        <v>0</v>
      </c>
      <c r="AN777" s="4">
        <f>IF(vp.data[[#This Row],[SDate]]&lt;DATE(2016,12,1),0,1)</f>
        <v>1</v>
      </c>
      <c r="AO777" s="4">
        <f>IFERROR(vp.data[[#This Row],[Sulf]]*vp.data[[#This Row],[Net Dens]],"")</f>
        <v>8049035.3270103</v>
      </c>
      <c r="AP777">
        <f>IFERROR(vp.data[[#This Row],[Dens]]*vp.data[[#This Row],[VolumeM3]],"")</f>
        <v>16664669.414100001</v>
      </c>
      <c r="AQ777" s="15">
        <f>IFERROR(vp.data[[#This Row],[VP]]*vp.data[[#This Row],[VolumeM3]],"")</f>
        <v>1863987.8654999998</v>
      </c>
    </row>
    <row r="778" spans="1:43" x14ac:dyDescent="0.25">
      <c r="A778">
        <v>777</v>
      </c>
      <c r="B778" t="s">
        <v>49</v>
      </c>
      <c r="C778" t="s">
        <v>49</v>
      </c>
      <c r="D778" t="s">
        <v>92</v>
      </c>
      <c r="F778" s="1">
        <v>42777</v>
      </c>
      <c r="G778" s="2">
        <v>85.4</v>
      </c>
      <c r="H778" s="2">
        <v>0.55700000000000005</v>
      </c>
      <c r="I778" s="2">
        <f t="array" ref="I778">_xlfn.IFNA(IF(vp.data[[#This Row],[Sulf Input]]="",INDEX([1]DATA!$Q$3:$Q$9826,MATCH(1,(vp.data[[#This Row],[Battery]]=[1]DATA!$L$3:$L$9826)*(EOMONTH(vp.data[[#This Row],[SDate]],-1)+1=[1]DATA!$G$3:$G$9826),0)),vp.data[[#This Row],[Sulf Input]]),"")</f>
        <v>0.55700000000000005</v>
      </c>
      <c r="J778" s="2">
        <v>20.3</v>
      </c>
      <c r="K778" s="2">
        <v>-2</v>
      </c>
      <c r="L778" s="2">
        <v>820.8</v>
      </c>
      <c r="M778" s="2">
        <f t="array" ref="M778">_xlfn.IFNA(IF(vp.data[[#This Row],[Dens Input]]="",INDEX([1]DATA!$O$3:$O$9826,MATCH(1,(vp.data[[#This Row],[Battery]]=[1]DATA!$L$3:$L$9826)*(EOMONTH(vp.data[[#This Row],[SDate]],-1)+1=[1]DATA!$G$3:$G$9826),0)),vp.data[[#This Row],[Dens Input]]),"")</f>
        <v>820.8</v>
      </c>
      <c r="N778" s="2">
        <f ca="1">INDEX(INDIRECT(_xlfn.CONCAT("weather.tbl[",N$1,"]")),MATCH(vp.data[[#This Row],[SDate]],weather.tbl[Date],0))</f>
        <v>-5.2833333333333341</v>
      </c>
      <c r="O778" s="2">
        <f ca="1">INDEX(INDIRECT(_xlfn.CONCAT("weather.tbl[",O$1,"]")),MATCH(vp.data[[#This Row],[SDate]],weather.tbl[Date],0))</f>
        <v>-16.085714285714285</v>
      </c>
      <c r="P778" s="2">
        <f ca="1">INDEX(INDIRECT(_xlfn.CONCAT("weather.tbl[",P$1,"]")),MATCH(vp.data[[#This Row],[SDate]],weather.tbl[Date],0))</f>
        <v>-5.3</v>
      </c>
      <c r="Q778" s="2">
        <f ca="1">INDEX(INDIRECT(_xlfn.CONCAT("weather.tbl[",Q$1,"]")),MATCH(vp.data[[#This Row],[SDate]],weather.tbl[Date],0))</f>
        <v>-4.8</v>
      </c>
      <c r="R778" s="2">
        <f ca="1">INDEX(INDIRECT(_xlfn.CONCAT("weather.tbl[",R$1,"]")),MATCH(vp.data[[#This Row],[SDate]],weather.tbl[Date],0))</f>
        <v>-6</v>
      </c>
      <c r="S778" s="2">
        <f ca="1">INDEX(INDIRECT(_xlfn.CONCAT("weather.tbl[",S$1,"]")),MATCH(vp.data[[#This Row],[SDate]],weather.tbl[Date],0))</f>
        <v>-5.3</v>
      </c>
      <c r="T778" s="2">
        <f ca="1">INDEX(INDIRECT(_xlfn.CONCAT("weather.tbl[",T$1,"]")),MATCH(vp.data[[#This Row],[SDate]],weather.tbl[Date],0))</f>
        <v>-3.5</v>
      </c>
      <c r="U778" s="2">
        <f ca="1">INDEX(INDIRECT(_xlfn.CONCAT("weather.tbl[",U$1,"]")),MATCH(vp.data[[#This Row],[SDate]],weather.tbl[Date],0))</f>
        <v>-6.8</v>
      </c>
      <c r="V778" s="2">
        <f t="array" ref="V7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20149.223999999998</v>
      </c>
      <c r="W778" t="s">
        <v>48</v>
      </c>
      <c r="X778">
        <f>IF(OR(vp.data[[#This Row],[Sulf]]="",vp.data[[#This Row],[Dens]]=""),1,0)</f>
        <v>0</v>
      </c>
      <c r="Y778">
        <f>IF(vp.data[[#This Row],[CrudeType]]="C5+",1,0)</f>
        <v>0</v>
      </c>
      <c r="Z778">
        <f>IF(AND(vp.data[[#This Row],[CrudeType]]="Crude",vp.data[[#This Row],[Dens]]&lt;=825,vp.data[[#This Row],[Sulf]]&gt;0.5,vp.data[[#This Row],[Unknown]]=0),1,0)</f>
        <v>1</v>
      </c>
      <c r="AA778">
        <f>IF(AND(vp.data[[#This Row],[CrudeType]]="Crude",vp.data[[#This Row],[Dens]]&lt;=825,vp.data[[#This Row],[Sulf]]&lt;=0.5,vp.data[[#This Row],[Unknown]]=0),1,0)</f>
        <v>0</v>
      </c>
      <c r="AB7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8">
        <f>IF(AND(vp.data[[#This Row],[CrudeType]]="Crude",vp.data[[#This Row],[Dens]]&gt;825,vp.data[[#This Row],[Dens]]&lt;=900,vp.data[[#This Row],[Sulf]]&lt;=0.5,vp.data[[#This Row],[Unknown]]=0),1,0)</f>
        <v>0</v>
      </c>
      <c r="AD778">
        <f>IF(AND(vp.data[[#This Row],[CrudeType]]="Crude",vp.data[[#This Row],[Dens]]&gt;865,vp.data[[#This Row],[Dens]]&lt;=900,vp.data[[#This Row],[Sulf]]&gt;2,vp.data[[#This Row],[Unknown]]=0),1,0)</f>
        <v>0</v>
      </c>
      <c r="AE778">
        <f>IF(AND(vp.data[[#This Row],[CrudeType]]="Crude",vp.data[[#This Row],[Dens]]&gt;900,vp.data[[#This Row],[Sulf]]&lt;=0.5,vp.data[[#This Row],[Unknown]]=0),1,0)</f>
        <v>0</v>
      </c>
      <c r="AF778">
        <f>IF(AND(vp.data[[#This Row],[CrudeType]]="Crude",vp.data[[#This Row],[Dens]]&gt;900,vp.data[[#This Row],[Sulf]]&lt;=0.5,vp.data[[#This Row],[Unknown]]=0),1,0)</f>
        <v>0</v>
      </c>
      <c r="AG778" t="str">
        <f>INDEX(vp.data[[#Headers],[Unknown]:[Heavy_SW]],MATCH(1,vp.data[[#This Row],[Unknown]:[Heavy_SW]],0))</f>
        <v>Light_LSB</v>
      </c>
      <c r="AH778">
        <f>INDEX([3]!crudeBD.lkup[Number],MATCH(vp.data[[#This Row],[Crude_Breakdown]],crudeBD.lkup[Crude Breakdown],0))</f>
        <v>1</v>
      </c>
      <c r="AI778">
        <f>MONTH(vp.data[[#This Row],[SDate]])</f>
        <v>2</v>
      </c>
      <c r="AJ778" s="5">
        <f>(vp.data[[#This Row],[VP]]-INDEX(crudeBD.lkup[Mean_VP],MATCH(vp.data[[#This Row],[Crude_Breakdown]],crudeBD.lkup[Crude Breakdown],0)))^2</f>
        <v>37.775597024126149</v>
      </c>
      <c r="AK778" s="5">
        <f>(vp.data[[#This Row],[Dens]]-INDEX(crudeBD.lkup[Mean_Dens],MATCH(vp.data[[#This Row],[Crude_Breakdown]],crudeBD.lkup[Crude Breakdown],0)))^2</f>
        <v>5.2131403313624531</v>
      </c>
      <c r="AL778" s="5">
        <f>(vp.data[[#This Row],[Sulf]]-INDEX(crudeBD.lkup[Mean_Sulf],MATCH(vp.data[[#This Row],[Crude_Breakdown]],crudeBD.lkup[Crude Breakdown],0)))^2</f>
        <v>0.13393489608899375</v>
      </c>
      <c r="AM778" s="4">
        <f>IF(AND(vp.data[[#This Row],[SDate]]&gt;=DATE(YEAR(vp.data[[#This Row],[SDate]]),5,1),vp.data[[#This Row],[SDate]]&lt;=DATE(YEAR(vp.data[[#This Row],[SDate]]),9,15)),1,0)</f>
        <v>0</v>
      </c>
      <c r="AN778" s="4">
        <f>IF(vp.data[[#This Row],[SDate]]&lt;DATE(2016,12,1),0,1)</f>
        <v>1</v>
      </c>
      <c r="AO778" s="4">
        <f>IFERROR(vp.data[[#This Row],[Sulf]]*vp.data[[#This Row],[Net Dens]],"")</f>
        <v>9211935.0639743991</v>
      </c>
      <c r="AP778">
        <f>IFERROR(vp.data[[#This Row],[Dens]]*vp.data[[#This Row],[VolumeM3]],"")</f>
        <v>16538483.059199998</v>
      </c>
      <c r="AQ778" s="15">
        <f>IFERROR(vp.data[[#This Row],[VP]]*vp.data[[#This Row],[VolumeM3]],"")</f>
        <v>1720743.7296</v>
      </c>
    </row>
    <row r="779" spans="1:43" x14ac:dyDescent="0.25">
      <c r="A779">
        <v>778</v>
      </c>
      <c r="B779" t="s">
        <v>49</v>
      </c>
      <c r="C779" t="s">
        <v>49</v>
      </c>
      <c r="D779" t="s">
        <v>89</v>
      </c>
      <c r="F779" s="1">
        <v>42777</v>
      </c>
      <c r="G779" s="2">
        <v>101.5</v>
      </c>
      <c r="H779" s="2">
        <v>0.89100000000000001</v>
      </c>
      <c r="I779" s="2">
        <f t="array" ref="I779">_xlfn.IFNA(IF(vp.data[[#This Row],[Sulf Input]]="",INDEX([1]DATA!$Q$3:$Q$9826,MATCH(1,(vp.data[[#This Row],[Battery]]=[1]DATA!$L$3:$L$9826)*(EOMONTH(vp.data[[#This Row],[SDate]],-1)+1=[1]DATA!$G$3:$G$9826),0)),vp.data[[#This Row],[Sulf Input]]),"")</f>
        <v>0.89100000000000001</v>
      </c>
      <c r="J779" s="2">
        <v>2.1</v>
      </c>
      <c r="K779" s="2">
        <v>-2</v>
      </c>
      <c r="L779" s="2">
        <v>818.4</v>
      </c>
      <c r="M779" s="2">
        <f t="array" ref="M779">_xlfn.IFNA(IF(vp.data[[#This Row],[Dens Input]]="",INDEX([1]DATA!$O$3:$O$9826,MATCH(1,(vp.data[[#This Row],[Battery]]=[1]DATA!$L$3:$L$9826)*(EOMONTH(vp.data[[#This Row],[SDate]],-1)+1=[1]DATA!$G$3:$G$9826),0)),vp.data[[#This Row],[Dens Input]]),"")</f>
        <v>818.4</v>
      </c>
      <c r="N779" s="2">
        <f ca="1">INDEX(INDIRECT(_xlfn.CONCAT("weather.tbl[",N$1,"]")),MATCH(vp.data[[#This Row],[SDate]],weather.tbl[Date],0))</f>
        <v>-5.2833333333333341</v>
      </c>
      <c r="O779" s="2">
        <f ca="1">INDEX(INDIRECT(_xlfn.CONCAT("weather.tbl[",O$1,"]")),MATCH(vp.data[[#This Row],[SDate]],weather.tbl[Date],0))</f>
        <v>-16.085714285714285</v>
      </c>
      <c r="P779" s="2">
        <f ca="1">INDEX(INDIRECT(_xlfn.CONCAT("weather.tbl[",P$1,"]")),MATCH(vp.data[[#This Row],[SDate]],weather.tbl[Date],0))</f>
        <v>-5.3</v>
      </c>
      <c r="Q779" s="2">
        <f ca="1">INDEX(INDIRECT(_xlfn.CONCAT("weather.tbl[",Q$1,"]")),MATCH(vp.data[[#This Row],[SDate]],weather.tbl[Date],0))</f>
        <v>-4.8</v>
      </c>
      <c r="R779" s="2">
        <f ca="1">INDEX(INDIRECT(_xlfn.CONCAT("weather.tbl[",R$1,"]")),MATCH(vp.data[[#This Row],[SDate]],weather.tbl[Date],0))</f>
        <v>-6</v>
      </c>
      <c r="S779" s="2">
        <f ca="1">INDEX(INDIRECT(_xlfn.CONCAT("weather.tbl[",S$1,"]")),MATCH(vp.data[[#This Row],[SDate]],weather.tbl[Date],0))</f>
        <v>-5.3</v>
      </c>
      <c r="T779" s="2">
        <f ca="1">INDEX(INDIRECT(_xlfn.CONCAT("weather.tbl[",T$1,"]")),MATCH(vp.data[[#This Row],[SDate]],weather.tbl[Date],0))</f>
        <v>-3.5</v>
      </c>
      <c r="U779" s="2">
        <f ca="1">INDEX(INDIRECT(_xlfn.CONCAT("weather.tbl[",U$1,"]")),MATCH(vp.data[[#This Row],[SDate]],weather.tbl[Date],0))</f>
        <v>-6.8</v>
      </c>
      <c r="V779" s="2">
        <f t="array" ref="V7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779" t="s">
        <v>48</v>
      </c>
      <c r="X779">
        <f>IF(OR(vp.data[[#This Row],[Sulf]]="",vp.data[[#This Row],[Dens]]=""),1,0)</f>
        <v>0</v>
      </c>
      <c r="Y779">
        <f>IF(vp.data[[#This Row],[CrudeType]]="C5+",1,0)</f>
        <v>0</v>
      </c>
      <c r="Z779">
        <f>IF(AND(vp.data[[#This Row],[CrudeType]]="Crude",vp.data[[#This Row],[Dens]]&lt;=825,vp.data[[#This Row],[Sulf]]&gt;0.5,vp.data[[#This Row],[Unknown]]=0),1,0)</f>
        <v>1</v>
      </c>
      <c r="AA779">
        <f>IF(AND(vp.data[[#This Row],[CrudeType]]="Crude",vp.data[[#This Row],[Dens]]&lt;=825,vp.data[[#This Row],[Sulf]]&lt;=0.5,vp.data[[#This Row],[Unknown]]=0),1,0)</f>
        <v>0</v>
      </c>
      <c r="AB7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79">
        <f>IF(AND(vp.data[[#This Row],[CrudeType]]="Crude",vp.data[[#This Row],[Dens]]&gt;825,vp.data[[#This Row],[Dens]]&lt;=900,vp.data[[#This Row],[Sulf]]&lt;=0.5,vp.data[[#This Row],[Unknown]]=0),1,0)</f>
        <v>0</v>
      </c>
      <c r="AD779">
        <f>IF(AND(vp.data[[#This Row],[CrudeType]]="Crude",vp.data[[#This Row],[Dens]]&gt;865,vp.data[[#This Row],[Dens]]&lt;=900,vp.data[[#This Row],[Sulf]]&gt;2,vp.data[[#This Row],[Unknown]]=0),1,0)</f>
        <v>0</v>
      </c>
      <c r="AE779">
        <f>IF(AND(vp.data[[#This Row],[CrudeType]]="Crude",vp.data[[#This Row],[Dens]]&gt;900,vp.data[[#This Row],[Sulf]]&lt;=0.5,vp.data[[#This Row],[Unknown]]=0),1,0)</f>
        <v>0</v>
      </c>
      <c r="AF779">
        <f>IF(AND(vp.data[[#This Row],[CrudeType]]="Crude",vp.data[[#This Row],[Dens]]&gt;900,vp.data[[#This Row],[Sulf]]&lt;=0.5,vp.data[[#This Row],[Unknown]]=0),1,0)</f>
        <v>0</v>
      </c>
      <c r="AG779" t="str">
        <f>INDEX(vp.data[[#Headers],[Unknown]:[Heavy_SW]],MATCH(1,vp.data[[#This Row],[Unknown]:[Heavy_SW]],0))</f>
        <v>Light_LSB</v>
      </c>
      <c r="AH779">
        <f>INDEX([3]!crudeBD.lkup[Number],MATCH(vp.data[[#This Row],[Crude_Breakdown]],crudeBD.lkup[Crude Breakdown],0))</f>
        <v>1</v>
      </c>
      <c r="AI779">
        <f>MONTH(vp.data[[#This Row],[SDate]])</f>
        <v>2</v>
      </c>
      <c r="AJ779" s="5">
        <f>(vp.data[[#This Row],[VP]]-INDEX(crudeBD.lkup[Mean_VP],MATCH(vp.data[[#This Row],[Crude_Breakdown]],crudeBD.lkup[Crude Breakdown],0)))^2</f>
        <v>99.078421766393262</v>
      </c>
      <c r="AK779" s="5">
        <f>(vp.data[[#This Row],[Dens]]-INDEX(crudeBD.lkup[Mean_Dens],MATCH(vp.data[[#This Row],[Crude_Breakdown]],crudeBD.lkup[Crude Breakdown],0)))^2</f>
        <v>1.3635176721982943E-2</v>
      </c>
      <c r="AL779" s="5">
        <f>(vp.data[[#This Row],[Sulf]]-INDEX(crudeBD.lkup[Mean_Sulf],MATCH(vp.data[[#This Row],[Crude_Breakdown]],crudeBD.lkup[Crude Breakdown],0)))^2</f>
        <v>1.0221556078943157E-3</v>
      </c>
      <c r="AM779" s="4">
        <f>IF(AND(vp.data[[#This Row],[SDate]]&gt;=DATE(YEAR(vp.data[[#This Row],[SDate]]),5,1),vp.data[[#This Row],[SDate]]&lt;=DATE(YEAR(vp.data[[#This Row],[SDate]]),9,15)),1,0)</f>
        <v>0</v>
      </c>
      <c r="AN779" s="4">
        <f>IF(vp.data[[#This Row],[SDate]]&lt;DATE(2016,12,1),0,1)</f>
        <v>1</v>
      </c>
      <c r="AO779" s="4">
        <f>IFERROR(vp.data[[#This Row],[Sulf]]*vp.data[[#This Row],[Net Dens]],"")</f>
        <v>3692074.5867456002</v>
      </c>
      <c r="AP779">
        <f>IFERROR(vp.data[[#This Row],[Dens]]*vp.data[[#This Row],[VolumeM3]],"")</f>
        <v>4143742.5216000001</v>
      </c>
      <c r="AQ779" s="15">
        <f>IFERROR(vp.data[[#This Row],[VP]]*vp.data[[#This Row],[VolumeM3]],"")</f>
        <v>513917.23600000003</v>
      </c>
    </row>
    <row r="780" spans="1:43" x14ac:dyDescent="0.25">
      <c r="A780">
        <v>779</v>
      </c>
      <c r="B780" t="s">
        <v>51</v>
      </c>
      <c r="C780" t="s">
        <v>51</v>
      </c>
      <c r="D780" t="s">
        <v>58</v>
      </c>
      <c r="F780" s="1">
        <v>42777</v>
      </c>
      <c r="G780" s="2">
        <v>102.1</v>
      </c>
      <c r="H780" s="2"/>
      <c r="I780" s="2">
        <f t="array" ref="I780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780" s="2">
        <v>23.9</v>
      </c>
      <c r="K780" s="2">
        <v>-2</v>
      </c>
      <c r="L780" s="2">
        <v>811.6</v>
      </c>
      <c r="M780" s="2">
        <f t="array" ref="M780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780" s="2">
        <f ca="1">INDEX(INDIRECT(_xlfn.CONCAT("weather.tbl[",N$1,"]")),MATCH(vp.data[[#This Row],[SDate]],weather.tbl[Date],0))</f>
        <v>-5.2833333333333341</v>
      </c>
      <c r="O780" s="2">
        <f ca="1">INDEX(INDIRECT(_xlfn.CONCAT("weather.tbl[",O$1,"]")),MATCH(vp.data[[#This Row],[SDate]],weather.tbl[Date],0))</f>
        <v>-16.085714285714285</v>
      </c>
      <c r="P780" s="2">
        <f ca="1">INDEX(INDIRECT(_xlfn.CONCAT("weather.tbl[",P$1,"]")),MATCH(vp.data[[#This Row],[SDate]],weather.tbl[Date],0))</f>
        <v>-5.3</v>
      </c>
      <c r="Q780" s="2">
        <f ca="1">INDEX(INDIRECT(_xlfn.CONCAT("weather.tbl[",Q$1,"]")),MATCH(vp.data[[#This Row],[SDate]],weather.tbl[Date],0))</f>
        <v>-4.8</v>
      </c>
      <c r="R780" s="2">
        <f ca="1">INDEX(INDIRECT(_xlfn.CONCAT("weather.tbl[",R$1,"]")),MATCH(vp.data[[#This Row],[SDate]],weather.tbl[Date],0))</f>
        <v>-6</v>
      </c>
      <c r="S780" s="2">
        <f ca="1">INDEX(INDIRECT(_xlfn.CONCAT("weather.tbl[",S$1,"]")),MATCH(vp.data[[#This Row],[SDate]],weather.tbl[Date],0))</f>
        <v>-5.3</v>
      </c>
      <c r="T780" s="2">
        <f ca="1">INDEX(INDIRECT(_xlfn.CONCAT("weather.tbl[",T$1,"]")),MATCH(vp.data[[#This Row],[SDate]],weather.tbl[Date],0))</f>
        <v>-3.5</v>
      </c>
      <c r="U780" s="2">
        <f ca="1">INDEX(INDIRECT(_xlfn.CONCAT("weather.tbl[",U$1,"]")),MATCH(vp.data[[#This Row],[SDate]],weather.tbl[Date],0))</f>
        <v>-6.8</v>
      </c>
      <c r="V780" s="2">
        <f t="array" ref="V7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5483.6130000000003</v>
      </c>
      <c r="W780" t="s">
        <v>48</v>
      </c>
      <c r="X780">
        <f>IF(OR(vp.data[[#This Row],[Sulf]]="",vp.data[[#This Row],[Dens]]=""),1,0)</f>
        <v>0</v>
      </c>
      <c r="Y780">
        <f>IF(vp.data[[#This Row],[CrudeType]]="C5+",1,0)</f>
        <v>0</v>
      </c>
      <c r="Z780">
        <f>IF(AND(vp.data[[#This Row],[CrudeType]]="Crude",vp.data[[#This Row],[Dens]]&lt;=825,vp.data[[#This Row],[Sulf]]&gt;0.5,vp.data[[#This Row],[Unknown]]=0),1,0)</f>
        <v>1</v>
      </c>
      <c r="AA780">
        <f>IF(AND(vp.data[[#This Row],[CrudeType]]="Crude",vp.data[[#This Row],[Dens]]&lt;=825,vp.data[[#This Row],[Sulf]]&lt;=0.5,vp.data[[#This Row],[Unknown]]=0),1,0)</f>
        <v>0</v>
      </c>
      <c r="AB7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0">
        <f>IF(AND(vp.data[[#This Row],[CrudeType]]="Crude",vp.data[[#This Row],[Dens]]&gt;825,vp.data[[#This Row],[Dens]]&lt;=900,vp.data[[#This Row],[Sulf]]&lt;=0.5,vp.data[[#This Row],[Unknown]]=0),1,0)</f>
        <v>0</v>
      </c>
      <c r="AD780">
        <f>IF(AND(vp.data[[#This Row],[CrudeType]]="Crude",vp.data[[#This Row],[Dens]]&gt;865,vp.data[[#This Row],[Dens]]&lt;=900,vp.data[[#This Row],[Sulf]]&gt;2,vp.data[[#This Row],[Unknown]]=0),1,0)</f>
        <v>0</v>
      </c>
      <c r="AE780">
        <f>IF(AND(vp.data[[#This Row],[CrudeType]]="Crude",vp.data[[#This Row],[Dens]]&gt;900,vp.data[[#This Row],[Sulf]]&lt;=0.5,vp.data[[#This Row],[Unknown]]=0),1,0)</f>
        <v>0</v>
      </c>
      <c r="AF780">
        <f>IF(AND(vp.data[[#This Row],[CrudeType]]="Crude",vp.data[[#This Row],[Dens]]&gt;900,vp.data[[#This Row],[Sulf]]&lt;=0.5,vp.data[[#This Row],[Unknown]]=0),1,0)</f>
        <v>0</v>
      </c>
      <c r="AG780" t="str">
        <f>INDEX(vp.data[[#Headers],[Unknown]:[Heavy_SW]],MATCH(1,vp.data[[#This Row],[Unknown]:[Heavy_SW]],0))</f>
        <v>Light_LSB</v>
      </c>
      <c r="AH780">
        <f>INDEX([3]!crudeBD.lkup[Number],MATCH(vp.data[[#This Row],[Crude_Breakdown]],crudeBD.lkup[Crude Breakdown],0))</f>
        <v>1</v>
      </c>
      <c r="AI780">
        <f>MONTH(vp.data[[#This Row],[SDate]])</f>
        <v>2</v>
      </c>
      <c r="AJ780" s="5">
        <f>(vp.data[[#This Row],[VP]]-INDEX(crudeBD.lkup[Mean_VP],MATCH(vp.data[[#This Row],[Crude_Breakdown]],crudeBD.lkup[Crude Breakdown],0)))^2</f>
        <v>111.38299908598073</v>
      </c>
      <c r="AK780" s="5">
        <f>(vp.data[[#This Row],[Dens]]-INDEX(crudeBD.lkup[Mean_Dens],MATCH(vp.data[[#This Row],[Crude_Breakdown]],crudeBD.lkup[Crude Breakdown],0)))^2</f>
        <v>47.841703905239726</v>
      </c>
      <c r="AL780" s="5">
        <f>(vp.data[[#This Row],[Sulf]]-INDEX(crudeBD.lkup[Mean_Sulf],MATCH(vp.data[[#This Row],[Crude_Breakdown]],crudeBD.lkup[Crude Breakdown],0)))^2</f>
        <v>0.26731881272129659</v>
      </c>
      <c r="AM780" s="4">
        <f>IF(AND(vp.data[[#This Row],[SDate]]&gt;=DATE(YEAR(vp.data[[#This Row],[SDate]]),5,1),vp.data[[#This Row],[SDate]]&lt;=DATE(YEAR(vp.data[[#This Row],[SDate]]),9,15)),1,0)</f>
        <v>0</v>
      </c>
      <c r="AN780" s="4">
        <f>IF(vp.data[[#This Row],[SDate]]&lt;DATE(2016,12,1),0,1)</f>
        <v>1</v>
      </c>
      <c r="AO780" s="4">
        <f>IFERROR(vp.data[[#This Row],[Sulf]]*vp.data[[#This Row],[Net Dens]],"")</f>
        <v>6408720.4475520002</v>
      </c>
      <c r="AP780">
        <f>IFERROR(vp.data[[#This Row],[Dens]]*vp.data[[#This Row],[VolumeM3]],"")</f>
        <v>4450500.3108000001</v>
      </c>
      <c r="AQ780" s="15">
        <f>IFERROR(vp.data[[#This Row],[VP]]*vp.data[[#This Row],[VolumeM3]],"")</f>
        <v>559876.88729999994</v>
      </c>
    </row>
    <row r="781" spans="1:43" x14ac:dyDescent="0.25">
      <c r="A781">
        <v>780</v>
      </c>
      <c r="B781" t="s">
        <v>51</v>
      </c>
      <c r="C781" t="s">
        <v>51</v>
      </c>
      <c r="D781" t="s">
        <v>72</v>
      </c>
      <c r="F781" s="1">
        <v>42777</v>
      </c>
      <c r="G781" s="2">
        <v>100</v>
      </c>
      <c r="H781" s="2"/>
      <c r="I781" s="2">
        <f t="array" ref="I781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781" s="2">
        <v>24.5</v>
      </c>
      <c r="K781" s="2">
        <v>-2</v>
      </c>
      <c r="L781" s="2">
        <v>829</v>
      </c>
      <c r="M781" s="2">
        <f t="array" ref="M781">_xlfn.IFNA(IF(vp.data[[#This Row],[Dens Input]]="",INDEX([1]DATA!$O$3:$O$9826,MATCH(1,(vp.data[[#This Row],[Battery]]=[1]DATA!$L$3:$L$9826)*(EOMONTH(vp.data[[#This Row],[SDate]],-1)+1=[1]DATA!$G$3:$G$9826),0)),vp.data[[#This Row],[Dens Input]]),"")</f>
        <v>829</v>
      </c>
      <c r="N781" s="2">
        <f ca="1">INDEX(INDIRECT(_xlfn.CONCAT("weather.tbl[",N$1,"]")),MATCH(vp.data[[#This Row],[SDate]],weather.tbl[Date],0))</f>
        <v>-5.2833333333333341</v>
      </c>
      <c r="O781" s="2">
        <f ca="1">INDEX(INDIRECT(_xlfn.CONCAT("weather.tbl[",O$1,"]")),MATCH(vp.data[[#This Row],[SDate]],weather.tbl[Date],0))</f>
        <v>-16.085714285714285</v>
      </c>
      <c r="P781" s="2">
        <f ca="1">INDEX(INDIRECT(_xlfn.CONCAT("weather.tbl[",P$1,"]")),MATCH(vp.data[[#This Row],[SDate]],weather.tbl[Date],0))</f>
        <v>-5.3</v>
      </c>
      <c r="Q781" s="2">
        <f ca="1">INDEX(INDIRECT(_xlfn.CONCAT("weather.tbl[",Q$1,"]")),MATCH(vp.data[[#This Row],[SDate]],weather.tbl[Date],0))</f>
        <v>-4.8</v>
      </c>
      <c r="R781" s="2">
        <f ca="1">INDEX(INDIRECT(_xlfn.CONCAT("weather.tbl[",R$1,"]")),MATCH(vp.data[[#This Row],[SDate]],weather.tbl[Date],0))</f>
        <v>-6</v>
      </c>
      <c r="S781" s="2">
        <f ca="1">INDEX(INDIRECT(_xlfn.CONCAT("weather.tbl[",S$1,"]")),MATCH(vp.data[[#This Row],[SDate]],weather.tbl[Date],0))</f>
        <v>-5.3</v>
      </c>
      <c r="T781" s="2">
        <f ca="1">INDEX(INDIRECT(_xlfn.CONCAT("weather.tbl[",T$1,"]")),MATCH(vp.data[[#This Row],[SDate]],weather.tbl[Date],0))</f>
        <v>-3.5</v>
      </c>
      <c r="U781" s="2">
        <f ca="1">INDEX(INDIRECT(_xlfn.CONCAT("weather.tbl[",U$1,"]")),MATCH(vp.data[[#This Row],[SDate]],weather.tbl[Date],0))</f>
        <v>-6.8</v>
      </c>
      <c r="V781" s="2">
        <f t="array" ref="V7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781" t="s">
        <v>48</v>
      </c>
      <c r="X781">
        <f>IF(OR(vp.data[[#This Row],[Sulf]]="",vp.data[[#This Row],[Dens]]=""),1,0)</f>
        <v>0</v>
      </c>
      <c r="Y781">
        <f>IF(vp.data[[#This Row],[CrudeType]]="C5+",1,0)</f>
        <v>0</v>
      </c>
      <c r="Z781">
        <f>IF(AND(vp.data[[#This Row],[CrudeType]]="Crude",vp.data[[#This Row],[Dens]]&lt;=825,vp.data[[#This Row],[Sulf]]&gt;0.5,vp.data[[#This Row],[Unknown]]=0),1,0)</f>
        <v>0</v>
      </c>
      <c r="AA781">
        <f>IF(AND(vp.data[[#This Row],[CrudeType]]="Crude",vp.data[[#This Row],[Dens]]&lt;=825,vp.data[[#This Row],[Sulf]]&lt;=0.5,vp.data[[#This Row],[Unknown]]=0),1,0)</f>
        <v>0</v>
      </c>
      <c r="AB7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81">
        <f>IF(AND(vp.data[[#This Row],[CrudeType]]="Crude",vp.data[[#This Row],[Dens]]&gt;825,vp.data[[#This Row],[Dens]]&lt;=900,vp.data[[#This Row],[Sulf]]&lt;=0.5,vp.data[[#This Row],[Unknown]]=0),1,0)</f>
        <v>0</v>
      </c>
      <c r="AD781">
        <f>IF(AND(vp.data[[#This Row],[CrudeType]]="Crude",vp.data[[#This Row],[Dens]]&gt;865,vp.data[[#This Row],[Dens]]&lt;=900,vp.data[[#This Row],[Sulf]]&gt;2,vp.data[[#This Row],[Unknown]]=0),1,0)</f>
        <v>0</v>
      </c>
      <c r="AE781">
        <f>IF(AND(vp.data[[#This Row],[CrudeType]]="Crude",vp.data[[#This Row],[Dens]]&gt;900,vp.data[[#This Row],[Sulf]]&lt;=0.5,vp.data[[#This Row],[Unknown]]=0),1,0)</f>
        <v>0</v>
      </c>
      <c r="AF781">
        <f>IF(AND(vp.data[[#This Row],[CrudeType]]="Crude",vp.data[[#This Row],[Dens]]&gt;900,vp.data[[#This Row],[Sulf]]&lt;=0.5,vp.data[[#This Row],[Unknown]]=0),1,0)</f>
        <v>0</v>
      </c>
      <c r="AG781" t="str">
        <f>INDEX(vp.data[[#Headers],[Unknown]:[Heavy_SW]],MATCH(1,vp.data[[#This Row],[Unknown]:[Heavy_SW]],0))</f>
        <v>Medium_LSB</v>
      </c>
      <c r="AH781">
        <f>INDEX([3]!crudeBD.lkup[Number],MATCH(vp.data[[#This Row],[Crude_Breakdown]],crudeBD.lkup[Crude Breakdown],0))</f>
        <v>3</v>
      </c>
      <c r="AI781">
        <f>MONTH(vp.data[[#This Row],[SDate]])</f>
        <v>2</v>
      </c>
      <c r="AJ781" s="5">
        <f>(vp.data[[#This Row],[VP]]-INDEX(crudeBD.lkup[Mean_VP],MATCH(vp.data[[#This Row],[Crude_Breakdown]],crudeBD.lkup[Crude Breakdown],0)))^2</f>
        <v>374.82212409384107</v>
      </c>
      <c r="AK781" s="5">
        <f>(vp.data[[#This Row],[Dens]]-INDEX(crudeBD.lkup[Mean_Dens],MATCH(vp.data[[#This Row],[Crude_Breakdown]],crudeBD.lkup[Crude Breakdown],0)))^2</f>
        <v>222.6063999999852</v>
      </c>
      <c r="AL781" s="5">
        <f>(vp.data[[#This Row],[Sulf]]-INDEX(crudeBD.lkup[Mean_Sulf],MATCH(vp.data[[#This Row],[Crude_Breakdown]],crudeBD.lkup[Crude Breakdown],0)))^2</f>
        <v>6.5233311176555966E-2</v>
      </c>
      <c r="AM781" s="4">
        <f>IF(AND(vp.data[[#This Row],[SDate]]&gt;=DATE(YEAR(vp.data[[#This Row],[SDate]]),5,1),vp.data[[#This Row],[SDate]]&lt;=DATE(YEAR(vp.data[[#This Row],[SDate]]),9,15)),1,0)</f>
        <v>0</v>
      </c>
      <c r="AN781" s="4">
        <f>IF(vp.data[[#This Row],[SDate]]&lt;DATE(2016,12,1),0,1)</f>
        <v>1</v>
      </c>
      <c r="AO781" s="4">
        <f>IFERROR(vp.data[[#This Row],[Sulf]]*vp.data[[#This Row],[Net Dens]],"")</f>
        <v>11748531.868409997</v>
      </c>
      <c r="AP781">
        <f>IFERROR(vp.data[[#This Row],[Dens]]*vp.data[[#This Row],[VolumeM3]],"")</f>
        <v>10396930.856999999</v>
      </c>
      <c r="AQ781" s="15">
        <f>IFERROR(vp.data[[#This Row],[VP]]*vp.data[[#This Row],[VolumeM3]],"")</f>
        <v>1254153.3</v>
      </c>
    </row>
    <row r="782" spans="1:43" x14ac:dyDescent="0.25">
      <c r="A782">
        <v>781</v>
      </c>
      <c r="B782" t="s">
        <v>56</v>
      </c>
      <c r="C782" t="s">
        <v>56</v>
      </c>
      <c r="D782" t="s">
        <v>57</v>
      </c>
      <c r="F782" s="1">
        <v>42777</v>
      </c>
      <c r="G782" s="2">
        <v>84.4</v>
      </c>
      <c r="H782" s="2"/>
      <c r="I782" s="2">
        <f t="array" ref="I782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782" s="2">
        <v>12.8</v>
      </c>
      <c r="K782" s="2">
        <v>-2</v>
      </c>
      <c r="L782" s="2">
        <v>848.1</v>
      </c>
      <c r="M782" s="2">
        <f t="array" ref="M782">_xlfn.IFNA(IF(vp.data[[#This Row],[Dens Input]]="",INDEX([1]DATA!$O$3:$O$9826,MATCH(1,(vp.data[[#This Row],[Battery]]=[1]DATA!$L$3:$L$9826)*(EOMONTH(vp.data[[#This Row],[SDate]],-1)+1=[1]DATA!$G$3:$G$9826),0)),vp.data[[#This Row],[Dens Input]]),"")</f>
        <v>848.1</v>
      </c>
      <c r="N782" s="2">
        <f ca="1">INDEX(INDIRECT(_xlfn.CONCAT("weather.tbl[",N$1,"]")),MATCH(vp.data[[#This Row],[SDate]],weather.tbl[Date],0))</f>
        <v>-5.2833333333333341</v>
      </c>
      <c r="O782" s="2">
        <f ca="1">INDEX(INDIRECT(_xlfn.CONCAT("weather.tbl[",O$1,"]")),MATCH(vp.data[[#This Row],[SDate]],weather.tbl[Date],0))</f>
        <v>-16.085714285714285</v>
      </c>
      <c r="P782" s="2">
        <f ca="1">INDEX(INDIRECT(_xlfn.CONCAT("weather.tbl[",P$1,"]")),MATCH(vp.data[[#This Row],[SDate]],weather.tbl[Date],0))</f>
        <v>-5.3</v>
      </c>
      <c r="Q782" s="2">
        <f ca="1">INDEX(INDIRECT(_xlfn.CONCAT("weather.tbl[",Q$1,"]")),MATCH(vp.data[[#This Row],[SDate]],weather.tbl[Date],0))</f>
        <v>-4.8</v>
      </c>
      <c r="R782" s="2">
        <f ca="1">INDEX(INDIRECT(_xlfn.CONCAT("weather.tbl[",R$1,"]")),MATCH(vp.data[[#This Row],[SDate]],weather.tbl[Date],0))</f>
        <v>-6</v>
      </c>
      <c r="S782" s="2">
        <f ca="1">INDEX(INDIRECT(_xlfn.CONCAT("weather.tbl[",S$1,"]")),MATCH(vp.data[[#This Row],[SDate]],weather.tbl[Date],0))</f>
        <v>-5.3</v>
      </c>
      <c r="T782" s="2">
        <f ca="1">INDEX(INDIRECT(_xlfn.CONCAT("weather.tbl[",T$1,"]")),MATCH(vp.data[[#This Row],[SDate]],weather.tbl[Date],0))</f>
        <v>-3.5</v>
      </c>
      <c r="U782" s="2">
        <f ca="1">INDEX(INDIRECT(_xlfn.CONCAT("weather.tbl[",U$1,"]")),MATCH(vp.data[[#This Row],[SDate]],weather.tbl[Date],0))</f>
        <v>-6.8</v>
      </c>
      <c r="V782" s="2">
        <f t="array" ref="V7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782" t="s">
        <v>48</v>
      </c>
      <c r="X782">
        <f>IF(OR(vp.data[[#This Row],[Sulf]]="",vp.data[[#This Row],[Dens]]=""),1,0)</f>
        <v>0</v>
      </c>
      <c r="Y782">
        <f>IF(vp.data[[#This Row],[CrudeType]]="C5+",1,0)</f>
        <v>0</v>
      </c>
      <c r="Z782">
        <f>IF(AND(vp.data[[#This Row],[CrudeType]]="Crude",vp.data[[#This Row],[Dens]]&lt;=825,vp.data[[#This Row],[Sulf]]&gt;0.5,vp.data[[#This Row],[Unknown]]=0),1,0)</f>
        <v>0</v>
      </c>
      <c r="AA782">
        <f>IF(AND(vp.data[[#This Row],[CrudeType]]="Crude",vp.data[[#This Row],[Dens]]&lt;=825,vp.data[[#This Row],[Sulf]]&lt;=0.5,vp.data[[#This Row],[Unknown]]=0),1,0)</f>
        <v>0</v>
      </c>
      <c r="AB7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82">
        <f>IF(AND(vp.data[[#This Row],[CrudeType]]="Crude",vp.data[[#This Row],[Dens]]&gt;825,vp.data[[#This Row],[Dens]]&lt;=900,vp.data[[#This Row],[Sulf]]&lt;=0.5,vp.data[[#This Row],[Unknown]]=0),1,0)</f>
        <v>0</v>
      </c>
      <c r="AD782">
        <f>IF(AND(vp.data[[#This Row],[CrudeType]]="Crude",vp.data[[#This Row],[Dens]]&gt;865,vp.data[[#This Row],[Dens]]&lt;=900,vp.data[[#This Row],[Sulf]]&gt;2,vp.data[[#This Row],[Unknown]]=0),1,0)</f>
        <v>0</v>
      </c>
      <c r="AE782">
        <f>IF(AND(vp.data[[#This Row],[CrudeType]]="Crude",vp.data[[#This Row],[Dens]]&gt;900,vp.data[[#This Row],[Sulf]]&lt;=0.5,vp.data[[#This Row],[Unknown]]=0),1,0)</f>
        <v>0</v>
      </c>
      <c r="AF782">
        <f>IF(AND(vp.data[[#This Row],[CrudeType]]="Crude",vp.data[[#This Row],[Dens]]&gt;900,vp.data[[#This Row],[Sulf]]&lt;=0.5,vp.data[[#This Row],[Unknown]]=0),1,0)</f>
        <v>0</v>
      </c>
      <c r="AG782" t="str">
        <f>INDEX(vp.data[[#Headers],[Unknown]:[Heavy_SW]],MATCH(1,vp.data[[#This Row],[Unknown]:[Heavy_SW]],0))</f>
        <v>Medium_LSB</v>
      </c>
      <c r="AH782">
        <f>INDEX([3]!crudeBD.lkup[Number],MATCH(vp.data[[#This Row],[Crude_Breakdown]],crudeBD.lkup[Crude Breakdown],0))</f>
        <v>3</v>
      </c>
      <c r="AI782">
        <f>MONTH(vp.data[[#This Row],[SDate]])</f>
        <v>2</v>
      </c>
      <c r="AJ782" s="5">
        <f>(vp.data[[#This Row],[VP]]-INDEX(crudeBD.lkup[Mean_VP],MATCH(vp.data[[#This Row],[Crude_Breakdown]],crudeBD.lkup[Crude Breakdown],0)))^2</f>
        <v>14.140032449634047</v>
      </c>
      <c r="AK782" s="5">
        <f>(vp.data[[#This Row],[Dens]]-INDEX(crudeBD.lkup[Mean_Dens],MATCH(vp.data[[#This Row],[Crude_Breakdown]],crudeBD.lkup[Crude Breakdown],0)))^2</f>
        <v>17.472400000004335</v>
      </c>
      <c r="AL782" s="5">
        <f>(vp.data[[#This Row],[Sulf]]-INDEX(crudeBD.lkup[Mean_Sulf],MATCH(vp.data[[#This Row],[Crude_Breakdown]],crudeBD.lkup[Crude Breakdown],0)))^2</f>
        <v>9.2776209289761713E-2</v>
      </c>
      <c r="AM782" s="4">
        <f>IF(AND(vp.data[[#This Row],[SDate]]&gt;=DATE(YEAR(vp.data[[#This Row],[SDate]]),5,1),vp.data[[#This Row],[SDate]]&lt;=DATE(YEAR(vp.data[[#This Row],[SDate]]),9,15)),1,0)</f>
        <v>0</v>
      </c>
      <c r="AN782" s="4">
        <f>IF(vp.data[[#This Row],[SDate]]&lt;DATE(2016,12,1),0,1)</f>
        <v>1</v>
      </c>
      <c r="AO782" s="4">
        <f>IFERROR(vp.data[[#This Row],[Sulf]]*vp.data[[#This Row],[Net Dens]],"")</f>
        <v>3943306.2621809999</v>
      </c>
      <c r="AP782">
        <f>IFERROR(vp.data[[#This Row],[Dens]]*vp.data[[#This Row],[VolumeM3]],"")</f>
        <v>2333317.3149000001</v>
      </c>
      <c r="AQ782" s="15">
        <f>IFERROR(vp.data[[#This Row],[VP]]*vp.data[[#This Row],[VolumeM3]],"")</f>
        <v>232203.72760000001</v>
      </c>
    </row>
    <row r="783" spans="1:43" x14ac:dyDescent="0.25">
      <c r="A783">
        <v>782</v>
      </c>
      <c r="B783" t="s">
        <v>56</v>
      </c>
      <c r="C783" t="s">
        <v>56</v>
      </c>
      <c r="D783" t="s">
        <v>94</v>
      </c>
      <c r="F783" s="1">
        <v>42777</v>
      </c>
      <c r="G783" s="2">
        <v>76.599999999999994</v>
      </c>
      <c r="H783" s="2"/>
      <c r="I783" s="2">
        <f t="array" ref="I783">_xlfn.IFNA(IF(vp.data[[#This Row],[Sulf Input]]="",INDEX([1]DATA!$Q$3:$Q$9826,MATCH(1,(vp.data[[#This Row],[Battery]]=[1]DATA!$L$3:$L$9826)*(EOMONTH(vp.data[[#This Row],[SDate]],-1)+1=[1]DATA!$G$3:$G$9826),0)),vp.data[[#This Row],[Sulf Input]]),"")</f>
        <v>1.95</v>
      </c>
      <c r="J783" s="2">
        <v>16</v>
      </c>
      <c r="K783" s="2">
        <v>-2</v>
      </c>
      <c r="L783" s="2">
        <v>858.3</v>
      </c>
      <c r="M783" s="2">
        <f t="array" ref="M783">_xlfn.IFNA(IF(vp.data[[#This Row],[Dens Input]]="",INDEX([1]DATA!$O$3:$O$9826,MATCH(1,(vp.data[[#This Row],[Battery]]=[1]DATA!$L$3:$L$9826)*(EOMONTH(vp.data[[#This Row],[SDate]],-1)+1=[1]DATA!$G$3:$G$9826),0)),vp.data[[#This Row],[Dens Input]]),"")</f>
        <v>858.3</v>
      </c>
      <c r="N783" s="2">
        <f ca="1">INDEX(INDIRECT(_xlfn.CONCAT("weather.tbl[",N$1,"]")),MATCH(vp.data[[#This Row],[SDate]],weather.tbl[Date],0))</f>
        <v>-5.2833333333333341</v>
      </c>
      <c r="O783" s="2">
        <f ca="1">INDEX(INDIRECT(_xlfn.CONCAT("weather.tbl[",O$1,"]")),MATCH(vp.data[[#This Row],[SDate]],weather.tbl[Date],0))</f>
        <v>-16.085714285714285</v>
      </c>
      <c r="P783" s="2">
        <f ca="1">INDEX(INDIRECT(_xlfn.CONCAT("weather.tbl[",P$1,"]")),MATCH(vp.data[[#This Row],[SDate]],weather.tbl[Date],0))</f>
        <v>-5.3</v>
      </c>
      <c r="Q783" s="2">
        <f ca="1">INDEX(INDIRECT(_xlfn.CONCAT("weather.tbl[",Q$1,"]")),MATCH(vp.data[[#This Row],[SDate]],weather.tbl[Date],0))</f>
        <v>-4.8</v>
      </c>
      <c r="R783" s="2">
        <f ca="1">INDEX(INDIRECT(_xlfn.CONCAT("weather.tbl[",R$1,"]")),MATCH(vp.data[[#This Row],[SDate]],weather.tbl[Date],0))</f>
        <v>-6</v>
      </c>
      <c r="S783" s="2">
        <f ca="1">INDEX(INDIRECT(_xlfn.CONCAT("weather.tbl[",S$1,"]")),MATCH(vp.data[[#This Row],[SDate]],weather.tbl[Date],0))</f>
        <v>-5.3</v>
      </c>
      <c r="T783" s="2">
        <f ca="1">INDEX(INDIRECT(_xlfn.CONCAT("weather.tbl[",T$1,"]")),MATCH(vp.data[[#This Row],[SDate]],weather.tbl[Date],0))</f>
        <v>-3.5</v>
      </c>
      <c r="U783" s="2">
        <f ca="1">INDEX(INDIRECT(_xlfn.CONCAT("weather.tbl[",U$1,"]")),MATCH(vp.data[[#This Row],[SDate]],weather.tbl[Date],0))</f>
        <v>-6.8</v>
      </c>
      <c r="V783" s="2">
        <f t="array" ref="V7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3347.944</v>
      </c>
      <c r="W783" t="s">
        <v>48</v>
      </c>
      <c r="X783">
        <f>IF(OR(vp.data[[#This Row],[Sulf]]="",vp.data[[#This Row],[Dens]]=""),1,0)</f>
        <v>0</v>
      </c>
      <c r="Y783">
        <f>IF(vp.data[[#This Row],[CrudeType]]="C5+",1,0)</f>
        <v>0</v>
      </c>
      <c r="Z783">
        <f>IF(AND(vp.data[[#This Row],[CrudeType]]="Crude",vp.data[[#This Row],[Dens]]&lt;=825,vp.data[[#This Row],[Sulf]]&gt;0.5,vp.data[[#This Row],[Unknown]]=0),1,0)</f>
        <v>0</v>
      </c>
      <c r="AA783">
        <f>IF(AND(vp.data[[#This Row],[CrudeType]]="Crude",vp.data[[#This Row],[Dens]]&lt;=825,vp.data[[#This Row],[Sulf]]&lt;=0.5,vp.data[[#This Row],[Unknown]]=0),1,0)</f>
        <v>0</v>
      </c>
      <c r="AB7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83">
        <f>IF(AND(vp.data[[#This Row],[CrudeType]]="Crude",vp.data[[#This Row],[Dens]]&gt;825,vp.data[[#This Row],[Dens]]&lt;=900,vp.data[[#This Row],[Sulf]]&lt;=0.5,vp.data[[#This Row],[Unknown]]=0),1,0)</f>
        <v>0</v>
      </c>
      <c r="AD783">
        <f>IF(AND(vp.data[[#This Row],[CrudeType]]="Crude",vp.data[[#This Row],[Dens]]&gt;865,vp.data[[#This Row],[Dens]]&lt;=900,vp.data[[#This Row],[Sulf]]&gt;2,vp.data[[#This Row],[Unknown]]=0),1,0)</f>
        <v>0</v>
      </c>
      <c r="AE783">
        <f>IF(AND(vp.data[[#This Row],[CrudeType]]="Crude",vp.data[[#This Row],[Dens]]&gt;900,vp.data[[#This Row],[Sulf]]&lt;=0.5,vp.data[[#This Row],[Unknown]]=0),1,0)</f>
        <v>0</v>
      </c>
      <c r="AF783">
        <f>IF(AND(vp.data[[#This Row],[CrudeType]]="Crude",vp.data[[#This Row],[Dens]]&gt;900,vp.data[[#This Row],[Sulf]]&lt;=0.5,vp.data[[#This Row],[Unknown]]=0),1,0)</f>
        <v>0</v>
      </c>
      <c r="AG783" t="str">
        <f>INDEX(vp.data[[#Headers],[Unknown]:[Heavy_SW]],MATCH(1,vp.data[[#This Row],[Unknown]:[Heavy_SW]],0))</f>
        <v>Medium_LSB</v>
      </c>
      <c r="AH783">
        <f>INDEX([3]!crudeBD.lkup[Number],MATCH(vp.data[[#This Row],[Crude_Breakdown]],crudeBD.lkup[Crude Breakdown],0))</f>
        <v>3</v>
      </c>
      <c r="AI783">
        <f>MONTH(vp.data[[#This Row],[SDate]])</f>
        <v>2</v>
      </c>
      <c r="AJ783" s="5">
        <f>(vp.data[[#This Row],[VP]]-INDEX(crudeBD.lkup[Mean_VP],MATCH(vp.data[[#This Row],[Crude_Breakdown]],crudeBD.lkup[Crude Breakdown],0)))^2</f>
        <v>16.31898662753051</v>
      </c>
      <c r="AK783" s="5">
        <f>(vp.data[[#This Row],[Dens]]-INDEX(crudeBD.lkup[Mean_Dens],MATCH(vp.data[[#This Row],[Crude_Breakdown]],crudeBD.lkup[Crude Breakdown],0)))^2</f>
        <v>206.78440000001294</v>
      </c>
      <c r="AL783" s="5">
        <f>(vp.data[[#This Row],[Sulf]]-INDEX(crudeBD.lkup[Mean_Sulf],MATCH(vp.data[[#This Row],[Crude_Breakdown]],crudeBD.lkup[Crude Breakdown],0)))^2</f>
        <v>0.31876398341375012</v>
      </c>
      <c r="AM783" s="4">
        <f>IF(AND(vp.data[[#This Row],[SDate]]&gt;=DATE(YEAR(vp.data[[#This Row],[SDate]]),5,1),vp.data[[#This Row],[SDate]]&lt;=DATE(YEAR(vp.data[[#This Row],[SDate]]),9,15)),1,0)</f>
        <v>0</v>
      </c>
      <c r="AN783" s="4">
        <f>IF(vp.data[[#This Row],[SDate]]&lt;DATE(2016,12,1),0,1)</f>
        <v>1</v>
      </c>
      <c r="AO783" s="4">
        <f>IFERROR(vp.data[[#This Row],[Sulf]]*vp.data[[#This Row],[Net Dens]],"")</f>
        <v>5603403.6536399992</v>
      </c>
      <c r="AP783">
        <f>IFERROR(vp.data[[#This Row],[Dens]]*vp.data[[#This Row],[VolumeM3]],"")</f>
        <v>2873540.3351999996</v>
      </c>
      <c r="AQ783" s="15">
        <f>IFERROR(vp.data[[#This Row],[VP]]*vp.data[[#This Row],[VolumeM3]],"")</f>
        <v>256452.51039999997</v>
      </c>
    </row>
    <row r="784" spans="1:43" x14ac:dyDescent="0.25">
      <c r="A784">
        <v>783</v>
      </c>
      <c r="B784" t="s">
        <v>51</v>
      </c>
      <c r="C784" t="s">
        <v>51</v>
      </c>
      <c r="D784" t="s">
        <v>71</v>
      </c>
      <c r="F784" s="1">
        <v>42778</v>
      </c>
      <c r="G784" s="2">
        <v>90.6</v>
      </c>
      <c r="H784" s="2"/>
      <c r="I784" s="2">
        <f t="array" ref="I784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784" s="2">
        <v>8.6999999999999993</v>
      </c>
      <c r="K784" s="2">
        <v>-5</v>
      </c>
      <c r="L784" s="2">
        <v>824.4</v>
      </c>
      <c r="M784" s="2">
        <f t="array" ref="M784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784" s="2">
        <f ca="1">INDEX(INDIRECT(_xlfn.CONCAT("weather.tbl[",N$1,"]")),MATCH(vp.data[[#This Row],[SDate]],weather.tbl[Date],0))</f>
        <v>-5.3499999999999988</v>
      </c>
      <c r="O784" s="2">
        <f ca="1">INDEX(INDIRECT(_xlfn.CONCAT("weather.tbl[",O$1,"]")),MATCH(vp.data[[#This Row],[SDate]],weather.tbl[Date],0))</f>
        <v>-14.069047619047618</v>
      </c>
      <c r="P784" s="2">
        <f ca="1">INDEX(INDIRECT(_xlfn.CONCAT("weather.tbl[",P$1,"]")),MATCH(vp.data[[#This Row],[SDate]],weather.tbl[Date],0))</f>
        <v>-5.3</v>
      </c>
      <c r="Q784" s="2">
        <f ca="1">INDEX(INDIRECT(_xlfn.CONCAT("weather.tbl[",Q$1,"]")),MATCH(vp.data[[#This Row],[SDate]],weather.tbl[Date],0))</f>
        <v>-4.0999999999999996</v>
      </c>
      <c r="R784" s="2">
        <f ca="1">INDEX(INDIRECT(_xlfn.CONCAT("weather.tbl[",R$1,"]")),MATCH(vp.data[[#This Row],[SDate]],weather.tbl[Date],0))</f>
        <v>-6.3</v>
      </c>
      <c r="S784" s="2">
        <f ca="1">INDEX(INDIRECT(_xlfn.CONCAT("weather.tbl[",S$1,"]")),MATCH(vp.data[[#This Row],[SDate]],weather.tbl[Date],0))</f>
        <v>-2.9</v>
      </c>
      <c r="T784" s="2">
        <f ca="1">INDEX(INDIRECT(_xlfn.CONCAT("weather.tbl[",T$1,"]")),MATCH(vp.data[[#This Row],[SDate]],weather.tbl[Date],0))</f>
        <v>-6</v>
      </c>
      <c r="U784" s="2">
        <f ca="1">INDEX(INDIRECT(_xlfn.CONCAT("weather.tbl[",U$1,"]")),MATCH(vp.data[[#This Row],[SDate]],weather.tbl[Date],0))</f>
        <v>-7.5</v>
      </c>
      <c r="V784" s="2">
        <f t="array" ref="V7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7771.3980000000001</v>
      </c>
      <c r="W784" t="s">
        <v>48</v>
      </c>
      <c r="X784">
        <f>IF(OR(vp.data[[#This Row],[Sulf]]="",vp.data[[#This Row],[Dens]]=""),1,0)</f>
        <v>0</v>
      </c>
      <c r="Y784">
        <f>IF(vp.data[[#This Row],[CrudeType]]="C5+",1,0)</f>
        <v>0</v>
      </c>
      <c r="Z784">
        <f>IF(AND(vp.data[[#This Row],[CrudeType]]="Crude",vp.data[[#This Row],[Dens]]&lt;=825,vp.data[[#This Row],[Sulf]]&gt;0.5,vp.data[[#This Row],[Unknown]]=0),1,0)</f>
        <v>1</v>
      </c>
      <c r="AA784">
        <f>IF(AND(vp.data[[#This Row],[CrudeType]]="Crude",vp.data[[#This Row],[Dens]]&lt;=825,vp.data[[#This Row],[Sulf]]&lt;=0.5,vp.data[[#This Row],[Unknown]]=0),1,0)</f>
        <v>0</v>
      </c>
      <c r="AB7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4">
        <f>IF(AND(vp.data[[#This Row],[CrudeType]]="Crude",vp.data[[#This Row],[Dens]]&gt;825,vp.data[[#This Row],[Dens]]&lt;=900,vp.data[[#This Row],[Sulf]]&lt;=0.5,vp.data[[#This Row],[Unknown]]=0),1,0)</f>
        <v>0</v>
      </c>
      <c r="AD784">
        <f>IF(AND(vp.data[[#This Row],[CrudeType]]="Crude",vp.data[[#This Row],[Dens]]&gt;865,vp.data[[#This Row],[Dens]]&lt;=900,vp.data[[#This Row],[Sulf]]&gt;2,vp.data[[#This Row],[Unknown]]=0),1,0)</f>
        <v>0</v>
      </c>
      <c r="AE784">
        <f>IF(AND(vp.data[[#This Row],[CrudeType]]="Crude",vp.data[[#This Row],[Dens]]&gt;900,vp.data[[#This Row],[Sulf]]&lt;=0.5,vp.data[[#This Row],[Unknown]]=0),1,0)</f>
        <v>0</v>
      </c>
      <c r="AF784">
        <f>IF(AND(vp.data[[#This Row],[CrudeType]]="Crude",vp.data[[#This Row],[Dens]]&gt;900,vp.data[[#This Row],[Sulf]]&lt;=0.5,vp.data[[#This Row],[Unknown]]=0),1,0)</f>
        <v>0</v>
      </c>
      <c r="AG784" t="str">
        <f>INDEX(vp.data[[#Headers],[Unknown]:[Heavy_SW]],MATCH(1,vp.data[[#This Row],[Unknown]:[Heavy_SW]],0))</f>
        <v>Light_LSB</v>
      </c>
      <c r="AH784">
        <f>INDEX([3]!crudeBD.lkup[Number],MATCH(vp.data[[#This Row],[Crude_Breakdown]],crudeBD.lkup[Crude Breakdown],0))</f>
        <v>1</v>
      </c>
      <c r="AI784">
        <f>MONTH(vp.data[[#This Row],[SDate]])</f>
        <v>2</v>
      </c>
      <c r="AJ784" s="5">
        <f>(vp.data[[#This Row],[VP]]-INDEX(crudeBD.lkup[Mean_VP],MATCH(vp.data[[#This Row],[Crude_Breakdown]],crudeBD.lkup[Crude Breakdown],0)))^2</f>
        <v>0.89526712721869006</v>
      </c>
      <c r="AK784" s="5">
        <f>(vp.data[[#This Row],[Dens]]-INDEX(crudeBD.lkup[Mean_Dens],MATCH(vp.data[[#This Row],[Crude_Breakdown]],crudeBD.lkup[Crude Breakdown],0)))^2</f>
        <v>34.612398063323418</v>
      </c>
      <c r="AL784" s="5">
        <f>(vp.data[[#This Row],[Sulf]]-INDEX(crudeBD.lkup[Mean_Sulf],MATCH(vp.data[[#This Row],[Crude_Breakdown]],crudeBD.lkup[Crude Breakdown],0)))^2</f>
        <v>0.47200861547043776</v>
      </c>
      <c r="AM784" s="4">
        <f>IF(AND(vp.data[[#This Row],[SDate]]&gt;=DATE(YEAR(vp.data[[#This Row],[SDate]]),5,1),vp.data[[#This Row],[SDate]]&lt;=DATE(YEAR(vp.data[[#This Row],[SDate]]),9,15)),1,0)</f>
        <v>0</v>
      </c>
      <c r="AN784" s="4">
        <f>IF(vp.data[[#This Row],[SDate]]&lt;DATE(2016,12,1),0,1)</f>
        <v>1</v>
      </c>
      <c r="AO784" s="4">
        <f>IFERROR(vp.data[[#This Row],[Sulf]]*vp.data[[#This Row],[Net Dens]],"")</f>
        <v>10314852.223032</v>
      </c>
      <c r="AP784">
        <f>IFERROR(vp.data[[#This Row],[Dens]]*vp.data[[#This Row],[VolumeM3]],"")</f>
        <v>6406740.5111999996</v>
      </c>
      <c r="AQ784" s="15">
        <f>IFERROR(vp.data[[#This Row],[VP]]*vp.data[[#This Row],[VolumeM3]],"")</f>
        <v>704088.65879999998</v>
      </c>
    </row>
    <row r="785" spans="1:43" x14ac:dyDescent="0.25">
      <c r="A785">
        <v>784</v>
      </c>
      <c r="B785" t="s">
        <v>51</v>
      </c>
      <c r="C785" t="s">
        <v>51</v>
      </c>
      <c r="D785" t="s">
        <v>126</v>
      </c>
      <c r="F785" s="1">
        <v>42778</v>
      </c>
      <c r="G785" s="2">
        <v>98</v>
      </c>
      <c r="H785" s="2"/>
      <c r="I785" s="2">
        <f t="array" ref="I785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785" s="2">
        <v>19.100000000000001</v>
      </c>
      <c r="K785" s="2">
        <v>-5</v>
      </c>
      <c r="L785" s="2">
        <v>849.1</v>
      </c>
      <c r="M785" s="2">
        <f t="array" ref="M785">_xlfn.IFNA(IF(vp.data[[#This Row],[Dens Input]]="",INDEX([1]DATA!$O$3:$O$9826,MATCH(1,(vp.data[[#This Row],[Battery]]=[1]DATA!$L$3:$L$9826)*(EOMONTH(vp.data[[#This Row],[SDate]],-1)+1=[1]DATA!$G$3:$G$9826),0)),vp.data[[#This Row],[Dens Input]]),"")</f>
        <v>849.1</v>
      </c>
      <c r="N785" s="2">
        <f ca="1">INDEX(INDIRECT(_xlfn.CONCAT("weather.tbl[",N$1,"]")),MATCH(vp.data[[#This Row],[SDate]],weather.tbl[Date],0))</f>
        <v>-5.3499999999999988</v>
      </c>
      <c r="O785" s="2">
        <f ca="1">INDEX(INDIRECT(_xlfn.CONCAT("weather.tbl[",O$1,"]")),MATCH(vp.data[[#This Row],[SDate]],weather.tbl[Date],0))</f>
        <v>-14.069047619047618</v>
      </c>
      <c r="P785" s="2">
        <f ca="1">INDEX(INDIRECT(_xlfn.CONCAT("weather.tbl[",P$1,"]")),MATCH(vp.data[[#This Row],[SDate]],weather.tbl[Date],0))</f>
        <v>-5.3</v>
      </c>
      <c r="Q785" s="2">
        <f ca="1">INDEX(INDIRECT(_xlfn.CONCAT("weather.tbl[",Q$1,"]")),MATCH(vp.data[[#This Row],[SDate]],weather.tbl[Date],0))</f>
        <v>-4.0999999999999996</v>
      </c>
      <c r="R785" s="2">
        <f ca="1">INDEX(INDIRECT(_xlfn.CONCAT("weather.tbl[",R$1,"]")),MATCH(vp.data[[#This Row],[SDate]],weather.tbl[Date],0))</f>
        <v>-6.3</v>
      </c>
      <c r="S785" s="2">
        <f ca="1">INDEX(INDIRECT(_xlfn.CONCAT("weather.tbl[",S$1,"]")),MATCH(vp.data[[#This Row],[SDate]],weather.tbl[Date],0))</f>
        <v>-2.9</v>
      </c>
      <c r="T785" s="2">
        <f ca="1">INDEX(INDIRECT(_xlfn.CONCAT("weather.tbl[",T$1,"]")),MATCH(vp.data[[#This Row],[SDate]],weather.tbl[Date],0))</f>
        <v>-6</v>
      </c>
      <c r="U785" s="2">
        <f ca="1">INDEX(INDIRECT(_xlfn.CONCAT("weather.tbl[",U$1,"]")),MATCH(vp.data[[#This Row],[SDate]],weather.tbl[Date],0))</f>
        <v>-7.5</v>
      </c>
      <c r="V785" s="2">
        <f t="array" ref="V7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1058.9190000000001</v>
      </c>
      <c r="W785" t="s">
        <v>48</v>
      </c>
      <c r="X785">
        <f>IF(OR(vp.data[[#This Row],[Sulf]]="",vp.data[[#This Row],[Dens]]=""),1,0)</f>
        <v>0</v>
      </c>
      <c r="Y785">
        <f>IF(vp.data[[#This Row],[CrudeType]]="C5+",1,0)</f>
        <v>0</v>
      </c>
      <c r="Z785">
        <f>IF(AND(vp.data[[#This Row],[CrudeType]]="Crude",vp.data[[#This Row],[Dens]]&lt;=825,vp.data[[#This Row],[Sulf]]&gt;0.5,vp.data[[#This Row],[Unknown]]=0),1,0)</f>
        <v>0</v>
      </c>
      <c r="AA785">
        <f>IF(AND(vp.data[[#This Row],[CrudeType]]="Crude",vp.data[[#This Row],[Dens]]&lt;=825,vp.data[[#This Row],[Sulf]]&lt;=0.5,vp.data[[#This Row],[Unknown]]=0),1,0)</f>
        <v>0</v>
      </c>
      <c r="AB7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85">
        <f>IF(AND(vp.data[[#This Row],[CrudeType]]="Crude",vp.data[[#This Row],[Dens]]&gt;825,vp.data[[#This Row],[Dens]]&lt;=900,vp.data[[#This Row],[Sulf]]&lt;=0.5,vp.data[[#This Row],[Unknown]]=0),1,0)</f>
        <v>0</v>
      </c>
      <c r="AD785">
        <f>IF(AND(vp.data[[#This Row],[CrudeType]]="Crude",vp.data[[#This Row],[Dens]]&gt;865,vp.data[[#This Row],[Dens]]&lt;=900,vp.data[[#This Row],[Sulf]]&gt;2,vp.data[[#This Row],[Unknown]]=0),1,0)</f>
        <v>0</v>
      </c>
      <c r="AE785">
        <f>IF(AND(vp.data[[#This Row],[CrudeType]]="Crude",vp.data[[#This Row],[Dens]]&gt;900,vp.data[[#This Row],[Sulf]]&lt;=0.5,vp.data[[#This Row],[Unknown]]=0),1,0)</f>
        <v>0</v>
      </c>
      <c r="AF785">
        <f>IF(AND(vp.data[[#This Row],[CrudeType]]="Crude",vp.data[[#This Row],[Dens]]&gt;900,vp.data[[#This Row],[Sulf]]&lt;=0.5,vp.data[[#This Row],[Unknown]]=0),1,0)</f>
        <v>0</v>
      </c>
      <c r="AG785" t="str">
        <f>INDEX(vp.data[[#Headers],[Unknown]:[Heavy_SW]],MATCH(1,vp.data[[#This Row],[Unknown]:[Heavy_SW]],0))</f>
        <v>Medium_LSB</v>
      </c>
      <c r="AH785">
        <f>INDEX([3]!crudeBD.lkup[Number],MATCH(vp.data[[#This Row],[Crude_Breakdown]],crudeBD.lkup[Crude Breakdown],0))</f>
        <v>3</v>
      </c>
      <c r="AI785">
        <f>MONTH(vp.data[[#This Row],[SDate]])</f>
        <v>2</v>
      </c>
      <c r="AJ785" s="5">
        <f>(vp.data[[#This Row],[VP]]-INDEX(crudeBD.lkup[Mean_VP],MATCH(vp.data[[#This Row],[Crude_Breakdown]],crudeBD.lkup[Crude Breakdown],0)))^2</f>
        <v>301.3808302933017</v>
      </c>
      <c r="AK785" s="5">
        <f>(vp.data[[#This Row],[Dens]]-INDEX(crudeBD.lkup[Mean_Dens],MATCH(vp.data[[#This Row],[Crude_Breakdown]],crudeBD.lkup[Crude Breakdown],0)))^2</f>
        <v>26.832400000005372</v>
      </c>
      <c r="AL785" s="5">
        <f>(vp.data[[#This Row],[Sulf]]-INDEX(crudeBD.lkup[Mean_Sulf],MATCH(vp.data[[#This Row],[Crude_Breakdown]],crudeBD.lkup[Crude Breakdown],0)))^2</f>
        <v>0.11874355915499073</v>
      </c>
      <c r="AM785" s="4">
        <f>IF(AND(vp.data[[#This Row],[SDate]]&gt;=DATE(YEAR(vp.data[[#This Row],[SDate]]),5,1),vp.data[[#This Row],[SDate]]&lt;=DATE(YEAR(vp.data[[#This Row],[SDate]]),9,15)),1,0)</f>
        <v>0</v>
      </c>
      <c r="AN785" s="4">
        <f>IF(vp.data[[#This Row],[SDate]]&lt;DATE(2016,12,1),0,1)</f>
        <v>1</v>
      </c>
      <c r="AO785" s="4">
        <f>IFERROR(vp.data[[#This Row],[Sulf]]*vp.data[[#This Row],[Net Dens]],"")</f>
        <v>1555491.652617</v>
      </c>
      <c r="AP785">
        <f>IFERROR(vp.data[[#This Row],[Dens]]*vp.data[[#This Row],[VolumeM3]],"")</f>
        <v>899128.12290000007</v>
      </c>
      <c r="AQ785" s="15">
        <f>IFERROR(vp.data[[#This Row],[VP]]*vp.data[[#This Row],[VolumeM3]],"")</f>
        <v>103774.06200000001</v>
      </c>
    </row>
    <row r="786" spans="1:43" x14ac:dyDescent="0.25">
      <c r="A786">
        <v>785</v>
      </c>
      <c r="B786" t="s">
        <v>62</v>
      </c>
      <c r="C786" t="s">
        <v>62</v>
      </c>
      <c r="D786" t="s">
        <v>87</v>
      </c>
      <c r="F786" s="1">
        <v>42779</v>
      </c>
      <c r="G786" s="2">
        <v>84.8</v>
      </c>
      <c r="H786" s="2"/>
      <c r="I786" s="2">
        <f t="array" ref="I78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786" s="2">
        <v>24.8</v>
      </c>
      <c r="K786" s="2">
        <v>0</v>
      </c>
      <c r="L786" s="2">
        <v>810.1</v>
      </c>
      <c r="M786" s="2">
        <f t="array" ref="M786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786" s="2">
        <f ca="1">INDEX(INDIRECT(_xlfn.CONCAT("weather.tbl[",N$1,"]")),MATCH(vp.data[[#This Row],[SDate]],weather.tbl[Date],0))</f>
        <v>-2.3333333333333335</v>
      </c>
      <c r="O786" s="2">
        <f ca="1">INDEX(INDIRECT(_xlfn.CONCAT("weather.tbl[",O$1,"]")),MATCH(vp.data[[#This Row],[SDate]],weather.tbl[Date],0))</f>
        <v>-11.990476190476189</v>
      </c>
      <c r="P786" s="2">
        <f ca="1">INDEX(INDIRECT(_xlfn.CONCAT("weather.tbl[",P$1,"]")),MATCH(vp.data[[#This Row],[SDate]],weather.tbl[Date],0))</f>
        <v>-3.1</v>
      </c>
      <c r="Q786" s="2">
        <f ca="1">INDEX(INDIRECT(_xlfn.CONCAT("weather.tbl[",Q$1,"]")),MATCH(vp.data[[#This Row],[SDate]],weather.tbl[Date],0))</f>
        <v>-1.5</v>
      </c>
      <c r="R786" s="2">
        <f ca="1">INDEX(INDIRECT(_xlfn.CONCAT("weather.tbl[",R$1,"]")),MATCH(vp.data[[#This Row],[SDate]],weather.tbl[Date],0))</f>
        <v>-3</v>
      </c>
      <c r="S786" s="2">
        <f ca="1">INDEX(INDIRECT(_xlfn.CONCAT("weather.tbl[",S$1,"]")),MATCH(vp.data[[#This Row],[SDate]],weather.tbl[Date],0))</f>
        <v>-0.8</v>
      </c>
      <c r="T786" s="2">
        <f ca="1">INDEX(INDIRECT(_xlfn.CONCAT("weather.tbl[",T$1,"]")),MATCH(vp.data[[#This Row],[SDate]],weather.tbl[Date],0))</f>
        <v>-3.3</v>
      </c>
      <c r="U786" s="2">
        <f ca="1">INDEX(INDIRECT(_xlfn.CONCAT("weather.tbl[",U$1,"]")),MATCH(vp.data[[#This Row],[SDate]],weather.tbl[Date],0))</f>
        <v>-2.2999999999999998</v>
      </c>
      <c r="V786" s="2">
        <f t="array" ref="V7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7768.6840000000002</v>
      </c>
      <c r="W786" t="s">
        <v>48</v>
      </c>
      <c r="X786">
        <f>IF(OR(vp.data[[#This Row],[Sulf]]="",vp.data[[#This Row],[Dens]]=""),1,0)</f>
        <v>0</v>
      </c>
      <c r="Y786">
        <f>IF(vp.data[[#This Row],[CrudeType]]="C5+",1,0)</f>
        <v>0</v>
      </c>
      <c r="Z786">
        <f>IF(AND(vp.data[[#This Row],[CrudeType]]="Crude",vp.data[[#This Row],[Dens]]&lt;=825,vp.data[[#This Row],[Sulf]]&gt;0.5,vp.data[[#This Row],[Unknown]]=0),1,0)</f>
        <v>0</v>
      </c>
      <c r="AA786">
        <f>IF(AND(vp.data[[#This Row],[CrudeType]]="Crude",vp.data[[#This Row],[Dens]]&lt;=825,vp.data[[#This Row],[Sulf]]&lt;=0.5,vp.data[[#This Row],[Unknown]]=0),1,0)</f>
        <v>1</v>
      </c>
      <c r="AB7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6">
        <f>IF(AND(vp.data[[#This Row],[CrudeType]]="Crude",vp.data[[#This Row],[Dens]]&gt;825,vp.data[[#This Row],[Dens]]&lt;=900,vp.data[[#This Row],[Sulf]]&lt;=0.5,vp.data[[#This Row],[Unknown]]=0),1,0)</f>
        <v>0</v>
      </c>
      <c r="AD786">
        <f>IF(AND(vp.data[[#This Row],[CrudeType]]="Crude",vp.data[[#This Row],[Dens]]&gt;865,vp.data[[#This Row],[Dens]]&lt;=900,vp.data[[#This Row],[Sulf]]&gt;2,vp.data[[#This Row],[Unknown]]=0),1,0)</f>
        <v>0</v>
      </c>
      <c r="AE786">
        <f>IF(AND(vp.data[[#This Row],[CrudeType]]="Crude",vp.data[[#This Row],[Dens]]&gt;900,vp.data[[#This Row],[Sulf]]&lt;=0.5,vp.data[[#This Row],[Unknown]]=0),1,0)</f>
        <v>0</v>
      </c>
      <c r="AF786">
        <f>IF(AND(vp.data[[#This Row],[CrudeType]]="Crude",vp.data[[#This Row],[Dens]]&gt;900,vp.data[[#This Row],[Sulf]]&lt;=0.5,vp.data[[#This Row],[Unknown]]=0),1,0)</f>
        <v>0</v>
      </c>
      <c r="AG786" t="str">
        <f>INDEX(vp.data[[#Headers],[Unknown]:[Heavy_SW]],MATCH(1,vp.data[[#This Row],[Unknown]:[Heavy_SW]],0))</f>
        <v>Light_SW</v>
      </c>
      <c r="AH786">
        <f>INDEX([3]!crudeBD.lkup[Number],MATCH(vp.data[[#This Row],[Crude_Breakdown]],crudeBD.lkup[Crude Breakdown],0))</f>
        <v>2</v>
      </c>
      <c r="AI786">
        <f>MONTH(vp.data[[#This Row],[SDate]])</f>
        <v>2</v>
      </c>
      <c r="AJ786" s="5">
        <f>(vp.data[[#This Row],[VP]]-INDEX(crudeBD.lkup[Mean_VP],MATCH(vp.data[[#This Row],[Crude_Breakdown]],crudeBD.lkup[Crude Breakdown],0)))^2</f>
        <v>60.06736072551525</v>
      </c>
      <c r="AK786" s="5">
        <f>(vp.data[[#This Row],[Dens]]-INDEX(crudeBD.lkup[Mean_Dens],MATCH(vp.data[[#This Row],[Crude_Breakdown]],crudeBD.lkup[Crude Breakdown],0)))^2</f>
        <v>3.1987384817112146</v>
      </c>
      <c r="AL786" s="5">
        <f>(vp.data[[#This Row],[Sulf]]-INDEX(crudeBD.lkup[Mean_Sulf],MATCH(vp.data[[#This Row],[Crude_Breakdown]],crudeBD.lkup[Crude Breakdown],0)))^2</f>
        <v>4.3879776367322437E-3</v>
      </c>
      <c r="AM786" s="4">
        <f>IF(AND(vp.data[[#This Row],[SDate]]&gt;=DATE(YEAR(vp.data[[#This Row],[SDate]]),5,1),vp.data[[#This Row],[SDate]]&lt;=DATE(YEAR(vp.data[[#This Row],[SDate]]),9,15)),1,0)</f>
        <v>0</v>
      </c>
      <c r="AN786" s="4">
        <f>IF(vp.data[[#This Row],[SDate]]&lt;DATE(2016,12,1),0,1)</f>
        <v>1</v>
      </c>
      <c r="AO786" s="4">
        <f>IFERROR(vp.data[[#This Row],[Sulf]]*vp.data[[#This Row],[Net Dens]],"")</f>
        <v>1069879.854428</v>
      </c>
      <c r="AP786">
        <f>IFERROR(vp.data[[#This Row],[Dens]]*vp.data[[#This Row],[VolumeM3]],"")</f>
        <v>6293410.9084000001</v>
      </c>
      <c r="AQ786" s="15">
        <f>IFERROR(vp.data[[#This Row],[VP]]*vp.data[[#This Row],[VolumeM3]],"")</f>
        <v>658784.40319999994</v>
      </c>
    </row>
    <row r="787" spans="1:43" x14ac:dyDescent="0.25">
      <c r="A787">
        <v>786</v>
      </c>
      <c r="B787" t="s">
        <v>62</v>
      </c>
      <c r="C787" t="s">
        <v>62</v>
      </c>
      <c r="D787" t="s">
        <v>83</v>
      </c>
      <c r="F787" s="1">
        <v>42779</v>
      </c>
      <c r="G787" s="2">
        <v>85.4</v>
      </c>
      <c r="H787" s="2"/>
      <c r="I787" s="2">
        <f t="array" ref="I787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787" s="2">
        <v>1.6</v>
      </c>
      <c r="K787" s="2">
        <v>0</v>
      </c>
      <c r="L787" s="2">
        <v>812.3</v>
      </c>
      <c r="M787" s="2">
        <f t="array" ref="M787">_xlfn.IFNA(IF(vp.data[[#This Row],[Dens Input]]="",INDEX([1]DATA!$O$3:$O$9826,MATCH(1,(vp.data[[#This Row],[Battery]]=[1]DATA!$L$3:$L$9826)*(EOMONTH(vp.data[[#This Row],[SDate]],-1)+1=[1]DATA!$G$3:$G$9826),0)),vp.data[[#This Row],[Dens Input]]),"")</f>
        <v>812.3</v>
      </c>
      <c r="N787" s="2">
        <f ca="1">INDEX(INDIRECT(_xlfn.CONCAT("weather.tbl[",N$1,"]")),MATCH(vp.data[[#This Row],[SDate]],weather.tbl[Date],0))</f>
        <v>-2.3333333333333335</v>
      </c>
      <c r="O787" s="2">
        <f ca="1">INDEX(INDIRECT(_xlfn.CONCAT("weather.tbl[",O$1,"]")),MATCH(vp.data[[#This Row],[SDate]],weather.tbl[Date],0))</f>
        <v>-11.990476190476189</v>
      </c>
      <c r="P787" s="2">
        <f ca="1">INDEX(INDIRECT(_xlfn.CONCAT("weather.tbl[",P$1,"]")),MATCH(vp.data[[#This Row],[SDate]],weather.tbl[Date],0))</f>
        <v>-3.1</v>
      </c>
      <c r="Q787" s="2">
        <f ca="1">INDEX(INDIRECT(_xlfn.CONCAT("weather.tbl[",Q$1,"]")),MATCH(vp.data[[#This Row],[SDate]],weather.tbl[Date],0))</f>
        <v>-1.5</v>
      </c>
      <c r="R787" s="2">
        <f ca="1">INDEX(INDIRECT(_xlfn.CONCAT("weather.tbl[",R$1,"]")),MATCH(vp.data[[#This Row],[SDate]],weather.tbl[Date],0))</f>
        <v>-3</v>
      </c>
      <c r="S787" s="2">
        <f ca="1">INDEX(INDIRECT(_xlfn.CONCAT("weather.tbl[",S$1,"]")),MATCH(vp.data[[#This Row],[SDate]],weather.tbl[Date],0))</f>
        <v>-0.8</v>
      </c>
      <c r="T787" s="2">
        <f ca="1">INDEX(INDIRECT(_xlfn.CONCAT("weather.tbl[",T$1,"]")),MATCH(vp.data[[#This Row],[SDate]],weather.tbl[Date],0))</f>
        <v>-3.3</v>
      </c>
      <c r="U787" s="2">
        <f ca="1">INDEX(INDIRECT(_xlfn.CONCAT("weather.tbl[",U$1,"]")),MATCH(vp.data[[#This Row],[SDate]],weather.tbl[Date],0))</f>
        <v>-2.2999999999999998</v>
      </c>
      <c r="V787" s="2">
        <f t="array" ref="V7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7967.6189999999997</v>
      </c>
      <c r="W787" t="s">
        <v>48</v>
      </c>
      <c r="X787">
        <f>IF(OR(vp.data[[#This Row],[Sulf]]="",vp.data[[#This Row],[Dens]]=""),1,0)</f>
        <v>0</v>
      </c>
      <c r="Y787">
        <f>IF(vp.data[[#This Row],[CrudeType]]="C5+",1,0)</f>
        <v>0</v>
      </c>
      <c r="Z787">
        <f>IF(AND(vp.data[[#This Row],[CrudeType]]="Crude",vp.data[[#This Row],[Dens]]&lt;=825,vp.data[[#This Row],[Sulf]]&gt;0.5,vp.data[[#This Row],[Unknown]]=0),1,0)</f>
        <v>0</v>
      </c>
      <c r="AA787">
        <f>IF(AND(vp.data[[#This Row],[CrudeType]]="Crude",vp.data[[#This Row],[Dens]]&lt;=825,vp.data[[#This Row],[Sulf]]&lt;=0.5,vp.data[[#This Row],[Unknown]]=0),1,0)</f>
        <v>1</v>
      </c>
      <c r="AB7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7">
        <f>IF(AND(vp.data[[#This Row],[CrudeType]]="Crude",vp.data[[#This Row],[Dens]]&gt;825,vp.data[[#This Row],[Dens]]&lt;=900,vp.data[[#This Row],[Sulf]]&lt;=0.5,vp.data[[#This Row],[Unknown]]=0),1,0)</f>
        <v>0</v>
      </c>
      <c r="AD787">
        <f>IF(AND(vp.data[[#This Row],[CrudeType]]="Crude",vp.data[[#This Row],[Dens]]&gt;865,vp.data[[#This Row],[Dens]]&lt;=900,vp.data[[#This Row],[Sulf]]&gt;2,vp.data[[#This Row],[Unknown]]=0),1,0)</f>
        <v>0</v>
      </c>
      <c r="AE787">
        <f>IF(AND(vp.data[[#This Row],[CrudeType]]="Crude",vp.data[[#This Row],[Dens]]&gt;900,vp.data[[#This Row],[Sulf]]&lt;=0.5,vp.data[[#This Row],[Unknown]]=0),1,0)</f>
        <v>0</v>
      </c>
      <c r="AF787">
        <f>IF(AND(vp.data[[#This Row],[CrudeType]]="Crude",vp.data[[#This Row],[Dens]]&gt;900,vp.data[[#This Row],[Sulf]]&lt;=0.5,vp.data[[#This Row],[Unknown]]=0),1,0)</f>
        <v>0</v>
      </c>
      <c r="AG787" t="str">
        <f>INDEX(vp.data[[#Headers],[Unknown]:[Heavy_SW]],MATCH(1,vp.data[[#This Row],[Unknown]:[Heavy_SW]],0))</f>
        <v>Light_SW</v>
      </c>
      <c r="AH787">
        <f>INDEX([3]!crudeBD.lkup[Number],MATCH(vp.data[[#This Row],[Crude_Breakdown]],crudeBD.lkup[Crude Breakdown],0))</f>
        <v>2</v>
      </c>
      <c r="AI787">
        <f>MONTH(vp.data[[#This Row],[SDate]])</f>
        <v>2</v>
      </c>
      <c r="AJ787" s="5">
        <f>(vp.data[[#This Row],[VP]]-INDEX(crudeBD.lkup[Mean_VP],MATCH(vp.data[[#This Row],[Crude_Breakdown]],crudeBD.lkup[Crude Breakdown],0)))^2</f>
        <v>51.126984418894956</v>
      </c>
      <c r="AK787" s="5">
        <f>(vp.data[[#This Row],[Dens]]-INDEX(crudeBD.lkup[Mean_Dens],MATCH(vp.data[[#This Row],[Crude_Breakdown]],crudeBD.lkup[Crude Breakdown],0)))^2</f>
        <v>15.908146147216957</v>
      </c>
      <c r="AL787" s="5">
        <f>(vp.data[[#This Row],[Sulf]]-INDEX(crudeBD.lkup[Mean_Sulf],MATCH(vp.data[[#This Row],[Crude_Breakdown]],crudeBD.lkup[Crude Breakdown],0)))^2</f>
        <v>2.1383051628646554E-3</v>
      </c>
      <c r="AM787" s="4">
        <f>IF(AND(vp.data[[#This Row],[SDate]]&gt;=DATE(YEAR(vp.data[[#This Row],[SDate]]),5,1),vp.data[[#This Row],[SDate]]&lt;=DATE(YEAR(vp.data[[#This Row],[SDate]]),9,15)),1,0)</f>
        <v>0</v>
      </c>
      <c r="AN787" s="4">
        <f>IF(vp.data[[#This Row],[SDate]]&lt;DATE(2016,12,1),0,1)</f>
        <v>1</v>
      </c>
      <c r="AO787" s="4">
        <f>IFERROR(vp.data[[#This Row],[Sulf]]*vp.data[[#This Row],[Net Dens]],"")</f>
        <v>1229698.4136029999</v>
      </c>
      <c r="AP787">
        <f>IFERROR(vp.data[[#This Row],[Dens]]*vp.data[[#This Row],[VolumeM3]],"")</f>
        <v>6472096.9136999995</v>
      </c>
      <c r="AQ787" s="15">
        <f>IFERROR(vp.data[[#This Row],[VP]]*vp.data[[#This Row],[VolumeM3]],"")</f>
        <v>680434.66260000004</v>
      </c>
    </row>
    <row r="788" spans="1:43" x14ac:dyDescent="0.25">
      <c r="A788">
        <v>787</v>
      </c>
      <c r="B788" t="s">
        <v>53</v>
      </c>
      <c r="C788" t="s">
        <v>53</v>
      </c>
      <c r="D788" t="s">
        <v>54</v>
      </c>
      <c r="E788" t="s">
        <v>73</v>
      </c>
      <c r="F788" s="1">
        <v>42780</v>
      </c>
      <c r="G788" s="2">
        <v>50.8</v>
      </c>
      <c r="H788" s="2"/>
      <c r="I788" s="2">
        <f t="array" ref="I788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788" s="2">
        <v>8.6</v>
      </c>
      <c r="K788" s="2">
        <v>3</v>
      </c>
      <c r="L788" s="2">
        <v>853.4</v>
      </c>
      <c r="M788" s="2">
        <f t="array" ref="M788">_xlfn.IFNA(IF(vp.data[[#This Row],[Dens Input]]="",INDEX([1]DATA!$O$3:$O$9826,MATCH(1,(vp.data[[#This Row],[Battery]]=[1]DATA!$L$3:$L$9826)*(EOMONTH(vp.data[[#This Row],[SDate]],-1)+1=[1]DATA!$G$3:$G$9826),0)),vp.data[[#This Row],[Dens Input]]),"")</f>
        <v>853.4</v>
      </c>
      <c r="N788" s="2">
        <f ca="1">INDEX(INDIRECT(_xlfn.CONCAT("weather.tbl[",N$1,"]")),MATCH(vp.data[[#This Row],[SDate]],weather.tbl[Date],0))</f>
        <v>-3.8166666666666669</v>
      </c>
      <c r="O788" s="2">
        <f ca="1">INDEX(INDIRECT(_xlfn.CONCAT("weather.tbl[",O$1,"]")),MATCH(vp.data[[#This Row],[SDate]],weather.tbl[Date],0))</f>
        <v>-9.0880952380952387</v>
      </c>
      <c r="P788" s="2">
        <f ca="1">INDEX(INDIRECT(_xlfn.CONCAT("weather.tbl[",P$1,"]")),MATCH(vp.data[[#This Row],[SDate]],weather.tbl[Date],0))</f>
        <v>-4.4000000000000004</v>
      </c>
      <c r="Q788" s="2">
        <f ca="1">INDEX(INDIRECT(_xlfn.CONCAT("weather.tbl[",Q$1,"]")),MATCH(vp.data[[#This Row],[SDate]],weather.tbl[Date],0))</f>
        <v>-4.0999999999999996</v>
      </c>
      <c r="R788" s="2">
        <f ca="1">INDEX(INDIRECT(_xlfn.CONCAT("weather.tbl[",R$1,"]")),MATCH(vp.data[[#This Row],[SDate]],weather.tbl[Date],0))</f>
        <v>-4.8</v>
      </c>
      <c r="S788" s="2">
        <f ca="1">INDEX(INDIRECT(_xlfn.CONCAT("weather.tbl[",S$1,"]")),MATCH(vp.data[[#This Row],[SDate]],weather.tbl[Date],0))</f>
        <v>-2.2000000000000002</v>
      </c>
      <c r="T788" s="2">
        <f ca="1">INDEX(INDIRECT(_xlfn.CONCAT("weather.tbl[",T$1,"]")),MATCH(vp.data[[#This Row],[SDate]],weather.tbl[Date],0))</f>
        <v>-4.0999999999999996</v>
      </c>
      <c r="U788" s="2">
        <f ca="1">INDEX(INDIRECT(_xlfn.CONCAT("weather.tbl[",U$1,"]")),MATCH(vp.data[[#This Row],[SDate]],weather.tbl[Date],0))</f>
        <v>-3.3</v>
      </c>
      <c r="V788" s="2">
        <f t="array" ref="V7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47607.114999999998</v>
      </c>
      <c r="W788" t="s">
        <v>48</v>
      </c>
      <c r="X788">
        <f>IF(OR(vp.data[[#This Row],[Sulf]]="",vp.data[[#This Row],[Dens]]=""),1,0)</f>
        <v>0</v>
      </c>
      <c r="Y788">
        <f>IF(vp.data[[#This Row],[CrudeType]]="C5+",1,0)</f>
        <v>0</v>
      </c>
      <c r="Z788">
        <f>IF(AND(vp.data[[#This Row],[CrudeType]]="Crude",vp.data[[#This Row],[Dens]]&lt;=825,vp.data[[#This Row],[Sulf]]&gt;0.5,vp.data[[#This Row],[Unknown]]=0),1,0)</f>
        <v>0</v>
      </c>
      <c r="AA788">
        <f>IF(AND(vp.data[[#This Row],[CrudeType]]="Crude",vp.data[[#This Row],[Dens]]&lt;=825,vp.data[[#This Row],[Sulf]]&lt;=0.5,vp.data[[#This Row],[Unknown]]=0),1,0)</f>
        <v>0</v>
      </c>
      <c r="AB7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88">
        <f>IF(AND(vp.data[[#This Row],[CrudeType]]="Crude",vp.data[[#This Row],[Dens]]&gt;825,vp.data[[#This Row],[Dens]]&lt;=900,vp.data[[#This Row],[Sulf]]&lt;=0.5,vp.data[[#This Row],[Unknown]]=0),1,0)</f>
        <v>0</v>
      </c>
      <c r="AD788">
        <f>IF(AND(vp.data[[#This Row],[CrudeType]]="Crude",vp.data[[#This Row],[Dens]]&gt;865,vp.data[[#This Row],[Dens]]&lt;=900,vp.data[[#This Row],[Sulf]]&gt;2,vp.data[[#This Row],[Unknown]]=0),1,0)</f>
        <v>0</v>
      </c>
      <c r="AE788">
        <f>IF(AND(vp.data[[#This Row],[CrudeType]]="Crude",vp.data[[#This Row],[Dens]]&gt;900,vp.data[[#This Row],[Sulf]]&lt;=0.5,vp.data[[#This Row],[Unknown]]=0),1,0)</f>
        <v>0</v>
      </c>
      <c r="AF788">
        <f>IF(AND(vp.data[[#This Row],[CrudeType]]="Crude",vp.data[[#This Row],[Dens]]&gt;900,vp.data[[#This Row],[Sulf]]&lt;=0.5,vp.data[[#This Row],[Unknown]]=0),1,0)</f>
        <v>0</v>
      </c>
      <c r="AG788" t="str">
        <f>INDEX(vp.data[[#Headers],[Unknown]:[Heavy_SW]],MATCH(1,vp.data[[#This Row],[Unknown]:[Heavy_SW]],0))</f>
        <v>Medium_LSB</v>
      </c>
      <c r="AH788">
        <f>INDEX([3]!crudeBD.lkup[Number],MATCH(vp.data[[#This Row],[Crude_Breakdown]],crudeBD.lkup[Crude Breakdown],0))</f>
        <v>3</v>
      </c>
      <c r="AI788">
        <f>MONTH(vp.data[[#This Row],[SDate]])</f>
        <v>2</v>
      </c>
      <c r="AJ788" s="5">
        <f>(vp.data[[#This Row],[VP]]-INDEX(crudeBD.lkup[Mean_VP],MATCH(vp.data[[#This Row],[Crude_Breakdown]],crudeBD.lkup[Crude Breakdown],0)))^2</f>
        <v>890.40629660057277</v>
      </c>
      <c r="AK788" s="5">
        <f>(vp.data[[#This Row],[Dens]]-INDEX(crudeBD.lkup[Mean_Dens],MATCH(vp.data[[#This Row],[Crude_Breakdown]],crudeBD.lkup[Crude Breakdown],0)))^2</f>
        <v>89.870400000008971</v>
      </c>
      <c r="AL788" s="5">
        <f>(vp.data[[#This Row],[Sulf]]-INDEX(crudeBD.lkup[Mean_Sulf],MATCH(vp.data[[#This Row],[Crude_Breakdown]],crudeBD.lkup[Crude Breakdown],0)))^2</f>
        <v>8.678437182345447E-2</v>
      </c>
      <c r="AM788" s="4">
        <f>IF(AND(vp.data[[#This Row],[SDate]]&gt;=DATE(YEAR(vp.data[[#This Row],[SDate]]),5,1),vp.data[[#This Row],[SDate]]&lt;=DATE(YEAR(vp.data[[#This Row],[SDate]]),9,15)),1,0)</f>
        <v>0</v>
      </c>
      <c r="AN788" s="4">
        <f>IF(vp.data[[#This Row],[SDate]]&lt;DATE(2016,12,1),0,1)</f>
        <v>1</v>
      </c>
      <c r="AO788" s="4">
        <f>IFERROR(vp.data[[#This Row],[Sulf]]*vp.data[[#This Row],[Net Dens]],"")</f>
        <v>68254892.06087999</v>
      </c>
      <c r="AP788">
        <f>IFERROR(vp.data[[#This Row],[Dens]]*vp.data[[#This Row],[VolumeM3]],"")</f>
        <v>40627911.941</v>
      </c>
      <c r="AQ788" s="15">
        <f>IFERROR(vp.data[[#This Row],[VP]]*vp.data[[#This Row],[VolumeM3]],"")</f>
        <v>2418441.4419999998</v>
      </c>
    </row>
    <row r="789" spans="1:43" x14ac:dyDescent="0.25">
      <c r="A789">
        <v>788</v>
      </c>
      <c r="B789" t="s">
        <v>53</v>
      </c>
      <c r="C789" t="s">
        <v>53</v>
      </c>
      <c r="D789" t="s">
        <v>54</v>
      </c>
      <c r="E789" t="s">
        <v>55</v>
      </c>
      <c r="F789" s="1">
        <v>42780</v>
      </c>
      <c r="G789" s="2">
        <v>98.1</v>
      </c>
      <c r="H789" s="2"/>
      <c r="I789" s="2">
        <f t="array" ref="I789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789" s="2">
        <v>6</v>
      </c>
      <c r="K789" s="2">
        <v>3</v>
      </c>
      <c r="L789" s="2">
        <v>822.7</v>
      </c>
      <c r="M789" s="2">
        <f t="array" ref="M789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789" s="2">
        <f ca="1">INDEX(INDIRECT(_xlfn.CONCAT("weather.tbl[",N$1,"]")),MATCH(vp.data[[#This Row],[SDate]],weather.tbl[Date],0))</f>
        <v>-3.8166666666666669</v>
      </c>
      <c r="O789" s="2">
        <f ca="1">INDEX(INDIRECT(_xlfn.CONCAT("weather.tbl[",O$1,"]")),MATCH(vp.data[[#This Row],[SDate]],weather.tbl[Date],0))</f>
        <v>-9.0880952380952387</v>
      </c>
      <c r="P789" s="2">
        <f ca="1">INDEX(INDIRECT(_xlfn.CONCAT("weather.tbl[",P$1,"]")),MATCH(vp.data[[#This Row],[SDate]],weather.tbl[Date],0))</f>
        <v>-4.4000000000000004</v>
      </c>
      <c r="Q789" s="2">
        <f ca="1">INDEX(INDIRECT(_xlfn.CONCAT("weather.tbl[",Q$1,"]")),MATCH(vp.data[[#This Row],[SDate]],weather.tbl[Date],0))</f>
        <v>-4.0999999999999996</v>
      </c>
      <c r="R789" s="2">
        <f ca="1">INDEX(INDIRECT(_xlfn.CONCAT("weather.tbl[",R$1,"]")),MATCH(vp.data[[#This Row],[SDate]],weather.tbl[Date],0))</f>
        <v>-4.8</v>
      </c>
      <c r="S789" s="2">
        <f ca="1">INDEX(INDIRECT(_xlfn.CONCAT("weather.tbl[",S$1,"]")),MATCH(vp.data[[#This Row],[SDate]],weather.tbl[Date],0))</f>
        <v>-2.2000000000000002</v>
      </c>
      <c r="T789" s="2">
        <f ca="1">INDEX(INDIRECT(_xlfn.CONCAT("weather.tbl[",T$1,"]")),MATCH(vp.data[[#This Row],[SDate]],weather.tbl[Date],0))</f>
        <v>-4.0999999999999996</v>
      </c>
      <c r="U789" s="2">
        <f ca="1">INDEX(INDIRECT(_xlfn.CONCAT("weather.tbl[",U$1,"]")),MATCH(vp.data[[#This Row],[SDate]],weather.tbl[Date],0))</f>
        <v>-3.3</v>
      </c>
      <c r="V789" s="2">
        <f t="array" ref="V7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47607.114999999998</v>
      </c>
      <c r="W789" t="s">
        <v>48</v>
      </c>
      <c r="X789">
        <f>IF(OR(vp.data[[#This Row],[Sulf]]="",vp.data[[#This Row],[Dens]]=""),1,0)</f>
        <v>0</v>
      </c>
      <c r="Y789">
        <f>IF(vp.data[[#This Row],[CrudeType]]="C5+",1,0)</f>
        <v>0</v>
      </c>
      <c r="Z789">
        <f>IF(AND(vp.data[[#This Row],[CrudeType]]="Crude",vp.data[[#This Row],[Dens]]&lt;=825,vp.data[[#This Row],[Sulf]]&gt;0.5,vp.data[[#This Row],[Unknown]]=0),1,0)</f>
        <v>1</v>
      </c>
      <c r="AA789">
        <f>IF(AND(vp.data[[#This Row],[CrudeType]]="Crude",vp.data[[#This Row],[Dens]]&lt;=825,vp.data[[#This Row],[Sulf]]&lt;=0.5,vp.data[[#This Row],[Unknown]]=0),1,0)</f>
        <v>0</v>
      </c>
      <c r="AB7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89">
        <f>IF(AND(vp.data[[#This Row],[CrudeType]]="Crude",vp.data[[#This Row],[Dens]]&gt;825,vp.data[[#This Row],[Dens]]&lt;=900,vp.data[[#This Row],[Sulf]]&lt;=0.5,vp.data[[#This Row],[Unknown]]=0),1,0)</f>
        <v>0</v>
      </c>
      <c r="AD789">
        <f>IF(AND(vp.data[[#This Row],[CrudeType]]="Crude",vp.data[[#This Row],[Dens]]&gt;865,vp.data[[#This Row],[Dens]]&lt;=900,vp.data[[#This Row],[Sulf]]&gt;2,vp.data[[#This Row],[Unknown]]=0),1,0)</f>
        <v>0</v>
      </c>
      <c r="AE789">
        <f>IF(AND(vp.data[[#This Row],[CrudeType]]="Crude",vp.data[[#This Row],[Dens]]&gt;900,vp.data[[#This Row],[Sulf]]&lt;=0.5,vp.data[[#This Row],[Unknown]]=0),1,0)</f>
        <v>0</v>
      </c>
      <c r="AF789">
        <f>IF(AND(vp.data[[#This Row],[CrudeType]]="Crude",vp.data[[#This Row],[Dens]]&gt;900,vp.data[[#This Row],[Sulf]]&lt;=0.5,vp.data[[#This Row],[Unknown]]=0),1,0)</f>
        <v>0</v>
      </c>
      <c r="AG789" t="str">
        <f>INDEX(vp.data[[#Headers],[Unknown]:[Heavy_SW]],MATCH(1,vp.data[[#This Row],[Unknown]:[Heavy_SW]],0))</f>
        <v>Light_LSB</v>
      </c>
      <c r="AH789">
        <f>INDEX([3]!crudeBD.lkup[Number],MATCH(vp.data[[#This Row],[Crude_Breakdown]],crudeBD.lkup[Crude Breakdown],0))</f>
        <v>1</v>
      </c>
      <c r="AI789">
        <f>MONTH(vp.data[[#This Row],[SDate]])</f>
        <v>2</v>
      </c>
      <c r="AJ789" s="5">
        <f>(vp.data[[#This Row],[VP]]-INDEX(crudeBD.lkup[Mean_VP],MATCH(vp.data[[#This Row],[Crude_Breakdown]],crudeBD.lkup[Crude Breakdown],0)))^2</f>
        <v>42.952483622063497</v>
      </c>
      <c r="AK789" s="5">
        <f>(vp.data[[#This Row],[Dens]]-INDEX(crudeBD.lkup[Mean_Dens],MATCH(vp.data[[#This Row],[Crude_Breakdown]],crudeBD.lkup[Crude Breakdown],0)))^2</f>
        <v>17.499415245453584</v>
      </c>
      <c r="AL789" s="5">
        <f>(vp.data[[#This Row],[Sulf]]-INDEX(crudeBD.lkup[Mean_Sulf],MATCH(vp.data[[#This Row],[Crude_Breakdown]],crudeBD.lkup[Crude Breakdown],0)))^2</f>
        <v>0.57309265189655445</v>
      </c>
      <c r="AM789" s="4">
        <f>IF(AND(vp.data[[#This Row],[SDate]]&gt;=DATE(YEAR(vp.data[[#This Row],[SDate]]),5,1),vp.data[[#This Row],[SDate]]&lt;=DATE(YEAR(vp.data[[#This Row],[SDate]]),9,15)),1,0)</f>
        <v>0</v>
      </c>
      <c r="AN789" s="4">
        <f>IF(vp.data[[#This Row],[SDate]]&lt;DATE(2016,12,1),0,1)</f>
        <v>1</v>
      </c>
      <c r="AO789" s="4">
        <f>IFERROR(vp.data[[#This Row],[Sulf]]*vp.data[[#This Row],[Net Dens]],"")</f>
        <v>65799507.497639999</v>
      </c>
      <c r="AP789">
        <f>IFERROR(vp.data[[#This Row],[Dens]]*vp.data[[#This Row],[VolumeM3]],"")</f>
        <v>39166373.510499999</v>
      </c>
      <c r="AQ789" s="15">
        <f>IFERROR(vp.data[[#This Row],[VP]]*vp.data[[#This Row],[VolumeM3]],"")</f>
        <v>4670257.9814999998</v>
      </c>
    </row>
    <row r="790" spans="1:43" x14ac:dyDescent="0.25">
      <c r="A790">
        <v>789</v>
      </c>
      <c r="B790" t="s">
        <v>49</v>
      </c>
      <c r="C790" t="s">
        <v>49</v>
      </c>
      <c r="D790" t="s">
        <v>75</v>
      </c>
      <c r="F790" s="1">
        <v>42780</v>
      </c>
      <c r="G790" s="2">
        <v>125.1</v>
      </c>
      <c r="H790" s="2">
        <v>0.16400000000000001</v>
      </c>
      <c r="I790" s="2">
        <f t="array" ref="I790">_xlfn.IFNA(IF(vp.data[[#This Row],[Sulf Input]]="",INDEX([1]DATA!$Q$3:$Q$9826,MATCH(1,(vp.data[[#This Row],[Battery]]=[1]DATA!$L$3:$L$9826)*(EOMONTH(vp.data[[#This Row],[SDate]],-1)+1=[1]DATA!$G$3:$G$9826),0)),vp.data[[#This Row],[Sulf Input]]),"")</f>
        <v>0.16400000000000001</v>
      </c>
      <c r="J790" s="2">
        <v>10.4</v>
      </c>
      <c r="K790" s="2">
        <v>3</v>
      </c>
      <c r="L790" s="2">
        <v>796.5</v>
      </c>
      <c r="M790" s="2">
        <f t="array" ref="M790">_xlfn.IFNA(IF(vp.data[[#This Row],[Dens Input]]="",INDEX([1]DATA!$O$3:$O$9826,MATCH(1,(vp.data[[#This Row],[Battery]]=[1]DATA!$L$3:$L$9826)*(EOMONTH(vp.data[[#This Row],[SDate]],-1)+1=[1]DATA!$G$3:$G$9826),0)),vp.data[[#This Row],[Dens Input]]),"")</f>
        <v>796.5</v>
      </c>
      <c r="N790" s="2">
        <f ca="1">INDEX(INDIRECT(_xlfn.CONCAT("weather.tbl[",N$1,"]")),MATCH(vp.data[[#This Row],[SDate]],weather.tbl[Date],0))</f>
        <v>-3.8166666666666669</v>
      </c>
      <c r="O790" s="2">
        <f ca="1">INDEX(INDIRECT(_xlfn.CONCAT("weather.tbl[",O$1,"]")),MATCH(vp.data[[#This Row],[SDate]],weather.tbl[Date],0))</f>
        <v>-9.0880952380952387</v>
      </c>
      <c r="P790" s="2">
        <f ca="1">INDEX(INDIRECT(_xlfn.CONCAT("weather.tbl[",P$1,"]")),MATCH(vp.data[[#This Row],[SDate]],weather.tbl[Date],0))</f>
        <v>-4.4000000000000004</v>
      </c>
      <c r="Q790" s="2">
        <f ca="1">INDEX(INDIRECT(_xlfn.CONCAT("weather.tbl[",Q$1,"]")),MATCH(vp.data[[#This Row],[SDate]],weather.tbl[Date],0))</f>
        <v>-4.0999999999999996</v>
      </c>
      <c r="R790" s="2">
        <f ca="1">INDEX(INDIRECT(_xlfn.CONCAT("weather.tbl[",R$1,"]")),MATCH(vp.data[[#This Row],[SDate]],weather.tbl[Date],0))</f>
        <v>-4.8</v>
      </c>
      <c r="S790" s="2">
        <f ca="1">INDEX(INDIRECT(_xlfn.CONCAT("weather.tbl[",S$1,"]")),MATCH(vp.data[[#This Row],[SDate]],weather.tbl[Date],0))</f>
        <v>-2.2000000000000002</v>
      </c>
      <c r="T790" s="2">
        <f ca="1">INDEX(INDIRECT(_xlfn.CONCAT("weather.tbl[",T$1,"]")),MATCH(vp.data[[#This Row],[SDate]],weather.tbl[Date],0))</f>
        <v>-4.0999999999999996</v>
      </c>
      <c r="U790" s="2">
        <f ca="1">INDEX(INDIRECT(_xlfn.CONCAT("weather.tbl[",U$1,"]")),MATCH(vp.data[[#This Row],[SDate]],weather.tbl[Date],0))</f>
        <v>-3.3</v>
      </c>
      <c r="V790" s="2">
        <f t="array" ref="V7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8347.0130000000008</v>
      </c>
      <c r="W790" t="s">
        <v>48</v>
      </c>
      <c r="X790">
        <f>IF(OR(vp.data[[#This Row],[Sulf]]="",vp.data[[#This Row],[Dens]]=""),1,0)</f>
        <v>0</v>
      </c>
      <c r="Y790">
        <f>IF(vp.data[[#This Row],[CrudeType]]="C5+",1,0)</f>
        <v>0</v>
      </c>
      <c r="Z790">
        <f>IF(AND(vp.data[[#This Row],[CrudeType]]="Crude",vp.data[[#This Row],[Dens]]&lt;=825,vp.data[[#This Row],[Sulf]]&gt;0.5,vp.data[[#This Row],[Unknown]]=0),1,0)</f>
        <v>0</v>
      </c>
      <c r="AA790">
        <f>IF(AND(vp.data[[#This Row],[CrudeType]]="Crude",vp.data[[#This Row],[Dens]]&lt;=825,vp.data[[#This Row],[Sulf]]&lt;=0.5,vp.data[[#This Row],[Unknown]]=0),1,0)</f>
        <v>1</v>
      </c>
      <c r="AB7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90">
        <f>IF(AND(vp.data[[#This Row],[CrudeType]]="Crude",vp.data[[#This Row],[Dens]]&gt;825,vp.data[[#This Row],[Dens]]&lt;=900,vp.data[[#This Row],[Sulf]]&lt;=0.5,vp.data[[#This Row],[Unknown]]=0),1,0)</f>
        <v>0</v>
      </c>
      <c r="AD790">
        <f>IF(AND(vp.data[[#This Row],[CrudeType]]="Crude",vp.data[[#This Row],[Dens]]&gt;865,vp.data[[#This Row],[Dens]]&lt;=900,vp.data[[#This Row],[Sulf]]&gt;2,vp.data[[#This Row],[Unknown]]=0),1,0)</f>
        <v>0</v>
      </c>
      <c r="AE790">
        <f>IF(AND(vp.data[[#This Row],[CrudeType]]="Crude",vp.data[[#This Row],[Dens]]&gt;900,vp.data[[#This Row],[Sulf]]&lt;=0.5,vp.data[[#This Row],[Unknown]]=0),1,0)</f>
        <v>0</v>
      </c>
      <c r="AF790">
        <f>IF(AND(vp.data[[#This Row],[CrudeType]]="Crude",vp.data[[#This Row],[Dens]]&gt;900,vp.data[[#This Row],[Sulf]]&lt;=0.5,vp.data[[#This Row],[Unknown]]=0),1,0)</f>
        <v>0</v>
      </c>
      <c r="AG790" t="str">
        <f>INDEX(vp.data[[#Headers],[Unknown]:[Heavy_SW]],MATCH(1,vp.data[[#This Row],[Unknown]:[Heavy_SW]],0))</f>
        <v>Light_SW</v>
      </c>
      <c r="AH790">
        <f>INDEX([3]!crudeBD.lkup[Number],MATCH(vp.data[[#This Row],[Crude_Breakdown]],crudeBD.lkup[Crude Breakdown],0))</f>
        <v>2</v>
      </c>
      <c r="AI790">
        <f>MONTH(vp.data[[#This Row],[SDate]])</f>
        <v>2</v>
      </c>
      <c r="AJ790" s="5">
        <f>(vp.data[[#This Row],[VP]]-INDEX(crudeBD.lkup[Mean_VP],MATCH(vp.data[[#This Row],[Crude_Breakdown]],crudeBD.lkup[Crude Breakdown],0)))^2</f>
        <v>1059.4820854641932</v>
      </c>
      <c r="AK790" s="5">
        <f>(vp.data[[#This Row],[Dens]]-INDEX(crudeBD.lkup[Mean_Dens],MATCH(vp.data[[#This Row],[Crude_Breakdown]],crudeBD.lkup[Crude Breakdown],0)))^2</f>
        <v>139.51149109494563</v>
      </c>
      <c r="AL790" s="5">
        <f>(vp.data[[#This Row],[Sulf]]-INDEX(crudeBD.lkup[Mean_Sulf],MATCH(vp.data[[#This Row],[Crude_Breakdown]],crudeBD.lkup[Crude Breakdown],0)))^2</f>
        <v>5.2188793788925216E-3</v>
      </c>
      <c r="AM790" s="4">
        <f>IF(AND(vp.data[[#This Row],[SDate]]&gt;=DATE(YEAR(vp.data[[#This Row],[SDate]]),5,1),vp.data[[#This Row],[SDate]]&lt;=DATE(YEAR(vp.data[[#This Row],[SDate]]),9,15)),1,0)</f>
        <v>0</v>
      </c>
      <c r="AN790" s="4">
        <f>IF(vp.data[[#This Row],[SDate]]&lt;DATE(2016,12,1),0,1)</f>
        <v>1</v>
      </c>
      <c r="AO790" s="4">
        <f>IFERROR(vp.data[[#This Row],[Sulf]]*vp.data[[#This Row],[Net Dens]],"")</f>
        <v>1090336.920138</v>
      </c>
      <c r="AP790">
        <f>IFERROR(vp.data[[#This Row],[Dens]]*vp.data[[#This Row],[VolumeM3]],"")</f>
        <v>6648395.8545000004</v>
      </c>
      <c r="AQ790" s="15">
        <f>IFERROR(vp.data[[#This Row],[VP]]*vp.data[[#This Row],[VolumeM3]],"")</f>
        <v>1044211.3263000001</v>
      </c>
    </row>
    <row r="791" spans="1:43" x14ac:dyDescent="0.25">
      <c r="A791">
        <v>790</v>
      </c>
      <c r="B791" t="s">
        <v>49</v>
      </c>
      <c r="C791" t="s">
        <v>49</v>
      </c>
      <c r="D791" t="s">
        <v>80</v>
      </c>
      <c r="F791" s="1">
        <v>42780</v>
      </c>
      <c r="G791" s="2">
        <v>82.8</v>
      </c>
      <c r="H791" s="2">
        <v>0.53300000000000003</v>
      </c>
      <c r="I791" s="2">
        <f t="array" ref="I791">_xlfn.IFNA(IF(vp.data[[#This Row],[Sulf Input]]="",INDEX([1]DATA!$Q$3:$Q$9826,MATCH(1,(vp.data[[#This Row],[Battery]]=[1]DATA!$L$3:$L$9826)*(EOMONTH(vp.data[[#This Row],[SDate]],-1)+1=[1]DATA!$G$3:$G$9826),0)),vp.data[[#This Row],[Sulf Input]]),"")</f>
        <v>0.53300000000000003</v>
      </c>
      <c r="J791" s="2">
        <v>19.899999999999999</v>
      </c>
      <c r="K791" s="2">
        <v>3</v>
      </c>
      <c r="L791" s="2">
        <v>817</v>
      </c>
      <c r="M791" s="2">
        <f t="array" ref="M791">_xlfn.IFNA(IF(vp.data[[#This Row],[Dens Input]]="",INDEX([1]DATA!$O$3:$O$9826,MATCH(1,(vp.data[[#This Row],[Battery]]=[1]DATA!$L$3:$L$9826)*(EOMONTH(vp.data[[#This Row],[SDate]],-1)+1=[1]DATA!$G$3:$G$9826),0)),vp.data[[#This Row],[Dens Input]]),"")</f>
        <v>817</v>
      </c>
      <c r="N791" s="2">
        <f ca="1">INDEX(INDIRECT(_xlfn.CONCAT("weather.tbl[",N$1,"]")),MATCH(vp.data[[#This Row],[SDate]],weather.tbl[Date],0))</f>
        <v>-3.8166666666666669</v>
      </c>
      <c r="O791" s="2">
        <f ca="1">INDEX(INDIRECT(_xlfn.CONCAT("weather.tbl[",O$1,"]")),MATCH(vp.data[[#This Row],[SDate]],weather.tbl[Date],0))</f>
        <v>-9.0880952380952387</v>
      </c>
      <c r="P791" s="2">
        <f ca="1">INDEX(INDIRECT(_xlfn.CONCAT("weather.tbl[",P$1,"]")),MATCH(vp.data[[#This Row],[SDate]],weather.tbl[Date],0))</f>
        <v>-4.4000000000000004</v>
      </c>
      <c r="Q791" s="2">
        <f ca="1">INDEX(INDIRECT(_xlfn.CONCAT("weather.tbl[",Q$1,"]")),MATCH(vp.data[[#This Row],[SDate]],weather.tbl[Date],0))</f>
        <v>-4.0999999999999996</v>
      </c>
      <c r="R791" s="2">
        <f ca="1">INDEX(INDIRECT(_xlfn.CONCAT("weather.tbl[",R$1,"]")),MATCH(vp.data[[#This Row],[SDate]],weather.tbl[Date],0))</f>
        <v>-4.8</v>
      </c>
      <c r="S791" s="2">
        <f ca="1">INDEX(INDIRECT(_xlfn.CONCAT("weather.tbl[",S$1,"]")),MATCH(vp.data[[#This Row],[SDate]],weather.tbl[Date],0))</f>
        <v>-2.2000000000000002</v>
      </c>
      <c r="T791" s="2">
        <f ca="1">INDEX(INDIRECT(_xlfn.CONCAT("weather.tbl[",T$1,"]")),MATCH(vp.data[[#This Row],[SDate]],weather.tbl[Date],0))</f>
        <v>-4.0999999999999996</v>
      </c>
      <c r="U791" s="2">
        <f ca="1">INDEX(INDIRECT(_xlfn.CONCAT("weather.tbl[",U$1,"]")),MATCH(vp.data[[#This Row],[SDate]],weather.tbl[Date],0))</f>
        <v>-3.3</v>
      </c>
      <c r="V791" s="2">
        <f t="array" ref="V7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16928.633000000002</v>
      </c>
      <c r="W791" t="s">
        <v>48</v>
      </c>
      <c r="X791">
        <f>IF(OR(vp.data[[#This Row],[Sulf]]="",vp.data[[#This Row],[Dens]]=""),1,0)</f>
        <v>0</v>
      </c>
      <c r="Y791">
        <f>IF(vp.data[[#This Row],[CrudeType]]="C5+",1,0)</f>
        <v>0</v>
      </c>
      <c r="Z791">
        <f>IF(AND(vp.data[[#This Row],[CrudeType]]="Crude",vp.data[[#This Row],[Dens]]&lt;=825,vp.data[[#This Row],[Sulf]]&gt;0.5,vp.data[[#This Row],[Unknown]]=0),1,0)</f>
        <v>1</v>
      </c>
      <c r="AA791">
        <f>IF(AND(vp.data[[#This Row],[CrudeType]]="Crude",vp.data[[#This Row],[Dens]]&lt;=825,vp.data[[#This Row],[Sulf]]&lt;=0.5,vp.data[[#This Row],[Unknown]]=0),1,0)</f>
        <v>0</v>
      </c>
      <c r="AB7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91">
        <f>IF(AND(vp.data[[#This Row],[CrudeType]]="Crude",vp.data[[#This Row],[Dens]]&gt;825,vp.data[[#This Row],[Dens]]&lt;=900,vp.data[[#This Row],[Sulf]]&lt;=0.5,vp.data[[#This Row],[Unknown]]=0),1,0)</f>
        <v>0</v>
      </c>
      <c r="AD791">
        <f>IF(AND(vp.data[[#This Row],[CrudeType]]="Crude",vp.data[[#This Row],[Dens]]&gt;865,vp.data[[#This Row],[Dens]]&lt;=900,vp.data[[#This Row],[Sulf]]&gt;2,vp.data[[#This Row],[Unknown]]=0),1,0)</f>
        <v>0</v>
      </c>
      <c r="AE791">
        <f>IF(AND(vp.data[[#This Row],[CrudeType]]="Crude",vp.data[[#This Row],[Dens]]&gt;900,vp.data[[#This Row],[Sulf]]&lt;=0.5,vp.data[[#This Row],[Unknown]]=0),1,0)</f>
        <v>0</v>
      </c>
      <c r="AF791">
        <f>IF(AND(vp.data[[#This Row],[CrudeType]]="Crude",vp.data[[#This Row],[Dens]]&gt;900,vp.data[[#This Row],[Sulf]]&lt;=0.5,vp.data[[#This Row],[Unknown]]=0),1,0)</f>
        <v>0</v>
      </c>
      <c r="AG791" t="str">
        <f>INDEX(vp.data[[#Headers],[Unknown]:[Heavy_SW]],MATCH(1,vp.data[[#This Row],[Unknown]:[Heavy_SW]],0))</f>
        <v>Light_LSB</v>
      </c>
      <c r="AH791">
        <f>INDEX([3]!crudeBD.lkup[Number],MATCH(vp.data[[#This Row],[Crude_Breakdown]],crudeBD.lkup[Crude Breakdown],0))</f>
        <v>1</v>
      </c>
      <c r="AI791">
        <f>MONTH(vp.data[[#This Row],[SDate]])</f>
        <v>2</v>
      </c>
      <c r="AJ791" s="5">
        <f>(vp.data[[#This Row],[VP]]-INDEX(crudeBD.lkup[Mean_VP],MATCH(vp.data[[#This Row],[Crude_Breakdown]],crudeBD.lkup[Crude Breakdown],0)))^2</f>
        <v>76.495761972580041</v>
      </c>
      <c r="AK791" s="5">
        <f>(vp.data[[#This Row],[Dens]]-INDEX(crudeBD.lkup[Mean_Dens],MATCH(vp.data[[#This Row],[Crude_Breakdown]],crudeBD.lkup[Crude Breakdown],0)))^2</f>
        <v>2.3005905031815792</v>
      </c>
      <c r="AL791" s="5">
        <f>(vp.data[[#This Row],[Sulf]]-INDEX(crudeBD.lkup[Mean_Sulf],MATCH(vp.data[[#This Row],[Crude_Breakdown]],crudeBD.lkup[Crude Breakdown],0)))^2</f>
        <v>0.152077512171468</v>
      </c>
      <c r="AM791" s="4">
        <f>IF(AND(vp.data[[#This Row],[SDate]]&gt;=DATE(YEAR(vp.data[[#This Row],[SDate]]),5,1),vp.data[[#This Row],[SDate]]&lt;=DATE(YEAR(vp.data[[#This Row],[SDate]]),9,15)),1,0)</f>
        <v>0</v>
      </c>
      <c r="AN791" s="4">
        <f>IF(vp.data[[#This Row],[SDate]]&lt;DATE(2016,12,1),0,1)</f>
        <v>1</v>
      </c>
      <c r="AO791" s="4">
        <f>IFERROR(vp.data[[#This Row],[Sulf]]*vp.data[[#This Row],[Net Dens]],"")</f>
        <v>7371759.4548130017</v>
      </c>
      <c r="AP791">
        <f>IFERROR(vp.data[[#This Row],[Dens]]*vp.data[[#This Row],[VolumeM3]],"")</f>
        <v>13830693.161000002</v>
      </c>
      <c r="AQ791" s="15">
        <f>IFERROR(vp.data[[#This Row],[VP]]*vp.data[[#This Row],[VolumeM3]],"")</f>
        <v>1401690.8124000002</v>
      </c>
    </row>
    <row r="792" spans="1:43" x14ac:dyDescent="0.25">
      <c r="A792">
        <v>791</v>
      </c>
      <c r="B792" t="s">
        <v>49</v>
      </c>
      <c r="C792" t="s">
        <v>49</v>
      </c>
      <c r="D792" t="s">
        <v>100</v>
      </c>
      <c r="F792" s="1">
        <v>42780</v>
      </c>
      <c r="G792" s="2">
        <v>85.4</v>
      </c>
      <c r="H792" s="2">
        <v>0.63700000000000001</v>
      </c>
      <c r="I792" s="2">
        <f t="array" ref="I792">_xlfn.IFNA(IF(vp.data[[#This Row],[Sulf Input]]="",INDEX([1]DATA!$Q$3:$Q$9826,MATCH(1,(vp.data[[#This Row],[Battery]]=[1]DATA!$L$3:$L$9826)*(EOMONTH(vp.data[[#This Row],[SDate]],-1)+1=[1]DATA!$G$3:$G$9826),0)),vp.data[[#This Row],[Sulf Input]]),"")</f>
        <v>0.63700000000000001</v>
      </c>
      <c r="J792" s="2">
        <v>9.8000000000000007</v>
      </c>
      <c r="K792" s="2">
        <v>3</v>
      </c>
      <c r="L792" s="2">
        <v>818.7</v>
      </c>
      <c r="M792" s="2">
        <f t="array" ref="M792">_xlfn.IFNA(IF(vp.data[[#This Row],[Dens Input]]="",INDEX([1]DATA!$O$3:$O$9826,MATCH(1,(vp.data[[#This Row],[Battery]]=[1]DATA!$L$3:$L$9826)*(EOMONTH(vp.data[[#This Row],[SDate]],-1)+1=[1]DATA!$G$3:$G$9826),0)),vp.data[[#This Row],[Dens Input]]),"")</f>
        <v>818.7</v>
      </c>
      <c r="N792" s="2">
        <f ca="1">INDEX(INDIRECT(_xlfn.CONCAT("weather.tbl[",N$1,"]")),MATCH(vp.data[[#This Row],[SDate]],weather.tbl[Date],0))</f>
        <v>-3.8166666666666669</v>
      </c>
      <c r="O792" s="2">
        <f ca="1">INDEX(INDIRECT(_xlfn.CONCAT("weather.tbl[",O$1,"]")),MATCH(vp.data[[#This Row],[SDate]],weather.tbl[Date],0))</f>
        <v>-9.0880952380952387</v>
      </c>
      <c r="P792" s="2">
        <f ca="1">INDEX(INDIRECT(_xlfn.CONCAT("weather.tbl[",P$1,"]")),MATCH(vp.data[[#This Row],[SDate]],weather.tbl[Date],0))</f>
        <v>-4.4000000000000004</v>
      </c>
      <c r="Q792" s="2">
        <f ca="1">INDEX(INDIRECT(_xlfn.CONCAT("weather.tbl[",Q$1,"]")),MATCH(vp.data[[#This Row],[SDate]],weather.tbl[Date],0))</f>
        <v>-4.0999999999999996</v>
      </c>
      <c r="R792" s="2">
        <f ca="1">INDEX(INDIRECT(_xlfn.CONCAT("weather.tbl[",R$1,"]")),MATCH(vp.data[[#This Row],[SDate]],weather.tbl[Date],0))</f>
        <v>-4.8</v>
      </c>
      <c r="S792" s="2">
        <f ca="1">INDEX(INDIRECT(_xlfn.CONCAT("weather.tbl[",S$1,"]")),MATCH(vp.data[[#This Row],[SDate]],weather.tbl[Date],0))</f>
        <v>-2.2000000000000002</v>
      </c>
      <c r="T792" s="2">
        <f ca="1">INDEX(INDIRECT(_xlfn.CONCAT("weather.tbl[",T$1,"]")),MATCH(vp.data[[#This Row],[SDate]],weather.tbl[Date],0))</f>
        <v>-4.0999999999999996</v>
      </c>
      <c r="U792" s="2">
        <f ca="1">INDEX(INDIRECT(_xlfn.CONCAT("weather.tbl[",U$1,"]")),MATCH(vp.data[[#This Row],[SDate]],weather.tbl[Date],0))</f>
        <v>-3.3</v>
      </c>
      <c r="V792" s="2">
        <f t="array" ref="V7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11683.09</v>
      </c>
      <c r="W792" t="s">
        <v>48</v>
      </c>
      <c r="X792">
        <f>IF(OR(vp.data[[#This Row],[Sulf]]="",vp.data[[#This Row],[Dens]]=""),1,0)</f>
        <v>0</v>
      </c>
      <c r="Y792">
        <f>IF(vp.data[[#This Row],[CrudeType]]="C5+",1,0)</f>
        <v>0</v>
      </c>
      <c r="Z792">
        <f>IF(AND(vp.data[[#This Row],[CrudeType]]="Crude",vp.data[[#This Row],[Dens]]&lt;=825,vp.data[[#This Row],[Sulf]]&gt;0.5,vp.data[[#This Row],[Unknown]]=0),1,0)</f>
        <v>1</v>
      </c>
      <c r="AA792">
        <f>IF(AND(vp.data[[#This Row],[CrudeType]]="Crude",vp.data[[#This Row],[Dens]]&lt;=825,vp.data[[#This Row],[Sulf]]&lt;=0.5,vp.data[[#This Row],[Unknown]]=0),1,0)</f>
        <v>0</v>
      </c>
      <c r="AB7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92">
        <f>IF(AND(vp.data[[#This Row],[CrudeType]]="Crude",vp.data[[#This Row],[Dens]]&gt;825,vp.data[[#This Row],[Dens]]&lt;=900,vp.data[[#This Row],[Sulf]]&lt;=0.5,vp.data[[#This Row],[Unknown]]=0),1,0)</f>
        <v>0</v>
      </c>
      <c r="AD792">
        <f>IF(AND(vp.data[[#This Row],[CrudeType]]="Crude",vp.data[[#This Row],[Dens]]&gt;865,vp.data[[#This Row],[Dens]]&lt;=900,vp.data[[#This Row],[Sulf]]&gt;2,vp.data[[#This Row],[Unknown]]=0),1,0)</f>
        <v>0</v>
      </c>
      <c r="AE792">
        <f>IF(AND(vp.data[[#This Row],[CrudeType]]="Crude",vp.data[[#This Row],[Dens]]&gt;900,vp.data[[#This Row],[Sulf]]&lt;=0.5,vp.data[[#This Row],[Unknown]]=0),1,0)</f>
        <v>0</v>
      </c>
      <c r="AF792">
        <f>IF(AND(vp.data[[#This Row],[CrudeType]]="Crude",vp.data[[#This Row],[Dens]]&gt;900,vp.data[[#This Row],[Sulf]]&lt;=0.5,vp.data[[#This Row],[Unknown]]=0),1,0)</f>
        <v>0</v>
      </c>
      <c r="AG792" t="str">
        <f>INDEX(vp.data[[#Headers],[Unknown]:[Heavy_SW]],MATCH(1,vp.data[[#This Row],[Unknown]:[Heavy_SW]],0))</f>
        <v>Light_LSB</v>
      </c>
      <c r="AH792">
        <f>INDEX([3]!crudeBD.lkup[Number],MATCH(vp.data[[#This Row],[Crude_Breakdown]],crudeBD.lkup[Crude Breakdown],0))</f>
        <v>1</v>
      </c>
      <c r="AI792">
        <f>MONTH(vp.data[[#This Row],[SDate]])</f>
        <v>2</v>
      </c>
      <c r="AJ792" s="5">
        <f>(vp.data[[#This Row],[VP]]-INDEX(crudeBD.lkup[Mean_VP],MATCH(vp.data[[#This Row],[Crude_Breakdown]],crudeBD.lkup[Crude Breakdown],0)))^2</f>
        <v>37.775597024126149</v>
      </c>
      <c r="AK792" s="5">
        <f>(vp.data[[#This Row],[Dens]]-INDEX(crudeBD.lkup[Mean_Dens],MATCH(vp.data[[#This Row],[Crude_Breakdown]],crudeBD.lkup[Crude Breakdown],0)))^2</f>
        <v>3.3573321052079677E-2</v>
      </c>
      <c r="AL792" s="5">
        <f>(vp.data[[#This Row],[Sulf]]-INDEX(crudeBD.lkup[Mean_Sulf],MATCH(vp.data[[#This Row],[Crude_Breakdown]],crudeBD.lkup[Crude Breakdown],0)))^2</f>
        <v>8.1779509147413082E-2</v>
      </c>
      <c r="AM792" s="4">
        <f>IF(AND(vp.data[[#This Row],[SDate]]&gt;=DATE(YEAR(vp.data[[#This Row],[SDate]]),5,1),vp.data[[#This Row],[SDate]]&lt;=DATE(YEAR(vp.data[[#This Row],[SDate]]),9,15)),1,0)</f>
        <v>0</v>
      </c>
      <c r="AN792" s="4">
        <f>IF(vp.data[[#This Row],[SDate]]&lt;DATE(2016,12,1),0,1)</f>
        <v>1</v>
      </c>
      <c r="AO792" s="4">
        <f>IFERROR(vp.data[[#This Row],[Sulf]]*vp.data[[#This Row],[Net Dens]],"")</f>
        <v>6092870.4637709996</v>
      </c>
      <c r="AP792">
        <f>IFERROR(vp.data[[#This Row],[Dens]]*vp.data[[#This Row],[VolumeM3]],"")</f>
        <v>9564945.7829999998</v>
      </c>
      <c r="AQ792" s="15">
        <f>IFERROR(vp.data[[#This Row],[VP]]*vp.data[[#This Row],[VolumeM3]],"")</f>
        <v>997735.88600000006</v>
      </c>
    </row>
    <row r="793" spans="1:43" x14ac:dyDescent="0.25">
      <c r="A793">
        <v>792</v>
      </c>
      <c r="B793" t="s">
        <v>49</v>
      </c>
      <c r="C793" t="s">
        <v>49</v>
      </c>
      <c r="D793" t="s">
        <v>89</v>
      </c>
      <c r="F793" s="1">
        <v>42780</v>
      </c>
      <c r="G793" s="2">
        <v>97.9</v>
      </c>
      <c r="H793" s="2">
        <v>0.78400000000000003</v>
      </c>
      <c r="I793" s="2">
        <f t="array" ref="I793">_xlfn.IFNA(IF(vp.data[[#This Row],[Sulf Input]]="",INDEX([1]DATA!$Q$3:$Q$9826,MATCH(1,(vp.data[[#This Row],[Battery]]=[1]DATA!$L$3:$L$9826)*(EOMONTH(vp.data[[#This Row],[SDate]],-1)+1=[1]DATA!$G$3:$G$9826),0)),vp.data[[#This Row],[Sulf Input]]),"")</f>
        <v>0.78400000000000003</v>
      </c>
      <c r="J793" s="2">
        <v>4.5</v>
      </c>
      <c r="K793" s="2">
        <v>3</v>
      </c>
      <c r="L793" s="2">
        <v>820.4</v>
      </c>
      <c r="M793" s="2">
        <f t="array" ref="M793">_xlfn.IFNA(IF(vp.data[[#This Row],[Dens Input]]="",INDEX([1]DATA!$O$3:$O$9826,MATCH(1,(vp.data[[#This Row],[Battery]]=[1]DATA!$L$3:$L$9826)*(EOMONTH(vp.data[[#This Row],[SDate]],-1)+1=[1]DATA!$G$3:$G$9826),0)),vp.data[[#This Row],[Dens Input]]),"")</f>
        <v>820.4</v>
      </c>
      <c r="N793" s="2">
        <f ca="1">INDEX(INDIRECT(_xlfn.CONCAT("weather.tbl[",N$1,"]")),MATCH(vp.data[[#This Row],[SDate]],weather.tbl[Date],0))</f>
        <v>-3.8166666666666669</v>
      </c>
      <c r="O793" s="2">
        <f ca="1">INDEX(INDIRECT(_xlfn.CONCAT("weather.tbl[",O$1,"]")),MATCH(vp.data[[#This Row],[SDate]],weather.tbl[Date],0))</f>
        <v>-9.0880952380952387</v>
      </c>
      <c r="P793" s="2">
        <f ca="1">INDEX(INDIRECT(_xlfn.CONCAT("weather.tbl[",P$1,"]")),MATCH(vp.data[[#This Row],[SDate]],weather.tbl[Date],0))</f>
        <v>-4.4000000000000004</v>
      </c>
      <c r="Q793" s="2">
        <f ca="1">INDEX(INDIRECT(_xlfn.CONCAT("weather.tbl[",Q$1,"]")),MATCH(vp.data[[#This Row],[SDate]],weather.tbl[Date],0))</f>
        <v>-4.0999999999999996</v>
      </c>
      <c r="R793" s="2">
        <f ca="1">INDEX(INDIRECT(_xlfn.CONCAT("weather.tbl[",R$1,"]")),MATCH(vp.data[[#This Row],[SDate]],weather.tbl[Date],0))</f>
        <v>-4.8</v>
      </c>
      <c r="S793" s="2">
        <f ca="1">INDEX(INDIRECT(_xlfn.CONCAT("weather.tbl[",S$1,"]")),MATCH(vp.data[[#This Row],[SDate]],weather.tbl[Date],0))</f>
        <v>-2.2000000000000002</v>
      </c>
      <c r="T793" s="2">
        <f ca="1">INDEX(INDIRECT(_xlfn.CONCAT("weather.tbl[",T$1,"]")),MATCH(vp.data[[#This Row],[SDate]],weather.tbl[Date],0))</f>
        <v>-4.0999999999999996</v>
      </c>
      <c r="U793" s="2">
        <f ca="1">INDEX(INDIRECT(_xlfn.CONCAT("weather.tbl[",U$1,"]")),MATCH(vp.data[[#This Row],[SDate]],weather.tbl[Date],0))</f>
        <v>-3.3</v>
      </c>
      <c r="V793" s="2">
        <f t="array" ref="V7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793" t="s">
        <v>48</v>
      </c>
      <c r="X793">
        <f>IF(OR(vp.data[[#This Row],[Sulf]]="",vp.data[[#This Row],[Dens]]=""),1,0)</f>
        <v>0</v>
      </c>
      <c r="Y793">
        <f>IF(vp.data[[#This Row],[CrudeType]]="C5+",1,0)</f>
        <v>0</v>
      </c>
      <c r="Z793">
        <f>IF(AND(vp.data[[#This Row],[CrudeType]]="Crude",vp.data[[#This Row],[Dens]]&lt;=825,vp.data[[#This Row],[Sulf]]&gt;0.5,vp.data[[#This Row],[Unknown]]=0),1,0)</f>
        <v>1</v>
      </c>
      <c r="AA793">
        <f>IF(AND(vp.data[[#This Row],[CrudeType]]="Crude",vp.data[[#This Row],[Dens]]&lt;=825,vp.data[[#This Row],[Sulf]]&lt;=0.5,vp.data[[#This Row],[Unknown]]=0),1,0)</f>
        <v>0</v>
      </c>
      <c r="AB7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93">
        <f>IF(AND(vp.data[[#This Row],[CrudeType]]="Crude",vp.data[[#This Row],[Dens]]&gt;825,vp.data[[#This Row],[Dens]]&lt;=900,vp.data[[#This Row],[Sulf]]&lt;=0.5,vp.data[[#This Row],[Unknown]]=0),1,0)</f>
        <v>0</v>
      </c>
      <c r="AD793">
        <f>IF(AND(vp.data[[#This Row],[CrudeType]]="Crude",vp.data[[#This Row],[Dens]]&gt;865,vp.data[[#This Row],[Dens]]&lt;=900,vp.data[[#This Row],[Sulf]]&gt;2,vp.data[[#This Row],[Unknown]]=0),1,0)</f>
        <v>0</v>
      </c>
      <c r="AE793">
        <f>IF(AND(vp.data[[#This Row],[CrudeType]]="Crude",vp.data[[#This Row],[Dens]]&gt;900,vp.data[[#This Row],[Sulf]]&lt;=0.5,vp.data[[#This Row],[Unknown]]=0),1,0)</f>
        <v>0</v>
      </c>
      <c r="AF793">
        <f>IF(AND(vp.data[[#This Row],[CrudeType]]="Crude",vp.data[[#This Row],[Dens]]&gt;900,vp.data[[#This Row],[Sulf]]&lt;=0.5,vp.data[[#This Row],[Unknown]]=0),1,0)</f>
        <v>0</v>
      </c>
      <c r="AG793" t="str">
        <f>INDEX(vp.data[[#Headers],[Unknown]:[Heavy_SW]],MATCH(1,vp.data[[#This Row],[Unknown]:[Heavy_SW]],0))</f>
        <v>Light_LSB</v>
      </c>
      <c r="AH793">
        <f>INDEX([3]!crudeBD.lkup[Number],MATCH(vp.data[[#This Row],[Crude_Breakdown]],crudeBD.lkup[Crude Breakdown],0))</f>
        <v>1</v>
      </c>
      <c r="AI793">
        <f>MONTH(vp.data[[#This Row],[SDate]])</f>
        <v>2</v>
      </c>
      <c r="AJ793" s="5">
        <f>(vp.data[[#This Row],[VP]]-INDEX(crudeBD.lkup[Mean_VP],MATCH(vp.data[[#This Row],[Crude_Breakdown]],crudeBD.lkup[Crude Breakdown],0)))^2</f>
        <v>40.370957848867782</v>
      </c>
      <c r="AK793" s="5">
        <f>(vp.data[[#This Row],[Dens]]-INDEX(crudeBD.lkup[Mean_Dens],MATCH(vp.data[[#This Row],[Crude_Breakdown]],crudeBD.lkup[Crude Breakdown],0)))^2</f>
        <v>3.5465561389224614</v>
      </c>
      <c r="AL793" s="5">
        <f>(vp.data[[#This Row],[Sulf]]-INDEX(crudeBD.lkup[Mean_Sulf],MATCH(vp.data[[#This Row],[Crude_Breakdown]],crudeBD.lkup[Crude Breakdown],0)))^2</f>
        <v>1.9312985642258515E-2</v>
      </c>
      <c r="AM793" s="4">
        <f>IF(AND(vp.data[[#This Row],[SDate]]&gt;=DATE(YEAR(vp.data[[#This Row],[SDate]]),5,1),vp.data[[#This Row],[SDate]]&lt;=DATE(YEAR(vp.data[[#This Row],[SDate]]),9,15)),1,0)</f>
        <v>0</v>
      </c>
      <c r="AN793" s="4">
        <f>IF(vp.data[[#This Row],[SDate]]&lt;DATE(2016,12,1),0,1)</f>
        <v>1</v>
      </c>
      <c r="AO793" s="4">
        <f>IFERROR(vp.data[[#This Row],[Sulf]]*vp.data[[#This Row],[Net Dens]],"")</f>
        <v>3256633.2721664002</v>
      </c>
      <c r="AP793">
        <f>IFERROR(vp.data[[#This Row],[Dens]]*vp.data[[#This Row],[VolumeM3]],"")</f>
        <v>4153868.9696</v>
      </c>
      <c r="AQ793" s="15">
        <f>IFERROR(vp.data[[#This Row],[VP]]*vp.data[[#This Row],[VolumeM3]],"")</f>
        <v>495689.62960000004</v>
      </c>
    </row>
    <row r="794" spans="1:43" x14ac:dyDescent="0.25">
      <c r="A794">
        <v>793</v>
      </c>
      <c r="B794" t="s">
        <v>49</v>
      </c>
      <c r="C794" t="s">
        <v>49</v>
      </c>
      <c r="D794" t="s">
        <v>67</v>
      </c>
      <c r="F794" s="1">
        <v>42780</v>
      </c>
      <c r="G794" s="2">
        <v>96.5</v>
      </c>
      <c r="H794" s="2">
        <v>0.86499999999999999</v>
      </c>
      <c r="I794" s="2">
        <f t="array" ref="I794">_xlfn.IFNA(IF(vp.data[[#This Row],[Sulf Input]]="",INDEX([1]DATA!$Q$3:$Q$9826,MATCH(1,(vp.data[[#This Row],[Battery]]=[1]DATA!$L$3:$L$9826)*(EOMONTH(vp.data[[#This Row],[SDate]],-1)+1=[1]DATA!$G$3:$G$9826),0)),vp.data[[#This Row],[Sulf Input]]),"")</f>
        <v>0.86499999999999999</v>
      </c>
      <c r="J794" s="2">
        <v>7.4</v>
      </c>
      <c r="K794" s="2">
        <v>3</v>
      </c>
      <c r="L794" s="2">
        <v>830.7</v>
      </c>
      <c r="M794" s="2">
        <f t="array" ref="M794">_xlfn.IFNA(IF(vp.data[[#This Row],[Dens Input]]="",INDEX([1]DATA!$O$3:$O$9826,MATCH(1,(vp.data[[#This Row],[Battery]]=[1]DATA!$L$3:$L$9826)*(EOMONTH(vp.data[[#This Row],[SDate]],-1)+1=[1]DATA!$G$3:$G$9826),0)),vp.data[[#This Row],[Dens Input]]),"")</f>
        <v>830.7</v>
      </c>
      <c r="N794" s="2">
        <f ca="1">INDEX(INDIRECT(_xlfn.CONCAT("weather.tbl[",N$1,"]")),MATCH(vp.data[[#This Row],[SDate]],weather.tbl[Date],0))</f>
        <v>-3.8166666666666669</v>
      </c>
      <c r="O794" s="2">
        <f ca="1">INDEX(INDIRECT(_xlfn.CONCAT("weather.tbl[",O$1,"]")),MATCH(vp.data[[#This Row],[SDate]],weather.tbl[Date],0))</f>
        <v>-9.0880952380952387</v>
      </c>
      <c r="P794" s="2">
        <f ca="1">INDEX(INDIRECT(_xlfn.CONCAT("weather.tbl[",P$1,"]")),MATCH(vp.data[[#This Row],[SDate]],weather.tbl[Date],0))</f>
        <v>-4.4000000000000004</v>
      </c>
      <c r="Q794" s="2">
        <f ca="1">INDEX(INDIRECT(_xlfn.CONCAT("weather.tbl[",Q$1,"]")),MATCH(vp.data[[#This Row],[SDate]],weather.tbl[Date],0))</f>
        <v>-4.0999999999999996</v>
      </c>
      <c r="R794" s="2">
        <f ca="1">INDEX(INDIRECT(_xlfn.CONCAT("weather.tbl[",R$1,"]")),MATCH(vp.data[[#This Row],[SDate]],weather.tbl[Date],0))</f>
        <v>-4.8</v>
      </c>
      <c r="S794" s="2">
        <f ca="1">INDEX(INDIRECT(_xlfn.CONCAT("weather.tbl[",S$1,"]")),MATCH(vp.data[[#This Row],[SDate]],weather.tbl[Date],0))</f>
        <v>-2.2000000000000002</v>
      </c>
      <c r="T794" s="2">
        <f ca="1">INDEX(INDIRECT(_xlfn.CONCAT("weather.tbl[",T$1,"]")),MATCH(vp.data[[#This Row],[SDate]],weather.tbl[Date],0))</f>
        <v>-4.0999999999999996</v>
      </c>
      <c r="U794" s="2">
        <f ca="1">INDEX(INDIRECT(_xlfn.CONCAT("weather.tbl[",U$1,"]")),MATCH(vp.data[[#This Row],[SDate]],weather.tbl[Date],0))</f>
        <v>-3.3</v>
      </c>
      <c r="V794" s="2">
        <f t="array" ref="V7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794" t="s">
        <v>48</v>
      </c>
      <c r="X794">
        <f>IF(OR(vp.data[[#This Row],[Sulf]]="",vp.data[[#This Row],[Dens]]=""),1,0)</f>
        <v>0</v>
      </c>
      <c r="Y794">
        <f>IF(vp.data[[#This Row],[CrudeType]]="C5+",1,0)</f>
        <v>0</v>
      </c>
      <c r="Z794">
        <f>IF(AND(vp.data[[#This Row],[CrudeType]]="Crude",vp.data[[#This Row],[Dens]]&lt;=825,vp.data[[#This Row],[Sulf]]&gt;0.5,vp.data[[#This Row],[Unknown]]=0),1,0)</f>
        <v>0</v>
      </c>
      <c r="AA794">
        <f>IF(AND(vp.data[[#This Row],[CrudeType]]="Crude",vp.data[[#This Row],[Dens]]&lt;=825,vp.data[[#This Row],[Sulf]]&lt;=0.5,vp.data[[#This Row],[Unknown]]=0),1,0)</f>
        <v>0</v>
      </c>
      <c r="AB7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4">
        <f>IF(AND(vp.data[[#This Row],[CrudeType]]="Crude",vp.data[[#This Row],[Dens]]&gt;825,vp.data[[#This Row],[Dens]]&lt;=900,vp.data[[#This Row],[Sulf]]&lt;=0.5,vp.data[[#This Row],[Unknown]]=0),1,0)</f>
        <v>0</v>
      </c>
      <c r="AD794">
        <f>IF(AND(vp.data[[#This Row],[CrudeType]]="Crude",vp.data[[#This Row],[Dens]]&gt;865,vp.data[[#This Row],[Dens]]&lt;=900,vp.data[[#This Row],[Sulf]]&gt;2,vp.data[[#This Row],[Unknown]]=0),1,0)</f>
        <v>0</v>
      </c>
      <c r="AE794">
        <f>IF(AND(vp.data[[#This Row],[CrudeType]]="Crude",vp.data[[#This Row],[Dens]]&gt;900,vp.data[[#This Row],[Sulf]]&lt;=0.5,vp.data[[#This Row],[Unknown]]=0),1,0)</f>
        <v>0</v>
      </c>
      <c r="AF794">
        <f>IF(AND(vp.data[[#This Row],[CrudeType]]="Crude",vp.data[[#This Row],[Dens]]&gt;900,vp.data[[#This Row],[Sulf]]&lt;=0.5,vp.data[[#This Row],[Unknown]]=0),1,0)</f>
        <v>0</v>
      </c>
      <c r="AG794" t="str">
        <f>INDEX(vp.data[[#Headers],[Unknown]:[Heavy_SW]],MATCH(1,vp.data[[#This Row],[Unknown]:[Heavy_SW]],0))</f>
        <v>Medium_LSB</v>
      </c>
      <c r="AH794">
        <f>INDEX([3]!crudeBD.lkup[Number],MATCH(vp.data[[#This Row],[Crude_Breakdown]],crudeBD.lkup[Crude Breakdown],0))</f>
        <v>3</v>
      </c>
      <c r="AI794">
        <f>MONTH(vp.data[[#This Row],[SDate]])</f>
        <v>2</v>
      </c>
      <c r="AJ794" s="5">
        <f>(vp.data[[#This Row],[VP]]-INDEX(crudeBD.lkup[Mean_VP],MATCH(vp.data[[#This Row],[Crude_Breakdown]],crudeBD.lkup[Crude Breakdown],0)))^2</f>
        <v>251.5498599428972</v>
      </c>
      <c r="AK794" s="5">
        <f>(vp.data[[#This Row],[Dens]]-INDEX(crudeBD.lkup[Mean_Dens],MATCH(vp.data[[#This Row],[Crude_Breakdown]],crudeBD.lkup[Crude Breakdown],0)))^2</f>
        <v>174.76839999998569</v>
      </c>
      <c r="AL794" s="5">
        <f>(vp.data[[#This Row],[Sulf]]-INDEX(crudeBD.lkup[Mean_Sulf],MATCH(vp.data[[#This Row],[Crude_Breakdown]],crudeBD.lkup[Crude Breakdown],0)))^2</f>
        <v>0.27082461831941385</v>
      </c>
      <c r="AM794" s="4">
        <f>IF(AND(vp.data[[#This Row],[SDate]]&gt;=DATE(YEAR(vp.data[[#This Row],[SDate]]),5,1),vp.data[[#This Row],[SDate]]&lt;=DATE(YEAR(vp.data[[#This Row],[SDate]]),9,15)),1,0)</f>
        <v>0</v>
      </c>
      <c r="AN794" s="4">
        <f>IF(vp.data[[#This Row],[SDate]]&lt;DATE(2016,12,1),0,1)</f>
        <v>1</v>
      </c>
      <c r="AO794" s="4">
        <f>IFERROR(vp.data[[#This Row],[Sulf]]*vp.data[[#This Row],[Net Dens]],"")</f>
        <v>89409023.02928701</v>
      </c>
      <c r="AP794">
        <f>IFERROR(vp.data[[#This Row],[Dens]]*vp.data[[#This Row],[VolumeM3]],"")</f>
        <v>103363032.40380001</v>
      </c>
      <c r="AQ794" s="15">
        <f>IFERROR(vp.data[[#This Row],[VP]]*vp.data[[#This Row],[VolumeM3]],"")</f>
        <v>12007382.481000001</v>
      </c>
    </row>
    <row r="795" spans="1:43" x14ac:dyDescent="0.25">
      <c r="A795">
        <v>794</v>
      </c>
      <c r="B795" t="s">
        <v>49</v>
      </c>
      <c r="C795" t="s">
        <v>49</v>
      </c>
      <c r="D795" t="s">
        <v>90</v>
      </c>
      <c r="F795" s="1">
        <v>42780</v>
      </c>
      <c r="G795" s="2">
        <v>79.400000000000006</v>
      </c>
      <c r="H795" s="2">
        <v>1.2270000000000001</v>
      </c>
      <c r="I795" s="2">
        <f t="array" ref="I795">_xlfn.IFNA(IF(vp.data[[#This Row],[Sulf Input]]="",INDEX([1]DATA!$Q$3:$Q$9826,MATCH(1,(vp.data[[#This Row],[Battery]]=[1]DATA!$L$3:$L$9826)*(EOMONTH(vp.data[[#This Row],[SDate]],-1)+1=[1]DATA!$G$3:$G$9826),0)),vp.data[[#This Row],[Sulf Input]]),"")</f>
        <v>1.2270000000000001</v>
      </c>
      <c r="J795" s="2">
        <v>29</v>
      </c>
      <c r="K795" s="2">
        <v>3</v>
      </c>
      <c r="L795" s="2">
        <v>842.6</v>
      </c>
      <c r="M795" s="2">
        <f t="array" ref="M795">_xlfn.IFNA(IF(vp.data[[#This Row],[Dens Input]]="",INDEX([1]DATA!$O$3:$O$9826,MATCH(1,(vp.data[[#This Row],[Battery]]=[1]DATA!$L$3:$L$9826)*(EOMONTH(vp.data[[#This Row],[SDate]],-1)+1=[1]DATA!$G$3:$G$9826),0)),vp.data[[#This Row],[Dens Input]]),"")</f>
        <v>842.6</v>
      </c>
      <c r="N795" s="2">
        <f ca="1">INDEX(INDIRECT(_xlfn.CONCAT("weather.tbl[",N$1,"]")),MATCH(vp.data[[#This Row],[SDate]],weather.tbl[Date],0))</f>
        <v>-3.8166666666666669</v>
      </c>
      <c r="O795" s="2">
        <f ca="1">INDEX(INDIRECT(_xlfn.CONCAT("weather.tbl[",O$1,"]")),MATCH(vp.data[[#This Row],[SDate]],weather.tbl[Date],0))</f>
        <v>-9.0880952380952387</v>
      </c>
      <c r="P795" s="2">
        <f ca="1">INDEX(INDIRECT(_xlfn.CONCAT("weather.tbl[",P$1,"]")),MATCH(vp.data[[#This Row],[SDate]],weather.tbl[Date],0))</f>
        <v>-4.4000000000000004</v>
      </c>
      <c r="Q795" s="2">
        <f ca="1">INDEX(INDIRECT(_xlfn.CONCAT("weather.tbl[",Q$1,"]")),MATCH(vp.data[[#This Row],[SDate]],weather.tbl[Date],0))</f>
        <v>-4.0999999999999996</v>
      </c>
      <c r="R795" s="2">
        <f ca="1">INDEX(INDIRECT(_xlfn.CONCAT("weather.tbl[",R$1,"]")),MATCH(vp.data[[#This Row],[SDate]],weather.tbl[Date],0))</f>
        <v>-4.8</v>
      </c>
      <c r="S795" s="2">
        <f ca="1">INDEX(INDIRECT(_xlfn.CONCAT("weather.tbl[",S$1,"]")),MATCH(vp.data[[#This Row],[SDate]],weather.tbl[Date],0))</f>
        <v>-2.2000000000000002</v>
      </c>
      <c r="T795" s="2">
        <f ca="1">INDEX(INDIRECT(_xlfn.CONCAT("weather.tbl[",T$1,"]")),MATCH(vp.data[[#This Row],[SDate]],weather.tbl[Date],0))</f>
        <v>-4.0999999999999996</v>
      </c>
      <c r="U795" s="2">
        <f ca="1">INDEX(INDIRECT(_xlfn.CONCAT("weather.tbl[",U$1,"]")),MATCH(vp.data[[#This Row],[SDate]],weather.tbl[Date],0))</f>
        <v>-3.3</v>
      </c>
      <c r="V795" s="2">
        <f t="array" ref="V7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4432.7370000000001</v>
      </c>
      <c r="W795" t="s">
        <v>48</v>
      </c>
      <c r="X795">
        <f>IF(OR(vp.data[[#This Row],[Sulf]]="",vp.data[[#This Row],[Dens]]=""),1,0)</f>
        <v>0</v>
      </c>
      <c r="Y795">
        <f>IF(vp.data[[#This Row],[CrudeType]]="C5+",1,0)</f>
        <v>0</v>
      </c>
      <c r="Z795">
        <f>IF(AND(vp.data[[#This Row],[CrudeType]]="Crude",vp.data[[#This Row],[Dens]]&lt;=825,vp.data[[#This Row],[Sulf]]&gt;0.5,vp.data[[#This Row],[Unknown]]=0),1,0)</f>
        <v>0</v>
      </c>
      <c r="AA795">
        <f>IF(AND(vp.data[[#This Row],[CrudeType]]="Crude",vp.data[[#This Row],[Dens]]&lt;=825,vp.data[[#This Row],[Sulf]]&lt;=0.5,vp.data[[#This Row],[Unknown]]=0),1,0)</f>
        <v>0</v>
      </c>
      <c r="AB7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5">
        <f>IF(AND(vp.data[[#This Row],[CrudeType]]="Crude",vp.data[[#This Row],[Dens]]&gt;825,vp.data[[#This Row],[Dens]]&lt;=900,vp.data[[#This Row],[Sulf]]&lt;=0.5,vp.data[[#This Row],[Unknown]]=0),1,0)</f>
        <v>0</v>
      </c>
      <c r="AD795">
        <f>IF(AND(vp.data[[#This Row],[CrudeType]]="Crude",vp.data[[#This Row],[Dens]]&gt;865,vp.data[[#This Row],[Dens]]&lt;=900,vp.data[[#This Row],[Sulf]]&gt;2,vp.data[[#This Row],[Unknown]]=0),1,0)</f>
        <v>0</v>
      </c>
      <c r="AE795">
        <f>IF(AND(vp.data[[#This Row],[CrudeType]]="Crude",vp.data[[#This Row],[Dens]]&gt;900,vp.data[[#This Row],[Sulf]]&lt;=0.5,vp.data[[#This Row],[Unknown]]=0),1,0)</f>
        <v>0</v>
      </c>
      <c r="AF795">
        <f>IF(AND(vp.data[[#This Row],[CrudeType]]="Crude",vp.data[[#This Row],[Dens]]&gt;900,vp.data[[#This Row],[Sulf]]&lt;=0.5,vp.data[[#This Row],[Unknown]]=0),1,0)</f>
        <v>0</v>
      </c>
      <c r="AG795" t="str">
        <f>INDEX(vp.data[[#Headers],[Unknown]:[Heavy_SW]],MATCH(1,vp.data[[#This Row],[Unknown]:[Heavy_SW]],0))</f>
        <v>Medium_LSB</v>
      </c>
      <c r="AH795">
        <f>INDEX([3]!crudeBD.lkup[Number],MATCH(vp.data[[#This Row],[Crude_Breakdown]],crudeBD.lkup[Crude Breakdown],0))</f>
        <v>3</v>
      </c>
      <c r="AI795">
        <f>MONTH(vp.data[[#This Row],[SDate]])</f>
        <v>2</v>
      </c>
      <c r="AJ795" s="5">
        <f>(vp.data[[#This Row],[VP]]-INDEX(crudeBD.lkup[Mean_VP],MATCH(vp.data[[#This Row],[Crude_Breakdown]],crudeBD.lkup[Crude Breakdown],0)))^2</f>
        <v>1.5367979482855663</v>
      </c>
      <c r="AK795" s="5">
        <f>(vp.data[[#This Row],[Dens]]-INDEX(crudeBD.lkup[Mean_Dens],MATCH(vp.data[[#This Row],[Crude_Breakdown]],crudeBD.lkup[Crude Breakdown],0)))^2</f>
        <v>1.7423999999986315</v>
      </c>
      <c r="AL795" s="5">
        <f>(vp.data[[#This Row],[Sulf]]-INDEX(crudeBD.lkup[Mean_Sulf],MATCH(vp.data[[#This Row],[Crude_Breakdown]],crudeBD.lkup[Crude Breakdown],0)))^2</f>
        <v>2.509313459973618E-2</v>
      </c>
      <c r="AM795" s="4">
        <f>IF(AND(vp.data[[#This Row],[SDate]]&gt;=DATE(YEAR(vp.data[[#This Row],[SDate]]),5,1),vp.data[[#This Row],[SDate]]&lt;=DATE(YEAR(vp.data[[#This Row],[SDate]]),9,15)),1,0)</f>
        <v>0</v>
      </c>
      <c r="AN795" s="4">
        <f>IF(vp.data[[#This Row],[SDate]]&lt;DATE(2016,12,1),0,1)</f>
        <v>1</v>
      </c>
      <c r="AO795" s="4">
        <f>IFERROR(vp.data[[#This Row],[Sulf]]*vp.data[[#This Row],[Net Dens]],"")</f>
        <v>4582874.6887374008</v>
      </c>
      <c r="AP795">
        <f>IFERROR(vp.data[[#This Row],[Dens]]*vp.data[[#This Row],[VolumeM3]],"")</f>
        <v>3735024.1962000001</v>
      </c>
      <c r="AQ795" s="15">
        <f>IFERROR(vp.data[[#This Row],[VP]]*vp.data[[#This Row],[VolumeM3]],"")</f>
        <v>351959.31780000002</v>
      </c>
    </row>
    <row r="796" spans="1:43" x14ac:dyDescent="0.25">
      <c r="A796">
        <v>795</v>
      </c>
      <c r="B796" t="s">
        <v>62</v>
      </c>
      <c r="C796" t="s">
        <v>62</v>
      </c>
      <c r="D796" t="s">
        <v>79</v>
      </c>
      <c r="F796" s="1">
        <v>42780</v>
      </c>
      <c r="G796" s="2">
        <v>90.1</v>
      </c>
      <c r="H796" s="2"/>
      <c r="I796" s="2">
        <f t="array" ref="I796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796" s="2">
        <v>23</v>
      </c>
      <c r="K796" s="2">
        <v>3</v>
      </c>
      <c r="L796" s="2">
        <v>810.5</v>
      </c>
      <c r="M796" s="2">
        <f t="array" ref="M796">_xlfn.IFNA(IF(vp.data[[#This Row],[Dens Input]]="",INDEX([1]DATA!$O$3:$O$9826,MATCH(1,(vp.data[[#This Row],[Battery]]=[1]DATA!$L$3:$L$9826)*(EOMONTH(vp.data[[#This Row],[SDate]],-1)+1=[1]DATA!$G$3:$G$9826),0)),vp.data[[#This Row],[Dens Input]]),"")</f>
        <v>810.5</v>
      </c>
      <c r="N796" s="2">
        <f ca="1">INDEX(INDIRECT(_xlfn.CONCAT("weather.tbl[",N$1,"]")),MATCH(vp.data[[#This Row],[SDate]],weather.tbl[Date],0))</f>
        <v>-3.8166666666666669</v>
      </c>
      <c r="O796" s="2">
        <f ca="1">INDEX(INDIRECT(_xlfn.CONCAT("weather.tbl[",O$1,"]")),MATCH(vp.data[[#This Row],[SDate]],weather.tbl[Date],0))</f>
        <v>-9.0880952380952387</v>
      </c>
      <c r="P796" s="2">
        <f ca="1">INDEX(INDIRECT(_xlfn.CONCAT("weather.tbl[",P$1,"]")),MATCH(vp.data[[#This Row],[SDate]],weather.tbl[Date],0))</f>
        <v>-4.4000000000000004</v>
      </c>
      <c r="Q796" s="2">
        <f ca="1">INDEX(INDIRECT(_xlfn.CONCAT("weather.tbl[",Q$1,"]")),MATCH(vp.data[[#This Row],[SDate]],weather.tbl[Date],0))</f>
        <v>-4.0999999999999996</v>
      </c>
      <c r="R796" s="2">
        <f ca="1">INDEX(INDIRECT(_xlfn.CONCAT("weather.tbl[",R$1,"]")),MATCH(vp.data[[#This Row],[SDate]],weather.tbl[Date],0))</f>
        <v>-4.8</v>
      </c>
      <c r="S796" s="2">
        <f ca="1">INDEX(INDIRECT(_xlfn.CONCAT("weather.tbl[",S$1,"]")),MATCH(vp.data[[#This Row],[SDate]],weather.tbl[Date],0))</f>
        <v>-2.2000000000000002</v>
      </c>
      <c r="T796" s="2">
        <f ca="1">INDEX(INDIRECT(_xlfn.CONCAT("weather.tbl[",T$1,"]")),MATCH(vp.data[[#This Row],[SDate]],weather.tbl[Date],0))</f>
        <v>-4.0999999999999996</v>
      </c>
      <c r="U796" s="2">
        <f ca="1">INDEX(INDIRECT(_xlfn.CONCAT("weather.tbl[",U$1,"]")),MATCH(vp.data[[#This Row],[SDate]],weather.tbl[Date],0))</f>
        <v>-3.3</v>
      </c>
      <c r="V796" s="2">
        <f t="array" ref="V7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12819.813</v>
      </c>
      <c r="W796" t="s">
        <v>48</v>
      </c>
      <c r="X796">
        <f>IF(OR(vp.data[[#This Row],[Sulf]]="",vp.data[[#This Row],[Dens]]=""),1,0)</f>
        <v>0</v>
      </c>
      <c r="Y796">
        <f>IF(vp.data[[#This Row],[CrudeType]]="C5+",1,0)</f>
        <v>0</v>
      </c>
      <c r="Z796">
        <f>IF(AND(vp.data[[#This Row],[CrudeType]]="Crude",vp.data[[#This Row],[Dens]]&lt;=825,vp.data[[#This Row],[Sulf]]&gt;0.5,vp.data[[#This Row],[Unknown]]=0),1,0)</f>
        <v>0</v>
      </c>
      <c r="AA796">
        <f>IF(AND(vp.data[[#This Row],[CrudeType]]="Crude",vp.data[[#This Row],[Dens]]&lt;=825,vp.data[[#This Row],[Sulf]]&lt;=0.5,vp.data[[#This Row],[Unknown]]=0),1,0)</f>
        <v>1</v>
      </c>
      <c r="AB7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796">
        <f>IF(AND(vp.data[[#This Row],[CrudeType]]="Crude",vp.data[[#This Row],[Dens]]&gt;825,vp.data[[#This Row],[Dens]]&lt;=900,vp.data[[#This Row],[Sulf]]&lt;=0.5,vp.data[[#This Row],[Unknown]]=0),1,0)</f>
        <v>0</v>
      </c>
      <c r="AD796">
        <f>IF(AND(vp.data[[#This Row],[CrudeType]]="Crude",vp.data[[#This Row],[Dens]]&gt;865,vp.data[[#This Row],[Dens]]&lt;=900,vp.data[[#This Row],[Sulf]]&gt;2,vp.data[[#This Row],[Unknown]]=0),1,0)</f>
        <v>0</v>
      </c>
      <c r="AE796">
        <f>IF(AND(vp.data[[#This Row],[CrudeType]]="Crude",vp.data[[#This Row],[Dens]]&gt;900,vp.data[[#This Row],[Sulf]]&lt;=0.5,vp.data[[#This Row],[Unknown]]=0),1,0)</f>
        <v>0</v>
      </c>
      <c r="AF796">
        <f>IF(AND(vp.data[[#This Row],[CrudeType]]="Crude",vp.data[[#This Row],[Dens]]&gt;900,vp.data[[#This Row],[Sulf]]&lt;=0.5,vp.data[[#This Row],[Unknown]]=0),1,0)</f>
        <v>0</v>
      </c>
      <c r="AG796" t="str">
        <f>INDEX(vp.data[[#Headers],[Unknown]:[Heavy_SW]],MATCH(1,vp.data[[#This Row],[Unknown]:[Heavy_SW]],0))</f>
        <v>Light_SW</v>
      </c>
      <c r="AH796">
        <f>INDEX([3]!crudeBD.lkup[Number],MATCH(vp.data[[#This Row],[Crude_Breakdown]],crudeBD.lkup[Crude Breakdown],0))</f>
        <v>2</v>
      </c>
      <c r="AI796">
        <f>MONTH(vp.data[[#This Row],[SDate]])</f>
        <v>2</v>
      </c>
      <c r="AJ796" s="5">
        <f>(vp.data[[#This Row],[VP]]-INDEX(crudeBD.lkup[Mean_VP],MATCH(vp.data[[#This Row],[Crude_Breakdown]],crudeBD.lkup[Crude Breakdown],0)))^2</f>
        <v>6.0040366837037036</v>
      </c>
      <c r="AK796" s="5">
        <f>(vp.data[[#This Row],[Dens]]-INDEX(crudeBD.lkup[Mean_Dens],MATCH(vp.data[[#This Row],[Crude_Breakdown]],crudeBD.lkup[Crude Breakdown],0)))^2</f>
        <v>4.7895398754395311</v>
      </c>
      <c r="AL796" s="5">
        <f>(vp.data[[#This Row],[Sulf]]-INDEX(crudeBD.lkup[Mean_Sulf],MATCH(vp.data[[#This Row],[Crude_Breakdown]],crudeBD.lkup[Crude Breakdown],0)))^2</f>
        <v>8.7905978457915313E-3</v>
      </c>
      <c r="AM796" s="4">
        <f>IF(AND(vp.data[[#This Row],[SDate]]&gt;=DATE(YEAR(vp.data[[#This Row],[SDate]]),5,1),vp.data[[#This Row],[SDate]]&lt;=DATE(YEAR(vp.data[[#This Row],[SDate]]),9,15)),1,0)</f>
        <v>0</v>
      </c>
      <c r="AN796" s="4">
        <f>IF(vp.data[[#This Row],[SDate]]&lt;DATE(2016,12,1),0,1)</f>
        <v>1</v>
      </c>
      <c r="AO796" s="4">
        <f>IFERROR(vp.data[[#This Row],[Sulf]]*vp.data[[#This Row],[Net Dens]],"")</f>
        <v>3428851.2840450001</v>
      </c>
      <c r="AP796">
        <f>IFERROR(vp.data[[#This Row],[Dens]]*vp.data[[#This Row],[VolumeM3]],"")</f>
        <v>10390458.4365</v>
      </c>
      <c r="AQ796" s="15">
        <f>IFERROR(vp.data[[#This Row],[VP]]*vp.data[[#This Row],[VolumeM3]],"")</f>
        <v>1155065.1513</v>
      </c>
    </row>
    <row r="797" spans="1:43" x14ac:dyDescent="0.25">
      <c r="A797">
        <v>796</v>
      </c>
      <c r="B797" t="s">
        <v>62</v>
      </c>
      <c r="C797" t="s">
        <v>62</v>
      </c>
      <c r="D797" t="s">
        <v>93</v>
      </c>
      <c r="F797" s="1">
        <v>42780</v>
      </c>
      <c r="G797" s="2">
        <v>107.2</v>
      </c>
      <c r="H797" s="2"/>
      <c r="I797" s="2">
        <f t="array" ref="I797">_xlfn.IFNA(IF(vp.data[[#This Row],[Sulf Input]]="",INDEX([1]DATA!$Q$3:$Q$9826,MATCH(1,(vp.data[[#This Row],[Battery]]=[1]DATA!$L$3:$L$9826)*(EOMONTH(vp.data[[#This Row],[SDate]],-1)+1=[1]DATA!$G$3:$G$9826),0)),vp.data[[#This Row],[Sulf Input]]),"")</f>
        <v>0.52</v>
      </c>
      <c r="J797" s="2">
        <v>5.5</v>
      </c>
      <c r="K797" s="2">
        <v>3</v>
      </c>
      <c r="L797" s="2">
        <v>835</v>
      </c>
      <c r="M797" s="2">
        <f t="array" ref="M797">_xlfn.IFNA(IF(vp.data[[#This Row],[Dens Input]]="",INDEX([1]DATA!$O$3:$O$9826,MATCH(1,(vp.data[[#This Row],[Battery]]=[1]DATA!$L$3:$L$9826)*(EOMONTH(vp.data[[#This Row],[SDate]],-1)+1=[1]DATA!$G$3:$G$9826),0)),vp.data[[#This Row],[Dens Input]]),"")</f>
        <v>835</v>
      </c>
      <c r="N797" s="2">
        <f ca="1">INDEX(INDIRECT(_xlfn.CONCAT("weather.tbl[",N$1,"]")),MATCH(vp.data[[#This Row],[SDate]],weather.tbl[Date],0))</f>
        <v>-3.8166666666666669</v>
      </c>
      <c r="O797" s="2">
        <f ca="1">INDEX(INDIRECT(_xlfn.CONCAT("weather.tbl[",O$1,"]")),MATCH(vp.data[[#This Row],[SDate]],weather.tbl[Date],0))</f>
        <v>-9.0880952380952387</v>
      </c>
      <c r="P797" s="2">
        <f ca="1">INDEX(INDIRECT(_xlfn.CONCAT("weather.tbl[",P$1,"]")),MATCH(vp.data[[#This Row],[SDate]],weather.tbl[Date],0))</f>
        <v>-4.4000000000000004</v>
      </c>
      <c r="Q797" s="2">
        <f ca="1">INDEX(INDIRECT(_xlfn.CONCAT("weather.tbl[",Q$1,"]")),MATCH(vp.data[[#This Row],[SDate]],weather.tbl[Date],0))</f>
        <v>-4.0999999999999996</v>
      </c>
      <c r="R797" s="2">
        <f ca="1">INDEX(INDIRECT(_xlfn.CONCAT("weather.tbl[",R$1,"]")),MATCH(vp.data[[#This Row],[SDate]],weather.tbl[Date],0))</f>
        <v>-4.8</v>
      </c>
      <c r="S797" s="2">
        <f ca="1">INDEX(INDIRECT(_xlfn.CONCAT("weather.tbl[",S$1,"]")),MATCH(vp.data[[#This Row],[SDate]],weather.tbl[Date],0))</f>
        <v>-2.2000000000000002</v>
      </c>
      <c r="T797" s="2">
        <f ca="1">INDEX(INDIRECT(_xlfn.CONCAT("weather.tbl[",T$1,"]")),MATCH(vp.data[[#This Row],[SDate]],weather.tbl[Date],0))</f>
        <v>-4.0999999999999996</v>
      </c>
      <c r="U797" s="2">
        <f ca="1">INDEX(INDIRECT(_xlfn.CONCAT("weather.tbl[",U$1,"]")),MATCH(vp.data[[#This Row],[SDate]],weather.tbl[Date],0))</f>
        <v>-3.3</v>
      </c>
      <c r="V797" s="2">
        <f t="array" ref="V7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593.99300000000005</v>
      </c>
      <c r="W797" t="s">
        <v>48</v>
      </c>
      <c r="X797">
        <f>IF(OR(vp.data[[#This Row],[Sulf]]="",vp.data[[#This Row],[Dens]]=""),1,0)</f>
        <v>0</v>
      </c>
      <c r="Y797">
        <f>IF(vp.data[[#This Row],[CrudeType]]="C5+",1,0)</f>
        <v>0</v>
      </c>
      <c r="Z797">
        <f>IF(AND(vp.data[[#This Row],[CrudeType]]="Crude",vp.data[[#This Row],[Dens]]&lt;=825,vp.data[[#This Row],[Sulf]]&gt;0.5,vp.data[[#This Row],[Unknown]]=0),1,0)</f>
        <v>0</v>
      </c>
      <c r="AA797">
        <f>IF(AND(vp.data[[#This Row],[CrudeType]]="Crude",vp.data[[#This Row],[Dens]]&lt;=825,vp.data[[#This Row],[Sulf]]&lt;=0.5,vp.data[[#This Row],[Unknown]]=0),1,0)</f>
        <v>0</v>
      </c>
      <c r="AB7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7">
        <f>IF(AND(vp.data[[#This Row],[CrudeType]]="Crude",vp.data[[#This Row],[Dens]]&gt;825,vp.data[[#This Row],[Dens]]&lt;=900,vp.data[[#This Row],[Sulf]]&lt;=0.5,vp.data[[#This Row],[Unknown]]=0),1,0)</f>
        <v>0</v>
      </c>
      <c r="AD797">
        <f>IF(AND(vp.data[[#This Row],[CrudeType]]="Crude",vp.data[[#This Row],[Dens]]&gt;865,vp.data[[#This Row],[Dens]]&lt;=900,vp.data[[#This Row],[Sulf]]&gt;2,vp.data[[#This Row],[Unknown]]=0),1,0)</f>
        <v>0</v>
      </c>
      <c r="AE797">
        <f>IF(AND(vp.data[[#This Row],[CrudeType]]="Crude",vp.data[[#This Row],[Dens]]&gt;900,vp.data[[#This Row],[Sulf]]&lt;=0.5,vp.data[[#This Row],[Unknown]]=0),1,0)</f>
        <v>0</v>
      </c>
      <c r="AF797">
        <f>IF(AND(vp.data[[#This Row],[CrudeType]]="Crude",vp.data[[#This Row],[Dens]]&gt;900,vp.data[[#This Row],[Sulf]]&lt;=0.5,vp.data[[#This Row],[Unknown]]=0),1,0)</f>
        <v>0</v>
      </c>
      <c r="AG797" t="str">
        <f>INDEX(vp.data[[#Headers],[Unknown]:[Heavy_SW]],MATCH(1,vp.data[[#This Row],[Unknown]:[Heavy_SW]],0))</f>
        <v>Medium_LSB</v>
      </c>
      <c r="AH797">
        <f>INDEX([3]!crudeBD.lkup[Number],MATCH(vp.data[[#This Row],[Crude_Breakdown]],crudeBD.lkup[Crude Breakdown],0))</f>
        <v>3</v>
      </c>
      <c r="AI797">
        <f>MONTH(vp.data[[#This Row],[SDate]])</f>
        <v>2</v>
      </c>
      <c r="AJ797" s="5">
        <f>(vp.data[[#This Row],[VP]]-INDEX(crudeBD.lkup[Mean_VP],MATCH(vp.data[[#This Row],[Crude_Breakdown]],crudeBD.lkup[Crude Breakdown],0)))^2</f>
        <v>705.45078177578296</v>
      </c>
      <c r="AK797" s="5">
        <f>(vp.data[[#This Row],[Dens]]-INDEX(crudeBD.lkup[Mean_Dens],MATCH(vp.data[[#This Row],[Crude_Breakdown]],crudeBD.lkup[Crude Breakdown],0)))^2</f>
        <v>79.566399999991162</v>
      </c>
      <c r="AL797" s="5">
        <f>(vp.data[[#This Row],[Sulf]]-INDEX(crudeBD.lkup[Mean_Sulf],MATCH(vp.data[[#This Row],[Crude_Breakdown]],crudeBD.lkup[Crude Breakdown],0)))^2</f>
        <v>0.74893122573181381</v>
      </c>
      <c r="AM797" s="4">
        <f>IF(AND(vp.data[[#This Row],[SDate]]&gt;=DATE(YEAR(vp.data[[#This Row],[SDate]]),5,1),vp.data[[#This Row],[SDate]]&lt;=DATE(YEAR(vp.data[[#This Row],[SDate]]),9,15)),1,0)</f>
        <v>0</v>
      </c>
      <c r="AN797" s="4">
        <f>IF(vp.data[[#This Row],[SDate]]&lt;DATE(2016,12,1),0,1)</f>
        <v>1</v>
      </c>
      <c r="AO797" s="4">
        <f>IFERROR(vp.data[[#This Row],[Sulf]]*vp.data[[#This Row],[Net Dens]],"")</f>
        <v>257911.76060000004</v>
      </c>
      <c r="AP797">
        <f>IFERROR(vp.data[[#This Row],[Dens]]*vp.data[[#This Row],[VolumeM3]],"")</f>
        <v>495984.15500000003</v>
      </c>
      <c r="AQ797" s="15">
        <f>IFERROR(vp.data[[#This Row],[VP]]*vp.data[[#This Row],[VolumeM3]],"")</f>
        <v>63676.049600000006</v>
      </c>
    </row>
    <row r="798" spans="1:43" x14ac:dyDescent="0.25">
      <c r="A798">
        <v>797</v>
      </c>
      <c r="B798" t="s">
        <v>60</v>
      </c>
      <c r="C798" t="s">
        <v>60</v>
      </c>
      <c r="D798" t="s">
        <v>61</v>
      </c>
      <c r="E798" t="s">
        <v>73</v>
      </c>
      <c r="F798" s="1">
        <v>42780</v>
      </c>
      <c r="G798" s="2">
        <v>74</v>
      </c>
      <c r="H798" s="2">
        <v>1.2769999999999999</v>
      </c>
      <c r="I798" s="2">
        <f t="array" ref="I798">_xlfn.IFNA(IF(vp.data[[#This Row],[Sulf Input]]="",INDEX([1]DATA!$Q$3:$Q$9826,MATCH(1,(vp.data[[#This Row],[Battery]]=[1]DATA!$L$3:$L$9826)*(EOMONTH(vp.data[[#This Row],[SDate]],-1)+1=[1]DATA!$G$3:$G$9826),0)),vp.data[[#This Row],[Sulf Input]]),"")</f>
        <v>1.2769999999999999</v>
      </c>
      <c r="J798" s="2">
        <v>5.2</v>
      </c>
      <c r="K798" s="2">
        <v>3</v>
      </c>
      <c r="L798" s="2">
        <v>841</v>
      </c>
      <c r="M798" s="2">
        <f t="array" ref="M798">_xlfn.IFNA(IF(vp.data[[#This Row],[Dens Input]]="",INDEX([1]DATA!$O$3:$O$9826,MATCH(1,(vp.data[[#This Row],[Battery]]=[1]DATA!$L$3:$L$9826)*(EOMONTH(vp.data[[#This Row],[SDate]],-1)+1=[1]DATA!$G$3:$G$9826),0)),vp.data[[#This Row],[Dens Input]]),"")</f>
        <v>841</v>
      </c>
      <c r="N798" s="2">
        <f ca="1">INDEX(INDIRECT(_xlfn.CONCAT("weather.tbl[",N$1,"]")),MATCH(vp.data[[#This Row],[SDate]],weather.tbl[Date],0))</f>
        <v>-3.8166666666666669</v>
      </c>
      <c r="O798" s="2">
        <f ca="1">INDEX(INDIRECT(_xlfn.CONCAT("weather.tbl[",O$1,"]")),MATCH(vp.data[[#This Row],[SDate]],weather.tbl[Date],0))</f>
        <v>-9.0880952380952387</v>
      </c>
      <c r="P798" s="2">
        <f ca="1">INDEX(INDIRECT(_xlfn.CONCAT("weather.tbl[",P$1,"]")),MATCH(vp.data[[#This Row],[SDate]],weather.tbl[Date],0))</f>
        <v>-4.4000000000000004</v>
      </c>
      <c r="Q798" s="2">
        <f ca="1">INDEX(INDIRECT(_xlfn.CONCAT("weather.tbl[",Q$1,"]")),MATCH(vp.data[[#This Row],[SDate]],weather.tbl[Date],0))</f>
        <v>-4.0999999999999996</v>
      </c>
      <c r="R798" s="2">
        <f ca="1">INDEX(INDIRECT(_xlfn.CONCAT("weather.tbl[",R$1,"]")),MATCH(vp.data[[#This Row],[SDate]],weather.tbl[Date],0))</f>
        <v>-4.8</v>
      </c>
      <c r="S798" s="2">
        <f ca="1">INDEX(INDIRECT(_xlfn.CONCAT("weather.tbl[",S$1,"]")),MATCH(vp.data[[#This Row],[SDate]],weather.tbl[Date],0))</f>
        <v>-2.2000000000000002</v>
      </c>
      <c r="T798" s="2">
        <f ca="1">INDEX(INDIRECT(_xlfn.CONCAT("weather.tbl[",T$1,"]")),MATCH(vp.data[[#This Row],[SDate]],weather.tbl[Date],0))</f>
        <v>-4.0999999999999996</v>
      </c>
      <c r="U798" s="2">
        <f ca="1">INDEX(INDIRECT(_xlfn.CONCAT("weather.tbl[",U$1,"]")),MATCH(vp.data[[#This Row],[SDate]],weather.tbl[Date],0))</f>
        <v>-3.3</v>
      </c>
      <c r="V798" s="2">
        <f t="array" ref="V7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98" t="s">
        <v>48</v>
      </c>
      <c r="X798">
        <f>IF(OR(vp.data[[#This Row],[Sulf]]="",vp.data[[#This Row],[Dens]]=""),1,0)</f>
        <v>0</v>
      </c>
      <c r="Y798">
        <f>IF(vp.data[[#This Row],[CrudeType]]="C5+",1,0)</f>
        <v>0</v>
      </c>
      <c r="Z798">
        <f>IF(AND(vp.data[[#This Row],[CrudeType]]="Crude",vp.data[[#This Row],[Dens]]&lt;=825,vp.data[[#This Row],[Sulf]]&gt;0.5,vp.data[[#This Row],[Unknown]]=0),1,0)</f>
        <v>0</v>
      </c>
      <c r="AA798">
        <f>IF(AND(vp.data[[#This Row],[CrudeType]]="Crude",vp.data[[#This Row],[Dens]]&lt;=825,vp.data[[#This Row],[Sulf]]&lt;=0.5,vp.data[[#This Row],[Unknown]]=0),1,0)</f>
        <v>0</v>
      </c>
      <c r="AB7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8">
        <f>IF(AND(vp.data[[#This Row],[CrudeType]]="Crude",vp.data[[#This Row],[Dens]]&gt;825,vp.data[[#This Row],[Dens]]&lt;=900,vp.data[[#This Row],[Sulf]]&lt;=0.5,vp.data[[#This Row],[Unknown]]=0),1,0)</f>
        <v>0</v>
      </c>
      <c r="AD798">
        <f>IF(AND(vp.data[[#This Row],[CrudeType]]="Crude",vp.data[[#This Row],[Dens]]&gt;865,vp.data[[#This Row],[Dens]]&lt;=900,vp.data[[#This Row],[Sulf]]&gt;2,vp.data[[#This Row],[Unknown]]=0),1,0)</f>
        <v>0</v>
      </c>
      <c r="AE798">
        <f>IF(AND(vp.data[[#This Row],[CrudeType]]="Crude",vp.data[[#This Row],[Dens]]&gt;900,vp.data[[#This Row],[Sulf]]&lt;=0.5,vp.data[[#This Row],[Unknown]]=0),1,0)</f>
        <v>0</v>
      </c>
      <c r="AF798">
        <f>IF(AND(vp.data[[#This Row],[CrudeType]]="Crude",vp.data[[#This Row],[Dens]]&gt;900,vp.data[[#This Row],[Sulf]]&lt;=0.5,vp.data[[#This Row],[Unknown]]=0),1,0)</f>
        <v>0</v>
      </c>
      <c r="AG798" t="str">
        <f>INDEX(vp.data[[#Headers],[Unknown]:[Heavy_SW]],MATCH(1,vp.data[[#This Row],[Unknown]:[Heavy_SW]],0))</f>
        <v>Medium_LSB</v>
      </c>
      <c r="AH798">
        <f>INDEX([3]!crudeBD.lkup[Number],MATCH(vp.data[[#This Row],[Crude_Breakdown]],crudeBD.lkup[Crude Breakdown],0))</f>
        <v>3</v>
      </c>
      <c r="AI798">
        <f>MONTH(vp.data[[#This Row],[SDate]])</f>
        <v>2</v>
      </c>
      <c r="AJ798" s="5">
        <f>(vp.data[[#This Row],[VP]]-INDEX(crudeBD.lkup[Mean_VP],MATCH(vp.data[[#This Row],[Crude_Breakdown]],crudeBD.lkup[Crude Breakdown],0)))^2</f>
        <v>44.085304686829282</v>
      </c>
      <c r="AK798" s="5">
        <f>(vp.data[[#This Row],[Dens]]-INDEX(crudeBD.lkup[Mean_Dens],MATCH(vp.data[[#This Row],[Crude_Breakdown]],crudeBD.lkup[Crude Breakdown],0)))^2</f>
        <v>8.5263999999971052</v>
      </c>
      <c r="AL798" s="5">
        <f>(vp.data[[#This Row],[Sulf]]-INDEX(crudeBD.lkup[Mean_Sulf],MATCH(vp.data[[#This Row],[Crude_Breakdown]],crudeBD.lkup[Crude Breakdown],0)))^2</f>
        <v>1.1752321931272463E-2</v>
      </c>
      <c r="AM798" s="4">
        <f>IF(AND(vp.data[[#This Row],[SDate]]&gt;=DATE(YEAR(vp.data[[#This Row],[SDate]]),5,1),vp.data[[#This Row],[SDate]]&lt;=DATE(YEAR(vp.data[[#This Row],[SDate]]),9,15)),1,0)</f>
        <v>0</v>
      </c>
      <c r="AN798" s="4">
        <f>IF(vp.data[[#This Row],[SDate]]&lt;DATE(2016,12,1),0,1)</f>
        <v>1</v>
      </c>
      <c r="AO798" s="4">
        <f>IFERROR(vp.data[[#This Row],[Sulf]]*vp.data[[#This Row],[Net Dens]],"")</f>
        <v>103638945.79010698</v>
      </c>
      <c r="AP798">
        <f>IFERROR(vp.data[[#This Row],[Dens]]*vp.data[[#This Row],[VolumeM3]],"")</f>
        <v>81158140.790999994</v>
      </c>
      <c r="AQ798" s="15">
        <f>IFERROR(vp.data[[#This Row],[VP]]*vp.data[[#This Row],[VolumeM3]],"")</f>
        <v>7141144.3739999998</v>
      </c>
    </row>
    <row r="799" spans="1:43" x14ac:dyDescent="0.25">
      <c r="A799">
        <v>798</v>
      </c>
      <c r="B799" t="s">
        <v>60</v>
      </c>
      <c r="C799" t="s">
        <v>60</v>
      </c>
      <c r="D799" t="s">
        <v>61</v>
      </c>
      <c r="E799" t="s">
        <v>55</v>
      </c>
      <c r="F799" s="1">
        <v>42780</v>
      </c>
      <c r="G799" s="2">
        <v>97.2</v>
      </c>
      <c r="H799" s="2">
        <v>1.133</v>
      </c>
      <c r="I799" s="2">
        <f t="array" ref="I799">_xlfn.IFNA(IF(vp.data[[#This Row],[Sulf Input]]="",INDEX([1]DATA!$Q$3:$Q$9826,MATCH(1,(vp.data[[#This Row],[Battery]]=[1]DATA!$L$3:$L$9826)*(EOMONTH(vp.data[[#This Row],[SDate]],-1)+1=[1]DATA!$G$3:$G$9826),0)),vp.data[[#This Row],[Sulf Input]]),"")</f>
        <v>1.133</v>
      </c>
      <c r="J799" s="2">
        <v>8.1999999999999993</v>
      </c>
      <c r="K799" s="2">
        <v>3</v>
      </c>
      <c r="L799" s="2">
        <v>847.2</v>
      </c>
      <c r="M799" s="2">
        <f t="array" ref="M799">_xlfn.IFNA(IF(vp.data[[#This Row],[Dens Input]]="",INDEX([1]DATA!$O$3:$O$9826,MATCH(1,(vp.data[[#This Row],[Battery]]=[1]DATA!$L$3:$L$9826)*(EOMONTH(vp.data[[#This Row],[SDate]],-1)+1=[1]DATA!$G$3:$G$9826),0)),vp.data[[#This Row],[Dens Input]]),"")</f>
        <v>847.2</v>
      </c>
      <c r="N799" s="2">
        <f ca="1">INDEX(INDIRECT(_xlfn.CONCAT("weather.tbl[",N$1,"]")),MATCH(vp.data[[#This Row],[SDate]],weather.tbl[Date],0))</f>
        <v>-3.8166666666666669</v>
      </c>
      <c r="O799" s="2">
        <f ca="1">INDEX(INDIRECT(_xlfn.CONCAT("weather.tbl[",O$1,"]")),MATCH(vp.data[[#This Row],[SDate]],weather.tbl[Date],0))</f>
        <v>-9.0880952380952387</v>
      </c>
      <c r="P799" s="2">
        <f ca="1">INDEX(INDIRECT(_xlfn.CONCAT("weather.tbl[",P$1,"]")),MATCH(vp.data[[#This Row],[SDate]],weather.tbl[Date],0))</f>
        <v>-4.4000000000000004</v>
      </c>
      <c r="Q799" s="2">
        <f ca="1">INDEX(INDIRECT(_xlfn.CONCAT("weather.tbl[",Q$1,"]")),MATCH(vp.data[[#This Row],[SDate]],weather.tbl[Date],0))</f>
        <v>-4.0999999999999996</v>
      </c>
      <c r="R799" s="2">
        <f ca="1">INDEX(INDIRECT(_xlfn.CONCAT("weather.tbl[",R$1,"]")),MATCH(vp.data[[#This Row],[SDate]],weather.tbl[Date],0))</f>
        <v>-4.8</v>
      </c>
      <c r="S799" s="2">
        <f ca="1">INDEX(INDIRECT(_xlfn.CONCAT("weather.tbl[",S$1,"]")),MATCH(vp.data[[#This Row],[SDate]],weather.tbl[Date],0))</f>
        <v>-2.2000000000000002</v>
      </c>
      <c r="T799" s="2">
        <f ca="1">INDEX(INDIRECT(_xlfn.CONCAT("weather.tbl[",T$1,"]")),MATCH(vp.data[[#This Row],[SDate]],weather.tbl[Date],0))</f>
        <v>-4.0999999999999996</v>
      </c>
      <c r="U799" s="2">
        <f ca="1">INDEX(INDIRECT(_xlfn.CONCAT("weather.tbl[",U$1,"]")),MATCH(vp.data[[#This Row],[SDate]],weather.tbl[Date],0))</f>
        <v>-3.3</v>
      </c>
      <c r="V799" s="2">
        <f t="array" ref="V7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799" t="s">
        <v>48</v>
      </c>
      <c r="X799">
        <f>IF(OR(vp.data[[#This Row],[Sulf]]="",vp.data[[#This Row],[Dens]]=""),1,0)</f>
        <v>0</v>
      </c>
      <c r="Y799">
        <f>IF(vp.data[[#This Row],[CrudeType]]="C5+",1,0)</f>
        <v>0</v>
      </c>
      <c r="Z799">
        <f>IF(AND(vp.data[[#This Row],[CrudeType]]="Crude",vp.data[[#This Row],[Dens]]&lt;=825,vp.data[[#This Row],[Sulf]]&gt;0.5,vp.data[[#This Row],[Unknown]]=0),1,0)</f>
        <v>0</v>
      </c>
      <c r="AA799">
        <f>IF(AND(vp.data[[#This Row],[CrudeType]]="Crude",vp.data[[#This Row],[Dens]]&lt;=825,vp.data[[#This Row],[Sulf]]&lt;=0.5,vp.data[[#This Row],[Unknown]]=0),1,0)</f>
        <v>0</v>
      </c>
      <c r="AB7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799">
        <f>IF(AND(vp.data[[#This Row],[CrudeType]]="Crude",vp.data[[#This Row],[Dens]]&gt;825,vp.data[[#This Row],[Dens]]&lt;=900,vp.data[[#This Row],[Sulf]]&lt;=0.5,vp.data[[#This Row],[Unknown]]=0),1,0)</f>
        <v>0</v>
      </c>
      <c r="AD799">
        <f>IF(AND(vp.data[[#This Row],[CrudeType]]="Crude",vp.data[[#This Row],[Dens]]&gt;865,vp.data[[#This Row],[Dens]]&lt;=900,vp.data[[#This Row],[Sulf]]&gt;2,vp.data[[#This Row],[Unknown]]=0),1,0)</f>
        <v>0</v>
      </c>
      <c r="AE799">
        <f>IF(AND(vp.data[[#This Row],[CrudeType]]="Crude",vp.data[[#This Row],[Dens]]&gt;900,vp.data[[#This Row],[Sulf]]&lt;=0.5,vp.data[[#This Row],[Unknown]]=0),1,0)</f>
        <v>0</v>
      </c>
      <c r="AF799">
        <f>IF(AND(vp.data[[#This Row],[CrudeType]]="Crude",vp.data[[#This Row],[Dens]]&gt;900,vp.data[[#This Row],[Sulf]]&lt;=0.5,vp.data[[#This Row],[Unknown]]=0),1,0)</f>
        <v>0</v>
      </c>
      <c r="AG799" t="str">
        <f>INDEX(vp.data[[#Headers],[Unknown]:[Heavy_SW]],MATCH(1,vp.data[[#This Row],[Unknown]:[Heavy_SW]],0))</f>
        <v>Medium_LSB</v>
      </c>
      <c r="AH799">
        <f>INDEX([3]!crudeBD.lkup[Number],MATCH(vp.data[[#This Row],[Crude_Breakdown]],crudeBD.lkup[Crude Breakdown],0))</f>
        <v>3</v>
      </c>
      <c r="AI799">
        <f>MONTH(vp.data[[#This Row],[SDate]])</f>
        <v>2</v>
      </c>
      <c r="AJ799" s="5">
        <f>(vp.data[[#This Row],[VP]]-INDEX(crudeBD.lkup[Mean_VP],MATCH(vp.data[[#This Row],[Crude_Breakdown]],crudeBD.lkup[Crude Breakdown],0)))^2</f>
        <v>274.24431277308605</v>
      </c>
      <c r="AK799" s="5">
        <f>(vp.data[[#This Row],[Dens]]-INDEX(crudeBD.lkup[Mean_Dens],MATCH(vp.data[[#This Row],[Crude_Breakdown]],crudeBD.lkup[Crude Breakdown],0)))^2</f>
        <v>10.758400000003549</v>
      </c>
      <c r="AL799" s="5">
        <f>(vp.data[[#This Row],[Sulf]]-INDEX(crudeBD.lkup[Mean_Sulf],MATCH(vp.data[[#This Row],[Crude_Breakdown]],crudeBD.lkup[Crude Breakdown],0)))^2</f>
        <v>6.3709862416448076E-2</v>
      </c>
      <c r="AM799" s="4">
        <f>IF(AND(vp.data[[#This Row],[SDate]]&gt;=DATE(YEAR(vp.data[[#This Row],[SDate]]),5,1),vp.data[[#This Row],[SDate]]&lt;=DATE(YEAR(vp.data[[#This Row],[SDate]]),9,15)),1,0)</f>
        <v>0</v>
      </c>
      <c r="AN799" s="4">
        <f>IF(vp.data[[#This Row],[SDate]]&lt;DATE(2016,12,1),0,1)</f>
        <v>1</v>
      </c>
      <c r="AO799" s="4">
        <f>IFERROR(vp.data[[#This Row],[Sulf]]*vp.data[[#This Row],[Net Dens]],"")</f>
        <v>92630061.121197596</v>
      </c>
      <c r="AP799">
        <f>IFERROR(vp.data[[#This Row],[Dens]]*vp.data[[#This Row],[VolumeM3]],"")</f>
        <v>81756452.887199998</v>
      </c>
      <c r="AQ799" s="15">
        <f>IFERROR(vp.data[[#This Row],[VP]]*vp.data[[#This Row],[VolumeM3]],"")</f>
        <v>9379989.6371999998</v>
      </c>
    </row>
    <row r="800" spans="1:43" x14ac:dyDescent="0.25">
      <c r="A800">
        <v>799</v>
      </c>
      <c r="B800" t="s">
        <v>49</v>
      </c>
      <c r="C800" t="s">
        <v>49</v>
      </c>
      <c r="D800" t="s">
        <v>67</v>
      </c>
      <c r="F800" s="1">
        <v>42782</v>
      </c>
      <c r="G800" s="2">
        <v>96.5</v>
      </c>
      <c r="H800" s="2">
        <v>0.68100000000000005</v>
      </c>
      <c r="I800" s="2">
        <f t="array" ref="I800">_xlfn.IFNA(IF(vp.data[[#This Row],[Sulf Input]]="",INDEX([1]DATA!$Q$3:$Q$9826,MATCH(1,(vp.data[[#This Row],[Battery]]=[1]DATA!$L$3:$L$9826)*(EOMONTH(vp.data[[#This Row],[SDate]],-1)+1=[1]DATA!$G$3:$G$9826),0)),vp.data[[#This Row],[Sulf Input]]),"")</f>
        <v>0.68100000000000005</v>
      </c>
      <c r="J800" s="2">
        <v>8.6999999999999993</v>
      </c>
      <c r="K800" s="2">
        <v>5</v>
      </c>
      <c r="L800" s="2">
        <v>823.5</v>
      </c>
      <c r="M800" s="2">
        <f t="array" ref="M800">_xlfn.IFNA(IF(vp.data[[#This Row],[Dens Input]]="",INDEX([1]DATA!$O$3:$O$9826,MATCH(1,(vp.data[[#This Row],[Battery]]=[1]DATA!$L$3:$L$9826)*(EOMONTH(vp.data[[#This Row],[SDate]],-1)+1=[1]DATA!$G$3:$G$9826),0)),vp.data[[#This Row],[Dens Input]]),"")</f>
        <v>823.5</v>
      </c>
      <c r="N800" s="2">
        <f ca="1">INDEX(INDIRECT(_xlfn.CONCAT("weather.tbl[",N$1,"]")),MATCH(vp.data[[#This Row],[SDate]],weather.tbl[Date],0))</f>
        <v>2.8166666666666664</v>
      </c>
      <c r="O800" s="2">
        <f ca="1">INDEX(INDIRECT(_xlfn.CONCAT("weather.tbl[",O$1,"]")),MATCH(vp.data[[#This Row],[SDate]],weather.tbl[Date],0))</f>
        <v>-2.8642857142857143</v>
      </c>
      <c r="P800" s="2">
        <f ca="1">INDEX(INDIRECT(_xlfn.CONCAT("weather.tbl[",P$1,"]")),MATCH(vp.data[[#This Row],[SDate]],weather.tbl[Date],0))</f>
        <v>2.4</v>
      </c>
      <c r="Q800" s="2">
        <f ca="1">INDEX(INDIRECT(_xlfn.CONCAT("weather.tbl[",Q$1,"]")),MATCH(vp.data[[#This Row],[SDate]],weather.tbl[Date],0))</f>
        <v>3.2</v>
      </c>
      <c r="R800" s="2">
        <f ca="1">INDEX(INDIRECT(_xlfn.CONCAT("weather.tbl[",R$1,"]")),MATCH(vp.data[[#This Row],[SDate]],weather.tbl[Date],0))</f>
        <v>2.5</v>
      </c>
      <c r="S800" s="2">
        <f ca="1">INDEX(INDIRECT(_xlfn.CONCAT("weather.tbl[",S$1,"]")),MATCH(vp.data[[#This Row],[SDate]],weather.tbl[Date],0))</f>
        <v>4.9000000000000004</v>
      </c>
      <c r="T800" s="2">
        <f ca="1">INDEX(INDIRECT(_xlfn.CONCAT("weather.tbl[",T$1,"]")),MATCH(vp.data[[#This Row],[SDate]],weather.tbl[Date],0))</f>
        <v>0.4</v>
      </c>
      <c r="U800" s="2">
        <f ca="1">INDEX(INDIRECT(_xlfn.CONCAT("weather.tbl[",U$1,"]")),MATCH(vp.data[[#This Row],[SDate]],weather.tbl[Date],0))</f>
        <v>3.5</v>
      </c>
      <c r="V800" s="2">
        <f t="array" ref="V8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800" t="s">
        <v>48</v>
      </c>
      <c r="X800">
        <f>IF(OR(vp.data[[#This Row],[Sulf]]="",vp.data[[#This Row],[Dens]]=""),1,0)</f>
        <v>0</v>
      </c>
      <c r="Y800">
        <f>IF(vp.data[[#This Row],[CrudeType]]="C5+",1,0)</f>
        <v>0</v>
      </c>
      <c r="Z800">
        <f>IF(AND(vp.data[[#This Row],[CrudeType]]="Crude",vp.data[[#This Row],[Dens]]&lt;=825,vp.data[[#This Row],[Sulf]]&gt;0.5,vp.data[[#This Row],[Unknown]]=0),1,0)</f>
        <v>1</v>
      </c>
      <c r="AA800">
        <f>IF(AND(vp.data[[#This Row],[CrudeType]]="Crude",vp.data[[#This Row],[Dens]]&lt;=825,vp.data[[#This Row],[Sulf]]&lt;=0.5,vp.data[[#This Row],[Unknown]]=0),1,0)</f>
        <v>0</v>
      </c>
      <c r="AB8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00">
        <f>IF(AND(vp.data[[#This Row],[CrudeType]]="Crude",vp.data[[#This Row],[Dens]]&gt;825,vp.data[[#This Row],[Dens]]&lt;=900,vp.data[[#This Row],[Sulf]]&lt;=0.5,vp.data[[#This Row],[Unknown]]=0),1,0)</f>
        <v>0</v>
      </c>
      <c r="AD800">
        <f>IF(AND(vp.data[[#This Row],[CrudeType]]="Crude",vp.data[[#This Row],[Dens]]&gt;865,vp.data[[#This Row],[Dens]]&lt;=900,vp.data[[#This Row],[Sulf]]&gt;2,vp.data[[#This Row],[Unknown]]=0),1,0)</f>
        <v>0</v>
      </c>
      <c r="AE800">
        <f>IF(AND(vp.data[[#This Row],[CrudeType]]="Crude",vp.data[[#This Row],[Dens]]&gt;900,vp.data[[#This Row],[Sulf]]&lt;=0.5,vp.data[[#This Row],[Unknown]]=0),1,0)</f>
        <v>0</v>
      </c>
      <c r="AF800">
        <f>IF(AND(vp.data[[#This Row],[CrudeType]]="Crude",vp.data[[#This Row],[Dens]]&gt;900,vp.data[[#This Row],[Sulf]]&lt;=0.5,vp.data[[#This Row],[Unknown]]=0),1,0)</f>
        <v>0</v>
      </c>
      <c r="AG800" t="str">
        <f>INDEX(vp.data[[#Headers],[Unknown]:[Heavy_SW]],MATCH(1,vp.data[[#This Row],[Unknown]:[Heavy_SW]],0))</f>
        <v>Light_LSB</v>
      </c>
      <c r="AH800">
        <f>INDEX([3]!crudeBD.lkup[Number],MATCH(vp.data[[#This Row],[Crude_Breakdown]],crudeBD.lkup[Crude Breakdown],0))</f>
        <v>1</v>
      </c>
      <c r="AI800">
        <f>MONTH(vp.data[[#This Row],[SDate]])</f>
        <v>2</v>
      </c>
      <c r="AJ800" s="5">
        <f>(vp.data[[#This Row],[VP]]-INDEX(crudeBD.lkup[Mean_VP],MATCH(vp.data[[#This Row],[Crude_Breakdown]],crudeBD.lkup[Crude Breakdown],0)))^2</f>
        <v>24.540277436496662</v>
      </c>
      <c r="AK800" s="5">
        <f>(vp.data[[#This Row],[Dens]]-INDEX(crudeBD.lkup[Mean_Dens],MATCH(vp.data[[#This Row],[Crude_Breakdown]],crudeBD.lkup[Crude Breakdown],0)))^2</f>
        <v>24.832583630333428</v>
      </c>
      <c r="AL800" s="5">
        <f>(vp.data[[#This Row],[Sulf]]-INDEX(crudeBD.lkup[Mean_Sulf],MATCH(vp.data[[#This Row],[Crude_Breakdown]],crudeBD.lkup[Crude Breakdown],0)))^2</f>
        <v>5.8550046329543672E-2</v>
      </c>
      <c r="AM800" s="4">
        <f>IF(AND(vp.data[[#This Row],[SDate]]&gt;=DATE(YEAR(vp.data[[#This Row],[SDate]]),5,1),vp.data[[#This Row],[SDate]]&lt;=DATE(YEAR(vp.data[[#This Row],[SDate]]),9,15)),1,0)</f>
        <v>0</v>
      </c>
      <c r="AN800" s="4">
        <f>IF(vp.data[[#This Row],[SDate]]&lt;DATE(2016,12,1),0,1)</f>
        <v>1</v>
      </c>
      <c r="AO800" s="4">
        <f>IFERROR(vp.data[[#This Row],[Sulf]]*vp.data[[#This Row],[Net Dens]],"")</f>
        <v>69780125.608118996</v>
      </c>
      <c r="AP800">
        <f>IFERROR(vp.data[[#This Row],[Dens]]*vp.data[[#This Row],[VolumeM3]],"")</f>
        <v>102467144.79899999</v>
      </c>
      <c r="AQ800" s="15">
        <f>IFERROR(vp.data[[#This Row],[VP]]*vp.data[[#This Row],[VolumeM3]],"")</f>
        <v>12007382.481000001</v>
      </c>
    </row>
    <row r="801" spans="1:43" x14ac:dyDescent="0.25">
      <c r="A801">
        <v>800</v>
      </c>
      <c r="B801" t="s">
        <v>49</v>
      </c>
      <c r="C801" t="s">
        <v>49</v>
      </c>
      <c r="D801" t="s">
        <v>89</v>
      </c>
      <c r="F801" s="1">
        <v>42782</v>
      </c>
      <c r="G801" s="2">
        <v>107</v>
      </c>
      <c r="H801" s="2">
        <v>0.85399999999999998</v>
      </c>
      <c r="I801" s="2">
        <f t="array" ref="I801">_xlfn.IFNA(IF(vp.data[[#This Row],[Sulf Input]]="",INDEX([1]DATA!$Q$3:$Q$9826,MATCH(1,(vp.data[[#This Row],[Battery]]=[1]DATA!$L$3:$L$9826)*(EOMONTH(vp.data[[#This Row],[SDate]],-1)+1=[1]DATA!$G$3:$G$9826),0)),vp.data[[#This Row],[Sulf Input]]),"")</f>
        <v>0.85399999999999998</v>
      </c>
      <c r="J801" s="2">
        <v>7.4</v>
      </c>
      <c r="K801" s="2">
        <v>5</v>
      </c>
      <c r="L801" s="2">
        <v>821.4</v>
      </c>
      <c r="M801" s="2">
        <f t="array" ref="M801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801" s="2">
        <f ca="1">INDEX(INDIRECT(_xlfn.CONCAT("weather.tbl[",N$1,"]")),MATCH(vp.data[[#This Row],[SDate]],weather.tbl[Date],0))</f>
        <v>2.8166666666666664</v>
      </c>
      <c r="O801" s="2">
        <f ca="1">INDEX(INDIRECT(_xlfn.CONCAT("weather.tbl[",O$1,"]")),MATCH(vp.data[[#This Row],[SDate]],weather.tbl[Date],0))</f>
        <v>-2.8642857142857143</v>
      </c>
      <c r="P801" s="2">
        <f ca="1">INDEX(INDIRECT(_xlfn.CONCAT("weather.tbl[",P$1,"]")),MATCH(vp.data[[#This Row],[SDate]],weather.tbl[Date],0))</f>
        <v>2.4</v>
      </c>
      <c r="Q801" s="2">
        <f ca="1">INDEX(INDIRECT(_xlfn.CONCAT("weather.tbl[",Q$1,"]")),MATCH(vp.data[[#This Row],[SDate]],weather.tbl[Date],0))</f>
        <v>3.2</v>
      </c>
      <c r="R801" s="2">
        <f ca="1">INDEX(INDIRECT(_xlfn.CONCAT("weather.tbl[",R$1,"]")),MATCH(vp.data[[#This Row],[SDate]],weather.tbl[Date],0))</f>
        <v>2.5</v>
      </c>
      <c r="S801" s="2">
        <f ca="1">INDEX(INDIRECT(_xlfn.CONCAT("weather.tbl[",S$1,"]")),MATCH(vp.data[[#This Row],[SDate]],weather.tbl[Date],0))</f>
        <v>4.9000000000000004</v>
      </c>
      <c r="T801" s="2">
        <f ca="1">INDEX(INDIRECT(_xlfn.CONCAT("weather.tbl[",T$1,"]")),MATCH(vp.data[[#This Row],[SDate]],weather.tbl[Date],0))</f>
        <v>0.4</v>
      </c>
      <c r="U801" s="2">
        <f ca="1">INDEX(INDIRECT(_xlfn.CONCAT("weather.tbl[",U$1,"]")),MATCH(vp.data[[#This Row],[SDate]],weather.tbl[Date],0))</f>
        <v>3.5</v>
      </c>
      <c r="V801" s="2">
        <f t="array" ref="V8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801" t="s">
        <v>48</v>
      </c>
      <c r="X801">
        <f>IF(OR(vp.data[[#This Row],[Sulf]]="",vp.data[[#This Row],[Dens]]=""),1,0)</f>
        <v>0</v>
      </c>
      <c r="Y801">
        <f>IF(vp.data[[#This Row],[CrudeType]]="C5+",1,0)</f>
        <v>0</v>
      </c>
      <c r="Z801">
        <f>IF(AND(vp.data[[#This Row],[CrudeType]]="Crude",vp.data[[#This Row],[Dens]]&lt;=825,vp.data[[#This Row],[Sulf]]&gt;0.5,vp.data[[#This Row],[Unknown]]=0),1,0)</f>
        <v>1</v>
      </c>
      <c r="AA801">
        <f>IF(AND(vp.data[[#This Row],[CrudeType]]="Crude",vp.data[[#This Row],[Dens]]&lt;=825,vp.data[[#This Row],[Sulf]]&lt;=0.5,vp.data[[#This Row],[Unknown]]=0),1,0)</f>
        <v>0</v>
      </c>
      <c r="AB8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01">
        <f>IF(AND(vp.data[[#This Row],[CrudeType]]="Crude",vp.data[[#This Row],[Dens]]&gt;825,vp.data[[#This Row],[Dens]]&lt;=900,vp.data[[#This Row],[Sulf]]&lt;=0.5,vp.data[[#This Row],[Unknown]]=0),1,0)</f>
        <v>0</v>
      </c>
      <c r="AD801">
        <f>IF(AND(vp.data[[#This Row],[CrudeType]]="Crude",vp.data[[#This Row],[Dens]]&gt;865,vp.data[[#This Row],[Dens]]&lt;=900,vp.data[[#This Row],[Sulf]]&gt;2,vp.data[[#This Row],[Unknown]]=0),1,0)</f>
        <v>0</v>
      </c>
      <c r="AE801">
        <f>IF(AND(vp.data[[#This Row],[CrudeType]]="Crude",vp.data[[#This Row],[Dens]]&gt;900,vp.data[[#This Row],[Sulf]]&lt;=0.5,vp.data[[#This Row],[Unknown]]=0),1,0)</f>
        <v>0</v>
      </c>
      <c r="AF801">
        <f>IF(AND(vp.data[[#This Row],[CrudeType]]="Crude",vp.data[[#This Row],[Dens]]&gt;900,vp.data[[#This Row],[Sulf]]&lt;=0.5,vp.data[[#This Row],[Unknown]]=0),1,0)</f>
        <v>0</v>
      </c>
      <c r="AG801" t="str">
        <f>INDEX(vp.data[[#Headers],[Unknown]:[Heavy_SW]],MATCH(1,vp.data[[#This Row],[Unknown]:[Heavy_SW]],0))</f>
        <v>Light_LSB</v>
      </c>
      <c r="AH801">
        <f>INDEX([3]!crudeBD.lkup[Number],MATCH(vp.data[[#This Row],[Crude_Breakdown]],crudeBD.lkup[Crude Breakdown],0))</f>
        <v>1</v>
      </c>
      <c r="AI801">
        <f>MONTH(vp.data[[#This Row],[SDate]])</f>
        <v>2</v>
      </c>
      <c r="AJ801" s="5">
        <f>(vp.data[[#This Row],[VP]]-INDEX(crudeBD.lkup[Mean_VP],MATCH(vp.data[[#This Row],[Crude_Breakdown]],crudeBD.lkup[Crude Breakdown],0)))^2</f>
        <v>238.8203805292795</v>
      </c>
      <c r="AK801" s="5">
        <f>(vp.data[[#This Row],[Dens]]-INDEX(crudeBD.lkup[Mean_Dens],MATCH(vp.data[[#This Row],[Crude_Breakdown]],crudeBD.lkup[Crude Breakdown],0)))^2</f>
        <v>8.3130166200227009</v>
      </c>
      <c r="AL801" s="5">
        <f>(vp.data[[#This Row],[Sulf]]-INDEX(crudeBD.lkup[Mean_Sulf],MATCH(vp.data[[#This Row],[Crude_Breakdown]],crudeBD.lkup[Crude Breakdown],0)))^2</f>
        <v>4.7570220683753996E-3</v>
      </c>
      <c r="AM801" s="4">
        <f>IF(AND(vp.data[[#This Row],[SDate]]&gt;=DATE(YEAR(vp.data[[#This Row],[SDate]]),5,1),vp.data[[#This Row],[SDate]]&lt;=DATE(YEAR(vp.data[[#This Row],[SDate]]),9,15)),1,0)</f>
        <v>0</v>
      </c>
      <c r="AN801" s="4">
        <f>IF(vp.data[[#This Row],[SDate]]&lt;DATE(2016,12,1),0,1)</f>
        <v>1</v>
      </c>
      <c r="AO801" s="4">
        <f>IFERROR(vp.data[[#This Row],[Sulf]]*vp.data[[#This Row],[Net Dens]],"")</f>
        <v>3551728.0933343996</v>
      </c>
      <c r="AP801">
        <f>IFERROR(vp.data[[#This Row],[Dens]]*vp.data[[#This Row],[VolumeM3]],"")</f>
        <v>4158932.1935999999</v>
      </c>
      <c r="AQ801" s="15">
        <f>IFERROR(vp.data[[#This Row],[VP]]*vp.data[[#This Row],[VolumeM3]],"")</f>
        <v>541764.96799999999</v>
      </c>
    </row>
    <row r="802" spans="1:43" x14ac:dyDescent="0.25">
      <c r="A802">
        <v>801</v>
      </c>
      <c r="B802" t="s">
        <v>49</v>
      </c>
      <c r="C802" t="s">
        <v>49</v>
      </c>
      <c r="D802" t="s">
        <v>70</v>
      </c>
      <c r="F802" s="1">
        <v>42782</v>
      </c>
      <c r="G802" s="2">
        <v>88.2</v>
      </c>
      <c r="H802" s="2">
        <v>0.873</v>
      </c>
      <c r="I802" s="2">
        <f t="array" ref="I802">_xlfn.IFNA(IF(vp.data[[#This Row],[Sulf Input]]="",INDEX([1]DATA!$Q$3:$Q$9826,MATCH(1,(vp.data[[#This Row],[Battery]]=[1]DATA!$L$3:$L$9826)*(EOMONTH(vp.data[[#This Row],[SDate]],-1)+1=[1]DATA!$G$3:$G$9826),0)),vp.data[[#This Row],[Sulf Input]]),"")</f>
        <v>0.873</v>
      </c>
      <c r="J802" s="2">
        <v>18</v>
      </c>
      <c r="K802" s="2">
        <v>5</v>
      </c>
      <c r="L802" s="2">
        <v>820.1</v>
      </c>
      <c r="M802" s="2">
        <f t="array" ref="M802">_xlfn.IFNA(IF(vp.data[[#This Row],[Dens Input]]="",INDEX([1]DATA!$O$3:$O$9826,MATCH(1,(vp.data[[#This Row],[Battery]]=[1]DATA!$L$3:$L$9826)*(EOMONTH(vp.data[[#This Row],[SDate]],-1)+1=[1]DATA!$G$3:$G$9826),0)),vp.data[[#This Row],[Dens Input]]),"")</f>
        <v>820.1</v>
      </c>
      <c r="N802" s="2">
        <f ca="1">INDEX(INDIRECT(_xlfn.CONCAT("weather.tbl[",N$1,"]")),MATCH(vp.data[[#This Row],[SDate]],weather.tbl[Date],0))</f>
        <v>2.8166666666666664</v>
      </c>
      <c r="O802" s="2">
        <f ca="1">INDEX(INDIRECT(_xlfn.CONCAT("weather.tbl[",O$1,"]")),MATCH(vp.data[[#This Row],[SDate]],weather.tbl[Date],0))</f>
        <v>-2.8642857142857143</v>
      </c>
      <c r="P802" s="2">
        <f ca="1">INDEX(INDIRECT(_xlfn.CONCAT("weather.tbl[",P$1,"]")),MATCH(vp.data[[#This Row],[SDate]],weather.tbl[Date],0))</f>
        <v>2.4</v>
      </c>
      <c r="Q802" s="2">
        <f ca="1">INDEX(INDIRECT(_xlfn.CONCAT("weather.tbl[",Q$1,"]")),MATCH(vp.data[[#This Row],[SDate]],weather.tbl[Date],0))</f>
        <v>3.2</v>
      </c>
      <c r="R802" s="2">
        <f ca="1">INDEX(INDIRECT(_xlfn.CONCAT("weather.tbl[",R$1,"]")),MATCH(vp.data[[#This Row],[SDate]],weather.tbl[Date],0))</f>
        <v>2.5</v>
      </c>
      <c r="S802" s="2">
        <f ca="1">INDEX(INDIRECT(_xlfn.CONCAT("weather.tbl[",S$1,"]")),MATCH(vp.data[[#This Row],[SDate]],weather.tbl[Date],0))</f>
        <v>4.9000000000000004</v>
      </c>
      <c r="T802" s="2">
        <f ca="1">INDEX(INDIRECT(_xlfn.CONCAT("weather.tbl[",T$1,"]")),MATCH(vp.data[[#This Row],[SDate]],weather.tbl[Date],0))</f>
        <v>0.4</v>
      </c>
      <c r="U802" s="2">
        <f ca="1">INDEX(INDIRECT(_xlfn.CONCAT("weather.tbl[",U$1,"]")),MATCH(vp.data[[#This Row],[SDate]],weather.tbl[Date],0))</f>
        <v>3.5</v>
      </c>
      <c r="V802" s="2">
        <f t="array" ref="V8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2335.377</v>
      </c>
      <c r="W802" t="s">
        <v>48</v>
      </c>
      <c r="X802">
        <f>IF(OR(vp.data[[#This Row],[Sulf]]="",vp.data[[#This Row],[Dens]]=""),1,0)</f>
        <v>0</v>
      </c>
      <c r="Y802">
        <f>IF(vp.data[[#This Row],[CrudeType]]="C5+",1,0)</f>
        <v>0</v>
      </c>
      <c r="Z802">
        <f>IF(AND(vp.data[[#This Row],[CrudeType]]="Crude",vp.data[[#This Row],[Dens]]&lt;=825,vp.data[[#This Row],[Sulf]]&gt;0.5,vp.data[[#This Row],[Unknown]]=0),1,0)</f>
        <v>1</v>
      </c>
      <c r="AA802">
        <f>IF(AND(vp.data[[#This Row],[CrudeType]]="Crude",vp.data[[#This Row],[Dens]]&lt;=825,vp.data[[#This Row],[Sulf]]&lt;=0.5,vp.data[[#This Row],[Unknown]]=0),1,0)</f>
        <v>0</v>
      </c>
      <c r="AB8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02">
        <f>IF(AND(vp.data[[#This Row],[CrudeType]]="Crude",vp.data[[#This Row],[Dens]]&gt;825,vp.data[[#This Row],[Dens]]&lt;=900,vp.data[[#This Row],[Sulf]]&lt;=0.5,vp.data[[#This Row],[Unknown]]=0),1,0)</f>
        <v>0</v>
      </c>
      <c r="AD802">
        <f>IF(AND(vp.data[[#This Row],[CrudeType]]="Crude",vp.data[[#This Row],[Dens]]&gt;865,vp.data[[#This Row],[Dens]]&lt;=900,vp.data[[#This Row],[Sulf]]&gt;2,vp.data[[#This Row],[Unknown]]=0),1,0)</f>
        <v>0</v>
      </c>
      <c r="AE802">
        <f>IF(AND(vp.data[[#This Row],[CrudeType]]="Crude",vp.data[[#This Row],[Dens]]&gt;900,vp.data[[#This Row],[Sulf]]&lt;=0.5,vp.data[[#This Row],[Unknown]]=0),1,0)</f>
        <v>0</v>
      </c>
      <c r="AF802">
        <f>IF(AND(vp.data[[#This Row],[CrudeType]]="Crude",vp.data[[#This Row],[Dens]]&gt;900,vp.data[[#This Row],[Sulf]]&lt;=0.5,vp.data[[#This Row],[Unknown]]=0),1,0)</f>
        <v>0</v>
      </c>
      <c r="AG802" t="str">
        <f>INDEX(vp.data[[#Headers],[Unknown]:[Heavy_SW]],MATCH(1,vp.data[[#This Row],[Unknown]:[Heavy_SW]],0))</f>
        <v>Light_LSB</v>
      </c>
      <c r="AH802">
        <f>INDEX([3]!crudeBD.lkup[Number],MATCH(vp.data[[#This Row],[Crude_Breakdown]],crudeBD.lkup[Crude Breakdown],0))</f>
        <v>1</v>
      </c>
      <c r="AI802">
        <f>MONTH(vp.data[[#This Row],[SDate]])</f>
        <v>2</v>
      </c>
      <c r="AJ802" s="5">
        <f>(vp.data[[#This Row],[VP]]-INDEX(crudeBD.lkup[Mean_VP],MATCH(vp.data[[#This Row],[Crude_Breakdown]],crudeBD.lkup[Crude Breakdown],0)))^2</f>
        <v>11.196957848868294</v>
      </c>
      <c r="AK802" s="5">
        <f>(vp.data[[#This Row],[Dens]]-INDEX(crudeBD.lkup[Mean_Dens],MATCH(vp.data[[#This Row],[Crude_Breakdown]],crudeBD.lkup[Crude Breakdown],0)))^2</f>
        <v>2.5066179945925335</v>
      </c>
      <c r="AL802" s="5">
        <f>(vp.data[[#This Row],[Sulf]]-INDEX(crudeBD.lkup[Mean_Sulf],MATCH(vp.data[[#This Row],[Crude_Breakdown]],crudeBD.lkup[Crude Breakdown],0)))^2</f>
        <v>2.4971176697499778E-3</v>
      </c>
      <c r="AM802" s="4">
        <f>IF(AND(vp.data[[#This Row],[SDate]]&gt;=DATE(YEAR(vp.data[[#This Row],[SDate]]),5,1),vp.data[[#This Row],[SDate]]&lt;=DATE(YEAR(vp.data[[#This Row],[SDate]]),9,15)),1,0)</f>
        <v>0</v>
      </c>
      <c r="AN802" s="4">
        <f>IF(vp.data[[#This Row],[SDate]]&lt;DATE(2016,12,1),0,1)</f>
        <v>1</v>
      </c>
      <c r="AO802" s="4">
        <f>IFERROR(vp.data[[#This Row],[Sulf]]*vp.data[[#This Row],[Net Dens]],"")</f>
        <v>1672006.8576321001</v>
      </c>
      <c r="AP802">
        <f>IFERROR(vp.data[[#This Row],[Dens]]*vp.data[[#This Row],[VolumeM3]],"")</f>
        <v>1915242.6777000001</v>
      </c>
      <c r="AQ802" s="15">
        <f>IFERROR(vp.data[[#This Row],[VP]]*vp.data[[#This Row],[VolumeM3]],"")</f>
        <v>205980.25140000001</v>
      </c>
    </row>
    <row r="803" spans="1:43" x14ac:dyDescent="0.25">
      <c r="A803">
        <v>802</v>
      </c>
      <c r="B803" t="s">
        <v>51</v>
      </c>
      <c r="C803" t="s">
        <v>51</v>
      </c>
      <c r="D803" t="s">
        <v>66</v>
      </c>
      <c r="F803" s="1">
        <v>42782</v>
      </c>
      <c r="G803" s="2">
        <v>76.099999999999994</v>
      </c>
      <c r="H803" s="2"/>
      <c r="I803" s="2">
        <f t="array" ref="I803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803" s="2">
        <v>5.5</v>
      </c>
      <c r="K803" s="2">
        <v>5</v>
      </c>
      <c r="L803" s="2">
        <v>823.4</v>
      </c>
      <c r="M803" s="2">
        <f t="array" ref="M803">_xlfn.IFNA(IF(vp.data[[#This Row],[Dens Input]]="",INDEX([1]DATA!$O$3:$O$9826,MATCH(1,(vp.data[[#This Row],[Battery]]=[1]DATA!$L$3:$L$9826)*(EOMONTH(vp.data[[#This Row],[SDate]],-1)+1=[1]DATA!$G$3:$G$9826),0)),vp.data[[#This Row],[Dens Input]]),"")</f>
        <v>823.4</v>
      </c>
      <c r="N803" s="2">
        <f ca="1">INDEX(INDIRECT(_xlfn.CONCAT("weather.tbl[",N$1,"]")),MATCH(vp.data[[#This Row],[SDate]],weather.tbl[Date],0))</f>
        <v>2.8166666666666664</v>
      </c>
      <c r="O803" s="2">
        <f ca="1">INDEX(INDIRECT(_xlfn.CONCAT("weather.tbl[",O$1,"]")),MATCH(vp.data[[#This Row],[SDate]],weather.tbl[Date],0))</f>
        <v>-2.8642857142857143</v>
      </c>
      <c r="P803" s="2">
        <f ca="1">INDEX(INDIRECT(_xlfn.CONCAT("weather.tbl[",P$1,"]")),MATCH(vp.data[[#This Row],[SDate]],weather.tbl[Date],0))</f>
        <v>2.4</v>
      </c>
      <c r="Q803" s="2">
        <f ca="1">INDEX(INDIRECT(_xlfn.CONCAT("weather.tbl[",Q$1,"]")),MATCH(vp.data[[#This Row],[SDate]],weather.tbl[Date],0))</f>
        <v>3.2</v>
      </c>
      <c r="R803" s="2">
        <f ca="1">INDEX(INDIRECT(_xlfn.CONCAT("weather.tbl[",R$1,"]")),MATCH(vp.data[[#This Row],[SDate]],weather.tbl[Date],0))</f>
        <v>2.5</v>
      </c>
      <c r="S803" s="2">
        <f ca="1">INDEX(INDIRECT(_xlfn.CONCAT("weather.tbl[",S$1,"]")),MATCH(vp.data[[#This Row],[SDate]],weather.tbl[Date],0))</f>
        <v>4.9000000000000004</v>
      </c>
      <c r="T803" s="2">
        <f ca="1">INDEX(INDIRECT(_xlfn.CONCAT("weather.tbl[",T$1,"]")),MATCH(vp.data[[#This Row],[SDate]],weather.tbl[Date],0))</f>
        <v>0.4</v>
      </c>
      <c r="U803" s="2">
        <f ca="1">INDEX(INDIRECT(_xlfn.CONCAT("weather.tbl[",U$1,"]")),MATCH(vp.data[[#This Row],[SDate]],weather.tbl[Date],0))</f>
        <v>3.5</v>
      </c>
      <c r="V803" s="2">
        <f t="array" ref="V8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3995.7719999999999</v>
      </c>
      <c r="W803" t="s">
        <v>48</v>
      </c>
      <c r="X803">
        <f>IF(OR(vp.data[[#This Row],[Sulf]]="",vp.data[[#This Row],[Dens]]=""),1,0)</f>
        <v>0</v>
      </c>
      <c r="Y803">
        <f>IF(vp.data[[#This Row],[CrudeType]]="C5+",1,0)</f>
        <v>0</v>
      </c>
      <c r="Z803">
        <f>IF(AND(vp.data[[#This Row],[CrudeType]]="Crude",vp.data[[#This Row],[Dens]]&lt;=825,vp.data[[#This Row],[Sulf]]&gt;0.5,vp.data[[#This Row],[Unknown]]=0),1,0)</f>
        <v>1</v>
      </c>
      <c r="AA803">
        <f>IF(AND(vp.data[[#This Row],[CrudeType]]="Crude",vp.data[[#This Row],[Dens]]&lt;=825,vp.data[[#This Row],[Sulf]]&lt;=0.5,vp.data[[#This Row],[Unknown]]=0),1,0)</f>
        <v>0</v>
      </c>
      <c r="AB8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03">
        <f>IF(AND(vp.data[[#This Row],[CrudeType]]="Crude",vp.data[[#This Row],[Dens]]&gt;825,vp.data[[#This Row],[Dens]]&lt;=900,vp.data[[#This Row],[Sulf]]&lt;=0.5,vp.data[[#This Row],[Unknown]]=0),1,0)</f>
        <v>0</v>
      </c>
      <c r="AD803">
        <f>IF(AND(vp.data[[#This Row],[CrudeType]]="Crude",vp.data[[#This Row],[Dens]]&gt;865,vp.data[[#This Row],[Dens]]&lt;=900,vp.data[[#This Row],[Sulf]]&gt;2,vp.data[[#This Row],[Unknown]]=0),1,0)</f>
        <v>0</v>
      </c>
      <c r="AE803">
        <f>IF(AND(vp.data[[#This Row],[CrudeType]]="Crude",vp.data[[#This Row],[Dens]]&gt;900,vp.data[[#This Row],[Sulf]]&lt;=0.5,vp.data[[#This Row],[Unknown]]=0),1,0)</f>
        <v>0</v>
      </c>
      <c r="AF803">
        <f>IF(AND(vp.data[[#This Row],[CrudeType]]="Crude",vp.data[[#This Row],[Dens]]&gt;900,vp.data[[#This Row],[Sulf]]&lt;=0.5,vp.data[[#This Row],[Unknown]]=0),1,0)</f>
        <v>0</v>
      </c>
      <c r="AG803" t="str">
        <f>INDEX(vp.data[[#Headers],[Unknown]:[Heavy_SW]],MATCH(1,vp.data[[#This Row],[Unknown]:[Heavy_SW]],0))</f>
        <v>Light_LSB</v>
      </c>
      <c r="AH803">
        <f>INDEX([3]!crudeBD.lkup[Number],MATCH(vp.data[[#This Row],[Crude_Breakdown]],crudeBD.lkup[Crude Breakdown],0))</f>
        <v>1</v>
      </c>
      <c r="AI803">
        <f>MONTH(vp.data[[#This Row],[SDate]])</f>
        <v>2</v>
      </c>
      <c r="AJ803" s="5">
        <f>(vp.data[[#This Row],[VP]]-INDEX(crudeBD.lkup[Mean_VP],MATCH(vp.data[[#This Row],[Crude_Breakdown]],crudeBD.lkup[Crude Breakdown],0)))^2</f>
        <v>238.58464857051874</v>
      </c>
      <c r="AK803" s="5">
        <f>(vp.data[[#This Row],[Dens]]-INDEX(crudeBD.lkup[Mean_Dens],MATCH(vp.data[[#This Row],[Crude_Breakdown]],crudeBD.lkup[Crude Breakdown],0)))^2</f>
        <v>23.845937582223179</v>
      </c>
      <c r="AL803" s="5">
        <f>(vp.data[[#This Row],[Sulf]]-INDEX(crudeBD.lkup[Mean_Sulf],MATCH(vp.data[[#This Row],[Crude_Breakdown]],crudeBD.lkup[Crude Breakdown],0)))^2</f>
        <v>0.41864630894122806</v>
      </c>
      <c r="AM803" s="4">
        <f>IF(AND(vp.data[[#This Row],[SDate]]&gt;=DATE(YEAR(vp.data[[#This Row],[SDate]]),5,1),vp.data[[#This Row],[SDate]]&lt;=DATE(YEAR(vp.data[[#This Row],[SDate]]),9,15)),1,0)</f>
        <v>0</v>
      </c>
      <c r="AN803" s="4">
        <f>IF(vp.data[[#This Row],[SDate]]&lt;DATE(2016,12,1),0,1)</f>
        <v>1</v>
      </c>
      <c r="AO803" s="4">
        <f>IFERROR(vp.data[[#This Row],[Sulf]]*vp.data[[#This Row],[Net Dens]],"")</f>
        <v>5165486.3037360003</v>
      </c>
      <c r="AP803">
        <f>IFERROR(vp.data[[#This Row],[Dens]]*vp.data[[#This Row],[VolumeM3]],"")</f>
        <v>3290118.6647999999</v>
      </c>
      <c r="AQ803" s="15">
        <f>IFERROR(vp.data[[#This Row],[VP]]*vp.data[[#This Row],[VolumeM3]],"")</f>
        <v>304078.24919999996</v>
      </c>
    </row>
    <row r="804" spans="1:43" x14ac:dyDescent="0.25">
      <c r="A804">
        <v>803</v>
      </c>
      <c r="B804" t="s">
        <v>51</v>
      </c>
      <c r="C804" t="s">
        <v>51</v>
      </c>
      <c r="D804" t="s">
        <v>71</v>
      </c>
      <c r="F804" s="1">
        <v>42782</v>
      </c>
      <c r="G804" s="2">
        <v>86.3</v>
      </c>
      <c r="H804" s="2"/>
      <c r="I804" s="2">
        <f t="array" ref="I804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804" s="2">
        <v>8.6999999999999993</v>
      </c>
      <c r="K804" s="2">
        <v>5</v>
      </c>
      <c r="L804" s="2">
        <v>823.5</v>
      </c>
      <c r="M804" s="2">
        <f t="array" ref="M804">_xlfn.IFNA(IF(vp.data[[#This Row],[Dens Input]]="",INDEX([1]DATA!$O$3:$O$9826,MATCH(1,(vp.data[[#This Row],[Battery]]=[1]DATA!$L$3:$L$9826)*(EOMONTH(vp.data[[#This Row],[SDate]],-1)+1=[1]DATA!$G$3:$G$9826),0)),vp.data[[#This Row],[Dens Input]]),"")</f>
        <v>823.5</v>
      </c>
      <c r="N804" s="2">
        <f ca="1">INDEX(INDIRECT(_xlfn.CONCAT("weather.tbl[",N$1,"]")),MATCH(vp.data[[#This Row],[SDate]],weather.tbl[Date],0))</f>
        <v>2.8166666666666664</v>
      </c>
      <c r="O804" s="2">
        <f ca="1">INDEX(INDIRECT(_xlfn.CONCAT("weather.tbl[",O$1,"]")),MATCH(vp.data[[#This Row],[SDate]],weather.tbl[Date],0))</f>
        <v>-2.8642857142857143</v>
      </c>
      <c r="P804" s="2">
        <f ca="1">INDEX(INDIRECT(_xlfn.CONCAT("weather.tbl[",P$1,"]")),MATCH(vp.data[[#This Row],[SDate]],weather.tbl[Date],0))</f>
        <v>2.4</v>
      </c>
      <c r="Q804" s="2">
        <f ca="1">INDEX(INDIRECT(_xlfn.CONCAT("weather.tbl[",Q$1,"]")),MATCH(vp.data[[#This Row],[SDate]],weather.tbl[Date],0))</f>
        <v>3.2</v>
      </c>
      <c r="R804" s="2">
        <f ca="1">INDEX(INDIRECT(_xlfn.CONCAT("weather.tbl[",R$1,"]")),MATCH(vp.data[[#This Row],[SDate]],weather.tbl[Date],0))</f>
        <v>2.5</v>
      </c>
      <c r="S804" s="2">
        <f ca="1">INDEX(INDIRECT(_xlfn.CONCAT("weather.tbl[",S$1,"]")),MATCH(vp.data[[#This Row],[SDate]],weather.tbl[Date],0))</f>
        <v>4.9000000000000004</v>
      </c>
      <c r="T804" s="2">
        <f ca="1">INDEX(INDIRECT(_xlfn.CONCAT("weather.tbl[",T$1,"]")),MATCH(vp.data[[#This Row],[SDate]],weather.tbl[Date],0))</f>
        <v>0.4</v>
      </c>
      <c r="U804" s="2">
        <f ca="1">INDEX(INDIRECT(_xlfn.CONCAT("weather.tbl[",U$1,"]")),MATCH(vp.data[[#This Row],[SDate]],weather.tbl[Date],0))</f>
        <v>3.5</v>
      </c>
      <c r="V804" s="2">
        <f t="array" ref="V8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7771.3980000000001</v>
      </c>
      <c r="W804" t="s">
        <v>48</v>
      </c>
      <c r="X804">
        <f>IF(OR(vp.data[[#This Row],[Sulf]]="",vp.data[[#This Row],[Dens]]=""),1,0)</f>
        <v>0</v>
      </c>
      <c r="Y804">
        <f>IF(vp.data[[#This Row],[CrudeType]]="C5+",1,0)</f>
        <v>0</v>
      </c>
      <c r="Z804">
        <f>IF(AND(vp.data[[#This Row],[CrudeType]]="Crude",vp.data[[#This Row],[Dens]]&lt;=825,vp.data[[#This Row],[Sulf]]&gt;0.5,vp.data[[#This Row],[Unknown]]=0),1,0)</f>
        <v>1</v>
      </c>
      <c r="AA804">
        <f>IF(AND(vp.data[[#This Row],[CrudeType]]="Crude",vp.data[[#This Row],[Dens]]&lt;=825,vp.data[[#This Row],[Sulf]]&lt;=0.5,vp.data[[#This Row],[Unknown]]=0),1,0)</f>
        <v>0</v>
      </c>
      <c r="AB8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04">
        <f>IF(AND(vp.data[[#This Row],[CrudeType]]="Crude",vp.data[[#This Row],[Dens]]&gt;825,vp.data[[#This Row],[Dens]]&lt;=900,vp.data[[#This Row],[Sulf]]&lt;=0.5,vp.data[[#This Row],[Unknown]]=0),1,0)</f>
        <v>0</v>
      </c>
      <c r="AD804">
        <f>IF(AND(vp.data[[#This Row],[CrudeType]]="Crude",vp.data[[#This Row],[Dens]]&gt;865,vp.data[[#This Row],[Dens]]&lt;=900,vp.data[[#This Row],[Sulf]]&gt;2,vp.data[[#This Row],[Unknown]]=0),1,0)</f>
        <v>0</v>
      </c>
      <c r="AE804">
        <f>IF(AND(vp.data[[#This Row],[CrudeType]]="Crude",vp.data[[#This Row],[Dens]]&gt;900,vp.data[[#This Row],[Sulf]]&lt;=0.5,vp.data[[#This Row],[Unknown]]=0),1,0)</f>
        <v>0</v>
      </c>
      <c r="AF804">
        <f>IF(AND(vp.data[[#This Row],[CrudeType]]="Crude",vp.data[[#This Row],[Dens]]&gt;900,vp.data[[#This Row],[Sulf]]&lt;=0.5,vp.data[[#This Row],[Unknown]]=0),1,0)</f>
        <v>0</v>
      </c>
      <c r="AG804" t="str">
        <f>INDEX(vp.data[[#Headers],[Unknown]:[Heavy_SW]],MATCH(1,vp.data[[#This Row],[Unknown]:[Heavy_SW]],0))</f>
        <v>Light_LSB</v>
      </c>
      <c r="AH804">
        <f>INDEX([3]!crudeBD.lkup[Number],MATCH(vp.data[[#This Row],[Crude_Breakdown]],crudeBD.lkup[Crude Breakdown],0))</f>
        <v>1</v>
      </c>
      <c r="AI804">
        <f>MONTH(vp.data[[#This Row],[SDate]])</f>
        <v>2</v>
      </c>
      <c r="AJ804" s="5">
        <f>(vp.data[[#This Row],[VP]]-INDEX(crudeBD.lkup[Mean_VP],MATCH(vp.data[[#This Row],[Crude_Breakdown]],crudeBD.lkup[Crude Breakdown],0)))^2</f>
        <v>27.522463003507635</v>
      </c>
      <c r="AK804" s="5">
        <f>(vp.data[[#This Row],[Dens]]-INDEX(crudeBD.lkup[Mean_Dens],MATCH(vp.data[[#This Row],[Crude_Breakdown]],crudeBD.lkup[Crude Breakdown],0)))^2</f>
        <v>24.832583630333428</v>
      </c>
      <c r="AL804" s="5">
        <f>(vp.data[[#This Row],[Sulf]]-INDEX(crudeBD.lkup[Mean_Sulf],MATCH(vp.data[[#This Row],[Crude_Breakdown]],crudeBD.lkup[Crude Breakdown],0)))^2</f>
        <v>0.47200861547043776</v>
      </c>
      <c r="AM804" s="4">
        <f>IF(AND(vp.data[[#This Row],[SDate]]&gt;=DATE(YEAR(vp.data[[#This Row],[SDate]]),5,1),vp.data[[#This Row],[SDate]]&lt;=DATE(YEAR(vp.data[[#This Row],[SDate]]),9,15)),1,0)</f>
        <v>0</v>
      </c>
      <c r="AN804" s="4">
        <f>IF(vp.data[[#This Row],[SDate]]&lt;DATE(2016,12,1),0,1)</f>
        <v>1</v>
      </c>
      <c r="AO804" s="4">
        <f>IFERROR(vp.data[[#This Row],[Sulf]]*vp.data[[#This Row],[Net Dens]],"")</f>
        <v>10303591.467330001</v>
      </c>
      <c r="AP804">
        <f>IFERROR(vp.data[[#This Row],[Dens]]*vp.data[[#This Row],[VolumeM3]],"")</f>
        <v>6399746.2530000005</v>
      </c>
      <c r="AQ804" s="15">
        <f>IFERROR(vp.data[[#This Row],[VP]]*vp.data[[#This Row],[VolumeM3]],"")</f>
        <v>670671.64740000002</v>
      </c>
    </row>
    <row r="805" spans="1:43" x14ac:dyDescent="0.25">
      <c r="A805">
        <v>804</v>
      </c>
      <c r="B805" t="s">
        <v>96</v>
      </c>
      <c r="C805" t="s">
        <v>96</v>
      </c>
      <c r="D805" t="s">
        <v>97</v>
      </c>
      <c r="F805" s="1">
        <v>42782</v>
      </c>
      <c r="G805" s="2">
        <v>74.3</v>
      </c>
      <c r="H805" s="2"/>
      <c r="I805" s="2">
        <f t="array" ref="I805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805" s="2">
        <v>27.7</v>
      </c>
      <c r="K805" s="2">
        <v>5</v>
      </c>
      <c r="L805" s="2">
        <v>827.9</v>
      </c>
      <c r="M805" s="2">
        <f t="array" ref="M805">_xlfn.IFNA(IF(vp.data[[#This Row],[Dens Input]]="",INDEX([1]DATA!$O$3:$O$9826,MATCH(1,(vp.data[[#This Row],[Battery]]=[1]DATA!$L$3:$L$9826)*(EOMONTH(vp.data[[#This Row],[SDate]],-1)+1=[1]DATA!$G$3:$G$9826),0)),vp.data[[#This Row],[Dens Input]]),"")</f>
        <v>827.9</v>
      </c>
      <c r="N805" s="2">
        <f ca="1">INDEX(INDIRECT(_xlfn.CONCAT("weather.tbl[",N$1,"]")),MATCH(vp.data[[#This Row],[SDate]],weather.tbl[Date],0))</f>
        <v>2.8166666666666664</v>
      </c>
      <c r="O805" s="2">
        <f ca="1">INDEX(INDIRECT(_xlfn.CONCAT("weather.tbl[",O$1,"]")),MATCH(vp.data[[#This Row],[SDate]],weather.tbl[Date],0))</f>
        <v>-2.8642857142857143</v>
      </c>
      <c r="P805" s="2">
        <f ca="1">INDEX(INDIRECT(_xlfn.CONCAT("weather.tbl[",P$1,"]")),MATCH(vp.data[[#This Row],[SDate]],weather.tbl[Date],0))</f>
        <v>2.4</v>
      </c>
      <c r="Q805" s="2">
        <f ca="1">INDEX(INDIRECT(_xlfn.CONCAT("weather.tbl[",Q$1,"]")),MATCH(vp.data[[#This Row],[SDate]],weather.tbl[Date],0))</f>
        <v>3.2</v>
      </c>
      <c r="R805" s="2">
        <f ca="1">INDEX(INDIRECT(_xlfn.CONCAT("weather.tbl[",R$1,"]")),MATCH(vp.data[[#This Row],[SDate]],weather.tbl[Date],0))</f>
        <v>2.5</v>
      </c>
      <c r="S805" s="2">
        <f ca="1">INDEX(INDIRECT(_xlfn.CONCAT("weather.tbl[",S$1,"]")),MATCH(vp.data[[#This Row],[SDate]],weather.tbl[Date],0))</f>
        <v>4.9000000000000004</v>
      </c>
      <c r="T805" s="2">
        <f ca="1">INDEX(INDIRECT(_xlfn.CONCAT("weather.tbl[",T$1,"]")),MATCH(vp.data[[#This Row],[SDate]],weather.tbl[Date],0))</f>
        <v>0.4</v>
      </c>
      <c r="U805" s="2">
        <f ca="1">INDEX(INDIRECT(_xlfn.CONCAT("weather.tbl[",U$1,"]")),MATCH(vp.data[[#This Row],[SDate]],weather.tbl[Date],0))</f>
        <v>3.5</v>
      </c>
      <c r="V805" s="2">
        <f t="array" ref="V8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7093.32</v>
      </c>
      <c r="W805" t="s">
        <v>48</v>
      </c>
      <c r="X805">
        <f>IF(OR(vp.data[[#This Row],[Sulf]]="",vp.data[[#This Row],[Dens]]=""),1,0)</f>
        <v>0</v>
      </c>
      <c r="Y805">
        <f>IF(vp.data[[#This Row],[CrudeType]]="C5+",1,0)</f>
        <v>0</v>
      </c>
      <c r="Z805">
        <f>IF(AND(vp.data[[#This Row],[CrudeType]]="Crude",vp.data[[#This Row],[Dens]]&lt;=825,vp.data[[#This Row],[Sulf]]&gt;0.5,vp.data[[#This Row],[Unknown]]=0),1,0)</f>
        <v>0</v>
      </c>
      <c r="AA805">
        <f>IF(AND(vp.data[[#This Row],[CrudeType]]="Crude",vp.data[[#This Row],[Dens]]&lt;=825,vp.data[[#This Row],[Sulf]]&lt;=0.5,vp.data[[#This Row],[Unknown]]=0),1,0)</f>
        <v>0</v>
      </c>
      <c r="AB8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5">
        <f>IF(AND(vp.data[[#This Row],[CrudeType]]="Crude",vp.data[[#This Row],[Dens]]&gt;825,vp.data[[#This Row],[Dens]]&lt;=900,vp.data[[#This Row],[Sulf]]&lt;=0.5,vp.data[[#This Row],[Unknown]]=0),1,0)</f>
        <v>0</v>
      </c>
      <c r="AD805">
        <f>IF(AND(vp.data[[#This Row],[CrudeType]]="Crude",vp.data[[#This Row],[Dens]]&gt;865,vp.data[[#This Row],[Dens]]&lt;=900,vp.data[[#This Row],[Sulf]]&gt;2,vp.data[[#This Row],[Unknown]]=0),1,0)</f>
        <v>0</v>
      </c>
      <c r="AE805">
        <f>IF(AND(vp.data[[#This Row],[CrudeType]]="Crude",vp.data[[#This Row],[Dens]]&gt;900,vp.data[[#This Row],[Sulf]]&lt;=0.5,vp.data[[#This Row],[Unknown]]=0),1,0)</f>
        <v>0</v>
      </c>
      <c r="AF805">
        <f>IF(AND(vp.data[[#This Row],[CrudeType]]="Crude",vp.data[[#This Row],[Dens]]&gt;900,vp.data[[#This Row],[Sulf]]&lt;=0.5,vp.data[[#This Row],[Unknown]]=0),1,0)</f>
        <v>0</v>
      </c>
      <c r="AG805" t="str">
        <f>INDEX(vp.data[[#Headers],[Unknown]:[Heavy_SW]],MATCH(1,vp.data[[#This Row],[Unknown]:[Heavy_SW]],0))</f>
        <v>Medium_LSB</v>
      </c>
      <c r="AH805">
        <f>INDEX([3]!crudeBD.lkup[Number],MATCH(vp.data[[#This Row],[Crude_Breakdown]],crudeBD.lkup[Crude Breakdown],0))</f>
        <v>3</v>
      </c>
      <c r="AI805">
        <f>MONTH(vp.data[[#This Row],[SDate]])</f>
        <v>2</v>
      </c>
      <c r="AJ805" s="5">
        <f>(vp.data[[#This Row],[VP]]-INDEX(crudeBD.lkup[Mean_VP],MATCH(vp.data[[#This Row],[Crude_Breakdown]],crudeBD.lkup[Crude Breakdown],0)))^2</f>
        <v>40.191498756910221</v>
      </c>
      <c r="AK805" s="5">
        <f>(vp.data[[#This Row],[Dens]]-INDEX(crudeBD.lkup[Mean_Dens],MATCH(vp.data[[#This Row],[Crude_Breakdown]],crudeBD.lkup[Crude Breakdown],0)))^2</f>
        <v>256.64039999998482</v>
      </c>
      <c r="AL805" s="5">
        <f>(vp.data[[#This Row],[Sulf]]-INDEX(crudeBD.lkup[Mean_Sulf],MATCH(vp.data[[#This Row],[Crude_Breakdown]],crudeBD.lkup[Crude Breakdown],0)))^2</f>
        <v>0.42955981252426606</v>
      </c>
      <c r="AM805" s="4">
        <f>IF(AND(vp.data[[#This Row],[SDate]]&gt;=DATE(YEAR(vp.data[[#This Row],[SDate]]),5,1),vp.data[[#This Row],[SDate]]&lt;=DATE(YEAR(vp.data[[#This Row],[SDate]]),9,15)),1,0)</f>
        <v>0</v>
      </c>
      <c r="AN805" s="4">
        <f>IF(vp.data[[#This Row],[SDate]]&lt;DATE(2016,12,1),0,1)</f>
        <v>1</v>
      </c>
      <c r="AO805" s="4">
        <f>IFERROR(vp.data[[#This Row],[Sulf]]*vp.data[[#This Row],[Net Dens]],"")</f>
        <v>4286968.5284399996</v>
      </c>
      <c r="AP805">
        <f>IFERROR(vp.data[[#This Row],[Dens]]*vp.data[[#This Row],[VolumeM3]],"")</f>
        <v>5872559.6279999996</v>
      </c>
      <c r="AQ805" s="15">
        <f>IFERROR(vp.data[[#This Row],[VP]]*vp.data[[#This Row],[VolumeM3]],"")</f>
        <v>527033.67599999998</v>
      </c>
    </row>
    <row r="806" spans="1:43" x14ac:dyDescent="0.25">
      <c r="A806">
        <v>805</v>
      </c>
      <c r="B806" t="s">
        <v>108</v>
      </c>
      <c r="C806" t="s">
        <v>108</v>
      </c>
      <c r="D806" t="s">
        <v>109</v>
      </c>
      <c r="F806" s="1">
        <v>42782</v>
      </c>
      <c r="G806" s="2">
        <v>85.5</v>
      </c>
      <c r="H806" s="2"/>
      <c r="I806" s="2">
        <f t="array" ref="I806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806" s="2">
        <v>25.9</v>
      </c>
      <c r="K806" s="2">
        <v>5</v>
      </c>
      <c r="L806" s="2">
        <v>834.6</v>
      </c>
      <c r="M806" s="2">
        <f t="array" ref="M806">_xlfn.IFNA(IF(vp.data[[#This Row],[Dens Input]]="",INDEX([1]DATA!$O$3:$O$9826,MATCH(1,(vp.data[[#This Row],[Battery]]=[1]DATA!$L$3:$L$9826)*(EOMONTH(vp.data[[#This Row],[SDate]],-1)+1=[1]DATA!$G$3:$G$9826),0)),vp.data[[#This Row],[Dens Input]]),"")</f>
        <v>834.6</v>
      </c>
      <c r="N806" s="2">
        <f ca="1">INDEX(INDIRECT(_xlfn.CONCAT("weather.tbl[",N$1,"]")),MATCH(vp.data[[#This Row],[SDate]],weather.tbl[Date],0))</f>
        <v>2.8166666666666664</v>
      </c>
      <c r="O806" s="2">
        <f ca="1">INDEX(INDIRECT(_xlfn.CONCAT("weather.tbl[",O$1,"]")),MATCH(vp.data[[#This Row],[SDate]],weather.tbl[Date],0))</f>
        <v>-2.8642857142857143</v>
      </c>
      <c r="P806" s="2">
        <f ca="1">INDEX(INDIRECT(_xlfn.CONCAT("weather.tbl[",P$1,"]")),MATCH(vp.data[[#This Row],[SDate]],weather.tbl[Date],0))</f>
        <v>2.4</v>
      </c>
      <c r="Q806" s="2">
        <f ca="1">INDEX(INDIRECT(_xlfn.CONCAT("weather.tbl[",Q$1,"]")),MATCH(vp.data[[#This Row],[SDate]],weather.tbl[Date],0))</f>
        <v>3.2</v>
      </c>
      <c r="R806" s="2">
        <f ca="1">INDEX(INDIRECT(_xlfn.CONCAT("weather.tbl[",R$1,"]")),MATCH(vp.data[[#This Row],[SDate]],weather.tbl[Date],0))</f>
        <v>2.5</v>
      </c>
      <c r="S806" s="2">
        <f ca="1">INDEX(INDIRECT(_xlfn.CONCAT("weather.tbl[",S$1,"]")),MATCH(vp.data[[#This Row],[SDate]],weather.tbl[Date],0))</f>
        <v>4.9000000000000004</v>
      </c>
      <c r="T806" s="2">
        <f ca="1">INDEX(INDIRECT(_xlfn.CONCAT("weather.tbl[",T$1,"]")),MATCH(vp.data[[#This Row],[SDate]],weather.tbl[Date],0))</f>
        <v>0.4</v>
      </c>
      <c r="U806" s="2">
        <f ca="1">INDEX(INDIRECT(_xlfn.CONCAT("weather.tbl[",U$1,"]")),MATCH(vp.data[[#This Row],[SDate]],weather.tbl[Date],0))</f>
        <v>3.5</v>
      </c>
      <c r="V806" s="2">
        <f t="array" ref="V8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8446.2999999999993</v>
      </c>
      <c r="W806" t="s">
        <v>48</v>
      </c>
      <c r="X806">
        <f>IF(OR(vp.data[[#This Row],[Sulf]]="",vp.data[[#This Row],[Dens]]=""),1,0)</f>
        <v>0</v>
      </c>
      <c r="Y806">
        <f>IF(vp.data[[#This Row],[CrudeType]]="C5+",1,0)</f>
        <v>0</v>
      </c>
      <c r="Z806">
        <f>IF(AND(vp.data[[#This Row],[CrudeType]]="Crude",vp.data[[#This Row],[Dens]]&lt;=825,vp.data[[#This Row],[Sulf]]&gt;0.5,vp.data[[#This Row],[Unknown]]=0),1,0)</f>
        <v>0</v>
      </c>
      <c r="AA806">
        <f>IF(AND(vp.data[[#This Row],[CrudeType]]="Crude",vp.data[[#This Row],[Dens]]&lt;=825,vp.data[[#This Row],[Sulf]]&lt;=0.5,vp.data[[#This Row],[Unknown]]=0),1,0)</f>
        <v>0</v>
      </c>
      <c r="AB8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6">
        <f>IF(AND(vp.data[[#This Row],[CrudeType]]="Crude",vp.data[[#This Row],[Dens]]&gt;825,vp.data[[#This Row],[Dens]]&lt;=900,vp.data[[#This Row],[Sulf]]&lt;=0.5,vp.data[[#This Row],[Unknown]]=0),1,0)</f>
        <v>0</v>
      </c>
      <c r="AD806">
        <f>IF(AND(vp.data[[#This Row],[CrudeType]]="Crude",vp.data[[#This Row],[Dens]]&gt;865,vp.data[[#This Row],[Dens]]&lt;=900,vp.data[[#This Row],[Sulf]]&gt;2,vp.data[[#This Row],[Unknown]]=0),1,0)</f>
        <v>0</v>
      </c>
      <c r="AE806">
        <f>IF(AND(vp.data[[#This Row],[CrudeType]]="Crude",vp.data[[#This Row],[Dens]]&gt;900,vp.data[[#This Row],[Sulf]]&lt;=0.5,vp.data[[#This Row],[Unknown]]=0),1,0)</f>
        <v>0</v>
      </c>
      <c r="AF806">
        <f>IF(AND(vp.data[[#This Row],[CrudeType]]="Crude",vp.data[[#This Row],[Dens]]&gt;900,vp.data[[#This Row],[Sulf]]&lt;=0.5,vp.data[[#This Row],[Unknown]]=0),1,0)</f>
        <v>0</v>
      </c>
      <c r="AG806" t="str">
        <f>INDEX(vp.data[[#Headers],[Unknown]:[Heavy_SW]],MATCH(1,vp.data[[#This Row],[Unknown]:[Heavy_SW]],0))</f>
        <v>Medium_LSB</v>
      </c>
      <c r="AH806">
        <f>INDEX([3]!crudeBD.lkup[Number],MATCH(vp.data[[#This Row],[Crude_Breakdown]],crudeBD.lkup[Crude Breakdown],0))</f>
        <v>3</v>
      </c>
      <c r="AI806">
        <f>MONTH(vp.data[[#This Row],[SDate]])</f>
        <v>2</v>
      </c>
      <c r="AJ806" s="5">
        <f>(vp.data[[#This Row],[VP]]-INDEX(crudeBD.lkup[Mean_VP],MATCH(vp.data[[#This Row],[Crude_Breakdown]],crudeBD.lkup[Crude Breakdown],0)))^2</f>
        <v>23.622744039930659</v>
      </c>
      <c r="AK806" s="5">
        <f>(vp.data[[#This Row],[Dens]]-INDEX(crudeBD.lkup[Mean_Dens],MATCH(vp.data[[#This Row],[Crude_Breakdown]],crudeBD.lkup[Crude Breakdown],0)))^2</f>
        <v>86.86239999999033</v>
      </c>
      <c r="AL806" s="5">
        <f>(vp.data[[#This Row],[Sulf]]-INDEX(crudeBD.lkup[Mean_Sulf],MATCH(vp.data[[#This Row],[Crude_Breakdown]],crudeBD.lkup[Crude Breakdown],0)))^2</f>
        <v>0.378727162389495</v>
      </c>
      <c r="AM806" s="4">
        <f>IF(AND(vp.data[[#This Row],[SDate]]&gt;=DATE(YEAR(vp.data[[#This Row],[SDate]]),5,1),vp.data[[#This Row],[SDate]]&lt;=DATE(YEAR(vp.data[[#This Row],[SDate]]),9,15)),1,0)</f>
        <v>0</v>
      </c>
      <c r="AN806" s="4">
        <f>IF(vp.data[[#This Row],[SDate]]&lt;DATE(2016,12,1),0,1)</f>
        <v>1</v>
      </c>
      <c r="AO806" s="4">
        <f>IFERROR(vp.data[[#This Row],[Sulf]]*vp.data[[#This Row],[Net Dens]],"")</f>
        <v>5427947.1245999997</v>
      </c>
      <c r="AP806">
        <f>IFERROR(vp.data[[#This Row],[Dens]]*vp.data[[#This Row],[VolumeM3]],"")</f>
        <v>7049281.9799999995</v>
      </c>
      <c r="AQ806" s="15">
        <f>IFERROR(vp.data[[#This Row],[VP]]*vp.data[[#This Row],[VolumeM3]],"")</f>
        <v>722158.64999999991</v>
      </c>
    </row>
    <row r="807" spans="1:43" x14ac:dyDescent="0.25">
      <c r="A807">
        <v>806</v>
      </c>
      <c r="B807" t="s">
        <v>62</v>
      </c>
      <c r="C807" t="s">
        <v>62</v>
      </c>
      <c r="D807" t="s">
        <v>93</v>
      </c>
      <c r="F807" s="1">
        <v>42782</v>
      </c>
      <c r="G807" s="2">
        <v>108.1</v>
      </c>
      <c r="H807" s="2"/>
      <c r="I807" s="2">
        <f t="array" ref="I807">_xlfn.IFNA(IF(vp.data[[#This Row],[Sulf Input]]="",INDEX([1]DATA!$Q$3:$Q$9826,MATCH(1,(vp.data[[#This Row],[Battery]]=[1]DATA!$L$3:$L$9826)*(EOMONTH(vp.data[[#This Row],[SDate]],-1)+1=[1]DATA!$G$3:$G$9826),0)),vp.data[[#This Row],[Sulf Input]]),"")</f>
        <v>0.52</v>
      </c>
      <c r="J807" s="2">
        <v>8.4</v>
      </c>
      <c r="K807" s="2">
        <v>5</v>
      </c>
      <c r="L807" s="2">
        <v>836</v>
      </c>
      <c r="M807" s="2">
        <f t="array" ref="M807">_xlfn.IFNA(IF(vp.data[[#This Row],[Dens Input]]="",INDEX([1]DATA!$O$3:$O$9826,MATCH(1,(vp.data[[#This Row],[Battery]]=[1]DATA!$L$3:$L$9826)*(EOMONTH(vp.data[[#This Row],[SDate]],-1)+1=[1]DATA!$G$3:$G$9826),0)),vp.data[[#This Row],[Dens Input]]),"")</f>
        <v>836</v>
      </c>
      <c r="N807" s="2">
        <f ca="1">INDEX(INDIRECT(_xlfn.CONCAT("weather.tbl[",N$1,"]")),MATCH(vp.data[[#This Row],[SDate]],weather.tbl[Date],0))</f>
        <v>2.8166666666666664</v>
      </c>
      <c r="O807" s="2">
        <f ca="1">INDEX(INDIRECT(_xlfn.CONCAT("weather.tbl[",O$1,"]")),MATCH(vp.data[[#This Row],[SDate]],weather.tbl[Date],0))</f>
        <v>-2.8642857142857143</v>
      </c>
      <c r="P807" s="2">
        <f ca="1">INDEX(INDIRECT(_xlfn.CONCAT("weather.tbl[",P$1,"]")),MATCH(vp.data[[#This Row],[SDate]],weather.tbl[Date],0))</f>
        <v>2.4</v>
      </c>
      <c r="Q807" s="2">
        <f ca="1">INDEX(INDIRECT(_xlfn.CONCAT("weather.tbl[",Q$1,"]")),MATCH(vp.data[[#This Row],[SDate]],weather.tbl[Date],0))</f>
        <v>3.2</v>
      </c>
      <c r="R807" s="2">
        <f ca="1">INDEX(INDIRECT(_xlfn.CONCAT("weather.tbl[",R$1,"]")),MATCH(vp.data[[#This Row],[SDate]],weather.tbl[Date],0))</f>
        <v>2.5</v>
      </c>
      <c r="S807" s="2">
        <f ca="1">INDEX(INDIRECT(_xlfn.CONCAT("weather.tbl[",S$1,"]")),MATCH(vp.data[[#This Row],[SDate]],weather.tbl[Date],0))</f>
        <v>4.9000000000000004</v>
      </c>
      <c r="T807" s="2">
        <f ca="1">INDEX(INDIRECT(_xlfn.CONCAT("weather.tbl[",T$1,"]")),MATCH(vp.data[[#This Row],[SDate]],weather.tbl[Date],0))</f>
        <v>0.4</v>
      </c>
      <c r="U807" s="2">
        <f ca="1">INDEX(INDIRECT(_xlfn.CONCAT("weather.tbl[",U$1,"]")),MATCH(vp.data[[#This Row],[SDate]],weather.tbl[Date],0))</f>
        <v>3.5</v>
      </c>
      <c r="V807" s="2">
        <f t="array" ref="V8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593.99300000000005</v>
      </c>
      <c r="W807" t="s">
        <v>48</v>
      </c>
      <c r="X807">
        <f>IF(OR(vp.data[[#This Row],[Sulf]]="",vp.data[[#This Row],[Dens]]=""),1,0)</f>
        <v>0</v>
      </c>
      <c r="Y807">
        <f>IF(vp.data[[#This Row],[CrudeType]]="C5+",1,0)</f>
        <v>0</v>
      </c>
      <c r="Z807">
        <f>IF(AND(vp.data[[#This Row],[CrudeType]]="Crude",vp.data[[#This Row],[Dens]]&lt;=825,vp.data[[#This Row],[Sulf]]&gt;0.5,vp.data[[#This Row],[Unknown]]=0),1,0)</f>
        <v>0</v>
      </c>
      <c r="AA807">
        <f>IF(AND(vp.data[[#This Row],[CrudeType]]="Crude",vp.data[[#This Row],[Dens]]&lt;=825,vp.data[[#This Row],[Sulf]]&lt;=0.5,vp.data[[#This Row],[Unknown]]=0),1,0)</f>
        <v>0</v>
      </c>
      <c r="AB8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7">
        <f>IF(AND(vp.data[[#This Row],[CrudeType]]="Crude",vp.data[[#This Row],[Dens]]&gt;825,vp.data[[#This Row],[Dens]]&lt;=900,vp.data[[#This Row],[Sulf]]&lt;=0.5,vp.data[[#This Row],[Unknown]]=0),1,0)</f>
        <v>0</v>
      </c>
      <c r="AD807">
        <f>IF(AND(vp.data[[#This Row],[CrudeType]]="Crude",vp.data[[#This Row],[Dens]]&gt;865,vp.data[[#This Row],[Dens]]&lt;=900,vp.data[[#This Row],[Sulf]]&gt;2,vp.data[[#This Row],[Unknown]]=0),1,0)</f>
        <v>0</v>
      </c>
      <c r="AE807">
        <f>IF(AND(vp.data[[#This Row],[CrudeType]]="Crude",vp.data[[#This Row],[Dens]]&gt;900,vp.data[[#This Row],[Sulf]]&lt;=0.5,vp.data[[#This Row],[Unknown]]=0),1,0)</f>
        <v>0</v>
      </c>
      <c r="AF807">
        <f>IF(AND(vp.data[[#This Row],[CrudeType]]="Crude",vp.data[[#This Row],[Dens]]&gt;900,vp.data[[#This Row],[Sulf]]&lt;=0.5,vp.data[[#This Row],[Unknown]]=0),1,0)</f>
        <v>0</v>
      </c>
      <c r="AG807" t="str">
        <f>INDEX(vp.data[[#Headers],[Unknown]:[Heavy_SW]],MATCH(1,vp.data[[#This Row],[Unknown]:[Heavy_SW]],0))</f>
        <v>Medium_LSB</v>
      </c>
      <c r="AH807">
        <f>INDEX([3]!crudeBD.lkup[Number],MATCH(vp.data[[#This Row],[Crude_Breakdown]],crudeBD.lkup[Crude Breakdown],0))</f>
        <v>3</v>
      </c>
      <c r="AI807">
        <f>MONTH(vp.data[[#This Row],[SDate]])</f>
        <v>2</v>
      </c>
      <c r="AJ807" s="5">
        <f>(vp.data[[#This Row],[VP]]-INDEX(crudeBD.lkup[Mean_VP],MATCH(vp.data[[#This Row],[Crude_Breakdown]],crudeBD.lkup[Crude Breakdown],0)))^2</f>
        <v>754.06936398602522</v>
      </c>
      <c r="AK807" s="5">
        <f>(vp.data[[#This Row],[Dens]]-INDEX(crudeBD.lkup[Mean_Dens],MATCH(vp.data[[#This Row],[Crude_Breakdown]],crudeBD.lkup[Crude Breakdown],0)))^2</f>
        <v>62.726399999992147</v>
      </c>
      <c r="AL807" s="5">
        <f>(vp.data[[#This Row],[Sulf]]-INDEX(crudeBD.lkup[Mean_Sulf],MATCH(vp.data[[#This Row],[Crude_Breakdown]],crudeBD.lkup[Crude Breakdown],0)))^2</f>
        <v>0.74893122573181381</v>
      </c>
      <c r="AM807" s="4">
        <f>IF(AND(vp.data[[#This Row],[SDate]]&gt;=DATE(YEAR(vp.data[[#This Row],[SDate]]),5,1),vp.data[[#This Row],[SDate]]&lt;=DATE(YEAR(vp.data[[#This Row],[SDate]]),9,15)),1,0)</f>
        <v>0</v>
      </c>
      <c r="AN807" s="4">
        <f>IF(vp.data[[#This Row],[SDate]]&lt;DATE(2016,12,1),0,1)</f>
        <v>1</v>
      </c>
      <c r="AO807" s="4">
        <f>IFERROR(vp.data[[#This Row],[Sulf]]*vp.data[[#This Row],[Net Dens]],"")</f>
        <v>258220.63696000003</v>
      </c>
      <c r="AP807">
        <f>IFERROR(vp.data[[#This Row],[Dens]]*vp.data[[#This Row],[VolumeM3]],"")</f>
        <v>496578.14800000004</v>
      </c>
      <c r="AQ807" s="15">
        <f>IFERROR(vp.data[[#This Row],[VP]]*vp.data[[#This Row],[VolumeM3]],"")</f>
        <v>64210.643300000003</v>
      </c>
    </row>
    <row r="808" spans="1:43" x14ac:dyDescent="0.25">
      <c r="A808">
        <v>807</v>
      </c>
      <c r="B808" t="s">
        <v>161</v>
      </c>
      <c r="C808" t="s">
        <v>161</v>
      </c>
      <c r="D808" t="s">
        <v>162</v>
      </c>
      <c r="F808" s="1">
        <v>42782</v>
      </c>
      <c r="G808" s="2">
        <v>77.2</v>
      </c>
      <c r="H808" s="2"/>
      <c r="I808" s="2">
        <f t="array" ref="I808">_xlfn.IFNA(IF(vp.data[[#This Row],[Sulf Input]]="",INDEX([1]DATA!$Q$3:$Q$9826,MATCH(1,(vp.data[[#This Row],[Battery]]=[1]DATA!$L$3:$L$9826)*(EOMONTH(vp.data[[#This Row],[SDate]],-1)+1=[1]DATA!$G$3:$G$9826),0)),vp.data[[#This Row],[Sulf Input]]),"")</f>
        <v>1.1100000000000001</v>
      </c>
      <c r="J808" s="2">
        <v>28.5</v>
      </c>
      <c r="K808" s="2">
        <v>5</v>
      </c>
      <c r="L808" s="2">
        <v>839.6</v>
      </c>
      <c r="M808" s="2">
        <f t="array" ref="M808">_xlfn.IFNA(IF(vp.data[[#This Row],[Dens Input]]="",INDEX([1]DATA!$O$3:$O$9826,MATCH(1,(vp.data[[#This Row],[Battery]]=[1]DATA!$L$3:$L$9826)*(EOMONTH(vp.data[[#This Row],[SDate]],-1)+1=[1]DATA!$G$3:$G$9826),0)),vp.data[[#This Row],[Dens Input]]),"")</f>
        <v>839.6</v>
      </c>
      <c r="N808" s="2">
        <f ca="1">INDEX(INDIRECT(_xlfn.CONCAT("weather.tbl[",N$1,"]")),MATCH(vp.data[[#This Row],[SDate]],weather.tbl[Date],0))</f>
        <v>2.8166666666666664</v>
      </c>
      <c r="O808" s="2">
        <f ca="1">INDEX(INDIRECT(_xlfn.CONCAT("weather.tbl[",O$1,"]")),MATCH(vp.data[[#This Row],[SDate]],weather.tbl[Date],0))</f>
        <v>-2.8642857142857143</v>
      </c>
      <c r="P808" s="2">
        <f ca="1">INDEX(INDIRECT(_xlfn.CONCAT("weather.tbl[",P$1,"]")),MATCH(vp.data[[#This Row],[SDate]],weather.tbl[Date],0))</f>
        <v>2.4</v>
      </c>
      <c r="Q808" s="2">
        <f ca="1">INDEX(INDIRECT(_xlfn.CONCAT("weather.tbl[",Q$1,"]")),MATCH(vp.data[[#This Row],[SDate]],weather.tbl[Date],0))</f>
        <v>3.2</v>
      </c>
      <c r="R808" s="2">
        <f ca="1">INDEX(INDIRECT(_xlfn.CONCAT("weather.tbl[",R$1,"]")),MATCH(vp.data[[#This Row],[SDate]],weather.tbl[Date],0))</f>
        <v>2.5</v>
      </c>
      <c r="S808" s="2">
        <f ca="1">INDEX(INDIRECT(_xlfn.CONCAT("weather.tbl[",S$1,"]")),MATCH(vp.data[[#This Row],[SDate]],weather.tbl[Date],0))</f>
        <v>4.9000000000000004</v>
      </c>
      <c r="T808" s="2">
        <f ca="1">INDEX(INDIRECT(_xlfn.CONCAT("weather.tbl[",T$1,"]")),MATCH(vp.data[[#This Row],[SDate]],weather.tbl[Date],0))</f>
        <v>0.4</v>
      </c>
      <c r="U808" s="2">
        <f ca="1">INDEX(INDIRECT(_xlfn.CONCAT("weather.tbl[",U$1,"]")),MATCH(vp.data[[#This Row],[SDate]],weather.tbl[Date],0))</f>
        <v>3.5</v>
      </c>
      <c r="V808" s="2">
        <f t="array" ref="V8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3199.3029999999999</v>
      </c>
      <c r="W808" t="s">
        <v>48</v>
      </c>
      <c r="X808">
        <f>IF(OR(vp.data[[#This Row],[Sulf]]="",vp.data[[#This Row],[Dens]]=""),1,0)</f>
        <v>0</v>
      </c>
      <c r="Y808">
        <f>IF(vp.data[[#This Row],[CrudeType]]="C5+",1,0)</f>
        <v>0</v>
      </c>
      <c r="Z808">
        <f>IF(AND(vp.data[[#This Row],[CrudeType]]="Crude",vp.data[[#This Row],[Dens]]&lt;=825,vp.data[[#This Row],[Sulf]]&gt;0.5,vp.data[[#This Row],[Unknown]]=0),1,0)</f>
        <v>0</v>
      </c>
      <c r="AA808">
        <f>IF(AND(vp.data[[#This Row],[CrudeType]]="Crude",vp.data[[#This Row],[Dens]]&lt;=825,vp.data[[#This Row],[Sulf]]&lt;=0.5,vp.data[[#This Row],[Unknown]]=0),1,0)</f>
        <v>0</v>
      </c>
      <c r="AB8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8">
        <f>IF(AND(vp.data[[#This Row],[CrudeType]]="Crude",vp.data[[#This Row],[Dens]]&gt;825,vp.data[[#This Row],[Dens]]&lt;=900,vp.data[[#This Row],[Sulf]]&lt;=0.5,vp.data[[#This Row],[Unknown]]=0),1,0)</f>
        <v>0</v>
      </c>
      <c r="AD808">
        <f>IF(AND(vp.data[[#This Row],[CrudeType]]="Crude",vp.data[[#This Row],[Dens]]&gt;865,vp.data[[#This Row],[Dens]]&lt;=900,vp.data[[#This Row],[Sulf]]&gt;2,vp.data[[#This Row],[Unknown]]=0),1,0)</f>
        <v>0</v>
      </c>
      <c r="AE808">
        <f>IF(AND(vp.data[[#This Row],[CrudeType]]="Crude",vp.data[[#This Row],[Dens]]&gt;900,vp.data[[#This Row],[Sulf]]&lt;=0.5,vp.data[[#This Row],[Unknown]]=0),1,0)</f>
        <v>0</v>
      </c>
      <c r="AF808">
        <f>IF(AND(vp.data[[#This Row],[CrudeType]]="Crude",vp.data[[#This Row],[Dens]]&gt;900,vp.data[[#This Row],[Sulf]]&lt;=0.5,vp.data[[#This Row],[Unknown]]=0),1,0)</f>
        <v>0</v>
      </c>
      <c r="AG808" t="str">
        <f>INDEX(vp.data[[#Headers],[Unknown]:[Heavy_SW]],MATCH(1,vp.data[[#This Row],[Unknown]:[Heavy_SW]],0))</f>
        <v>Medium_LSB</v>
      </c>
      <c r="AH808">
        <f>INDEX([3]!crudeBD.lkup[Number],MATCH(vp.data[[#This Row],[Crude_Breakdown]],crudeBD.lkup[Crude Breakdown],0))</f>
        <v>3</v>
      </c>
      <c r="AI808">
        <f>MONTH(vp.data[[#This Row],[SDate]])</f>
        <v>2</v>
      </c>
      <c r="AJ808" s="5">
        <f>(vp.data[[#This Row],[VP]]-INDEX(crudeBD.lkup[Mean_VP],MATCH(vp.data[[#This Row],[Crude_Breakdown]],crudeBD.lkup[Crude Breakdown],0)))^2</f>
        <v>11.831374767692255</v>
      </c>
      <c r="AK808" s="5">
        <f>(vp.data[[#This Row],[Dens]]-INDEX(crudeBD.lkup[Mean_Dens],MATCH(vp.data[[#This Row],[Crude_Breakdown]],crudeBD.lkup[Crude Breakdown],0)))^2</f>
        <v>18.662399999995522</v>
      </c>
      <c r="AL808" s="5">
        <f>(vp.data[[#This Row],[Sulf]]-INDEX(crudeBD.lkup[Mean_Sulf],MATCH(vp.data[[#This Row],[Crude_Breakdown]],crudeBD.lkup[Crude Breakdown],0)))^2</f>
        <v>7.5849636243941365E-2</v>
      </c>
      <c r="AM808" s="4">
        <f>IF(AND(vp.data[[#This Row],[SDate]]&gt;=DATE(YEAR(vp.data[[#This Row],[SDate]]),5,1),vp.data[[#This Row],[SDate]]&lt;=DATE(YEAR(vp.data[[#This Row],[SDate]]),9,15)),1,0)</f>
        <v>0</v>
      </c>
      <c r="AN808" s="4">
        <f>IF(vp.data[[#This Row],[SDate]]&lt;DATE(2016,12,1),0,1)</f>
        <v>1</v>
      </c>
      <c r="AO808" s="4">
        <f>IFERROR(vp.data[[#This Row],[Sulf]]*vp.data[[#This Row],[Net Dens]],"")</f>
        <v>2981609.6266680001</v>
      </c>
      <c r="AP808">
        <f>IFERROR(vp.data[[#This Row],[Dens]]*vp.data[[#This Row],[VolumeM3]],"")</f>
        <v>2686134.7988</v>
      </c>
      <c r="AQ808" s="15">
        <f>IFERROR(vp.data[[#This Row],[VP]]*vp.data[[#This Row],[VolumeM3]],"")</f>
        <v>246986.19159999999</v>
      </c>
    </row>
    <row r="809" spans="1:43" x14ac:dyDescent="0.25">
      <c r="A809">
        <v>808</v>
      </c>
      <c r="B809" t="s">
        <v>62</v>
      </c>
      <c r="C809" t="s">
        <v>62</v>
      </c>
      <c r="D809" t="s">
        <v>63</v>
      </c>
      <c r="F809" s="1">
        <v>42782</v>
      </c>
      <c r="G809" s="2">
        <v>98.5</v>
      </c>
      <c r="H809" s="2"/>
      <c r="I809" s="2">
        <f t="array" ref="I809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809" s="2">
        <v>21.1</v>
      </c>
      <c r="K809" s="2">
        <v>5</v>
      </c>
      <c r="L809" s="2">
        <v>841.1</v>
      </c>
      <c r="M809" s="2">
        <f t="array" ref="M809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809" s="2">
        <f ca="1">INDEX(INDIRECT(_xlfn.CONCAT("weather.tbl[",N$1,"]")),MATCH(vp.data[[#This Row],[SDate]],weather.tbl[Date],0))</f>
        <v>2.8166666666666664</v>
      </c>
      <c r="O809" s="2">
        <f ca="1">INDEX(INDIRECT(_xlfn.CONCAT("weather.tbl[",O$1,"]")),MATCH(vp.data[[#This Row],[SDate]],weather.tbl[Date],0))</f>
        <v>-2.8642857142857143</v>
      </c>
      <c r="P809" s="2">
        <f ca="1">INDEX(INDIRECT(_xlfn.CONCAT("weather.tbl[",P$1,"]")),MATCH(vp.data[[#This Row],[SDate]],weather.tbl[Date],0))</f>
        <v>2.4</v>
      </c>
      <c r="Q809" s="2">
        <f ca="1">INDEX(INDIRECT(_xlfn.CONCAT("weather.tbl[",Q$1,"]")),MATCH(vp.data[[#This Row],[SDate]],weather.tbl[Date],0))</f>
        <v>3.2</v>
      </c>
      <c r="R809" s="2">
        <f ca="1">INDEX(INDIRECT(_xlfn.CONCAT("weather.tbl[",R$1,"]")),MATCH(vp.data[[#This Row],[SDate]],weather.tbl[Date],0))</f>
        <v>2.5</v>
      </c>
      <c r="S809" s="2">
        <f ca="1">INDEX(INDIRECT(_xlfn.CONCAT("weather.tbl[",S$1,"]")),MATCH(vp.data[[#This Row],[SDate]],weather.tbl[Date],0))</f>
        <v>4.9000000000000004</v>
      </c>
      <c r="T809" s="2">
        <f ca="1">INDEX(INDIRECT(_xlfn.CONCAT("weather.tbl[",T$1,"]")),MATCH(vp.data[[#This Row],[SDate]],weather.tbl[Date],0))</f>
        <v>0.4</v>
      </c>
      <c r="U809" s="2">
        <f ca="1">INDEX(INDIRECT(_xlfn.CONCAT("weather.tbl[",U$1,"]")),MATCH(vp.data[[#This Row],[SDate]],weather.tbl[Date],0))</f>
        <v>3.5</v>
      </c>
      <c r="V809" s="2">
        <f t="array" ref="V8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09" t="s">
        <v>48</v>
      </c>
      <c r="X809">
        <f>IF(OR(vp.data[[#This Row],[Sulf]]="",vp.data[[#This Row],[Dens]]=""),1,0)</f>
        <v>0</v>
      </c>
      <c r="Y809">
        <f>IF(vp.data[[#This Row],[CrudeType]]="C5+",1,0)</f>
        <v>0</v>
      </c>
      <c r="Z809">
        <f>IF(AND(vp.data[[#This Row],[CrudeType]]="Crude",vp.data[[#This Row],[Dens]]&lt;=825,vp.data[[#This Row],[Sulf]]&gt;0.5,vp.data[[#This Row],[Unknown]]=0),1,0)</f>
        <v>0</v>
      </c>
      <c r="AA809">
        <f>IF(AND(vp.data[[#This Row],[CrudeType]]="Crude",vp.data[[#This Row],[Dens]]&lt;=825,vp.data[[#This Row],[Sulf]]&lt;=0.5,vp.data[[#This Row],[Unknown]]=0),1,0)</f>
        <v>0</v>
      </c>
      <c r="AB8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09">
        <f>IF(AND(vp.data[[#This Row],[CrudeType]]="Crude",vp.data[[#This Row],[Dens]]&gt;825,vp.data[[#This Row],[Dens]]&lt;=900,vp.data[[#This Row],[Sulf]]&lt;=0.5,vp.data[[#This Row],[Unknown]]=0),1,0)</f>
        <v>0</v>
      </c>
      <c r="AD809">
        <f>IF(AND(vp.data[[#This Row],[CrudeType]]="Crude",vp.data[[#This Row],[Dens]]&gt;865,vp.data[[#This Row],[Dens]]&lt;=900,vp.data[[#This Row],[Sulf]]&gt;2,vp.data[[#This Row],[Unknown]]=0),1,0)</f>
        <v>0</v>
      </c>
      <c r="AE809">
        <f>IF(AND(vp.data[[#This Row],[CrudeType]]="Crude",vp.data[[#This Row],[Dens]]&gt;900,vp.data[[#This Row],[Sulf]]&lt;=0.5,vp.data[[#This Row],[Unknown]]=0),1,0)</f>
        <v>0</v>
      </c>
      <c r="AF809">
        <f>IF(AND(vp.data[[#This Row],[CrudeType]]="Crude",vp.data[[#This Row],[Dens]]&gt;900,vp.data[[#This Row],[Sulf]]&lt;=0.5,vp.data[[#This Row],[Unknown]]=0),1,0)</f>
        <v>0</v>
      </c>
      <c r="AG809" t="str">
        <f>INDEX(vp.data[[#Headers],[Unknown]:[Heavy_SW]],MATCH(1,vp.data[[#This Row],[Unknown]:[Heavy_SW]],0))</f>
        <v>Medium_LSB</v>
      </c>
      <c r="AH809">
        <f>INDEX([3]!crudeBD.lkup[Number],MATCH(vp.data[[#This Row],[Crude_Breakdown]],crudeBD.lkup[Crude Breakdown],0))</f>
        <v>3</v>
      </c>
      <c r="AI809">
        <f>MONTH(vp.data[[#This Row],[SDate]])</f>
        <v>2</v>
      </c>
      <c r="AJ809" s="5">
        <f>(vp.data[[#This Row],[VP]]-INDEX(crudeBD.lkup[Mean_VP],MATCH(vp.data[[#This Row],[Crude_Breakdown]],crudeBD.lkup[Crude Breakdown],0)))^2</f>
        <v>318.99115374343654</v>
      </c>
      <c r="AK809" s="5">
        <f>(vp.data[[#This Row],[Dens]]-INDEX(crudeBD.lkup[Mean_Dens],MATCH(vp.data[[#This Row],[Crude_Breakdown]],crudeBD.lkup[Crude Breakdown],0)))^2</f>
        <v>7.952399999997076</v>
      </c>
      <c r="AL809" s="5">
        <f>(vp.data[[#This Row],[Sulf]]-INDEX(crudeBD.lkup[Mean_Sulf],MATCH(vp.data[[#This Row],[Crude_Breakdown]],crudeBD.lkup[Crude Breakdown],0)))^2</f>
        <v>2.0906809828845806E-2</v>
      </c>
      <c r="AM809" s="4">
        <f>IF(AND(vp.data[[#This Row],[SDate]]&gt;=DATE(YEAR(vp.data[[#This Row],[SDate]]),5,1),vp.data[[#This Row],[SDate]]&lt;=DATE(YEAR(vp.data[[#This Row],[SDate]]),9,15)),1,0)</f>
        <v>0</v>
      </c>
      <c r="AN809" s="4">
        <f>IF(vp.data[[#This Row],[SDate]]&lt;DATE(2016,12,1),0,1)</f>
        <v>1</v>
      </c>
      <c r="AO809" s="4">
        <f>IFERROR(vp.data[[#This Row],[Sulf]]*vp.data[[#This Row],[Net Dens]],"")</f>
        <v>6407054.5805369997</v>
      </c>
      <c r="AP809">
        <f>IFERROR(vp.data[[#This Row],[Dens]]*vp.data[[#This Row],[VolumeM3]],"")</f>
        <v>4187617.3728999998</v>
      </c>
      <c r="AQ809" s="15">
        <f>IFERROR(vp.data[[#This Row],[VP]]*vp.data[[#This Row],[VolumeM3]],"")</f>
        <v>490405.79149999993</v>
      </c>
    </row>
    <row r="810" spans="1:43" x14ac:dyDescent="0.25">
      <c r="A810">
        <v>809</v>
      </c>
      <c r="B810" t="s">
        <v>56</v>
      </c>
      <c r="C810" t="s">
        <v>56</v>
      </c>
      <c r="D810" t="s">
        <v>57</v>
      </c>
      <c r="F810" s="1">
        <v>42782</v>
      </c>
      <c r="G810" s="2">
        <v>81.5</v>
      </c>
      <c r="H810" s="2"/>
      <c r="I810" s="2">
        <f t="array" ref="I810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810" s="2">
        <v>17.7</v>
      </c>
      <c r="K810" s="2">
        <v>5</v>
      </c>
      <c r="L810" s="2">
        <v>847</v>
      </c>
      <c r="M810" s="2">
        <f t="array" ref="M810">_xlfn.IFNA(IF(vp.data[[#This Row],[Dens Input]]="",INDEX([1]DATA!$O$3:$O$9826,MATCH(1,(vp.data[[#This Row],[Battery]]=[1]DATA!$L$3:$L$9826)*(EOMONTH(vp.data[[#This Row],[SDate]],-1)+1=[1]DATA!$G$3:$G$9826),0)),vp.data[[#This Row],[Dens Input]]),"")</f>
        <v>847</v>
      </c>
      <c r="N810" s="2">
        <f ca="1">INDEX(INDIRECT(_xlfn.CONCAT("weather.tbl[",N$1,"]")),MATCH(vp.data[[#This Row],[SDate]],weather.tbl[Date],0))</f>
        <v>2.8166666666666664</v>
      </c>
      <c r="O810" s="2">
        <f ca="1">INDEX(INDIRECT(_xlfn.CONCAT("weather.tbl[",O$1,"]")),MATCH(vp.data[[#This Row],[SDate]],weather.tbl[Date],0))</f>
        <v>-2.8642857142857143</v>
      </c>
      <c r="P810" s="2">
        <f ca="1">INDEX(INDIRECT(_xlfn.CONCAT("weather.tbl[",P$1,"]")),MATCH(vp.data[[#This Row],[SDate]],weather.tbl[Date],0))</f>
        <v>2.4</v>
      </c>
      <c r="Q810" s="2">
        <f ca="1">INDEX(INDIRECT(_xlfn.CONCAT("weather.tbl[",Q$1,"]")),MATCH(vp.data[[#This Row],[SDate]],weather.tbl[Date],0))</f>
        <v>3.2</v>
      </c>
      <c r="R810" s="2">
        <f ca="1">INDEX(INDIRECT(_xlfn.CONCAT("weather.tbl[",R$1,"]")),MATCH(vp.data[[#This Row],[SDate]],weather.tbl[Date],0))</f>
        <v>2.5</v>
      </c>
      <c r="S810" s="2">
        <f ca="1">INDEX(INDIRECT(_xlfn.CONCAT("weather.tbl[",S$1,"]")),MATCH(vp.data[[#This Row],[SDate]],weather.tbl[Date],0))</f>
        <v>4.9000000000000004</v>
      </c>
      <c r="T810" s="2">
        <f ca="1">INDEX(INDIRECT(_xlfn.CONCAT("weather.tbl[",T$1,"]")),MATCH(vp.data[[#This Row],[SDate]],weather.tbl[Date],0))</f>
        <v>0.4</v>
      </c>
      <c r="U810" s="2">
        <f ca="1">INDEX(INDIRECT(_xlfn.CONCAT("weather.tbl[",U$1,"]")),MATCH(vp.data[[#This Row],[SDate]],weather.tbl[Date],0))</f>
        <v>3.5</v>
      </c>
      <c r="V810" s="2">
        <f t="array" ref="V8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810" t="s">
        <v>48</v>
      </c>
      <c r="X810">
        <f>IF(OR(vp.data[[#This Row],[Sulf]]="",vp.data[[#This Row],[Dens]]=""),1,0)</f>
        <v>0</v>
      </c>
      <c r="Y810">
        <f>IF(vp.data[[#This Row],[CrudeType]]="C5+",1,0)</f>
        <v>0</v>
      </c>
      <c r="Z810">
        <f>IF(AND(vp.data[[#This Row],[CrudeType]]="Crude",vp.data[[#This Row],[Dens]]&lt;=825,vp.data[[#This Row],[Sulf]]&gt;0.5,vp.data[[#This Row],[Unknown]]=0),1,0)</f>
        <v>0</v>
      </c>
      <c r="AA810">
        <f>IF(AND(vp.data[[#This Row],[CrudeType]]="Crude",vp.data[[#This Row],[Dens]]&lt;=825,vp.data[[#This Row],[Sulf]]&lt;=0.5,vp.data[[#This Row],[Unknown]]=0),1,0)</f>
        <v>0</v>
      </c>
      <c r="AB8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0">
        <f>IF(AND(vp.data[[#This Row],[CrudeType]]="Crude",vp.data[[#This Row],[Dens]]&gt;825,vp.data[[#This Row],[Dens]]&lt;=900,vp.data[[#This Row],[Sulf]]&lt;=0.5,vp.data[[#This Row],[Unknown]]=0),1,0)</f>
        <v>0</v>
      </c>
      <c r="AD810">
        <f>IF(AND(vp.data[[#This Row],[CrudeType]]="Crude",vp.data[[#This Row],[Dens]]&gt;865,vp.data[[#This Row],[Dens]]&lt;=900,vp.data[[#This Row],[Sulf]]&gt;2,vp.data[[#This Row],[Unknown]]=0),1,0)</f>
        <v>0</v>
      </c>
      <c r="AE810">
        <f>IF(AND(vp.data[[#This Row],[CrudeType]]="Crude",vp.data[[#This Row],[Dens]]&gt;900,vp.data[[#This Row],[Sulf]]&lt;=0.5,vp.data[[#This Row],[Unknown]]=0),1,0)</f>
        <v>0</v>
      </c>
      <c r="AF810">
        <f>IF(AND(vp.data[[#This Row],[CrudeType]]="Crude",vp.data[[#This Row],[Dens]]&gt;900,vp.data[[#This Row],[Sulf]]&lt;=0.5,vp.data[[#This Row],[Unknown]]=0),1,0)</f>
        <v>0</v>
      </c>
      <c r="AG810" t="str">
        <f>INDEX(vp.data[[#Headers],[Unknown]:[Heavy_SW]],MATCH(1,vp.data[[#This Row],[Unknown]:[Heavy_SW]],0))</f>
        <v>Medium_LSB</v>
      </c>
      <c r="AH810">
        <f>INDEX([3]!crudeBD.lkup[Number],MATCH(vp.data[[#This Row],[Crude_Breakdown]],crudeBD.lkup[Crude Breakdown],0))</f>
        <v>3</v>
      </c>
      <c r="AI810">
        <f>MONTH(vp.data[[#This Row],[SDate]])</f>
        <v>2</v>
      </c>
      <c r="AJ810" s="5">
        <f>(vp.data[[#This Row],[VP]]-INDEX(crudeBD.lkup[Mean_VP],MATCH(vp.data[[#This Row],[Crude_Breakdown]],crudeBD.lkup[Crude Breakdown],0)))^2</f>
        <v>0.74015643885191873</v>
      </c>
      <c r="AK810" s="5">
        <f>(vp.data[[#This Row],[Dens]]-INDEX(crudeBD.lkup[Mean_Dens],MATCH(vp.data[[#This Row],[Crude_Breakdown]],crudeBD.lkup[Crude Breakdown],0)))^2</f>
        <v>9.4864000000030533</v>
      </c>
      <c r="AL810" s="5">
        <f>(vp.data[[#This Row],[Sulf]]-INDEX(crudeBD.lkup[Mean_Sulf],MATCH(vp.data[[#This Row],[Crude_Breakdown]],crudeBD.lkup[Crude Breakdown],0)))^2</f>
        <v>9.2776209289761713E-2</v>
      </c>
      <c r="AM810" s="4">
        <f>IF(AND(vp.data[[#This Row],[SDate]]&gt;=DATE(YEAR(vp.data[[#This Row],[SDate]]),5,1),vp.data[[#This Row],[SDate]]&lt;=DATE(YEAR(vp.data[[#This Row],[SDate]]),9,15)),1,0)</f>
        <v>0</v>
      </c>
      <c r="AN810" s="4">
        <f>IF(vp.data[[#This Row],[SDate]]&lt;DATE(2016,12,1),0,1)</f>
        <v>1</v>
      </c>
      <c r="AO810" s="4">
        <f>IFERROR(vp.data[[#This Row],[Sulf]]*vp.data[[#This Row],[Net Dens]],"")</f>
        <v>3938191.7274699998</v>
      </c>
      <c r="AP810">
        <f>IFERROR(vp.data[[#This Row],[Dens]]*vp.data[[#This Row],[VolumeM3]],"")</f>
        <v>2330290.963</v>
      </c>
      <c r="AQ810" s="15">
        <f>IFERROR(vp.data[[#This Row],[VP]]*vp.data[[#This Row],[VolumeM3]],"")</f>
        <v>224225.1635</v>
      </c>
    </row>
    <row r="811" spans="1:43" x14ac:dyDescent="0.25">
      <c r="A811">
        <v>810</v>
      </c>
      <c r="B811" t="s">
        <v>68</v>
      </c>
      <c r="C811" t="s">
        <v>68</v>
      </c>
      <c r="D811" t="s">
        <v>98</v>
      </c>
      <c r="F811" s="1">
        <v>42782</v>
      </c>
      <c r="G811" s="2">
        <v>56.6</v>
      </c>
      <c r="H811" s="2"/>
      <c r="I811" s="2">
        <f t="array" ref="I811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811" s="2">
        <v>31.8</v>
      </c>
      <c r="K811" s="2">
        <v>5</v>
      </c>
      <c r="L811" s="2">
        <v>853.6</v>
      </c>
      <c r="M811" s="2">
        <f t="array" ref="M811">_xlfn.IFNA(IF(vp.data[[#This Row],[Dens Input]]="",INDEX([1]DATA!$O$3:$O$9826,MATCH(1,(vp.data[[#This Row],[Battery]]=[1]DATA!$L$3:$L$9826)*(EOMONTH(vp.data[[#This Row],[SDate]],-1)+1=[1]DATA!$G$3:$G$9826),0)),vp.data[[#This Row],[Dens Input]]),"")</f>
        <v>853.6</v>
      </c>
      <c r="N811" s="2">
        <f ca="1">INDEX(INDIRECT(_xlfn.CONCAT("weather.tbl[",N$1,"]")),MATCH(vp.data[[#This Row],[SDate]],weather.tbl[Date],0))</f>
        <v>2.8166666666666664</v>
      </c>
      <c r="O811" s="2">
        <f ca="1">INDEX(INDIRECT(_xlfn.CONCAT("weather.tbl[",O$1,"]")),MATCH(vp.data[[#This Row],[SDate]],weather.tbl[Date],0))</f>
        <v>-2.8642857142857143</v>
      </c>
      <c r="P811" s="2">
        <f ca="1">INDEX(INDIRECT(_xlfn.CONCAT("weather.tbl[",P$1,"]")),MATCH(vp.data[[#This Row],[SDate]],weather.tbl[Date],0))</f>
        <v>2.4</v>
      </c>
      <c r="Q811" s="2">
        <f ca="1">INDEX(INDIRECT(_xlfn.CONCAT("weather.tbl[",Q$1,"]")),MATCH(vp.data[[#This Row],[SDate]],weather.tbl[Date],0))</f>
        <v>3.2</v>
      </c>
      <c r="R811" s="2">
        <f ca="1">INDEX(INDIRECT(_xlfn.CONCAT("weather.tbl[",R$1,"]")),MATCH(vp.data[[#This Row],[SDate]],weather.tbl[Date],0))</f>
        <v>2.5</v>
      </c>
      <c r="S811" s="2">
        <f ca="1">INDEX(INDIRECT(_xlfn.CONCAT("weather.tbl[",S$1,"]")),MATCH(vp.data[[#This Row],[SDate]],weather.tbl[Date],0))</f>
        <v>4.9000000000000004</v>
      </c>
      <c r="T811" s="2">
        <f ca="1">INDEX(INDIRECT(_xlfn.CONCAT("weather.tbl[",T$1,"]")),MATCH(vp.data[[#This Row],[SDate]],weather.tbl[Date],0))</f>
        <v>0.4</v>
      </c>
      <c r="U811" s="2">
        <f ca="1">INDEX(INDIRECT(_xlfn.CONCAT("weather.tbl[",U$1,"]")),MATCH(vp.data[[#This Row],[SDate]],weather.tbl[Date],0))</f>
        <v>3.5</v>
      </c>
      <c r="V811" s="2">
        <f t="array" ref="V8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4577.7129999999997</v>
      </c>
      <c r="W811" t="s">
        <v>48</v>
      </c>
      <c r="X811">
        <f>IF(OR(vp.data[[#This Row],[Sulf]]="",vp.data[[#This Row],[Dens]]=""),1,0)</f>
        <v>0</v>
      </c>
      <c r="Y811">
        <f>IF(vp.data[[#This Row],[CrudeType]]="C5+",1,0)</f>
        <v>0</v>
      </c>
      <c r="Z811">
        <f>IF(AND(vp.data[[#This Row],[CrudeType]]="Crude",vp.data[[#This Row],[Dens]]&lt;=825,vp.data[[#This Row],[Sulf]]&gt;0.5,vp.data[[#This Row],[Unknown]]=0),1,0)</f>
        <v>0</v>
      </c>
      <c r="AA811">
        <f>IF(AND(vp.data[[#This Row],[CrudeType]]="Crude",vp.data[[#This Row],[Dens]]&lt;=825,vp.data[[#This Row],[Sulf]]&lt;=0.5,vp.data[[#This Row],[Unknown]]=0),1,0)</f>
        <v>0</v>
      </c>
      <c r="AB8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1">
        <f>IF(AND(vp.data[[#This Row],[CrudeType]]="Crude",vp.data[[#This Row],[Dens]]&gt;825,vp.data[[#This Row],[Dens]]&lt;=900,vp.data[[#This Row],[Sulf]]&lt;=0.5,vp.data[[#This Row],[Unknown]]=0),1,0)</f>
        <v>0</v>
      </c>
      <c r="AD811">
        <f>IF(AND(vp.data[[#This Row],[CrudeType]]="Crude",vp.data[[#This Row],[Dens]]&gt;865,vp.data[[#This Row],[Dens]]&lt;=900,vp.data[[#This Row],[Sulf]]&gt;2,vp.data[[#This Row],[Unknown]]=0),1,0)</f>
        <v>0</v>
      </c>
      <c r="AE811">
        <f>IF(AND(vp.data[[#This Row],[CrudeType]]="Crude",vp.data[[#This Row],[Dens]]&gt;900,vp.data[[#This Row],[Sulf]]&lt;=0.5,vp.data[[#This Row],[Unknown]]=0),1,0)</f>
        <v>0</v>
      </c>
      <c r="AF811">
        <f>IF(AND(vp.data[[#This Row],[CrudeType]]="Crude",vp.data[[#This Row],[Dens]]&gt;900,vp.data[[#This Row],[Sulf]]&lt;=0.5,vp.data[[#This Row],[Unknown]]=0),1,0)</f>
        <v>0</v>
      </c>
      <c r="AG811" t="str">
        <f>INDEX(vp.data[[#Headers],[Unknown]:[Heavy_SW]],MATCH(1,vp.data[[#This Row],[Unknown]:[Heavy_SW]],0))</f>
        <v>Medium_LSB</v>
      </c>
      <c r="AH811">
        <f>INDEX([3]!crudeBD.lkup[Number],MATCH(vp.data[[#This Row],[Crude_Breakdown]],crudeBD.lkup[Crude Breakdown],0))</f>
        <v>3</v>
      </c>
      <c r="AI811">
        <f>MONTH(vp.data[[#This Row],[SDate]])</f>
        <v>2</v>
      </c>
      <c r="AJ811" s="5">
        <f>(vp.data[[#This Row],[VP]]-INDEX(crudeBD.lkup[Mean_VP],MATCH(vp.data[[#This Row],[Crude_Breakdown]],crudeBD.lkup[Crude Breakdown],0)))^2</f>
        <v>577.90604862213672</v>
      </c>
      <c r="AK811" s="5">
        <f>(vp.data[[#This Row],[Dens]]-INDEX(crudeBD.lkup[Mean_Dens],MATCH(vp.data[[#This Row],[Crude_Breakdown]],crudeBD.lkup[Crude Breakdown],0)))^2</f>
        <v>93.70240000001003</v>
      </c>
      <c r="AL811" s="5">
        <f>(vp.data[[#This Row],[Sulf]]-INDEX(crudeBD.lkup[Mean_Sulf],MATCH(vp.data[[#This Row],[Crude_Breakdown]],crudeBD.lkup[Crude Breakdown],0)))^2</f>
        <v>3.0700605027008461E-3</v>
      </c>
      <c r="AM811" s="4">
        <f>IF(AND(vp.data[[#This Row],[SDate]]&gt;=DATE(YEAR(vp.data[[#This Row],[SDate]]),5,1),vp.data[[#This Row],[SDate]]&lt;=DATE(YEAR(vp.data[[#This Row],[SDate]]),9,15)),1,0)</f>
        <v>0</v>
      </c>
      <c r="AN811" s="4">
        <f>IF(vp.data[[#This Row],[SDate]]&lt;DATE(2016,12,1),0,1)</f>
        <v>1</v>
      </c>
      <c r="AO811" s="4">
        <f>IFERROR(vp.data[[#This Row],[Sulf]]*vp.data[[#This Row],[Net Dens]],"")</f>
        <v>5197022.6363439998</v>
      </c>
      <c r="AP811">
        <f>IFERROR(vp.data[[#This Row],[Dens]]*vp.data[[#This Row],[VolumeM3]],"")</f>
        <v>3907535.8167999997</v>
      </c>
      <c r="AQ811" s="15">
        <f>IFERROR(vp.data[[#This Row],[VP]]*vp.data[[#This Row],[VolumeM3]],"")</f>
        <v>259098.5558</v>
      </c>
    </row>
    <row r="812" spans="1:43" x14ac:dyDescent="0.25">
      <c r="A812">
        <v>811</v>
      </c>
      <c r="B812" t="s">
        <v>68</v>
      </c>
      <c r="C812" t="s">
        <v>68</v>
      </c>
      <c r="D812" t="s">
        <v>69</v>
      </c>
      <c r="F812" s="1">
        <v>42782</v>
      </c>
      <c r="G812" s="2">
        <v>75</v>
      </c>
      <c r="H812" s="2"/>
      <c r="I812" s="2">
        <f t="array" ref="I812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812" s="2">
        <v>16.3</v>
      </c>
      <c r="K812" s="2">
        <v>5</v>
      </c>
      <c r="L812" s="2">
        <v>861.4</v>
      </c>
      <c r="M812" s="2">
        <f t="array" ref="M812">_xlfn.IFNA(IF(vp.data[[#This Row],[Dens Input]]="",INDEX([1]DATA!$O$3:$O$9826,MATCH(1,(vp.data[[#This Row],[Battery]]=[1]DATA!$L$3:$L$9826)*(EOMONTH(vp.data[[#This Row],[SDate]],-1)+1=[1]DATA!$G$3:$G$9826),0)),vp.data[[#This Row],[Dens Input]]),"")</f>
        <v>861.4</v>
      </c>
      <c r="N812" s="2">
        <f ca="1">INDEX(INDIRECT(_xlfn.CONCAT("weather.tbl[",N$1,"]")),MATCH(vp.data[[#This Row],[SDate]],weather.tbl[Date],0))</f>
        <v>2.8166666666666664</v>
      </c>
      <c r="O812" s="2">
        <f ca="1">INDEX(INDIRECT(_xlfn.CONCAT("weather.tbl[",O$1,"]")),MATCH(vp.data[[#This Row],[SDate]],weather.tbl[Date],0))</f>
        <v>-2.8642857142857143</v>
      </c>
      <c r="P812" s="2">
        <f ca="1">INDEX(INDIRECT(_xlfn.CONCAT("weather.tbl[",P$1,"]")),MATCH(vp.data[[#This Row],[SDate]],weather.tbl[Date],0))</f>
        <v>2.4</v>
      </c>
      <c r="Q812" s="2">
        <f ca="1">INDEX(INDIRECT(_xlfn.CONCAT("weather.tbl[",Q$1,"]")),MATCH(vp.data[[#This Row],[SDate]],weather.tbl[Date],0))</f>
        <v>3.2</v>
      </c>
      <c r="R812" s="2">
        <f ca="1">INDEX(INDIRECT(_xlfn.CONCAT("weather.tbl[",R$1,"]")),MATCH(vp.data[[#This Row],[SDate]],weather.tbl[Date],0))</f>
        <v>2.5</v>
      </c>
      <c r="S812" s="2">
        <f ca="1">INDEX(INDIRECT(_xlfn.CONCAT("weather.tbl[",S$1,"]")),MATCH(vp.data[[#This Row],[SDate]],weather.tbl[Date],0))</f>
        <v>4.9000000000000004</v>
      </c>
      <c r="T812" s="2">
        <f ca="1">INDEX(INDIRECT(_xlfn.CONCAT("weather.tbl[",T$1,"]")),MATCH(vp.data[[#This Row],[SDate]],weather.tbl[Date],0))</f>
        <v>0.4</v>
      </c>
      <c r="U812" s="2">
        <f ca="1">INDEX(INDIRECT(_xlfn.CONCAT("weather.tbl[",U$1,"]")),MATCH(vp.data[[#This Row],[SDate]],weather.tbl[Date],0))</f>
        <v>3.5</v>
      </c>
      <c r="V812" s="2">
        <f t="array" ref="V8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1332.451</v>
      </c>
      <c r="W812" t="s">
        <v>48</v>
      </c>
      <c r="X812">
        <f>IF(OR(vp.data[[#This Row],[Sulf]]="",vp.data[[#This Row],[Dens]]=""),1,0)</f>
        <v>0</v>
      </c>
      <c r="Y812">
        <f>IF(vp.data[[#This Row],[CrudeType]]="C5+",1,0)</f>
        <v>0</v>
      </c>
      <c r="Z812">
        <f>IF(AND(vp.data[[#This Row],[CrudeType]]="Crude",vp.data[[#This Row],[Dens]]&lt;=825,vp.data[[#This Row],[Sulf]]&gt;0.5,vp.data[[#This Row],[Unknown]]=0),1,0)</f>
        <v>0</v>
      </c>
      <c r="AA812">
        <f>IF(AND(vp.data[[#This Row],[CrudeType]]="Crude",vp.data[[#This Row],[Dens]]&lt;=825,vp.data[[#This Row],[Sulf]]&lt;=0.5,vp.data[[#This Row],[Unknown]]=0),1,0)</f>
        <v>0</v>
      </c>
      <c r="AB8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2">
        <f>IF(AND(vp.data[[#This Row],[CrudeType]]="Crude",vp.data[[#This Row],[Dens]]&gt;825,vp.data[[#This Row],[Dens]]&lt;=900,vp.data[[#This Row],[Sulf]]&lt;=0.5,vp.data[[#This Row],[Unknown]]=0),1,0)</f>
        <v>0</v>
      </c>
      <c r="AD812">
        <f>IF(AND(vp.data[[#This Row],[CrudeType]]="Crude",vp.data[[#This Row],[Dens]]&gt;865,vp.data[[#This Row],[Dens]]&lt;=900,vp.data[[#This Row],[Sulf]]&gt;2,vp.data[[#This Row],[Unknown]]=0),1,0)</f>
        <v>0</v>
      </c>
      <c r="AE812">
        <f>IF(AND(vp.data[[#This Row],[CrudeType]]="Crude",vp.data[[#This Row],[Dens]]&gt;900,vp.data[[#This Row],[Sulf]]&lt;=0.5,vp.data[[#This Row],[Unknown]]=0),1,0)</f>
        <v>0</v>
      </c>
      <c r="AF812">
        <f>IF(AND(vp.data[[#This Row],[CrudeType]]="Crude",vp.data[[#This Row],[Dens]]&gt;900,vp.data[[#This Row],[Sulf]]&lt;=0.5,vp.data[[#This Row],[Unknown]]=0),1,0)</f>
        <v>0</v>
      </c>
      <c r="AG812" t="str">
        <f>INDEX(vp.data[[#Headers],[Unknown]:[Heavy_SW]],MATCH(1,vp.data[[#This Row],[Unknown]:[Heavy_SW]],0))</f>
        <v>Medium_LSB</v>
      </c>
      <c r="AH812">
        <f>INDEX([3]!crudeBD.lkup[Number],MATCH(vp.data[[#This Row],[Crude_Breakdown]],crudeBD.lkup[Crude Breakdown],0))</f>
        <v>3</v>
      </c>
      <c r="AI812">
        <f>MONTH(vp.data[[#This Row],[SDate]])</f>
        <v>2</v>
      </c>
      <c r="AJ812" s="5">
        <f>(vp.data[[#This Row],[VP]]-INDEX(crudeBD.lkup[Mean_VP],MATCH(vp.data[[#This Row],[Crude_Breakdown]],crudeBD.lkup[Crude Breakdown],0)))^2</f>
        <v>31.805951587098967</v>
      </c>
      <c r="AK812" s="5">
        <f>(vp.data[[#This Row],[Dens]]-INDEX(crudeBD.lkup[Mean_Dens],MATCH(vp.data[[#This Row],[Crude_Breakdown]],crudeBD.lkup[Crude Breakdown],0)))^2</f>
        <v>305.55040000001651</v>
      </c>
      <c r="AL812" s="5">
        <f>(vp.data[[#This Row],[Sulf]]-INDEX(crudeBD.lkup[Mean_Sulf],MATCH(vp.data[[#This Row],[Crude_Breakdown]],crudeBD.lkup[Crude Breakdown],0)))^2</f>
        <v>0.12573539662129798</v>
      </c>
      <c r="AM812" s="4">
        <f>IF(AND(vp.data[[#This Row],[SDate]]&gt;=DATE(YEAR(vp.data[[#This Row],[SDate]]),5,1),vp.data[[#This Row],[SDate]]&lt;=DATE(YEAR(vp.data[[#This Row],[SDate]]),9,15)),1,0)</f>
        <v>0</v>
      </c>
      <c r="AN812" s="4">
        <f>IF(vp.data[[#This Row],[SDate]]&lt;DATE(2016,12,1),0,1)</f>
        <v>1</v>
      </c>
      <c r="AO812" s="4">
        <f>IFERROR(vp.data[[#This Row],[Sulf]]*vp.data[[#This Row],[Net Dens]],"")</f>
        <v>1997125.527036</v>
      </c>
      <c r="AP812">
        <f>IFERROR(vp.data[[#This Row],[Dens]]*vp.data[[#This Row],[VolumeM3]],"")</f>
        <v>1147773.2914</v>
      </c>
      <c r="AQ812" s="15">
        <f>IFERROR(vp.data[[#This Row],[VP]]*vp.data[[#This Row],[VolumeM3]],"")</f>
        <v>99933.824999999997</v>
      </c>
    </row>
    <row r="813" spans="1:43" x14ac:dyDescent="0.25">
      <c r="A813">
        <v>812</v>
      </c>
      <c r="B813" t="s">
        <v>60</v>
      </c>
      <c r="C813" t="s">
        <v>60</v>
      </c>
      <c r="D813" t="s">
        <v>61</v>
      </c>
      <c r="E813" t="s">
        <v>73</v>
      </c>
      <c r="F813" s="1">
        <v>42782</v>
      </c>
      <c r="G813" s="2">
        <v>73.900000000000006</v>
      </c>
      <c r="H813" s="2">
        <v>1.089</v>
      </c>
      <c r="I813" s="2">
        <f t="array" ref="I813">_xlfn.IFNA(IF(vp.data[[#This Row],[Sulf Input]]="",INDEX([1]DATA!$Q$3:$Q$9826,MATCH(1,(vp.data[[#This Row],[Battery]]=[1]DATA!$L$3:$L$9826)*(EOMONTH(vp.data[[#This Row],[SDate]],-1)+1=[1]DATA!$G$3:$G$9826),0)),vp.data[[#This Row],[Sulf Input]]),"")</f>
        <v>1.089</v>
      </c>
      <c r="J813" s="2">
        <v>7.5</v>
      </c>
      <c r="K813" s="2">
        <v>5</v>
      </c>
      <c r="L813" s="2">
        <v>840.3</v>
      </c>
      <c r="M813" s="2">
        <f t="array" ref="M813">_xlfn.IFNA(IF(vp.data[[#This Row],[Dens Input]]="",INDEX([1]DATA!$O$3:$O$9826,MATCH(1,(vp.data[[#This Row],[Battery]]=[1]DATA!$L$3:$L$9826)*(EOMONTH(vp.data[[#This Row],[SDate]],-1)+1=[1]DATA!$G$3:$G$9826),0)),vp.data[[#This Row],[Dens Input]]),"")</f>
        <v>840.3</v>
      </c>
      <c r="N813" s="2">
        <f ca="1">INDEX(INDIRECT(_xlfn.CONCAT("weather.tbl[",N$1,"]")),MATCH(vp.data[[#This Row],[SDate]],weather.tbl[Date],0))</f>
        <v>2.8166666666666664</v>
      </c>
      <c r="O813" s="2">
        <f ca="1">INDEX(INDIRECT(_xlfn.CONCAT("weather.tbl[",O$1,"]")),MATCH(vp.data[[#This Row],[SDate]],weather.tbl[Date],0))</f>
        <v>-2.8642857142857143</v>
      </c>
      <c r="P813" s="2">
        <f ca="1">INDEX(INDIRECT(_xlfn.CONCAT("weather.tbl[",P$1,"]")),MATCH(vp.data[[#This Row],[SDate]],weather.tbl[Date],0))</f>
        <v>2.4</v>
      </c>
      <c r="Q813" s="2">
        <f ca="1">INDEX(INDIRECT(_xlfn.CONCAT("weather.tbl[",Q$1,"]")),MATCH(vp.data[[#This Row],[SDate]],weather.tbl[Date],0))</f>
        <v>3.2</v>
      </c>
      <c r="R813" s="2">
        <f ca="1">INDEX(INDIRECT(_xlfn.CONCAT("weather.tbl[",R$1,"]")),MATCH(vp.data[[#This Row],[SDate]],weather.tbl[Date],0))</f>
        <v>2.5</v>
      </c>
      <c r="S813" s="2">
        <f ca="1">INDEX(INDIRECT(_xlfn.CONCAT("weather.tbl[",S$1,"]")),MATCH(vp.data[[#This Row],[SDate]],weather.tbl[Date],0))</f>
        <v>4.9000000000000004</v>
      </c>
      <c r="T813" s="2">
        <f ca="1">INDEX(INDIRECT(_xlfn.CONCAT("weather.tbl[",T$1,"]")),MATCH(vp.data[[#This Row],[SDate]],weather.tbl[Date],0))</f>
        <v>0.4</v>
      </c>
      <c r="U813" s="2">
        <f ca="1">INDEX(INDIRECT(_xlfn.CONCAT("weather.tbl[",U$1,"]")),MATCH(vp.data[[#This Row],[SDate]],weather.tbl[Date],0))</f>
        <v>3.5</v>
      </c>
      <c r="V813" s="2">
        <f t="array" ref="V8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13" t="s">
        <v>48</v>
      </c>
      <c r="X813">
        <f>IF(OR(vp.data[[#This Row],[Sulf]]="",vp.data[[#This Row],[Dens]]=""),1,0)</f>
        <v>0</v>
      </c>
      <c r="Y813">
        <f>IF(vp.data[[#This Row],[CrudeType]]="C5+",1,0)</f>
        <v>0</v>
      </c>
      <c r="Z813">
        <f>IF(AND(vp.data[[#This Row],[CrudeType]]="Crude",vp.data[[#This Row],[Dens]]&lt;=825,vp.data[[#This Row],[Sulf]]&gt;0.5,vp.data[[#This Row],[Unknown]]=0),1,0)</f>
        <v>0</v>
      </c>
      <c r="AA813">
        <f>IF(AND(vp.data[[#This Row],[CrudeType]]="Crude",vp.data[[#This Row],[Dens]]&lt;=825,vp.data[[#This Row],[Sulf]]&lt;=0.5,vp.data[[#This Row],[Unknown]]=0),1,0)</f>
        <v>0</v>
      </c>
      <c r="AB8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3">
        <f>IF(AND(vp.data[[#This Row],[CrudeType]]="Crude",vp.data[[#This Row],[Dens]]&gt;825,vp.data[[#This Row],[Dens]]&lt;=900,vp.data[[#This Row],[Sulf]]&lt;=0.5,vp.data[[#This Row],[Unknown]]=0),1,0)</f>
        <v>0</v>
      </c>
      <c r="AD813">
        <f>IF(AND(vp.data[[#This Row],[CrudeType]]="Crude",vp.data[[#This Row],[Dens]]&gt;865,vp.data[[#This Row],[Dens]]&lt;=900,vp.data[[#This Row],[Sulf]]&gt;2,vp.data[[#This Row],[Unknown]]=0),1,0)</f>
        <v>0</v>
      </c>
      <c r="AE813">
        <f>IF(AND(vp.data[[#This Row],[CrudeType]]="Crude",vp.data[[#This Row],[Dens]]&gt;900,vp.data[[#This Row],[Sulf]]&lt;=0.5,vp.data[[#This Row],[Unknown]]=0),1,0)</f>
        <v>0</v>
      </c>
      <c r="AF813">
        <f>IF(AND(vp.data[[#This Row],[CrudeType]]="Crude",vp.data[[#This Row],[Dens]]&gt;900,vp.data[[#This Row],[Sulf]]&lt;=0.5,vp.data[[#This Row],[Unknown]]=0),1,0)</f>
        <v>0</v>
      </c>
      <c r="AG813" t="str">
        <f>INDEX(vp.data[[#Headers],[Unknown]:[Heavy_SW]],MATCH(1,vp.data[[#This Row],[Unknown]:[Heavy_SW]],0))</f>
        <v>Medium_LSB</v>
      </c>
      <c r="AH813">
        <f>INDEX([3]!crudeBD.lkup[Number],MATCH(vp.data[[#This Row],[Crude_Breakdown]],crudeBD.lkup[Crude Breakdown],0))</f>
        <v>3</v>
      </c>
      <c r="AI813">
        <f>MONTH(vp.data[[#This Row],[SDate]])</f>
        <v>2</v>
      </c>
      <c r="AJ813" s="5">
        <f>(vp.data[[#This Row],[VP]]-INDEX(crudeBD.lkup[Mean_VP],MATCH(vp.data[[#This Row],[Crude_Breakdown]],crudeBD.lkup[Crude Breakdown],0)))^2</f>
        <v>45.423239996802238</v>
      </c>
      <c r="AK813" s="5">
        <f>(vp.data[[#This Row],[Dens]]-INDEX(crudeBD.lkup[Mean_Dens],MATCH(vp.data[[#This Row],[Crude_Breakdown]],crudeBD.lkup[Crude Breakdown],0)))^2</f>
        <v>13.10439999999674</v>
      </c>
      <c r="AL813" s="5">
        <f>(vp.data[[#This Row],[Sulf]]-INDEX(crudeBD.lkup[Mean_Sulf],MATCH(vp.data[[#This Row],[Crude_Breakdown]],crudeBD.lkup[Crude Breakdown],0)))^2</f>
        <v>8.7857777564696218E-2</v>
      </c>
      <c r="AM813" s="4">
        <f>IF(AND(vp.data[[#This Row],[SDate]]&gt;=DATE(YEAR(vp.data[[#This Row],[SDate]]),5,1),vp.data[[#This Row],[SDate]]&lt;=DATE(YEAR(vp.data[[#This Row],[SDate]]),9,15)),1,0)</f>
        <v>0</v>
      </c>
      <c r="AN813" s="4">
        <f>IF(vp.data[[#This Row],[SDate]]&lt;DATE(2016,12,1),0,1)</f>
        <v>1</v>
      </c>
      <c r="AO813" s="4">
        <f>IFERROR(vp.data[[#This Row],[Sulf]]*vp.data[[#This Row],[Net Dens]],"")</f>
        <v>88307651.884151697</v>
      </c>
      <c r="AP813">
        <f>IFERROR(vp.data[[#This Row],[Dens]]*vp.data[[#This Row],[VolumeM3]],"")</f>
        <v>81090589.425300002</v>
      </c>
      <c r="AQ813" s="15">
        <f>IFERROR(vp.data[[#This Row],[VP]]*vp.data[[#This Row],[VolumeM3]],"")</f>
        <v>7131494.1789000006</v>
      </c>
    </row>
    <row r="814" spans="1:43" x14ac:dyDescent="0.25">
      <c r="A814">
        <v>813</v>
      </c>
      <c r="B814" t="s">
        <v>60</v>
      </c>
      <c r="C814" t="s">
        <v>60</v>
      </c>
      <c r="D814" t="s">
        <v>61</v>
      </c>
      <c r="E814" t="s">
        <v>55</v>
      </c>
      <c r="F814" s="1">
        <v>42782</v>
      </c>
      <c r="G814" s="2">
        <v>96.1</v>
      </c>
      <c r="H814" s="2">
        <v>1.179</v>
      </c>
      <c r="I814" s="2">
        <f t="array" ref="I814">_xlfn.IFNA(IF(vp.data[[#This Row],[Sulf Input]]="",INDEX([1]DATA!$Q$3:$Q$9826,MATCH(1,(vp.data[[#This Row],[Battery]]=[1]DATA!$L$3:$L$9826)*(EOMONTH(vp.data[[#This Row],[SDate]],-1)+1=[1]DATA!$G$3:$G$9826),0)),vp.data[[#This Row],[Sulf Input]]),"")</f>
        <v>1.179</v>
      </c>
      <c r="J814" s="2">
        <v>6.2</v>
      </c>
      <c r="K814" s="2">
        <v>5</v>
      </c>
      <c r="L814" s="2">
        <v>837</v>
      </c>
      <c r="M814" s="2">
        <f t="array" ref="M814">_xlfn.IFNA(IF(vp.data[[#This Row],[Dens Input]]="",INDEX([1]DATA!$O$3:$O$9826,MATCH(1,(vp.data[[#This Row],[Battery]]=[1]DATA!$L$3:$L$9826)*(EOMONTH(vp.data[[#This Row],[SDate]],-1)+1=[1]DATA!$G$3:$G$9826),0)),vp.data[[#This Row],[Dens Input]]),"")</f>
        <v>837</v>
      </c>
      <c r="N814" s="2">
        <f ca="1">INDEX(INDIRECT(_xlfn.CONCAT("weather.tbl[",N$1,"]")),MATCH(vp.data[[#This Row],[SDate]],weather.tbl[Date],0))</f>
        <v>2.8166666666666664</v>
      </c>
      <c r="O814" s="2">
        <f ca="1">INDEX(INDIRECT(_xlfn.CONCAT("weather.tbl[",O$1,"]")),MATCH(vp.data[[#This Row],[SDate]],weather.tbl[Date],0))</f>
        <v>-2.8642857142857143</v>
      </c>
      <c r="P814" s="2">
        <f ca="1">INDEX(INDIRECT(_xlfn.CONCAT("weather.tbl[",P$1,"]")),MATCH(vp.data[[#This Row],[SDate]],weather.tbl[Date],0))</f>
        <v>2.4</v>
      </c>
      <c r="Q814" s="2">
        <f ca="1">INDEX(INDIRECT(_xlfn.CONCAT("weather.tbl[",Q$1,"]")),MATCH(vp.data[[#This Row],[SDate]],weather.tbl[Date],0))</f>
        <v>3.2</v>
      </c>
      <c r="R814" s="2">
        <f ca="1">INDEX(INDIRECT(_xlfn.CONCAT("weather.tbl[",R$1,"]")),MATCH(vp.data[[#This Row],[SDate]],weather.tbl[Date],0))</f>
        <v>2.5</v>
      </c>
      <c r="S814" s="2">
        <f ca="1">INDEX(INDIRECT(_xlfn.CONCAT("weather.tbl[",S$1,"]")),MATCH(vp.data[[#This Row],[SDate]],weather.tbl[Date],0))</f>
        <v>4.9000000000000004</v>
      </c>
      <c r="T814" s="2">
        <f ca="1">INDEX(INDIRECT(_xlfn.CONCAT("weather.tbl[",T$1,"]")),MATCH(vp.data[[#This Row],[SDate]],weather.tbl[Date],0))</f>
        <v>0.4</v>
      </c>
      <c r="U814" s="2">
        <f ca="1">INDEX(INDIRECT(_xlfn.CONCAT("weather.tbl[",U$1,"]")),MATCH(vp.data[[#This Row],[SDate]],weather.tbl[Date],0))</f>
        <v>3.5</v>
      </c>
      <c r="V814" s="2">
        <f t="array" ref="V8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14" t="s">
        <v>48</v>
      </c>
      <c r="X814">
        <f>IF(OR(vp.data[[#This Row],[Sulf]]="",vp.data[[#This Row],[Dens]]=""),1,0)</f>
        <v>0</v>
      </c>
      <c r="Y814">
        <f>IF(vp.data[[#This Row],[CrudeType]]="C5+",1,0)</f>
        <v>0</v>
      </c>
      <c r="Z814">
        <f>IF(AND(vp.data[[#This Row],[CrudeType]]="Crude",vp.data[[#This Row],[Dens]]&lt;=825,vp.data[[#This Row],[Sulf]]&gt;0.5,vp.data[[#This Row],[Unknown]]=0),1,0)</f>
        <v>0</v>
      </c>
      <c r="AA814">
        <f>IF(AND(vp.data[[#This Row],[CrudeType]]="Crude",vp.data[[#This Row],[Dens]]&lt;=825,vp.data[[#This Row],[Sulf]]&lt;=0.5,vp.data[[#This Row],[Unknown]]=0),1,0)</f>
        <v>0</v>
      </c>
      <c r="AB8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4">
        <f>IF(AND(vp.data[[#This Row],[CrudeType]]="Crude",vp.data[[#This Row],[Dens]]&gt;825,vp.data[[#This Row],[Dens]]&lt;=900,vp.data[[#This Row],[Sulf]]&lt;=0.5,vp.data[[#This Row],[Unknown]]=0),1,0)</f>
        <v>0</v>
      </c>
      <c r="AD814">
        <f>IF(AND(vp.data[[#This Row],[CrudeType]]="Crude",vp.data[[#This Row],[Dens]]&gt;865,vp.data[[#This Row],[Dens]]&lt;=900,vp.data[[#This Row],[Sulf]]&gt;2,vp.data[[#This Row],[Unknown]]=0),1,0)</f>
        <v>0</v>
      </c>
      <c r="AE814">
        <f>IF(AND(vp.data[[#This Row],[CrudeType]]="Crude",vp.data[[#This Row],[Dens]]&gt;900,vp.data[[#This Row],[Sulf]]&lt;=0.5,vp.data[[#This Row],[Unknown]]=0),1,0)</f>
        <v>0</v>
      </c>
      <c r="AF814">
        <f>IF(AND(vp.data[[#This Row],[CrudeType]]="Crude",vp.data[[#This Row],[Dens]]&gt;900,vp.data[[#This Row],[Sulf]]&lt;=0.5,vp.data[[#This Row],[Unknown]]=0),1,0)</f>
        <v>0</v>
      </c>
      <c r="AG814" t="str">
        <f>INDEX(vp.data[[#Headers],[Unknown]:[Heavy_SW]],MATCH(1,vp.data[[#This Row],[Unknown]:[Heavy_SW]],0))</f>
        <v>Medium_LSB</v>
      </c>
      <c r="AH814">
        <f>INDEX([3]!crudeBD.lkup[Number],MATCH(vp.data[[#This Row],[Crude_Breakdown]],crudeBD.lkup[Crude Breakdown],0))</f>
        <v>3</v>
      </c>
      <c r="AI814">
        <f>MONTH(vp.data[[#This Row],[SDate]])</f>
        <v>2</v>
      </c>
      <c r="AJ814" s="5">
        <f>(vp.data[[#This Row],[VP]]-INDEX(crudeBD.lkup[Mean_VP],MATCH(vp.data[[#This Row],[Crude_Breakdown]],crudeBD.lkup[Crude Breakdown],0)))^2</f>
        <v>239.02160118278914</v>
      </c>
      <c r="AK814" s="5">
        <f>(vp.data[[#This Row],[Dens]]-INDEX(crudeBD.lkup[Mean_Dens],MATCH(vp.data[[#This Row],[Crude_Breakdown]],crudeBD.lkup[Crude Breakdown],0)))^2</f>
        <v>47.886399999993138</v>
      </c>
      <c r="AL814" s="5">
        <f>(vp.data[[#This Row],[Sulf]]-INDEX(crudeBD.lkup[Mean_Sulf],MATCH(vp.data[[#This Row],[Crude_Breakdown]],crudeBD.lkup[Crude Breakdown],0)))^2</f>
        <v>4.2604314761461405E-2</v>
      </c>
      <c r="AM814" s="4">
        <f>IF(AND(vp.data[[#This Row],[SDate]]&gt;=DATE(YEAR(vp.data[[#This Row],[SDate]]),5,1),vp.data[[#This Row],[SDate]]&lt;=DATE(YEAR(vp.data[[#This Row],[SDate]]),9,15)),1,0)</f>
        <v>0</v>
      </c>
      <c r="AN814" s="4">
        <f>IF(vp.data[[#This Row],[SDate]]&lt;DATE(2016,12,1),0,1)</f>
        <v>1</v>
      </c>
      <c r="AO814" s="4">
        <f>IFERROR(vp.data[[#This Row],[Sulf]]*vp.data[[#This Row],[Net Dens]],"")</f>
        <v>95230344.791673005</v>
      </c>
      <c r="AP814">
        <f>IFERROR(vp.data[[#This Row],[Dens]]*vp.data[[#This Row],[VolumeM3]],"")</f>
        <v>80772132.987000003</v>
      </c>
      <c r="AQ814" s="15">
        <f>IFERROR(vp.data[[#This Row],[VP]]*vp.data[[#This Row],[VolumeM3]],"")</f>
        <v>9273837.4911000002</v>
      </c>
    </row>
    <row r="815" spans="1:43" x14ac:dyDescent="0.25">
      <c r="A815">
        <v>814</v>
      </c>
      <c r="B815" t="s">
        <v>49</v>
      </c>
      <c r="C815" t="s">
        <v>49</v>
      </c>
      <c r="D815" t="s">
        <v>163</v>
      </c>
      <c r="F815" s="1">
        <v>42784</v>
      </c>
      <c r="G815" s="2">
        <v>55.7</v>
      </c>
      <c r="H815" s="2">
        <v>0.41599999999999998</v>
      </c>
      <c r="I815" s="2">
        <f t="array" ref="I815">_xlfn.IFNA(IF(vp.data[[#This Row],[Sulf Input]]="",INDEX([1]DATA!$Q$3:$Q$9826,MATCH(1,(vp.data[[#This Row],[Battery]]=[1]DATA!$L$3:$L$9826)*(EOMONTH(vp.data[[#This Row],[SDate]],-1)+1=[1]DATA!$G$3:$G$9826),0)),vp.data[[#This Row],[Sulf Input]]),"")</f>
        <v>0.41599999999999998</v>
      </c>
      <c r="J815" s="2">
        <v>21.2</v>
      </c>
      <c r="K815" s="2">
        <v>2</v>
      </c>
      <c r="L815" s="2">
        <v>818.9</v>
      </c>
      <c r="M815" s="2">
        <f t="array" ref="M815">_xlfn.IFNA(IF(vp.data[[#This Row],[Dens Input]]="",INDEX([1]DATA!$O$3:$O$9826,MATCH(1,(vp.data[[#This Row],[Battery]]=[1]DATA!$L$3:$L$9826)*(EOMONTH(vp.data[[#This Row],[SDate]],-1)+1=[1]DATA!$G$3:$G$9826),0)),vp.data[[#This Row],[Dens Input]]),"")</f>
        <v>818.9</v>
      </c>
      <c r="N815" s="2">
        <f ca="1">INDEX(INDIRECT(_xlfn.CONCAT("weather.tbl[",N$1,"]")),MATCH(vp.data[[#This Row],[SDate]],weather.tbl[Date],0))</f>
        <v>-0.54999999999999993</v>
      </c>
      <c r="O815" s="2">
        <f ca="1">INDEX(INDIRECT(_xlfn.CONCAT("weather.tbl[",O$1,"]")),MATCH(vp.data[[#This Row],[SDate]],weather.tbl[Date],0))</f>
        <v>-1.0261904761904761</v>
      </c>
      <c r="P815" s="2">
        <f ca="1">INDEX(INDIRECT(_xlfn.CONCAT("weather.tbl[",P$1,"]")),MATCH(vp.data[[#This Row],[SDate]],weather.tbl[Date],0))</f>
        <v>-1.9</v>
      </c>
      <c r="Q815" s="2">
        <f ca="1">INDEX(INDIRECT(_xlfn.CONCAT("weather.tbl[",Q$1,"]")),MATCH(vp.data[[#This Row],[SDate]],weather.tbl[Date],0))</f>
        <v>-1.6</v>
      </c>
      <c r="R815" s="2">
        <f ca="1">INDEX(INDIRECT(_xlfn.CONCAT("weather.tbl[",R$1,"]")),MATCH(vp.data[[#This Row],[SDate]],weather.tbl[Date],0))</f>
        <v>-1</v>
      </c>
      <c r="S815" s="2">
        <f ca="1">INDEX(INDIRECT(_xlfn.CONCAT("weather.tbl[",S$1,"]")),MATCH(vp.data[[#This Row],[SDate]],weather.tbl[Date],0))</f>
        <v>-0.6</v>
      </c>
      <c r="T815" s="2">
        <f ca="1">INDEX(INDIRECT(_xlfn.CONCAT("weather.tbl[",T$1,"]")),MATCH(vp.data[[#This Row],[SDate]],weather.tbl[Date],0))</f>
        <v>-0.2</v>
      </c>
      <c r="U815" s="2">
        <f ca="1">INDEX(INDIRECT(_xlfn.CONCAT("weather.tbl[",U$1,"]")),MATCH(vp.data[[#This Row],[SDate]],weather.tbl[Date],0))</f>
        <v>2</v>
      </c>
      <c r="V815" s="2">
        <f t="array" ref="V8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2535.1390000000001</v>
      </c>
      <c r="W815" t="s">
        <v>48</v>
      </c>
      <c r="X815">
        <f>IF(OR(vp.data[[#This Row],[Sulf]]="",vp.data[[#This Row],[Dens]]=""),1,0)</f>
        <v>0</v>
      </c>
      <c r="Y815">
        <f>IF(vp.data[[#This Row],[CrudeType]]="C5+",1,0)</f>
        <v>0</v>
      </c>
      <c r="Z815">
        <f>IF(AND(vp.data[[#This Row],[CrudeType]]="Crude",vp.data[[#This Row],[Dens]]&lt;=825,vp.data[[#This Row],[Sulf]]&gt;0.5,vp.data[[#This Row],[Unknown]]=0),1,0)</f>
        <v>0</v>
      </c>
      <c r="AA815">
        <f>IF(AND(vp.data[[#This Row],[CrudeType]]="Crude",vp.data[[#This Row],[Dens]]&lt;=825,vp.data[[#This Row],[Sulf]]&lt;=0.5,vp.data[[#This Row],[Unknown]]=0),1,0)</f>
        <v>1</v>
      </c>
      <c r="AB8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15">
        <f>IF(AND(vp.data[[#This Row],[CrudeType]]="Crude",vp.data[[#This Row],[Dens]]&gt;825,vp.data[[#This Row],[Dens]]&lt;=900,vp.data[[#This Row],[Sulf]]&lt;=0.5,vp.data[[#This Row],[Unknown]]=0),1,0)</f>
        <v>0</v>
      </c>
      <c r="AD815">
        <f>IF(AND(vp.data[[#This Row],[CrudeType]]="Crude",vp.data[[#This Row],[Dens]]&gt;865,vp.data[[#This Row],[Dens]]&lt;=900,vp.data[[#This Row],[Sulf]]&gt;2,vp.data[[#This Row],[Unknown]]=0),1,0)</f>
        <v>0</v>
      </c>
      <c r="AE815">
        <f>IF(AND(vp.data[[#This Row],[CrudeType]]="Crude",vp.data[[#This Row],[Dens]]&gt;900,vp.data[[#This Row],[Sulf]]&lt;=0.5,vp.data[[#This Row],[Unknown]]=0),1,0)</f>
        <v>0</v>
      </c>
      <c r="AF815">
        <f>IF(AND(vp.data[[#This Row],[CrudeType]]="Crude",vp.data[[#This Row],[Dens]]&gt;900,vp.data[[#This Row],[Sulf]]&lt;=0.5,vp.data[[#This Row],[Unknown]]=0),1,0)</f>
        <v>0</v>
      </c>
      <c r="AG815" t="str">
        <f>INDEX(vp.data[[#Headers],[Unknown]:[Heavy_SW]],MATCH(1,vp.data[[#This Row],[Unknown]:[Heavy_SW]],0))</f>
        <v>Light_SW</v>
      </c>
      <c r="AH815">
        <f>INDEX([3]!crudeBD.lkup[Number],MATCH(vp.data[[#This Row],[Crude_Breakdown]],crudeBD.lkup[Crude Breakdown],0))</f>
        <v>2</v>
      </c>
      <c r="AI815">
        <f>MONTH(vp.data[[#This Row],[SDate]])</f>
        <v>2</v>
      </c>
      <c r="AJ815" s="5">
        <f>(vp.data[[#This Row],[VP]]-INDEX(crudeBD.lkup[Mean_VP],MATCH(vp.data[[#This Row],[Crude_Breakdown]],crudeBD.lkup[Crude Breakdown],0)))^2</f>
        <v>1357.9456115965934</v>
      </c>
      <c r="AK815" s="5">
        <f>(vp.data[[#This Row],[Dens]]-INDEX(crudeBD.lkup[Mean_Dens],MATCH(vp.data[[#This Row],[Crude_Breakdown]],crudeBD.lkup[Crude Breakdown],0)))^2</f>
        <v>112.1163691437354</v>
      </c>
      <c r="AL815" s="5">
        <f>(vp.data[[#This Row],[Sulf]]-INDEX(crudeBD.lkup[Mean_Sulf],MATCH(vp.data[[#This Row],[Crude_Breakdown]],crudeBD.lkup[Crude Breakdown],0)))^2</f>
        <v>3.2313006208160883E-2</v>
      </c>
      <c r="AM815" s="4">
        <f>IF(AND(vp.data[[#This Row],[SDate]]&gt;=DATE(YEAR(vp.data[[#This Row],[SDate]]),5,1),vp.data[[#This Row],[SDate]]&lt;=DATE(YEAR(vp.data[[#This Row],[SDate]]),9,15)),1,0)</f>
        <v>0</v>
      </c>
      <c r="AN815" s="4">
        <f>IF(vp.data[[#This Row],[SDate]]&lt;DATE(2016,12,1),0,1)</f>
        <v>1</v>
      </c>
      <c r="AO815" s="4">
        <f>IFERROR(vp.data[[#This Row],[Sulf]]*vp.data[[#This Row],[Net Dens]],"")</f>
        <v>863626.53607360006</v>
      </c>
      <c r="AP815">
        <f>IFERROR(vp.data[[#This Row],[Dens]]*vp.data[[#This Row],[VolumeM3]],"")</f>
        <v>2076025.3271000001</v>
      </c>
      <c r="AQ815" s="15">
        <f>IFERROR(vp.data[[#This Row],[VP]]*vp.data[[#This Row],[VolumeM3]],"")</f>
        <v>141207.24230000001</v>
      </c>
    </row>
    <row r="816" spans="1:43" x14ac:dyDescent="0.25">
      <c r="A816">
        <v>815</v>
      </c>
      <c r="B816" t="s">
        <v>49</v>
      </c>
      <c r="C816" t="s">
        <v>49</v>
      </c>
      <c r="D816" t="s">
        <v>78</v>
      </c>
      <c r="F816" s="1">
        <v>42784</v>
      </c>
      <c r="G816" s="2">
        <v>76.599999999999994</v>
      </c>
      <c r="H816" s="2">
        <v>0.45700000000000002</v>
      </c>
      <c r="I816" s="2">
        <f t="array" ref="I816">_xlfn.IFNA(IF(vp.data[[#This Row],[Sulf Input]]="",INDEX([1]DATA!$Q$3:$Q$9826,MATCH(1,(vp.data[[#This Row],[Battery]]=[1]DATA!$L$3:$L$9826)*(EOMONTH(vp.data[[#This Row],[SDate]],-1)+1=[1]DATA!$G$3:$G$9826),0)),vp.data[[#This Row],[Sulf Input]]),"")</f>
        <v>0.45700000000000002</v>
      </c>
      <c r="J816" s="2">
        <v>20.2</v>
      </c>
      <c r="K816" s="2">
        <v>2</v>
      </c>
      <c r="L816" s="2">
        <v>815.3</v>
      </c>
      <c r="M816" s="2">
        <f t="array" ref="M816">_xlfn.IFNA(IF(vp.data[[#This Row],[Dens Input]]="",INDEX([1]DATA!$O$3:$O$9826,MATCH(1,(vp.data[[#This Row],[Battery]]=[1]DATA!$L$3:$L$9826)*(EOMONTH(vp.data[[#This Row],[SDate]],-1)+1=[1]DATA!$G$3:$G$9826),0)),vp.data[[#This Row],[Dens Input]]),"")</f>
        <v>815.3</v>
      </c>
      <c r="N816" s="2">
        <f ca="1">INDEX(INDIRECT(_xlfn.CONCAT("weather.tbl[",N$1,"]")),MATCH(vp.data[[#This Row],[SDate]],weather.tbl[Date],0))</f>
        <v>-0.54999999999999993</v>
      </c>
      <c r="O816" s="2">
        <f ca="1">INDEX(INDIRECT(_xlfn.CONCAT("weather.tbl[",O$1,"]")),MATCH(vp.data[[#This Row],[SDate]],weather.tbl[Date],0))</f>
        <v>-1.0261904761904761</v>
      </c>
      <c r="P816" s="2">
        <f ca="1">INDEX(INDIRECT(_xlfn.CONCAT("weather.tbl[",P$1,"]")),MATCH(vp.data[[#This Row],[SDate]],weather.tbl[Date],0))</f>
        <v>-1.9</v>
      </c>
      <c r="Q816" s="2">
        <f ca="1">INDEX(INDIRECT(_xlfn.CONCAT("weather.tbl[",Q$1,"]")),MATCH(vp.data[[#This Row],[SDate]],weather.tbl[Date],0))</f>
        <v>-1.6</v>
      </c>
      <c r="R816" s="2">
        <f ca="1">INDEX(INDIRECT(_xlfn.CONCAT("weather.tbl[",R$1,"]")),MATCH(vp.data[[#This Row],[SDate]],weather.tbl[Date],0))</f>
        <v>-1</v>
      </c>
      <c r="S816" s="2">
        <f ca="1">INDEX(INDIRECT(_xlfn.CONCAT("weather.tbl[",S$1,"]")),MATCH(vp.data[[#This Row],[SDate]],weather.tbl[Date],0))</f>
        <v>-0.6</v>
      </c>
      <c r="T816" s="2">
        <f ca="1">INDEX(INDIRECT(_xlfn.CONCAT("weather.tbl[",T$1,"]")),MATCH(vp.data[[#This Row],[SDate]],weather.tbl[Date],0))</f>
        <v>-0.2</v>
      </c>
      <c r="U816" s="2">
        <f ca="1">INDEX(INDIRECT(_xlfn.CONCAT("weather.tbl[",U$1,"]")),MATCH(vp.data[[#This Row],[SDate]],weather.tbl[Date],0))</f>
        <v>2</v>
      </c>
      <c r="V816" s="2">
        <f t="array" ref="V8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17200.881000000001</v>
      </c>
      <c r="W816" t="s">
        <v>48</v>
      </c>
      <c r="X816">
        <f>IF(OR(vp.data[[#This Row],[Sulf]]="",vp.data[[#This Row],[Dens]]=""),1,0)</f>
        <v>0</v>
      </c>
      <c r="Y816">
        <f>IF(vp.data[[#This Row],[CrudeType]]="C5+",1,0)</f>
        <v>0</v>
      </c>
      <c r="Z816">
        <f>IF(AND(vp.data[[#This Row],[CrudeType]]="Crude",vp.data[[#This Row],[Dens]]&lt;=825,vp.data[[#This Row],[Sulf]]&gt;0.5,vp.data[[#This Row],[Unknown]]=0),1,0)</f>
        <v>0</v>
      </c>
      <c r="AA816">
        <f>IF(AND(vp.data[[#This Row],[CrudeType]]="Crude",vp.data[[#This Row],[Dens]]&lt;=825,vp.data[[#This Row],[Sulf]]&lt;=0.5,vp.data[[#This Row],[Unknown]]=0),1,0)</f>
        <v>1</v>
      </c>
      <c r="AB8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16">
        <f>IF(AND(vp.data[[#This Row],[CrudeType]]="Crude",vp.data[[#This Row],[Dens]]&gt;825,vp.data[[#This Row],[Dens]]&lt;=900,vp.data[[#This Row],[Sulf]]&lt;=0.5,vp.data[[#This Row],[Unknown]]=0),1,0)</f>
        <v>0</v>
      </c>
      <c r="AD816">
        <f>IF(AND(vp.data[[#This Row],[CrudeType]]="Crude",vp.data[[#This Row],[Dens]]&gt;865,vp.data[[#This Row],[Dens]]&lt;=900,vp.data[[#This Row],[Sulf]]&gt;2,vp.data[[#This Row],[Unknown]]=0),1,0)</f>
        <v>0</v>
      </c>
      <c r="AE816">
        <f>IF(AND(vp.data[[#This Row],[CrudeType]]="Crude",vp.data[[#This Row],[Dens]]&gt;900,vp.data[[#This Row],[Sulf]]&lt;=0.5,vp.data[[#This Row],[Unknown]]=0),1,0)</f>
        <v>0</v>
      </c>
      <c r="AF816">
        <f>IF(AND(vp.data[[#This Row],[CrudeType]]="Crude",vp.data[[#This Row],[Dens]]&gt;900,vp.data[[#This Row],[Sulf]]&lt;=0.5,vp.data[[#This Row],[Unknown]]=0),1,0)</f>
        <v>0</v>
      </c>
      <c r="AG816" t="str">
        <f>INDEX(vp.data[[#Headers],[Unknown]:[Heavy_SW]],MATCH(1,vp.data[[#This Row],[Unknown]:[Heavy_SW]],0))</f>
        <v>Light_SW</v>
      </c>
      <c r="AH816">
        <f>INDEX([3]!crudeBD.lkup[Number],MATCH(vp.data[[#This Row],[Crude_Breakdown]],crudeBD.lkup[Crude Breakdown],0))</f>
        <v>2</v>
      </c>
      <c r="AI816">
        <f>MONTH(vp.data[[#This Row],[SDate]])</f>
        <v>2</v>
      </c>
      <c r="AJ816" s="5">
        <f>(vp.data[[#This Row],[VP]]-INDEX(crudeBD.lkup[Mean_VP],MATCH(vp.data[[#This Row],[Crude_Breakdown]],crudeBD.lkup[Crude Breakdown],0)))^2</f>
        <v>254.41250358265776</v>
      </c>
      <c r="AK816" s="5">
        <f>(vp.data[[#This Row],[Dens]]-INDEX(crudeBD.lkup[Mean_Dens],MATCH(vp.data[[#This Row],[Crude_Breakdown]],crudeBD.lkup[Crude Breakdown],0)))^2</f>
        <v>48.83915660017967</v>
      </c>
      <c r="AL816" s="5">
        <f>(vp.data[[#This Row],[Sulf]]-INDEX(crudeBD.lkup[Mean_Sulf],MATCH(vp.data[[#This Row],[Crude_Breakdown]],crudeBD.lkup[Crude Breakdown],0)))^2</f>
        <v>4.8734177636732344E-2</v>
      </c>
      <c r="AM816" s="4">
        <f>IF(AND(vp.data[[#This Row],[SDate]]&gt;=DATE(YEAR(vp.data[[#This Row],[SDate]]),5,1),vp.data[[#This Row],[SDate]]&lt;=DATE(YEAR(vp.data[[#This Row],[SDate]]),9,15)),1,0)</f>
        <v>0</v>
      </c>
      <c r="AN816" s="4">
        <f>IF(vp.data[[#This Row],[SDate]]&lt;DATE(2016,12,1),0,1)</f>
        <v>1</v>
      </c>
      <c r="AO816" s="4">
        <f>IFERROR(vp.data[[#This Row],[Sulf]]*vp.data[[#This Row],[Net Dens]],"")</f>
        <v>6408912.3736401005</v>
      </c>
      <c r="AP816">
        <f>IFERROR(vp.data[[#This Row],[Dens]]*vp.data[[#This Row],[VolumeM3]],"")</f>
        <v>14023878.279300001</v>
      </c>
      <c r="AQ816" s="15">
        <f>IFERROR(vp.data[[#This Row],[VP]]*vp.data[[#This Row],[VolumeM3]],"")</f>
        <v>1317587.4846000001</v>
      </c>
    </row>
    <row r="817" spans="1:43" x14ac:dyDescent="0.25">
      <c r="A817">
        <v>816</v>
      </c>
      <c r="B817" t="s">
        <v>49</v>
      </c>
      <c r="C817" t="s">
        <v>49</v>
      </c>
      <c r="D817" t="s">
        <v>81</v>
      </c>
      <c r="F817" s="1">
        <v>42784</v>
      </c>
      <c r="G817" s="2">
        <v>89.3</v>
      </c>
      <c r="H817" s="2">
        <v>0.5</v>
      </c>
      <c r="I817" s="2">
        <f t="array" ref="I817">_xlfn.IFNA(IF(vp.data[[#This Row],[Sulf Input]]="",INDEX([1]DATA!$Q$3:$Q$9826,MATCH(1,(vp.data[[#This Row],[Battery]]=[1]DATA!$L$3:$L$9826)*(EOMONTH(vp.data[[#This Row],[SDate]],-1)+1=[1]DATA!$G$3:$G$9826),0)),vp.data[[#This Row],[Sulf Input]]),"")</f>
        <v>0.5</v>
      </c>
      <c r="J817" s="2">
        <v>4.5</v>
      </c>
      <c r="K817" s="2">
        <v>1</v>
      </c>
      <c r="L817" s="2">
        <v>805.7</v>
      </c>
      <c r="M817" s="2">
        <f t="array" ref="M817">_xlfn.IFNA(IF(vp.data[[#This Row],[Dens Input]]="",INDEX([1]DATA!$O$3:$O$9826,MATCH(1,(vp.data[[#This Row],[Battery]]=[1]DATA!$L$3:$L$9826)*(EOMONTH(vp.data[[#This Row],[SDate]],-1)+1=[1]DATA!$G$3:$G$9826),0)),vp.data[[#This Row],[Dens Input]]),"")</f>
        <v>805.7</v>
      </c>
      <c r="N817" s="2">
        <f ca="1">INDEX(INDIRECT(_xlfn.CONCAT("weather.tbl[",N$1,"]")),MATCH(vp.data[[#This Row],[SDate]],weather.tbl[Date],0))</f>
        <v>-0.54999999999999993</v>
      </c>
      <c r="O817" s="2">
        <f ca="1">INDEX(INDIRECT(_xlfn.CONCAT("weather.tbl[",O$1,"]")),MATCH(vp.data[[#This Row],[SDate]],weather.tbl[Date],0))</f>
        <v>-1.0261904761904761</v>
      </c>
      <c r="P817" s="2">
        <f ca="1">INDEX(INDIRECT(_xlfn.CONCAT("weather.tbl[",P$1,"]")),MATCH(vp.data[[#This Row],[SDate]],weather.tbl[Date],0))</f>
        <v>-1.9</v>
      </c>
      <c r="Q817" s="2">
        <f ca="1">INDEX(INDIRECT(_xlfn.CONCAT("weather.tbl[",Q$1,"]")),MATCH(vp.data[[#This Row],[SDate]],weather.tbl[Date],0))</f>
        <v>-1.6</v>
      </c>
      <c r="R817" s="2">
        <f ca="1">INDEX(INDIRECT(_xlfn.CONCAT("weather.tbl[",R$1,"]")),MATCH(vp.data[[#This Row],[SDate]],weather.tbl[Date],0))</f>
        <v>-1</v>
      </c>
      <c r="S817" s="2">
        <f ca="1">INDEX(INDIRECT(_xlfn.CONCAT("weather.tbl[",S$1,"]")),MATCH(vp.data[[#This Row],[SDate]],weather.tbl[Date],0))</f>
        <v>-0.6</v>
      </c>
      <c r="T817" s="2">
        <f ca="1">INDEX(INDIRECT(_xlfn.CONCAT("weather.tbl[",T$1,"]")),MATCH(vp.data[[#This Row],[SDate]],weather.tbl[Date],0))</f>
        <v>-0.2</v>
      </c>
      <c r="U817" s="2">
        <f ca="1">INDEX(INDIRECT(_xlfn.CONCAT("weather.tbl[",U$1,"]")),MATCH(vp.data[[#This Row],[SDate]],weather.tbl[Date],0))</f>
        <v>2</v>
      </c>
      <c r="V817" s="2">
        <f t="array" ref="V8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20596.550999999999</v>
      </c>
      <c r="W817" t="s">
        <v>48</v>
      </c>
      <c r="X817">
        <f>IF(OR(vp.data[[#This Row],[Sulf]]="",vp.data[[#This Row],[Dens]]=""),1,0)</f>
        <v>0</v>
      </c>
      <c r="Y817">
        <f>IF(vp.data[[#This Row],[CrudeType]]="C5+",1,0)</f>
        <v>0</v>
      </c>
      <c r="Z817">
        <f>IF(AND(vp.data[[#This Row],[CrudeType]]="Crude",vp.data[[#This Row],[Dens]]&lt;=825,vp.data[[#This Row],[Sulf]]&gt;0.5,vp.data[[#This Row],[Unknown]]=0),1,0)</f>
        <v>0</v>
      </c>
      <c r="AA817">
        <f>IF(AND(vp.data[[#This Row],[CrudeType]]="Crude",vp.data[[#This Row],[Dens]]&lt;=825,vp.data[[#This Row],[Sulf]]&lt;=0.5,vp.data[[#This Row],[Unknown]]=0),1,0)</f>
        <v>1</v>
      </c>
      <c r="AB8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17">
        <f>IF(AND(vp.data[[#This Row],[CrudeType]]="Crude",vp.data[[#This Row],[Dens]]&gt;825,vp.data[[#This Row],[Dens]]&lt;=900,vp.data[[#This Row],[Sulf]]&lt;=0.5,vp.data[[#This Row],[Unknown]]=0),1,0)</f>
        <v>0</v>
      </c>
      <c r="AD817">
        <f>IF(AND(vp.data[[#This Row],[CrudeType]]="Crude",vp.data[[#This Row],[Dens]]&gt;865,vp.data[[#This Row],[Dens]]&lt;=900,vp.data[[#This Row],[Sulf]]&gt;2,vp.data[[#This Row],[Unknown]]=0),1,0)</f>
        <v>0</v>
      </c>
      <c r="AE817">
        <f>IF(AND(vp.data[[#This Row],[CrudeType]]="Crude",vp.data[[#This Row],[Dens]]&gt;900,vp.data[[#This Row],[Sulf]]&lt;=0.5,vp.data[[#This Row],[Unknown]]=0),1,0)</f>
        <v>0</v>
      </c>
      <c r="AF817">
        <f>IF(AND(vp.data[[#This Row],[CrudeType]]="Crude",vp.data[[#This Row],[Dens]]&gt;900,vp.data[[#This Row],[Sulf]]&lt;=0.5,vp.data[[#This Row],[Unknown]]=0),1,0)</f>
        <v>0</v>
      </c>
      <c r="AG817" t="str">
        <f>INDEX(vp.data[[#Headers],[Unknown]:[Heavy_SW]],MATCH(1,vp.data[[#This Row],[Unknown]:[Heavy_SW]],0))</f>
        <v>Light_SW</v>
      </c>
      <c r="AH817">
        <f>INDEX([3]!crudeBD.lkup[Number],MATCH(vp.data[[#This Row],[Crude_Breakdown]],crudeBD.lkup[Crude Breakdown],0))</f>
        <v>2</v>
      </c>
      <c r="AI817">
        <f>MONTH(vp.data[[#This Row],[SDate]])</f>
        <v>2</v>
      </c>
      <c r="AJ817" s="5">
        <f>(vp.data[[#This Row],[VP]]-INDEX(crudeBD.lkup[Mean_VP],MATCH(vp.data[[#This Row],[Crude_Breakdown]],crudeBD.lkup[Crude Breakdown],0)))^2</f>
        <v>10.564538425863926</v>
      </c>
      <c r="AK817" s="5">
        <f>(vp.data[[#This Row],[Dens]]-INDEX(crudeBD.lkup[Mean_Dens],MATCH(vp.data[[#This Row],[Crude_Breakdown]],crudeBD.lkup[Crude Breakdown],0)))^2</f>
        <v>6.8199231506985214</v>
      </c>
      <c r="AL817" s="5">
        <f>(vp.data[[#This Row],[Sulf]]-INDEX(crudeBD.lkup[Mean_Sulf],MATCH(vp.data[[#This Row],[Crude_Breakdown]],crudeBD.lkup[Crude Breakdown],0)))^2</f>
        <v>6.956838181791701E-2</v>
      </c>
      <c r="AM817" s="4">
        <f>IF(AND(vp.data[[#This Row],[SDate]]&gt;=DATE(YEAR(vp.data[[#This Row],[SDate]]),5,1),vp.data[[#This Row],[SDate]]&lt;=DATE(YEAR(vp.data[[#This Row],[SDate]]),9,15)),1,0)</f>
        <v>0</v>
      </c>
      <c r="AN817" s="4">
        <f>IF(vp.data[[#This Row],[SDate]]&lt;DATE(2016,12,1),0,1)</f>
        <v>1</v>
      </c>
      <c r="AO817" s="4">
        <f>IFERROR(vp.data[[#This Row],[Sulf]]*vp.data[[#This Row],[Net Dens]],"")</f>
        <v>8297320.5703500006</v>
      </c>
      <c r="AP817">
        <f>IFERROR(vp.data[[#This Row],[Dens]]*vp.data[[#This Row],[VolumeM3]],"")</f>
        <v>16594641.140700001</v>
      </c>
      <c r="AQ817" s="15">
        <f>IFERROR(vp.data[[#This Row],[VP]]*vp.data[[#This Row],[VolumeM3]],"")</f>
        <v>1839272.0042999999</v>
      </c>
    </row>
    <row r="818" spans="1:43" x14ac:dyDescent="0.25">
      <c r="A818">
        <v>817</v>
      </c>
      <c r="B818" t="s">
        <v>49</v>
      </c>
      <c r="C818" t="s">
        <v>49</v>
      </c>
      <c r="D818" t="s">
        <v>92</v>
      </c>
      <c r="F818" s="1">
        <v>42784</v>
      </c>
      <c r="G818" s="2">
        <v>85.3</v>
      </c>
      <c r="H818" s="2">
        <v>0.67500000000000004</v>
      </c>
      <c r="I818" s="2">
        <f t="array" ref="I818">_xlfn.IFNA(IF(vp.data[[#This Row],[Sulf Input]]="",INDEX([1]DATA!$Q$3:$Q$9826,MATCH(1,(vp.data[[#This Row],[Battery]]=[1]DATA!$L$3:$L$9826)*(EOMONTH(vp.data[[#This Row],[SDate]],-1)+1=[1]DATA!$G$3:$G$9826),0)),vp.data[[#This Row],[Sulf Input]]),"")</f>
        <v>0.67500000000000004</v>
      </c>
      <c r="J818" s="2">
        <v>23.5</v>
      </c>
      <c r="K818" s="2">
        <v>2</v>
      </c>
      <c r="L818" s="2">
        <v>821.7</v>
      </c>
      <c r="M818" s="2">
        <f t="array" ref="M818">_xlfn.IFNA(IF(vp.data[[#This Row],[Dens Input]]="",INDEX([1]DATA!$O$3:$O$9826,MATCH(1,(vp.data[[#This Row],[Battery]]=[1]DATA!$L$3:$L$9826)*(EOMONTH(vp.data[[#This Row],[SDate]],-1)+1=[1]DATA!$G$3:$G$9826),0)),vp.data[[#This Row],[Dens Input]]),"")</f>
        <v>821.7</v>
      </c>
      <c r="N818" s="2">
        <f ca="1">INDEX(INDIRECT(_xlfn.CONCAT("weather.tbl[",N$1,"]")),MATCH(vp.data[[#This Row],[SDate]],weather.tbl[Date],0))</f>
        <v>-0.54999999999999993</v>
      </c>
      <c r="O818" s="2">
        <f ca="1">INDEX(INDIRECT(_xlfn.CONCAT("weather.tbl[",O$1,"]")),MATCH(vp.data[[#This Row],[SDate]],weather.tbl[Date],0))</f>
        <v>-1.0261904761904761</v>
      </c>
      <c r="P818" s="2">
        <f ca="1">INDEX(INDIRECT(_xlfn.CONCAT("weather.tbl[",P$1,"]")),MATCH(vp.data[[#This Row],[SDate]],weather.tbl[Date],0))</f>
        <v>-1.9</v>
      </c>
      <c r="Q818" s="2">
        <f ca="1">INDEX(INDIRECT(_xlfn.CONCAT("weather.tbl[",Q$1,"]")),MATCH(vp.data[[#This Row],[SDate]],weather.tbl[Date],0))</f>
        <v>-1.6</v>
      </c>
      <c r="R818" s="2">
        <f ca="1">INDEX(INDIRECT(_xlfn.CONCAT("weather.tbl[",R$1,"]")),MATCH(vp.data[[#This Row],[SDate]],weather.tbl[Date],0))</f>
        <v>-1</v>
      </c>
      <c r="S818" s="2">
        <f ca="1">INDEX(INDIRECT(_xlfn.CONCAT("weather.tbl[",S$1,"]")),MATCH(vp.data[[#This Row],[SDate]],weather.tbl[Date],0))</f>
        <v>-0.6</v>
      </c>
      <c r="T818" s="2">
        <f ca="1">INDEX(INDIRECT(_xlfn.CONCAT("weather.tbl[",T$1,"]")),MATCH(vp.data[[#This Row],[SDate]],weather.tbl[Date],0))</f>
        <v>-0.2</v>
      </c>
      <c r="U818" s="2">
        <f ca="1">INDEX(INDIRECT(_xlfn.CONCAT("weather.tbl[",U$1,"]")),MATCH(vp.data[[#This Row],[SDate]],weather.tbl[Date],0))</f>
        <v>2</v>
      </c>
      <c r="V818" s="2">
        <f t="array" ref="V8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20149.223999999998</v>
      </c>
      <c r="W818" t="s">
        <v>48</v>
      </c>
      <c r="X818">
        <f>IF(OR(vp.data[[#This Row],[Sulf]]="",vp.data[[#This Row],[Dens]]=""),1,0)</f>
        <v>0</v>
      </c>
      <c r="Y818">
        <f>IF(vp.data[[#This Row],[CrudeType]]="C5+",1,0)</f>
        <v>0</v>
      </c>
      <c r="Z818">
        <f>IF(AND(vp.data[[#This Row],[CrudeType]]="Crude",vp.data[[#This Row],[Dens]]&lt;=825,vp.data[[#This Row],[Sulf]]&gt;0.5,vp.data[[#This Row],[Unknown]]=0),1,0)</f>
        <v>1</v>
      </c>
      <c r="AA818">
        <f>IF(AND(vp.data[[#This Row],[CrudeType]]="Crude",vp.data[[#This Row],[Dens]]&lt;=825,vp.data[[#This Row],[Sulf]]&lt;=0.5,vp.data[[#This Row],[Unknown]]=0),1,0)</f>
        <v>0</v>
      </c>
      <c r="AB8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18">
        <f>IF(AND(vp.data[[#This Row],[CrudeType]]="Crude",vp.data[[#This Row],[Dens]]&gt;825,vp.data[[#This Row],[Dens]]&lt;=900,vp.data[[#This Row],[Sulf]]&lt;=0.5,vp.data[[#This Row],[Unknown]]=0),1,0)</f>
        <v>0</v>
      </c>
      <c r="AD818">
        <f>IF(AND(vp.data[[#This Row],[CrudeType]]="Crude",vp.data[[#This Row],[Dens]]&gt;865,vp.data[[#This Row],[Dens]]&lt;=900,vp.data[[#This Row],[Sulf]]&gt;2,vp.data[[#This Row],[Unknown]]=0),1,0)</f>
        <v>0</v>
      </c>
      <c r="AE818">
        <f>IF(AND(vp.data[[#This Row],[CrudeType]]="Crude",vp.data[[#This Row],[Dens]]&gt;900,vp.data[[#This Row],[Sulf]]&lt;=0.5,vp.data[[#This Row],[Unknown]]=0),1,0)</f>
        <v>0</v>
      </c>
      <c r="AF818">
        <f>IF(AND(vp.data[[#This Row],[CrudeType]]="Crude",vp.data[[#This Row],[Dens]]&gt;900,vp.data[[#This Row],[Sulf]]&lt;=0.5,vp.data[[#This Row],[Unknown]]=0),1,0)</f>
        <v>0</v>
      </c>
      <c r="AG818" t="str">
        <f>INDEX(vp.data[[#Headers],[Unknown]:[Heavy_SW]],MATCH(1,vp.data[[#This Row],[Unknown]:[Heavy_SW]],0))</f>
        <v>Light_LSB</v>
      </c>
      <c r="AH818">
        <f>INDEX([3]!crudeBD.lkup[Number],MATCH(vp.data[[#This Row],[Crude_Breakdown]],crudeBD.lkup[Crude Breakdown],0))</f>
        <v>1</v>
      </c>
      <c r="AI818">
        <f>MONTH(vp.data[[#This Row],[SDate]])</f>
        <v>2</v>
      </c>
      <c r="AJ818" s="5">
        <f>(vp.data[[#This Row],[VP]]-INDEX(crudeBD.lkup[Mean_VP],MATCH(vp.data[[#This Row],[Crude_Breakdown]],crudeBD.lkup[Crude Breakdown],0)))^2</f>
        <v>39.014834137528325</v>
      </c>
      <c r="AK818" s="5">
        <f>(vp.data[[#This Row],[Dens]]-INDEX(crudeBD.lkup[Mean_Dens],MATCH(vp.data[[#This Row],[Crude_Breakdown]],crudeBD.lkup[Crude Breakdown],0)))^2</f>
        <v>10.132954764353206</v>
      </c>
      <c r="AL818" s="5">
        <f>(vp.data[[#This Row],[Sulf]]-INDEX(crudeBD.lkup[Mean_Sulf],MATCH(vp.data[[#This Row],[Crude_Breakdown]],crudeBD.lkup[Crude Breakdown],0)))^2</f>
        <v>6.1489700350162227E-2</v>
      </c>
      <c r="AM818" s="4">
        <f>IF(AND(vp.data[[#This Row],[SDate]]&gt;=DATE(YEAR(vp.data[[#This Row],[SDate]]),5,1),vp.data[[#This Row],[SDate]]&lt;=DATE(YEAR(vp.data[[#This Row],[SDate]]),9,15)),1,0)</f>
        <v>0</v>
      </c>
      <c r="AN818" s="4">
        <f>IF(vp.data[[#This Row],[SDate]]&lt;DATE(2016,12,1),0,1)</f>
        <v>1</v>
      </c>
      <c r="AO818" s="4">
        <f>IFERROR(vp.data[[#This Row],[Sulf]]*vp.data[[#This Row],[Net Dens]],"")</f>
        <v>11175716.71854</v>
      </c>
      <c r="AP818">
        <f>IFERROR(vp.data[[#This Row],[Dens]]*vp.data[[#This Row],[VolumeM3]],"")</f>
        <v>16556617.3608</v>
      </c>
      <c r="AQ818" s="15">
        <f>IFERROR(vp.data[[#This Row],[VP]]*vp.data[[#This Row],[VolumeM3]],"")</f>
        <v>1718728.8071999997</v>
      </c>
    </row>
    <row r="819" spans="1:43" x14ac:dyDescent="0.25">
      <c r="A819">
        <v>818</v>
      </c>
      <c r="B819" t="s">
        <v>49</v>
      </c>
      <c r="C819" t="s">
        <v>49</v>
      </c>
      <c r="D819" t="s">
        <v>164</v>
      </c>
      <c r="F819" s="1">
        <v>42784</v>
      </c>
      <c r="G819" s="2">
        <v>75.5</v>
      </c>
      <c r="H819" s="2">
        <v>2.0569999999999999</v>
      </c>
      <c r="I819" s="2">
        <f t="array" ref="I819">_xlfn.IFNA(IF(vp.data[[#This Row],[Sulf Input]]="",INDEX([1]DATA!$Q$3:$Q$9826,MATCH(1,(vp.data[[#This Row],[Battery]]=[1]DATA!$L$3:$L$9826)*(EOMONTH(vp.data[[#This Row],[SDate]],-1)+1=[1]DATA!$G$3:$G$9826),0)),vp.data[[#This Row],[Sulf Input]]),"")</f>
        <v>2.0569999999999999</v>
      </c>
      <c r="J819" s="2">
        <v>18.8</v>
      </c>
      <c r="K819" s="2">
        <v>1</v>
      </c>
      <c r="L819" s="2">
        <v>858.2</v>
      </c>
      <c r="M819" s="2">
        <f t="array" ref="M819">_xlfn.IFNA(IF(vp.data[[#This Row],[Dens Input]]="",INDEX([1]DATA!$O$3:$O$9826,MATCH(1,(vp.data[[#This Row],[Battery]]=[1]DATA!$L$3:$L$9826)*(EOMONTH(vp.data[[#This Row],[SDate]],-1)+1=[1]DATA!$G$3:$G$9826),0)),vp.data[[#This Row],[Dens Input]]),"")</f>
        <v>858.2</v>
      </c>
      <c r="N819" s="2">
        <f ca="1">INDEX(INDIRECT(_xlfn.CONCAT("weather.tbl[",N$1,"]")),MATCH(vp.data[[#This Row],[SDate]],weather.tbl[Date],0))</f>
        <v>-0.54999999999999993</v>
      </c>
      <c r="O819" s="2">
        <f ca="1">INDEX(INDIRECT(_xlfn.CONCAT("weather.tbl[",O$1,"]")),MATCH(vp.data[[#This Row],[SDate]],weather.tbl[Date],0))</f>
        <v>-1.0261904761904761</v>
      </c>
      <c r="P819" s="2">
        <f ca="1">INDEX(INDIRECT(_xlfn.CONCAT("weather.tbl[",P$1,"]")),MATCH(vp.data[[#This Row],[SDate]],weather.tbl[Date],0))</f>
        <v>-1.9</v>
      </c>
      <c r="Q819" s="2">
        <f ca="1">INDEX(INDIRECT(_xlfn.CONCAT("weather.tbl[",Q$1,"]")),MATCH(vp.data[[#This Row],[SDate]],weather.tbl[Date],0))</f>
        <v>-1.6</v>
      </c>
      <c r="R819" s="2">
        <f ca="1">INDEX(INDIRECT(_xlfn.CONCAT("weather.tbl[",R$1,"]")),MATCH(vp.data[[#This Row],[SDate]],weather.tbl[Date],0))</f>
        <v>-1</v>
      </c>
      <c r="S819" s="2">
        <f ca="1">INDEX(INDIRECT(_xlfn.CONCAT("weather.tbl[",S$1,"]")),MATCH(vp.data[[#This Row],[SDate]],weather.tbl[Date],0))</f>
        <v>-0.6</v>
      </c>
      <c r="T819" s="2">
        <f ca="1">INDEX(INDIRECT(_xlfn.CONCAT("weather.tbl[",T$1,"]")),MATCH(vp.data[[#This Row],[SDate]],weather.tbl[Date],0))</f>
        <v>-0.2</v>
      </c>
      <c r="U819" s="2">
        <f ca="1">INDEX(INDIRECT(_xlfn.CONCAT("weather.tbl[",U$1,"]")),MATCH(vp.data[[#This Row],[SDate]],weather.tbl[Date],0))</f>
        <v>2</v>
      </c>
      <c r="V819" s="2">
        <f t="array" ref="V8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618.17100000000005</v>
      </c>
      <c r="W819" t="s">
        <v>48</v>
      </c>
      <c r="X819">
        <f>IF(OR(vp.data[[#This Row],[Sulf]]="",vp.data[[#This Row],[Dens]]=""),1,0)</f>
        <v>0</v>
      </c>
      <c r="Y819">
        <f>IF(vp.data[[#This Row],[CrudeType]]="C5+",1,0)</f>
        <v>0</v>
      </c>
      <c r="Z819">
        <f>IF(AND(vp.data[[#This Row],[CrudeType]]="Crude",vp.data[[#This Row],[Dens]]&lt;=825,vp.data[[#This Row],[Sulf]]&gt;0.5,vp.data[[#This Row],[Unknown]]=0),1,0)</f>
        <v>0</v>
      </c>
      <c r="AA819">
        <f>IF(AND(vp.data[[#This Row],[CrudeType]]="Crude",vp.data[[#This Row],[Dens]]&lt;=825,vp.data[[#This Row],[Sulf]]&lt;=0.5,vp.data[[#This Row],[Unknown]]=0),1,0)</f>
        <v>0</v>
      </c>
      <c r="AB8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19">
        <f>IF(AND(vp.data[[#This Row],[CrudeType]]="Crude",vp.data[[#This Row],[Dens]]&gt;825,vp.data[[#This Row],[Dens]]&lt;=900,vp.data[[#This Row],[Sulf]]&lt;=0.5,vp.data[[#This Row],[Unknown]]=0),1,0)</f>
        <v>0</v>
      </c>
      <c r="AD819">
        <f>IF(AND(vp.data[[#This Row],[CrudeType]]="Crude",vp.data[[#This Row],[Dens]]&gt;865,vp.data[[#This Row],[Dens]]&lt;=900,vp.data[[#This Row],[Sulf]]&gt;2,vp.data[[#This Row],[Unknown]]=0),1,0)</f>
        <v>0</v>
      </c>
      <c r="AE819">
        <f>IF(AND(vp.data[[#This Row],[CrudeType]]="Crude",vp.data[[#This Row],[Dens]]&gt;900,vp.data[[#This Row],[Sulf]]&lt;=0.5,vp.data[[#This Row],[Unknown]]=0),1,0)</f>
        <v>0</v>
      </c>
      <c r="AF819">
        <f>IF(AND(vp.data[[#This Row],[CrudeType]]="Crude",vp.data[[#This Row],[Dens]]&gt;900,vp.data[[#This Row],[Sulf]]&lt;=0.5,vp.data[[#This Row],[Unknown]]=0),1,0)</f>
        <v>0</v>
      </c>
      <c r="AG819" t="str">
        <f>INDEX(vp.data[[#Headers],[Unknown]:[Heavy_SW]],MATCH(1,vp.data[[#This Row],[Unknown]:[Heavy_SW]],0))</f>
        <v>Medium_LSB</v>
      </c>
      <c r="AH819">
        <f>INDEX([3]!crudeBD.lkup[Number],MATCH(vp.data[[#This Row],[Crude_Breakdown]],crudeBD.lkup[Crude Breakdown],0))</f>
        <v>3</v>
      </c>
      <c r="AI819">
        <f>MONTH(vp.data[[#This Row],[SDate]])</f>
        <v>2</v>
      </c>
      <c r="AJ819" s="5">
        <f>(vp.data[[#This Row],[VP]]-INDEX(crudeBD.lkup[Mean_VP],MATCH(vp.data[[#This Row],[Crude_Breakdown]],crudeBD.lkup[Crude Breakdown],0)))^2</f>
        <v>26.41627503723381</v>
      </c>
      <c r="AK819" s="5">
        <f>(vp.data[[#This Row],[Dens]]-INDEX(crudeBD.lkup[Mean_Dens],MATCH(vp.data[[#This Row],[Crude_Breakdown]],crudeBD.lkup[Crude Breakdown],0)))^2</f>
        <v>203.91840000001545</v>
      </c>
      <c r="AL819" s="5">
        <f>(vp.data[[#This Row],[Sulf]]-INDEX(crudeBD.lkup[Mean_Sulf],MATCH(vp.data[[#This Row],[Crude_Breakdown]],crudeBD.lkup[Crude Breakdown],0)))^2</f>
        <v>0.45103564430323762</v>
      </c>
      <c r="AM819" s="4">
        <f>IF(AND(vp.data[[#This Row],[SDate]]&gt;=DATE(YEAR(vp.data[[#This Row],[SDate]]),5,1),vp.data[[#This Row],[SDate]]&lt;=DATE(YEAR(vp.data[[#This Row],[SDate]]),9,15)),1,0)</f>
        <v>0</v>
      </c>
      <c r="AN819" s="4">
        <f>IF(vp.data[[#This Row],[SDate]]&lt;DATE(2016,12,1),0,1)</f>
        <v>1</v>
      </c>
      <c r="AO819" s="4">
        <f>IFERROR(vp.data[[#This Row],[Sulf]]*vp.data[[#This Row],[Net Dens]],"")</f>
        <v>1091268.0224754002</v>
      </c>
      <c r="AP819">
        <f>IFERROR(vp.data[[#This Row],[Dens]]*vp.data[[#This Row],[VolumeM3]],"")</f>
        <v>530514.35220000008</v>
      </c>
      <c r="AQ819" s="15">
        <f>IFERROR(vp.data[[#This Row],[VP]]*vp.data[[#This Row],[VolumeM3]],"")</f>
        <v>46671.910500000005</v>
      </c>
    </row>
    <row r="820" spans="1:43" x14ac:dyDescent="0.25">
      <c r="A820">
        <v>819</v>
      </c>
      <c r="B820" t="s">
        <v>49</v>
      </c>
      <c r="C820" t="s">
        <v>49</v>
      </c>
      <c r="D820" t="s">
        <v>165</v>
      </c>
      <c r="F820" s="1">
        <v>42784</v>
      </c>
      <c r="G820" s="2">
        <v>65.900000000000006</v>
      </c>
      <c r="H820" s="2">
        <v>2.5619999999999998</v>
      </c>
      <c r="I820" s="2">
        <f t="array" ref="I820">_xlfn.IFNA(IF(vp.data[[#This Row],[Sulf Input]]="",INDEX([1]DATA!$Q$3:$Q$9826,MATCH(1,(vp.data[[#This Row],[Battery]]=[1]DATA!$L$3:$L$9826)*(EOMONTH(vp.data[[#This Row],[SDate]],-1)+1=[1]DATA!$G$3:$G$9826),0)),vp.data[[#This Row],[Sulf Input]]),"")</f>
        <v>2.5619999999999998</v>
      </c>
      <c r="J820" s="2">
        <v>13.5</v>
      </c>
      <c r="K820" s="2">
        <v>1</v>
      </c>
      <c r="L820" s="2">
        <v>877.5</v>
      </c>
      <c r="M820" s="2">
        <f t="array" ref="M820">_xlfn.IFNA(IF(vp.data[[#This Row],[Dens Input]]="",INDEX([1]DATA!$O$3:$O$9826,MATCH(1,(vp.data[[#This Row],[Battery]]=[1]DATA!$L$3:$L$9826)*(EOMONTH(vp.data[[#This Row],[SDate]],-1)+1=[1]DATA!$G$3:$G$9826),0)),vp.data[[#This Row],[Dens Input]]),"")</f>
        <v>877.5</v>
      </c>
      <c r="N820" s="2">
        <f ca="1">INDEX(INDIRECT(_xlfn.CONCAT("weather.tbl[",N$1,"]")),MATCH(vp.data[[#This Row],[SDate]],weather.tbl[Date],0))</f>
        <v>-0.54999999999999993</v>
      </c>
      <c r="O820" s="2">
        <f ca="1">INDEX(INDIRECT(_xlfn.CONCAT("weather.tbl[",O$1,"]")),MATCH(vp.data[[#This Row],[SDate]],weather.tbl[Date],0))</f>
        <v>-1.0261904761904761</v>
      </c>
      <c r="P820" s="2">
        <f ca="1">INDEX(INDIRECT(_xlfn.CONCAT("weather.tbl[",P$1,"]")),MATCH(vp.data[[#This Row],[SDate]],weather.tbl[Date],0))</f>
        <v>-1.9</v>
      </c>
      <c r="Q820" s="2">
        <f ca="1">INDEX(INDIRECT(_xlfn.CONCAT("weather.tbl[",Q$1,"]")),MATCH(vp.data[[#This Row],[SDate]],weather.tbl[Date],0))</f>
        <v>-1.6</v>
      </c>
      <c r="R820" s="2">
        <f ca="1">INDEX(INDIRECT(_xlfn.CONCAT("weather.tbl[",R$1,"]")),MATCH(vp.data[[#This Row],[SDate]],weather.tbl[Date],0))</f>
        <v>-1</v>
      </c>
      <c r="S820" s="2">
        <f ca="1">INDEX(INDIRECT(_xlfn.CONCAT("weather.tbl[",S$1,"]")),MATCH(vp.data[[#This Row],[SDate]],weather.tbl[Date],0))</f>
        <v>-0.6</v>
      </c>
      <c r="T820" s="2">
        <f ca="1">INDEX(INDIRECT(_xlfn.CONCAT("weather.tbl[",T$1,"]")),MATCH(vp.data[[#This Row],[SDate]],weather.tbl[Date],0))</f>
        <v>-0.2</v>
      </c>
      <c r="U820" s="2">
        <f ca="1">INDEX(INDIRECT(_xlfn.CONCAT("weather.tbl[",U$1,"]")),MATCH(vp.data[[#This Row],[SDate]],weather.tbl[Date],0))</f>
        <v>2</v>
      </c>
      <c r="V820" s="2">
        <f t="array" ref="V8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303.27100000000002</v>
      </c>
      <c r="W820" t="s">
        <v>48</v>
      </c>
      <c r="X820">
        <f>IF(OR(vp.data[[#This Row],[Sulf]]="",vp.data[[#This Row],[Dens]]=""),1,0)</f>
        <v>0</v>
      </c>
      <c r="Y820">
        <f>IF(vp.data[[#This Row],[CrudeType]]="C5+",1,0)</f>
        <v>0</v>
      </c>
      <c r="Z820">
        <f>IF(AND(vp.data[[#This Row],[CrudeType]]="Crude",vp.data[[#This Row],[Dens]]&lt;=825,vp.data[[#This Row],[Sulf]]&gt;0.5,vp.data[[#This Row],[Unknown]]=0),1,0)</f>
        <v>0</v>
      </c>
      <c r="AA820">
        <f>IF(AND(vp.data[[#This Row],[CrudeType]]="Crude",vp.data[[#This Row],[Dens]]&lt;=825,vp.data[[#This Row],[Sulf]]&lt;=0.5,vp.data[[#This Row],[Unknown]]=0),1,0)</f>
        <v>0</v>
      </c>
      <c r="AB8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20">
        <f>IF(AND(vp.data[[#This Row],[CrudeType]]="Crude",vp.data[[#This Row],[Dens]]&gt;825,vp.data[[#This Row],[Dens]]&lt;=900,vp.data[[#This Row],[Sulf]]&lt;=0.5,vp.data[[#This Row],[Unknown]]=0),1,0)</f>
        <v>0</v>
      </c>
      <c r="AD820">
        <f>IF(AND(vp.data[[#This Row],[CrudeType]]="Crude",vp.data[[#This Row],[Dens]]&gt;865,vp.data[[#This Row],[Dens]]&lt;=900,vp.data[[#This Row],[Sulf]]&gt;2,vp.data[[#This Row],[Unknown]]=0),1,0)</f>
        <v>1</v>
      </c>
      <c r="AE820">
        <f>IF(AND(vp.data[[#This Row],[CrudeType]]="Crude",vp.data[[#This Row],[Dens]]&gt;900,vp.data[[#This Row],[Sulf]]&lt;=0.5,vp.data[[#This Row],[Unknown]]=0),1,0)</f>
        <v>0</v>
      </c>
      <c r="AF820">
        <f>IF(AND(vp.data[[#This Row],[CrudeType]]="Crude",vp.data[[#This Row],[Dens]]&gt;900,vp.data[[#This Row],[Sulf]]&lt;=0.5,vp.data[[#This Row],[Unknown]]=0),1,0)</f>
        <v>0</v>
      </c>
      <c r="AG820" t="str">
        <f>INDEX(vp.data[[#Headers],[Unknown]:[Heavy_SW]],MATCH(1,vp.data[[#This Row],[Unknown]:[Heavy_SW]],0))</f>
        <v>Midale</v>
      </c>
      <c r="AH820">
        <f>INDEX([3]!crudeBD.lkup[Number],MATCH(vp.data[[#This Row],[Crude_Breakdown]],crudeBD.lkup[Crude Breakdown],0))</f>
        <v>5</v>
      </c>
      <c r="AI820">
        <f>MONTH(vp.data[[#This Row],[SDate]])</f>
        <v>2</v>
      </c>
      <c r="AJ820" s="5">
        <f>(vp.data[[#This Row],[VP]]-INDEX(crudeBD.lkup[Mean_VP],MATCH(vp.data[[#This Row],[Crude_Breakdown]],crudeBD.lkup[Crude Breakdown],0)))^2</f>
        <v>12.311416994367276</v>
      </c>
      <c r="AK820" s="5">
        <f>(vp.data[[#This Row],[Dens]]-INDEX(crudeBD.lkup[Mean_Dens],MATCH(vp.data[[#This Row],[Crude_Breakdown]],crudeBD.lkup[Crude Breakdown],0)))^2</f>
        <v>7.1984336805170051</v>
      </c>
      <c r="AL820" s="5">
        <f>(vp.data[[#This Row],[Sulf]]-INDEX(crudeBD.lkup[Mean_Sulf],MATCH(vp.data[[#This Row],[Crude_Breakdown]],crudeBD.lkup[Crude Breakdown],0)))^2</f>
        <v>1.4014873974290857E-2</v>
      </c>
      <c r="AM820" s="4">
        <f>IF(AND(vp.data[[#This Row],[SDate]]&gt;=DATE(YEAR(vp.data[[#This Row],[SDate]]),5,1),vp.data[[#This Row],[SDate]]&lt;=DATE(YEAR(vp.data[[#This Row],[SDate]]),9,15)),1,0)</f>
        <v>0</v>
      </c>
      <c r="AN820" s="4">
        <f>IF(vp.data[[#This Row],[SDate]]&lt;DATE(2016,12,1),0,1)</f>
        <v>1</v>
      </c>
      <c r="AO820" s="4">
        <f>IFERROR(vp.data[[#This Row],[Sulf]]*vp.data[[#This Row],[Net Dens]],"")</f>
        <v>681800.21500499989</v>
      </c>
      <c r="AP820">
        <f>IFERROR(vp.data[[#This Row],[Dens]]*vp.data[[#This Row],[VolumeM3]],"")</f>
        <v>266120.30249999999</v>
      </c>
      <c r="AQ820" s="15">
        <f>IFERROR(vp.data[[#This Row],[VP]]*vp.data[[#This Row],[VolumeM3]],"")</f>
        <v>19985.558900000004</v>
      </c>
    </row>
    <row r="821" spans="1:43" x14ac:dyDescent="0.25">
      <c r="A821">
        <v>820</v>
      </c>
      <c r="B821" t="s">
        <v>51</v>
      </c>
      <c r="C821" t="s">
        <v>51</v>
      </c>
      <c r="D821" t="s">
        <v>58</v>
      </c>
      <c r="F821" s="1">
        <v>42784</v>
      </c>
      <c r="G821" s="2">
        <v>94.9</v>
      </c>
      <c r="H821" s="2"/>
      <c r="I821" s="2">
        <f t="array" ref="I821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821" s="2">
        <v>28.2</v>
      </c>
      <c r="K821" s="2">
        <v>2</v>
      </c>
      <c r="L821" s="2">
        <v>824.6</v>
      </c>
      <c r="M821" s="2">
        <f t="array" ref="M821">_xlfn.IFNA(IF(vp.data[[#This Row],[Dens Input]]="",INDEX([1]DATA!$O$3:$O$9826,MATCH(1,(vp.data[[#This Row],[Battery]]=[1]DATA!$L$3:$L$9826)*(EOMONTH(vp.data[[#This Row],[SDate]],-1)+1=[1]DATA!$G$3:$G$9826),0)),vp.data[[#This Row],[Dens Input]]),"")</f>
        <v>824.6</v>
      </c>
      <c r="N821" s="2">
        <f ca="1">INDEX(INDIRECT(_xlfn.CONCAT("weather.tbl[",N$1,"]")),MATCH(vp.data[[#This Row],[SDate]],weather.tbl[Date],0))</f>
        <v>-0.54999999999999993</v>
      </c>
      <c r="O821" s="2">
        <f ca="1">INDEX(INDIRECT(_xlfn.CONCAT("weather.tbl[",O$1,"]")),MATCH(vp.data[[#This Row],[SDate]],weather.tbl[Date],0))</f>
        <v>-1.0261904761904761</v>
      </c>
      <c r="P821" s="2">
        <f ca="1">INDEX(INDIRECT(_xlfn.CONCAT("weather.tbl[",P$1,"]")),MATCH(vp.data[[#This Row],[SDate]],weather.tbl[Date],0))</f>
        <v>-1.9</v>
      </c>
      <c r="Q821" s="2">
        <f ca="1">INDEX(INDIRECT(_xlfn.CONCAT("weather.tbl[",Q$1,"]")),MATCH(vp.data[[#This Row],[SDate]],weather.tbl[Date],0))</f>
        <v>-1.6</v>
      </c>
      <c r="R821" s="2">
        <f ca="1">INDEX(INDIRECT(_xlfn.CONCAT("weather.tbl[",R$1,"]")),MATCH(vp.data[[#This Row],[SDate]],weather.tbl[Date],0))</f>
        <v>-1</v>
      </c>
      <c r="S821" s="2">
        <f ca="1">INDEX(INDIRECT(_xlfn.CONCAT("weather.tbl[",S$1,"]")),MATCH(vp.data[[#This Row],[SDate]],weather.tbl[Date],0))</f>
        <v>-0.6</v>
      </c>
      <c r="T821" s="2">
        <f ca="1">INDEX(INDIRECT(_xlfn.CONCAT("weather.tbl[",T$1,"]")),MATCH(vp.data[[#This Row],[SDate]],weather.tbl[Date],0))</f>
        <v>-0.2</v>
      </c>
      <c r="U821" s="2">
        <f ca="1">INDEX(INDIRECT(_xlfn.CONCAT("weather.tbl[",U$1,"]")),MATCH(vp.data[[#This Row],[SDate]],weather.tbl[Date],0))</f>
        <v>2</v>
      </c>
      <c r="V821" s="2">
        <f t="array" ref="V8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5483.6130000000003</v>
      </c>
      <c r="W821" t="s">
        <v>48</v>
      </c>
      <c r="X821">
        <f>IF(OR(vp.data[[#This Row],[Sulf]]="",vp.data[[#This Row],[Dens]]=""),1,0)</f>
        <v>0</v>
      </c>
      <c r="Y821">
        <f>IF(vp.data[[#This Row],[CrudeType]]="C5+",1,0)</f>
        <v>0</v>
      </c>
      <c r="Z821">
        <f>IF(AND(vp.data[[#This Row],[CrudeType]]="Crude",vp.data[[#This Row],[Dens]]&lt;=825,vp.data[[#This Row],[Sulf]]&gt;0.5,vp.data[[#This Row],[Unknown]]=0),1,0)</f>
        <v>1</v>
      </c>
      <c r="AA821">
        <f>IF(AND(vp.data[[#This Row],[CrudeType]]="Crude",vp.data[[#This Row],[Dens]]&lt;=825,vp.data[[#This Row],[Sulf]]&lt;=0.5,vp.data[[#This Row],[Unknown]]=0),1,0)</f>
        <v>0</v>
      </c>
      <c r="AB8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21">
        <f>IF(AND(vp.data[[#This Row],[CrudeType]]="Crude",vp.data[[#This Row],[Dens]]&gt;825,vp.data[[#This Row],[Dens]]&lt;=900,vp.data[[#This Row],[Sulf]]&lt;=0.5,vp.data[[#This Row],[Unknown]]=0),1,0)</f>
        <v>0</v>
      </c>
      <c r="AD821">
        <f>IF(AND(vp.data[[#This Row],[CrudeType]]="Crude",vp.data[[#This Row],[Dens]]&gt;865,vp.data[[#This Row],[Dens]]&lt;=900,vp.data[[#This Row],[Sulf]]&gt;2,vp.data[[#This Row],[Unknown]]=0),1,0)</f>
        <v>0</v>
      </c>
      <c r="AE821">
        <f>IF(AND(vp.data[[#This Row],[CrudeType]]="Crude",vp.data[[#This Row],[Dens]]&gt;900,vp.data[[#This Row],[Sulf]]&lt;=0.5,vp.data[[#This Row],[Unknown]]=0),1,0)</f>
        <v>0</v>
      </c>
      <c r="AF821">
        <f>IF(AND(vp.data[[#This Row],[CrudeType]]="Crude",vp.data[[#This Row],[Dens]]&gt;900,vp.data[[#This Row],[Sulf]]&lt;=0.5,vp.data[[#This Row],[Unknown]]=0),1,0)</f>
        <v>0</v>
      </c>
      <c r="AG821" t="str">
        <f>INDEX(vp.data[[#Headers],[Unknown]:[Heavy_SW]],MATCH(1,vp.data[[#This Row],[Unknown]:[Heavy_SW]],0))</f>
        <v>Light_LSB</v>
      </c>
      <c r="AH821">
        <f>INDEX([3]!crudeBD.lkup[Number],MATCH(vp.data[[#This Row],[Crude_Breakdown]],crudeBD.lkup[Crude Breakdown],0))</f>
        <v>1</v>
      </c>
      <c r="AI821">
        <f>MONTH(vp.data[[#This Row],[SDate]])</f>
        <v>2</v>
      </c>
      <c r="AJ821" s="5">
        <f>(vp.data[[#This Row],[VP]]-INDEX(crudeBD.lkup[Mean_VP],MATCH(vp.data[[#This Row],[Crude_Breakdown]],crudeBD.lkup[Crude Breakdown],0)))^2</f>
        <v>11.24807125092979</v>
      </c>
      <c r="AK821" s="5">
        <f>(vp.data[[#This Row],[Dens]]-INDEX(crudeBD.lkup[Mean_Dens],MATCH(vp.data[[#This Row],[Crude_Breakdown]],crudeBD.lkup[Crude Breakdown],0)))^2</f>
        <v>37.005690159544017</v>
      </c>
      <c r="AL821" s="5">
        <f>(vp.data[[#This Row],[Sulf]]-INDEX(crudeBD.lkup[Mean_Sulf],MATCH(vp.data[[#This Row],[Crude_Breakdown]],crudeBD.lkup[Crude Breakdown],0)))^2</f>
        <v>0.26731881272129659</v>
      </c>
      <c r="AM821" s="4">
        <f>IF(AND(vp.data[[#This Row],[SDate]]&gt;=DATE(YEAR(vp.data[[#This Row],[SDate]]),5,1),vp.data[[#This Row],[SDate]]&lt;=DATE(YEAR(vp.data[[#This Row],[SDate]]),9,15)),1,0)</f>
        <v>0</v>
      </c>
      <c r="AN821" s="4">
        <f>IF(vp.data[[#This Row],[SDate]]&lt;DATE(2016,12,1),0,1)</f>
        <v>1</v>
      </c>
      <c r="AO821" s="4">
        <f>IFERROR(vp.data[[#This Row],[Sulf]]*vp.data[[#This Row],[Net Dens]],"")</f>
        <v>6511373.6829120005</v>
      </c>
      <c r="AP821">
        <f>IFERROR(vp.data[[#This Row],[Dens]]*vp.data[[#This Row],[VolumeM3]],"")</f>
        <v>4521787.2798000006</v>
      </c>
      <c r="AQ821" s="15">
        <f>IFERROR(vp.data[[#This Row],[VP]]*vp.data[[#This Row],[VolumeM3]],"")</f>
        <v>520394.87370000005</v>
      </c>
    </row>
    <row r="822" spans="1:43" x14ac:dyDescent="0.25">
      <c r="A822">
        <v>821</v>
      </c>
      <c r="B822" t="s">
        <v>62</v>
      </c>
      <c r="C822" t="s">
        <v>62</v>
      </c>
      <c r="D822" t="s">
        <v>63</v>
      </c>
      <c r="F822" s="1">
        <v>42784</v>
      </c>
      <c r="G822" s="2">
        <v>98.1</v>
      </c>
      <c r="H822" s="2"/>
      <c r="I822" s="2">
        <f t="array" ref="I822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822" s="2">
        <v>17.5</v>
      </c>
      <c r="K822" s="2">
        <v>1</v>
      </c>
      <c r="L822" s="2">
        <v>828.6</v>
      </c>
      <c r="M822" s="2">
        <f t="array" ref="M822">_xlfn.IFNA(IF(vp.data[[#This Row],[Dens Input]]="",INDEX([1]DATA!$O$3:$O$9826,MATCH(1,(vp.data[[#This Row],[Battery]]=[1]DATA!$L$3:$L$9826)*(EOMONTH(vp.data[[#This Row],[SDate]],-1)+1=[1]DATA!$G$3:$G$9826),0)),vp.data[[#This Row],[Dens Input]]),"")</f>
        <v>828.6</v>
      </c>
      <c r="N822" s="2">
        <f ca="1">INDEX(INDIRECT(_xlfn.CONCAT("weather.tbl[",N$1,"]")),MATCH(vp.data[[#This Row],[SDate]],weather.tbl[Date],0))</f>
        <v>-0.54999999999999993</v>
      </c>
      <c r="O822" s="2">
        <f ca="1">INDEX(INDIRECT(_xlfn.CONCAT("weather.tbl[",O$1,"]")),MATCH(vp.data[[#This Row],[SDate]],weather.tbl[Date],0))</f>
        <v>-1.0261904761904761</v>
      </c>
      <c r="P822" s="2">
        <f ca="1">INDEX(INDIRECT(_xlfn.CONCAT("weather.tbl[",P$1,"]")),MATCH(vp.data[[#This Row],[SDate]],weather.tbl[Date],0))</f>
        <v>-1.9</v>
      </c>
      <c r="Q822" s="2">
        <f ca="1">INDEX(INDIRECT(_xlfn.CONCAT("weather.tbl[",Q$1,"]")),MATCH(vp.data[[#This Row],[SDate]],weather.tbl[Date],0))</f>
        <v>-1.6</v>
      </c>
      <c r="R822" s="2">
        <f ca="1">INDEX(INDIRECT(_xlfn.CONCAT("weather.tbl[",R$1,"]")),MATCH(vp.data[[#This Row],[SDate]],weather.tbl[Date],0))</f>
        <v>-1</v>
      </c>
      <c r="S822" s="2">
        <f ca="1">INDEX(INDIRECT(_xlfn.CONCAT("weather.tbl[",S$1,"]")),MATCH(vp.data[[#This Row],[SDate]],weather.tbl[Date],0))</f>
        <v>-0.6</v>
      </c>
      <c r="T822" s="2">
        <f ca="1">INDEX(INDIRECT(_xlfn.CONCAT("weather.tbl[",T$1,"]")),MATCH(vp.data[[#This Row],[SDate]],weather.tbl[Date],0))</f>
        <v>-0.2</v>
      </c>
      <c r="U822" s="2">
        <f ca="1">INDEX(INDIRECT(_xlfn.CONCAT("weather.tbl[",U$1,"]")),MATCH(vp.data[[#This Row],[SDate]],weather.tbl[Date],0))</f>
        <v>2</v>
      </c>
      <c r="V822" s="2">
        <f t="array" ref="V8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22" t="s">
        <v>48</v>
      </c>
      <c r="X822">
        <f>IF(OR(vp.data[[#This Row],[Sulf]]="",vp.data[[#This Row],[Dens]]=""),1,0)</f>
        <v>0</v>
      </c>
      <c r="Y822">
        <f>IF(vp.data[[#This Row],[CrudeType]]="C5+",1,0)</f>
        <v>0</v>
      </c>
      <c r="Z822">
        <f>IF(AND(vp.data[[#This Row],[CrudeType]]="Crude",vp.data[[#This Row],[Dens]]&lt;=825,vp.data[[#This Row],[Sulf]]&gt;0.5,vp.data[[#This Row],[Unknown]]=0),1,0)</f>
        <v>0</v>
      </c>
      <c r="AA822">
        <f>IF(AND(vp.data[[#This Row],[CrudeType]]="Crude",vp.data[[#This Row],[Dens]]&lt;=825,vp.data[[#This Row],[Sulf]]&lt;=0.5,vp.data[[#This Row],[Unknown]]=0),1,0)</f>
        <v>0</v>
      </c>
      <c r="AB8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2">
        <f>IF(AND(vp.data[[#This Row],[CrudeType]]="Crude",vp.data[[#This Row],[Dens]]&gt;825,vp.data[[#This Row],[Dens]]&lt;=900,vp.data[[#This Row],[Sulf]]&lt;=0.5,vp.data[[#This Row],[Unknown]]=0),1,0)</f>
        <v>0</v>
      </c>
      <c r="AD822">
        <f>IF(AND(vp.data[[#This Row],[CrudeType]]="Crude",vp.data[[#This Row],[Dens]]&gt;865,vp.data[[#This Row],[Dens]]&lt;=900,vp.data[[#This Row],[Sulf]]&gt;2,vp.data[[#This Row],[Unknown]]=0),1,0)</f>
        <v>0</v>
      </c>
      <c r="AE822">
        <f>IF(AND(vp.data[[#This Row],[CrudeType]]="Crude",vp.data[[#This Row],[Dens]]&gt;900,vp.data[[#This Row],[Sulf]]&lt;=0.5,vp.data[[#This Row],[Unknown]]=0),1,0)</f>
        <v>0</v>
      </c>
      <c r="AF822">
        <f>IF(AND(vp.data[[#This Row],[CrudeType]]="Crude",vp.data[[#This Row],[Dens]]&gt;900,vp.data[[#This Row],[Sulf]]&lt;=0.5,vp.data[[#This Row],[Unknown]]=0),1,0)</f>
        <v>0</v>
      </c>
      <c r="AG822" t="str">
        <f>INDEX(vp.data[[#Headers],[Unknown]:[Heavy_SW]],MATCH(1,vp.data[[#This Row],[Unknown]:[Heavy_SW]],0))</f>
        <v>Medium_LSB</v>
      </c>
      <c r="AH822">
        <f>INDEX([3]!crudeBD.lkup[Number],MATCH(vp.data[[#This Row],[Crude_Breakdown]],crudeBD.lkup[Crude Breakdown],0))</f>
        <v>3</v>
      </c>
      <c r="AI822">
        <f>MONTH(vp.data[[#This Row],[SDate]])</f>
        <v>2</v>
      </c>
      <c r="AJ822" s="5">
        <f>(vp.data[[#This Row],[VP]]-INDEX(crudeBD.lkup[Mean_VP],MATCH(vp.data[[#This Row],[Crude_Breakdown]],crudeBD.lkup[Crude Breakdown],0)))^2</f>
        <v>304.86289498332849</v>
      </c>
      <c r="AK822" s="5">
        <f>(vp.data[[#This Row],[Dens]]-INDEX(crudeBD.lkup[Mean_Dens],MATCH(vp.data[[#This Row],[Crude_Breakdown]],crudeBD.lkup[Crude Breakdown],0)))^2</f>
        <v>234.70239999998412</v>
      </c>
      <c r="AL822" s="5">
        <f>(vp.data[[#This Row],[Sulf]]-INDEX(crudeBD.lkup[Mean_Sulf],MATCH(vp.data[[#This Row],[Crude_Breakdown]],crudeBD.lkup[Crude Breakdown],0)))^2</f>
        <v>2.0906809828845806E-2</v>
      </c>
      <c r="AM822" s="4">
        <f>IF(AND(vp.data[[#This Row],[SDate]]&gt;=DATE(YEAR(vp.data[[#This Row],[SDate]]),5,1),vp.data[[#This Row],[SDate]]&lt;=DATE(YEAR(vp.data[[#This Row],[SDate]]),9,15)),1,0)</f>
        <v>0</v>
      </c>
      <c r="AN822" s="4">
        <f>IF(vp.data[[#This Row],[SDate]]&lt;DATE(2016,12,1),0,1)</f>
        <v>1</v>
      </c>
      <c r="AO822" s="4">
        <f>IFERROR(vp.data[[#This Row],[Sulf]]*vp.data[[#This Row],[Net Dens]],"")</f>
        <v>6311836.1971619995</v>
      </c>
      <c r="AP822">
        <f>IFERROR(vp.data[[#This Row],[Dens]]*vp.data[[#This Row],[VolumeM3]],"")</f>
        <v>4125383.1353999996</v>
      </c>
      <c r="AQ822" s="15">
        <f>IFERROR(vp.data[[#This Row],[VP]]*vp.data[[#This Row],[VolumeM3]],"")</f>
        <v>488414.29589999991</v>
      </c>
    </row>
    <row r="823" spans="1:43" x14ac:dyDescent="0.25">
      <c r="A823">
        <v>822</v>
      </c>
      <c r="B823" t="s">
        <v>51</v>
      </c>
      <c r="C823" t="s">
        <v>51</v>
      </c>
      <c r="D823" t="s">
        <v>72</v>
      </c>
      <c r="F823" s="1">
        <v>42784</v>
      </c>
      <c r="G823" s="2">
        <v>96.2</v>
      </c>
      <c r="H823" s="2"/>
      <c r="I823" s="2">
        <f t="array" ref="I823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823" s="2">
        <v>27.2</v>
      </c>
      <c r="K823" s="2">
        <v>1</v>
      </c>
      <c r="L823" s="2">
        <v>830.6</v>
      </c>
      <c r="M823" s="2">
        <f t="array" ref="M823">_xlfn.IFNA(IF(vp.data[[#This Row],[Dens Input]]="",INDEX([1]DATA!$O$3:$O$9826,MATCH(1,(vp.data[[#This Row],[Battery]]=[1]DATA!$L$3:$L$9826)*(EOMONTH(vp.data[[#This Row],[SDate]],-1)+1=[1]DATA!$G$3:$G$9826),0)),vp.data[[#This Row],[Dens Input]]),"")</f>
        <v>830.6</v>
      </c>
      <c r="N823" s="2">
        <f ca="1">INDEX(INDIRECT(_xlfn.CONCAT("weather.tbl[",N$1,"]")),MATCH(vp.data[[#This Row],[SDate]],weather.tbl[Date],0))</f>
        <v>-0.54999999999999993</v>
      </c>
      <c r="O823" s="2">
        <f ca="1">INDEX(INDIRECT(_xlfn.CONCAT("weather.tbl[",O$1,"]")),MATCH(vp.data[[#This Row],[SDate]],weather.tbl[Date],0))</f>
        <v>-1.0261904761904761</v>
      </c>
      <c r="P823" s="2">
        <f ca="1">INDEX(INDIRECT(_xlfn.CONCAT("weather.tbl[",P$1,"]")),MATCH(vp.data[[#This Row],[SDate]],weather.tbl[Date],0))</f>
        <v>-1.9</v>
      </c>
      <c r="Q823" s="2">
        <f ca="1">INDEX(INDIRECT(_xlfn.CONCAT("weather.tbl[",Q$1,"]")),MATCH(vp.data[[#This Row],[SDate]],weather.tbl[Date],0))</f>
        <v>-1.6</v>
      </c>
      <c r="R823" s="2">
        <f ca="1">INDEX(INDIRECT(_xlfn.CONCAT("weather.tbl[",R$1,"]")),MATCH(vp.data[[#This Row],[SDate]],weather.tbl[Date],0))</f>
        <v>-1</v>
      </c>
      <c r="S823" s="2">
        <f ca="1">INDEX(INDIRECT(_xlfn.CONCAT("weather.tbl[",S$1,"]")),MATCH(vp.data[[#This Row],[SDate]],weather.tbl[Date],0))</f>
        <v>-0.6</v>
      </c>
      <c r="T823" s="2">
        <f ca="1">INDEX(INDIRECT(_xlfn.CONCAT("weather.tbl[",T$1,"]")),MATCH(vp.data[[#This Row],[SDate]],weather.tbl[Date],0))</f>
        <v>-0.2</v>
      </c>
      <c r="U823" s="2">
        <f ca="1">INDEX(INDIRECT(_xlfn.CONCAT("weather.tbl[",U$1,"]")),MATCH(vp.data[[#This Row],[SDate]],weather.tbl[Date],0))</f>
        <v>2</v>
      </c>
      <c r="V823" s="2">
        <f t="array" ref="V8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823" t="s">
        <v>48</v>
      </c>
      <c r="X823">
        <f>IF(OR(vp.data[[#This Row],[Sulf]]="",vp.data[[#This Row],[Dens]]=""),1,0)</f>
        <v>0</v>
      </c>
      <c r="Y823">
        <f>IF(vp.data[[#This Row],[CrudeType]]="C5+",1,0)</f>
        <v>0</v>
      </c>
      <c r="Z823">
        <f>IF(AND(vp.data[[#This Row],[CrudeType]]="Crude",vp.data[[#This Row],[Dens]]&lt;=825,vp.data[[#This Row],[Sulf]]&gt;0.5,vp.data[[#This Row],[Unknown]]=0),1,0)</f>
        <v>0</v>
      </c>
      <c r="AA823">
        <f>IF(AND(vp.data[[#This Row],[CrudeType]]="Crude",vp.data[[#This Row],[Dens]]&lt;=825,vp.data[[#This Row],[Sulf]]&lt;=0.5,vp.data[[#This Row],[Unknown]]=0),1,0)</f>
        <v>0</v>
      </c>
      <c r="AB8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3">
        <f>IF(AND(vp.data[[#This Row],[CrudeType]]="Crude",vp.data[[#This Row],[Dens]]&gt;825,vp.data[[#This Row],[Dens]]&lt;=900,vp.data[[#This Row],[Sulf]]&lt;=0.5,vp.data[[#This Row],[Unknown]]=0),1,0)</f>
        <v>0</v>
      </c>
      <c r="AD823">
        <f>IF(AND(vp.data[[#This Row],[CrudeType]]="Crude",vp.data[[#This Row],[Dens]]&gt;865,vp.data[[#This Row],[Dens]]&lt;=900,vp.data[[#This Row],[Sulf]]&gt;2,vp.data[[#This Row],[Unknown]]=0),1,0)</f>
        <v>0</v>
      </c>
      <c r="AE823">
        <f>IF(AND(vp.data[[#This Row],[CrudeType]]="Crude",vp.data[[#This Row],[Dens]]&gt;900,vp.data[[#This Row],[Sulf]]&lt;=0.5,vp.data[[#This Row],[Unknown]]=0),1,0)</f>
        <v>0</v>
      </c>
      <c r="AF823">
        <f>IF(AND(vp.data[[#This Row],[CrudeType]]="Crude",vp.data[[#This Row],[Dens]]&gt;900,vp.data[[#This Row],[Sulf]]&lt;=0.5,vp.data[[#This Row],[Unknown]]=0),1,0)</f>
        <v>0</v>
      </c>
      <c r="AG823" t="str">
        <f>INDEX(vp.data[[#Headers],[Unknown]:[Heavy_SW]],MATCH(1,vp.data[[#This Row],[Unknown]:[Heavy_SW]],0))</f>
        <v>Medium_LSB</v>
      </c>
      <c r="AH823">
        <f>INDEX([3]!crudeBD.lkup[Number],MATCH(vp.data[[#This Row],[Crude_Breakdown]],crudeBD.lkup[Crude Breakdown],0))</f>
        <v>3</v>
      </c>
      <c r="AI823">
        <f>MONTH(vp.data[[#This Row],[SDate]])</f>
        <v>2</v>
      </c>
      <c r="AJ823" s="5">
        <f>(vp.data[[#This Row],[VP]]-INDEX(crudeBD.lkup[Mean_VP],MATCH(vp.data[[#This Row],[Crude_Breakdown]],crudeBD.lkup[Crude Breakdown],0)))^2</f>
        <v>242.12366587281639</v>
      </c>
      <c r="AK823" s="5">
        <f>(vp.data[[#This Row],[Dens]]-INDEX(crudeBD.lkup[Mean_Dens],MATCH(vp.data[[#This Row],[Crude_Breakdown]],crudeBD.lkup[Crude Breakdown],0)))^2</f>
        <v>177.4223999999862</v>
      </c>
      <c r="AL823" s="5">
        <f>(vp.data[[#This Row],[Sulf]]-INDEX(crudeBD.lkup[Mean_Sulf],MATCH(vp.data[[#This Row],[Crude_Breakdown]],crudeBD.lkup[Crude Breakdown],0)))^2</f>
        <v>6.5233311176555966E-2</v>
      </c>
      <c r="AM823" s="4">
        <f>IF(AND(vp.data[[#This Row],[SDate]]&gt;=DATE(YEAR(vp.data[[#This Row],[SDate]]),5,1),vp.data[[#This Row],[SDate]]&lt;=DATE(YEAR(vp.data[[#This Row],[SDate]]),9,15)),1,0)</f>
        <v>0</v>
      </c>
      <c r="AN823" s="4">
        <f>IF(vp.data[[#This Row],[SDate]]&lt;DATE(2016,12,1),0,1)</f>
        <v>1</v>
      </c>
      <c r="AO823" s="4">
        <f>IFERROR(vp.data[[#This Row],[Sulf]]*vp.data[[#This Row],[Net Dens]],"")</f>
        <v>11771206.960073998</v>
      </c>
      <c r="AP823">
        <f>IFERROR(vp.data[[#This Row],[Dens]]*vp.data[[#This Row],[VolumeM3]],"")</f>
        <v>10416997.309799999</v>
      </c>
      <c r="AQ823" s="15">
        <f>IFERROR(vp.data[[#This Row],[VP]]*vp.data[[#This Row],[VolumeM3]],"")</f>
        <v>1206495.4746000001</v>
      </c>
    </row>
    <row r="824" spans="1:43" x14ac:dyDescent="0.25">
      <c r="A824">
        <v>823</v>
      </c>
      <c r="B824" t="s">
        <v>51</v>
      </c>
      <c r="C824" t="s">
        <v>51</v>
      </c>
      <c r="D824" t="s">
        <v>126</v>
      </c>
      <c r="F824" s="1">
        <v>42784</v>
      </c>
      <c r="G824" s="2">
        <v>99.2</v>
      </c>
      <c r="H824" s="2"/>
      <c r="I824" s="2">
        <f t="array" ref="I824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824" s="2">
        <v>11.7</v>
      </c>
      <c r="K824" s="2">
        <v>-16</v>
      </c>
      <c r="L824" s="2">
        <v>846.6</v>
      </c>
      <c r="M824" s="2">
        <f t="array" ref="M824">_xlfn.IFNA(IF(vp.data[[#This Row],[Dens Input]]="",INDEX([1]DATA!$O$3:$O$9826,MATCH(1,(vp.data[[#This Row],[Battery]]=[1]DATA!$L$3:$L$9826)*(EOMONTH(vp.data[[#This Row],[SDate]],-1)+1=[1]DATA!$G$3:$G$9826),0)),vp.data[[#This Row],[Dens Input]]),"")</f>
        <v>846.6</v>
      </c>
      <c r="N824" s="2">
        <f ca="1">INDEX(INDIRECT(_xlfn.CONCAT("weather.tbl[",N$1,"]")),MATCH(vp.data[[#This Row],[SDate]],weather.tbl[Date],0))</f>
        <v>-0.54999999999999993</v>
      </c>
      <c r="O824" s="2">
        <f ca="1">INDEX(INDIRECT(_xlfn.CONCAT("weather.tbl[",O$1,"]")),MATCH(vp.data[[#This Row],[SDate]],weather.tbl[Date],0))</f>
        <v>-1.0261904761904761</v>
      </c>
      <c r="P824" s="2">
        <f ca="1">INDEX(INDIRECT(_xlfn.CONCAT("weather.tbl[",P$1,"]")),MATCH(vp.data[[#This Row],[SDate]],weather.tbl[Date],0))</f>
        <v>-1.9</v>
      </c>
      <c r="Q824" s="2">
        <f ca="1">INDEX(INDIRECT(_xlfn.CONCAT("weather.tbl[",Q$1,"]")),MATCH(vp.data[[#This Row],[SDate]],weather.tbl[Date],0))</f>
        <v>-1.6</v>
      </c>
      <c r="R824" s="2">
        <f ca="1">INDEX(INDIRECT(_xlfn.CONCAT("weather.tbl[",R$1,"]")),MATCH(vp.data[[#This Row],[SDate]],weather.tbl[Date],0))</f>
        <v>-1</v>
      </c>
      <c r="S824" s="2">
        <f ca="1">INDEX(INDIRECT(_xlfn.CONCAT("weather.tbl[",S$1,"]")),MATCH(vp.data[[#This Row],[SDate]],weather.tbl[Date],0))</f>
        <v>-0.6</v>
      </c>
      <c r="T824" s="2">
        <f ca="1">INDEX(INDIRECT(_xlfn.CONCAT("weather.tbl[",T$1,"]")),MATCH(vp.data[[#This Row],[SDate]],weather.tbl[Date],0))</f>
        <v>-0.2</v>
      </c>
      <c r="U824" s="2">
        <f ca="1">INDEX(INDIRECT(_xlfn.CONCAT("weather.tbl[",U$1,"]")),MATCH(vp.data[[#This Row],[SDate]],weather.tbl[Date],0))</f>
        <v>2</v>
      </c>
      <c r="V824" s="2">
        <f t="array" ref="V8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1058.9190000000001</v>
      </c>
      <c r="W824" t="s">
        <v>48</v>
      </c>
      <c r="X824">
        <f>IF(OR(vp.data[[#This Row],[Sulf]]="",vp.data[[#This Row],[Dens]]=""),1,0)</f>
        <v>0</v>
      </c>
      <c r="Y824">
        <f>IF(vp.data[[#This Row],[CrudeType]]="C5+",1,0)</f>
        <v>0</v>
      </c>
      <c r="Z824">
        <f>IF(AND(vp.data[[#This Row],[CrudeType]]="Crude",vp.data[[#This Row],[Dens]]&lt;=825,vp.data[[#This Row],[Sulf]]&gt;0.5,vp.data[[#This Row],[Unknown]]=0),1,0)</f>
        <v>0</v>
      </c>
      <c r="AA824">
        <f>IF(AND(vp.data[[#This Row],[CrudeType]]="Crude",vp.data[[#This Row],[Dens]]&lt;=825,vp.data[[#This Row],[Sulf]]&lt;=0.5,vp.data[[#This Row],[Unknown]]=0),1,0)</f>
        <v>0</v>
      </c>
      <c r="AB8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4">
        <f>IF(AND(vp.data[[#This Row],[CrudeType]]="Crude",vp.data[[#This Row],[Dens]]&gt;825,vp.data[[#This Row],[Dens]]&lt;=900,vp.data[[#This Row],[Sulf]]&lt;=0.5,vp.data[[#This Row],[Unknown]]=0),1,0)</f>
        <v>0</v>
      </c>
      <c r="AD824">
        <f>IF(AND(vp.data[[#This Row],[CrudeType]]="Crude",vp.data[[#This Row],[Dens]]&gt;865,vp.data[[#This Row],[Dens]]&lt;=900,vp.data[[#This Row],[Sulf]]&gt;2,vp.data[[#This Row],[Unknown]]=0),1,0)</f>
        <v>0</v>
      </c>
      <c r="AE824">
        <f>IF(AND(vp.data[[#This Row],[CrudeType]]="Crude",vp.data[[#This Row],[Dens]]&gt;900,vp.data[[#This Row],[Sulf]]&lt;=0.5,vp.data[[#This Row],[Unknown]]=0),1,0)</f>
        <v>0</v>
      </c>
      <c r="AF824">
        <f>IF(AND(vp.data[[#This Row],[CrudeType]]="Crude",vp.data[[#This Row],[Dens]]&gt;900,vp.data[[#This Row],[Sulf]]&lt;=0.5,vp.data[[#This Row],[Unknown]]=0),1,0)</f>
        <v>0</v>
      </c>
      <c r="AG824" t="str">
        <f>INDEX(vp.data[[#Headers],[Unknown]:[Heavy_SW]],MATCH(1,vp.data[[#This Row],[Unknown]:[Heavy_SW]],0))</f>
        <v>Medium_LSB</v>
      </c>
      <c r="AH824">
        <f>INDEX([3]!crudeBD.lkup[Number],MATCH(vp.data[[#This Row],[Crude_Breakdown]],crudeBD.lkup[Crude Breakdown],0))</f>
        <v>3</v>
      </c>
      <c r="AI824">
        <f>MONTH(vp.data[[#This Row],[SDate]])</f>
        <v>2</v>
      </c>
      <c r="AJ824" s="5">
        <f>(vp.data[[#This Row],[VP]]-INDEX(crudeBD.lkup[Mean_VP],MATCH(vp.data[[#This Row],[Crude_Breakdown]],crudeBD.lkup[Crude Breakdown],0)))^2</f>
        <v>344.48560657362543</v>
      </c>
      <c r="AK824" s="5">
        <f>(vp.data[[#This Row],[Dens]]-INDEX(crudeBD.lkup[Mean_Dens],MATCH(vp.data[[#This Row],[Crude_Breakdown]],crudeBD.lkup[Crude Breakdown],0)))^2</f>
        <v>7.1824000000027786</v>
      </c>
      <c r="AL824" s="5">
        <f>(vp.data[[#This Row],[Sulf]]-INDEX(crudeBD.lkup[Mean_Sulf],MATCH(vp.data[[#This Row],[Crude_Breakdown]],crudeBD.lkup[Crude Breakdown],0)))^2</f>
        <v>0.11874355915499073</v>
      </c>
      <c r="AM824" s="4">
        <f>IF(AND(vp.data[[#This Row],[SDate]]&gt;=DATE(YEAR(vp.data[[#This Row],[SDate]]),5,1),vp.data[[#This Row],[SDate]]&lt;=DATE(YEAR(vp.data[[#This Row],[SDate]]),9,15)),1,0)</f>
        <v>0</v>
      </c>
      <c r="AN824" s="4">
        <f>IF(vp.data[[#This Row],[SDate]]&lt;DATE(2016,12,1),0,1)</f>
        <v>1</v>
      </c>
      <c r="AO824" s="4">
        <f>IFERROR(vp.data[[#This Row],[Sulf]]*vp.data[[#This Row],[Net Dens]],"")</f>
        <v>1550911.8279420002</v>
      </c>
      <c r="AP824">
        <f>IFERROR(vp.data[[#This Row],[Dens]]*vp.data[[#This Row],[VolumeM3]],"")</f>
        <v>896480.82540000009</v>
      </c>
      <c r="AQ824" s="15">
        <f>IFERROR(vp.data[[#This Row],[VP]]*vp.data[[#This Row],[VolumeM3]],"")</f>
        <v>105044.76480000002</v>
      </c>
    </row>
    <row r="825" spans="1:43" x14ac:dyDescent="0.25">
      <c r="A825">
        <v>824</v>
      </c>
      <c r="B825" t="s">
        <v>56</v>
      </c>
      <c r="C825" t="s">
        <v>56</v>
      </c>
      <c r="D825" t="s">
        <v>94</v>
      </c>
      <c r="F825" s="1">
        <v>42784</v>
      </c>
      <c r="G825" s="2">
        <v>74.900000000000006</v>
      </c>
      <c r="H825" s="2"/>
      <c r="I825" s="2">
        <f t="array" ref="I825">_xlfn.IFNA(IF(vp.data[[#This Row],[Sulf Input]]="",INDEX([1]DATA!$Q$3:$Q$9826,MATCH(1,(vp.data[[#This Row],[Battery]]=[1]DATA!$L$3:$L$9826)*(EOMONTH(vp.data[[#This Row],[SDate]],-1)+1=[1]DATA!$G$3:$G$9826),0)),vp.data[[#This Row],[Sulf Input]]),"")</f>
        <v>1.95</v>
      </c>
      <c r="J825" s="2">
        <v>22.4</v>
      </c>
      <c r="K825" s="2">
        <v>2</v>
      </c>
      <c r="L825" s="2">
        <v>858.4</v>
      </c>
      <c r="M825" s="2">
        <f t="array" ref="M825">_xlfn.IFNA(IF(vp.data[[#This Row],[Dens Input]]="",INDEX([1]DATA!$O$3:$O$9826,MATCH(1,(vp.data[[#This Row],[Battery]]=[1]DATA!$L$3:$L$9826)*(EOMONTH(vp.data[[#This Row],[SDate]],-1)+1=[1]DATA!$G$3:$G$9826),0)),vp.data[[#This Row],[Dens Input]]),"")</f>
        <v>858.4</v>
      </c>
      <c r="N825" s="2">
        <f ca="1">INDEX(INDIRECT(_xlfn.CONCAT("weather.tbl[",N$1,"]")),MATCH(vp.data[[#This Row],[SDate]],weather.tbl[Date],0))</f>
        <v>-0.54999999999999993</v>
      </c>
      <c r="O825" s="2">
        <f ca="1">INDEX(INDIRECT(_xlfn.CONCAT("weather.tbl[",O$1,"]")),MATCH(vp.data[[#This Row],[SDate]],weather.tbl[Date],0))</f>
        <v>-1.0261904761904761</v>
      </c>
      <c r="P825" s="2">
        <f ca="1">INDEX(INDIRECT(_xlfn.CONCAT("weather.tbl[",P$1,"]")),MATCH(vp.data[[#This Row],[SDate]],weather.tbl[Date],0))</f>
        <v>-1.9</v>
      </c>
      <c r="Q825" s="2">
        <f ca="1">INDEX(INDIRECT(_xlfn.CONCAT("weather.tbl[",Q$1,"]")),MATCH(vp.data[[#This Row],[SDate]],weather.tbl[Date],0))</f>
        <v>-1.6</v>
      </c>
      <c r="R825" s="2">
        <f ca="1">INDEX(INDIRECT(_xlfn.CONCAT("weather.tbl[",R$1,"]")),MATCH(vp.data[[#This Row],[SDate]],weather.tbl[Date],0))</f>
        <v>-1</v>
      </c>
      <c r="S825" s="2">
        <f ca="1">INDEX(INDIRECT(_xlfn.CONCAT("weather.tbl[",S$1,"]")),MATCH(vp.data[[#This Row],[SDate]],weather.tbl[Date],0))</f>
        <v>-0.6</v>
      </c>
      <c r="T825" s="2">
        <f ca="1">INDEX(INDIRECT(_xlfn.CONCAT("weather.tbl[",T$1,"]")),MATCH(vp.data[[#This Row],[SDate]],weather.tbl[Date],0))</f>
        <v>-0.2</v>
      </c>
      <c r="U825" s="2">
        <f ca="1">INDEX(INDIRECT(_xlfn.CONCAT("weather.tbl[",U$1,"]")),MATCH(vp.data[[#This Row],[SDate]],weather.tbl[Date],0))</f>
        <v>2</v>
      </c>
      <c r="V825" s="2">
        <f t="array" ref="V8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3347.944</v>
      </c>
      <c r="W825" t="s">
        <v>48</v>
      </c>
      <c r="X825">
        <f>IF(OR(vp.data[[#This Row],[Sulf]]="",vp.data[[#This Row],[Dens]]=""),1,0)</f>
        <v>0</v>
      </c>
      <c r="Y825">
        <f>IF(vp.data[[#This Row],[CrudeType]]="C5+",1,0)</f>
        <v>0</v>
      </c>
      <c r="Z825">
        <f>IF(AND(vp.data[[#This Row],[CrudeType]]="Crude",vp.data[[#This Row],[Dens]]&lt;=825,vp.data[[#This Row],[Sulf]]&gt;0.5,vp.data[[#This Row],[Unknown]]=0),1,0)</f>
        <v>0</v>
      </c>
      <c r="AA825">
        <f>IF(AND(vp.data[[#This Row],[CrudeType]]="Crude",vp.data[[#This Row],[Dens]]&lt;=825,vp.data[[#This Row],[Sulf]]&lt;=0.5,vp.data[[#This Row],[Unknown]]=0),1,0)</f>
        <v>0</v>
      </c>
      <c r="AB8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5">
        <f>IF(AND(vp.data[[#This Row],[CrudeType]]="Crude",vp.data[[#This Row],[Dens]]&gt;825,vp.data[[#This Row],[Dens]]&lt;=900,vp.data[[#This Row],[Sulf]]&lt;=0.5,vp.data[[#This Row],[Unknown]]=0),1,0)</f>
        <v>0</v>
      </c>
      <c r="AD825">
        <f>IF(AND(vp.data[[#This Row],[CrudeType]]="Crude",vp.data[[#This Row],[Dens]]&gt;865,vp.data[[#This Row],[Dens]]&lt;=900,vp.data[[#This Row],[Sulf]]&gt;2,vp.data[[#This Row],[Unknown]]=0),1,0)</f>
        <v>0</v>
      </c>
      <c r="AE825">
        <f>IF(AND(vp.data[[#This Row],[CrudeType]]="Crude",vp.data[[#This Row],[Dens]]&gt;900,vp.data[[#This Row],[Sulf]]&lt;=0.5,vp.data[[#This Row],[Unknown]]=0),1,0)</f>
        <v>0</v>
      </c>
      <c r="AF825">
        <f>IF(AND(vp.data[[#This Row],[CrudeType]]="Crude",vp.data[[#This Row],[Dens]]&gt;900,vp.data[[#This Row],[Sulf]]&lt;=0.5,vp.data[[#This Row],[Unknown]]=0),1,0)</f>
        <v>0</v>
      </c>
      <c r="AG825" t="str">
        <f>INDEX(vp.data[[#Headers],[Unknown]:[Heavy_SW]],MATCH(1,vp.data[[#This Row],[Unknown]:[Heavy_SW]],0))</f>
        <v>Medium_LSB</v>
      </c>
      <c r="AH825">
        <f>INDEX([3]!crudeBD.lkup[Number],MATCH(vp.data[[#This Row],[Crude_Breakdown]],crudeBD.lkup[Crude Breakdown],0))</f>
        <v>3</v>
      </c>
      <c r="AI825">
        <f>MONTH(vp.data[[#This Row],[SDate]])</f>
        <v>2</v>
      </c>
      <c r="AJ825" s="5">
        <f>(vp.data[[#This Row],[VP]]-INDEX(crudeBD.lkup[Mean_VP],MATCH(vp.data[[#This Row],[Crude_Breakdown]],crudeBD.lkup[Crude Breakdown],0)))^2</f>
        <v>32.943886897071934</v>
      </c>
      <c r="AK825" s="5">
        <f>(vp.data[[#This Row],[Dens]]-INDEX(crudeBD.lkup[Mean_Dens],MATCH(vp.data[[#This Row],[Crude_Breakdown]],crudeBD.lkup[Crude Breakdown],0)))^2</f>
        <v>209.6704000000137</v>
      </c>
      <c r="AL825" s="5">
        <f>(vp.data[[#This Row],[Sulf]]-INDEX(crudeBD.lkup[Mean_Sulf],MATCH(vp.data[[#This Row],[Crude_Breakdown]],crudeBD.lkup[Crude Breakdown],0)))^2</f>
        <v>0.31876398341375012</v>
      </c>
      <c r="AM825" s="4">
        <f>IF(AND(vp.data[[#This Row],[SDate]]&gt;=DATE(YEAR(vp.data[[#This Row],[SDate]]),5,1),vp.data[[#This Row],[SDate]]&lt;=DATE(YEAR(vp.data[[#This Row],[SDate]]),9,15)),1,0)</f>
        <v>0</v>
      </c>
      <c r="AN825" s="4">
        <f>IF(vp.data[[#This Row],[SDate]]&lt;DATE(2016,12,1),0,1)</f>
        <v>1</v>
      </c>
      <c r="AO825" s="4">
        <f>IFERROR(vp.data[[#This Row],[Sulf]]*vp.data[[#This Row],[Net Dens]],"")</f>
        <v>5604056.5027200002</v>
      </c>
      <c r="AP825">
        <f>IFERROR(vp.data[[#This Row],[Dens]]*vp.data[[#This Row],[VolumeM3]],"")</f>
        <v>2873875.1296000001</v>
      </c>
      <c r="AQ825" s="15">
        <f>IFERROR(vp.data[[#This Row],[VP]]*vp.data[[#This Row],[VolumeM3]],"")</f>
        <v>250761.0056</v>
      </c>
    </row>
    <row r="826" spans="1:43" x14ac:dyDescent="0.25">
      <c r="A826">
        <v>825</v>
      </c>
      <c r="B826" t="s">
        <v>60</v>
      </c>
      <c r="C826" t="s">
        <v>60</v>
      </c>
      <c r="D826" t="s">
        <v>61</v>
      </c>
      <c r="E826" t="s">
        <v>73</v>
      </c>
      <c r="F826" s="1">
        <v>42784</v>
      </c>
      <c r="G826" s="2">
        <v>80.599999999999994</v>
      </c>
      <c r="H826" s="2">
        <v>1.083</v>
      </c>
      <c r="I826" s="2">
        <f t="array" ref="I826">_xlfn.IFNA(IF(vp.data[[#This Row],[Sulf Input]]="",INDEX([1]DATA!$Q$3:$Q$9826,MATCH(1,(vp.data[[#This Row],[Battery]]=[1]DATA!$L$3:$L$9826)*(EOMONTH(vp.data[[#This Row],[SDate]],-1)+1=[1]DATA!$G$3:$G$9826),0)),vp.data[[#This Row],[Sulf Input]]),"")</f>
        <v>1.083</v>
      </c>
      <c r="J826" s="2">
        <v>4.5</v>
      </c>
      <c r="K826" s="2">
        <v>-1</v>
      </c>
      <c r="L826" s="2">
        <v>846.7</v>
      </c>
      <c r="M826" s="2">
        <f t="array" ref="M826">_xlfn.IFNA(IF(vp.data[[#This Row],[Dens Input]]="",INDEX([1]DATA!$O$3:$O$9826,MATCH(1,(vp.data[[#This Row],[Battery]]=[1]DATA!$L$3:$L$9826)*(EOMONTH(vp.data[[#This Row],[SDate]],-1)+1=[1]DATA!$G$3:$G$9826),0)),vp.data[[#This Row],[Dens Input]]),"")</f>
        <v>846.7</v>
      </c>
      <c r="N826" s="2">
        <f ca="1">INDEX(INDIRECT(_xlfn.CONCAT("weather.tbl[",N$1,"]")),MATCH(vp.data[[#This Row],[SDate]],weather.tbl[Date],0))</f>
        <v>-0.54999999999999993</v>
      </c>
      <c r="O826" s="2">
        <f ca="1">INDEX(INDIRECT(_xlfn.CONCAT("weather.tbl[",O$1,"]")),MATCH(vp.data[[#This Row],[SDate]],weather.tbl[Date],0))</f>
        <v>-1.0261904761904761</v>
      </c>
      <c r="P826" s="2">
        <f ca="1">INDEX(INDIRECT(_xlfn.CONCAT("weather.tbl[",P$1,"]")),MATCH(vp.data[[#This Row],[SDate]],weather.tbl[Date],0))</f>
        <v>-1.9</v>
      </c>
      <c r="Q826" s="2">
        <f ca="1">INDEX(INDIRECT(_xlfn.CONCAT("weather.tbl[",Q$1,"]")),MATCH(vp.data[[#This Row],[SDate]],weather.tbl[Date],0))</f>
        <v>-1.6</v>
      </c>
      <c r="R826" s="2">
        <f ca="1">INDEX(INDIRECT(_xlfn.CONCAT("weather.tbl[",R$1,"]")),MATCH(vp.data[[#This Row],[SDate]],weather.tbl[Date],0))</f>
        <v>-1</v>
      </c>
      <c r="S826" s="2">
        <f ca="1">INDEX(INDIRECT(_xlfn.CONCAT("weather.tbl[",S$1,"]")),MATCH(vp.data[[#This Row],[SDate]],weather.tbl[Date],0))</f>
        <v>-0.6</v>
      </c>
      <c r="T826" s="2">
        <f ca="1">INDEX(INDIRECT(_xlfn.CONCAT("weather.tbl[",T$1,"]")),MATCH(vp.data[[#This Row],[SDate]],weather.tbl[Date],0))</f>
        <v>-0.2</v>
      </c>
      <c r="U826" s="2">
        <f ca="1">INDEX(INDIRECT(_xlfn.CONCAT("weather.tbl[",U$1,"]")),MATCH(vp.data[[#This Row],[SDate]],weather.tbl[Date],0))</f>
        <v>2</v>
      </c>
      <c r="V826" s="2">
        <f t="array" ref="V8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26" t="s">
        <v>48</v>
      </c>
      <c r="X826">
        <f>IF(OR(vp.data[[#This Row],[Sulf]]="",vp.data[[#This Row],[Dens]]=""),1,0)</f>
        <v>0</v>
      </c>
      <c r="Y826">
        <f>IF(vp.data[[#This Row],[CrudeType]]="C5+",1,0)</f>
        <v>0</v>
      </c>
      <c r="Z826">
        <f>IF(AND(vp.data[[#This Row],[CrudeType]]="Crude",vp.data[[#This Row],[Dens]]&lt;=825,vp.data[[#This Row],[Sulf]]&gt;0.5,vp.data[[#This Row],[Unknown]]=0),1,0)</f>
        <v>0</v>
      </c>
      <c r="AA826">
        <f>IF(AND(vp.data[[#This Row],[CrudeType]]="Crude",vp.data[[#This Row],[Dens]]&lt;=825,vp.data[[#This Row],[Sulf]]&lt;=0.5,vp.data[[#This Row],[Unknown]]=0),1,0)</f>
        <v>0</v>
      </c>
      <c r="AB8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6">
        <f>IF(AND(vp.data[[#This Row],[CrudeType]]="Crude",vp.data[[#This Row],[Dens]]&gt;825,vp.data[[#This Row],[Dens]]&lt;=900,vp.data[[#This Row],[Sulf]]&lt;=0.5,vp.data[[#This Row],[Unknown]]=0),1,0)</f>
        <v>0</v>
      </c>
      <c r="AD826">
        <f>IF(AND(vp.data[[#This Row],[CrudeType]]="Crude",vp.data[[#This Row],[Dens]]&gt;865,vp.data[[#This Row],[Dens]]&lt;=900,vp.data[[#This Row],[Sulf]]&gt;2,vp.data[[#This Row],[Unknown]]=0),1,0)</f>
        <v>0</v>
      </c>
      <c r="AE826">
        <f>IF(AND(vp.data[[#This Row],[CrudeType]]="Crude",vp.data[[#This Row],[Dens]]&gt;900,vp.data[[#This Row],[Sulf]]&lt;=0.5,vp.data[[#This Row],[Unknown]]=0),1,0)</f>
        <v>0</v>
      </c>
      <c r="AF826">
        <f>IF(AND(vp.data[[#This Row],[CrudeType]]="Crude",vp.data[[#This Row],[Dens]]&gt;900,vp.data[[#This Row],[Sulf]]&lt;=0.5,vp.data[[#This Row],[Unknown]]=0),1,0)</f>
        <v>0</v>
      </c>
      <c r="AG826" t="str">
        <f>INDEX(vp.data[[#Headers],[Unknown]:[Heavy_SW]],MATCH(1,vp.data[[#This Row],[Unknown]:[Heavy_SW]],0))</f>
        <v>Medium_LSB</v>
      </c>
      <c r="AH826">
        <f>INDEX([3]!crudeBD.lkup[Number],MATCH(vp.data[[#This Row],[Crude_Breakdown]],crudeBD.lkup[Crude Breakdown],0))</f>
        <v>3</v>
      </c>
      <c r="AI826">
        <f>MONTH(vp.data[[#This Row],[SDate]])</f>
        <v>2</v>
      </c>
      <c r="AJ826" s="5">
        <f>(vp.data[[#This Row],[VP]]-INDEX(crudeBD.lkup[Mean_VP],MATCH(vp.data[[#This Row],[Crude_Breakdown]],crudeBD.lkup[Crude Breakdown],0)))^2</f>
        <v>1.5742286092027839E-3</v>
      </c>
      <c r="AK826" s="5">
        <f>(vp.data[[#This Row],[Dens]]-INDEX(crudeBD.lkup[Mean_Dens],MATCH(vp.data[[#This Row],[Crude_Breakdown]],crudeBD.lkup[Crude Breakdown],0)))^2</f>
        <v>7.7284000000030089</v>
      </c>
      <c r="AL826" s="5">
        <f>(vp.data[[#This Row],[Sulf]]-INDEX(crudeBD.lkup[Mean_Sulf],MATCH(vp.data[[#This Row],[Crude_Breakdown]],crudeBD.lkup[Crude Breakdown],0)))^2</f>
        <v>9.1450675084911878E-2</v>
      </c>
      <c r="AM826" s="4">
        <f>IF(AND(vp.data[[#This Row],[SDate]]&gt;=DATE(YEAR(vp.data[[#This Row],[SDate]]),5,1),vp.data[[#This Row],[SDate]]&lt;=DATE(YEAR(vp.data[[#This Row],[SDate]]),9,15)),1,0)</f>
        <v>0</v>
      </c>
      <c r="AN826" s="4">
        <f>IF(vp.data[[#This Row],[SDate]]&lt;DATE(2016,12,1),0,1)</f>
        <v>1</v>
      </c>
      <c r="AO826" s="4">
        <f>IFERROR(vp.data[[#This Row],[Sulf]]*vp.data[[#This Row],[Net Dens]],"")</f>
        <v>88489982.670371115</v>
      </c>
      <c r="AP826">
        <f>IFERROR(vp.data[[#This Row],[Dens]]*vp.data[[#This Row],[VolumeM3]],"")</f>
        <v>81708201.91170001</v>
      </c>
      <c r="AQ826" s="15">
        <f>IFERROR(vp.data[[#This Row],[VP]]*vp.data[[#This Row],[VolumeM3]],"")</f>
        <v>7778057.2505999999</v>
      </c>
    </row>
    <row r="827" spans="1:43" x14ac:dyDescent="0.25">
      <c r="A827">
        <v>826</v>
      </c>
      <c r="B827" t="s">
        <v>60</v>
      </c>
      <c r="C827" t="s">
        <v>60</v>
      </c>
      <c r="D827" t="s">
        <v>61</v>
      </c>
      <c r="E827" t="s">
        <v>55</v>
      </c>
      <c r="F827" s="1">
        <v>42784</v>
      </c>
      <c r="G827" s="2">
        <v>99.5</v>
      </c>
      <c r="H827" s="2">
        <v>1.0549999999999999</v>
      </c>
      <c r="I827" s="2">
        <f t="array" ref="I827">_xlfn.IFNA(IF(vp.data[[#This Row],[Sulf Input]]="",INDEX([1]DATA!$Q$3:$Q$9826,MATCH(1,(vp.data[[#This Row],[Battery]]=[1]DATA!$L$3:$L$9826)*(EOMONTH(vp.data[[#This Row],[SDate]],-1)+1=[1]DATA!$G$3:$G$9826),0)),vp.data[[#This Row],[Sulf Input]]),"")</f>
        <v>1.0549999999999999</v>
      </c>
      <c r="J827" s="2">
        <v>7.9</v>
      </c>
      <c r="K827" s="2">
        <v>-1</v>
      </c>
      <c r="L827" s="2">
        <v>833</v>
      </c>
      <c r="M827" s="2">
        <f t="array" ref="M827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827" s="2">
        <f ca="1">INDEX(INDIRECT(_xlfn.CONCAT("weather.tbl[",N$1,"]")),MATCH(vp.data[[#This Row],[SDate]],weather.tbl[Date],0))</f>
        <v>-0.54999999999999993</v>
      </c>
      <c r="O827" s="2">
        <f ca="1">INDEX(INDIRECT(_xlfn.CONCAT("weather.tbl[",O$1,"]")),MATCH(vp.data[[#This Row],[SDate]],weather.tbl[Date],0))</f>
        <v>-1.0261904761904761</v>
      </c>
      <c r="P827" s="2">
        <f ca="1">INDEX(INDIRECT(_xlfn.CONCAT("weather.tbl[",P$1,"]")),MATCH(vp.data[[#This Row],[SDate]],weather.tbl[Date],0))</f>
        <v>-1.9</v>
      </c>
      <c r="Q827" s="2">
        <f ca="1">INDEX(INDIRECT(_xlfn.CONCAT("weather.tbl[",Q$1,"]")),MATCH(vp.data[[#This Row],[SDate]],weather.tbl[Date],0))</f>
        <v>-1.6</v>
      </c>
      <c r="R827" s="2">
        <f ca="1">INDEX(INDIRECT(_xlfn.CONCAT("weather.tbl[",R$1,"]")),MATCH(vp.data[[#This Row],[SDate]],weather.tbl[Date],0))</f>
        <v>-1</v>
      </c>
      <c r="S827" s="2">
        <f ca="1">INDEX(INDIRECT(_xlfn.CONCAT("weather.tbl[",S$1,"]")),MATCH(vp.data[[#This Row],[SDate]],weather.tbl[Date],0))</f>
        <v>-0.6</v>
      </c>
      <c r="T827" s="2">
        <f ca="1">INDEX(INDIRECT(_xlfn.CONCAT("weather.tbl[",T$1,"]")),MATCH(vp.data[[#This Row],[SDate]],weather.tbl[Date],0))</f>
        <v>-0.2</v>
      </c>
      <c r="U827" s="2">
        <f ca="1">INDEX(INDIRECT(_xlfn.CONCAT("weather.tbl[",U$1,"]")),MATCH(vp.data[[#This Row],[SDate]],weather.tbl[Date],0))</f>
        <v>2</v>
      </c>
      <c r="V827" s="2">
        <f t="array" ref="V8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27" t="s">
        <v>48</v>
      </c>
      <c r="X827">
        <f>IF(OR(vp.data[[#This Row],[Sulf]]="",vp.data[[#This Row],[Dens]]=""),1,0)</f>
        <v>0</v>
      </c>
      <c r="Y827">
        <f>IF(vp.data[[#This Row],[CrudeType]]="C5+",1,0)</f>
        <v>0</v>
      </c>
      <c r="Z827">
        <f>IF(AND(vp.data[[#This Row],[CrudeType]]="Crude",vp.data[[#This Row],[Dens]]&lt;=825,vp.data[[#This Row],[Sulf]]&gt;0.5,vp.data[[#This Row],[Unknown]]=0),1,0)</f>
        <v>0</v>
      </c>
      <c r="AA827">
        <f>IF(AND(vp.data[[#This Row],[CrudeType]]="Crude",vp.data[[#This Row],[Dens]]&lt;=825,vp.data[[#This Row],[Sulf]]&lt;=0.5,vp.data[[#This Row],[Unknown]]=0),1,0)</f>
        <v>0</v>
      </c>
      <c r="AB8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7">
        <f>IF(AND(vp.data[[#This Row],[CrudeType]]="Crude",vp.data[[#This Row],[Dens]]&gt;825,vp.data[[#This Row],[Dens]]&lt;=900,vp.data[[#This Row],[Sulf]]&lt;=0.5,vp.data[[#This Row],[Unknown]]=0),1,0)</f>
        <v>0</v>
      </c>
      <c r="AD827">
        <f>IF(AND(vp.data[[#This Row],[CrudeType]]="Crude",vp.data[[#This Row],[Dens]]&gt;865,vp.data[[#This Row],[Dens]]&lt;=900,vp.data[[#This Row],[Sulf]]&gt;2,vp.data[[#This Row],[Unknown]]=0),1,0)</f>
        <v>0</v>
      </c>
      <c r="AE827">
        <f>IF(AND(vp.data[[#This Row],[CrudeType]]="Crude",vp.data[[#This Row],[Dens]]&gt;900,vp.data[[#This Row],[Sulf]]&lt;=0.5,vp.data[[#This Row],[Unknown]]=0),1,0)</f>
        <v>0</v>
      </c>
      <c r="AF827">
        <f>IF(AND(vp.data[[#This Row],[CrudeType]]="Crude",vp.data[[#This Row],[Dens]]&gt;900,vp.data[[#This Row],[Sulf]]&lt;=0.5,vp.data[[#This Row],[Unknown]]=0),1,0)</f>
        <v>0</v>
      </c>
      <c r="AG827" t="str">
        <f>INDEX(vp.data[[#Headers],[Unknown]:[Heavy_SW]],MATCH(1,vp.data[[#This Row],[Unknown]:[Heavy_SW]],0))</f>
        <v>Medium_LSB</v>
      </c>
      <c r="AH827">
        <f>INDEX([3]!crudeBD.lkup[Number],MATCH(vp.data[[#This Row],[Crude_Breakdown]],crudeBD.lkup[Crude Breakdown],0))</f>
        <v>3</v>
      </c>
      <c r="AI827">
        <f>MONTH(vp.data[[#This Row],[SDate]])</f>
        <v>2</v>
      </c>
      <c r="AJ827" s="5">
        <f>(vp.data[[#This Row],[VP]]-INDEX(crudeBD.lkup[Mean_VP],MATCH(vp.data[[#This Row],[Crude_Breakdown]],crudeBD.lkup[Crude Breakdown],0)))^2</f>
        <v>355.71180064370623</v>
      </c>
      <c r="AK827" s="5">
        <f>(vp.data[[#This Row],[Dens]]-INDEX(crudeBD.lkup[Mean_Dens],MATCH(vp.data[[#This Row],[Crude_Breakdown]],crudeBD.lkup[Crude Breakdown],0)))^2</f>
        <v>119.24639999998918</v>
      </c>
      <c r="AL827" s="5">
        <f>(vp.data[[#This Row],[Sulf]]-INDEX(crudeBD.lkup[Mean_Sulf],MATCH(vp.data[[#This Row],[Crude_Breakdown]],crudeBD.lkup[Crude Breakdown],0)))^2</f>
        <v>0.1091695301792516</v>
      </c>
      <c r="AM827" s="4">
        <f>IF(AND(vp.data[[#This Row],[SDate]]&gt;=DATE(YEAR(vp.data[[#This Row],[SDate]]),5,1),vp.data[[#This Row],[SDate]]&lt;=DATE(YEAR(vp.data[[#This Row],[SDate]]),9,15)),1,0)</f>
        <v>0</v>
      </c>
      <c r="AN827" s="4">
        <f>IF(vp.data[[#This Row],[SDate]]&lt;DATE(2016,12,1),0,1)</f>
        <v>1</v>
      </c>
      <c r="AO827" s="4">
        <f>IFERROR(vp.data[[#This Row],[Sulf]]*vp.data[[#This Row],[Net Dens]],"")</f>
        <v>84807362.068064988</v>
      </c>
      <c r="AP827">
        <f>IFERROR(vp.data[[#This Row],[Dens]]*vp.data[[#This Row],[VolumeM3]],"")</f>
        <v>80386125.182999998</v>
      </c>
      <c r="AQ827" s="15">
        <f>IFERROR(vp.data[[#This Row],[VP]]*vp.data[[#This Row],[VolumeM3]],"")</f>
        <v>9601944.1245000008</v>
      </c>
    </row>
    <row r="828" spans="1:43" x14ac:dyDescent="0.25">
      <c r="A828">
        <v>827</v>
      </c>
      <c r="B828" t="s">
        <v>49</v>
      </c>
      <c r="C828" t="s">
        <v>49</v>
      </c>
      <c r="D828" t="s">
        <v>50</v>
      </c>
      <c r="F828" s="1">
        <v>42785</v>
      </c>
      <c r="G828" s="2">
        <v>69.900000000000006</v>
      </c>
      <c r="H828" s="2">
        <v>2.7109999999999999</v>
      </c>
      <c r="I828" s="2">
        <f t="array" ref="I828">_xlfn.IFNA(IF(vp.data[[#This Row],[Sulf Input]]="",INDEX([1]DATA!$Q$3:$Q$9826,MATCH(1,(vp.data[[#This Row],[Battery]]=[1]DATA!$L$3:$L$9826)*(EOMONTH(vp.data[[#This Row],[SDate]],-1)+1=[1]DATA!$G$3:$G$9826),0)),vp.data[[#This Row],[Sulf Input]]),"")</f>
        <v>2.7109999999999999</v>
      </c>
      <c r="J828" s="2">
        <v>17.600000000000001</v>
      </c>
      <c r="K828" s="2">
        <v>1</v>
      </c>
      <c r="L828" s="2">
        <v>868.6</v>
      </c>
      <c r="M828" s="2">
        <f t="array" ref="M828">_xlfn.IFNA(IF(vp.data[[#This Row],[Dens Input]]="",INDEX([1]DATA!$O$3:$O$9826,MATCH(1,(vp.data[[#This Row],[Battery]]=[1]DATA!$L$3:$L$9826)*(EOMONTH(vp.data[[#This Row],[SDate]],-1)+1=[1]DATA!$G$3:$G$9826),0)),vp.data[[#This Row],[Dens Input]]),"")</f>
        <v>868.6</v>
      </c>
      <c r="N828" s="2">
        <f ca="1">INDEX(INDIRECT(_xlfn.CONCAT("weather.tbl[",N$1,"]")),MATCH(vp.data[[#This Row],[SDate]],weather.tbl[Date],0))</f>
        <v>-0.19999999999999998</v>
      </c>
      <c r="O828" s="2">
        <f ca="1">INDEX(INDIRECT(_xlfn.CONCAT("weather.tbl[",O$1,"]")),MATCH(vp.data[[#This Row],[SDate]],weather.tbl[Date],0))</f>
        <v>-0.29047619047619061</v>
      </c>
      <c r="P828" s="2">
        <f ca="1">INDEX(INDIRECT(_xlfn.CONCAT("weather.tbl[",P$1,"]")),MATCH(vp.data[[#This Row],[SDate]],weather.tbl[Date],0))</f>
        <v>-0.1</v>
      </c>
      <c r="Q828" s="2">
        <f ca="1">INDEX(INDIRECT(_xlfn.CONCAT("weather.tbl[",Q$1,"]")),MATCH(vp.data[[#This Row],[SDate]],weather.tbl[Date],0))</f>
        <v>-0.1</v>
      </c>
      <c r="R828" s="2">
        <f ca="1">INDEX(INDIRECT(_xlfn.CONCAT("weather.tbl[",R$1,"]")),MATCH(vp.data[[#This Row],[SDate]],weather.tbl[Date],0))</f>
        <v>-0.8</v>
      </c>
      <c r="S828" s="2">
        <f ca="1">INDEX(INDIRECT(_xlfn.CONCAT("weather.tbl[",S$1,"]")),MATCH(vp.data[[#This Row],[SDate]],weather.tbl[Date],0))</f>
        <v>-0.4</v>
      </c>
      <c r="T828" s="2">
        <f ca="1">INDEX(INDIRECT(_xlfn.CONCAT("weather.tbl[",T$1,"]")),MATCH(vp.data[[#This Row],[SDate]],weather.tbl[Date],0))</f>
        <v>0.2</v>
      </c>
      <c r="U828" s="2">
        <f ca="1">INDEX(INDIRECT(_xlfn.CONCAT("weather.tbl[",U$1,"]")),MATCH(vp.data[[#This Row],[SDate]],weather.tbl[Date],0))</f>
        <v>0</v>
      </c>
      <c r="V828" s="2">
        <f t="array" ref="V8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5073.817</v>
      </c>
      <c r="W828" t="s">
        <v>48</v>
      </c>
      <c r="X828">
        <f>IF(OR(vp.data[[#This Row],[Sulf]]="",vp.data[[#This Row],[Dens]]=""),1,0)</f>
        <v>0</v>
      </c>
      <c r="Y828">
        <f>IF(vp.data[[#This Row],[CrudeType]]="C5+",1,0)</f>
        <v>0</v>
      </c>
      <c r="Z828">
        <f>IF(AND(vp.data[[#This Row],[CrudeType]]="Crude",vp.data[[#This Row],[Dens]]&lt;=825,vp.data[[#This Row],[Sulf]]&gt;0.5,vp.data[[#This Row],[Unknown]]=0),1,0)</f>
        <v>0</v>
      </c>
      <c r="AA828">
        <f>IF(AND(vp.data[[#This Row],[CrudeType]]="Crude",vp.data[[#This Row],[Dens]]&lt;=825,vp.data[[#This Row],[Sulf]]&lt;=0.5,vp.data[[#This Row],[Unknown]]=0),1,0)</f>
        <v>0</v>
      </c>
      <c r="AB8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28">
        <f>IF(AND(vp.data[[#This Row],[CrudeType]]="Crude",vp.data[[#This Row],[Dens]]&gt;825,vp.data[[#This Row],[Dens]]&lt;=900,vp.data[[#This Row],[Sulf]]&lt;=0.5,vp.data[[#This Row],[Unknown]]=0),1,0)</f>
        <v>0</v>
      </c>
      <c r="AD828">
        <f>IF(AND(vp.data[[#This Row],[CrudeType]]="Crude",vp.data[[#This Row],[Dens]]&gt;865,vp.data[[#This Row],[Dens]]&lt;=900,vp.data[[#This Row],[Sulf]]&gt;2,vp.data[[#This Row],[Unknown]]=0),1,0)</f>
        <v>1</v>
      </c>
      <c r="AE828">
        <f>IF(AND(vp.data[[#This Row],[CrudeType]]="Crude",vp.data[[#This Row],[Dens]]&gt;900,vp.data[[#This Row],[Sulf]]&lt;=0.5,vp.data[[#This Row],[Unknown]]=0),1,0)</f>
        <v>0</v>
      </c>
      <c r="AF828">
        <f>IF(AND(vp.data[[#This Row],[CrudeType]]="Crude",vp.data[[#This Row],[Dens]]&gt;900,vp.data[[#This Row],[Sulf]]&lt;=0.5,vp.data[[#This Row],[Unknown]]=0),1,0)</f>
        <v>0</v>
      </c>
      <c r="AG828" t="str">
        <f>INDEX(vp.data[[#Headers],[Unknown]:[Heavy_SW]],MATCH(1,vp.data[[#This Row],[Unknown]:[Heavy_SW]],0))</f>
        <v>Midale</v>
      </c>
      <c r="AH828">
        <f>INDEX([3]!crudeBD.lkup[Number],MATCH(vp.data[[#This Row],[Crude_Breakdown]],crudeBD.lkup[Crude Breakdown],0))</f>
        <v>5</v>
      </c>
      <c r="AI828">
        <f>MONTH(vp.data[[#This Row],[SDate]])</f>
        <v>2</v>
      </c>
      <c r="AJ828" s="5">
        <f>(vp.data[[#This Row],[VP]]-INDEX(crudeBD.lkup[Mean_VP],MATCH(vp.data[[#This Row],[Crude_Breakdown]],crudeBD.lkup[Crude Breakdown],0)))^2</f>
        <v>0.24131390158356492</v>
      </c>
      <c r="AK828" s="5">
        <f>(vp.data[[#This Row],[Dens]]-INDEX(crudeBD.lkup[Mean_Dens],MATCH(vp.data[[#This Row],[Crude_Breakdown]],crudeBD.lkup[Crude Breakdown],0)))^2</f>
        <v>38.651217185676828</v>
      </c>
      <c r="AL828" s="5">
        <f>(vp.data[[#This Row],[Sulf]]-INDEX(crudeBD.lkup[Mean_Sulf],MATCH(vp.data[[#This Row],[Crude_Breakdown]],crudeBD.lkup[Crude Breakdown],0)))^2</f>
        <v>7.1494435005219056E-2</v>
      </c>
      <c r="AM828" s="4">
        <f>IF(AND(vp.data[[#This Row],[SDate]]&gt;=DATE(YEAR(vp.data[[#This Row],[SDate]]),5,1),vp.data[[#This Row],[SDate]]&lt;=DATE(YEAR(vp.data[[#This Row],[SDate]]),9,15)),1,0)</f>
        <v>0</v>
      </c>
      <c r="AN828" s="4">
        <f>IF(vp.data[[#This Row],[SDate]]&lt;DATE(2016,12,1),0,1)</f>
        <v>1</v>
      </c>
      <c r="AO828" s="4">
        <f>IFERROR(vp.data[[#This Row],[Sulf]]*vp.data[[#This Row],[Net Dens]],"")</f>
        <v>11947695.3966482</v>
      </c>
      <c r="AP828">
        <f>IFERROR(vp.data[[#This Row],[Dens]]*vp.data[[#This Row],[VolumeM3]],"")</f>
        <v>4407117.4462000001</v>
      </c>
      <c r="AQ828" s="15">
        <f>IFERROR(vp.data[[#This Row],[VP]]*vp.data[[#This Row],[VolumeM3]],"")</f>
        <v>354659.80830000003</v>
      </c>
    </row>
    <row r="829" spans="1:43" x14ac:dyDescent="0.25">
      <c r="A829">
        <v>828</v>
      </c>
      <c r="B829" t="s">
        <v>56</v>
      </c>
      <c r="C829" t="s">
        <v>56</v>
      </c>
      <c r="D829" t="s">
        <v>57</v>
      </c>
      <c r="F829" s="1">
        <v>42785</v>
      </c>
      <c r="G829" s="2">
        <v>83.2</v>
      </c>
      <c r="H829" s="2"/>
      <c r="I829" s="2">
        <f t="array" ref="I829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829" s="2">
        <v>17.600000000000001</v>
      </c>
      <c r="K829" s="2">
        <v>1</v>
      </c>
      <c r="L829" s="2">
        <v>844.3</v>
      </c>
      <c r="M829" s="2">
        <f t="array" ref="M829">_xlfn.IFNA(IF(vp.data[[#This Row],[Dens Input]]="",INDEX([1]DATA!$O$3:$O$9826,MATCH(1,(vp.data[[#This Row],[Battery]]=[1]DATA!$L$3:$L$9826)*(EOMONTH(vp.data[[#This Row],[SDate]],-1)+1=[1]DATA!$G$3:$G$9826),0)),vp.data[[#This Row],[Dens Input]]),"")</f>
        <v>844.3</v>
      </c>
      <c r="N829" s="2">
        <f ca="1">INDEX(INDIRECT(_xlfn.CONCAT("weather.tbl[",N$1,"]")),MATCH(vp.data[[#This Row],[SDate]],weather.tbl[Date],0))</f>
        <v>-0.19999999999999998</v>
      </c>
      <c r="O829" s="2">
        <f ca="1">INDEX(INDIRECT(_xlfn.CONCAT("weather.tbl[",O$1,"]")),MATCH(vp.data[[#This Row],[SDate]],weather.tbl[Date],0))</f>
        <v>-0.29047619047619061</v>
      </c>
      <c r="P829" s="2">
        <f ca="1">INDEX(INDIRECT(_xlfn.CONCAT("weather.tbl[",P$1,"]")),MATCH(vp.data[[#This Row],[SDate]],weather.tbl[Date],0))</f>
        <v>-0.1</v>
      </c>
      <c r="Q829" s="2">
        <f ca="1">INDEX(INDIRECT(_xlfn.CONCAT("weather.tbl[",Q$1,"]")),MATCH(vp.data[[#This Row],[SDate]],weather.tbl[Date],0))</f>
        <v>-0.1</v>
      </c>
      <c r="R829" s="2">
        <f ca="1">INDEX(INDIRECT(_xlfn.CONCAT("weather.tbl[",R$1,"]")),MATCH(vp.data[[#This Row],[SDate]],weather.tbl[Date],0))</f>
        <v>-0.8</v>
      </c>
      <c r="S829" s="2">
        <f ca="1">INDEX(INDIRECT(_xlfn.CONCAT("weather.tbl[",S$1,"]")),MATCH(vp.data[[#This Row],[SDate]],weather.tbl[Date],0))</f>
        <v>-0.4</v>
      </c>
      <c r="T829" s="2">
        <f ca="1">INDEX(INDIRECT(_xlfn.CONCAT("weather.tbl[",T$1,"]")),MATCH(vp.data[[#This Row],[SDate]],weather.tbl[Date],0))</f>
        <v>0.2</v>
      </c>
      <c r="U829" s="2">
        <f ca="1">INDEX(INDIRECT(_xlfn.CONCAT("weather.tbl[",U$1,"]")),MATCH(vp.data[[#This Row],[SDate]],weather.tbl[Date],0))</f>
        <v>0</v>
      </c>
      <c r="V829" s="2">
        <f t="array" ref="V8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829" t="s">
        <v>48</v>
      </c>
      <c r="X829">
        <f>IF(OR(vp.data[[#This Row],[Sulf]]="",vp.data[[#This Row],[Dens]]=""),1,0)</f>
        <v>0</v>
      </c>
      <c r="Y829">
        <f>IF(vp.data[[#This Row],[CrudeType]]="C5+",1,0)</f>
        <v>0</v>
      </c>
      <c r="Z829">
        <f>IF(AND(vp.data[[#This Row],[CrudeType]]="Crude",vp.data[[#This Row],[Dens]]&lt;=825,vp.data[[#This Row],[Sulf]]&gt;0.5,vp.data[[#This Row],[Unknown]]=0),1,0)</f>
        <v>0</v>
      </c>
      <c r="AA829">
        <f>IF(AND(vp.data[[#This Row],[CrudeType]]="Crude",vp.data[[#This Row],[Dens]]&lt;=825,vp.data[[#This Row],[Sulf]]&lt;=0.5,vp.data[[#This Row],[Unknown]]=0),1,0)</f>
        <v>0</v>
      </c>
      <c r="AB8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29">
        <f>IF(AND(vp.data[[#This Row],[CrudeType]]="Crude",vp.data[[#This Row],[Dens]]&gt;825,vp.data[[#This Row],[Dens]]&lt;=900,vp.data[[#This Row],[Sulf]]&lt;=0.5,vp.data[[#This Row],[Unknown]]=0),1,0)</f>
        <v>0</v>
      </c>
      <c r="AD829">
        <f>IF(AND(vp.data[[#This Row],[CrudeType]]="Crude",vp.data[[#This Row],[Dens]]&gt;865,vp.data[[#This Row],[Dens]]&lt;=900,vp.data[[#This Row],[Sulf]]&gt;2,vp.data[[#This Row],[Unknown]]=0),1,0)</f>
        <v>0</v>
      </c>
      <c r="AE829">
        <f>IF(AND(vp.data[[#This Row],[CrudeType]]="Crude",vp.data[[#This Row],[Dens]]&gt;900,vp.data[[#This Row],[Sulf]]&lt;=0.5,vp.data[[#This Row],[Unknown]]=0),1,0)</f>
        <v>0</v>
      </c>
      <c r="AF829">
        <f>IF(AND(vp.data[[#This Row],[CrudeType]]="Crude",vp.data[[#This Row],[Dens]]&gt;900,vp.data[[#This Row],[Sulf]]&lt;=0.5,vp.data[[#This Row],[Unknown]]=0),1,0)</f>
        <v>0</v>
      </c>
      <c r="AG829" t="str">
        <f>INDEX(vp.data[[#Headers],[Unknown]:[Heavy_SW]],MATCH(1,vp.data[[#This Row],[Unknown]:[Heavy_SW]],0))</f>
        <v>Medium_LSB</v>
      </c>
      <c r="AH829">
        <f>INDEX([3]!crudeBD.lkup[Number],MATCH(vp.data[[#This Row],[Crude_Breakdown]],crudeBD.lkup[Crude Breakdown],0))</f>
        <v>3</v>
      </c>
      <c r="AI829">
        <f>MONTH(vp.data[[#This Row],[SDate]])</f>
        <v>2</v>
      </c>
      <c r="AJ829" s="5">
        <f>(vp.data[[#This Row],[VP]]-INDEX(crudeBD.lkup[Mean_VP],MATCH(vp.data[[#This Row],[Crude_Breakdown]],crudeBD.lkup[Crude Breakdown],0)))^2</f>
        <v>6.5552561693103977</v>
      </c>
      <c r="AK829" s="5">
        <f>(vp.data[[#This Row],[Dens]]-INDEX(crudeBD.lkup[Mean_Dens],MATCH(vp.data[[#This Row],[Crude_Breakdown]],crudeBD.lkup[Crude Breakdown],0)))^2</f>
        <v>0.14440000000034214</v>
      </c>
      <c r="AL829" s="5">
        <f>(vp.data[[#This Row],[Sulf]]-INDEX(crudeBD.lkup[Mean_Sulf],MATCH(vp.data[[#This Row],[Crude_Breakdown]],crudeBD.lkup[Crude Breakdown],0)))^2</f>
        <v>9.2776209289761713E-2</v>
      </c>
      <c r="AM829" s="4">
        <f>IF(AND(vp.data[[#This Row],[SDate]]&gt;=DATE(YEAR(vp.data[[#This Row],[SDate]]),5,1),vp.data[[#This Row],[SDate]]&lt;=DATE(YEAR(vp.data[[#This Row],[SDate]]),9,15)),1,0)</f>
        <v>0</v>
      </c>
      <c r="AN829" s="4">
        <f>IF(vp.data[[#This Row],[SDate]]&lt;DATE(2016,12,1),0,1)</f>
        <v>1</v>
      </c>
      <c r="AO829" s="4">
        <f>IFERROR(vp.data[[#This Row],[Sulf]]*vp.data[[#This Row],[Net Dens]],"")</f>
        <v>3925637.8695429992</v>
      </c>
      <c r="AP829">
        <f>IFERROR(vp.data[[#This Row],[Dens]]*vp.data[[#This Row],[VolumeM3]],"")</f>
        <v>2322862.6446999996</v>
      </c>
      <c r="AQ829" s="15">
        <f>IFERROR(vp.data[[#This Row],[VP]]*vp.data[[#This Row],[VolumeM3]],"")</f>
        <v>228902.25279999999</v>
      </c>
    </row>
    <row r="830" spans="1:43" x14ac:dyDescent="0.25">
      <c r="A830">
        <v>829</v>
      </c>
      <c r="B830" t="s">
        <v>51</v>
      </c>
      <c r="C830" t="s">
        <v>51</v>
      </c>
      <c r="D830" t="s">
        <v>126</v>
      </c>
      <c r="F830" s="1">
        <v>42785</v>
      </c>
      <c r="G830" s="2">
        <v>89.5</v>
      </c>
      <c r="H830" s="2"/>
      <c r="I830" s="2">
        <f t="array" ref="I830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830" s="2">
        <v>21</v>
      </c>
      <c r="K830" s="2">
        <v>2</v>
      </c>
      <c r="L830" s="2">
        <v>849.3</v>
      </c>
      <c r="M830" s="2">
        <f t="array" ref="M830">_xlfn.IFNA(IF(vp.data[[#This Row],[Dens Input]]="",INDEX([1]DATA!$O$3:$O$9826,MATCH(1,(vp.data[[#This Row],[Battery]]=[1]DATA!$L$3:$L$9826)*(EOMONTH(vp.data[[#This Row],[SDate]],-1)+1=[1]DATA!$G$3:$G$9826),0)),vp.data[[#This Row],[Dens Input]]),"")</f>
        <v>849.3</v>
      </c>
      <c r="N830" s="2">
        <f ca="1">INDEX(INDIRECT(_xlfn.CONCAT("weather.tbl[",N$1,"]")),MATCH(vp.data[[#This Row],[SDate]],weather.tbl[Date],0))</f>
        <v>-0.19999999999999998</v>
      </c>
      <c r="O830" s="2">
        <f ca="1">INDEX(INDIRECT(_xlfn.CONCAT("weather.tbl[",O$1,"]")),MATCH(vp.data[[#This Row],[SDate]],weather.tbl[Date],0))</f>
        <v>-0.29047619047619061</v>
      </c>
      <c r="P830" s="2">
        <f ca="1">INDEX(INDIRECT(_xlfn.CONCAT("weather.tbl[",P$1,"]")),MATCH(vp.data[[#This Row],[SDate]],weather.tbl[Date],0))</f>
        <v>-0.1</v>
      </c>
      <c r="Q830" s="2">
        <f ca="1">INDEX(INDIRECT(_xlfn.CONCAT("weather.tbl[",Q$1,"]")),MATCH(vp.data[[#This Row],[SDate]],weather.tbl[Date],0))</f>
        <v>-0.1</v>
      </c>
      <c r="R830" s="2">
        <f ca="1">INDEX(INDIRECT(_xlfn.CONCAT("weather.tbl[",R$1,"]")),MATCH(vp.data[[#This Row],[SDate]],weather.tbl[Date],0))</f>
        <v>-0.8</v>
      </c>
      <c r="S830" s="2">
        <f ca="1">INDEX(INDIRECT(_xlfn.CONCAT("weather.tbl[",S$1,"]")),MATCH(vp.data[[#This Row],[SDate]],weather.tbl[Date],0))</f>
        <v>-0.4</v>
      </c>
      <c r="T830" s="2">
        <f ca="1">INDEX(INDIRECT(_xlfn.CONCAT("weather.tbl[",T$1,"]")),MATCH(vp.data[[#This Row],[SDate]],weather.tbl[Date],0))</f>
        <v>0.2</v>
      </c>
      <c r="U830" s="2">
        <f ca="1">INDEX(INDIRECT(_xlfn.CONCAT("weather.tbl[",U$1,"]")),MATCH(vp.data[[#This Row],[SDate]],weather.tbl[Date],0))</f>
        <v>0</v>
      </c>
      <c r="V830" s="2">
        <f t="array" ref="V8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1058.9190000000001</v>
      </c>
      <c r="W830" t="s">
        <v>48</v>
      </c>
      <c r="X830">
        <f>IF(OR(vp.data[[#This Row],[Sulf]]="",vp.data[[#This Row],[Dens]]=""),1,0)</f>
        <v>0</v>
      </c>
      <c r="Y830">
        <f>IF(vp.data[[#This Row],[CrudeType]]="C5+",1,0)</f>
        <v>0</v>
      </c>
      <c r="Z830">
        <f>IF(AND(vp.data[[#This Row],[CrudeType]]="Crude",vp.data[[#This Row],[Dens]]&lt;=825,vp.data[[#This Row],[Sulf]]&gt;0.5,vp.data[[#This Row],[Unknown]]=0),1,0)</f>
        <v>0</v>
      </c>
      <c r="AA830">
        <f>IF(AND(vp.data[[#This Row],[CrudeType]]="Crude",vp.data[[#This Row],[Dens]]&lt;=825,vp.data[[#This Row],[Sulf]]&lt;=0.5,vp.data[[#This Row],[Unknown]]=0),1,0)</f>
        <v>0</v>
      </c>
      <c r="AB8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30">
        <f>IF(AND(vp.data[[#This Row],[CrudeType]]="Crude",vp.data[[#This Row],[Dens]]&gt;825,vp.data[[#This Row],[Dens]]&lt;=900,vp.data[[#This Row],[Sulf]]&lt;=0.5,vp.data[[#This Row],[Unknown]]=0),1,0)</f>
        <v>0</v>
      </c>
      <c r="AD830">
        <f>IF(AND(vp.data[[#This Row],[CrudeType]]="Crude",vp.data[[#This Row],[Dens]]&gt;865,vp.data[[#This Row],[Dens]]&lt;=900,vp.data[[#This Row],[Sulf]]&gt;2,vp.data[[#This Row],[Unknown]]=0),1,0)</f>
        <v>0</v>
      </c>
      <c r="AE830">
        <f>IF(AND(vp.data[[#This Row],[CrudeType]]="Crude",vp.data[[#This Row],[Dens]]&gt;900,vp.data[[#This Row],[Sulf]]&lt;=0.5,vp.data[[#This Row],[Unknown]]=0),1,0)</f>
        <v>0</v>
      </c>
      <c r="AF830">
        <f>IF(AND(vp.data[[#This Row],[CrudeType]]="Crude",vp.data[[#This Row],[Dens]]&gt;900,vp.data[[#This Row],[Sulf]]&lt;=0.5,vp.data[[#This Row],[Unknown]]=0),1,0)</f>
        <v>0</v>
      </c>
      <c r="AG830" t="str">
        <f>INDEX(vp.data[[#Headers],[Unknown]:[Heavy_SW]],MATCH(1,vp.data[[#This Row],[Unknown]:[Heavy_SW]],0))</f>
        <v>Medium_LSB</v>
      </c>
      <c r="AH830">
        <f>INDEX([3]!crudeBD.lkup[Number],MATCH(vp.data[[#This Row],[Crude_Breakdown]],crudeBD.lkup[Crude Breakdown],0))</f>
        <v>3</v>
      </c>
      <c r="AI830">
        <f>MONTH(vp.data[[#This Row],[SDate]])</f>
        <v>2</v>
      </c>
      <c r="AJ830" s="5">
        <f>(vp.data[[#This Row],[VP]]-INDEX(crudeBD.lkup[Mean_VP],MATCH(vp.data[[#This Row],[Crude_Breakdown]],crudeBD.lkup[Crude Breakdown],0)))^2</f>
        <v>78.505331641009391</v>
      </c>
      <c r="AK830" s="5">
        <f>(vp.data[[#This Row],[Dens]]-INDEX(crudeBD.lkup[Mean_Dens],MATCH(vp.data[[#This Row],[Crude_Breakdown]],crudeBD.lkup[Crude Breakdown],0)))^2</f>
        <v>28.944400000004844</v>
      </c>
      <c r="AL830" s="5">
        <f>(vp.data[[#This Row],[Sulf]]-INDEX(crudeBD.lkup[Mean_Sulf],MATCH(vp.data[[#This Row],[Crude_Breakdown]],crudeBD.lkup[Crude Breakdown],0)))^2</f>
        <v>0.11874355915499073</v>
      </c>
      <c r="AM830" s="4">
        <f>IF(AND(vp.data[[#This Row],[SDate]]&gt;=DATE(YEAR(vp.data[[#This Row],[SDate]]),5,1),vp.data[[#This Row],[SDate]]&lt;=DATE(YEAR(vp.data[[#This Row],[SDate]]),9,15)),1,0)</f>
        <v>0</v>
      </c>
      <c r="AN830" s="4">
        <f>IF(vp.data[[#This Row],[SDate]]&lt;DATE(2016,12,1),0,1)</f>
        <v>1</v>
      </c>
      <c r="AO830" s="4">
        <f>IFERROR(vp.data[[#This Row],[Sulf]]*vp.data[[#This Row],[Net Dens]],"")</f>
        <v>1555858.038591</v>
      </c>
      <c r="AP830">
        <f>IFERROR(vp.data[[#This Row],[Dens]]*vp.data[[#This Row],[VolumeM3]],"")</f>
        <v>899339.90670000005</v>
      </c>
      <c r="AQ830" s="15">
        <f>IFERROR(vp.data[[#This Row],[VP]]*vp.data[[#This Row],[VolumeM3]],"")</f>
        <v>94773.250500000009</v>
      </c>
    </row>
    <row r="831" spans="1:43" x14ac:dyDescent="0.25">
      <c r="A831">
        <v>830</v>
      </c>
      <c r="B831" t="s">
        <v>132</v>
      </c>
      <c r="C831" t="s">
        <v>132</v>
      </c>
      <c r="D831" t="s">
        <v>133</v>
      </c>
      <c r="F831" s="1">
        <v>42785</v>
      </c>
      <c r="G831" s="2">
        <v>91.1</v>
      </c>
      <c r="H831" s="2"/>
      <c r="I831" s="2">
        <f t="array" ref="I831">_xlfn.IFNA(IF(vp.data[[#This Row],[Sulf Input]]="",INDEX([1]DATA!$Q$3:$Q$9826,MATCH(1,(vp.data[[#This Row],[Battery]]=[1]DATA!$L$3:$L$9826)*(EOMONTH(vp.data[[#This Row],[SDate]],-1)+1=[1]DATA!$G$3:$G$9826),0)),vp.data[[#This Row],[Sulf Input]]),"")</f>
        <v>2.0099999999999998</v>
      </c>
      <c r="J831" s="2">
        <v>23.1</v>
      </c>
      <c r="K831" s="2">
        <v>2</v>
      </c>
      <c r="L831" s="2">
        <v>857.2</v>
      </c>
      <c r="M831" s="2">
        <f t="array" ref="M831">_xlfn.IFNA(IF(vp.data[[#This Row],[Dens Input]]="",INDEX([1]DATA!$O$3:$O$9826,MATCH(1,(vp.data[[#This Row],[Battery]]=[1]DATA!$L$3:$L$9826)*(EOMONTH(vp.data[[#This Row],[SDate]],-1)+1=[1]DATA!$G$3:$G$9826),0)),vp.data[[#This Row],[Dens Input]]),"")</f>
        <v>857.2</v>
      </c>
      <c r="N831" s="2">
        <f ca="1">INDEX(INDIRECT(_xlfn.CONCAT("weather.tbl[",N$1,"]")),MATCH(vp.data[[#This Row],[SDate]],weather.tbl[Date],0))</f>
        <v>-0.19999999999999998</v>
      </c>
      <c r="O831" s="2">
        <f ca="1">INDEX(INDIRECT(_xlfn.CONCAT("weather.tbl[",O$1,"]")),MATCH(vp.data[[#This Row],[SDate]],weather.tbl[Date],0))</f>
        <v>-0.29047619047619061</v>
      </c>
      <c r="P831" s="2">
        <f ca="1">INDEX(INDIRECT(_xlfn.CONCAT("weather.tbl[",P$1,"]")),MATCH(vp.data[[#This Row],[SDate]],weather.tbl[Date],0))</f>
        <v>-0.1</v>
      </c>
      <c r="Q831" s="2">
        <f ca="1">INDEX(INDIRECT(_xlfn.CONCAT("weather.tbl[",Q$1,"]")),MATCH(vp.data[[#This Row],[SDate]],weather.tbl[Date],0))</f>
        <v>-0.1</v>
      </c>
      <c r="R831" s="2">
        <f ca="1">INDEX(INDIRECT(_xlfn.CONCAT("weather.tbl[",R$1,"]")),MATCH(vp.data[[#This Row],[SDate]],weather.tbl[Date],0))</f>
        <v>-0.8</v>
      </c>
      <c r="S831" s="2">
        <f ca="1">INDEX(INDIRECT(_xlfn.CONCAT("weather.tbl[",S$1,"]")),MATCH(vp.data[[#This Row],[SDate]],weather.tbl[Date],0))</f>
        <v>-0.4</v>
      </c>
      <c r="T831" s="2">
        <f ca="1">INDEX(INDIRECT(_xlfn.CONCAT("weather.tbl[",T$1,"]")),MATCH(vp.data[[#This Row],[SDate]],weather.tbl[Date],0))</f>
        <v>0.2</v>
      </c>
      <c r="U831" s="2">
        <f ca="1">INDEX(INDIRECT(_xlfn.CONCAT("weather.tbl[",U$1,"]")),MATCH(vp.data[[#This Row],[SDate]],weather.tbl[Date],0))</f>
        <v>0</v>
      </c>
      <c r="V831" s="2">
        <f t="array" ref="V8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2599.2350000000001</v>
      </c>
      <c r="W831" t="s">
        <v>48</v>
      </c>
      <c r="X831">
        <f>IF(OR(vp.data[[#This Row],[Sulf]]="",vp.data[[#This Row],[Dens]]=""),1,0)</f>
        <v>0</v>
      </c>
      <c r="Y831">
        <f>IF(vp.data[[#This Row],[CrudeType]]="C5+",1,0)</f>
        <v>0</v>
      </c>
      <c r="Z831">
        <f>IF(AND(vp.data[[#This Row],[CrudeType]]="Crude",vp.data[[#This Row],[Dens]]&lt;=825,vp.data[[#This Row],[Sulf]]&gt;0.5,vp.data[[#This Row],[Unknown]]=0),1,0)</f>
        <v>0</v>
      </c>
      <c r="AA831">
        <f>IF(AND(vp.data[[#This Row],[CrudeType]]="Crude",vp.data[[#This Row],[Dens]]&lt;=825,vp.data[[#This Row],[Sulf]]&lt;=0.5,vp.data[[#This Row],[Unknown]]=0),1,0)</f>
        <v>0</v>
      </c>
      <c r="AB8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31">
        <f>IF(AND(vp.data[[#This Row],[CrudeType]]="Crude",vp.data[[#This Row],[Dens]]&gt;825,vp.data[[#This Row],[Dens]]&lt;=900,vp.data[[#This Row],[Sulf]]&lt;=0.5,vp.data[[#This Row],[Unknown]]=0),1,0)</f>
        <v>0</v>
      </c>
      <c r="AD831">
        <f>IF(AND(vp.data[[#This Row],[CrudeType]]="Crude",vp.data[[#This Row],[Dens]]&gt;865,vp.data[[#This Row],[Dens]]&lt;=900,vp.data[[#This Row],[Sulf]]&gt;2,vp.data[[#This Row],[Unknown]]=0),1,0)</f>
        <v>0</v>
      </c>
      <c r="AE831">
        <f>IF(AND(vp.data[[#This Row],[CrudeType]]="Crude",vp.data[[#This Row],[Dens]]&gt;900,vp.data[[#This Row],[Sulf]]&lt;=0.5,vp.data[[#This Row],[Unknown]]=0),1,0)</f>
        <v>0</v>
      </c>
      <c r="AF831">
        <f>IF(AND(vp.data[[#This Row],[CrudeType]]="Crude",vp.data[[#This Row],[Dens]]&gt;900,vp.data[[#This Row],[Sulf]]&lt;=0.5,vp.data[[#This Row],[Unknown]]=0),1,0)</f>
        <v>0</v>
      </c>
      <c r="AG831" t="str">
        <f>INDEX(vp.data[[#Headers],[Unknown]:[Heavy_SW]],MATCH(1,vp.data[[#This Row],[Unknown]:[Heavy_SW]],0))</f>
        <v>Medium_LSB</v>
      </c>
      <c r="AH831">
        <f>INDEX([3]!crudeBD.lkup[Number],MATCH(vp.data[[#This Row],[Crude_Breakdown]],crudeBD.lkup[Crude Breakdown],0))</f>
        <v>3</v>
      </c>
      <c r="AI831">
        <f>MONTH(vp.data[[#This Row],[SDate]])</f>
        <v>2</v>
      </c>
      <c r="AJ831" s="5">
        <f>(vp.data[[#This Row],[VP]]-INDEX(crudeBD.lkup[Mean_VP],MATCH(vp.data[[#This Row],[Crude_Breakdown]],crudeBD.lkup[Crude Breakdown],0)))^2</f>
        <v>109.41836668144077</v>
      </c>
      <c r="AK831" s="5">
        <f>(vp.data[[#This Row],[Dens]]-INDEX(crudeBD.lkup[Mean_Dens],MATCH(vp.data[[#This Row],[Crude_Breakdown]],crudeBD.lkup[Crude Breakdown],0)))^2</f>
        <v>176.35840000001437</v>
      </c>
      <c r="AL831" s="5">
        <f>(vp.data[[#This Row],[Sulf]]-INDEX(crudeBD.lkup[Mean_Sulf],MATCH(vp.data[[#This Row],[Crude_Breakdown]],crudeBD.lkup[Crude Breakdown],0)))^2</f>
        <v>0.39011500821159339</v>
      </c>
      <c r="AM831" s="4">
        <f>IF(AND(vp.data[[#This Row],[SDate]]&gt;=DATE(YEAR(vp.data[[#This Row],[SDate]]),5,1),vp.data[[#This Row],[SDate]]&lt;=DATE(YEAR(vp.data[[#This Row],[SDate]]),9,15)),1,0)</f>
        <v>0</v>
      </c>
      <c r="AN831" s="4">
        <f>IF(vp.data[[#This Row],[SDate]]&lt;DATE(2016,12,1),0,1)</f>
        <v>1</v>
      </c>
      <c r="AO831" s="4">
        <f>IFERROR(vp.data[[#This Row],[Sulf]]*vp.data[[#This Row],[Net Dens]],"")</f>
        <v>4478409.1264199996</v>
      </c>
      <c r="AP831">
        <f>IFERROR(vp.data[[#This Row],[Dens]]*vp.data[[#This Row],[VolumeM3]],"")</f>
        <v>2228064.2420000001</v>
      </c>
      <c r="AQ831" s="15">
        <f>IFERROR(vp.data[[#This Row],[VP]]*vp.data[[#This Row],[VolumeM3]],"")</f>
        <v>236790.30849999998</v>
      </c>
    </row>
    <row r="832" spans="1:43" x14ac:dyDescent="0.25">
      <c r="A832">
        <v>831</v>
      </c>
      <c r="B832" t="s">
        <v>51</v>
      </c>
      <c r="C832" t="s">
        <v>51</v>
      </c>
      <c r="D832" t="s">
        <v>52</v>
      </c>
      <c r="F832" s="1">
        <v>42785</v>
      </c>
      <c r="G832" s="2">
        <v>76.400000000000006</v>
      </c>
      <c r="H832" s="2"/>
      <c r="I832" s="2">
        <f t="array" ref="I832">_xlfn.IFNA(IF(vp.data[[#This Row],[Sulf Input]]="",INDEX([1]DATA!$Q$3:$Q$9826,MATCH(1,(vp.data[[#This Row],[Battery]]=[1]DATA!$L$3:$L$9826)*(EOMONTH(vp.data[[#This Row],[SDate]],-1)+1=[1]DATA!$G$3:$G$9826),0)),vp.data[[#This Row],[Sulf Input]]),"")</f>
        <v>2.46</v>
      </c>
      <c r="J832" s="2">
        <v>29.1</v>
      </c>
      <c r="K832" s="2">
        <v>1</v>
      </c>
      <c r="L832" s="2">
        <v>861.7</v>
      </c>
      <c r="M832" s="2">
        <f t="array" ref="M832">_xlfn.IFNA(IF(vp.data[[#This Row],[Dens Input]]="",INDEX([1]DATA!$O$3:$O$9826,MATCH(1,(vp.data[[#This Row],[Battery]]=[1]DATA!$L$3:$L$9826)*(EOMONTH(vp.data[[#This Row],[SDate]],-1)+1=[1]DATA!$G$3:$G$9826),0)),vp.data[[#This Row],[Dens Input]]),"")</f>
        <v>861.7</v>
      </c>
      <c r="N832" s="2">
        <f ca="1">INDEX(INDIRECT(_xlfn.CONCAT("weather.tbl[",N$1,"]")),MATCH(vp.data[[#This Row],[SDate]],weather.tbl[Date],0))</f>
        <v>-0.19999999999999998</v>
      </c>
      <c r="O832" s="2">
        <f ca="1">INDEX(INDIRECT(_xlfn.CONCAT("weather.tbl[",O$1,"]")),MATCH(vp.data[[#This Row],[SDate]],weather.tbl[Date],0))</f>
        <v>-0.29047619047619061</v>
      </c>
      <c r="P832" s="2">
        <f ca="1">INDEX(INDIRECT(_xlfn.CONCAT("weather.tbl[",P$1,"]")),MATCH(vp.data[[#This Row],[SDate]],weather.tbl[Date],0))</f>
        <v>-0.1</v>
      </c>
      <c r="Q832" s="2">
        <f ca="1">INDEX(INDIRECT(_xlfn.CONCAT("weather.tbl[",Q$1,"]")),MATCH(vp.data[[#This Row],[SDate]],weather.tbl[Date],0))</f>
        <v>-0.1</v>
      </c>
      <c r="R832" s="2">
        <f ca="1">INDEX(INDIRECT(_xlfn.CONCAT("weather.tbl[",R$1,"]")),MATCH(vp.data[[#This Row],[SDate]],weather.tbl[Date],0))</f>
        <v>-0.8</v>
      </c>
      <c r="S832" s="2">
        <f ca="1">INDEX(INDIRECT(_xlfn.CONCAT("weather.tbl[",S$1,"]")),MATCH(vp.data[[#This Row],[SDate]],weather.tbl[Date],0))</f>
        <v>-0.4</v>
      </c>
      <c r="T832" s="2">
        <f ca="1">INDEX(INDIRECT(_xlfn.CONCAT("weather.tbl[",T$1,"]")),MATCH(vp.data[[#This Row],[SDate]],weather.tbl[Date],0))</f>
        <v>0.2</v>
      </c>
      <c r="U832" s="2">
        <f ca="1">INDEX(INDIRECT(_xlfn.CONCAT("weather.tbl[",U$1,"]")),MATCH(vp.data[[#This Row],[SDate]],weather.tbl[Date],0))</f>
        <v>0</v>
      </c>
      <c r="V832" s="2">
        <f t="array" ref="V8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6655.18</v>
      </c>
      <c r="W832" t="s">
        <v>48</v>
      </c>
      <c r="X832">
        <f>IF(OR(vp.data[[#This Row],[Sulf]]="",vp.data[[#This Row],[Dens]]=""),1,0)</f>
        <v>0</v>
      </c>
      <c r="Y832">
        <f>IF(vp.data[[#This Row],[CrudeType]]="C5+",1,0)</f>
        <v>0</v>
      </c>
      <c r="Z832">
        <f>IF(AND(vp.data[[#This Row],[CrudeType]]="Crude",vp.data[[#This Row],[Dens]]&lt;=825,vp.data[[#This Row],[Sulf]]&gt;0.5,vp.data[[#This Row],[Unknown]]=0),1,0)</f>
        <v>0</v>
      </c>
      <c r="AA832">
        <f>IF(AND(vp.data[[#This Row],[CrudeType]]="Crude",vp.data[[#This Row],[Dens]]&lt;=825,vp.data[[#This Row],[Sulf]]&lt;=0.5,vp.data[[#This Row],[Unknown]]=0),1,0)</f>
        <v>0</v>
      </c>
      <c r="AB8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32">
        <f>IF(AND(vp.data[[#This Row],[CrudeType]]="Crude",vp.data[[#This Row],[Dens]]&gt;825,vp.data[[#This Row],[Dens]]&lt;=900,vp.data[[#This Row],[Sulf]]&lt;=0.5,vp.data[[#This Row],[Unknown]]=0),1,0)</f>
        <v>0</v>
      </c>
      <c r="AD832">
        <f>IF(AND(vp.data[[#This Row],[CrudeType]]="Crude",vp.data[[#This Row],[Dens]]&gt;865,vp.data[[#This Row],[Dens]]&lt;=900,vp.data[[#This Row],[Sulf]]&gt;2,vp.data[[#This Row],[Unknown]]=0),1,0)</f>
        <v>0</v>
      </c>
      <c r="AE832">
        <f>IF(AND(vp.data[[#This Row],[CrudeType]]="Crude",vp.data[[#This Row],[Dens]]&gt;900,vp.data[[#This Row],[Sulf]]&lt;=0.5,vp.data[[#This Row],[Unknown]]=0),1,0)</f>
        <v>0</v>
      </c>
      <c r="AF832">
        <f>IF(AND(vp.data[[#This Row],[CrudeType]]="Crude",vp.data[[#This Row],[Dens]]&gt;900,vp.data[[#This Row],[Sulf]]&lt;=0.5,vp.data[[#This Row],[Unknown]]=0),1,0)</f>
        <v>0</v>
      </c>
      <c r="AG832" t="str">
        <f>INDEX(vp.data[[#Headers],[Unknown]:[Heavy_SW]],MATCH(1,vp.data[[#This Row],[Unknown]:[Heavy_SW]],0))</f>
        <v>Medium_LSB</v>
      </c>
      <c r="AH832">
        <f>INDEX([3]!crudeBD.lkup[Number],MATCH(vp.data[[#This Row],[Crude_Breakdown]],crudeBD.lkup[Crude Breakdown],0))</f>
        <v>3</v>
      </c>
      <c r="AI832">
        <f>MONTH(vp.data[[#This Row],[SDate]])</f>
        <v>2</v>
      </c>
      <c r="AJ832" s="5">
        <f>(vp.data[[#This Row],[VP]]-INDEX(crudeBD.lkup[Mean_VP],MATCH(vp.data[[#This Row],[Crude_Breakdown]],crudeBD.lkup[Crude Breakdown],0)))^2</f>
        <v>17.974857247476479</v>
      </c>
      <c r="AK832" s="5">
        <f>(vp.data[[#This Row],[Dens]]-INDEX(crudeBD.lkup[Mean_Dens],MATCH(vp.data[[#This Row],[Crude_Breakdown]],crudeBD.lkup[Crude Breakdown],0)))^2</f>
        <v>316.12840000001927</v>
      </c>
      <c r="AL832" s="5">
        <f>(vp.data[[#This Row],[Sulf]]-INDEX(crudeBD.lkup[Mean_Sulf],MATCH(vp.data[[#This Row],[Crude_Breakdown]],crudeBD.lkup[Crude Breakdown],0)))^2</f>
        <v>1.1547476941954198</v>
      </c>
      <c r="AM832" s="4">
        <f>IF(AND(vp.data[[#This Row],[SDate]]&gt;=DATE(YEAR(vp.data[[#This Row],[SDate]]),5,1),vp.data[[#This Row],[SDate]]&lt;=DATE(YEAR(vp.data[[#This Row],[SDate]]),9,15)),1,0)</f>
        <v>0</v>
      </c>
      <c r="AN832" s="4">
        <f>IF(vp.data[[#This Row],[SDate]]&lt;DATE(2016,12,1),0,1)</f>
        <v>1</v>
      </c>
      <c r="AO832" s="4">
        <f>IFERROR(vp.data[[#This Row],[Sulf]]*vp.data[[#This Row],[Net Dens]],"")</f>
        <v>14107530.770760002</v>
      </c>
      <c r="AP832">
        <f>IFERROR(vp.data[[#This Row],[Dens]]*vp.data[[#This Row],[VolumeM3]],"")</f>
        <v>5734768.6060000006</v>
      </c>
      <c r="AQ832" s="15">
        <f>IFERROR(vp.data[[#This Row],[VP]]*vp.data[[#This Row],[VolumeM3]],"")</f>
        <v>508455.75200000004</v>
      </c>
    </row>
    <row r="833" spans="1:43" x14ac:dyDescent="0.25">
      <c r="A833">
        <v>832</v>
      </c>
      <c r="B833" t="s">
        <v>46</v>
      </c>
      <c r="C833" t="s">
        <v>46</v>
      </c>
      <c r="D833" t="s">
        <v>47</v>
      </c>
      <c r="F833" s="1">
        <v>42785</v>
      </c>
      <c r="G833" s="2">
        <v>59.9</v>
      </c>
      <c r="H833" s="2"/>
      <c r="I833" s="2">
        <f t="array" ref="I833">_xlfn.IFNA(IF(vp.data[[#This Row],[Sulf Input]]="",INDEX([1]DATA!$Q$3:$Q$9826,MATCH(1,(vp.data[[#This Row],[Battery]]=[1]DATA!$L$3:$L$9826)*(EOMONTH(vp.data[[#This Row],[SDate]],-1)+1=[1]DATA!$G$3:$G$9826),0)),vp.data[[#This Row],[Sulf Input]]),"")</f>
        <v>2.39</v>
      </c>
      <c r="J833" s="2">
        <v>28.5</v>
      </c>
      <c r="K833" s="2">
        <v>2</v>
      </c>
      <c r="L833" s="2">
        <v>867.3</v>
      </c>
      <c r="M833" s="2">
        <f t="array" ref="M833">_xlfn.IFNA(IF(vp.data[[#This Row],[Dens Input]]="",INDEX([1]DATA!$O$3:$O$9826,MATCH(1,(vp.data[[#This Row],[Battery]]=[1]DATA!$L$3:$L$9826)*(EOMONTH(vp.data[[#This Row],[SDate]],-1)+1=[1]DATA!$G$3:$G$9826),0)),vp.data[[#This Row],[Dens Input]]),"")</f>
        <v>867.3</v>
      </c>
      <c r="N833" s="2">
        <f ca="1">INDEX(INDIRECT(_xlfn.CONCAT("weather.tbl[",N$1,"]")),MATCH(vp.data[[#This Row],[SDate]],weather.tbl[Date],0))</f>
        <v>-0.19999999999999998</v>
      </c>
      <c r="O833" s="2">
        <f ca="1">INDEX(INDIRECT(_xlfn.CONCAT("weather.tbl[",O$1,"]")),MATCH(vp.data[[#This Row],[SDate]],weather.tbl[Date],0))</f>
        <v>-0.29047619047619061</v>
      </c>
      <c r="P833" s="2">
        <f ca="1">INDEX(INDIRECT(_xlfn.CONCAT("weather.tbl[",P$1,"]")),MATCH(vp.data[[#This Row],[SDate]],weather.tbl[Date],0))</f>
        <v>-0.1</v>
      </c>
      <c r="Q833" s="2">
        <f ca="1">INDEX(INDIRECT(_xlfn.CONCAT("weather.tbl[",Q$1,"]")),MATCH(vp.data[[#This Row],[SDate]],weather.tbl[Date],0))</f>
        <v>-0.1</v>
      </c>
      <c r="R833" s="2">
        <f ca="1">INDEX(INDIRECT(_xlfn.CONCAT("weather.tbl[",R$1,"]")),MATCH(vp.data[[#This Row],[SDate]],weather.tbl[Date],0))</f>
        <v>-0.8</v>
      </c>
      <c r="S833" s="2">
        <f ca="1">INDEX(INDIRECT(_xlfn.CONCAT("weather.tbl[",S$1,"]")),MATCH(vp.data[[#This Row],[SDate]],weather.tbl[Date],0))</f>
        <v>-0.4</v>
      </c>
      <c r="T833" s="2">
        <f ca="1">INDEX(INDIRECT(_xlfn.CONCAT("weather.tbl[",T$1,"]")),MATCH(vp.data[[#This Row],[SDate]],weather.tbl[Date],0))</f>
        <v>0.2</v>
      </c>
      <c r="U833" s="2">
        <f ca="1">INDEX(INDIRECT(_xlfn.CONCAT("weather.tbl[",U$1,"]")),MATCH(vp.data[[#This Row],[SDate]],weather.tbl[Date],0))</f>
        <v>0</v>
      </c>
      <c r="V833" s="2">
        <f t="array" ref="V8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104905.11500000001</v>
      </c>
      <c r="W833" t="s">
        <v>48</v>
      </c>
      <c r="X833">
        <f>IF(OR(vp.data[[#This Row],[Sulf]]="",vp.data[[#This Row],[Dens]]=""),1,0)</f>
        <v>0</v>
      </c>
      <c r="Y833">
        <f>IF(vp.data[[#This Row],[CrudeType]]="C5+",1,0)</f>
        <v>0</v>
      </c>
      <c r="Z833">
        <f>IF(AND(vp.data[[#This Row],[CrudeType]]="Crude",vp.data[[#This Row],[Dens]]&lt;=825,vp.data[[#This Row],[Sulf]]&gt;0.5,vp.data[[#This Row],[Unknown]]=0),1,0)</f>
        <v>0</v>
      </c>
      <c r="AA833">
        <f>IF(AND(vp.data[[#This Row],[CrudeType]]="Crude",vp.data[[#This Row],[Dens]]&lt;=825,vp.data[[#This Row],[Sulf]]&lt;=0.5,vp.data[[#This Row],[Unknown]]=0),1,0)</f>
        <v>0</v>
      </c>
      <c r="AB8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3">
        <f>IF(AND(vp.data[[#This Row],[CrudeType]]="Crude",vp.data[[#This Row],[Dens]]&gt;825,vp.data[[#This Row],[Dens]]&lt;=900,vp.data[[#This Row],[Sulf]]&lt;=0.5,vp.data[[#This Row],[Unknown]]=0),1,0)</f>
        <v>0</v>
      </c>
      <c r="AD833">
        <f>IF(AND(vp.data[[#This Row],[CrudeType]]="Crude",vp.data[[#This Row],[Dens]]&gt;865,vp.data[[#This Row],[Dens]]&lt;=900,vp.data[[#This Row],[Sulf]]&gt;2,vp.data[[#This Row],[Unknown]]=0),1,0)</f>
        <v>1</v>
      </c>
      <c r="AE833">
        <f>IF(AND(vp.data[[#This Row],[CrudeType]]="Crude",vp.data[[#This Row],[Dens]]&gt;900,vp.data[[#This Row],[Sulf]]&lt;=0.5,vp.data[[#This Row],[Unknown]]=0),1,0)</f>
        <v>0</v>
      </c>
      <c r="AF833">
        <f>IF(AND(vp.data[[#This Row],[CrudeType]]="Crude",vp.data[[#This Row],[Dens]]&gt;900,vp.data[[#This Row],[Sulf]]&lt;=0.5,vp.data[[#This Row],[Unknown]]=0),1,0)</f>
        <v>0</v>
      </c>
      <c r="AG833" t="str">
        <f>INDEX(vp.data[[#Headers],[Unknown]:[Heavy_SW]],MATCH(1,vp.data[[#This Row],[Unknown]:[Heavy_SW]],0))</f>
        <v>Midale</v>
      </c>
      <c r="AH833">
        <f>INDEX([3]!crudeBD.lkup[Number],MATCH(vp.data[[#This Row],[Crude_Breakdown]],crudeBD.lkup[Crude Breakdown],0))</f>
        <v>5</v>
      </c>
      <c r="AI833">
        <f>MONTH(vp.data[[#This Row],[SDate]])</f>
        <v>2</v>
      </c>
      <c r="AJ833" s="5">
        <f>(vp.data[[#This Row],[VP]]-INDEX(crudeBD.lkup[Mean_VP],MATCH(vp.data[[#This Row],[Crude_Breakdown]],crudeBD.lkup[Crude Breakdown],0)))^2</f>
        <v>90.416571633542972</v>
      </c>
      <c r="AK833" s="5">
        <f>(vp.data[[#This Row],[Dens]]-INDEX(crudeBD.lkup[Mean_Dens],MATCH(vp.data[[#This Row],[Crude_Breakdown]],crudeBD.lkup[Crude Breakdown],0)))^2</f>
        <v>56.505443989802302</v>
      </c>
      <c r="AL833" s="5">
        <f>(vp.data[[#This Row],[Sulf]]-INDEX(crudeBD.lkup[Mean_Sulf],MATCH(vp.data[[#This Row],[Crude_Breakdown]],crudeBD.lkup[Crude Breakdown],0)))^2</f>
        <v>2.8746290258368046E-3</v>
      </c>
      <c r="AM833" s="4">
        <f>IF(AND(vp.data[[#This Row],[SDate]]&gt;=DATE(YEAR(vp.data[[#This Row],[SDate]]),5,1),vp.data[[#This Row],[SDate]]&lt;=DATE(YEAR(vp.data[[#This Row],[SDate]]),9,15)),1,0)</f>
        <v>0</v>
      </c>
      <c r="AN833" s="4">
        <f>IF(vp.data[[#This Row],[SDate]]&lt;DATE(2016,12,1),0,1)</f>
        <v>1</v>
      </c>
      <c r="AO833" s="4">
        <f>IFERROR(vp.data[[#This Row],[Sulf]]*vp.data[[#This Row],[Net Dens]],"")</f>
        <v>217452252.91240501</v>
      </c>
      <c r="AP833">
        <f>IFERROR(vp.data[[#This Row],[Dens]]*vp.data[[#This Row],[VolumeM3]],"")</f>
        <v>90984206.239500001</v>
      </c>
      <c r="AQ833" s="15">
        <f>IFERROR(vp.data[[#This Row],[VP]]*vp.data[[#This Row],[VolumeM3]],"")</f>
        <v>6283816.3885000004</v>
      </c>
    </row>
    <row r="834" spans="1:43" x14ac:dyDescent="0.25">
      <c r="A834">
        <v>833</v>
      </c>
      <c r="B834" t="s">
        <v>127</v>
      </c>
      <c r="C834" t="s">
        <v>127</v>
      </c>
      <c r="D834" t="s">
        <v>166</v>
      </c>
      <c r="F834" s="1">
        <v>42785</v>
      </c>
      <c r="G834" s="2">
        <v>51.1</v>
      </c>
      <c r="H834" s="2"/>
      <c r="I834" s="2">
        <f t="array" ref="I834">_xlfn.IFNA(IF(vp.data[[#This Row],[Sulf Input]]="",INDEX([1]DATA!$Q$3:$Q$9826,MATCH(1,(vp.data[[#This Row],[Battery]]=[1]DATA!$L$3:$L$9826)*(EOMONTH(vp.data[[#This Row],[SDate]],-1)+1=[1]DATA!$G$3:$G$9826),0)),vp.data[[#This Row],[Sulf Input]]),"")</f>
        <v>1.83</v>
      </c>
      <c r="J834" s="2"/>
      <c r="K834" s="2">
        <v>1</v>
      </c>
      <c r="L834" s="2">
        <v>876.3</v>
      </c>
      <c r="M834" s="2">
        <f t="array" ref="M834">_xlfn.IFNA(IF(vp.data[[#This Row],[Dens Input]]="",INDEX([1]DATA!$O$3:$O$9826,MATCH(1,(vp.data[[#This Row],[Battery]]=[1]DATA!$L$3:$L$9826)*(EOMONTH(vp.data[[#This Row],[SDate]],-1)+1=[1]DATA!$G$3:$G$9826),0)),vp.data[[#This Row],[Dens Input]]),"")</f>
        <v>876.3</v>
      </c>
      <c r="N834" s="2">
        <f ca="1">INDEX(INDIRECT(_xlfn.CONCAT("weather.tbl[",N$1,"]")),MATCH(vp.data[[#This Row],[SDate]],weather.tbl[Date],0))</f>
        <v>-0.19999999999999998</v>
      </c>
      <c r="O834" s="2">
        <f ca="1">INDEX(INDIRECT(_xlfn.CONCAT("weather.tbl[",O$1,"]")),MATCH(vp.data[[#This Row],[SDate]],weather.tbl[Date],0))</f>
        <v>-0.29047619047619061</v>
      </c>
      <c r="P834" s="2">
        <f ca="1">INDEX(INDIRECT(_xlfn.CONCAT("weather.tbl[",P$1,"]")),MATCH(vp.data[[#This Row],[SDate]],weather.tbl[Date],0))</f>
        <v>-0.1</v>
      </c>
      <c r="Q834" s="2">
        <f ca="1">INDEX(INDIRECT(_xlfn.CONCAT("weather.tbl[",Q$1,"]")),MATCH(vp.data[[#This Row],[SDate]],weather.tbl[Date],0))</f>
        <v>-0.1</v>
      </c>
      <c r="R834" s="2">
        <f ca="1">INDEX(INDIRECT(_xlfn.CONCAT("weather.tbl[",R$1,"]")),MATCH(vp.data[[#This Row],[SDate]],weather.tbl[Date],0))</f>
        <v>-0.8</v>
      </c>
      <c r="S834" s="2">
        <f ca="1">INDEX(INDIRECT(_xlfn.CONCAT("weather.tbl[",S$1,"]")),MATCH(vp.data[[#This Row],[SDate]],weather.tbl[Date],0))</f>
        <v>-0.4</v>
      </c>
      <c r="T834" s="2">
        <f ca="1">INDEX(INDIRECT(_xlfn.CONCAT("weather.tbl[",T$1,"]")),MATCH(vp.data[[#This Row],[SDate]],weather.tbl[Date],0))</f>
        <v>0.2</v>
      </c>
      <c r="U834" s="2">
        <f ca="1">INDEX(INDIRECT(_xlfn.CONCAT("weather.tbl[",U$1,"]")),MATCH(vp.data[[#This Row],[SDate]],weather.tbl[Date],0))</f>
        <v>0</v>
      </c>
      <c r="V834" s="2">
        <f t="array" ref="V8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429.35199999999998</v>
      </c>
      <c r="W834" t="s">
        <v>48</v>
      </c>
      <c r="X834">
        <f>IF(OR(vp.data[[#This Row],[Sulf]]="",vp.data[[#This Row],[Dens]]=""),1,0)</f>
        <v>0</v>
      </c>
      <c r="Y834">
        <f>IF(vp.data[[#This Row],[CrudeType]]="C5+",1,0)</f>
        <v>0</v>
      </c>
      <c r="Z834">
        <f>IF(AND(vp.data[[#This Row],[CrudeType]]="Crude",vp.data[[#This Row],[Dens]]&lt;=825,vp.data[[#This Row],[Sulf]]&gt;0.5,vp.data[[#This Row],[Unknown]]=0),1,0)</f>
        <v>0</v>
      </c>
      <c r="AA834">
        <f>IF(AND(vp.data[[#This Row],[CrudeType]]="Crude",vp.data[[#This Row],[Dens]]&lt;=825,vp.data[[#This Row],[Sulf]]&lt;=0.5,vp.data[[#This Row],[Unknown]]=0),1,0)</f>
        <v>0</v>
      </c>
      <c r="AB8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34">
        <f>IF(AND(vp.data[[#This Row],[CrudeType]]="Crude",vp.data[[#This Row],[Dens]]&gt;825,vp.data[[#This Row],[Dens]]&lt;=900,vp.data[[#This Row],[Sulf]]&lt;=0.5,vp.data[[#This Row],[Unknown]]=0),1,0)</f>
        <v>0</v>
      </c>
      <c r="AD834">
        <f>IF(AND(vp.data[[#This Row],[CrudeType]]="Crude",vp.data[[#This Row],[Dens]]&gt;865,vp.data[[#This Row],[Dens]]&lt;=900,vp.data[[#This Row],[Sulf]]&gt;2,vp.data[[#This Row],[Unknown]]=0),1,0)</f>
        <v>0</v>
      </c>
      <c r="AE834">
        <f>IF(AND(vp.data[[#This Row],[CrudeType]]="Crude",vp.data[[#This Row],[Dens]]&gt;900,vp.data[[#This Row],[Sulf]]&lt;=0.5,vp.data[[#This Row],[Unknown]]=0),1,0)</f>
        <v>0</v>
      </c>
      <c r="AF834">
        <f>IF(AND(vp.data[[#This Row],[CrudeType]]="Crude",vp.data[[#This Row],[Dens]]&gt;900,vp.data[[#This Row],[Sulf]]&lt;=0.5,vp.data[[#This Row],[Unknown]]=0),1,0)</f>
        <v>0</v>
      </c>
      <c r="AG834" t="str">
        <f>INDEX(vp.data[[#Headers],[Unknown]:[Heavy_SW]],MATCH(1,vp.data[[#This Row],[Unknown]:[Heavy_SW]],0))</f>
        <v>Medium_LSB</v>
      </c>
      <c r="AH834">
        <f>INDEX([3]!crudeBD.lkup[Number],MATCH(vp.data[[#This Row],[Crude_Breakdown]],crudeBD.lkup[Crude Breakdown],0))</f>
        <v>3</v>
      </c>
      <c r="AI834">
        <f>MONTH(vp.data[[#This Row],[SDate]])</f>
        <v>2</v>
      </c>
      <c r="AJ834" s="5">
        <f>(vp.data[[#This Row],[VP]]-INDEX(crudeBD.lkup[Mean_VP],MATCH(vp.data[[#This Row],[Crude_Breakdown]],crudeBD.lkup[Crude Breakdown],0)))^2</f>
        <v>872.59249067065343</v>
      </c>
      <c r="AK834" s="5">
        <f>(vp.data[[#This Row],[Dens]]-INDEX(crudeBD.lkup[Mean_Dens],MATCH(vp.data[[#This Row],[Crude_Breakdown]],crudeBD.lkup[Crude Breakdown],0)))^2</f>
        <v>1048.4644000000292</v>
      </c>
      <c r="AL834" s="5">
        <f>(vp.data[[#This Row],[Sulf]]-INDEX(crudeBD.lkup[Mean_Sulf],MATCH(vp.data[[#This Row],[Crude_Breakdown]],crudeBD.lkup[Crude Breakdown],0)))^2</f>
        <v>0.19766193381806327</v>
      </c>
      <c r="AM834" s="4">
        <f>IF(AND(vp.data[[#This Row],[SDate]]&gt;=DATE(YEAR(vp.data[[#This Row],[SDate]]),5,1),vp.data[[#This Row],[SDate]]&lt;=DATE(YEAR(vp.data[[#This Row],[SDate]]),9,15)),1,0)</f>
        <v>0</v>
      </c>
      <c r="AN834" s="4">
        <f>IF(vp.data[[#This Row],[SDate]]&lt;DATE(2016,12,1),0,1)</f>
        <v>1</v>
      </c>
      <c r="AO834" s="4">
        <f>IFERROR(vp.data[[#This Row],[Sulf]]*vp.data[[#This Row],[Net Dens]],"")</f>
        <v>688521.31840799993</v>
      </c>
      <c r="AP834">
        <f>IFERROR(vp.data[[#This Row],[Dens]]*vp.data[[#This Row],[VolumeM3]],"")</f>
        <v>376241.15759999998</v>
      </c>
      <c r="AQ834" s="15">
        <f>IFERROR(vp.data[[#This Row],[VP]]*vp.data[[#This Row],[VolumeM3]],"")</f>
        <v>21939.887200000001</v>
      </c>
    </row>
    <row r="835" spans="1:43" x14ac:dyDescent="0.25">
      <c r="A835">
        <v>834</v>
      </c>
      <c r="B835" t="s">
        <v>108</v>
      </c>
      <c r="C835" t="s">
        <v>108</v>
      </c>
      <c r="D835" t="s">
        <v>158</v>
      </c>
      <c r="F835" s="1">
        <v>42785</v>
      </c>
      <c r="G835" s="2">
        <v>60.1</v>
      </c>
      <c r="H835" s="2"/>
      <c r="I835" s="2">
        <f t="array" ref="I835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835" s="2">
        <v>21.1</v>
      </c>
      <c r="K835" s="2">
        <v>1</v>
      </c>
      <c r="L835" s="2">
        <v>878.5</v>
      </c>
      <c r="M835" s="2">
        <f t="array" ref="M835">_xlfn.IFNA(IF(vp.data[[#This Row],[Dens Input]]="",INDEX([1]DATA!$O$3:$O$9826,MATCH(1,(vp.data[[#This Row],[Battery]]=[1]DATA!$L$3:$L$9826)*(EOMONTH(vp.data[[#This Row],[SDate]],-1)+1=[1]DATA!$G$3:$G$9826),0)),vp.data[[#This Row],[Dens Input]]),"")</f>
        <v>878.5</v>
      </c>
      <c r="N835" s="2">
        <f ca="1">INDEX(INDIRECT(_xlfn.CONCAT("weather.tbl[",N$1,"]")),MATCH(vp.data[[#This Row],[SDate]],weather.tbl[Date],0))</f>
        <v>-0.19999999999999998</v>
      </c>
      <c r="O835" s="2">
        <f ca="1">INDEX(INDIRECT(_xlfn.CONCAT("weather.tbl[",O$1,"]")),MATCH(vp.data[[#This Row],[SDate]],weather.tbl[Date],0))</f>
        <v>-0.29047619047619061</v>
      </c>
      <c r="P835" s="2">
        <f ca="1">INDEX(INDIRECT(_xlfn.CONCAT("weather.tbl[",P$1,"]")),MATCH(vp.data[[#This Row],[SDate]],weather.tbl[Date],0))</f>
        <v>-0.1</v>
      </c>
      <c r="Q835" s="2">
        <f ca="1">INDEX(INDIRECT(_xlfn.CONCAT("weather.tbl[",Q$1,"]")),MATCH(vp.data[[#This Row],[SDate]],weather.tbl[Date],0))</f>
        <v>-0.1</v>
      </c>
      <c r="R835" s="2">
        <f ca="1">INDEX(INDIRECT(_xlfn.CONCAT("weather.tbl[",R$1,"]")),MATCH(vp.data[[#This Row],[SDate]],weather.tbl[Date],0))</f>
        <v>-0.8</v>
      </c>
      <c r="S835" s="2">
        <f ca="1">INDEX(INDIRECT(_xlfn.CONCAT("weather.tbl[",S$1,"]")),MATCH(vp.data[[#This Row],[SDate]],weather.tbl[Date],0))</f>
        <v>-0.4</v>
      </c>
      <c r="T835" s="2">
        <f ca="1">INDEX(INDIRECT(_xlfn.CONCAT("weather.tbl[",T$1,"]")),MATCH(vp.data[[#This Row],[SDate]],weather.tbl[Date],0))</f>
        <v>0.2</v>
      </c>
      <c r="U835" s="2">
        <f ca="1">INDEX(INDIRECT(_xlfn.CONCAT("weather.tbl[",U$1,"]")),MATCH(vp.data[[#This Row],[SDate]],weather.tbl[Date],0))</f>
        <v>0</v>
      </c>
      <c r="V835" s="2">
        <f t="array" ref="V8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1412.5039999999999</v>
      </c>
      <c r="W835" t="s">
        <v>48</v>
      </c>
      <c r="X835">
        <f>IF(OR(vp.data[[#This Row],[Sulf]]="",vp.data[[#This Row],[Dens]]=""),1,0)</f>
        <v>0</v>
      </c>
      <c r="Y835">
        <f>IF(vp.data[[#This Row],[CrudeType]]="C5+",1,0)</f>
        <v>0</v>
      </c>
      <c r="Z835">
        <f>IF(AND(vp.data[[#This Row],[CrudeType]]="Crude",vp.data[[#This Row],[Dens]]&lt;=825,vp.data[[#This Row],[Sulf]]&gt;0.5,vp.data[[#This Row],[Unknown]]=0),1,0)</f>
        <v>0</v>
      </c>
      <c r="AA835">
        <f>IF(AND(vp.data[[#This Row],[CrudeType]]="Crude",vp.data[[#This Row],[Dens]]&lt;=825,vp.data[[#This Row],[Sulf]]&lt;=0.5,vp.data[[#This Row],[Unknown]]=0),1,0)</f>
        <v>0</v>
      </c>
      <c r="AB8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5">
        <f>IF(AND(vp.data[[#This Row],[CrudeType]]="Crude",vp.data[[#This Row],[Dens]]&gt;825,vp.data[[#This Row],[Dens]]&lt;=900,vp.data[[#This Row],[Sulf]]&lt;=0.5,vp.data[[#This Row],[Unknown]]=0),1,0)</f>
        <v>0</v>
      </c>
      <c r="AD835">
        <f>IF(AND(vp.data[[#This Row],[CrudeType]]="Crude",vp.data[[#This Row],[Dens]]&gt;865,vp.data[[#This Row],[Dens]]&lt;=900,vp.data[[#This Row],[Sulf]]&gt;2,vp.data[[#This Row],[Unknown]]=0),1,0)</f>
        <v>1</v>
      </c>
      <c r="AE835">
        <f>IF(AND(vp.data[[#This Row],[CrudeType]]="Crude",vp.data[[#This Row],[Dens]]&gt;900,vp.data[[#This Row],[Sulf]]&lt;=0.5,vp.data[[#This Row],[Unknown]]=0),1,0)</f>
        <v>0</v>
      </c>
      <c r="AF835">
        <f>IF(AND(vp.data[[#This Row],[CrudeType]]="Crude",vp.data[[#This Row],[Dens]]&gt;900,vp.data[[#This Row],[Sulf]]&lt;=0.5,vp.data[[#This Row],[Unknown]]=0),1,0)</f>
        <v>0</v>
      </c>
      <c r="AG835" t="str">
        <f>INDEX(vp.data[[#Headers],[Unknown]:[Heavy_SW]],MATCH(1,vp.data[[#This Row],[Unknown]:[Heavy_SW]],0))</f>
        <v>Midale</v>
      </c>
      <c r="AH835">
        <f>INDEX([3]!crudeBD.lkup[Number],MATCH(vp.data[[#This Row],[Crude_Breakdown]],crudeBD.lkup[Crude Breakdown],0))</f>
        <v>5</v>
      </c>
      <c r="AI835">
        <f>MONTH(vp.data[[#This Row],[SDate]])</f>
        <v>2</v>
      </c>
      <c r="AJ835" s="5">
        <f>(vp.data[[#This Row],[VP]]-INDEX(crudeBD.lkup[Mean_VP],MATCH(vp.data[[#This Row],[Crude_Breakdown]],crudeBD.lkup[Crude Breakdown],0)))^2</f>
        <v>86.653066478903739</v>
      </c>
      <c r="AK835" s="5">
        <f>(vp.data[[#This Row],[Dens]]-INDEX(crudeBD.lkup[Mean_Dens],MATCH(vp.data[[#This Row],[Crude_Breakdown]],crudeBD.lkup[Crude Breakdown],0)))^2</f>
        <v>13.564413061959689</v>
      </c>
      <c r="AL835" s="5">
        <f>(vp.data[[#This Row],[Sulf]]-INDEX(crudeBD.lkup[Mean_Sulf],MATCH(vp.data[[#This Row],[Crude_Breakdown]],crudeBD.lkup[Crude Breakdown],0)))^2</f>
        <v>0.12504396923202166</v>
      </c>
      <c r="AM835" s="4">
        <f>IF(AND(vp.data[[#This Row],[SDate]]&gt;=DATE(YEAR(vp.data[[#This Row],[SDate]]),5,1),vp.data[[#This Row],[SDate]]&lt;=DATE(YEAR(vp.data[[#This Row],[SDate]]),9,15)),1,0)</f>
        <v>0</v>
      </c>
      <c r="AN835" s="4">
        <f>IF(vp.data[[#This Row],[SDate]]&lt;DATE(2016,12,1),0,1)</f>
        <v>1</v>
      </c>
      <c r="AO835" s="4">
        <f>IFERROR(vp.data[[#This Row],[Sulf]]*vp.data[[#This Row],[Net Dens]],"")</f>
        <v>2593449.1567599997</v>
      </c>
      <c r="AP835">
        <f>IFERROR(vp.data[[#This Row],[Dens]]*vp.data[[#This Row],[VolumeM3]],"")</f>
        <v>1240884.764</v>
      </c>
      <c r="AQ835" s="15">
        <f>IFERROR(vp.data[[#This Row],[VP]]*vp.data[[#This Row],[VolumeM3]],"")</f>
        <v>84891.490399999995</v>
      </c>
    </row>
    <row r="836" spans="1:43" x14ac:dyDescent="0.25">
      <c r="A836">
        <v>835</v>
      </c>
      <c r="B836" t="s">
        <v>108</v>
      </c>
      <c r="C836" t="s">
        <v>108</v>
      </c>
      <c r="D836" t="s">
        <v>159</v>
      </c>
      <c r="F836" s="1">
        <v>42785</v>
      </c>
      <c r="G836" s="2">
        <v>53.2</v>
      </c>
      <c r="H836" s="2"/>
      <c r="I836" s="2">
        <f t="array" ref="I836">_xlfn.IFNA(IF(vp.data[[#This Row],[Sulf Input]]="",INDEX([1]DATA!$Q$3:$Q$9826,MATCH(1,(vp.data[[#This Row],[Battery]]=[1]DATA!$L$3:$L$9826)*(EOMONTH(vp.data[[#This Row],[SDate]],-1)+1=[1]DATA!$G$3:$G$9826),0)),vp.data[[#This Row],[Sulf Input]]),"")</f>
        <v>2.17</v>
      </c>
      <c r="J836" s="2">
        <v>16.3</v>
      </c>
      <c r="K836" s="2">
        <v>1</v>
      </c>
      <c r="L836" s="2">
        <v>884.5</v>
      </c>
      <c r="M836" s="2">
        <f t="array" ref="M836">_xlfn.IFNA(IF(vp.data[[#This Row],[Dens Input]]="",INDEX([1]DATA!$O$3:$O$9826,MATCH(1,(vp.data[[#This Row],[Battery]]=[1]DATA!$L$3:$L$9826)*(EOMONTH(vp.data[[#This Row],[SDate]],-1)+1=[1]DATA!$G$3:$G$9826),0)),vp.data[[#This Row],[Dens Input]]),"")</f>
        <v>884.5</v>
      </c>
      <c r="N836" s="2">
        <f ca="1">INDEX(INDIRECT(_xlfn.CONCAT("weather.tbl[",N$1,"]")),MATCH(vp.data[[#This Row],[SDate]],weather.tbl[Date],0))</f>
        <v>-0.19999999999999998</v>
      </c>
      <c r="O836" s="2">
        <f ca="1">INDEX(INDIRECT(_xlfn.CONCAT("weather.tbl[",O$1,"]")),MATCH(vp.data[[#This Row],[SDate]],weather.tbl[Date],0))</f>
        <v>-0.29047619047619061</v>
      </c>
      <c r="P836" s="2">
        <f ca="1">INDEX(INDIRECT(_xlfn.CONCAT("weather.tbl[",P$1,"]")),MATCH(vp.data[[#This Row],[SDate]],weather.tbl[Date],0))</f>
        <v>-0.1</v>
      </c>
      <c r="Q836" s="2">
        <f ca="1">INDEX(INDIRECT(_xlfn.CONCAT("weather.tbl[",Q$1,"]")),MATCH(vp.data[[#This Row],[SDate]],weather.tbl[Date],0))</f>
        <v>-0.1</v>
      </c>
      <c r="R836" s="2">
        <f ca="1">INDEX(INDIRECT(_xlfn.CONCAT("weather.tbl[",R$1,"]")),MATCH(vp.data[[#This Row],[SDate]],weather.tbl[Date],0))</f>
        <v>-0.8</v>
      </c>
      <c r="S836" s="2">
        <f ca="1">INDEX(INDIRECT(_xlfn.CONCAT("weather.tbl[",S$1,"]")),MATCH(vp.data[[#This Row],[SDate]],weather.tbl[Date],0))</f>
        <v>-0.4</v>
      </c>
      <c r="T836" s="2">
        <f ca="1">INDEX(INDIRECT(_xlfn.CONCAT("weather.tbl[",T$1,"]")),MATCH(vp.data[[#This Row],[SDate]],weather.tbl[Date],0))</f>
        <v>0.2</v>
      </c>
      <c r="U836" s="2">
        <f ca="1">INDEX(INDIRECT(_xlfn.CONCAT("weather.tbl[",U$1,"]")),MATCH(vp.data[[#This Row],[SDate]],weather.tbl[Date],0))</f>
        <v>0</v>
      </c>
      <c r="V836" s="2">
        <f t="array" ref="V8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1351.4469999999999</v>
      </c>
      <c r="W836" t="s">
        <v>48</v>
      </c>
      <c r="X836">
        <f>IF(OR(vp.data[[#This Row],[Sulf]]="",vp.data[[#This Row],[Dens]]=""),1,0)</f>
        <v>0</v>
      </c>
      <c r="Y836">
        <f>IF(vp.data[[#This Row],[CrudeType]]="C5+",1,0)</f>
        <v>0</v>
      </c>
      <c r="Z836">
        <f>IF(AND(vp.data[[#This Row],[CrudeType]]="Crude",vp.data[[#This Row],[Dens]]&lt;=825,vp.data[[#This Row],[Sulf]]&gt;0.5,vp.data[[#This Row],[Unknown]]=0),1,0)</f>
        <v>0</v>
      </c>
      <c r="AA836">
        <f>IF(AND(vp.data[[#This Row],[CrudeType]]="Crude",vp.data[[#This Row],[Dens]]&lt;=825,vp.data[[#This Row],[Sulf]]&lt;=0.5,vp.data[[#This Row],[Unknown]]=0),1,0)</f>
        <v>0</v>
      </c>
      <c r="AB8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6">
        <f>IF(AND(vp.data[[#This Row],[CrudeType]]="Crude",vp.data[[#This Row],[Dens]]&gt;825,vp.data[[#This Row],[Dens]]&lt;=900,vp.data[[#This Row],[Sulf]]&lt;=0.5,vp.data[[#This Row],[Unknown]]=0),1,0)</f>
        <v>0</v>
      </c>
      <c r="AD836">
        <f>IF(AND(vp.data[[#This Row],[CrudeType]]="Crude",vp.data[[#This Row],[Dens]]&gt;865,vp.data[[#This Row],[Dens]]&lt;=900,vp.data[[#This Row],[Sulf]]&gt;2,vp.data[[#This Row],[Unknown]]=0),1,0)</f>
        <v>1</v>
      </c>
      <c r="AE836">
        <f>IF(AND(vp.data[[#This Row],[CrudeType]]="Crude",vp.data[[#This Row],[Dens]]&gt;900,vp.data[[#This Row],[Sulf]]&lt;=0.5,vp.data[[#This Row],[Unknown]]=0),1,0)</f>
        <v>0</v>
      </c>
      <c r="AF836">
        <f>IF(AND(vp.data[[#This Row],[CrudeType]]="Crude",vp.data[[#This Row],[Dens]]&gt;900,vp.data[[#This Row],[Sulf]]&lt;=0.5,vp.data[[#This Row],[Unknown]]=0),1,0)</f>
        <v>0</v>
      </c>
      <c r="AG836" t="str">
        <f>INDEX(vp.data[[#Headers],[Unknown]:[Heavy_SW]],MATCH(1,vp.data[[#This Row],[Unknown]:[Heavy_SW]],0))</f>
        <v>Midale</v>
      </c>
      <c r="AH836">
        <f>INDEX([3]!crudeBD.lkup[Number],MATCH(vp.data[[#This Row],[Crude_Breakdown]],crudeBD.lkup[Crude Breakdown],0))</f>
        <v>5</v>
      </c>
      <c r="AI836">
        <f>MONTH(vp.data[[#This Row],[SDate]])</f>
        <v>2</v>
      </c>
      <c r="AJ836" s="5">
        <f>(vp.data[[#This Row],[VP]]-INDEX(crudeBD.lkup[Mean_VP],MATCH(vp.data[[#This Row],[Crude_Breakdown]],crudeBD.lkup[Crude Breakdown],0)))^2</f>
        <v>262.72399431395564</v>
      </c>
      <c r="AK836" s="5">
        <f>(vp.data[[#This Row],[Dens]]-INDEX(crudeBD.lkup[Mean_Dens],MATCH(vp.data[[#This Row],[Crude_Breakdown]],crudeBD.lkup[Crude Breakdown],0)))^2</f>
        <v>93.760289350615793</v>
      </c>
      <c r="AL836" s="5">
        <f>(vp.data[[#This Row],[Sulf]]-INDEX(crudeBD.lkup[Mean_Sulf],MATCH(vp.data[[#This Row],[Crude_Breakdown]],crudeBD.lkup[Crude Breakdown],0)))^2</f>
        <v>7.4865478510372341E-2</v>
      </c>
      <c r="AM836" s="4">
        <f>IF(AND(vp.data[[#This Row],[SDate]]&gt;=DATE(YEAR(vp.data[[#This Row],[SDate]]),5,1),vp.data[[#This Row],[SDate]]&lt;=DATE(YEAR(vp.data[[#This Row],[SDate]]),9,15)),1,0)</f>
        <v>0</v>
      </c>
      <c r="AN836" s="4">
        <f>IF(vp.data[[#This Row],[SDate]]&lt;DATE(2016,12,1),0,1)</f>
        <v>1</v>
      </c>
      <c r="AO836" s="4">
        <f>IFERROR(vp.data[[#This Row],[Sulf]]*vp.data[[#This Row],[Net Dens]],"")</f>
        <v>2593920.0711549995</v>
      </c>
      <c r="AP836">
        <f>IFERROR(vp.data[[#This Row],[Dens]]*vp.data[[#This Row],[VolumeM3]],"")</f>
        <v>1195354.8714999999</v>
      </c>
      <c r="AQ836" s="15">
        <f>IFERROR(vp.data[[#This Row],[VP]]*vp.data[[#This Row],[VolumeM3]],"")</f>
        <v>71896.9804</v>
      </c>
    </row>
    <row r="837" spans="1:43" x14ac:dyDescent="0.25">
      <c r="A837">
        <v>836</v>
      </c>
      <c r="B837" t="s">
        <v>68</v>
      </c>
      <c r="C837" t="s">
        <v>68</v>
      </c>
      <c r="D837" t="s">
        <v>167</v>
      </c>
      <c r="F837" s="1">
        <v>42785</v>
      </c>
      <c r="G837" s="2">
        <v>50.5</v>
      </c>
      <c r="H837" s="2"/>
      <c r="I837" s="2">
        <f t="array" ref="I837">_xlfn.IFNA(IF(vp.data[[#This Row],[Sulf Input]]="",INDEX([1]DATA!$Q$3:$Q$9826,MATCH(1,(vp.data[[#This Row],[Battery]]=[1]DATA!$L$3:$L$9826)*(EOMONTH(vp.data[[#This Row],[SDate]],-1)+1=[1]DATA!$G$3:$G$9826),0)),vp.data[[#This Row],[Sulf Input]]),"")</f>
        <v>2.5499999999999998</v>
      </c>
      <c r="J837" s="2">
        <v>14</v>
      </c>
      <c r="K837" s="2">
        <v>1</v>
      </c>
      <c r="L837" s="2">
        <v>884.8</v>
      </c>
      <c r="M837" s="2">
        <f t="array" ref="M837">_xlfn.IFNA(IF(vp.data[[#This Row],[Dens Input]]="",INDEX([1]DATA!$O$3:$O$9826,MATCH(1,(vp.data[[#This Row],[Battery]]=[1]DATA!$L$3:$L$9826)*(EOMONTH(vp.data[[#This Row],[SDate]],-1)+1=[1]DATA!$G$3:$G$9826),0)),vp.data[[#This Row],[Dens Input]]),"")</f>
        <v>884.8</v>
      </c>
      <c r="N837" s="2">
        <f ca="1">INDEX(INDIRECT(_xlfn.CONCAT("weather.tbl[",N$1,"]")),MATCH(vp.data[[#This Row],[SDate]],weather.tbl[Date],0))</f>
        <v>-0.19999999999999998</v>
      </c>
      <c r="O837" s="2">
        <f ca="1">INDEX(INDIRECT(_xlfn.CONCAT("weather.tbl[",O$1,"]")),MATCH(vp.data[[#This Row],[SDate]],weather.tbl[Date],0))</f>
        <v>-0.29047619047619061</v>
      </c>
      <c r="P837" s="2">
        <f ca="1">INDEX(INDIRECT(_xlfn.CONCAT("weather.tbl[",P$1,"]")),MATCH(vp.data[[#This Row],[SDate]],weather.tbl[Date],0))</f>
        <v>-0.1</v>
      </c>
      <c r="Q837" s="2">
        <f ca="1">INDEX(INDIRECT(_xlfn.CONCAT("weather.tbl[",Q$1,"]")),MATCH(vp.data[[#This Row],[SDate]],weather.tbl[Date],0))</f>
        <v>-0.1</v>
      </c>
      <c r="R837" s="2">
        <f ca="1">INDEX(INDIRECT(_xlfn.CONCAT("weather.tbl[",R$1,"]")),MATCH(vp.data[[#This Row],[SDate]],weather.tbl[Date],0))</f>
        <v>-0.8</v>
      </c>
      <c r="S837" s="2">
        <f ca="1">INDEX(INDIRECT(_xlfn.CONCAT("weather.tbl[",S$1,"]")),MATCH(vp.data[[#This Row],[SDate]],weather.tbl[Date],0))</f>
        <v>-0.4</v>
      </c>
      <c r="T837" s="2">
        <f ca="1">INDEX(INDIRECT(_xlfn.CONCAT("weather.tbl[",T$1,"]")),MATCH(vp.data[[#This Row],[SDate]],weather.tbl[Date],0))</f>
        <v>0.2</v>
      </c>
      <c r="U837" s="2">
        <f ca="1">INDEX(INDIRECT(_xlfn.CONCAT("weather.tbl[",U$1,"]")),MATCH(vp.data[[#This Row],[SDate]],weather.tbl[Date],0))</f>
        <v>0</v>
      </c>
      <c r="V837" s="2">
        <f t="array" ref="V8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394.94400000000002</v>
      </c>
      <c r="W837" t="s">
        <v>48</v>
      </c>
      <c r="X837">
        <f>IF(OR(vp.data[[#This Row],[Sulf]]="",vp.data[[#This Row],[Dens]]=""),1,0)</f>
        <v>0</v>
      </c>
      <c r="Y837">
        <f>IF(vp.data[[#This Row],[CrudeType]]="C5+",1,0)</f>
        <v>0</v>
      </c>
      <c r="Z837">
        <f>IF(AND(vp.data[[#This Row],[CrudeType]]="Crude",vp.data[[#This Row],[Dens]]&lt;=825,vp.data[[#This Row],[Sulf]]&gt;0.5,vp.data[[#This Row],[Unknown]]=0),1,0)</f>
        <v>0</v>
      </c>
      <c r="AA837">
        <f>IF(AND(vp.data[[#This Row],[CrudeType]]="Crude",vp.data[[#This Row],[Dens]]&lt;=825,vp.data[[#This Row],[Sulf]]&lt;=0.5,vp.data[[#This Row],[Unknown]]=0),1,0)</f>
        <v>0</v>
      </c>
      <c r="AB8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7">
        <f>IF(AND(vp.data[[#This Row],[CrudeType]]="Crude",vp.data[[#This Row],[Dens]]&gt;825,vp.data[[#This Row],[Dens]]&lt;=900,vp.data[[#This Row],[Sulf]]&lt;=0.5,vp.data[[#This Row],[Unknown]]=0),1,0)</f>
        <v>0</v>
      </c>
      <c r="AD837">
        <f>IF(AND(vp.data[[#This Row],[CrudeType]]="Crude",vp.data[[#This Row],[Dens]]&gt;865,vp.data[[#This Row],[Dens]]&lt;=900,vp.data[[#This Row],[Sulf]]&gt;2,vp.data[[#This Row],[Unknown]]=0),1,0)</f>
        <v>1</v>
      </c>
      <c r="AE837">
        <f>IF(AND(vp.data[[#This Row],[CrudeType]]="Crude",vp.data[[#This Row],[Dens]]&gt;900,vp.data[[#This Row],[Sulf]]&lt;=0.5,vp.data[[#This Row],[Unknown]]=0),1,0)</f>
        <v>0</v>
      </c>
      <c r="AF837">
        <f>IF(AND(vp.data[[#This Row],[CrudeType]]="Crude",vp.data[[#This Row],[Dens]]&gt;900,vp.data[[#This Row],[Sulf]]&lt;=0.5,vp.data[[#This Row],[Unknown]]=0),1,0)</f>
        <v>0</v>
      </c>
      <c r="AG837" t="str">
        <f>INDEX(vp.data[[#Headers],[Unknown]:[Heavy_SW]],MATCH(1,vp.data[[#This Row],[Unknown]:[Heavy_SW]],0))</f>
        <v>Midale</v>
      </c>
      <c r="AH837">
        <f>INDEX([3]!crudeBD.lkup[Number],MATCH(vp.data[[#This Row],[Crude_Breakdown]],crudeBD.lkup[Crude Breakdown],0))</f>
        <v>5</v>
      </c>
      <c r="AI837">
        <f>MONTH(vp.data[[#This Row],[SDate]])</f>
        <v>2</v>
      </c>
      <c r="AJ837" s="5">
        <f>(vp.data[[#This Row],[VP]]-INDEX(crudeBD.lkup[Mean_VP],MATCH(vp.data[[#This Row],[Crude_Breakdown]],crudeBD.lkup[Crude Breakdown],0)))^2</f>
        <v>357.54131390158477</v>
      </c>
      <c r="AK837" s="5">
        <f>(vp.data[[#This Row],[Dens]]-INDEX(crudeBD.lkup[Mean_Dens],MATCH(vp.data[[#This Row],[Crude_Breakdown]],crudeBD.lkup[Crude Breakdown],0)))^2</f>
        <v>99.660083165047695</v>
      </c>
      <c r="AL837" s="5">
        <f>(vp.data[[#This Row],[Sulf]]-INDEX(crudeBD.lkup[Mean_Sulf],MATCH(vp.data[[#This Row],[Crude_Breakdown]],crudeBD.lkup[Crude Breakdown],0)))^2</f>
        <v>1.1317647582538249E-2</v>
      </c>
      <c r="AM837" s="4">
        <f>IF(AND(vp.data[[#This Row],[SDate]]&gt;=DATE(YEAR(vp.data[[#This Row],[SDate]]),5,1),vp.data[[#This Row],[SDate]]&lt;=DATE(YEAR(vp.data[[#This Row],[SDate]]),9,15)),1,0)</f>
        <v>0</v>
      </c>
      <c r="AN837" s="4">
        <f>IF(vp.data[[#This Row],[SDate]]&lt;DATE(2016,12,1),0,1)</f>
        <v>1</v>
      </c>
      <c r="AO837" s="4">
        <f>IFERROR(vp.data[[#This Row],[Sulf]]*vp.data[[#This Row],[Net Dens]],"")</f>
        <v>891088.45055999991</v>
      </c>
      <c r="AP837">
        <f>IFERROR(vp.data[[#This Row],[Dens]]*vp.data[[#This Row],[VolumeM3]],"")</f>
        <v>349446.45120000001</v>
      </c>
      <c r="AQ837" s="15">
        <f>IFERROR(vp.data[[#This Row],[VP]]*vp.data[[#This Row],[VolumeM3]],"")</f>
        <v>19944.672000000002</v>
      </c>
    </row>
    <row r="838" spans="1:43" x14ac:dyDescent="0.25">
      <c r="A838">
        <v>837</v>
      </c>
      <c r="B838" t="s">
        <v>62</v>
      </c>
      <c r="C838" t="s">
        <v>62</v>
      </c>
      <c r="D838" t="s">
        <v>87</v>
      </c>
      <c r="F838" s="1">
        <v>42787</v>
      </c>
      <c r="G838" s="2">
        <v>80.8</v>
      </c>
      <c r="H838" s="2">
        <v>0.16500000000000001</v>
      </c>
      <c r="I838" s="2">
        <f t="array" ref="I838">_xlfn.IFNA(IF(vp.data[[#This Row],[Sulf Input]]="",INDEX([1]DATA!$Q$3:$Q$9826,MATCH(1,(vp.data[[#This Row],[Battery]]=[1]DATA!$L$3:$L$9826)*(EOMONTH(vp.data[[#This Row],[SDate]],-1)+1=[1]DATA!$G$3:$G$9826),0)),vp.data[[#This Row],[Sulf Input]]),"")</f>
        <v>0.16500000000000001</v>
      </c>
      <c r="J838" s="2">
        <v>27.1</v>
      </c>
      <c r="K838" s="2">
        <v>6</v>
      </c>
      <c r="L838" s="2">
        <v>809.6</v>
      </c>
      <c r="M838" s="2">
        <f t="array" ref="M838">_xlfn.IFNA(IF(vp.data[[#This Row],[Dens Input]]="",INDEX([1]DATA!$O$3:$O$9826,MATCH(1,(vp.data[[#This Row],[Battery]]=[1]DATA!$L$3:$L$9826)*(EOMONTH(vp.data[[#This Row],[SDate]],-1)+1=[1]DATA!$G$3:$G$9826),0)),vp.data[[#This Row],[Dens Input]]),"")</f>
        <v>809.6</v>
      </c>
      <c r="N838" s="2">
        <f ca="1">INDEX(INDIRECT(_xlfn.CONCAT("weather.tbl[",N$1,"]")),MATCH(vp.data[[#This Row],[SDate]],weather.tbl[Date],0))</f>
        <v>-5.0000000000000024E-2</v>
      </c>
      <c r="O838" s="2">
        <f ca="1">INDEX(INDIRECT(_xlfn.CONCAT("weather.tbl[",O$1,"]")),MATCH(vp.data[[#This Row],[SDate]],weather.tbl[Date],0))</f>
        <v>0.84761904761904761</v>
      </c>
      <c r="P838" s="2">
        <f ca="1">INDEX(INDIRECT(_xlfn.CONCAT("weather.tbl[",P$1,"]")),MATCH(vp.data[[#This Row],[SDate]],weather.tbl[Date],0))</f>
        <v>1.1000000000000001</v>
      </c>
      <c r="Q838" s="2">
        <f ca="1">INDEX(INDIRECT(_xlfn.CONCAT("weather.tbl[",Q$1,"]")),MATCH(vp.data[[#This Row],[SDate]],weather.tbl[Date],0))</f>
        <v>-0.4</v>
      </c>
      <c r="R838" s="2">
        <f ca="1">INDEX(INDIRECT(_xlfn.CONCAT("weather.tbl[",R$1,"]")),MATCH(vp.data[[#This Row],[SDate]],weather.tbl[Date],0))</f>
        <v>-1.3</v>
      </c>
      <c r="S838" s="2">
        <f ca="1">INDEX(INDIRECT(_xlfn.CONCAT("weather.tbl[",S$1,"]")),MATCH(vp.data[[#This Row],[SDate]],weather.tbl[Date],0))</f>
        <v>1.4</v>
      </c>
      <c r="T838" s="2">
        <f ca="1">INDEX(INDIRECT(_xlfn.CONCAT("weather.tbl[",T$1,"]")),MATCH(vp.data[[#This Row],[SDate]],weather.tbl[Date],0))</f>
        <v>-1.1000000000000001</v>
      </c>
      <c r="U838" s="2">
        <f ca="1">INDEX(INDIRECT(_xlfn.CONCAT("weather.tbl[",U$1,"]")),MATCH(vp.data[[#This Row],[SDate]],weather.tbl[Date],0))</f>
        <v>0</v>
      </c>
      <c r="V838" s="2">
        <f t="array" ref="V8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7768.6840000000002</v>
      </c>
      <c r="W838" t="s">
        <v>48</v>
      </c>
      <c r="X838">
        <f>IF(OR(vp.data[[#This Row],[Sulf]]="",vp.data[[#This Row],[Dens]]=""),1,0)</f>
        <v>0</v>
      </c>
      <c r="Y838">
        <f>IF(vp.data[[#This Row],[CrudeType]]="C5+",1,0)</f>
        <v>0</v>
      </c>
      <c r="Z838">
        <f>IF(AND(vp.data[[#This Row],[CrudeType]]="Crude",vp.data[[#This Row],[Dens]]&lt;=825,vp.data[[#This Row],[Sulf]]&gt;0.5,vp.data[[#This Row],[Unknown]]=0),1,0)</f>
        <v>0</v>
      </c>
      <c r="AA838">
        <f>IF(AND(vp.data[[#This Row],[CrudeType]]="Crude",vp.data[[#This Row],[Dens]]&lt;=825,vp.data[[#This Row],[Sulf]]&lt;=0.5,vp.data[[#This Row],[Unknown]]=0),1,0)</f>
        <v>1</v>
      </c>
      <c r="AB8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8">
        <f>IF(AND(vp.data[[#This Row],[CrudeType]]="Crude",vp.data[[#This Row],[Dens]]&gt;825,vp.data[[#This Row],[Dens]]&lt;=900,vp.data[[#This Row],[Sulf]]&lt;=0.5,vp.data[[#This Row],[Unknown]]=0),1,0)</f>
        <v>0</v>
      </c>
      <c r="AD838">
        <f>IF(AND(vp.data[[#This Row],[CrudeType]]="Crude",vp.data[[#This Row],[Dens]]&gt;865,vp.data[[#This Row],[Dens]]&lt;=900,vp.data[[#This Row],[Sulf]]&gt;2,vp.data[[#This Row],[Unknown]]=0),1,0)</f>
        <v>0</v>
      </c>
      <c r="AE838">
        <f>IF(AND(vp.data[[#This Row],[CrudeType]]="Crude",vp.data[[#This Row],[Dens]]&gt;900,vp.data[[#This Row],[Sulf]]&lt;=0.5,vp.data[[#This Row],[Unknown]]=0),1,0)</f>
        <v>0</v>
      </c>
      <c r="AF838">
        <f>IF(AND(vp.data[[#This Row],[CrudeType]]="Crude",vp.data[[#This Row],[Dens]]&gt;900,vp.data[[#This Row],[Sulf]]&lt;=0.5,vp.data[[#This Row],[Unknown]]=0),1,0)</f>
        <v>0</v>
      </c>
      <c r="AG838" t="str">
        <f>INDEX(vp.data[[#Headers],[Unknown]:[Heavy_SW]],MATCH(1,vp.data[[#This Row],[Unknown]:[Heavy_SW]],0))</f>
        <v>Light_SW</v>
      </c>
      <c r="AH838">
        <f>INDEX([3]!crudeBD.lkup[Number],MATCH(vp.data[[#This Row],[Crude_Breakdown]],crudeBD.lkup[Crude Breakdown],0))</f>
        <v>2</v>
      </c>
      <c r="AI838">
        <f>MONTH(vp.data[[#This Row],[SDate]])</f>
        <v>2</v>
      </c>
      <c r="AJ838" s="5">
        <f>(vp.data[[#This Row],[VP]]-INDEX(crudeBD.lkup[Mean_VP],MATCH(vp.data[[#This Row],[Crude_Breakdown]],crudeBD.lkup[Crude Breakdown],0)))^2</f>
        <v>138.06986943631642</v>
      </c>
      <c r="AK838" s="5">
        <f>(vp.data[[#This Row],[Dens]]-INDEX(crudeBD.lkup[Mean_Dens],MATCH(vp.data[[#This Row],[Crude_Breakdown]],crudeBD.lkup[Crude Breakdown],0)))^2</f>
        <v>1.6602367395506947</v>
      </c>
      <c r="AL838" s="5">
        <f>(vp.data[[#This Row],[Sulf]]-INDEX(crudeBD.lkup[Mean_Sulf],MATCH(vp.data[[#This Row],[Crude_Breakdown]],crudeBD.lkup[Crude Breakdown],0)))^2</f>
        <v>5.0753957551991418E-3</v>
      </c>
      <c r="AM838" s="4">
        <f>IF(AND(vp.data[[#This Row],[SDate]]&gt;=DATE(YEAR(vp.data[[#This Row],[SDate]]),5,1),vp.data[[#This Row],[SDate]]&lt;=DATE(YEAR(vp.data[[#This Row],[SDate]]),9,15)),1,0)</f>
        <v>0</v>
      </c>
      <c r="AN838" s="4">
        <f>IF(vp.data[[#This Row],[SDate]]&lt;DATE(2016,12,1),0,1)</f>
        <v>1</v>
      </c>
      <c r="AO838" s="4">
        <f>IFERROR(vp.data[[#This Row],[Sulf]]*vp.data[[#This Row],[Net Dens]],"")</f>
        <v>1037771.883456</v>
      </c>
      <c r="AP838">
        <f>IFERROR(vp.data[[#This Row],[Dens]]*vp.data[[#This Row],[VolumeM3]],"")</f>
        <v>6289526.5663999999</v>
      </c>
      <c r="AQ838" s="15">
        <f>IFERROR(vp.data[[#This Row],[VP]]*vp.data[[#This Row],[VolumeM3]],"")</f>
        <v>627709.66720000003</v>
      </c>
    </row>
    <row r="839" spans="1:43" x14ac:dyDescent="0.25">
      <c r="A839">
        <v>838</v>
      </c>
      <c r="B839" t="s">
        <v>49</v>
      </c>
      <c r="C839" t="s">
        <v>49</v>
      </c>
      <c r="D839" t="s">
        <v>75</v>
      </c>
      <c r="F839" s="1">
        <v>42787</v>
      </c>
      <c r="G839" s="2">
        <v>89.6</v>
      </c>
      <c r="H839" s="2">
        <v>0.16900000000000001</v>
      </c>
      <c r="I839" s="2">
        <f t="array" ref="I839">_xlfn.IFNA(IF(vp.data[[#This Row],[Sulf Input]]="",INDEX([1]DATA!$Q$3:$Q$9826,MATCH(1,(vp.data[[#This Row],[Battery]]=[1]DATA!$L$3:$L$9826)*(EOMONTH(vp.data[[#This Row],[SDate]],-1)+1=[1]DATA!$G$3:$G$9826),0)),vp.data[[#This Row],[Sulf Input]]),"")</f>
        <v>0.16900000000000001</v>
      </c>
      <c r="J839" s="2">
        <v>26</v>
      </c>
      <c r="K839" s="2">
        <v>6</v>
      </c>
      <c r="L839" s="2">
        <v>801.3</v>
      </c>
      <c r="M839" s="2">
        <f t="array" ref="M839">_xlfn.IFNA(IF(vp.data[[#This Row],[Dens Input]]="",INDEX([1]DATA!$O$3:$O$9826,MATCH(1,(vp.data[[#This Row],[Battery]]=[1]DATA!$L$3:$L$9826)*(EOMONTH(vp.data[[#This Row],[SDate]],-1)+1=[1]DATA!$G$3:$G$9826),0)),vp.data[[#This Row],[Dens Input]]),"")</f>
        <v>801.3</v>
      </c>
      <c r="N839" s="2">
        <f ca="1">INDEX(INDIRECT(_xlfn.CONCAT("weather.tbl[",N$1,"]")),MATCH(vp.data[[#This Row],[SDate]],weather.tbl[Date],0))</f>
        <v>-5.0000000000000024E-2</v>
      </c>
      <c r="O839" s="2">
        <f ca="1">INDEX(INDIRECT(_xlfn.CONCAT("weather.tbl[",O$1,"]")),MATCH(vp.data[[#This Row],[SDate]],weather.tbl[Date],0))</f>
        <v>0.84761904761904761</v>
      </c>
      <c r="P839" s="2">
        <f ca="1">INDEX(INDIRECT(_xlfn.CONCAT("weather.tbl[",P$1,"]")),MATCH(vp.data[[#This Row],[SDate]],weather.tbl[Date],0))</f>
        <v>1.1000000000000001</v>
      </c>
      <c r="Q839" s="2">
        <f ca="1">INDEX(INDIRECT(_xlfn.CONCAT("weather.tbl[",Q$1,"]")),MATCH(vp.data[[#This Row],[SDate]],weather.tbl[Date],0))</f>
        <v>-0.4</v>
      </c>
      <c r="R839" s="2">
        <f ca="1">INDEX(INDIRECT(_xlfn.CONCAT("weather.tbl[",R$1,"]")),MATCH(vp.data[[#This Row],[SDate]],weather.tbl[Date],0))</f>
        <v>-1.3</v>
      </c>
      <c r="S839" s="2">
        <f ca="1">INDEX(INDIRECT(_xlfn.CONCAT("weather.tbl[",S$1,"]")),MATCH(vp.data[[#This Row],[SDate]],weather.tbl[Date],0))</f>
        <v>1.4</v>
      </c>
      <c r="T839" s="2">
        <f ca="1">INDEX(INDIRECT(_xlfn.CONCAT("weather.tbl[",T$1,"]")),MATCH(vp.data[[#This Row],[SDate]],weather.tbl[Date],0))</f>
        <v>-1.1000000000000001</v>
      </c>
      <c r="U839" s="2">
        <f ca="1">INDEX(INDIRECT(_xlfn.CONCAT("weather.tbl[",U$1,"]")),MATCH(vp.data[[#This Row],[SDate]],weather.tbl[Date],0))</f>
        <v>0</v>
      </c>
      <c r="V839" s="2">
        <f t="array" ref="V8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8347.0130000000008</v>
      </c>
      <c r="W839" t="s">
        <v>48</v>
      </c>
      <c r="X839">
        <f>IF(OR(vp.data[[#This Row],[Sulf]]="",vp.data[[#This Row],[Dens]]=""),1,0)</f>
        <v>0</v>
      </c>
      <c r="Y839">
        <f>IF(vp.data[[#This Row],[CrudeType]]="C5+",1,0)</f>
        <v>0</v>
      </c>
      <c r="Z839">
        <f>IF(AND(vp.data[[#This Row],[CrudeType]]="Crude",vp.data[[#This Row],[Dens]]&lt;=825,vp.data[[#This Row],[Sulf]]&gt;0.5,vp.data[[#This Row],[Unknown]]=0),1,0)</f>
        <v>0</v>
      </c>
      <c r="AA839">
        <f>IF(AND(vp.data[[#This Row],[CrudeType]]="Crude",vp.data[[#This Row],[Dens]]&lt;=825,vp.data[[#This Row],[Sulf]]&lt;=0.5,vp.data[[#This Row],[Unknown]]=0),1,0)</f>
        <v>1</v>
      </c>
      <c r="AB8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39">
        <f>IF(AND(vp.data[[#This Row],[CrudeType]]="Crude",vp.data[[#This Row],[Dens]]&gt;825,vp.data[[#This Row],[Dens]]&lt;=900,vp.data[[#This Row],[Sulf]]&lt;=0.5,vp.data[[#This Row],[Unknown]]=0),1,0)</f>
        <v>0</v>
      </c>
      <c r="AD839">
        <f>IF(AND(vp.data[[#This Row],[CrudeType]]="Crude",vp.data[[#This Row],[Dens]]&gt;865,vp.data[[#This Row],[Dens]]&lt;=900,vp.data[[#This Row],[Sulf]]&gt;2,vp.data[[#This Row],[Unknown]]=0),1,0)</f>
        <v>0</v>
      </c>
      <c r="AE839">
        <f>IF(AND(vp.data[[#This Row],[CrudeType]]="Crude",vp.data[[#This Row],[Dens]]&gt;900,vp.data[[#This Row],[Sulf]]&lt;=0.5,vp.data[[#This Row],[Unknown]]=0),1,0)</f>
        <v>0</v>
      </c>
      <c r="AF839">
        <f>IF(AND(vp.data[[#This Row],[CrudeType]]="Crude",vp.data[[#This Row],[Dens]]&gt;900,vp.data[[#This Row],[Sulf]]&lt;=0.5,vp.data[[#This Row],[Unknown]]=0),1,0)</f>
        <v>0</v>
      </c>
      <c r="AG839" t="str">
        <f>INDEX(vp.data[[#Headers],[Unknown]:[Heavy_SW]],MATCH(1,vp.data[[#This Row],[Unknown]:[Heavy_SW]],0))</f>
        <v>Light_SW</v>
      </c>
      <c r="AH839">
        <f>INDEX([3]!crudeBD.lkup[Number],MATCH(vp.data[[#This Row],[Crude_Breakdown]],crudeBD.lkup[Crude Breakdown],0))</f>
        <v>2</v>
      </c>
      <c r="AI839">
        <f>MONTH(vp.data[[#This Row],[SDate]])</f>
        <v>2</v>
      </c>
      <c r="AJ839" s="5">
        <f>(vp.data[[#This Row],[VP]]-INDEX(crudeBD.lkup[Mean_VP],MATCH(vp.data[[#This Row],[Crude_Breakdown]],crudeBD.lkup[Crude Breakdown],0)))^2</f>
        <v>8.7043502725538549</v>
      </c>
      <c r="AK839" s="5">
        <f>(vp.data[[#This Row],[Dens]]-INDEX(crudeBD.lkup[Mean_Dens],MATCH(vp.data[[#This Row],[Crude_Breakdown]],crudeBD.lkup[Crude Breakdown],0)))^2</f>
        <v>49.161107819687025</v>
      </c>
      <c r="AL839" s="5">
        <f>(vp.data[[#This Row],[Sulf]]-INDEX(crudeBD.lkup[Mean_Sulf],MATCH(vp.data[[#This Row],[Crude_Breakdown]],crudeBD.lkup[Crude Breakdown],0)))^2</f>
        <v>4.5214612604256238E-3</v>
      </c>
      <c r="AM839" s="4">
        <f>IF(AND(vp.data[[#This Row],[SDate]]&gt;=DATE(YEAR(vp.data[[#This Row],[SDate]]),5,1),vp.data[[#This Row],[SDate]]&lt;=DATE(YEAR(vp.data[[#This Row],[SDate]]),9,15)),1,0)</f>
        <v>0</v>
      </c>
      <c r="AN839" s="4">
        <f>IF(vp.data[[#This Row],[SDate]]&lt;DATE(2016,12,1),0,1)</f>
        <v>1</v>
      </c>
      <c r="AO839" s="4">
        <f>IFERROR(vp.data[[#This Row],[Sulf]]*vp.data[[#This Row],[Net Dens]],"")</f>
        <v>1130349.9963561001</v>
      </c>
      <c r="AP839">
        <f>IFERROR(vp.data[[#This Row],[Dens]]*vp.data[[#This Row],[VolumeM3]],"")</f>
        <v>6688461.5169000002</v>
      </c>
      <c r="AQ839" s="15">
        <f>IFERROR(vp.data[[#This Row],[VP]]*vp.data[[#This Row],[VolumeM3]],"")</f>
        <v>747892.36479999998</v>
      </c>
    </row>
    <row r="840" spans="1:43" x14ac:dyDescent="0.25">
      <c r="A840">
        <v>839</v>
      </c>
      <c r="B840" t="s">
        <v>62</v>
      </c>
      <c r="C840" t="s">
        <v>62</v>
      </c>
      <c r="D840" t="s">
        <v>83</v>
      </c>
      <c r="F840" s="1">
        <v>42787</v>
      </c>
      <c r="G840" s="2">
        <v>83.4</v>
      </c>
      <c r="H840" s="2">
        <v>0.26500000000000001</v>
      </c>
      <c r="I840" s="2">
        <f t="array" ref="I840">_xlfn.IFNA(IF(vp.data[[#This Row],[Sulf Input]]="",INDEX([1]DATA!$Q$3:$Q$9826,MATCH(1,(vp.data[[#This Row],[Battery]]=[1]DATA!$L$3:$L$9826)*(EOMONTH(vp.data[[#This Row],[SDate]],-1)+1=[1]DATA!$G$3:$G$9826),0)),vp.data[[#This Row],[Sulf Input]]),"")</f>
        <v>0.26500000000000001</v>
      </c>
      <c r="J840" s="2">
        <v>2.2000000000000002</v>
      </c>
      <c r="K840" s="2">
        <v>6</v>
      </c>
      <c r="L840" s="2">
        <v>810.2</v>
      </c>
      <c r="M840" s="2">
        <f t="array" ref="M840">_xlfn.IFNA(IF(vp.data[[#This Row],[Dens Input]]="",INDEX([1]DATA!$O$3:$O$9826,MATCH(1,(vp.data[[#This Row],[Battery]]=[1]DATA!$L$3:$L$9826)*(EOMONTH(vp.data[[#This Row],[SDate]],-1)+1=[1]DATA!$G$3:$G$9826),0)),vp.data[[#This Row],[Dens Input]]),"")</f>
        <v>810.2</v>
      </c>
      <c r="N840" s="2">
        <f ca="1">INDEX(INDIRECT(_xlfn.CONCAT("weather.tbl[",N$1,"]")),MATCH(vp.data[[#This Row],[SDate]],weather.tbl[Date],0))</f>
        <v>-5.0000000000000024E-2</v>
      </c>
      <c r="O840" s="2">
        <f ca="1">INDEX(INDIRECT(_xlfn.CONCAT("weather.tbl[",O$1,"]")),MATCH(vp.data[[#This Row],[SDate]],weather.tbl[Date],0))</f>
        <v>0.84761904761904761</v>
      </c>
      <c r="P840" s="2">
        <f ca="1">INDEX(INDIRECT(_xlfn.CONCAT("weather.tbl[",P$1,"]")),MATCH(vp.data[[#This Row],[SDate]],weather.tbl[Date],0))</f>
        <v>1.1000000000000001</v>
      </c>
      <c r="Q840" s="2">
        <f ca="1">INDEX(INDIRECT(_xlfn.CONCAT("weather.tbl[",Q$1,"]")),MATCH(vp.data[[#This Row],[SDate]],weather.tbl[Date],0))</f>
        <v>-0.4</v>
      </c>
      <c r="R840" s="2">
        <f ca="1">INDEX(INDIRECT(_xlfn.CONCAT("weather.tbl[",R$1,"]")),MATCH(vp.data[[#This Row],[SDate]],weather.tbl[Date],0))</f>
        <v>-1.3</v>
      </c>
      <c r="S840" s="2">
        <f ca="1">INDEX(INDIRECT(_xlfn.CONCAT("weather.tbl[",S$1,"]")),MATCH(vp.data[[#This Row],[SDate]],weather.tbl[Date],0))</f>
        <v>1.4</v>
      </c>
      <c r="T840" s="2">
        <f ca="1">INDEX(INDIRECT(_xlfn.CONCAT("weather.tbl[",T$1,"]")),MATCH(vp.data[[#This Row],[SDate]],weather.tbl[Date],0))</f>
        <v>-1.1000000000000001</v>
      </c>
      <c r="U840" s="2">
        <f ca="1">INDEX(INDIRECT(_xlfn.CONCAT("weather.tbl[",U$1,"]")),MATCH(vp.data[[#This Row],[SDate]],weather.tbl[Date],0))</f>
        <v>0</v>
      </c>
      <c r="V840" s="2">
        <f t="array" ref="V8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7967.6189999999997</v>
      </c>
      <c r="W840" t="s">
        <v>48</v>
      </c>
      <c r="X840">
        <f>IF(OR(vp.data[[#This Row],[Sulf]]="",vp.data[[#This Row],[Dens]]=""),1,0)</f>
        <v>0</v>
      </c>
      <c r="Y840">
        <f>IF(vp.data[[#This Row],[CrudeType]]="C5+",1,0)</f>
        <v>0</v>
      </c>
      <c r="Z840">
        <f>IF(AND(vp.data[[#This Row],[CrudeType]]="Crude",vp.data[[#This Row],[Dens]]&lt;=825,vp.data[[#This Row],[Sulf]]&gt;0.5,vp.data[[#This Row],[Unknown]]=0),1,0)</f>
        <v>0</v>
      </c>
      <c r="AA840">
        <f>IF(AND(vp.data[[#This Row],[CrudeType]]="Crude",vp.data[[#This Row],[Dens]]&lt;=825,vp.data[[#This Row],[Sulf]]&lt;=0.5,vp.data[[#This Row],[Unknown]]=0),1,0)</f>
        <v>1</v>
      </c>
      <c r="AB8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40">
        <f>IF(AND(vp.data[[#This Row],[CrudeType]]="Crude",vp.data[[#This Row],[Dens]]&gt;825,vp.data[[#This Row],[Dens]]&lt;=900,vp.data[[#This Row],[Sulf]]&lt;=0.5,vp.data[[#This Row],[Unknown]]=0),1,0)</f>
        <v>0</v>
      </c>
      <c r="AD840">
        <f>IF(AND(vp.data[[#This Row],[CrudeType]]="Crude",vp.data[[#This Row],[Dens]]&gt;865,vp.data[[#This Row],[Dens]]&lt;=900,vp.data[[#This Row],[Sulf]]&gt;2,vp.data[[#This Row],[Unknown]]=0),1,0)</f>
        <v>0</v>
      </c>
      <c r="AE840">
        <f>IF(AND(vp.data[[#This Row],[CrudeType]]="Crude",vp.data[[#This Row],[Dens]]&gt;900,vp.data[[#This Row],[Sulf]]&lt;=0.5,vp.data[[#This Row],[Unknown]]=0),1,0)</f>
        <v>0</v>
      </c>
      <c r="AF840">
        <f>IF(AND(vp.data[[#This Row],[CrudeType]]="Crude",vp.data[[#This Row],[Dens]]&gt;900,vp.data[[#This Row],[Sulf]]&lt;=0.5,vp.data[[#This Row],[Unknown]]=0),1,0)</f>
        <v>0</v>
      </c>
      <c r="AG840" t="str">
        <f>INDEX(vp.data[[#Headers],[Unknown]:[Heavy_SW]],MATCH(1,vp.data[[#This Row],[Unknown]:[Heavy_SW]],0))</f>
        <v>Light_SW</v>
      </c>
      <c r="AH840">
        <f>INDEX([3]!crudeBD.lkup[Number],MATCH(vp.data[[#This Row],[Crude_Breakdown]],crudeBD.lkup[Crude Breakdown],0))</f>
        <v>2</v>
      </c>
      <c r="AI840">
        <f>MONTH(vp.data[[#This Row],[SDate]])</f>
        <v>2</v>
      </c>
      <c r="AJ840" s="5">
        <f>(vp.data[[#This Row],[VP]]-INDEX(crudeBD.lkup[Mean_VP],MATCH(vp.data[[#This Row],[Crude_Breakdown]],crudeBD.lkup[Crude Breakdown],0)))^2</f>
        <v>83.728238774295505</v>
      </c>
      <c r="AK840" s="5">
        <f>(vp.data[[#This Row],[Dens]]-INDEX(crudeBD.lkup[Mean_Dens],MATCH(vp.data[[#This Row],[Crude_Breakdown]],crudeBD.lkup[Crude Breakdown],0)))^2</f>
        <v>3.5664388301434045</v>
      </c>
      <c r="AL840" s="5">
        <f>(vp.data[[#This Row],[Sulf]]-INDEX(crudeBD.lkup[Mean_Sulf],MATCH(vp.data[[#This Row],[Crude_Breakdown]],crudeBD.lkup[Crude Breakdown],0)))^2</f>
        <v>8.2703338586119523E-4</v>
      </c>
      <c r="AM840" s="4">
        <f>IF(AND(vp.data[[#This Row],[SDate]]&gt;=DATE(YEAR(vp.data[[#This Row],[SDate]]),5,1),vp.data[[#This Row],[SDate]]&lt;=DATE(YEAR(vp.data[[#This Row],[SDate]]),9,15)),1,0)</f>
        <v>0</v>
      </c>
      <c r="AN840" s="4">
        <f>IF(vp.data[[#This Row],[SDate]]&lt;DATE(2016,12,1),0,1)</f>
        <v>1</v>
      </c>
      <c r="AO840" s="4">
        <f>IFERROR(vp.data[[#This Row],[Sulf]]*vp.data[[#This Row],[Net Dens]],"")</f>
        <v>1710671.7021570001</v>
      </c>
      <c r="AP840">
        <f>IFERROR(vp.data[[#This Row],[Dens]]*vp.data[[#This Row],[VolumeM3]],"")</f>
        <v>6455364.9138000002</v>
      </c>
      <c r="AQ840" s="15">
        <f>IFERROR(vp.data[[#This Row],[VP]]*vp.data[[#This Row],[VolumeM3]],"")</f>
        <v>664499.42460000003</v>
      </c>
    </row>
    <row r="841" spans="1:43" x14ac:dyDescent="0.25">
      <c r="A841">
        <v>840</v>
      </c>
      <c r="B841" t="s">
        <v>62</v>
      </c>
      <c r="C841" t="s">
        <v>62</v>
      </c>
      <c r="D841" t="s">
        <v>79</v>
      </c>
      <c r="F841" s="1">
        <v>42787</v>
      </c>
      <c r="G841" s="2">
        <v>88</v>
      </c>
      <c r="H841" s="2">
        <v>0.28299999999999997</v>
      </c>
      <c r="I841" s="2">
        <f t="array" ref="I841">_xlfn.IFNA(IF(vp.data[[#This Row],[Sulf Input]]="",INDEX([1]DATA!$Q$3:$Q$9826,MATCH(1,(vp.data[[#This Row],[Battery]]=[1]DATA!$L$3:$L$9826)*(EOMONTH(vp.data[[#This Row],[SDate]],-1)+1=[1]DATA!$G$3:$G$9826),0)),vp.data[[#This Row],[Sulf Input]]),"")</f>
        <v>0.28299999999999997</v>
      </c>
      <c r="J841" s="2">
        <v>14.1</v>
      </c>
      <c r="K841" s="2">
        <v>6</v>
      </c>
      <c r="L841" s="2">
        <v>807.8</v>
      </c>
      <c r="M841" s="2">
        <f t="array" ref="M841">_xlfn.IFNA(IF(vp.data[[#This Row],[Dens Input]]="",INDEX([1]DATA!$O$3:$O$9826,MATCH(1,(vp.data[[#This Row],[Battery]]=[1]DATA!$L$3:$L$9826)*(EOMONTH(vp.data[[#This Row],[SDate]],-1)+1=[1]DATA!$G$3:$G$9826),0)),vp.data[[#This Row],[Dens Input]]),"")</f>
        <v>807.8</v>
      </c>
      <c r="N841" s="2">
        <f ca="1">INDEX(INDIRECT(_xlfn.CONCAT("weather.tbl[",N$1,"]")),MATCH(vp.data[[#This Row],[SDate]],weather.tbl[Date],0))</f>
        <v>-5.0000000000000024E-2</v>
      </c>
      <c r="O841" s="2">
        <f ca="1">INDEX(INDIRECT(_xlfn.CONCAT("weather.tbl[",O$1,"]")),MATCH(vp.data[[#This Row],[SDate]],weather.tbl[Date],0))</f>
        <v>0.84761904761904761</v>
      </c>
      <c r="P841" s="2">
        <f ca="1">INDEX(INDIRECT(_xlfn.CONCAT("weather.tbl[",P$1,"]")),MATCH(vp.data[[#This Row],[SDate]],weather.tbl[Date],0))</f>
        <v>1.1000000000000001</v>
      </c>
      <c r="Q841" s="2">
        <f ca="1">INDEX(INDIRECT(_xlfn.CONCAT("weather.tbl[",Q$1,"]")),MATCH(vp.data[[#This Row],[SDate]],weather.tbl[Date],0))</f>
        <v>-0.4</v>
      </c>
      <c r="R841" s="2">
        <f ca="1">INDEX(INDIRECT(_xlfn.CONCAT("weather.tbl[",R$1,"]")),MATCH(vp.data[[#This Row],[SDate]],weather.tbl[Date],0))</f>
        <v>-1.3</v>
      </c>
      <c r="S841" s="2">
        <f ca="1">INDEX(INDIRECT(_xlfn.CONCAT("weather.tbl[",S$1,"]")),MATCH(vp.data[[#This Row],[SDate]],weather.tbl[Date],0))</f>
        <v>1.4</v>
      </c>
      <c r="T841" s="2">
        <f ca="1">INDEX(INDIRECT(_xlfn.CONCAT("weather.tbl[",T$1,"]")),MATCH(vp.data[[#This Row],[SDate]],weather.tbl[Date],0))</f>
        <v>-1.1000000000000001</v>
      </c>
      <c r="U841" s="2">
        <f ca="1">INDEX(INDIRECT(_xlfn.CONCAT("weather.tbl[",U$1,"]")),MATCH(vp.data[[#This Row],[SDate]],weather.tbl[Date],0))</f>
        <v>0</v>
      </c>
      <c r="V841" s="2">
        <f t="array" ref="V8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12819.813</v>
      </c>
      <c r="W841" t="s">
        <v>48</v>
      </c>
      <c r="X841">
        <f>IF(OR(vp.data[[#This Row],[Sulf]]="",vp.data[[#This Row],[Dens]]=""),1,0)</f>
        <v>0</v>
      </c>
      <c r="Y841">
        <f>IF(vp.data[[#This Row],[CrudeType]]="C5+",1,0)</f>
        <v>0</v>
      </c>
      <c r="Z841">
        <f>IF(AND(vp.data[[#This Row],[CrudeType]]="Crude",vp.data[[#This Row],[Dens]]&lt;=825,vp.data[[#This Row],[Sulf]]&gt;0.5,vp.data[[#This Row],[Unknown]]=0),1,0)</f>
        <v>0</v>
      </c>
      <c r="AA841">
        <f>IF(AND(vp.data[[#This Row],[CrudeType]]="Crude",vp.data[[#This Row],[Dens]]&lt;=825,vp.data[[#This Row],[Sulf]]&lt;=0.5,vp.data[[#This Row],[Unknown]]=0),1,0)</f>
        <v>1</v>
      </c>
      <c r="AB8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41">
        <f>IF(AND(vp.data[[#This Row],[CrudeType]]="Crude",vp.data[[#This Row],[Dens]]&gt;825,vp.data[[#This Row],[Dens]]&lt;=900,vp.data[[#This Row],[Sulf]]&lt;=0.5,vp.data[[#This Row],[Unknown]]=0),1,0)</f>
        <v>0</v>
      </c>
      <c r="AD841">
        <f>IF(AND(vp.data[[#This Row],[CrudeType]]="Crude",vp.data[[#This Row],[Dens]]&gt;865,vp.data[[#This Row],[Dens]]&lt;=900,vp.data[[#This Row],[Sulf]]&gt;2,vp.data[[#This Row],[Unknown]]=0),1,0)</f>
        <v>0</v>
      </c>
      <c r="AE841">
        <f>IF(AND(vp.data[[#This Row],[CrudeType]]="Crude",vp.data[[#This Row],[Dens]]&gt;900,vp.data[[#This Row],[Sulf]]&lt;=0.5,vp.data[[#This Row],[Unknown]]=0),1,0)</f>
        <v>0</v>
      </c>
      <c r="AF841">
        <f>IF(AND(vp.data[[#This Row],[CrudeType]]="Crude",vp.data[[#This Row],[Dens]]&gt;900,vp.data[[#This Row],[Sulf]]&lt;=0.5,vp.data[[#This Row],[Unknown]]=0),1,0)</f>
        <v>0</v>
      </c>
      <c r="AG841" t="str">
        <f>INDEX(vp.data[[#Headers],[Unknown]:[Heavy_SW]],MATCH(1,vp.data[[#This Row],[Unknown]:[Heavy_SW]],0))</f>
        <v>Light_SW</v>
      </c>
      <c r="AH841">
        <f>INDEX([3]!crudeBD.lkup[Number],MATCH(vp.data[[#This Row],[Crude_Breakdown]],crudeBD.lkup[Crude Breakdown],0))</f>
        <v>2</v>
      </c>
      <c r="AI841">
        <f>MONTH(vp.data[[#This Row],[SDate]])</f>
        <v>2</v>
      </c>
      <c r="AJ841" s="5">
        <f>(vp.data[[#This Row],[VP]]-INDEX(crudeBD.lkup[Mean_VP],MATCH(vp.data[[#This Row],[Crude_Breakdown]],crudeBD.lkup[Crude Breakdown],0)))^2</f>
        <v>20.705353756874285</v>
      </c>
      <c r="AK841" s="5">
        <f>(vp.data[[#This Row],[Dens]]-INDEX(crudeBD.lkup[Mean_Dens],MATCH(vp.data[[#This Row],[Crude_Breakdown]],crudeBD.lkup[Crude Breakdown],0)))^2</f>
        <v>0.26163046777289312</v>
      </c>
      <c r="AL841" s="5">
        <f>(vp.data[[#This Row],[Sulf]]-INDEX(crudeBD.lkup[Mean_Sulf],MATCH(vp.data[[#This Row],[Crude_Breakdown]],crudeBD.lkup[Crude Breakdown],0)))^2</f>
        <v>2.1863281593803613E-3</v>
      </c>
      <c r="AM841" s="4">
        <f>IF(AND(vp.data[[#This Row],[SDate]]&gt;=DATE(YEAR(vp.data[[#This Row],[SDate]]),5,1),vp.data[[#This Row],[SDate]]&lt;=DATE(YEAR(vp.data[[#This Row],[SDate]]),9,15)),1,0)</f>
        <v>0</v>
      </c>
      <c r="AN841" s="4">
        <f>IF(vp.data[[#This Row],[SDate]]&lt;DATE(2016,12,1),0,1)</f>
        <v>1</v>
      </c>
      <c r="AO841" s="4">
        <f>IFERROR(vp.data[[#This Row],[Sulf]]*vp.data[[#This Row],[Net Dens]],"")</f>
        <v>2930704.1184161995</v>
      </c>
      <c r="AP841">
        <f>IFERROR(vp.data[[#This Row],[Dens]]*vp.data[[#This Row],[VolumeM3]],"")</f>
        <v>10355844.941399999</v>
      </c>
      <c r="AQ841" s="15">
        <f>IFERROR(vp.data[[#This Row],[VP]]*vp.data[[#This Row],[VolumeM3]],"")</f>
        <v>1128143.544</v>
      </c>
    </row>
    <row r="842" spans="1:43" x14ac:dyDescent="0.25">
      <c r="A842">
        <v>841</v>
      </c>
      <c r="B842" t="s">
        <v>51</v>
      </c>
      <c r="C842" t="s">
        <v>51</v>
      </c>
      <c r="D842" t="s">
        <v>95</v>
      </c>
      <c r="F842" s="1">
        <v>42787</v>
      </c>
      <c r="G842" s="2">
        <v>61.3</v>
      </c>
      <c r="H842" s="2">
        <v>1.208</v>
      </c>
      <c r="I842" s="2">
        <f t="array" ref="I842">_xlfn.IFNA(IF(vp.data[[#This Row],[Sulf Input]]="",INDEX([1]DATA!$Q$3:$Q$9826,MATCH(1,(vp.data[[#This Row],[Battery]]=[1]DATA!$L$3:$L$9826)*(EOMONTH(vp.data[[#This Row],[SDate]],-1)+1=[1]DATA!$G$3:$G$9826),0)),vp.data[[#This Row],[Sulf Input]]),"")</f>
        <v>1.208</v>
      </c>
      <c r="J842" s="2">
        <v>24.6</v>
      </c>
      <c r="K842" s="2">
        <v>6</v>
      </c>
      <c r="L842" s="2">
        <v>843.6</v>
      </c>
      <c r="M842" s="2">
        <f t="array" ref="M842">_xlfn.IFNA(IF(vp.data[[#This Row],[Dens Input]]="",INDEX([1]DATA!$O$3:$O$9826,MATCH(1,(vp.data[[#This Row],[Battery]]=[1]DATA!$L$3:$L$9826)*(EOMONTH(vp.data[[#This Row],[SDate]],-1)+1=[1]DATA!$G$3:$G$9826),0)),vp.data[[#This Row],[Dens Input]]),"")</f>
        <v>843.6</v>
      </c>
      <c r="N842" s="2">
        <f ca="1">INDEX(INDIRECT(_xlfn.CONCAT("weather.tbl[",N$1,"]")),MATCH(vp.data[[#This Row],[SDate]],weather.tbl[Date],0))</f>
        <v>-5.0000000000000024E-2</v>
      </c>
      <c r="O842" s="2">
        <f ca="1">INDEX(INDIRECT(_xlfn.CONCAT("weather.tbl[",O$1,"]")),MATCH(vp.data[[#This Row],[SDate]],weather.tbl[Date],0))</f>
        <v>0.84761904761904761</v>
      </c>
      <c r="P842" s="2">
        <f ca="1">INDEX(INDIRECT(_xlfn.CONCAT("weather.tbl[",P$1,"]")),MATCH(vp.data[[#This Row],[SDate]],weather.tbl[Date],0))</f>
        <v>1.1000000000000001</v>
      </c>
      <c r="Q842" s="2">
        <f ca="1">INDEX(INDIRECT(_xlfn.CONCAT("weather.tbl[",Q$1,"]")),MATCH(vp.data[[#This Row],[SDate]],weather.tbl[Date],0))</f>
        <v>-0.4</v>
      </c>
      <c r="R842" s="2">
        <f ca="1">INDEX(INDIRECT(_xlfn.CONCAT("weather.tbl[",R$1,"]")),MATCH(vp.data[[#This Row],[SDate]],weather.tbl[Date],0))</f>
        <v>-1.3</v>
      </c>
      <c r="S842" s="2">
        <f ca="1">INDEX(INDIRECT(_xlfn.CONCAT("weather.tbl[",S$1,"]")),MATCH(vp.data[[#This Row],[SDate]],weather.tbl[Date],0))</f>
        <v>1.4</v>
      </c>
      <c r="T842" s="2">
        <f ca="1">INDEX(INDIRECT(_xlfn.CONCAT("weather.tbl[",T$1,"]")),MATCH(vp.data[[#This Row],[SDate]],weather.tbl[Date],0))</f>
        <v>-1.1000000000000001</v>
      </c>
      <c r="U842" s="2">
        <f ca="1">INDEX(INDIRECT(_xlfn.CONCAT("weather.tbl[",U$1,"]")),MATCH(vp.data[[#This Row],[SDate]],weather.tbl[Date],0))</f>
        <v>0</v>
      </c>
      <c r="V842" s="2">
        <f t="array" ref="V8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6151.1620000000003</v>
      </c>
      <c r="W842" t="s">
        <v>48</v>
      </c>
      <c r="X842">
        <f>IF(OR(vp.data[[#This Row],[Sulf]]="",vp.data[[#This Row],[Dens]]=""),1,0)</f>
        <v>0</v>
      </c>
      <c r="Y842">
        <f>IF(vp.data[[#This Row],[CrudeType]]="C5+",1,0)</f>
        <v>0</v>
      </c>
      <c r="Z842">
        <f>IF(AND(vp.data[[#This Row],[CrudeType]]="Crude",vp.data[[#This Row],[Dens]]&lt;=825,vp.data[[#This Row],[Sulf]]&gt;0.5,vp.data[[#This Row],[Unknown]]=0),1,0)</f>
        <v>0</v>
      </c>
      <c r="AA842">
        <f>IF(AND(vp.data[[#This Row],[CrudeType]]="Crude",vp.data[[#This Row],[Dens]]&lt;=825,vp.data[[#This Row],[Sulf]]&lt;=0.5,vp.data[[#This Row],[Unknown]]=0),1,0)</f>
        <v>0</v>
      </c>
      <c r="AB8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2">
        <f>IF(AND(vp.data[[#This Row],[CrudeType]]="Crude",vp.data[[#This Row],[Dens]]&gt;825,vp.data[[#This Row],[Dens]]&lt;=900,vp.data[[#This Row],[Sulf]]&lt;=0.5,vp.data[[#This Row],[Unknown]]=0),1,0)</f>
        <v>0</v>
      </c>
      <c r="AD842">
        <f>IF(AND(vp.data[[#This Row],[CrudeType]]="Crude",vp.data[[#This Row],[Dens]]&gt;865,vp.data[[#This Row],[Dens]]&lt;=900,vp.data[[#This Row],[Sulf]]&gt;2,vp.data[[#This Row],[Unknown]]=0),1,0)</f>
        <v>0</v>
      </c>
      <c r="AE842">
        <f>IF(AND(vp.data[[#This Row],[CrudeType]]="Crude",vp.data[[#This Row],[Dens]]&gt;900,vp.data[[#This Row],[Sulf]]&lt;=0.5,vp.data[[#This Row],[Unknown]]=0),1,0)</f>
        <v>0</v>
      </c>
      <c r="AF842">
        <f>IF(AND(vp.data[[#This Row],[CrudeType]]="Crude",vp.data[[#This Row],[Dens]]&gt;900,vp.data[[#This Row],[Sulf]]&lt;=0.5,vp.data[[#This Row],[Unknown]]=0),1,0)</f>
        <v>0</v>
      </c>
      <c r="AG842" t="str">
        <f>INDEX(vp.data[[#Headers],[Unknown]:[Heavy_SW]],MATCH(1,vp.data[[#This Row],[Unknown]:[Heavy_SW]],0))</f>
        <v>Medium_LSB</v>
      </c>
      <c r="AH842">
        <f>INDEX([3]!crudeBD.lkup[Number],MATCH(vp.data[[#This Row],[Crude_Breakdown]],crudeBD.lkup[Crude Breakdown],0))</f>
        <v>3</v>
      </c>
      <c r="AI842">
        <f>MONTH(vp.data[[#This Row],[SDate]])</f>
        <v>2</v>
      </c>
      <c r="AJ842" s="5">
        <f>(vp.data[[#This Row],[VP]]-INDEX(crudeBD.lkup[Mean_VP],MATCH(vp.data[[#This Row],[Crude_Breakdown]],crudeBD.lkup[Crude Breakdown],0)))^2</f>
        <v>374.02308905340442</v>
      </c>
      <c r="AK842" s="5">
        <f>(vp.data[[#This Row],[Dens]]-INDEX(crudeBD.lkup[Mean_Dens],MATCH(vp.data[[#This Row],[Crude_Breakdown]],crudeBD.lkup[Crude Breakdown],0)))^2</f>
        <v>0.10239999999966821</v>
      </c>
      <c r="AL842" s="5">
        <f>(vp.data[[#This Row],[Sulf]]-INDEX(crudeBD.lkup[Mean_Sulf],MATCH(vp.data[[#This Row],[Crude_Breakdown]],crudeBD.lkup[Crude Breakdown],0)))^2</f>
        <v>3.1473643413752452E-2</v>
      </c>
      <c r="AM842" s="4">
        <f>IF(AND(vp.data[[#This Row],[SDate]]&gt;=DATE(YEAR(vp.data[[#This Row],[SDate]]),5,1),vp.data[[#This Row],[SDate]]&lt;=DATE(YEAR(vp.data[[#This Row],[SDate]]),9,15)),1,0)</f>
        <v>0</v>
      </c>
      <c r="AN842" s="4">
        <f>IF(vp.data[[#This Row],[SDate]]&lt;DATE(2016,12,1),0,1)</f>
        <v>1</v>
      </c>
      <c r="AO842" s="4">
        <f>IFERROR(vp.data[[#This Row],[Sulf]]*vp.data[[#This Row],[Net Dens]],"")</f>
        <v>6268457.2779455995</v>
      </c>
      <c r="AP842">
        <f>IFERROR(vp.data[[#This Row],[Dens]]*vp.data[[#This Row],[VolumeM3]],"")</f>
        <v>5189120.2631999999</v>
      </c>
      <c r="AQ842" s="15">
        <f>IFERROR(vp.data[[#This Row],[VP]]*vp.data[[#This Row],[VolumeM3]],"")</f>
        <v>377066.23060000001</v>
      </c>
    </row>
    <row r="843" spans="1:43" x14ac:dyDescent="0.25">
      <c r="A843">
        <v>842</v>
      </c>
      <c r="B843" t="s">
        <v>49</v>
      </c>
      <c r="C843" t="s">
        <v>49</v>
      </c>
      <c r="D843" t="s">
        <v>90</v>
      </c>
      <c r="F843" s="1">
        <v>42787</v>
      </c>
      <c r="G843" s="2">
        <v>73.099999999999994</v>
      </c>
      <c r="H843" s="2">
        <v>1.2789999999999999</v>
      </c>
      <c r="I843" s="2">
        <f t="array" ref="I843">_xlfn.IFNA(IF(vp.data[[#This Row],[Sulf Input]]="",INDEX([1]DATA!$Q$3:$Q$9826,MATCH(1,(vp.data[[#This Row],[Battery]]=[1]DATA!$L$3:$L$9826)*(EOMONTH(vp.data[[#This Row],[SDate]],-1)+1=[1]DATA!$G$3:$G$9826),0)),vp.data[[#This Row],[Sulf Input]]),"")</f>
        <v>1.2789999999999999</v>
      </c>
      <c r="J843" s="2">
        <v>32.9</v>
      </c>
      <c r="K843" s="2">
        <v>6</v>
      </c>
      <c r="L843" s="2">
        <v>846.1</v>
      </c>
      <c r="M843" s="2">
        <f t="array" ref="M843">_xlfn.IFNA(IF(vp.data[[#This Row],[Dens Input]]="",INDEX([1]DATA!$O$3:$O$9826,MATCH(1,(vp.data[[#This Row],[Battery]]=[1]DATA!$L$3:$L$9826)*(EOMONTH(vp.data[[#This Row],[SDate]],-1)+1=[1]DATA!$G$3:$G$9826),0)),vp.data[[#This Row],[Dens Input]]),"")</f>
        <v>846.1</v>
      </c>
      <c r="N843" s="2">
        <f ca="1">INDEX(INDIRECT(_xlfn.CONCAT("weather.tbl[",N$1,"]")),MATCH(vp.data[[#This Row],[SDate]],weather.tbl[Date],0))</f>
        <v>-5.0000000000000024E-2</v>
      </c>
      <c r="O843" s="2">
        <f ca="1">INDEX(INDIRECT(_xlfn.CONCAT("weather.tbl[",O$1,"]")),MATCH(vp.data[[#This Row],[SDate]],weather.tbl[Date],0))</f>
        <v>0.84761904761904761</v>
      </c>
      <c r="P843" s="2">
        <f ca="1">INDEX(INDIRECT(_xlfn.CONCAT("weather.tbl[",P$1,"]")),MATCH(vp.data[[#This Row],[SDate]],weather.tbl[Date],0))</f>
        <v>1.1000000000000001</v>
      </c>
      <c r="Q843" s="2">
        <f ca="1">INDEX(INDIRECT(_xlfn.CONCAT("weather.tbl[",Q$1,"]")),MATCH(vp.data[[#This Row],[SDate]],weather.tbl[Date],0))</f>
        <v>-0.4</v>
      </c>
      <c r="R843" s="2">
        <f ca="1">INDEX(INDIRECT(_xlfn.CONCAT("weather.tbl[",R$1,"]")),MATCH(vp.data[[#This Row],[SDate]],weather.tbl[Date],0))</f>
        <v>-1.3</v>
      </c>
      <c r="S843" s="2">
        <f ca="1">INDEX(INDIRECT(_xlfn.CONCAT("weather.tbl[",S$1,"]")),MATCH(vp.data[[#This Row],[SDate]],weather.tbl[Date],0))</f>
        <v>1.4</v>
      </c>
      <c r="T843" s="2">
        <f ca="1">INDEX(INDIRECT(_xlfn.CONCAT("weather.tbl[",T$1,"]")),MATCH(vp.data[[#This Row],[SDate]],weather.tbl[Date],0))</f>
        <v>-1.1000000000000001</v>
      </c>
      <c r="U843" s="2">
        <f ca="1">INDEX(INDIRECT(_xlfn.CONCAT("weather.tbl[",U$1,"]")),MATCH(vp.data[[#This Row],[SDate]],weather.tbl[Date],0))</f>
        <v>0</v>
      </c>
      <c r="V843" s="2">
        <f t="array" ref="V8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4432.7370000000001</v>
      </c>
      <c r="W843" t="s">
        <v>48</v>
      </c>
      <c r="X843">
        <f>IF(OR(vp.data[[#This Row],[Sulf]]="",vp.data[[#This Row],[Dens]]=""),1,0)</f>
        <v>0</v>
      </c>
      <c r="Y843">
        <f>IF(vp.data[[#This Row],[CrudeType]]="C5+",1,0)</f>
        <v>0</v>
      </c>
      <c r="Z843">
        <f>IF(AND(vp.data[[#This Row],[CrudeType]]="Crude",vp.data[[#This Row],[Dens]]&lt;=825,vp.data[[#This Row],[Sulf]]&gt;0.5,vp.data[[#This Row],[Unknown]]=0),1,0)</f>
        <v>0</v>
      </c>
      <c r="AA843">
        <f>IF(AND(vp.data[[#This Row],[CrudeType]]="Crude",vp.data[[#This Row],[Dens]]&lt;=825,vp.data[[#This Row],[Sulf]]&lt;=0.5,vp.data[[#This Row],[Unknown]]=0),1,0)</f>
        <v>0</v>
      </c>
      <c r="AB8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3">
        <f>IF(AND(vp.data[[#This Row],[CrudeType]]="Crude",vp.data[[#This Row],[Dens]]&gt;825,vp.data[[#This Row],[Dens]]&lt;=900,vp.data[[#This Row],[Sulf]]&lt;=0.5,vp.data[[#This Row],[Unknown]]=0),1,0)</f>
        <v>0</v>
      </c>
      <c r="AD843">
        <f>IF(AND(vp.data[[#This Row],[CrudeType]]="Crude",vp.data[[#This Row],[Dens]]&gt;865,vp.data[[#This Row],[Dens]]&lt;=900,vp.data[[#This Row],[Sulf]]&gt;2,vp.data[[#This Row],[Unknown]]=0),1,0)</f>
        <v>0</v>
      </c>
      <c r="AE843">
        <f>IF(AND(vp.data[[#This Row],[CrudeType]]="Crude",vp.data[[#This Row],[Dens]]&gt;900,vp.data[[#This Row],[Sulf]]&lt;=0.5,vp.data[[#This Row],[Unknown]]=0),1,0)</f>
        <v>0</v>
      </c>
      <c r="AF843">
        <f>IF(AND(vp.data[[#This Row],[CrudeType]]="Crude",vp.data[[#This Row],[Dens]]&gt;900,vp.data[[#This Row],[Sulf]]&lt;=0.5,vp.data[[#This Row],[Unknown]]=0),1,0)</f>
        <v>0</v>
      </c>
      <c r="AG843" t="str">
        <f>INDEX(vp.data[[#Headers],[Unknown]:[Heavy_SW]],MATCH(1,vp.data[[#This Row],[Unknown]:[Heavy_SW]],0))</f>
        <v>Medium_LSB</v>
      </c>
      <c r="AH843">
        <f>INDEX([3]!crudeBD.lkup[Number],MATCH(vp.data[[#This Row],[Crude_Breakdown]],crudeBD.lkup[Crude Breakdown],0))</f>
        <v>3</v>
      </c>
      <c r="AI843">
        <f>MONTH(vp.data[[#This Row],[SDate]])</f>
        <v>2</v>
      </c>
      <c r="AJ843" s="5">
        <f>(vp.data[[#This Row],[VP]]-INDEX(crudeBD.lkup[Mean_VP],MATCH(vp.data[[#This Row],[Crude_Breakdown]],crudeBD.lkup[Crude Breakdown],0)))^2</f>
        <v>56.846722476586649</v>
      </c>
      <c r="AK843" s="5">
        <f>(vp.data[[#This Row],[Dens]]-INDEX(crudeBD.lkup[Mean_Dens],MATCH(vp.data[[#This Row],[Crude_Breakdown]],crudeBD.lkup[Crude Breakdown],0)))^2</f>
        <v>4.7524000000022601</v>
      </c>
      <c r="AL843" s="5">
        <f>(vp.data[[#This Row],[Sulf]]-INDEX(crudeBD.lkup[Mean_Sulf],MATCH(vp.data[[#This Row],[Crude_Breakdown]],crudeBD.lkup[Crude Breakdown],0)))^2</f>
        <v>1.1322689424533912E-2</v>
      </c>
      <c r="AM843" s="4">
        <f>IF(AND(vp.data[[#This Row],[SDate]]&gt;=DATE(YEAR(vp.data[[#This Row],[SDate]]),5,1),vp.data[[#This Row],[SDate]]&lt;=DATE(YEAR(vp.data[[#This Row],[SDate]]),9,15)),1,0)</f>
        <v>0</v>
      </c>
      <c r="AN843" s="4">
        <f>IF(vp.data[[#This Row],[SDate]]&lt;DATE(2016,12,1),0,1)</f>
        <v>1</v>
      </c>
      <c r="AO843" s="4">
        <f>IFERROR(vp.data[[#This Row],[Sulf]]*vp.data[[#This Row],[Net Dens]],"")</f>
        <v>4796939.0941202994</v>
      </c>
      <c r="AP843">
        <f>IFERROR(vp.data[[#This Row],[Dens]]*vp.data[[#This Row],[VolumeM3]],"")</f>
        <v>3750538.7757000001</v>
      </c>
      <c r="AQ843" s="15">
        <f>IFERROR(vp.data[[#This Row],[VP]]*vp.data[[#This Row],[VolumeM3]],"")</f>
        <v>324033.0747</v>
      </c>
    </row>
    <row r="844" spans="1:43" x14ac:dyDescent="0.25">
      <c r="A844">
        <v>843</v>
      </c>
      <c r="B844" t="s">
        <v>51</v>
      </c>
      <c r="C844" t="s">
        <v>51</v>
      </c>
      <c r="D844" t="s">
        <v>71</v>
      </c>
      <c r="F844" s="1">
        <v>42787</v>
      </c>
      <c r="G844" s="2">
        <v>89.5</v>
      </c>
      <c r="H844" s="2">
        <v>1.4059999999999999</v>
      </c>
      <c r="I844" s="2">
        <f t="array" ref="I844">_xlfn.IFNA(IF(vp.data[[#This Row],[Sulf Input]]="",INDEX([1]DATA!$Q$3:$Q$9826,MATCH(1,(vp.data[[#This Row],[Battery]]=[1]DATA!$L$3:$L$9826)*(EOMONTH(vp.data[[#This Row],[SDate]],-1)+1=[1]DATA!$G$3:$G$9826),0)),vp.data[[#This Row],[Sulf Input]]),"")</f>
        <v>1.4059999999999999</v>
      </c>
      <c r="J844" s="2">
        <v>15.6</v>
      </c>
      <c r="K844" s="2">
        <v>6</v>
      </c>
      <c r="L844" s="2">
        <v>820.8</v>
      </c>
      <c r="M844" s="2">
        <f t="array" ref="M844">_xlfn.IFNA(IF(vp.data[[#This Row],[Dens Input]]="",INDEX([1]DATA!$O$3:$O$9826,MATCH(1,(vp.data[[#This Row],[Battery]]=[1]DATA!$L$3:$L$9826)*(EOMONTH(vp.data[[#This Row],[SDate]],-1)+1=[1]DATA!$G$3:$G$9826),0)),vp.data[[#This Row],[Dens Input]]),"")</f>
        <v>820.8</v>
      </c>
      <c r="N844" s="2">
        <f ca="1">INDEX(INDIRECT(_xlfn.CONCAT("weather.tbl[",N$1,"]")),MATCH(vp.data[[#This Row],[SDate]],weather.tbl[Date],0))</f>
        <v>-5.0000000000000024E-2</v>
      </c>
      <c r="O844" s="2">
        <f ca="1">INDEX(INDIRECT(_xlfn.CONCAT("weather.tbl[",O$1,"]")),MATCH(vp.data[[#This Row],[SDate]],weather.tbl[Date],0))</f>
        <v>0.84761904761904761</v>
      </c>
      <c r="P844" s="2">
        <f ca="1">INDEX(INDIRECT(_xlfn.CONCAT("weather.tbl[",P$1,"]")),MATCH(vp.data[[#This Row],[SDate]],weather.tbl[Date],0))</f>
        <v>1.1000000000000001</v>
      </c>
      <c r="Q844" s="2">
        <f ca="1">INDEX(INDIRECT(_xlfn.CONCAT("weather.tbl[",Q$1,"]")),MATCH(vp.data[[#This Row],[SDate]],weather.tbl[Date],0))</f>
        <v>-0.4</v>
      </c>
      <c r="R844" s="2">
        <f ca="1">INDEX(INDIRECT(_xlfn.CONCAT("weather.tbl[",R$1,"]")),MATCH(vp.data[[#This Row],[SDate]],weather.tbl[Date],0))</f>
        <v>-1.3</v>
      </c>
      <c r="S844" s="2">
        <f ca="1">INDEX(INDIRECT(_xlfn.CONCAT("weather.tbl[",S$1,"]")),MATCH(vp.data[[#This Row],[SDate]],weather.tbl[Date],0))</f>
        <v>1.4</v>
      </c>
      <c r="T844" s="2">
        <f ca="1">INDEX(INDIRECT(_xlfn.CONCAT("weather.tbl[",T$1,"]")),MATCH(vp.data[[#This Row],[SDate]],weather.tbl[Date],0))</f>
        <v>-1.1000000000000001</v>
      </c>
      <c r="U844" s="2">
        <f ca="1">INDEX(INDIRECT(_xlfn.CONCAT("weather.tbl[",U$1,"]")),MATCH(vp.data[[#This Row],[SDate]],weather.tbl[Date],0))</f>
        <v>0</v>
      </c>
      <c r="V844" s="2">
        <f t="array" ref="V8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7771.3980000000001</v>
      </c>
      <c r="W844" t="s">
        <v>48</v>
      </c>
      <c r="X844">
        <f>IF(OR(vp.data[[#This Row],[Sulf]]="",vp.data[[#This Row],[Dens]]=""),1,0)</f>
        <v>0</v>
      </c>
      <c r="Y844">
        <f>IF(vp.data[[#This Row],[CrudeType]]="C5+",1,0)</f>
        <v>0</v>
      </c>
      <c r="Z844">
        <f>IF(AND(vp.data[[#This Row],[CrudeType]]="Crude",vp.data[[#This Row],[Dens]]&lt;=825,vp.data[[#This Row],[Sulf]]&gt;0.5,vp.data[[#This Row],[Unknown]]=0),1,0)</f>
        <v>1</v>
      </c>
      <c r="AA844">
        <f>IF(AND(vp.data[[#This Row],[CrudeType]]="Crude",vp.data[[#This Row],[Dens]]&lt;=825,vp.data[[#This Row],[Sulf]]&lt;=0.5,vp.data[[#This Row],[Unknown]]=0),1,0)</f>
        <v>0</v>
      </c>
      <c r="AB8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44">
        <f>IF(AND(vp.data[[#This Row],[CrudeType]]="Crude",vp.data[[#This Row],[Dens]]&gt;825,vp.data[[#This Row],[Dens]]&lt;=900,vp.data[[#This Row],[Sulf]]&lt;=0.5,vp.data[[#This Row],[Unknown]]=0),1,0)</f>
        <v>0</v>
      </c>
      <c r="AD844">
        <f>IF(AND(vp.data[[#This Row],[CrudeType]]="Crude",vp.data[[#This Row],[Dens]]&gt;865,vp.data[[#This Row],[Dens]]&lt;=900,vp.data[[#This Row],[Sulf]]&gt;2,vp.data[[#This Row],[Unknown]]=0),1,0)</f>
        <v>0</v>
      </c>
      <c r="AE844">
        <f>IF(AND(vp.data[[#This Row],[CrudeType]]="Crude",vp.data[[#This Row],[Dens]]&gt;900,vp.data[[#This Row],[Sulf]]&lt;=0.5,vp.data[[#This Row],[Unknown]]=0),1,0)</f>
        <v>0</v>
      </c>
      <c r="AF844">
        <f>IF(AND(vp.data[[#This Row],[CrudeType]]="Crude",vp.data[[#This Row],[Dens]]&gt;900,vp.data[[#This Row],[Sulf]]&lt;=0.5,vp.data[[#This Row],[Unknown]]=0),1,0)</f>
        <v>0</v>
      </c>
      <c r="AG844" t="str">
        <f>INDEX(vp.data[[#Headers],[Unknown]:[Heavy_SW]],MATCH(1,vp.data[[#This Row],[Unknown]:[Heavy_SW]],0))</f>
        <v>Light_LSB</v>
      </c>
      <c r="AH844">
        <f>INDEX([3]!crudeBD.lkup[Number],MATCH(vp.data[[#This Row],[Crude_Breakdown]],crudeBD.lkup[Crude Breakdown],0))</f>
        <v>1</v>
      </c>
      <c r="AI844">
        <f>MONTH(vp.data[[#This Row],[SDate]])</f>
        <v>2</v>
      </c>
      <c r="AJ844" s="5">
        <f>(vp.data[[#This Row],[VP]]-INDEX(crudeBD.lkup[Mean_VP],MATCH(vp.data[[#This Row],[Crude_Breakdown]],crudeBD.lkup[Crude Breakdown],0)))^2</f>
        <v>4.1868753746414278</v>
      </c>
      <c r="AK844" s="5">
        <f>(vp.data[[#This Row],[Dens]]-INDEX(crudeBD.lkup[Mean_Dens],MATCH(vp.data[[#This Row],[Crude_Breakdown]],crudeBD.lkup[Crude Breakdown],0)))^2</f>
        <v>5.2131403313624531</v>
      </c>
      <c r="AL844" s="5">
        <f>(vp.data[[#This Row],[Sulf]]-INDEX(crudeBD.lkup[Mean_Sulf],MATCH(vp.data[[#This Row],[Crude_Breakdown]],crudeBD.lkup[Crude Breakdown],0)))^2</f>
        <v>0.23331685217146839</v>
      </c>
      <c r="AM844" s="4">
        <f>IF(AND(vp.data[[#This Row],[SDate]]&gt;=DATE(YEAR(vp.data[[#This Row],[SDate]]),5,1),vp.data[[#This Row],[SDate]]&lt;=DATE(YEAR(vp.data[[#This Row],[SDate]]),9,15)),1,0)</f>
        <v>0</v>
      </c>
      <c r="AN844" s="4">
        <f>IF(vp.data[[#This Row],[SDate]]&lt;DATE(2016,12,1),0,1)</f>
        <v>1</v>
      </c>
      <c r="AO844" s="4">
        <f>IFERROR(vp.data[[#This Row],[Sulf]]*vp.data[[#This Row],[Net Dens]],"")</f>
        <v>8968541.4506303985</v>
      </c>
      <c r="AP844">
        <f>IFERROR(vp.data[[#This Row],[Dens]]*vp.data[[#This Row],[VolumeM3]],"")</f>
        <v>6378763.4783999994</v>
      </c>
      <c r="AQ844" s="15">
        <f>IFERROR(vp.data[[#This Row],[VP]]*vp.data[[#This Row],[VolumeM3]],"")</f>
        <v>695540.12100000004</v>
      </c>
    </row>
    <row r="845" spans="1:43" x14ac:dyDescent="0.25">
      <c r="A845">
        <v>844</v>
      </c>
      <c r="B845" t="s">
        <v>62</v>
      </c>
      <c r="C845" t="s">
        <v>62</v>
      </c>
      <c r="D845" t="s">
        <v>63</v>
      </c>
      <c r="F845" s="1">
        <v>42787</v>
      </c>
      <c r="G845" s="2">
        <v>85.9</v>
      </c>
      <c r="H845" s="2">
        <v>1.7190000000000001</v>
      </c>
      <c r="I845" s="2">
        <f t="array" ref="I845">_xlfn.IFNA(IF(vp.data[[#This Row],[Sulf Input]]="",INDEX([1]DATA!$Q$3:$Q$9826,MATCH(1,(vp.data[[#This Row],[Battery]]=[1]DATA!$L$3:$L$9826)*(EOMONTH(vp.data[[#This Row],[SDate]],-1)+1=[1]DATA!$G$3:$G$9826),0)),vp.data[[#This Row],[Sulf Input]]),"")</f>
        <v>1.7190000000000001</v>
      </c>
      <c r="J845" s="2">
        <v>19.2</v>
      </c>
      <c r="K845" s="2">
        <v>6</v>
      </c>
      <c r="L845" s="2">
        <v>840.1</v>
      </c>
      <c r="M845" s="2">
        <f t="array" ref="M845">_xlfn.IFNA(IF(vp.data[[#This Row],[Dens Input]]="",INDEX([1]DATA!$O$3:$O$9826,MATCH(1,(vp.data[[#This Row],[Battery]]=[1]DATA!$L$3:$L$9826)*(EOMONTH(vp.data[[#This Row],[SDate]],-1)+1=[1]DATA!$G$3:$G$9826),0)),vp.data[[#This Row],[Dens Input]]),"")</f>
        <v>840.1</v>
      </c>
      <c r="N845" s="2">
        <f ca="1">INDEX(INDIRECT(_xlfn.CONCAT("weather.tbl[",N$1,"]")),MATCH(vp.data[[#This Row],[SDate]],weather.tbl[Date],0))</f>
        <v>-5.0000000000000024E-2</v>
      </c>
      <c r="O845" s="2">
        <f ca="1">INDEX(INDIRECT(_xlfn.CONCAT("weather.tbl[",O$1,"]")),MATCH(vp.data[[#This Row],[SDate]],weather.tbl[Date],0))</f>
        <v>0.84761904761904761</v>
      </c>
      <c r="P845" s="2">
        <f ca="1">INDEX(INDIRECT(_xlfn.CONCAT("weather.tbl[",P$1,"]")),MATCH(vp.data[[#This Row],[SDate]],weather.tbl[Date],0))</f>
        <v>1.1000000000000001</v>
      </c>
      <c r="Q845" s="2">
        <f ca="1">INDEX(INDIRECT(_xlfn.CONCAT("weather.tbl[",Q$1,"]")),MATCH(vp.data[[#This Row],[SDate]],weather.tbl[Date],0))</f>
        <v>-0.4</v>
      </c>
      <c r="R845" s="2">
        <f ca="1">INDEX(INDIRECT(_xlfn.CONCAT("weather.tbl[",R$1,"]")),MATCH(vp.data[[#This Row],[SDate]],weather.tbl[Date],0))</f>
        <v>-1.3</v>
      </c>
      <c r="S845" s="2">
        <f ca="1">INDEX(INDIRECT(_xlfn.CONCAT("weather.tbl[",S$1,"]")),MATCH(vp.data[[#This Row],[SDate]],weather.tbl[Date],0))</f>
        <v>1.4</v>
      </c>
      <c r="T845" s="2">
        <f ca="1">INDEX(INDIRECT(_xlfn.CONCAT("weather.tbl[",T$1,"]")),MATCH(vp.data[[#This Row],[SDate]],weather.tbl[Date],0))</f>
        <v>-1.1000000000000001</v>
      </c>
      <c r="U845" s="2">
        <f ca="1">INDEX(INDIRECT(_xlfn.CONCAT("weather.tbl[",U$1,"]")),MATCH(vp.data[[#This Row],[SDate]],weather.tbl[Date],0))</f>
        <v>0</v>
      </c>
      <c r="V845" s="2">
        <f t="array" ref="V8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45" t="s">
        <v>48</v>
      </c>
      <c r="X845">
        <f>IF(OR(vp.data[[#This Row],[Sulf]]="",vp.data[[#This Row],[Dens]]=""),1,0)</f>
        <v>0</v>
      </c>
      <c r="Y845">
        <f>IF(vp.data[[#This Row],[CrudeType]]="C5+",1,0)</f>
        <v>0</v>
      </c>
      <c r="Z845">
        <f>IF(AND(vp.data[[#This Row],[CrudeType]]="Crude",vp.data[[#This Row],[Dens]]&lt;=825,vp.data[[#This Row],[Sulf]]&gt;0.5,vp.data[[#This Row],[Unknown]]=0),1,0)</f>
        <v>0</v>
      </c>
      <c r="AA845">
        <f>IF(AND(vp.data[[#This Row],[CrudeType]]="Crude",vp.data[[#This Row],[Dens]]&lt;=825,vp.data[[#This Row],[Sulf]]&lt;=0.5,vp.data[[#This Row],[Unknown]]=0),1,0)</f>
        <v>0</v>
      </c>
      <c r="AB8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5">
        <f>IF(AND(vp.data[[#This Row],[CrudeType]]="Crude",vp.data[[#This Row],[Dens]]&gt;825,vp.data[[#This Row],[Dens]]&lt;=900,vp.data[[#This Row],[Sulf]]&lt;=0.5,vp.data[[#This Row],[Unknown]]=0),1,0)</f>
        <v>0</v>
      </c>
      <c r="AD845">
        <f>IF(AND(vp.data[[#This Row],[CrudeType]]="Crude",vp.data[[#This Row],[Dens]]&gt;865,vp.data[[#This Row],[Dens]]&lt;=900,vp.data[[#This Row],[Sulf]]&gt;2,vp.data[[#This Row],[Unknown]]=0),1,0)</f>
        <v>0</v>
      </c>
      <c r="AE845">
        <f>IF(AND(vp.data[[#This Row],[CrudeType]]="Crude",vp.data[[#This Row],[Dens]]&gt;900,vp.data[[#This Row],[Sulf]]&lt;=0.5,vp.data[[#This Row],[Unknown]]=0),1,0)</f>
        <v>0</v>
      </c>
      <c r="AF845">
        <f>IF(AND(vp.data[[#This Row],[CrudeType]]="Crude",vp.data[[#This Row],[Dens]]&gt;900,vp.data[[#This Row],[Sulf]]&lt;=0.5,vp.data[[#This Row],[Unknown]]=0),1,0)</f>
        <v>0</v>
      </c>
      <c r="AG845" t="str">
        <f>INDEX(vp.data[[#Headers],[Unknown]:[Heavy_SW]],MATCH(1,vp.data[[#This Row],[Unknown]:[Heavy_SW]],0))</f>
        <v>Medium_LSB</v>
      </c>
      <c r="AH845">
        <f>INDEX([3]!crudeBD.lkup[Number],MATCH(vp.data[[#This Row],[Crude_Breakdown]],crudeBD.lkup[Crude Breakdown],0))</f>
        <v>3</v>
      </c>
      <c r="AI845">
        <f>MONTH(vp.data[[#This Row],[SDate]])</f>
        <v>2</v>
      </c>
      <c r="AJ845" s="5">
        <f>(vp.data[[#This Row],[VP]]-INDEX(crudeBD.lkup[Mean_VP],MATCH(vp.data[[#This Row],[Crude_Breakdown]],crudeBD.lkup[Crude Breakdown],0)))^2</f>
        <v>27.671002800038593</v>
      </c>
      <c r="AK845" s="5">
        <f>(vp.data[[#This Row],[Dens]]-INDEX(crudeBD.lkup[Mean_Dens],MATCH(vp.data[[#This Row],[Crude_Breakdown]],crudeBD.lkup[Crude Breakdown],0)))^2</f>
        <v>14.59239999999604</v>
      </c>
      <c r="AL845" s="5">
        <f>(vp.data[[#This Row],[Sulf]]-INDEX(crudeBD.lkup[Mean_Sulf],MATCH(vp.data[[#This Row],[Crude_Breakdown]],crudeBD.lkup[Crude Breakdown],0)))^2</f>
        <v>0.11128353794205283</v>
      </c>
      <c r="AM845" s="4">
        <f>IF(AND(vp.data[[#This Row],[SDate]]&gt;=DATE(YEAR(vp.data[[#This Row],[SDate]]),5,1),vp.data[[#This Row],[SDate]]&lt;=DATE(YEAR(vp.data[[#This Row],[SDate]]),9,15)),1,0)</f>
        <v>0</v>
      </c>
      <c r="AN845" s="4">
        <f>IF(vp.data[[#This Row],[SDate]]&lt;DATE(2016,12,1),0,1)</f>
        <v>1</v>
      </c>
      <c r="AO845" s="4">
        <f>IFERROR(vp.data[[#This Row],[Sulf]]*vp.data[[#This Row],[Net Dens]],"")</f>
        <v>7189955.8116741003</v>
      </c>
      <c r="AP845">
        <f>IFERROR(vp.data[[#This Row],[Dens]]*vp.data[[#This Row],[VolumeM3]],"")</f>
        <v>4182638.6338999998</v>
      </c>
      <c r="AQ845" s="15">
        <f>IFERROR(vp.data[[#This Row],[VP]]*vp.data[[#This Row],[VolumeM3]],"")</f>
        <v>427673.6801</v>
      </c>
    </row>
    <row r="846" spans="1:43" x14ac:dyDescent="0.25">
      <c r="A846">
        <v>845</v>
      </c>
      <c r="B846" t="s">
        <v>60</v>
      </c>
      <c r="C846" t="s">
        <v>60</v>
      </c>
      <c r="D846" t="s">
        <v>61</v>
      </c>
      <c r="E846" t="s">
        <v>73</v>
      </c>
      <c r="F846" s="1">
        <v>42787</v>
      </c>
      <c r="G846" s="2">
        <v>72.2</v>
      </c>
      <c r="H846" s="2">
        <v>1.3080000000000001</v>
      </c>
      <c r="I846" s="2">
        <f t="array" ref="I846">_xlfn.IFNA(IF(vp.data[[#This Row],[Sulf Input]]="",INDEX([1]DATA!$Q$3:$Q$9826,MATCH(1,(vp.data[[#This Row],[Battery]]=[1]DATA!$L$3:$L$9826)*(EOMONTH(vp.data[[#This Row],[SDate]],-1)+1=[1]DATA!$G$3:$G$9826),0)),vp.data[[#This Row],[Sulf Input]]),"")</f>
        <v>1.3080000000000001</v>
      </c>
      <c r="J846" s="2">
        <v>7.7</v>
      </c>
      <c r="K846" s="2">
        <v>6</v>
      </c>
      <c r="L846" s="2">
        <v>850.2</v>
      </c>
      <c r="M846" s="2">
        <f t="array" ref="M846">_xlfn.IFNA(IF(vp.data[[#This Row],[Dens Input]]="",INDEX([1]DATA!$O$3:$O$9826,MATCH(1,(vp.data[[#This Row],[Battery]]=[1]DATA!$L$3:$L$9826)*(EOMONTH(vp.data[[#This Row],[SDate]],-1)+1=[1]DATA!$G$3:$G$9826),0)),vp.data[[#This Row],[Dens Input]]),"")</f>
        <v>850.2</v>
      </c>
      <c r="N846" s="2">
        <f ca="1">INDEX(INDIRECT(_xlfn.CONCAT("weather.tbl[",N$1,"]")),MATCH(vp.data[[#This Row],[SDate]],weather.tbl[Date],0))</f>
        <v>-5.0000000000000024E-2</v>
      </c>
      <c r="O846" s="2">
        <f ca="1">INDEX(INDIRECT(_xlfn.CONCAT("weather.tbl[",O$1,"]")),MATCH(vp.data[[#This Row],[SDate]],weather.tbl[Date],0))</f>
        <v>0.84761904761904761</v>
      </c>
      <c r="P846" s="2">
        <f ca="1">INDEX(INDIRECT(_xlfn.CONCAT("weather.tbl[",P$1,"]")),MATCH(vp.data[[#This Row],[SDate]],weather.tbl[Date],0))</f>
        <v>1.1000000000000001</v>
      </c>
      <c r="Q846" s="2">
        <f ca="1">INDEX(INDIRECT(_xlfn.CONCAT("weather.tbl[",Q$1,"]")),MATCH(vp.data[[#This Row],[SDate]],weather.tbl[Date],0))</f>
        <v>-0.4</v>
      </c>
      <c r="R846" s="2">
        <f ca="1">INDEX(INDIRECT(_xlfn.CONCAT("weather.tbl[",R$1,"]")),MATCH(vp.data[[#This Row],[SDate]],weather.tbl[Date],0))</f>
        <v>-1.3</v>
      </c>
      <c r="S846" s="2">
        <f ca="1">INDEX(INDIRECT(_xlfn.CONCAT("weather.tbl[",S$1,"]")),MATCH(vp.data[[#This Row],[SDate]],weather.tbl[Date],0))</f>
        <v>1.4</v>
      </c>
      <c r="T846" s="2">
        <f ca="1">INDEX(INDIRECT(_xlfn.CONCAT("weather.tbl[",T$1,"]")),MATCH(vp.data[[#This Row],[SDate]],weather.tbl[Date],0))</f>
        <v>-1.1000000000000001</v>
      </c>
      <c r="U846" s="2">
        <f ca="1">INDEX(INDIRECT(_xlfn.CONCAT("weather.tbl[",U$1,"]")),MATCH(vp.data[[#This Row],[SDate]],weather.tbl[Date],0))</f>
        <v>0</v>
      </c>
      <c r="V846" s="2">
        <f t="array" ref="V8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46" t="s">
        <v>48</v>
      </c>
      <c r="X846">
        <f>IF(OR(vp.data[[#This Row],[Sulf]]="",vp.data[[#This Row],[Dens]]=""),1,0)</f>
        <v>0</v>
      </c>
      <c r="Y846">
        <f>IF(vp.data[[#This Row],[CrudeType]]="C5+",1,0)</f>
        <v>0</v>
      </c>
      <c r="Z846">
        <f>IF(AND(vp.data[[#This Row],[CrudeType]]="Crude",vp.data[[#This Row],[Dens]]&lt;=825,vp.data[[#This Row],[Sulf]]&gt;0.5,vp.data[[#This Row],[Unknown]]=0),1,0)</f>
        <v>0</v>
      </c>
      <c r="AA846">
        <f>IF(AND(vp.data[[#This Row],[CrudeType]]="Crude",vp.data[[#This Row],[Dens]]&lt;=825,vp.data[[#This Row],[Sulf]]&lt;=0.5,vp.data[[#This Row],[Unknown]]=0),1,0)</f>
        <v>0</v>
      </c>
      <c r="AB8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6">
        <f>IF(AND(vp.data[[#This Row],[CrudeType]]="Crude",vp.data[[#This Row],[Dens]]&gt;825,vp.data[[#This Row],[Dens]]&lt;=900,vp.data[[#This Row],[Sulf]]&lt;=0.5,vp.data[[#This Row],[Unknown]]=0),1,0)</f>
        <v>0</v>
      </c>
      <c r="AD846">
        <f>IF(AND(vp.data[[#This Row],[CrudeType]]="Crude",vp.data[[#This Row],[Dens]]&gt;865,vp.data[[#This Row],[Dens]]&lt;=900,vp.data[[#This Row],[Sulf]]&gt;2,vp.data[[#This Row],[Unknown]]=0),1,0)</f>
        <v>0</v>
      </c>
      <c r="AE846">
        <f>IF(AND(vp.data[[#This Row],[CrudeType]]="Crude",vp.data[[#This Row],[Dens]]&gt;900,vp.data[[#This Row],[Sulf]]&lt;=0.5,vp.data[[#This Row],[Unknown]]=0),1,0)</f>
        <v>0</v>
      </c>
      <c r="AF846">
        <f>IF(AND(vp.data[[#This Row],[CrudeType]]="Crude",vp.data[[#This Row],[Dens]]&gt;900,vp.data[[#This Row],[Sulf]]&lt;=0.5,vp.data[[#This Row],[Unknown]]=0),1,0)</f>
        <v>0</v>
      </c>
      <c r="AG846" t="str">
        <f>INDEX(vp.data[[#Headers],[Unknown]:[Heavy_SW]],MATCH(1,vp.data[[#This Row],[Unknown]:[Heavy_SW]],0))</f>
        <v>Medium_LSB</v>
      </c>
      <c r="AH846">
        <f>INDEX([3]!crudeBD.lkup[Number],MATCH(vp.data[[#This Row],[Crude_Breakdown]],crudeBD.lkup[Crude Breakdown],0))</f>
        <v>3</v>
      </c>
      <c r="AI846">
        <f>MONTH(vp.data[[#This Row],[SDate]])</f>
        <v>2</v>
      </c>
      <c r="AJ846" s="5">
        <f>(vp.data[[#This Row],[VP]]-INDEX(crudeBD.lkup[Mean_VP],MATCH(vp.data[[#This Row],[Crude_Breakdown]],crudeBD.lkup[Crude Breakdown],0)))^2</f>
        <v>71.2281402663438</v>
      </c>
      <c r="AK846" s="5">
        <f>(vp.data[[#This Row],[Dens]]-INDEX(crudeBD.lkup[Mean_Dens],MATCH(vp.data[[#This Row],[Crude_Breakdown]],crudeBD.lkup[Crude Breakdown],0)))^2</f>
        <v>39.438400000006794</v>
      </c>
      <c r="AL846" s="5">
        <f>(vp.data[[#This Row],[Sulf]]-INDEX(crudeBD.lkup[Mean_Sulf],MATCH(vp.data[[#This Row],[Crude_Breakdown]],crudeBD.lkup[Crude Breakdown],0)))^2</f>
        <v>5.9920180768249023E-3</v>
      </c>
      <c r="AM846" s="4">
        <f>IF(AND(vp.data[[#This Row],[SDate]]&gt;=DATE(YEAR(vp.data[[#This Row],[SDate]]),5,1),vp.data[[#This Row],[SDate]]&lt;=DATE(YEAR(vp.data[[#This Row],[SDate]]),9,15)),1,0)</f>
        <v>0</v>
      </c>
      <c r="AN846" s="4">
        <f>IF(vp.data[[#This Row],[SDate]]&lt;DATE(2016,12,1),0,1)</f>
        <v>1</v>
      </c>
      <c r="AO846" s="4">
        <f>IFERROR(vp.data[[#This Row],[Sulf]]*vp.data[[#This Row],[Net Dens]],"")</f>
        <v>107316114.03218161</v>
      </c>
      <c r="AP846">
        <f>IFERROR(vp.data[[#This Row],[Dens]]*vp.data[[#This Row],[VolumeM3]],"")</f>
        <v>82045958.740199998</v>
      </c>
      <c r="AQ846" s="15">
        <f>IFERROR(vp.data[[#This Row],[VP]]*vp.data[[#This Row],[VolumeM3]],"")</f>
        <v>6967440.8622000003</v>
      </c>
    </row>
    <row r="847" spans="1:43" x14ac:dyDescent="0.25">
      <c r="A847">
        <v>846</v>
      </c>
      <c r="B847" t="s">
        <v>60</v>
      </c>
      <c r="C847" t="s">
        <v>60</v>
      </c>
      <c r="D847" t="s">
        <v>61</v>
      </c>
      <c r="E847" t="s">
        <v>55</v>
      </c>
      <c r="F847" s="1">
        <v>42787</v>
      </c>
      <c r="G847" s="2">
        <v>98.4</v>
      </c>
      <c r="H847" s="2">
        <v>1.1220000000000001</v>
      </c>
      <c r="I847" s="2">
        <f t="array" ref="I847">_xlfn.IFNA(IF(vp.data[[#This Row],[Sulf Input]]="",INDEX([1]DATA!$Q$3:$Q$9826,MATCH(1,(vp.data[[#This Row],[Battery]]=[1]DATA!$L$3:$L$9826)*(EOMONTH(vp.data[[#This Row],[SDate]],-1)+1=[1]DATA!$G$3:$G$9826),0)),vp.data[[#This Row],[Sulf Input]]),"")</f>
        <v>1.1220000000000001</v>
      </c>
      <c r="J847" s="2">
        <v>8</v>
      </c>
      <c r="K847" s="2">
        <v>6</v>
      </c>
      <c r="L847" s="2">
        <v>839.7</v>
      </c>
      <c r="M847" s="2">
        <f t="array" ref="M847">_xlfn.IFNA(IF(vp.data[[#This Row],[Dens Input]]="",INDEX([1]DATA!$O$3:$O$9826,MATCH(1,(vp.data[[#This Row],[Battery]]=[1]DATA!$L$3:$L$9826)*(EOMONTH(vp.data[[#This Row],[SDate]],-1)+1=[1]DATA!$G$3:$G$9826),0)),vp.data[[#This Row],[Dens Input]]),"")</f>
        <v>839.7</v>
      </c>
      <c r="N847" s="2">
        <f ca="1">INDEX(INDIRECT(_xlfn.CONCAT("weather.tbl[",N$1,"]")),MATCH(vp.data[[#This Row],[SDate]],weather.tbl[Date],0))</f>
        <v>-5.0000000000000024E-2</v>
      </c>
      <c r="O847" s="2">
        <f ca="1">INDEX(INDIRECT(_xlfn.CONCAT("weather.tbl[",O$1,"]")),MATCH(vp.data[[#This Row],[SDate]],weather.tbl[Date],0))</f>
        <v>0.84761904761904761</v>
      </c>
      <c r="P847" s="2">
        <f ca="1">INDEX(INDIRECT(_xlfn.CONCAT("weather.tbl[",P$1,"]")),MATCH(vp.data[[#This Row],[SDate]],weather.tbl[Date],0))</f>
        <v>1.1000000000000001</v>
      </c>
      <c r="Q847" s="2">
        <f ca="1">INDEX(INDIRECT(_xlfn.CONCAT("weather.tbl[",Q$1,"]")),MATCH(vp.data[[#This Row],[SDate]],weather.tbl[Date],0))</f>
        <v>-0.4</v>
      </c>
      <c r="R847" s="2">
        <f ca="1">INDEX(INDIRECT(_xlfn.CONCAT("weather.tbl[",R$1,"]")),MATCH(vp.data[[#This Row],[SDate]],weather.tbl[Date],0))</f>
        <v>-1.3</v>
      </c>
      <c r="S847" s="2">
        <f ca="1">INDEX(INDIRECT(_xlfn.CONCAT("weather.tbl[",S$1,"]")),MATCH(vp.data[[#This Row],[SDate]],weather.tbl[Date],0))</f>
        <v>1.4</v>
      </c>
      <c r="T847" s="2">
        <f ca="1">INDEX(INDIRECT(_xlfn.CONCAT("weather.tbl[",T$1,"]")),MATCH(vp.data[[#This Row],[SDate]],weather.tbl[Date],0))</f>
        <v>-1.1000000000000001</v>
      </c>
      <c r="U847" s="2">
        <f ca="1">INDEX(INDIRECT(_xlfn.CONCAT("weather.tbl[",U$1,"]")),MATCH(vp.data[[#This Row],[SDate]],weather.tbl[Date],0))</f>
        <v>0</v>
      </c>
      <c r="V847" s="2">
        <f t="array" ref="V8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847" t="s">
        <v>48</v>
      </c>
      <c r="X847">
        <f>IF(OR(vp.data[[#This Row],[Sulf]]="",vp.data[[#This Row],[Dens]]=""),1,0)</f>
        <v>0</v>
      </c>
      <c r="Y847">
        <f>IF(vp.data[[#This Row],[CrudeType]]="C5+",1,0)</f>
        <v>0</v>
      </c>
      <c r="Z847">
        <f>IF(AND(vp.data[[#This Row],[CrudeType]]="Crude",vp.data[[#This Row],[Dens]]&lt;=825,vp.data[[#This Row],[Sulf]]&gt;0.5,vp.data[[#This Row],[Unknown]]=0),1,0)</f>
        <v>0</v>
      </c>
      <c r="AA847">
        <f>IF(AND(vp.data[[#This Row],[CrudeType]]="Crude",vp.data[[#This Row],[Dens]]&lt;=825,vp.data[[#This Row],[Sulf]]&lt;=0.5,vp.data[[#This Row],[Unknown]]=0),1,0)</f>
        <v>0</v>
      </c>
      <c r="AB8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47">
        <f>IF(AND(vp.data[[#This Row],[CrudeType]]="Crude",vp.data[[#This Row],[Dens]]&gt;825,vp.data[[#This Row],[Dens]]&lt;=900,vp.data[[#This Row],[Sulf]]&lt;=0.5,vp.data[[#This Row],[Unknown]]=0),1,0)</f>
        <v>0</v>
      </c>
      <c r="AD847">
        <f>IF(AND(vp.data[[#This Row],[CrudeType]]="Crude",vp.data[[#This Row],[Dens]]&gt;865,vp.data[[#This Row],[Dens]]&lt;=900,vp.data[[#This Row],[Sulf]]&gt;2,vp.data[[#This Row],[Unknown]]=0),1,0)</f>
        <v>0</v>
      </c>
      <c r="AE847">
        <f>IF(AND(vp.data[[#This Row],[CrudeType]]="Crude",vp.data[[#This Row],[Dens]]&gt;900,vp.data[[#This Row],[Sulf]]&lt;=0.5,vp.data[[#This Row],[Unknown]]=0),1,0)</f>
        <v>0</v>
      </c>
      <c r="AF847">
        <f>IF(AND(vp.data[[#This Row],[CrudeType]]="Crude",vp.data[[#This Row],[Dens]]&gt;900,vp.data[[#This Row],[Sulf]]&lt;=0.5,vp.data[[#This Row],[Unknown]]=0),1,0)</f>
        <v>0</v>
      </c>
      <c r="AG847" t="str">
        <f>INDEX(vp.data[[#Headers],[Unknown]:[Heavy_SW]],MATCH(1,vp.data[[#This Row],[Unknown]:[Heavy_SW]],0))</f>
        <v>Medium_LSB</v>
      </c>
      <c r="AH847">
        <f>INDEX([3]!crudeBD.lkup[Number],MATCH(vp.data[[#This Row],[Crude_Breakdown]],crudeBD.lkup[Crude Breakdown],0))</f>
        <v>3</v>
      </c>
      <c r="AI847">
        <f>MONTH(vp.data[[#This Row],[SDate]])</f>
        <v>2</v>
      </c>
      <c r="AJ847" s="5">
        <f>(vp.data[[#This Row],[VP]]-INDEX(crudeBD.lkup[Mean_VP],MATCH(vp.data[[#This Row],[Crude_Breakdown]],crudeBD.lkup[Crude Breakdown],0)))^2</f>
        <v>315.42908905340977</v>
      </c>
      <c r="AK847" s="5">
        <f>(vp.data[[#This Row],[Dens]]-INDEX(crudeBD.lkup[Mean_Dens],MATCH(vp.data[[#This Row],[Crude_Breakdown]],crudeBD.lkup[Crude Breakdown],0)))^2</f>
        <v>17.808399999995434</v>
      </c>
      <c r="AL847" s="5">
        <f>(vp.data[[#This Row],[Sulf]]-INDEX(crudeBD.lkup[Mean_Sulf],MATCH(vp.data[[#This Row],[Crude_Breakdown]],crudeBD.lkup[Crude Breakdown],0)))^2</f>
        <v>6.9383841203510058E-2</v>
      </c>
      <c r="AM847" s="4">
        <f>IF(AND(vp.data[[#This Row],[SDate]]&gt;=DATE(YEAR(vp.data[[#This Row],[SDate]]),5,1),vp.data[[#This Row],[SDate]]&lt;=DATE(YEAR(vp.data[[#This Row],[SDate]]),9,15)),1,0)</f>
        <v>0</v>
      </c>
      <c r="AN847" s="4">
        <f>IF(vp.data[[#This Row],[SDate]]&lt;DATE(2016,12,1),0,1)</f>
        <v>1</v>
      </c>
      <c r="AO847" s="4">
        <f>IFERROR(vp.data[[#This Row],[Sulf]]*vp.data[[#This Row],[Net Dens]],"")</f>
        <v>90918676.221773416</v>
      </c>
      <c r="AP847">
        <f>IFERROR(vp.data[[#This Row],[Dens]]*vp.data[[#This Row],[VolumeM3]],"")</f>
        <v>81032688.254700005</v>
      </c>
      <c r="AQ847" s="15">
        <f>IFERROR(vp.data[[#This Row],[VP]]*vp.data[[#This Row],[VolumeM3]],"")</f>
        <v>9495791.9784000013</v>
      </c>
    </row>
    <row r="848" spans="1:43" x14ac:dyDescent="0.25">
      <c r="A848">
        <v>847</v>
      </c>
      <c r="B848" t="s">
        <v>49</v>
      </c>
      <c r="C848" t="s">
        <v>49</v>
      </c>
      <c r="D848" t="s">
        <v>80</v>
      </c>
      <c r="F848" s="1">
        <v>42788</v>
      </c>
      <c r="G848" s="2">
        <v>78.3</v>
      </c>
      <c r="H848" s="2">
        <v>0.52500000000000002</v>
      </c>
      <c r="I848" s="2">
        <f t="array" ref="I848">_xlfn.IFNA(IF(vp.data[[#This Row],[Sulf Input]]="",INDEX([1]DATA!$Q$3:$Q$9826,MATCH(1,(vp.data[[#This Row],[Battery]]=[1]DATA!$L$3:$L$9826)*(EOMONTH(vp.data[[#This Row],[SDate]],-1)+1=[1]DATA!$G$3:$G$9826),0)),vp.data[[#This Row],[Sulf Input]]),"")</f>
        <v>0.52500000000000002</v>
      </c>
      <c r="J848" s="2">
        <v>15.8</v>
      </c>
      <c r="K848" s="2">
        <v>3</v>
      </c>
      <c r="L848" s="2">
        <v>816.9</v>
      </c>
      <c r="M848" s="2">
        <f t="array" ref="M848">_xlfn.IFNA(IF(vp.data[[#This Row],[Dens Input]]="",INDEX([1]DATA!$O$3:$O$9826,MATCH(1,(vp.data[[#This Row],[Battery]]=[1]DATA!$L$3:$L$9826)*(EOMONTH(vp.data[[#This Row],[SDate]],-1)+1=[1]DATA!$G$3:$G$9826),0)),vp.data[[#This Row],[Dens Input]]),"")</f>
        <v>816.9</v>
      </c>
      <c r="N848" s="2">
        <f ca="1">INDEX(INDIRECT(_xlfn.CONCAT("weather.tbl[",N$1,"]")),MATCH(vp.data[[#This Row],[SDate]],weather.tbl[Date],0))</f>
        <v>-0.85000000000000009</v>
      </c>
      <c r="O848" s="2">
        <f ca="1">INDEX(INDIRECT(_xlfn.CONCAT("weather.tbl[",O$1,"]")),MATCH(vp.data[[#This Row],[SDate]],weather.tbl[Date],0))</f>
        <v>0.97380952380952379</v>
      </c>
      <c r="P848" s="2">
        <f ca="1">INDEX(INDIRECT(_xlfn.CONCAT("weather.tbl[",P$1,"]")),MATCH(vp.data[[#This Row],[SDate]],weather.tbl[Date],0))</f>
        <v>-1.1000000000000001</v>
      </c>
      <c r="Q848" s="2">
        <f ca="1">INDEX(INDIRECT(_xlfn.CONCAT("weather.tbl[",Q$1,"]")),MATCH(vp.data[[#This Row],[SDate]],weather.tbl[Date],0))</f>
        <v>-1.5</v>
      </c>
      <c r="R848" s="2">
        <f ca="1">INDEX(INDIRECT(_xlfn.CONCAT("weather.tbl[",R$1,"]")),MATCH(vp.data[[#This Row],[SDate]],weather.tbl[Date],0))</f>
        <v>0.3</v>
      </c>
      <c r="S848" s="2">
        <f ca="1">INDEX(INDIRECT(_xlfn.CONCAT("weather.tbl[",S$1,"]")),MATCH(vp.data[[#This Row],[SDate]],weather.tbl[Date],0))</f>
        <v>-0.8</v>
      </c>
      <c r="T848" s="2">
        <f ca="1">INDEX(INDIRECT(_xlfn.CONCAT("weather.tbl[",T$1,"]")),MATCH(vp.data[[#This Row],[SDate]],weather.tbl[Date],0))</f>
        <v>0.3</v>
      </c>
      <c r="U848" s="2">
        <f ca="1">INDEX(INDIRECT(_xlfn.CONCAT("weather.tbl[",U$1,"]")),MATCH(vp.data[[#This Row],[SDate]],weather.tbl[Date],0))</f>
        <v>-2.2999999999999998</v>
      </c>
      <c r="V848" s="2">
        <f t="array" ref="V8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16928.633000000002</v>
      </c>
      <c r="W848" t="s">
        <v>48</v>
      </c>
      <c r="X848">
        <f>IF(OR(vp.data[[#This Row],[Sulf]]="",vp.data[[#This Row],[Dens]]=""),1,0)</f>
        <v>0</v>
      </c>
      <c r="Y848">
        <f>IF(vp.data[[#This Row],[CrudeType]]="C5+",1,0)</f>
        <v>0</v>
      </c>
      <c r="Z848">
        <f>IF(AND(vp.data[[#This Row],[CrudeType]]="Crude",vp.data[[#This Row],[Dens]]&lt;=825,vp.data[[#This Row],[Sulf]]&gt;0.5,vp.data[[#This Row],[Unknown]]=0),1,0)</f>
        <v>1</v>
      </c>
      <c r="AA848">
        <f>IF(AND(vp.data[[#This Row],[CrudeType]]="Crude",vp.data[[#This Row],[Dens]]&lt;=825,vp.data[[#This Row],[Sulf]]&lt;=0.5,vp.data[[#This Row],[Unknown]]=0),1,0)</f>
        <v>0</v>
      </c>
      <c r="AB8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48">
        <f>IF(AND(vp.data[[#This Row],[CrudeType]]="Crude",vp.data[[#This Row],[Dens]]&gt;825,vp.data[[#This Row],[Dens]]&lt;=900,vp.data[[#This Row],[Sulf]]&lt;=0.5,vp.data[[#This Row],[Unknown]]=0),1,0)</f>
        <v>0</v>
      </c>
      <c r="AD848">
        <f>IF(AND(vp.data[[#This Row],[CrudeType]]="Crude",vp.data[[#This Row],[Dens]]&gt;865,vp.data[[#This Row],[Dens]]&lt;=900,vp.data[[#This Row],[Sulf]]&gt;2,vp.data[[#This Row],[Unknown]]=0),1,0)</f>
        <v>0</v>
      </c>
      <c r="AE848">
        <f>IF(AND(vp.data[[#This Row],[CrudeType]]="Crude",vp.data[[#This Row],[Dens]]&gt;900,vp.data[[#This Row],[Sulf]]&lt;=0.5,vp.data[[#This Row],[Unknown]]=0),1,0)</f>
        <v>0</v>
      </c>
      <c r="AF848">
        <f>IF(AND(vp.data[[#This Row],[CrudeType]]="Crude",vp.data[[#This Row],[Dens]]&gt;900,vp.data[[#This Row],[Sulf]]&lt;=0.5,vp.data[[#This Row],[Unknown]]=0),1,0)</f>
        <v>0</v>
      </c>
      <c r="AG848" t="str">
        <f>INDEX(vp.data[[#Headers],[Unknown]:[Heavy_SW]],MATCH(1,vp.data[[#This Row],[Unknown]:[Heavy_SW]],0))</f>
        <v>Light_LSB</v>
      </c>
      <c r="AH848">
        <f>INDEX([3]!crudeBD.lkup[Number],MATCH(vp.data[[#This Row],[Crude_Breakdown]],crudeBD.lkup[Crude Breakdown],0))</f>
        <v>1</v>
      </c>
      <c r="AI848">
        <f>MONTH(vp.data[[#This Row],[SDate]])</f>
        <v>2</v>
      </c>
      <c r="AJ848" s="5">
        <f>(vp.data[[#This Row],[VP]]-INDEX(crudeBD.lkup[Mean_VP],MATCH(vp.data[[#This Row],[Crude_Breakdown]],crudeBD.lkup[Crude Breakdown],0)))^2</f>
        <v>175.46143207567312</v>
      </c>
      <c r="AK848" s="5">
        <f>(vp.data[[#This Row],[Dens]]-INDEX(crudeBD.lkup[Mean_Dens],MATCH(vp.data[[#This Row],[Crude_Breakdown]],crudeBD.lkup[Crude Breakdown],0)))^2</f>
        <v>2.6139444550716244</v>
      </c>
      <c r="AL848" s="5">
        <f>(vp.data[[#This Row],[Sulf]]-INDEX(crudeBD.lkup[Mean_Sulf],MATCH(vp.data[[#This Row],[Crude_Breakdown]],crudeBD.lkup[Crude Breakdown],0)))^2</f>
        <v>0.15838105086562607</v>
      </c>
      <c r="AM848" s="4">
        <f>IF(AND(vp.data[[#This Row],[SDate]]&gt;=DATE(YEAR(vp.data[[#This Row],[SDate]]),5,1),vp.data[[#This Row],[SDate]]&lt;=DATE(YEAR(vp.data[[#This Row],[SDate]]),9,15)),1,0)</f>
        <v>0</v>
      </c>
      <c r="AN848" s="4">
        <f>IF(vp.data[[#This Row],[SDate]]&lt;DATE(2016,12,1),0,1)</f>
        <v>1</v>
      </c>
      <c r="AO848" s="4">
        <f>IFERROR(vp.data[[#This Row],[Sulf]]*vp.data[[#This Row],[Net Dens]],"")</f>
        <v>7260225.1562925009</v>
      </c>
      <c r="AP848">
        <f>IFERROR(vp.data[[#This Row],[Dens]]*vp.data[[#This Row],[VolumeM3]],"")</f>
        <v>13829000.297700001</v>
      </c>
      <c r="AQ848" s="15">
        <f>IFERROR(vp.data[[#This Row],[VP]]*vp.data[[#This Row],[VolumeM3]],"")</f>
        <v>1325511.9639000001</v>
      </c>
    </row>
    <row r="849" spans="1:43" x14ac:dyDescent="0.25">
      <c r="A849">
        <v>848</v>
      </c>
      <c r="B849" t="s">
        <v>49</v>
      </c>
      <c r="C849" t="s">
        <v>49</v>
      </c>
      <c r="D849" t="s">
        <v>100</v>
      </c>
      <c r="F849" s="1">
        <v>42788</v>
      </c>
      <c r="G849" s="2">
        <v>80.900000000000006</v>
      </c>
      <c r="H849" s="2">
        <v>0.54300000000000004</v>
      </c>
      <c r="I849" s="2">
        <f t="array" ref="I849">_xlfn.IFNA(IF(vp.data[[#This Row],[Sulf Input]]="",INDEX([1]DATA!$Q$3:$Q$9826,MATCH(1,(vp.data[[#This Row],[Battery]]=[1]DATA!$L$3:$L$9826)*(EOMONTH(vp.data[[#This Row],[SDate]],-1)+1=[1]DATA!$G$3:$G$9826),0)),vp.data[[#This Row],[Sulf Input]]),"")</f>
        <v>0.54300000000000004</v>
      </c>
      <c r="J849" s="2">
        <v>16.600000000000001</v>
      </c>
      <c r="K849" s="2">
        <v>3</v>
      </c>
      <c r="L849" s="2">
        <v>816.4</v>
      </c>
      <c r="M849" s="2">
        <f t="array" ref="M849">_xlfn.IFNA(IF(vp.data[[#This Row],[Dens Input]]="",INDEX([1]DATA!$O$3:$O$9826,MATCH(1,(vp.data[[#This Row],[Battery]]=[1]DATA!$L$3:$L$9826)*(EOMONTH(vp.data[[#This Row],[SDate]],-1)+1=[1]DATA!$G$3:$G$9826),0)),vp.data[[#This Row],[Dens Input]]),"")</f>
        <v>816.4</v>
      </c>
      <c r="N849" s="2">
        <f ca="1">INDEX(INDIRECT(_xlfn.CONCAT("weather.tbl[",N$1,"]")),MATCH(vp.data[[#This Row],[SDate]],weather.tbl[Date],0))</f>
        <v>-0.85000000000000009</v>
      </c>
      <c r="O849" s="2">
        <f ca="1">INDEX(INDIRECT(_xlfn.CONCAT("weather.tbl[",O$1,"]")),MATCH(vp.data[[#This Row],[SDate]],weather.tbl[Date],0))</f>
        <v>0.97380952380952379</v>
      </c>
      <c r="P849" s="2">
        <f ca="1">INDEX(INDIRECT(_xlfn.CONCAT("weather.tbl[",P$1,"]")),MATCH(vp.data[[#This Row],[SDate]],weather.tbl[Date],0))</f>
        <v>-1.1000000000000001</v>
      </c>
      <c r="Q849" s="2">
        <f ca="1">INDEX(INDIRECT(_xlfn.CONCAT("weather.tbl[",Q$1,"]")),MATCH(vp.data[[#This Row],[SDate]],weather.tbl[Date],0))</f>
        <v>-1.5</v>
      </c>
      <c r="R849" s="2">
        <f ca="1">INDEX(INDIRECT(_xlfn.CONCAT("weather.tbl[",R$1,"]")),MATCH(vp.data[[#This Row],[SDate]],weather.tbl[Date],0))</f>
        <v>0.3</v>
      </c>
      <c r="S849" s="2">
        <f ca="1">INDEX(INDIRECT(_xlfn.CONCAT("weather.tbl[",S$1,"]")),MATCH(vp.data[[#This Row],[SDate]],weather.tbl[Date],0))</f>
        <v>-0.8</v>
      </c>
      <c r="T849" s="2">
        <f ca="1">INDEX(INDIRECT(_xlfn.CONCAT("weather.tbl[",T$1,"]")),MATCH(vp.data[[#This Row],[SDate]],weather.tbl[Date],0))</f>
        <v>0.3</v>
      </c>
      <c r="U849" s="2">
        <f ca="1">INDEX(INDIRECT(_xlfn.CONCAT("weather.tbl[",U$1,"]")),MATCH(vp.data[[#This Row],[SDate]],weather.tbl[Date],0))</f>
        <v>-2.2999999999999998</v>
      </c>
      <c r="V849" s="2">
        <f t="array" ref="V8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11683.09</v>
      </c>
      <c r="W849" t="s">
        <v>48</v>
      </c>
      <c r="X849">
        <f>IF(OR(vp.data[[#This Row],[Sulf]]="",vp.data[[#This Row],[Dens]]=""),1,0)</f>
        <v>0</v>
      </c>
      <c r="Y849">
        <f>IF(vp.data[[#This Row],[CrudeType]]="C5+",1,0)</f>
        <v>0</v>
      </c>
      <c r="Z849">
        <f>IF(AND(vp.data[[#This Row],[CrudeType]]="Crude",vp.data[[#This Row],[Dens]]&lt;=825,vp.data[[#This Row],[Sulf]]&gt;0.5,vp.data[[#This Row],[Unknown]]=0),1,0)</f>
        <v>1</v>
      </c>
      <c r="AA849">
        <f>IF(AND(vp.data[[#This Row],[CrudeType]]="Crude",vp.data[[#This Row],[Dens]]&lt;=825,vp.data[[#This Row],[Sulf]]&lt;=0.5,vp.data[[#This Row],[Unknown]]=0),1,0)</f>
        <v>0</v>
      </c>
      <c r="AB8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49">
        <f>IF(AND(vp.data[[#This Row],[CrudeType]]="Crude",vp.data[[#This Row],[Dens]]&gt;825,vp.data[[#This Row],[Dens]]&lt;=900,vp.data[[#This Row],[Sulf]]&lt;=0.5,vp.data[[#This Row],[Unknown]]=0),1,0)</f>
        <v>0</v>
      </c>
      <c r="AD849">
        <f>IF(AND(vp.data[[#This Row],[CrudeType]]="Crude",vp.data[[#This Row],[Dens]]&gt;865,vp.data[[#This Row],[Dens]]&lt;=900,vp.data[[#This Row],[Sulf]]&gt;2,vp.data[[#This Row],[Unknown]]=0),1,0)</f>
        <v>0</v>
      </c>
      <c r="AE849">
        <f>IF(AND(vp.data[[#This Row],[CrudeType]]="Crude",vp.data[[#This Row],[Dens]]&gt;900,vp.data[[#This Row],[Sulf]]&lt;=0.5,vp.data[[#This Row],[Unknown]]=0),1,0)</f>
        <v>0</v>
      </c>
      <c r="AF849">
        <f>IF(AND(vp.data[[#This Row],[CrudeType]]="Crude",vp.data[[#This Row],[Dens]]&gt;900,vp.data[[#This Row],[Sulf]]&lt;=0.5,vp.data[[#This Row],[Unknown]]=0),1,0)</f>
        <v>0</v>
      </c>
      <c r="AG849" t="str">
        <f>INDEX(vp.data[[#Headers],[Unknown]:[Heavy_SW]],MATCH(1,vp.data[[#This Row],[Unknown]:[Heavy_SW]],0))</f>
        <v>Light_LSB</v>
      </c>
      <c r="AH849">
        <f>INDEX([3]!crudeBD.lkup[Number],MATCH(vp.data[[#This Row],[Crude_Breakdown]],crudeBD.lkup[Crude Breakdown],0))</f>
        <v>1</v>
      </c>
      <c r="AI849">
        <f>MONTH(vp.data[[#This Row],[SDate]])</f>
        <v>2</v>
      </c>
      <c r="AJ849" s="5">
        <f>(vp.data[[#This Row],[VP]]-INDEX(crudeBD.lkup[Mean_VP],MATCH(vp.data[[#This Row],[Crude_Breakdown]],crudeBD.lkup[Crude Breakdown],0)))^2</f>
        <v>113.34126712721915</v>
      </c>
      <c r="AK849" s="5">
        <f>(vp.data[[#This Row],[Dens]]-INDEX(crudeBD.lkup[Mean_Dens],MATCH(vp.data[[#This Row],[Crude_Breakdown]],crudeBD.lkup[Crude Breakdown],0)))^2</f>
        <v>4.4807142145215044</v>
      </c>
      <c r="AL849" s="5">
        <f>(vp.data[[#This Row],[Sulf]]-INDEX(crudeBD.lkup[Mean_Sulf],MATCH(vp.data[[#This Row],[Crude_Breakdown]],crudeBD.lkup[Crude Breakdown],0)))^2</f>
        <v>0.1443780888037704</v>
      </c>
      <c r="AM849" s="4">
        <f>IF(AND(vp.data[[#This Row],[SDate]]&gt;=DATE(YEAR(vp.data[[#This Row],[SDate]]),5,1),vp.data[[#This Row],[SDate]]&lt;=DATE(YEAR(vp.data[[#This Row],[SDate]]),9,15)),1,0)</f>
        <v>0</v>
      </c>
      <c r="AN849" s="4">
        <f>IF(vp.data[[#This Row],[SDate]]&lt;DATE(2016,12,1),0,1)</f>
        <v>1</v>
      </c>
      <c r="AO849" s="4">
        <f>IFERROR(vp.data[[#This Row],[Sulf]]*vp.data[[#This Row],[Net Dens]],"")</f>
        <v>5179174.5490680002</v>
      </c>
      <c r="AP849">
        <f>IFERROR(vp.data[[#This Row],[Dens]]*vp.data[[#This Row],[VolumeM3]],"")</f>
        <v>9538074.675999999</v>
      </c>
      <c r="AQ849" s="15">
        <f>IFERROR(vp.data[[#This Row],[VP]]*vp.data[[#This Row],[VolumeM3]],"")</f>
        <v>945161.98100000003</v>
      </c>
    </row>
    <row r="850" spans="1:43" x14ac:dyDescent="0.25">
      <c r="A850">
        <v>849</v>
      </c>
      <c r="B850" t="s">
        <v>49</v>
      </c>
      <c r="C850" t="s">
        <v>49</v>
      </c>
      <c r="D850" t="s">
        <v>89</v>
      </c>
      <c r="F850" s="1">
        <v>42788</v>
      </c>
      <c r="G850" s="2">
        <v>97.5</v>
      </c>
      <c r="H850" s="2">
        <v>0.59499999999999997</v>
      </c>
      <c r="I850" s="2">
        <f t="array" ref="I850">_xlfn.IFNA(IF(vp.data[[#This Row],[Sulf Input]]="",INDEX([1]DATA!$Q$3:$Q$9826,MATCH(1,(vp.data[[#This Row],[Battery]]=[1]DATA!$L$3:$L$9826)*(EOMONTH(vp.data[[#This Row],[SDate]],-1)+1=[1]DATA!$G$3:$G$9826),0)),vp.data[[#This Row],[Sulf Input]]),"")</f>
        <v>0.59499999999999997</v>
      </c>
      <c r="J850" s="2">
        <v>6.1</v>
      </c>
      <c r="K850" s="2">
        <v>3</v>
      </c>
      <c r="L850" s="2">
        <v>813.1</v>
      </c>
      <c r="M850" s="2">
        <f t="array" ref="M850">_xlfn.IFNA(IF(vp.data[[#This Row],[Dens Input]]="",INDEX([1]DATA!$O$3:$O$9826,MATCH(1,(vp.data[[#This Row],[Battery]]=[1]DATA!$L$3:$L$9826)*(EOMONTH(vp.data[[#This Row],[SDate]],-1)+1=[1]DATA!$G$3:$G$9826),0)),vp.data[[#This Row],[Dens Input]]),"")</f>
        <v>813.1</v>
      </c>
      <c r="N850" s="2">
        <f ca="1">INDEX(INDIRECT(_xlfn.CONCAT("weather.tbl[",N$1,"]")),MATCH(vp.data[[#This Row],[SDate]],weather.tbl[Date],0))</f>
        <v>-0.85000000000000009</v>
      </c>
      <c r="O850" s="2">
        <f ca="1">INDEX(INDIRECT(_xlfn.CONCAT("weather.tbl[",O$1,"]")),MATCH(vp.data[[#This Row],[SDate]],weather.tbl[Date],0))</f>
        <v>0.97380952380952379</v>
      </c>
      <c r="P850" s="2">
        <f ca="1">INDEX(INDIRECT(_xlfn.CONCAT("weather.tbl[",P$1,"]")),MATCH(vp.data[[#This Row],[SDate]],weather.tbl[Date],0))</f>
        <v>-1.1000000000000001</v>
      </c>
      <c r="Q850" s="2">
        <f ca="1">INDEX(INDIRECT(_xlfn.CONCAT("weather.tbl[",Q$1,"]")),MATCH(vp.data[[#This Row],[SDate]],weather.tbl[Date],0))</f>
        <v>-1.5</v>
      </c>
      <c r="R850" s="2">
        <f ca="1">INDEX(INDIRECT(_xlfn.CONCAT("weather.tbl[",R$1,"]")),MATCH(vp.data[[#This Row],[SDate]],weather.tbl[Date],0))</f>
        <v>0.3</v>
      </c>
      <c r="S850" s="2">
        <f ca="1">INDEX(INDIRECT(_xlfn.CONCAT("weather.tbl[",S$1,"]")),MATCH(vp.data[[#This Row],[SDate]],weather.tbl[Date],0))</f>
        <v>-0.8</v>
      </c>
      <c r="T850" s="2">
        <f ca="1">INDEX(INDIRECT(_xlfn.CONCAT("weather.tbl[",T$1,"]")),MATCH(vp.data[[#This Row],[SDate]],weather.tbl[Date],0))</f>
        <v>0.3</v>
      </c>
      <c r="U850" s="2">
        <f ca="1">INDEX(INDIRECT(_xlfn.CONCAT("weather.tbl[",U$1,"]")),MATCH(vp.data[[#This Row],[SDate]],weather.tbl[Date],0))</f>
        <v>-2.2999999999999998</v>
      </c>
      <c r="V850" s="2">
        <f t="array" ref="V8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850" t="s">
        <v>48</v>
      </c>
      <c r="X850">
        <f>IF(OR(vp.data[[#This Row],[Sulf]]="",vp.data[[#This Row],[Dens]]=""),1,0)</f>
        <v>0</v>
      </c>
      <c r="Y850">
        <f>IF(vp.data[[#This Row],[CrudeType]]="C5+",1,0)</f>
        <v>0</v>
      </c>
      <c r="Z850">
        <f>IF(AND(vp.data[[#This Row],[CrudeType]]="Crude",vp.data[[#This Row],[Dens]]&lt;=825,vp.data[[#This Row],[Sulf]]&gt;0.5,vp.data[[#This Row],[Unknown]]=0),1,0)</f>
        <v>1</v>
      </c>
      <c r="AA850">
        <f>IF(AND(vp.data[[#This Row],[CrudeType]]="Crude",vp.data[[#This Row],[Dens]]&lt;=825,vp.data[[#This Row],[Sulf]]&lt;=0.5,vp.data[[#This Row],[Unknown]]=0),1,0)</f>
        <v>0</v>
      </c>
      <c r="AB8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0">
        <f>IF(AND(vp.data[[#This Row],[CrudeType]]="Crude",vp.data[[#This Row],[Dens]]&gt;825,vp.data[[#This Row],[Dens]]&lt;=900,vp.data[[#This Row],[Sulf]]&lt;=0.5,vp.data[[#This Row],[Unknown]]=0),1,0)</f>
        <v>0</v>
      </c>
      <c r="AD850">
        <f>IF(AND(vp.data[[#This Row],[CrudeType]]="Crude",vp.data[[#This Row],[Dens]]&gt;865,vp.data[[#This Row],[Dens]]&lt;=900,vp.data[[#This Row],[Sulf]]&gt;2,vp.data[[#This Row],[Unknown]]=0),1,0)</f>
        <v>0</v>
      </c>
      <c r="AE850">
        <f>IF(AND(vp.data[[#This Row],[CrudeType]]="Crude",vp.data[[#This Row],[Dens]]&gt;900,vp.data[[#This Row],[Sulf]]&lt;=0.5,vp.data[[#This Row],[Unknown]]=0),1,0)</f>
        <v>0</v>
      </c>
      <c r="AF850">
        <f>IF(AND(vp.data[[#This Row],[CrudeType]]="Crude",vp.data[[#This Row],[Dens]]&gt;900,vp.data[[#This Row],[Sulf]]&lt;=0.5,vp.data[[#This Row],[Unknown]]=0),1,0)</f>
        <v>0</v>
      </c>
      <c r="AG850" t="str">
        <f>INDEX(vp.data[[#Headers],[Unknown]:[Heavy_SW]],MATCH(1,vp.data[[#This Row],[Unknown]:[Heavy_SW]],0))</f>
        <v>Light_LSB</v>
      </c>
      <c r="AH850">
        <f>INDEX([3]!crudeBD.lkup[Number],MATCH(vp.data[[#This Row],[Crude_Breakdown]],crudeBD.lkup[Crude Breakdown],0))</f>
        <v>1</v>
      </c>
      <c r="AI850">
        <f>MONTH(vp.data[[#This Row],[SDate]])</f>
        <v>2</v>
      </c>
      <c r="AJ850" s="5">
        <f>(vp.data[[#This Row],[VP]]-INDEX(crudeBD.lkup[Mean_VP],MATCH(vp.data[[#This Row],[Crude_Breakdown]],crudeBD.lkup[Crude Breakdown],0)))^2</f>
        <v>35.447906302475985</v>
      </c>
      <c r="AK850" s="5">
        <f>(vp.data[[#This Row],[Dens]]-INDEX(crudeBD.lkup[Mean_Dens],MATCH(vp.data[[#This Row],[Crude_Breakdown]],crudeBD.lkup[Crude Breakdown],0)))^2</f>
        <v>29.341394626890224</v>
      </c>
      <c r="AL850" s="5">
        <f>(vp.data[[#This Row],[Sulf]]-INDEX(crudeBD.lkup[Mean_Sulf],MATCH(vp.data[[#This Row],[Crude_Breakdown]],crudeBD.lkup[Crude Breakdown],0)))^2</f>
        <v>0.10756508729174298</v>
      </c>
      <c r="AM850" s="4">
        <f>IF(AND(vp.data[[#This Row],[SDate]]&gt;=DATE(YEAR(vp.data[[#This Row],[SDate]]),5,1),vp.data[[#This Row],[SDate]]&lt;=DATE(YEAR(vp.data[[#This Row],[SDate]]),9,15)),1,0)</f>
        <v>0</v>
      </c>
      <c r="AN850" s="4">
        <f>IF(vp.data[[#This Row],[SDate]]&lt;DATE(2016,12,1),0,1)</f>
        <v>1</v>
      </c>
      <c r="AO850" s="4">
        <f>IFERROR(vp.data[[#This Row],[Sulf]]*vp.data[[#This Row],[Net Dens]],"")</f>
        <v>2449559.9234679998</v>
      </c>
      <c r="AP850">
        <f>IFERROR(vp.data[[#This Row],[Dens]]*vp.data[[#This Row],[VolumeM3]],"")</f>
        <v>4116907.4344000001</v>
      </c>
      <c r="AQ850" s="15">
        <f>IFERROR(vp.data[[#This Row],[VP]]*vp.data[[#This Row],[VolumeM3]],"")</f>
        <v>493664.34</v>
      </c>
    </row>
    <row r="851" spans="1:43" x14ac:dyDescent="0.25">
      <c r="A851">
        <v>850</v>
      </c>
      <c r="B851" t="s">
        <v>49</v>
      </c>
      <c r="C851" t="s">
        <v>49</v>
      </c>
      <c r="D851" t="s">
        <v>67</v>
      </c>
      <c r="F851" s="1">
        <v>42788</v>
      </c>
      <c r="G851" s="2">
        <v>97.3</v>
      </c>
      <c r="H851" s="2">
        <v>0.63900000000000001</v>
      </c>
      <c r="I851" s="2">
        <f t="array" ref="I851">_xlfn.IFNA(IF(vp.data[[#This Row],[Sulf Input]]="",INDEX([1]DATA!$Q$3:$Q$9826,MATCH(1,(vp.data[[#This Row],[Battery]]=[1]DATA!$L$3:$L$9826)*(EOMONTH(vp.data[[#This Row],[SDate]],-1)+1=[1]DATA!$G$3:$G$9826),0)),vp.data[[#This Row],[Sulf Input]]),"")</f>
        <v>0.63900000000000001</v>
      </c>
      <c r="J851" s="2">
        <v>8.6</v>
      </c>
      <c r="K851" s="2">
        <v>3</v>
      </c>
      <c r="L851" s="2">
        <v>820.2</v>
      </c>
      <c r="M851" s="2">
        <f t="array" ref="M851">_xlfn.IFNA(IF(vp.data[[#This Row],[Dens Input]]="",INDEX([1]DATA!$O$3:$O$9826,MATCH(1,(vp.data[[#This Row],[Battery]]=[1]DATA!$L$3:$L$9826)*(EOMONTH(vp.data[[#This Row],[SDate]],-1)+1=[1]DATA!$G$3:$G$9826),0)),vp.data[[#This Row],[Dens Input]]),"")</f>
        <v>820.2</v>
      </c>
      <c r="N851" s="2">
        <f ca="1">INDEX(INDIRECT(_xlfn.CONCAT("weather.tbl[",N$1,"]")),MATCH(vp.data[[#This Row],[SDate]],weather.tbl[Date],0))</f>
        <v>-0.85000000000000009</v>
      </c>
      <c r="O851" s="2">
        <f ca="1">INDEX(INDIRECT(_xlfn.CONCAT("weather.tbl[",O$1,"]")),MATCH(vp.data[[#This Row],[SDate]],weather.tbl[Date],0))</f>
        <v>0.97380952380952379</v>
      </c>
      <c r="P851" s="2">
        <f ca="1">INDEX(INDIRECT(_xlfn.CONCAT("weather.tbl[",P$1,"]")),MATCH(vp.data[[#This Row],[SDate]],weather.tbl[Date],0))</f>
        <v>-1.1000000000000001</v>
      </c>
      <c r="Q851" s="2">
        <f ca="1">INDEX(INDIRECT(_xlfn.CONCAT("weather.tbl[",Q$1,"]")),MATCH(vp.data[[#This Row],[SDate]],weather.tbl[Date],0))</f>
        <v>-1.5</v>
      </c>
      <c r="R851" s="2">
        <f ca="1">INDEX(INDIRECT(_xlfn.CONCAT("weather.tbl[",R$1,"]")),MATCH(vp.data[[#This Row],[SDate]],weather.tbl[Date],0))</f>
        <v>0.3</v>
      </c>
      <c r="S851" s="2">
        <f ca="1">INDEX(INDIRECT(_xlfn.CONCAT("weather.tbl[",S$1,"]")),MATCH(vp.data[[#This Row],[SDate]],weather.tbl[Date],0))</f>
        <v>-0.8</v>
      </c>
      <c r="T851" s="2">
        <f ca="1">INDEX(INDIRECT(_xlfn.CONCAT("weather.tbl[",T$1,"]")),MATCH(vp.data[[#This Row],[SDate]],weather.tbl[Date],0))</f>
        <v>0.3</v>
      </c>
      <c r="U851" s="2">
        <f ca="1">INDEX(INDIRECT(_xlfn.CONCAT("weather.tbl[",U$1,"]")),MATCH(vp.data[[#This Row],[SDate]],weather.tbl[Date],0))</f>
        <v>-2.2999999999999998</v>
      </c>
      <c r="V851" s="2">
        <f t="array" ref="V8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851" t="s">
        <v>48</v>
      </c>
      <c r="X851">
        <f>IF(OR(vp.data[[#This Row],[Sulf]]="",vp.data[[#This Row],[Dens]]=""),1,0)</f>
        <v>0</v>
      </c>
      <c r="Y851">
        <f>IF(vp.data[[#This Row],[CrudeType]]="C5+",1,0)</f>
        <v>0</v>
      </c>
      <c r="Z851">
        <f>IF(AND(vp.data[[#This Row],[CrudeType]]="Crude",vp.data[[#This Row],[Dens]]&lt;=825,vp.data[[#This Row],[Sulf]]&gt;0.5,vp.data[[#This Row],[Unknown]]=0),1,0)</f>
        <v>1</v>
      </c>
      <c r="AA851">
        <f>IF(AND(vp.data[[#This Row],[CrudeType]]="Crude",vp.data[[#This Row],[Dens]]&lt;=825,vp.data[[#This Row],[Sulf]]&lt;=0.5,vp.data[[#This Row],[Unknown]]=0),1,0)</f>
        <v>0</v>
      </c>
      <c r="AB8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1">
        <f>IF(AND(vp.data[[#This Row],[CrudeType]]="Crude",vp.data[[#This Row],[Dens]]&gt;825,vp.data[[#This Row],[Dens]]&lt;=900,vp.data[[#This Row],[Sulf]]&lt;=0.5,vp.data[[#This Row],[Unknown]]=0),1,0)</f>
        <v>0</v>
      </c>
      <c r="AD851">
        <f>IF(AND(vp.data[[#This Row],[CrudeType]]="Crude",vp.data[[#This Row],[Dens]]&gt;865,vp.data[[#This Row],[Dens]]&lt;=900,vp.data[[#This Row],[Sulf]]&gt;2,vp.data[[#This Row],[Unknown]]=0),1,0)</f>
        <v>0</v>
      </c>
      <c r="AE851">
        <f>IF(AND(vp.data[[#This Row],[CrudeType]]="Crude",vp.data[[#This Row],[Dens]]&gt;900,vp.data[[#This Row],[Sulf]]&lt;=0.5,vp.data[[#This Row],[Unknown]]=0),1,0)</f>
        <v>0</v>
      </c>
      <c r="AF851">
        <f>IF(AND(vp.data[[#This Row],[CrudeType]]="Crude",vp.data[[#This Row],[Dens]]&gt;900,vp.data[[#This Row],[Sulf]]&lt;=0.5,vp.data[[#This Row],[Unknown]]=0),1,0)</f>
        <v>0</v>
      </c>
      <c r="AG851" t="str">
        <f>INDEX(vp.data[[#Headers],[Unknown]:[Heavy_SW]],MATCH(1,vp.data[[#This Row],[Unknown]:[Heavy_SW]],0))</f>
        <v>Light_LSB</v>
      </c>
      <c r="AH851">
        <f>INDEX([3]!crudeBD.lkup[Number],MATCH(vp.data[[#This Row],[Crude_Breakdown]],crudeBD.lkup[Crude Breakdown],0))</f>
        <v>1</v>
      </c>
      <c r="AI851">
        <f>MONTH(vp.data[[#This Row],[SDate]])</f>
        <v>2</v>
      </c>
      <c r="AJ851" s="5">
        <f>(vp.data[[#This Row],[VP]]-INDEX(crudeBD.lkup[Mean_VP],MATCH(vp.data[[#This Row],[Crude_Breakdown]],crudeBD.lkup[Crude Breakdown],0)))^2</f>
        <v>33.106380529280088</v>
      </c>
      <c r="AK851" s="5">
        <f>(vp.data[[#This Row],[Dens]]-INDEX(crudeBD.lkup[Mean_Dens],MATCH(vp.data[[#This Row],[Crude_Breakdown]],crudeBD.lkup[Crude Breakdown],0)))^2</f>
        <v>2.833264042702643</v>
      </c>
      <c r="AL851" s="5">
        <f>(vp.data[[#This Row],[Sulf]]-INDEX(crudeBD.lkup[Mean_Sulf],MATCH(vp.data[[#This Row],[Crude_Breakdown]],crudeBD.lkup[Crude Breakdown],0)))^2</f>
        <v>8.0639624473873558E-2</v>
      </c>
      <c r="AM851" s="4">
        <f>IF(AND(vp.data[[#This Row],[SDate]]&gt;=DATE(YEAR(vp.data[[#This Row],[SDate]]),5,1),vp.data[[#This Row],[SDate]]&lt;=DATE(YEAR(vp.data[[#This Row],[SDate]]),9,15)),1,0)</f>
        <v>0</v>
      </c>
      <c r="AN851" s="4">
        <f>IF(vp.data[[#This Row],[SDate]]&lt;DATE(2016,12,1),0,1)</f>
        <v>1</v>
      </c>
      <c r="AO851" s="4">
        <f>IFERROR(vp.data[[#This Row],[Sulf]]*vp.data[[#This Row],[Net Dens]],"")</f>
        <v>65214122.444305211</v>
      </c>
      <c r="AP851">
        <f>IFERROR(vp.data[[#This Row],[Dens]]*vp.data[[#This Row],[VolumeM3]],"")</f>
        <v>102056529.64680001</v>
      </c>
      <c r="AQ851" s="15">
        <f>IFERROR(vp.data[[#This Row],[VP]]*vp.data[[#This Row],[VolumeM3]],"")</f>
        <v>12106925.5482</v>
      </c>
    </row>
    <row r="852" spans="1:43" x14ac:dyDescent="0.25">
      <c r="A852">
        <v>851</v>
      </c>
      <c r="B852" t="s">
        <v>62</v>
      </c>
      <c r="C852" t="s">
        <v>62</v>
      </c>
      <c r="D852" t="s">
        <v>63</v>
      </c>
      <c r="F852" s="1">
        <v>42788</v>
      </c>
      <c r="G852" s="2">
        <v>93.8</v>
      </c>
      <c r="H852" s="2">
        <v>1.655</v>
      </c>
      <c r="I852" s="2">
        <f t="array" ref="I852">_xlfn.IFNA(IF(vp.data[[#This Row],[Sulf Input]]="",INDEX([1]DATA!$Q$3:$Q$9826,MATCH(1,(vp.data[[#This Row],[Battery]]=[1]DATA!$L$3:$L$9826)*(EOMONTH(vp.data[[#This Row],[SDate]],-1)+1=[1]DATA!$G$3:$G$9826),0)),vp.data[[#This Row],[Sulf Input]]),"")</f>
        <v>1.655</v>
      </c>
      <c r="J852" s="2">
        <v>15.5</v>
      </c>
      <c r="K852" s="2">
        <v>3</v>
      </c>
      <c r="L852" s="2">
        <v>839</v>
      </c>
      <c r="M852" s="2">
        <f t="array" ref="M852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852" s="2">
        <f ca="1">INDEX(INDIRECT(_xlfn.CONCAT("weather.tbl[",N$1,"]")),MATCH(vp.data[[#This Row],[SDate]],weather.tbl[Date],0))</f>
        <v>-0.85000000000000009</v>
      </c>
      <c r="O852" s="2">
        <f ca="1">INDEX(INDIRECT(_xlfn.CONCAT("weather.tbl[",O$1,"]")),MATCH(vp.data[[#This Row],[SDate]],weather.tbl[Date],0))</f>
        <v>0.97380952380952379</v>
      </c>
      <c r="P852" s="2">
        <f ca="1">INDEX(INDIRECT(_xlfn.CONCAT("weather.tbl[",P$1,"]")),MATCH(vp.data[[#This Row],[SDate]],weather.tbl[Date],0))</f>
        <v>-1.1000000000000001</v>
      </c>
      <c r="Q852" s="2">
        <f ca="1">INDEX(INDIRECT(_xlfn.CONCAT("weather.tbl[",Q$1,"]")),MATCH(vp.data[[#This Row],[SDate]],weather.tbl[Date],0))</f>
        <v>-1.5</v>
      </c>
      <c r="R852" s="2">
        <f ca="1">INDEX(INDIRECT(_xlfn.CONCAT("weather.tbl[",R$1,"]")),MATCH(vp.data[[#This Row],[SDate]],weather.tbl[Date],0))</f>
        <v>0.3</v>
      </c>
      <c r="S852" s="2">
        <f ca="1">INDEX(INDIRECT(_xlfn.CONCAT("weather.tbl[",S$1,"]")),MATCH(vp.data[[#This Row],[SDate]],weather.tbl[Date],0))</f>
        <v>-0.8</v>
      </c>
      <c r="T852" s="2">
        <f ca="1">INDEX(INDIRECT(_xlfn.CONCAT("weather.tbl[",T$1,"]")),MATCH(vp.data[[#This Row],[SDate]],weather.tbl[Date],0))</f>
        <v>0.3</v>
      </c>
      <c r="U852" s="2">
        <f ca="1">INDEX(INDIRECT(_xlfn.CONCAT("weather.tbl[",U$1,"]")),MATCH(vp.data[[#This Row],[SDate]],weather.tbl[Date],0))</f>
        <v>-2.2999999999999998</v>
      </c>
      <c r="V852" s="2">
        <f t="array" ref="V8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52" t="s">
        <v>48</v>
      </c>
      <c r="X852">
        <f>IF(OR(vp.data[[#This Row],[Sulf]]="",vp.data[[#This Row],[Dens]]=""),1,0)</f>
        <v>0</v>
      </c>
      <c r="Y852">
        <f>IF(vp.data[[#This Row],[CrudeType]]="C5+",1,0)</f>
        <v>0</v>
      </c>
      <c r="Z852">
        <f>IF(AND(vp.data[[#This Row],[CrudeType]]="Crude",vp.data[[#This Row],[Dens]]&lt;=825,vp.data[[#This Row],[Sulf]]&gt;0.5,vp.data[[#This Row],[Unknown]]=0),1,0)</f>
        <v>0</v>
      </c>
      <c r="AA852">
        <f>IF(AND(vp.data[[#This Row],[CrudeType]]="Crude",vp.data[[#This Row],[Dens]]&lt;=825,vp.data[[#This Row],[Sulf]]&lt;=0.5,vp.data[[#This Row],[Unknown]]=0),1,0)</f>
        <v>0</v>
      </c>
      <c r="AB8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52">
        <f>IF(AND(vp.data[[#This Row],[CrudeType]]="Crude",vp.data[[#This Row],[Dens]]&gt;825,vp.data[[#This Row],[Dens]]&lt;=900,vp.data[[#This Row],[Sulf]]&lt;=0.5,vp.data[[#This Row],[Unknown]]=0),1,0)</f>
        <v>0</v>
      </c>
      <c r="AD852">
        <f>IF(AND(vp.data[[#This Row],[CrudeType]]="Crude",vp.data[[#This Row],[Dens]]&gt;865,vp.data[[#This Row],[Dens]]&lt;=900,vp.data[[#This Row],[Sulf]]&gt;2,vp.data[[#This Row],[Unknown]]=0),1,0)</f>
        <v>0</v>
      </c>
      <c r="AE852">
        <f>IF(AND(vp.data[[#This Row],[CrudeType]]="Crude",vp.data[[#This Row],[Dens]]&gt;900,vp.data[[#This Row],[Sulf]]&lt;=0.5,vp.data[[#This Row],[Unknown]]=0),1,0)</f>
        <v>0</v>
      </c>
      <c r="AF852">
        <f>IF(AND(vp.data[[#This Row],[CrudeType]]="Crude",vp.data[[#This Row],[Dens]]&gt;900,vp.data[[#This Row],[Sulf]]&lt;=0.5,vp.data[[#This Row],[Unknown]]=0),1,0)</f>
        <v>0</v>
      </c>
      <c r="AG852" t="str">
        <f>INDEX(vp.data[[#Headers],[Unknown]:[Heavy_SW]],MATCH(1,vp.data[[#This Row],[Unknown]:[Heavy_SW]],0))</f>
        <v>Medium_LSB</v>
      </c>
      <c r="AH852">
        <f>INDEX([3]!crudeBD.lkup[Number],MATCH(vp.data[[#This Row],[Crude_Breakdown]],crudeBD.lkup[Crude Breakdown],0))</f>
        <v>3</v>
      </c>
      <c r="AI852">
        <f>MONTH(vp.data[[#This Row],[SDate]])</f>
        <v>2</v>
      </c>
      <c r="AJ852" s="5">
        <f>(vp.data[[#This Row],[VP]]-INDEX(crudeBD.lkup[Mean_VP],MATCH(vp.data[[#This Row],[Crude_Breakdown]],crudeBD.lkup[Crude Breakdown],0)))^2</f>
        <v>173.19411331216898</v>
      </c>
      <c r="AK852" s="5">
        <f>(vp.data[[#This Row],[Dens]]-INDEX(crudeBD.lkup[Mean_Dens],MATCH(vp.data[[#This Row],[Crude_Breakdown]],crudeBD.lkup[Crude Breakdown],0)))^2</f>
        <v>24.206399999995124</v>
      </c>
      <c r="AL852" s="5">
        <f>(vp.data[[#This Row],[Sulf]]-INDEX(crudeBD.lkup[Mean_Sulf],MATCH(vp.data[[#This Row],[Crude_Breakdown]],crudeBD.lkup[Crude Breakdown],0)))^2</f>
        <v>7.2679778157686406E-2</v>
      </c>
      <c r="AM852" s="4">
        <f>IF(AND(vp.data[[#This Row],[SDate]]&gt;=DATE(YEAR(vp.data[[#This Row],[SDate]]),5,1),vp.data[[#This Row],[SDate]]&lt;=DATE(YEAR(vp.data[[#This Row],[SDate]]),9,15)),1,0)</f>
        <v>0</v>
      </c>
      <c r="AN852" s="4">
        <f>IF(vp.data[[#This Row],[SDate]]&lt;DATE(2016,12,1),0,1)</f>
        <v>1</v>
      </c>
      <c r="AO852" s="4">
        <f>IFERROR(vp.data[[#This Row],[Sulf]]*vp.data[[#This Row],[Net Dens]],"")</f>
        <v>6913203.1447549993</v>
      </c>
      <c r="AP852">
        <f>IFERROR(vp.data[[#This Row],[Dens]]*vp.data[[#This Row],[VolumeM3]],"")</f>
        <v>4177162.0209999997</v>
      </c>
      <c r="AQ852" s="15">
        <f>IFERROR(vp.data[[#This Row],[VP]]*vp.data[[#This Row],[VolumeM3]],"")</f>
        <v>467005.71819999994</v>
      </c>
    </row>
    <row r="853" spans="1:43" x14ac:dyDescent="0.25">
      <c r="A853">
        <v>852</v>
      </c>
      <c r="B853" t="s">
        <v>51</v>
      </c>
      <c r="C853" t="s">
        <v>51</v>
      </c>
      <c r="D853" t="s">
        <v>52</v>
      </c>
      <c r="F853" s="1">
        <v>42788</v>
      </c>
      <c r="G853" s="2">
        <v>73.3</v>
      </c>
      <c r="H853" s="2">
        <v>2.3679999999999999</v>
      </c>
      <c r="I853" s="2">
        <f t="array" ref="I853">_xlfn.IFNA(IF(vp.data[[#This Row],[Sulf Input]]="",INDEX([1]DATA!$Q$3:$Q$9826,MATCH(1,(vp.data[[#This Row],[Battery]]=[1]DATA!$L$3:$L$9826)*(EOMONTH(vp.data[[#This Row],[SDate]],-1)+1=[1]DATA!$G$3:$G$9826),0)),vp.data[[#This Row],[Sulf Input]]),"")</f>
        <v>2.3679999999999999</v>
      </c>
      <c r="J853" s="2">
        <v>33.9</v>
      </c>
      <c r="K853" s="2">
        <v>3</v>
      </c>
      <c r="L853" s="2">
        <v>870.4</v>
      </c>
      <c r="M853" s="2">
        <f t="array" ref="M853">_xlfn.IFNA(IF(vp.data[[#This Row],[Dens Input]]="",INDEX([1]DATA!$O$3:$O$9826,MATCH(1,(vp.data[[#This Row],[Battery]]=[1]DATA!$L$3:$L$9826)*(EOMONTH(vp.data[[#This Row],[SDate]],-1)+1=[1]DATA!$G$3:$G$9826),0)),vp.data[[#This Row],[Dens Input]]),"")</f>
        <v>870.4</v>
      </c>
      <c r="N853" s="2">
        <f ca="1">INDEX(INDIRECT(_xlfn.CONCAT("weather.tbl[",N$1,"]")),MATCH(vp.data[[#This Row],[SDate]],weather.tbl[Date],0))</f>
        <v>-0.85000000000000009</v>
      </c>
      <c r="O853" s="2">
        <f ca="1">INDEX(INDIRECT(_xlfn.CONCAT("weather.tbl[",O$1,"]")),MATCH(vp.data[[#This Row],[SDate]],weather.tbl[Date],0))</f>
        <v>0.97380952380952379</v>
      </c>
      <c r="P853" s="2">
        <f ca="1">INDEX(INDIRECT(_xlfn.CONCAT("weather.tbl[",P$1,"]")),MATCH(vp.data[[#This Row],[SDate]],weather.tbl[Date],0))</f>
        <v>-1.1000000000000001</v>
      </c>
      <c r="Q853" s="2">
        <f ca="1">INDEX(INDIRECT(_xlfn.CONCAT("weather.tbl[",Q$1,"]")),MATCH(vp.data[[#This Row],[SDate]],weather.tbl[Date],0))</f>
        <v>-1.5</v>
      </c>
      <c r="R853" s="2">
        <f ca="1">INDEX(INDIRECT(_xlfn.CONCAT("weather.tbl[",R$1,"]")),MATCH(vp.data[[#This Row],[SDate]],weather.tbl[Date],0))</f>
        <v>0.3</v>
      </c>
      <c r="S853" s="2">
        <f ca="1">INDEX(INDIRECT(_xlfn.CONCAT("weather.tbl[",S$1,"]")),MATCH(vp.data[[#This Row],[SDate]],weather.tbl[Date],0))</f>
        <v>-0.8</v>
      </c>
      <c r="T853" s="2">
        <f ca="1">INDEX(INDIRECT(_xlfn.CONCAT("weather.tbl[",T$1,"]")),MATCH(vp.data[[#This Row],[SDate]],weather.tbl[Date],0))</f>
        <v>0.3</v>
      </c>
      <c r="U853" s="2">
        <f ca="1">INDEX(INDIRECT(_xlfn.CONCAT("weather.tbl[",U$1,"]")),MATCH(vp.data[[#This Row],[SDate]],weather.tbl[Date],0))</f>
        <v>-2.2999999999999998</v>
      </c>
      <c r="V853" s="2">
        <f t="array" ref="V8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6655.18</v>
      </c>
      <c r="W853" t="s">
        <v>48</v>
      </c>
      <c r="X853">
        <f>IF(OR(vp.data[[#This Row],[Sulf]]="",vp.data[[#This Row],[Dens]]=""),1,0)</f>
        <v>0</v>
      </c>
      <c r="Y853">
        <f>IF(vp.data[[#This Row],[CrudeType]]="C5+",1,0)</f>
        <v>0</v>
      </c>
      <c r="Z853">
        <f>IF(AND(vp.data[[#This Row],[CrudeType]]="Crude",vp.data[[#This Row],[Dens]]&lt;=825,vp.data[[#This Row],[Sulf]]&gt;0.5,vp.data[[#This Row],[Unknown]]=0),1,0)</f>
        <v>0</v>
      </c>
      <c r="AA853">
        <f>IF(AND(vp.data[[#This Row],[CrudeType]]="Crude",vp.data[[#This Row],[Dens]]&lt;=825,vp.data[[#This Row],[Sulf]]&lt;=0.5,vp.data[[#This Row],[Unknown]]=0),1,0)</f>
        <v>0</v>
      </c>
      <c r="AB8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3">
        <f>IF(AND(vp.data[[#This Row],[CrudeType]]="Crude",vp.data[[#This Row],[Dens]]&gt;825,vp.data[[#This Row],[Dens]]&lt;=900,vp.data[[#This Row],[Sulf]]&lt;=0.5,vp.data[[#This Row],[Unknown]]=0),1,0)</f>
        <v>0</v>
      </c>
      <c r="AD853">
        <f>IF(AND(vp.data[[#This Row],[CrudeType]]="Crude",vp.data[[#This Row],[Dens]]&gt;865,vp.data[[#This Row],[Dens]]&lt;=900,vp.data[[#This Row],[Sulf]]&gt;2,vp.data[[#This Row],[Unknown]]=0),1,0)</f>
        <v>1</v>
      </c>
      <c r="AE853">
        <f>IF(AND(vp.data[[#This Row],[CrudeType]]="Crude",vp.data[[#This Row],[Dens]]&gt;900,vp.data[[#This Row],[Sulf]]&lt;=0.5,vp.data[[#This Row],[Unknown]]=0),1,0)</f>
        <v>0</v>
      </c>
      <c r="AF853">
        <f>IF(AND(vp.data[[#This Row],[CrudeType]]="Crude",vp.data[[#This Row],[Dens]]&gt;900,vp.data[[#This Row],[Sulf]]&lt;=0.5,vp.data[[#This Row],[Unknown]]=0),1,0)</f>
        <v>0</v>
      </c>
      <c r="AG853" t="str">
        <f>INDEX(vp.data[[#Headers],[Unknown]:[Heavy_SW]],MATCH(1,vp.data[[#This Row],[Unknown]:[Heavy_SW]],0))</f>
        <v>Midale</v>
      </c>
      <c r="AH853">
        <f>INDEX([3]!crudeBD.lkup[Number],MATCH(vp.data[[#This Row],[Crude_Breakdown]],crudeBD.lkup[Crude Breakdown],0))</f>
        <v>5</v>
      </c>
      <c r="AI853">
        <f>MONTH(vp.data[[#This Row],[SDate]])</f>
        <v>2</v>
      </c>
      <c r="AJ853" s="5">
        <f>(vp.data[[#This Row],[VP]]-INDEX(crudeBD.lkup[Mean_VP],MATCH(vp.data[[#This Row],[Crude_Breakdown]],crudeBD.lkup[Crude Breakdown],0)))^2</f>
        <v>15.141726272717344</v>
      </c>
      <c r="AK853" s="5">
        <f>(vp.data[[#This Row],[Dens]]-INDEX(crudeBD.lkup[Mean_Dens],MATCH(vp.data[[#This Row],[Crude_Breakdown]],crudeBD.lkup[Crude Breakdown],0)))^2</f>
        <v>19.509980072274143</v>
      </c>
      <c r="AL853" s="5">
        <f>(vp.data[[#This Row],[Sulf]]-INDEX(crudeBD.lkup[Mean_Sulf],MATCH(vp.data[[#This Row],[Crude_Breakdown]],crudeBD.lkup[Crude Breakdown],0)))^2</f>
        <v>5.7177139742903837E-3</v>
      </c>
      <c r="AM853" s="4">
        <f>IF(AND(vp.data[[#This Row],[SDate]]&gt;=DATE(YEAR(vp.data[[#This Row],[SDate]]),5,1),vp.data[[#This Row],[SDate]]&lt;=DATE(YEAR(vp.data[[#This Row],[SDate]]),9,15)),1,0)</f>
        <v>0</v>
      </c>
      <c r="AN853" s="4">
        <f>IF(vp.data[[#This Row],[SDate]]&lt;DATE(2016,12,1),0,1)</f>
        <v>1</v>
      </c>
      <c r="AO853" s="4">
        <f>IFERROR(vp.data[[#This Row],[Sulf]]*vp.data[[#This Row],[Net Dens]],"")</f>
        <v>13717039.415295999</v>
      </c>
      <c r="AP853">
        <f>IFERROR(vp.data[[#This Row],[Dens]]*vp.data[[#This Row],[VolumeM3]],"")</f>
        <v>5792668.6720000003</v>
      </c>
      <c r="AQ853" s="15">
        <f>IFERROR(vp.data[[#This Row],[VP]]*vp.data[[#This Row],[VolumeM3]],"")</f>
        <v>487824.69400000002</v>
      </c>
    </row>
    <row r="854" spans="1:43" x14ac:dyDescent="0.25">
      <c r="A854">
        <v>853</v>
      </c>
      <c r="B854" t="s">
        <v>49</v>
      </c>
      <c r="C854" t="s">
        <v>49</v>
      </c>
      <c r="D854" t="s">
        <v>50</v>
      </c>
      <c r="F854" s="1">
        <v>42788</v>
      </c>
      <c r="G854" s="2">
        <v>71</v>
      </c>
      <c r="H854" s="2">
        <v>2.5329999999999999</v>
      </c>
      <c r="I854" s="2">
        <f t="array" ref="I854">_xlfn.IFNA(IF(vp.data[[#This Row],[Sulf Input]]="",INDEX([1]DATA!$Q$3:$Q$9826,MATCH(1,(vp.data[[#This Row],[Battery]]=[1]DATA!$L$3:$L$9826)*(EOMONTH(vp.data[[#This Row],[SDate]],-1)+1=[1]DATA!$G$3:$G$9826),0)),vp.data[[#This Row],[Sulf Input]]),"")</f>
        <v>2.5329999999999999</v>
      </c>
      <c r="J854" s="2">
        <v>15.7</v>
      </c>
      <c r="K854" s="2">
        <v>3</v>
      </c>
      <c r="L854" s="2">
        <v>870.1</v>
      </c>
      <c r="M854" s="2">
        <f t="array" ref="M854">_xlfn.IFNA(IF(vp.data[[#This Row],[Dens Input]]="",INDEX([1]DATA!$O$3:$O$9826,MATCH(1,(vp.data[[#This Row],[Battery]]=[1]DATA!$L$3:$L$9826)*(EOMONTH(vp.data[[#This Row],[SDate]],-1)+1=[1]DATA!$G$3:$G$9826),0)),vp.data[[#This Row],[Dens Input]]),"")</f>
        <v>870.1</v>
      </c>
      <c r="N854" s="2">
        <f ca="1">INDEX(INDIRECT(_xlfn.CONCAT("weather.tbl[",N$1,"]")),MATCH(vp.data[[#This Row],[SDate]],weather.tbl[Date],0))</f>
        <v>-0.85000000000000009</v>
      </c>
      <c r="O854" s="2">
        <f ca="1">INDEX(INDIRECT(_xlfn.CONCAT("weather.tbl[",O$1,"]")),MATCH(vp.data[[#This Row],[SDate]],weather.tbl[Date],0))</f>
        <v>0.97380952380952379</v>
      </c>
      <c r="P854" s="2">
        <f ca="1">INDEX(INDIRECT(_xlfn.CONCAT("weather.tbl[",P$1,"]")),MATCH(vp.data[[#This Row],[SDate]],weather.tbl[Date],0))</f>
        <v>-1.1000000000000001</v>
      </c>
      <c r="Q854" s="2">
        <f ca="1">INDEX(INDIRECT(_xlfn.CONCAT("weather.tbl[",Q$1,"]")),MATCH(vp.data[[#This Row],[SDate]],weather.tbl[Date],0))</f>
        <v>-1.5</v>
      </c>
      <c r="R854" s="2">
        <f ca="1">INDEX(INDIRECT(_xlfn.CONCAT("weather.tbl[",R$1,"]")),MATCH(vp.data[[#This Row],[SDate]],weather.tbl[Date],0))</f>
        <v>0.3</v>
      </c>
      <c r="S854" s="2">
        <f ca="1">INDEX(INDIRECT(_xlfn.CONCAT("weather.tbl[",S$1,"]")),MATCH(vp.data[[#This Row],[SDate]],weather.tbl[Date],0))</f>
        <v>-0.8</v>
      </c>
      <c r="T854" s="2">
        <f ca="1">INDEX(INDIRECT(_xlfn.CONCAT("weather.tbl[",T$1,"]")),MATCH(vp.data[[#This Row],[SDate]],weather.tbl[Date],0))</f>
        <v>0.3</v>
      </c>
      <c r="U854" s="2">
        <f ca="1">INDEX(INDIRECT(_xlfn.CONCAT("weather.tbl[",U$1,"]")),MATCH(vp.data[[#This Row],[SDate]],weather.tbl[Date],0))</f>
        <v>-2.2999999999999998</v>
      </c>
      <c r="V854" s="2">
        <f t="array" ref="V8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5073.817</v>
      </c>
      <c r="W854" t="s">
        <v>48</v>
      </c>
      <c r="X854">
        <f>IF(OR(vp.data[[#This Row],[Sulf]]="",vp.data[[#This Row],[Dens]]=""),1,0)</f>
        <v>0</v>
      </c>
      <c r="Y854">
        <f>IF(vp.data[[#This Row],[CrudeType]]="C5+",1,0)</f>
        <v>0</v>
      </c>
      <c r="Z854">
        <f>IF(AND(vp.data[[#This Row],[CrudeType]]="Crude",vp.data[[#This Row],[Dens]]&lt;=825,vp.data[[#This Row],[Sulf]]&gt;0.5,vp.data[[#This Row],[Unknown]]=0),1,0)</f>
        <v>0</v>
      </c>
      <c r="AA854">
        <f>IF(AND(vp.data[[#This Row],[CrudeType]]="Crude",vp.data[[#This Row],[Dens]]&lt;=825,vp.data[[#This Row],[Sulf]]&lt;=0.5,vp.data[[#This Row],[Unknown]]=0),1,0)</f>
        <v>0</v>
      </c>
      <c r="AB8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4">
        <f>IF(AND(vp.data[[#This Row],[CrudeType]]="Crude",vp.data[[#This Row],[Dens]]&gt;825,vp.data[[#This Row],[Dens]]&lt;=900,vp.data[[#This Row],[Sulf]]&lt;=0.5,vp.data[[#This Row],[Unknown]]=0),1,0)</f>
        <v>0</v>
      </c>
      <c r="AD854">
        <f>IF(AND(vp.data[[#This Row],[CrudeType]]="Crude",vp.data[[#This Row],[Dens]]&gt;865,vp.data[[#This Row],[Dens]]&lt;=900,vp.data[[#This Row],[Sulf]]&gt;2,vp.data[[#This Row],[Unknown]]=0),1,0)</f>
        <v>1</v>
      </c>
      <c r="AE854">
        <f>IF(AND(vp.data[[#This Row],[CrudeType]]="Crude",vp.data[[#This Row],[Dens]]&gt;900,vp.data[[#This Row],[Sulf]]&lt;=0.5,vp.data[[#This Row],[Unknown]]=0),1,0)</f>
        <v>0</v>
      </c>
      <c r="AF854">
        <f>IF(AND(vp.data[[#This Row],[CrudeType]]="Crude",vp.data[[#This Row],[Dens]]&gt;900,vp.data[[#This Row],[Sulf]]&lt;=0.5,vp.data[[#This Row],[Unknown]]=0),1,0)</f>
        <v>0</v>
      </c>
      <c r="AG854" t="str">
        <f>INDEX(vp.data[[#Headers],[Unknown]:[Heavy_SW]],MATCH(1,vp.data[[#This Row],[Unknown]:[Heavy_SW]],0))</f>
        <v>Midale</v>
      </c>
      <c r="AH854">
        <f>INDEX([3]!crudeBD.lkup[Number],MATCH(vp.data[[#This Row],[Crude_Breakdown]],crudeBD.lkup[Crude Breakdown],0))</f>
        <v>5</v>
      </c>
      <c r="AI854">
        <f>MONTH(vp.data[[#This Row],[SDate]])</f>
        <v>2</v>
      </c>
      <c r="AJ854" s="5">
        <f>(vp.data[[#This Row],[VP]]-INDEX(crudeBD.lkup[Mean_VP],MATCH(vp.data[[#This Row],[Crude_Breakdown]],crudeBD.lkup[Crude Breakdown],0)))^2</f>
        <v>2.5320355510680264</v>
      </c>
      <c r="AK854" s="5">
        <f>(vp.data[[#This Row],[Dens]]-INDEX(crudeBD.lkup[Mean_Dens],MATCH(vp.data[[#This Row],[Crude_Breakdown]],crudeBD.lkup[Crude Breakdown],0)))^2</f>
        <v>22.250186257840923</v>
      </c>
      <c r="AL854" s="5">
        <f>(vp.data[[#This Row],[Sulf]]-INDEX(crudeBD.lkup[Mean_Sulf],MATCH(vp.data[[#This Row],[Crude_Breakdown]],crudeBD.lkup[Crude Breakdown],0)))^2</f>
        <v>7.9895768608887405E-3</v>
      </c>
      <c r="AM854" s="4">
        <f>IF(AND(vp.data[[#This Row],[SDate]]&gt;=DATE(YEAR(vp.data[[#This Row],[SDate]]),5,1),vp.data[[#This Row],[SDate]]&lt;=DATE(YEAR(vp.data[[#This Row],[SDate]]),9,15)),1,0)</f>
        <v>0</v>
      </c>
      <c r="AN854" s="4">
        <f>IF(vp.data[[#This Row],[SDate]]&lt;DATE(2016,12,1),0,1)</f>
        <v>1</v>
      </c>
      <c r="AO854" s="4">
        <f>IFERROR(vp.data[[#This Row],[Sulf]]*vp.data[[#This Row],[Net Dens]],"")</f>
        <v>11182506.4589161</v>
      </c>
      <c r="AP854">
        <f>IFERROR(vp.data[[#This Row],[Dens]]*vp.data[[#This Row],[VolumeM3]],"")</f>
        <v>4414728.1716999998</v>
      </c>
      <c r="AQ854" s="15">
        <f>IFERROR(vp.data[[#This Row],[VP]]*vp.data[[#This Row],[VolumeM3]],"")</f>
        <v>360241.00699999998</v>
      </c>
    </row>
    <row r="855" spans="1:43" x14ac:dyDescent="0.25">
      <c r="A855">
        <v>854</v>
      </c>
      <c r="B855" t="s">
        <v>168</v>
      </c>
      <c r="C855" t="s">
        <v>168</v>
      </c>
      <c r="D855" t="s">
        <v>169</v>
      </c>
      <c r="F855" s="1">
        <v>42788</v>
      </c>
      <c r="G855" s="2">
        <v>98.5</v>
      </c>
      <c r="H855" s="2"/>
      <c r="I855" s="2">
        <f t="array" ref="I855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855" s="2">
        <v>17</v>
      </c>
      <c r="K855" s="2">
        <v>3</v>
      </c>
      <c r="L855" s="2">
        <v>852.8</v>
      </c>
      <c r="M855" s="2">
        <f t="array" ref="M855">_xlfn.IFNA(IF(vp.data[[#This Row],[Dens Input]]="",INDEX([1]DATA!$O$3:$O$9826,MATCH(1,(vp.data[[#This Row],[Battery]]=[1]DATA!$L$3:$L$9826)*(EOMONTH(vp.data[[#This Row],[SDate]],-1)+1=[1]DATA!$G$3:$G$9826),0)),vp.data[[#This Row],[Dens Input]]),"")</f>
        <v>852.8</v>
      </c>
      <c r="N855" s="2">
        <f ca="1">INDEX(INDIRECT(_xlfn.CONCAT("weather.tbl[",N$1,"]")),MATCH(vp.data[[#This Row],[SDate]],weather.tbl[Date],0))</f>
        <v>-0.85000000000000009</v>
      </c>
      <c r="O855" s="2">
        <f ca="1">INDEX(INDIRECT(_xlfn.CONCAT("weather.tbl[",O$1,"]")),MATCH(vp.data[[#This Row],[SDate]],weather.tbl[Date],0))</f>
        <v>0.97380952380952379</v>
      </c>
      <c r="P855" s="2">
        <f ca="1">INDEX(INDIRECT(_xlfn.CONCAT("weather.tbl[",P$1,"]")),MATCH(vp.data[[#This Row],[SDate]],weather.tbl[Date],0))</f>
        <v>-1.1000000000000001</v>
      </c>
      <c r="Q855" s="2">
        <f ca="1">INDEX(INDIRECT(_xlfn.CONCAT("weather.tbl[",Q$1,"]")),MATCH(vp.data[[#This Row],[SDate]],weather.tbl[Date],0))</f>
        <v>-1.5</v>
      </c>
      <c r="R855" s="2">
        <f ca="1">INDEX(INDIRECT(_xlfn.CONCAT("weather.tbl[",R$1,"]")),MATCH(vp.data[[#This Row],[SDate]],weather.tbl[Date],0))</f>
        <v>0.3</v>
      </c>
      <c r="S855" s="2">
        <f ca="1">INDEX(INDIRECT(_xlfn.CONCAT("weather.tbl[",S$1,"]")),MATCH(vp.data[[#This Row],[SDate]],weather.tbl[Date],0))</f>
        <v>-0.8</v>
      </c>
      <c r="T855" s="2">
        <f ca="1">INDEX(INDIRECT(_xlfn.CONCAT("weather.tbl[",T$1,"]")),MATCH(vp.data[[#This Row],[SDate]],weather.tbl[Date],0))</f>
        <v>0.3</v>
      </c>
      <c r="U855" s="2">
        <f ca="1">INDEX(INDIRECT(_xlfn.CONCAT("weather.tbl[",U$1,"]")),MATCH(vp.data[[#This Row],[SDate]],weather.tbl[Date],0))</f>
        <v>-2.2999999999999998</v>
      </c>
      <c r="V855" s="2">
        <f t="array" ref="V8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370.69200000000001</v>
      </c>
      <c r="W855" t="s">
        <v>48</v>
      </c>
      <c r="X855">
        <f>IF(OR(vp.data[[#This Row],[Sulf]]="",vp.data[[#This Row],[Dens]]=""),1,0)</f>
        <v>0</v>
      </c>
      <c r="Y855">
        <f>IF(vp.data[[#This Row],[CrudeType]]="C5+",1,0)</f>
        <v>0</v>
      </c>
      <c r="Z855">
        <f>IF(AND(vp.data[[#This Row],[CrudeType]]="Crude",vp.data[[#This Row],[Dens]]&lt;=825,vp.data[[#This Row],[Sulf]]&gt;0.5,vp.data[[#This Row],[Unknown]]=0),1,0)</f>
        <v>0</v>
      </c>
      <c r="AA855">
        <f>IF(AND(vp.data[[#This Row],[CrudeType]]="Crude",vp.data[[#This Row],[Dens]]&lt;=825,vp.data[[#This Row],[Sulf]]&lt;=0.5,vp.data[[#This Row],[Unknown]]=0),1,0)</f>
        <v>0</v>
      </c>
      <c r="AB8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55">
        <f>IF(AND(vp.data[[#This Row],[CrudeType]]="Crude",vp.data[[#This Row],[Dens]]&gt;825,vp.data[[#This Row],[Dens]]&lt;=900,vp.data[[#This Row],[Sulf]]&lt;=0.5,vp.data[[#This Row],[Unknown]]=0),1,0)</f>
        <v>0</v>
      </c>
      <c r="AD855">
        <f>IF(AND(vp.data[[#This Row],[CrudeType]]="Crude",vp.data[[#This Row],[Dens]]&gt;865,vp.data[[#This Row],[Dens]]&lt;=900,vp.data[[#This Row],[Sulf]]&gt;2,vp.data[[#This Row],[Unknown]]=0),1,0)</f>
        <v>0</v>
      </c>
      <c r="AE855">
        <f>IF(AND(vp.data[[#This Row],[CrudeType]]="Crude",vp.data[[#This Row],[Dens]]&gt;900,vp.data[[#This Row],[Sulf]]&lt;=0.5,vp.data[[#This Row],[Unknown]]=0),1,0)</f>
        <v>0</v>
      </c>
      <c r="AF855">
        <f>IF(AND(vp.data[[#This Row],[CrudeType]]="Crude",vp.data[[#This Row],[Dens]]&gt;900,vp.data[[#This Row],[Sulf]]&lt;=0.5,vp.data[[#This Row],[Unknown]]=0),1,0)</f>
        <v>0</v>
      </c>
      <c r="AG855" t="str">
        <f>INDEX(vp.data[[#Headers],[Unknown]:[Heavy_SW]],MATCH(1,vp.data[[#This Row],[Unknown]:[Heavy_SW]],0))</f>
        <v>Medium_LSB</v>
      </c>
      <c r="AH855">
        <f>INDEX([3]!crudeBD.lkup[Number],MATCH(vp.data[[#This Row],[Crude_Breakdown]],crudeBD.lkup[Crude Breakdown],0))</f>
        <v>3</v>
      </c>
      <c r="AI855">
        <f>MONTH(vp.data[[#This Row],[SDate]])</f>
        <v>2</v>
      </c>
      <c r="AJ855" s="5">
        <f>(vp.data[[#This Row],[VP]]-INDEX(crudeBD.lkup[Mean_VP],MATCH(vp.data[[#This Row],[Crude_Breakdown]],crudeBD.lkup[Crude Breakdown],0)))^2</f>
        <v>318.99115374343654</v>
      </c>
      <c r="AK855" s="5">
        <f>(vp.data[[#This Row],[Dens]]-INDEX(crudeBD.lkup[Mean_Dens],MATCH(vp.data[[#This Row],[Crude_Breakdown]],crudeBD.lkup[Crude Breakdown],0)))^2</f>
        <v>78.854400000007999</v>
      </c>
      <c r="AL855" s="5">
        <f>(vp.data[[#This Row],[Sulf]]-INDEX(crudeBD.lkup[Mean_Sulf],MATCH(vp.data[[#This Row],[Crude_Breakdown]],crudeBD.lkup[Crude Breakdown],0)))^2</f>
        <v>0.46866603300943693</v>
      </c>
      <c r="AM855" s="4">
        <f>IF(AND(vp.data[[#This Row],[SDate]]&gt;=DATE(YEAR(vp.data[[#This Row],[SDate]]),5,1),vp.data[[#This Row],[SDate]]&lt;=DATE(YEAR(vp.data[[#This Row],[SDate]]),9,15)),1,0)</f>
        <v>0</v>
      </c>
      <c r="AN855" s="4">
        <f>IF(vp.data[[#This Row],[SDate]]&lt;DATE(2016,12,1),0,1)</f>
        <v>1</v>
      </c>
      <c r="AO855" s="4">
        <f>IFERROR(vp.data[[#This Row],[Sulf]]*vp.data[[#This Row],[Net Dens]],"")</f>
        <v>654381.10483199998</v>
      </c>
      <c r="AP855">
        <f>IFERROR(vp.data[[#This Row],[Dens]]*vp.data[[#This Row],[VolumeM3]],"")</f>
        <v>316126.13760000002</v>
      </c>
      <c r="AQ855" s="15">
        <f>IFERROR(vp.data[[#This Row],[VP]]*vp.data[[#This Row],[VolumeM3]],"")</f>
        <v>36513.162000000004</v>
      </c>
    </row>
    <row r="856" spans="1:43" x14ac:dyDescent="0.25">
      <c r="A856">
        <v>855</v>
      </c>
      <c r="B856" t="s">
        <v>68</v>
      </c>
      <c r="C856" t="s">
        <v>68</v>
      </c>
      <c r="D856" t="s">
        <v>170</v>
      </c>
      <c r="F856" s="1">
        <v>42788</v>
      </c>
      <c r="G856" s="2">
        <v>92.9</v>
      </c>
      <c r="H856" s="2"/>
      <c r="I856" s="2">
        <f t="array" ref="I856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856" s="2">
        <v>16.2</v>
      </c>
      <c r="K856" s="2">
        <v>3</v>
      </c>
      <c r="L856" s="2">
        <v>853</v>
      </c>
      <c r="M856" s="2">
        <f t="array" ref="M856">_xlfn.IFNA(IF(vp.data[[#This Row],[Dens Input]]="",INDEX([1]DATA!$O$3:$O$9826,MATCH(1,(vp.data[[#This Row],[Battery]]=[1]DATA!$L$3:$L$9826)*(EOMONTH(vp.data[[#This Row],[SDate]],-1)+1=[1]DATA!$G$3:$G$9826),0)),vp.data[[#This Row],[Dens Input]]),"")</f>
        <v>853</v>
      </c>
      <c r="N856" s="2">
        <f ca="1">INDEX(INDIRECT(_xlfn.CONCAT("weather.tbl[",N$1,"]")),MATCH(vp.data[[#This Row],[SDate]],weather.tbl[Date],0))</f>
        <v>-0.85000000000000009</v>
      </c>
      <c r="O856" s="2">
        <f ca="1">INDEX(INDIRECT(_xlfn.CONCAT("weather.tbl[",O$1,"]")),MATCH(vp.data[[#This Row],[SDate]],weather.tbl[Date],0))</f>
        <v>0.97380952380952379</v>
      </c>
      <c r="P856" s="2">
        <f ca="1">INDEX(INDIRECT(_xlfn.CONCAT("weather.tbl[",P$1,"]")),MATCH(vp.data[[#This Row],[SDate]],weather.tbl[Date],0))</f>
        <v>-1.1000000000000001</v>
      </c>
      <c r="Q856" s="2">
        <f ca="1">INDEX(INDIRECT(_xlfn.CONCAT("weather.tbl[",Q$1,"]")),MATCH(vp.data[[#This Row],[SDate]],weather.tbl[Date],0))</f>
        <v>-1.5</v>
      </c>
      <c r="R856" s="2">
        <f ca="1">INDEX(INDIRECT(_xlfn.CONCAT("weather.tbl[",R$1,"]")),MATCH(vp.data[[#This Row],[SDate]],weather.tbl[Date],0))</f>
        <v>0.3</v>
      </c>
      <c r="S856" s="2">
        <f ca="1">INDEX(INDIRECT(_xlfn.CONCAT("weather.tbl[",S$1,"]")),MATCH(vp.data[[#This Row],[SDate]],weather.tbl[Date],0))</f>
        <v>-0.8</v>
      </c>
      <c r="T856" s="2">
        <f ca="1">INDEX(INDIRECT(_xlfn.CONCAT("weather.tbl[",T$1,"]")),MATCH(vp.data[[#This Row],[SDate]],weather.tbl[Date],0))</f>
        <v>0.3</v>
      </c>
      <c r="U856" s="2">
        <f ca="1">INDEX(INDIRECT(_xlfn.CONCAT("weather.tbl[",U$1,"]")),MATCH(vp.data[[#This Row],[SDate]],weather.tbl[Date],0))</f>
        <v>-2.2999999999999998</v>
      </c>
      <c r="V856" s="2">
        <f t="array" ref="V8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329.255</v>
      </c>
      <c r="W856" t="s">
        <v>48</v>
      </c>
      <c r="X856">
        <f>IF(OR(vp.data[[#This Row],[Sulf]]="",vp.data[[#This Row],[Dens]]=""),1,0)</f>
        <v>0</v>
      </c>
      <c r="Y856">
        <f>IF(vp.data[[#This Row],[CrudeType]]="C5+",1,0)</f>
        <v>0</v>
      </c>
      <c r="Z856">
        <f>IF(AND(vp.data[[#This Row],[CrudeType]]="Crude",vp.data[[#This Row],[Dens]]&lt;=825,vp.data[[#This Row],[Sulf]]&gt;0.5,vp.data[[#This Row],[Unknown]]=0),1,0)</f>
        <v>0</v>
      </c>
      <c r="AA856">
        <f>IF(AND(vp.data[[#This Row],[CrudeType]]="Crude",vp.data[[#This Row],[Dens]]&lt;=825,vp.data[[#This Row],[Sulf]]&lt;=0.5,vp.data[[#This Row],[Unknown]]=0),1,0)</f>
        <v>0</v>
      </c>
      <c r="AB8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56">
        <f>IF(AND(vp.data[[#This Row],[CrudeType]]="Crude",vp.data[[#This Row],[Dens]]&gt;825,vp.data[[#This Row],[Dens]]&lt;=900,vp.data[[#This Row],[Sulf]]&lt;=0.5,vp.data[[#This Row],[Unknown]]=0),1,0)</f>
        <v>0</v>
      </c>
      <c r="AD856">
        <f>IF(AND(vp.data[[#This Row],[CrudeType]]="Crude",vp.data[[#This Row],[Dens]]&gt;865,vp.data[[#This Row],[Dens]]&lt;=900,vp.data[[#This Row],[Sulf]]&gt;2,vp.data[[#This Row],[Unknown]]=0),1,0)</f>
        <v>0</v>
      </c>
      <c r="AE856">
        <f>IF(AND(vp.data[[#This Row],[CrudeType]]="Crude",vp.data[[#This Row],[Dens]]&gt;900,vp.data[[#This Row],[Sulf]]&lt;=0.5,vp.data[[#This Row],[Unknown]]=0),1,0)</f>
        <v>0</v>
      </c>
      <c r="AF856">
        <f>IF(AND(vp.data[[#This Row],[CrudeType]]="Crude",vp.data[[#This Row],[Dens]]&gt;900,vp.data[[#This Row],[Sulf]]&lt;=0.5,vp.data[[#This Row],[Unknown]]=0),1,0)</f>
        <v>0</v>
      </c>
      <c r="AG856" t="str">
        <f>INDEX(vp.data[[#Headers],[Unknown]:[Heavy_SW]],MATCH(1,vp.data[[#This Row],[Unknown]:[Heavy_SW]],0))</f>
        <v>Medium_LSB</v>
      </c>
      <c r="AH856">
        <f>INDEX([3]!crudeBD.lkup[Number],MATCH(vp.data[[#This Row],[Crude_Breakdown]],crudeBD.lkup[Crude Breakdown],0))</f>
        <v>3</v>
      </c>
      <c r="AI856">
        <f>MONTH(vp.data[[#This Row],[SDate]])</f>
        <v>2</v>
      </c>
      <c r="AJ856" s="5">
        <f>(vp.data[[#This Row],[VP]]-INDEX(crudeBD.lkup[Mean_VP],MATCH(vp.data[[#This Row],[Crude_Breakdown]],crudeBD.lkup[Crude Breakdown],0)))^2</f>
        <v>150.31553110192647</v>
      </c>
      <c r="AK856" s="5">
        <f>(vp.data[[#This Row],[Dens]]-INDEX(crudeBD.lkup[Mean_Dens],MATCH(vp.data[[#This Row],[Crude_Breakdown]],crudeBD.lkup[Crude Breakdown],0)))^2</f>
        <v>82.446400000009007</v>
      </c>
      <c r="AL856" s="5">
        <f>(vp.data[[#This Row],[Sulf]]-INDEX(crudeBD.lkup[Mean_Sulf],MATCH(vp.data[[#This Row],[Crude_Breakdown]],crudeBD.lkup[Crude Breakdown],0)))^2</f>
        <v>0.48245787047574451</v>
      </c>
      <c r="AM856" s="4">
        <f>IF(AND(vp.data[[#This Row],[SDate]]&gt;=DATE(YEAR(vp.data[[#This Row],[SDate]]),5,1),vp.data[[#This Row],[SDate]]&lt;=DATE(YEAR(vp.data[[#This Row],[SDate]]),9,15)),1,0)</f>
        <v>0</v>
      </c>
      <c r="AN856" s="4">
        <f>IF(vp.data[[#This Row],[SDate]]&lt;DATE(2016,12,1),0,1)</f>
        <v>1</v>
      </c>
      <c r="AO856" s="4">
        <f>IFERROR(vp.data[[#This Row],[Sulf]]*vp.data[[#This Row],[Net Dens]],"")</f>
        <v>584177.39120000007</v>
      </c>
      <c r="AP856">
        <f>IFERROR(vp.data[[#This Row],[Dens]]*vp.data[[#This Row],[VolumeM3]],"")</f>
        <v>280854.51500000001</v>
      </c>
      <c r="AQ856" s="15">
        <f>IFERROR(vp.data[[#This Row],[VP]]*vp.data[[#This Row],[VolumeM3]],"")</f>
        <v>30587.789500000003</v>
      </c>
    </row>
    <row r="857" spans="1:43" x14ac:dyDescent="0.25">
      <c r="A857">
        <v>856</v>
      </c>
      <c r="B857" t="s">
        <v>68</v>
      </c>
      <c r="C857" t="s">
        <v>68</v>
      </c>
      <c r="D857" t="s">
        <v>171</v>
      </c>
      <c r="F857" s="1">
        <v>42788</v>
      </c>
      <c r="G857" s="2">
        <v>91</v>
      </c>
      <c r="H857" s="2"/>
      <c r="I857" s="2">
        <f t="array" ref="I857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857" s="2">
        <v>17.3</v>
      </c>
      <c r="K857" s="2">
        <v>3</v>
      </c>
      <c r="L857" s="2">
        <v>861</v>
      </c>
      <c r="M857" s="2">
        <f t="array" ref="M857">_xlfn.IFNA(IF(vp.data[[#This Row],[Dens Input]]="",INDEX([1]DATA!$O$3:$O$9826,MATCH(1,(vp.data[[#This Row],[Battery]]=[1]DATA!$L$3:$L$9826)*(EOMONTH(vp.data[[#This Row],[SDate]],-1)+1=[1]DATA!$G$3:$G$9826),0)),vp.data[[#This Row],[Dens Input]]),"")</f>
        <v>861</v>
      </c>
      <c r="N857" s="2">
        <f ca="1">INDEX(INDIRECT(_xlfn.CONCAT("weather.tbl[",N$1,"]")),MATCH(vp.data[[#This Row],[SDate]],weather.tbl[Date],0))</f>
        <v>-0.85000000000000009</v>
      </c>
      <c r="O857" s="2">
        <f ca="1">INDEX(INDIRECT(_xlfn.CONCAT("weather.tbl[",O$1,"]")),MATCH(vp.data[[#This Row],[SDate]],weather.tbl[Date],0))</f>
        <v>0.97380952380952379</v>
      </c>
      <c r="P857" s="2">
        <f ca="1">INDEX(INDIRECT(_xlfn.CONCAT("weather.tbl[",P$1,"]")),MATCH(vp.data[[#This Row],[SDate]],weather.tbl[Date],0))</f>
        <v>-1.1000000000000001</v>
      </c>
      <c r="Q857" s="2">
        <f ca="1">INDEX(INDIRECT(_xlfn.CONCAT("weather.tbl[",Q$1,"]")),MATCH(vp.data[[#This Row],[SDate]],weather.tbl[Date],0))</f>
        <v>-1.5</v>
      </c>
      <c r="R857" s="2">
        <f ca="1">INDEX(INDIRECT(_xlfn.CONCAT("weather.tbl[",R$1,"]")),MATCH(vp.data[[#This Row],[SDate]],weather.tbl[Date],0))</f>
        <v>0.3</v>
      </c>
      <c r="S857" s="2">
        <f ca="1">INDEX(INDIRECT(_xlfn.CONCAT("weather.tbl[",S$1,"]")),MATCH(vp.data[[#This Row],[SDate]],weather.tbl[Date],0))</f>
        <v>-0.8</v>
      </c>
      <c r="T857" s="2">
        <f ca="1">INDEX(INDIRECT(_xlfn.CONCAT("weather.tbl[",T$1,"]")),MATCH(vp.data[[#This Row],[SDate]],weather.tbl[Date],0))</f>
        <v>0.3</v>
      </c>
      <c r="U857" s="2">
        <f ca="1">INDEX(INDIRECT(_xlfn.CONCAT("weather.tbl[",U$1,"]")),MATCH(vp.data[[#This Row],[SDate]],weather.tbl[Date],0))</f>
        <v>-2.2999999999999998</v>
      </c>
      <c r="V857" s="2">
        <f t="array" ref="V8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132.41399999999999</v>
      </c>
      <c r="W857" t="s">
        <v>48</v>
      </c>
      <c r="X857">
        <f>IF(OR(vp.data[[#This Row],[Sulf]]="",vp.data[[#This Row],[Dens]]=""),1,0)</f>
        <v>0</v>
      </c>
      <c r="Y857">
        <f>IF(vp.data[[#This Row],[CrudeType]]="C5+",1,0)</f>
        <v>0</v>
      </c>
      <c r="Z857">
        <f>IF(AND(vp.data[[#This Row],[CrudeType]]="Crude",vp.data[[#This Row],[Dens]]&lt;=825,vp.data[[#This Row],[Sulf]]&gt;0.5,vp.data[[#This Row],[Unknown]]=0),1,0)</f>
        <v>0</v>
      </c>
      <c r="AA857">
        <f>IF(AND(vp.data[[#This Row],[CrudeType]]="Crude",vp.data[[#This Row],[Dens]]&lt;=825,vp.data[[#This Row],[Sulf]]&lt;=0.5,vp.data[[#This Row],[Unknown]]=0),1,0)</f>
        <v>0</v>
      </c>
      <c r="AB8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57">
        <f>IF(AND(vp.data[[#This Row],[CrudeType]]="Crude",vp.data[[#This Row],[Dens]]&gt;825,vp.data[[#This Row],[Dens]]&lt;=900,vp.data[[#This Row],[Sulf]]&lt;=0.5,vp.data[[#This Row],[Unknown]]=0),1,0)</f>
        <v>0</v>
      </c>
      <c r="AD857">
        <f>IF(AND(vp.data[[#This Row],[CrudeType]]="Crude",vp.data[[#This Row],[Dens]]&gt;865,vp.data[[#This Row],[Dens]]&lt;=900,vp.data[[#This Row],[Sulf]]&gt;2,vp.data[[#This Row],[Unknown]]=0),1,0)</f>
        <v>0</v>
      </c>
      <c r="AE857">
        <f>IF(AND(vp.data[[#This Row],[CrudeType]]="Crude",vp.data[[#This Row],[Dens]]&gt;900,vp.data[[#This Row],[Sulf]]&lt;=0.5,vp.data[[#This Row],[Unknown]]=0),1,0)</f>
        <v>0</v>
      </c>
      <c r="AF857">
        <f>IF(AND(vp.data[[#This Row],[CrudeType]]="Crude",vp.data[[#This Row],[Dens]]&gt;900,vp.data[[#This Row],[Sulf]]&lt;=0.5,vp.data[[#This Row],[Unknown]]=0),1,0)</f>
        <v>0</v>
      </c>
      <c r="AG857" t="str">
        <f>INDEX(vp.data[[#Headers],[Unknown]:[Heavy_SW]],MATCH(1,vp.data[[#This Row],[Unknown]:[Heavy_SW]],0))</f>
        <v>Medium_LSB</v>
      </c>
      <c r="AH857">
        <f>INDEX([3]!crudeBD.lkup[Number],MATCH(vp.data[[#This Row],[Crude_Breakdown]],crudeBD.lkup[Crude Breakdown],0))</f>
        <v>3</v>
      </c>
      <c r="AI857">
        <f>MONTH(vp.data[[#This Row],[SDate]])</f>
        <v>2</v>
      </c>
      <c r="AJ857" s="5">
        <f>(vp.data[[#This Row],[VP]]-INDEX(crudeBD.lkup[Mean_VP],MATCH(vp.data[[#This Row],[Crude_Breakdown]],crudeBD.lkup[Crude Breakdown],0)))^2</f>
        <v>107.33630199141392</v>
      </c>
      <c r="AK857" s="5">
        <f>(vp.data[[#This Row],[Dens]]-INDEX(crudeBD.lkup[Mean_Dens],MATCH(vp.data[[#This Row],[Crude_Breakdown]],crudeBD.lkup[Crude Breakdown],0)))^2</f>
        <v>291.72640000001695</v>
      </c>
      <c r="AL857" s="5">
        <f>(vp.data[[#This Row],[Sulf]]-INDEX(crudeBD.lkup[Mean_Sulf],MATCH(vp.data[[#This Row],[Crude_Breakdown]],crudeBD.lkup[Crude Breakdown],0)))^2</f>
        <v>0.49644970794205145</v>
      </c>
      <c r="AM857" s="4">
        <f>IF(AND(vp.data[[#This Row],[SDate]]&gt;=DATE(YEAR(vp.data[[#This Row],[SDate]]),5,1),vp.data[[#This Row],[SDate]]&lt;=DATE(YEAR(vp.data[[#This Row],[SDate]]),9,15)),1,0)</f>
        <v>0</v>
      </c>
      <c r="AN857" s="4">
        <f>IF(vp.data[[#This Row],[SDate]]&lt;DATE(2016,12,1),0,1)</f>
        <v>1</v>
      </c>
      <c r="AO857" s="4">
        <f>IFERROR(vp.data[[#This Row],[Sulf]]*vp.data[[#This Row],[Net Dens]],"")</f>
        <v>238277.66885999995</v>
      </c>
      <c r="AP857">
        <f>IFERROR(vp.data[[#This Row],[Dens]]*vp.data[[#This Row],[VolumeM3]],"")</f>
        <v>114008.45399999998</v>
      </c>
      <c r="AQ857" s="15">
        <f>IFERROR(vp.data[[#This Row],[VP]]*vp.data[[#This Row],[VolumeM3]],"")</f>
        <v>12049.673999999999</v>
      </c>
    </row>
    <row r="858" spans="1:43" x14ac:dyDescent="0.25">
      <c r="A858">
        <v>857</v>
      </c>
      <c r="B858" t="s">
        <v>68</v>
      </c>
      <c r="C858" t="s">
        <v>68</v>
      </c>
      <c r="D858" t="s">
        <v>172</v>
      </c>
      <c r="F858" s="1">
        <v>42788</v>
      </c>
      <c r="G858" s="2">
        <v>70</v>
      </c>
      <c r="H858" s="2"/>
      <c r="I858" s="2">
        <f t="array" ref="I858">_xlfn.IFNA(IF(vp.data[[#This Row],[Sulf Input]]="",INDEX([1]DATA!$Q$3:$Q$9826,MATCH(1,(vp.data[[#This Row],[Battery]]=[1]DATA!$L$3:$L$9826)*(EOMONTH(vp.data[[#This Row],[SDate]],-1)+1=[1]DATA!$G$3:$G$9826),0)),vp.data[[#This Row],[Sulf Input]]),"")</f>
        <v>1.93</v>
      </c>
      <c r="J858" s="2">
        <v>23.9</v>
      </c>
      <c r="K858" s="2">
        <v>3</v>
      </c>
      <c r="L858" s="2">
        <v>864.5</v>
      </c>
      <c r="M858" s="2">
        <f t="array" ref="M858">_xlfn.IFNA(IF(vp.data[[#This Row],[Dens Input]]="",INDEX([1]DATA!$O$3:$O$9826,MATCH(1,(vp.data[[#This Row],[Battery]]=[1]DATA!$L$3:$L$9826)*(EOMONTH(vp.data[[#This Row],[SDate]],-1)+1=[1]DATA!$G$3:$G$9826),0)),vp.data[[#This Row],[Dens Input]]),"")</f>
        <v>864.5</v>
      </c>
      <c r="N858" s="2">
        <f ca="1">INDEX(INDIRECT(_xlfn.CONCAT("weather.tbl[",N$1,"]")),MATCH(vp.data[[#This Row],[SDate]],weather.tbl[Date],0))</f>
        <v>-0.85000000000000009</v>
      </c>
      <c r="O858" s="2">
        <f ca="1">INDEX(INDIRECT(_xlfn.CONCAT("weather.tbl[",O$1,"]")),MATCH(vp.data[[#This Row],[SDate]],weather.tbl[Date],0))</f>
        <v>0.97380952380952379</v>
      </c>
      <c r="P858" s="2">
        <f ca="1">INDEX(INDIRECT(_xlfn.CONCAT("weather.tbl[",P$1,"]")),MATCH(vp.data[[#This Row],[SDate]],weather.tbl[Date],0))</f>
        <v>-1.1000000000000001</v>
      </c>
      <c r="Q858" s="2">
        <f ca="1">INDEX(INDIRECT(_xlfn.CONCAT("weather.tbl[",Q$1,"]")),MATCH(vp.data[[#This Row],[SDate]],weather.tbl[Date],0))</f>
        <v>-1.5</v>
      </c>
      <c r="R858" s="2">
        <f ca="1">INDEX(INDIRECT(_xlfn.CONCAT("weather.tbl[",R$1,"]")),MATCH(vp.data[[#This Row],[SDate]],weather.tbl[Date],0))</f>
        <v>0.3</v>
      </c>
      <c r="S858" s="2">
        <f ca="1">INDEX(INDIRECT(_xlfn.CONCAT("weather.tbl[",S$1,"]")),MATCH(vp.data[[#This Row],[SDate]],weather.tbl[Date],0))</f>
        <v>-0.8</v>
      </c>
      <c r="T858" s="2">
        <f ca="1">INDEX(INDIRECT(_xlfn.CONCAT("weather.tbl[",T$1,"]")),MATCH(vp.data[[#This Row],[SDate]],weather.tbl[Date],0))</f>
        <v>0.3</v>
      </c>
      <c r="U858" s="2">
        <f ca="1">INDEX(INDIRECT(_xlfn.CONCAT("weather.tbl[",U$1,"]")),MATCH(vp.data[[#This Row],[SDate]],weather.tbl[Date],0))</f>
        <v>-2.2999999999999998</v>
      </c>
      <c r="V858" s="2">
        <f t="array" ref="V8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38.792000000000002</v>
      </c>
      <c r="W858" t="s">
        <v>48</v>
      </c>
      <c r="X858">
        <f>IF(OR(vp.data[[#This Row],[Sulf]]="",vp.data[[#This Row],[Dens]]=""),1,0)</f>
        <v>0</v>
      </c>
      <c r="Y858">
        <f>IF(vp.data[[#This Row],[CrudeType]]="C5+",1,0)</f>
        <v>0</v>
      </c>
      <c r="Z858">
        <f>IF(AND(vp.data[[#This Row],[CrudeType]]="Crude",vp.data[[#This Row],[Dens]]&lt;=825,vp.data[[#This Row],[Sulf]]&gt;0.5,vp.data[[#This Row],[Unknown]]=0),1,0)</f>
        <v>0</v>
      </c>
      <c r="AA858">
        <f>IF(AND(vp.data[[#This Row],[CrudeType]]="Crude",vp.data[[#This Row],[Dens]]&lt;=825,vp.data[[#This Row],[Sulf]]&lt;=0.5,vp.data[[#This Row],[Unknown]]=0),1,0)</f>
        <v>0</v>
      </c>
      <c r="AB8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58">
        <f>IF(AND(vp.data[[#This Row],[CrudeType]]="Crude",vp.data[[#This Row],[Dens]]&gt;825,vp.data[[#This Row],[Dens]]&lt;=900,vp.data[[#This Row],[Sulf]]&lt;=0.5,vp.data[[#This Row],[Unknown]]=0),1,0)</f>
        <v>0</v>
      </c>
      <c r="AD858">
        <f>IF(AND(vp.data[[#This Row],[CrudeType]]="Crude",vp.data[[#This Row],[Dens]]&gt;865,vp.data[[#This Row],[Dens]]&lt;=900,vp.data[[#This Row],[Sulf]]&gt;2,vp.data[[#This Row],[Unknown]]=0),1,0)</f>
        <v>0</v>
      </c>
      <c r="AE858">
        <f>IF(AND(vp.data[[#This Row],[CrudeType]]="Crude",vp.data[[#This Row],[Dens]]&gt;900,vp.data[[#This Row],[Sulf]]&lt;=0.5,vp.data[[#This Row],[Unknown]]=0),1,0)</f>
        <v>0</v>
      </c>
      <c r="AF858">
        <f>IF(AND(vp.data[[#This Row],[CrudeType]]="Crude",vp.data[[#This Row],[Dens]]&gt;900,vp.data[[#This Row],[Sulf]]&lt;=0.5,vp.data[[#This Row],[Unknown]]=0),1,0)</f>
        <v>0</v>
      </c>
      <c r="AG858" t="str">
        <f>INDEX(vp.data[[#Headers],[Unknown]:[Heavy_SW]],MATCH(1,vp.data[[#This Row],[Unknown]:[Heavy_SW]],0))</f>
        <v>Medium_LSB</v>
      </c>
      <c r="AH858">
        <f>INDEX([3]!crudeBD.lkup[Number],MATCH(vp.data[[#This Row],[Crude_Breakdown]],crudeBD.lkup[Crude Breakdown],0))</f>
        <v>3</v>
      </c>
      <c r="AI858">
        <f>MONTH(vp.data[[#This Row],[SDate]])</f>
        <v>2</v>
      </c>
      <c r="AJ858" s="5">
        <f>(vp.data[[#This Row],[VP]]-INDEX(crudeBD.lkup[Mean_VP],MATCH(vp.data[[#This Row],[Crude_Breakdown]],crudeBD.lkup[Crude Breakdown],0)))^2</f>
        <v>113.20271708575054</v>
      </c>
      <c r="AK858" s="5">
        <f>(vp.data[[#This Row],[Dens]]-INDEX(crudeBD.lkup[Mean_Dens],MATCH(vp.data[[#This Row],[Crude_Breakdown]],crudeBD.lkup[Crude Breakdown],0)))^2</f>
        <v>423.53640000002042</v>
      </c>
      <c r="AL858" s="5">
        <f>(vp.data[[#This Row],[Sulf]]-INDEX(crudeBD.lkup[Mean_Sulf],MATCH(vp.data[[#This Row],[Crude_Breakdown]],crudeBD.lkup[Crude Breakdown],0)))^2</f>
        <v>0.29658030848113559</v>
      </c>
      <c r="AM858" s="4">
        <f>IF(AND(vp.data[[#This Row],[SDate]]&gt;=DATE(YEAR(vp.data[[#This Row],[SDate]]),5,1),vp.data[[#This Row],[SDate]]&lt;=DATE(YEAR(vp.data[[#This Row],[SDate]]),9,15)),1,0)</f>
        <v>0</v>
      </c>
      <c r="AN858" s="4">
        <f>IF(vp.data[[#This Row],[SDate]]&lt;DATE(2016,12,1),0,1)</f>
        <v>1</v>
      </c>
      <c r="AO858" s="4">
        <f>IFERROR(vp.data[[#This Row],[Sulf]]*vp.data[[#This Row],[Net Dens]],"")</f>
        <v>64723.87012</v>
      </c>
      <c r="AP858">
        <f>IFERROR(vp.data[[#This Row],[Dens]]*vp.data[[#This Row],[VolumeM3]],"")</f>
        <v>33535.684000000001</v>
      </c>
      <c r="AQ858" s="15">
        <f>IFERROR(vp.data[[#This Row],[VP]]*vp.data[[#This Row],[VolumeM3]],"")</f>
        <v>2715.44</v>
      </c>
    </row>
    <row r="859" spans="1:43" x14ac:dyDescent="0.25">
      <c r="A859">
        <v>858</v>
      </c>
      <c r="B859" t="s">
        <v>46</v>
      </c>
      <c r="C859" t="s">
        <v>46</v>
      </c>
      <c r="D859" t="s">
        <v>47</v>
      </c>
      <c r="F859" s="1">
        <v>42788</v>
      </c>
      <c r="G859" s="2">
        <v>61.9</v>
      </c>
      <c r="H859" s="2"/>
      <c r="I859" s="2">
        <f t="array" ref="I859">_xlfn.IFNA(IF(vp.data[[#This Row],[Sulf Input]]="",INDEX([1]DATA!$Q$3:$Q$9826,MATCH(1,(vp.data[[#This Row],[Battery]]=[1]DATA!$L$3:$L$9826)*(EOMONTH(vp.data[[#This Row],[SDate]],-1)+1=[1]DATA!$G$3:$G$9826),0)),vp.data[[#This Row],[Sulf Input]]),"")</f>
        <v>2.39</v>
      </c>
      <c r="J859" s="2">
        <v>29.4</v>
      </c>
      <c r="K859" s="2">
        <v>3</v>
      </c>
      <c r="L859" s="2">
        <v>868.8</v>
      </c>
      <c r="M859" s="2">
        <f t="array" ref="M859">_xlfn.IFNA(IF(vp.data[[#This Row],[Dens Input]]="",INDEX([1]DATA!$O$3:$O$9826,MATCH(1,(vp.data[[#This Row],[Battery]]=[1]DATA!$L$3:$L$9826)*(EOMONTH(vp.data[[#This Row],[SDate]],-1)+1=[1]DATA!$G$3:$G$9826),0)),vp.data[[#This Row],[Dens Input]]),"")</f>
        <v>868.8</v>
      </c>
      <c r="N859" s="2">
        <f ca="1">INDEX(INDIRECT(_xlfn.CONCAT("weather.tbl[",N$1,"]")),MATCH(vp.data[[#This Row],[SDate]],weather.tbl[Date],0))</f>
        <v>-0.85000000000000009</v>
      </c>
      <c r="O859" s="2">
        <f ca="1">INDEX(INDIRECT(_xlfn.CONCAT("weather.tbl[",O$1,"]")),MATCH(vp.data[[#This Row],[SDate]],weather.tbl[Date],0))</f>
        <v>0.97380952380952379</v>
      </c>
      <c r="P859" s="2">
        <f ca="1">INDEX(INDIRECT(_xlfn.CONCAT("weather.tbl[",P$1,"]")),MATCH(vp.data[[#This Row],[SDate]],weather.tbl[Date],0))</f>
        <v>-1.1000000000000001</v>
      </c>
      <c r="Q859" s="2">
        <f ca="1">INDEX(INDIRECT(_xlfn.CONCAT("weather.tbl[",Q$1,"]")),MATCH(vp.data[[#This Row],[SDate]],weather.tbl[Date],0))</f>
        <v>-1.5</v>
      </c>
      <c r="R859" s="2">
        <f ca="1">INDEX(INDIRECT(_xlfn.CONCAT("weather.tbl[",R$1,"]")),MATCH(vp.data[[#This Row],[SDate]],weather.tbl[Date],0))</f>
        <v>0.3</v>
      </c>
      <c r="S859" s="2">
        <f ca="1">INDEX(INDIRECT(_xlfn.CONCAT("weather.tbl[",S$1,"]")),MATCH(vp.data[[#This Row],[SDate]],weather.tbl[Date],0))</f>
        <v>-0.8</v>
      </c>
      <c r="T859" s="2">
        <f ca="1">INDEX(INDIRECT(_xlfn.CONCAT("weather.tbl[",T$1,"]")),MATCH(vp.data[[#This Row],[SDate]],weather.tbl[Date],0))</f>
        <v>0.3</v>
      </c>
      <c r="U859" s="2">
        <f ca="1">INDEX(INDIRECT(_xlfn.CONCAT("weather.tbl[",U$1,"]")),MATCH(vp.data[[#This Row],[SDate]],weather.tbl[Date],0))</f>
        <v>-2.2999999999999998</v>
      </c>
      <c r="V859" s="2">
        <f t="array" ref="V8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104905.11500000001</v>
      </c>
      <c r="W859" t="s">
        <v>48</v>
      </c>
      <c r="X859">
        <f>IF(OR(vp.data[[#This Row],[Sulf]]="",vp.data[[#This Row],[Dens]]=""),1,0)</f>
        <v>0</v>
      </c>
      <c r="Y859">
        <f>IF(vp.data[[#This Row],[CrudeType]]="C5+",1,0)</f>
        <v>0</v>
      </c>
      <c r="Z859">
        <f>IF(AND(vp.data[[#This Row],[CrudeType]]="Crude",vp.data[[#This Row],[Dens]]&lt;=825,vp.data[[#This Row],[Sulf]]&gt;0.5,vp.data[[#This Row],[Unknown]]=0),1,0)</f>
        <v>0</v>
      </c>
      <c r="AA859">
        <f>IF(AND(vp.data[[#This Row],[CrudeType]]="Crude",vp.data[[#This Row],[Dens]]&lt;=825,vp.data[[#This Row],[Sulf]]&lt;=0.5,vp.data[[#This Row],[Unknown]]=0),1,0)</f>
        <v>0</v>
      </c>
      <c r="AB8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59">
        <f>IF(AND(vp.data[[#This Row],[CrudeType]]="Crude",vp.data[[#This Row],[Dens]]&gt;825,vp.data[[#This Row],[Dens]]&lt;=900,vp.data[[#This Row],[Sulf]]&lt;=0.5,vp.data[[#This Row],[Unknown]]=0),1,0)</f>
        <v>0</v>
      </c>
      <c r="AD859">
        <f>IF(AND(vp.data[[#This Row],[CrudeType]]="Crude",vp.data[[#This Row],[Dens]]&gt;865,vp.data[[#This Row],[Dens]]&lt;=900,vp.data[[#This Row],[Sulf]]&gt;2,vp.data[[#This Row],[Unknown]]=0),1,0)</f>
        <v>1</v>
      </c>
      <c r="AE859">
        <f>IF(AND(vp.data[[#This Row],[CrudeType]]="Crude",vp.data[[#This Row],[Dens]]&gt;900,vp.data[[#This Row],[Sulf]]&lt;=0.5,vp.data[[#This Row],[Unknown]]=0),1,0)</f>
        <v>0</v>
      </c>
      <c r="AF859">
        <f>IF(AND(vp.data[[#This Row],[CrudeType]]="Crude",vp.data[[#This Row],[Dens]]&gt;900,vp.data[[#This Row],[Sulf]]&lt;=0.5,vp.data[[#This Row],[Unknown]]=0),1,0)</f>
        <v>0</v>
      </c>
      <c r="AG859" t="str">
        <f>INDEX(vp.data[[#Headers],[Unknown]:[Heavy_SW]],MATCH(1,vp.data[[#This Row],[Unknown]:[Heavy_SW]],0))</f>
        <v>Midale</v>
      </c>
      <c r="AH859">
        <f>INDEX([3]!crudeBD.lkup[Number],MATCH(vp.data[[#This Row],[Crude_Breakdown]],crudeBD.lkup[Crude Breakdown],0))</f>
        <v>5</v>
      </c>
      <c r="AI859">
        <f>MONTH(vp.data[[#This Row],[SDate]])</f>
        <v>2</v>
      </c>
      <c r="AJ859" s="5">
        <f>(vp.data[[#This Row],[VP]]-INDEX(crudeBD.lkup[Mean_VP],MATCH(vp.data[[#This Row],[Crude_Breakdown]],crudeBD.lkup[Crude Breakdown],0)))^2</f>
        <v>56.381520087151095</v>
      </c>
      <c r="AK859" s="5">
        <f>(vp.data[[#This Row],[Dens]]-INDEX(crudeBD.lkup[Mean_Dens],MATCH(vp.data[[#This Row],[Crude_Breakdown]],crudeBD.lkup[Crude Breakdown],0)))^2</f>
        <v>36.204413061966193</v>
      </c>
      <c r="AL859" s="5">
        <f>(vp.data[[#This Row],[Sulf]]-INDEX(crudeBD.lkup[Mean_Sulf],MATCH(vp.data[[#This Row],[Crude_Breakdown]],crudeBD.lkup[Crude Breakdown],0)))^2</f>
        <v>2.8746290258368046E-3</v>
      </c>
      <c r="AM859" s="4">
        <f>IF(AND(vp.data[[#This Row],[SDate]]&gt;=DATE(YEAR(vp.data[[#This Row],[SDate]]),5,1),vp.data[[#This Row],[SDate]]&lt;=DATE(YEAR(vp.data[[#This Row],[SDate]]),9,15)),1,0)</f>
        <v>0</v>
      </c>
      <c r="AN859" s="4">
        <f>IF(vp.data[[#This Row],[SDate]]&lt;DATE(2016,12,1),0,1)</f>
        <v>1</v>
      </c>
      <c r="AO859" s="4">
        <f>IFERROR(vp.data[[#This Row],[Sulf]]*vp.data[[#This Row],[Net Dens]],"")</f>
        <v>217828337.74968001</v>
      </c>
      <c r="AP859">
        <f>IFERROR(vp.data[[#This Row],[Dens]]*vp.data[[#This Row],[VolumeM3]],"")</f>
        <v>91141563.912</v>
      </c>
      <c r="AQ859" s="15">
        <f>IFERROR(vp.data[[#This Row],[VP]]*vp.data[[#This Row],[VolumeM3]],"")</f>
        <v>6493626.6184999999</v>
      </c>
    </row>
    <row r="860" spans="1:43" x14ac:dyDescent="0.25">
      <c r="A860">
        <v>859</v>
      </c>
      <c r="B860" t="s">
        <v>134</v>
      </c>
      <c r="C860" t="s">
        <v>134</v>
      </c>
      <c r="D860" t="s">
        <v>135</v>
      </c>
      <c r="F860" s="1">
        <v>42788</v>
      </c>
      <c r="G860" s="2">
        <v>73.599999999999994</v>
      </c>
      <c r="H860" s="2"/>
      <c r="I860" s="2">
        <f t="array" ref="I860">_xlfn.IFNA(IF(vp.data[[#This Row],[Sulf Input]]="",INDEX([1]DATA!$Q$3:$Q$9826,MATCH(1,(vp.data[[#This Row],[Battery]]=[1]DATA!$L$3:$L$9826)*(EOMONTH(vp.data[[#This Row],[SDate]],-1)+1=[1]DATA!$G$3:$G$9826),0)),vp.data[[#This Row],[Sulf Input]]),"")</f>
        <v>2.3199999999999998</v>
      </c>
      <c r="J860" s="2">
        <v>12.6</v>
      </c>
      <c r="K860" s="2">
        <v>3</v>
      </c>
      <c r="L860" s="2">
        <v>870.4</v>
      </c>
      <c r="M860" s="2">
        <f t="array" ref="M860">_xlfn.IFNA(IF(vp.data[[#This Row],[Dens Input]]="",INDEX([1]DATA!$O$3:$O$9826,MATCH(1,(vp.data[[#This Row],[Battery]]=[1]DATA!$L$3:$L$9826)*(EOMONTH(vp.data[[#This Row],[SDate]],-1)+1=[1]DATA!$G$3:$G$9826),0)),vp.data[[#This Row],[Dens Input]]),"")</f>
        <v>870.4</v>
      </c>
      <c r="N860" s="2">
        <f ca="1">INDEX(INDIRECT(_xlfn.CONCAT("weather.tbl[",N$1,"]")),MATCH(vp.data[[#This Row],[SDate]],weather.tbl[Date],0))</f>
        <v>-0.85000000000000009</v>
      </c>
      <c r="O860" s="2">
        <f ca="1">INDEX(INDIRECT(_xlfn.CONCAT("weather.tbl[",O$1,"]")),MATCH(vp.data[[#This Row],[SDate]],weather.tbl[Date],0))</f>
        <v>0.97380952380952379</v>
      </c>
      <c r="P860" s="2">
        <f ca="1">INDEX(INDIRECT(_xlfn.CONCAT("weather.tbl[",P$1,"]")),MATCH(vp.data[[#This Row],[SDate]],weather.tbl[Date],0))</f>
        <v>-1.1000000000000001</v>
      </c>
      <c r="Q860" s="2">
        <f ca="1">INDEX(INDIRECT(_xlfn.CONCAT("weather.tbl[",Q$1,"]")),MATCH(vp.data[[#This Row],[SDate]],weather.tbl[Date],0))</f>
        <v>-1.5</v>
      </c>
      <c r="R860" s="2">
        <f ca="1">INDEX(INDIRECT(_xlfn.CONCAT("weather.tbl[",R$1,"]")),MATCH(vp.data[[#This Row],[SDate]],weather.tbl[Date],0))</f>
        <v>0.3</v>
      </c>
      <c r="S860" s="2">
        <f ca="1">INDEX(INDIRECT(_xlfn.CONCAT("weather.tbl[",S$1,"]")),MATCH(vp.data[[#This Row],[SDate]],weather.tbl[Date],0))</f>
        <v>-0.8</v>
      </c>
      <c r="T860" s="2">
        <f ca="1">INDEX(INDIRECT(_xlfn.CONCAT("weather.tbl[",T$1,"]")),MATCH(vp.data[[#This Row],[SDate]],weather.tbl[Date],0))</f>
        <v>0.3</v>
      </c>
      <c r="U860" s="2">
        <f ca="1">INDEX(INDIRECT(_xlfn.CONCAT("weather.tbl[",U$1,"]")),MATCH(vp.data[[#This Row],[SDate]],weather.tbl[Date],0))</f>
        <v>-2.2999999999999998</v>
      </c>
      <c r="V860" s="2">
        <f t="array" ref="V8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266.18799999999999</v>
      </c>
      <c r="W860" t="s">
        <v>48</v>
      </c>
      <c r="X860">
        <f>IF(OR(vp.data[[#This Row],[Sulf]]="",vp.data[[#This Row],[Dens]]=""),1,0)</f>
        <v>0</v>
      </c>
      <c r="Y860">
        <f>IF(vp.data[[#This Row],[CrudeType]]="C5+",1,0)</f>
        <v>0</v>
      </c>
      <c r="Z860">
        <f>IF(AND(vp.data[[#This Row],[CrudeType]]="Crude",vp.data[[#This Row],[Dens]]&lt;=825,vp.data[[#This Row],[Sulf]]&gt;0.5,vp.data[[#This Row],[Unknown]]=0),1,0)</f>
        <v>0</v>
      </c>
      <c r="AA860">
        <f>IF(AND(vp.data[[#This Row],[CrudeType]]="Crude",vp.data[[#This Row],[Dens]]&lt;=825,vp.data[[#This Row],[Sulf]]&lt;=0.5,vp.data[[#This Row],[Unknown]]=0),1,0)</f>
        <v>0</v>
      </c>
      <c r="AB8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60">
        <f>IF(AND(vp.data[[#This Row],[CrudeType]]="Crude",vp.data[[#This Row],[Dens]]&gt;825,vp.data[[#This Row],[Dens]]&lt;=900,vp.data[[#This Row],[Sulf]]&lt;=0.5,vp.data[[#This Row],[Unknown]]=0),1,0)</f>
        <v>0</v>
      </c>
      <c r="AD860">
        <f>IF(AND(vp.data[[#This Row],[CrudeType]]="Crude",vp.data[[#This Row],[Dens]]&gt;865,vp.data[[#This Row],[Dens]]&lt;=900,vp.data[[#This Row],[Sulf]]&gt;2,vp.data[[#This Row],[Unknown]]=0),1,0)</f>
        <v>1</v>
      </c>
      <c r="AE860">
        <f>IF(AND(vp.data[[#This Row],[CrudeType]]="Crude",vp.data[[#This Row],[Dens]]&gt;900,vp.data[[#This Row],[Sulf]]&lt;=0.5,vp.data[[#This Row],[Unknown]]=0),1,0)</f>
        <v>0</v>
      </c>
      <c r="AF860">
        <f>IF(AND(vp.data[[#This Row],[CrudeType]]="Crude",vp.data[[#This Row],[Dens]]&gt;900,vp.data[[#This Row],[Sulf]]&lt;=0.5,vp.data[[#This Row],[Unknown]]=0),1,0)</f>
        <v>0</v>
      </c>
      <c r="AG860" t="str">
        <f>INDEX(vp.data[[#Headers],[Unknown]:[Heavy_SW]],MATCH(1,vp.data[[#This Row],[Unknown]:[Heavy_SW]],0))</f>
        <v>Midale</v>
      </c>
      <c r="AH860">
        <f>INDEX([3]!crudeBD.lkup[Number],MATCH(vp.data[[#This Row],[Crude_Breakdown]],crudeBD.lkup[Crude Breakdown],0))</f>
        <v>5</v>
      </c>
      <c r="AI860">
        <f>MONTH(vp.data[[#This Row],[SDate]])</f>
        <v>2</v>
      </c>
      <c r="AJ860" s="5">
        <f>(vp.data[[#This Row],[VP]]-INDEX(crudeBD.lkup[Mean_VP],MATCH(vp.data[[#This Row],[Crude_Breakdown]],crudeBD.lkup[Crude Breakdown],0)))^2</f>
        <v>17.566468540758535</v>
      </c>
      <c r="AK860" s="5">
        <f>(vp.data[[#This Row],[Dens]]-INDEX(crudeBD.lkup[Mean_Dens],MATCH(vp.data[[#This Row],[Crude_Breakdown]],crudeBD.lkup[Crude Breakdown],0)))^2</f>
        <v>19.509980072274143</v>
      </c>
      <c r="AL860" s="5">
        <f>(vp.data[[#This Row],[Sulf]]-INDEX(crudeBD.lkup[Mean_Sulf],MATCH(vp.data[[#This Row],[Crude_Breakdown]],crudeBD.lkup[Crude Breakdown],0)))^2</f>
        <v>1.5280808407279965E-2</v>
      </c>
      <c r="AM860" s="4">
        <f>IF(AND(vp.data[[#This Row],[SDate]]&gt;=DATE(YEAR(vp.data[[#This Row],[SDate]]),5,1),vp.data[[#This Row],[SDate]]&lt;=DATE(YEAR(vp.data[[#This Row],[SDate]]),9,15)),1,0)</f>
        <v>0</v>
      </c>
      <c r="AN860" s="4">
        <f>IF(vp.data[[#This Row],[SDate]]&lt;DATE(2016,12,1),0,1)</f>
        <v>1</v>
      </c>
      <c r="AO860" s="4">
        <f>IFERROR(vp.data[[#This Row],[Sulf]]*vp.data[[#This Row],[Net Dens]],"")</f>
        <v>537520.88166399987</v>
      </c>
      <c r="AP860">
        <f>IFERROR(vp.data[[#This Row],[Dens]]*vp.data[[#This Row],[VolumeM3]],"")</f>
        <v>231690.03519999998</v>
      </c>
      <c r="AQ860" s="15">
        <f>IFERROR(vp.data[[#This Row],[VP]]*vp.data[[#This Row],[VolumeM3]],"")</f>
        <v>19591.436799999996</v>
      </c>
    </row>
    <row r="861" spans="1:43" x14ac:dyDescent="0.25">
      <c r="A861">
        <v>860</v>
      </c>
      <c r="B861" t="s">
        <v>49</v>
      </c>
      <c r="C861" t="s">
        <v>49</v>
      </c>
      <c r="D861" t="s">
        <v>78</v>
      </c>
      <c r="F861" s="1">
        <v>42789</v>
      </c>
      <c r="G861" s="2">
        <v>70.099999999999994</v>
      </c>
      <c r="H861" s="2">
        <v>0.21199999999999999</v>
      </c>
      <c r="I861" s="2">
        <f t="array" ref="I861">_xlfn.IFNA(IF(vp.data[[#This Row],[Sulf Input]]="",INDEX([1]DATA!$Q$3:$Q$9826,MATCH(1,(vp.data[[#This Row],[Battery]]=[1]DATA!$L$3:$L$9826)*(EOMONTH(vp.data[[#This Row],[SDate]],-1)+1=[1]DATA!$G$3:$G$9826),0)),vp.data[[#This Row],[Sulf Input]]),"")</f>
        <v>0.21199999999999999</v>
      </c>
      <c r="J861" s="2">
        <v>4.5</v>
      </c>
      <c r="K861" s="2">
        <v>-1</v>
      </c>
      <c r="L861" s="2">
        <v>804.1</v>
      </c>
      <c r="M861" s="2">
        <f t="array" ref="M861">_xlfn.IFNA(IF(vp.data[[#This Row],[Dens Input]]="",INDEX([1]DATA!$O$3:$O$9826,MATCH(1,(vp.data[[#This Row],[Battery]]=[1]DATA!$L$3:$L$9826)*(EOMONTH(vp.data[[#This Row],[SDate]],-1)+1=[1]DATA!$G$3:$G$9826),0)),vp.data[[#This Row],[Dens Input]]),"")</f>
        <v>804.1</v>
      </c>
      <c r="N861" s="2">
        <f ca="1">INDEX(INDIRECT(_xlfn.CONCAT("weather.tbl[",N$1,"]")),MATCH(vp.data[[#This Row],[SDate]],weather.tbl[Date],0))</f>
        <v>-4.083333333333333</v>
      </c>
      <c r="O861" s="2">
        <f ca="1">INDEX(INDIRECT(_xlfn.CONCAT("weather.tbl[",O$1,"]")),MATCH(vp.data[[#This Row],[SDate]],weather.tbl[Date],0))</f>
        <v>-1.1904761904761862E-2</v>
      </c>
      <c r="P861" s="2">
        <f ca="1">INDEX(INDIRECT(_xlfn.CONCAT("weather.tbl[",P$1,"]")),MATCH(vp.data[[#This Row],[SDate]],weather.tbl[Date],0))</f>
        <v>-3.5</v>
      </c>
      <c r="Q861" s="2">
        <f ca="1">INDEX(INDIRECT(_xlfn.CONCAT("weather.tbl[",Q$1,"]")),MATCH(vp.data[[#This Row],[SDate]],weather.tbl[Date],0))</f>
        <v>-3.5</v>
      </c>
      <c r="R861" s="2">
        <f ca="1">INDEX(INDIRECT(_xlfn.CONCAT("weather.tbl[",R$1,"]")),MATCH(vp.data[[#This Row],[SDate]],weather.tbl[Date],0))</f>
        <v>-4.5</v>
      </c>
      <c r="S861" s="2">
        <f ca="1">INDEX(INDIRECT(_xlfn.CONCAT("weather.tbl[",S$1,"]")),MATCH(vp.data[[#This Row],[SDate]],weather.tbl[Date],0))</f>
        <v>-3.4</v>
      </c>
      <c r="T861" s="2">
        <f ca="1">INDEX(INDIRECT(_xlfn.CONCAT("weather.tbl[",T$1,"]")),MATCH(vp.data[[#This Row],[SDate]],weather.tbl[Date],0))</f>
        <v>-3.6</v>
      </c>
      <c r="U861" s="2">
        <f ca="1">INDEX(INDIRECT(_xlfn.CONCAT("weather.tbl[",U$1,"]")),MATCH(vp.data[[#This Row],[SDate]],weather.tbl[Date],0))</f>
        <v>-6</v>
      </c>
      <c r="V861" s="2">
        <f t="array" ref="V8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17200.881000000001</v>
      </c>
      <c r="W861" t="s">
        <v>48</v>
      </c>
      <c r="X861">
        <f>IF(OR(vp.data[[#This Row],[Sulf]]="",vp.data[[#This Row],[Dens]]=""),1,0)</f>
        <v>0</v>
      </c>
      <c r="Y861">
        <f>IF(vp.data[[#This Row],[CrudeType]]="C5+",1,0)</f>
        <v>0</v>
      </c>
      <c r="Z861">
        <f>IF(AND(vp.data[[#This Row],[CrudeType]]="Crude",vp.data[[#This Row],[Dens]]&lt;=825,vp.data[[#This Row],[Sulf]]&gt;0.5,vp.data[[#This Row],[Unknown]]=0),1,0)</f>
        <v>0</v>
      </c>
      <c r="AA861">
        <f>IF(AND(vp.data[[#This Row],[CrudeType]]="Crude",vp.data[[#This Row],[Dens]]&lt;=825,vp.data[[#This Row],[Sulf]]&lt;=0.5,vp.data[[#This Row],[Unknown]]=0),1,0)</f>
        <v>1</v>
      </c>
      <c r="AB8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61">
        <f>IF(AND(vp.data[[#This Row],[CrudeType]]="Crude",vp.data[[#This Row],[Dens]]&gt;825,vp.data[[#This Row],[Dens]]&lt;=900,vp.data[[#This Row],[Sulf]]&lt;=0.5,vp.data[[#This Row],[Unknown]]=0),1,0)</f>
        <v>0</v>
      </c>
      <c r="AD861">
        <f>IF(AND(vp.data[[#This Row],[CrudeType]]="Crude",vp.data[[#This Row],[Dens]]&gt;865,vp.data[[#This Row],[Dens]]&lt;=900,vp.data[[#This Row],[Sulf]]&gt;2,vp.data[[#This Row],[Unknown]]=0),1,0)</f>
        <v>0</v>
      </c>
      <c r="AE861">
        <f>IF(AND(vp.data[[#This Row],[CrudeType]]="Crude",vp.data[[#This Row],[Dens]]&gt;900,vp.data[[#This Row],[Sulf]]&lt;=0.5,vp.data[[#This Row],[Unknown]]=0),1,0)</f>
        <v>0</v>
      </c>
      <c r="AF861">
        <f>IF(AND(vp.data[[#This Row],[CrudeType]]="Crude",vp.data[[#This Row],[Dens]]&gt;900,vp.data[[#This Row],[Sulf]]&lt;=0.5,vp.data[[#This Row],[Unknown]]=0),1,0)</f>
        <v>0</v>
      </c>
      <c r="AG861" t="str">
        <f>INDEX(vp.data[[#Headers],[Unknown]:[Heavy_SW]],MATCH(1,vp.data[[#This Row],[Unknown]:[Heavy_SW]],0))</f>
        <v>Light_SW</v>
      </c>
      <c r="AH861">
        <f>INDEX([3]!crudeBD.lkup[Number],MATCH(vp.data[[#This Row],[Crude_Breakdown]],crudeBD.lkup[Crude Breakdown],0))</f>
        <v>2</v>
      </c>
      <c r="AI861">
        <f>MONTH(vp.data[[#This Row],[SDate]])</f>
        <v>2</v>
      </c>
      <c r="AJ861" s="5">
        <f>(vp.data[[#This Row],[VP]]-INDEX(crudeBD.lkup[Mean_VP],MATCH(vp.data[[#This Row],[Crude_Breakdown]],crudeBD.lkup[Crude Breakdown],0)))^2</f>
        <v>504.01658023770972</v>
      </c>
      <c r="AK861" s="5">
        <f>(vp.data[[#This Row],[Dens]]-INDEX(crudeBD.lkup[Mean_Dens],MATCH(vp.data[[#This Row],[Crude_Breakdown]],crudeBD.lkup[Crude Breakdown],0)))^2</f>
        <v>17.736717575784976</v>
      </c>
      <c r="AL861" s="5">
        <f>(vp.data[[#This Row],[Sulf]]-INDEX(crudeBD.lkup[Mean_Sulf],MATCH(vp.data[[#This Row],[Crude_Breakdown]],crudeBD.lkup[Crude Breakdown],0)))^2</f>
        <v>5.8766544161030737E-4</v>
      </c>
      <c r="AM861" s="4">
        <f>IF(AND(vp.data[[#This Row],[SDate]]&gt;=DATE(YEAR(vp.data[[#This Row],[SDate]]),5,1),vp.data[[#This Row],[SDate]]&lt;=DATE(YEAR(vp.data[[#This Row],[SDate]]),9,15)),1,0)</f>
        <v>0</v>
      </c>
      <c r="AN861" s="4">
        <f>IF(vp.data[[#This Row],[SDate]]&lt;DATE(2016,12,1),0,1)</f>
        <v>1</v>
      </c>
      <c r="AO861" s="4">
        <f>IFERROR(vp.data[[#This Row],[Sulf]]*vp.data[[#This Row],[Net Dens]],"")</f>
        <v>2932220.4233652004</v>
      </c>
      <c r="AP861">
        <f>IFERROR(vp.data[[#This Row],[Dens]]*vp.data[[#This Row],[VolumeM3]],"")</f>
        <v>13831228.412100002</v>
      </c>
      <c r="AQ861" s="15">
        <f>IFERROR(vp.data[[#This Row],[VP]]*vp.data[[#This Row],[VolumeM3]],"")</f>
        <v>1205781.7581</v>
      </c>
    </row>
    <row r="862" spans="1:43" x14ac:dyDescent="0.25">
      <c r="A862">
        <v>861</v>
      </c>
      <c r="B862" t="s">
        <v>49</v>
      </c>
      <c r="C862" t="s">
        <v>49</v>
      </c>
      <c r="D862" t="s">
        <v>92</v>
      </c>
      <c r="F862" s="1">
        <v>42789</v>
      </c>
      <c r="G862" s="2">
        <v>90.6</v>
      </c>
      <c r="H862" s="2">
        <v>0.39300000000000002</v>
      </c>
      <c r="I862" s="2">
        <f t="array" ref="I862">_xlfn.IFNA(IF(vp.data[[#This Row],[Sulf Input]]="",INDEX([1]DATA!$Q$3:$Q$9826,MATCH(1,(vp.data[[#This Row],[Battery]]=[1]DATA!$L$3:$L$9826)*(EOMONTH(vp.data[[#This Row],[SDate]],-1)+1=[1]DATA!$G$3:$G$9826),0)),vp.data[[#This Row],[Sulf Input]]),"")</f>
        <v>0.39300000000000002</v>
      </c>
      <c r="J862" s="2">
        <v>16.7</v>
      </c>
      <c r="K862" s="2">
        <v>-1</v>
      </c>
      <c r="L862" s="2">
        <v>811.2</v>
      </c>
      <c r="M862" s="2">
        <f t="array" ref="M862">_xlfn.IFNA(IF(vp.data[[#This Row],[Dens Input]]="",INDEX([1]DATA!$O$3:$O$9826,MATCH(1,(vp.data[[#This Row],[Battery]]=[1]DATA!$L$3:$L$9826)*(EOMONTH(vp.data[[#This Row],[SDate]],-1)+1=[1]DATA!$G$3:$G$9826),0)),vp.data[[#This Row],[Dens Input]]),"")</f>
        <v>811.2</v>
      </c>
      <c r="N862" s="2">
        <f ca="1">INDEX(INDIRECT(_xlfn.CONCAT("weather.tbl[",N$1,"]")),MATCH(vp.data[[#This Row],[SDate]],weather.tbl[Date],0))</f>
        <v>-4.083333333333333</v>
      </c>
      <c r="O862" s="2">
        <f ca="1">INDEX(INDIRECT(_xlfn.CONCAT("weather.tbl[",O$1,"]")),MATCH(vp.data[[#This Row],[SDate]],weather.tbl[Date],0))</f>
        <v>-1.1904761904761862E-2</v>
      </c>
      <c r="P862" s="2">
        <f ca="1">INDEX(INDIRECT(_xlfn.CONCAT("weather.tbl[",P$1,"]")),MATCH(vp.data[[#This Row],[SDate]],weather.tbl[Date],0))</f>
        <v>-3.5</v>
      </c>
      <c r="Q862" s="2">
        <f ca="1">INDEX(INDIRECT(_xlfn.CONCAT("weather.tbl[",Q$1,"]")),MATCH(vp.data[[#This Row],[SDate]],weather.tbl[Date],0))</f>
        <v>-3.5</v>
      </c>
      <c r="R862" s="2">
        <f ca="1">INDEX(INDIRECT(_xlfn.CONCAT("weather.tbl[",R$1,"]")),MATCH(vp.data[[#This Row],[SDate]],weather.tbl[Date],0))</f>
        <v>-4.5</v>
      </c>
      <c r="S862" s="2">
        <f ca="1">INDEX(INDIRECT(_xlfn.CONCAT("weather.tbl[",S$1,"]")),MATCH(vp.data[[#This Row],[SDate]],weather.tbl[Date],0))</f>
        <v>-3.4</v>
      </c>
      <c r="T862" s="2">
        <f ca="1">INDEX(INDIRECT(_xlfn.CONCAT("weather.tbl[",T$1,"]")),MATCH(vp.data[[#This Row],[SDate]],weather.tbl[Date],0))</f>
        <v>-3.6</v>
      </c>
      <c r="U862" s="2">
        <f ca="1">INDEX(INDIRECT(_xlfn.CONCAT("weather.tbl[",U$1,"]")),MATCH(vp.data[[#This Row],[SDate]],weather.tbl[Date],0))</f>
        <v>-6</v>
      </c>
      <c r="V862" s="2">
        <f t="array" ref="V8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20149.223999999998</v>
      </c>
      <c r="W862" t="s">
        <v>48</v>
      </c>
      <c r="X862">
        <f>IF(OR(vp.data[[#This Row],[Sulf]]="",vp.data[[#This Row],[Dens]]=""),1,0)</f>
        <v>0</v>
      </c>
      <c r="Y862">
        <f>IF(vp.data[[#This Row],[CrudeType]]="C5+",1,0)</f>
        <v>0</v>
      </c>
      <c r="Z862">
        <f>IF(AND(vp.data[[#This Row],[CrudeType]]="Crude",vp.data[[#This Row],[Dens]]&lt;=825,vp.data[[#This Row],[Sulf]]&gt;0.5,vp.data[[#This Row],[Unknown]]=0),1,0)</f>
        <v>0</v>
      </c>
      <c r="AA862">
        <f>IF(AND(vp.data[[#This Row],[CrudeType]]="Crude",vp.data[[#This Row],[Dens]]&lt;=825,vp.data[[#This Row],[Sulf]]&lt;=0.5,vp.data[[#This Row],[Unknown]]=0),1,0)</f>
        <v>1</v>
      </c>
      <c r="AB8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62">
        <f>IF(AND(vp.data[[#This Row],[CrudeType]]="Crude",vp.data[[#This Row],[Dens]]&gt;825,vp.data[[#This Row],[Dens]]&lt;=900,vp.data[[#This Row],[Sulf]]&lt;=0.5,vp.data[[#This Row],[Unknown]]=0),1,0)</f>
        <v>0</v>
      </c>
      <c r="AD862">
        <f>IF(AND(vp.data[[#This Row],[CrudeType]]="Crude",vp.data[[#This Row],[Dens]]&gt;865,vp.data[[#This Row],[Dens]]&lt;=900,vp.data[[#This Row],[Sulf]]&gt;2,vp.data[[#This Row],[Unknown]]=0),1,0)</f>
        <v>0</v>
      </c>
      <c r="AE862">
        <f>IF(AND(vp.data[[#This Row],[CrudeType]]="Crude",vp.data[[#This Row],[Dens]]&gt;900,vp.data[[#This Row],[Sulf]]&lt;=0.5,vp.data[[#This Row],[Unknown]]=0),1,0)</f>
        <v>0</v>
      </c>
      <c r="AF862">
        <f>IF(AND(vp.data[[#This Row],[CrudeType]]="Crude",vp.data[[#This Row],[Dens]]&gt;900,vp.data[[#This Row],[Sulf]]&lt;=0.5,vp.data[[#This Row],[Unknown]]=0),1,0)</f>
        <v>0</v>
      </c>
      <c r="AG862" t="str">
        <f>INDEX(vp.data[[#Headers],[Unknown]:[Heavy_SW]],MATCH(1,vp.data[[#This Row],[Unknown]:[Heavy_SW]],0))</f>
        <v>Light_SW</v>
      </c>
      <c r="AH862">
        <f>INDEX([3]!crudeBD.lkup[Number],MATCH(vp.data[[#This Row],[Crude_Breakdown]],crudeBD.lkup[Crude Breakdown],0))</f>
        <v>2</v>
      </c>
      <c r="AI862">
        <f>MONTH(vp.data[[#This Row],[SDate]])</f>
        <v>2</v>
      </c>
      <c r="AJ862" s="5">
        <f>(vp.data[[#This Row],[VP]]-INDEX(crudeBD.lkup[Mean_VP],MATCH(vp.data[[#This Row],[Crude_Breakdown]],crudeBD.lkup[Crude Breakdown],0)))^2</f>
        <v>3.8037230948535536</v>
      </c>
      <c r="AK862" s="5">
        <f>(vp.data[[#This Row],[Dens]]-INDEX(crudeBD.lkup[Mean_Dens],MATCH(vp.data[[#This Row],[Crude_Breakdown]],crudeBD.lkup[Crude Breakdown],0)))^2</f>
        <v>8.3434423144644896</v>
      </c>
      <c r="AL862" s="5">
        <f>(vp.data[[#This Row],[Sulf]]-INDEX(crudeBD.lkup[Mean_Sulf],MATCH(vp.data[[#This Row],[Crude_Breakdown]],crudeBD.lkup[Crude Breakdown],0)))^2</f>
        <v>2.4573129553108624E-2</v>
      </c>
      <c r="AM862" s="4">
        <f>IF(AND(vp.data[[#This Row],[SDate]]&gt;=DATE(YEAR(vp.data[[#This Row],[SDate]]),5,1),vp.data[[#This Row],[SDate]]&lt;=DATE(YEAR(vp.data[[#This Row],[SDate]]),9,15)),1,0)</f>
        <v>0</v>
      </c>
      <c r="AN862" s="4">
        <f>IF(vp.data[[#This Row],[SDate]]&lt;DATE(2016,12,1),0,1)</f>
        <v>1</v>
      </c>
      <c r="AO862" s="4">
        <f>IFERROR(vp.data[[#This Row],[Sulf]]*vp.data[[#This Row],[Net Dens]],"")</f>
        <v>6423604.8499584002</v>
      </c>
      <c r="AP862">
        <f>IFERROR(vp.data[[#This Row],[Dens]]*vp.data[[#This Row],[VolumeM3]],"")</f>
        <v>16345050.5088</v>
      </c>
      <c r="AQ862" s="15">
        <f>IFERROR(vp.data[[#This Row],[VP]]*vp.data[[#This Row],[VolumeM3]],"")</f>
        <v>1825519.6943999997</v>
      </c>
    </row>
    <row r="863" spans="1:43" x14ac:dyDescent="0.25">
      <c r="A863">
        <v>862</v>
      </c>
      <c r="B863" t="s">
        <v>49</v>
      </c>
      <c r="C863" t="s">
        <v>49</v>
      </c>
      <c r="D863" t="s">
        <v>81</v>
      </c>
      <c r="F863" s="1">
        <v>42789</v>
      </c>
      <c r="G863" s="2">
        <v>91.1</v>
      </c>
      <c r="H863" s="2">
        <v>0.53600000000000003</v>
      </c>
      <c r="I863" s="2">
        <f t="array" ref="I863">_xlfn.IFNA(IF(vp.data[[#This Row],[Sulf Input]]="",INDEX([1]DATA!$Q$3:$Q$9826,MATCH(1,(vp.data[[#This Row],[Battery]]=[1]DATA!$L$3:$L$9826)*(EOMONTH(vp.data[[#This Row],[SDate]],-1)+1=[1]DATA!$G$3:$G$9826),0)),vp.data[[#This Row],[Sulf Input]]),"")</f>
        <v>0.53600000000000003</v>
      </c>
      <c r="J863" s="2">
        <v>5</v>
      </c>
      <c r="K863" s="2">
        <v>-1</v>
      </c>
      <c r="L863" s="2">
        <v>806.7</v>
      </c>
      <c r="M863" s="2">
        <f t="array" ref="M863">_xlfn.IFNA(IF(vp.data[[#This Row],[Dens Input]]="",INDEX([1]DATA!$O$3:$O$9826,MATCH(1,(vp.data[[#This Row],[Battery]]=[1]DATA!$L$3:$L$9826)*(EOMONTH(vp.data[[#This Row],[SDate]],-1)+1=[1]DATA!$G$3:$G$9826),0)),vp.data[[#This Row],[Dens Input]]),"")</f>
        <v>806.7</v>
      </c>
      <c r="N863" s="2">
        <f ca="1">INDEX(INDIRECT(_xlfn.CONCAT("weather.tbl[",N$1,"]")),MATCH(vp.data[[#This Row],[SDate]],weather.tbl[Date],0))</f>
        <v>-4.083333333333333</v>
      </c>
      <c r="O863" s="2">
        <f ca="1">INDEX(INDIRECT(_xlfn.CONCAT("weather.tbl[",O$1,"]")),MATCH(vp.data[[#This Row],[SDate]],weather.tbl[Date],0))</f>
        <v>-1.1904761904761862E-2</v>
      </c>
      <c r="P863" s="2">
        <f ca="1">INDEX(INDIRECT(_xlfn.CONCAT("weather.tbl[",P$1,"]")),MATCH(vp.data[[#This Row],[SDate]],weather.tbl[Date],0))</f>
        <v>-3.5</v>
      </c>
      <c r="Q863" s="2">
        <f ca="1">INDEX(INDIRECT(_xlfn.CONCAT("weather.tbl[",Q$1,"]")),MATCH(vp.data[[#This Row],[SDate]],weather.tbl[Date],0))</f>
        <v>-3.5</v>
      </c>
      <c r="R863" s="2">
        <f ca="1">INDEX(INDIRECT(_xlfn.CONCAT("weather.tbl[",R$1,"]")),MATCH(vp.data[[#This Row],[SDate]],weather.tbl[Date],0))</f>
        <v>-4.5</v>
      </c>
      <c r="S863" s="2">
        <f ca="1">INDEX(INDIRECT(_xlfn.CONCAT("weather.tbl[",S$1,"]")),MATCH(vp.data[[#This Row],[SDate]],weather.tbl[Date],0))</f>
        <v>-3.4</v>
      </c>
      <c r="T863" s="2">
        <f ca="1">INDEX(INDIRECT(_xlfn.CONCAT("weather.tbl[",T$1,"]")),MATCH(vp.data[[#This Row],[SDate]],weather.tbl[Date],0))</f>
        <v>-3.6</v>
      </c>
      <c r="U863" s="2">
        <f ca="1">INDEX(INDIRECT(_xlfn.CONCAT("weather.tbl[",U$1,"]")),MATCH(vp.data[[#This Row],[SDate]],weather.tbl[Date],0))</f>
        <v>-6</v>
      </c>
      <c r="V863" s="2">
        <f t="array" ref="V8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20596.550999999999</v>
      </c>
      <c r="W863" t="s">
        <v>48</v>
      </c>
      <c r="X863">
        <f>IF(OR(vp.data[[#This Row],[Sulf]]="",vp.data[[#This Row],[Dens]]=""),1,0)</f>
        <v>0</v>
      </c>
      <c r="Y863">
        <f>IF(vp.data[[#This Row],[CrudeType]]="C5+",1,0)</f>
        <v>0</v>
      </c>
      <c r="Z863">
        <f>IF(AND(vp.data[[#This Row],[CrudeType]]="Crude",vp.data[[#This Row],[Dens]]&lt;=825,vp.data[[#This Row],[Sulf]]&gt;0.5,vp.data[[#This Row],[Unknown]]=0),1,0)</f>
        <v>1</v>
      </c>
      <c r="AA863">
        <f>IF(AND(vp.data[[#This Row],[CrudeType]]="Crude",vp.data[[#This Row],[Dens]]&lt;=825,vp.data[[#This Row],[Sulf]]&lt;=0.5,vp.data[[#This Row],[Unknown]]=0),1,0)</f>
        <v>0</v>
      </c>
      <c r="AB8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63">
        <f>IF(AND(vp.data[[#This Row],[CrudeType]]="Crude",vp.data[[#This Row],[Dens]]&gt;825,vp.data[[#This Row],[Dens]]&lt;=900,vp.data[[#This Row],[Sulf]]&lt;=0.5,vp.data[[#This Row],[Unknown]]=0),1,0)</f>
        <v>0</v>
      </c>
      <c r="AD863">
        <f>IF(AND(vp.data[[#This Row],[CrudeType]]="Crude",vp.data[[#This Row],[Dens]]&gt;865,vp.data[[#This Row],[Dens]]&lt;=900,vp.data[[#This Row],[Sulf]]&gt;2,vp.data[[#This Row],[Unknown]]=0),1,0)</f>
        <v>0</v>
      </c>
      <c r="AE863">
        <f>IF(AND(vp.data[[#This Row],[CrudeType]]="Crude",vp.data[[#This Row],[Dens]]&gt;900,vp.data[[#This Row],[Sulf]]&lt;=0.5,vp.data[[#This Row],[Unknown]]=0),1,0)</f>
        <v>0</v>
      </c>
      <c r="AF863">
        <f>IF(AND(vp.data[[#This Row],[CrudeType]]="Crude",vp.data[[#This Row],[Dens]]&gt;900,vp.data[[#This Row],[Sulf]]&lt;=0.5,vp.data[[#This Row],[Unknown]]=0),1,0)</f>
        <v>0</v>
      </c>
      <c r="AG863" t="str">
        <f>INDEX(vp.data[[#Headers],[Unknown]:[Heavy_SW]],MATCH(1,vp.data[[#This Row],[Unknown]:[Heavy_SW]],0))</f>
        <v>Light_LSB</v>
      </c>
      <c r="AH863">
        <f>INDEX([3]!crudeBD.lkup[Number],MATCH(vp.data[[#This Row],[Crude_Breakdown]],crudeBD.lkup[Crude Breakdown],0))</f>
        <v>1</v>
      </c>
      <c r="AI863">
        <f>MONTH(vp.data[[#This Row],[SDate]])</f>
        <v>2</v>
      </c>
      <c r="AJ863" s="5">
        <f>(vp.data[[#This Row],[VP]]-INDEX(crudeBD.lkup[Mean_VP],MATCH(vp.data[[#This Row],[Crude_Breakdown]],crudeBD.lkup[Crude Breakdown],0)))^2</f>
        <v>0.19908156020834403</v>
      </c>
      <c r="AK863" s="5">
        <f>(vp.data[[#This Row],[Dens]]-INDEX(crudeBD.lkup[Mean_Dens],MATCH(vp.data[[#This Row],[Crude_Breakdown]],crudeBD.lkup[Crude Breakdown],0)))^2</f>
        <v>139.63604754784757</v>
      </c>
      <c r="AL863" s="5">
        <f>(vp.data[[#This Row],[Sulf]]-INDEX(crudeBD.lkup[Mean_Sulf],MATCH(vp.data[[#This Row],[Crude_Breakdown]],crudeBD.lkup[Crude Breakdown],0)))^2</f>
        <v>0.14974668516115872</v>
      </c>
      <c r="AM863" s="4">
        <f>IF(AND(vp.data[[#This Row],[SDate]]&gt;=DATE(YEAR(vp.data[[#This Row],[SDate]]),5,1),vp.data[[#This Row],[SDate]]&lt;=DATE(YEAR(vp.data[[#This Row],[SDate]]),9,15)),1,0)</f>
        <v>0</v>
      </c>
      <c r="AN863" s="4">
        <f>IF(vp.data[[#This Row],[SDate]]&lt;DATE(2016,12,1),0,1)</f>
        <v>1</v>
      </c>
      <c r="AO863" s="4">
        <f>IFERROR(vp.data[[#This Row],[Sulf]]*vp.data[[#This Row],[Net Dens]],"")</f>
        <v>8905767.4027511999</v>
      </c>
      <c r="AP863">
        <f>IFERROR(vp.data[[#This Row],[Dens]]*vp.data[[#This Row],[VolumeM3]],"")</f>
        <v>16615237.6917</v>
      </c>
      <c r="AQ863" s="15">
        <f>IFERROR(vp.data[[#This Row],[VP]]*vp.data[[#This Row],[VolumeM3]],"")</f>
        <v>1876345.7960999999</v>
      </c>
    </row>
    <row r="864" spans="1:43" x14ac:dyDescent="0.25">
      <c r="A864">
        <v>863</v>
      </c>
      <c r="B864" t="s">
        <v>51</v>
      </c>
      <c r="C864" t="s">
        <v>51</v>
      </c>
      <c r="D864" t="s">
        <v>72</v>
      </c>
      <c r="F864" s="1">
        <v>42789</v>
      </c>
      <c r="G864" s="2">
        <v>90.9</v>
      </c>
      <c r="H864" s="2">
        <v>1.21</v>
      </c>
      <c r="I864" s="2">
        <f t="array" ref="I864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864" s="2">
        <v>27.9</v>
      </c>
      <c r="K864" s="2">
        <v>-1</v>
      </c>
      <c r="L864" s="2">
        <v>836.7</v>
      </c>
      <c r="M864" s="2">
        <f t="array" ref="M864">_xlfn.IFNA(IF(vp.data[[#This Row],[Dens Input]]="",INDEX([1]DATA!$O$3:$O$9826,MATCH(1,(vp.data[[#This Row],[Battery]]=[1]DATA!$L$3:$L$9826)*(EOMONTH(vp.data[[#This Row],[SDate]],-1)+1=[1]DATA!$G$3:$G$9826),0)),vp.data[[#This Row],[Dens Input]]),"")</f>
        <v>836.7</v>
      </c>
      <c r="N864" s="2">
        <f ca="1">INDEX(INDIRECT(_xlfn.CONCAT("weather.tbl[",N$1,"]")),MATCH(vp.data[[#This Row],[SDate]],weather.tbl[Date],0))</f>
        <v>-4.083333333333333</v>
      </c>
      <c r="O864" s="2">
        <f ca="1">INDEX(INDIRECT(_xlfn.CONCAT("weather.tbl[",O$1,"]")),MATCH(vp.data[[#This Row],[SDate]],weather.tbl[Date],0))</f>
        <v>-1.1904761904761862E-2</v>
      </c>
      <c r="P864" s="2">
        <f ca="1">INDEX(INDIRECT(_xlfn.CONCAT("weather.tbl[",P$1,"]")),MATCH(vp.data[[#This Row],[SDate]],weather.tbl[Date],0))</f>
        <v>-3.5</v>
      </c>
      <c r="Q864" s="2">
        <f ca="1">INDEX(INDIRECT(_xlfn.CONCAT("weather.tbl[",Q$1,"]")),MATCH(vp.data[[#This Row],[SDate]],weather.tbl[Date],0))</f>
        <v>-3.5</v>
      </c>
      <c r="R864" s="2">
        <f ca="1">INDEX(INDIRECT(_xlfn.CONCAT("weather.tbl[",R$1,"]")),MATCH(vp.data[[#This Row],[SDate]],weather.tbl[Date],0))</f>
        <v>-4.5</v>
      </c>
      <c r="S864" s="2">
        <f ca="1">INDEX(INDIRECT(_xlfn.CONCAT("weather.tbl[",S$1,"]")),MATCH(vp.data[[#This Row],[SDate]],weather.tbl[Date],0))</f>
        <v>-3.4</v>
      </c>
      <c r="T864" s="2">
        <f ca="1">INDEX(INDIRECT(_xlfn.CONCAT("weather.tbl[",T$1,"]")),MATCH(vp.data[[#This Row],[SDate]],weather.tbl[Date],0))</f>
        <v>-3.6</v>
      </c>
      <c r="U864" s="2">
        <f ca="1">INDEX(INDIRECT(_xlfn.CONCAT("weather.tbl[",U$1,"]")),MATCH(vp.data[[#This Row],[SDate]],weather.tbl[Date],0))</f>
        <v>-6</v>
      </c>
      <c r="V864" s="2">
        <f t="array" ref="V8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864" t="s">
        <v>48</v>
      </c>
      <c r="X864">
        <f>IF(OR(vp.data[[#This Row],[Sulf]]="",vp.data[[#This Row],[Dens]]=""),1,0)</f>
        <v>0</v>
      </c>
      <c r="Y864">
        <f>IF(vp.data[[#This Row],[CrudeType]]="C5+",1,0)</f>
        <v>0</v>
      </c>
      <c r="Z864">
        <f>IF(AND(vp.data[[#This Row],[CrudeType]]="Crude",vp.data[[#This Row],[Dens]]&lt;=825,vp.data[[#This Row],[Sulf]]&gt;0.5,vp.data[[#This Row],[Unknown]]=0),1,0)</f>
        <v>0</v>
      </c>
      <c r="AA864">
        <f>IF(AND(vp.data[[#This Row],[CrudeType]]="Crude",vp.data[[#This Row],[Dens]]&lt;=825,vp.data[[#This Row],[Sulf]]&lt;=0.5,vp.data[[#This Row],[Unknown]]=0),1,0)</f>
        <v>0</v>
      </c>
      <c r="AB8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4">
        <f>IF(AND(vp.data[[#This Row],[CrudeType]]="Crude",vp.data[[#This Row],[Dens]]&gt;825,vp.data[[#This Row],[Dens]]&lt;=900,vp.data[[#This Row],[Sulf]]&lt;=0.5,vp.data[[#This Row],[Unknown]]=0),1,0)</f>
        <v>0</v>
      </c>
      <c r="AD864">
        <f>IF(AND(vp.data[[#This Row],[CrudeType]]="Crude",vp.data[[#This Row],[Dens]]&gt;865,vp.data[[#This Row],[Dens]]&lt;=900,vp.data[[#This Row],[Sulf]]&gt;2,vp.data[[#This Row],[Unknown]]=0),1,0)</f>
        <v>0</v>
      </c>
      <c r="AE864">
        <f>IF(AND(vp.data[[#This Row],[CrudeType]]="Crude",vp.data[[#This Row],[Dens]]&gt;900,vp.data[[#This Row],[Sulf]]&lt;=0.5,vp.data[[#This Row],[Unknown]]=0),1,0)</f>
        <v>0</v>
      </c>
      <c r="AF864">
        <f>IF(AND(vp.data[[#This Row],[CrudeType]]="Crude",vp.data[[#This Row],[Dens]]&gt;900,vp.data[[#This Row],[Sulf]]&lt;=0.5,vp.data[[#This Row],[Unknown]]=0),1,0)</f>
        <v>0</v>
      </c>
      <c r="AG864" t="str">
        <f>INDEX(vp.data[[#Headers],[Unknown]:[Heavy_SW]],MATCH(1,vp.data[[#This Row],[Unknown]:[Heavy_SW]],0))</f>
        <v>Medium_LSB</v>
      </c>
      <c r="AH864">
        <f>INDEX([3]!crudeBD.lkup[Number],MATCH(vp.data[[#This Row],[Crude_Breakdown]],crudeBD.lkup[Crude Breakdown],0))</f>
        <v>3</v>
      </c>
      <c r="AI864">
        <f>MONTH(vp.data[[#This Row],[SDate]])</f>
        <v>2</v>
      </c>
      <c r="AJ864" s="5">
        <f>(vp.data[[#This Row],[VP]]-INDEX(crudeBD.lkup[Mean_VP],MATCH(vp.data[[#This Row],[Crude_Breakdown]],crudeBD.lkup[Crude Breakdown],0)))^2</f>
        <v>105.27423730138707</v>
      </c>
      <c r="AK864" s="5">
        <f>(vp.data[[#This Row],[Dens]]-INDEX(crudeBD.lkup[Mean_Dens],MATCH(vp.data[[#This Row],[Crude_Breakdown]],crudeBD.lkup[Crude Breakdown],0)))^2</f>
        <v>52.128399999992183</v>
      </c>
      <c r="AL864" s="5">
        <f>(vp.data[[#This Row],[Sulf]]-INDEX(crudeBD.lkup[Mean_Sulf],MATCH(vp.data[[#This Row],[Crude_Breakdown]],crudeBD.lkup[Crude Breakdown],0)))^2</f>
        <v>3.07680109070139E-2</v>
      </c>
      <c r="AM864" s="4">
        <f>IF(AND(vp.data[[#This Row],[SDate]]&gt;=DATE(YEAR(vp.data[[#This Row],[SDate]]),5,1),vp.data[[#This Row],[SDate]]&lt;=DATE(YEAR(vp.data[[#This Row],[SDate]]),9,15)),1,0)</f>
        <v>0</v>
      </c>
      <c r="AN864" s="4">
        <f>IF(vp.data[[#This Row],[SDate]]&lt;DATE(2016,12,1),0,1)</f>
        <v>1</v>
      </c>
      <c r="AO864" s="4">
        <f>IFERROR(vp.data[[#This Row],[Sulf]]*vp.data[[#This Row],[Net Dens]],"")</f>
        <v>12697135.799930999</v>
      </c>
      <c r="AP864">
        <f>IFERROR(vp.data[[#This Row],[Dens]]*vp.data[[#This Row],[VolumeM3]],"")</f>
        <v>10493500.6611</v>
      </c>
      <c r="AQ864" s="15">
        <f>IFERROR(vp.data[[#This Row],[VP]]*vp.data[[#This Row],[VolumeM3]],"")</f>
        <v>1140025.3497000001</v>
      </c>
    </row>
    <row r="865" spans="1:43" x14ac:dyDescent="0.25">
      <c r="A865">
        <v>864</v>
      </c>
      <c r="B865" t="s">
        <v>51</v>
      </c>
      <c r="C865" t="s">
        <v>51</v>
      </c>
      <c r="D865" t="s">
        <v>58</v>
      </c>
      <c r="F865" s="1">
        <v>42789</v>
      </c>
      <c r="G865" s="2">
        <v>100.9</v>
      </c>
      <c r="H865" s="2">
        <v>1.333</v>
      </c>
      <c r="I865" s="2">
        <f t="array" ref="I865">_xlfn.IFNA(IF(vp.data[[#This Row],[Sulf Input]]="",INDEX([1]DATA!$Q$3:$Q$9826,MATCH(1,(vp.data[[#This Row],[Battery]]=[1]DATA!$L$3:$L$9826)*(EOMONTH(vp.data[[#This Row],[SDate]],-1)+1=[1]DATA!$G$3:$G$9826),0)),vp.data[[#This Row],[Sulf Input]]),"")</f>
        <v>1.333</v>
      </c>
      <c r="J865" s="2">
        <v>25.2</v>
      </c>
      <c r="K865" s="2">
        <v>-1</v>
      </c>
      <c r="L865" s="2">
        <v>815.8</v>
      </c>
      <c r="M865" s="2">
        <f t="array" ref="M865">_xlfn.IFNA(IF(vp.data[[#This Row],[Dens Input]]="",INDEX([1]DATA!$O$3:$O$9826,MATCH(1,(vp.data[[#This Row],[Battery]]=[1]DATA!$L$3:$L$9826)*(EOMONTH(vp.data[[#This Row],[SDate]],-1)+1=[1]DATA!$G$3:$G$9826),0)),vp.data[[#This Row],[Dens Input]]),"")</f>
        <v>815.8</v>
      </c>
      <c r="N865" s="2">
        <f ca="1">INDEX(INDIRECT(_xlfn.CONCAT("weather.tbl[",N$1,"]")),MATCH(vp.data[[#This Row],[SDate]],weather.tbl[Date],0))</f>
        <v>-4.083333333333333</v>
      </c>
      <c r="O865" s="2">
        <f ca="1">INDEX(INDIRECT(_xlfn.CONCAT("weather.tbl[",O$1,"]")),MATCH(vp.data[[#This Row],[SDate]],weather.tbl[Date],0))</f>
        <v>-1.1904761904761862E-2</v>
      </c>
      <c r="P865" s="2">
        <f ca="1">INDEX(INDIRECT(_xlfn.CONCAT("weather.tbl[",P$1,"]")),MATCH(vp.data[[#This Row],[SDate]],weather.tbl[Date],0))</f>
        <v>-3.5</v>
      </c>
      <c r="Q865" s="2">
        <f ca="1">INDEX(INDIRECT(_xlfn.CONCAT("weather.tbl[",Q$1,"]")),MATCH(vp.data[[#This Row],[SDate]],weather.tbl[Date],0))</f>
        <v>-3.5</v>
      </c>
      <c r="R865" s="2">
        <f ca="1">INDEX(INDIRECT(_xlfn.CONCAT("weather.tbl[",R$1,"]")),MATCH(vp.data[[#This Row],[SDate]],weather.tbl[Date],0))</f>
        <v>-4.5</v>
      </c>
      <c r="S865" s="2">
        <f ca="1">INDEX(INDIRECT(_xlfn.CONCAT("weather.tbl[",S$1,"]")),MATCH(vp.data[[#This Row],[SDate]],weather.tbl[Date],0))</f>
        <v>-3.4</v>
      </c>
      <c r="T865" s="2">
        <f ca="1">INDEX(INDIRECT(_xlfn.CONCAT("weather.tbl[",T$1,"]")),MATCH(vp.data[[#This Row],[SDate]],weather.tbl[Date],0))</f>
        <v>-3.6</v>
      </c>
      <c r="U865" s="2">
        <f ca="1">INDEX(INDIRECT(_xlfn.CONCAT("weather.tbl[",U$1,"]")),MATCH(vp.data[[#This Row],[SDate]],weather.tbl[Date],0))</f>
        <v>-6</v>
      </c>
      <c r="V865" s="2">
        <f t="array" ref="V8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5483.6130000000003</v>
      </c>
      <c r="W865" t="s">
        <v>48</v>
      </c>
      <c r="X865">
        <f>IF(OR(vp.data[[#This Row],[Sulf]]="",vp.data[[#This Row],[Dens]]=""),1,0)</f>
        <v>0</v>
      </c>
      <c r="Y865">
        <f>IF(vp.data[[#This Row],[CrudeType]]="C5+",1,0)</f>
        <v>0</v>
      </c>
      <c r="Z865">
        <f>IF(AND(vp.data[[#This Row],[CrudeType]]="Crude",vp.data[[#This Row],[Dens]]&lt;=825,vp.data[[#This Row],[Sulf]]&gt;0.5,vp.data[[#This Row],[Unknown]]=0),1,0)</f>
        <v>1</v>
      </c>
      <c r="AA865">
        <f>IF(AND(vp.data[[#This Row],[CrudeType]]="Crude",vp.data[[#This Row],[Dens]]&lt;=825,vp.data[[#This Row],[Sulf]]&lt;=0.5,vp.data[[#This Row],[Unknown]]=0),1,0)</f>
        <v>0</v>
      </c>
      <c r="AB8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65">
        <f>IF(AND(vp.data[[#This Row],[CrudeType]]="Crude",vp.data[[#This Row],[Dens]]&gt;825,vp.data[[#This Row],[Dens]]&lt;=900,vp.data[[#This Row],[Sulf]]&lt;=0.5,vp.data[[#This Row],[Unknown]]=0),1,0)</f>
        <v>0</v>
      </c>
      <c r="AD865">
        <f>IF(AND(vp.data[[#This Row],[CrudeType]]="Crude",vp.data[[#This Row],[Dens]]&gt;865,vp.data[[#This Row],[Dens]]&lt;=900,vp.data[[#This Row],[Sulf]]&gt;2,vp.data[[#This Row],[Unknown]]=0),1,0)</f>
        <v>0</v>
      </c>
      <c r="AE865">
        <f>IF(AND(vp.data[[#This Row],[CrudeType]]="Crude",vp.data[[#This Row],[Dens]]&gt;900,vp.data[[#This Row],[Sulf]]&lt;=0.5,vp.data[[#This Row],[Unknown]]=0),1,0)</f>
        <v>0</v>
      </c>
      <c r="AF865">
        <f>IF(AND(vp.data[[#This Row],[CrudeType]]="Crude",vp.data[[#This Row],[Dens]]&gt;900,vp.data[[#This Row],[Sulf]]&lt;=0.5,vp.data[[#This Row],[Unknown]]=0),1,0)</f>
        <v>0</v>
      </c>
      <c r="AG865" t="str">
        <f>INDEX(vp.data[[#Headers],[Unknown]:[Heavy_SW]],MATCH(1,vp.data[[#This Row],[Unknown]:[Heavy_SW]],0))</f>
        <v>Light_LSB</v>
      </c>
      <c r="AH865">
        <f>INDEX([3]!crudeBD.lkup[Number],MATCH(vp.data[[#This Row],[Crude_Breakdown]],crudeBD.lkup[Crude Breakdown],0))</f>
        <v>1</v>
      </c>
      <c r="AI865">
        <f>MONTH(vp.data[[#This Row],[SDate]])</f>
        <v>2</v>
      </c>
      <c r="AJ865" s="5">
        <f>(vp.data[[#This Row],[VP]]-INDEX(crudeBD.lkup[Mean_VP],MATCH(vp.data[[#This Row],[Crude_Breakdown]],crudeBD.lkup[Crude Breakdown],0)))^2</f>
        <v>87.493844446805767</v>
      </c>
      <c r="AK865" s="5">
        <f>(vp.data[[#This Row],[Dens]]-INDEX(crudeBD.lkup[Mean_Dens],MATCH(vp.data[[#This Row],[Crude_Breakdown]],crudeBD.lkup[Crude Breakdown],0)))^2</f>
        <v>7.3808379258614849</v>
      </c>
      <c r="AL865" s="5">
        <f>(vp.data[[#This Row],[Sulf]]-INDEX(crudeBD.lkup[Mean_Sulf],MATCH(vp.data[[#This Row],[Crude_Breakdown]],crudeBD.lkup[Crude Breakdown],0)))^2</f>
        <v>0.16812364275566083</v>
      </c>
      <c r="AM865" s="4">
        <f>IF(AND(vp.data[[#This Row],[SDate]]&gt;=DATE(YEAR(vp.data[[#This Row],[SDate]]),5,1),vp.data[[#This Row],[SDate]]&lt;=DATE(YEAR(vp.data[[#This Row],[SDate]]),9,15)),1,0)</f>
        <v>0</v>
      </c>
      <c r="AN865" s="4">
        <f>IF(vp.data[[#This Row],[SDate]]&lt;DATE(2016,12,1),0,1)</f>
        <v>1</v>
      </c>
      <c r="AO865" s="4">
        <f>IFERROR(vp.data[[#This Row],[Sulf]]*vp.data[[#This Row],[Net Dens]],"")</f>
        <v>5963217.4700381998</v>
      </c>
      <c r="AP865">
        <f>IFERROR(vp.data[[#This Row],[Dens]]*vp.data[[#This Row],[VolumeM3]],"")</f>
        <v>4473531.4853999997</v>
      </c>
      <c r="AQ865" s="15">
        <f>IFERROR(vp.data[[#This Row],[VP]]*vp.data[[#This Row],[VolumeM3]],"")</f>
        <v>553296.55170000007</v>
      </c>
    </row>
    <row r="866" spans="1:43" x14ac:dyDescent="0.25">
      <c r="A866">
        <v>865</v>
      </c>
      <c r="B866" t="s">
        <v>49</v>
      </c>
      <c r="C866" t="s">
        <v>49</v>
      </c>
      <c r="D866" t="s">
        <v>59</v>
      </c>
      <c r="F866" s="1">
        <v>42789</v>
      </c>
      <c r="G866" s="2">
        <v>78.400000000000006</v>
      </c>
      <c r="H866" s="2">
        <v>1.524</v>
      </c>
      <c r="I866" s="2">
        <f t="array" ref="I866">_xlfn.IFNA(IF(vp.data[[#This Row],[Sulf Input]]="",INDEX([1]DATA!$Q$3:$Q$9826,MATCH(1,(vp.data[[#This Row],[Battery]]=[1]DATA!$L$3:$L$9826)*(EOMONTH(vp.data[[#This Row],[SDate]],-1)+1=[1]DATA!$G$3:$G$9826),0)),vp.data[[#This Row],[Sulf Input]]),"")</f>
        <v>1.524</v>
      </c>
      <c r="J866" s="2">
        <v>27.3</v>
      </c>
      <c r="K866" s="2">
        <v>-1</v>
      </c>
      <c r="L866" s="2">
        <v>850.1</v>
      </c>
      <c r="M866" s="2">
        <f t="array" ref="M866">_xlfn.IFNA(IF(vp.data[[#This Row],[Dens Input]]="",INDEX([1]DATA!$O$3:$O$9826,MATCH(1,(vp.data[[#This Row],[Battery]]=[1]DATA!$L$3:$L$9826)*(EOMONTH(vp.data[[#This Row],[SDate]],-1)+1=[1]DATA!$G$3:$G$9826),0)),vp.data[[#This Row],[Dens Input]]),"")</f>
        <v>850.1</v>
      </c>
      <c r="N866" s="2">
        <f ca="1">INDEX(INDIRECT(_xlfn.CONCAT("weather.tbl[",N$1,"]")),MATCH(vp.data[[#This Row],[SDate]],weather.tbl[Date],0))</f>
        <v>-4.083333333333333</v>
      </c>
      <c r="O866" s="2">
        <f ca="1">INDEX(INDIRECT(_xlfn.CONCAT("weather.tbl[",O$1,"]")),MATCH(vp.data[[#This Row],[SDate]],weather.tbl[Date],0))</f>
        <v>-1.1904761904761862E-2</v>
      </c>
      <c r="P866" s="2">
        <f ca="1">INDEX(INDIRECT(_xlfn.CONCAT("weather.tbl[",P$1,"]")),MATCH(vp.data[[#This Row],[SDate]],weather.tbl[Date],0))</f>
        <v>-3.5</v>
      </c>
      <c r="Q866" s="2">
        <f ca="1">INDEX(INDIRECT(_xlfn.CONCAT("weather.tbl[",Q$1,"]")),MATCH(vp.data[[#This Row],[SDate]],weather.tbl[Date],0))</f>
        <v>-3.5</v>
      </c>
      <c r="R866" s="2">
        <f ca="1">INDEX(INDIRECT(_xlfn.CONCAT("weather.tbl[",R$1,"]")),MATCH(vp.data[[#This Row],[SDate]],weather.tbl[Date],0))</f>
        <v>-4.5</v>
      </c>
      <c r="S866" s="2">
        <f ca="1">INDEX(INDIRECT(_xlfn.CONCAT("weather.tbl[",S$1,"]")),MATCH(vp.data[[#This Row],[SDate]],weather.tbl[Date],0))</f>
        <v>-3.4</v>
      </c>
      <c r="T866" s="2">
        <f ca="1">INDEX(INDIRECT(_xlfn.CONCAT("weather.tbl[",T$1,"]")),MATCH(vp.data[[#This Row],[SDate]],weather.tbl[Date],0))</f>
        <v>-3.6</v>
      </c>
      <c r="U866" s="2">
        <f ca="1">INDEX(INDIRECT(_xlfn.CONCAT("weather.tbl[",U$1,"]")),MATCH(vp.data[[#This Row],[SDate]],weather.tbl[Date],0))</f>
        <v>-6</v>
      </c>
      <c r="V866" s="2">
        <f t="array" ref="V8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1437.386</v>
      </c>
      <c r="W866" t="s">
        <v>48</v>
      </c>
      <c r="X866">
        <f>IF(OR(vp.data[[#This Row],[Sulf]]="",vp.data[[#This Row],[Dens]]=""),1,0)</f>
        <v>0</v>
      </c>
      <c r="Y866">
        <f>IF(vp.data[[#This Row],[CrudeType]]="C5+",1,0)</f>
        <v>0</v>
      </c>
      <c r="Z866">
        <f>IF(AND(vp.data[[#This Row],[CrudeType]]="Crude",vp.data[[#This Row],[Dens]]&lt;=825,vp.data[[#This Row],[Sulf]]&gt;0.5,vp.data[[#This Row],[Unknown]]=0),1,0)</f>
        <v>0</v>
      </c>
      <c r="AA866">
        <f>IF(AND(vp.data[[#This Row],[CrudeType]]="Crude",vp.data[[#This Row],[Dens]]&lt;=825,vp.data[[#This Row],[Sulf]]&lt;=0.5,vp.data[[#This Row],[Unknown]]=0),1,0)</f>
        <v>0</v>
      </c>
      <c r="AB8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6">
        <f>IF(AND(vp.data[[#This Row],[CrudeType]]="Crude",vp.data[[#This Row],[Dens]]&gt;825,vp.data[[#This Row],[Dens]]&lt;=900,vp.data[[#This Row],[Sulf]]&lt;=0.5,vp.data[[#This Row],[Unknown]]=0),1,0)</f>
        <v>0</v>
      </c>
      <c r="AD866">
        <f>IF(AND(vp.data[[#This Row],[CrudeType]]="Crude",vp.data[[#This Row],[Dens]]&gt;865,vp.data[[#This Row],[Dens]]&lt;=900,vp.data[[#This Row],[Sulf]]&gt;2,vp.data[[#This Row],[Unknown]]=0),1,0)</f>
        <v>0</v>
      </c>
      <c r="AE866">
        <f>IF(AND(vp.data[[#This Row],[CrudeType]]="Crude",vp.data[[#This Row],[Dens]]&gt;900,vp.data[[#This Row],[Sulf]]&lt;=0.5,vp.data[[#This Row],[Unknown]]=0),1,0)</f>
        <v>0</v>
      </c>
      <c r="AF866">
        <f>IF(AND(vp.data[[#This Row],[CrudeType]]="Crude",vp.data[[#This Row],[Dens]]&gt;900,vp.data[[#This Row],[Sulf]]&lt;=0.5,vp.data[[#This Row],[Unknown]]=0),1,0)</f>
        <v>0</v>
      </c>
      <c r="AG866" t="str">
        <f>INDEX(vp.data[[#Headers],[Unknown]:[Heavy_SW]],MATCH(1,vp.data[[#This Row],[Unknown]:[Heavy_SW]],0))</f>
        <v>Medium_LSB</v>
      </c>
      <c r="AH866">
        <f>INDEX([3]!crudeBD.lkup[Number],MATCH(vp.data[[#This Row],[Crude_Breakdown]],crudeBD.lkup[Crude Breakdown],0))</f>
        <v>3</v>
      </c>
      <c r="AI866">
        <f>MONTH(vp.data[[#This Row],[SDate]])</f>
        <v>2</v>
      </c>
      <c r="AJ866" s="5">
        <f>(vp.data[[#This Row],[VP]]-INDEX(crudeBD.lkup[Mean_VP],MATCH(vp.data[[#This Row],[Crude_Breakdown]],crudeBD.lkup[Crude Breakdown],0)))^2</f>
        <v>5.0161510480158702</v>
      </c>
      <c r="AK866" s="5">
        <f>(vp.data[[#This Row],[Dens]]-INDEX(crudeBD.lkup[Mean_Dens],MATCH(vp.data[[#This Row],[Crude_Breakdown]],crudeBD.lkup[Crude Breakdown],0)))^2</f>
        <v>38.192400000006408</v>
      </c>
      <c r="AL866" s="5">
        <f>(vp.data[[#This Row],[Sulf]]-INDEX(crudeBD.lkup[Mean_Sulf],MATCH(vp.data[[#This Row],[Crude_Breakdown]],crudeBD.lkup[Crude Breakdown],0)))^2</f>
        <v>1.9207707349061454E-2</v>
      </c>
      <c r="AM866" s="4">
        <f>IF(AND(vp.data[[#This Row],[SDate]]&gt;=DATE(YEAR(vp.data[[#This Row],[SDate]]),5,1),vp.data[[#This Row],[SDate]]&lt;=DATE(YEAR(vp.data[[#This Row],[SDate]]),9,15)),1,0)</f>
        <v>0</v>
      </c>
      <c r="AN866" s="4">
        <f>IF(vp.data[[#This Row],[SDate]]&lt;DATE(2016,12,1),0,1)</f>
        <v>1</v>
      </c>
      <c r="AO866" s="4">
        <f>IFERROR(vp.data[[#This Row],[Sulf]]*vp.data[[#This Row],[Net Dens]],"")</f>
        <v>1862208.8820264</v>
      </c>
      <c r="AP866">
        <f>IFERROR(vp.data[[#This Row],[Dens]]*vp.data[[#This Row],[VolumeM3]],"")</f>
        <v>1221921.8385999999</v>
      </c>
      <c r="AQ866" s="15">
        <f>IFERROR(vp.data[[#This Row],[VP]]*vp.data[[#This Row],[VolumeM3]],"")</f>
        <v>112691.06240000001</v>
      </c>
    </row>
    <row r="867" spans="1:43" x14ac:dyDescent="0.25">
      <c r="A867">
        <v>866</v>
      </c>
      <c r="B867" t="s">
        <v>62</v>
      </c>
      <c r="C867" t="s">
        <v>62</v>
      </c>
      <c r="D867" t="s">
        <v>63</v>
      </c>
      <c r="F867" s="1">
        <v>42789</v>
      </c>
      <c r="G867" s="2">
        <v>91.4</v>
      </c>
      <c r="H867" s="2">
        <v>1.64</v>
      </c>
      <c r="I867" s="2">
        <f t="array" ref="I867">_xlfn.IFNA(IF(vp.data[[#This Row],[Sulf Input]]="",INDEX([1]DATA!$Q$3:$Q$9826,MATCH(1,(vp.data[[#This Row],[Battery]]=[1]DATA!$L$3:$L$9826)*(EOMONTH(vp.data[[#This Row],[SDate]],-1)+1=[1]DATA!$G$3:$G$9826),0)),vp.data[[#This Row],[Sulf Input]]),"")</f>
        <v>1.64</v>
      </c>
      <c r="J867" s="2">
        <v>9.4</v>
      </c>
      <c r="K867" s="2">
        <v>-1</v>
      </c>
      <c r="L867" s="2">
        <v>836.5</v>
      </c>
      <c r="M867" s="2">
        <f t="array" ref="M867">_xlfn.IFNA(IF(vp.data[[#This Row],[Dens Input]]="",INDEX([1]DATA!$O$3:$O$9826,MATCH(1,(vp.data[[#This Row],[Battery]]=[1]DATA!$L$3:$L$9826)*(EOMONTH(vp.data[[#This Row],[SDate]],-1)+1=[1]DATA!$G$3:$G$9826),0)),vp.data[[#This Row],[Dens Input]]),"")</f>
        <v>836.5</v>
      </c>
      <c r="N867" s="2">
        <f ca="1">INDEX(INDIRECT(_xlfn.CONCAT("weather.tbl[",N$1,"]")),MATCH(vp.data[[#This Row],[SDate]],weather.tbl[Date],0))</f>
        <v>-4.083333333333333</v>
      </c>
      <c r="O867" s="2">
        <f ca="1">INDEX(INDIRECT(_xlfn.CONCAT("weather.tbl[",O$1,"]")),MATCH(vp.data[[#This Row],[SDate]],weather.tbl[Date],0))</f>
        <v>-1.1904761904761862E-2</v>
      </c>
      <c r="P867" s="2">
        <f ca="1">INDEX(INDIRECT(_xlfn.CONCAT("weather.tbl[",P$1,"]")),MATCH(vp.data[[#This Row],[SDate]],weather.tbl[Date],0))</f>
        <v>-3.5</v>
      </c>
      <c r="Q867" s="2">
        <f ca="1">INDEX(INDIRECT(_xlfn.CONCAT("weather.tbl[",Q$1,"]")),MATCH(vp.data[[#This Row],[SDate]],weather.tbl[Date],0))</f>
        <v>-3.5</v>
      </c>
      <c r="R867" s="2">
        <f ca="1">INDEX(INDIRECT(_xlfn.CONCAT("weather.tbl[",R$1,"]")),MATCH(vp.data[[#This Row],[SDate]],weather.tbl[Date],0))</f>
        <v>-4.5</v>
      </c>
      <c r="S867" s="2">
        <f ca="1">INDEX(INDIRECT(_xlfn.CONCAT("weather.tbl[",S$1,"]")),MATCH(vp.data[[#This Row],[SDate]],weather.tbl[Date],0))</f>
        <v>-3.4</v>
      </c>
      <c r="T867" s="2">
        <f ca="1">INDEX(INDIRECT(_xlfn.CONCAT("weather.tbl[",T$1,"]")),MATCH(vp.data[[#This Row],[SDate]],weather.tbl[Date],0))</f>
        <v>-3.6</v>
      </c>
      <c r="U867" s="2">
        <f ca="1">INDEX(INDIRECT(_xlfn.CONCAT("weather.tbl[",U$1,"]")),MATCH(vp.data[[#This Row],[SDate]],weather.tbl[Date],0))</f>
        <v>-6</v>
      </c>
      <c r="V867" s="2">
        <f t="array" ref="V8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67" t="s">
        <v>48</v>
      </c>
      <c r="X867">
        <f>IF(OR(vp.data[[#This Row],[Sulf]]="",vp.data[[#This Row],[Dens]]=""),1,0)</f>
        <v>0</v>
      </c>
      <c r="Y867">
        <f>IF(vp.data[[#This Row],[CrudeType]]="C5+",1,0)</f>
        <v>0</v>
      </c>
      <c r="Z867">
        <f>IF(AND(vp.data[[#This Row],[CrudeType]]="Crude",vp.data[[#This Row],[Dens]]&lt;=825,vp.data[[#This Row],[Sulf]]&gt;0.5,vp.data[[#This Row],[Unknown]]=0),1,0)</f>
        <v>0</v>
      </c>
      <c r="AA867">
        <f>IF(AND(vp.data[[#This Row],[CrudeType]]="Crude",vp.data[[#This Row],[Dens]]&lt;=825,vp.data[[#This Row],[Sulf]]&lt;=0.5,vp.data[[#This Row],[Unknown]]=0),1,0)</f>
        <v>0</v>
      </c>
      <c r="AB8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7">
        <f>IF(AND(vp.data[[#This Row],[CrudeType]]="Crude",vp.data[[#This Row],[Dens]]&gt;825,vp.data[[#This Row],[Dens]]&lt;=900,vp.data[[#This Row],[Sulf]]&lt;=0.5,vp.data[[#This Row],[Unknown]]=0),1,0)</f>
        <v>0</v>
      </c>
      <c r="AD867">
        <f>IF(AND(vp.data[[#This Row],[CrudeType]]="Crude",vp.data[[#This Row],[Dens]]&gt;865,vp.data[[#This Row],[Dens]]&lt;=900,vp.data[[#This Row],[Sulf]]&gt;2,vp.data[[#This Row],[Unknown]]=0),1,0)</f>
        <v>0</v>
      </c>
      <c r="AE867">
        <f>IF(AND(vp.data[[#This Row],[CrudeType]]="Crude",vp.data[[#This Row],[Dens]]&gt;900,vp.data[[#This Row],[Sulf]]&lt;=0.5,vp.data[[#This Row],[Unknown]]=0),1,0)</f>
        <v>0</v>
      </c>
      <c r="AF867">
        <f>IF(AND(vp.data[[#This Row],[CrudeType]]="Crude",vp.data[[#This Row],[Dens]]&gt;900,vp.data[[#This Row],[Sulf]]&lt;=0.5,vp.data[[#This Row],[Unknown]]=0),1,0)</f>
        <v>0</v>
      </c>
      <c r="AG867" t="str">
        <f>INDEX(vp.data[[#Headers],[Unknown]:[Heavy_SW]],MATCH(1,vp.data[[#This Row],[Unknown]:[Heavy_SW]],0))</f>
        <v>Medium_LSB</v>
      </c>
      <c r="AH867">
        <f>INDEX([3]!crudeBD.lkup[Number],MATCH(vp.data[[#This Row],[Crude_Breakdown]],crudeBD.lkup[Crude Breakdown],0))</f>
        <v>3</v>
      </c>
      <c r="AI867">
        <f>MONTH(vp.data[[#This Row],[SDate]])</f>
        <v>2</v>
      </c>
      <c r="AJ867" s="5">
        <f>(vp.data[[#This Row],[VP]]-INDEX(crudeBD.lkup[Mean_VP],MATCH(vp.data[[#This Row],[Crude_Breakdown]],crudeBD.lkup[Crude Breakdown],0)))^2</f>
        <v>115.78456075152192</v>
      </c>
      <c r="AK867" s="5">
        <f>(vp.data[[#This Row],[Dens]]-INDEX(crudeBD.lkup[Mean_Dens],MATCH(vp.data[[#This Row],[Crude_Breakdown]],crudeBD.lkup[Crude Breakdown],0)))^2</f>
        <v>55.056399999992642</v>
      </c>
      <c r="AL867" s="5">
        <f>(vp.data[[#This Row],[Sulf]]-INDEX(crudeBD.lkup[Mean_Sulf],MATCH(vp.data[[#This Row],[Crude_Breakdown]],crudeBD.lkup[Crude Breakdown],0)))^2</f>
        <v>6.481702195822546E-2</v>
      </c>
      <c r="AM867" s="4">
        <f>IF(AND(vp.data[[#This Row],[SDate]]&gt;=DATE(YEAR(vp.data[[#This Row],[SDate]]),5,1),vp.data[[#This Row],[SDate]]&lt;=DATE(YEAR(vp.data[[#This Row],[SDate]]),9,15)),1,0)</f>
        <v>0</v>
      </c>
      <c r="AN867" s="4">
        <f>IF(vp.data[[#This Row],[SDate]]&lt;DATE(2016,12,1),0,1)</f>
        <v>1</v>
      </c>
      <c r="AO867" s="4">
        <f>IFERROR(vp.data[[#This Row],[Sulf]]*vp.data[[#This Row],[Net Dens]],"")</f>
        <v>6830132.8845399991</v>
      </c>
      <c r="AP867">
        <f>IFERROR(vp.data[[#This Row],[Dens]]*vp.data[[#This Row],[VolumeM3]],"")</f>
        <v>4164715.1734999996</v>
      </c>
      <c r="AQ867" s="15">
        <f>IFERROR(vp.data[[#This Row],[VP]]*vp.data[[#This Row],[VolumeM3]],"")</f>
        <v>455056.74459999998</v>
      </c>
    </row>
    <row r="868" spans="1:43" x14ac:dyDescent="0.25">
      <c r="A868">
        <v>867</v>
      </c>
      <c r="B868" t="s">
        <v>56</v>
      </c>
      <c r="C868" t="s">
        <v>56</v>
      </c>
      <c r="D868" t="s">
        <v>57</v>
      </c>
      <c r="F868" s="1">
        <v>42789</v>
      </c>
      <c r="G868" s="2">
        <v>83.4</v>
      </c>
      <c r="H868" s="2"/>
      <c r="I868" s="2">
        <f t="array" ref="I868">_xlfn.IFNA(IF(vp.data[[#This Row],[Sulf Input]]="",INDEX([1]DATA!$Q$3:$Q$9826,MATCH(1,(vp.data[[#This Row],[Battery]]=[1]DATA!$L$3:$L$9826)*(EOMONTH(vp.data[[#This Row],[SDate]],-1)+1=[1]DATA!$G$3:$G$9826),0)),vp.data[[#This Row],[Sulf Input]]),"")</f>
        <v>1.69</v>
      </c>
      <c r="J868" s="2">
        <v>16.100000000000001</v>
      </c>
      <c r="K868" s="2">
        <v>-1</v>
      </c>
      <c r="L868" s="2">
        <v>844.1</v>
      </c>
      <c r="M868" s="2">
        <f t="array" ref="M868">_xlfn.IFNA(IF(vp.data[[#This Row],[Dens Input]]="",INDEX([1]DATA!$O$3:$O$9826,MATCH(1,(vp.data[[#This Row],[Battery]]=[1]DATA!$L$3:$L$9826)*(EOMONTH(vp.data[[#This Row],[SDate]],-1)+1=[1]DATA!$G$3:$G$9826),0)),vp.data[[#This Row],[Dens Input]]),"")</f>
        <v>844.1</v>
      </c>
      <c r="N868" s="2">
        <f ca="1">INDEX(INDIRECT(_xlfn.CONCAT("weather.tbl[",N$1,"]")),MATCH(vp.data[[#This Row],[SDate]],weather.tbl[Date],0))</f>
        <v>-4.083333333333333</v>
      </c>
      <c r="O868" s="2">
        <f ca="1">INDEX(INDIRECT(_xlfn.CONCAT("weather.tbl[",O$1,"]")),MATCH(vp.data[[#This Row],[SDate]],weather.tbl[Date],0))</f>
        <v>-1.1904761904761862E-2</v>
      </c>
      <c r="P868" s="2">
        <f ca="1">INDEX(INDIRECT(_xlfn.CONCAT("weather.tbl[",P$1,"]")),MATCH(vp.data[[#This Row],[SDate]],weather.tbl[Date],0))</f>
        <v>-3.5</v>
      </c>
      <c r="Q868" s="2">
        <f ca="1">INDEX(INDIRECT(_xlfn.CONCAT("weather.tbl[",Q$1,"]")),MATCH(vp.data[[#This Row],[SDate]],weather.tbl[Date],0))</f>
        <v>-3.5</v>
      </c>
      <c r="R868" s="2">
        <f ca="1">INDEX(INDIRECT(_xlfn.CONCAT("weather.tbl[",R$1,"]")),MATCH(vp.data[[#This Row],[SDate]],weather.tbl[Date],0))</f>
        <v>-4.5</v>
      </c>
      <c r="S868" s="2">
        <f ca="1">INDEX(INDIRECT(_xlfn.CONCAT("weather.tbl[",S$1,"]")),MATCH(vp.data[[#This Row],[SDate]],weather.tbl[Date],0))</f>
        <v>-3.4</v>
      </c>
      <c r="T868" s="2">
        <f ca="1">INDEX(INDIRECT(_xlfn.CONCAT("weather.tbl[",T$1,"]")),MATCH(vp.data[[#This Row],[SDate]],weather.tbl[Date],0))</f>
        <v>-3.6</v>
      </c>
      <c r="U868" s="2">
        <f ca="1">INDEX(INDIRECT(_xlfn.CONCAT("weather.tbl[",U$1,"]")),MATCH(vp.data[[#This Row],[SDate]],weather.tbl[Date],0))</f>
        <v>-6</v>
      </c>
      <c r="V868" s="2">
        <f t="array" ref="V8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2751.2289999999998</v>
      </c>
      <c r="W868" t="s">
        <v>48</v>
      </c>
      <c r="X868">
        <f>IF(OR(vp.data[[#This Row],[Sulf]]="",vp.data[[#This Row],[Dens]]=""),1,0)</f>
        <v>0</v>
      </c>
      <c r="Y868">
        <f>IF(vp.data[[#This Row],[CrudeType]]="C5+",1,0)</f>
        <v>0</v>
      </c>
      <c r="Z868">
        <f>IF(AND(vp.data[[#This Row],[CrudeType]]="Crude",vp.data[[#This Row],[Dens]]&lt;=825,vp.data[[#This Row],[Sulf]]&gt;0.5,vp.data[[#This Row],[Unknown]]=0),1,0)</f>
        <v>0</v>
      </c>
      <c r="AA868">
        <f>IF(AND(vp.data[[#This Row],[CrudeType]]="Crude",vp.data[[#This Row],[Dens]]&lt;=825,vp.data[[#This Row],[Sulf]]&lt;=0.5,vp.data[[#This Row],[Unknown]]=0),1,0)</f>
        <v>0</v>
      </c>
      <c r="AB8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8">
        <f>IF(AND(vp.data[[#This Row],[CrudeType]]="Crude",vp.data[[#This Row],[Dens]]&gt;825,vp.data[[#This Row],[Dens]]&lt;=900,vp.data[[#This Row],[Sulf]]&lt;=0.5,vp.data[[#This Row],[Unknown]]=0),1,0)</f>
        <v>0</v>
      </c>
      <c r="AD868">
        <f>IF(AND(vp.data[[#This Row],[CrudeType]]="Crude",vp.data[[#This Row],[Dens]]&gt;865,vp.data[[#This Row],[Dens]]&lt;=900,vp.data[[#This Row],[Sulf]]&gt;2,vp.data[[#This Row],[Unknown]]=0),1,0)</f>
        <v>0</v>
      </c>
      <c r="AE868">
        <f>IF(AND(vp.data[[#This Row],[CrudeType]]="Crude",vp.data[[#This Row],[Dens]]&gt;900,vp.data[[#This Row],[Sulf]]&lt;=0.5,vp.data[[#This Row],[Unknown]]=0),1,0)</f>
        <v>0</v>
      </c>
      <c r="AF868">
        <f>IF(AND(vp.data[[#This Row],[CrudeType]]="Crude",vp.data[[#This Row],[Dens]]&gt;900,vp.data[[#This Row],[Sulf]]&lt;=0.5,vp.data[[#This Row],[Unknown]]=0),1,0)</f>
        <v>0</v>
      </c>
      <c r="AG868" t="str">
        <f>INDEX(vp.data[[#Headers],[Unknown]:[Heavy_SW]],MATCH(1,vp.data[[#This Row],[Unknown]:[Heavy_SW]],0))</f>
        <v>Medium_LSB</v>
      </c>
      <c r="AH868">
        <f>INDEX([3]!crudeBD.lkup[Number],MATCH(vp.data[[#This Row],[Crude_Breakdown]],crudeBD.lkup[Crude Breakdown],0))</f>
        <v>3</v>
      </c>
      <c r="AI868">
        <f>MONTH(vp.data[[#This Row],[SDate]])</f>
        <v>2</v>
      </c>
      <c r="AJ868" s="5">
        <f>(vp.data[[#This Row],[VP]]-INDEX(crudeBD.lkup[Mean_VP],MATCH(vp.data[[#This Row],[Crude_Breakdown]],crudeBD.lkup[Crude Breakdown],0)))^2</f>
        <v>7.6193855493643516</v>
      </c>
      <c r="AK868" s="5">
        <f>(vp.data[[#This Row],[Dens]]-INDEX(crudeBD.lkup[Mean_Dens],MATCH(vp.data[[#This Row],[Crude_Breakdown]],crudeBD.lkup[Crude Breakdown],0)))^2</f>
        <v>3.2400000000186627E-2</v>
      </c>
      <c r="AL868" s="5">
        <f>(vp.data[[#This Row],[Sulf]]-INDEX(crudeBD.lkup[Mean_Sulf],MATCH(vp.data[[#This Row],[Crude_Breakdown]],crudeBD.lkup[Crude Breakdown],0)))^2</f>
        <v>9.2776209289761713E-2</v>
      </c>
      <c r="AM868" s="4">
        <f>IF(AND(vp.data[[#This Row],[SDate]]&gt;=DATE(YEAR(vp.data[[#This Row],[SDate]]),5,1),vp.data[[#This Row],[SDate]]&lt;=DATE(YEAR(vp.data[[#This Row],[SDate]]),9,15)),1,0)</f>
        <v>0</v>
      </c>
      <c r="AN868" s="4">
        <f>IF(vp.data[[#This Row],[SDate]]&lt;DATE(2016,12,1),0,1)</f>
        <v>1</v>
      </c>
      <c r="AO868" s="4">
        <f>IFERROR(vp.data[[#This Row],[Sulf]]*vp.data[[#This Row],[Net Dens]],"")</f>
        <v>3924707.9541409998</v>
      </c>
      <c r="AP868">
        <f>IFERROR(vp.data[[#This Row],[Dens]]*vp.data[[#This Row],[VolumeM3]],"")</f>
        <v>2322312.3988999999</v>
      </c>
      <c r="AQ868" s="15">
        <f>IFERROR(vp.data[[#This Row],[VP]]*vp.data[[#This Row],[VolumeM3]],"")</f>
        <v>229452.49859999999</v>
      </c>
    </row>
    <row r="869" spans="1:43" x14ac:dyDescent="0.25">
      <c r="A869">
        <v>868</v>
      </c>
      <c r="B869" t="s">
        <v>68</v>
      </c>
      <c r="C869" t="s">
        <v>68</v>
      </c>
      <c r="D869" t="s">
        <v>98</v>
      </c>
      <c r="F869" s="1">
        <v>42789</v>
      </c>
      <c r="G869" s="2">
        <v>60.3</v>
      </c>
      <c r="H869" s="2"/>
      <c r="I869" s="2">
        <f t="array" ref="I869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869" s="2">
        <v>17.600000000000001</v>
      </c>
      <c r="K869" s="2">
        <v>-1</v>
      </c>
      <c r="L869" s="2">
        <v>853.5</v>
      </c>
      <c r="M869" s="2">
        <f t="array" ref="M869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869" s="2">
        <f ca="1">INDEX(INDIRECT(_xlfn.CONCAT("weather.tbl[",N$1,"]")),MATCH(vp.data[[#This Row],[SDate]],weather.tbl[Date],0))</f>
        <v>-4.083333333333333</v>
      </c>
      <c r="O869" s="2">
        <f ca="1">INDEX(INDIRECT(_xlfn.CONCAT("weather.tbl[",O$1,"]")),MATCH(vp.data[[#This Row],[SDate]],weather.tbl[Date],0))</f>
        <v>-1.1904761904761862E-2</v>
      </c>
      <c r="P869" s="2">
        <f ca="1">INDEX(INDIRECT(_xlfn.CONCAT("weather.tbl[",P$1,"]")),MATCH(vp.data[[#This Row],[SDate]],weather.tbl[Date],0))</f>
        <v>-3.5</v>
      </c>
      <c r="Q869" s="2">
        <f ca="1">INDEX(INDIRECT(_xlfn.CONCAT("weather.tbl[",Q$1,"]")),MATCH(vp.data[[#This Row],[SDate]],weather.tbl[Date],0))</f>
        <v>-3.5</v>
      </c>
      <c r="R869" s="2">
        <f ca="1">INDEX(INDIRECT(_xlfn.CONCAT("weather.tbl[",R$1,"]")),MATCH(vp.data[[#This Row],[SDate]],weather.tbl[Date],0))</f>
        <v>-4.5</v>
      </c>
      <c r="S869" s="2">
        <f ca="1">INDEX(INDIRECT(_xlfn.CONCAT("weather.tbl[",S$1,"]")),MATCH(vp.data[[#This Row],[SDate]],weather.tbl[Date],0))</f>
        <v>-3.4</v>
      </c>
      <c r="T869" s="2">
        <f ca="1">INDEX(INDIRECT(_xlfn.CONCAT("weather.tbl[",T$1,"]")),MATCH(vp.data[[#This Row],[SDate]],weather.tbl[Date],0))</f>
        <v>-3.6</v>
      </c>
      <c r="U869" s="2">
        <f ca="1">INDEX(INDIRECT(_xlfn.CONCAT("weather.tbl[",U$1,"]")),MATCH(vp.data[[#This Row],[SDate]],weather.tbl[Date],0))</f>
        <v>-6</v>
      </c>
      <c r="V869" s="2">
        <f t="array" ref="V8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4577.7129999999997</v>
      </c>
      <c r="W869" t="s">
        <v>48</v>
      </c>
      <c r="X869">
        <f>IF(OR(vp.data[[#This Row],[Sulf]]="",vp.data[[#This Row],[Dens]]=""),1,0)</f>
        <v>0</v>
      </c>
      <c r="Y869">
        <f>IF(vp.data[[#This Row],[CrudeType]]="C5+",1,0)</f>
        <v>0</v>
      </c>
      <c r="Z869">
        <f>IF(AND(vp.data[[#This Row],[CrudeType]]="Crude",vp.data[[#This Row],[Dens]]&lt;=825,vp.data[[#This Row],[Sulf]]&gt;0.5,vp.data[[#This Row],[Unknown]]=0),1,0)</f>
        <v>0</v>
      </c>
      <c r="AA869">
        <f>IF(AND(vp.data[[#This Row],[CrudeType]]="Crude",vp.data[[#This Row],[Dens]]&lt;=825,vp.data[[#This Row],[Sulf]]&lt;=0.5,vp.data[[#This Row],[Unknown]]=0),1,0)</f>
        <v>0</v>
      </c>
      <c r="AB8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69">
        <f>IF(AND(vp.data[[#This Row],[CrudeType]]="Crude",vp.data[[#This Row],[Dens]]&gt;825,vp.data[[#This Row],[Dens]]&lt;=900,vp.data[[#This Row],[Sulf]]&lt;=0.5,vp.data[[#This Row],[Unknown]]=0),1,0)</f>
        <v>0</v>
      </c>
      <c r="AD869">
        <f>IF(AND(vp.data[[#This Row],[CrudeType]]="Crude",vp.data[[#This Row],[Dens]]&gt;865,vp.data[[#This Row],[Dens]]&lt;=900,vp.data[[#This Row],[Sulf]]&gt;2,vp.data[[#This Row],[Unknown]]=0),1,0)</f>
        <v>0</v>
      </c>
      <c r="AE869">
        <f>IF(AND(vp.data[[#This Row],[CrudeType]]="Crude",vp.data[[#This Row],[Dens]]&gt;900,vp.data[[#This Row],[Sulf]]&lt;=0.5,vp.data[[#This Row],[Unknown]]=0),1,0)</f>
        <v>0</v>
      </c>
      <c r="AF869">
        <f>IF(AND(vp.data[[#This Row],[CrudeType]]="Crude",vp.data[[#This Row],[Dens]]&gt;900,vp.data[[#This Row],[Sulf]]&lt;=0.5,vp.data[[#This Row],[Unknown]]=0),1,0)</f>
        <v>0</v>
      </c>
      <c r="AG869" t="str">
        <f>INDEX(vp.data[[#Headers],[Unknown]:[Heavy_SW]],MATCH(1,vp.data[[#This Row],[Unknown]:[Heavy_SW]],0))</f>
        <v>Medium_LSB</v>
      </c>
      <c r="AH869">
        <f>INDEX([3]!crudeBD.lkup[Number],MATCH(vp.data[[#This Row],[Crude_Breakdown]],crudeBD.lkup[Crude Breakdown],0))</f>
        <v>3</v>
      </c>
      <c r="AI869">
        <f>MONTH(vp.data[[#This Row],[SDate]])</f>
        <v>2</v>
      </c>
      <c r="AJ869" s="5">
        <f>(vp.data[[#This Row],[VP]]-INDEX(crudeBD.lkup[Mean_VP],MATCH(vp.data[[#This Row],[Crude_Breakdown]],crudeBD.lkup[Crude Breakdown],0)))^2</f>
        <v>413.70244215313471</v>
      </c>
      <c r="AK869" s="5">
        <f>(vp.data[[#This Row],[Dens]]-INDEX(crudeBD.lkup[Mean_Dens],MATCH(vp.data[[#This Row],[Crude_Breakdown]],crudeBD.lkup[Crude Breakdown],0)))^2</f>
        <v>91.776400000009502</v>
      </c>
      <c r="AL869" s="5">
        <f>(vp.data[[#This Row],[Sulf]]-INDEX(crudeBD.lkup[Mean_Sulf],MATCH(vp.data[[#This Row],[Crude_Breakdown]],crudeBD.lkup[Crude Breakdown],0)))^2</f>
        <v>3.0700605027008461E-3</v>
      </c>
      <c r="AM869" s="4">
        <f>IF(AND(vp.data[[#This Row],[SDate]]&gt;=DATE(YEAR(vp.data[[#This Row],[SDate]]),5,1),vp.data[[#This Row],[SDate]]&lt;=DATE(YEAR(vp.data[[#This Row],[SDate]]),9,15)),1,0)</f>
        <v>0</v>
      </c>
      <c r="AN869" s="4">
        <f>IF(vp.data[[#This Row],[SDate]]&lt;DATE(2016,12,1),0,1)</f>
        <v>1</v>
      </c>
      <c r="AO869" s="4">
        <f>IFERROR(vp.data[[#This Row],[Sulf]]*vp.data[[#This Row],[Net Dens]],"")</f>
        <v>5196413.8005150007</v>
      </c>
      <c r="AP869">
        <f>IFERROR(vp.data[[#This Row],[Dens]]*vp.data[[#This Row],[VolumeM3]],"")</f>
        <v>3907078.0455</v>
      </c>
      <c r="AQ869" s="15">
        <f>IFERROR(vp.data[[#This Row],[VP]]*vp.data[[#This Row],[VolumeM3]],"")</f>
        <v>276036.09389999998</v>
      </c>
    </row>
    <row r="870" spans="1:43" x14ac:dyDescent="0.25">
      <c r="A870">
        <v>869</v>
      </c>
      <c r="B870" t="s">
        <v>111</v>
      </c>
      <c r="C870" t="s">
        <v>111</v>
      </c>
      <c r="D870" t="s">
        <v>112</v>
      </c>
      <c r="F870" s="1">
        <v>42789</v>
      </c>
      <c r="G870" s="2">
        <v>70.8</v>
      </c>
      <c r="H870" s="2"/>
      <c r="I870" s="2">
        <f t="array" ref="I870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870" s="2">
        <v>26</v>
      </c>
      <c r="K870" s="2">
        <v>-1</v>
      </c>
      <c r="L870" s="2">
        <v>858</v>
      </c>
      <c r="M870" s="2">
        <f t="array" ref="M870">_xlfn.IFNA(IF(vp.data[[#This Row],[Dens Input]]="",INDEX([1]DATA!$O$3:$O$9826,MATCH(1,(vp.data[[#This Row],[Battery]]=[1]DATA!$L$3:$L$9826)*(EOMONTH(vp.data[[#This Row],[SDate]],-1)+1=[1]DATA!$G$3:$G$9826),0)),vp.data[[#This Row],[Dens Input]]),"")</f>
        <v>858</v>
      </c>
      <c r="N870" s="2">
        <f ca="1">INDEX(INDIRECT(_xlfn.CONCAT("weather.tbl[",N$1,"]")),MATCH(vp.data[[#This Row],[SDate]],weather.tbl[Date],0))</f>
        <v>-4.083333333333333</v>
      </c>
      <c r="O870" s="2">
        <f ca="1">INDEX(INDIRECT(_xlfn.CONCAT("weather.tbl[",O$1,"]")),MATCH(vp.data[[#This Row],[SDate]],weather.tbl[Date],0))</f>
        <v>-1.1904761904761862E-2</v>
      </c>
      <c r="P870" s="2">
        <f ca="1">INDEX(INDIRECT(_xlfn.CONCAT("weather.tbl[",P$1,"]")),MATCH(vp.data[[#This Row],[SDate]],weather.tbl[Date],0))</f>
        <v>-3.5</v>
      </c>
      <c r="Q870" s="2">
        <f ca="1">INDEX(INDIRECT(_xlfn.CONCAT("weather.tbl[",Q$1,"]")),MATCH(vp.data[[#This Row],[SDate]],weather.tbl[Date],0))</f>
        <v>-3.5</v>
      </c>
      <c r="R870" s="2">
        <f ca="1">INDEX(INDIRECT(_xlfn.CONCAT("weather.tbl[",R$1,"]")),MATCH(vp.data[[#This Row],[SDate]],weather.tbl[Date],0))</f>
        <v>-4.5</v>
      </c>
      <c r="S870" s="2">
        <f ca="1">INDEX(INDIRECT(_xlfn.CONCAT("weather.tbl[",S$1,"]")),MATCH(vp.data[[#This Row],[SDate]],weather.tbl[Date],0))</f>
        <v>-3.4</v>
      </c>
      <c r="T870" s="2">
        <f ca="1">INDEX(INDIRECT(_xlfn.CONCAT("weather.tbl[",T$1,"]")),MATCH(vp.data[[#This Row],[SDate]],weather.tbl[Date],0))</f>
        <v>-3.6</v>
      </c>
      <c r="U870" s="2">
        <f ca="1">INDEX(INDIRECT(_xlfn.CONCAT("weather.tbl[",U$1,"]")),MATCH(vp.data[[#This Row],[SDate]],weather.tbl[Date],0))</f>
        <v>-6</v>
      </c>
      <c r="V870" s="2">
        <f t="array" ref="V8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6942.3440000000001</v>
      </c>
      <c r="W870" t="s">
        <v>48</v>
      </c>
      <c r="X870">
        <f>IF(OR(vp.data[[#This Row],[Sulf]]="",vp.data[[#This Row],[Dens]]=""),1,0)</f>
        <v>0</v>
      </c>
      <c r="Y870">
        <f>IF(vp.data[[#This Row],[CrudeType]]="C5+",1,0)</f>
        <v>0</v>
      </c>
      <c r="Z870">
        <f>IF(AND(vp.data[[#This Row],[CrudeType]]="Crude",vp.data[[#This Row],[Dens]]&lt;=825,vp.data[[#This Row],[Sulf]]&gt;0.5,vp.data[[#This Row],[Unknown]]=0),1,0)</f>
        <v>0</v>
      </c>
      <c r="AA870">
        <f>IF(AND(vp.data[[#This Row],[CrudeType]]="Crude",vp.data[[#This Row],[Dens]]&lt;=825,vp.data[[#This Row],[Sulf]]&lt;=0.5,vp.data[[#This Row],[Unknown]]=0),1,0)</f>
        <v>0</v>
      </c>
      <c r="AB8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0">
        <f>IF(AND(vp.data[[#This Row],[CrudeType]]="Crude",vp.data[[#This Row],[Dens]]&gt;825,vp.data[[#This Row],[Dens]]&lt;=900,vp.data[[#This Row],[Sulf]]&lt;=0.5,vp.data[[#This Row],[Unknown]]=0),1,0)</f>
        <v>0</v>
      </c>
      <c r="AD870">
        <f>IF(AND(vp.data[[#This Row],[CrudeType]]="Crude",vp.data[[#This Row],[Dens]]&gt;865,vp.data[[#This Row],[Dens]]&lt;=900,vp.data[[#This Row],[Sulf]]&gt;2,vp.data[[#This Row],[Unknown]]=0),1,0)</f>
        <v>0</v>
      </c>
      <c r="AE870">
        <f>IF(AND(vp.data[[#This Row],[CrudeType]]="Crude",vp.data[[#This Row],[Dens]]&gt;900,vp.data[[#This Row],[Sulf]]&lt;=0.5,vp.data[[#This Row],[Unknown]]=0),1,0)</f>
        <v>0</v>
      </c>
      <c r="AF870">
        <f>IF(AND(vp.data[[#This Row],[CrudeType]]="Crude",vp.data[[#This Row],[Dens]]&gt;900,vp.data[[#This Row],[Sulf]]&lt;=0.5,vp.data[[#This Row],[Unknown]]=0),1,0)</f>
        <v>0</v>
      </c>
      <c r="AG870" t="str">
        <f>INDEX(vp.data[[#Headers],[Unknown]:[Heavy_SW]],MATCH(1,vp.data[[#This Row],[Unknown]:[Heavy_SW]],0))</f>
        <v>Medium_LSB</v>
      </c>
      <c r="AH870">
        <f>INDEX([3]!crudeBD.lkup[Number],MATCH(vp.data[[#This Row],[Crude_Breakdown]],crudeBD.lkup[Crude Breakdown],0))</f>
        <v>3</v>
      </c>
      <c r="AI870">
        <f>MONTH(vp.data[[#This Row],[SDate]])</f>
        <v>2</v>
      </c>
      <c r="AJ870" s="5">
        <f>(vp.data[[#This Row],[VP]]-INDEX(crudeBD.lkup[Mean_VP],MATCH(vp.data[[#This Row],[Crude_Breakdown]],crudeBD.lkup[Crude Breakdown],0)))^2</f>
        <v>96.819234605966344</v>
      </c>
      <c r="AK870" s="5">
        <f>(vp.data[[#This Row],[Dens]]-INDEX(crudeBD.lkup[Mean_Dens],MATCH(vp.data[[#This Row],[Crude_Breakdown]],crudeBD.lkup[Crude Breakdown],0)))^2</f>
        <v>198.24640000001395</v>
      </c>
      <c r="AL870" s="5">
        <f>(vp.data[[#This Row],[Sulf]]-INDEX(crudeBD.lkup[Mean_Sulf],MATCH(vp.data[[#This Row],[Crude_Breakdown]],crudeBD.lkup[Crude Breakdown],0)))^2</f>
        <v>0.23482928368329231</v>
      </c>
      <c r="AM870" s="4">
        <f>IF(AND(vp.data[[#This Row],[SDate]]&gt;=DATE(YEAR(vp.data[[#This Row],[SDate]]),5,1),vp.data[[#This Row],[SDate]]&lt;=DATE(YEAR(vp.data[[#This Row],[SDate]]),9,15)),1,0)</f>
        <v>0</v>
      </c>
      <c r="AN870" s="4">
        <f>IF(vp.data[[#This Row],[SDate]]&lt;DATE(2016,12,1),0,1)</f>
        <v>1</v>
      </c>
      <c r="AO870" s="4">
        <f>IFERROR(vp.data[[#This Row],[Sulf]]*vp.data[[#This Row],[Net Dens]],"")</f>
        <v>11138713.254240001</v>
      </c>
      <c r="AP870">
        <f>IFERROR(vp.data[[#This Row],[Dens]]*vp.data[[#This Row],[VolumeM3]],"")</f>
        <v>5956531.1519999998</v>
      </c>
      <c r="AQ870" s="15">
        <f>IFERROR(vp.data[[#This Row],[VP]]*vp.data[[#This Row],[VolumeM3]],"")</f>
        <v>491517.95519999997</v>
      </c>
    </row>
    <row r="871" spans="1:43" x14ac:dyDescent="0.25">
      <c r="A871">
        <v>870</v>
      </c>
      <c r="B871" t="s">
        <v>56</v>
      </c>
      <c r="C871" t="s">
        <v>56</v>
      </c>
      <c r="D871" t="s">
        <v>94</v>
      </c>
      <c r="F871" s="1">
        <v>42789</v>
      </c>
      <c r="G871" s="2">
        <v>75.400000000000006</v>
      </c>
      <c r="H871" s="2"/>
      <c r="I871" s="2">
        <f t="array" ref="I871">_xlfn.IFNA(IF(vp.data[[#This Row],[Sulf Input]]="",INDEX([1]DATA!$Q$3:$Q$9826,MATCH(1,(vp.data[[#This Row],[Battery]]=[1]DATA!$L$3:$L$9826)*(EOMONTH(vp.data[[#This Row],[SDate]],-1)+1=[1]DATA!$G$3:$G$9826),0)),vp.data[[#This Row],[Sulf Input]]),"")</f>
        <v>1.95</v>
      </c>
      <c r="J871" s="2">
        <v>20</v>
      </c>
      <c r="K871" s="2">
        <v>-1</v>
      </c>
      <c r="L871" s="2">
        <v>862</v>
      </c>
      <c r="M871" s="2">
        <f t="array" ref="M871">_xlfn.IFNA(IF(vp.data[[#This Row],[Dens Input]]="",INDEX([1]DATA!$O$3:$O$9826,MATCH(1,(vp.data[[#This Row],[Battery]]=[1]DATA!$L$3:$L$9826)*(EOMONTH(vp.data[[#This Row],[SDate]],-1)+1=[1]DATA!$G$3:$G$9826),0)),vp.data[[#This Row],[Dens Input]]),"")</f>
        <v>862</v>
      </c>
      <c r="N871" s="2">
        <f ca="1">INDEX(INDIRECT(_xlfn.CONCAT("weather.tbl[",N$1,"]")),MATCH(vp.data[[#This Row],[SDate]],weather.tbl[Date],0))</f>
        <v>-4.083333333333333</v>
      </c>
      <c r="O871" s="2">
        <f ca="1">INDEX(INDIRECT(_xlfn.CONCAT("weather.tbl[",O$1,"]")),MATCH(vp.data[[#This Row],[SDate]],weather.tbl[Date],0))</f>
        <v>-1.1904761904761862E-2</v>
      </c>
      <c r="P871" s="2">
        <f ca="1">INDEX(INDIRECT(_xlfn.CONCAT("weather.tbl[",P$1,"]")),MATCH(vp.data[[#This Row],[SDate]],weather.tbl[Date],0))</f>
        <v>-3.5</v>
      </c>
      <c r="Q871" s="2">
        <f ca="1">INDEX(INDIRECT(_xlfn.CONCAT("weather.tbl[",Q$1,"]")),MATCH(vp.data[[#This Row],[SDate]],weather.tbl[Date],0))</f>
        <v>-3.5</v>
      </c>
      <c r="R871" s="2">
        <f ca="1">INDEX(INDIRECT(_xlfn.CONCAT("weather.tbl[",R$1,"]")),MATCH(vp.data[[#This Row],[SDate]],weather.tbl[Date],0))</f>
        <v>-4.5</v>
      </c>
      <c r="S871" s="2">
        <f ca="1">INDEX(INDIRECT(_xlfn.CONCAT("weather.tbl[",S$1,"]")),MATCH(vp.data[[#This Row],[SDate]],weather.tbl[Date],0))</f>
        <v>-3.4</v>
      </c>
      <c r="T871" s="2">
        <f ca="1">INDEX(INDIRECT(_xlfn.CONCAT("weather.tbl[",T$1,"]")),MATCH(vp.data[[#This Row],[SDate]],weather.tbl[Date],0))</f>
        <v>-3.6</v>
      </c>
      <c r="U871" s="2">
        <f ca="1">INDEX(INDIRECT(_xlfn.CONCAT("weather.tbl[",U$1,"]")),MATCH(vp.data[[#This Row],[SDate]],weather.tbl[Date],0))</f>
        <v>-6</v>
      </c>
      <c r="V871" s="2">
        <f t="array" ref="V8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3347.944</v>
      </c>
      <c r="W871" t="s">
        <v>48</v>
      </c>
      <c r="X871">
        <f>IF(OR(vp.data[[#This Row],[Sulf]]="",vp.data[[#This Row],[Dens]]=""),1,0)</f>
        <v>0</v>
      </c>
      <c r="Y871">
        <f>IF(vp.data[[#This Row],[CrudeType]]="C5+",1,0)</f>
        <v>0</v>
      </c>
      <c r="Z871">
        <f>IF(AND(vp.data[[#This Row],[CrudeType]]="Crude",vp.data[[#This Row],[Dens]]&lt;=825,vp.data[[#This Row],[Sulf]]&gt;0.5,vp.data[[#This Row],[Unknown]]=0),1,0)</f>
        <v>0</v>
      </c>
      <c r="AA871">
        <f>IF(AND(vp.data[[#This Row],[CrudeType]]="Crude",vp.data[[#This Row],[Dens]]&lt;=825,vp.data[[#This Row],[Sulf]]&lt;=0.5,vp.data[[#This Row],[Unknown]]=0),1,0)</f>
        <v>0</v>
      </c>
      <c r="AB8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1">
        <f>IF(AND(vp.data[[#This Row],[CrudeType]]="Crude",vp.data[[#This Row],[Dens]]&gt;825,vp.data[[#This Row],[Dens]]&lt;=900,vp.data[[#This Row],[Sulf]]&lt;=0.5,vp.data[[#This Row],[Unknown]]=0),1,0)</f>
        <v>0</v>
      </c>
      <c r="AD871">
        <f>IF(AND(vp.data[[#This Row],[CrudeType]]="Crude",vp.data[[#This Row],[Dens]]&gt;865,vp.data[[#This Row],[Dens]]&lt;=900,vp.data[[#This Row],[Sulf]]&gt;2,vp.data[[#This Row],[Unknown]]=0),1,0)</f>
        <v>0</v>
      </c>
      <c r="AE871">
        <f>IF(AND(vp.data[[#This Row],[CrudeType]]="Crude",vp.data[[#This Row],[Dens]]&gt;900,vp.data[[#This Row],[Sulf]]&lt;=0.5,vp.data[[#This Row],[Unknown]]=0),1,0)</f>
        <v>0</v>
      </c>
      <c r="AF871">
        <f>IF(AND(vp.data[[#This Row],[CrudeType]]="Crude",vp.data[[#This Row],[Dens]]&gt;900,vp.data[[#This Row],[Sulf]]&lt;=0.5,vp.data[[#This Row],[Unknown]]=0),1,0)</f>
        <v>0</v>
      </c>
      <c r="AG871" t="str">
        <f>INDEX(vp.data[[#Headers],[Unknown]:[Heavy_SW]],MATCH(1,vp.data[[#This Row],[Unknown]:[Heavy_SW]],0))</f>
        <v>Medium_LSB</v>
      </c>
      <c r="AH871">
        <f>INDEX([3]!crudeBD.lkup[Number],MATCH(vp.data[[#This Row],[Crude_Breakdown]],crudeBD.lkup[Crude Breakdown],0))</f>
        <v>3</v>
      </c>
      <c r="AI871">
        <f>MONTH(vp.data[[#This Row],[SDate]])</f>
        <v>2</v>
      </c>
      <c r="AJ871" s="5">
        <f>(vp.data[[#This Row],[VP]]-INDEX(crudeBD.lkup[Mean_VP],MATCH(vp.data[[#This Row],[Crude_Breakdown]],crudeBD.lkup[Crude Breakdown],0)))^2</f>
        <v>27.454210347206782</v>
      </c>
      <c r="AK871" s="5">
        <f>(vp.data[[#This Row],[Dens]]-INDEX(crudeBD.lkup[Mean_Dens],MATCH(vp.data[[#This Row],[Crude_Breakdown]],crudeBD.lkup[Crude Breakdown],0)))^2</f>
        <v>326.88640000001794</v>
      </c>
      <c r="AL871" s="5">
        <f>(vp.data[[#This Row],[Sulf]]-INDEX(crudeBD.lkup[Mean_Sulf],MATCH(vp.data[[#This Row],[Crude_Breakdown]],crudeBD.lkup[Crude Breakdown],0)))^2</f>
        <v>0.31876398341375012</v>
      </c>
      <c r="AM871" s="4">
        <f>IF(AND(vp.data[[#This Row],[SDate]]&gt;=DATE(YEAR(vp.data[[#This Row],[SDate]]),5,1),vp.data[[#This Row],[SDate]]&lt;=DATE(YEAR(vp.data[[#This Row],[SDate]]),9,15)),1,0)</f>
        <v>0</v>
      </c>
      <c r="AN871" s="4">
        <f>IF(vp.data[[#This Row],[SDate]]&lt;DATE(2016,12,1),0,1)</f>
        <v>1</v>
      </c>
      <c r="AO871" s="4">
        <f>IFERROR(vp.data[[#This Row],[Sulf]]*vp.data[[#This Row],[Net Dens]],"")</f>
        <v>5627559.0696</v>
      </c>
      <c r="AP871">
        <f>IFERROR(vp.data[[#This Row],[Dens]]*vp.data[[#This Row],[VolumeM3]],"")</f>
        <v>2885927.7280000001</v>
      </c>
      <c r="AQ871" s="15">
        <f>IFERROR(vp.data[[#This Row],[VP]]*vp.data[[#This Row],[VolumeM3]],"")</f>
        <v>252434.97760000001</v>
      </c>
    </row>
    <row r="872" spans="1:43" x14ac:dyDescent="0.25">
      <c r="A872">
        <v>871</v>
      </c>
      <c r="B872" t="s">
        <v>64</v>
      </c>
      <c r="C872" t="s">
        <v>64</v>
      </c>
      <c r="D872" t="s">
        <v>173</v>
      </c>
      <c r="F872" s="1">
        <v>42789</v>
      </c>
      <c r="G872" s="2">
        <v>47.9</v>
      </c>
      <c r="H872" s="2"/>
      <c r="I872" s="2">
        <f t="array" ref="I872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872" s="2">
        <v>33.299999999999997</v>
      </c>
      <c r="K872" s="2">
        <v>-1</v>
      </c>
      <c r="L872" s="2">
        <v>877.2</v>
      </c>
      <c r="M872" s="2">
        <f t="array" ref="M872">_xlfn.IFNA(IF(vp.data[[#This Row],[Dens Input]]="",INDEX([1]DATA!$O$3:$O$9826,MATCH(1,(vp.data[[#This Row],[Battery]]=[1]DATA!$L$3:$L$9826)*(EOMONTH(vp.data[[#This Row],[SDate]],-1)+1=[1]DATA!$G$3:$G$9826),0)),vp.data[[#This Row],[Dens Input]]),"")</f>
        <v>877.2</v>
      </c>
      <c r="N872" s="2">
        <f ca="1">INDEX(INDIRECT(_xlfn.CONCAT("weather.tbl[",N$1,"]")),MATCH(vp.data[[#This Row],[SDate]],weather.tbl[Date],0))</f>
        <v>-4.083333333333333</v>
      </c>
      <c r="O872" s="2">
        <f ca="1">INDEX(INDIRECT(_xlfn.CONCAT("weather.tbl[",O$1,"]")),MATCH(vp.data[[#This Row],[SDate]],weather.tbl[Date],0))</f>
        <v>-1.1904761904761862E-2</v>
      </c>
      <c r="P872" s="2">
        <f ca="1">INDEX(INDIRECT(_xlfn.CONCAT("weather.tbl[",P$1,"]")),MATCH(vp.data[[#This Row],[SDate]],weather.tbl[Date],0))</f>
        <v>-3.5</v>
      </c>
      <c r="Q872" s="2">
        <f ca="1">INDEX(INDIRECT(_xlfn.CONCAT("weather.tbl[",Q$1,"]")),MATCH(vp.data[[#This Row],[SDate]],weather.tbl[Date],0))</f>
        <v>-3.5</v>
      </c>
      <c r="R872" s="2">
        <f ca="1">INDEX(INDIRECT(_xlfn.CONCAT("weather.tbl[",R$1,"]")),MATCH(vp.data[[#This Row],[SDate]],weather.tbl[Date],0))</f>
        <v>-4.5</v>
      </c>
      <c r="S872" s="2">
        <f ca="1">INDEX(INDIRECT(_xlfn.CONCAT("weather.tbl[",S$1,"]")),MATCH(vp.data[[#This Row],[SDate]],weather.tbl[Date],0))</f>
        <v>-3.4</v>
      </c>
      <c r="T872" s="2">
        <f ca="1">INDEX(INDIRECT(_xlfn.CONCAT("weather.tbl[",T$1,"]")),MATCH(vp.data[[#This Row],[SDate]],weather.tbl[Date],0))</f>
        <v>-3.6</v>
      </c>
      <c r="U872" s="2">
        <f ca="1">INDEX(INDIRECT(_xlfn.CONCAT("weather.tbl[",U$1,"]")),MATCH(vp.data[[#This Row],[SDate]],weather.tbl[Date],0))</f>
        <v>-6</v>
      </c>
      <c r="V872" s="2">
        <f t="array" ref="V8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482.21899999999999</v>
      </c>
      <c r="W872" t="s">
        <v>48</v>
      </c>
      <c r="X872">
        <f>IF(OR(vp.data[[#This Row],[Sulf]]="",vp.data[[#This Row],[Dens]]=""),1,0)</f>
        <v>0</v>
      </c>
      <c r="Y872">
        <f>IF(vp.data[[#This Row],[CrudeType]]="C5+",1,0)</f>
        <v>0</v>
      </c>
      <c r="Z872">
        <f>IF(AND(vp.data[[#This Row],[CrudeType]]="Crude",vp.data[[#This Row],[Dens]]&lt;=825,vp.data[[#This Row],[Sulf]]&gt;0.5,vp.data[[#This Row],[Unknown]]=0),1,0)</f>
        <v>0</v>
      </c>
      <c r="AA872">
        <f>IF(AND(vp.data[[#This Row],[CrudeType]]="Crude",vp.data[[#This Row],[Dens]]&lt;=825,vp.data[[#This Row],[Sulf]]&lt;=0.5,vp.data[[#This Row],[Unknown]]=0),1,0)</f>
        <v>0</v>
      </c>
      <c r="AB8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2">
        <f>IF(AND(vp.data[[#This Row],[CrudeType]]="Crude",vp.data[[#This Row],[Dens]]&gt;825,vp.data[[#This Row],[Dens]]&lt;=900,vp.data[[#This Row],[Sulf]]&lt;=0.5,vp.data[[#This Row],[Unknown]]=0),1,0)</f>
        <v>0</v>
      </c>
      <c r="AD872">
        <f>IF(AND(vp.data[[#This Row],[CrudeType]]="Crude",vp.data[[#This Row],[Dens]]&gt;865,vp.data[[#This Row],[Dens]]&lt;=900,vp.data[[#This Row],[Sulf]]&gt;2,vp.data[[#This Row],[Unknown]]=0),1,0)</f>
        <v>0</v>
      </c>
      <c r="AE872">
        <f>IF(AND(vp.data[[#This Row],[CrudeType]]="Crude",vp.data[[#This Row],[Dens]]&gt;900,vp.data[[#This Row],[Sulf]]&lt;=0.5,vp.data[[#This Row],[Unknown]]=0),1,0)</f>
        <v>0</v>
      </c>
      <c r="AF872">
        <f>IF(AND(vp.data[[#This Row],[CrudeType]]="Crude",vp.data[[#This Row],[Dens]]&gt;900,vp.data[[#This Row],[Sulf]]&lt;=0.5,vp.data[[#This Row],[Unknown]]=0),1,0)</f>
        <v>0</v>
      </c>
      <c r="AG872" t="str">
        <f>INDEX(vp.data[[#Headers],[Unknown]:[Heavy_SW]],MATCH(1,vp.data[[#This Row],[Unknown]:[Heavy_SW]],0))</f>
        <v>Medium_LSB</v>
      </c>
      <c r="AH872">
        <f>INDEX([3]!crudeBD.lkup[Number],MATCH(vp.data[[#This Row],[Crude_Breakdown]],crudeBD.lkup[Crude Breakdown],0))</f>
        <v>3</v>
      </c>
      <c r="AI872">
        <f>MONTH(vp.data[[#This Row],[SDate]])</f>
        <v>2</v>
      </c>
      <c r="AJ872" s="5">
        <f>(vp.data[[#This Row],[VP]]-INDEX(crudeBD.lkup[Mean_VP],MATCH(vp.data[[#This Row],[Crude_Breakdown]],crudeBD.lkup[Crude Breakdown],0)))^2</f>
        <v>1071.8864205897905</v>
      </c>
      <c r="AK872" s="5">
        <f>(vp.data[[#This Row],[Dens]]-INDEX(crudeBD.lkup[Mean_Dens],MATCH(vp.data[[#This Row],[Crude_Breakdown]],crudeBD.lkup[Crude Breakdown],0)))^2</f>
        <v>1107.558400000036</v>
      </c>
      <c r="AL872" s="5">
        <f>(vp.data[[#This Row],[Sulf]]-INDEX(crudeBD.lkup[Mean_Sulf],MATCH(vp.data[[#This Row],[Crude_Breakdown]],crudeBD.lkup[Crude Breakdown],0)))^2</f>
        <v>0.49760062519272974</v>
      </c>
      <c r="AM872" s="4">
        <f>IF(AND(vp.data[[#This Row],[SDate]]&gt;=DATE(YEAR(vp.data[[#This Row],[SDate]]),5,1),vp.data[[#This Row],[SDate]]&lt;=DATE(YEAR(vp.data[[#This Row],[SDate]]),9,15)),1,0)</f>
        <v>0</v>
      </c>
      <c r="AN872" s="4">
        <f>IF(vp.data[[#This Row],[SDate]]&lt;DATE(2016,12,1),0,1)</f>
        <v>1</v>
      </c>
      <c r="AO872" s="4">
        <f>IFERROR(vp.data[[#This Row],[Sulf]]*vp.data[[#This Row],[Net Dens]],"")</f>
        <v>287641.70462400006</v>
      </c>
      <c r="AP872">
        <f>IFERROR(vp.data[[#This Row],[Dens]]*vp.data[[#This Row],[VolumeM3]],"")</f>
        <v>423002.50680000003</v>
      </c>
      <c r="AQ872" s="15">
        <f>IFERROR(vp.data[[#This Row],[VP]]*vp.data[[#This Row],[VolumeM3]],"")</f>
        <v>23098.290099999998</v>
      </c>
    </row>
    <row r="873" spans="1:43" x14ac:dyDescent="0.25">
      <c r="A873">
        <v>872</v>
      </c>
      <c r="B873" t="s">
        <v>62</v>
      </c>
      <c r="C873" t="s">
        <v>62</v>
      </c>
      <c r="D873" t="s">
        <v>63</v>
      </c>
      <c r="F873" s="1">
        <v>42790</v>
      </c>
      <c r="G873" s="2">
        <v>118.9</v>
      </c>
      <c r="H873" s="2"/>
      <c r="I873" s="2">
        <f t="array" ref="I873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873" s="2">
        <v>9.5</v>
      </c>
      <c r="K873" s="2">
        <v>-4</v>
      </c>
      <c r="L873" s="2">
        <v>832.6</v>
      </c>
      <c r="M873" s="2">
        <f t="array" ref="M873">_xlfn.IFNA(IF(vp.data[[#This Row],[Dens Input]]="",INDEX([1]DATA!$O$3:$O$9826,MATCH(1,(vp.data[[#This Row],[Battery]]=[1]DATA!$L$3:$L$9826)*(EOMONTH(vp.data[[#This Row],[SDate]],-1)+1=[1]DATA!$G$3:$G$9826),0)),vp.data[[#This Row],[Dens Input]]),"")</f>
        <v>832.6</v>
      </c>
      <c r="N873" s="2">
        <f ca="1">INDEX(INDIRECT(_xlfn.CONCAT("weather.tbl[",N$1,"]")),MATCH(vp.data[[#This Row],[SDate]],weather.tbl[Date],0))</f>
        <v>-6.7</v>
      </c>
      <c r="O873" s="2">
        <f ca="1">INDEX(INDIRECT(_xlfn.CONCAT("weather.tbl[",O$1,"]")),MATCH(vp.data[[#This Row],[SDate]],weather.tbl[Date],0))</f>
        <v>-1.5095238095238095</v>
      </c>
      <c r="P873" s="2">
        <f ca="1">INDEX(INDIRECT(_xlfn.CONCAT("weather.tbl[",P$1,"]")),MATCH(vp.data[[#This Row],[SDate]],weather.tbl[Date],0))</f>
        <v>-6.9</v>
      </c>
      <c r="Q873" s="2">
        <f ca="1">INDEX(INDIRECT(_xlfn.CONCAT("weather.tbl[",Q$1,"]")),MATCH(vp.data[[#This Row],[SDate]],weather.tbl[Date],0))</f>
        <v>-5</v>
      </c>
      <c r="R873" s="2">
        <f ca="1">INDEX(INDIRECT(_xlfn.CONCAT("weather.tbl[",R$1,"]")),MATCH(vp.data[[#This Row],[SDate]],weather.tbl[Date],0))</f>
        <v>-8.3000000000000007</v>
      </c>
      <c r="S873" s="2">
        <f ca="1">INDEX(INDIRECT(_xlfn.CONCAT("weather.tbl[",S$1,"]")),MATCH(vp.data[[#This Row],[SDate]],weather.tbl[Date],0))</f>
        <v>-4.2</v>
      </c>
      <c r="T873" s="2">
        <f ca="1">INDEX(INDIRECT(_xlfn.CONCAT("weather.tbl[",T$1,"]")),MATCH(vp.data[[#This Row],[SDate]],weather.tbl[Date],0))</f>
        <v>-10</v>
      </c>
      <c r="U873" s="2">
        <f ca="1">INDEX(INDIRECT(_xlfn.CONCAT("weather.tbl[",U$1,"]")),MATCH(vp.data[[#This Row],[SDate]],weather.tbl[Date],0))</f>
        <v>-5.8</v>
      </c>
      <c r="V873" s="2">
        <f t="array" ref="V8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4978.7389999999996</v>
      </c>
      <c r="W873" t="s">
        <v>48</v>
      </c>
      <c r="X873">
        <f>IF(OR(vp.data[[#This Row],[Sulf]]="",vp.data[[#This Row],[Dens]]=""),1,0)</f>
        <v>0</v>
      </c>
      <c r="Y873">
        <f>IF(vp.data[[#This Row],[CrudeType]]="C5+",1,0)</f>
        <v>0</v>
      </c>
      <c r="Z873">
        <f>IF(AND(vp.data[[#This Row],[CrudeType]]="Crude",vp.data[[#This Row],[Dens]]&lt;=825,vp.data[[#This Row],[Sulf]]&gt;0.5,vp.data[[#This Row],[Unknown]]=0),1,0)</f>
        <v>0</v>
      </c>
      <c r="AA873">
        <f>IF(AND(vp.data[[#This Row],[CrudeType]]="Crude",vp.data[[#This Row],[Dens]]&lt;=825,vp.data[[#This Row],[Sulf]]&lt;=0.5,vp.data[[#This Row],[Unknown]]=0),1,0)</f>
        <v>0</v>
      </c>
      <c r="AB8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3">
        <f>IF(AND(vp.data[[#This Row],[CrudeType]]="Crude",vp.data[[#This Row],[Dens]]&gt;825,vp.data[[#This Row],[Dens]]&lt;=900,vp.data[[#This Row],[Sulf]]&lt;=0.5,vp.data[[#This Row],[Unknown]]=0),1,0)</f>
        <v>0</v>
      </c>
      <c r="AD873">
        <f>IF(AND(vp.data[[#This Row],[CrudeType]]="Crude",vp.data[[#This Row],[Dens]]&gt;865,vp.data[[#This Row],[Dens]]&lt;=900,vp.data[[#This Row],[Sulf]]&gt;2,vp.data[[#This Row],[Unknown]]=0),1,0)</f>
        <v>0</v>
      </c>
      <c r="AE873">
        <f>IF(AND(vp.data[[#This Row],[CrudeType]]="Crude",vp.data[[#This Row],[Dens]]&gt;900,vp.data[[#This Row],[Sulf]]&lt;=0.5,vp.data[[#This Row],[Unknown]]=0),1,0)</f>
        <v>0</v>
      </c>
      <c r="AF873">
        <f>IF(AND(vp.data[[#This Row],[CrudeType]]="Crude",vp.data[[#This Row],[Dens]]&gt;900,vp.data[[#This Row],[Sulf]]&lt;=0.5,vp.data[[#This Row],[Unknown]]=0),1,0)</f>
        <v>0</v>
      </c>
      <c r="AG873" t="str">
        <f>INDEX(vp.data[[#Headers],[Unknown]:[Heavy_SW]],MATCH(1,vp.data[[#This Row],[Unknown]:[Heavy_SW]],0))</f>
        <v>Medium_LSB</v>
      </c>
      <c r="AH873">
        <f>INDEX([3]!crudeBD.lkup[Number],MATCH(vp.data[[#This Row],[Crude_Breakdown]],crudeBD.lkup[Crude Breakdown],0))</f>
        <v>3</v>
      </c>
      <c r="AI873">
        <f>MONTH(vp.data[[#This Row],[SDate]])</f>
        <v>2</v>
      </c>
      <c r="AJ873" s="5">
        <f>(vp.data[[#This Row],[VP]]-INDEX(crudeBD.lkup[Mean_VP],MATCH(vp.data[[#This Row],[Crude_Breakdown]],crudeBD.lkup[Crude Breakdown],0)))^2</f>
        <v>1463.8523505089386</v>
      </c>
      <c r="AK873" s="5">
        <f>(vp.data[[#This Row],[Dens]]-INDEX(crudeBD.lkup[Mean_Dens],MATCH(vp.data[[#This Row],[Crude_Breakdown]],crudeBD.lkup[Crude Breakdown],0)))^2</f>
        <v>128.14239999998827</v>
      </c>
      <c r="AL873" s="5">
        <f>(vp.data[[#This Row],[Sulf]]-INDEX(crudeBD.lkup[Mean_Sulf],MATCH(vp.data[[#This Row],[Crude_Breakdown]],crudeBD.lkup[Crude Breakdown],0)))^2</f>
        <v>2.0906809828845806E-2</v>
      </c>
      <c r="AM873" s="4">
        <f>IF(AND(vp.data[[#This Row],[SDate]]&gt;=DATE(YEAR(vp.data[[#This Row],[SDate]]),5,1),vp.data[[#This Row],[SDate]]&lt;=DATE(YEAR(vp.data[[#This Row],[SDate]]),9,15)),1,0)</f>
        <v>0</v>
      </c>
      <c r="AN873" s="4">
        <f>IF(vp.data[[#This Row],[SDate]]&lt;DATE(2016,12,1),0,1)</f>
        <v>1</v>
      </c>
      <c r="AO873" s="4">
        <f>IFERROR(vp.data[[#This Row],[Sulf]]*vp.data[[#This Row],[Net Dens]],"")</f>
        <v>6342306.0798420003</v>
      </c>
      <c r="AP873">
        <f>IFERROR(vp.data[[#This Row],[Dens]]*vp.data[[#This Row],[VolumeM3]],"")</f>
        <v>4145298.0913999998</v>
      </c>
      <c r="AQ873" s="15">
        <f>IFERROR(vp.data[[#This Row],[VP]]*vp.data[[#This Row],[VolumeM3]],"")</f>
        <v>591972.06709999999</v>
      </c>
    </row>
    <row r="874" spans="1:43" x14ac:dyDescent="0.25">
      <c r="A874">
        <v>873</v>
      </c>
      <c r="B874" t="s">
        <v>49</v>
      </c>
      <c r="C874" t="s">
        <v>49</v>
      </c>
      <c r="D874" t="s">
        <v>152</v>
      </c>
      <c r="F874" s="1">
        <v>42791</v>
      </c>
      <c r="G874" s="2">
        <v>67.2</v>
      </c>
      <c r="H874" s="2">
        <v>0.96</v>
      </c>
      <c r="I874" s="2">
        <f t="array" ref="I874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874" s="2">
        <v>17</v>
      </c>
      <c r="K874" s="2">
        <v>-8</v>
      </c>
      <c r="L874" s="2">
        <v>839.8</v>
      </c>
      <c r="M874" s="2">
        <f t="array" ref="M874">_xlfn.IFNA(IF(vp.data[[#This Row],[Dens Input]]="",INDEX([1]DATA!$O$3:$O$9826,MATCH(1,(vp.data[[#This Row],[Battery]]=[1]DATA!$L$3:$L$9826)*(EOMONTH(vp.data[[#This Row],[SDate]],-1)+1=[1]DATA!$G$3:$G$9826),0)),vp.data[[#This Row],[Dens Input]]),"")</f>
        <v>839.8</v>
      </c>
      <c r="N874" s="2">
        <f ca="1">INDEX(INDIRECT(_xlfn.CONCAT("weather.tbl[",N$1,"]")),MATCH(vp.data[[#This Row],[SDate]],weather.tbl[Date],0))</f>
        <v>-11.833333333333334</v>
      </c>
      <c r="O874" s="2">
        <f ca="1">INDEX(INDIRECT(_xlfn.CONCAT("weather.tbl[",O$1,"]")),MATCH(vp.data[[#This Row],[SDate]],weather.tbl[Date],0))</f>
        <v>-3.1214285714285714</v>
      </c>
      <c r="P874" s="2">
        <f ca="1">INDEX(INDIRECT(_xlfn.CONCAT("weather.tbl[",P$1,"]")),MATCH(vp.data[[#This Row],[SDate]],weather.tbl[Date],0))</f>
        <v>-12.3</v>
      </c>
      <c r="Q874" s="2">
        <f ca="1">INDEX(INDIRECT(_xlfn.CONCAT("weather.tbl[",Q$1,"]")),MATCH(vp.data[[#This Row],[SDate]],weather.tbl[Date],0))</f>
        <v>-11.9</v>
      </c>
      <c r="R874" s="2">
        <f ca="1">INDEX(INDIRECT(_xlfn.CONCAT("weather.tbl[",R$1,"]")),MATCH(vp.data[[#This Row],[SDate]],weather.tbl[Date],0))</f>
        <v>-10</v>
      </c>
      <c r="S874" s="2">
        <f ca="1">INDEX(INDIRECT(_xlfn.CONCAT("weather.tbl[",S$1,"]")),MATCH(vp.data[[#This Row],[SDate]],weather.tbl[Date],0))</f>
        <v>-11.3</v>
      </c>
      <c r="T874" s="2">
        <f ca="1">INDEX(INDIRECT(_xlfn.CONCAT("weather.tbl[",T$1,"]")),MATCH(vp.data[[#This Row],[SDate]],weather.tbl[Date],0))</f>
        <v>-13.5</v>
      </c>
      <c r="U874" s="2">
        <f ca="1">INDEX(INDIRECT(_xlfn.CONCAT("weather.tbl[",U$1,"]")),MATCH(vp.data[[#This Row],[SDate]],weather.tbl[Date],0))</f>
        <v>-12</v>
      </c>
      <c r="V874" s="2">
        <f t="array" ref="V8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665.44299999999998</v>
      </c>
      <c r="W874" t="s">
        <v>48</v>
      </c>
      <c r="X874">
        <f>IF(OR(vp.data[[#This Row],[Sulf]]="",vp.data[[#This Row],[Dens]]=""),1,0)</f>
        <v>0</v>
      </c>
      <c r="Y874">
        <f>IF(vp.data[[#This Row],[CrudeType]]="C5+",1,0)</f>
        <v>0</v>
      </c>
      <c r="Z874">
        <f>IF(AND(vp.data[[#This Row],[CrudeType]]="Crude",vp.data[[#This Row],[Dens]]&lt;=825,vp.data[[#This Row],[Sulf]]&gt;0.5,vp.data[[#This Row],[Unknown]]=0),1,0)</f>
        <v>0</v>
      </c>
      <c r="AA874">
        <f>IF(AND(vp.data[[#This Row],[CrudeType]]="Crude",vp.data[[#This Row],[Dens]]&lt;=825,vp.data[[#This Row],[Sulf]]&lt;=0.5,vp.data[[#This Row],[Unknown]]=0),1,0)</f>
        <v>0</v>
      </c>
      <c r="AB8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4">
        <f>IF(AND(vp.data[[#This Row],[CrudeType]]="Crude",vp.data[[#This Row],[Dens]]&gt;825,vp.data[[#This Row],[Dens]]&lt;=900,vp.data[[#This Row],[Sulf]]&lt;=0.5,vp.data[[#This Row],[Unknown]]=0),1,0)</f>
        <v>0</v>
      </c>
      <c r="AD874">
        <f>IF(AND(vp.data[[#This Row],[CrudeType]]="Crude",vp.data[[#This Row],[Dens]]&gt;865,vp.data[[#This Row],[Dens]]&lt;=900,vp.data[[#This Row],[Sulf]]&gt;2,vp.data[[#This Row],[Unknown]]=0),1,0)</f>
        <v>0</v>
      </c>
      <c r="AE874">
        <f>IF(AND(vp.data[[#This Row],[CrudeType]]="Crude",vp.data[[#This Row],[Dens]]&gt;900,vp.data[[#This Row],[Sulf]]&lt;=0.5,vp.data[[#This Row],[Unknown]]=0),1,0)</f>
        <v>0</v>
      </c>
      <c r="AF874">
        <f>IF(AND(vp.data[[#This Row],[CrudeType]]="Crude",vp.data[[#This Row],[Dens]]&gt;900,vp.data[[#This Row],[Sulf]]&lt;=0.5,vp.data[[#This Row],[Unknown]]=0),1,0)</f>
        <v>0</v>
      </c>
      <c r="AG874" t="str">
        <f>INDEX(vp.data[[#Headers],[Unknown]:[Heavy_SW]],MATCH(1,vp.data[[#This Row],[Unknown]:[Heavy_SW]],0))</f>
        <v>Medium_LSB</v>
      </c>
      <c r="AH874">
        <f>INDEX([3]!crudeBD.lkup[Number],MATCH(vp.data[[#This Row],[Crude_Breakdown]],crudeBD.lkup[Crude Breakdown],0))</f>
        <v>3</v>
      </c>
      <c r="AI874">
        <f>MONTH(vp.data[[#This Row],[SDate]])</f>
        <v>2</v>
      </c>
      <c r="AJ874" s="5">
        <f>(vp.data[[#This Row],[VP]]-INDEX(crudeBD.lkup[Mean_VP],MATCH(vp.data[[#This Row],[Crude_Breakdown]],crudeBD.lkup[Crude Breakdown],0)))^2</f>
        <v>180.62490576499536</v>
      </c>
      <c r="AK874" s="5">
        <f>(vp.data[[#This Row],[Dens]]-INDEX(crudeBD.lkup[Mean_Dens],MATCH(vp.data[[#This Row],[Crude_Breakdown]],crudeBD.lkup[Crude Breakdown],0)))^2</f>
        <v>16.97439999999629</v>
      </c>
      <c r="AL874" s="5">
        <f>(vp.data[[#This Row],[Sulf]]-INDEX(crudeBD.lkup[Mean_Sulf],MATCH(vp.data[[#This Row],[Crude_Breakdown]],crudeBD.lkup[Crude Breakdown],0)))^2</f>
        <v>0.18097207424933273</v>
      </c>
      <c r="AM874" s="4">
        <f>IF(AND(vp.data[[#This Row],[SDate]]&gt;=DATE(YEAR(vp.data[[#This Row],[SDate]]),5,1),vp.data[[#This Row],[SDate]]&lt;=DATE(YEAR(vp.data[[#This Row],[SDate]]),9,15)),1,0)</f>
        <v>0</v>
      </c>
      <c r="AN874" s="4">
        <f>IF(vp.data[[#This Row],[SDate]]&lt;DATE(2016,12,1),0,1)</f>
        <v>1</v>
      </c>
      <c r="AO874" s="4">
        <f>IFERROR(vp.data[[#This Row],[Sulf]]*vp.data[[#This Row],[Net Dens]],"")</f>
        <v>536485.4701439999</v>
      </c>
      <c r="AP874">
        <f>IFERROR(vp.data[[#This Row],[Dens]]*vp.data[[#This Row],[VolumeM3]],"")</f>
        <v>558839.03139999998</v>
      </c>
      <c r="AQ874" s="15">
        <f>IFERROR(vp.data[[#This Row],[VP]]*vp.data[[#This Row],[VolumeM3]],"")</f>
        <v>44717.7696</v>
      </c>
    </row>
    <row r="875" spans="1:43" x14ac:dyDescent="0.25">
      <c r="A875">
        <v>874</v>
      </c>
      <c r="B875" t="s">
        <v>49</v>
      </c>
      <c r="C875" t="s">
        <v>49</v>
      </c>
      <c r="D875" t="s">
        <v>174</v>
      </c>
      <c r="F875" s="1">
        <v>42791</v>
      </c>
      <c r="G875" s="2">
        <v>88.3</v>
      </c>
      <c r="H875" s="2">
        <v>1.0640000000000001</v>
      </c>
      <c r="I875" s="2">
        <f t="array" ref="I875">_xlfn.IFNA(IF(vp.data[[#This Row],[Sulf Input]]="",INDEX([1]DATA!$Q$3:$Q$9826,MATCH(1,(vp.data[[#This Row],[Battery]]=[1]DATA!$L$3:$L$9826)*(EOMONTH(vp.data[[#This Row],[SDate]],-1)+1=[1]DATA!$G$3:$G$9826),0)),vp.data[[#This Row],[Sulf Input]]),"")</f>
        <v>1.0640000000000001</v>
      </c>
      <c r="J875" s="2">
        <v>15.6</v>
      </c>
      <c r="K875" s="2">
        <v>-8</v>
      </c>
      <c r="L875" s="2">
        <v>837.9</v>
      </c>
      <c r="M875" s="2">
        <f t="array" ref="M875">_xlfn.IFNA(IF(vp.data[[#This Row],[Dens Input]]="",INDEX([1]DATA!$O$3:$O$9826,MATCH(1,(vp.data[[#This Row],[Battery]]=[1]DATA!$L$3:$L$9826)*(EOMONTH(vp.data[[#This Row],[SDate]],-1)+1=[1]DATA!$G$3:$G$9826),0)),vp.data[[#This Row],[Dens Input]]),"")</f>
        <v>837.9</v>
      </c>
      <c r="N875" s="2">
        <f ca="1">INDEX(INDIRECT(_xlfn.CONCAT("weather.tbl[",N$1,"]")),MATCH(vp.data[[#This Row],[SDate]],weather.tbl[Date],0))</f>
        <v>-11.833333333333334</v>
      </c>
      <c r="O875" s="2">
        <f ca="1">INDEX(INDIRECT(_xlfn.CONCAT("weather.tbl[",O$1,"]")),MATCH(vp.data[[#This Row],[SDate]],weather.tbl[Date],0))</f>
        <v>-3.1214285714285714</v>
      </c>
      <c r="P875" s="2">
        <f ca="1">INDEX(INDIRECT(_xlfn.CONCAT("weather.tbl[",P$1,"]")),MATCH(vp.data[[#This Row],[SDate]],weather.tbl[Date],0))</f>
        <v>-12.3</v>
      </c>
      <c r="Q875" s="2">
        <f ca="1">INDEX(INDIRECT(_xlfn.CONCAT("weather.tbl[",Q$1,"]")),MATCH(vp.data[[#This Row],[SDate]],weather.tbl[Date],0))</f>
        <v>-11.9</v>
      </c>
      <c r="R875" s="2">
        <f ca="1">INDEX(INDIRECT(_xlfn.CONCAT("weather.tbl[",R$1,"]")),MATCH(vp.data[[#This Row],[SDate]],weather.tbl[Date],0))</f>
        <v>-10</v>
      </c>
      <c r="S875" s="2">
        <f ca="1">INDEX(INDIRECT(_xlfn.CONCAT("weather.tbl[",S$1,"]")),MATCH(vp.data[[#This Row],[SDate]],weather.tbl[Date],0))</f>
        <v>-11.3</v>
      </c>
      <c r="T875" s="2">
        <f ca="1">INDEX(INDIRECT(_xlfn.CONCAT("weather.tbl[",T$1,"]")),MATCH(vp.data[[#This Row],[SDate]],weather.tbl[Date],0))</f>
        <v>-13.5</v>
      </c>
      <c r="U875" s="2">
        <f ca="1">INDEX(INDIRECT(_xlfn.CONCAT("weather.tbl[",U$1,"]")),MATCH(vp.data[[#This Row],[SDate]],weather.tbl[Date],0))</f>
        <v>-12</v>
      </c>
      <c r="V875" s="2">
        <f t="array" ref="V8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980.71600000000001</v>
      </c>
      <c r="W875" t="s">
        <v>48</v>
      </c>
      <c r="X875">
        <f>IF(OR(vp.data[[#This Row],[Sulf]]="",vp.data[[#This Row],[Dens]]=""),1,0)</f>
        <v>0</v>
      </c>
      <c r="Y875">
        <f>IF(vp.data[[#This Row],[CrudeType]]="C5+",1,0)</f>
        <v>0</v>
      </c>
      <c r="Z875">
        <f>IF(AND(vp.data[[#This Row],[CrudeType]]="Crude",vp.data[[#This Row],[Dens]]&lt;=825,vp.data[[#This Row],[Sulf]]&gt;0.5,vp.data[[#This Row],[Unknown]]=0),1,0)</f>
        <v>0</v>
      </c>
      <c r="AA875">
        <f>IF(AND(vp.data[[#This Row],[CrudeType]]="Crude",vp.data[[#This Row],[Dens]]&lt;=825,vp.data[[#This Row],[Sulf]]&lt;=0.5,vp.data[[#This Row],[Unknown]]=0),1,0)</f>
        <v>0</v>
      </c>
      <c r="AB8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5">
        <f>IF(AND(vp.data[[#This Row],[CrudeType]]="Crude",vp.data[[#This Row],[Dens]]&gt;825,vp.data[[#This Row],[Dens]]&lt;=900,vp.data[[#This Row],[Sulf]]&lt;=0.5,vp.data[[#This Row],[Unknown]]=0),1,0)</f>
        <v>0</v>
      </c>
      <c r="AD875">
        <f>IF(AND(vp.data[[#This Row],[CrudeType]]="Crude",vp.data[[#This Row],[Dens]]&gt;865,vp.data[[#This Row],[Dens]]&lt;=900,vp.data[[#This Row],[Sulf]]&gt;2,vp.data[[#This Row],[Unknown]]=0),1,0)</f>
        <v>0</v>
      </c>
      <c r="AE875">
        <f>IF(AND(vp.data[[#This Row],[CrudeType]]="Crude",vp.data[[#This Row],[Dens]]&gt;900,vp.data[[#This Row],[Sulf]]&lt;=0.5,vp.data[[#This Row],[Unknown]]=0),1,0)</f>
        <v>0</v>
      </c>
      <c r="AF875">
        <f>IF(AND(vp.data[[#This Row],[CrudeType]]="Crude",vp.data[[#This Row],[Dens]]&gt;900,vp.data[[#This Row],[Sulf]]&lt;=0.5,vp.data[[#This Row],[Unknown]]=0),1,0)</f>
        <v>0</v>
      </c>
      <c r="AG875" t="str">
        <f>INDEX(vp.data[[#Headers],[Unknown]:[Heavy_SW]],MATCH(1,vp.data[[#This Row],[Unknown]:[Heavy_SW]],0))</f>
        <v>Medium_LSB</v>
      </c>
      <c r="AH875">
        <f>INDEX([3]!crudeBD.lkup[Number],MATCH(vp.data[[#This Row],[Crude_Breakdown]],crudeBD.lkup[Crude Breakdown],0))</f>
        <v>3</v>
      </c>
      <c r="AI875">
        <f>MONTH(vp.data[[#This Row],[SDate]])</f>
        <v>2</v>
      </c>
      <c r="AJ875" s="5">
        <f>(vp.data[[#This Row],[VP]]-INDEX(crudeBD.lkup[Mean_VP],MATCH(vp.data[[#This Row],[Crude_Breakdown]],crudeBD.lkup[Crude Breakdown],0)))^2</f>
        <v>58.68055536068573</v>
      </c>
      <c r="AK875" s="5">
        <f>(vp.data[[#This Row],[Dens]]-INDEX(crudeBD.lkup[Mean_Dens],MATCH(vp.data[[#This Row],[Crude_Breakdown]],crudeBD.lkup[Crude Breakdown],0)))^2</f>
        <v>36.240399999994303</v>
      </c>
      <c r="AL875" s="5">
        <f>(vp.data[[#This Row],[Sulf]]-INDEX(crudeBD.lkup[Mean_Sulf],MATCH(vp.data[[#This Row],[Crude_Breakdown]],crudeBD.lkup[Crude Breakdown],0)))^2</f>
        <v>0.10330318389892804</v>
      </c>
      <c r="AM875" s="4">
        <f>IF(AND(vp.data[[#This Row],[SDate]]&gt;=DATE(YEAR(vp.data[[#This Row],[SDate]]),5,1),vp.data[[#This Row],[SDate]]&lt;=DATE(YEAR(vp.data[[#This Row],[SDate]]),9,15)),1,0)</f>
        <v>0</v>
      </c>
      <c r="AN875" s="4">
        <f>IF(vp.data[[#This Row],[SDate]]&lt;DATE(2016,12,1),0,1)</f>
        <v>1</v>
      </c>
      <c r="AO875" s="4">
        <f>IFERROR(vp.data[[#This Row],[Sulf]]*vp.data[[#This Row],[Net Dens]],"")</f>
        <v>874333.42032960011</v>
      </c>
      <c r="AP875">
        <f>IFERROR(vp.data[[#This Row],[Dens]]*vp.data[[#This Row],[VolumeM3]],"")</f>
        <v>821741.93640000001</v>
      </c>
      <c r="AQ875" s="15">
        <f>IFERROR(vp.data[[#This Row],[VP]]*vp.data[[#This Row],[VolumeM3]],"")</f>
        <v>86597.222800000003</v>
      </c>
    </row>
    <row r="876" spans="1:43" x14ac:dyDescent="0.25">
      <c r="A876">
        <v>875</v>
      </c>
      <c r="B876" t="s">
        <v>49</v>
      </c>
      <c r="C876" t="s">
        <v>49</v>
      </c>
      <c r="D876" t="s">
        <v>175</v>
      </c>
      <c r="F876" s="1">
        <v>42791</v>
      </c>
      <c r="G876" s="2">
        <v>78.8</v>
      </c>
      <c r="H876" s="2">
        <v>1.502</v>
      </c>
      <c r="I876" s="2">
        <f t="array" ref="I876">_xlfn.IFNA(IF(vp.data[[#This Row],[Sulf Input]]="",INDEX([1]DATA!$Q$3:$Q$9826,MATCH(1,(vp.data[[#This Row],[Battery]]=[1]DATA!$L$3:$L$9826)*(EOMONTH(vp.data[[#This Row],[SDate]],-1)+1=[1]DATA!$G$3:$G$9826),0)),vp.data[[#This Row],[Sulf Input]]),"")</f>
        <v>1.502</v>
      </c>
      <c r="J876" s="2">
        <v>13.8</v>
      </c>
      <c r="K876" s="2">
        <v>-8</v>
      </c>
      <c r="L876" s="2">
        <v>849.8</v>
      </c>
      <c r="M876" s="2">
        <f t="array" ref="M876">_xlfn.IFNA(IF(vp.data[[#This Row],[Dens Input]]="",INDEX([1]DATA!$O$3:$O$9826,MATCH(1,(vp.data[[#This Row],[Battery]]=[1]DATA!$L$3:$L$9826)*(EOMONTH(vp.data[[#This Row],[SDate]],-1)+1=[1]DATA!$G$3:$G$9826),0)),vp.data[[#This Row],[Dens Input]]),"")</f>
        <v>849.8</v>
      </c>
      <c r="N876" s="2">
        <f ca="1">INDEX(INDIRECT(_xlfn.CONCAT("weather.tbl[",N$1,"]")),MATCH(vp.data[[#This Row],[SDate]],weather.tbl[Date],0))</f>
        <v>-11.833333333333334</v>
      </c>
      <c r="O876" s="2">
        <f ca="1">INDEX(INDIRECT(_xlfn.CONCAT("weather.tbl[",O$1,"]")),MATCH(vp.data[[#This Row],[SDate]],weather.tbl[Date],0))</f>
        <v>-3.1214285714285714</v>
      </c>
      <c r="P876" s="2">
        <f ca="1">INDEX(INDIRECT(_xlfn.CONCAT("weather.tbl[",P$1,"]")),MATCH(vp.data[[#This Row],[SDate]],weather.tbl[Date],0))</f>
        <v>-12.3</v>
      </c>
      <c r="Q876" s="2">
        <f ca="1">INDEX(INDIRECT(_xlfn.CONCAT("weather.tbl[",Q$1,"]")),MATCH(vp.data[[#This Row],[SDate]],weather.tbl[Date],0))</f>
        <v>-11.9</v>
      </c>
      <c r="R876" s="2">
        <f ca="1">INDEX(INDIRECT(_xlfn.CONCAT("weather.tbl[",R$1,"]")),MATCH(vp.data[[#This Row],[SDate]],weather.tbl[Date],0))</f>
        <v>-10</v>
      </c>
      <c r="S876" s="2">
        <f ca="1">INDEX(INDIRECT(_xlfn.CONCAT("weather.tbl[",S$1,"]")),MATCH(vp.data[[#This Row],[SDate]],weather.tbl[Date],0))</f>
        <v>-11.3</v>
      </c>
      <c r="T876" s="2">
        <f ca="1">INDEX(INDIRECT(_xlfn.CONCAT("weather.tbl[",T$1,"]")),MATCH(vp.data[[#This Row],[SDate]],weather.tbl[Date],0))</f>
        <v>-13.5</v>
      </c>
      <c r="U876" s="2">
        <f ca="1">INDEX(INDIRECT(_xlfn.CONCAT("weather.tbl[",U$1,"]")),MATCH(vp.data[[#This Row],[SDate]],weather.tbl[Date],0))</f>
        <v>-12</v>
      </c>
      <c r="V876" s="2">
        <f t="array" ref="V8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1571.3720000000001</v>
      </c>
      <c r="W876" t="s">
        <v>48</v>
      </c>
      <c r="X876">
        <f>IF(OR(vp.data[[#This Row],[Sulf]]="",vp.data[[#This Row],[Dens]]=""),1,0)</f>
        <v>0</v>
      </c>
      <c r="Y876">
        <f>IF(vp.data[[#This Row],[CrudeType]]="C5+",1,0)</f>
        <v>0</v>
      </c>
      <c r="Z876">
        <f>IF(AND(vp.data[[#This Row],[CrudeType]]="Crude",vp.data[[#This Row],[Dens]]&lt;=825,vp.data[[#This Row],[Sulf]]&gt;0.5,vp.data[[#This Row],[Unknown]]=0),1,0)</f>
        <v>0</v>
      </c>
      <c r="AA876">
        <f>IF(AND(vp.data[[#This Row],[CrudeType]]="Crude",vp.data[[#This Row],[Dens]]&lt;=825,vp.data[[#This Row],[Sulf]]&lt;=0.5,vp.data[[#This Row],[Unknown]]=0),1,0)</f>
        <v>0</v>
      </c>
      <c r="AB8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6">
        <f>IF(AND(vp.data[[#This Row],[CrudeType]]="Crude",vp.data[[#This Row],[Dens]]&gt;825,vp.data[[#This Row],[Dens]]&lt;=900,vp.data[[#This Row],[Sulf]]&lt;=0.5,vp.data[[#This Row],[Unknown]]=0),1,0)</f>
        <v>0</v>
      </c>
      <c r="AD876">
        <f>IF(AND(vp.data[[#This Row],[CrudeType]]="Crude",vp.data[[#This Row],[Dens]]&gt;865,vp.data[[#This Row],[Dens]]&lt;=900,vp.data[[#This Row],[Sulf]]&gt;2,vp.data[[#This Row],[Unknown]]=0),1,0)</f>
        <v>0</v>
      </c>
      <c r="AE876">
        <f>IF(AND(vp.data[[#This Row],[CrudeType]]="Crude",vp.data[[#This Row],[Dens]]&gt;900,vp.data[[#This Row],[Sulf]]&lt;=0.5,vp.data[[#This Row],[Unknown]]=0),1,0)</f>
        <v>0</v>
      </c>
      <c r="AF876">
        <f>IF(AND(vp.data[[#This Row],[CrudeType]]="Crude",vp.data[[#This Row],[Dens]]&gt;900,vp.data[[#This Row],[Sulf]]&lt;=0.5,vp.data[[#This Row],[Unknown]]=0),1,0)</f>
        <v>0</v>
      </c>
      <c r="AG876" t="str">
        <f>INDEX(vp.data[[#Headers],[Unknown]:[Heavy_SW]],MATCH(1,vp.data[[#This Row],[Unknown]:[Heavy_SW]],0))</f>
        <v>Medium_LSB</v>
      </c>
      <c r="AH876">
        <f>INDEX([3]!crudeBD.lkup[Number],MATCH(vp.data[[#This Row],[Crude_Breakdown]],crudeBD.lkup[Crude Breakdown],0))</f>
        <v>3</v>
      </c>
      <c r="AI876">
        <f>MONTH(vp.data[[#This Row],[SDate]])</f>
        <v>2</v>
      </c>
      <c r="AJ876" s="5">
        <f>(vp.data[[#This Row],[VP]]-INDEX(crudeBD.lkup[Mean_VP],MATCH(vp.data[[#This Row],[Crude_Breakdown]],crudeBD.lkup[Crude Breakdown],0)))^2</f>
        <v>3.3844098081237801</v>
      </c>
      <c r="AK876" s="5">
        <f>(vp.data[[#This Row],[Dens]]-INDEX(crudeBD.lkup[Mean_Dens],MATCH(vp.data[[#This Row],[Crude_Breakdown]],crudeBD.lkup[Crude Breakdown],0)))^2</f>
        <v>34.574400000005298</v>
      </c>
      <c r="AL876" s="5">
        <f>(vp.data[[#This Row],[Sulf]]-INDEX(crudeBD.lkup[Mean_Sulf],MATCH(vp.data[[#This Row],[Crude_Breakdown]],crudeBD.lkup[Crude Breakdown],0)))^2</f>
        <v>1.3593664923185506E-2</v>
      </c>
      <c r="AM876" s="4">
        <f>IF(AND(vp.data[[#This Row],[SDate]]&gt;=DATE(YEAR(vp.data[[#This Row],[SDate]]),5,1),vp.data[[#This Row],[SDate]]&lt;=DATE(YEAR(vp.data[[#This Row],[SDate]]),9,15)),1,0)</f>
        <v>0</v>
      </c>
      <c r="AN876" s="4">
        <f>IF(vp.data[[#This Row],[SDate]]&lt;DATE(2016,12,1),0,1)</f>
        <v>1</v>
      </c>
      <c r="AO876" s="4">
        <f>IFERROR(vp.data[[#This Row],[Sulf]]*vp.data[[#This Row],[Net Dens]],"")</f>
        <v>2005698.5922512</v>
      </c>
      <c r="AP876">
        <f>IFERROR(vp.data[[#This Row],[Dens]]*vp.data[[#This Row],[VolumeM3]],"")</f>
        <v>1335351.9256</v>
      </c>
      <c r="AQ876" s="15">
        <f>IFERROR(vp.data[[#This Row],[VP]]*vp.data[[#This Row],[VolumeM3]],"")</f>
        <v>123824.1136</v>
      </c>
    </row>
    <row r="877" spans="1:43" x14ac:dyDescent="0.25">
      <c r="A877">
        <v>876</v>
      </c>
      <c r="B877" t="s">
        <v>51</v>
      </c>
      <c r="C877" t="s">
        <v>51</v>
      </c>
      <c r="D877" t="s">
        <v>66</v>
      </c>
      <c r="F877" s="1">
        <v>42791</v>
      </c>
      <c r="G877" s="2">
        <v>91.8</v>
      </c>
      <c r="H877" s="2"/>
      <c r="I877" s="2">
        <f t="array" ref="I877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877" s="2">
        <v>13</v>
      </c>
      <c r="K877" s="2">
        <v>-8</v>
      </c>
      <c r="L877" s="2">
        <v>824.8</v>
      </c>
      <c r="M877" s="2">
        <f t="array" ref="M877">_xlfn.IFNA(IF(vp.data[[#This Row],[Dens Input]]="",INDEX([1]DATA!$O$3:$O$9826,MATCH(1,(vp.data[[#This Row],[Battery]]=[1]DATA!$L$3:$L$9826)*(EOMONTH(vp.data[[#This Row],[SDate]],-1)+1=[1]DATA!$G$3:$G$9826),0)),vp.data[[#This Row],[Dens Input]]),"")</f>
        <v>824.8</v>
      </c>
      <c r="N877" s="2">
        <f ca="1">INDEX(INDIRECT(_xlfn.CONCAT("weather.tbl[",N$1,"]")),MATCH(vp.data[[#This Row],[SDate]],weather.tbl[Date],0))</f>
        <v>-11.833333333333334</v>
      </c>
      <c r="O877" s="2">
        <f ca="1">INDEX(INDIRECT(_xlfn.CONCAT("weather.tbl[",O$1,"]")),MATCH(vp.data[[#This Row],[SDate]],weather.tbl[Date],0))</f>
        <v>-3.1214285714285714</v>
      </c>
      <c r="P877" s="2">
        <f ca="1">INDEX(INDIRECT(_xlfn.CONCAT("weather.tbl[",P$1,"]")),MATCH(vp.data[[#This Row],[SDate]],weather.tbl[Date],0))</f>
        <v>-12.3</v>
      </c>
      <c r="Q877" s="2">
        <f ca="1">INDEX(INDIRECT(_xlfn.CONCAT("weather.tbl[",Q$1,"]")),MATCH(vp.data[[#This Row],[SDate]],weather.tbl[Date],0))</f>
        <v>-11.9</v>
      </c>
      <c r="R877" s="2">
        <f ca="1">INDEX(INDIRECT(_xlfn.CONCAT("weather.tbl[",R$1,"]")),MATCH(vp.data[[#This Row],[SDate]],weather.tbl[Date],0))</f>
        <v>-10</v>
      </c>
      <c r="S877" s="2">
        <f ca="1">INDEX(INDIRECT(_xlfn.CONCAT("weather.tbl[",S$1,"]")),MATCH(vp.data[[#This Row],[SDate]],weather.tbl[Date],0))</f>
        <v>-11.3</v>
      </c>
      <c r="T877" s="2">
        <f ca="1">INDEX(INDIRECT(_xlfn.CONCAT("weather.tbl[",T$1,"]")),MATCH(vp.data[[#This Row],[SDate]],weather.tbl[Date],0))</f>
        <v>-13.5</v>
      </c>
      <c r="U877" s="2">
        <f ca="1">INDEX(INDIRECT(_xlfn.CONCAT("weather.tbl[",U$1,"]")),MATCH(vp.data[[#This Row],[SDate]],weather.tbl[Date],0))</f>
        <v>-12</v>
      </c>
      <c r="V877" s="2">
        <f t="array" ref="V8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3995.7719999999999</v>
      </c>
      <c r="W877" t="s">
        <v>48</v>
      </c>
      <c r="X877">
        <f>IF(OR(vp.data[[#This Row],[Sulf]]="",vp.data[[#This Row],[Dens]]=""),1,0)</f>
        <v>0</v>
      </c>
      <c r="Y877">
        <f>IF(vp.data[[#This Row],[CrudeType]]="C5+",1,0)</f>
        <v>0</v>
      </c>
      <c r="Z877">
        <f>IF(AND(vp.data[[#This Row],[CrudeType]]="Crude",vp.data[[#This Row],[Dens]]&lt;=825,vp.data[[#This Row],[Sulf]]&gt;0.5,vp.data[[#This Row],[Unknown]]=0),1,0)</f>
        <v>1</v>
      </c>
      <c r="AA877">
        <f>IF(AND(vp.data[[#This Row],[CrudeType]]="Crude",vp.data[[#This Row],[Dens]]&lt;=825,vp.data[[#This Row],[Sulf]]&lt;=0.5,vp.data[[#This Row],[Unknown]]=0),1,0)</f>
        <v>0</v>
      </c>
      <c r="AB8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77">
        <f>IF(AND(vp.data[[#This Row],[CrudeType]]="Crude",vp.data[[#This Row],[Dens]]&gt;825,vp.data[[#This Row],[Dens]]&lt;=900,vp.data[[#This Row],[Sulf]]&lt;=0.5,vp.data[[#This Row],[Unknown]]=0),1,0)</f>
        <v>0</v>
      </c>
      <c r="AD877">
        <f>IF(AND(vp.data[[#This Row],[CrudeType]]="Crude",vp.data[[#This Row],[Dens]]&gt;865,vp.data[[#This Row],[Dens]]&lt;=900,vp.data[[#This Row],[Sulf]]&gt;2,vp.data[[#This Row],[Unknown]]=0),1,0)</f>
        <v>0</v>
      </c>
      <c r="AE877">
        <f>IF(AND(vp.data[[#This Row],[CrudeType]]="Crude",vp.data[[#This Row],[Dens]]&gt;900,vp.data[[#This Row],[Sulf]]&lt;=0.5,vp.data[[#This Row],[Unknown]]=0),1,0)</f>
        <v>0</v>
      </c>
      <c r="AF877">
        <f>IF(AND(vp.data[[#This Row],[CrudeType]]="Crude",vp.data[[#This Row],[Dens]]&gt;900,vp.data[[#This Row],[Sulf]]&lt;=0.5,vp.data[[#This Row],[Unknown]]=0),1,0)</f>
        <v>0</v>
      </c>
      <c r="AG877" t="str">
        <f>INDEX(vp.data[[#Headers],[Unknown]:[Heavy_SW]],MATCH(1,vp.data[[#This Row],[Unknown]:[Heavy_SW]],0))</f>
        <v>Light_LSB</v>
      </c>
      <c r="AH877">
        <f>INDEX([3]!crudeBD.lkup[Number],MATCH(vp.data[[#This Row],[Crude_Breakdown]],crudeBD.lkup[Crude Breakdown],0))</f>
        <v>1</v>
      </c>
      <c r="AI877">
        <f>MONTH(vp.data[[#This Row],[SDate]])</f>
        <v>2</v>
      </c>
      <c r="AJ877" s="5">
        <f>(vp.data[[#This Row],[VP]]-INDEX(crudeBD.lkup[Mean_VP],MATCH(vp.data[[#This Row],[Crude_Breakdown]],crudeBD.lkup[Crude Breakdown],0)))^2</f>
        <v>6.4421766393860977E-2</v>
      </c>
      <c r="AK877" s="5">
        <f>(vp.data[[#This Row],[Dens]]-INDEX(crudeBD.lkup[Mean_Dens],MATCH(vp.data[[#This Row],[Crude_Breakdown]],crudeBD.lkup[Crude Breakdown],0)))^2</f>
        <v>39.478982255763228</v>
      </c>
      <c r="AL877" s="5">
        <f>(vp.data[[#This Row],[Sulf]]-INDEX(crudeBD.lkup[Mean_Sulf],MATCH(vp.data[[#This Row],[Crude_Breakdown]],crudeBD.lkup[Crude Breakdown],0)))^2</f>
        <v>0.41864630894122806</v>
      </c>
      <c r="AM877" s="4">
        <f>IF(AND(vp.data[[#This Row],[SDate]]&gt;=DATE(YEAR(vp.data[[#This Row],[SDate]]),5,1),vp.data[[#This Row],[SDate]]&lt;=DATE(YEAR(vp.data[[#This Row],[SDate]]),9,15)),1,0)</f>
        <v>0</v>
      </c>
      <c r="AN877" s="4">
        <f>IF(vp.data[[#This Row],[SDate]]&lt;DATE(2016,12,1),0,1)</f>
        <v>1</v>
      </c>
      <c r="AO877" s="4">
        <f>IFERROR(vp.data[[#This Row],[Sulf]]*vp.data[[#This Row],[Net Dens]],"")</f>
        <v>5174269.0105919996</v>
      </c>
      <c r="AP877">
        <f>IFERROR(vp.data[[#This Row],[Dens]]*vp.data[[#This Row],[VolumeM3]],"")</f>
        <v>3295712.7455999996</v>
      </c>
      <c r="AQ877" s="15">
        <f>IFERROR(vp.data[[#This Row],[VP]]*vp.data[[#This Row],[VolumeM3]],"")</f>
        <v>366811.86959999998</v>
      </c>
    </row>
    <row r="878" spans="1:43" x14ac:dyDescent="0.25">
      <c r="A878">
        <v>877</v>
      </c>
      <c r="B878" t="s">
        <v>108</v>
      </c>
      <c r="C878" t="s">
        <v>108</v>
      </c>
      <c r="D878" t="s">
        <v>109</v>
      </c>
      <c r="F878" s="1">
        <v>42791</v>
      </c>
      <c r="G878" s="2">
        <v>87.5</v>
      </c>
      <c r="H878" s="2"/>
      <c r="I878" s="2">
        <f t="array" ref="I878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878" s="2">
        <v>25</v>
      </c>
      <c r="K878" s="2">
        <v>-8</v>
      </c>
      <c r="L878" s="2">
        <v>834.3</v>
      </c>
      <c r="M878" s="2">
        <f t="array" ref="M878">_xlfn.IFNA(IF(vp.data[[#This Row],[Dens Input]]="",INDEX([1]DATA!$O$3:$O$9826,MATCH(1,(vp.data[[#This Row],[Battery]]=[1]DATA!$L$3:$L$9826)*(EOMONTH(vp.data[[#This Row],[SDate]],-1)+1=[1]DATA!$G$3:$G$9826),0)),vp.data[[#This Row],[Dens Input]]),"")</f>
        <v>834.3</v>
      </c>
      <c r="N878" s="2">
        <f ca="1">INDEX(INDIRECT(_xlfn.CONCAT("weather.tbl[",N$1,"]")),MATCH(vp.data[[#This Row],[SDate]],weather.tbl[Date],0))</f>
        <v>-11.833333333333334</v>
      </c>
      <c r="O878" s="2">
        <f ca="1">INDEX(INDIRECT(_xlfn.CONCAT("weather.tbl[",O$1,"]")),MATCH(vp.data[[#This Row],[SDate]],weather.tbl[Date],0))</f>
        <v>-3.1214285714285714</v>
      </c>
      <c r="P878" s="2">
        <f ca="1">INDEX(INDIRECT(_xlfn.CONCAT("weather.tbl[",P$1,"]")),MATCH(vp.data[[#This Row],[SDate]],weather.tbl[Date],0))</f>
        <v>-12.3</v>
      </c>
      <c r="Q878" s="2">
        <f ca="1">INDEX(INDIRECT(_xlfn.CONCAT("weather.tbl[",Q$1,"]")),MATCH(vp.data[[#This Row],[SDate]],weather.tbl[Date],0))</f>
        <v>-11.9</v>
      </c>
      <c r="R878" s="2">
        <f ca="1">INDEX(INDIRECT(_xlfn.CONCAT("weather.tbl[",R$1,"]")),MATCH(vp.data[[#This Row],[SDate]],weather.tbl[Date],0))</f>
        <v>-10</v>
      </c>
      <c r="S878" s="2">
        <f ca="1">INDEX(INDIRECT(_xlfn.CONCAT("weather.tbl[",S$1,"]")),MATCH(vp.data[[#This Row],[SDate]],weather.tbl[Date],0))</f>
        <v>-11.3</v>
      </c>
      <c r="T878" s="2">
        <f ca="1">INDEX(INDIRECT(_xlfn.CONCAT("weather.tbl[",T$1,"]")),MATCH(vp.data[[#This Row],[SDate]],weather.tbl[Date],0))</f>
        <v>-13.5</v>
      </c>
      <c r="U878" s="2">
        <f ca="1">INDEX(INDIRECT(_xlfn.CONCAT("weather.tbl[",U$1,"]")),MATCH(vp.data[[#This Row],[SDate]],weather.tbl[Date],0))</f>
        <v>-12</v>
      </c>
      <c r="V878" s="2">
        <f t="array" ref="V8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8446.2999999999993</v>
      </c>
      <c r="W878" t="s">
        <v>48</v>
      </c>
      <c r="X878">
        <f>IF(OR(vp.data[[#This Row],[Sulf]]="",vp.data[[#This Row],[Dens]]=""),1,0)</f>
        <v>0</v>
      </c>
      <c r="Y878">
        <f>IF(vp.data[[#This Row],[CrudeType]]="C5+",1,0)</f>
        <v>0</v>
      </c>
      <c r="Z878">
        <f>IF(AND(vp.data[[#This Row],[CrudeType]]="Crude",vp.data[[#This Row],[Dens]]&lt;=825,vp.data[[#This Row],[Sulf]]&gt;0.5,vp.data[[#This Row],[Unknown]]=0),1,0)</f>
        <v>0</v>
      </c>
      <c r="AA878">
        <f>IF(AND(vp.data[[#This Row],[CrudeType]]="Crude",vp.data[[#This Row],[Dens]]&lt;=825,vp.data[[#This Row],[Sulf]]&lt;=0.5,vp.data[[#This Row],[Unknown]]=0),1,0)</f>
        <v>0</v>
      </c>
      <c r="AB8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8">
        <f>IF(AND(vp.data[[#This Row],[CrudeType]]="Crude",vp.data[[#This Row],[Dens]]&gt;825,vp.data[[#This Row],[Dens]]&lt;=900,vp.data[[#This Row],[Sulf]]&lt;=0.5,vp.data[[#This Row],[Unknown]]=0),1,0)</f>
        <v>0</v>
      </c>
      <c r="AD878">
        <f>IF(AND(vp.data[[#This Row],[CrudeType]]="Crude",vp.data[[#This Row],[Dens]]&gt;865,vp.data[[#This Row],[Dens]]&lt;=900,vp.data[[#This Row],[Sulf]]&gt;2,vp.data[[#This Row],[Unknown]]=0),1,0)</f>
        <v>0</v>
      </c>
      <c r="AE878">
        <f>IF(AND(vp.data[[#This Row],[CrudeType]]="Crude",vp.data[[#This Row],[Dens]]&gt;900,vp.data[[#This Row],[Sulf]]&lt;=0.5,vp.data[[#This Row],[Unknown]]=0),1,0)</f>
        <v>0</v>
      </c>
      <c r="AF878">
        <f>IF(AND(vp.data[[#This Row],[CrudeType]]="Crude",vp.data[[#This Row],[Dens]]&gt;900,vp.data[[#This Row],[Sulf]]&lt;=0.5,vp.data[[#This Row],[Unknown]]=0),1,0)</f>
        <v>0</v>
      </c>
      <c r="AG878" t="str">
        <f>INDEX(vp.data[[#Headers],[Unknown]:[Heavy_SW]],MATCH(1,vp.data[[#This Row],[Unknown]:[Heavy_SW]],0))</f>
        <v>Medium_LSB</v>
      </c>
      <c r="AH878">
        <f>INDEX([3]!crudeBD.lkup[Number],MATCH(vp.data[[#This Row],[Crude_Breakdown]],crudeBD.lkup[Crude Breakdown],0))</f>
        <v>3</v>
      </c>
      <c r="AI878">
        <f>MONTH(vp.data[[#This Row],[SDate]])</f>
        <v>2</v>
      </c>
      <c r="AJ878" s="5">
        <f>(vp.data[[#This Row],[VP]]-INDEX(crudeBD.lkup[Mean_VP],MATCH(vp.data[[#This Row],[Crude_Breakdown]],crudeBD.lkup[Crude Breakdown],0)))^2</f>
        <v>47.064037840470029</v>
      </c>
      <c r="AK878" s="5">
        <f>(vp.data[[#This Row],[Dens]]-INDEX(crudeBD.lkup[Mean_Dens],MATCH(vp.data[[#This Row],[Crude_Breakdown]],crudeBD.lkup[Crude Breakdown],0)))^2</f>
        <v>92.544399999991342</v>
      </c>
      <c r="AL878" s="5">
        <f>(vp.data[[#This Row],[Sulf]]-INDEX(crudeBD.lkup[Mean_Sulf],MATCH(vp.data[[#This Row],[Crude_Breakdown]],crudeBD.lkup[Crude Breakdown],0)))^2</f>
        <v>0.378727162389495</v>
      </c>
      <c r="AM878" s="4">
        <f>IF(AND(vp.data[[#This Row],[SDate]]&gt;=DATE(YEAR(vp.data[[#This Row],[SDate]]),5,1),vp.data[[#This Row],[SDate]]&lt;=DATE(YEAR(vp.data[[#This Row],[SDate]]),9,15)),1,0)</f>
        <v>0</v>
      </c>
      <c r="AN878" s="4">
        <f>IF(vp.data[[#This Row],[SDate]]&lt;DATE(2016,12,1),0,1)</f>
        <v>1</v>
      </c>
      <c r="AO878" s="4">
        <f>IFERROR(vp.data[[#This Row],[Sulf]]*vp.data[[#This Row],[Net Dens]],"")</f>
        <v>5425996.0292999996</v>
      </c>
      <c r="AP878">
        <f>IFERROR(vp.data[[#This Row],[Dens]]*vp.data[[#This Row],[VolumeM3]],"")</f>
        <v>7046748.0899999989</v>
      </c>
      <c r="AQ878" s="15">
        <f>IFERROR(vp.data[[#This Row],[VP]]*vp.data[[#This Row],[VolumeM3]],"")</f>
        <v>739051.24999999988</v>
      </c>
    </row>
    <row r="879" spans="1:43" x14ac:dyDescent="0.25">
      <c r="A879">
        <v>878</v>
      </c>
      <c r="B879" t="s">
        <v>56</v>
      </c>
      <c r="C879" t="s">
        <v>56</v>
      </c>
      <c r="D879" t="s">
        <v>176</v>
      </c>
      <c r="F879" s="1">
        <v>42791</v>
      </c>
      <c r="G879" s="2">
        <v>91.1</v>
      </c>
      <c r="H879" s="2"/>
      <c r="I879" s="2">
        <f t="array" ref="I879">_xlfn.IFNA(IF(vp.data[[#This Row],[Sulf Input]]="",INDEX([1]DATA!$Q$3:$Q$9826,MATCH(1,(vp.data[[#This Row],[Battery]]=[1]DATA!$L$3:$L$9826)*(EOMONTH(vp.data[[#This Row],[SDate]],-1)+1=[1]DATA!$G$3:$G$9826),0)),vp.data[[#This Row],[Sulf Input]]),"")</f>
        <v>0.98</v>
      </c>
      <c r="J879" s="2">
        <v>14.1</v>
      </c>
      <c r="K879" s="2">
        <v>-8</v>
      </c>
      <c r="L879" s="2">
        <v>836.3</v>
      </c>
      <c r="M879" s="2">
        <f t="array" ref="M879">_xlfn.IFNA(IF(vp.data[[#This Row],[Dens Input]]="",INDEX([1]DATA!$O$3:$O$9826,MATCH(1,(vp.data[[#This Row],[Battery]]=[1]DATA!$L$3:$L$9826)*(EOMONTH(vp.data[[#This Row],[SDate]],-1)+1=[1]DATA!$G$3:$G$9826),0)),vp.data[[#This Row],[Dens Input]]),"")</f>
        <v>836.3</v>
      </c>
      <c r="N879" s="2">
        <f ca="1">INDEX(INDIRECT(_xlfn.CONCAT("weather.tbl[",N$1,"]")),MATCH(vp.data[[#This Row],[SDate]],weather.tbl[Date],0))</f>
        <v>-11.833333333333334</v>
      </c>
      <c r="O879" s="2">
        <f ca="1">INDEX(INDIRECT(_xlfn.CONCAT("weather.tbl[",O$1,"]")),MATCH(vp.data[[#This Row],[SDate]],weather.tbl[Date],0))</f>
        <v>-3.1214285714285714</v>
      </c>
      <c r="P879" s="2">
        <f ca="1">INDEX(INDIRECT(_xlfn.CONCAT("weather.tbl[",P$1,"]")),MATCH(vp.data[[#This Row],[SDate]],weather.tbl[Date],0))</f>
        <v>-12.3</v>
      </c>
      <c r="Q879" s="2">
        <f ca="1">INDEX(INDIRECT(_xlfn.CONCAT("weather.tbl[",Q$1,"]")),MATCH(vp.data[[#This Row],[SDate]],weather.tbl[Date],0))</f>
        <v>-11.9</v>
      </c>
      <c r="R879" s="2">
        <f ca="1">INDEX(INDIRECT(_xlfn.CONCAT("weather.tbl[",R$1,"]")),MATCH(vp.data[[#This Row],[SDate]],weather.tbl[Date],0))</f>
        <v>-10</v>
      </c>
      <c r="S879" s="2">
        <f ca="1">INDEX(INDIRECT(_xlfn.CONCAT("weather.tbl[",S$1,"]")),MATCH(vp.data[[#This Row],[SDate]],weather.tbl[Date],0))</f>
        <v>-11.3</v>
      </c>
      <c r="T879" s="2">
        <f ca="1">INDEX(INDIRECT(_xlfn.CONCAT("weather.tbl[",T$1,"]")),MATCH(vp.data[[#This Row],[SDate]],weather.tbl[Date],0))</f>
        <v>-13.5</v>
      </c>
      <c r="U879" s="2">
        <f ca="1">INDEX(INDIRECT(_xlfn.CONCAT("weather.tbl[",U$1,"]")),MATCH(vp.data[[#This Row],[SDate]],weather.tbl[Date],0))</f>
        <v>-12</v>
      </c>
      <c r="V879" s="2">
        <f t="array" ref="V8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1613.1030000000001</v>
      </c>
      <c r="W879" t="s">
        <v>48</v>
      </c>
      <c r="X879">
        <f>IF(OR(vp.data[[#This Row],[Sulf]]="",vp.data[[#This Row],[Dens]]=""),1,0)</f>
        <v>0</v>
      </c>
      <c r="Y879">
        <f>IF(vp.data[[#This Row],[CrudeType]]="C5+",1,0)</f>
        <v>0</v>
      </c>
      <c r="Z879">
        <f>IF(AND(vp.data[[#This Row],[CrudeType]]="Crude",vp.data[[#This Row],[Dens]]&lt;=825,vp.data[[#This Row],[Sulf]]&gt;0.5,vp.data[[#This Row],[Unknown]]=0),1,0)</f>
        <v>0</v>
      </c>
      <c r="AA879">
        <f>IF(AND(vp.data[[#This Row],[CrudeType]]="Crude",vp.data[[#This Row],[Dens]]&lt;=825,vp.data[[#This Row],[Sulf]]&lt;=0.5,vp.data[[#This Row],[Unknown]]=0),1,0)</f>
        <v>0</v>
      </c>
      <c r="AB8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79">
        <f>IF(AND(vp.data[[#This Row],[CrudeType]]="Crude",vp.data[[#This Row],[Dens]]&gt;825,vp.data[[#This Row],[Dens]]&lt;=900,vp.data[[#This Row],[Sulf]]&lt;=0.5,vp.data[[#This Row],[Unknown]]=0),1,0)</f>
        <v>0</v>
      </c>
      <c r="AD879">
        <f>IF(AND(vp.data[[#This Row],[CrudeType]]="Crude",vp.data[[#This Row],[Dens]]&gt;865,vp.data[[#This Row],[Dens]]&lt;=900,vp.data[[#This Row],[Sulf]]&gt;2,vp.data[[#This Row],[Unknown]]=0),1,0)</f>
        <v>0</v>
      </c>
      <c r="AE879">
        <f>IF(AND(vp.data[[#This Row],[CrudeType]]="Crude",vp.data[[#This Row],[Dens]]&gt;900,vp.data[[#This Row],[Sulf]]&lt;=0.5,vp.data[[#This Row],[Unknown]]=0),1,0)</f>
        <v>0</v>
      </c>
      <c r="AF879">
        <f>IF(AND(vp.data[[#This Row],[CrudeType]]="Crude",vp.data[[#This Row],[Dens]]&gt;900,vp.data[[#This Row],[Sulf]]&lt;=0.5,vp.data[[#This Row],[Unknown]]=0),1,0)</f>
        <v>0</v>
      </c>
      <c r="AG879" t="str">
        <f>INDEX(vp.data[[#Headers],[Unknown]:[Heavy_SW]],MATCH(1,vp.data[[#This Row],[Unknown]:[Heavy_SW]],0))</f>
        <v>Medium_LSB</v>
      </c>
      <c r="AH879">
        <f>INDEX([3]!crudeBD.lkup[Number],MATCH(vp.data[[#This Row],[Crude_Breakdown]],crudeBD.lkup[Crude Breakdown],0))</f>
        <v>3</v>
      </c>
      <c r="AI879">
        <f>MONTH(vp.data[[#This Row],[SDate]])</f>
        <v>2</v>
      </c>
      <c r="AJ879" s="5">
        <f>(vp.data[[#This Row],[VP]]-INDEX(crudeBD.lkup[Mean_VP],MATCH(vp.data[[#This Row],[Crude_Breakdown]],crudeBD.lkup[Crude Breakdown],0)))^2</f>
        <v>109.41836668144077</v>
      </c>
      <c r="AK879" s="5">
        <f>(vp.data[[#This Row],[Dens]]-INDEX(crudeBD.lkup[Mean_Dens],MATCH(vp.data[[#This Row],[Crude_Breakdown]],crudeBD.lkup[Crude Breakdown],0)))^2</f>
        <v>58.064399999993142</v>
      </c>
      <c r="AL879" s="5">
        <f>(vp.data[[#This Row],[Sulf]]-INDEX(crudeBD.lkup[Mean_Sulf],MATCH(vp.data[[#This Row],[Crude_Breakdown]],crudeBD.lkup[Crude Breakdown],0)))^2</f>
        <v>0.16435574918194723</v>
      </c>
      <c r="AM879" s="4">
        <f>IF(AND(vp.data[[#This Row],[SDate]]&gt;=DATE(YEAR(vp.data[[#This Row],[SDate]]),5,1),vp.data[[#This Row],[SDate]]&lt;=DATE(YEAR(vp.data[[#This Row],[SDate]]),9,15)),1,0)</f>
        <v>0</v>
      </c>
      <c r="AN879" s="4">
        <f>IF(vp.data[[#This Row],[SDate]]&lt;DATE(2016,12,1),0,1)</f>
        <v>1</v>
      </c>
      <c r="AO879" s="4">
        <f>IFERROR(vp.data[[#This Row],[Sulf]]*vp.data[[#This Row],[Net Dens]],"")</f>
        <v>1322057.2781219999</v>
      </c>
      <c r="AP879">
        <f>IFERROR(vp.data[[#This Row],[Dens]]*vp.data[[#This Row],[VolumeM3]],"")</f>
        <v>1349038.0389</v>
      </c>
      <c r="AQ879" s="15">
        <f>IFERROR(vp.data[[#This Row],[VP]]*vp.data[[#This Row],[VolumeM3]],"")</f>
        <v>146953.6833</v>
      </c>
    </row>
    <row r="880" spans="1:43" x14ac:dyDescent="0.25">
      <c r="A880">
        <v>879</v>
      </c>
      <c r="B880" t="s">
        <v>62</v>
      </c>
      <c r="C880" t="s">
        <v>62</v>
      </c>
      <c r="D880" t="s">
        <v>93</v>
      </c>
      <c r="F880" s="1">
        <v>42791</v>
      </c>
      <c r="G880" s="2">
        <v>102.6</v>
      </c>
      <c r="H880" s="2"/>
      <c r="I880" s="2">
        <f t="array" ref="I880">_xlfn.IFNA(IF(vp.data[[#This Row],[Sulf Input]]="",INDEX([1]DATA!$Q$3:$Q$9826,MATCH(1,(vp.data[[#This Row],[Battery]]=[1]DATA!$L$3:$L$9826)*(EOMONTH(vp.data[[#This Row],[SDate]],-1)+1=[1]DATA!$G$3:$G$9826),0)),vp.data[[#This Row],[Sulf Input]]),"")</f>
        <v>0.52</v>
      </c>
      <c r="J880" s="2">
        <v>8.9</v>
      </c>
      <c r="K880" s="2">
        <v>-8</v>
      </c>
      <c r="L880" s="2">
        <v>839</v>
      </c>
      <c r="M880" s="2">
        <f t="array" ref="M880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880" s="2">
        <f ca="1">INDEX(INDIRECT(_xlfn.CONCAT("weather.tbl[",N$1,"]")),MATCH(vp.data[[#This Row],[SDate]],weather.tbl[Date],0))</f>
        <v>-11.833333333333334</v>
      </c>
      <c r="O880" s="2">
        <f ca="1">INDEX(INDIRECT(_xlfn.CONCAT("weather.tbl[",O$1,"]")),MATCH(vp.data[[#This Row],[SDate]],weather.tbl[Date],0))</f>
        <v>-3.1214285714285714</v>
      </c>
      <c r="P880" s="2">
        <f ca="1">INDEX(INDIRECT(_xlfn.CONCAT("weather.tbl[",P$1,"]")),MATCH(vp.data[[#This Row],[SDate]],weather.tbl[Date],0))</f>
        <v>-12.3</v>
      </c>
      <c r="Q880" s="2">
        <f ca="1">INDEX(INDIRECT(_xlfn.CONCAT("weather.tbl[",Q$1,"]")),MATCH(vp.data[[#This Row],[SDate]],weather.tbl[Date],0))</f>
        <v>-11.9</v>
      </c>
      <c r="R880" s="2">
        <f ca="1">INDEX(INDIRECT(_xlfn.CONCAT("weather.tbl[",R$1,"]")),MATCH(vp.data[[#This Row],[SDate]],weather.tbl[Date],0))</f>
        <v>-10</v>
      </c>
      <c r="S880" s="2">
        <f ca="1">INDEX(INDIRECT(_xlfn.CONCAT("weather.tbl[",S$1,"]")),MATCH(vp.data[[#This Row],[SDate]],weather.tbl[Date],0))</f>
        <v>-11.3</v>
      </c>
      <c r="T880" s="2">
        <f ca="1">INDEX(INDIRECT(_xlfn.CONCAT("weather.tbl[",T$1,"]")),MATCH(vp.data[[#This Row],[SDate]],weather.tbl[Date],0))</f>
        <v>-13.5</v>
      </c>
      <c r="U880" s="2">
        <f ca="1">INDEX(INDIRECT(_xlfn.CONCAT("weather.tbl[",U$1,"]")),MATCH(vp.data[[#This Row],[SDate]],weather.tbl[Date],0))</f>
        <v>-12</v>
      </c>
      <c r="V880" s="2">
        <f t="array" ref="V8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593.99300000000005</v>
      </c>
      <c r="W880" t="s">
        <v>48</v>
      </c>
      <c r="X880">
        <f>IF(OR(vp.data[[#This Row],[Sulf]]="",vp.data[[#This Row],[Dens]]=""),1,0)</f>
        <v>0</v>
      </c>
      <c r="Y880">
        <f>IF(vp.data[[#This Row],[CrudeType]]="C5+",1,0)</f>
        <v>0</v>
      </c>
      <c r="Z880">
        <f>IF(AND(vp.data[[#This Row],[CrudeType]]="Crude",vp.data[[#This Row],[Dens]]&lt;=825,vp.data[[#This Row],[Sulf]]&gt;0.5,vp.data[[#This Row],[Unknown]]=0),1,0)</f>
        <v>0</v>
      </c>
      <c r="AA880">
        <f>IF(AND(vp.data[[#This Row],[CrudeType]]="Crude",vp.data[[#This Row],[Dens]]&lt;=825,vp.data[[#This Row],[Sulf]]&lt;=0.5,vp.data[[#This Row],[Unknown]]=0),1,0)</f>
        <v>0</v>
      </c>
      <c r="AB8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0">
        <f>IF(AND(vp.data[[#This Row],[CrudeType]]="Crude",vp.data[[#This Row],[Dens]]&gt;825,vp.data[[#This Row],[Dens]]&lt;=900,vp.data[[#This Row],[Sulf]]&lt;=0.5,vp.data[[#This Row],[Unknown]]=0),1,0)</f>
        <v>0</v>
      </c>
      <c r="AD880">
        <f>IF(AND(vp.data[[#This Row],[CrudeType]]="Crude",vp.data[[#This Row],[Dens]]&gt;865,vp.data[[#This Row],[Dens]]&lt;=900,vp.data[[#This Row],[Sulf]]&gt;2,vp.data[[#This Row],[Unknown]]=0),1,0)</f>
        <v>0</v>
      </c>
      <c r="AE880">
        <f>IF(AND(vp.data[[#This Row],[CrudeType]]="Crude",vp.data[[#This Row],[Dens]]&gt;900,vp.data[[#This Row],[Sulf]]&lt;=0.5,vp.data[[#This Row],[Unknown]]=0),1,0)</f>
        <v>0</v>
      </c>
      <c r="AF880">
        <f>IF(AND(vp.data[[#This Row],[CrudeType]]="Crude",vp.data[[#This Row],[Dens]]&gt;900,vp.data[[#This Row],[Sulf]]&lt;=0.5,vp.data[[#This Row],[Unknown]]=0),1,0)</f>
        <v>0</v>
      </c>
      <c r="AG880" t="str">
        <f>INDEX(vp.data[[#Headers],[Unknown]:[Heavy_SW]],MATCH(1,vp.data[[#This Row],[Unknown]:[Heavy_SW]],0))</f>
        <v>Medium_LSB</v>
      </c>
      <c r="AH880">
        <f>INDEX([3]!crudeBD.lkup[Number],MATCH(vp.data[[#This Row],[Crude_Breakdown]],crudeBD.lkup[Crude Breakdown],0))</f>
        <v>3</v>
      </c>
      <c r="AI880">
        <f>MONTH(vp.data[[#This Row],[SDate]])</f>
        <v>2</v>
      </c>
      <c r="AJ880" s="5">
        <f>(vp.data[[#This Row],[VP]]-INDEX(crudeBD.lkup[Mean_VP],MATCH(vp.data[[#This Row],[Crude_Breakdown]],crudeBD.lkup[Crude Breakdown],0)))^2</f>
        <v>482.25580603454205</v>
      </c>
      <c r="AK880" s="5">
        <f>(vp.data[[#This Row],[Dens]]-INDEX(crudeBD.lkup[Mean_Dens],MATCH(vp.data[[#This Row],[Crude_Breakdown]],crudeBD.lkup[Crude Breakdown],0)))^2</f>
        <v>24.206399999995124</v>
      </c>
      <c r="AL880" s="5">
        <f>(vp.data[[#This Row],[Sulf]]-INDEX(crudeBD.lkup[Mean_Sulf],MATCH(vp.data[[#This Row],[Crude_Breakdown]],crudeBD.lkup[Crude Breakdown],0)))^2</f>
        <v>0.74893122573181381</v>
      </c>
      <c r="AM880" s="4">
        <f>IF(AND(vp.data[[#This Row],[SDate]]&gt;=DATE(YEAR(vp.data[[#This Row],[SDate]]),5,1),vp.data[[#This Row],[SDate]]&lt;=DATE(YEAR(vp.data[[#This Row],[SDate]]),9,15)),1,0)</f>
        <v>0</v>
      </c>
      <c r="AN880" s="4">
        <f>IF(vp.data[[#This Row],[SDate]]&lt;DATE(2016,12,1),0,1)</f>
        <v>1</v>
      </c>
      <c r="AO880" s="4">
        <f>IFERROR(vp.data[[#This Row],[Sulf]]*vp.data[[#This Row],[Net Dens]],"")</f>
        <v>259147.26604000002</v>
      </c>
      <c r="AP880">
        <f>IFERROR(vp.data[[#This Row],[Dens]]*vp.data[[#This Row],[VolumeM3]],"")</f>
        <v>498360.12700000004</v>
      </c>
      <c r="AQ880" s="15">
        <f>IFERROR(vp.data[[#This Row],[VP]]*vp.data[[#This Row],[VolumeM3]],"")</f>
        <v>60943.681799999998</v>
      </c>
    </row>
    <row r="881" spans="1:43" x14ac:dyDescent="0.25">
      <c r="A881">
        <v>880</v>
      </c>
      <c r="B881" t="s">
        <v>51</v>
      </c>
      <c r="C881" t="s">
        <v>51</v>
      </c>
      <c r="D881" t="s">
        <v>177</v>
      </c>
      <c r="F881" s="1">
        <v>42791</v>
      </c>
      <c r="G881" s="2">
        <v>103.5</v>
      </c>
      <c r="H881" s="2"/>
      <c r="I881" s="2">
        <f t="array" ref="I881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881" s="2">
        <v>1.8</v>
      </c>
      <c r="K881" s="2">
        <v>-8</v>
      </c>
      <c r="L881" s="2">
        <v>841.1</v>
      </c>
      <c r="M881" s="2">
        <f t="array" ref="M881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881" s="2">
        <f ca="1">INDEX(INDIRECT(_xlfn.CONCAT("weather.tbl[",N$1,"]")),MATCH(vp.data[[#This Row],[SDate]],weather.tbl[Date],0))</f>
        <v>-11.833333333333334</v>
      </c>
      <c r="O881" s="2">
        <f ca="1">INDEX(INDIRECT(_xlfn.CONCAT("weather.tbl[",O$1,"]")),MATCH(vp.data[[#This Row],[SDate]],weather.tbl[Date],0))</f>
        <v>-3.1214285714285714</v>
      </c>
      <c r="P881" s="2">
        <f ca="1">INDEX(INDIRECT(_xlfn.CONCAT("weather.tbl[",P$1,"]")),MATCH(vp.data[[#This Row],[SDate]],weather.tbl[Date],0))</f>
        <v>-12.3</v>
      </c>
      <c r="Q881" s="2">
        <f ca="1">INDEX(INDIRECT(_xlfn.CONCAT("weather.tbl[",Q$1,"]")),MATCH(vp.data[[#This Row],[SDate]],weather.tbl[Date],0))</f>
        <v>-11.9</v>
      </c>
      <c r="R881" s="2">
        <f ca="1">INDEX(INDIRECT(_xlfn.CONCAT("weather.tbl[",R$1,"]")),MATCH(vp.data[[#This Row],[SDate]],weather.tbl[Date],0))</f>
        <v>-10</v>
      </c>
      <c r="S881" s="2">
        <f ca="1">INDEX(INDIRECT(_xlfn.CONCAT("weather.tbl[",S$1,"]")),MATCH(vp.data[[#This Row],[SDate]],weather.tbl[Date],0))</f>
        <v>-11.3</v>
      </c>
      <c r="T881" s="2">
        <f ca="1">INDEX(INDIRECT(_xlfn.CONCAT("weather.tbl[",T$1,"]")),MATCH(vp.data[[#This Row],[SDate]],weather.tbl[Date],0))</f>
        <v>-13.5</v>
      </c>
      <c r="U881" s="2">
        <f ca="1">INDEX(INDIRECT(_xlfn.CONCAT("weather.tbl[",U$1,"]")),MATCH(vp.data[[#This Row],[SDate]],weather.tbl[Date],0))</f>
        <v>-12</v>
      </c>
      <c r="V881" s="2">
        <f t="array" ref="V8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215.67</v>
      </c>
      <c r="W881" t="s">
        <v>48</v>
      </c>
      <c r="X881">
        <f>IF(OR(vp.data[[#This Row],[Sulf]]="",vp.data[[#This Row],[Dens]]=""),1,0)</f>
        <v>0</v>
      </c>
      <c r="Y881">
        <f>IF(vp.data[[#This Row],[CrudeType]]="C5+",1,0)</f>
        <v>0</v>
      </c>
      <c r="Z881">
        <f>IF(AND(vp.data[[#This Row],[CrudeType]]="Crude",vp.data[[#This Row],[Dens]]&lt;=825,vp.data[[#This Row],[Sulf]]&gt;0.5,vp.data[[#This Row],[Unknown]]=0),1,0)</f>
        <v>0</v>
      </c>
      <c r="AA881">
        <f>IF(AND(vp.data[[#This Row],[CrudeType]]="Crude",vp.data[[#This Row],[Dens]]&lt;=825,vp.data[[#This Row],[Sulf]]&lt;=0.5,vp.data[[#This Row],[Unknown]]=0),1,0)</f>
        <v>0</v>
      </c>
      <c r="AB8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1">
        <f>IF(AND(vp.data[[#This Row],[CrudeType]]="Crude",vp.data[[#This Row],[Dens]]&gt;825,vp.data[[#This Row],[Dens]]&lt;=900,vp.data[[#This Row],[Sulf]]&lt;=0.5,vp.data[[#This Row],[Unknown]]=0),1,0)</f>
        <v>0</v>
      </c>
      <c r="AD881">
        <f>IF(AND(vp.data[[#This Row],[CrudeType]]="Crude",vp.data[[#This Row],[Dens]]&gt;865,vp.data[[#This Row],[Dens]]&lt;=900,vp.data[[#This Row],[Sulf]]&gt;2,vp.data[[#This Row],[Unknown]]=0),1,0)</f>
        <v>0</v>
      </c>
      <c r="AE881">
        <f>IF(AND(vp.data[[#This Row],[CrudeType]]="Crude",vp.data[[#This Row],[Dens]]&gt;900,vp.data[[#This Row],[Sulf]]&lt;=0.5,vp.data[[#This Row],[Unknown]]=0),1,0)</f>
        <v>0</v>
      </c>
      <c r="AF881">
        <f>IF(AND(vp.data[[#This Row],[CrudeType]]="Crude",vp.data[[#This Row],[Dens]]&gt;900,vp.data[[#This Row],[Sulf]]&lt;=0.5,vp.data[[#This Row],[Unknown]]=0),1,0)</f>
        <v>0</v>
      </c>
      <c r="AG881" t="str">
        <f>INDEX(vp.data[[#Headers],[Unknown]:[Heavy_SW]],MATCH(1,vp.data[[#This Row],[Unknown]:[Heavy_SW]],0))</f>
        <v>Medium_LSB</v>
      </c>
      <c r="AH881">
        <f>INDEX([3]!crudeBD.lkup[Number],MATCH(vp.data[[#This Row],[Crude_Breakdown]],crudeBD.lkup[Crude Breakdown],0))</f>
        <v>3</v>
      </c>
      <c r="AI881">
        <f>MONTH(vp.data[[#This Row],[SDate]])</f>
        <v>2</v>
      </c>
      <c r="AJ881" s="5">
        <f>(vp.data[[#This Row],[VP]]-INDEX(crudeBD.lkup[Mean_VP],MATCH(vp.data[[#This Row],[Crude_Breakdown]],crudeBD.lkup[Crude Breakdown],0)))^2</f>
        <v>522.59438824478502</v>
      </c>
      <c r="AK881" s="5">
        <f>(vp.data[[#This Row],[Dens]]-INDEX(crudeBD.lkup[Mean_Dens],MATCH(vp.data[[#This Row],[Crude_Breakdown]],crudeBD.lkup[Crude Breakdown],0)))^2</f>
        <v>7.952399999997076</v>
      </c>
      <c r="AL881" s="5">
        <f>(vp.data[[#This Row],[Sulf]]-INDEX(crudeBD.lkup[Mean_Sulf],MATCH(vp.data[[#This Row],[Crude_Breakdown]],crudeBD.lkup[Crude Breakdown],0)))^2</f>
        <v>5.6863855700863518E-3</v>
      </c>
      <c r="AM881" s="4">
        <f>IF(AND(vp.data[[#This Row],[SDate]]&gt;=DATE(YEAR(vp.data[[#This Row],[SDate]]),5,1),vp.data[[#This Row],[SDate]]&lt;=DATE(YEAR(vp.data[[#This Row],[SDate]]),9,15)),1,0)</f>
        <v>0</v>
      </c>
      <c r="AN881" s="4">
        <f>IF(vp.data[[#This Row],[SDate]]&lt;DATE(2016,12,1),0,1)</f>
        <v>1</v>
      </c>
      <c r="AO881" s="4">
        <f>IFERROR(vp.data[[#This Row],[Sulf]]*vp.data[[#This Row],[Net Dens]],"")</f>
        <v>237634.04846999998</v>
      </c>
      <c r="AP881">
        <f>IFERROR(vp.data[[#This Row],[Dens]]*vp.data[[#This Row],[VolumeM3]],"")</f>
        <v>181400.03699999998</v>
      </c>
      <c r="AQ881" s="15">
        <f>IFERROR(vp.data[[#This Row],[VP]]*vp.data[[#This Row],[VolumeM3]],"")</f>
        <v>22321.844999999998</v>
      </c>
    </row>
    <row r="882" spans="1:43" x14ac:dyDescent="0.25">
      <c r="A882">
        <v>881</v>
      </c>
      <c r="B882" t="s">
        <v>178</v>
      </c>
      <c r="C882" t="s">
        <v>178</v>
      </c>
      <c r="D882" t="s">
        <v>179</v>
      </c>
      <c r="F882" s="1">
        <v>42791</v>
      </c>
      <c r="G882" s="2">
        <v>88.6</v>
      </c>
      <c r="H882" s="2"/>
      <c r="I882" s="2">
        <f t="array" ref="I882">_xlfn.IFNA(IF(vp.data[[#This Row],[Sulf Input]]="",INDEX([1]DATA!$Q$3:$Q$9826,MATCH(1,(vp.data[[#This Row],[Battery]]=[1]DATA!$L$3:$L$9826)*(EOMONTH(vp.data[[#This Row],[SDate]],-1)+1=[1]DATA!$G$3:$G$9826),0)),vp.data[[#This Row],[Sulf Input]]),"")</f>
        <v>1.42</v>
      </c>
      <c r="J882" s="2">
        <v>1</v>
      </c>
      <c r="K882" s="2">
        <v>-8</v>
      </c>
      <c r="L882" s="2">
        <v>849.3</v>
      </c>
      <c r="M882" s="2">
        <f t="array" ref="M882">_xlfn.IFNA(IF(vp.data[[#This Row],[Dens Input]]="",INDEX([1]DATA!$O$3:$O$9826,MATCH(1,(vp.data[[#This Row],[Battery]]=[1]DATA!$L$3:$L$9826)*(EOMONTH(vp.data[[#This Row],[SDate]],-1)+1=[1]DATA!$G$3:$G$9826),0)),vp.data[[#This Row],[Dens Input]]),"")</f>
        <v>849.3</v>
      </c>
      <c r="N882" s="2">
        <f ca="1">INDEX(INDIRECT(_xlfn.CONCAT("weather.tbl[",N$1,"]")),MATCH(vp.data[[#This Row],[SDate]],weather.tbl[Date],0))</f>
        <v>-11.833333333333334</v>
      </c>
      <c r="O882" s="2">
        <f ca="1">INDEX(INDIRECT(_xlfn.CONCAT("weather.tbl[",O$1,"]")),MATCH(vp.data[[#This Row],[SDate]],weather.tbl[Date],0))</f>
        <v>-3.1214285714285714</v>
      </c>
      <c r="P882" s="2">
        <f ca="1">INDEX(INDIRECT(_xlfn.CONCAT("weather.tbl[",P$1,"]")),MATCH(vp.data[[#This Row],[SDate]],weather.tbl[Date],0))</f>
        <v>-12.3</v>
      </c>
      <c r="Q882" s="2">
        <f ca="1">INDEX(INDIRECT(_xlfn.CONCAT("weather.tbl[",Q$1,"]")),MATCH(vp.data[[#This Row],[SDate]],weather.tbl[Date],0))</f>
        <v>-11.9</v>
      </c>
      <c r="R882" s="2">
        <f ca="1">INDEX(INDIRECT(_xlfn.CONCAT("weather.tbl[",R$1,"]")),MATCH(vp.data[[#This Row],[SDate]],weather.tbl[Date],0))</f>
        <v>-10</v>
      </c>
      <c r="S882" s="2">
        <f ca="1">INDEX(INDIRECT(_xlfn.CONCAT("weather.tbl[",S$1,"]")),MATCH(vp.data[[#This Row],[SDate]],weather.tbl[Date],0))</f>
        <v>-11.3</v>
      </c>
      <c r="T882" s="2">
        <f ca="1">INDEX(INDIRECT(_xlfn.CONCAT("weather.tbl[",T$1,"]")),MATCH(vp.data[[#This Row],[SDate]],weather.tbl[Date],0))</f>
        <v>-13.5</v>
      </c>
      <c r="U882" s="2">
        <f ca="1">INDEX(INDIRECT(_xlfn.CONCAT("weather.tbl[",U$1,"]")),MATCH(vp.data[[#This Row],[SDate]],weather.tbl[Date],0))</f>
        <v>-12</v>
      </c>
      <c r="V882" s="2">
        <f t="array" ref="V8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120.714</v>
      </c>
      <c r="W882" t="s">
        <v>48</v>
      </c>
      <c r="X882">
        <f>IF(OR(vp.data[[#This Row],[Sulf]]="",vp.data[[#This Row],[Dens]]=""),1,0)</f>
        <v>0</v>
      </c>
      <c r="Y882">
        <f>IF(vp.data[[#This Row],[CrudeType]]="C5+",1,0)</f>
        <v>0</v>
      </c>
      <c r="Z882">
        <f>IF(AND(vp.data[[#This Row],[CrudeType]]="Crude",vp.data[[#This Row],[Dens]]&lt;=825,vp.data[[#This Row],[Sulf]]&gt;0.5,vp.data[[#This Row],[Unknown]]=0),1,0)</f>
        <v>0</v>
      </c>
      <c r="AA882">
        <f>IF(AND(vp.data[[#This Row],[CrudeType]]="Crude",vp.data[[#This Row],[Dens]]&lt;=825,vp.data[[#This Row],[Sulf]]&lt;=0.5,vp.data[[#This Row],[Unknown]]=0),1,0)</f>
        <v>0</v>
      </c>
      <c r="AB8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2">
        <f>IF(AND(vp.data[[#This Row],[CrudeType]]="Crude",vp.data[[#This Row],[Dens]]&gt;825,vp.data[[#This Row],[Dens]]&lt;=900,vp.data[[#This Row],[Sulf]]&lt;=0.5,vp.data[[#This Row],[Unknown]]=0),1,0)</f>
        <v>0</v>
      </c>
      <c r="AD882">
        <f>IF(AND(vp.data[[#This Row],[CrudeType]]="Crude",vp.data[[#This Row],[Dens]]&gt;865,vp.data[[#This Row],[Dens]]&lt;=900,vp.data[[#This Row],[Sulf]]&gt;2,vp.data[[#This Row],[Unknown]]=0),1,0)</f>
        <v>0</v>
      </c>
      <c r="AE882">
        <f>IF(AND(vp.data[[#This Row],[CrudeType]]="Crude",vp.data[[#This Row],[Dens]]&gt;900,vp.data[[#This Row],[Sulf]]&lt;=0.5,vp.data[[#This Row],[Unknown]]=0),1,0)</f>
        <v>0</v>
      </c>
      <c r="AF882">
        <f>IF(AND(vp.data[[#This Row],[CrudeType]]="Crude",vp.data[[#This Row],[Dens]]&gt;900,vp.data[[#This Row],[Sulf]]&lt;=0.5,vp.data[[#This Row],[Unknown]]=0),1,0)</f>
        <v>0</v>
      </c>
      <c r="AG882" t="str">
        <f>INDEX(vp.data[[#Headers],[Unknown]:[Heavy_SW]],MATCH(1,vp.data[[#This Row],[Unknown]:[Heavy_SW]],0))</f>
        <v>Medium_LSB</v>
      </c>
      <c r="AH882">
        <f>INDEX([3]!crudeBD.lkup[Number],MATCH(vp.data[[#This Row],[Crude_Breakdown]],crudeBD.lkup[Crude Breakdown],0))</f>
        <v>3</v>
      </c>
      <c r="AI882">
        <f>MONTH(vp.data[[#This Row],[SDate]])</f>
        <v>2</v>
      </c>
      <c r="AJ882" s="5">
        <f>(vp.data[[#This Row],[VP]]-INDEX(crudeBD.lkup[Mean_VP],MATCH(vp.data[[#This Row],[Crude_Breakdown]],crudeBD.lkup[Crude Breakdown],0)))^2</f>
        <v>63.366749430766589</v>
      </c>
      <c r="AK882" s="5">
        <f>(vp.data[[#This Row],[Dens]]-INDEX(crudeBD.lkup[Mean_Dens],MATCH(vp.data[[#This Row],[Crude_Breakdown]],crudeBD.lkup[Crude Breakdown],0)))^2</f>
        <v>28.944400000004844</v>
      </c>
      <c r="AL882" s="5">
        <f>(vp.data[[#This Row],[Sulf]]-INDEX(crudeBD.lkup[Mean_Sulf],MATCH(vp.data[[#This Row],[Crude_Breakdown]],crudeBD.lkup[Crude Breakdown],0)))^2</f>
        <v>1.1965976994660734E-3</v>
      </c>
      <c r="AM882" s="4">
        <f>IF(AND(vp.data[[#This Row],[SDate]]&gt;=DATE(YEAR(vp.data[[#This Row],[SDate]]),5,1),vp.data[[#This Row],[SDate]]&lt;=DATE(YEAR(vp.data[[#This Row],[SDate]]),9,15)),1,0)</f>
        <v>0</v>
      </c>
      <c r="AN882" s="4">
        <f>IF(vp.data[[#This Row],[SDate]]&lt;DATE(2016,12,1),0,1)</f>
        <v>1</v>
      </c>
      <c r="AO882" s="4">
        <f>IFERROR(vp.data[[#This Row],[Sulf]]*vp.data[[#This Row],[Net Dens]],"")</f>
        <v>145581.80828399997</v>
      </c>
      <c r="AP882">
        <f>IFERROR(vp.data[[#This Row],[Dens]]*vp.data[[#This Row],[VolumeM3]],"")</f>
        <v>102522.40019999999</v>
      </c>
      <c r="AQ882" s="15">
        <f>IFERROR(vp.data[[#This Row],[VP]]*vp.data[[#This Row],[VolumeM3]],"")</f>
        <v>10695.260399999999</v>
      </c>
    </row>
    <row r="883" spans="1:43" x14ac:dyDescent="0.25">
      <c r="A883">
        <v>882</v>
      </c>
      <c r="B883" t="s">
        <v>51</v>
      </c>
      <c r="C883" t="s">
        <v>51</v>
      </c>
      <c r="D883" t="s">
        <v>180</v>
      </c>
      <c r="F883" s="1">
        <v>42791</v>
      </c>
      <c r="G883" s="2">
        <v>85.4</v>
      </c>
      <c r="H883" s="2"/>
      <c r="I883" s="2">
        <f t="array" ref="I883">_xlfn.IFNA(IF(vp.data[[#This Row],[Sulf Input]]="",INDEX([1]DATA!$Q$3:$Q$9826,MATCH(1,(vp.data[[#This Row],[Battery]]=[1]DATA!$L$3:$L$9826)*(EOMONTH(vp.data[[#This Row],[SDate]],-1)+1=[1]DATA!$G$3:$G$9826),0)),vp.data[[#This Row],[Sulf Input]]),"")</f>
        <v>1.56</v>
      </c>
      <c r="J883" s="2">
        <v>12.5</v>
      </c>
      <c r="K883" s="2">
        <v>-8</v>
      </c>
      <c r="L883" s="2">
        <v>857.6</v>
      </c>
      <c r="M883" s="2">
        <f t="array" ref="M883">_xlfn.IFNA(IF(vp.data[[#This Row],[Dens Input]]="",INDEX([1]DATA!$O$3:$O$9826,MATCH(1,(vp.data[[#This Row],[Battery]]=[1]DATA!$L$3:$L$9826)*(EOMONTH(vp.data[[#This Row],[SDate]],-1)+1=[1]DATA!$G$3:$G$9826),0)),vp.data[[#This Row],[Dens Input]]),"")</f>
        <v>857.6</v>
      </c>
      <c r="N883" s="2">
        <f ca="1">INDEX(INDIRECT(_xlfn.CONCAT("weather.tbl[",N$1,"]")),MATCH(vp.data[[#This Row],[SDate]],weather.tbl[Date],0))</f>
        <v>-11.833333333333334</v>
      </c>
      <c r="O883" s="2">
        <f ca="1">INDEX(INDIRECT(_xlfn.CONCAT("weather.tbl[",O$1,"]")),MATCH(vp.data[[#This Row],[SDate]],weather.tbl[Date],0))</f>
        <v>-3.1214285714285714</v>
      </c>
      <c r="P883" s="2">
        <f ca="1">INDEX(INDIRECT(_xlfn.CONCAT("weather.tbl[",P$1,"]")),MATCH(vp.data[[#This Row],[SDate]],weather.tbl[Date],0))</f>
        <v>-12.3</v>
      </c>
      <c r="Q883" s="2">
        <f ca="1">INDEX(INDIRECT(_xlfn.CONCAT("weather.tbl[",Q$1,"]")),MATCH(vp.data[[#This Row],[SDate]],weather.tbl[Date],0))</f>
        <v>-11.9</v>
      </c>
      <c r="R883" s="2">
        <f ca="1">INDEX(INDIRECT(_xlfn.CONCAT("weather.tbl[",R$1,"]")),MATCH(vp.data[[#This Row],[SDate]],weather.tbl[Date],0))</f>
        <v>-10</v>
      </c>
      <c r="S883" s="2">
        <f ca="1">INDEX(INDIRECT(_xlfn.CONCAT("weather.tbl[",S$1,"]")),MATCH(vp.data[[#This Row],[SDate]],weather.tbl[Date],0))</f>
        <v>-11.3</v>
      </c>
      <c r="T883" s="2">
        <f ca="1">INDEX(INDIRECT(_xlfn.CONCAT("weather.tbl[",T$1,"]")),MATCH(vp.data[[#This Row],[SDate]],weather.tbl[Date],0))</f>
        <v>-13.5</v>
      </c>
      <c r="U883" s="2">
        <f ca="1">INDEX(INDIRECT(_xlfn.CONCAT("weather.tbl[",U$1,"]")),MATCH(vp.data[[#This Row],[SDate]],weather.tbl[Date],0))</f>
        <v>-12</v>
      </c>
      <c r="V883" s="2">
        <f t="array" ref="V8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634.84799999999996</v>
      </c>
      <c r="W883" t="s">
        <v>48</v>
      </c>
      <c r="X883">
        <f>IF(OR(vp.data[[#This Row],[Sulf]]="",vp.data[[#This Row],[Dens]]=""),1,0)</f>
        <v>0</v>
      </c>
      <c r="Y883">
        <f>IF(vp.data[[#This Row],[CrudeType]]="C5+",1,0)</f>
        <v>0</v>
      </c>
      <c r="Z883">
        <f>IF(AND(vp.data[[#This Row],[CrudeType]]="Crude",vp.data[[#This Row],[Dens]]&lt;=825,vp.data[[#This Row],[Sulf]]&gt;0.5,vp.data[[#This Row],[Unknown]]=0),1,0)</f>
        <v>0</v>
      </c>
      <c r="AA883">
        <f>IF(AND(vp.data[[#This Row],[CrudeType]]="Crude",vp.data[[#This Row],[Dens]]&lt;=825,vp.data[[#This Row],[Sulf]]&lt;=0.5,vp.data[[#This Row],[Unknown]]=0),1,0)</f>
        <v>0</v>
      </c>
      <c r="AB8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3">
        <f>IF(AND(vp.data[[#This Row],[CrudeType]]="Crude",vp.data[[#This Row],[Dens]]&gt;825,vp.data[[#This Row],[Dens]]&lt;=900,vp.data[[#This Row],[Sulf]]&lt;=0.5,vp.data[[#This Row],[Unknown]]=0),1,0)</f>
        <v>0</v>
      </c>
      <c r="AD883">
        <f>IF(AND(vp.data[[#This Row],[CrudeType]]="Crude",vp.data[[#This Row],[Dens]]&gt;865,vp.data[[#This Row],[Dens]]&lt;=900,vp.data[[#This Row],[Sulf]]&gt;2,vp.data[[#This Row],[Unknown]]=0),1,0)</f>
        <v>0</v>
      </c>
      <c r="AE883">
        <f>IF(AND(vp.data[[#This Row],[CrudeType]]="Crude",vp.data[[#This Row],[Dens]]&gt;900,vp.data[[#This Row],[Sulf]]&lt;=0.5,vp.data[[#This Row],[Unknown]]=0),1,0)</f>
        <v>0</v>
      </c>
      <c r="AF883">
        <f>IF(AND(vp.data[[#This Row],[CrudeType]]="Crude",vp.data[[#This Row],[Dens]]&gt;900,vp.data[[#This Row],[Sulf]]&lt;=0.5,vp.data[[#This Row],[Unknown]]=0),1,0)</f>
        <v>0</v>
      </c>
      <c r="AG883" t="str">
        <f>INDEX(vp.data[[#Headers],[Unknown]:[Heavy_SW]],MATCH(1,vp.data[[#This Row],[Unknown]:[Heavy_SW]],0))</f>
        <v>Medium_LSB</v>
      </c>
      <c r="AH883">
        <f>INDEX([3]!crudeBD.lkup[Number],MATCH(vp.data[[#This Row],[Crude_Breakdown]],crudeBD.lkup[Crude Breakdown],0))</f>
        <v>3</v>
      </c>
      <c r="AI883">
        <f>MONTH(vp.data[[#This Row],[SDate]])</f>
        <v>2</v>
      </c>
      <c r="AJ883" s="5">
        <f>(vp.data[[#This Row],[VP]]-INDEX(crudeBD.lkup[Mean_VP],MATCH(vp.data[[#This Row],[Crude_Breakdown]],crudeBD.lkup[Crude Breakdown],0)))^2</f>
        <v>22.660679349903745</v>
      </c>
      <c r="AK883" s="5">
        <f>(vp.data[[#This Row],[Dens]]-INDEX(crudeBD.lkup[Mean_Dens],MATCH(vp.data[[#This Row],[Crude_Breakdown]],crudeBD.lkup[Crude Breakdown],0)))^2</f>
        <v>187.14240000001419</v>
      </c>
      <c r="AL883" s="5">
        <f>(vp.data[[#This Row],[Sulf]]-INDEX(crudeBD.lkup[Mean_Sulf],MATCH(vp.data[[#This Row],[Crude_Breakdown]],crudeBD.lkup[Crude Breakdown],0)))^2</f>
        <v>3.0482322227767557E-2</v>
      </c>
      <c r="AM883" s="4">
        <f>IF(AND(vp.data[[#This Row],[SDate]]&gt;=DATE(YEAR(vp.data[[#This Row],[SDate]]),5,1),vp.data[[#This Row],[SDate]]&lt;=DATE(YEAR(vp.data[[#This Row],[SDate]]),9,15)),1,0)</f>
        <v>0</v>
      </c>
      <c r="AN883" s="4">
        <f>IF(vp.data[[#This Row],[SDate]]&lt;DATE(2016,12,1),0,1)</f>
        <v>1</v>
      </c>
      <c r="AO883" s="4">
        <f>IFERROR(vp.data[[#This Row],[Sulf]]*vp.data[[#This Row],[Net Dens]],"")</f>
        <v>849335.20588800008</v>
      </c>
      <c r="AP883">
        <f>IFERROR(vp.data[[#This Row],[Dens]]*vp.data[[#This Row],[VolumeM3]],"")</f>
        <v>544445.64480000001</v>
      </c>
      <c r="AQ883" s="15">
        <f>IFERROR(vp.data[[#This Row],[VP]]*vp.data[[#This Row],[VolumeM3]],"")</f>
        <v>54216.019200000002</v>
      </c>
    </row>
    <row r="884" spans="1:43" x14ac:dyDescent="0.25">
      <c r="A884">
        <v>883</v>
      </c>
      <c r="B884" t="s">
        <v>178</v>
      </c>
      <c r="C884" t="s">
        <v>178</v>
      </c>
      <c r="D884" t="s">
        <v>181</v>
      </c>
      <c r="F884" s="1">
        <v>42791</v>
      </c>
      <c r="G884" s="2">
        <v>81.400000000000006</v>
      </c>
      <c r="H884" s="2"/>
      <c r="I884" s="2">
        <f t="array" ref="I884">_xlfn.IFNA(IF(vp.data[[#This Row],[Sulf Input]]="",INDEX([1]DATA!$Q$3:$Q$9826,MATCH(1,(vp.data[[#This Row],[Battery]]=[1]DATA!$L$3:$L$9826)*(EOMONTH(vp.data[[#This Row],[SDate]],-1)+1=[1]DATA!$G$3:$G$9826),0)),vp.data[[#This Row],[Sulf Input]]),"")</f>
        <v>1.65</v>
      </c>
      <c r="J884" s="2">
        <v>7.1</v>
      </c>
      <c r="K884" s="2">
        <v>-8</v>
      </c>
      <c r="L884" s="2">
        <v>857.9</v>
      </c>
      <c r="M884" s="2">
        <f t="array" ref="M884">_xlfn.IFNA(IF(vp.data[[#This Row],[Dens Input]]="",INDEX([1]DATA!$O$3:$O$9826,MATCH(1,(vp.data[[#This Row],[Battery]]=[1]DATA!$L$3:$L$9826)*(EOMONTH(vp.data[[#This Row],[SDate]],-1)+1=[1]DATA!$G$3:$G$9826),0)),vp.data[[#This Row],[Dens Input]]),"")</f>
        <v>857.9</v>
      </c>
      <c r="N884" s="2">
        <f ca="1">INDEX(INDIRECT(_xlfn.CONCAT("weather.tbl[",N$1,"]")),MATCH(vp.data[[#This Row],[SDate]],weather.tbl[Date],0))</f>
        <v>-11.833333333333334</v>
      </c>
      <c r="O884" s="2">
        <f ca="1">INDEX(INDIRECT(_xlfn.CONCAT("weather.tbl[",O$1,"]")),MATCH(vp.data[[#This Row],[SDate]],weather.tbl[Date],0))</f>
        <v>-3.1214285714285714</v>
      </c>
      <c r="P884" s="2">
        <f ca="1">INDEX(INDIRECT(_xlfn.CONCAT("weather.tbl[",P$1,"]")),MATCH(vp.data[[#This Row],[SDate]],weather.tbl[Date],0))</f>
        <v>-12.3</v>
      </c>
      <c r="Q884" s="2">
        <f ca="1">INDEX(INDIRECT(_xlfn.CONCAT("weather.tbl[",Q$1,"]")),MATCH(vp.data[[#This Row],[SDate]],weather.tbl[Date],0))</f>
        <v>-11.9</v>
      </c>
      <c r="R884" s="2">
        <f ca="1">INDEX(INDIRECT(_xlfn.CONCAT("weather.tbl[",R$1,"]")),MATCH(vp.data[[#This Row],[SDate]],weather.tbl[Date],0))</f>
        <v>-10</v>
      </c>
      <c r="S884" s="2">
        <f ca="1">INDEX(INDIRECT(_xlfn.CONCAT("weather.tbl[",S$1,"]")),MATCH(vp.data[[#This Row],[SDate]],weather.tbl[Date],0))</f>
        <v>-11.3</v>
      </c>
      <c r="T884" s="2">
        <f ca="1">INDEX(INDIRECT(_xlfn.CONCAT("weather.tbl[",T$1,"]")),MATCH(vp.data[[#This Row],[SDate]],weather.tbl[Date],0))</f>
        <v>-13.5</v>
      </c>
      <c r="U884" s="2">
        <f ca="1">INDEX(INDIRECT(_xlfn.CONCAT("weather.tbl[",U$1,"]")),MATCH(vp.data[[#This Row],[SDate]],weather.tbl[Date],0))</f>
        <v>-12</v>
      </c>
      <c r="V884" s="2">
        <f t="array" ref="V8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293.28800000000001</v>
      </c>
      <c r="W884" t="s">
        <v>48</v>
      </c>
      <c r="X884">
        <f>IF(OR(vp.data[[#This Row],[Sulf]]="",vp.data[[#This Row],[Dens]]=""),1,0)</f>
        <v>0</v>
      </c>
      <c r="Y884">
        <f>IF(vp.data[[#This Row],[CrudeType]]="C5+",1,0)</f>
        <v>0</v>
      </c>
      <c r="Z884">
        <f>IF(AND(vp.data[[#This Row],[CrudeType]]="Crude",vp.data[[#This Row],[Dens]]&lt;=825,vp.data[[#This Row],[Sulf]]&gt;0.5,vp.data[[#This Row],[Unknown]]=0),1,0)</f>
        <v>0</v>
      </c>
      <c r="AA884">
        <f>IF(AND(vp.data[[#This Row],[CrudeType]]="Crude",vp.data[[#This Row],[Dens]]&lt;=825,vp.data[[#This Row],[Sulf]]&lt;=0.5,vp.data[[#This Row],[Unknown]]=0),1,0)</f>
        <v>0</v>
      </c>
      <c r="AB8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4">
        <f>IF(AND(vp.data[[#This Row],[CrudeType]]="Crude",vp.data[[#This Row],[Dens]]&gt;825,vp.data[[#This Row],[Dens]]&lt;=900,vp.data[[#This Row],[Sulf]]&lt;=0.5,vp.data[[#This Row],[Unknown]]=0),1,0)</f>
        <v>0</v>
      </c>
      <c r="AD884">
        <f>IF(AND(vp.data[[#This Row],[CrudeType]]="Crude",vp.data[[#This Row],[Dens]]&gt;865,vp.data[[#This Row],[Dens]]&lt;=900,vp.data[[#This Row],[Sulf]]&gt;2,vp.data[[#This Row],[Unknown]]=0),1,0)</f>
        <v>0</v>
      </c>
      <c r="AE884">
        <f>IF(AND(vp.data[[#This Row],[CrudeType]]="Crude",vp.data[[#This Row],[Dens]]&gt;900,vp.data[[#This Row],[Sulf]]&lt;=0.5,vp.data[[#This Row],[Unknown]]=0),1,0)</f>
        <v>0</v>
      </c>
      <c r="AF884">
        <f>IF(AND(vp.data[[#This Row],[CrudeType]]="Crude",vp.data[[#This Row],[Dens]]&gt;900,vp.data[[#This Row],[Sulf]]&lt;=0.5,vp.data[[#This Row],[Unknown]]=0),1,0)</f>
        <v>0</v>
      </c>
      <c r="AG884" t="str">
        <f>INDEX(vp.data[[#Headers],[Unknown]:[Heavy_SW]],MATCH(1,vp.data[[#This Row],[Unknown]:[Heavy_SW]],0))</f>
        <v>Medium_LSB</v>
      </c>
      <c r="AH884">
        <f>INDEX([3]!crudeBD.lkup[Number],MATCH(vp.data[[#This Row],[Crude_Breakdown]],crudeBD.lkup[Crude Breakdown],0))</f>
        <v>3</v>
      </c>
      <c r="AI884">
        <f>MONTH(vp.data[[#This Row],[SDate]])</f>
        <v>2</v>
      </c>
      <c r="AJ884" s="5">
        <f>(vp.data[[#This Row],[VP]]-INDEX(crudeBD.lkup[Mean_VP],MATCH(vp.data[[#This Row],[Crude_Breakdown]],crudeBD.lkup[Crude Breakdown],0)))^2</f>
        <v>0.57809174882495895</v>
      </c>
      <c r="AK884" s="5">
        <f>(vp.data[[#This Row],[Dens]]-INDEX(crudeBD.lkup[Mean_Dens],MATCH(vp.data[[#This Row],[Crude_Breakdown]],crudeBD.lkup[Crude Breakdown],0)))^2</f>
        <v>195.44040000001323</v>
      </c>
      <c r="AL884" s="5">
        <f>(vp.data[[#This Row],[Sulf]]-INDEX(crudeBD.lkup[Mean_Sulf],MATCH(vp.data[[#This Row],[Crude_Breakdown]],crudeBD.lkup[Crude Breakdown],0)))^2</f>
        <v>7.0008859424532721E-2</v>
      </c>
      <c r="AM884" s="4">
        <f>IF(AND(vp.data[[#This Row],[SDate]]&gt;=DATE(YEAR(vp.data[[#This Row],[SDate]]),5,1),vp.data[[#This Row],[SDate]]&lt;=DATE(YEAR(vp.data[[#This Row],[SDate]]),9,15)),1,0)</f>
        <v>0</v>
      </c>
      <c r="AN884" s="4">
        <f>IF(vp.data[[#This Row],[SDate]]&lt;DATE(2016,12,1),0,1)</f>
        <v>1</v>
      </c>
      <c r="AO884" s="4">
        <f>IFERROR(vp.data[[#This Row],[Sulf]]*vp.data[[#This Row],[Net Dens]],"")</f>
        <v>415159.42907999997</v>
      </c>
      <c r="AP884">
        <f>IFERROR(vp.data[[#This Row],[Dens]]*vp.data[[#This Row],[VolumeM3]],"")</f>
        <v>251611.7752</v>
      </c>
      <c r="AQ884" s="15">
        <f>IFERROR(vp.data[[#This Row],[VP]]*vp.data[[#This Row],[VolumeM3]],"")</f>
        <v>23873.643200000002</v>
      </c>
    </row>
    <row r="885" spans="1:43" x14ac:dyDescent="0.25">
      <c r="A885">
        <v>884</v>
      </c>
      <c r="B885" t="s">
        <v>68</v>
      </c>
      <c r="C885" t="s">
        <v>68</v>
      </c>
      <c r="D885" t="s">
        <v>69</v>
      </c>
      <c r="F885" s="1">
        <v>42791</v>
      </c>
      <c r="G885" s="2">
        <v>78.400000000000006</v>
      </c>
      <c r="H885" s="2"/>
      <c r="I885" s="2">
        <f t="array" ref="I885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885" s="2">
        <v>21.3</v>
      </c>
      <c r="K885" s="2">
        <v>-8</v>
      </c>
      <c r="L885" s="2">
        <v>861.2</v>
      </c>
      <c r="M885" s="2">
        <f t="array" ref="M885">_xlfn.IFNA(IF(vp.data[[#This Row],[Dens Input]]="",INDEX([1]DATA!$O$3:$O$9826,MATCH(1,(vp.data[[#This Row],[Battery]]=[1]DATA!$L$3:$L$9826)*(EOMONTH(vp.data[[#This Row],[SDate]],-1)+1=[1]DATA!$G$3:$G$9826),0)),vp.data[[#This Row],[Dens Input]]),"")</f>
        <v>861.2</v>
      </c>
      <c r="N885" s="2">
        <f ca="1">INDEX(INDIRECT(_xlfn.CONCAT("weather.tbl[",N$1,"]")),MATCH(vp.data[[#This Row],[SDate]],weather.tbl[Date],0))</f>
        <v>-11.833333333333334</v>
      </c>
      <c r="O885" s="2">
        <f ca="1">INDEX(INDIRECT(_xlfn.CONCAT("weather.tbl[",O$1,"]")),MATCH(vp.data[[#This Row],[SDate]],weather.tbl[Date],0))</f>
        <v>-3.1214285714285714</v>
      </c>
      <c r="P885" s="2">
        <f ca="1">INDEX(INDIRECT(_xlfn.CONCAT("weather.tbl[",P$1,"]")),MATCH(vp.data[[#This Row],[SDate]],weather.tbl[Date],0))</f>
        <v>-12.3</v>
      </c>
      <c r="Q885" s="2">
        <f ca="1">INDEX(INDIRECT(_xlfn.CONCAT("weather.tbl[",Q$1,"]")),MATCH(vp.data[[#This Row],[SDate]],weather.tbl[Date],0))</f>
        <v>-11.9</v>
      </c>
      <c r="R885" s="2">
        <f ca="1">INDEX(INDIRECT(_xlfn.CONCAT("weather.tbl[",R$1,"]")),MATCH(vp.data[[#This Row],[SDate]],weather.tbl[Date],0))</f>
        <v>-10</v>
      </c>
      <c r="S885" s="2">
        <f ca="1">INDEX(INDIRECT(_xlfn.CONCAT("weather.tbl[",S$1,"]")),MATCH(vp.data[[#This Row],[SDate]],weather.tbl[Date],0))</f>
        <v>-11.3</v>
      </c>
      <c r="T885" s="2">
        <f ca="1">INDEX(INDIRECT(_xlfn.CONCAT("weather.tbl[",T$1,"]")),MATCH(vp.data[[#This Row],[SDate]],weather.tbl[Date],0))</f>
        <v>-13.5</v>
      </c>
      <c r="U885" s="2">
        <f ca="1">INDEX(INDIRECT(_xlfn.CONCAT("weather.tbl[",U$1,"]")),MATCH(vp.data[[#This Row],[SDate]],weather.tbl[Date],0))</f>
        <v>-12</v>
      </c>
      <c r="V885" s="2">
        <f t="array" ref="V8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1332.451</v>
      </c>
      <c r="W885" t="s">
        <v>48</v>
      </c>
      <c r="X885">
        <f>IF(OR(vp.data[[#This Row],[Sulf]]="",vp.data[[#This Row],[Dens]]=""),1,0)</f>
        <v>0</v>
      </c>
      <c r="Y885">
        <f>IF(vp.data[[#This Row],[CrudeType]]="C5+",1,0)</f>
        <v>0</v>
      </c>
      <c r="Z885">
        <f>IF(AND(vp.data[[#This Row],[CrudeType]]="Crude",vp.data[[#This Row],[Dens]]&lt;=825,vp.data[[#This Row],[Sulf]]&gt;0.5,vp.data[[#This Row],[Unknown]]=0),1,0)</f>
        <v>0</v>
      </c>
      <c r="AA885">
        <f>IF(AND(vp.data[[#This Row],[CrudeType]]="Crude",vp.data[[#This Row],[Dens]]&lt;=825,vp.data[[#This Row],[Sulf]]&lt;=0.5,vp.data[[#This Row],[Unknown]]=0),1,0)</f>
        <v>0</v>
      </c>
      <c r="AB8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5">
        <f>IF(AND(vp.data[[#This Row],[CrudeType]]="Crude",vp.data[[#This Row],[Dens]]&gt;825,vp.data[[#This Row],[Dens]]&lt;=900,vp.data[[#This Row],[Sulf]]&lt;=0.5,vp.data[[#This Row],[Unknown]]=0),1,0)</f>
        <v>0</v>
      </c>
      <c r="AD885">
        <f>IF(AND(vp.data[[#This Row],[CrudeType]]="Crude",vp.data[[#This Row],[Dens]]&gt;865,vp.data[[#This Row],[Dens]]&lt;=900,vp.data[[#This Row],[Sulf]]&gt;2,vp.data[[#This Row],[Unknown]]=0),1,0)</f>
        <v>0</v>
      </c>
      <c r="AE885">
        <f>IF(AND(vp.data[[#This Row],[CrudeType]]="Crude",vp.data[[#This Row],[Dens]]&gt;900,vp.data[[#This Row],[Sulf]]&lt;=0.5,vp.data[[#This Row],[Unknown]]=0),1,0)</f>
        <v>0</v>
      </c>
      <c r="AF885">
        <f>IF(AND(vp.data[[#This Row],[CrudeType]]="Crude",vp.data[[#This Row],[Dens]]&gt;900,vp.data[[#This Row],[Sulf]]&lt;=0.5,vp.data[[#This Row],[Unknown]]=0),1,0)</f>
        <v>0</v>
      </c>
      <c r="AG885" t="str">
        <f>INDEX(vp.data[[#Headers],[Unknown]:[Heavy_SW]],MATCH(1,vp.data[[#This Row],[Unknown]:[Heavy_SW]],0))</f>
        <v>Medium_LSB</v>
      </c>
      <c r="AH885">
        <f>INDEX([3]!crudeBD.lkup[Number],MATCH(vp.data[[#This Row],[Crude_Breakdown]],crudeBD.lkup[Crude Breakdown],0))</f>
        <v>3</v>
      </c>
      <c r="AI885">
        <f>MONTH(vp.data[[#This Row],[SDate]])</f>
        <v>2</v>
      </c>
      <c r="AJ885" s="5">
        <f>(vp.data[[#This Row],[VP]]-INDEX(crudeBD.lkup[Mean_VP],MATCH(vp.data[[#This Row],[Crude_Breakdown]],crudeBD.lkup[Crude Breakdown],0)))^2</f>
        <v>5.0161510480158702</v>
      </c>
      <c r="AK885" s="5">
        <f>(vp.data[[#This Row],[Dens]]-INDEX(crudeBD.lkup[Mean_Dens],MATCH(vp.data[[#This Row],[Crude_Breakdown]],crudeBD.lkup[Crude Breakdown],0)))^2</f>
        <v>298.59840000001873</v>
      </c>
      <c r="AL885" s="5">
        <f>(vp.data[[#This Row],[Sulf]]-INDEX(crudeBD.lkup[Mean_Sulf],MATCH(vp.data[[#This Row],[Crude_Breakdown]],crudeBD.lkup[Crude Breakdown],0)))^2</f>
        <v>0.12573539662129798</v>
      </c>
      <c r="AM885" s="4">
        <f>IF(AND(vp.data[[#This Row],[SDate]]&gt;=DATE(YEAR(vp.data[[#This Row],[SDate]]),5,1),vp.data[[#This Row],[SDate]]&lt;=DATE(YEAR(vp.data[[#This Row],[SDate]]),9,15)),1,0)</f>
        <v>0</v>
      </c>
      <c r="AN885" s="4">
        <f>IF(vp.data[[#This Row],[SDate]]&lt;DATE(2016,12,1),0,1)</f>
        <v>1</v>
      </c>
      <c r="AO885" s="4">
        <f>IFERROR(vp.data[[#This Row],[Sulf]]*vp.data[[#This Row],[Net Dens]],"")</f>
        <v>1996661.8340880002</v>
      </c>
      <c r="AP885">
        <f>IFERROR(vp.data[[#This Row],[Dens]]*vp.data[[#This Row],[VolumeM3]],"")</f>
        <v>1147506.8012000001</v>
      </c>
      <c r="AQ885" s="15">
        <f>IFERROR(vp.data[[#This Row],[VP]]*vp.data[[#This Row],[VolumeM3]],"")</f>
        <v>104464.15840000001</v>
      </c>
    </row>
    <row r="886" spans="1:43" x14ac:dyDescent="0.25">
      <c r="A886">
        <v>885</v>
      </c>
      <c r="B886" t="s">
        <v>178</v>
      </c>
      <c r="C886" t="s">
        <v>178</v>
      </c>
      <c r="D886" t="s">
        <v>182</v>
      </c>
      <c r="F886" s="1">
        <v>42791</v>
      </c>
      <c r="G886" s="2">
        <v>63.2</v>
      </c>
      <c r="H886" s="2"/>
      <c r="I886" s="2">
        <f t="array" ref="I886">_xlfn.IFNA(IF(vp.data[[#This Row],[Sulf Input]]="",INDEX([1]DATA!$Q$3:$Q$9826,MATCH(1,(vp.data[[#This Row],[Battery]]=[1]DATA!$L$3:$L$9826)*(EOMONTH(vp.data[[#This Row],[SDate]],-1)+1=[1]DATA!$G$3:$G$9826),0)),vp.data[[#This Row],[Sulf Input]]),"")</f>
        <v>1.71</v>
      </c>
      <c r="J886" s="2">
        <v>15</v>
      </c>
      <c r="K886" s="2">
        <v>-8</v>
      </c>
      <c r="L886" s="2">
        <v>867.2</v>
      </c>
      <c r="M886" s="2">
        <f t="array" ref="M886">_xlfn.IFNA(IF(vp.data[[#This Row],[Dens Input]]="",INDEX([1]DATA!$O$3:$O$9826,MATCH(1,(vp.data[[#This Row],[Battery]]=[1]DATA!$L$3:$L$9826)*(EOMONTH(vp.data[[#This Row],[SDate]],-1)+1=[1]DATA!$G$3:$G$9826),0)),vp.data[[#This Row],[Dens Input]]),"")</f>
        <v>867.2</v>
      </c>
      <c r="N886" s="2">
        <f ca="1">INDEX(INDIRECT(_xlfn.CONCAT("weather.tbl[",N$1,"]")),MATCH(vp.data[[#This Row],[SDate]],weather.tbl[Date],0))</f>
        <v>-11.833333333333334</v>
      </c>
      <c r="O886" s="2">
        <f ca="1">INDEX(INDIRECT(_xlfn.CONCAT("weather.tbl[",O$1,"]")),MATCH(vp.data[[#This Row],[SDate]],weather.tbl[Date],0))</f>
        <v>-3.1214285714285714</v>
      </c>
      <c r="P886" s="2">
        <f ca="1">INDEX(INDIRECT(_xlfn.CONCAT("weather.tbl[",P$1,"]")),MATCH(vp.data[[#This Row],[SDate]],weather.tbl[Date],0))</f>
        <v>-12.3</v>
      </c>
      <c r="Q886" s="2">
        <f ca="1">INDEX(INDIRECT(_xlfn.CONCAT("weather.tbl[",Q$1,"]")),MATCH(vp.data[[#This Row],[SDate]],weather.tbl[Date],0))</f>
        <v>-11.9</v>
      </c>
      <c r="R886" s="2">
        <f ca="1">INDEX(INDIRECT(_xlfn.CONCAT("weather.tbl[",R$1,"]")),MATCH(vp.data[[#This Row],[SDate]],weather.tbl[Date],0))</f>
        <v>-10</v>
      </c>
      <c r="S886" s="2">
        <f ca="1">INDEX(INDIRECT(_xlfn.CONCAT("weather.tbl[",S$1,"]")),MATCH(vp.data[[#This Row],[SDate]],weather.tbl[Date],0))</f>
        <v>-11.3</v>
      </c>
      <c r="T886" s="2">
        <f ca="1">INDEX(INDIRECT(_xlfn.CONCAT("weather.tbl[",T$1,"]")),MATCH(vp.data[[#This Row],[SDate]],weather.tbl[Date],0))</f>
        <v>-13.5</v>
      </c>
      <c r="U886" s="2">
        <f ca="1">INDEX(INDIRECT(_xlfn.CONCAT("weather.tbl[",U$1,"]")),MATCH(vp.data[[#This Row],[SDate]],weather.tbl[Date],0))</f>
        <v>-12</v>
      </c>
      <c r="V886" s="2">
        <f t="array" ref="V8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620.33699999999999</v>
      </c>
      <c r="W886" t="s">
        <v>48</v>
      </c>
      <c r="X886">
        <f>IF(OR(vp.data[[#This Row],[Sulf]]="",vp.data[[#This Row],[Dens]]=""),1,0)</f>
        <v>0</v>
      </c>
      <c r="Y886">
        <f>IF(vp.data[[#This Row],[CrudeType]]="C5+",1,0)</f>
        <v>0</v>
      </c>
      <c r="Z886">
        <f>IF(AND(vp.data[[#This Row],[CrudeType]]="Crude",vp.data[[#This Row],[Dens]]&lt;=825,vp.data[[#This Row],[Sulf]]&gt;0.5,vp.data[[#This Row],[Unknown]]=0),1,0)</f>
        <v>0</v>
      </c>
      <c r="AA886">
        <f>IF(AND(vp.data[[#This Row],[CrudeType]]="Crude",vp.data[[#This Row],[Dens]]&lt;=825,vp.data[[#This Row],[Sulf]]&lt;=0.5,vp.data[[#This Row],[Unknown]]=0),1,0)</f>
        <v>0</v>
      </c>
      <c r="AB8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6">
        <f>IF(AND(vp.data[[#This Row],[CrudeType]]="Crude",vp.data[[#This Row],[Dens]]&gt;825,vp.data[[#This Row],[Dens]]&lt;=900,vp.data[[#This Row],[Sulf]]&lt;=0.5,vp.data[[#This Row],[Unknown]]=0),1,0)</f>
        <v>0</v>
      </c>
      <c r="AD886">
        <f>IF(AND(vp.data[[#This Row],[CrudeType]]="Crude",vp.data[[#This Row],[Dens]]&gt;865,vp.data[[#This Row],[Dens]]&lt;=900,vp.data[[#This Row],[Sulf]]&gt;2,vp.data[[#This Row],[Unknown]]=0),1,0)</f>
        <v>0</v>
      </c>
      <c r="AE886">
        <f>IF(AND(vp.data[[#This Row],[CrudeType]]="Crude",vp.data[[#This Row],[Dens]]&gt;900,vp.data[[#This Row],[Sulf]]&lt;=0.5,vp.data[[#This Row],[Unknown]]=0),1,0)</f>
        <v>0</v>
      </c>
      <c r="AF886">
        <f>IF(AND(vp.data[[#This Row],[CrudeType]]="Crude",vp.data[[#This Row],[Dens]]&gt;900,vp.data[[#This Row],[Sulf]]&lt;=0.5,vp.data[[#This Row],[Unknown]]=0),1,0)</f>
        <v>0</v>
      </c>
      <c r="AG886" t="str">
        <f>INDEX(vp.data[[#Headers],[Unknown]:[Heavy_SW]],MATCH(1,vp.data[[#This Row],[Unknown]:[Heavy_SW]],0))</f>
        <v>Medium_LSB</v>
      </c>
      <c r="AH886">
        <f>INDEX([3]!crudeBD.lkup[Number],MATCH(vp.data[[#This Row],[Crude_Breakdown]],crudeBD.lkup[Crude Breakdown],0))</f>
        <v>3</v>
      </c>
      <c r="AI886">
        <f>MONTH(vp.data[[#This Row],[SDate]])</f>
        <v>2</v>
      </c>
      <c r="AJ886" s="5">
        <f>(vp.data[[#This Row],[VP]]-INDEX(crudeBD.lkup[Mean_VP],MATCH(vp.data[[#This Row],[Crude_Breakdown]],crudeBD.lkup[Crude Breakdown],0)))^2</f>
        <v>304.14231816391657</v>
      </c>
      <c r="AK886" s="5">
        <f>(vp.data[[#This Row],[Dens]]-INDEX(crudeBD.lkup[Mean_Dens],MATCH(vp.data[[#This Row],[Crude_Breakdown]],crudeBD.lkup[Crude Breakdown],0)))^2</f>
        <v>541.95840000002522</v>
      </c>
      <c r="AL886" s="5">
        <f>(vp.data[[#This Row],[Sulf]]-INDEX(crudeBD.lkup[Mean_Sulf],MATCH(vp.data[[#This Row],[Crude_Breakdown]],crudeBD.lkup[Crude Breakdown],0)))^2</f>
        <v>0.10535988422237623</v>
      </c>
      <c r="AM886" s="4">
        <f>IF(AND(vp.data[[#This Row],[SDate]]&gt;=DATE(YEAR(vp.data[[#This Row],[SDate]]),5,1),vp.data[[#This Row],[SDate]]&lt;=DATE(YEAR(vp.data[[#This Row],[SDate]]),9,15)),1,0)</f>
        <v>0</v>
      </c>
      <c r="AN886" s="4">
        <f>IF(vp.data[[#This Row],[SDate]]&lt;DATE(2016,12,1),0,1)</f>
        <v>1</v>
      </c>
      <c r="AO886" s="4">
        <f>IFERROR(vp.data[[#This Row],[Sulf]]*vp.data[[#This Row],[Net Dens]],"")</f>
        <v>919905.18134400004</v>
      </c>
      <c r="AP886">
        <f>IFERROR(vp.data[[#This Row],[Dens]]*vp.data[[#This Row],[VolumeM3]],"")</f>
        <v>537956.24640000006</v>
      </c>
      <c r="AQ886" s="15">
        <f>IFERROR(vp.data[[#This Row],[VP]]*vp.data[[#This Row],[VolumeM3]],"")</f>
        <v>39205.2984</v>
      </c>
    </row>
    <row r="887" spans="1:43" x14ac:dyDescent="0.25">
      <c r="A887">
        <v>886</v>
      </c>
      <c r="B887" t="s">
        <v>183</v>
      </c>
      <c r="C887" t="s">
        <v>183</v>
      </c>
      <c r="D887" t="s">
        <v>184</v>
      </c>
      <c r="F887" s="1">
        <v>42791</v>
      </c>
      <c r="G887" s="2">
        <v>55.5</v>
      </c>
      <c r="H887" s="2"/>
      <c r="I887" s="2">
        <f t="array" ref="I887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887" s="2">
        <v>7.9</v>
      </c>
      <c r="K887" s="2">
        <v>-8</v>
      </c>
      <c r="L887" s="2">
        <v>868.1</v>
      </c>
      <c r="M887" s="2">
        <f t="array" ref="M887">_xlfn.IFNA(IF(vp.data[[#This Row],[Dens Input]]="",INDEX([1]DATA!$O$3:$O$9826,MATCH(1,(vp.data[[#This Row],[Battery]]=[1]DATA!$L$3:$L$9826)*(EOMONTH(vp.data[[#This Row],[SDate]],-1)+1=[1]DATA!$G$3:$G$9826),0)),vp.data[[#This Row],[Dens Input]]),"")</f>
        <v>868.1</v>
      </c>
      <c r="N887" s="2">
        <f ca="1">INDEX(INDIRECT(_xlfn.CONCAT("weather.tbl[",N$1,"]")),MATCH(vp.data[[#This Row],[SDate]],weather.tbl[Date],0))</f>
        <v>-11.833333333333334</v>
      </c>
      <c r="O887" s="2">
        <f ca="1">INDEX(INDIRECT(_xlfn.CONCAT("weather.tbl[",O$1,"]")),MATCH(vp.data[[#This Row],[SDate]],weather.tbl[Date],0))</f>
        <v>-3.1214285714285714</v>
      </c>
      <c r="P887" s="2">
        <f ca="1">INDEX(INDIRECT(_xlfn.CONCAT("weather.tbl[",P$1,"]")),MATCH(vp.data[[#This Row],[SDate]],weather.tbl[Date],0))</f>
        <v>-12.3</v>
      </c>
      <c r="Q887" s="2">
        <f ca="1">INDEX(INDIRECT(_xlfn.CONCAT("weather.tbl[",Q$1,"]")),MATCH(vp.data[[#This Row],[SDate]],weather.tbl[Date],0))</f>
        <v>-11.9</v>
      </c>
      <c r="R887" s="2">
        <f ca="1">INDEX(INDIRECT(_xlfn.CONCAT("weather.tbl[",R$1,"]")),MATCH(vp.data[[#This Row],[SDate]],weather.tbl[Date],0))</f>
        <v>-10</v>
      </c>
      <c r="S887" s="2">
        <f ca="1">INDEX(INDIRECT(_xlfn.CONCAT("weather.tbl[",S$1,"]")),MATCH(vp.data[[#This Row],[SDate]],weather.tbl[Date],0))</f>
        <v>-11.3</v>
      </c>
      <c r="T887" s="2">
        <f ca="1">INDEX(INDIRECT(_xlfn.CONCAT("weather.tbl[",T$1,"]")),MATCH(vp.data[[#This Row],[SDate]],weather.tbl[Date],0))</f>
        <v>-13.5</v>
      </c>
      <c r="U887" s="2">
        <f ca="1">INDEX(INDIRECT(_xlfn.CONCAT("weather.tbl[",U$1,"]")),MATCH(vp.data[[#This Row],[SDate]],weather.tbl[Date],0))</f>
        <v>-12</v>
      </c>
      <c r="V887" s="2">
        <f t="array" ref="V8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264.49799999999999</v>
      </c>
      <c r="W887" t="s">
        <v>48</v>
      </c>
      <c r="X887">
        <f>IF(OR(vp.data[[#This Row],[Sulf]]="",vp.data[[#This Row],[Dens]]=""),1,0)</f>
        <v>0</v>
      </c>
      <c r="Y887">
        <f>IF(vp.data[[#This Row],[CrudeType]]="C5+",1,0)</f>
        <v>0</v>
      </c>
      <c r="Z887">
        <f>IF(AND(vp.data[[#This Row],[CrudeType]]="Crude",vp.data[[#This Row],[Dens]]&lt;=825,vp.data[[#This Row],[Sulf]]&gt;0.5,vp.data[[#This Row],[Unknown]]=0),1,0)</f>
        <v>0</v>
      </c>
      <c r="AA887">
        <f>IF(AND(vp.data[[#This Row],[CrudeType]]="Crude",vp.data[[#This Row],[Dens]]&lt;=825,vp.data[[#This Row],[Sulf]]&lt;=0.5,vp.data[[#This Row],[Unknown]]=0),1,0)</f>
        <v>0</v>
      </c>
      <c r="AB8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7">
        <f>IF(AND(vp.data[[#This Row],[CrudeType]]="Crude",vp.data[[#This Row],[Dens]]&gt;825,vp.data[[#This Row],[Dens]]&lt;=900,vp.data[[#This Row],[Sulf]]&lt;=0.5,vp.data[[#This Row],[Unknown]]=0),1,0)</f>
        <v>0</v>
      </c>
      <c r="AD887">
        <f>IF(AND(vp.data[[#This Row],[CrudeType]]="Crude",vp.data[[#This Row],[Dens]]&gt;865,vp.data[[#This Row],[Dens]]&lt;=900,vp.data[[#This Row],[Sulf]]&gt;2,vp.data[[#This Row],[Unknown]]=0),1,0)</f>
        <v>0</v>
      </c>
      <c r="AE887">
        <f>IF(AND(vp.data[[#This Row],[CrudeType]]="Crude",vp.data[[#This Row],[Dens]]&gt;900,vp.data[[#This Row],[Sulf]]&lt;=0.5,vp.data[[#This Row],[Unknown]]=0),1,0)</f>
        <v>0</v>
      </c>
      <c r="AF887">
        <f>IF(AND(vp.data[[#This Row],[CrudeType]]="Crude",vp.data[[#This Row],[Dens]]&gt;900,vp.data[[#This Row],[Sulf]]&lt;=0.5,vp.data[[#This Row],[Unknown]]=0),1,0)</f>
        <v>0</v>
      </c>
      <c r="AG887" t="str">
        <f>INDEX(vp.data[[#Headers],[Unknown]:[Heavy_SW]],MATCH(1,vp.data[[#This Row],[Unknown]:[Heavy_SW]],0))</f>
        <v>Medium_LSB</v>
      </c>
      <c r="AH887">
        <f>INDEX([3]!crudeBD.lkup[Number],MATCH(vp.data[[#This Row],[Crude_Breakdown]],crudeBD.lkup[Crude Breakdown],0))</f>
        <v>3</v>
      </c>
      <c r="AI887">
        <f>MONTH(vp.data[[#This Row],[SDate]])</f>
        <v>2</v>
      </c>
      <c r="AJ887" s="5">
        <f>(vp.data[[#This Row],[VP]]-INDEX(crudeBD.lkup[Mean_VP],MATCH(vp.data[[#This Row],[Crude_Breakdown]],crudeBD.lkup[Crude Breakdown],0)))^2</f>
        <v>632.00333703184015</v>
      </c>
      <c r="AK887" s="5">
        <f>(vp.data[[#This Row],[Dens]]-INDEX(crudeBD.lkup[Mean_Dens],MATCH(vp.data[[#This Row],[Crude_Breakdown]],crudeBD.lkup[Crude Breakdown],0)))^2</f>
        <v>584.67240000002505</v>
      </c>
      <c r="AL887" s="5">
        <f>(vp.data[[#This Row],[Sulf]]-INDEX(crudeBD.lkup[Mean_Sulf],MATCH(vp.data[[#This Row],[Crude_Breakdown]],crudeBD.lkup[Crude Breakdown],0)))^2</f>
        <v>0.15570274648652699</v>
      </c>
      <c r="AM887" s="4">
        <f>IF(AND(vp.data[[#This Row],[SDate]]&gt;=DATE(YEAR(vp.data[[#This Row],[SDate]]),5,1),vp.data[[#This Row],[SDate]]&lt;=DATE(YEAR(vp.data[[#This Row],[SDate]]),9,15)),1,0)</f>
        <v>0</v>
      </c>
      <c r="AN887" s="4">
        <f>IF(vp.data[[#This Row],[SDate]]&lt;DATE(2016,12,1),0,1)</f>
        <v>1</v>
      </c>
      <c r="AO887" s="4">
        <f>IFERROR(vp.data[[#This Row],[Sulf]]*vp.data[[#This Row],[Net Dens]],"")</f>
        <v>408707.07056399999</v>
      </c>
      <c r="AP887">
        <f>IFERROR(vp.data[[#This Row],[Dens]]*vp.data[[#This Row],[VolumeM3]],"")</f>
        <v>229610.7138</v>
      </c>
      <c r="AQ887" s="15">
        <f>IFERROR(vp.data[[#This Row],[VP]]*vp.data[[#This Row],[VolumeM3]],"")</f>
        <v>14679.638999999999</v>
      </c>
    </row>
    <row r="888" spans="1:43" x14ac:dyDescent="0.25">
      <c r="A888">
        <v>887</v>
      </c>
      <c r="B888" t="s">
        <v>68</v>
      </c>
      <c r="C888" t="s">
        <v>68</v>
      </c>
      <c r="D888" t="s">
        <v>185</v>
      </c>
      <c r="F888" s="1">
        <v>42791</v>
      </c>
      <c r="G888" s="2">
        <v>48.7</v>
      </c>
      <c r="H888" s="2"/>
      <c r="I888" s="2">
        <f t="array" ref="I888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888" s="2">
        <v>14</v>
      </c>
      <c r="K888" s="2">
        <v>-8</v>
      </c>
      <c r="L888" s="2">
        <v>870</v>
      </c>
      <c r="M888" s="2">
        <f t="array" ref="M888">_xlfn.IFNA(IF(vp.data[[#This Row],[Dens Input]]="",INDEX([1]DATA!$O$3:$O$9826,MATCH(1,(vp.data[[#This Row],[Battery]]=[1]DATA!$L$3:$L$9826)*(EOMONTH(vp.data[[#This Row],[SDate]],-1)+1=[1]DATA!$G$3:$G$9826),0)),vp.data[[#This Row],[Dens Input]]),"")</f>
        <v>870</v>
      </c>
      <c r="N888" s="2">
        <f ca="1">INDEX(INDIRECT(_xlfn.CONCAT("weather.tbl[",N$1,"]")),MATCH(vp.data[[#This Row],[SDate]],weather.tbl[Date],0))</f>
        <v>-11.833333333333334</v>
      </c>
      <c r="O888" s="2">
        <f ca="1">INDEX(INDIRECT(_xlfn.CONCAT("weather.tbl[",O$1,"]")),MATCH(vp.data[[#This Row],[SDate]],weather.tbl[Date],0))</f>
        <v>-3.1214285714285714</v>
      </c>
      <c r="P888" s="2">
        <f ca="1">INDEX(INDIRECT(_xlfn.CONCAT("weather.tbl[",P$1,"]")),MATCH(vp.data[[#This Row],[SDate]],weather.tbl[Date],0))</f>
        <v>-12.3</v>
      </c>
      <c r="Q888" s="2">
        <f ca="1">INDEX(INDIRECT(_xlfn.CONCAT("weather.tbl[",Q$1,"]")),MATCH(vp.data[[#This Row],[SDate]],weather.tbl[Date],0))</f>
        <v>-11.9</v>
      </c>
      <c r="R888" s="2">
        <f ca="1">INDEX(INDIRECT(_xlfn.CONCAT("weather.tbl[",R$1,"]")),MATCH(vp.data[[#This Row],[SDate]],weather.tbl[Date],0))</f>
        <v>-10</v>
      </c>
      <c r="S888" s="2">
        <f ca="1">INDEX(INDIRECT(_xlfn.CONCAT("weather.tbl[",S$1,"]")),MATCH(vp.data[[#This Row],[SDate]],weather.tbl[Date],0))</f>
        <v>-11.3</v>
      </c>
      <c r="T888" s="2">
        <f ca="1">INDEX(INDIRECT(_xlfn.CONCAT("weather.tbl[",T$1,"]")),MATCH(vp.data[[#This Row],[SDate]],weather.tbl[Date],0))</f>
        <v>-13.5</v>
      </c>
      <c r="U888" s="2">
        <f ca="1">INDEX(INDIRECT(_xlfn.CONCAT("weather.tbl[",U$1,"]")),MATCH(vp.data[[#This Row],[SDate]],weather.tbl[Date],0))</f>
        <v>-12</v>
      </c>
      <c r="V888" s="2">
        <f t="array" ref="V8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148.39500000000001</v>
      </c>
      <c r="W888" t="s">
        <v>48</v>
      </c>
      <c r="X888">
        <f>IF(OR(vp.data[[#This Row],[Sulf]]="",vp.data[[#This Row],[Dens]]=""),1,0)</f>
        <v>0</v>
      </c>
      <c r="Y888">
        <f>IF(vp.data[[#This Row],[CrudeType]]="C5+",1,0)</f>
        <v>0</v>
      </c>
      <c r="Z888">
        <f>IF(AND(vp.data[[#This Row],[CrudeType]]="Crude",vp.data[[#This Row],[Dens]]&lt;=825,vp.data[[#This Row],[Sulf]]&gt;0.5,vp.data[[#This Row],[Unknown]]=0),1,0)</f>
        <v>0</v>
      </c>
      <c r="AA888">
        <f>IF(AND(vp.data[[#This Row],[CrudeType]]="Crude",vp.data[[#This Row],[Dens]]&lt;=825,vp.data[[#This Row],[Sulf]]&lt;=0.5,vp.data[[#This Row],[Unknown]]=0),1,0)</f>
        <v>0</v>
      </c>
      <c r="AB8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8">
        <f>IF(AND(vp.data[[#This Row],[CrudeType]]="Crude",vp.data[[#This Row],[Dens]]&gt;825,vp.data[[#This Row],[Dens]]&lt;=900,vp.data[[#This Row],[Sulf]]&lt;=0.5,vp.data[[#This Row],[Unknown]]=0),1,0)</f>
        <v>0</v>
      </c>
      <c r="AD888">
        <f>IF(AND(vp.data[[#This Row],[CrudeType]]="Crude",vp.data[[#This Row],[Dens]]&gt;865,vp.data[[#This Row],[Dens]]&lt;=900,vp.data[[#This Row],[Sulf]]&gt;2,vp.data[[#This Row],[Unknown]]=0),1,0)</f>
        <v>0</v>
      </c>
      <c r="AE888">
        <f>IF(AND(vp.data[[#This Row],[CrudeType]]="Crude",vp.data[[#This Row],[Dens]]&gt;900,vp.data[[#This Row],[Sulf]]&lt;=0.5,vp.data[[#This Row],[Unknown]]=0),1,0)</f>
        <v>0</v>
      </c>
      <c r="AF888">
        <f>IF(AND(vp.data[[#This Row],[CrudeType]]="Crude",vp.data[[#This Row],[Dens]]&gt;900,vp.data[[#This Row],[Sulf]]&lt;=0.5,vp.data[[#This Row],[Unknown]]=0),1,0)</f>
        <v>0</v>
      </c>
      <c r="AG888" t="str">
        <f>INDEX(vp.data[[#Headers],[Unknown]:[Heavy_SW]],MATCH(1,vp.data[[#This Row],[Unknown]:[Heavy_SW]],0))</f>
        <v>Medium_LSB</v>
      </c>
      <c r="AH888">
        <f>INDEX([3]!crudeBD.lkup[Number],MATCH(vp.data[[#This Row],[Crude_Breakdown]],crudeBD.lkup[Crude Breakdown],0))</f>
        <v>3</v>
      </c>
      <c r="AI888">
        <f>MONTH(vp.data[[#This Row],[SDate]])</f>
        <v>2</v>
      </c>
      <c r="AJ888" s="5">
        <f>(vp.data[[#This Row],[VP]]-INDEX(crudeBD.lkup[Mean_VP],MATCH(vp.data[[#This Row],[Crude_Breakdown]],crudeBD.lkup[Crude Breakdown],0)))^2</f>
        <v>1020.1429381100061</v>
      </c>
      <c r="AK888" s="5">
        <f>(vp.data[[#This Row],[Dens]]-INDEX(crudeBD.lkup[Mean_Dens],MATCH(vp.data[[#This Row],[Crude_Breakdown]],crudeBD.lkup[Crude Breakdown],0)))^2</f>
        <v>680.16640000002587</v>
      </c>
      <c r="AL888" s="5">
        <f>(vp.data[[#This Row],[Sulf]]-INDEX(crudeBD.lkup[Mean_Sulf],MATCH(vp.data[[#This Row],[Crude_Breakdown]],crudeBD.lkup[Crude Breakdown],0)))^2</f>
        <v>8.678437182345447E-2</v>
      </c>
      <c r="AM888" s="4">
        <f>IF(AND(vp.data[[#This Row],[SDate]]&gt;=DATE(YEAR(vp.data[[#This Row],[SDate]]),5,1),vp.data[[#This Row],[SDate]]&lt;=DATE(YEAR(vp.data[[#This Row],[SDate]]),9,15)),1,0)</f>
        <v>0</v>
      </c>
      <c r="AN888" s="4">
        <f>IF(vp.data[[#This Row],[SDate]]&lt;DATE(2016,12,1),0,1)</f>
        <v>1</v>
      </c>
      <c r="AO888" s="4">
        <f>IFERROR(vp.data[[#This Row],[Sulf]]*vp.data[[#This Row],[Net Dens]],"")</f>
        <v>216894.13200000001</v>
      </c>
      <c r="AP888">
        <f>IFERROR(vp.data[[#This Row],[Dens]]*vp.data[[#This Row],[VolumeM3]],"")</f>
        <v>129103.65000000001</v>
      </c>
      <c r="AQ888" s="15">
        <f>IFERROR(vp.data[[#This Row],[VP]]*vp.data[[#This Row],[VolumeM3]],"")</f>
        <v>7226.8365000000013</v>
      </c>
    </row>
    <row r="889" spans="1:43" x14ac:dyDescent="0.25">
      <c r="A889">
        <v>888</v>
      </c>
      <c r="B889" t="s">
        <v>49</v>
      </c>
      <c r="C889" t="s">
        <v>49</v>
      </c>
      <c r="D889" t="s">
        <v>186</v>
      </c>
      <c r="F889" s="1">
        <v>42792</v>
      </c>
      <c r="G889" s="2">
        <v>72.900000000000006</v>
      </c>
      <c r="H889" s="2">
        <v>0.8</v>
      </c>
      <c r="I889" s="2">
        <f t="array" ref="I889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889" s="2">
        <v>15.2</v>
      </c>
      <c r="K889" s="2">
        <v>-11</v>
      </c>
      <c r="L889" s="2">
        <v>831.6</v>
      </c>
      <c r="M889" s="2">
        <f t="array" ref="M889">_xlfn.IFNA(IF(vp.data[[#This Row],[Dens Input]]="",INDEX([1]DATA!$O$3:$O$9826,MATCH(1,(vp.data[[#This Row],[Battery]]=[1]DATA!$L$3:$L$9826)*(EOMONTH(vp.data[[#This Row],[SDate]],-1)+1=[1]DATA!$G$3:$G$9826),0)),vp.data[[#This Row],[Dens Input]]),"")</f>
        <v>831.6</v>
      </c>
      <c r="N889" s="2">
        <f ca="1">INDEX(INDIRECT(_xlfn.CONCAT("weather.tbl[",N$1,"]")),MATCH(vp.data[[#This Row],[SDate]],weather.tbl[Date],0))</f>
        <v>-11.916666666666666</v>
      </c>
      <c r="O889" s="2">
        <f ca="1">INDEX(INDIRECT(_xlfn.CONCAT("weather.tbl[",O$1,"]")),MATCH(vp.data[[#This Row],[SDate]],weather.tbl[Date],0))</f>
        <v>-4.7952380952380951</v>
      </c>
      <c r="P889" s="2">
        <f ca="1">INDEX(INDIRECT(_xlfn.CONCAT("weather.tbl[",P$1,"]")),MATCH(vp.data[[#This Row],[SDate]],weather.tbl[Date],0))</f>
        <v>-12.6</v>
      </c>
      <c r="Q889" s="2">
        <f ca="1">INDEX(INDIRECT(_xlfn.CONCAT("weather.tbl[",Q$1,"]")),MATCH(vp.data[[#This Row],[SDate]],weather.tbl[Date],0))</f>
        <v>-10.4</v>
      </c>
      <c r="R889" s="2">
        <f ca="1">INDEX(INDIRECT(_xlfn.CONCAT("weather.tbl[",R$1,"]")),MATCH(vp.data[[#This Row],[SDate]],weather.tbl[Date],0))</f>
        <v>-12.3</v>
      </c>
      <c r="S889" s="2">
        <f ca="1">INDEX(INDIRECT(_xlfn.CONCAT("weather.tbl[",S$1,"]")),MATCH(vp.data[[#This Row],[SDate]],weather.tbl[Date],0))</f>
        <v>-9.4</v>
      </c>
      <c r="T889" s="2">
        <f ca="1">INDEX(INDIRECT(_xlfn.CONCAT("weather.tbl[",T$1,"]")),MATCH(vp.data[[#This Row],[SDate]],weather.tbl[Date],0))</f>
        <v>-14.5</v>
      </c>
      <c r="U889" s="2">
        <f ca="1">INDEX(INDIRECT(_xlfn.CONCAT("weather.tbl[",U$1,"]")),MATCH(vp.data[[#This Row],[SDate]],weather.tbl[Date],0))</f>
        <v>-12.3</v>
      </c>
      <c r="V889" s="2">
        <f t="array" ref="V8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1474.4390000000001</v>
      </c>
      <c r="W889" t="s">
        <v>48</v>
      </c>
      <c r="X889">
        <f>IF(OR(vp.data[[#This Row],[Sulf]]="",vp.data[[#This Row],[Dens]]=""),1,0)</f>
        <v>0</v>
      </c>
      <c r="Y889">
        <f>IF(vp.data[[#This Row],[CrudeType]]="C5+",1,0)</f>
        <v>0</v>
      </c>
      <c r="Z889">
        <f>IF(AND(vp.data[[#This Row],[CrudeType]]="Crude",vp.data[[#This Row],[Dens]]&lt;=825,vp.data[[#This Row],[Sulf]]&gt;0.5,vp.data[[#This Row],[Unknown]]=0),1,0)</f>
        <v>0</v>
      </c>
      <c r="AA889">
        <f>IF(AND(vp.data[[#This Row],[CrudeType]]="Crude",vp.data[[#This Row],[Dens]]&lt;=825,vp.data[[#This Row],[Sulf]]&lt;=0.5,vp.data[[#This Row],[Unknown]]=0),1,0)</f>
        <v>0</v>
      </c>
      <c r="AB8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89">
        <f>IF(AND(vp.data[[#This Row],[CrudeType]]="Crude",vp.data[[#This Row],[Dens]]&gt;825,vp.data[[#This Row],[Dens]]&lt;=900,vp.data[[#This Row],[Sulf]]&lt;=0.5,vp.data[[#This Row],[Unknown]]=0),1,0)</f>
        <v>0</v>
      </c>
      <c r="AD889">
        <f>IF(AND(vp.data[[#This Row],[CrudeType]]="Crude",vp.data[[#This Row],[Dens]]&gt;865,vp.data[[#This Row],[Dens]]&lt;=900,vp.data[[#This Row],[Sulf]]&gt;2,vp.data[[#This Row],[Unknown]]=0),1,0)</f>
        <v>0</v>
      </c>
      <c r="AE889">
        <f>IF(AND(vp.data[[#This Row],[CrudeType]]="Crude",vp.data[[#This Row],[Dens]]&gt;900,vp.data[[#This Row],[Sulf]]&lt;=0.5,vp.data[[#This Row],[Unknown]]=0),1,0)</f>
        <v>0</v>
      </c>
      <c r="AF889">
        <f>IF(AND(vp.data[[#This Row],[CrudeType]]="Crude",vp.data[[#This Row],[Dens]]&gt;900,vp.data[[#This Row],[Sulf]]&lt;=0.5,vp.data[[#This Row],[Unknown]]=0),1,0)</f>
        <v>0</v>
      </c>
      <c r="AG889" t="str">
        <f>INDEX(vp.data[[#Headers],[Unknown]:[Heavy_SW]],MATCH(1,vp.data[[#This Row],[Unknown]:[Heavy_SW]],0))</f>
        <v>Medium_LSB</v>
      </c>
      <c r="AH889">
        <f>INDEX([3]!crudeBD.lkup[Number],MATCH(vp.data[[#This Row],[Crude_Breakdown]],crudeBD.lkup[Crude Breakdown],0))</f>
        <v>3</v>
      </c>
      <c r="AI889">
        <f>MONTH(vp.data[[#This Row],[SDate]])</f>
        <v>2</v>
      </c>
      <c r="AJ889" s="5">
        <f>(vp.data[[#This Row],[VP]]-INDEX(crudeBD.lkup[Mean_VP],MATCH(vp.data[[#This Row],[Crude_Breakdown]],crudeBD.lkup[Crude Breakdown],0)))^2</f>
        <v>59.902593096532541</v>
      </c>
      <c r="AK889" s="5">
        <f>(vp.data[[#This Row],[Dens]]-INDEX(crudeBD.lkup[Mean_Dens],MATCH(vp.data[[#This Row],[Crude_Breakdown]],crudeBD.lkup[Crude Breakdown],0)))^2</f>
        <v>151.78239999998723</v>
      </c>
      <c r="AL889" s="5">
        <f>(vp.data[[#This Row],[Sulf]]-INDEX(crudeBD.lkup[Mean_Sulf],MATCH(vp.data[[#This Row],[Crude_Breakdown]],crudeBD.lkup[Crude Breakdown],0)))^2</f>
        <v>0.34270267478841671</v>
      </c>
      <c r="AM889" s="4">
        <f>IF(AND(vp.data[[#This Row],[SDate]]&gt;=DATE(YEAR(vp.data[[#This Row],[SDate]]),5,1),vp.data[[#This Row],[SDate]]&lt;=DATE(YEAR(vp.data[[#This Row],[SDate]]),9,15)),1,0)</f>
        <v>0</v>
      </c>
      <c r="AN889" s="4">
        <f>IF(vp.data[[#This Row],[SDate]]&lt;DATE(2016,12,1),0,1)</f>
        <v>1</v>
      </c>
      <c r="AO889" s="4">
        <f>IFERROR(vp.data[[#This Row],[Sulf]]*vp.data[[#This Row],[Net Dens]],"")</f>
        <v>980914.77792000014</v>
      </c>
      <c r="AP889">
        <f>IFERROR(vp.data[[#This Row],[Dens]]*vp.data[[#This Row],[VolumeM3]],"")</f>
        <v>1226143.4724000001</v>
      </c>
      <c r="AQ889" s="15">
        <f>IFERROR(vp.data[[#This Row],[VP]]*vp.data[[#This Row],[VolumeM3]],"")</f>
        <v>107486.60310000001</v>
      </c>
    </row>
    <row r="890" spans="1:43" x14ac:dyDescent="0.25">
      <c r="A890">
        <v>889</v>
      </c>
      <c r="B890" t="s">
        <v>49</v>
      </c>
      <c r="C890" t="s">
        <v>49</v>
      </c>
      <c r="D890" t="s">
        <v>187</v>
      </c>
      <c r="F890" s="1">
        <v>42792</v>
      </c>
      <c r="G890" s="2">
        <v>46.1</v>
      </c>
      <c r="H890" s="2">
        <v>0.85599999999999998</v>
      </c>
      <c r="I890" s="2">
        <f t="array" ref="I890">_xlfn.IFNA(IF(vp.data[[#This Row],[Sulf Input]]="",INDEX([1]DATA!$Q$3:$Q$9826,MATCH(1,(vp.data[[#This Row],[Battery]]=[1]DATA!$L$3:$L$9826)*(EOMONTH(vp.data[[#This Row],[SDate]],-1)+1=[1]DATA!$G$3:$G$9826),0)),vp.data[[#This Row],[Sulf Input]]),"")</f>
        <v>0.85599999999999998</v>
      </c>
      <c r="J890" s="2">
        <v>11.4</v>
      </c>
      <c r="K890" s="2">
        <v>-11</v>
      </c>
      <c r="L890" s="2">
        <v>843</v>
      </c>
      <c r="M890" s="2">
        <f t="array" ref="M890">_xlfn.IFNA(IF(vp.data[[#This Row],[Dens Input]]="",INDEX([1]DATA!$O$3:$O$9826,MATCH(1,(vp.data[[#This Row],[Battery]]=[1]DATA!$L$3:$L$9826)*(EOMONTH(vp.data[[#This Row],[SDate]],-1)+1=[1]DATA!$G$3:$G$9826),0)),vp.data[[#This Row],[Dens Input]]),"")</f>
        <v>843</v>
      </c>
      <c r="N890" s="2">
        <f ca="1">INDEX(INDIRECT(_xlfn.CONCAT("weather.tbl[",N$1,"]")),MATCH(vp.data[[#This Row],[SDate]],weather.tbl[Date],0))</f>
        <v>-11.916666666666666</v>
      </c>
      <c r="O890" s="2">
        <f ca="1">INDEX(INDIRECT(_xlfn.CONCAT("weather.tbl[",O$1,"]")),MATCH(vp.data[[#This Row],[SDate]],weather.tbl[Date],0))</f>
        <v>-4.7952380952380951</v>
      </c>
      <c r="P890" s="2">
        <f ca="1">INDEX(INDIRECT(_xlfn.CONCAT("weather.tbl[",P$1,"]")),MATCH(vp.data[[#This Row],[SDate]],weather.tbl[Date],0))</f>
        <v>-12.6</v>
      </c>
      <c r="Q890" s="2">
        <f ca="1">INDEX(INDIRECT(_xlfn.CONCAT("weather.tbl[",Q$1,"]")),MATCH(vp.data[[#This Row],[SDate]],weather.tbl[Date],0))</f>
        <v>-10.4</v>
      </c>
      <c r="R890" s="2">
        <f ca="1">INDEX(INDIRECT(_xlfn.CONCAT("weather.tbl[",R$1,"]")),MATCH(vp.data[[#This Row],[SDate]],weather.tbl[Date],0))</f>
        <v>-12.3</v>
      </c>
      <c r="S890" s="2">
        <f ca="1">INDEX(INDIRECT(_xlfn.CONCAT("weather.tbl[",S$1,"]")),MATCH(vp.data[[#This Row],[SDate]],weather.tbl[Date],0))</f>
        <v>-9.4</v>
      </c>
      <c r="T890" s="2">
        <f ca="1">INDEX(INDIRECT(_xlfn.CONCAT("weather.tbl[",T$1,"]")),MATCH(vp.data[[#This Row],[SDate]],weather.tbl[Date],0))</f>
        <v>-14.5</v>
      </c>
      <c r="U890" s="2">
        <f ca="1">INDEX(INDIRECT(_xlfn.CONCAT("weather.tbl[",U$1,"]")),MATCH(vp.data[[#This Row],[SDate]],weather.tbl[Date],0))</f>
        <v>-12.3</v>
      </c>
      <c r="V890" s="2">
        <f t="array" ref="V8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471.40300000000002</v>
      </c>
      <c r="W890" t="s">
        <v>48</v>
      </c>
      <c r="X890">
        <f>IF(OR(vp.data[[#This Row],[Sulf]]="",vp.data[[#This Row],[Dens]]=""),1,0)</f>
        <v>0</v>
      </c>
      <c r="Y890">
        <f>IF(vp.data[[#This Row],[CrudeType]]="C5+",1,0)</f>
        <v>0</v>
      </c>
      <c r="Z890">
        <f>IF(AND(vp.data[[#This Row],[CrudeType]]="Crude",vp.data[[#This Row],[Dens]]&lt;=825,vp.data[[#This Row],[Sulf]]&gt;0.5,vp.data[[#This Row],[Unknown]]=0),1,0)</f>
        <v>0</v>
      </c>
      <c r="AA890">
        <f>IF(AND(vp.data[[#This Row],[CrudeType]]="Crude",vp.data[[#This Row],[Dens]]&lt;=825,vp.data[[#This Row],[Sulf]]&lt;=0.5,vp.data[[#This Row],[Unknown]]=0),1,0)</f>
        <v>0</v>
      </c>
      <c r="AB8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0">
        <f>IF(AND(vp.data[[#This Row],[CrudeType]]="Crude",vp.data[[#This Row],[Dens]]&gt;825,vp.data[[#This Row],[Dens]]&lt;=900,vp.data[[#This Row],[Sulf]]&lt;=0.5,vp.data[[#This Row],[Unknown]]=0),1,0)</f>
        <v>0</v>
      </c>
      <c r="AD890">
        <f>IF(AND(vp.data[[#This Row],[CrudeType]]="Crude",vp.data[[#This Row],[Dens]]&gt;865,vp.data[[#This Row],[Dens]]&lt;=900,vp.data[[#This Row],[Sulf]]&gt;2,vp.data[[#This Row],[Unknown]]=0),1,0)</f>
        <v>0</v>
      </c>
      <c r="AE890">
        <f>IF(AND(vp.data[[#This Row],[CrudeType]]="Crude",vp.data[[#This Row],[Dens]]&gt;900,vp.data[[#This Row],[Sulf]]&lt;=0.5,vp.data[[#This Row],[Unknown]]=0),1,0)</f>
        <v>0</v>
      </c>
      <c r="AF890">
        <f>IF(AND(vp.data[[#This Row],[CrudeType]]="Crude",vp.data[[#This Row],[Dens]]&gt;900,vp.data[[#This Row],[Sulf]]&lt;=0.5,vp.data[[#This Row],[Unknown]]=0),1,0)</f>
        <v>0</v>
      </c>
      <c r="AG890" t="str">
        <f>INDEX(vp.data[[#Headers],[Unknown]:[Heavy_SW]],MATCH(1,vp.data[[#This Row],[Unknown]:[Heavy_SW]],0))</f>
        <v>Medium_LSB</v>
      </c>
      <c r="AH890">
        <f>INDEX([3]!crudeBD.lkup[Number],MATCH(vp.data[[#This Row],[Crude_Breakdown]],crudeBD.lkup[Crude Breakdown],0))</f>
        <v>3</v>
      </c>
      <c r="AI890">
        <f>MONTH(vp.data[[#This Row],[SDate]])</f>
        <v>2</v>
      </c>
      <c r="AJ890" s="5">
        <f>(vp.data[[#This Row],[VP]]-INDEX(crudeBD.lkup[Mean_VP],MATCH(vp.data[[#This Row],[Crude_Breakdown]],crudeBD.lkup[Crude Breakdown],0)))^2</f>
        <v>1192.989256169305</v>
      </c>
      <c r="AK890" s="5">
        <f>(vp.data[[#This Row],[Dens]]-INDEX(crudeBD.lkup[Mean_Dens],MATCH(vp.data[[#This Row],[Crude_Breakdown]],crudeBD.lkup[Crude Breakdown],0)))^2</f>
        <v>0.84639999999908799</v>
      </c>
      <c r="AL890" s="5">
        <f>(vp.data[[#This Row],[Sulf]]-INDEX(crudeBD.lkup[Mean_Sulf],MATCH(vp.data[[#This Row],[Crude_Breakdown]],crudeBD.lkup[Crude Breakdown],0)))^2</f>
        <v>0.28027296459973733</v>
      </c>
      <c r="AM890" s="4">
        <f>IF(AND(vp.data[[#This Row],[SDate]]&gt;=DATE(YEAR(vp.data[[#This Row],[SDate]]),5,1),vp.data[[#This Row],[SDate]]&lt;=DATE(YEAR(vp.data[[#This Row],[SDate]]),9,15)),1,0)</f>
        <v>0</v>
      </c>
      <c r="AN890" s="4">
        <f>IF(vp.data[[#This Row],[SDate]]&lt;DATE(2016,12,1),0,1)</f>
        <v>1</v>
      </c>
      <c r="AO890" s="4">
        <f>IFERROR(vp.data[[#This Row],[Sulf]]*vp.data[[#This Row],[Net Dens]],"")</f>
        <v>340168.17602399999</v>
      </c>
      <c r="AP890">
        <f>IFERROR(vp.data[[#This Row],[Dens]]*vp.data[[#This Row],[VolumeM3]],"")</f>
        <v>397392.72899999999</v>
      </c>
      <c r="AQ890" s="15">
        <f>IFERROR(vp.data[[#This Row],[VP]]*vp.data[[#This Row],[VolumeM3]],"")</f>
        <v>21731.678300000003</v>
      </c>
    </row>
    <row r="891" spans="1:43" x14ac:dyDescent="0.25">
      <c r="A891">
        <v>890</v>
      </c>
      <c r="B891" t="s">
        <v>49</v>
      </c>
      <c r="C891" t="s">
        <v>49</v>
      </c>
      <c r="D891" t="s">
        <v>70</v>
      </c>
      <c r="F891" s="1">
        <v>42792</v>
      </c>
      <c r="G891" s="2">
        <v>87</v>
      </c>
      <c r="H891" s="2">
        <v>0.90400000000000003</v>
      </c>
      <c r="I891" s="2">
        <f t="array" ref="I891">_xlfn.IFNA(IF(vp.data[[#This Row],[Sulf Input]]="",INDEX([1]DATA!$Q$3:$Q$9826,MATCH(1,(vp.data[[#This Row],[Battery]]=[1]DATA!$L$3:$L$9826)*(EOMONTH(vp.data[[#This Row],[SDate]],-1)+1=[1]DATA!$G$3:$G$9826),0)),vp.data[[#This Row],[Sulf Input]]),"")</f>
        <v>0.90400000000000003</v>
      </c>
      <c r="J891" s="2">
        <v>11.5</v>
      </c>
      <c r="K891" s="2">
        <v>-11</v>
      </c>
      <c r="L891" s="2">
        <v>823.9</v>
      </c>
      <c r="M891" s="2">
        <f t="array" ref="M891">_xlfn.IFNA(IF(vp.data[[#This Row],[Dens Input]]="",INDEX([1]DATA!$O$3:$O$9826,MATCH(1,(vp.data[[#This Row],[Battery]]=[1]DATA!$L$3:$L$9826)*(EOMONTH(vp.data[[#This Row],[SDate]],-1)+1=[1]DATA!$G$3:$G$9826),0)),vp.data[[#This Row],[Dens Input]]),"")</f>
        <v>823.9</v>
      </c>
      <c r="N891" s="2">
        <f ca="1">INDEX(INDIRECT(_xlfn.CONCAT("weather.tbl[",N$1,"]")),MATCH(vp.data[[#This Row],[SDate]],weather.tbl[Date],0))</f>
        <v>-11.916666666666666</v>
      </c>
      <c r="O891" s="2">
        <f ca="1">INDEX(INDIRECT(_xlfn.CONCAT("weather.tbl[",O$1,"]")),MATCH(vp.data[[#This Row],[SDate]],weather.tbl[Date],0))</f>
        <v>-4.7952380952380951</v>
      </c>
      <c r="P891" s="2">
        <f ca="1">INDEX(INDIRECT(_xlfn.CONCAT("weather.tbl[",P$1,"]")),MATCH(vp.data[[#This Row],[SDate]],weather.tbl[Date],0))</f>
        <v>-12.6</v>
      </c>
      <c r="Q891" s="2">
        <f ca="1">INDEX(INDIRECT(_xlfn.CONCAT("weather.tbl[",Q$1,"]")),MATCH(vp.data[[#This Row],[SDate]],weather.tbl[Date],0))</f>
        <v>-10.4</v>
      </c>
      <c r="R891" s="2">
        <f ca="1">INDEX(INDIRECT(_xlfn.CONCAT("weather.tbl[",R$1,"]")),MATCH(vp.data[[#This Row],[SDate]],weather.tbl[Date],0))</f>
        <v>-12.3</v>
      </c>
      <c r="S891" s="2">
        <f ca="1">INDEX(INDIRECT(_xlfn.CONCAT("weather.tbl[",S$1,"]")),MATCH(vp.data[[#This Row],[SDate]],weather.tbl[Date],0))</f>
        <v>-9.4</v>
      </c>
      <c r="T891" s="2">
        <f ca="1">INDEX(INDIRECT(_xlfn.CONCAT("weather.tbl[",T$1,"]")),MATCH(vp.data[[#This Row],[SDate]],weather.tbl[Date],0))</f>
        <v>-14.5</v>
      </c>
      <c r="U891" s="2">
        <f ca="1">INDEX(INDIRECT(_xlfn.CONCAT("weather.tbl[",U$1,"]")),MATCH(vp.data[[#This Row],[SDate]],weather.tbl[Date],0))</f>
        <v>-12.3</v>
      </c>
      <c r="V891" s="2">
        <f t="array" ref="V8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2335.377</v>
      </c>
      <c r="W891" t="s">
        <v>48</v>
      </c>
      <c r="X891">
        <f>IF(OR(vp.data[[#This Row],[Sulf]]="",vp.data[[#This Row],[Dens]]=""),1,0)</f>
        <v>0</v>
      </c>
      <c r="Y891">
        <f>IF(vp.data[[#This Row],[CrudeType]]="C5+",1,0)</f>
        <v>0</v>
      </c>
      <c r="Z891">
        <f>IF(AND(vp.data[[#This Row],[CrudeType]]="Crude",vp.data[[#This Row],[Dens]]&lt;=825,vp.data[[#This Row],[Sulf]]&gt;0.5,vp.data[[#This Row],[Unknown]]=0),1,0)</f>
        <v>1</v>
      </c>
      <c r="AA891">
        <f>IF(AND(vp.data[[#This Row],[CrudeType]]="Crude",vp.data[[#This Row],[Dens]]&lt;=825,vp.data[[#This Row],[Sulf]]&lt;=0.5,vp.data[[#This Row],[Unknown]]=0),1,0)</f>
        <v>0</v>
      </c>
      <c r="AB8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891">
        <f>IF(AND(vp.data[[#This Row],[CrudeType]]="Crude",vp.data[[#This Row],[Dens]]&gt;825,vp.data[[#This Row],[Dens]]&lt;=900,vp.data[[#This Row],[Sulf]]&lt;=0.5,vp.data[[#This Row],[Unknown]]=0),1,0)</f>
        <v>0</v>
      </c>
      <c r="AD891">
        <f>IF(AND(vp.data[[#This Row],[CrudeType]]="Crude",vp.data[[#This Row],[Dens]]&gt;865,vp.data[[#This Row],[Dens]]&lt;=900,vp.data[[#This Row],[Sulf]]&gt;2,vp.data[[#This Row],[Unknown]]=0),1,0)</f>
        <v>0</v>
      </c>
      <c r="AE891">
        <f>IF(AND(vp.data[[#This Row],[CrudeType]]="Crude",vp.data[[#This Row],[Dens]]&gt;900,vp.data[[#This Row],[Sulf]]&lt;=0.5,vp.data[[#This Row],[Unknown]]=0),1,0)</f>
        <v>0</v>
      </c>
      <c r="AF891">
        <f>IF(AND(vp.data[[#This Row],[CrudeType]]="Crude",vp.data[[#This Row],[Dens]]&gt;900,vp.data[[#This Row],[Sulf]]&lt;=0.5,vp.data[[#This Row],[Unknown]]=0),1,0)</f>
        <v>0</v>
      </c>
      <c r="AG891" t="str">
        <f>INDEX(vp.data[[#Headers],[Unknown]:[Heavy_SW]],MATCH(1,vp.data[[#This Row],[Unknown]:[Heavy_SW]],0))</f>
        <v>Light_LSB</v>
      </c>
      <c r="AH891">
        <f>INDEX([3]!crudeBD.lkup[Number],MATCH(vp.data[[#This Row],[Crude_Breakdown]],crudeBD.lkup[Crude Breakdown],0))</f>
        <v>1</v>
      </c>
      <c r="AI891">
        <f>MONTH(vp.data[[#This Row],[SDate]])</f>
        <v>2</v>
      </c>
      <c r="AJ891" s="5">
        <f>(vp.data[[#This Row],[VP]]-INDEX(crudeBD.lkup[Mean_VP],MATCH(vp.data[[#This Row],[Crude_Breakdown]],crudeBD.lkup[Crude Breakdown],0)))^2</f>
        <v>20.66780320969313</v>
      </c>
      <c r="AK891" s="5">
        <f>(vp.data[[#This Row],[Dens]]-INDEX(crudeBD.lkup[Mean_Dens],MATCH(vp.data[[#This Row],[Crude_Breakdown]],crudeBD.lkup[Crude Breakdown],0)))^2</f>
        <v>28.979167822773299</v>
      </c>
      <c r="AL891" s="5">
        <f>(vp.data[[#This Row],[Sulf]]-INDEX(crudeBD.lkup[Mean_Sulf],MATCH(vp.data[[#This Row],[Crude_Breakdown]],crudeBD.lkup[Crude Breakdown],0)))^2</f>
        <v>3.5990522988744935E-4</v>
      </c>
      <c r="AM891" s="4">
        <f>IF(AND(vp.data[[#This Row],[SDate]]&gt;=DATE(YEAR(vp.data[[#This Row],[SDate]]),5,1),vp.data[[#This Row],[SDate]]&lt;=DATE(YEAR(vp.data[[#This Row],[SDate]]),9,15)),1,0)</f>
        <v>0</v>
      </c>
      <c r="AN891" s="4">
        <f>IF(vp.data[[#This Row],[SDate]]&lt;DATE(2016,12,1),0,1)</f>
        <v>1</v>
      </c>
      <c r="AO891" s="4">
        <f>IFERROR(vp.data[[#This Row],[Sulf]]*vp.data[[#This Row],[Net Dens]],"")</f>
        <v>1739401.8677111999</v>
      </c>
      <c r="AP891">
        <f>IFERROR(vp.data[[#This Row],[Dens]]*vp.data[[#This Row],[VolumeM3]],"")</f>
        <v>1924117.1102999998</v>
      </c>
      <c r="AQ891" s="15">
        <f>IFERROR(vp.data[[#This Row],[VP]]*vp.data[[#This Row],[VolumeM3]],"")</f>
        <v>203177.799</v>
      </c>
    </row>
    <row r="892" spans="1:43" x14ac:dyDescent="0.25">
      <c r="A892">
        <v>891</v>
      </c>
      <c r="B892" t="s">
        <v>49</v>
      </c>
      <c r="C892" t="s">
        <v>49</v>
      </c>
      <c r="D892" t="s">
        <v>188</v>
      </c>
      <c r="F892" s="1">
        <v>42792</v>
      </c>
      <c r="G892" s="2">
        <v>71.8</v>
      </c>
      <c r="H892" s="2">
        <v>0.95099999999999996</v>
      </c>
      <c r="I892" s="2">
        <f t="array" ref="I892">_xlfn.IFNA(IF(vp.data[[#This Row],[Sulf Input]]="",INDEX([1]DATA!$Q$3:$Q$9826,MATCH(1,(vp.data[[#This Row],[Battery]]=[1]DATA!$L$3:$L$9826)*(EOMONTH(vp.data[[#This Row],[SDate]],-1)+1=[1]DATA!$G$3:$G$9826),0)),vp.data[[#This Row],[Sulf Input]]),"")</f>
        <v>0.95099999999999996</v>
      </c>
      <c r="J892" s="2">
        <v>8.5</v>
      </c>
      <c r="K892" s="2">
        <v>-11</v>
      </c>
      <c r="L892" s="2">
        <v>837.1</v>
      </c>
      <c r="M892" s="2">
        <f t="array" ref="M892">_xlfn.IFNA(IF(vp.data[[#This Row],[Dens Input]]="",INDEX([1]DATA!$O$3:$O$9826,MATCH(1,(vp.data[[#This Row],[Battery]]=[1]DATA!$L$3:$L$9826)*(EOMONTH(vp.data[[#This Row],[SDate]],-1)+1=[1]DATA!$G$3:$G$9826),0)),vp.data[[#This Row],[Dens Input]]),"")</f>
        <v>837.1</v>
      </c>
      <c r="N892" s="2">
        <f ca="1">INDEX(INDIRECT(_xlfn.CONCAT("weather.tbl[",N$1,"]")),MATCH(vp.data[[#This Row],[SDate]],weather.tbl[Date],0))</f>
        <v>-11.916666666666666</v>
      </c>
      <c r="O892" s="2">
        <f ca="1">INDEX(INDIRECT(_xlfn.CONCAT("weather.tbl[",O$1,"]")),MATCH(vp.data[[#This Row],[SDate]],weather.tbl[Date],0))</f>
        <v>-4.7952380952380951</v>
      </c>
      <c r="P892" s="2">
        <f ca="1">INDEX(INDIRECT(_xlfn.CONCAT("weather.tbl[",P$1,"]")),MATCH(vp.data[[#This Row],[SDate]],weather.tbl[Date],0))</f>
        <v>-12.6</v>
      </c>
      <c r="Q892" s="2">
        <f ca="1">INDEX(INDIRECT(_xlfn.CONCAT("weather.tbl[",Q$1,"]")),MATCH(vp.data[[#This Row],[SDate]],weather.tbl[Date],0))</f>
        <v>-10.4</v>
      </c>
      <c r="R892" s="2">
        <f ca="1">INDEX(INDIRECT(_xlfn.CONCAT("weather.tbl[",R$1,"]")),MATCH(vp.data[[#This Row],[SDate]],weather.tbl[Date],0))</f>
        <v>-12.3</v>
      </c>
      <c r="S892" s="2">
        <f ca="1">INDEX(INDIRECT(_xlfn.CONCAT("weather.tbl[",S$1,"]")),MATCH(vp.data[[#This Row],[SDate]],weather.tbl[Date],0))</f>
        <v>-9.4</v>
      </c>
      <c r="T892" s="2">
        <f ca="1">INDEX(INDIRECT(_xlfn.CONCAT("weather.tbl[",T$1,"]")),MATCH(vp.data[[#This Row],[SDate]],weather.tbl[Date],0))</f>
        <v>-14.5</v>
      </c>
      <c r="U892" s="2">
        <f ca="1">INDEX(INDIRECT(_xlfn.CONCAT("weather.tbl[",U$1,"]")),MATCH(vp.data[[#This Row],[SDate]],weather.tbl[Date],0))</f>
        <v>-12.3</v>
      </c>
      <c r="V892" s="2">
        <f t="array" ref="V8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1247.345</v>
      </c>
      <c r="W892" t="s">
        <v>48</v>
      </c>
      <c r="X892">
        <f>IF(OR(vp.data[[#This Row],[Sulf]]="",vp.data[[#This Row],[Dens]]=""),1,0)</f>
        <v>0</v>
      </c>
      <c r="Y892">
        <f>IF(vp.data[[#This Row],[CrudeType]]="C5+",1,0)</f>
        <v>0</v>
      </c>
      <c r="Z892">
        <f>IF(AND(vp.data[[#This Row],[CrudeType]]="Crude",vp.data[[#This Row],[Dens]]&lt;=825,vp.data[[#This Row],[Sulf]]&gt;0.5,vp.data[[#This Row],[Unknown]]=0),1,0)</f>
        <v>0</v>
      </c>
      <c r="AA892">
        <f>IF(AND(vp.data[[#This Row],[CrudeType]]="Crude",vp.data[[#This Row],[Dens]]&lt;=825,vp.data[[#This Row],[Sulf]]&lt;=0.5,vp.data[[#This Row],[Unknown]]=0),1,0)</f>
        <v>0</v>
      </c>
      <c r="AB8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2">
        <f>IF(AND(vp.data[[#This Row],[CrudeType]]="Crude",vp.data[[#This Row],[Dens]]&gt;825,vp.data[[#This Row],[Dens]]&lt;=900,vp.data[[#This Row],[Sulf]]&lt;=0.5,vp.data[[#This Row],[Unknown]]=0),1,0)</f>
        <v>0</v>
      </c>
      <c r="AD892">
        <f>IF(AND(vp.data[[#This Row],[CrudeType]]="Crude",vp.data[[#This Row],[Dens]]&gt;865,vp.data[[#This Row],[Dens]]&lt;=900,vp.data[[#This Row],[Sulf]]&gt;2,vp.data[[#This Row],[Unknown]]=0),1,0)</f>
        <v>0</v>
      </c>
      <c r="AE892">
        <f>IF(AND(vp.data[[#This Row],[CrudeType]]="Crude",vp.data[[#This Row],[Dens]]&gt;900,vp.data[[#This Row],[Sulf]]&lt;=0.5,vp.data[[#This Row],[Unknown]]=0),1,0)</f>
        <v>0</v>
      </c>
      <c r="AF892">
        <f>IF(AND(vp.data[[#This Row],[CrudeType]]="Crude",vp.data[[#This Row],[Dens]]&gt;900,vp.data[[#This Row],[Sulf]]&lt;=0.5,vp.data[[#This Row],[Unknown]]=0),1,0)</f>
        <v>0</v>
      </c>
      <c r="AG892" t="str">
        <f>INDEX(vp.data[[#Headers],[Unknown]:[Heavy_SW]],MATCH(1,vp.data[[#This Row],[Unknown]:[Heavy_SW]],0))</f>
        <v>Medium_LSB</v>
      </c>
      <c r="AH892">
        <f>INDEX([3]!crudeBD.lkup[Number],MATCH(vp.data[[#This Row],[Crude_Breakdown]],crudeBD.lkup[Crude Breakdown],0))</f>
        <v>3</v>
      </c>
      <c r="AI892">
        <f>MONTH(vp.data[[#This Row],[SDate]])</f>
        <v>2</v>
      </c>
      <c r="AJ892" s="5">
        <f>(vp.data[[#This Row],[VP]]-INDEX(crudeBD.lkup[Mean_VP],MATCH(vp.data[[#This Row],[Crude_Breakdown]],crudeBD.lkup[Crude Breakdown],0)))^2</f>
        <v>78.139881506236023</v>
      </c>
      <c r="AK892" s="5">
        <f>(vp.data[[#This Row],[Dens]]-INDEX(crudeBD.lkup[Mean_Dens],MATCH(vp.data[[#This Row],[Crude_Breakdown]],crudeBD.lkup[Crude Breakdown],0)))^2</f>
        <v>46.51239999999293</v>
      </c>
      <c r="AL892" s="5">
        <f>(vp.data[[#This Row],[Sulf]]-INDEX(crudeBD.lkup[Mean_Sulf],MATCH(vp.data[[#This Row],[Crude_Breakdown]],crudeBD.lkup[Crude Breakdown],0)))^2</f>
        <v>0.18871042052965623</v>
      </c>
      <c r="AM892" s="4">
        <f>IF(AND(vp.data[[#This Row],[SDate]]&gt;=DATE(YEAR(vp.data[[#This Row],[SDate]]),5,1),vp.data[[#This Row],[SDate]]&lt;=DATE(YEAR(vp.data[[#This Row],[SDate]]),9,15)),1,0)</f>
        <v>0</v>
      </c>
      <c r="AN892" s="4">
        <f>IF(vp.data[[#This Row],[SDate]]&lt;DATE(2016,12,1),0,1)</f>
        <v>1</v>
      </c>
      <c r="AO892" s="4">
        <f>IFERROR(vp.data[[#This Row],[Sulf]]*vp.data[[#This Row],[Net Dens]],"")</f>
        <v>992989.02702449996</v>
      </c>
      <c r="AP892">
        <f>IFERROR(vp.data[[#This Row],[Dens]]*vp.data[[#This Row],[VolumeM3]],"")</f>
        <v>1044152.4995</v>
      </c>
      <c r="AQ892" s="15">
        <f>IFERROR(vp.data[[#This Row],[VP]]*vp.data[[#This Row],[VolumeM3]],"")</f>
        <v>89559.370999999999</v>
      </c>
    </row>
    <row r="893" spans="1:43" x14ac:dyDescent="0.25">
      <c r="A893">
        <v>892</v>
      </c>
      <c r="B893" t="s">
        <v>49</v>
      </c>
      <c r="C893" t="s">
        <v>49</v>
      </c>
      <c r="D893" t="s">
        <v>150</v>
      </c>
      <c r="F893" s="1">
        <v>42792</v>
      </c>
      <c r="G893" s="2">
        <v>75.2</v>
      </c>
      <c r="H893" s="2">
        <v>1.1339999999999999</v>
      </c>
      <c r="I893" s="2">
        <f t="array" ref="I893">_xlfn.IFNA(IF(vp.data[[#This Row],[Sulf Input]]="",INDEX([1]DATA!$Q$3:$Q$9826,MATCH(1,(vp.data[[#This Row],[Battery]]=[1]DATA!$L$3:$L$9826)*(EOMONTH(vp.data[[#This Row],[SDate]],-1)+1=[1]DATA!$G$3:$G$9826),0)),vp.data[[#This Row],[Sulf Input]]),"")</f>
        <v>1.1339999999999999</v>
      </c>
      <c r="J893" s="2">
        <v>15.8</v>
      </c>
      <c r="K893" s="2">
        <v>-11</v>
      </c>
      <c r="L893" s="2">
        <v>840.5</v>
      </c>
      <c r="M893" s="2">
        <f t="array" ref="M893">_xlfn.IFNA(IF(vp.data[[#This Row],[Dens Input]]="",INDEX([1]DATA!$O$3:$O$9826,MATCH(1,(vp.data[[#This Row],[Battery]]=[1]DATA!$L$3:$L$9826)*(EOMONTH(vp.data[[#This Row],[SDate]],-1)+1=[1]DATA!$G$3:$G$9826),0)),vp.data[[#This Row],[Dens Input]]),"")</f>
        <v>840.5</v>
      </c>
      <c r="N893" s="2">
        <f ca="1">INDEX(INDIRECT(_xlfn.CONCAT("weather.tbl[",N$1,"]")),MATCH(vp.data[[#This Row],[SDate]],weather.tbl[Date],0))</f>
        <v>-11.916666666666666</v>
      </c>
      <c r="O893" s="2">
        <f ca="1">INDEX(INDIRECT(_xlfn.CONCAT("weather.tbl[",O$1,"]")),MATCH(vp.data[[#This Row],[SDate]],weather.tbl[Date],0))</f>
        <v>-4.7952380952380951</v>
      </c>
      <c r="P893" s="2">
        <f ca="1">INDEX(INDIRECT(_xlfn.CONCAT("weather.tbl[",P$1,"]")),MATCH(vp.data[[#This Row],[SDate]],weather.tbl[Date],0))</f>
        <v>-12.6</v>
      </c>
      <c r="Q893" s="2">
        <f ca="1">INDEX(INDIRECT(_xlfn.CONCAT("weather.tbl[",Q$1,"]")),MATCH(vp.data[[#This Row],[SDate]],weather.tbl[Date],0))</f>
        <v>-10.4</v>
      </c>
      <c r="R893" s="2">
        <f ca="1">INDEX(INDIRECT(_xlfn.CONCAT("weather.tbl[",R$1,"]")),MATCH(vp.data[[#This Row],[SDate]],weather.tbl[Date],0))</f>
        <v>-12.3</v>
      </c>
      <c r="S893" s="2">
        <f ca="1">INDEX(INDIRECT(_xlfn.CONCAT("weather.tbl[",S$1,"]")),MATCH(vp.data[[#This Row],[SDate]],weather.tbl[Date],0))</f>
        <v>-9.4</v>
      </c>
      <c r="T893" s="2">
        <f ca="1">INDEX(INDIRECT(_xlfn.CONCAT("weather.tbl[",T$1,"]")),MATCH(vp.data[[#This Row],[SDate]],weather.tbl[Date],0))</f>
        <v>-14.5</v>
      </c>
      <c r="U893" s="2">
        <f ca="1">INDEX(INDIRECT(_xlfn.CONCAT("weather.tbl[",U$1,"]")),MATCH(vp.data[[#This Row],[SDate]],weather.tbl[Date],0))</f>
        <v>-12.3</v>
      </c>
      <c r="V893" s="2">
        <f t="array" ref="V8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768.60500000000002</v>
      </c>
      <c r="W893" t="s">
        <v>48</v>
      </c>
      <c r="X893">
        <f>IF(OR(vp.data[[#This Row],[Sulf]]="",vp.data[[#This Row],[Dens]]=""),1,0)</f>
        <v>0</v>
      </c>
      <c r="Y893">
        <f>IF(vp.data[[#This Row],[CrudeType]]="C5+",1,0)</f>
        <v>0</v>
      </c>
      <c r="Z893">
        <f>IF(AND(vp.data[[#This Row],[CrudeType]]="Crude",vp.data[[#This Row],[Dens]]&lt;=825,vp.data[[#This Row],[Sulf]]&gt;0.5,vp.data[[#This Row],[Unknown]]=0),1,0)</f>
        <v>0</v>
      </c>
      <c r="AA893">
        <f>IF(AND(vp.data[[#This Row],[CrudeType]]="Crude",vp.data[[#This Row],[Dens]]&lt;=825,vp.data[[#This Row],[Sulf]]&lt;=0.5,vp.data[[#This Row],[Unknown]]=0),1,0)</f>
        <v>0</v>
      </c>
      <c r="AB8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3">
        <f>IF(AND(vp.data[[#This Row],[CrudeType]]="Crude",vp.data[[#This Row],[Dens]]&gt;825,vp.data[[#This Row],[Dens]]&lt;=900,vp.data[[#This Row],[Sulf]]&lt;=0.5,vp.data[[#This Row],[Unknown]]=0),1,0)</f>
        <v>0</v>
      </c>
      <c r="AD893">
        <f>IF(AND(vp.data[[#This Row],[CrudeType]]="Crude",vp.data[[#This Row],[Dens]]&gt;865,vp.data[[#This Row],[Dens]]&lt;=900,vp.data[[#This Row],[Sulf]]&gt;2,vp.data[[#This Row],[Unknown]]=0),1,0)</f>
        <v>0</v>
      </c>
      <c r="AE893">
        <f>IF(AND(vp.data[[#This Row],[CrudeType]]="Crude",vp.data[[#This Row],[Dens]]&gt;900,vp.data[[#This Row],[Sulf]]&lt;=0.5,vp.data[[#This Row],[Unknown]]=0),1,0)</f>
        <v>0</v>
      </c>
      <c r="AF893">
        <f>IF(AND(vp.data[[#This Row],[CrudeType]]="Crude",vp.data[[#This Row],[Dens]]&gt;900,vp.data[[#This Row],[Sulf]]&lt;=0.5,vp.data[[#This Row],[Unknown]]=0),1,0)</f>
        <v>0</v>
      </c>
      <c r="AG893" t="str">
        <f>INDEX(vp.data[[#Headers],[Unknown]:[Heavy_SW]],MATCH(1,vp.data[[#This Row],[Unknown]:[Heavy_SW]],0))</f>
        <v>Medium_LSB</v>
      </c>
      <c r="AH893">
        <f>INDEX([3]!crudeBD.lkup[Number],MATCH(vp.data[[#This Row],[Crude_Breakdown]],crudeBD.lkup[Crude Breakdown],0))</f>
        <v>3</v>
      </c>
      <c r="AI893">
        <f>MONTH(vp.data[[#This Row],[SDate]])</f>
        <v>2</v>
      </c>
      <c r="AJ893" s="5">
        <f>(vp.data[[#This Row],[VP]]-INDEX(crudeBD.lkup[Mean_VP],MATCH(vp.data[[#This Row],[Crude_Breakdown]],crudeBD.lkup[Crude Breakdown],0)))^2</f>
        <v>29.590080967152872</v>
      </c>
      <c r="AK893" s="5">
        <f>(vp.data[[#This Row],[Dens]]-INDEX(crudeBD.lkup[Mean_Dens],MATCH(vp.data[[#This Row],[Crude_Breakdown]],crudeBD.lkup[Crude Breakdown],0)))^2</f>
        <v>11.69639999999661</v>
      </c>
      <c r="AL893" s="5">
        <f>(vp.data[[#This Row],[Sulf]]-INDEX(crudeBD.lkup[Mean_Sulf],MATCH(vp.data[[#This Row],[Crude_Breakdown]],crudeBD.lkup[Crude Breakdown],0)))^2</f>
        <v>6.3206046163078858E-2</v>
      </c>
      <c r="AM893" s="4">
        <f>IF(AND(vp.data[[#This Row],[SDate]]&gt;=DATE(YEAR(vp.data[[#This Row],[SDate]]),5,1),vp.data[[#This Row],[SDate]]&lt;=DATE(YEAR(vp.data[[#This Row],[SDate]]),9,15)),1,0)</f>
        <v>0</v>
      </c>
      <c r="AN893" s="4">
        <f>IF(vp.data[[#This Row],[SDate]]&lt;DATE(2016,12,1),0,1)</f>
        <v>1</v>
      </c>
      <c r="AO893" s="4">
        <f>IFERROR(vp.data[[#This Row],[Sulf]]*vp.data[[#This Row],[Net Dens]],"")</f>
        <v>732578.17783499998</v>
      </c>
      <c r="AP893">
        <f>IFERROR(vp.data[[#This Row],[Dens]]*vp.data[[#This Row],[VolumeM3]],"")</f>
        <v>646012.50250000006</v>
      </c>
      <c r="AQ893" s="15">
        <f>IFERROR(vp.data[[#This Row],[VP]]*vp.data[[#This Row],[VolumeM3]],"")</f>
        <v>57799.096000000005</v>
      </c>
    </row>
    <row r="894" spans="1:43" x14ac:dyDescent="0.25">
      <c r="A894">
        <v>893</v>
      </c>
      <c r="B894" t="s">
        <v>96</v>
      </c>
      <c r="C894" t="s">
        <v>96</v>
      </c>
      <c r="D894" t="s">
        <v>97</v>
      </c>
      <c r="F894" s="1">
        <v>42792</v>
      </c>
      <c r="G894" s="2">
        <v>78.2</v>
      </c>
      <c r="H894" s="2"/>
      <c r="I894" s="2">
        <f t="array" ref="I894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894" s="2">
        <v>28.8</v>
      </c>
      <c r="K894" s="2">
        <v>-11</v>
      </c>
      <c r="L894" s="2">
        <v>825.3</v>
      </c>
      <c r="M894" s="2">
        <f t="array" ref="M894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894" s="2">
        <f ca="1">INDEX(INDIRECT(_xlfn.CONCAT("weather.tbl[",N$1,"]")),MATCH(vp.data[[#This Row],[SDate]],weather.tbl[Date],0))</f>
        <v>-11.916666666666666</v>
      </c>
      <c r="O894" s="2">
        <f ca="1">INDEX(INDIRECT(_xlfn.CONCAT("weather.tbl[",O$1,"]")),MATCH(vp.data[[#This Row],[SDate]],weather.tbl[Date],0))</f>
        <v>-4.7952380952380951</v>
      </c>
      <c r="P894" s="2">
        <f ca="1">INDEX(INDIRECT(_xlfn.CONCAT("weather.tbl[",P$1,"]")),MATCH(vp.data[[#This Row],[SDate]],weather.tbl[Date],0))</f>
        <v>-12.6</v>
      </c>
      <c r="Q894" s="2">
        <f ca="1">INDEX(INDIRECT(_xlfn.CONCAT("weather.tbl[",Q$1,"]")),MATCH(vp.data[[#This Row],[SDate]],weather.tbl[Date],0))</f>
        <v>-10.4</v>
      </c>
      <c r="R894" s="2">
        <f ca="1">INDEX(INDIRECT(_xlfn.CONCAT("weather.tbl[",R$1,"]")),MATCH(vp.data[[#This Row],[SDate]],weather.tbl[Date],0))</f>
        <v>-12.3</v>
      </c>
      <c r="S894" s="2">
        <f ca="1">INDEX(INDIRECT(_xlfn.CONCAT("weather.tbl[",S$1,"]")),MATCH(vp.data[[#This Row],[SDate]],weather.tbl[Date],0))</f>
        <v>-9.4</v>
      </c>
      <c r="T894" s="2">
        <f ca="1">INDEX(INDIRECT(_xlfn.CONCAT("weather.tbl[",T$1,"]")),MATCH(vp.data[[#This Row],[SDate]],weather.tbl[Date],0))</f>
        <v>-14.5</v>
      </c>
      <c r="U894" s="2">
        <f ca="1">INDEX(INDIRECT(_xlfn.CONCAT("weather.tbl[",U$1,"]")),MATCH(vp.data[[#This Row],[SDate]],weather.tbl[Date],0))</f>
        <v>-12.3</v>
      </c>
      <c r="V894" s="2">
        <f t="array" ref="V8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7093.32</v>
      </c>
      <c r="W894" t="s">
        <v>48</v>
      </c>
      <c r="X894">
        <f>IF(OR(vp.data[[#This Row],[Sulf]]="",vp.data[[#This Row],[Dens]]=""),1,0)</f>
        <v>0</v>
      </c>
      <c r="Y894">
        <f>IF(vp.data[[#This Row],[CrudeType]]="C5+",1,0)</f>
        <v>0</v>
      </c>
      <c r="Z894">
        <f>IF(AND(vp.data[[#This Row],[CrudeType]]="Crude",vp.data[[#This Row],[Dens]]&lt;=825,vp.data[[#This Row],[Sulf]]&gt;0.5,vp.data[[#This Row],[Unknown]]=0),1,0)</f>
        <v>0</v>
      </c>
      <c r="AA894">
        <f>IF(AND(vp.data[[#This Row],[CrudeType]]="Crude",vp.data[[#This Row],[Dens]]&lt;=825,vp.data[[#This Row],[Sulf]]&lt;=0.5,vp.data[[#This Row],[Unknown]]=0),1,0)</f>
        <v>0</v>
      </c>
      <c r="AB8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4">
        <f>IF(AND(vp.data[[#This Row],[CrudeType]]="Crude",vp.data[[#This Row],[Dens]]&gt;825,vp.data[[#This Row],[Dens]]&lt;=900,vp.data[[#This Row],[Sulf]]&lt;=0.5,vp.data[[#This Row],[Unknown]]=0),1,0)</f>
        <v>0</v>
      </c>
      <c r="AD894">
        <f>IF(AND(vp.data[[#This Row],[CrudeType]]="Crude",vp.data[[#This Row],[Dens]]&gt;865,vp.data[[#This Row],[Dens]]&lt;=900,vp.data[[#This Row],[Sulf]]&gt;2,vp.data[[#This Row],[Unknown]]=0),1,0)</f>
        <v>0</v>
      </c>
      <c r="AE894">
        <f>IF(AND(vp.data[[#This Row],[CrudeType]]="Crude",vp.data[[#This Row],[Dens]]&gt;900,vp.data[[#This Row],[Sulf]]&lt;=0.5,vp.data[[#This Row],[Unknown]]=0),1,0)</f>
        <v>0</v>
      </c>
      <c r="AF894">
        <f>IF(AND(vp.data[[#This Row],[CrudeType]]="Crude",vp.data[[#This Row],[Dens]]&gt;900,vp.data[[#This Row],[Sulf]]&lt;=0.5,vp.data[[#This Row],[Unknown]]=0),1,0)</f>
        <v>0</v>
      </c>
      <c r="AG894" t="str">
        <f>INDEX(vp.data[[#Headers],[Unknown]:[Heavy_SW]],MATCH(1,vp.data[[#This Row],[Unknown]:[Heavy_SW]],0))</f>
        <v>Medium_LSB</v>
      </c>
      <c r="AH894">
        <f>INDEX([3]!crudeBD.lkup[Number],MATCH(vp.data[[#This Row],[Crude_Breakdown]],crudeBD.lkup[Crude Breakdown],0))</f>
        <v>3</v>
      </c>
      <c r="AI894">
        <f>MONTH(vp.data[[#This Row],[SDate]])</f>
        <v>2</v>
      </c>
      <c r="AJ894" s="5">
        <f>(vp.data[[#This Row],[VP]]-INDEX(crudeBD.lkup[Mean_VP],MATCH(vp.data[[#This Row],[Crude_Breakdown]],crudeBD.lkup[Crude Breakdown],0)))^2</f>
        <v>5.9520216679619447</v>
      </c>
      <c r="AK894" s="5">
        <f>(vp.data[[#This Row],[Dens]]-INDEX(crudeBD.lkup[Mean_Dens],MATCH(vp.data[[#This Row],[Crude_Breakdown]],crudeBD.lkup[Crude Breakdown],0)))^2</f>
        <v>346.70439999998325</v>
      </c>
      <c r="AL894" s="5">
        <f>(vp.data[[#This Row],[Sulf]]-INDEX(crudeBD.lkup[Mean_Sulf],MATCH(vp.data[[#This Row],[Crude_Breakdown]],crudeBD.lkup[Crude Breakdown],0)))^2</f>
        <v>0.42955981252426606</v>
      </c>
      <c r="AM894" s="4">
        <f>IF(AND(vp.data[[#This Row],[SDate]]&gt;=DATE(YEAR(vp.data[[#This Row],[SDate]]),5,1),vp.data[[#This Row],[SDate]]&lt;=DATE(YEAR(vp.data[[#This Row],[SDate]]),9,15)),1,0)</f>
        <v>0</v>
      </c>
      <c r="AN894" s="4">
        <f>IF(vp.data[[#This Row],[SDate]]&lt;DATE(2016,12,1),0,1)</f>
        <v>1</v>
      </c>
      <c r="AO894" s="4">
        <f>IFERROR(vp.data[[#This Row],[Sulf]]*vp.data[[#This Row],[Net Dens]],"")</f>
        <v>4273505.4070799993</v>
      </c>
      <c r="AP894">
        <f>IFERROR(vp.data[[#This Row],[Dens]]*vp.data[[#This Row],[VolumeM3]],"")</f>
        <v>5854116.9959999993</v>
      </c>
      <c r="AQ894" s="15">
        <f>IFERROR(vp.data[[#This Row],[VP]]*vp.data[[#This Row],[VolumeM3]],"")</f>
        <v>554697.62399999995</v>
      </c>
    </row>
    <row r="895" spans="1:43" x14ac:dyDescent="0.25">
      <c r="A895">
        <v>894</v>
      </c>
      <c r="B895" t="s">
        <v>51</v>
      </c>
      <c r="C895" t="s">
        <v>51</v>
      </c>
      <c r="D895" t="s">
        <v>72</v>
      </c>
      <c r="F895" s="1">
        <v>42792</v>
      </c>
      <c r="G895" s="2">
        <v>99.4</v>
      </c>
      <c r="H895" s="2"/>
      <c r="I895" s="2">
        <f t="array" ref="I895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895" s="2">
        <v>24.1</v>
      </c>
      <c r="K895" s="2">
        <v>-11</v>
      </c>
      <c r="L895" s="2">
        <v>832.8</v>
      </c>
      <c r="M895" s="2">
        <f t="array" ref="M895">_xlfn.IFNA(IF(vp.data[[#This Row],[Dens Input]]="",INDEX([1]DATA!$O$3:$O$9826,MATCH(1,(vp.data[[#This Row],[Battery]]=[1]DATA!$L$3:$L$9826)*(EOMONTH(vp.data[[#This Row],[SDate]],-1)+1=[1]DATA!$G$3:$G$9826),0)),vp.data[[#This Row],[Dens Input]]),"")</f>
        <v>832.8</v>
      </c>
      <c r="N895" s="2">
        <f ca="1">INDEX(INDIRECT(_xlfn.CONCAT("weather.tbl[",N$1,"]")),MATCH(vp.data[[#This Row],[SDate]],weather.tbl[Date],0))</f>
        <v>-11.916666666666666</v>
      </c>
      <c r="O895" s="2">
        <f ca="1">INDEX(INDIRECT(_xlfn.CONCAT("weather.tbl[",O$1,"]")),MATCH(vp.data[[#This Row],[SDate]],weather.tbl[Date],0))</f>
        <v>-4.7952380952380951</v>
      </c>
      <c r="P895" s="2">
        <f ca="1">INDEX(INDIRECT(_xlfn.CONCAT("weather.tbl[",P$1,"]")),MATCH(vp.data[[#This Row],[SDate]],weather.tbl[Date],0))</f>
        <v>-12.6</v>
      </c>
      <c r="Q895" s="2">
        <f ca="1">INDEX(INDIRECT(_xlfn.CONCAT("weather.tbl[",Q$1,"]")),MATCH(vp.data[[#This Row],[SDate]],weather.tbl[Date],0))</f>
        <v>-10.4</v>
      </c>
      <c r="R895" s="2">
        <f ca="1">INDEX(INDIRECT(_xlfn.CONCAT("weather.tbl[",R$1,"]")),MATCH(vp.data[[#This Row],[SDate]],weather.tbl[Date],0))</f>
        <v>-12.3</v>
      </c>
      <c r="S895" s="2">
        <f ca="1">INDEX(INDIRECT(_xlfn.CONCAT("weather.tbl[",S$1,"]")),MATCH(vp.data[[#This Row],[SDate]],weather.tbl[Date],0))</f>
        <v>-9.4</v>
      </c>
      <c r="T895" s="2">
        <f ca="1">INDEX(INDIRECT(_xlfn.CONCAT("weather.tbl[",T$1,"]")),MATCH(vp.data[[#This Row],[SDate]],weather.tbl[Date],0))</f>
        <v>-14.5</v>
      </c>
      <c r="U895" s="2">
        <f ca="1">INDEX(INDIRECT(_xlfn.CONCAT("weather.tbl[",U$1,"]")),MATCH(vp.data[[#This Row],[SDate]],weather.tbl[Date],0))</f>
        <v>-12.3</v>
      </c>
      <c r="V895" s="2">
        <f t="array" ref="V8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12541.532999999999</v>
      </c>
      <c r="W895" t="s">
        <v>48</v>
      </c>
      <c r="X895">
        <f>IF(OR(vp.data[[#This Row],[Sulf]]="",vp.data[[#This Row],[Dens]]=""),1,0)</f>
        <v>0</v>
      </c>
      <c r="Y895">
        <f>IF(vp.data[[#This Row],[CrudeType]]="C5+",1,0)</f>
        <v>0</v>
      </c>
      <c r="Z895">
        <f>IF(AND(vp.data[[#This Row],[CrudeType]]="Crude",vp.data[[#This Row],[Dens]]&lt;=825,vp.data[[#This Row],[Sulf]]&gt;0.5,vp.data[[#This Row],[Unknown]]=0),1,0)</f>
        <v>0</v>
      </c>
      <c r="AA895">
        <f>IF(AND(vp.data[[#This Row],[CrudeType]]="Crude",vp.data[[#This Row],[Dens]]&lt;=825,vp.data[[#This Row],[Sulf]]&lt;=0.5,vp.data[[#This Row],[Unknown]]=0),1,0)</f>
        <v>0</v>
      </c>
      <c r="AB8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5">
        <f>IF(AND(vp.data[[#This Row],[CrudeType]]="Crude",vp.data[[#This Row],[Dens]]&gt;825,vp.data[[#This Row],[Dens]]&lt;=900,vp.data[[#This Row],[Sulf]]&lt;=0.5,vp.data[[#This Row],[Unknown]]=0),1,0)</f>
        <v>0</v>
      </c>
      <c r="AD895">
        <f>IF(AND(vp.data[[#This Row],[CrudeType]]="Crude",vp.data[[#This Row],[Dens]]&gt;865,vp.data[[#This Row],[Dens]]&lt;=900,vp.data[[#This Row],[Sulf]]&gt;2,vp.data[[#This Row],[Unknown]]=0),1,0)</f>
        <v>0</v>
      </c>
      <c r="AE895">
        <f>IF(AND(vp.data[[#This Row],[CrudeType]]="Crude",vp.data[[#This Row],[Dens]]&gt;900,vp.data[[#This Row],[Sulf]]&lt;=0.5,vp.data[[#This Row],[Unknown]]=0),1,0)</f>
        <v>0</v>
      </c>
      <c r="AF895">
        <f>IF(AND(vp.data[[#This Row],[CrudeType]]="Crude",vp.data[[#This Row],[Dens]]&gt;900,vp.data[[#This Row],[Sulf]]&lt;=0.5,vp.data[[#This Row],[Unknown]]=0),1,0)</f>
        <v>0</v>
      </c>
      <c r="AG895" t="str">
        <f>INDEX(vp.data[[#Headers],[Unknown]:[Heavy_SW]],MATCH(1,vp.data[[#This Row],[Unknown]:[Heavy_SW]],0))</f>
        <v>Medium_LSB</v>
      </c>
      <c r="AH895">
        <f>INDEX([3]!crudeBD.lkup[Number],MATCH(vp.data[[#This Row],[Crude_Breakdown]],crudeBD.lkup[Crude Breakdown],0))</f>
        <v>3</v>
      </c>
      <c r="AI895">
        <f>MONTH(vp.data[[#This Row],[SDate]])</f>
        <v>2</v>
      </c>
      <c r="AJ895" s="5">
        <f>(vp.data[[#This Row],[VP]]-INDEX(crudeBD.lkup[Mean_VP],MATCH(vp.data[[#This Row],[Crude_Breakdown]],crudeBD.lkup[Crude Breakdown],0)))^2</f>
        <v>351.94973595367946</v>
      </c>
      <c r="AK895" s="5">
        <f>(vp.data[[#This Row],[Dens]]-INDEX(crudeBD.lkup[Mean_Dens],MATCH(vp.data[[#This Row],[Crude_Breakdown]],crudeBD.lkup[Crude Breakdown],0)))^2</f>
        <v>123.65439999998999</v>
      </c>
      <c r="AL895" s="5">
        <f>(vp.data[[#This Row],[Sulf]]-INDEX(crudeBD.lkup[Mean_Sulf],MATCH(vp.data[[#This Row],[Crude_Breakdown]],crudeBD.lkup[Crude Breakdown],0)))^2</f>
        <v>6.5233311176555966E-2</v>
      </c>
      <c r="AM895" s="4">
        <f>IF(AND(vp.data[[#This Row],[SDate]]&gt;=DATE(YEAR(vp.data[[#This Row],[SDate]]),5,1),vp.data[[#This Row],[SDate]]&lt;=DATE(YEAR(vp.data[[#This Row],[SDate]]),9,15)),1,0)</f>
        <v>0</v>
      </c>
      <c r="AN895" s="4">
        <f>IF(vp.data[[#This Row],[SDate]]&lt;DATE(2016,12,1),0,1)</f>
        <v>1</v>
      </c>
      <c r="AO895" s="4">
        <f>IFERROR(vp.data[[#This Row],[Sulf]]*vp.data[[#This Row],[Net Dens]],"")</f>
        <v>11802385.211111998</v>
      </c>
      <c r="AP895">
        <f>IFERROR(vp.data[[#This Row],[Dens]]*vp.data[[#This Row],[VolumeM3]],"")</f>
        <v>10444588.682399999</v>
      </c>
      <c r="AQ895" s="15">
        <f>IFERROR(vp.data[[#This Row],[VP]]*vp.data[[#This Row],[VolumeM3]],"")</f>
        <v>1246628.3802</v>
      </c>
    </row>
    <row r="896" spans="1:43" x14ac:dyDescent="0.25">
      <c r="A896">
        <v>895</v>
      </c>
      <c r="B896" t="s">
        <v>108</v>
      </c>
      <c r="C896" t="s">
        <v>108</v>
      </c>
      <c r="D896" t="s">
        <v>189</v>
      </c>
      <c r="F896" s="1">
        <v>42792</v>
      </c>
      <c r="G896" s="2">
        <v>63.2</v>
      </c>
      <c r="H896" s="2"/>
      <c r="I896" s="2">
        <f t="array" ref="I896">_xlfn.IFNA(IF(vp.data[[#This Row],[Sulf Input]]="",INDEX([1]DATA!$Q$3:$Q$9826,MATCH(1,(vp.data[[#This Row],[Battery]]=[1]DATA!$L$3:$L$9826)*(EOMONTH(vp.data[[#This Row],[SDate]],-1)+1=[1]DATA!$G$3:$G$9826),0)),vp.data[[#This Row],[Sulf Input]]),"")</f>
        <v>0.83</v>
      </c>
      <c r="J896" s="2">
        <v>11.6</v>
      </c>
      <c r="K896" s="2">
        <v>-11</v>
      </c>
      <c r="L896" s="2">
        <v>834.9</v>
      </c>
      <c r="M896" s="2">
        <f t="array" ref="M896">_xlfn.IFNA(IF(vp.data[[#This Row],[Dens Input]]="",INDEX([1]DATA!$O$3:$O$9826,MATCH(1,(vp.data[[#This Row],[Battery]]=[1]DATA!$L$3:$L$9826)*(EOMONTH(vp.data[[#This Row],[SDate]],-1)+1=[1]DATA!$G$3:$G$9826),0)),vp.data[[#This Row],[Dens Input]]),"")</f>
        <v>834.9</v>
      </c>
      <c r="N896" s="2">
        <f ca="1">INDEX(INDIRECT(_xlfn.CONCAT("weather.tbl[",N$1,"]")),MATCH(vp.data[[#This Row],[SDate]],weather.tbl[Date],0))</f>
        <v>-11.916666666666666</v>
      </c>
      <c r="O896" s="2">
        <f ca="1">INDEX(INDIRECT(_xlfn.CONCAT("weather.tbl[",O$1,"]")),MATCH(vp.data[[#This Row],[SDate]],weather.tbl[Date],0))</f>
        <v>-4.7952380952380951</v>
      </c>
      <c r="P896" s="2">
        <f ca="1">INDEX(INDIRECT(_xlfn.CONCAT("weather.tbl[",P$1,"]")),MATCH(vp.data[[#This Row],[SDate]],weather.tbl[Date],0))</f>
        <v>-12.6</v>
      </c>
      <c r="Q896" s="2">
        <f ca="1">INDEX(INDIRECT(_xlfn.CONCAT("weather.tbl[",Q$1,"]")),MATCH(vp.data[[#This Row],[SDate]],weather.tbl[Date],0))</f>
        <v>-10.4</v>
      </c>
      <c r="R896" s="2">
        <f ca="1">INDEX(INDIRECT(_xlfn.CONCAT("weather.tbl[",R$1,"]")),MATCH(vp.data[[#This Row],[SDate]],weather.tbl[Date],0))</f>
        <v>-12.3</v>
      </c>
      <c r="S896" s="2">
        <f ca="1">INDEX(INDIRECT(_xlfn.CONCAT("weather.tbl[",S$1,"]")),MATCH(vp.data[[#This Row],[SDate]],weather.tbl[Date],0))</f>
        <v>-9.4</v>
      </c>
      <c r="T896" s="2">
        <f ca="1">INDEX(INDIRECT(_xlfn.CONCAT("weather.tbl[",T$1,"]")),MATCH(vp.data[[#This Row],[SDate]],weather.tbl[Date],0))</f>
        <v>-14.5</v>
      </c>
      <c r="U896" s="2">
        <f ca="1">INDEX(INDIRECT(_xlfn.CONCAT("weather.tbl[",U$1,"]")),MATCH(vp.data[[#This Row],[SDate]],weather.tbl[Date],0))</f>
        <v>-12.3</v>
      </c>
      <c r="V896" s="2">
        <f t="array" ref="V8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708.13699999999994</v>
      </c>
      <c r="W896" t="s">
        <v>48</v>
      </c>
      <c r="X896">
        <f>IF(OR(vp.data[[#This Row],[Sulf]]="",vp.data[[#This Row],[Dens]]=""),1,0)</f>
        <v>0</v>
      </c>
      <c r="Y896">
        <f>IF(vp.data[[#This Row],[CrudeType]]="C5+",1,0)</f>
        <v>0</v>
      </c>
      <c r="Z896">
        <f>IF(AND(vp.data[[#This Row],[CrudeType]]="Crude",vp.data[[#This Row],[Dens]]&lt;=825,vp.data[[#This Row],[Sulf]]&gt;0.5,vp.data[[#This Row],[Unknown]]=0),1,0)</f>
        <v>0</v>
      </c>
      <c r="AA896">
        <f>IF(AND(vp.data[[#This Row],[CrudeType]]="Crude",vp.data[[#This Row],[Dens]]&lt;=825,vp.data[[#This Row],[Sulf]]&lt;=0.5,vp.data[[#This Row],[Unknown]]=0),1,0)</f>
        <v>0</v>
      </c>
      <c r="AB8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6">
        <f>IF(AND(vp.data[[#This Row],[CrudeType]]="Crude",vp.data[[#This Row],[Dens]]&gt;825,vp.data[[#This Row],[Dens]]&lt;=900,vp.data[[#This Row],[Sulf]]&lt;=0.5,vp.data[[#This Row],[Unknown]]=0),1,0)</f>
        <v>0</v>
      </c>
      <c r="AD896">
        <f>IF(AND(vp.data[[#This Row],[CrudeType]]="Crude",vp.data[[#This Row],[Dens]]&gt;865,vp.data[[#This Row],[Dens]]&lt;=900,vp.data[[#This Row],[Sulf]]&gt;2,vp.data[[#This Row],[Unknown]]=0),1,0)</f>
        <v>0</v>
      </c>
      <c r="AE896">
        <f>IF(AND(vp.data[[#This Row],[CrudeType]]="Crude",vp.data[[#This Row],[Dens]]&gt;900,vp.data[[#This Row],[Sulf]]&lt;=0.5,vp.data[[#This Row],[Unknown]]=0),1,0)</f>
        <v>0</v>
      </c>
      <c r="AF896">
        <f>IF(AND(vp.data[[#This Row],[CrudeType]]="Crude",vp.data[[#This Row],[Dens]]&gt;900,vp.data[[#This Row],[Sulf]]&lt;=0.5,vp.data[[#This Row],[Unknown]]=0),1,0)</f>
        <v>0</v>
      </c>
      <c r="AG896" t="str">
        <f>INDEX(vp.data[[#Headers],[Unknown]:[Heavy_SW]],MATCH(1,vp.data[[#This Row],[Unknown]:[Heavy_SW]],0))</f>
        <v>Medium_LSB</v>
      </c>
      <c r="AH896">
        <f>INDEX([3]!crudeBD.lkup[Number],MATCH(vp.data[[#This Row],[Crude_Breakdown]],crudeBD.lkup[Crude Breakdown],0))</f>
        <v>3</v>
      </c>
      <c r="AI896">
        <f>MONTH(vp.data[[#This Row],[SDate]])</f>
        <v>2</v>
      </c>
      <c r="AJ896" s="5">
        <f>(vp.data[[#This Row],[VP]]-INDEX(crudeBD.lkup[Mean_VP],MATCH(vp.data[[#This Row],[Crude_Breakdown]],crudeBD.lkup[Crude Breakdown],0)))^2</f>
        <v>304.14231816391657</v>
      </c>
      <c r="AK896" s="5">
        <f>(vp.data[[#This Row],[Dens]]-INDEX(crudeBD.lkup[Mean_Dens],MATCH(vp.data[[#This Row],[Crude_Breakdown]],crudeBD.lkup[Crude Breakdown],0)))^2</f>
        <v>81.360399999991472</v>
      </c>
      <c r="AL896" s="5">
        <f>(vp.data[[#This Row],[Sulf]]-INDEX(crudeBD.lkup[Mean_Sulf],MATCH(vp.data[[#This Row],[Crude_Breakdown]],crudeBD.lkup[Crude Breakdown],0)))^2</f>
        <v>0.30847818718733855</v>
      </c>
      <c r="AM896" s="4">
        <f>IF(AND(vp.data[[#This Row],[SDate]]&gt;=DATE(YEAR(vp.data[[#This Row],[SDate]]),5,1),vp.data[[#This Row],[SDate]]&lt;=DATE(YEAR(vp.data[[#This Row],[SDate]]),9,15)),1,0)</f>
        <v>0</v>
      </c>
      <c r="AN896" s="4">
        <f>IF(vp.data[[#This Row],[SDate]]&lt;DATE(2016,12,1),0,1)</f>
        <v>1</v>
      </c>
      <c r="AO896" s="4">
        <f>IFERROR(vp.data[[#This Row],[Sulf]]*vp.data[[#This Row],[Net Dens]],"")</f>
        <v>490715.57247899997</v>
      </c>
      <c r="AP896">
        <f>IFERROR(vp.data[[#This Row],[Dens]]*vp.data[[#This Row],[VolumeM3]],"")</f>
        <v>591223.58129999996</v>
      </c>
      <c r="AQ896" s="15">
        <f>IFERROR(vp.data[[#This Row],[VP]]*vp.data[[#This Row],[VolumeM3]],"")</f>
        <v>44754.258399999999</v>
      </c>
    </row>
    <row r="897" spans="1:43" x14ac:dyDescent="0.25">
      <c r="A897">
        <v>896</v>
      </c>
      <c r="B897" t="s">
        <v>56</v>
      </c>
      <c r="C897" t="s">
        <v>56</v>
      </c>
      <c r="D897" t="s">
        <v>190</v>
      </c>
      <c r="F897" s="1">
        <v>42792</v>
      </c>
      <c r="G897" s="2">
        <v>51.3</v>
      </c>
      <c r="H897" s="2"/>
      <c r="I897" s="2">
        <f t="array" ref="I897">_xlfn.IFNA(IF(vp.data[[#This Row],[Sulf Input]]="",INDEX([1]DATA!$Q$3:$Q$9826,MATCH(1,(vp.data[[#This Row],[Battery]]=[1]DATA!$L$3:$L$9826)*(EOMONTH(vp.data[[#This Row],[SDate]],-1)+1=[1]DATA!$G$3:$G$9826),0)),vp.data[[#This Row],[Sulf Input]]),"")</f>
        <v>0.81</v>
      </c>
      <c r="J897" s="2">
        <v>-4.7</v>
      </c>
      <c r="K897" s="2">
        <v>-11</v>
      </c>
      <c r="L897" s="2">
        <v>835</v>
      </c>
      <c r="M897" s="2">
        <f t="array" ref="M897">_xlfn.IFNA(IF(vp.data[[#This Row],[Dens Input]]="",INDEX([1]DATA!$O$3:$O$9826,MATCH(1,(vp.data[[#This Row],[Battery]]=[1]DATA!$L$3:$L$9826)*(EOMONTH(vp.data[[#This Row],[SDate]],-1)+1=[1]DATA!$G$3:$G$9826),0)),vp.data[[#This Row],[Dens Input]]),"")</f>
        <v>835</v>
      </c>
      <c r="N897" s="2">
        <f ca="1">INDEX(INDIRECT(_xlfn.CONCAT("weather.tbl[",N$1,"]")),MATCH(vp.data[[#This Row],[SDate]],weather.tbl[Date],0))</f>
        <v>-11.916666666666666</v>
      </c>
      <c r="O897" s="2">
        <f ca="1">INDEX(INDIRECT(_xlfn.CONCAT("weather.tbl[",O$1,"]")),MATCH(vp.data[[#This Row],[SDate]],weather.tbl[Date],0))</f>
        <v>-4.7952380952380951</v>
      </c>
      <c r="P897" s="2">
        <f ca="1">INDEX(INDIRECT(_xlfn.CONCAT("weather.tbl[",P$1,"]")),MATCH(vp.data[[#This Row],[SDate]],weather.tbl[Date],0))</f>
        <v>-12.6</v>
      </c>
      <c r="Q897" s="2">
        <f ca="1">INDEX(INDIRECT(_xlfn.CONCAT("weather.tbl[",Q$1,"]")),MATCH(vp.data[[#This Row],[SDate]],weather.tbl[Date],0))</f>
        <v>-10.4</v>
      </c>
      <c r="R897" s="2">
        <f ca="1">INDEX(INDIRECT(_xlfn.CONCAT("weather.tbl[",R$1,"]")),MATCH(vp.data[[#This Row],[SDate]],weather.tbl[Date],0))</f>
        <v>-12.3</v>
      </c>
      <c r="S897" s="2">
        <f ca="1">INDEX(INDIRECT(_xlfn.CONCAT("weather.tbl[",S$1,"]")),MATCH(vp.data[[#This Row],[SDate]],weather.tbl[Date],0))</f>
        <v>-9.4</v>
      </c>
      <c r="T897" s="2">
        <f ca="1">INDEX(INDIRECT(_xlfn.CONCAT("weather.tbl[",T$1,"]")),MATCH(vp.data[[#This Row],[SDate]],weather.tbl[Date],0))</f>
        <v>-14.5</v>
      </c>
      <c r="U897" s="2">
        <f ca="1">INDEX(INDIRECT(_xlfn.CONCAT("weather.tbl[",U$1,"]")),MATCH(vp.data[[#This Row],[SDate]],weather.tbl[Date],0))</f>
        <v>-12.3</v>
      </c>
      <c r="V897" s="2">
        <f t="array" ref="V8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44.030999999999999</v>
      </c>
      <c r="W897" t="s">
        <v>48</v>
      </c>
      <c r="X897">
        <f>IF(OR(vp.data[[#This Row],[Sulf]]="",vp.data[[#This Row],[Dens]]=""),1,0)</f>
        <v>0</v>
      </c>
      <c r="Y897">
        <f>IF(vp.data[[#This Row],[CrudeType]]="C5+",1,0)</f>
        <v>0</v>
      </c>
      <c r="Z897">
        <f>IF(AND(vp.data[[#This Row],[CrudeType]]="Crude",vp.data[[#This Row],[Dens]]&lt;=825,vp.data[[#This Row],[Sulf]]&gt;0.5,vp.data[[#This Row],[Unknown]]=0),1,0)</f>
        <v>0</v>
      </c>
      <c r="AA897">
        <f>IF(AND(vp.data[[#This Row],[CrudeType]]="Crude",vp.data[[#This Row],[Dens]]&lt;=825,vp.data[[#This Row],[Sulf]]&lt;=0.5,vp.data[[#This Row],[Unknown]]=0),1,0)</f>
        <v>0</v>
      </c>
      <c r="AB8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7">
        <f>IF(AND(vp.data[[#This Row],[CrudeType]]="Crude",vp.data[[#This Row],[Dens]]&gt;825,vp.data[[#This Row],[Dens]]&lt;=900,vp.data[[#This Row],[Sulf]]&lt;=0.5,vp.data[[#This Row],[Unknown]]=0),1,0)</f>
        <v>0</v>
      </c>
      <c r="AD897">
        <f>IF(AND(vp.data[[#This Row],[CrudeType]]="Crude",vp.data[[#This Row],[Dens]]&gt;865,vp.data[[#This Row],[Dens]]&lt;=900,vp.data[[#This Row],[Sulf]]&gt;2,vp.data[[#This Row],[Unknown]]=0),1,0)</f>
        <v>0</v>
      </c>
      <c r="AE897">
        <f>IF(AND(vp.data[[#This Row],[CrudeType]]="Crude",vp.data[[#This Row],[Dens]]&gt;900,vp.data[[#This Row],[Sulf]]&lt;=0.5,vp.data[[#This Row],[Unknown]]=0),1,0)</f>
        <v>0</v>
      </c>
      <c r="AF897">
        <f>IF(AND(vp.data[[#This Row],[CrudeType]]="Crude",vp.data[[#This Row],[Dens]]&gt;900,vp.data[[#This Row],[Sulf]]&lt;=0.5,vp.data[[#This Row],[Unknown]]=0),1,0)</f>
        <v>0</v>
      </c>
      <c r="AG897" t="str">
        <f>INDEX(vp.data[[#Headers],[Unknown]:[Heavy_SW]],MATCH(1,vp.data[[#This Row],[Unknown]:[Heavy_SW]],0))</f>
        <v>Medium_LSB</v>
      </c>
      <c r="AH897">
        <f>INDEX([3]!crudeBD.lkup[Number],MATCH(vp.data[[#This Row],[Crude_Breakdown]],crudeBD.lkup[Crude Breakdown],0))</f>
        <v>3</v>
      </c>
      <c r="AI897">
        <f>MONTH(vp.data[[#This Row],[SDate]])</f>
        <v>2</v>
      </c>
      <c r="AJ897" s="5">
        <f>(vp.data[[#This Row],[VP]]-INDEX(crudeBD.lkup[Mean_VP],MATCH(vp.data[[#This Row],[Crude_Breakdown]],crudeBD.lkup[Crude Breakdown],0)))^2</f>
        <v>860.81662005070757</v>
      </c>
      <c r="AK897" s="5">
        <f>(vp.data[[#This Row],[Dens]]-INDEX(crudeBD.lkup[Mean_Dens],MATCH(vp.data[[#This Row],[Crude_Breakdown]],crudeBD.lkup[Crude Breakdown],0)))^2</f>
        <v>79.566399999991162</v>
      </c>
      <c r="AL897" s="5">
        <f>(vp.data[[#This Row],[Sulf]]-INDEX(crudeBD.lkup[Mean_Sulf],MATCH(vp.data[[#This Row],[Crude_Breakdown]],crudeBD.lkup[Crude Breakdown],0)))^2</f>
        <v>0.33109451225472392</v>
      </c>
      <c r="AM897" s="4">
        <f>IF(AND(vp.data[[#This Row],[SDate]]&gt;=DATE(YEAR(vp.data[[#This Row],[SDate]]),5,1),vp.data[[#This Row],[SDate]]&lt;=DATE(YEAR(vp.data[[#This Row],[SDate]]),9,15)),1,0)</f>
        <v>0</v>
      </c>
      <c r="AN897" s="4">
        <f>IF(vp.data[[#This Row],[SDate]]&lt;DATE(2016,12,1),0,1)</f>
        <v>1</v>
      </c>
      <c r="AO897" s="4">
        <f>IFERROR(vp.data[[#This Row],[Sulf]]*vp.data[[#This Row],[Net Dens]],"")</f>
        <v>29780.366850000002</v>
      </c>
      <c r="AP897">
        <f>IFERROR(vp.data[[#This Row],[Dens]]*vp.data[[#This Row],[VolumeM3]],"")</f>
        <v>36765.885000000002</v>
      </c>
      <c r="AQ897" s="15">
        <f>IFERROR(vp.data[[#This Row],[VP]]*vp.data[[#This Row],[VolumeM3]],"")</f>
        <v>2258.7902999999997</v>
      </c>
    </row>
    <row r="898" spans="1:43" x14ac:dyDescent="0.25">
      <c r="A898">
        <v>897</v>
      </c>
      <c r="B898" t="s">
        <v>68</v>
      </c>
      <c r="C898" t="s">
        <v>68</v>
      </c>
      <c r="D898" t="s">
        <v>191</v>
      </c>
      <c r="F898" s="1">
        <v>42792</v>
      </c>
      <c r="G898" s="2">
        <v>64.8</v>
      </c>
      <c r="H898" s="2"/>
      <c r="I898" s="2">
        <f t="array" ref="I898">_xlfn.IFNA(IF(vp.data[[#This Row],[Sulf Input]]="",INDEX([1]DATA!$Q$3:$Q$9826,MATCH(1,(vp.data[[#This Row],[Battery]]=[1]DATA!$L$3:$L$9826)*(EOMONTH(vp.data[[#This Row],[SDate]],-1)+1=[1]DATA!$G$3:$G$9826),0)),vp.data[[#This Row],[Sulf Input]]),"")</f>
        <v>1.29</v>
      </c>
      <c r="J898" s="2">
        <v>34.5</v>
      </c>
      <c r="K898" s="2">
        <v>-11</v>
      </c>
      <c r="L898" s="2">
        <v>848.1</v>
      </c>
      <c r="M898" s="2">
        <f t="array" ref="M898">_xlfn.IFNA(IF(vp.data[[#This Row],[Dens Input]]="",INDEX([1]DATA!$O$3:$O$9826,MATCH(1,(vp.data[[#This Row],[Battery]]=[1]DATA!$L$3:$L$9826)*(EOMONTH(vp.data[[#This Row],[SDate]],-1)+1=[1]DATA!$G$3:$G$9826),0)),vp.data[[#This Row],[Dens Input]]),"")</f>
        <v>848.1</v>
      </c>
      <c r="N898" s="2">
        <f ca="1">INDEX(INDIRECT(_xlfn.CONCAT("weather.tbl[",N$1,"]")),MATCH(vp.data[[#This Row],[SDate]],weather.tbl[Date],0))</f>
        <v>-11.916666666666666</v>
      </c>
      <c r="O898" s="2">
        <f ca="1">INDEX(INDIRECT(_xlfn.CONCAT("weather.tbl[",O$1,"]")),MATCH(vp.data[[#This Row],[SDate]],weather.tbl[Date],0))</f>
        <v>-4.7952380952380951</v>
      </c>
      <c r="P898" s="2">
        <f ca="1">INDEX(INDIRECT(_xlfn.CONCAT("weather.tbl[",P$1,"]")),MATCH(vp.data[[#This Row],[SDate]],weather.tbl[Date],0))</f>
        <v>-12.6</v>
      </c>
      <c r="Q898" s="2">
        <f ca="1">INDEX(INDIRECT(_xlfn.CONCAT("weather.tbl[",Q$1,"]")),MATCH(vp.data[[#This Row],[SDate]],weather.tbl[Date],0))</f>
        <v>-10.4</v>
      </c>
      <c r="R898" s="2">
        <f ca="1">INDEX(INDIRECT(_xlfn.CONCAT("weather.tbl[",R$1,"]")),MATCH(vp.data[[#This Row],[SDate]],weather.tbl[Date],0))</f>
        <v>-12.3</v>
      </c>
      <c r="S898" s="2">
        <f ca="1">INDEX(INDIRECT(_xlfn.CONCAT("weather.tbl[",S$1,"]")),MATCH(vp.data[[#This Row],[SDate]],weather.tbl[Date],0))</f>
        <v>-9.4</v>
      </c>
      <c r="T898" s="2">
        <f ca="1">INDEX(INDIRECT(_xlfn.CONCAT("weather.tbl[",T$1,"]")),MATCH(vp.data[[#This Row],[SDate]],weather.tbl[Date],0))</f>
        <v>-14.5</v>
      </c>
      <c r="U898" s="2">
        <f ca="1">INDEX(INDIRECT(_xlfn.CONCAT("weather.tbl[",U$1,"]")),MATCH(vp.data[[#This Row],[SDate]],weather.tbl[Date],0))</f>
        <v>-12.3</v>
      </c>
      <c r="V898" s="2">
        <f t="array" ref="V8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2518.4870000000001</v>
      </c>
      <c r="W898" t="s">
        <v>48</v>
      </c>
      <c r="X898">
        <f>IF(OR(vp.data[[#This Row],[Sulf]]="",vp.data[[#This Row],[Dens]]=""),1,0)</f>
        <v>0</v>
      </c>
      <c r="Y898">
        <f>IF(vp.data[[#This Row],[CrudeType]]="C5+",1,0)</f>
        <v>0</v>
      </c>
      <c r="Z898">
        <f>IF(AND(vp.data[[#This Row],[CrudeType]]="Crude",vp.data[[#This Row],[Dens]]&lt;=825,vp.data[[#This Row],[Sulf]]&gt;0.5,vp.data[[#This Row],[Unknown]]=0),1,0)</f>
        <v>0</v>
      </c>
      <c r="AA898">
        <f>IF(AND(vp.data[[#This Row],[CrudeType]]="Crude",vp.data[[#This Row],[Dens]]&lt;=825,vp.data[[#This Row],[Sulf]]&lt;=0.5,vp.data[[#This Row],[Unknown]]=0),1,0)</f>
        <v>0</v>
      </c>
      <c r="AB8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8">
        <f>IF(AND(vp.data[[#This Row],[CrudeType]]="Crude",vp.data[[#This Row],[Dens]]&gt;825,vp.data[[#This Row],[Dens]]&lt;=900,vp.data[[#This Row],[Sulf]]&lt;=0.5,vp.data[[#This Row],[Unknown]]=0),1,0)</f>
        <v>0</v>
      </c>
      <c r="AD898">
        <f>IF(AND(vp.data[[#This Row],[CrudeType]]="Crude",vp.data[[#This Row],[Dens]]&gt;865,vp.data[[#This Row],[Dens]]&lt;=900,vp.data[[#This Row],[Sulf]]&gt;2,vp.data[[#This Row],[Unknown]]=0),1,0)</f>
        <v>0</v>
      </c>
      <c r="AE898">
        <f>IF(AND(vp.data[[#This Row],[CrudeType]]="Crude",vp.data[[#This Row],[Dens]]&gt;900,vp.data[[#This Row],[Sulf]]&lt;=0.5,vp.data[[#This Row],[Unknown]]=0),1,0)</f>
        <v>0</v>
      </c>
      <c r="AF898">
        <f>IF(AND(vp.data[[#This Row],[CrudeType]]="Crude",vp.data[[#This Row],[Dens]]&gt;900,vp.data[[#This Row],[Sulf]]&lt;=0.5,vp.data[[#This Row],[Unknown]]=0),1,0)</f>
        <v>0</v>
      </c>
      <c r="AG898" t="str">
        <f>INDEX(vp.data[[#Headers],[Unknown]:[Heavy_SW]],MATCH(1,vp.data[[#This Row],[Unknown]:[Heavy_SW]],0))</f>
        <v>Medium_LSB</v>
      </c>
      <c r="AH898">
        <f>INDEX([3]!crudeBD.lkup[Number],MATCH(vp.data[[#This Row],[Crude_Breakdown]],crudeBD.lkup[Crude Breakdown],0))</f>
        <v>3</v>
      </c>
      <c r="AI898">
        <f>MONTH(vp.data[[#This Row],[SDate]])</f>
        <v>2</v>
      </c>
      <c r="AJ898" s="5">
        <f>(vp.data[[#This Row],[VP]]-INDEX(crudeBD.lkup[Mean_VP],MATCH(vp.data[[#This Row],[Crude_Breakdown]],crudeBD.lkup[Crude Breakdown],0)))^2</f>
        <v>250.89535320434828</v>
      </c>
      <c r="AK898" s="5">
        <f>(vp.data[[#This Row],[Dens]]-INDEX(crudeBD.lkup[Mean_Dens],MATCH(vp.data[[#This Row],[Crude_Breakdown]],crudeBD.lkup[Crude Breakdown],0)))^2</f>
        <v>17.472400000004335</v>
      </c>
      <c r="AL898" s="5">
        <f>(vp.data[[#This Row],[Sulf]]-INDEX(crudeBD.lkup[Mean_Sulf],MATCH(vp.data[[#This Row],[Crude_Breakdown]],crudeBD.lkup[Crude Breakdown],0)))^2</f>
        <v>9.1027106374718583E-3</v>
      </c>
      <c r="AM898" s="4">
        <f>IF(AND(vp.data[[#This Row],[SDate]]&gt;=DATE(YEAR(vp.data[[#This Row],[SDate]]),5,1),vp.data[[#This Row],[SDate]]&lt;=DATE(YEAR(vp.data[[#This Row],[SDate]]),9,15)),1,0)</f>
        <v>0</v>
      </c>
      <c r="AN898" s="4">
        <f>IF(vp.data[[#This Row],[SDate]]&lt;DATE(2016,12,1),0,1)</f>
        <v>1</v>
      </c>
      <c r="AO898" s="4">
        <f>IFERROR(vp.data[[#This Row],[Sulf]]*vp.data[[#This Row],[Net Dens]],"")</f>
        <v>2755348.1838630005</v>
      </c>
      <c r="AP898">
        <f>IFERROR(vp.data[[#This Row],[Dens]]*vp.data[[#This Row],[VolumeM3]],"")</f>
        <v>2135928.8247000002</v>
      </c>
      <c r="AQ898" s="15">
        <f>IFERROR(vp.data[[#This Row],[VP]]*vp.data[[#This Row],[VolumeM3]],"")</f>
        <v>163197.95759999999</v>
      </c>
    </row>
    <row r="899" spans="1:43" x14ac:dyDescent="0.25">
      <c r="A899">
        <v>898</v>
      </c>
      <c r="B899" t="s">
        <v>68</v>
      </c>
      <c r="C899" t="s">
        <v>68</v>
      </c>
      <c r="D899" t="s">
        <v>192</v>
      </c>
      <c r="F899" s="1">
        <v>42792</v>
      </c>
      <c r="G899" s="2">
        <v>68.8</v>
      </c>
      <c r="H899" s="2"/>
      <c r="I899" s="2">
        <f t="array" ref="I899">_xlfn.IFNA(IF(vp.data[[#This Row],[Sulf Input]]="",INDEX([1]DATA!$Q$3:$Q$9826,MATCH(1,(vp.data[[#This Row],[Battery]]=[1]DATA!$L$3:$L$9826)*(EOMONTH(vp.data[[#This Row],[SDate]],-1)+1=[1]DATA!$G$3:$G$9826),0)),vp.data[[#This Row],[Sulf Input]]),"")</f>
        <v>1.44</v>
      </c>
      <c r="J899" s="2">
        <v>21.4</v>
      </c>
      <c r="K899" s="2">
        <v>-11</v>
      </c>
      <c r="L899" s="2">
        <v>851.9</v>
      </c>
      <c r="M899" s="2">
        <f t="array" ref="M899">_xlfn.IFNA(IF(vp.data[[#This Row],[Dens Input]]="",INDEX([1]DATA!$O$3:$O$9826,MATCH(1,(vp.data[[#This Row],[Battery]]=[1]DATA!$L$3:$L$9826)*(EOMONTH(vp.data[[#This Row],[SDate]],-1)+1=[1]DATA!$G$3:$G$9826),0)),vp.data[[#This Row],[Dens Input]]),"")</f>
        <v>851.9</v>
      </c>
      <c r="N899" s="2">
        <f ca="1">INDEX(INDIRECT(_xlfn.CONCAT("weather.tbl[",N$1,"]")),MATCH(vp.data[[#This Row],[SDate]],weather.tbl[Date],0))</f>
        <v>-11.916666666666666</v>
      </c>
      <c r="O899" s="2">
        <f ca="1">INDEX(INDIRECT(_xlfn.CONCAT("weather.tbl[",O$1,"]")),MATCH(vp.data[[#This Row],[SDate]],weather.tbl[Date],0))</f>
        <v>-4.7952380952380951</v>
      </c>
      <c r="P899" s="2">
        <f ca="1">INDEX(INDIRECT(_xlfn.CONCAT("weather.tbl[",P$1,"]")),MATCH(vp.data[[#This Row],[SDate]],weather.tbl[Date],0))</f>
        <v>-12.6</v>
      </c>
      <c r="Q899" s="2">
        <f ca="1">INDEX(INDIRECT(_xlfn.CONCAT("weather.tbl[",Q$1,"]")),MATCH(vp.data[[#This Row],[SDate]],weather.tbl[Date],0))</f>
        <v>-10.4</v>
      </c>
      <c r="R899" s="2">
        <f ca="1">INDEX(INDIRECT(_xlfn.CONCAT("weather.tbl[",R$1,"]")),MATCH(vp.data[[#This Row],[SDate]],weather.tbl[Date],0))</f>
        <v>-12.3</v>
      </c>
      <c r="S899" s="2">
        <f ca="1">INDEX(INDIRECT(_xlfn.CONCAT("weather.tbl[",S$1,"]")),MATCH(vp.data[[#This Row],[SDate]],weather.tbl[Date],0))</f>
        <v>-9.4</v>
      </c>
      <c r="T899" s="2">
        <f ca="1">INDEX(INDIRECT(_xlfn.CONCAT("weather.tbl[",T$1,"]")),MATCH(vp.data[[#This Row],[SDate]],weather.tbl[Date],0))</f>
        <v>-14.5</v>
      </c>
      <c r="U899" s="2">
        <f ca="1">INDEX(INDIRECT(_xlfn.CONCAT("weather.tbl[",U$1,"]")),MATCH(vp.data[[#This Row],[SDate]],weather.tbl[Date],0))</f>
        <v>-12.3</v>
      </c>
      <c r="V899" s="2">
        <f t="array" ref="V8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1315.981</v>
      </c>
      <c r="W899" t="s">
        <v>48</v>
      </c>
      <c r="X899">
        <f>IF(OR(vp.data[[#This Row],[Sulf]]="",vp.data[[#This Row],[Dens]]=""),1,0)</f>
        <v>0</v>
      </c>
      <c r="Y899">
        <f>IF(vp.data[[#This Row],[CrudeType]]="C5+",1,0)</f>
        <v>0</v>
      </c>
      <c r="Z899">
        <f>IF(AND(vp.data[[#This Row],[CrudeType]]="Crude",vp.data[[#This Row],[Dens]]&lt;=825,vp.data[[#This Row],[Sulf]]&gt;0.5,vp.data[[#This Row],[Unknown]]=0),1,0)</f>
        <v>0</v>
      </c>
      <c r="AA899">
        <f>IF(AND(vp.data[[#This Row],[CrudeType]]="Crude",vp.data[[#This Row],[Dens]]&lt;=825,vp.data[[#This Row],[Sulf]]&lt;=0.5,vp.data[[#This Row],[Unknown]]=0),1,0)</f>
        <v>0</v>
      </c>
      <c r="AB8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899">
        <f>IF(AND(vp.data[[#This Row],[CrudeType]]="Crude",vp.data[[#This Row],[Dens]]&gt;825,vp.data[[#This Row],[Dens]]&lt;=900,vp.data[[#This Row],[Sulf]]&lt;=0.5,vp.data[[#This Row],[Unknown]]=0),1,0)</f>
        <v>0</v>
      </c>
      <c r="AD899">
        <f>IF(AND(vp.data[[#This Row],[CrudeType]]="Crude",vp.data[[#This Row],[Dens]]&gt;865,vp.data[[#This Row],[Dens]]&lt;=900,vp.data[[#This Row],[Sulf]]&gt;2,vp.data[[#This Row],[Unknown]]=0),1,0)</f>
        <v>0</v>
      </c>
      <c r="AE899">
        <f>IF(AND(vp.data[[#This Row],[CrudeType]]="Crude",vp.data[[#This Row],[Dens]]&gt;900,vp.data[[#This Row],[Sulf]]&lt;=0.5,vp.data[[#This Row],[Unknown]]=0),1,0)</f>
        <v>0</v>
      </c>
      <c r="AF899">
        <f>IF(AND(vp.data[[#This Row],[CrudeType]]="Crude",vp.data[[#This Row],[Dens]]&gt;900,vp.data[[#This Row],[Sulf]]&lt;=0.5,vp.data[[#This Row],[Unknown]]=0),1,0)</f>
        <v>0</v>
      </c>
      <c r="AG899" t="str">
        <f>INDEX(vp.data[[#Headers],[Unknown]:[Heavy_SW]],MATCH(1,vp.data[[#This Row],[Unknown]:[Heavy_SW]],0))</f>
        <v>Medium_LSB</v>
      </c>
      <c r="AH899">
        <f>INDEX([3]!crudeBD.lkup[Number],MATCH(vp.data[[#This Row],[Crude_Breakdown]],crudeBD.lkup[Crude Breakdown],0))</f>
        <v>3</v>
      </c>
      <c r="AI899">
        <f>MONTH(vp.data[[#This Row],[SDate]])</f>
        <v>2</v>
      </c>
      <c r="AJ899" s="5">
        <f>(vp.data[[#This Row],[VP]]-INDEX(crudeBD.lkup[Mean_VP],MATCH(vp.data[[#This Row],[Crude_Breakdown]],crudeBD.lkup[Crude Breakdown],0)))^2</f>
        <v>140.177940805427</v>
      </c>
      <c r="AK899" s="5">
        <f>(vp.data[[#This Row],[Dens]]-INDEX(crudeBD.lkup[Mean_Dens],MATCH(vp.data[[#This Row],[Crude_Breakdown]],crudeBD.lkup[Crude Breakdown],0)))^2</f>
        <v>63.680400000007545</v>
      </c>
      <c r="AL899" s="5">
        <f>(vp.data[[#This Row],[Sulf]]-INDEX(crudeBD.lkup[Mean_Sulf],MATCH(vp.data[[#This Row],[Crude_Breakdown]],crudeBD.lkup[Crude Breakdown],0)))^2</f>
        <v>2.9802726320805671E-3</v>
      </c>
      <c r="AM899" s="4">
        <f>IF(AND(vp.data[[#This Row],[SDate]]&gt;=DATE(YEAR(vp.data[[#This Row],[SDate]]),5,1),vp.data[[#This Row],[SDate]]&lt;=DATE(YEAR(vp.data[[#This Row],[SDate]]),9,15)),1,0)</f>
        <v>0</v>
      </c>
      <c r="AN899" s="4">
        <f>IF(vp.data[[#This Row],[SDate]]&lt;DATE(2016,12,1),0,1)</f>
        <v>1</v>
      </c>
      <c r="AO899" s="4">
        <f>IFERROR(vp.data[[#This Row],[Sulf]]*vp.data[[#This Row],[Net Dens]],"")</f>
        <v>1614361.2680159998</v>
      </c>
      <c r="AP899">
        <f>IFERROR(vp.data[[#This Row],[Dens]]*vp.data[[#This Row],[VolumeM3]],"")</f>
        <v>1121084.2138999999</v>
      </c>
      <c r="AQ899" s="15">
        <f>IFERROR(vp.data[[#This Row],[VP]]*vp.data[[#This Row],[VolumeM3]],"")</f>
        <v>90539.492799999993</v>
      </c>
    </row>
    <row r="900" spans="1:43" x14ac:dyDescent="0.25">
      <c r="A900">
        <v>899</v>
      </c>
      <c r="B900" t="s">
        <v>161</v>
      </c>
      <c r="C900" t="s">
        <v>161</v>
      </c>
      <c r="D900" t="s">
        <v>193</v>
      </c>
      <c r="F900" s="1">
        <v>42792</v>
      </c>
      <c r="G900" s="2">
        <v>70.2</v>
      </c>
      <c r="H900" s="2"/>
      <c r="I900" s="2">
        <f t="array" ref="I900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900" s="2">
        <v>32.5</v>
      </c>
      <c r="K900" s="2">
        <v>-11</v>
      </c>
      <c r="L900" s="2">
        <v>854</v>
      </c>
      <c r="M900" s="2">
        <f t="array" ref="M900">_xlfn.IFNA(IF(vp.data[[#This Row],[Dens Input]]="",INDEX([1]DATA!$O$3:$O$9826,MATCH(1,(vp.data[[#This Row],[Battery]]=[1]DATA!$L$3:$L$9826)*(EOMONTH(vp.data[[#This Row],[SDate]],-1)+1=[1]DATA!$G$3:$G$9826),0)),vp.data[[#This Row],[Dens Input]]),"")</f>
        <v>854</v>
      </c>
      <c r="N900" s="2">
        <f ca="1">INDEX(INDIRECT(_xlfn.CONCAT("weather.tbl[",N$1,"]")),MATCH(vp.data[[#This Row],[SDate]],weather.tbl[Date],0))</f>
        <v>-11.916666666666666</v>
      </c>
      <c r="O900" s="2">
        <f ca="1">INDEX(INDIRECT(_xlfn.CONCAT("weather.tbl[",O$1,"]")),MATCH(vp.data[[#This Row],[SDate]],weather.tbl[Date],0))</f>
        <v>-4.7952380952380951</v>
      </c>
      <c r="P900" s="2">
        <f ca="1">INDEX(INDIRECT(_xlfn.CONCAT("weather.tbl[",P$1,"]")),MATCH(vp.data[[#This Row],[SDate]],weather.tbl[Date],0))</f>
        <v>-12.6</v>
      </c>
      <c r="Q900" s="2">
        <f ca="1">INDEX(INDIRECT(_xlfn.CONCAT("weather.tbl[",Q$1,"]")),MATCH(vp.data[[#This Row],[SDate]],weather.tbl[Date],0))</f>
        <v>-10.4</v>
      </c>
      <c r="R900" s="2">
        <f ca="1">INDEX(INDIRECT(_xlfn.CONCAT("weather.tbl[",R$1,"]")),MATCH(vp.data[[#This Row],[SDate]],weather.tbl[Date],0))</f>
        <v>-12.3</v>
      </c>
      <c r="S900" s="2">
        <f ca="1">INDEX(INDIRECT(_xlfn.CONCAT("weather.tbl[",S$1,"]")),MATCH(vp.data[[#This Row],[SDate]],weather.tbl[Date],0))</f>
        <v>-9.4</v>
      </c>
      <c r="T900" s="2">
        <f ca="1">INDEX(INDIRECT(_xlfn.CONCAT("weather.tbl[",T$1,"]")),MATCH(vp.data[[#This Row],[SDate]],weather.tbl[Date],0))</f>
        <v>-14.5</v>
      </c>
      <c r="U900" s="2">
        <f ca="1">INDEX(INDIRECT(_xlfn.CONCAT("weather.tbl[",U$1,"]")),MATCH(vp.data[[#This Row],[SDate]],weather.tbl[Date],0))</f>
        <v>-12.3</v>
      </c>
      <c r="V900" s="2">
        <f t="array" ref="V9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2920.1149999999998</v>
      </c>
      <c r="W900" t="s">
        <v>48</v>
      </c>
      <c r="X900">
        <f>IF(OR(vp.data[[#This Row],[Sulf]]="",vp.data[[#This Row],[Dens]]=""),1,0)</f>
        <v>0</v>
      </c>
      <c r="Y900">
        <f>IF(vp.data[[#This Row],[CrudeType]]="C5+",1,0)</f>
        <v>0</v>
      </c>
      <c r="Z900">
        <f>IF(AND(vp.data[[#This Row],[CrudeType]]="Crude",vp.data[[#This Row],[Dens]]&lt;=825,vp.data[[#This Row],[Sulf]]&gt;0.5,vp.data[[#This Row],[Unknown]]=0),1,0)</f>
        <v>0</v>
      </c>
      <c r="AA900">
        <f>IF(AND(vp.data[[#This Row],[CrudeType]]="Crude",vp.data[[#This Row],[Dens]]&lt;=825,vp.data[[#This Row],[Sulf]]&lt;=0.5,vp.data[[#This Row],[Unknown]]=0),1,0)</f>
        <v>0</v>
      </c>
      <c r="AB9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0">
        <f>IF(AND(vp.data[[#This Row],[CrudeType]]="Crude",vp.data[[#This Row],[Dens]]&gt;825,vp.data[[#This Row],[Dens]]&lt;=900,vp.data[[#This Row],[Sulf]]&lt;=0.5,vp.data[[#This Row],[Unknown]]=0),1,0)</f>
        <v>0</v>
      </c>
      <c r="AD900">
        <f>IF(AND(vp.data[[#This Row],[CrudeType]]="Crude",vp.data[[#This Row],[Dens]]&gt;865,vp.data[[#This Row],[Dens]]&lt;=900,vp.data[[#This Row],[Sulf]]&gt;2,vp.data[[#This Row],[Unknown]]=0),1,0)</f>
        <v>0</v>
      </c>
      <c r="AE900">
        <f>IF(AND(vp.data[[#This Row],[CrudeType]]="Crude",vp.data[[#This Row],[Dens]]&gt;900,vp.data[[#This Row],[Sulf]]&lt;=0.5,vp.data[[#This Row],[Unknown]]=0),1,0)</f>
        <v>0</v>
      </c>
      <c r="AF900">
        <f>IF(AND(vp.data[[#This Row],[CrudeType]]="Crude",vp.data[[#This Row],[Dens]]&gt;900,vp.data[[#This Row],[Sulf]]&lt;=0.5,vp.data[[#This Row],[Unknown]]=0),1,0)</f>
        <v>0</v>
      </c>
      <c r="AG900" t="str">
        <f>INDEX(vp.data[[#Headers],[Unknown]:[Heavy_SW]],MATCH(1,vp.data[[#This Row],[Unknown]:[Heavy_SW]],0))</f>
        <v>Medium_LSB</v>
      </c>
      <c r="AH900">
        <f>INDEX([3]!crudeBD.lkup[Number],MATCH(vp.data[[#This Row],[Crude_Breakdown]],crudeBD.lkup[Crude Breakdown],0))</f>
        <v>3</v>
      </c>
      <c r="AI900">
        <f>MONTH(vp.data[[#This Row],[SDate]])</f>
        <v>2</v>
      </c>
      <c r="AJ900" s="5">
        <f>(vp.data[[#This Row],[VP]]-INDEX(crudeBD.lkup[Mean_VP],MATCH(vp.data[[#This Row],[Crude_Breakdown]],crudeBD.lkup[Crude Breakdown],0)))^2</f>
        <v>108.98684646580442</v>
      </c>
      <c r="AK900" s="5">
        <f>(vp.data[[#This Row],[Dens]]-INDEX(crudeBD.lkup[Mean_Dens],MATCH(vp.data[[#This Row],[Crude_Breakdown]],crudeBD.lkup[Crude Breakdown],0)))^2</f>
        <v>101.60640000001</v>
      </c>
      <c r="AL900" s="5">
        <f>(vp.data[[#This Row],[Sulf]]-INDEX(crudeBD.lkup[Mean_Sulf],MATCH(vp.data[[#This Row],[Crude_Breakdown]],crudeBD.lkup[Crude Breakdown],0)))^2</f>
        <v>3.786599716038206E-2</v>
      </c>
      <c r="AM900" s="4">
        <f>IF(AND(vp.data[[#This Row],[SDate]]&gt;=DATE(YEAR(vp.data[[#This Row],[SDate]]),5,1),vp.data[[#This Row],[SDate]]&lt;=DATE(YEAR(vp.data[[#This Row],[SDate]]),9,15)),1,0)</f>
        <v>0</v>
      </c>
      <c r="AN900" s="4">
        <f>IF(vp.data[[#This Row],[SDate]]&lt;DATE(2016,12,1),0,1)</f>
        <v>1</v>
      </c>
      <c r="AO900" s="4">
        <f>IFERROR(vp.data[[#This Row],[Sulf]]*vp.data[[#This Row],[Net Dens]],"")</f>
        <v>3940169.5718</v>
      </c>
      <c r="AP900">
        <f>IFERROR(vp.data[[#This Row],[Dens]]*vp.data[[#This Row],[VolumeM3]],"")</f>
        <v>2493778.21</v>
      </c>
      <c r="AQ900" s="15">
        <f>IFERROR(vp.data[[#This Row],[VP]]*vp.data[[#This Row],[VolumeM3]],"")</f>
        <v>204992.073</v>
      </c>
    </row>
    <row r="901" spans="1:43" x14ac:dyDescent="0.25">
      <c r="A901">
        <v>900</v>
      </c>
      <c r="B901" t="s">
        <v>51</v>
      </c>
      <c r="C901" t="s">
        <v>51</v>
      </c>
      <c r="D901" t="s">
        <v>194</v>
      </c>
      <c r="F901" s="1">
        <v>42792</v>
      </c>
      <c r="G901" s="2">
        <v>55.7</v>
      </c>
      <c r="H901" s="2"/>
      <c r="I901" s="2">
        <f t="array" ref="I901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901" s="2">
        <v>15.3</v>
      </c>
      <c r="K901" s="2">
        <v>-11</v>
      </c>
      <c r="L901" s="2">
        <v>854</v>
      </c>
      <c r="M901" s="2">
        <f t="array" ref="M901">_xlfn.IFNA(IF(vp.data[[#This Row],[Dens Input]]="",INDEX([1]DATA!$O$3:$O$9826,MATCH(1,(vp.data[[#This Row],[Battery]]=[1]DATA!$L$3:$L$9826)*(EOMONTH(vp.data[[#This Row],[SDate]],-1)+1=[1]DATA!$G$3:$G$9826),0)),vp.data[[#This Row],[Dens Input]]),"")</f>
        <v>854</v>
      </c>
      <c r="N901" s="2">
        <f ca="1">INDEX(INDIRECT(_xlfn.CONCAT("weather.tbl[",N$1,"]")),MATCH(vp.data[[#This Row],[SDate]],weather.tbl[Date],0))</f>
        <v>-11.916666666666666</v>
      </c>
      <c r="O901" s="2">
        <f ca="1">INDEX(INDIRECT(_xlfn.CONCAT("weather.tbl[",O$1,"]")),MATCH(vp.data[[#This Row],[SDate]],weather.tbl[Date],0))</f>
        <v>-4.7952380952380951</v>
      </c>
      <c r="P901" s="2">
        <f ca="1">INDEX(INDIRECT(_xlfn.CONCAT("weather.tbl[",P$1,"]")),MATCH(vp.data[[#This Row],[SDate]],weather.tbl[Date],0))</f>
        <v>-12.6</v>
      </c>
      <c r="Q901" s="2">
        <f ca="1">INDEX(INDIRECT(_xlfn.CONCAT("weather.tbl[",Q$1,"]")),MATCH(vp.data[[#This Row],[SDate]],weather.tbl[Date],0))</f>
        <v>-10.4</v>
      </c>
      <c r="R901" s="2">
        <f ca="1">INDEX(INDIRECT(_xlfn.CONCAT("weather.tbl[",R$1,"]")),MATCH(vp.data[[#This Row],[SDate]],weather.tbl[Date],0))</f>
        <v>-12.3</v>
      </c>
      <c r="S901" s="2">
        <f ca="1">INDEX(INDIRECT(_xlfn.CONCAT("weather.tbl[",S$1,"]")),MATCH(vp.data[[#This Row],[SDate]],weather.tbl[Date],0))</f>
        <v>-9.4</v>
      </c>
      <c r="T901" s="2">
        <f ca="1">INDEX(INDIRECT(_xlfn.CONCAT("weather.tbl[",T$1,"]")),MATCH(vp.data[[#This Row],[SDate]],weather.tbl[Date],0))</f>
        <v>-14.5</v>
      </c>
      <c r="U901" s="2">
        <f ca="1">INDEX(INDIRECT(_xlfn.CONCAT("weather.tbl[",U$1,"]")),MATCH(vp.data[[#This Row],[SDate]],weather.tbl[Date],0))</f>
        <v>-12.3</v>
      </c>
      <c r="V901" s="2">
        <f t="array" ref="V9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727.93</v>
      </c>
      <c r="W901" t="s">
        <v>48</v>
      </c>
      <c r="X901">
        <f>IF(OR(vp.data[[#This Row],[Sulf]]="",vp.data[[#This Row],[Dens]]=""),1,0)</f>
        <v>0</v>
      </c>
      <c r="Y901">
        <f>IF(vp.data[[#This Row],[CrudeType]]="C5+",1,0)</f>
        <v>0</v>
      </c>
      <c r="Z901">
        <f>IF(AND(vp.data[[#This Row],[CrudeType]]="Crude",vp.data[[#This Row],[Dens]]&lt;=825,vp.data[[#This Row],[Sulf]]&gt;0.5,vp.data[[#This Row],[Unknown]]=0),1,0)</f>
        <v>0</v>
      </c>
      <c r="AA901">
        <f>IF(AND(vp.data[[#This Row],[CrudeType]]="Crude",vp.data[[#This Row],[Dens]]&lt;=825,vp.data[[#This Row],[Sulf]]&lt;=0.5,vp.data[[#This Row],[Unknown]]=0),1,0)</f>
        <v>0</v>
      </c>
      <c r="AB9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1">
        <f>IF(AND(vp.data[[#This Row],[CrudeType]]="Crude",vp.data[[#This Row],[Dens]]&gt;825,vp.data[[#This Row],[Dens]]&lt;=900,vp.data[[#This Row],[Sulf]]&lt;=0.5,vp.data[[#This Row],[Unknown]]=0),1,0)</f>
        <v>0</v>
      </c>
      <c r="AD901">
        <f>IF(AND(vp.data[[#This Row],[CrudeType]]="Crude",vp.data[[#This Row],[Dens]]&gt;865,vp.data[[#This Row],[Dens]]&lt;=900,vp.data[[#This Row],[Sulf]]&gt;2,vp.data[[#This Row],[Unknown]]=0),1,0)</f>
        <v>0</v>
      </c>
      <c r="AE901">
        <f>IF(AND(vp.data[[#This Row],[CrudeType]]="Crude",vp.data[[#This Row],[Dens]]&gt;900,vp.data[[#This Row],[Sulf]]&lt;=0.5,vp.data[[#This Row],[Unknown]]=0),1,0)</f>
        <v>0</v>
      </c>
      <c r="AF901">
        <f>IF(AND(vp.data[[#This Row],[CrudeType]]="Crude",vp.data[[#This Row],[Dens]]&gt;900,vp.data[[#This Row],[Sulf]]&lt;=0.5,vp.data[[#This Row],[Unknown]]=0),1,0)</f>
        <v>0</v>
      </c>
      <c r="AG901" t="str">
        <f>INDEX(vp.data[[#Headers],[Unknown]:[Heavy_SW]],MATCH(1,vp.data[[#This Row],[Unknown]:[Heavy_SW]],0))</f>
        <v>Medium_LSB</v>
      </c>
      <c r="AH901">
        <f>INDEX([3]!crudeBD.lkup[Number],MATCH(vp.data[[#This Row],[Crude_Breakdown]],crudeBD.lkup[Crude Breakdown],0))</f>
        <v>3</v>
      </c>
      <c r="AI901">
        <f>MONTH(vp.data[[#This Row],[SDate]])</f>
        <v>2</v>
      </c>
      <c r="AJ901" s="5">
        <f>(vp.data[[#This Row],[VP]]-INDEX(crudeBD.lkup[Mean_VP],MATCH(vp.data[[#This Row],[Crude_Breakdown]],crudeBD.lkup[Crude Breakdown],0)))^2</f>
        <v>621.98746641189393</v>
      </c>
      <c r="AK901" s="5">
        <f>(vp.data[[#This Row],[Dens]]-INDEX(crudeBD.lkup[Mean_Dens],MATCH(vp.data[[#This Row],[Crude_Breakdown]],crudeBD.lkup[Crude Breakdown],0)))^2</f>
        <v>101.60640000001</v>
      </c>
      <c r="AL901" s="5">
        <f>(vp.data[[#This Row],[Sulf]]-INDEX(crudeBD.lkup[Mean_Sulf],MATCH(vp.data[[#This Row],[Crude_Breakdown]],crudeBD.lkup[Crude Breakdown],0)))^2</f>
        <v>3.8184335974399415E-2</v>
      </c>
      <c r="AM901" s="4">
        <f>IF(AND(vp.data[[#This Row],[SDate]]&gt;=DATE(YEAR(vp.data[[#This Row],[SDate]]),5,1),vp.data[[#This Row],[SDate]]&lt;=DATE(YEAR(vp.data[[#This Row],[SDate]]),9,15)),1,0)</f>
        <v>0</v>
      </c>
      <c r="AN901" s="4">
        <f>IF(vp.data[[#This Row],[SDate]]&lt;DATE(2016,12,1),0,1)</f>
        <v>1</v>
      </c>
      <c r="AO901" s="4">
        <f>IFERROR(vp.data[[#This Row],[Sulf]]*vp.data[[#This Row],[Net Dens]],"")</f>
        <v>739766.14179999998</v>
      </c>
      <c r="AP901">
        <f>IFERROR(vp.data[[#This Row],[Dens]]*vp.data[[#This Row],[VolumeM3]],"")</f>
        <v>621652.22</v>
      </c>
      <c r="AQ901" s="15">
        <f>IFERROR(vp.data[[#This Row],[VP]]*vp.data[[#This Row],[VolumeM3]],"")</f>
        <v>40545.701000000001</v>
      </c>
    </row>
    <row r="902" spans="1:43" x14ac:dyDescent="0.25">
      <c r="A902">
        <v>901</v>
      </c>
      <c r="B902" t="s">
        <v>108</v>
      </c>
      <c r="C902" t="s">
        <v>108</v>
      </c>
      <c r="D902" t="s">
        <v>195</v>
      </c>
      <c r="F902" s="1">
        <v>42792</v>
      </c>
      <c r="G902" s="2">
        <v>60.9</v>
      </c>
      <c r="H902" s="2"/>
      <c r="I902" s="2">
        <f t="array" ref="I902">_xlfn.IFNA(IF(vp.data[[#This Row],[Sulf Input]]="",INDEX([1]DATA!$Q$3:$Q$9826,MATCH(1,(vp.data[[#This Row],[Battery]]=[1]DATA!$L$3:$L$9826)*(EOMONTH(vp.data[[#This Row],[SDate]],-1)+1=[1]DATA!$G$3:$G$9826),0)),vp.data[[#This Row],[Sulf Input]]),"")</f>
        <v>1.49</v>
      </c>
      <c r="J902" s="2">
        <v>17.2</v>
      </c>
      <c r="K902" s="2">
        <v>-11</v>
      </c>
      <c r="L902" s="2">
        <v>855.2</v>
      </c>
      <c r="M902" s="2">
        <f t="array" ref="M902">_xlfn.IFNA(IF(vp.data[[#This Row],[Dens Input]]="",INDEX([1]DATA!$O$3:$O$9826,MATCH(1,(vp.data[[#This Row],[Battery]]=[1]DATA!$L$3:$L$9826)*(EOMONTH(vp.data[[#This Row],[SDate]],-1)+1=[1]DATA!$G$3:$G$9826),0)),vp.data[[#This Row],[Dens Input]]),"")</f>
        <v>855.2</v>
      </c>
      <c r="N902" s="2">
        <f ca="1">INDEX(INDIRECT(_xlfn.CONCAT("weather.tbl[",N$1,"]")),MATCH(vp.data[[#This Row],[SDate]],weather.tbl[Date],0))</f>
        <v>-11.916666666666666</v>
      </c>
      <c r="O902" s="2">
        <f ca="1">INDEX(INDIRECT(_xlfn.CONCAT("weather.tbl[",O$1,"]")),MATCH(vp.data[[#This Row],[SDate]],weather.tbl[Date],0))</f>
        <v>-4.7952380952380951</v>
      </c>
      <c r="P902" s="2">
        <f ca="1">INDEX(INDIRECT(_xlfn.CONCAT("weather.tbl[",P$1,"]")),MATCH(vp.data[[#This Row],[SDate]],weather.tbl[Date],0))</f>
        <v>-12.6</v>
      </c>
      <c r="Q902" s="2">
        <f ca="1">INDEX(INDIRECT(_xlfn.CONCAT("weather.tbl[",Q$1,"]")),MATCH(vp.data[[#This Row],[SDate]],weather.tbl[Date],0))</f>
        <v>-10.4</v>
      </c>
      <c r="R902" s="2">
        <f ca="1">INDEX(INDIRECT(_xlfn.CONCAT("weather.tbl[",R$1,"]")),MATCH(vp.data[[#This Row],[SDate]],weather.tbl[Date],0))</f>
        <v>-12.3</v>
      </c>
      <c r="S902" s="2">
        <f ca="1">INDEX(INDIRECT(_xlfn.CONCAT("weather.tbl[",S$1,"]")),MATCH(vp.data[[#This Row],[SDate]],weather.tbl[Date],0))</f>
        <v>-9.4</v>
      </c>
      <c r="T902" s="2">
        <f ca="1">INDEX(INDIRECT(_xlfn.CONCAT("weather.tbl[",T$1,"]")),MATCH(vp.data[[#This Row],[SDate]],weather.tbl[Date],0))</f>
        <v>-14.5</v>
      </c>
      <c r="U902" s="2">
        <f ca="1">INDEX(INDIRECT(_xlfn.CONCAT("weather.tbl[",U$1,"]")),MATCH(vp.data[[#This Row],[SDate]],weather.tbl[Date],0))</f>
        <v>-12.3</v>
      </c>
      <c r="V902" s="2">
        <f t="array" ref="V9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2078.5700000000002</v>
      </c>
      <c r="W902" t="s">
        <v>48</v>
      </c>
      <c r="X902">
        <f>IF(OR(vp.data[[#This Row],[Sulf]]="",vp.data[[#This Row],[Dens]]=""),1,0)</f>
        <v>0</v>
      </c>
      <c r="Y902">
        <f>IF(vp.data[[#This Row],[CrudeType]]="C5+",1,0)</f>
        <v>0</v>
      </c>
      <c r="Z902">
        <f>IF(AND(vp.data[[#This Row],[CrudeType]]="Crude",vp.data[[#This Row],[Dens]]&lt;=825,vp.data[[#This Row],[Sulf]]&gt;0.5,vp.data[[#This Row],[Unknown]]=0),1,0)</f>
        <v>0</v>
      </c>
      <c r="AA902">
        <f>IF(AND(vp.data[[#This Row],[CrudeType]]="Crude",vp.data[[#This Row],[Dens]]&lt;=825,vp.data[[#This Row],[Sulf]]&lt;=0.5,vp.data[[#This Row],[Unknown]]=0),1,0)</f>
        <v>0</v>
      </c>
      <c r="AB9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2">
        <f>IF(AND(vp.data[[#This Row],[CrudeType]]="Crude",vp.data[[#This Row],[Dens]]&gt;825,vp.data[[#This Row],[Dens]]&lt;=900,vp.data[[#This Row],[Sulf]]&lt;=0.5,vp.data[[#This Row],[Unknown]]=0),1,0)</f>
        <v>0</v>
      </c>
      <c r="AD902">
        <f>IF(AND(vp.data[[#This Row],[CrudeType]]="Crude",vp.data[[#This Row],[Dens]]&gt;865,vp.data[[#This Row],[Dens]]&lt;=900,vp.data[[#This Row],[Sulf]]&gt;2,vp.data[[#This Row],[Unknown]]=0),1,0)</f>
        <v>0</v>
      </c>
      <c r="AE902">
        <f>IF(AND(vp.data[[#This Row],[CrudeType]]="Crude",vp.data[[#This Row],[Dens]]&gt;900,vp.data[[#This Row],[Sulf]]&lt;=0.5,vp.data[[#This Row],[Unknown]]=0),1,0)</f>
        <v>0</v>
      </c>
      <c r="AF902">
        <f>IF(AND(vp.data[[#This Row],[CrudeType]]="Crude",vp.data[[#This Row],[Dens]]&gt;900,vp.data[[#This Row],[Sulf]]&lt;=0.5,vp.data[[#This Row],[Unknown]]=0),1,0)</f>
        <v>0</v>
      </c>
      <c r="AG902" t="str">
        <f>INDEX(vp.data[[#Headers],[Unknown]:[Heavy_SW]],MATCH(1,vp.data[[#This Row],[Unknown]:[Heavy_SW]],0))</f>
        <v>Medium_LSB</v>
      </c>
      <c r="AH902">
        <f>INDEX([3]!crudeBD.lkup[Number],MATCH(vp.data[[#This Row],[Crude_Breakdown]],crudeBD.lkup[Crude Breakdown],0))</f>
        <v>3</v>
      </c>
      <c r="AI902">
        <f>MONTH(vp.data[[#This Row],[SDate]])</f>
        <v>2</v>
      </c>
      <c r="AJ902" s="5">
        <f>(vp.data[[#This Row],[VP]]-INDEX(crudeBD.lkup[Mean_VP],MATCH(vp.data[[#This Row],[Crude_Breakdown]],crudeBD.lkup[Crude Breakdown],0)))^2</f>
        <v>389.65483029329647</v>
      </c>
      <c r="AK902" s="5">
        <f>(vp.data[[#This Row],[Dens]]-INDEX(crudeBD.lkup[Mean_Dens],MATCH(vp.data[[#This Row],[Crude_Breakdown]],crudeBD.lkup[Crude Breakdown],0)))^2</f>
        <v>127.23840000001221</v>
      </c>
      <c r="AL902" s="5">
        <f>(vp.data[[#This Row],[Sulf]]-INDEX(crudeBD.lkup[Mean_Sulf],MATCH(vp.data[[#This Row],[Crude_Breakdown]],crudeBD.lkup[Crude Breakdown],0)))^2</f>
        <v>1.0939459963616806E-2</v>
      </c>
      <c r="AM902" s="4">
        <f>IF(AND(vp.data[[#This Row],[SDate]]&gt;=DATE(YEAR(vp.data[[#This Row],[SDate]]),5,1),vp.data[[#This Row],[SDate]]&lt;=DATE(YEAR(vp.data[[#This Row],[SDate]]),9,15)),1,0)</f>
        <v>0</v>
      </c>
      <c r="AN902" s="4">
        <f>IF(vp.data[[#This Row],[SDate]]&lt;DATE(2016,12,1),0,1)</f>
        <v>1</v>
      </c>
      <c r="AO902" s="4">
        <f>IFERROR(vp.data[[#This Row],[Sulf]]*vp.data[[#This Row],[Net Dens]],"")</f>
        <v>2648613.6653600005</v>
      </c>
      <c r="AP902">
        <f>IFERROR(vp.data[[#This Row],[Dens]]*vp.data[[#This Row],[VolumeM3]],"")</f>
        <v>1777593.0640000002</v>
      </c>
      <c r="AQ902" s="15">
        <f>IFERROR(vp.data[[#This Row],[VP]]*vp.data[[#This Row],[VolumeM3]],"")</f>
        <v>126584.913</v>
      </c>
    </row>
    <row r="903" spans="1:43" x14ac:dyDescent="0.25">
      <c r="A903">
        <v>902</v>
      </c>
      <c r="B903" t="s">
        <v>60</v>
      </c>
      <c r="C903" t="s">
        <v>60</v>
      </c>
      <c r="D903" t="s">
        <v>61</v>
      </c>
      <c r="E903" t="s">
        <v>73</v>
      </c>
      <c r="F903" s="1">
        <v>42792</v>
      </c>
      <c r="G903" s="2">
        <v>75.5</v>
      </c>
      <c r="H903" s="2">
        <v>1.1060000000000001</v>
      </c>
      <c r="I903" s="2">
        <f t="array" ref="I903">_xlfn.IFNA(IF(vp.data[[#This Row],[Sulf Input]]="",INDEX([1]DATA!$Q$3:$Q$9826,MATCH(1,(vp.data[[#This Row],[Battery]]=[1]DATA!$L$3:$L$9826)*(EOMONTH(vp.data[[#This Row],[SDate]],-1)+1=[1]DATA!$G$3:$G$9826),0)),vp.data[[#This Row],[Sulf Input]]),"")</f>
        <v>1.1060000000000001</v>
      </c>
      <c r="J903" s="2">
        <v>3.3</v>
      </c>
      <c r="K903" s="2">
        <v>-11</v>
      </c>
      <c r="L903" s="2">
        <v>845.5</v>
      </c>
      <c r="M903" s="2">
        <f t="array" ref="M903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903" s="2">
        <f ca="1">INDEX(INDIRECT(_xlfn.CONCAT("weather.tbl[",N$1,"]")),MATCH(vp.data[[#This Row],[SDate]],weather.tbl[Date],0))</f>
        <v>-11.916666666666666</v>
      </c>
      <c r="O903" s="2">
        <f ca="1">INDEX(INDIRECT(_xlfn.CONCAT("weather.tbl[",O$1,"]")),MATCH(vp.data[[#This Row],[SDate]],weather.tbl[Date],0))</f>
        <v>-4.7952380952380951</v>
      </c>
      <c r="P903" s="2">
        <f ca="1">INDEX(INDIRECT(_xlfn.CONCAT("weather.tbl[",P$1,"]")),MATCH(vp.data[[#This Row],[SDate]],weather.tbl[Date],0))</f>
        <v>-12.6</v>
      </c>
      <c r="Q903" s="2">
        <f ca="1">INDEX(INDIRECT(_xlfn.CONCAT("weather.tbl[",Q$1,"]")),MATCH(vp.data[[#This Row],[SDate]],weather.tbl[Date],0))</f>
        <v>-10.4</v>
      </c>
      <c r="R903" s="2">
        <f ca="1">INDEX(INDIRECT(_xlfn.CONCAT("weather.tbl[",R$1,"]")),MATCH(vp.data[[#This Row],[SDate]],weather.tbl[Date],0))</f>
        <v>-12.3</v>
      </c>
      <c r="S903" s="2">
        <f ca="1">INDEX(INDIRECT(_xlfn.CONCAT("weather.tbl[",S$1,"]")),MATCH(vp.data[[#This Row],[SDate]],weather.tbl[Date],0))</f>
        <v>-9.4</v>
      </c>
      <c r="T903" s="2">
        <f ca="1">INDEX(INDIRECT(_xlfn.CONCAT("weather.tbl[",T$1,"]")),MATCH(vp.data[[#This Row],[SDate]],weather.tbl[Date],0))</f>
        <v>-14.5</v>
      </c>
      <c r="U903" s="2">
        <f ca="1">INDEX(INDIRECT(_xlfn.CONCAT("weather.tbl[",U$1,"]")),MATCH(vp.data[[#This Row],[SDate]],weather.tbl[Date],0))</f>
        <v>-12.3</v>
      </c>
      <c r="V903" s="2">
        <f t="array" ref="V9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903" t="s">
        <v>48</v>
      </c>
      <c r="X903">
        <f>IF(OR(vp.data[[#This Row],[Sulf]]="",vp.data[[#This Row],[Dens]]=""),1,0)</f>
        <v>0</v>
      </c>
      <c r="Y903">
        <f>IF(vp.data[[#This Row],[CrudeType]]="C5+",1,0)</f>
        <v>0</v>
      </c>
      <c r="Z903">
        <f>IF(AND(vp.data[[#This Row],[CrudeType]]="Crude",vp.data[[#This Row],[Dens]]&lt;=825,vp.data[[#This Row],[Sulf]]&gt;0.5,vp.data[[#This Row],[Unknown]]=0),1,0)</f>
        <v>0</v>
      </c>
      <c r="AA903">
        <f>IF(AND(vp.data[[#This Row],[CrudeType]]="Crude",vp.data[[#This Row],[Dens]]&lt;=825,vp.data[[#This Row],[Sulf]]&lt;=0.5,vp.data[[#This Row],[Unknown]]=0),1,0)</f>
        <v>0</v>
      </c>
      <c r="AB9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3">
        <f>IF(AND(vp.data[[#This Row],[CrudeType]]="Crude",vp.data[[#This Row],[Dens]]&gt;825,vp.data[[#This Row],[Dens]]&lt;=900,vp.data[[#This Row],[Sulf]]&lt;=0.5,vp.data[[#This Row],[Unknown]]=0),1,0)</f>
        <v>0</v>
      </c>
      <c r="AD903">
        <f>IF(AND(vp.data[[#This Row],[CrudeType]]="Crude",vp.data[[#This Row],[Dens]]&gt;865,vp.data[[#This Row],[Dens]]&lt;=900,vp.data[[#This Row],[Sulf]]&gt;2,vp.data[[#This Row],[Unknown]]=0),1,0)</f>
        <v>0</v>
      </c>
      <c r="AE903">
        <f>IF(AND(vp.data[[#This Row],[CrudeType]]="Crude",vp.data[[#This Row],[Dens]]&gt;900,vp.data[[#This Row],[Sulf]]&lt;=0.5,vp.data[[#This Row],[Unknown]]=0),1,0)</f>
        <v>0</v>
      </c>
      <c r="AF903">
        <f>IF(AND(vp.data[[#This Row],[CrudeType]]="Crude",vp.data[[#This Row],[Dens]]&gt;900,vp.data[[#This Row],[Sulf]]&lt;=0.5,vp.data[[#This Row],[Unknown]]=0),1,0)</f>
        <v>0</v>
      </c>
      <c r="AG903" t="str">
        <f>INDEX(vp.data[[#Headers],[Unknown]:[Heavy_SW]],MATCH(1,vp.data[[#This Row],[Unknown]:[Heavy_SW]],0))</f>
        <v>Medium_LSB</v>
      </c>
      <c r="AH903">
        <f>INDEX([3]!crudeBD.lkup[Number],MATCH(vp.data[[#This Row],[Crude_Breakdown]],crudeBD.lkup[Crude Breakdown],0))</f>
        <v>3</v>
      </c>
      <c r="AI903">
        <f>MONTH(vp.data[[#This Row],[SDate]])</f>
        <v>2</v>
      </c>
      <c r="AJ903" s="5">
        <f>(vp.data[[#This Row],[VP]]-INDEX(crudeBD.lkup[Mean_VP],MATCH(vp.data[[#This Row],[Crude_Breakdown]],crudeBD.lkup[Crude Breakdown],0)))^2</f>
        <v>26.41627503723381</v>
      </c>
      <c r="AK903" s="5">
        <f>(vp.data[[#This Row],[Dens]]-INDEX(crudeBD.lkup[Mean_Dens],MATCH(vp.data[[#This Row],[Crude_Breakdown]],crudeBD.lkup[Crude Breakdown],0)))^2</f>
        <v>2.4964000000015663</v>
      </c>
      <c r="AL903" s="5">
        <f>(vp.data[[#This Row],[Sulf]]-INDEX(crudeBD.lkup[Mean_Sulf],MATCH(vp.data[[#This Row],[Crude_Breakdown]],crudeBD.lkup[Crude Breakdown],0)))^2</f>
        <v>7.8068901257418472E-2</v>
      </c>
      <c r="AM903" s="4">
        <f>IF(AND(vp.data[[#This Row],[SDate]]&gt;=DATE(YEAR(vp.data[[#This Row],[SDate]]),5,1),vp.data[[#This Row],[SDate]]&lt;=DATE(YEAR(vp.data[[#This Row],[SDate]]),9,15)),1,0)</f>
        <v>0</v>
      </c>
      <c r="AN903" s="4">
        <f>IF(vp.data[[#This Row],[SDate]]&lt;DATE(2016,12,1),0,1)</f>
        <v>1</v>
      </c>
      <c r="AO903" s="4">
        <f>IFERROR(vp.data[[#This Row],[Sulf]]*vp.data[[#This Row],[Net Dens]],"")</f>
        <v>90241193.924973011</v>
      </c>
      <c r="AP903">
        <f>IFERROR(vp.data[[#This Row],[Dens]]*vp.data[[#This Row],[VolumeM3]],"")</f>
        <v>81592399.570500001</v>
      </c>
      <c r="AQ903" s="15">
        <f>IFERROR(vp.data[[#This Row],[VP]]*vp.data[[#This Row],[VolumeM3]],"")</f>
        <v>7285897.3004999999</v>
      </c>
    </row>
    <row r="904" spans="1:43" x14ac:dyDescent="0.25">
      <c r="A904">
        <v>903</v>
      </c>
      <c r="B904" t="s">
        <v>60</v>
      </c>
      <c r="C904" t="s">
        <v>60</v>
      </c>
      <c r="D904" t="s">
        <v>61</v>
      </c>
      <c r="E904" t="s">
        <v>55</v>
      </c>
      <c r="F904" s="1">
        <v>42792</v>
      </c>
      <c r="G904" s="2">
        <v>97.9</v>
      </c>
      <c r="H904" s="2">
        <v>1.0920000000000001</v>
      </c>
      <c r="I904" s="2">
        <f t="array" ref="I904">_xlfn.IFNA(IF(vp.data[[#This Row],[Sulf Input]]="",INDEX([1]DATA!$Q$3:$Q$9826,MATCH(1,(vp.data[[#This Row],[Battery]]=[1]DATA!$L$3:$L$9826)*(EOMONTH(vp.data[[#This Row],[SDate]],-1)+1=[1]DATA!$G$3:$G$9826),0)),vp.data[[#This Row],[Sulf Input]]),"")</f>
        <v>1.0920000000000001</v>
      </c>
      <c r="J904" s="2">
        <v>4.7</v>
      </c>
      <c r="K904" s="2">
        <v>-11</v>
      </c>
      <c r="L904" s="2">
        <v>833.2</v>
      </c>
      <c r="M904" s="2">
        <f t="array" ref="M904">_xlfn.IFNA(IF(vp.data[[#This Row],[Dens Input]]="",INDEX([1]DATA!$O$3:$O$9826,MATCH(1,(vp.data[[#This Row],[Battery]]=[1]DATA!$L$3:$L$9826)*(EOMONTH(vp.data[[#This Row],[SDate]],-1)+1=[1]DATA!$G$3:$G$9826),0)),vp.data[[#This Row],[Dens Input]]),"")</f>
        <v>833.2</v>
      </c>
      <c r="N904" s="2">
        <f ca="1">INDEX(INDIRECT(_xlfn.CONCAT("weather.tbl[",N$1,"]")),MATCH(vp.data[[#This Row],[SDate]],weather.tbl[Date],0))</f>
        <v>-11.916666666666666</v>
      </c>
      <c r="O904" s="2">
        <f ca="1">INDEX(INDIRECT(_xlfn.CONCAT("weather.tbl[",O$1,"]")),MATCH(vp.data[[#This Row],[SDate]],weather.tbl[Date],0))</f>
        <v>-4.7952380952380951</v>
      </c>
      <c r="P904" s="2">
        <f ca="1">INDEX(INDIRECT(_xlfn.CONCAT("weather.tbl[",P$1,"]")),MATCH(vp.data[[#This Row],[SDate]],weather.tbl[Date],0))</f>
        <v>-12.6</v>
      </c>
      <c r="Q904" s="2">
        <f ca="1">INDEX(INDIRECT(_xlfn.CONCAT("weather.tbl[",Q$1,"]")),MATCH(vp.data[[#This Row],[SDate]],weather.tbl[Date],0))</f>
        <v>-10.4</v>
      </c>
      <c r="R904" s="2">
        <f ca="1">INDEX(INDIRECT(_xlfn.CONCAT("weather.tbl[",R$1,"]")),MATCH(vp.data[[#This Row],[SDate]],weather.tbl[Date],0))</f>
        <v>-12.3</v>
      </c>
      <c r="S904" s="2">
        <f ca="1">INDEX(INDIRECT(_xlfn.CONCAT("weather.tbl[",S$1,"]")),MATCH(vp.data[[#This Row],[SDate]],weather.tbl[Date],0))</f>
        <v>-9.4</v>
      </c>
      <c r="T904" s="2">
        <f ca="1">INDEX(INDIRECT(_xlfn.CONCAT("weather.tbl[",T$1,"]")),MATCH(vp.data[[#This Row],[SDate]],weather.tbl[Date],0))</f>
        <v>-14.5</v>
      </c>
      <c r="U904" s="2">
        <f ca="1">INDEX(INDIRECT(_xlfn.CONCAT("weather.tbl[",U$1,"]")),MATCH(vp.data[[#This Row],[SDate]],weather.tbl[Date],0))</f>
        <v>-12.3</v>
      </c>
      <c r="V904" s="2">
        <f t="array" ref="V9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904" t="s">
        <v>48</v>
      </c>
      <c r="X904">
        <f>IF(OR(vp.data[[#This Row],[Sulf]]="",vp.data[[#This Row],[Dens]]=""),1,0)</f>
        <v>0</v>
      </c>
      <c r="Y904">
        <f>IF(vp.data[[#This Row],[CrudeType]]="C5+",1,0)</f>
        <v>0</v>
      </c>
      <c r="Z904">
        <f>IF(AND(vp.data[[#This Row],[CrudeType]]="Crude",vp.data[[#This Row],[Dens]]&lt;=825,vp.data[[#This Row],[Sulf]]&gt;0.5,vp.data[[#This Row],[Unknown]]=0),1,0)</f>
        <v>0</v>
      </c>
      <c r="AA904">
        <f>IF(AND(vp.data[[#This Row],[CrudeType]]="Crude",vp.data[[#This Row],[Dens]]&lt;=825,vp.data[[#This Row],[Sulf]]&lt;=0.5,vp.data[[#This Row],[Unknown]]=0),1,0)</f>
        <v>0</v>
      </c>
      <c r="AB9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4">
        <f>IF(AND(vp.data[[#This Row],[CrudeType]]="Crude",vp.data[[#This Row],[Dens]]&gt;825,vp.data[[#This Row],[Dens]]&lt;=900,vp.data[[#This Row],[Sulf]]&lt;=0.5,vp.data[[#This Row],[Unknown]]=0),1,0)</f>
        <v>0</v>
      </c>
      <c r="AD904">
        <f>IF(AND(vp.data[[#This Row],[CrudeType]]="Crude",vp.data[[#This Row],[Dens]]&gt;865,vp.data[[#This Row],[Dens]]&lt;=900,vp.data[[#This Row],[Sulf]]&gt;2,vp.data[[#This Row],[Unknown]]=0),1,0)</f>
        <v>0</v>
      </c>
      <c r="AE904">
        <f>IF(AND(vp.data[[#This Row],[CrudeType]]="Crude",vp.data[[#This Row],[Dens]]&gt;900,vp.data[[#This Row],[Sulf]]&lt;=0.5,vp.data[[#This Row],[Unknown]]=0),1,0)</f>
        <v>0</v>
      </c>
      <c r="AF904">
        <f>IF(AND(vp.data[[#This Row],[CrudeType]]="Crude",vp.data[[#This Row],[Dens]]&gt;900,vp.data[[#This Row],[Sulf]]&lt;=0.5,vp.data[[#This Row],[Unknown]]=0),1,0)</f>
        <v>0</v>
      </c>
      <c r="AG904" t="str">
        <f>INDEX(vp.data[[#Headers],[Unknown]:[Heavy_SW]],MATCH(1,vp.data[[#This Row],[Unknown]:[Heavy_SW]],0))</f>
        <v>Medium_LSB</v>
      </c>
      <c r="AH904">
        <f>INDEX([3]!crudeBD.lkup[Number],MATCH(vp.data[[#This Row],[Crude_Breakdown]],crudeBD.lkup[Crude Breakdown],0))</f>
        <v>3</v>
      </c>
      <c r="AI904">
        <f>MONTH(vp.data[[#This Row],[SDate]])</f>
        <v>2</v>
      </c>
      <c r="AJ904" s="5">
        <f>(vp.data[[#This Row],[VP]]-INDEX(crudeBD.lkup[Mean_VP],MATCH(vp.data[[#This Row],[Crude_Breakdown]],crudeBD.lkup[Crude Breakdown],0)))^2</f>
        <v>297.91876560327495</v>
      </c>
      <c r="AK904" s="5">
        <f>(vp.data[[#This Row],[Dens]]-INDEX(crudeBD.lkup[Mean_Dens],MATCH(vp.data[[#This Row],[Crude_Breakdown]],crudeBD.lkup[Crude Breakdown],0)))^2</f>
        <v>114.9183999999884</v>
      </c>
      <c r="AL904" s="5">
        <f>(vp.data[[#This Row],[Sulf]]-INDEX(crudeBD.lkup[Mean_Sulf],MATCH(vp.data[[#This Row],[Crude_Breakdown]],crudeBD.lkup[Crude Breakdown],0)))^2</f>
        <v>8.6088328804588318E-2</v>
      </c>
      <c r="AM904" s="4">
        <f>IF(AND(vp.data[[#This Row],[SDate]]&gt;=DATE(YEAR(vp.data[[#This Row],[SDate]]),5,1),vp.data[[#This Row],[SDate]]&lt;=DATE(YEAR(vp.data[[#This Row],[SDate]]),9,15)),1,0)</f>
        <v>0</v>
      </c>
      <c r="AN904" s="4">
        <f>IF(vp.data[[#This Row],[SDate]]&lt;DATE(2016,12,1),0,1)</f>
        <v>1</v>
      </c>
      <c r="AO904" s="4">
        <f>IFERROR(vp.data[[#This Row],[Sulf]]*vp.data[[#This Row],[Net Dens]],"")</f>
        <v>87802724.725934416</v>
      </c>
      <c r="AP904">
        <f>IFERROR(vp.data[[#This Row],[Dens]]*vp.data[[#This Row],[VolumeM3]],"")</f>
        <v>80405425.573200002</v>
      </c>
      <c r="AQ904" s="15">
        <f>IFERROR(vp.data[[#This Row],[VP]]*vp.data[[#This Row],[VolumeM3]],"")</f>
        <v>9447541.0029000007</v>
      </c>
    </row>
    <row r="905" spans="1:43" x14ac:dyDescent="0.25">
      <c r="A905">
        <v>904</v>
      </c>
      <c r="B905" t="s">
        <v>49</v>
      </c>
      <c r="C905" t="s">
        <v>49</v>
      </c>
      <c r="D905" t="s">
        <v>100</v>
      </c>
      <c r="F905" s="1">
        <v>42794</v>
      </c>
      <c r="G905" s="2">
        <v>87</v>
      </c>
      <c r="H905" s="2">
        <v>0.50900000000000001</v>
      </c>
      <c r="I905" s="2">
        <f t="array" ref="I905">_xlfn.IFNA(IF(vp.data[[#This Row],[Sulf Input]]="",INDEX([1]DATA!$Q$3:$Q$9826,MATCH(1,(vp.data[[#This Row],[Battery]]=[1]DATA!$L$3:$L$9826)*(EOMONTH(vp.data[[#This Row],[SDate]],-1)+1=[1]DATA!$G$3:$G$9826),0)),vp.data[[#This Row],[Sulf Input]]),"")</f>
        <v>0.50900000000000001</v>
      </c>
      <c r="J905" s="2">
        <v>5.0999999999999996</v>
      </c>
      <c r="K905" s="2">
        <v>-14</v>
      </c>
      <c r="L905" s="2">
        <v>814.1</v>
      </c>
      <c r="M905" s="2">
        <f t="array" ref="M905">_xlfn.IFNA(IF(vp.data[[#This Row],[Dens Input]]="",INDEX([1]DATA!$O$3:$O$9826,MATCH(1,(vp.data[[#This Row],[Battery]]=[1]DATA!$L$3:$L$9826)*(EOMONTH(vp.data[[#This Row],[SDate]],-1)+1=[1]DATA!$G$3:$G$9826),0)),vp.data[[#This Row],[Dens Input]]),"")</f>
        <v>814.1</v>
      </c>
      <c r="N905" s="2">
        <f ca="1">INDEX(INDIRECT(_xlfn.CONCAT("weather.tbl[",N$1,"]")),MATCH(vp.data[[#This Row],[SDate]],weather.tbl[Date],0))</f>
        <v>-14.383333333333335</v>
      </c>
      <c r="O905" s="2">
        <f ca="1">INDEX(INDIRECT(_xlfn.CONCAT("weather.tbl[",O$1,"]")),MATCH(vp.data[[#This Row],[SDate]],weather.tbl[Date],0))</f>
        <v>-9.2404761904761905</v>
      </c>
      <c r="P905" s="2">
        <f ca="1">INDEX(INDIRECT(_xlfn.CONCAT("weather.tbl[",P$1,"]")),MATCH(vp.data[[#This Row],[SDate]],weather.tbl[Date],0))</f>
        <v>-14.4</v>
      </c>
      <c r="Q905" s="2">
        <f ca="1">INDEX(INDIRECT(_xlfn.CONCAT("weather.tbl[",Q$1,"]")),MATCH(vp.data[[#This Row],[SDate]],weather.tbl[Date],0))</f>
        <v>-12.6</v>
      </c>
      <c r="R905" s="2">
        <f ca="1">INDEX(INDIRECT(_xlfn.CONCAT("weather.tbl[",R$1,"]")),MATCH(vp.data[[#This Row],[SDate]],weather.tbl[Date],0))</f>
        <v>-17</v>
      </c>
      <c r="S905" s="2">
        <f ca="1">INDEX(INDIRECT(_xlfn.CONCAT("weather.tbl[",S$1,"]")),MATCH(vp.data[[#This Row],[SDate]],weather.tbl[Date],0))</f>
        <v>-11.7</v>
      </c>
      <c r="T905" s="2">
        <f ca="1">INDEX(INDIRECT(_xlfn.CONCAT("weather.tbl[",T$1,"]")),MATCH(vp.data[[#This Row],[SDate]],weather.tbl[Date],0))</f>
        <v>-16.600000000000001</v>
      </c>
      <c r="U905" s="2">
        <f ca="1">INDEX(INDIRECT(_xlfn.CONCAT("weather.tbl[",U$1,"]")),MATCH(vp.data[[#This Row],[SDate]],weather.tbl[Date],0))</f>
        <v>-14</v>
      </c>
      <c r="V905" s="2">
        <f t="array" ref="V9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11683.09</v>
      </c>
      <c r="W905" t="s">
        <v>48</v>
      </c>
      <c r="X905">
        <f>IF(OR(vp.data[[#This Row],[Sulf]]="",vp.data[[#This Row],[Dens]]=""),1,0)</f>
        <v>0</v>
      </c>
      <c r="Y905">
        <f>IF(vp.data[[#This Row],[CrudeType]]="C5+",1,0)</f>
        <v>0</v>
      </c>
      <c r="Z905">
        <f>IF(AND(vp.data[[#This Row],[CrudeType]]="Crude",vp.data[[#This Row],[Dens]]&lt;=825,vp.data[[#This Row],[Sulf]]&gt;0.5,vp.data[[#This Row],[Unknown]]=0),1,0)</f>
        <v>1</v>
      </c>
      <c r="AA905">
        <f>IF(AND(vp.data[[#This Row],[CrudeType]]="Crude",vp.data[[#This Row],[Dens]]&lt;=825,vp.data[[#This Row],[Sulf]]&lt;=0.5,vp.data[[#This Row],[Unknown]]=0),1,0)</f>
        <v>0</v>
      </c>
      <c r="AB9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05">
        <f>IF(AND(vp.data[[#This Row],[CrudeType]]="Crude",vp.data[[#This Row],[Dens]]&gt;825,vp.data[[#This Row],[Dens]]&lt;=900,vp.data[[#This Row],[Sulf]]&lt;=0.5,vp.data[[#This Row],[Unknown]]=0),1,0)</f>
        <v>0</v>
      </c>
      <c r="AD905">
        <f>IF(AND(vp.data[[#This Row],[CrudeType]]="Crude",vp.data[[#This Row],[Dens]]&gt;865,vp.data[[#This Row],[Dens]]&lt;=900,vp.data[[#This Row],[Sulf]]&gt;2,vp.data[[#This Row],[Unknown]]=0),1,0)</f>
        <v>0</v>
      </c>
      <c r="AE905">
        <f>IF(AND(vp.data[[#This Row],[CrudeType]]="Crude",vp.data[[#This Row],[Dens]]&gt;900,vp.data[[#This Row],[Sulf]]&lt;=0.5,vp.data[[#This Row],[Unknown]]=0),1,0)</f>
        <v>0</v>
      </c>
      <c r="AF905">
        <f>IF(AND(vp.data[[#This Row],[CrudeType]]="Crude",vp.data[[#This Row],[Dens]]&gt;900,vp.data[[#This Row],[Sulf]]&lt;=0.5,vp.data[[#This Row],[Unknown]]=0),1,0)</f>
        <v>0</v>
      </c>
      <c r="AG905" t="str">
        <f>INDEX(vp.data[[#Headers],[Unknown]:[Heavy_SW]],MATCH(1,vp.data[[#This Row],[Unknown]:[Heavy_SW]],0))</f>
        <v>Light_LSB</v>
      </c>
      <c r="AH905">
        <f>INDEX([3]!crudeBD.lkup[Number],MATCH(vp.data[[#This Row],[Crude_Breakdown]],crudeBD.lkup[Crude Breakdown],0))</f>
        <v>1</v>
      </c>
      <c r="AI905">
        <f>MONTH(vp.data[[#This Row],[SDate]])</f>
        <v>2</v>
      </c>
      <c r="AJ905" s="5">
        <f>(vp.data[[#This Row],[VP]]-INDEX(crudeBD.lkup[Mean_VP],MATCH(vp.data[[#This Row],[Crude_Breakdown]],crudeBD.lkup[Crude Breakdown],0)))^2</f>
        <v>20.66780320969313</v>
      </c>
      <c r="AK905" s="5">
        <f>(vp.data[[#This Row],[Dens]]-INDEX(crudeBD.lkup[Mean_Dens],MATCH(vp.data[[#This Row],[Crude_Breakdown]],crudeBD.lkup[Crude Breakdown],0)))^2</f>
        <v>19.507855107990554</v>
      </c>
      <c r="AL905" s="5">
        <f>(vp.data[[#This Row],[Sulf]]-INDEX(crudeBD.lkup[Mean_Sulf],MATCH(vp.data[[#This Row],[Crude_Breakdown]],crudeBD.lkup[Crude Breakdown],0)))^2</f>
        <v>0.17137212825394221</v>
      </c>
      <c r="AM905" s="4">
        <f>IF(AND(vp.data[[#This Row],[SDate]]&gt;=DATE(YEAR(vp.data[[#This Row],[SDate]]),5,1),vp.data[[#This Row],[SDate]]&lt;=DATE(YEAR(vp.data[[#This Row],[SDate]]),9,15)),1,0)</f>
        <v>0</v>
      </c>
      <c r="AN905" s="4">
        <f>IF(vp.data[[#This Row],[SDate]]&lt;DATE(2016,12,1),0,1)</f>
        <v>1</v>
      </c>
      <c r="AO905" s="4">
        <f>IFERROR(vp.data[[#This Row],[Sulf]]*vp.data[[#This Row],[Net Dens]],"")</f>
        <v>4841202.6166209998</v>
      </c>
      <c r="AP905">
        <f>IFERROR(vp.data[[#This Row],[Dens]]*vp.data[[#This Row],[VolumeM3]],"")</f>
        <v>9511203.5690000001</v>
      </c>
      <c r="AQ905" s="15">
        <f>IFERROR(vp.data[[#This Row],[VP]]*vp.data[[#This Row],[VolumeM3]],"")</f>
        <v>1016428.83</v>
      </c>
    </row>
    <row r="906" spans="1:43" x14ac:dyDescent="0.25">
      <c r="A906">
        <v>905</v>
      </c>
      <c r="B906" t="s">
        <v>49</v>
      </c>
      <c r="C906" t="s">
        <v>49</v>
      </c>
      <c r="D906" t="s">
        <v>80</v>
      </c>
      <c r="F906" s="1">
        <v>42794</v>
      </c>
      <c r="G906" s="2">
        <v>88.2</v>
      </c>
      <c r="H906" s="2">
        <v>0.53800000000000003</v>
      </c>
      <c r="I906" s="2">
        <f t="array" ref="I906">_xlfn.IFNA(IF(vp.data[[#This Row],[Sulf Input]]="",INDEX([1]DATA!$Q$3:$Q$9826,MATCH(1,(vp.data[[#This Row],[Battery]]=[1]DATA!$L$3:$L$9826)*(EOMONTH(vp.data[[#This Row],[SDate]],-1)+1=[1]DATA!$G$3:$G$9826),0)),vp.data[[#This Row],[Sulf Input]]),"")</f>
        <v>0.53800000000000003</v>
      </c>
      <c r="J906" s="2">
        <v>16.7</v>
      </c>
      <c r="K906" s="2">
        <v>-14</v>
      </c>
      <c r="L906" s="2">
        <v>814.7</v>
      </c>
      <c r="M906" s="2">
        <f t="array" ref="M906">_xlfn.IFNA(IF(vp.data[[#This Row],[Dens Input]]="",INDEX([1]DATA!$O$3:$O$9826,MATCH(1,(vp.data[[#This Row],[Battery]]=[1]DATA!$L$3:$L$9826)*(EOMONTH(vp.data[[#This Row],[SDate]],-1)+1=[1]DATA!$G$3:$G$9826),0)),vp.data[[#This Row],[Dens Input]]),"")</f>
        <v>814.7</v>
      </c>
      <c r="N906" s="2">
        <f ca="1">INDEX(INDIRECT(_xlfn.CONCAT("weather.tbl[",N$1,"]")),MATCH(vp.data[[#This Row],[SDate]],weather.tbl[Date],0))</f>
        <v>-14.383333333333335</v>
      </c>
      <c r="O906" s="2">
        <f ca="1">INDEX(INDIRECT(_xlfn.CONCAT("weather.tbl[",O$1,"]")),MATCH(vp.data[[#This Row],[SDate]],weather.tbl[Date],0))</f>
        <v>-9.2404761904761905</v>
      </c>
      <c r="P906" s="2">
        <f ca="1">INDEX(INDIRECT(_xlfn.CONCAT("weather.tbl[",P$1,"]")),MATCH(vp.data[[#This Row],[SDate]],weather.tbl[Date],0))</f>
        <v>-14.4</v>
      </c>
      <c r="Q906" s="2">
        <f ca="1">INDEX(INDIRECT(_xlfn.CONCAT("weather.tbl[",Q$1,"]")),MATCH(vp.data[[#This Row],[SDate]],weather.tbl[Date],0))</f>
        <v>-12.6</v>
      </c>
      <c r="R906" s="2">
        <f ca="1">INDEX(INDIRECT(_xlfn.CONCAT("weather.tbl[",R$1,"]")),MATCH(vp.data[[#This Row],[SDate]],weather.tbl[Date],0))</f>
        <v>-17</v>
      </c>
      <c r="S906" s="2">
        <f ca="1">INDEX(INDIRECT(_xlfn.CONCAT("weather.tbl[",S$1,"]")),MATCH(vp.data[[#This Row],[SDate]],weather.tbl[Date],0))</f>
        <v>-11.7</v>
      </c>
      <c r="T906" s="2">
        <f ca="1">INDEX(INDIRECT(_xlfn.CONCAT("weather.tbl[",T$1,"]")),MATCH(vp.data[[#This Row],[SDate]],weather.tbl[Date],0))</f>
        <v>-16.600000000000001</v>
      </c>
      <c r="U906" s="2">
        <f ca="1">INDEX(INDIRECT(_xlfn.CONCAT("weather.tbl[",U$1,"]")),MATCH(vp.data[[#This Row],[SDate]],weather.tbl[Date],0))</f>
        <v>-14</v>
      </c>
      <c r="V906" s="2">
        <f t="array" ref="V9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16928.633000000002</v>
      </c>
      <c r="W906" t="s">
        <v>48</v>
      </c>
      <c r="X906">
        <f>IF(OR(vp.data[[#This Row],[Sulf]]="",vp.data[[#This Row],[Dens]]=""),1,0)</f>
        <v>0</v>
      </c>
      <c r="Y906">
        <f>IF(vp.data[[#This Row],[CrudeType]]="C5+",1,0)</f>
        <v>0</v>
      </c>
      <c r="Z906">
        <f>IF(AND(vp.data[[#This Row],[CrudeType]]="Crude",vp.data[[#This Row],[Dens]]&lt;=825,vp.data[[#This Row],[Sulf]]&gt;0.5,vp.data[[#This Row],[Unknown]]=0),1,0)</f>
        <v>1</v>
      </c>
      <c r="AA906">
        <f>IF(AND(vp.data[[#This Row],[CrudeType]]="Crude",vp.data[[#This Row],[Dens]]&lt;=825,vp.data[[#This Row],[Sulf]]&lt;=0.5,vp.data[[#This Row],[Unknown]]=0),1,0)</f>
        <v>0</v>
      </c>
      <c r="AB9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06">
        <f>IF(AND(vp.data[[#This Row],[CrudeType]]="Crude",vp.data[[#This Row],[Dens]]&gt;825,vp.data[[#This Row],[Dens]]&lt;=900,vp.data[[#This Row],[Sulf]]&lt;=0.5,vp.data[[#This Row],[Unknown]]=0),1,0)</f>
        <v>0</v>
      </c>
      <c r="AD906">
        <f>IF(AND(vp.data[[#This Row],[CrudeType]]="Crude",vp.data[[#This Row],[Dens]]&gt;865,vp.data[[#This Row],[Dens]]&lt;=900,vp.data[[#This Row],[Sulf]]&gt;2,vp.data[[#This Row],[Unknown]]=0),1,0)</f>
        <v>0</v>
      </c>
      <c r="AE906">
        <f>IF(AND(vp.data[[#This Row],[CrudeType]]="Crude",vp.data[[#This Row],[Dens]]&gt;900,vp.data[[#This Row],[Sulf]]&lt;=0.5,vp.data[[#This Row],[Unknown]]=0),1,0)</f>
        <v>0</v>
      </c>
      <c r="AF906">
        <f>IF(AND(vp.data[[#This Row],[CrudeType]]="Crude",vp.data[[#This Row],[Dens]]&gt;900,vp.data[[#This Row],[Sulf]]&lt;=0.5,vp.data[[#This Row],[Unknown]]=0),1,0)</f>
        <v>0</v>
      </c>
      <c r="AG906" t="str">
        <f>INDEX(vp.data[[#Headers],[Unknown]:[Heavy_SW]],MATCH(1,vp.data[[#This Row],[Unknown]:[Heavy_SW]],0))</f>
        <v>Light_LSB</v>
      </c>
      <c r="AH906">
        <f>INDEX([3]!crudeBD.lkup[Number],MATCH(vp.data[[#This Row],[Crude_Breakdown]],crudeBD.lkup[Crude Breakdown],0))</f>
        <v>1</v>
      </c>
      <c r="AI906">
        <f>MONTH(vp.data[[#This Row],[SDate]])</f>
        <v>2</v>
      </c>
      <c r="AJ906" s="5">
        <f>(vp.data[[#This Row],[VP]]-INDEX(crudeBD.lkup[Mean_VP],MATCH(vp.data[[#This Row],[Crude_Breakdown]],crudeBD.lkup[Crude Breakdown],0)))^2</f>
        <v>11.196957848868294</v>
      </c>
      <c r="AK906" s="5">
        <f>(vp.data[[#This Row],[Dens]]-INDEX(crudeBD.lkup[Mean_Dens],MATCH(vp.data[[#This Row],[Crude_Breakdown]],crudeBD.lkup[Crude Breakdown],0)))^2</f>
        <v>14.567731396650577</v>
      </c>
      <c r="AL906" s="5">
        <f>(vp.data[[#This Row],[Sulf]]-INDEX(crudeBD.lkup[Mean_Sulf],MATCH(vp.data[[#This Row],[Crude_Breakdown]],crudeBD.lkup[Crude Breakdown],0)))^2</f>
        <v>0.14820280048761919</v>
      </c>
      <c r="AM906" s="4">
        <f>IF(AND(vp.data[[#This Row],[SDate]]&gt;=DATE(YEAR(vp.data[[#This Row],[SDate]]),5,1),vp.data[[#This Row],[SDate]]&lt;=DATE(YEAR(vp.data[[#This Row],[SDate]]),9,15)),1,0)</f>
        <v>0</v>
      </c>
      <c r="AN906" s="4">
        <f>IF(vp.data[[#This Row],[SDate]]&lt;DATE(2016,12,1),0,1)</f>
        <v>1</v>
      </c>
      <c r="AO906" s="4">
        <f>IFERROR(vp.data[[#This Row],[Sulf]]*vp.data[[#This Row],[Net Dens]],"")</f>
        <v>7419965.4301438015</v>
      </c>
      <c r="AP906">
        <f>IFERROR(vp.data[[#This Row],[Dens]]*vp.data[[#This Row],[VolumeM3]],"")</f>
        <v>13791757.305100001</v>
      </c>
      <c r="AQ906" s="15">
        <f>IFERROR(vp.data[[#This Row],[VP]]*vp.data[[#This Row],[VolumeM3]],"")</f>
        <v>1493105.4306000001</v>
      </c>
    </row>
    <row r="907" spans="1:43" x14ac:dyDescent="0.25">
      <c r="A907">
        <v>906</v>
      </c>
      <c r="B907" t="s">
        <v>49</v>
      </c>
      <c r="C907" t="s">
        <v>49</v>
      </c>
      <c r="D907" t="s">
        <v>67</v>
      </c>
      <c r="F907" s="1">
        <v>42794</v>
      </c>
      <c r="G907" s="2">
        <v>101.1</v>
      </c>
      <c r="H907" s="2">
        <v>0.64600000000000002</v>
      </c>
      <c r="I907" s="2">
        <f t="array" ref="I907">_xlfn.IFNA(IF(vp.data[[#This Row],[Sulf Input]]="",INDEX([1]DATA!$Q$3:$Q$9826,MATCH(1,(vp.data[[#This Row],[Battery]]=[1]DATA!$L$3:$L$9826)*(EOMONTH(vp.data[[#This Row],[SDate]],-1)+1=[1]DATA!$G$3:$G$9826),0)),vp.data[[#This Row],[Sulf Input]]),"")</f>
        <v>0.64600000000000002</v>
      </c>
      <c r="J907" s="2">
        <v>3.1</v>
      </c>
      <c r="K907" s="2">
        <v>-14</v>
      </c>
      <c r="L907" s="2">
        <v>820.9</v>
      </c>
      <c r="M907" s="2">
        <f t="array" ref="M907">_xlfn.IFNA(IF(vp.data[[#This Row],[Dens Input]]="",INDEX([1]DATA!$O$3:$O$9826,MATCH(1,(vp.data[[#This Row],[Battery]]=[1]DATA!$L$3:$L$9826)*(EOMONTH(vp.data[[#This Row],[SDate]],-1)+1=[1]DATA!$G$3:$G$9826),0)),vp.data[[#This Row],[Dens Input]]),"")</f>
        <v>820.9</v>
      </c>
      <c r="N907" s="2">
        <f ca="1">INDEX(INDIRECT(_xlfn.CONCAT("weather.tbl[",N$1,"]")),MATCH(vp.data[[#This Row],[SDate]],weather.tbl[Date],0))</f>
        <v>-14.383333333333335</v>
      </c>
      <c r="O907" s="2">
        <f ca="1">INDEX(INDIRECT(_xlfn.CONCAT("weather.tbl[",O$1,"]")),MATCH(vp.data[[#This Row],[SDate]],weather.tbl[Date],0))</f>
        <v>-9.2404761904761905</v>
      </c>
      <c r="P907" s="2">
        <f ca="1">INDEX(INDIRECT(_xlfn.CONCAT("weather.tbl[",P$1,"]")),MATCH(vp.data[[#This Row],[SDate]],weather.tbl[Date],0))</f>
        <v>-14.4</v>
      </c>
      <c r="Q907" s="2">
        <f ca="1">INDEX(INDIRECT(_xlfn.CONCAT("weather.tbl[",Q$1,"]")),MATCH(vp.data[[#This Row],[SDate]],weather.tbl[Date],0))</f>
        <v>-12.6</v>
      </c>
      <c r="R907" s="2">
        <f ca="1">INDEX(INDIRECT(_xlfn.CONCAT("weather.tbl[",R$1,"]")),MATCH(vp.data[[#This Row],[SDate]],weather.tbl[Date],0))</f>
        <v>-17</v>
      </c>
      <c r="S907" s="2">
        <f ca="1">INDEX(INDIRECT(_xlfn.CONCAT("weather.tbl[",S$1,"]")),MATCH(vp.data[[#This Row],[SDate]],weather.tbl[Date],0))</f>
        <v>-11.7</v>
      </c>
      <c r="T907" s="2">
        <f ca="1">INDEX(INDIRECT(_xlfn.CONCAT("weather.tbl[",T$1,"]")),MATCH(vp.data[[#This Row],[SDate]],weather.tbl[Date],0))</f>
        <v>-16.600000000000001</v>
      </c>
      <c r="U907" s="2">
        <f ca="1">INDEX(INDIRECT(_xlfn.CONCAT("weather.tbl[",U$1,"]")),MATCH(vp.data[[#This Row],[SDate]],weather.tbl[Date],0))</f>
        <v>-14</v>
      </c>
      <c r="V907" s="2">
        <f t="array" ref="V9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124428.834</v>
      </c>
      <c r="W907" t="s">
        <v>48</v>
      </c>
      <c r="X907">
        <f>IF(OR(vp.data[[#This Row],[Sulf]]="",vp.data[[#This Row],[Dens]]=""),1,0)</f>
        <v>0</v>
      </c>
      <c r="Y907">
        <f>IF(vp.data[[#This Row],[CrudeType]]="C5+",1,0)</f>
        <v>0</v>
      </c>
      <c r="Z907">
        <f>IF(AND(vp.data[[#This Row],[CrudeType]]="Crude",vp.data[[#This Row],[Dens]]&lt;=825,vp.data[[#This Row],[Sulf]]&gt;0.5,vp.data[[#This Row],[Unknown]]=0),1,0)</f>
        <v>1</v>
      </c>
      <c r="AA907">
        <f>IF(AND(vp.data[[#This Row],[CrudeType]]="Crude",vp.data[[#This Row],[Dens]]&lt;=825,vp.data[[#This Row],[Sulf]]&lt;=0.5,vp.data[[#This Row],[Unknown]]=0),1,0)</f>
        <v>0</v>
      </c>
      <c r="AB9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07">
        <f>IF(AND(vp.data[[#This Row],[CrudeType]]="Crude",vp.data[[#This Row],[Dens]]&gt;825,vp.data[[#This Row],[Dens]]&lt;=900,vp.data[[#This Row],[Sulf]]&lt;=0.5,vp.data[[#This Row],[Unknown]]=0),1,0)</f>
        <v>0</v>
      </c>
      <c r="AD907">
        <f>IF(AND(vp.data[[#This Row],[CrudeType]]="Crude",vp.data[[#This Row],[Dens]]&gt;865,vp.data[[#This Row],[Dens]]&lt;=900,vp.data[[#This Row],[Sulf]]&gt;2,vp.data[[#This Row],[Unknown]]=0),1,0)</f>
        <v>0</v>
      </c>
      <c r="AE907">
        <f>IF(AND(vp.data[[#This Row],[CrudeType]]="Crude",vp.data[[#This Row],[Dens]]&gt;900,vp.data[[#This Row],[Sulf]]&lt;=0.5,vp.data[[#This Row],[Unknown]]=0),1,0)</f>
        <v>0</v>
      </c>
      <c r="AF907">
        <f>IF(AND(vp.data[[#This Row],[CrudeType]]="Crude",vp.data[[#This Row],[Dens]]&gt;900,vp.data[[#This Row],[Sulf]]&lt;=0.5,vp.data[[#This Row],[Unknown]]=0),1,0)</f>
        <v>0</v>
      </c>
      <c r="AG907" t="str">
        <f>INDEX(vp.data[[#Headers],[Unknown]:[Heavy_SW]],MATCH(1,vp.data[[#This Row],[Unknown]:[Heavy_SW]],0))</f>
        <v>Light_LSB</v>
      </c>
      <c r="AH907">
        <f>INDEX([3]!crudeBD.lkup[Number],MATCH(vp.data[[#This Row],[Crude_Breakdown]],crudeBD.lkup[Crude Breakdown],0))</f>
        <v>1</v>
      </c>
      <c r="AI907">
        <f>MONTH(vp.data[[#This Row],[SDate]])</f>
        <v>2</v>
      </c>
      <c r="AJ907" s="5">
        <f>(vp.data[[#This Row],[VP]]-INDEX(crudeBD.lkup[Mean_VP],MATCH(vp.data[[#This Row],[Crude_Breakdown]],crudeBD.lkup[Crude Breakdown],0)))^2</f>
        <v>91.27537022000142</v>
      </c>
      <c r="AK907" s="5">
        <f>(vp.data[[#This Row],[Dens]]-INDEX(crudeBD.lkup[Mean_Dens],MATCH(vp.data[[#This Row],[Crude_Breakdown]],crudeBD.lkup[Crude Breakdown],0)))^2</f>
        <v>5.6797863794725805</v>
      </c>
      <c r="AL907" s="5">
        <f>(vp.data[[#This Row],[Sulf]]-INDEX(crudeBD.lkup[Mean_Sulf],MATCH(vp.data[[#This Row],[Crude_Breakdown]],crudeBD.lkup[Crude Breakdown],0)))^2</f>
        <v>7.6713028116485241E-2</v>
      </c>
      <c r="AM907" s="4">
        <f>IF(AND(vp.data[[#This Row],[SDate]]&gt;=DATE(YEAR(vp.data[[#This Row],[SDate]]),5,1),vp.data[[#This Row],[SDate]]&lt;=DATE(YEAR(vp.data[[#This Row],[SDate]]),9,15)),1,0)</f>
        <v>0</v>
      </c>
      <c r="AN907" s="4">
        <f>IF(vp.data[[#This Row],[SDate]]&lt;DATE(2016,12,1),0,1)</f>
        <v>1</v>
      </c>
      <c r="AO907" s="4">
        <f>IFERROR(vp.data[[#This Row],[Sulf]]*vp.data[[#This Row],[Net Dens]],"")</f>
        <v>65984784.870567597</v>
      </c>
      <c r="AP907">
        <f>IFERROR(vp.data[[#This Row],[Dens]]*vp.data[[#This Row],[VolumeM3]],"")</f>
        <v>102143629.83059999</v>
      </c>
      <c r="AQ907" s="15">
        <f>IFERROR(vp.data[[#This Row],[VP]]*vp.data[[#This Row],[VolumeM3]],"")</f>
        <v>12579755.1174</v>
      </c>
    </row>
    <row r="908" spans="1:43" x14ac:dyDescent="0.25">
      <c r="A908">
        <v>907</v>
      </c>
      <c r="B908" t="s">
        <v>49</v>
      </c>
      <c r="C908" t="s">
        <v>49</v>
      </c>
      <c r="D908" t="s">
        <v>89</v>
      </c>
      <c r="F908" s="1">
        <v>42794</v>
      </c>
      <c r="G908" s="2">
        <v>85.4</v>
      </c>
      <c r="H908" s="2">
        <v>0.84199999999999997</v>
      </c>
      <c r="I908" s="2">
        <f t="array" ref="I908">_xlfn.IFNA(IF(vp.data[[#This Row],[Sulf Input]]="",INDEX([1]DATA!$Q$3:$Q$9826,MATCH(1,(vp.data[[#This Row],[Battery]]=[1]DATA!$L$3:$L$9826)*(EOMONTH(vp.data[[#This Row],[SDate]],-1)+1=[1]DATA!$G$3:$G$9826),0)),vp.data[[#This Row],[Sulf Input]]),"")</f>
        <v>0.84199999999999997</v>
      </c>
      <c r="J908" s="2">
        <v>2.8</v>
      </c>
      <c r="K908" s="2">
        <v>-14</v>
      </c>
      <c r="L908" s="2">
        <v>822.9</v>
      </c>
      <c r="M908" s="2">
        <f t="array" ref="M908">_xlfn.IFNA(IF(vp.data[[#This Row],[Dens Input]]="",INDEX([1]DATA!$O$3:$O$9826,MATCH(1,(vp.data[[#This Row],[Battery]]=[1]DATA!$L$3:$L$9826)*(EOMONTH(vp.data[[#This Row],[SDate]],-1)+1=[1]DATA!$G$3:$G$9826),0)),vp.data[[#This Row],[Dens Input]]),"")</f>
        <v>822.9</v>
      </c>
      <c r="N908" s="2">
        <f ca="1">INDEX(INDIRECT(_xlfn.CONCAT("weather.tbl[",N$1,"]")),MATCH(vp.data[[#This Row],[SDate]],weather.tbl[Date],0))</f>
        <v>-14.383333333333335</v>
      </c>
      <c r="O908" s="2">
        <f ca="1">INDEX(INDIRECT(_xlfn.CONCAT("weather.tbl[",O$1,"]")),MATCH(vp.data[[#This Row],[SDate]],weather.tbl[Date],0))</f>
        <v>-9.2404761904761905</v>
      </c>
      <c r="P908" s="2">
        <f ca="1">INDEX(INDIRECT(_xlfn.CONCAT("weather.tbl[",P$1,"]")),MATCH(vp.data[[#This Row],[SDate]],weather.tbl[Date],0))</f>
        <v>-14.4</v>
      </c>
      <c r="Q908" s="2">
        <f ca="1">INDEX(INDIRECT(_xlfn.CONCAT("weather.tbl[",Q$1,"]")),MATCH(vp.data[[#This Row],[SDate]],weather.tbl[Date],0))</f>
        <v>-12.6</v>
      </c>
      <c r="R908" s="2">
        <f ca="1">INDEX(INDIRECT(_xlfn.CONCAT("weather.tbl[",R$1,"]")),MATCH(vp.data[[#This Row],[SDate]],weather.tbl[Date],0))</f>
        <v>-17</v>
      </c>
      <c r="S908" s="2">
        <f ca="1">INDEX(INDIRECT(_xlfn.CONCAT("weather.tbl[",S$1,"]")),MATCH(vp.data[[#This Row],[SDate]],weather.tbl[Date],0))</f>
        <v>-11.7</v>
      </c>
      <c r="T908" s="2">
        <f ca="1">INDEX(INDIRECT(_xlfn.CONCAT("weather.tbl[",T$1,"]")),MATCH(vp.data[[#This Row],[SDate]],weather.tbl[Date],0))</f>
        <v>-16.600000000000001</v>
      </c>
      <c r="U908" s="2">
        <f ca="1">INDEX(INDIRECT(_xlfn.CONCAT("weather.tbl[",U$1,"]")),MATCH(vp.data[[#This Row],[SDate]],weather.tbl[Date],0))</f>
        <v>-14</v>
      </c>
      <c r="V908" s="2">
        <f t="array" ref="V9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5063.2240000000002</v>
      </c>
      <c r="W908" t="s">
        <v>48</v>
      </c>
      <c r="X908">
        <f>IF(OR(vp.data[[#This Row],[Sulf]]="",vp.data[[#This Row],[Dens]]=""),1,0)</f>
        <v>0</v>
      </c>
      <c r="Y908">
        <f>IF(vp.data[[#This Row],[CrudeType]]="C5+",1,0)</f>
        <v>0</v>
      </c>
      <c r="Z908">
        <f>IF(AND(vp.data[[#This Row],[CrudeType]]="Crude",vp.data[[#This Row],[Dens]]&lt;=825,vp.data[[#This Row],[Sulf]]&gt;0.5,vp.data[[#This Row],[Unknown]]=0),1,0)</f>
        <v>1</v>
      </c>
      <c r="AA908">
        <f>IF(AND(vp.data[[#This Row],[CrudeType]]="Crude",vp.data[[#This Row],[Dens]]&lt;=825,vp.data[[#This Row],[Sulf]]&lt;=0.5,vp.data[[#This Row],[Unknown]]=0),1,0)</f>
        <v>0</v>
      </c>
      <c r="AB9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08">
        <f>IF(AND(vp.data[[#This Row],[CrudeType]]="Crude",vp.data[[#This Row],[Dens]]&gt;825,vp.data[[#This Row],[Dens]]&lt;=900,vp.data[[#This Row],[Sulf]]&lt;=0.5,vp.data[[#This Row],[Unknown]]=0),1,0)</f>
        <v>0</v>
      </c>
      <c r="AD908">
        <f>IF(AND(vp.data[[#This Row],[CrudeType]]="Crude",vp.data[[#This Row],[Dens]]&gt;865,vp.data[[#This Row],[Dens]]&lt;=900,vp.data[[#This Row],[Sulf]]&gt;2,vp.data[[#This Row],[Unknown]]=0),1,0)</f>
        <v>0</v>
      </c>
      <c r="AE908">
        <f>IF(AND(vp.data[[#This Row],[CrudeType]]="Crude",vp.data[[#This Row],[Dens]]&gt;900,vp.data[[#This Row],[Sulf]]&lt;=0.5,vp.data[[#This Row],[Unknown]]=0),1,0)</f>
        <v>0</v>
      </c>
      <c r="AF908">
        <f>IF(AND(vp.data[[#This Row],[CrudeType]]="Crude",vp.data[[#This Row],[Dens]]&gt;900,vp.data[[#This Row],[Sulf]]&lt;=0.5,vp.data[[#This Row],[Unknown]]=0),1,0)</f>
        <v>0</v>
      </c>
      <c r="AG908" t="str">
        <f>INDEX(vp.data[[#Headers],[Unknown]:[Heavy_SW]],MATCH(1,vp.data[[#This Row],[Unknown]:[Heavy_SW]],0))</f>
        <v>Light_LSB</v>
      </c>
      <c r="AH908">
        <f>INDEX([3]!crudeBD.lkup[Number],MATCH(vp.data[[#This Row],[Crude_Breakdown]],crudeBD.lkup[Crude Breakdown],0))</f>
        <v>1</v>
      </c>
      <c r="AI908">
        <f>MONTH(vp.data[[#This Row],[SDate]])</f>
        <v>2</v>
      </c>
      <c r="AJ908" s="5">
        <f>(vp.data[[#This Row],[VP]]-INDEX(crudeBD.lkup[Mean_VP],MATCH(vp.data[[#This Row],[Crude_Breakdown]],crudeBD.lkup[Crude Breakdown],0)))^2</f>
        <v>37.775597024126149</v>
      </c>
      <c r="AK908" s="5">
        <f>(vp.data[[#This Row],[Dens]]-INDEX(crudeBD.lkup[Mean_Dens],MATCH(vp.data[[#This Row],[Crude_Breakdown]],crudeBD.lkup[Crude Breakdown],0)))^2</f>
        <v>19.21270734167306</v>
      </c>
      <c r="AL908" s="5">
        <f>(vp.data[[#This Row],[Sulf]]-INDEX(crudeBD.lkup[Mean_Sulf],MATCH(vp.data[[#This Row],[Crude_Breakdown]],crudeBD.lkup[Crude Breakdown],0)))^2</f>
        <v>6.5563301096125091E-3</v>
      </c>
      <c r="AM908" s="4">
        <f>IF(AND(vp.data[[#This Row],[SDate]]&gt;=DATE(YEAR(vp.data[[#This Row],[SDate]]),5,1),vp.data[[#This Row],[SDate]]&lt;=DATE(YEAR(vp.data[[#This Row],[SDate]]),9,15)),1,0)</f>
        <v>0</v>
      </c>
      <c r="AN908" s="4">
        <f>IF(vp.data[[#This Row],[SDate]]&lt;DATE(2016,12,1),0,1)</f>
        <v>1</v>
      </c>
      <c r="AO908" s="4">
        <f>IFERROR(vp.data[[#This Row],[Sulf]]*vp.data[[#This Row],[Net Dens]],"")</f>
        <v>3508215.7589232</v>
      </c>
      <c r="AP908">
        <f>IFERROR(vp.data[[#This Row],[Dens]]*vp.data[[#This Row],[VolumeM3]],"")</f>
        <v>4166527.0296</v>
      </c>
      <c r="AQ908" s="15">
        <f>IFERROR(vp.data[[#This Row],[VP]]*vp.data[[#This Row],[VolumeM3]],"")</f>
        <v>432399.32960000006</v>
      </c>
    </row>
    <row r="909" spans="1:43" x14ac:dyDescent="0.25">
      <c r="A909">
        <v>908</v>
      </c>
      <c r="B909" t="s">
        <v>49</v>
      </c>
      <c r="C909" t="s">
        <v>49</v>
      </c>
      <c r="D909" t="s">
        <v>90</v>
      </c>
      <c r="F909" s="1">
        <v>42794</v>
      </c>
      <c r="G909" s="2">
        <v>78.099999999999994</v>
      </c>
      <c r="H909" s="2">
        <v>1.266</v>
      </c>
      <c r="I909" s="2">
        <f t="array" ref="I909">_xlfn.IFNA(IF(vp.data[[#This Row],[Sulf Input]]="",INDEX([1]DATA!$Q$3:$Q$9826,MATCH(1,(vp.data[[#This Row],[Battery]]=[1]DATA!$L$3:$L$9826)*(EOMONTH(vp.data[[#This Row],[SDate]],-1)+1=[1]DATA!$G$3:$G$9826),0)),vp.data[[#This Row],[Sulf Input]]),"")</f>
        <v>1.266</v>
      </c>
      <c r="J909" s="2">
        <v>29.3</v>
      </c>
      <c r="K909" s="2">
        <v>-14</v>
      </c>
      <c r="L909" s="2">
        <v>844.4</v>
      </c>
      <c r="M909" s="2">
        <f t="array" ref="M909">_xlfn.IFNA(IF(vp.data[[#This Row],[Dens Input]]="",INDEX([1]DATA!$O$3:$O$9826,MATCH(1,(vp.data[[#This Row],[Battery]]=[1]DATA!$L$3:$L$9826)*(EOMONTH(vp.data[[#This Row],[SDate]],-1)+1=[1]DATA!$G$3:$G$9826),0)),vp.data[[#This Row],[Dens Input]]),"")</f>
        <v>844.4</v>
      </c>
      <c r="N909" s="2">
        <f ca="1">INDEX(INDIRECT(_xlfn.CONCAT("weather.tbl[",N$1,"]")),MATCH(vp.data[[#This Row],[SDate]],weather.tbl[Date],0))</f>
        <v>-14.383333333333335</v>
      </c>
      <c r="O909" s="2">
        <f ca="1">INDEX(INDIRECT(_xlfn.CONCAT("weather.tbl[",O$1,"]")),MATCH(vp.data[[#This Row],[SDate]],weather.tbl[Date],0))</f>
        <v>-9.2404761904761905</v>
      </c>
      <c r="P909" s="2">
        <f ca="1">INDEX(INDIRECT(_xlfn.CONCAT("weather.tbl[",P$1,"]")),MATCH(vp.data[[#This Row],[SDate]],weather.tbl[Date],0))</f>
        <v>-14.4</v>
      </c>
      <c r="Q909" s="2">
        <f ca="1">INDEX(INDIRECT(_xlfn.CONCAT("weather.tbl[",Q$1,"]")),MATCH(vp.data[[#This Row],[SDate]],weather.tbl[Date],0))</f>
        <v>-12.6</v>
      </c>
      <c r="R909" s="2">
        <f ca="1">INDEX(INDIRECT(_xlfn.CONCAT("weather.tbl[",R$1,"]")),MATCH(vp.data[[#This Row],[SDate]],weather.tbl[Date],0))</f>
        <v>-17</v>
      </c>
      <c r="S909" s="2">
        <f ca="1">INDEX(INDIRECT(_xlfn.CONCAT("weather.tbl[",S$1,"]")),MATCH(vp.data[[#This Row],[SDate]],weather.tbl[Date],0))</f>
        <v>-11.7</v>
      </c>
      <c r="T909" s="2">
        <f ca="1">INDEX(INDIRECT(_xlfn.CONCAT("weather.tbl[",T$1,"]")),MATCH(vp.data[[#This Row],[SDate]],weather.tbl[Date],0))</f>
        <v>-16.600000000000001</v>
      </c>
      <c r="U909" s="2">
        <f ca="1">INDEX(INDIRECT(_xlfn.CONCAT("weather.tbl[",U$1,"]")),MATCH(vp.data[[#This Row],[SDate]],weather.tbl[Date],0))</f>
        <v>-14</v>
      </c>
      <c r="V909" s="2">
        <f t="array" ref="V9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4432.7370000000001</v>
      </c>
      <c r="W909" t="s">
        <v>48</v>
      </c>
      <c r="X909">
        <f>IF(OR(vp.data[[#This Row],[Sulf]]="",vp.data[[#This Row],[Dens]]=""),1,0)</f>
        <v>0</v>
      </c>
      <c r="Y909">
        <f>IF(vp.data[[#This Row],[CrudeType]]="C5+",1,0)</f>
        <v>0</v>
      </c>
      <c r="Z909">
        <f>IF(AND(vp.data[[#This Row],[CrudeType]]="Crude",vp.data[[#This Row],[Dens]]&lt;=825,vp.data[[#This Row],[Sulf]]&gt;0.5,vp.data[[#This Row],[Unknown]]=0),1,0)</f>
        <v>0</v>
      </c>
      <c r="AA909">
        <f>IF(AND(vp.data[[#This Row],[CrudeType]]="Crude",vp.data[[#This Row],[Dens]]&lt;=825,vp.data[[#This Row],[Sulf]]&lt;=0.5,vp.data[[#This Row],[Unknown]]=0),1,0)</f>
        <v>0</v>
      </c>
      <c r="AB9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09">
        <f>IF(AND(vp.data[[#This Row],[CrudeType]]="Crude",vp.data[[#This Row],[Dens]]&gt;825,vp.data[[#This Row],[Dens]]&lt;=900,vp.data[[#This Row],[Sulf]]&lt;=0.5,vp.data[[#This Row],[Unknown]]=0),1,0)</f>
        <v>0</v>
      </c>
      <c r="AD909">
        <f>IF(AND(vp.data[[#This Row],[CrudeType]]="Crude",vp.data[[#This Row],[Dens]]&gt;865,vp.data[[#This Row],[Dens]]&lt;=900,vp.data[[#This Row],[Sulf]]&gt;2,vp.data[[#This Row],[Unknown]]=0),1,0)</f>
        <v>0</v>
      </c>
      <c r="AE909">
        <f>IF(AND(vp.data[[#This Row],[CrudeType]]="Crude",vp.data[[#This Row],[Dens]]&gt;900,vp.data[[#This Row],[Sulf]]&lt;=0.5,vp.data[[#This Row],[Unknown]]=0),1,0)</f>
        <v>0</v>
      </c>
      <c r="AF909">
        <f>IF(AND(vp.data[[#This Row],[CrudeType]]="Crude",vp.data[[#This Row],[Dens]]&gt;900,vp.data[[#This Row],[Sulf]]&lt;=0.5,vp.data[[#This Row],[Unknown]]=0),1,0)</f>
        <v>0</v>
      </c>
      <c r="AG909" t="str">
        <f>INDEX(vp.data[[#Headers],[Unknown]:[Heavy_SW]],MATCH(1,vp.data[[#This Row],[Unknown]:[Heavy_SW]],0))</f>
        <v>Medium_LSB</v>
      </c>
      <c r="AH909">
        <f>INDEX([3]!crudeBD.lkup[Number],MATCH(vp.data[[#This Row],[Crude_Breakdown]],crudeBD.lkup[Crude Breakdown],0))</f>
        <v>3</v>
      </c>
      <c r="AI909">
        <f>MONTH(vp.data[[#This Row],[SDate]])</f>
        <v>2</v>
      </c>
      <c r="AJ909" s="5">
        <f>(vp.data[[#This Row],[VP]]-INDEX(crudeBD.lkup[Mean_VP],MATCH(vp.data[[#This Row],[Crude_Breakdown]],crudeBD.lkup[Crude Breakdown],0)))^2</f>
        <v>6.4499569779350185</v>
      </c>
      <c r="AK909" s="5">
        <f>(vp.data[[#This Row],[Dens]]-INDEX(crudeBD.lkup[Mean_Dens],MATCH(vp.data[[#This Row],[Crude_Breakdown]],crudeBD.lkup[Crude Breakdown],0)))^2</f>
        <v>0.23040000000045402</v>
      </c>
      <c r="AL909" s="5">
        <f>(vp.data[[#This Row],[Sulf]]-INDEX(crudeBD.lkup[Mean_Sulf],MATCH(vp.data[[#This Row],[Crude_Breakdown]],crudeBD.lkup[Crude Breakdown],0)))^2</f>
        <v>1.4258300718334468E-2</v>
      </c>
      <c r="AM909" s="4">
        <f>IF(AND(vp.data[[#This Row],[SDate]]&gt;=DATE(YEAR(vp.data[[#This Row],[SDate]]),5,1),vp.data[[#This Row],[SDate]]&lt;=DATE(YEAR(vp.data[[#This Row],[SDate]]),9,15)),1,0)</f>
        <v>0</v>
      </c>
      <c r="AN909" s="4">
        <f>IF(vp.data[[#This Row],[SDate]]&lt;DATE(2016,12,1),0,1)</f>
        <v>1</v>
      </c>
      <c r="AO909" s="4">
        <f>IFERROR(vp.data[[#This Row],[Sulf]]*vp.data[[#This Row],[Net Dens]],"")</f>
        <v>4738641.9534648005</v>
      </c>
      <c r="AP909">
        <f>IFERROR(vp.data[[#This Row],[Dens]]*vp.data[[#This Row],[VolumeM3]],"")</f>
        <v>3743003.1228</v>
      </c>
      <c r="AQ909" s="15">
        <f>IFERROR(vp.data[[#This Row],[VP]]*vp.data[[#This Row],[VolumeM3]],"")</f>
        <v>346196.7597</v>
      </c>
    </row>
    <row r="910" spans="1:43" x14ac:dyDescent="0.25">
      <c r="A910">
        <v>909</v>
      </c>
      <c r="B910" t="s">
        <v>62</v>
      </c>
      <c r="C910" t="s">
        <v>62</v>
      </c>
      <c r="D910" t="s">
        <v>79</v>
      </c>
      <c r="F910" s="1">
        <v>42794</v>
      </c>
      <c r="G910" s="2">
        <v>98.1</v>
      </c>
      <c r="H910" s="2"/>
      <c r="I910" s="2">
        <f t="array" ref="I910">_xlfn.IFNA(IF(vp.data[[#This Row],[Sulf Input]]="",INDEX([1]DATA!$Q$3:$Q$9826,MATCH(1,(vp.data[[#This Row],[Battery]]=[1]DATA!$L$3:$L$9826)*(EOMONTH(vp.data[[#This Row],[SDate]],-1)+1=[1]DATA!$G$3:$G$9826),0)),vp.data[[#This Row],[Sulf Input]]),"")</f>
        <v>0.33</v>
      </c>
      <c r="J910" s="2">
        <v>15.7</v>
      </c>
      <c r="K910" s="2">
        <v>-14</v>
      </c>
      <c r="L910" s="2">
        <v>802.4</v>
      </c>
      <c r="M910" s="2">
        <f t="array" ref="M910">_xlfn.IFNA(IF(vp.data[[#This Row],[Dens Input]]="",INDEX([1]DATA!$O$3:$O$9826,MATCH(1,(vp.data[[#This Row],[Battery]]=[1]DATA!$L$3:$L$9826)*(EOMONTH(vp.data[[#This Row],[SDate]],-1)+1=[1]DATA!$G$3:$G$9826),0)),vp.data[[#This Row],[Dens Input]]),"")</f>
        <v>802.4</v>
      </c>
      <c r="N910" s="2">
        <f ca="1">INDEX(INDIRECT(_xlfn.CONCAT("weather.tbl[",N$1,"]")),MATCH(vp.data[[#This Row],[SDate]],weather.tbl[Date],0))</f>
        <v>-14.383333333333335</v>
      </c>
      <c r="O910" s="2">
        <f ca="1">INDEX(INDIRECT(_xlfn.CONCAT("weather.tbl[",O$1,"]")),MATCH(vp.data[[#This Row],[SDate]],weather.tbl[Date],0))</f>
        <v>-9.2404761904761905</v>
      </c>
      <c r="P910" s="2">
        <f ca="1">INDEX(INDIRECT(_xlfn.CONCAT("weather.tbl[",P$1,"]")),MATCH(vp.data[[#This Row],[SDate]],weather.tbl[Date],0))</f>
        <v>-14.4</v>
      </c>
      <c r="Q910" s="2">
        <f ca="1">INDEX(INDIRECT(_xlfn.CONCAT("weather.tbl[",Q$1,"]")),MATCH(vp.data[[#This Row],[SDate]],weather.tbl[Date],0))</f>
        <v>-12.6</v>
      </c>
      <c r="R910" s="2">
        <f ca="1">INDEX(INDIRECT(_xlfn.CONCAT("weather.tbl[",R$1,"]")),MATCH(vp.data[[#This Row],[SDate]],weather.tbl[Date],0))</f>
        <v>-17</v>
      </c>
      <c r="S910" s="2">
        <f ca="1">INDEX(INDIRECT(_xlfn.CONCAT("weather.tbl[",S$1,"]")),MATCH(vp.data[[#This Row],[SDate]],weather.tbl[Date],0))</f>
        <v>-11.7</v>
      </c>
      <c r="T910" s="2">
        <f ca="1">INDEX(INDIRECT(_xlfn.CONCAT("weather.tbl[",T$1,"]")),MATCH(vp.data[[#This Row],[SDate]],weather.tbl[Date],0))</f>
        <v>-16.600000000000001</v>
      </c>
      <c r="U910" s="2">
        <f ca="1">INDEX(INDIRECT(_xlfn.CONCAT("weather.tbl[",U$1,"]")),MATCH(vp.data[[#This Row],[SDate]],weather.tbl[Date],0))</f>
        <v>-14</v>
      </c>
      <c r="V910" s="2">
        <f t="array" ref="V9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12819.813</v>
      </c>
      <c r="W910" t="s">
        <v>48</v>
      </c>
      <c r="X910">
        <f>IF(OR(vp.data[[#This Row],[Sulf]]="",vp.data[[#This Row],[Dens]]=""),1,0)</f>
        <v>0</v>
      </c>
      <c r="Y910">
        <f>IF(vp.data[[#This Row],[CrudeType]]="C5+",1,0)</f>
        <v>0</v>
      </c>
      <c r="Z910">
        <f>IF(AND(vp.data[[#This Row],[CrudeType]]="Crude",vp.data[[#This Row],[Dens]]&lt;=825,vp.data[[#This Row],[Sulf]]&gt;0.5,vp.data[[#This Row],[Unknown]]=0),1,0)</f>
        <v>0</v>
      </c>
      <c r="AA910">
        <f>IF(AND(vp.data[[#This Row],[CrudeType]]="Crude",vp.data[[#This Row],[Dens]]&lt;=825,vp.data[[#This Row],[Sulf]]&lt;=0.5,vp.data[[#This Row],[Unknown]]=0),1,0)</f>
        <v>1</v>
      </c>
      <c r="AB9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0">
        <f>IF(AND(vp.data[[#This Row],[CrudeType]]="Crude",vp.data[[#This Row],[Dens]]&gt;825,vp.data[[#This Row],[Dens]]&lt;=900,vp.data[[#This Row],[Sulf]]&lt;=0.5,vp.data[[#This Row],[Unknown]]=0),1,0)</f>
        <v>0</v>
      </c>
      <c r="AD910">
        <f>IF(AND(vp.data[[#This Row],[CrudeType]]="Crude",vp.data[[#This Row],[Dens]]&gt;865,vp.data[[#This Row],[Dens]]&lt;=900,vp.data[[#This Row],[Sulf]]&gt;2,vp.data[[#This Row],[Unknown]]=0),1,0)</f>
        <v>0</v>
      </c>
      <c r="AE910">
        <f>IF(AND(vp.data[[#This Row],[CrudeType]]="Crude",vp.data[[#This Row],[Dens]]&gt;900,vp.data[[#This Row],[Sulf]]&lt;=0.5,vp.data[[#This Row],[Unknown]]=0),1,0)</f>
        <v>0</v>
      </c>
      <c r="AF910">
        <f>IF(AND(vp.data[[#This Row],[CrudeType]]="Crude",vp.data[[#This Row],[Dens]]&gt;900,vp.data[[#This Row],[Sulf]]&lt;=0.5,vp.data[[#This Row],[Unknown]]=0),1,0)</f>
        <v>0</v>
      </c>
      <c r="AG910" t="str">
        <f>INDEX(vp.data[[#Headers],[Unknown]:[Heavy_SW]],MATCH(1,vp.data[[#This Row],[Unknown]:[Heavy_SW]],0))</f>
        <v>Light_SW</v>
      </c>
      <c r="AH910">
        <f>INDEX([3]!crudeBD.lkup[Number],MATCH(vp.data[[#This Row],[Crude_Breakdown]],crudeBD.lkup[Crude Breakdown],0))</f>
        <v>2</v>
      </c>
      <c r="AI910">
        <f>MONTH(vp.data[[#This Row],[SDate]])</f>
        <v>2</v>
      </c>
      <c r="AJ910" s="5">
        <f>(vp.data[[#This Row],[VP]]-INDEX(crudeBD.lkup[Mean_VP],MATCH(vp.data[[#This Row],[Crude_Breakdown]],crudeBD.lkup[Crude Breakdown],0)))^2</f>
        <v>30.799019262101297</v>
      </c>
      <c r="AK910" s="5">
        <f>(vp.data[[#This Row],[Dens]]-INDEX(crudeBD.lkup[Mean_Dens],MATCH(vp.data[[#This Row],[Crude_Breakdown]],crudeBD.lkup[Crude Breakdown],0)))^2</f>
        <v>34.945811652439744</v>
      </c>
      <c r="AL910" s="5">
        <f>(vp.data[[#This Row],[Sulf]]-INDEX(crudeBD.lkup[Mean_Sulf],MATCH(vp.data[[#This Row],[Crude_Breakdown]],crudeBD.lkup[Crude Breakdown],0)))^2</f>
        <v>8.7905978457915313E-3</v>
      </c>
      <c r="AM910" s="4">
        <f>IF(AND(vp.data[[#This Row],[SDate]]&gt;=DATE(YEAR(vp.data[[#This Row],[SDate]]),5,1),vp.data[[#This Row],[SDate]]&lt;=DATE(YEAR(vp.data[[#This Row],[SDate]]),9,15)),1,0)</f>
        <v>0</v>
      </c>
      <c r="AN910" s="4">
        <f>IF(vp.data[[#This Row],[SDate]]&lt;DATE(2016,12,1),0,1)</f>
        <v>1</v>
      </c>
      <c r="AO910" s="4">
        <f>IFERROR(vp.data[[#This Row],[Sulf]]*vp.data[[#This Row],[Net Dens]],"")</f>
        <v>3394583.9238959998</v>
      </c>
      <c r="AP910">
        <f>IFERROR(vp.data[[#This Row],[Dens]]*vp.data[[#This Row],[VolumeM3]],"")</f>
        <v>10286617.951199999</v>
      </c>
      <c r="AQ910" s="15">
        <f>IFERROR(vp.data[[#This Row],[VP]]*vp.data[[#This Row],[VolumeM3]],"")</f>
        <v>1257623.6553</v>
      </c>
    </row>
    <row r="911" spans="1:43" x14ac:dyDescent="0.25">
      <c r="A911">
        <v>910</v>
      </c>
      <c r="B911" t="s">
        <v>62</v>
      </c>
      <c r="C911" t="s">
        <v>62</v>
      </c>
      <c r="D911" t="s">
        <v>87</v>
      </c>
      <c r="F911" s="1">
        <v>42794</v>
      </c>
      <c r="G911" s="2">
        <v>88.3</v>
      </c>
      <c r="H911" s="2"/>
      <c r="I911" s="2">
        <f t="array" ref="I911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911" s="2">
        <v>23.1</v>
      </c>
      <c r="K911" s="2">
        <v>-14</v>
      </c>
      <c r="L911" s="2">
        <v>808.7</v>
      </c>
      <c r="M911" s="2">
        <f t="array" ref="M911">_xlfn.IFNA(IF(vp.data[[#This Row],[Dens Input]]="",INDEX([1]DATA!$O$3:$O$9826,MATCH(1,(vp.data[[#This Row],[Battery]]=[1]DATA!$L$3:$L$9826)*(EOMONTH(vp.data[[#This Row],[SDate]],-1)+1=[1]DATA!$G$3:$G$9826),0)),vp.data[[#This Row],[Dens Input]]),"")</f>
        <v>808.7</v>
      </c>
      <c r="N911" s="2">
        <f ca="1">INDEX(INDIRECT(_xlfn.CONCAT("weather.tbl[",N$1,"]")),MATCH(vp.data[[#This Row],[SDate]],weather.tbl[Date],0))</f>
        <v>-14.383333333333335</v>
      </c>
      <c r="O911" s="2">
        <f ca="1">INDEX(INDIRECT(_xlfn.CONCAT("weather.tbl[",O$1,"]")),MATCH(vp.data[[#This Row],[SDate]],weather.tbl[Date],0))</f>
        <v>-9.2404761904761905</v>
      </c>
      <c r="P911" s="2">
        <f ca="1">INDEX(INDIRECT(_xlfn.CONCAT("weather.tbl[",P$1,"]")),MATCH(vp.data[[#This Row],[SDate]],weather.tbl[Date],0))</f>
        <v>-14.4</v>
      </c>
      <c r="Q911" s="2">
        <f ca="1">INDEX(INDIRECT(_xlfn.CONCAT("weather.tbl[",Q$1,"]")),MATCH(vp.data[[#This Row],[SDate]],weather.tbl[Date],0))</f>
        <v>-12.6</v>
      </c>
      <c r="R911" s="2">
        <f ca="1">INDEX(INDIRECT(_xlfn.CONCAT("weather.tbl[",R$1,"]")),MATCH(vp.data[[#This Row],[SDate]],weather.tbl[Date],0))</f>
        <v>-17</v>
      </c>
      <c r="S911" s="2">
        <f ca="1">INDEX(INDIRECT(_xlfn.CONCAT("weather.tbl[",S$1,"]")),MATCH(vp.data[[#This Row],[SDate]],weather.tbl[Date],0))</f>
        <v>-11.7</v>
      </c>
      <c r="T911" s="2">
        <f ca="1">INDEX(INDIRECT(_xlfn.CONCAT("weather.tbl[",T$1,"]")),MATCH(vp.data[[#This Row],[SDate]],weather.tbl[Date],0))</f>
        <v>-16.600000000000001</v>
      </c>
      <c r="U911" s="2">
        <f ca="1">INDEX(INDIRECT(_xlfn.CONCAT("weather.tbl[",U$1,"]")),MATCH(vp.data[[#This Row],[SDate]],weather.tbl[Date],0))</f>
        <v>-14</v>
      </c>
      <c r="V911" s="2">
        <f t="array" ref="V9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7768.6840000000002</v>
      </c>
      <c r="W911" t="s">
        <v>48</v>
      </c>
      <c r="X911">
        <f>IF(OR(vp.data[[#This Row],[Sulf]]="",vp.data[[#This Row],[Dens]]=""),1,0)</f>
        <v>0</v>
      </c>
      <c r="Y911">
        <f>IF(vp.data[[#This Row],[CrudeType]]="C5+",1,0)</f>
        <v>0</v>
      </c>
      <c r="Z911">
        <f>IF(AND(vp.data[[#This Row],[CrudeType]]="Crude",vp.data[[#This Row],[Dens]]&lt;=825,vp.data[[#This Row],[Sulf]]&gt;0.5,vp.data[[#This Row],[Unknown]]=0),1,0)</f>
        <v>0</v>
      </c>
      <c r="AA911">
        <f>IF(AND(vp.data[[#This Row],[CrudeType]]="Crude",vp.data[[#This Row],[Dens]]&lt;=825,vp.data[[#This Row],[Sulf]]&lt;=0.5,vp.data[[#This Row],[Unknown]]=0),1,0)</f>
        <v>1</v>
      </c>
      <c r="AB9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1">
        <f>IF(AND(vp.data[[#This Row],[CrudeType]]="Crude",vp.data[[#This Row],[Dens]]&gt;825,vp.data[[#This Row],[Dens]]&lt;=900,vp.data[[#This Row],[Sulf]]&lt;=0.5,vp.data[[#This Row],[Unknown]]=0),1,0)</f>
        <v>0</v>
      </c>
      <c r="AD911">
        <f>IF(AND(vp.data[[#This Row],[CrudeType]]="Crude",vp.data[[#This Row],[Dens]]&gt;865,vp.data[[#This Row],[Dens]]&lt;=900,vp.data[[#This Row],[Sulf]]&gt;2,vp.data[[#This Row],[Unknown]]=0),1,0)</f>
        <v>0</v>
      </c>
      <c r="AE911">
        <f>IF(AND(vp.data[[#This Row],[CrudeType]]="Crude",vp.data[[#This Row],[Dens]]&gt;900,vp.data[[#This Row],[Sulf]]&lt;=0.5,vp.data[[#This Row],[Unknown]]=0),1,0)</f>
        <v>0</v>
      </c>
      <c r="AF911">
        <f>IF(AND(vp.data[[#This Row],[CrudeType]]="Crude",vp.data[[#This Row],[Dens]]&gt;900,vp.data[[#This Row],[Sulf]]&lt;=0.5,vp.data[[#This Row],[Unknown]]=0),1,0)</f>
        <v>0</v>
      </c>
      <c r="AG911" t="str">
        <f>INDEX(vp.data[[#Headers],[Unknown]:[Heavy_SW]],MATCH(1,vp.data[[#This Row],[Unknown]:[Heavy_SW]],0))</f>
        <v>Light_SW</v>
      </c>
      <c r="AH911">
        <f>INDEX([3]!crudeBD.lkup[Number],MATCH(vp.data[[#This Row],[Crude_Breakdown]],crudeBD.lkup[Crude Breakdown],0))</f>
        <v>2</v>
      </c>
      <c r="AI911">
        <f>MONTH(vp.data[[#This Row],[SDate]])</f>
        <v>2</v>
      </c>
      <c r="AJ911" s="5">
        <f>(vp.data[[#This Row],[VP]]-INDEX(crudeBD.lkup[Mean_VP],MATCH(vp.data[[#This Row],[Crude_Breakdown]],crudeBD.lkup[Crude Breakdown],0)))^2</f>
        <v>18.065165603564221</v>
      </c>
      <c r="AK911" s="5">
        <f>(vp.data[[#This Row],[Dens]]-INDEX(crudeBD.lkup[Mean_Dens],MATCH(vp.data[[#This Row],[Crude_Breakdown]],crudeBD.lkup[Crude Breakdown],0)))^2</f>
        <v>0.15093360366177669</v>
      </c>
      <c r="AL911" s="5">
        <f>(vp.data[[#This Row],[Sulf]]-INDEX(crudeBD.lkup[Mean_Sulf],MATCH(vp.data[[#This Row],[Crude_Breakdown]],crudeBD.lkup[Crude Breakdown],0)))^2</f>
        <v>4.3879776367322437E-3</v>
      </c>
      <c r="AM911" s="4">
        <f>IF(AND(vp.data[[#This Row],[SDate]]&gt;=DATE(YEAR(vp.data[[#This Row],[SDate]]),5,1),vp.data[[#This Row],[SDate]]&lt;=DATE(YEAR(vp.data[[#This Row],[SDate]]),9,15)),1,0)</f>
        <v>0</v>
      </c>
      <c r="AN911" s="4">
        <f>IF(vp.data[[#This Row],[SDate]]&lt;DATE(2016,12,1),0,1)</f>
        <v>1</v>
      </c>
      <c r="AO911" s="4">
        <f>IFERROR(vp.data[[#This Row],[Sulf]]*vp.data[[#This Row],[Net Dens]],"")</f>
        <v>1068030.9076360001</v>
      </c>
      <c r="AP911">
        <f>IFERROR(vp.data[[#This Row],[Dens]]*vp.data[[#This Row],[VolumeM3]],"")</f>
        <v>6282534.7508000005</v>
      </c>
      <c r="AQ911" s="15">
        <f>IFERROR(vp.data[[#This Row],[VP]]*vp.data[[#This Row],[VolumeM3]],"")</f>
        <v>685974.79720000003</v>
      </c>
    </row>
    <row r="912" spans="1:43" x14ac:dyDescent="0.25">
      <c r="A912">
        <v>911</v>
      </c>
      <c r="B912" t="s">
        <v>62</v>
      </c>
      <c r="C912" t="s">
        <v>62</v>
      </c>
      <c r="D912" t="s">
        <v>83</v>
      </c>
      <c r="F912" s="1">
        <v>42794</v>
      </c>
      <c r="G912" s="2">
        <v>88.7</v>
      </c>
      <c r="H912" s="2"/>
      <c r="I912" s="2">
        <f t="array" ref="I912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912" s="2">
        <v>2.2000000000000002</v>
      </c>
      <c r="K912" s="2">
        <v>-14</v>
      </c>
      <c r="L912" s="2">
        <v>827.8</v>
      </c>
      <c r="M912" s="2">
        <f t="array" ref="M912">_xlfn.IFNA(IF(vp.data[[#This Row],[Dens Input]]="",INDEX([1]DATA!$O$3:$O$9826,MATCH(1,(vp.data[[#This Row],[Battery]]=[1]DATA!$L$3:$L$9826)*(EOMONTH(vp.data[[#This Row],[SDate]],-1)+1=[1]DATA!$G$3:$G$9826),0)),vp.data[[#This Row],[Dens Input]]),"")</f>
        <v>827.8</v>
      </c>
      <c r="N912" s="2">
        <f ca="1">INDEX(INDIRECT(_xlfn.CONCAT("weather.tbl[",N$1,"]")),MATCH(vp.data[[#This Row],[SDate]],weather.tbl[Date],0))</f>
        <v>-14.383333333333335</v>
      </c>
      <c r="O912" s="2">
        <f ca="1">INDEX(INDIRECT(_xlfn.CONCAT("weather.tbl[",O$1,"]")),MATCH(vp.data[[#This Row],[SDate]],weather.tbl[Date],0))</f>
        <v>-9.2404761904761905</v>
      </c>
      <c r="P912" s="2">
        <f ca="1">INDEX(INDIRECT(_xlfn.CONCAT("weather.tbl[",P$1,"]")),MATCH(vp.data[[#This Row],[SDate]],weather.tbl[Date],0))</f>
        <v>-14.4</v>
      </c>
      <c r="Q912" s="2">
        <f ca="1">INDEX(INDIRECT(_xlfn.CONCAT("weather.tbl[",Q$1,"]")),MATCH(vp.data[[#This Row],[SDate]],weather.tbl[Date],0))</f>
        <v>-12.6</v>
      </c>
      <c r="R912" s="2">
        <f ca="1">INDEX(INDIRECT(_xlfn.CONCAT("weather.tbl[",R$1,"]")),MATCH(vp.data[[#This Row],[SDate]],weather.tbl[Date],0))</f>
        <v>-17</v>
      </c>
      <c r="S912" s="2">
        <f ca="1">INDEX(INDIRECT(_xlfn.CONCAT("weather.tbl[",S$1,"]")),MATCH(vp.data[[#This Row],[SDate]],weather.tbl[Date],0))</f>
        <v>-11.7</v>
      </c>
      <c r="T912" s="2">
        <f ca="1">INDEX(INDIRECT(_xlfn.CONCAT("weather.tbl[",T$1,"]")),MATCH(vp.data[[#This Row],[SDate]],weather.tbl[Date],0))</f>
        <v>-16.600000000000001</v>
      </c>
      <c r="U912" s="2">
        <f ca="1">INDEX(INDIRECT(_xlfn.CONCAT("weather.tbl[",U$1,"]")),MATCH(vp.data[[#This Row],[SDate]],weather.tbl[Date],0))</f>
        <v>-14</v>
      </c>
      <c r="V912" s="2">
        <f t="array" ref="V9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7967.6189999999997</v>
      </c>
      <c r="W912" t="s">
        <v>48</v>
      </c>
      <c r="X912">
        <f>IF(OR(vp.data[[#This Row],[Sulf]]="",vp.data[[#This Row],[Dens]]=""),1,0)</f>
        <v>0</v>
      </c>
      <c r="Y912">
        <f>IF(vp.data[[#This Row],[CrudeType]]="C5+",1,0)</f>
        <v>0</v>
      </c>
      <c r="Z912">
        <f>IF(AND(vp.data[[#This Row],[CrudeType]]="Crude",vp.data[[#This Row],[Dens]]&lt;=825,vp.data[[#This Row],[Sulf]]&gt;0.5,vp.data[[#This Row],[Unknown]]=0),1,0)</f>
        <v>0</v>
      </c>
      <c r="AA912">
        <f>IF(AND(vp.data[[#This Row],[CrudeType]]="Crude",vp.data[[#This Row],[Dens]]&lt;=825,vp.data[[#This Row],[Sulf]]&lt;=0.5,vp.data[[#This Row],[Unknown]]=0),1,0)</f>
        <v>0</v>
      </c>
      <c r="AB9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2">
        <f>IF(AND(vp.data[[#This Row],[CrudeType]]="Crude",vp.data[[#This Row],[Dens]]&gt;825,vp.data[[#This Row],[Dens]]&lt;=900,vp.data[[#This Row],[Sulf]]&lt;=0.5,vp.data[[#This Row],[Unknown]]=0),1,0)</f>
        <v>1</v>
      </c>
      <c r="AD912">
        <f>IF(AND(vp.data[[#This Row],[CrudeType]]="Crude",vp.data[[#This Row],[Dens]]&gt;865,vp.data[[#This Row],[Dens]]&lt;=900,vp.data[[#This Row],[Sulf]]&gt;2,vp.data[[#This Row],[Unknown]]=0),1,0)</f>
        <v>0</v>
      </c>
      <c r="AE912">
        <f>IF(AND(vp.data[[#This Row],[CrudeType]]="Crude",vp.data[[#This Row],[Dens]]&gt;900,vp.data[[#This Row],[Sulf]]&lt;=0.5,vp.data[[#This Row],[Unknown]]=0),1,0)</f>
        <v>0</v>
      </c>
      <c r="AF912">
        <f>IF(AND(vp.data[[#This Row],[CrudeType]]="Crude",vp.data[[#This Row],[Dens]]&gt;900,vp.data[[#This Row],[Sulf]]&lt;=0.5,vp.data[[#This Row],[Unknown]]=0),1,0)</f>
        <v>0</v>
      </c>
      <c r="AG912" t="str">
        <f>INDEX(vp.data[[#Headers],[Unknown]:[Heavy_SW]],MATCH(1,vp.data[[#This Row],[Unknown]:[Heavy_SW]],0))</f>
        <v>Medium_SW</v>
      </c>
      <c r="AH912">
        <f>INDEX([3]!crudeBD.lkup[Number],MATCH(vp.data[[#This Row],[Crude_Breakdown]],crudeBD.lkup[Crude Breakdown],0))</f>
        <v>4</v>
      </c>
      <c r="AI912">
        <f>MONTH(vp.data[[#This Row],[SDate]])</f>
        <v>2</v>
      </c>
      <c r="AJ912" s="5">
        <f>(vp.data[[#This Row],[VP]]-INDEX(crudeBD.lkup[Mean_VP],MATCH(vp.data[[#This Row],[Crude_Breakdown]],crudeBD.lkup[Crude Breakdown],0)))^2</f>
        <v>19.213611111111046</v>
      </c>
      <c r="AK912" s="5">
        <f>(vp.data[[#This Row],[Dens]]-INDEX(crudeBD.lkup[Mean_Dens],MATCH(vp.data[[#This Row],[Crude_Breakdown]],crudeBD.lkup[Crude Breakdown],0)))^2</f>
        <v>870.25000000000671</v>
      </c>
      <c r="AL912" s="5">
        <f>(vp.data[[#This Row],[Sulf]]-INDEX(crudeBD.lkup[Mean_Sulf],MATCH(vp.data[[#This Row],[Crude_Breakdown]],crudeBD.lkup[Crude Breakdown],0)))^2</f>
        <v>1.3193968225000025E-4</v>
      </c>
      <c r="AM912" s="4">
        <f>IF(AND(vp.data[[#This Row],[SDate]]&gt;=DATE(YEAR(vp.data[[#This Row],[SDate]]),5,1),vp.data[[#This Row],[SDate]]&lt;=DATE(YEAR(vp.data[[#This Row],[SDate]]),9,15)),1,0)</f>
        <v>0</v>
      </c>
      <c r="AN912" s="4">
        <f>IF(vp.data[[#This Row],[SDate]]&lt;DATE(2016,12,1),0,1)</f>
        <v>1</v>
      </c>
      <c r="AO912" s="4">
        <f>IFERROR(vp.data[[#This Row],[Sulf]]*vp.data[[#This Row],[Net Dens]],"")</f>
        <v>1253163.0515579998</v>
      </c>
      <c r="AP912">
        <f>IFERROR(vp.data[[#This Row],[Dens]]*vp.data[[#This Row],[VolumeM3]],"")</f>
        <v>6595595.0081999991</v>
      </c>
      <c r="AQ912" s="15">
        <f>IFERROR(vp.data[[#This Row],[VP]]*vp.data[[#This Row],[VolumeM3]],"")</f>
        <v>706727.80530000001</v>
      </c>
    </row>
    <row r="913" spans="1:43" x14ac:dyDescent="0.25">
      <c r="A913">
        <v>912</v>
      </c>
      <c r="B913" t="s">
        <v>51</v>
      </c>
      <c r="C913" t="s">
        <v>51</v>
      </c>
      <c r="D913" t="s">
        <v>95</v>
      </c>
      <c r="F913" s="1">
        <v>42794</v>
      </c>
      <c r="G913" s="2">
        <v>70.400000000000006</v>
      </c>
      <c r="H913" s="2"/>
      <c r="I913" s="2">
        <f t="array" ref="I913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913" s="2">
        <v>17</v>
      </c>
      <c r="K913" s="2">
        <v>-14</v>
      </c>
      <c r="L913" s="2">
        <v>842.5</v>
      </c>
      <c r="M913" s="2">
        <f t="array" ref="M913">_xlfn.IFNA(IF(vp.data[[#This Row],[Dens Input]]="",INDEX([1]DATA!$O$3:$O$9826,MATCH(1,(vp.data[[#This Row],[Battery]]=[1]DATA!$L$3:$L$9826)*(EOMONTH(vp.data[[#This Row],[SDate]],-1)+1=[1]DATA!$G$3:$G$9826),0)),vp.data[[#This Row],[Dens Input]]),"")</f>
        <v>842.5</v>
      </c>
      <c r="N913" s="2">
        <f ca="1">INDEX(INDIRECT(_xlfn.CONCAT("weather.tbl[",N$1,"]")),MATCH(vp.data[[#This Row],[SDate]],weather.tbl[Date],0))</f>
        <v>-14.383333333333335</v>
      </c>
      <c r="O913" s="2">
        <f ca="1">INDEX(INDIRECT(_xlfn.CONCAT("weather.tbl[",O$1,"]")),MATCH(vp.data[[#This Row],[SDate]],weather.tbl[Date],0))</f>
        <v>-9.2404761904761905</v>
      </c>
      <c r="P913" s="2">
        <f ca="1">INDEX(INDIRECT(_xlfn.CONCAT("weather.tbl[",P$1,"]")),MATCH(vp.data[[#This Row],[SDate]],weather.tbl[Date],0))</f>
        <v>-14.4</v>
      </c>
      <c r="Q913" s="2">
        <f ca="1">INDEX(INDIRECT(_xlfn.CONCAT("weather.tbl[",Q$1,"]")),MATCH(vp.data[[#This Row],[SDate]],weather.tbl[Date],0))</f>
        <v>-12.6</v>
      </c>
      <c r="R913" s="2">
        <f ca="1">INDEX(INDIRECT(_xlfn.CONCAT("weather.tbl[",R$1,"]")),MATCH(vp.data[[#This Row],[SDate]],weather.tbl[Date],0))</f>
        <v>-17</v>
      </c>
      <c r="S913" s="2">
        <f ca="1">INDEX(INDIRECT(_xlfn.CONCAT("weather.tbl[",S$1,"]")),MATCH(vp.data[[#This Row],[SDate]],weather.tbl[Date],0))</f>
        <v>-11.7</v>
      </c>
      <c r="T913" s="2">
        <f ca="1">INDEX(INDIRECT(_xlfn.CONCAT("weather.tbl[",T$1,"]")),MATCH(vp.data[[#This Row],[SDate]],weather.tbl[Date],0))</f>
        <v>-16.600000000000001</v>
      </c>
      <c r="U913" s="2">
        <f ca="1">INDEX(INDIRECT(_xlfn.CONCAT("weather.tbl[",U$1,"]")),MATCH(vp.data[[#This Row],[SDate]],weather.tbl[Date],0))</f>
        <v>-14</v>
      </c>
      <c r="V913" s="2">
        <f t="array" ref="V9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6151.1620000000003</v>
      </c>
      <c r="W913" t="s">
        <v>48</v>
      </c>
      <c r="X913">
        <f>IF(OR(vp.data[[#This Row],[Sulf]]="",vp.data[[#This Row],[Dens]]=""),1,0)</f>
        <v>0</v>
      </c>
      <c r="Y913">
        <f>IF(vp.data[[#This Row],[CrudeType]]="C5+",1,0)</f>
        <v>0</v>
      </c>
      <c r="Z913">
        <f>IF(AND(vp.data[[#This Row],[CrudeType]]="Crude",vp.data[[#This Row],[Dens]]&lt;=825,vp.data[[#This Row],[Sulf]]&gt;0.5,vp.data[[#This Row],[Unknown]]=0),1,0)</f>
        <v>0</v>
      </c>
      <c r="AA913">
        <f>IF(AND(vp.data[[#This Row],[CrudeType]]="Crude",vp.data[[#This Row],[Dens]]&lt;=825,vp.data[[#This Row],[Sulf]]&lt;=0.5,vp.data[[#This Row],[Unknown]]=0),1,0)</f>
        <v>0</v>
      </c>
      <c r="AB9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13">
        <f>IF(AND(vp.data[[#This Row],[CrudeType]]="Crude",vp.data[[#This Row],[Dens]]&gt;825,vp.data[[#This Row],[Dens]]&lt;=900,vp.data[[#This Row],[Sulf]]&lt;=0.5,vp.data[[#This Row],[Unknown]]=0),1,0)</f>
        <v>0</v>
      </c>
      <c r="AD913">
        <f>IF(AND(vp.data[[#This Row],[CrudeType]]="Crude",vp.data[[#This Row],[Dens]]&gt;865,vp.data[[#This Row],[Dens]]&lt;=900,vp.data[[#This Row],[Sulf]]&gt;2,vp.data[[#This Row],[Unknown]]=0),1,0)</f>
        <v>0</v>
      </c>
      <c r="AE913">
        <f>IF(AND(vp.data[[#This Row],[CrudeType]]="Crude",vp.data[[#This Row],[Dens]]&gt;900,vp.data[[#This Row],[Sulf]]&lt;=0.5,vp.data[[#This Row],[Unknown]]=0),1,0)</f>
        <v>0</v>
      </c>
      <c r="AF913">
        <f>IF(AND(vp.data[[#This Row],[CrudeType]]="Crude",vp.data[[#This Row],[Dens]]&gt;900,vp.data[[#This Row],[Sulf]]&lt;=0.5,vp.data[[#This Row],[Unknown]]=0),1,0)</f>
        <v>0</v>
      </c>
      <c r="AG913" t="str">
        <f>INDEX(vp.data[[#Headers],[Unknown]:[Heavy_SW]],MATCH(1,vp.data[[#This Row],[Unknown]:[Heavy_SW]],0))</f>
        <v>Medium_LSB</v>
      </c>
      <c r="AH913">
        <f>INDEX([3]!crudeBD.lkup[Number],MATCH(vp.data[[#This Row],[Crude_Breakdown]],crudeBD.lkup[Crude Breakdown],0))</f>
        <v>3</v>
      </c>
      <c r="AI913">
        <f>MONTH(vp.data[[#This Row],[SDate]])</f>
        <v>2</v>
      </c>
      <c r="AJ913" s="5">
        <f>(vp.data[[#This Row],[VP]]-INDEX(crudeBD.lkup[Mean_VP],MATCH(vp.data[[#This Row],[Crude_Breakdown]],crudeBD.lkup[Crude Breakdown],0)))^2</f>
        <v>104.8509758458583</v>
      </c>
      <c r="AK913" s="5">
        <f>(vp.data[[#This Row],[Dens]]-INDEX(crudeBD.lkup[Mean_Dens],MATCH(vp.data[[#This Row],[Crude_Breakdown]],crudeBD.lkup[Crude Breakdown],0)))^2</f>
        <v>2.0163999999985922</v>
      </c>
      <c r="AL913" s="5">
        <f>(vp.data[[#This Row],[Sulf]]-INDEX(crudeBD.lkup[Mean_Sulf],MATCH(vp.data[[#This Row],[Crude_Breakdown]],crudeBD.lkup[Crude Breakdown],0)))^2</f>
        <v>3.4376173440706655E-2</v>
      </c>
      <c r="AM913" s="4">
        <f>IF(AND(vp.data[[#This Row],[SDate]]&gt;=DATE(YEAR(vp.data[[#This Row],[SDate]]),5,1),vp.data[[#This Row],[SDate]]&lt;=DATE(YEAR(vp.data[[#This Row],[SDate]]),9,15)),1,0)</f>
        <v>0</v>
      </c>
      <c r="AN913" s="4">
        <f>IF(vp.data[[#This Row],[SDate]]&lt;DATE(2016,12,1),0,1)</f>
        <v>1</v>
      </c>
      <c r="AO913" s="4">
        <f>IFERROR(vp.data[[#This Row],[Sulf]]*vp.data[[#This Row],[Net Dens]],"")</f>
        <v>6218824.7820000006</v>
      </c>
      <c r="AP913">
        <f>IFERROR(vp.data[[#This Row],[Dens]]*vp.data[[#This Row],[VolumeM3]],"")</f>
        <v>5182353.9850000003</v>
      </c>
      <c r="AQ913" s="15">
        <f>IFERROR(vp.data[[#This Row],[VP]]*vp.data[[#This Row],[VolumeM3]],"")</f>
        <v>433041.80480000004</v>
      </c>
    </row>
    <row r="914" spans="1:43" x14ac:dyDescent="0.25">
      <c r="A914">
        <v>913</v>
      </c>
      <c r="B914" t="s">
        <v>60</v>
      </c>
      <c r="C914" t="s">
        <v>60</v>
      </c>
      <c r="D914" t="s">
        <v>61</v>
      </c>
      <c r="E914" t="s">
        <v>73</v>
      </c>
      <c r="F914" s="1">
        <v>42794</v>
      </c>
      <c r="G914" s="2">
        <v>97.6</v>
      </c>
      <c r="H914" s="2">
        <v>0.88300000000000001</v>
      </c>
      <c r="I914" s="2">
        <f t="array" ref="I914">_xlfn.IFNA(IF(vp.data[[#This Row],[Sulf Input]]="",INDEX([1]DATA!$Q$3:$Q$9826,MATCH(1,(vp.data[[#This Row],[Battery]]=[1]DATA!$L$3:$L$9826)*(EOMONTH(vp.data[[#This Row],[SDate]],-1)+1=[1]DATA!$G$3:$G$9826),0)),vp.data[[#This Row],[Sulf Input]]),"")</f>
        <v>0.88300000000000001</v>
      </c>
      <c r="J914" s="2">
        <v>2.8</v>
      </c>
      <c r="K914" s="2">
        <v>14</v>
      </c>
      <c r="L914" s="2">
        <v>827.5</v>
      </c>
      <c r="M914" s="2">
        <f t="array" ref="M914">_xlfn.IFNA(IF(vp.data[[#This Row],[Dens Input]]="",INDEX([1]DATA!$O$3:$O$9826,MATCH(1,(vp.data[[#This Row],[Battery]]=[1]DATA!$L$3:$L$9826)*(EOMONTH(vp.data[[#This Row],[SDate]],-1)+1=[1]DATA!$G$3:$G$9826),0)),vp.data[[#This Row],[Dens Input]]),"")</f>
        <v>827.5</v>
      </c>
      <c r="N914" s="2">
        <f ca="1">INDEX(INDIRECT(_xlfn.CONCAT("weather.tbl[",N$1,"]")),MATCH(vp.data[[#This Row],[SDate]],weather.tbl[Date],0))</f>
        <v>-14.383333333333335</v>
      </c>
      <c r="O914" s="2">
        <f ca="1">INDEX(INDIRECT(_xlfn.CONCAT("weather.tbl[",O$1,"]")),MATCH(vp.data[[#This Row],[SDate]],weather.tbl[Date],0))</f>
        <v>-9.2404761904761905</v>
      </c>
      <c r="P914" s="2">
        <f ca="1">INDEX(INDIRECT(_xlfn.CONCAT("weather.tbl[",P$1,"]")),MATCH(vp.data[[#This Row],[SDate]],weather.tbl[Date],0))</f>
        <v>-14.4</v>
      </c>
      <c r="Q914" s="2">
        <f ca="1">INDEX(INDIRECT(_xlfn.CONCAT("weather.tbl[",Q$1,"]")),MATCH(vp.data[[#This Row],[SDate]],weather.tbl[Date],0))</f>
        <v>-12.6</v>
      </c>
      <c r="R914" s="2">
        <f ca="1">INDEX(INDIRECT(_xlfn.CONCAT("weather.tbl[",R$1,"]")),MATCH(vp.data[[#This Row],[SDate]],weather.tbl[Date],0))</f>
        <v>-17</v>
      </c>
      <c r="S914" s="2">
        <f ca="1">INDEX(INDIRECT(_xlfn.CONCAT("weather.tbl[",S$1,"]")),MATCH(vp.data[[#This Row],[SDate]],weather.tbl[Date],0))</f>
        <v>-11.7</v>
      </c>
      <c r="T914" s="2">
        <f ca="1">INDEX(INDIRECT(_xlfn.CONCAT("weather.tbl[",T$1,"]")),MATCH(vp.data[[#This Row],[SDate]],weather.tbl[Date],0))</f>
        <v>-16.600000000000001</v>
      </c>
      <c r="U914" s="2">
        <f ca="1">INDEX(INDIRECT(_xlfn.CONCAT("weather.tbl[",U$1,"]")),MATCH(vp.data[[#This Row],[SDate]],weather.tbl[Date],0))</f>
        <v>-14</v>
      </c>
      <c r="V914" s="2">
        <f t="array" ref="V9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914" t="s">
        <v>48</v>
      </c>
      <c r="X914">
        <f>IF(OR(vp.data[[#This Row],[Sulf]]="",vp.data[[#This Row],[Dens]]=""),1,0)</f>
        <v>0</v>
      </c>
      <c r="Y914">
        <f>IF(vp.data[[#This Row],[CrudeType]]="C5+",1,0)</f>
        <v>0</v>
      </c>
      <c r="Z914">
        <f>IF(AND(vp.data[[#This Row],[CrudeType]]="Crude",vp.data[[#This Row],[Dens]]&lt;=825,vp.data[[#This Row],[Sulf]]&gt;0.5,vp.data[[#This Row],[Unknown]]=0),1,0)</f>
        <v>0</v>
      </c>
      <c r="AA914">
        <f>IF(AND(vp.data[[#This Row],[CrudeType]]="Crude",vp.data[[#This Row],[Dens]]&lt;=825,vp.data[[#This Row],[Sulf]]&lt;=0.5,vp.data[[#This Row],[Unknown]]=0),1,0)</f>
        <v>0</v>
      </c>
      <c r="AB9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14">
        <f>IF(AND(vp.data[[#This Row],[CrudeType]]="Crude",vp.data[[#This Row],[Dens]]&gt;825,vp.data[[#This Row],[Dens]]&lt;=900,vp.data[[#This Row],[Sulf]]&lt;=0.5,vp.data[[#This Row],[Unknown]]=0),1,0)</f>
        <v>0</v>
      </c>
      <c r="AD914">
        <f>IF(AND(vp.data[[#This Row],[CrudeType]]="Crude",vp.data[[#This Row],[Dens]]&gt;865,vp.data[[#This Row],[Dens]]&lt;=900,vp.data[[#This Row],[Sulf]]&gt;2,vp.data[[#This Row],[Unknown]]=0),1,0)</f>
        <v>0</v>
      </c>
      <c r="AE914">
        <f>IF(AND(vp.data[[#This Row],[CrudeType]]="Crude",vp.data[[#This Row],[Dens]]&gt;900,vp.data[[#This Row],[Sulf]]&lt;=0.5,vp.data[[#This Row],[Unknown]]=0),1,0)</f>
        <v>0</v>
      </c>
      <c r="AF914">
        <f>IF(AND(vp.data[[#This Row],[CrudeType]]="Crude",vp.data[[#This Row],[Dens]]&gt;900,vp.data[[#This Row],[Sulf]]&lt;=0.5,vp.data[[#This Row],[Unknown]]=0),1,0)</f>
        <v>0</v>
      </c>
      <c r="AG914" t="str">
        <f>INDEX(vp.data[[#Headers],[Unknown]:[Heavy_SW]],MATCH(1,vp.data[[#This Row],[Unknown]:[Heavy_SW]],0))</f>
        <v>Medium_LSB</v>
      </c>
      <c r="AH914">
        <f>INDEX([3]!crudeBD.lkup[Number],MATCH(vp.data[[#This Row],[Crude_Breakdown]],crudeBD.lkup[Crude Breakdown],0))</f>
        <v>3</v>
      </c>
      <c r="AI914">
        <f>MONTH(vp.data[[#This Row],[SDate]])</f>
        <v>2</v>
      </c>
      <c r="AJ914" s="5">
        <f>(vp.data[[#This Row],[VP]]-INDEX(crudeBD.lkup[Mean_VP],MATCH(vp.data[[#This Row],[Crude_Breakdown]],crudeBD.lkup[Crude Breakdown],0)))^2</f>
        <v>287.65257153319368</v>
      </c>
      <c r="AK914" s="5">
        <f>(vp.data[[#This Row],[Dens]]-INDEX(crudeBD.lkup[Mean_Dens],MATCH(vp.data[[#This Row],[Crude_Breakdown]],crudeBD.lkup[Crude Breakdown],0)))^2</f>
        <v>269.61639999998374</v>
      </c>
      <c r="AL914" s="5">
        <f>(vp.data[[#This Row],[Sulf]]-INDEX(crudeBD.lkup[Mean_Sulf],MATCH(vp.data[[#This Row],[Crude_Breakdown]],crudeBD.lkup[Crude Breakdown],0)))^2</f>
        <v>0.25241392575876692</v>
      </c>
      <c r="AM914" s="4">
        <f>IF(AND(vp.data[[#This Row],[SDate]]&gt;=DATE(YEAR(vp.data[[#This Row],[SDate]]),5,1),vp.data[[#This Row],[SDate]]&lt;=DATE(YEAR(vp.data[[#This Row],[SDate]]),9,15)),1,0)</f>
        <v>0</v>
      </c>
      <c r="AN914" s="4">
        <f>IF(vp.data[[#This Row],[SDate]]&lt;DATE(2016,12,1),0,1)</f>
        <v>1</v>
      </c>
      <c r="AO914" s="4">
        <f>IFERROR(vp.data[[#This Row],[Sulf]]*vp.data[[#This Row],[Net Dens]],"")</f>
        <v>70512286.811557502</v>
      </c>
      <c r="AP914">
        <f>IFERROR(vp.data[[#This Row],[Dens]]*vp.data[[#This Row],[VolumeM3]],"")</f>
        <v>79855364.452500001</v>
      </c>
      <c r="AQ914" s="15">
        <f>IFERROR(vp.data[[#This Row],[VP]]*vp.data[[#This Row],[VolumeM3]],"")</f>
        <v>9418590.4176000003</v>
      </c>
    </row>
    <row r="915" spans="1:43" x14ac:dyDescent="0.25">
      <c r="A915">
        <v>914</v>
      </c>
      <c r="B915" t="s">
        <v>60</v>
      </c>
      <c r="C915" t="s">
        <v>60</v>
      </c>
      <c r="D915" t="s">
        <v>61</v>
      </c>
      <c r="E915" t="s">
        <v>55</v>
      </c>
      <c r="F915" s="1">
        <v>42794</v>
      </c>
      <c r="G915" s="2">
        <v>100.9</v>
      </c>
      <c r="H915" s="2">
        <v>1.1879999999999999</v>
      </c>
      <c r="I915" s="2">
        <f t="array" ref="I915">_xlfn.IFNA(IF(vp.data[[#This Row],[Sulf Input]]="",INDEX([1]DATA!$Q$3:$Q$9826,MATCH(1,(vp.data[[#This Row],[Battery]]=[1]DATA!$L$3:$L$9826)*(EOMONTH(vp.data[[#This Row],[SDate]],-1)+1=[1]DATA!$G$3:$G$9826),0)),vp.data[[#This Row],[Sulf Input]]),"")</f>
        <v>1.1879999999999999</v>
      </c>
      <c r="J915" s="2">
        <v>4.4000000000000004</v>
      </c>
      <c r="K915" s="2">
        <v>-14</v>
      </c>
      <c r="L915" s="2">
        <v>839</v>
      </c>
      <c r="M915" s="2">
        <f t="array" ref="M915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915" s="2">
        <f ca="1">INDEX(INDIRECT(_xlfn.CONCAT("weather.tbl[",N$1,"]")),MATCH(vp.data[[#This Row],[SDate]],weather.tbl[Date],0))</f>
        <v>-14.383333333333335</v>
      </c>
      <c r="O915" s="2">
        <f ca="1">INDEX(INDIRECT(_xlfn.CONCAT("weather.tbl[",O$1,"]")),MATCH(vp.data[[#This Row],[SDate]],weather.tbl[Date],0))</f>
        <v>-9.2404761904761905</v>
      </c>
      <c r="P915" s="2">
        <f ca="1">INDEX(INDIRECT(_xlfn.CONCAT("weather.tbl[",P$1,"]")),MATCH(vp.data[[#This Row],[SDate]],weather.tbl[Date],0))</f>
        <v>-14.4</v>
      </c>
      <c r="Q915" s="2">
        <f ca="1">INDEX(INDIRECT(_xlfn.CONCAT("weather.tbl[",Q$1,"]")),MATCH(vp.data[[#This Row],[SDate]],weather.tbl[Date],0))</f>
        <v>-12.6</v>
      </c>
      <c r="R915" s="2">
        <f ca="1">INDEX(INDIRECT(_xlfn.CONCAT("weather.tbl[",R$1,"]")),MATCH(vp.data[[#This Row],[SDate]],weather.tbl[Date],0))</f>
        <v>-17</v>
      </c>
      <c r="S915" s="2">
        <f ca="1">INDEX(INDIRECT(_xlfn.CONCAT("weather.tbl[",S$1,"]")),MATCH(vp.data[[#This Row],[SDate]],weather.tbl[Date],0))</f>
        <v>-11.7</v>
      </c>
      <c r="T915" s="2">
        <f ca="1">INDEX(INDIRECT(_xlfn.CONCAT("weather.tbl[",T$1,"]")),MATCH(vp.data[[#This Row],[SDate]],weather.tbl[Date],0))</f>
        <v>-16.600000000000001</v>
      </c>
      <c r="U915" s="2">
        <f ca="1">INDEX(INDIRECT(_xlfn.CONCAT("weather.tbl[",U$1,"]")),MATCH(vp.data[[#This Row],[SDate]],weather.tbl[Date],0))</f>
        <v>-14</v>
      </c>
      <c r="V915" s="2">
        <f t="array" ref="V9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96501.951000000001</v>
      </c>
      <c r="W915" t="s">
        <v>48</v>
      </c>
      <c r="X915">
        <f>IF(OR(vp.data[[#This Row],[Sulf]]="",vp.data[[#This Row],[Dens]]=""),1,0)</f>
        <v>0</v>
      </c>
      <c r="Y915">
        <f>IF(vp.data[[#This Row],[CrudeType]]="C5+",1,0)</f>
        <v>0</v>
      </c>
      <c r="Z915">
        <f>IF(AND(vp.data[[#This Row],[CrudeType]]="Crude",vp.data[[#This Row],[Dens]]&lt;=825,vp.data[[#This Row],[Sulf]]&gt;0.5,vp.data[[#This Row],[Unknown]]=0),1,0)</f>
        <v>0</v>
      </c>
      <c r="AA915">
        <f>IF(AND(vp.data[[#This Row],[CrudeType]]="Crude",vp.data[[#This Row],[Dens]]&lt;=825,vp.data[[#This Row],[Sulf]]&lt;=0.5,vp.data[[#This Row],[Unknown]]=0),1,0)</f>
        <v>0</v>
      </c>
      <c r="AB9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15">
        <f>IF(AND(vp.data[[#This Row],[CrudeType]]="Crude",vp.data[[#This Row],[Dens]]&gt;825,vp.data[[#This Row],[Dens]]&lt;=900,vp.data[[#This Row],[Sulf]]&lt;=0.5,vp.data[[#This Row],[Unknown]]=0),1,0)</f>
        <v>0</v>
      </c>
      <c r="AD915">
        <f>IF(AND(vp.data[[#This Row],[CrudeType]]="Crude",vp.data[[#This Row],[Dens]]&gt;865,vp.data[[#This Row],[Dens]]&lt;=900,vp.data[[#This Row],[Sulf]]&gt;2,vp.data[[#This Row],[Unknown]]=0),1,0)</f>
        <v>0</v>
      </c>
      <c r="AE915">
        <f>IF(AND(vp.data[[#This Row],[CrudeType]]="Crude",vp.data[[#This Row],[Dens]]&gt;900,vp.data[[#This Row],[Sulf]]&lt;=0.5,vp.data[[#This Row],[Unknown]]=0),1,0)</f>
        <v>0</v>
      </c>
      <c r="AF915">
        <f>IF(AND(vp.data[[#This Row],[CrudeType]]="Crude",vp.data[[#This Row],[Dens]]&gt;900,vp.data[[#This Row],[Sulf]]&lt;=0.5,vp.data[[#This Row],[Unknown]]=0),1,0)</f>
        <v>0</v>
      </c>
      <c r="AG915" t="str">
        <f>INDEX(vp.data[[#Headers],[Unknown]:[Heavy_SW]],MATCH(1,vp.data[[#This Row],[Unknown]:[Heavy_SW]],0))</f>
        <v>Medium_LSB</v>
      </c>
      <c r="AH915">
        <f>INDEX([3]!crudeBD.lkup[Number],MATCH(vp.data[[#This Row],[Crude_Breakdown]],crudeBD.lkup[Crude Breakdown],0))</f>
        <v>3</v>
      </c>
      <c r="AI915">
        <f>MONTH(vp.data[[#This Row],[SDate]])</f>
        <v>2</v>
      </c>
      <c r="AJ915" s="5">
        <f>(vp.data[[#This Row],[VP]]-INDEX(crudeBD.lkup[Mean_VP],MATCH(vp.data[[#This Row],[Crude_Breakdown]],crudeBD.lkup[Crude Breakdown],0)))^2</f>
        <v>410.48070630408404</v>
      </c>
      <c r="AK915" s="5">
        <f>(vp.data[[#This Row],[Dens]]-INDEX(crudeBD.lkup[Mean_Dens],MATCH(vp.data[[#This Row],[Crude_Breakdown]],crudeBD.lkup[Crude Breakdown],0)))^2</f>
        <v>24.206399999995124</v>
      </c>
      <c r="AL915" s="5">
        <f>(vp.data[[#This Row],[Sulf]]-INDEX(crudeBD.lkup[Mean_Sulf],MATCH(vp.data[[#This Row],[Crude_Breakdown]],crudeBD.lkup[Crude Breakdown],0)))^2</f>
        <v>3.8969968481137963E-2</v>
      </c>
      <c r="AM915" s="4">
        <f>IF(AND(vp.data[[#This Row],[SDate]]&gt;=DATE(YEAR(vp.data[[#This Row],[SDate]]),5,1),vp.data[[#This Row],[SDate]]&lt;=DATE(YEAR(vp.data[[#This Row],[SDate]]),9,15)),1,0)</f>
        <v>0</v>
      </c>
      <c r="AN915" s="4">
        <f>IF(vp.data[[#This Row],[SDate]]&lt;DATE(2016,12,1),0,1)</f>
        <v>1</v>
      </c>
      <c r="AO915" s="4">
        <f>IFERROR(vp.data[[#This Row],[Sulf]]*vp.data[[#This Row],[Net Dens]],"")</f>
        <v>96186582.624131992</v>
      </c>
      <c r="AP915">
        <f>IFERROR(vp.data[[#This Row],[Dens]]*vp.data[[#This Row],[VolumeM3]],"")</f>
        <v>80965136.888999999</v>
      </c>
      <c r="AQ915" s="15">
        <f>IFERROR(vp.data[[#This Row],[VP]]*vp.data[[#This Row],[VolumeM3]],"")</f>
        <v>9737046.8559000008</v>
      </c>
    </row>
    <row r="916" spans="1:43" x14ac:dyDescent="0.25">
      <c r="A916">
        <v>915</v>
      </c>
      <c r="B916" t="s">
        <v>49</v>
      </c>
      <c r="C916" t="s">
        <v>49</v>
      </c>
      <c r="D916" t="s">
        <v>78</v>
      </c>
      <c r="F916" s="1">
        <v>42795</v>
      </c>
      <c r="G916" s="2">
        <v>82.3</v>
      </c>
      <c r="H916" s="2">
        <v>0.221</v>
      </c>
      <c r="I916" s="2">
        <f t="array" ref="I916">_xlfn.IFNA(IF(vp.data[[#This Row],[Sulf Input]]="",INDEX([1]DATA!$Q$3:$Q$9826,MATCH(1,(vp.data[[#This Row],[Battery]]=[1]DATA!$L$3:$L$9826)*(EOMONTH(vp.data[[#This Row],[SDate]],-1)+1=[1]DATA!$G$3:$G$9826),0)),vp.data[[#This Row],[Sulf Input]]),"")</f>
        <v>0.221</v>
      </c>
      <c r="J916" s="2">
        <v>16.7</v>
      </c>
      <c r="K916" s="2">
        <v>-15</v>
      </c>
      <c r="L916" s="2">
        <v>807.7</v>
      </c>
      <c r="M916" s="2">
        <f t="array" ref="M916">_xlfn.IFNA(IF(vp.data[[#This Row],[Dens Input]]="",INDEX([1]DATA!$O$3:$O$9826,MATCH(1,(vp.data[[#This Row],[Battery]]=[1]DATA!$L$3:$L$9826)*(EOMONTH(vp.data[[#This Row],[SDate]],-1)+1=[1]DATA!$G$3:$G$9826),0)),vp.data[[#This Row],[Dens Input]]),"")</f>
        <v>807.7</v>
      </c>
      <c r="N916" s="2">
        <f ca="1">INDEX(INDIRECT(_xlfn.CONCAT("weather.tbl[",N$1,"]")),MATCH(vp.data[[#This Row],[SDate]],weather.tbl[Date],0))</f>
        <v>-12.733333333333334</v>
      </c>
      <c r="O916" s="2">
        <f ca="1">INDEX(INDIRECT(_xlfn.CONCAT("weather.tbl[",O$1,"]")),MATCH(vp.data[[#This Row],[SDate]],weather.tbl[Date],0))</f>
        <v>-10.938095238095238</v>
      </c>
      <c r="P916" s="2">
        <f ca="1">INDEX(INDIRECT(_xlfn.CONCAT("weather.tbl[",P$1,"]")),MATCH(vp.data[[#This Row],[SDate]],weather.tbl[Date],0))</f>
        <v>-12.5</v>
      </c>
      <c r="Q916" s="2">
        <f ca="1">INDEX(INDIRECT(_xlfn.CONCAT("weather.tbl[",Q$1,"]")),MATCH(vp.data[[#This Row],[SDate]],weather.tbl[Date],0))</f>
        <v>-11.6</v>
      </c>
      <c r="R916" s="2">
        <f ca="1">INDEX(INDIRECT(_xlfn.CONCAT("weather.tbl[",R$1,"]")),MATCH(vp.data[[#This Row],[SDate]],weather.tbl[Date],0))</f>
        <v>-14</v>
      </c>
      <c r="S916" s="2">
        <f ca="1">INDEX(INDIRECT(_xlfn.CONCAT("weather.tbl[",S$1,"]")),MATCH(vp.data[[#This Row],[SDate]],weather.tbl[Date],0))</f>
        <v>-10.9</v>
      </c>
      <c r="T916" s="2">
        <f ca="1">INDEX(INDIRECT(_xlfn.CONCAT("weather.tbl[",T$1,"]")),MATCH(vp.data[[#This Row],[SDate]],weather.tbl[Date],0))</f>
        <v>-13.9</v>
      </c>
      <c r="U916" s="2">
        <f ca="1">INDEX(INDIRECT(_xlfn.CONCAT("weather.tbl[",U$1,"]")),MATCH(vp.data[[#This Row],[SDate]],weather.tbl[Date],0))</f>
        <v>-13.5</v>
      </c>
      <c r="V916" s="2">
        <f t="array" ref="V9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19019.342000000001</v>
      </c>
      <c r="W916" t="s">
        <v>48</v>
      </c>
      <c r="X916">
        <f>IF(OR(vp.data[[#This Row],[Sulf]]="",vp.data[[#This Row],[Dens]]=""),1,0)</f>
        <v>0</v>
      </c>
      <c r="Y916">
        <f>IF(vp.data[[#This Row],[CrudeType]]="C5+",1,0)</f>
        <v>0</v>
      </c>
      <c r="Z916">
        <f>IF(AND(vp.data[[#This Row],[CrudeType]]="Crude",vp.data[[#This Row],[Dens]]&lt;=825,vp.data[[#This Row],[Sulf]]&gt;0.5,vp.data[[#This Row],[Unknown]]=0),1,0)</f>
        <v>0</v>
      </c>
      <c r="AA916">
        <f>IF(AND(vp.data[[#This Row],[CrudeType]]="Crude",vp.data[[#This Row],[Dens]]&lt;=825,vp.data[[#This Row],[Sulf]]&lt;=0.5,vp.data[[#This Row],[Unknown]]=0),1,0)</f>
        <v>1</v>
      </c>
      <c r="AB9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6">
        <f>IF(AND(vp.data[[#This Row],[CrudeType]]="Crude",vp.data[[#This Row],[Dens]]&gt;825,vp.data[[#This Row],[Dens]]&lt;=900,vp.data[[#This Row],[Sulf]]&lt;=0.5,vp.data[[#This Row],[Unknown]]=0),1,0)</f>
        <v>0</v>
      </c>
      <c r="AD916">
        <f>IF(AND(vp.data[[#This Row],[CrudeType]]="Crude",vp.data[[#This Row],[Dens]]&gt;865,vp.data[[#This Row],[Dens]]&lt;=900,vp.data[[#This Row],[Sulf]]&gt;2,vp.data[[#This Row],[Unknown]]=0),1,0)</f>
        <v>0</v>
      </c>
      <c r="AE916">
        <f>IF(AND(vp.data[[#This Row],[CrudeType]]="Crude",vp.data[[#This Row],[Dens]]&gt;900,vp.data[[#This Row],[Sulf]]&lt;=0.5,vp.data[[#This Row],[Unknown]]=0),1,0)</f>
        <v>0</v>
      </c>
      <c r="AF916">
        <f>IF(AND(vp.data[[#This Row],[CrudeType]]="Crude",vp.data[[#This Row],[Dens]]&gt;900,vp.data[[#This Row],[Sulf]]&lt;=0.5,vp.data[[#This Row],[Unknown]]=0),1,0)</f>
        <v>0</v>
      </c>
      <c r="AG916" t="str">
        <f>INDEX(vp.data[[#Headers],[Unknown]:[Heavy_SW]],MATCH(1,vp.data[[#This Row],[Unknown]:[Heavy_SW]],0))</f>
        <v>Light_SW</v>
      </c>
      <c r="AH916">
        <f>INDEX([3]!crudeBD.lkup[Number],MATCH(vp.data[[#This Row],[Crude_Breakdown]],crudeBD.lkup[Crude Breakdown],0))</f>
        <v>2</v>
      </c>
      <c r="AI916">
        <f>MONTH(vp.data[[#This Row],[SDate]])</f>
        <v>3</v>
      </c>
      <c r="AJ916" s="5">
        <f>(vp.data[[#This Row],[VP]]-INDEX(crudeBD.lkup[Mean_VP],MATCH(vp.data[[#This Row],[Crude_Breakdown]],crudeBD.lkup[Crude Breakdown],0)))^2</f>
        <v>105.068928669766</v>
      </c>
      <c r="AK916" s="5">
        <f>(vp.data[[#This Row],[Dens]]-INDEX(crudeBD.lkup[Mean_Dens],MATCH(vp.data[[#This Row],[Crude_Breakdown]],crudeBD.lkup[Crude Breakdown],0)))^2</f>
        <v>0.37393011934069159</v>
      </c>
      <c r="AL916" s="5">
        <f>(vp.data[[#This Row],[Sulf]]-INDEX(crudeBD.lkup[Mean_Sulf],MATCH(vp.data[[#This Row],[Crude_Breakdown]],crudeBD.lkup[Crude Breakdown],0)))^2</f>
        <v>2.323128283698917E-4</v>
      </c>
      <c r="AM916" s="4">
        <f>IF(AND(vp.data[[#This Row],[SDate]]&gt;=DATE(YEAR(vp.data[[#This Row],[SDate]]),5,1),vp.data[[#This Row],[SDate]]&lt;=DATE(YEAR(vp.data[[#This Row],[SDate]]),9,15)),1,0)</f>
        <v>0</v>
      </c>
      <c r="AN916" s="4">
        <f>IF(vp.data[[#This Row],[SDate]]&lt;DATE(2016,12,1),0,1)</f>
        <v>1</v>
      </c>
      <c r="AO916" s="4">
        <f>IFERROR(vp.data[[#This Row],[Sulf]]*vp.data[[#This Row],[Net Dens]],"")</f>
        <v>3394984.8798814001</v>
      </c>
      <c r="AP916">
        <f>IFERROR(vp.data[[#This Row],[Dens]]*vp.data[[#This Row],[VolumeM3]],"")</f>
        <v>15361922.533400001</v>
      </c>
      <c r="AQ916" s="15">
        <f>IFERROR(vp.data[[#This Row],[VP]]*vp.data[[#This Row],[VolumeM3]],"")</f>
        <v>1565291.8466</v>
      </c>
    </row>
    <row r="917" spans="1:43" x14ac:dyDescent="0.25">
      <c r="A917">
        <v>916</v>
      </c>
      <c r="B917" t="s">
        <v>49</v>
      </c>
      <c r="C917" t="s">
        <v>49</v>
      </c>
      <c r="D917" t="s">
        <v>92</v>
      </c>
      <c r="F917" s="1">
        <v>42795</v>
      </c>
      <c r="G917" s="2">
        <v>89.3</v>
      </c>
      <c r="H917" s="2">
        <v>0.51</v>
      </c>
      <c r="I917" s="2">
        <f t="array" ref="I917">_xlfn.IFNA(IF(vp.data[[#This Row],[Sulf Input]]="",INDEX([1]DATA!$Q$3:$Q$9826,MATCH(1,(vp.data[[#This Row],[Battery]]=[1]DATA!$L$3:$L$9826)*(EOMONTH(vp.data[[#This Row],[SDate]],-1)+1=[1]DATA!$G$3:$G$9826),0)),vp.data[[#This Row],[Sulf Input]]),"")</f>
        <v>0.51</v>
      </c>
      <c r="J917" s="2">
        <v>21.3</v>
      </c>
      <c r="K917" s="2">
        <v>-15</v>
      </c>
      <c r="L917" s="2">
        <v>816.6</v>
      </c>
      <c r="M917" s="2">
        <f t="array" ref="M917">_xlfn.IFNA(IF(vp.data[[#This Row],[Dens Input]]="",INDEX([1]DATA!$O$3:$O$9826,MATCH(1,(vp.data[[#This Row],[Battery]]=[1]DATA!$L$3:$L$9826)*(EOMONTH(vp.data[[#This Row],[SDate]],-1)+1=[1]DATA!$G$3:$G$9826),0)),vp.data[[#This Row],[Dens Input]]),"")</f>
        <v>816.6</v>
      </c>
      <c r="N917" s="2">
        <f ca="1">INDEX(INDIRECT(_xlfn.CONCAT("weather.tbl[",N$1,"]")),MATCH(vp.data[[#This Row],[SDate]],weather.tbl[Date],0))</f>
        <v>-12.733333333333334</v>
      </c>
      <c r="O917" s="2">
        <f ca="1">INDEX(INDIRECT(_xlfn.CONCAT("weather.tbl[",O$1,"]")),MATCH(vp.data[[#This Row],[SDate]],weather.tbl[Date],0))</f>
        <v>-10.938095238095238</v>
      </c>
      <c r="P917" s="2">
        <f ca="1">INDEX(INDIRECT(_xlfn.CONCAT("weather.tbl[",P$1,"]")),MATCH(vp.data[[#This Row],[SDate]],weather.tbl[Date],0))</f>
        <v>-12.5</v>
      </c>
      <c r="Q917" s="2">
        <f ca="1">INDEX(INDIRECT(_xlfn.CONCAT("weather.tbl[",Q$1,"]")),MATCH(vp.data[[#This Row],[SDate]],weather.tbl[Date],0))</f>
        <v>-11.6</v>
      </c>
      <c r="R917" s="2">
        <f ca="1">INDEX(INDIRECT(_xlfn.CONCAT("weather.tbl[",R$1,"]")),MATCH(vp.data[[#This Row],[SDate]],weather.tbl[Date],0))</f>
        <v>-14</v>
      </c>
      <c r="S917" s="2">
        <f ca="1">INDEX(INDIRECT(_xlfn.CONCAT("weather.tbl[",S$1,"]")),MATCH(vp.data[[#This Row],[SDate]],weather.tbl[Date],0))</f>
        <v>-10.9</v>
      </c>
      <c r="T917" s="2">
        <f ca="1">INDEX(INDIRECT(_xlfn.CONCAT("weather.tbl[",T$1,"]")),MATCH(vp.data[[#This Row],[SDate]],weather.tbl[Date],0))</f>
        <v>-13.9</v>
      </c>
      <c r="U917" s="2">
        <f ca="1">INDEX(INDIRECT(_xlfn.CONCAT("weather.tbl[",U$1,"]")),MATCH(vp.data[[#This Row],[SDate]],weather.tbl[Date],0))</f>
        <v>-13.5</v>
      </c>
      <c r="V917" s="2">
        <f t="array" ref="V9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917" t="s">
        <v>48</v>
      </c>
      <c r="X917">
        <f>IF(OR(vp.data[[#This Row],[Sulf]]="",vp.data[[#This Row],[Dens]]=""),1,0)</f>
        <v>0</v>
      </c>
      <c r="Y917">
        <f>IF(vp.data[[#This Row],[CrudeType]]="C5+",1,0)</f>
        <v>0</v>
      </c>
      <c r="Z917">
        <f>IF(AND(vp.data[[#This Row],[CrudeType]]="Crude",vp.data[[#This Row],[Dens]]&lt;=825,vp.data[[#This Row],[Sulf]]&gt;0.5,vp.data[[#This Row],[Unknown]]=0),1,0)</f>
        <v>1</v>
      </c>
      <c r="AA917">
        <f>IF(AND(vp.data[[#This Row],[CrudeType]]="Crude",vp.data[[#This Row],[Dens]]&lt;=825,vp.data[[#This Row],[Sulf]]&lt;=0.5,vp.data[[#This Row],[Unknown]]=0),1,0)</f>
        <v>0</v>
      </c>
      <c r="AB9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7">
        <f>IF(AND(vp.data[[#This Row],[CrudeType]]="Crude",vp.data[[#This Row],[Dens]]&gt;825,vp.data[[#This Row],[Dens]]&lt;=900,vp.data[[#This Row],[Sulf]]&lt;=0.5,vp.data[[#This Row],[Unknown]]=0),1,0)</f>
        <v>0</v>
      </c>
      <c r="AD917">
        <f>IF(AND(vp.data[[#This Row],[CrudeType]]="Crude",vp.data[[#This Row],[Dens]]&gt;865,vp.data[[#This Row],[Dens]]&lt;=900,vp.data[[#This Row],[Sulf]]&gt;2,vp.data[[#This Row],[Unknown]]=0),1,0)</f>
        <v>0</v>
      </c>
      <c r="AE917">
        <f>IF(AND(vp.data[[#This Row],[CrudeType]]="Crude",vp.data[[#This Row],[Dens]]&gt;900,vp.data[[#This Row],[Sulf]]&lt;=0.5,vp.data[[#This Row],[Unknown]]=0),1,0)</f>
        <v>0</v>
      </c>
      <c r="AF917">
        <f>IF(AND(vp.data[[#This Row],[CrudeType]]="Crude",vp.data[[#This Row],[Dens]]&gt;900,vp.data[[#This Row],[Sulf]]&lt;=0.5,vp.data[[#This Row],[Unknown]]=0),1,0)</f>
        <v>0</v>
      </c>
      <c r="AG917" t="str">
        <f>INDEX(vp.data[[#Headers],[Unknown]:[Heavy_SW]],MATCH(1,vp.data[[#This Row],[Unknown]:[Heavy_SW]],0))</f>
        <v>Light_LSB</v>
      </c>
      <c r="AH917">
        <f>INDEX([3]!crudeBD.lkup[Number],MATCH(vp.data[[#This Row],[Crude_Breakdown]],crudeBD.lkup[Crude Breakdown],0))</f>
        <v>1</v>
      </c>
      <c r="AI917">
        <f>MONTH(vp.data[[#This Row],[SDate]])</f>
        <v>3</v>
      </c>
      <c r="AJ917" s="5">
        <f>(vp.data[[#This Row],[VP]]-INDEX(crudeBD.lkup[Mean_VP],MATCH(vp.data[[#This Row],[Crude_Breakdown]],crudeBD.lkup[Crude Breakdown],0)))^2</f>
        <v>5.0453496014455768</v>
      </c>
      <c r="AK917" s="5">
        <f>(vp.data[[#This Row],[Dens]]-INDEX(crudeBD.lkup[Mean_Dens],MATCH(vp.data[[#This Row],[Crude_Breakdown]],crudeBD.lkup[Crude Breakdown],0)))^2</f>
        <v>3.6740063107413783</v>
      </c>
      <c r="AL917" s="5">
        <f>(vp.data[[#This Row],[Sulf]]-INDEX(crudeBD.lkup[Mean_Sulf],MATCH(vp.data[[#This Row],[Crude_Breakdown]],crudeBD.lkup[Crude Breakdown],0)))^2</f>
        <v>0.17054518591717246</v>
      </c>
      <c r="AM917" s="4">
        <f>IF(AND(vp.data[[#This Row],[SDate]]&gt;=DATE(YEAR(vp.data[[#This Row],[SDate]]),5,1),vp.data[[#This Row],[SDate]]&lt;=DATE(YEAR(vp.data[[#This Row],[SDate]]),9,15)),1,0)</f>
        <v>0</v>
      </c>
      <c r="AN917" s="4">
        <f>IF(vp.data[[#This Row],[SDate]]&lt;DATE(2016,12,1),0,1)</f>
        <v>1</v>
      </c>
      <c r="AO917" s="4">
        <f>IFERROR(vp.data[[#This Row],[Sulf]]*vp.data[[#This Row],[Net Dens]],"")</f>
        <v>8981743.5580860004</v>
      </c>
      <c r="AP917">
        <f>IFERROR(vp.data[[#This Row],[Dens]]*vp.data[[#This Row],[VolumeM3]],"")</f>
        <v>17611261.878600001</v>
      </c>
      <c r="AQ917" s="15">
        <f>IFERROR(vp.data[[#This Row],[VP]]*vp.data[[#This Row],[VolumeM3]],"")</f>
        <v>1925894.7903</v>
      </c>
    </row>
    <row r="918" spans="1:43" x14ac:dyDescent="0.25">
      <c r="A918">
        <v>917</v>
      </c>
      <c r="B918" t="s">
        <v>49</v>
      </c>
      <c r="C918" t="s">
        <v>49</v>
      </c>
      <c r="D918" t="s">
        <v>50</v>
      </c>
      <c r="F918" s="1">
        <v>42795</v>
      </c>
      <c r="G918" s="2">
        <v>83.9</v>
      </c>
      <c r="H918" s="2">
        <v>2.8559999999999999</v>
      </c>
      <c r="I918" s="2">
        <f t="array" ref="I918">_xlfn.IFNA(IF(vp.data[[#This Row],[Sulf Input]]="",INDEX([1]DATA!$Q$3:$Q$9826,MATCH(1,(vp.data[[#This Row],[Battery]]=[1]DATA!$L$3:$L$9826)*(EOMONTH(vp.data[[#This Row],[SDate]],-1)+1=[1]DATA!$G$3:$G$9826),0)),vp.data[[#This Row],[Sulf Input]]),"")</f>
        <v>2.8559999999999999</v>
      </c>
      <c r="J918" s="2">
        <v>15.3</v>
      </c>
      <c r="K918" s="2">
        <v>-15</v>
      </c>
      <c r="L918" s="2">
        <v>871</v>
      </c>
      <c r="M918" s="2">
        <f t="array" ref="M918">_xlfn.IFNA(IF(vp.data[[#This Row],[Dens Input]]="",INDEX([1]DATA!$O$3:$O$9826,MATCH(1,(vp.data[[#This Row],[Battery]]=[1]DATA!$L$3:$L$9826)*(EOMONTH(vp.data[[#This Row],[SDate]],-1)+1=[1]DATA!$G$3:$G$9826),0)),vp.data[[#This Row],[Dens Input]]),"")</f>
        <v>871</v>
      </c>
      <c r="N918" s="2">
        <f ca="1">INDEX(INDIRECT(_xlfn.CONCAT("weather.tbl[",N$1,"]")),MATCH(vp.data[[#This Row],[SDate]],weather.tbl[Date],0))</f>
        <v>-12.733333333333334</v>
      </c>
      <c r="O918" s="2">
        <f ca="1">INDEX(INDIRECT(_xlfn.CONCAT("weather.tbl[",O$1,"]")),MATCH(vp.data[[#This Row],[SDate]],weather.tbl[Date],0))</f>
        <v>-10.938095238095238</v>
      </c>
      <c r="P918" s="2">
        <f ca="1">INDEX(INDIRECT(_xlfn.CONCAT("weather.tbl[",P$1,"]")),MATCH(vp.data[[#This Row],[SDate]],weather.tbl[Date],0))</f>
        <v>-12.5</v>
      </c>
      <c r="Q918" s="2">
        <f ca="1">INDEX(INDIRECT(_xlfn.CONCAT("weather.tbl[",Q$1,"]")),MATCH(vp.data[[#This Row],[SDate]],weather.tbl[Date],0))</f>
        <v>-11.6</v>
      </c>
      <c r="R918" s="2">
        <f ca="1">INDEX(INDIRECT(_xlfn.CONCAT("weather.tbl[",R$1,"]")),MATCH(vp.data[[#This Row],[SDate]],weather.tbl[Date],0))</f>
        <v>-14</v>
      </c>
      <c r="S918" s="2">
        <f ca="1">INDEX(INDIRECT(_xlfn.CONCAT("weather.tbl[",S$1,"]")),MATCH(vp.data[[#This Row],[SDate]],weather.tbl[Date],0))</f>
        <v>-10.9</v>
      </c>
      <c r="T918" s="2">
        <f ca="1">INDEX(INDIRECT(_xlfn.CONCAT("weather.tbl[",T$1,"]")),MATCH(vp.data[[#This Row],[SDate]],weather.tbl[Date],0))</f>
        <v>-13.9</v>
      </c>
      <c r="U918" s="2">
        <f ca="1">INDEX(INDIRECT(_xlfn.CONCAT("weather.tbl[",U$1,"]")),MATCH(vp.data[[#This Row],[SDate]],weather.tbl[Date],0))</f>
        <v>-13.5</v>
      </c>
      <c r="V918" s="2">
        <f t="array" ref="V9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6292.7340000000004</v>
      </c>
      <c r="W918" t="s">
        <v>48</v>
      </c>
      <c r="X918">
        <f>IF(OR(vp.data[[#This Row],[Sulf]]="",vp.data[[#This Row],[Dens]]=""),1,0)</f>
        <v>0</v>
      </c>
      <c r="Y918">
        <f>IF(vp.data[[#This Row],[CrudeType]]="C5+",1,0)</f>
        <v>0</v>
      </c>
      <c r="Z918">
        <f>IF(AND(vp.data[[#This Row],[CrudeType]]="Crude",vp.data[[#This Row],[Dens]]&lt;=825,vp.data[[#This Row],[Sulf]]&gt;0.5,vp.data[[#This Row],[Unknown]]=0),1,0)</f>
        <v>0</v>
      </c>
      <c r="AA918">
        <f>IF(AND(vp.data[[#This Row],[CrudeType]]="Crude",vp.data[[#This Row],[Dens]]&lt;=825,vp.data[[#This Row],[Sulf]]&lt;=0.5,vp.data[[#This Row],[Unknown]]=0),1,0)</f>
        <v>0</v>
      </c>
      <c r="AB9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18">
        <f>IF(AND(vp.data[[#This Row],[CrudeType]]="Crude",vp.data[[#This Row],[Dens]]&gt;825,vp.data[[#This Row],[Dens]]&lt;=900,vp.data[[#This Row],[Sulf]]&lt;=0.5,vp.data[[#This Row],[Unknown]]=0),1,0)</f>
        <v>0</v>
      </c>
      <c r="AD918">
        <f>IF(AND(vp.data[[#This Row],[CrudeType]]="Crude",vp.data[[#This Row],[Dens]]&gt;865,vp.data[[#This Row],[Dens]]&lt;=900,vp.data[[#This Row],[Sulf]]&gt;2,vp.data[[#This Row],[Unknown]]=0),1,0)</f>
        <v>1</v>
      </c>
      <c r="AE918">
        <f>IF(AND(vp.data[[#This Row],[CrudeType]]="Crude",vp.data[[#This Row],[Dens]]&gt;900,vp.data[[#This Row],[Sulf]]&lt;=0.5,vp.data[[#This Row],[Unknown]]=0),1,0)</f>
        <v>0</v>
      </c>
      <c r="AF918">
        <f>IF(AND(vp.data[[#This Row],[CrudeType]]="Crude",vp.data[[#This Row],[Dens]]&gt;900,vp.data[[#This Row],[Sulf]]&lt;=0.5,vp.data[[#This Row],[Unknown]]=0),1,0)</f>
        <v>0</v>
      </c>
      <c r="AG918" t="str">
        <f>INDEX(vp.data[[#Headers],[Unknown]:[Heavy_SW]],MATCH(1,vp.data[[#This Row],[Unknown]:[Heavy_SW]],0))</f>
        <v>Midale</v>
      </c>
      <c r="AH918">
        <f>INDEX([3]!crudeBD.lkup[Number],MATCH(vp.data[[#This Row],[Crude_Breakdown]],crudeBD.lkup[Crude Breakdown],0))</f>
        <v>5</v>
      </c>
      <c r="AI918">
        <f>MONTH(vp.data[[#This Row],[SDate]])</f>
        <v>3</v>
      </c>
      <c r="AJ918" s="5">
        <f>(vp.data[[#This Row],[VP]]-INDEX(crudeBD.lkup[Mean_VP],MATCH(vp.data[[#This Row],[Crude_Breakdown]],crudeBD.lkup[Crude Breakdown],0)))^2</f>
        <v>209.99595307684058</v>
      </c>
      <c r="AK918" s="5">
        <f>(vp.data[[#This Row],[Dens]]-INDEX(crudeBD.lkup[Mean_Dens],MATCH(vp.data[[#This Row],[Crude_Breakdown]],crudeBD.lkup[Crude Breakdown],0)))^2</f>
        <v>14.569567701139553</v>
      </c>
      <c r="AL918" s="5">
        <f>(vp.data[[#This Row],[Sulf]]-INDEX(crudeBD.lkup[Mean_Sulf],MATCH(vp.data[[#This Row],[Crude_Breakdown]],crudeBD.lkup[Crude Breakdown],0)))^2</f>
        <v>0.17006092057222974</v>
      </c>
      <c r="AM918" s="4">
        <f>IF(AND(vp.data[[#This Row],[SDate]]&gt;=DATE(YEAR(vp.data[[#This Row],[SDate]]),5,1),vp.data[[#This Row],[SDate]]&lt;=DATE(YEAR(vp.data[[#This Row],[SDate]]),9,15)),1,0)</f>
        <v>0</v>
      </c>
      <c r="AN918" s="4">
        <f>IF(vp.data[[#This Row],[SDate]]&lt;DATE(2016,12,1),0,1)</f>
        <v>1</v>
      </c>
      <c r="AO918" s="4">
        <f>IFERROR(vp.data[[#This Row],[Sulf]]*vp.data[[#This Row],[Net Dens]],"")</f>
        <v>15653654.072783999</v>
      </c>
      <c r="AP918">
        <f>IFERROR(vp.data[[#This Row],[Dens]]*vp.data[[#This Row],[VolumeM3]],"")</f>
        <v>5480971.3140000002</v>
      </c>
      <c r="AQ918" s="15">
        <f>IFERROR(vp.data[[#This Row],[VP]]*vp.data[[#This Row],[VolumeM3]],"")</f>
        <v>527960.38260000001</v>
      </c>
    </row>
    <row r="919" spans="1:43" x14ac:dyDescent="0.25">
      <c r="A919">
        <v>918</v>
      </c>
      <c r="B919" t="s">
        <v>51</v>
      </c>
      <c r="C919" t="s">
        <v>51</v>
      </c>
      <c r="D919" t="s">
        <v>58</v>
      </c>
      <c r="F919" s="1">
        <v>42795</v>
      </c>
      <c r="G919" s="2">
        <v>95.1</v>
      </c>
      <c r="H919" s="2"/>
      <c r="I919" s="2">
        <f t="array" ref="I919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919" s="2">
        <v>26.5</v>
      </c>
      <c r="K919" s="2">
        <v>-15</v>
      </c>
      <c r="L919" s="2">
        <v>835.9</v>
      </c>
      <c r="M919" s="2">
        <f t="array" ref="M919">_xlfn.IFNA(IF(vp.data[[#This Row],[Dens Input]]="",INDEX([1]DATA!$O$3:$O$9826,MATCH(1,(vp.data[[#This Row],[Battery]]=[1]DATA!$L$3:$L$9826)*(EOMONTH(vp.data[[#This Row],[SDate]],-1)+1=[1]DATA!$G$3:$G$9826),0)),vp.data[[#This Row],[Dens Input]]),"")</f>
        <v>835.9</v>
      </c>
      <c r="N919" s="2">
        <f ca="1">INDEX(INDIRECT(_xlfn.CONCAT("weather.tbl[",N$1,"]")),MATCH(vp.data[[#This Row],[SDate]],weather.tbl[Date],0))</f>
        <v>-12.733333333333334</v>
      </c>
      <c r="O919" s="2">
        <f ca="1">INDEX(INDIRECT(_xlfn.CONCAT("weather.tbl[",O$1,"]")),MATCH(vp.data[[#This Row],[SDate]],weather.tbl[Date],0))</f>
        <v>-10.938095238095238</v>
      </c>
      <c r="P919" s="2">
        <f ca="1">INDEX(INDIRECT(_xlfn.CONCAT("weather.tbl[",P$1,"]")),MATCH(vp.data[[#This Row],[SDate]],weather.tbl[Date],0))</f>
        <v>-12.5</v>
      </c>
      <c r="Q919" s="2">
        <f ca="1">INDEX(INDIRECT(_xlfn.CONCAT("weather.tbl[",Q$1,"]")),MATCH(vp.data[[#This Row],[SDate]],weather.tbl[Date],0))</f>
        <v>-11.6</v>
      </c>
      <c r="R919" s="2">
        <f ca="1">INDEX(INDIRECT(_xlfn.CONCAT("weather.tbl[",R$1,"]")),MATCH(vp.data[[#This Row],[SDate]],weather.tbl[Date],0))</f>
        <v>-14</v>
      </c>
      <c r="S919" s="2">
        <f ca="1">INDEX(INDIRECT(_xlfn.CONCAT("weather.tbl[",S$1,"]")),MATCH(vp.data[[#This Row],[SDate]],weather.tbl[Date],0))</f>
        <v>-10.9</v>
      </c>
      <c r="T919" s="2">
        <f ca="1">INDEX(INDIRECT(_xlfn.CONCAT("weather.tbl[",T$1,"]")),MATCH(vp.data[[#This Row],[SDate]],weather.tbl[Date],0))</f>
        <v>-13.9</v>
      </c>
      <c r="U919" s="2">
        <f ca="1">INDEX(INDIRECT(_xlfn.CONCAT("weather.tbl[",U$1,"]")),MATCH(vp.data[[#This Row],[SDate]],weather.tbl[Date],0))</f>
        <v>-13.5</v>
      </c>
      <c r="V919" s="2">
        <f t="array" ref="V9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919" t="s">
        <v>48</v>
      </c>
      <c r="X919">
        <f>IF(OR(vp.data[[#This Row],[Sulf]]="",vp.data[[#This Row],[Dens]]=""),1,0)</f>
        <v>0</v>
      </c>
      <c r="Y919">
        <f>IF(vp.data[[#This Row],[CrudeType]]="C5+",1,0)</f>
        <v>0</v>
      </c>
      <c r="Z919">
        <f>IF(AND(vp.data[[#This Row],[CrudeType]]="Crude",vp.data[[#This Row],[Dens]]&lt;=825,vp.data[[#This Row],[Sulf]]&gt;0.5,vp.data[[#This Row],[Unknown]]=0),1,0)</f>
        <v>0</v>
      </c>
      <c r="AA919">
        <f>IF(AND(vp.data[[#This Row],[CrudeType]]="Crude",vp.data[[#This Row],[Dens]]&lt;=825,vp.data[[#This Row],[Sulf]]&lt;=0.5,vp.data[[#This Row],[Unknown]]=0),1,0)</f>
        <v>0</v>
      </c>
      <c r="AB9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19">
        <f>IF(AND(vp.data[[#This Row],[CrudeType]]="Crude",vp.data[[#This Row],[Dens]]&gt;825,vp.data[[#This Row],[Dens]]&lt;=900,vp.data[[#This Row],[Sulf]]&lt;=0.5,vp.data[[#This Row],[Unknown]]=0),1,0)</f>
        <v>0</v>
      </c>
      <c r="AD919">
        <f>IF(AND(vp.data[[#This Row],[CrudeType]]="Crude",vp.data[[#This Row],[Dens]]&gt;865,vp.data[[#This Row],[Dens]]&lt;=900,vp.data[[#This Row],[Sulf]]&gt;2,vp.data[[#This Row],[Unknown]]=0),1,0)</f>
        <v>0</v>
      </c>
      <c r="AE919">
        <f>IF(AND(vp.data[[#This Row],[CrudeType]]="Crude",vp.data[[#This Row],[Dens]]&gt;900,vp.data[[#This Row],[Sulf]]&lt;=0.5,vp.data[[#This Row],[Unknown]]=0),1,0)</f>
        <v>0</v>
      </c>
      <c r="AF919">
        <f>IF(AND(vp.data[[#This Row],[CrudeType]]="Crude",vp.data[[#This Row],[Dens]]&gt;900,vp.data[[#This Row],[Sulf]]&lt;=0.5,vp.data[[#This Row],[Unknown]]=0),1,0)</f>
        <v>0</v>
      </c>
      <c r="AG919" t="str">
        <f>INDEX(vp.data[[#Headers],[Unknown]:[Heavy_SW]],MATCH(1,vp.data[[#This Row],[Unknown]:[Heavy_SW]],0))</f>
        <v>Medium_LSB</v>
      </c>
      <c r="AH919">
        <f>INDEX([3]!crudeBD.lkup[Number],MATCH(vp.data[[#This Row],[Crude_Breakdown]],crudeBD.lkup[Crude Breakdown],0))</f>
        <v>3</v>
      </c>
      <c r="AI919">
        <f>MONTH(vp.data[[#This Row],[SDate]])</f>
        <v>3</v>
      </c>
      <c r="AJ919" s="5">
        <f>(vp.data[[#This Row],[VP]]-INDEX(crudeBD.lkup[Mean_VP],MATCH(vp.data[[#This Row],[Crude_Breakdown]],crudeBD.lkup[Crude Breakdown],0)))^2</f>
        <v>209.10095428251947</v>
      </c>
      <c r="AK919" s="5">
        <f>(vp.data[[#This Row],[Dens]]-INDEX(crudeBD.lkup[Mean_Dens],MATCH(vp.data[[#This Row],[Crude_Breakdown]],crudeBD.lkup[Crude Breakdown],0)))^2</f>
        <v>64.320399999992418</v>
      </c>
      <c r="AL919" s="5">
        <f>(vp.data[[#This Row],[Sulf]]-INDEX(crudeBD.lkup[Mean_Sulf],MATCH(vp.data[[#This Row],[Crude_Breakdown]],crudeBD.lkup[Crude Breakdown],0)))^2</f>
        <v>5.6863855700863518E-3</v>
      </c>
      <c r="AM919" s="4">
        <f>IF(AND(vp.data[[#This Row],[SDate]]&gt;=DATE(YEAR(vp.data[[#This Row],[SDate]]),5,1),vp.data[[#This Row],[SDate]]&lt;=DATE(YEAR(vp.data[[#This Row],[SDate]]),9,15)),1,0)</f>
        <v>0</v>
      </c>
      <c r="AN919" s="4">
        <f>IF(vp.data[[#This Row],[SDate]]&lt;DATE(2016,12,1),0,1)</f>
        <v>1</v>
      </c>
      <c r="AO919" s="4">
        <f>IFERROR(vp.data[[#This Row],[Sulf]]*vp.data[[#This Row],[Net Dens]],"")</f>
        <v>6648217.8118589995</v>
      </c>
      <c r="AP919">
        <f>IFERROR(vp.data[[#This Row],[Dens]]*vp.data[[#This Row],[VolumeM3]],"")</f>
        <v>5074975.4288999997</v>
      </c>
      <c r="AQ919" s="15">
        <f>IFERROR(vp.data[[#This Row],[VP]]*vp.data[[#This Row],[VolumeM3]],"")</f>
        <v>577377.87209999992</v>
      </c>
    </row>
    <row r="920" spans="1:43" x14ac:dyDescent="0.25">
      <c r="A920">
        <v>919</v>
      </c>
      <c r="B920" t="s">
        <v>56</v>
      </c>
      <c r="C920" t="s">
        <v>56</v>
      </c>
      <c r="D920" t="s">
        <v>57</v>
      </c>
      <c r="F920" s="1">
        <v>42795</v>
      </c>
      <c r="G920" s="2">
        <v>83.2</v>
      </c>
      <c r="H920" s="2"/>
      <c r="I920" s="2">
        <f t="array" ref="I920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920" s="2">
        <v>12.1</v>
      </c>
      <c r="K920" s="2">
        <v>-15</v>
      </c>
      <c r="L920" s="2">
        <v>845.9</v>
      </c>
      <c r="M920" s="2">
        <f t="array" ref="M920">_xlfn.IFNA(IF(vp.data[[#This Row],[Dens Input]]="",INDEX([1]DATA!$O$3:$O$9826,MATCH(1,(vp.data[[#This Row],[Battery]]=[1]DATA!$L$3:$L$9826)*(EOMONTH(vp.data[[#This Row],[SDate]],-1)+1=[1]DATA!$G$3:$G$9826),0)),vp.data[[#This Row],[Dens Input]]),"")</f>
        <v>845.9</v>
      </c>
      <c r="N920" s="2">
        <f ca="1">INDEX(INDIRECT(_xlfn.CONCAT("weather.tbl[",N$1,"]")),MATCH(vp.data[[#This Row],[SDate]],weather.tbl[Date],0))</f>
        <v>-12.733333333333334</v>
      </c>
      <c r="O920" s="2">
        <f ca="1">INDEX(INDIRECT(_xlfn.CONCAT("weather.tbl[",O$1,"]")),MATCH(vp.data[[#This Row],[SDate]],weather.tbl[Date],0))</f>
        <v>-10.938095238095238</v>
      </c>
      <c r="P920" s="2">
        <f ca="1">INDEX(INDIRECT(_xlfn.CONCAT("weather.tbl[",P$1,"]")),MATCH(vp.data[[#This Row],[SDate]],weather.tbl[Date],0))</f>
        <v>-12.5</v>
      </c>
      <c r="Q920" s="2">
        <f ca="1">INDEX(INDIRECT(_xlfn.CONCAT("weather.tbl[",Q$1,"]")),MATCH(vp.data[[#This Row],[SDate]],weather.tbl[Date],0))</f>
        <v>-11.6</v>
      </c>
      <c r="R920" s="2">
        <f ca="1">INDEX(INDIRECT(_xlfn.CONCAT("weather.tbl[",R$1,"]")),MATCH(vp.data[[#This Row],[SDate]],weather.tbl[Date],0))</f>
        <v>-14</v>
      </c>
      <c r="S920" s="2">
        <f ca="1">INDEX(INDIRECT(_xlfn.CONCAT("weather.tbl[",S$1,"]")),MATCH(vp.data[[#This Row],[SDate]],weather.tbl[Date],0))</f>
        <v>-10.9</v>
      </c>
      <c r="T920" s="2">
        <f ca="1">INDEX(INDIRECT(_xlfn.CONCAT("weather.tbl[",T$1,"]")),MATCH(vp.data[[#This Row],[SDate]],weather.tbl[Date],0))</f>
        <v>-13.9</v>
      </c>
      <c r="U920" s="2">
        <f ca="1">INDEX(INDIRECT(_xlfn.CONCAT("weather.tbl[",U$1,"]")),MATCH(vp.data[[#This Row],[SDate]],weather.tbl[Date],0))</f>
        <v>-13.5</v>
      </c>
      <c r="V920" s="2">
        <f t="array" ref="V9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2822.4540000000002</v>
      </c>
      <c r="W920" t="s">
        <v>48</v>
      </c>
      <c r="X920">
        <f>IF(OR(vp.data[[#This Row],[Sulf]]="",vp.data[[#This Row],[Dens]]=""),1,0)</f>
        <v>0</v>
      </c>
      <c r="Y920">
        <f>IF(vp.data[[#This Row],[CrudeType]]="C5+",1,0)</f>
        <v>0</v>
      </c>
      <c r="Z920">
        <f>IF(AND(vp.data[[#This Row],[CrudeType]]="Crude",vp.data[[#This Row],[Dens]]&lt;=825,vp.data[[#This Row],[Sulf]]&gt;0.5,vp.data[[#This Row],[Unknown]]=0),1,0)</f>
        <v>0</v>
      </c>
      <c r="AA920">
        <f>IF(AND(vp.data[[#This Row],[CrudeType]]="Crude",vp.data[[#This Row],[Dens]]&lt;=825,vp.data[[#This Row],[Sulf]]&lt;=0.5,vp.data[[#This Row],[Unknown]]=0),1,0)</f>
        <v>0</v>
      </c>
      <c r="AB9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0">
        <f>IF(AND(vp.data[[#This Row],[CrudeType]]="Crude",vp.data[[#This Row],[Dens]]&gt;825,vp.data[[#This Row],[Dens]]&lt;=900,vp.data[[#This Row],[Sulf]]&lt;=0.5,vp.data[[#This Row],[Unknown]]=0),1,0)</f>
        <v>0</v>
      </c>
      <c r="AD920">
        <f>IF(AND(vp.data[[#This Row],[CrudeType]]="Crude",vp.data[[#This Row],[Dens]]&gt;865,vp.data[[#This Row],[Dens]]&lt;=900,vp.data[[#This Row],[Sulf]]&gt;2,vp.data[[#This Row],[Unknown]]=0),1,0)</f>
        <v>0</v>
      </c>
      <c r="AE920">
        <f>IF(AND(vp.data[[#This Row],[CrudeType]]="Crude",vp.data[[#This Row],[Dens]]&gt;900,vp.data[[#This Row],[Sulf]]&lt;=0.5,vp.data[[#This Row],[Unknown]]=0),1,0)</f>
        <v>0</v>
      </c>
      <c r="AF920">
        <f>IF(AND(vp.data[[#This Row],[CrudeType]]="Crude",vp.data[[#This Row],[Dens]]&gt;900,vp.data[[#This Row],[Sulf]]&lt;=0.5,vp.data[[#This Row],[Unknown]]=0),1,0)</f>
        <v>0</v>
      </c>
      <c r="AG920" t="str">
        <f>INDEX(vp.data[[#Headers],[Unknown]:[Heavy_SW]],MATCH(1,vp.data[[#This Row],[Unknown]:[Heavy_SW]],0))</f>
        <v>Medium_LSB</v>
      </c>
      <c r="AH920">
        <f>INDEX([3]!crudeBD.lkup[Number],MATCH(vp.data[[#This Row],[Crude_Breakdown]],crudeBD.lkup[Crude Breakdown],0))</f>
        <v>3</v>
      </c>
      <c r="AI920">
        <f>MONTH(vp.data[[#This Row],[SDate]])</f>
        <v>3</v>
      </c>
      <c r="AJ920" s="5">
        <f>(vp.data[[#This Row],[VP]]-INDEX(crudeBD.lkup[Mean_VP],MATCH(vp.data[[#This Row],[Crude_Breakdown]],crudeBD.lkup[Crude Breakdown],0)))^2</f>
        <v>6.5552561693103977</v>
      </c>
      <c r="AK920" s="5">
        <f>(vp.data[[#This Row],[Dens]]-INDEX(crudeBD.lkup[Mean_Dens],MATCH(vp.data[[#This Row],[Crude_Breakdown]],crudeBD.lkup[Crude Breakdown],0)))^2</f>
        <v>3.9204000000018731</v>
      </c>
      <c r="AL920" s="5">
        <f>(vp.data[[#This Row],[Sulf]]-INDEX(crudeBD.lkup[Mean_Sulf],MATCH(vp.data[[#This Row],[Crude_Breakdown]],crudeBD.lkup[Crude Breakdown],0)))^2</f>
        <v>5.9825184491918218E-2</v>
      </c>
      <c r="AM920" s="4">
        <f>IF(AND(vp.data[[#This Row],[SDate]]&gt;=DATE(YEAR(vp.data[[#This Row],[SDate]]),5,1),vp.data[[#This Row],[SDate]]&lt;=DATE(YEAR(vp.data[[#This Row],[SDate]]),9,15)),1,0)</f>
        <v>0</v>
      </c>
      <c r="AN920" s="4">
        <f>IF(vp.data[[#This Row],[SDate]]&lt;DATE(2016,12,1),0,1)</f>
        <v>1</v>
      </c>
      <c r="AO920" s="4">
        <f>IFERROR(vp.data[[#This Row],[Sulf]]*vp.data[[#This Row],[Net Dens]],"")</f>
        <v>3891647.5569179994</v>
      </c>
      <c r="AP920">
        <f>IFERROR(vp.data[[#This Row],[Dens]]*vp.data[[#This Row],[VolumeM3]],"")</f>
        <v>2387513.8385999999</v>
      </c>
      <c r="AQ920" s="15">
        <f>IFERROR(vp.data[[#This Row],[VP]]*vp.data[[#This Row],[VolumeM3]],"")</f>
        <v>234828.17280000003</v>
      </c>
    </row>
    <row r="921" spans="1:43" x14ac:dyDescent="0.25">
      <c r="A921">
        <v>920</v>
      </c>
      <c r="B921" t="s">
        <v>51</v>
      </c>
      <c r="C921" t="s">
        <v>51</v>
      </c>
      <c r="D921" t="s">
        <v>126</v>
      </c>
      <c r="F921" s="1">
        <v>42795</v>
      </c>
      <c r="G921" s="2">
        <v>93.1</v>
      </c>
      <c r="H921" s="2"/>
      <c r="I921" s="2">
        <f t="array" ref="I921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921" s="2">
        <v>21.6</v>
      </c>
      <c r="K921" s="2">
        <v>-15</v>
      </c>
      <c r="L921" s="2">
        <v>849.1</v>
      </c>
      <c r="M921" s="2">
        <f t="array" ref="M921">_xlfn.IFNA(IF(vp.data[[#This Row],[Dens Input]]="",INDEX([1]DATA!$O$3:$O$9826,MATCH(1,(vp.data[[#This Row],[Battery]]=[1]DATA!$L$3:$L$9826)*(EOMONTH(vp.data[[#This Row],[SDate]],-1)+1=[1]DATA!$G$3:$G$9826),0)),vp.data[[#This Row],[Dens Input]]),"")</f>
        <v>849.1</v>
      </c>
      <c r="N921" s="2">
        <f ca="1">INDEX(INDIRECT(_xlfn.CONCAT("weather.tbl[",N$1,"]")),MATCH(vp.data[[#This Row],[SDate]],weather.tbl[Date],0))</f>
        <v>-12.733333333333334</v>
      </c>
      <c r="O921" s="2">
        <f ca="1">INDEX(INDIRECT(_xlfn.CONCAT("weather.tbl[",O$1,"]")),MATCH(vp.data[[#This Row],[SDate]],weather.tbl[Date],0))</f>
        <v>-10.938095238095238</v>
      </c>
      <c r="P921" s="2">
        <f ca="1">INDEX(INDIRECT(_xlfn.CONCAT("weather.tbl[",P$1,"]")),MATCH(vp.data[[#This Row],[SDate]],weather.tbl[Date],0))</f>
        <v>-12.5</v>
      </c>
      <c r="Q921" s="2">
        <f ca="1">INDEX(INDIRECT(_xlfn.CONCAT("weather.tbl[",Q$1,"]")),MATCH(vp.data[[#This Row],[SDate]],weather.tbl[Date],0))</f>
        <v>-11.6</v>
      </c>
      <c r="R921" s="2">
        <f ca="1">INDEX(INDIRECT(_xlfn.CONCAT("weather.tbl[",R$1,"]")),MATCH(vp.data[[#This Row],[SDate]],weather.tbl[Date],0))</f>
        <v>-14</v>
      </c>
      <c r="S921" s="2">
        <f ca="1">INDEX(INDIRECT(_xlfn.CONCAT("weather.tbl[",S$1,"]")),MATCH(vp.data[[#This Row],[SDate]],weather.tbl[Date],0))</f>
        <v>-10.9</v>
      </c>
      <c r="T921" s="2">
        <f ca="1">INDEX(INDIRECT(_xlfn.CONCAT("weather.tbl[",T$1,"]")),MATCH(vp.data[[#This Row],[SDate]],weather.tbl[Date],0))</f>
        <v>-13.9</v>
      </c>
      <c r="U921" s="2">
        <f ca="1">INDEX(INDIRECT(_xlfn.CONCAT("weather.tbl[",U$1,"]")),MATCH(vp.data[[#This Row],[SDate]],weather.tbl[Date],0))</f>
        <v>-13.5</v>
      </c>
      <c r="V921" s="2">
        <f t="array" ref="V9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1107.1669999999999</v>
      </c>
      <c r="W921" t="s">
        <v>48</v>
      </c>
      <c r="X921">
        <f>IF(OR(vp.data[[#This Row],[Sulf]]="",vp.data[[#This Row],[Dens]]=""),1,0)</f>
        <v>0</v>
      </c>
      <c r="Y921">
        <f>IF(vp.data[[#This Row],[CrudeType]]="C5+",1,0)</f>
        <v>0</v>
      </c>
      <c r="Z921">
        <f>IF(AND(vp.data[[#This Row],[CrudeType]]="Crude",vp.data[[#This Row],[Dens]]&lt;=825,vp.data[[#This Row],[Sulf]]&gt;0.5,vp.data[[#This Row],[Unknown]]=0),1,0)</f>
        <v>0</v>
      </c>
      <c r="AA921">
        <f>IF(AND(vp.data[[#This Row],[CrudeType]]="Crude",vp.data[[#This Row],[Dens]]&lt;=825,vp.data[[#This Row],[Sulf]]&lt;=0.5,vp.data[[#This Row],[Unknown]]=0),1,0)</f>
        <v>0</v>
      </c>
      <c r="AB9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1">
        <f>IF(AND(vp.data[[#This Row],[CrudeType]]="Crude",vp.data[[#This Row],[Dens]]&gt;825,vp.data[[#This Row],[Dens]]&lt;=900,vp.data[[#This Row],[Sulf]]&lt;=0.5,vp.data[[#This Row],[Unknown]]=0),1,0)</f>
        <v>0</v>
      </c>
      <c r="AD921">
        <f>IF(AND(vp.data[[#This Row],[CrudeType]]="Crude",vp.data[[#This Row],[Dens]]&gt;865,vp.data[[#This Row],[Dens]]&lt;=900,vp.data[[#This Row],[Sulf]]&gt;2,vp.data[[#This Row],[Unknown]]=0),1,0)</f>
        <v>0</v>
      </c>
      <c r="AE921">
        <f>IF(AND(vp.data[[#This Row],[CrudeType]]="Crude",vp.data[[#This Row],[Dens]]&gt;900,vp.data[[#This Row],[Sulf]]&lt;=0.5,vp.data[[#This Row],[Unknown]]=0),1,0)</f>
        <v>0</v>
      </c>
      <c r="AF921">
        <f>IF(AND(vp.data[[#This Row],[CrudeType]]="Crude",vp.data[[#This Row],[Dens]]&gt;900,vp.data[[#This Row],[Sulf]]&lt;=0.5,vp.data[[#This Row],[Unknown]]=0),1,0)</f>
        <v>0</v>
      </c>
      <c r="AG921" t="str">
        <f>INDEX(vp.data[[#Headers],[Unknown]:[Heavy_SW]],MATCH(1,vp.data[[#This Row],[Unknown]:[Heavy_SW]],0))</f>
        <v>Medium_LSB</v>
      </c>
      <c r="AH921">
        <f>INDEX([3]!crudeBD.lkup[Number],MATCH(vp.data[[#This Row],[Crude_Breakdown]],crudeBD.lkup[Crude Breakdown],0))</f>
        <v>3</v>
      </c>
      <c r="AI921">
        <f>MONTH(vp.data[[#This Row],[SDate]])</f>
        <v>3</v>
      </c>
      <c r="AJ921" s="5">
        <f>(vp.data[[#This Row],[VP]]-INDEX(crudeBD.lkup[Mean_VP],MATCH(vp.data[[#This Row],[Crude_Breakdown]],crudeBD.lkup[Crude Breakdown],0)))^2</f>
        <v>155.25966048198012</v>
      </c>
      <c r="AK921" s="5">
        <f>(vp.data[[#This Row],[Dens]]-INDEX(crudeBD.lkup[Mean_Dens],MATCH(vp.data[[#This Row],[Crude_Breakdown]],crudeBD.lkup[Crude Breakdown],0)))^2</f>
        <v>26.832400000005372</v>
      </c>
      <c r="AL921" s="5">
        <f>(vp.data[[#This Row],[Sulf]]-INDEX(crudeBD.lkup[Mean_Sulf],MATCH(vp.data[[#This Row],[Crude_Breakdown]],crudeBD.lkup[Crude Breakdown],0)))^2</f>
        <v>9.8968046756068975E-2</v>
      </c>
      <c r="AM921" s="4">
        <f>IF(AND(vp.data[[#This Row],[SDate]]&gt;=DATE(YEAR(vp.data[[#This Row],[SDate]]),5,1),vp.data[[#This Row],[SDate]]&lt;=DATE(YEAR(vp.data[[#This Row],[SDate]]),9,15)),1,0)</f>
        <v>0</v>
      </c>
      <c r="AN921" s="4">
        <f>IF(vp.data[[#This Row],[SDate]]&lt;DATE(2016,12,1),0,1)</f>
        <v>1</v>
      </c>
      <c r="AO921" s="4">
        <f>IFERROR(vp.data[[#This Row],[Sulf]]*vp.data[[#This Row],[Net Dens]],"")</f>
        <v>1598162.3494899999</v>
      </c>
      <c r="AP921">
        <f>IFERROR(vp.data[[#This Row],[Dens]]*vp.data[[#This Row],[VolumeM3]],"")</f>
        <v>940095.49969999993</v>
      </c>
      <c r="AQ921" s="15">
        <f>IFERROR(vp.data[[#This Row],[VP]]*vp.data[[#This Row],[VolumeM3]],"")</f>
        <v>103077.24769999999</v>
      </c>
    </row>
    <row r="922" spans="1:43" x14ac:dyDescent="0.25">
      <c r="A922">
        <v>921</v>
      </c>
      <c r="B922" t="s">
        <v>111</v>
      </c>
      <c r="C922" t="s">
        <v>111</v>
      </c>
      <c r="D922" t="s">
        <v>112</v>
      </c>
      <c r="F922" s="1">
        <v>42795</v>
      </c>
      <c r="G922" s="2">
        <v>75</v>
      </c>
      <c r="H922" s="2"/>
      <c r="I922" s="2">
        <f t="array" ref="I922">_xlfn.IFNA(IF(vp.data[[#This Row],[Sulf Input]]="",INDEX([1]DATA!$Q$3:$Q$9826,MATCH(1,(vp.data[[#This Row],[Battery]]=[1]DATA!$L$3:$L$9826)*(EOMONTH(vp.data[[#This Row],[SDate]],-1)+1=[1]DATA!$G$3:$G$9826),0)),vp.data[[#This Row],[Sulf Input]]),"")</f>
        <v>1.86</v>
      </c>
      <c r="J922" s="2">
        <v>25.5</v>
      </c>
      <c r="K922" s="2">
        <v>-15</v>
      </c>
      <c r="L922" s="2">
        <v>858.9</v>
      </c>
      <c r="M922" s="2">
        <f t="array" ref="M922">_xlfn.IFNA(IF(vp.data[[#This Row],[Dens Input]]="",INDEX([1]DATA!$O$3:$O$9826,MATCH(1,(vp.data[[#This Row],[Battery]]=[1]DATA!$L$3:$L$9826)*(EOMONTH(vp.data[[#This Row],[SDate]],-1)+1=[1]DATA!$G$3:$G$9826),0)),vp.data[[#This Row],[Dens Input]]),"")</f>
        <v>858.9</v>
      </c>
      <c r="N922" s="2">
        <f ca="1">INDEX(INDIRECT(_xlfn.CONCAT("weather.tbl[",N$1,"]")),MATCH(vp.data[[#This Row],[SDate]],weather.tbl[Date],0))</f>
        <v>-12.733333333333334</v>
      </c>
      <c r="O922" s="2">
        <f ca="1">INDEX(INDIRECT(_xlfn.CONCAT("weather.tbl[",O$1,"]")),MATCH(vp.data[[#This Row],[SDate]],weather.tbl[Date],0))</f>
        <v>-10.938095238095238</v>
      </c>
      <c r="P922" s="2">
        <f ca="1">INDEX(INDIRECT(_xlfn.CONCAT("weather.tbl[",P$1,"]")),MATCH(vp.data[[#This Row],[SDate]],weather.tbl[Date],0))</f>
        <v>-12.5</v>
      </c>
      <c r="Q922" s="2">
        <f ca="1">INDEX(INDIRECT(_xlfn.CONCAT("weather.tbl[",Q$1,"]")),MATCH(vp.data[[#This Row],[SDate]],weather.tbl[Date],0))</f>
        <v>-11.6</v>
      </c>
      <c r="R922" s="2">
        <f ca="1">INDEX(INDIRECT(_xlfn.CONCAT("weather.tbl[",R$1,"]")),MATCH(vp.data[[#This Row],[SDate]],weather.tbl[Date],0))</f>
        <v>-14</v>
      </c>
      <c r="S922" s="2">
        <f ca="1">INDEX(INDIRECT(_xlfn.CONCAT("weather.tbl[",S$1,"]")),MATCH(vp.data[[#This Row],[SDate]],weather.tbl[Date],0))</f>
        <v>-10.9</v>
      </c>
      <c r="T922" s="2">
        <f ca="1">INDEX(INDIRECT(_xlfn.CONCAT("weather.tbl[",T$1,"]")),MATCH(vp.data[[#This Row],[SDate]],weather.tbl[Date],0))</f>
        <v>-13.9</v>
      </c>
      <c r="U922" s="2">
        <f ca="1">INDEX(INDIRECT(_xlfn.CONCAT("weather.tbl[",U$1,"]")),MATCH(vp.data[[#This Row],[SDate]],weather.tbl[Date],0))</f>
        <v>-13.5</v>
      </c>
      <c r="V922" s="2">
        <f t="array" ref="V9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7909.2460000000001</v>
      </c>
      <c r="W922" t="s">
        <v>48</v>
      </c>
      <c r="X922">
        <f>IF(OR(vp.data[[#This Row],[Sulf]]="",vp.data[[#This Row],[Dens]]=""),1,0)</f>
        <v>0</v>
      </c>
      <c r="Y922">
        <f>IF(vp.data[[#This Row],[CrudeType]]="C5+",1,0)</f>
        <v>0</v>
      </c>
      <c r="Z922">
        <f>IF(AND(vp.data[[#This Row],[CrudeType]]="Crude",vp.data[[#This Row],[Dens]]&lt;=825,vp.data[[#This Row],[Sulf]]&gt;0.5,vp.data[[#This Row],[Unknown]]=0),1,0)</f>
        <v>0</v>
      </c>
      <c r="AA922">
        <f>IF(AND(vp.data[[#This Row],[CrudeType]]="Crude",vp.data[[#This Row],[Dens]]&lt;=825,vp.data[[#This Row],[Sulf]]&lt;=0.5,vp.data[[#This Row],[Unknown]]=0),1,0)</f>
        <v>0</v>
      </c>
      <c r="AB9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2">
        <f>IF(AND(vp.data[[#This Row],[CrudeType]]="Crude",vp.data[[#This Row],[Dens]]&gt;825,vp.data[[#This Row],[Dens]]&lt;=900,vp.data[[#This Row],[Sulf]]&lt;=0.5,vp.data[[#This Row],[Unknown]]=0),1,0)</f>
        <v>0</v>
      </c>
      <c r="AD922">
        <f>IF(AND(vp.data[[#This Row],[CrudeType]]="Crude",vp.data[[#This Row],[Dens]]&gt;865,vp.data[[#This Row],[Dens]]&lt;=900,vp.data[[#This Row],[Sulf]]&gt;2,vp.data[[#This Row],[Unknown]]=0),1,0)</f>
        <v>0</v>
      </c>
      <c r="AE922">
        <f>IF(AND(vp.data[[#This Row],[CrudeType]]="Crude",vp.data[[#This Row],[Dens]]&gt;900,vp.data[[#This Row],[Sulf]]&lt;=0.5,vp.data[[#This Row],[Unknown]]=0),1,0)</f>
        <v>0</v>
      </c>
      <c r="AF922">
        <f>IF(AND(vp.data[[#This Row],[CrudeType]]="Crude",vp.data[[#This Row],[Dens]]&gt;900,vp.data[[#This Row],[Sulf]]&lt;=0.5,vp.data[[#This Row],[Unknown]]=0),1,0)</f>
        <v>0</v>
      </c>
      <c r="AG922" t="str">
        <f>INDEX(vp.data[[#Headers],[Unknown]:[Heavy_SW]],MATCH(1,vp.data[[#This Row],[Unknown]:[Heavy_SW]],0))</f>
        <v>Medium_LSB</v>
      </c>
      <c r="AH922">
        <f>INDEX([3]!crudeBD.lkup[Number],MATCH(vp.data[[#This Row],[Crude_Breakdown]],crudeBD.lkup[Crude Breakdown],0))</f>
        <v>3</v>
      </c>
      <c r="AI922">
        <f>MONTH(vp.data[[#This Row],[SDate]])</f>
        <v>3</v>
      </c>
      <c r="AJ922" s="5">
        <f>(vp.data[[#This Row],[VP]]-INDEX(crudeBD.lkup[Mean_VP],MATCH(vp.data[[#This Row],[Crude_Breakdown]],crudeBD.lkup[Crude Breakdown],0)))^2</f>
        <v>31.805951587098967</v>
      </c>
      <c r="AK922" s="5">
        <f>(vp.data[[#This Row],[Dens]]-INDEX(crudeBD.lkup[Mean_Dens],MATCH(vp.data[[#This Row],[Crude_Breakdown]],crudeBD.lkup[Crude Breakdown],0)))^2</f>
        <v>224.40040000001417</v>
      </c>
      <c r="AL922" s="5">
        <f>(vp.data[[#This Row],[Sulf]]-INDEX(crudeBD.lkup[Mean_Sulf],MATCH(vp.data[[#This Row],[Crude_Breakdown]],crudeBD.lkup[Crude Breakdown],0)))^2</f>
        <v>0.22523744621698505</v>
      </c>
      <c r="AM922" s="4">
        <f>IF(AND(vp.data[[#This Row],[SDate]]&gt;=DATE(YEAR(vp.data[[#This Row],[SDate]]),5,1),vp.data[[#This Row],[SDate]]&lt;=DATE(YEAR(vp.data[[#This Row],[SDate]]),9,15)),1,0)</f>
        <v>0</v>
      </c>
      <c r="AN922" s="4">
        <f>IF(vp.data[[#This Row],[SDate]]&lt;DATE(2016,12,1),0,1)</f>
        <v>1</v>
      </c>
      <c r="AO922" s="4">
        <f>IFERROR(vp.data[[#This Row],[Sulf]]*vp.data[[#This Row],[Net Dens]],"")</f>
        <v>12635447.584284</v>
      </c>
      <c r="AP922">
        <f>IFERROR(vp.data[[#This Row],[Dens]]*vp.data[[#This Row],[VolumeM3]],"")</f>
        <v>6793251.3893999998</v>
      </c>
      <c r="AQ922" s="15">
        <f>IFERROR(vp.data[[#This Row],[VP]]*vp.data[[#This Row],[VolumeM3]],"")</f>
        <v>593193.44999999995</v>
      </c>
    </row>
    <row r="923" spans="1:43" x14ac:dyDescent="0.25">
      <c r="A923">
        <v>922</v>
      </c>
      <c r="B923" t="s">
        <v>56</v>
      </c>
      <c r="C923" t="s">
        <v>56</v>
      </c>
      <c r="D923" t="s">
        <v>94</v>
      </c>
      <c r="F923" s="1">
        <v>42795</v>
      </c>
      <c r="G923" s="2">
        <v>69.2</v>
      </c>
      <c r="H923" s="2"/>
      <c r="I923" s="2">
        <f t="array" ref="I923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923" s="2">
        <v>19.8</v>
      </c>
      <c r="K923" s="2">
        <v>-15</v>
      </c>
      <c r="L923" s="2">
        <v>866.6</v>
      </c>
      <c r="M923" s="2">
        <f t="array" ref="M923">_xlfn.IFNA(IF(vp.data[[#This Row],[Dens Input]]="",INDEX([1]DATA!$O$3:$O$9826,MATCH(1,(vp.data[[#This Row],[Battery]]=[1]DATA!$L$3:$L$9826)*(EOMONTH(vp.data[[#This Row],[SDate]],-1)+1=[1]DATA!$G$3:$G$9826),0)),vp.data[[#This Row],[Dens Input]]),"")</f>
        <v>866.6</v>
      </c>
      <c r="N923" s="2">
        <f ca="1">INDEX(INDIRECT(_xlfn.CONCAT("weather.tbl[",N$1,"]")),MATCH(vp.data[[#This Row],[SDate]],weather.tbl[Date],0))</f>
        <v>-12.733333333333334</v>
      </c>
      <c r="O923" s="2">
        <f ca="1">INDEX(INDIRECT(_xlfn.CONCAT("weather.tbl[",O$1,"]")),MATCH(vp.data[[#This Row],[SDate]],weather.tbl[Date],0))</f>
        <v>-10.938095238095238</v>
      </c>
      <c r="P923" s="2">
        <f ca="1">INDEX(INDIRECT(_xlfn.CONCAT("weather.tbl[",P$1,"]")),MATCH(vp.data[[#This Row],[SDate]],weather.tbl[Date],0))</f>
        <v>-12.5</v>
      </c>
      <c r="Q923" s="2">
        <f ca="1">INDEX(INDIRECT(_xlfn.CONCAT("weather.tbl[",Q$1,"]")),MATCH(vp.data[[#This Row],[SDate]],weather.tbl[Date],0))</f>
        <v>-11.6</v>
      </c>
      <c r="R923" s="2">
        <f ca="1">INDEX(INDIRECT(_xlfn.CONCAT("weather.tbl[",R$1,"]")),MATCH(vp.data[[#This Row],[SDate]],weather.tbl[Date],0))</f>
        <v>-14</v>
      </c>
      <c r="S923" s="2">
        <f ca="1">INDEX(INDIRECT(_xlfn.CONCAT("weather.tbl[",S$1,"]")),MATCH(vp.data[[#This Row],[SDate]],weather.tbl[Date],0))</f>
        <v>-10.9</v>
      </c>
      <c r="T923" s="2">
        <f ca="1">INDEX(INDIRECT(_xlfn.CONCAT("weather.tbl[",T$1,"]")),MATCH(vp.data[[#This Row],[SDate]],weather.tbl[Date],0))</f>
        <v>-13.9</v>
      </c>
      <c r="U923" s="2">
        <f ca="1">INDEX(INDIRECT(_xlfn.CONCAT("weather.tbl[",U$1,"]")),MATCH(vp.data[[#This Row],[SDate]],weather.tbl[Date],0))</f>
        <v>-13.5</v>
      </c>
      <c r="V923" s="2">
        <f t="array" ref="V9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4141.4380000000001</v>
      </c>
      <c r="W923" t="s">
        <v>48</v>
      </c>
      <c r="X923">
        <f>IF(OR(vp.data[[#This Row],[Sulf]]="",vp.data[[#This Row],[Dens]]=""),1,0)</f>
        <v>0</v>
      </c>
      <c r="Y923">
        <f>IF(vp.data[[#This Row],[CrudeType]]="C5+",1,0)</f>
        <v>0</v>
      </c>
      <c r="Z923">
        <f>IF(AND(vp.data[[#This Row],[CrudeType]]="Crude",vp.data[[#This Row],[Dens]]&lt;=825,vp.data[[#This Row],[Sulf]]&gt;0.5,vp.data[[#This Row],[Unknown]]=0),1,0)</f>
        <v>0</v>
      </c>
      <c r="AA923">
        <f>IF(AND(vp.data[[#This Row],[CrudeType]]="Crude",vp.data[[#This Row],[Dens]]&lt;=825,vp.data[[#This Row],[Sulf]]&lt;=0.5,vp.data[[#This Row],[Unknown]]=0),1,0)</f>
        <v>0</v>
      </c>
      <c r="AB9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3">
        <f>IF(AND(vp.data[[#This Row],[CrudeType]]="Crude",vp.data[[#This Row],[Dens]]&gt;825,vp.data[[#This Row],[Dens]]&lt;=900,vp.data[[#This Row],[Sulf]]&lt;=0.5,vp.data[[#This Row],[Unknown]]=0),1,0)</f>
        <v>0</v>
      </c>
      <c r="AD923">
        <f>IF(AND(vp.data[[#This Row],[CrudeType]]="Crude",vp.data[[#This Row],[Dens]]&gt;865,vp.data[[#This Row],[Dens]]&lt;=900,vp.data[[#This Row],[Sulf]]&gt;2,vp.data[[#This Row],[Unknown]]=0),1,0)</f>
        <v>0</v>
      </c>
      <c r="AE923">
        <f>IF(AND(vp.data[[#This Row],[CrudeType]]="Crude",vp.data[[#This Row],[Dens]]&gt;900,vp.data[[#This Row],[Sulf]]&lt;=0.5,vp.data[[#This Row],[Unknown]]=0),1,0)</f>
        <v>0</v>
      </c>
      <c r="AF923">
        <f>IF(AND(vp.data[[#This Row],[CrudeType]]="Crude",vp.data[[#This Row],[Dens]]&gt;900,vp.data[[#This Row],[Sulf]]&lt;=0.5,vp.data[[#This Row],[Unknown]]=0),1,0)</f>
        <v>0</v>
      </c>
      <c r="AG923" t="str">
        <f>INDEX(vp.data[[#Headers],[Unknown]:[Heavy_SW]],MATCH(1,vp.data[[#This Row],[Unknown]:[Heavy_SW]],0))</f>
        <v>Medium_LSB</v>
      </c>
      <c r="AH923">
        <f>INDEX([3]!crudeBD.lkup[Number],MATCH(vp.data[[#This Row],[Crude_Breakdown]],crudeBD.lkup[Crude Breakdown],0))</f>
        <v>3</v>
      </c>
      <c r="AI923">
        <f>MONTH(vp.data[[#This Row],[SDate]])</f>
        <v>3</v>
      </c>
      <c r="AJ923" s="5">
        <f>(vp.data[[#This Row],[VP]]-INDEX(crudeBD.lkup[Mean_VP],MATCH(vp.data[[#This Row],[Crude_Breakdown]],crudeBD.lkup[Crude Breakdown],0)))^2</f>
        <v>130.86619956553474</v>
      </c>
      <c r="AK923" s="5">
        <f>(vp.data[[#This Row],[Dens]]-INDEX(crudeBD.lkup[Mean_Dens],MATCH(vp.data[[#This Row],[Crude_Breakdown]],crudeBD.lkup[Crude Breakdown],0)))^2</f>
        <v>514.38240000002349</v>
      </c>
      <c r="AL923" s="5">
        <f>(vp.data[[#This Row],[Sulf]]-INDEX(crudeBD.lkup[Mean_Sulf],MATCH(vp.data[[#This Row],[Crude_Breakdown]],crudeBD.lkup[Crude Breakdown],0)))^2</f>
        <v>0.26480479608221386</v>
      </c>
      <c r="AM923" s="4">
        <f>IF(AND(vp.data[[#This Row],[SDate]]&gt;=DATE(YEAR(vp.data[[#This Row],[SDate]]),5,1),vp.data[[#This Row],[SDate]]&lt;=DATE(YEAR(vp.data[[#This Row],[SDate]]),9,15)),1,0)</f>
        <v>0</v>
      </c>
      <c r="AN923" s="4">
        <f>IF(vp.data[[#This Row],[SDate]]&lt;DATE(2016,12,1),0,1)</f>
        <v>1</v>
      </c>
      <c r="AO923" s="4">
        <f>IFERROR(vp.data[[#This Row],[Sulf]]*vp.data[[#This Row],[Net Dens]],"")</f>
        <v>6819043.3245199993</v>
      </c>
      <c r="AP923">
        <f>IFERROR(vp.data[[#This Row],[Dens]]*vp.data[[#This Row],[VolumeM3]],"")</f>
        <v>3588970.1708</v>
      </c>
      <c r="AQ923" s="15">
        <f>IFERROR(vp.data[[#This Row],[VP]]*vp.data[[#This Row],[VolumeM3]],"")</f>
        <v>286587.50959999999</v>
      </c>
    </row>
    <row r="924" spans="1:43" x14ac:dyDescent="0.25">
      <c r="A924">
        <v>923</v>
      </c>
      <c r="B924" t="s">
        <v>46</v>
      </c>
      <c r="C924" t="s">
        <v>46</v>
      </c>
      <c r="D924" t="s">
        <v>47</v>
      </c>
      <c r="F924" s="1">
        <v>42795</v>
      </c>
      <c r="G924" s="2">
        <v>63.1</v>
      </c>
      <c r="H924" s="2"/>
      <c r="I924" s="2">
        <f t="array" ref="I924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924" s="2">
        <v>28.9</v>
      </c>
      <c r="K924" s="2">
        <v>-15</v>
      </c>
      <c r="L924" s="2">
        <v>867.1</v>
      </c>
      <c r="M924" s="2">
        <f t="array" ref="M924">_xlfn.IFNA(IF(vp.data[[#This Row],[Dens Input]]="",INDEX([1]DATA!$O$3:$O$9826,MATCH(1,(vp.data[[#This Row],[Battery]]=[1]DATA!$L$3:$L$9826)*(EOMONTH(vp.data[[#This Row],[SDate]],-1)+1=[1]DATA!$G$3:$G$9826),0)),vp.data[[#This Row],[Dens Input]]),"")</f>
        <v>867.1</v>
      </c>
      <c r="N924" s="2">
        <f ca="1">INDEX(INDIRECT(_xlfn.CONCAT("weather.tbl[",N$1,"]")),MATCH(vp.data[[#This Row],[SDate]],weather.tbl[Date],0))</f>
        <v>-12.733333333333334</v>
      </c>
      <c r="O924" s="2">
        <f ca="1">INDEX(INDIRECT(_xlfn.CONCAT("weather.tbl[",O$1,"]")),MATCH(vp.data[[#This Row],[SDate]],weather.tbl[Date],0))</f>
        <v>-10.938095238095238</v>
      </c>
      <c r="P924" s="2">
        <f ca="1">INDEX(INDIRECT(_xlfn.CONCAT("weather.tbl[",P$1,"]")),MATCH(vp.data[[#This Row],[SDate]],weather.tbl[Date],0))</f>
        <v>-12.5</v>
      </c>
      <c r="Q924" s="2">
        <f ca="1">INDEX(INDIRECT(_xlfn.CONCAT("weather.tbl[",Q$1,"]")),MATCH(vp.data[[#This Row],[SDate]],weather.tbl[Date],0))</f>
        <v>-11.6</v>
      </c>
      <c r="R924" s="2">
        <f ca="1">INDEX(INDIRECT(_xlfn.CONCAT("weather.tbl[",R$1,"]")),MATCH(vp.data[[#This Row],[SDate]],weather.tbl[Date],0))</f>
        <v>-14</v>
      </c>
      <c r="S924" s="2">
        <f ca="1">INDEX(INDIRECT(_xlfn.CONCAT("weather.tbl[",S$1,"]")),MATCH(vp.data[[#This Row],[SDate]],weather.tbl[Date],0))</f>
        <v>-10.9</v>
      </c>
      <c r="T924" s="2">
        <f ca="1">INDEX(INDIRECT(_xlfn.CONCAT("weather.tbl[",T$1,"]")),MATCH(vp.data[[#This Row],[SDate]],weather.tbl[Date],0))</f>
        <v>-13.9</v>
      </c>
      <c r="U924" s="2">
        <f ca="1">INDEX(INDIRECT(_xlfn.CONCAT("weather.tbl[",U$1,"]")),MATCH(vp.data[[#This Row],[SDate]],weather.tbl[Date],0))</f>
        <v>-13.5</v>
      </c>
      <c r="V924" s="2">
        <f t="array" ref="V9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118908.394</v>
      </c>
      <c r="W924" t="s">
        <v>48</v>
      </c>
      <c r="X924">
        <f>IF(OR(vp.data[[#This Row],[Sulf]]="",vp.data[[#This Row],[Dens]]=""),1,0)</f>
        <v>0</v>
      </c>
      <c r="Y924">
        <f>IF(vp.data[[#This Row],[CrudeType]]="C5+",1,0)</f>
        <v>0</v>
      </c>
      <c r="Z924">
        <f>IF(AND(vp.data[[#This Row],[CrudeType]]="Crude",vp.data[[#This Row],[Dens]]&lt;=825,vp.data[[#This Row],[Sulf]]&gt;0.5,vp.data[[#This Row],[Unknown]]=0),1,0)</f>
        <v>0</v>
      </c>
      <c r="AA924">
        <f>IF(AND(vp.data[[#This Row],[CrudeType]]="Crude",vp.data[[#This Row],[Dens]]&lt;=825,vp.data[[#This Row],[Sulf]]&lt;=0.5,vp.data[[#This Row],[Unknown]]=0),1,0)</f>
        <v>0</v>
      </c>
      <c r="AB9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24">
        <f>IF(AND(vp.data[[#This Row],[CrudeType]]="Crude",vp.data[[#This Row],[Dens]]&gt;825,vp.data[[#This Row],[Dens]]&lt;=900,vp.data[[#This Row],[Sulf]]&lt;=0.5,vp.data[[#This Row],[Unknown]]=0),1,0)</f>
        <v>0</v>
      </c>
      <c r="AD924">
        <f>IF(AND(vp.data[[#This Row],[CrudeType]]="Crude",vp.data[[#This Row],[Dens]]&gt;865,vp.data[[#This Row],[Dens]]&lt;=900,vp.data[[#This Row],[Sulf]]&gt;2,vp.data[[#This Row],[Unknown]]=0),1,0)</f>
        <v>1</v>
      </c>
      <c r="AE924">
        <f>IF(AND(vp.data[[#This Row],[CrudeType]]="Crude",vp.data[[#This Row],[Dens]]&gt;900,vp.data[[#This Row],[Sulf]]&lt;=0.5,vp.data[[#This Row],[Unknown]]=0),1,0)</f>
        <v>0</v>
      </c>
      <c r="AF924">
        <f>IF(AND(vp.data[[#This Row],[CrudeType]]="Crude",vp.data[[#This Row],[Dens]]&gt;900,vp.data[[#This Row],[Sulf]]&lt;=0.5,vp.data[[#This Row],[Unknown]]=0),1,0)</f>
        <v>0</v>
      </c>
      <c r="AG924" t="str">
        <f>INDEX(vp.data[[#Headers],[Unknown]:[Heavy_SW]],MATCH(1,vp.data[[#This Row],[Unknown]:[Heavy_SW]],0))</f>
        <v>Midale</v>
      </c>
      <c r="AH924">
        <f>INDEX([3]!crudeBD.lkup[Number],MATCH(vp.data[[#This Row],[Crude_Breakdown]],crudeBD.lkup[Crude Breakdown],0))</f>
        <v>5</v>
      </c>
      <c r="AI924">
        <f>MONTH(vp.data[[#This Row],[SDate]])</f>
        <v>3</v>
      </c>
      <c r="AJ924" s="5">
        <f>(vp.data[[#This Row],[VP]]-INDEX(crudeBD.lkup[Mean_VP],MATCH(vp.data[[#This Row],[Crude_Breakdown]],crudeBD.lkup[Crude Breakdown],0)))^2</f>
        <v>39.80048915931593</v>
      </c>
      <c r="AK924" s="5">
        <f>(vp.data[[#This Row],[Dens]]-INDEX(crudeBD.lkup[Mean_Dens],MATCH(vp.data[[#This Row],[Crude_Breakdown]],crudeBD.lkup[Crude Breakdown],0)))^2</f>
        <v>59.552248113512732</v>
      </c>
      <c r="AL924" s="5">
        <f>(vp.data[[#This Row],[Sulf]]-INDEX(crudeBD.lkup[Mean_Sulf],MATCH(vp.data[[#This Row],[Crude_Breakdown]],crudeBD.lkup[Crude Breakdown],0)))^2</f>
        <v>4.0469403660429899E-3</v>
      </c>
      <c r="AM924" s="4">
        <f>IF(AND(vp.data[[#This Row],[SDate]]&gt;=DATE(YEAR(vp.data[[#This Row],[SDate]]),5,1),vp.data[[#This Row],[SDate]]&lt;=DATE(YEAR(vp.data[[#This Row],[SDate]]),9,15)),1,0)</f>
        <v>0</v>
      </c>
      <c r="AN924" s="4">
        <f>IF(vp.data[[#This Row],[SDate]]&lt;DATE(2016,12,1),0,1)</f>
        <v>1</v>
      </c>
      <c r="AO924" s="4">
        <f>IFERROR(vp.data[[#This Row],[Sulf]]*vp.data[[#This Row],[Net Dens]],"")</f>
        <v>245391014.88101199</v>
      </c>
      <c r="AP924">
        <f>IFERROR(vp.data[[#This Row],[Dens]]*vp.data[[#This Row],[VolumeM3]],"")</f>
        <v>103105468.4374</v>
      </c>
      <c r="AQ924" s="15">
        <f>IFERROR(vp.data[[#This Row],[VP]]*vp.data[[#This Row],[VolumeM3]],"")</f>
        <v>7503119.6614000006</v>
      </c>
    </row>
    <row r="925" spans="1:43" x14ac:dyDescent="0.25">
      <c r="A925">
        <v>924</v>
      </c>
      <c r="B925" t="s">
        <v>51</v>
      </c>
      <c r="C925" t="s">
        <v>51</v>
      </c>
      <c r="D925" t="s">
        <v>52</v>
      </c>
      <c r="F925" s="1">
        <v>42795</v>
      </c>
      <c r="G925" s="2">
        <v>71.400000000000006</v>
      </c>
      <c r="H925" s="2"/>
      <c r="I925" s="2">
        <f t="array" ref="I925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925" s="2">
        <v>34.1</v>
      </c>
      <c r="K925" s="2">
        <v>-15</v>
      </c>
      <c r="L925" s="2">
        <v>870.1</v>
      </c>
      <c r="M925" s="2">
        <f t="array" ref="M925">_xlfn.IFNA(IF(vp.data[[#This Row],[Dens Input]]="",INDEX([1]DATA!$O$3:$O$9826,MATCH(1,(vp.data[[#This Row],[Battery]]=[1]DATA!$L$3:$L$9826)*(EOMONTH(vp.data[[#This Row],[SDate]],-1)+1=[1]DATA!$G$3:$G$9826),0)),vp.data[[#This Row],[Dens Input]]),"")</f>
        <v>870.1</v>
      </c>
      <c r="N925" s="2">
        <f ca="1">INDEX(INDIRECT(_xlfn.CONCAT("weather.tbl[",N$1,"]")),MATCH(vp.data[[#This Row],[SDate]],weather.tbl[Date],0))</f>
        <v>-12.733333333333334</v>
      </c>
      <c r="O925" s="2">
        <f ca="1">INDEX(INDIRECT(_xlfn.CONCAT("weather.tbl[",O$1,"]")),MATCH(vp.data[[#This Row],[SDate]],weather.tbl[Date],0))</f>
        <v>-10.938095238095238</v>
      </c>
      <c r="P925" s="2">
        <f ca="1">INDEX(INDIRECT(_xlfn.CONCAT("weather.tbl[",P$1,"]")),MATCH(vp.data[[#This Row],[SDate]],weather.tbl[Date],0))</f>
        <v>-12.5</v>
      </c>
      <c r="Q925" s="2">
        <f ca="1">INDEX(INDIRECT(_xlfn.CONCAT("weather.tbl[",Q$1,"]")),MATCH(vp.data[[#This Row],[SDate]],weather.tbl[Date],0))</f>
        <v>-11.6</v>
      </c>
      <c r="R925" s="2">
        <f ca="1">INDEX(INDIRECT(_xlfn.CONCAT("weather.tbl[",R$1,"]")),MATCH(vp.data[[#This Row],[SDate]],weather.tbl[Date],0))</f>
        <v>-14</v>
      </c>
      <c r="S925" s="2">
        <f ca="1">INDEX(INDIRECT(_xlfn.CONCAT("weather.tbl[",S$1,"]")),MATCH(vp.data[[#This Row],[SDate]],weather.tbl[Date],0))</f>
        <v>-10.9</v>
      </c>
      <c r="T925" s="2">
        <f ca="1">INDEX(INDIRECT(_xlfn.CONCAT("weather.tbl[",T$1,"]")),MATCH(vp.data[[#This Row],[SDate]],weather.tbl[Date],0))</f>
        <v>-13.9</v>
      </c>
      <c r="U925" s="2">
        <f ca="1">INDEX(INDIRECT(_xlfn.CONCAT("weather.tbl[",U$1,"]")),MATCH(vp.data[[#This Row],[SDate]],weather.tbl[Date],0))</f>
        <v>-13.5</v>
      </c>
      <c r="V925" s="2">
        <f t="array" ref="V9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7335.8190000000004</v>
      </c>
      <c r="W925" t="s">
        <v>48</v>
      </c>
      <c r="X925">
        <f>IF(OR(vp.data[[#This Row],[Sulf]]="",vp.data[[#This Row],[Dens]]=""),1,0)</f>
        <v>0</v>
      </c>
      <c r="Y925">
        <f>IF(vp.data[[#This Row],[CrudeType]]="C5+",1,0)</f>
        <v>0</v>
      </c>
      <c r="Z925">
        <f>IF(AND(vp.data[[#This Row],[CrudeType]]="Crude",vp.data[[#This Row],[Dens]]&lt;=825,vp.data[[#This Row],[Sulf]]&gt;0.5,vp.data[[#This Row],[Unknown]]=0),1,0)</f>
        <v>0</v>
      </c>
      <c r="AA925">
        <f>IF(AND(vp.data[[#This Row],[CrudeType]]="Crude",vp.data[[#This Row],[Dens]]&lt;=825,vp.data[[#This Row],[Sulf]]&lt;=0.5,vp.data[[#This Row],[Unknown]]=0),1,0)</f>
        <v>0</v>
      </c>
      <c r="AB9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25">
        <f>IF(AND(vp.data[[#This Row],[CrudeType]]="Crude",vp.data[[#This Row],[Dens]]&gt;825,vp.data[[#This Row],[Dens]]&lt;=900,vp.data[[#This Row],[Sulf]]&lt;=0.5,vp.data[[#This Row],[Unknown]]=0),1,0)</f>
        <v>0</v>
      </c>
      <c r="AD925">
        <f>IF(AND(vp.data[[#This Row],[CrudeType]]="Crude",vp.data[[#This Row],[Dens]]&gt;865,vp.data[[#This Row],[Dens]]&lt;=900,vp.data[[#This Row],[Sulf]]&gt;2,vp.data[[#This Row],[Unknown]]=0),1,0)</f>
        <v>1</v>
      </c>
      <c r="AE925">
        <f>IF(AND(vp.data[[#This Row],[CrudeType]]="Crude",vp.data[[#This Row],[Dens]]&gt;900,vp.data[[#This Row],[Sulf]]&lt;=0.5,vp.data[[#This Row],[Unknown]]=0),1,0)</f>
        <v>0</v>
      </c>
      <c r="AF925">
        <f>IF(AND(vp.data[[#This Row],[CrudeType]]="Crude",vp.data[[#This Row],[Dens]]&gt;900,vp.data[[#This Row],[Sulf]]&lt;=0.5,vp.data[[#This Row],[Unknown]]=0),1,0)</f>
        <v>0</v>
      </c>
      <c r="AG925" t="str">
        <f>INDEX(vp.data[[#Headers],[Unknown]:[Heavy_SW]],MATCH(1,vp.data[[#This Row],[Unknown]:[Heavy_SW]],0))</f>
        <v>Midale</v>
      </c>
      <c r="AH925">
        <f>INDEX([3]!crudeBD.lkup[Number],MATCH(vp.data[[#This Row],[Crude_Breakdown]],crudeBD.lkup[Crude Breakdown],0))</f>
        <v>5</v>
      </c>
      <c r="AI925">
        <f>MONTH(vp.data[[#This Row],[SDate]])</f>
        <v>3</v>
      </c>
      <c r="AJ925" s="5">
        <f>(vp.data[[#This Row],[VP]]-INDEX(crudeBD.lkup[Mean_VP],MATCH(vp.data[[#This Row],[Crude_Breakdown]],crudeBD.lkup[Crude Breakdown],0)))^2</f>
        <v>3.9650252417896734</v>
      </c>
      <c r="AK925" s="5">
        <f>(vp.data[[#This Row],[Dens]]-INDEX(crudeBD.lkup[Mean_Dens],MATCH(vp.data[[#This Row],[Crude_Breakdown]],crudeBD.lkup[Crude Breakdown],0)))^2</f>
        <v>22.250186257840923</v>
      </c>
      <c r="AL925" s="5">
        <f>(vp.data[[#This Row],[Sulf]]-INDEX(crudeBD.lkup[Mean_Sulf],MATCH(vp.data[[#This Row],[Crude_Breakdown]],crudeBD.lkup[Crude Breakdown],0)))^2</f>
        <v>2.0625431087692294E-2</v>
      </c>
      <c r="AM925" s="4">
        <f>IF(AND(vp.data[[#This Row],[SDate]]&gt;=DATE(YEAR(vp.data[[#This Row],[SDate]]),5,1),vp.data[[#This Row],[SDate]]&lt;=DATE(YEAR(vp.data[[#This Row],[SDate]]),9,15)),1,0)</f>
        <v>0</v>
      </c>
      <c r="AN925" s="4">
        <f>IF(vp.data[[#This Row],[SDate]]&lt;DATE(2016,12,1),0,1)</f>
        <v>1</v>
      </c>
      <c r="AO925" s="4">
        <f>IFERROR(vp.data[[#This Row],[Sulf]]*vp.data[[#This Row],[Net Dens]],"")</f>
        <v>14680661.057370001</v>
      </c>
      <c r="AP925">
        <f>IFERROR(vp.data[[#This Row],[Dens]]*vp.data[[#This Row],[VolumeM3]],"")</f>
        <v>6382896.1119000008</v>
      </c>
      <c r="AQ925" s="15">
        <f>IFERROR(vp.data[[#This Row],[VP]]*vp.data[[#This Row],[VolumeM3]],"")</f>
        <v>523777.47660000005</v>
      </c>
    </row>
    <row r="926" spans="1:43" x14ac:dyDescent="0.25">
      <c r="A926">
        <v>925</v>
      </c>
      <c r="B926" t="s">
        <v>64</v>
      </c>
      <c r="C926" t="s">
        <v>64</v>
      </c>
      <c r="D926" t="s">
        <v>173</v>
      </c>
      <c r="F926" s="1">
        <v>42795</v>
      </c>
      <c r="G926" s="2">
        <v>37</v>
      </c>
      <c r="H926" s="2"/>
      <c r="I926" s="2">
        <f t="array" ref="I926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926" s="2">
        <v>33.6</v>
      </c>
      <c r="K926" s="2">
        <v>-15</v>
      </c>
      <c r="L926" s="2">
        <v>877.3</v>
      </c>
      <c r="M926" s="2">
        <f t="array" ref="M926">_xlfn.IFNA(IF(vp.data[[#This Row],[Dens Input]]="",INDEX([1]DATA!$O$3:$O$9826,MATCH(1,(vp.data[[#This Row],[Battery]]=[1]DATA!$L$3:$L$9826)*(EOMONTH(vp.data[[#This Row],[SDate]],-1)+1=[1]DATA!$G$3:$G$9826),0)),vp.data[[#This Row],[Dens Input]]),"")</f>
        <v>877.3</v>
      </c>
      <c r="N926" s="2">
        <f ca="1">INDEX(INDIRECT(_xlfn.CONCAT("weather.tbl[",N$1,"]")),MATCH(vp.data[[#This Row],[SDate]],weather.tbl[Date],0))</f>
        <v>-12.733333333333334</v>
      </c>
      <c r="O926" s="2">
        <f ca="1">INDEX(INDIRECT(_xlfn.CONCAT("weather.tbl[",O$1,"]")),MATCH(vp.data[[#This Row],[SDate]],weather.tbl[Date],0))</f>
        <v>-10.938095238095238</v>
      </c>
      <c r="P926" s="2">
        <f ca="1">INDEX(INDIRECT(_xlfn.CONCAT("weather.tbl[",P$1,"]")),MATCH(vp.data[[#This Row],[SDate]],weather.tbl[Date],0))</f>
        <v>-12.5</v>
      </c>
      <c r="Q926" s="2">
        <f ca="1">INDEX(INDIRECT(_xlfn.CONCAT("weather.tbl[",Q$1,"]")),MATCH(vp.data[[#This Row],[SDate]],weather.tbl[Date],0))</f>
        <v>-11.6</v>
      </c>
      <c r="R926" s="2">
        <f ca="1">INDEX(INDIRECT(_xlfn.CONCAT("weather.tbl[",R$1,"]")),MATCH(vp.data[[#This Row],[SDate]],weather.tbl[Date],0))</f>
        <v>-14</v>
      </c>
      <c r="S926" s="2">
        <f ca="1">INDEX(INDIRECT(_xlfn.CONCAT("weather.tbl[",S$1,"]")),MATCH(vp.data[[#This Row],[SDate]],weather.tbl[Date],0))</f>
        <v>-10.9</v>
      </c>
      <c r="T926" s="2">
        <f ca="1">INDEX(INDIRECT(_xlfn.CONCAT("weather.tbl[",T$1,"]")),MATCH(vp.data[[#This Row],[SDate]],weather.tbl[Date],0))</f>
        <v>-13.9</v>
      </c>
      <c r="U926" s="2">
        <f ca="1">INDEX(INDIRECT(_xlfn.CONCAT("weather.tbl[",U$1,"]")),MATCH(vp.data[[#This Row],[SDate]],weather.tbl[Date],0))</f>
        <v>-13.5</v>
      </c>
      <c r="V926" s="2">
        <f t="array" ref="V9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720.35</v>
      </c>
      <c r="W926" t="s">
        <v>48</v>
      </c>
      <c r="X926">
        <f>IF(OR(vp.data[[#This Row],[Sulf]]="",vp.data[[#This Row],[Dens]]=""),1,0)</f>
        <v>0</v>
      </c>
      <c r="Y926">
        <f>IF(vp.data[[#This Row],[CrudeType]]="C5+",1,0)</f>
        <v>0</v>
      </c>
      <c r="Z926">
        <f>IF(AND(vp.data[[#This Row],[CrudeType]]="Crude",vp.data[[#This Row],[Dens]]&lt;=825,vp.data[[#This Row],[Sulf]]&gt;0.5,vp.data[[#This Row],[Unknown]]=0),1,0)</f>
        <v>0</v>
      </c>
      <c r="AA926">
        <f>IF(AND(vp.data[[#This Row],[CrudeType]]="Crude",vp.data[[#This Row],[Dens]]&lt;=825,vp.data[[#This Row],[Sulf]]&lt;=0.5,vp.data[[#This Row],[Unknown]]=0),1,0)</f>
        <v>0</v>
      </c>
      <c r="AB9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6">
        <f>IF(AND(vp.data[[#This Row],[CrudeType]]="Crude",vp.data[[#This Row],[Dens]]&gt;825,vp.data[[#This Row],[Dens]]&lt;=900,vp.data[[#This Row],[Sulf]]&lt;=0.5,vp.data[[#This Row],[Unknown]]=0),1,0)</f>
        <v>0</v>
      </c>
      <c r="AD926">
        <f>IF(AND(vp.data[[#This Row],[CrudeType]]="Crude",vp.data[[#This Row],[Dens]]&gt;865,vp.data[[#This Row],[Dens]]&lt;=900,vp.data[[#This Row],[Sulf]]&gt;2,vp.data[[#This Row],[Unknown]]=0),1,0)</f>
        <v>0</v>
      </c>
      <c r="AE926">
        <f>IF(AND(vp.data[[#This Row],[CrudeType]]="Crude",vp.data[[#This Row],[Dens]]&gt;900,vp.data[[#This Row],[Sulf]]&lt;=0.5,vp.data[[#This Row],[Unknown]]=0),1,0)</f>
        <v>0</v>
      </c>
      <c r="AF926">
        <f>IF(AND(vp.data[[#This Row],[CrudeType]]="Crude",vp.data[[#This Row],[Dens]]&gt;900,vp.data[[#This Row],[Sulf]]&lt;=0.5,vp.data[[#This Row],[Unknown]]=0),1,0)</f>
        <v>0</v>
      </c>
      <c r="AG926" t="str">
        <f>INDEX(vp.data[[#Headers],[Unknown]:[Heavy_SW]],MATCH(1,vp.data[[#This Row],[Unknown]:[Heavy_SW]],0))</f>
        <v>Medium_LSB</v>
      </c>
      <c r="AH926">
        <f>INDEX([3]!crudeBD.lkup[Number],MATCH(vp.data[[#This Row],[Crude_Breakdown]],crudeBD.lkup[Crude Breakdown],0))</f>
        <v>3</v>
      </c>
      <c r="AI926">
        <f>MONTH(vp.data[[#This Row],[SDate]])</f>
        <v>3</v>
      </c>
      <c r="AJ926" s="5">
        <f>(vp.data[[#This Row],[VP]]-INDEX(crudeBD.lkup[Mean_VP],MATCH(vp.data[[#This Row],[Crude_Breakdown]],crudeBD.lkup[Crude Breakdown],0)))^2</f>
        <v>1904.4213693768509</v>
      </c>
      <c r="AK926" s="5">
        <f>(vp.data[[#This Row],[Dens]]-INDEX(crudeBD.lkup[Mean_Dens],MATCH(vp.data[[#This Row],[Crude_Breakdown]],crudeBD.lkup[Crude Breakdown],0)))^2</f>
        <v>1114.2244000000301</v>
      </c>
      <c r="AL926" s="5">
        <f>(vp.data[[#This Row],[Sulf]]-INDEX(crudeBD.lkup[Mean_Sulf],MATCH(vp.data[[#This Row],[Crude_Breakdown]],crudeBD.lkup[Crude Breakdown],0)))^2</f>
        <v>0.49760062519272974</v>
      </c>
      <c r="AM926" s="4">
        <f>IF(AND(vp.data[[#This Row],[SDate]]&gt;=DATE(YEAR(vp.data[[#This Row],[SDate]]),5,1),vp.data[[#This Row],[SDate]]&lt;=DATE(YEAR(vp.data[[#This Row],[SDate]]),9,15)),1,0)</f>
        <v>0</v>
      </c>
      <c r="AN926" s="4">
        <f>IF(vp.data[[#This Row],[SDate]]&lt;DATE(2016,12,1),0,1)</f>
        <v>1</v>
      </c>
      <c r="AO926" s="4">
        <f>IFERROR(vp.data[[#This Row],[Sulf]]*vp.data[[#This Row],[Net Dens]],"")</f>
        <v>429734.8774</v>
      </c>
      <c r="AP926">
        <f>IFERROR(vp.data[[#This Row],[Dens]]*vp.data[[#This Row],[VolumeM3]],"")</f>
        <v>631963.05499999993</v>
      </c>
      <c r="AQ926" s="15">
        <f>IFERROR(vp.data[[#This Row],[VP]]*vp.data[[#This Row],[VolumeM3]],"")</f>
        <v>26652.95</v>
      </c>
    </row>
    <row r="927" spans="1:43" x14ac:dyDescent="0.25">
      <c r="A927">
        <v>926</v>
      </c>
      <c r="B927" t="s">
        <v>49</v>
      </c>
      <c r="C927" t="s">
        <v>49</v>
      </c>
      <c r="D927" t="s">
        <v>81</v>
      </c>
      <c r="F927" s="1">
        <v>42796</v>
      </c>
      <c r="G927" s="2">
        <v>86.5</v>
      </c>
      <c r="H927" s="2">
        <v>0.51500000000000001</v>
      </c>
      <c r="I927" s="2">
        <f t="array" ref="I927">_xlfn.IFNA(IF(vp.data[[#This Row],[Sulf Input]]="",INDEX([1]DATA!$Q$3:$Q$9826,MATCH(1,(vp.data[[#This Row],[Battery]]=[1]DATA!$L$3:$L$9826)*(EOMONTH(vp.data[[#This Row],[SDate]],-1)+1=[1]DATA!$G$3:$G$9826),0)),vp.data[[#This Row],[Sulf Input]]),"")</f>
        <v>0.51500000000000001</v>
      </c>
      <c r="J927" s="2">
        <v>4.3</v>
      </c>
      <c r="K927" s="2">
        <v>-15</v>
      </c>
      <c r="L927" s="2">
        <v>814.9</v>
      </c>
      <c r="M927" s="2">
        <f t="array" ref="M927">_xlfn.IFNA(IF(vp.data[[#This Row],[Dens Input]]="",INDEX([1]DATA!$O$3:$O$9826,MATCH(1,(vp.data[[#This Row],[Battery]]=[1]DATA!$L$3:$L$9826)*(EOMONTH(vp.data[[#This Row],[SDate]],-1)+1=[1]DATA!$G$3:$G$9826),0)),vp.data[[#This Row],[Dens Input]]),"")</f>
        <v>814.9</v>
      </c>
      <c r="N927" s="2">
        <f ca="1">INDEX(INDIRECT(_xlfn.CONCAT("weather.tbl[",N$1,"]")),MATCH(vp.data[[#This Row],[SDate]],weather.tbl[Date],0))</f>
        <v>-14.083333333333334</v>
      </c>
      <c r="O927" s="2">
        <f ca="1">INDEX(INDIRECT(_xlfn.CONCAT("weather.tbl[",O$1,"]")),MATCH(vp.data[[#This Row],[SDate]],weather.tbl[Date],0))</f>
        <v>-12.366666666666665</v>
      </c>
      <c r="P927" s="2">
        <f ca="1">INDEX(INDIRECT(_xlfn.CONCAT("weather.tbl[",P$1,"]")),MATCH(vp.data[[#This Row],[SDate]],weather.tbl[Date],0))</f>
        <v>-13.4</v>
      </c>
      <c r="Q927" s="2">
        <f ca="1">INDEX(INDIRECT(_xlfn.CONCAT("weather.tbl[",Q$1,"]")),MATCH(vp.data[[#This Row],[SDate]],weather.tbl[Date],0))</f>
        <v>-12.8</v>
      </c>
      <c r="R927" s="2">
        <f ca="1">INDEX(INDIRECT(_xlfn.CONCAT("weather.tbl[",R$1,"]")),MATCH(vp.data[[#This Row],[SDate]],weather.tbl[Date],0))</f>
        <v>-14</v>
      </c>
      <c r="S927" s="2">
        <f ca="1">INDEX(INDIRECT(_xlfn.CONCAT("weather.tbl[",S$1,"]")),MATCH(vp.data[[#This Row],[SDate]],weather.tbl[Date],0))</f>
        <v>-12.5</v>
      </c>
      <c r="T927" s="2">
        <f ca="1">INDEX(INDIRECT(_xlfn.CONCAT("weather.tbl[",T$1,"]")),MATCH(vp.data[[#This Row],[SDate]],weather.tbl[Date],0))</f>
        <v>-18</v>
      </c>
      <c r="U927" s="2">
        <f ca="1">INDEX(INDIRECT(_xlfn.CONCAT("weather.tbl[",U$1,"]")),MATCH(vp.data[[#This Row],[SDate]],weather.tbl[Date],0))</f>
        <v>-13.8</v>
      </c>
      <c r="V927" s="2">
        <f t="array" ref="V9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20568.135999999999</v>
      </c>
      <c r="W927" t="s">
        <v>48</v>
      </c>
      <c r="X927">
        <f>IF(OR(vp.data[[#This Row],[Sulf]]="",vp.data[[#This Row],[Dens]]=""),1,0)</f>
        <v>0</v>
      </c>
      <c r="Y927">
        <f>IF(vp.data[[#This Row],[CrudeType]]="C5+",1,0)</f>
        <v>0</v>
      </c>
      <c r="Z927">
        <f>IF(AND(vp.data[[#This Row],[CrudeType]]="Crude",vp.data[[#This Row],[Dens]]&lt;=825,vp.data[[#This Row],[Sulf]]&gt;0.5,vp.data[[#This Row],[Unknown]]=0),1,0)</f>
        <v>1</v>
      </c>
      <c r="AA927">
        <f>IF(AND(vp.data[[#This Row],[CrudeType]]="Crude",vp.data[[#This Row],[Dens]]&lt;=825,vp.data[[#This Row],[Sulf]]&lt;=0.5,vp.data[[#This Row],[Unknown]]=0),1,0)</f>
        <v>0</v>
      </c>
      <c r="AB9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27">
        <f>IF(AND(vp.data[[#This Row],[CrudeType]]="Crude",vp.data[[#This Row],[Dens]]&gt;825,vp.data[[#This Row],[Dens]]&lt;=900,vp.data[[#This Row],[Sulf]]&lt;=0.5,vp.data[[#This Row],[Unknown]]=0),1,0)</f>
        <v>0</v>
      </c>
      <c r="AD927">
        <f>IF(AND(vp.data[[#This Row],[CrudeType]]="Crude",vp.data[[#This Row],[Dens]]&gt;865,vp.data[[#This Row],[Dens]]&lt;=900,vp.data[[#This Row],[Sulf]]&gt;2,vp.data[[#This Row],[Unknown]]=0),1,0)</f>
        <v>0</v>
      </c>
      <c r="AE927">
        <f>IF(AND(vp.data[[#This Row],[CrudeType]]="Crude",vp.data[[#This Row],[Dens]]&gt;900,vp.data[[#This Row],[Sulf]]&lt;=0.5,vp.data[[#This Row],[Unknown]]=0),1,0)</f>
        <v>0</v>
      </c>
      <c r="AF927">
        <f>IF(AND(vp.data[[#This Row],[CrudeType]]="Crude",vp.data[[#This Row],[Dens]]&gt;900,vp.data[[#This Row],[Sulf]]&lt;=0.5,vp.data[[#This Row],[Unknown]]=0),1,0)</f>
        <v>0</v>
      </c>
      <c r="AG927" t="str">
        <f>INDEX(vp.data[[#Headers],[Unknown]:[Heavy_SW]],MATCH(1,vp.data[[#This Row],[Unknown]:[Heavy_SW]],0))</f>
        <v>Light_LSB</v>
      </c>
      <c r="AH927">
        <f>INDEX([3]!crudeBD.lkup[Number],MATCH(vp.data[[#This Row],[Crude_Breakdown]],crudeBD.lkup[Crude Breakdown],0))</f>
        <v>1</v>
      </c>
      <c r="AI927">
        <f>MONTH(vp.data[[#This Row],[SDate]])</f>
        <v>3</v>
      </c>
      <c r="AJ927" s="5">
        <f>(vp.data[[#This Row],[VP]]-INDEX(crudeBD.lkup[Mean_VP],MATCH(vp.data[[#This Row],[Crude_Breakdown]],crudeBD.lkup[Crude Breakdown],0)))^2</f>
        <v>25.46398877670347</v>
      </c>
      <c r="AK927" s="5">
        <f>(vp.data[[#This Row],[Dens]]-INDEX(crudeBD.lkup[Mean_Dens],MATCH(vp.data[[#This Row],[Crude_Breakdown]],crudeBD.lkup[Crude Breakdown],0)))^2</f>
        <v>13.081023492871147</v>
      </c>
      <c r="AL927" s="5">
        <f>(vp.data[[#This Row],[Sulf]]-INDEX(crudeBD.lkup[Mean_Sulf],MATCH(vp.data[[#This Row],[Crude_Breakdown]],crudeBD.lkup[Crude Breakdown],0)))^2</f>
        <v>0.16644047423332367</v>
      </c>
      <c r="AM927" s="4">
        <f>IF(AND(vp.data[[#This Row],[SDate]]&gt;=DATE(YEAR(vp.data[[#This Row],[SDate]]),5,1),vp.data[[#This Row],[SDate]]&lt;=DATE(YEAR(vp.data[[#This Row],[SDate]]),9,15)),1,0)</f>
        <v>0</v>
      </c>
      <c r="AN927" s="4">
        <f>IF(vp.data[[#This Row],[SDate]]&lt;DATE(2016,12,1),0,1)</f>
        <v>1</v>
      </c>
      <c r="AO927" s="4">
        <f>IFERROR(vp.data[[#This Row],[Sulf]]*vp.data[[#This Row],[Net Dens]],"")</f>
        <v>8631901.6235959996</v>
      </c>
      <c r="AP927">
        <f>IFERROR(vp.data[[#This Row],[Dens]]*vp.data[[#This Row],[VolumeM3]],"")</f>
        <v>16760974.026399998</v>
      </c>
      <c r="AQ927" s="15">
        <f>IFERROR(vp.data[[#This Row],[VP]]*vp.data[[#This Row],[VolumeM3]],"")</f>
        <v>1779143.764</v>
      </c>
    </row>
    <row r="928" spans="1:43" x14ac:dyDescent="0.25">
      <c r="A928">
        <v>927</v>
      </c>
      <c r="B928" t="s">
        <v>49</v>
      </c>
      <c r="C928" t="s">
        <v>49</v>
      </c>
      <c r="D928" t="s">
        <v>70</v>
      </c>
      <c r="F928" s="1">
        <v>42796</v>
      </c>
      <c r="G928" s="2">
        <v>90.1</v>
      </c>
      <c r="H928" s="2">
        <v>0.89900000000000002</v>
      </c>
      <c r="I928" s="2">
        <f t="array" ref="I928">_xlfn.IFNA(IF(vp.data[[#This Row],[Sulf Input]]="",INDEX([1]DATA!$Q$3:$Q$9826,MATCH(1,(vp.data[[#This Row],[Battery]]=[1]DATA!$L$3:$L$9826)*(EOMONTH(vp.data[[#This Row],[SDate]],-1)+1=[1]DATA!$G$3:$G$9826),0)),vp.data[[#This Row],[Sulf Input]]),"")</f>
        <v>0.89900000000000002</v>
      </c>
      <c r="J928" s="2">
        <v>16.2</v>
      </c>
      <c r="K928" s="2">
        <v>-15</v>
      </c>
      <c r="L928" s="2">
        <v>825.3</v>
      </c>
      <c r="M928" s="2">
        <f t="array" ref="M928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928" s="2">
        <f ca="1">INDEX(INDIRECT(_xlfn.CONCAT("weather.tbl[",N$1,"]")),MATCH(vp.data[[#This Row],[SDate]],weather.tbl[Date],0))</f>
        <v>-14.083333333333334</v>
      </c>
      <c r="O928" s="2">
        <f ca="1">INDEX(INDIRECT(_xlfn.CONCAT("weather.tbl[",O$1,"]")),MATCH(vp.data[[#This Row],[SDate]],weather.tbl[Date],0))</f>
        <v>-12.366666666666665</v>
      </c>
      <c r="P928" s="2">
        <f ca="1">INDEX(INDIRECT(_xlfn.CONCAT("weather.tbl[",P$1,"]")),MATCH(vp.data[[#This Row],[SDate]],weather.tbl[Date],0))</f>
        <v>-13.4</v>
      </c>
      <c r="Q928" s="2">
        <f ca="1">INDEX(INDIRECT(_xlfn.CONCAT("weather.tbl[",Q$1,"]")),MATCH(vp.data[[#This Row],[SDate]],weather.tbl[Date],0))</f>
        <v>-12.8</v>
      </c>
      <c r="R928" s="2">
        <f ca="1">INDEX(INDIRECT(_xlfn.CONCAT("weather.tbl[",R$1,"]")),MATCH(vp.data[[#This Row],[SDate]],weather.tbl[Date],0))</f>
        <v>-14</v>
      </c>
      <c r="S928" s="2">
        <f ca="1">INDEX(INDIRECT(_xlfn.CONCAT("weather.tbl[",S$1,"]")),MATCH(vp.data[[#This Row],[SDate]],weather.tbl[Date],0))</f>
        <v>-12.5</v>
      </c>
      <c r="T928" s="2">
        <f ca="1">INDEX(INDIRECT(_xlfn.CONCAT("weather.tbl[",T$1,"]")),MATCH(vp.data[[#This Row],[SDate]],weather.tbl[Date],0))</f>
        <v>-18</v>
      </c>
      <c r="U928" s="2">
        <f ca="1">INDEX(INDIRECT(_xlfn.CONCAT("weather.tbl[",U$1,"]")),MATCH(vp.data[[#This Row],[SDate]],weather.tbl[Date],0))</f>
        <v>-13.8</v>
      </c>
      <c r="V928" s="2">
        <f t="array" ref="V9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2628.259</v>
      </c>
      <c r="W928" t="s">
        <v>48</v>
      </c>
      <c r="X928">
        <f>IF(OR(vp.data[[#This Row],[Sulf]]="",vp.data[[#This Row],[Dens]]=""),1,0)</f>
        <v>0</v>
      </c>
      <c r="Y928">
        <f>IF(vp.data[[#This Row],[CrudeType]]="C5+",1,0)</f>
        <v>0</v>
      </c>
      <c r="Z928">
        <f>IF(AND(vp.data[[#This Row],[CrudeType]]="Crude",vp.data[[#This Row],[Dens]]&lt;=825,vp.data[[#This Row],[Sulf]]&gt;0.5,vp.data[[#This Row],[Unknown]]=0),1,0)</f>
        <v>0</v>
      </c>
      <c r="AA928">
        <f>IF(AND(vp.data[[#This Row],[CrudeType]]="Crude",vp.data[[#This Row],[Dens]]&lt;=825,vp.data[[#This Row],[Sulf]]&lt;=0.5,vp.data[[#This Row],[Unknown]]=0),1,0)</f>
        <v>0</v>
      </c>
      <c r="AB9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8">
        <f>IF(AND(vp.data[[#This Row],[CrudeType]]="Crude",vp.data[[#This Row],[Dens]]&gt;825,vp.data[[#This Row],[Dens]]&lt;=900,vp.data[[#This Row],[Sulf]]&lt;=0.5,vp.data[[#This Row],[Unknown]]=0),1,0)</f>
        <v>0</v>
      </c>
      <c r="AD928">
        <f>IF(AND(vp.data[[#This Row],[CrudeType]]="Crude",vp.data[[#This Row],[Dens]]&gt;865,vp.data[[#This Row],[Dens]]&lt;=900,vp.data[[#This Row],[Sulf]]&gt;2,vp.data[[#This Row],[Unknown]]=0),1,0)</f>
        <v>0</v>
      </c>
      <c r="AE928">
        <f>IF(AND(vp.data[[#This Row],[CrudeType]]="Crude",vp.data[[#This Row],[Dens]]&gt;900,vp.data[[#This Row],[Sulf]]&lt;=0.5,vp.data[[#This Row],[Unknown]]=0),1,0)</f>
        <v>0</v>
      </c>
      <c r="AF928">
        <f>IF(AND(vp.data[[#This Row],[CrudeType]]="Crude",vp.data[[#This Row],[Dens]]&gt;900,vp.data[[#This Row],[Sulf]]&lt;=0.5,vp.data[[#This Row],[Unknown]]=0),1,0)</f>
        <v>0</v>
      </c>
      <c r="AG928" t="str">
        <f>INDEX(vp.data[[#Headers],[Unknown]:[Heavy_SW]],MATCH(1,vp.data[[#This Row],[Unknown]:[Heavy_SW]],0))</f>
        <v>Medium_LSB</v>
      </c>
      <c r="AH928">
        <f>INDEX([3]!crudeBD.lkup[Number],MATCH(vp.data[[#This Row],[Crude_Breakdown]],crudeBD.lkup[Crude Breakdown],0))</f>
        <v>3</v>
      </c>
      <c r="AI928">
        <f>MONTH(vp.data[[#This Row],[SDate]])</f>
        <v>3</v>
      </c>
      <c r="AJ928" s="5">
        <f>(vp.data[[#This Row],[VP]]-INDEX(crudeBD.lkup[Mean_VP],MATCH(vp.data[[#This Row],[Crude_Breakdown]],crudeBD.lkup[Crude Breakdown],0)))^2</f>
        <v>89.497719781171099</v>
      </c>
      <c r="AK928" s="5">
        <f>(vp.data[[#This Row],[Dens]]-INDEX(crudeBD.lkup[Mean_Dens],MATCH(vp.data[[#This Row],[Crude_Breakdown]],crudeBD.lkup[Crude Breakdown],0)))^2</f>
        <v>346.70439999998325</v>
      </c>
      <c r="AL928" s="5">
        <f>(vp.data[[#This Row],[Sulf]]-INDEX(crudeBD.lkup[Mean_Sulf],MATCH(vp.data[[#This Row],[Crude_Breakdown]],crudeBD.lkup[Crude Breakdown],0)))^2</f>
        <v>0.23659286570485849</v>
      </c>
      <c r="AM928" s="4">
        <f>IF(AND(vp.data[[#This Row],[SDate]]&gt;=DATE(YEAR(vp.data[[#This Row],[SDate]]),5,1),vp.data[[#This Row],[SDate]]&lt;=DATE(YEAR(vp.data[[#This Row],[SDate]]),9,15)),1,0)</f>
        <v>0</v>
      </c>
      <c r="AN928" s="4">
        <f>IF(vp.data[[#This Row],[SDate]]&lt;DATE(2016,12,1),0,1)</f>
        <v>1</v>
      </c>
      <c r="AO928" s="4">
        <f>IFERROR(vp.data[[#This Row],[Sulf]]*vp.data[[#This Row],[Net Dens]],"")</f>
        <v>1950022.8352773001</v>
      </c>
      <c r="AP928">
        <f>IFERROR(vp.data[[#This Row],[Dens]]*vp.data[[#This Row],[VolumeM3]],"")</f>
        <v>2169102.1527</v>
      </c>
      <c r="AQ928" s="15">
        <f>IFERROR(vp.data[[#This Row],[VP]]*vp.data[[#This Row],[VolumeM3]],"")</f>
        <v>236806.13589999999</v>
      </c>
    </row>
    <row r="929" spans="1:43" x14ac:dyDescent="0.25">
      <c r="A929">
        <v>928</v>
      </c>
      <c r="B929" t="s">
        <v>49</v>
      </c>
      <c r="C929" t="s">
        <v>49</v>
      </c>
      <c r="D929" t="s">
        <v>59</v>
      </c>
      <c r="F929" s="1">
        <v>42796</v>
      </c>
      <c r="G929" s="2">
        <v>88.7</v>
      </c>
      <c r="H929" s="2">
        <v>1.4530000000000001</v>
      </c>
      <c r="I929" s="2">
        <f t="array" ref="I929">_xlfn.IFNA(IF(vp.data[[#This Row],[Sulf Input]]="",INDEX([1]DATA!$Q$3:$Q$9826,MATCH(1,(vp.data[[#This Row],[Battery]]=[1]DATA!$L$3:$L$9826)*(EOMONTH(vp.data[[#This Row],[SDate]],-1)+1=[1]DATA!$G$3:$G$9826),0)),vp.data[[#This Row],[Sulf Input]]),"")</f>
        <v>1.4530000000000001</v>
      </c>
      <c r="J929" s="2">
        <v>25.7</v>
      </c>
      <c r="K929" s="2">
        <v>-15</v>
      </c>
      <c r="L929" s="2">
        <v>846.4</v>
      </c>
      <c r="M929" s="2">
        <f t="array" ref="M929">_xlfn.IFNA(IF(vp.data[[#This Row],[Dens Input]]="",INDEX([1]DATA!$O$3:$O$9826,MATCH(1,(vp.data[[#This Row],[Battery]]=[1]DATA!$L$3:$L$9826)*(EOMONTH(vp.data[[#This Row],[SDate]],-1)+1=[1]DATA!$G$3:$G$9826),0)),vp.data[[#This Row],[Dens Input]]),"")</f>
        <v>846.4</v>
      </c>
      <c r="N929" s="2">
        <f ca="1">INDEX(INDIRECT(_xlfn.CONCAT("weather.tbl[",N$1,"]")),MATCH(vp.data[[#This Row],[SDate]],weather.tbl[Date],0))</f>
        <v>-14.083333333333334</v>
      </c>
      <c r="O929" s="2">
        <f ca="1">INDEX(INDIRECT(_xlfn.CONCAT("weather.tbl[",O$1,"]")),MATCH(vp.data[[#This Row],[SDate]],weather.tbl[Date],0))</f>
        <v>-12.366666666666665</v>
      </c>
      <c r="P929" s="2">
        <f ca="1">INDEX(INDIRECT(_xlfn.CONCAT("weather.tbl[",P$1,"]")),MATCH(vp.data[[#This Row],[SDate]],weather.tbl[Date],0))</f>
        <v>-13.4</v>
      </c>
      <c r="Q929" s="2">
        <f ca="1">INDEX(INDIRECT(_xlfn.CONCAT("weather.tbl[",Q$1,"]")),MATCH(vp.data[[#This Row],[SDate]],weather.tbl[Date],0))</f>
        <v>-12.8</v>
      </c>
      <c r="R929" s="2">
        <f ca="1">INDEX(INDIRECT(_xlfn.CONCAT("weather.tbl[",R$1,"]")),MATCH(vp.data[[#This Row],[SDate]],weather.tbl[Date],0))</f>
        <v>-14</v>
      </c>
      <c r="S929" s="2">
        <f ca="1">INDEX(INDIRECT(_xlfn.CONCAT("weather.tbl[",S$1,"]")),MATCH(vp.data[[#This Row],[SDate]],weather.tbl[Date],0))</f>
        <v>-12.5</v>
      </c>
      <c r="T929" s="2">
        <f ca="1">INDEX(INDIRECT(_xlfn.CONCAT("weather.tbl[",T$1,"]")),MATCH(vp.data[[#This Row],[SDate]],weather.tbl[Date],0))</f>
        <v>-18</v>
      </c>
      <c r="U929" s="2">
        <f ca="1">INDEX(INDIRECT(_xlfn.CONCAT("weather.tbl[",U$1,"]")),MATCH(vp.data[[#This Row],[SDate]],weather.tbl[Date],0))</f>
        <v>-13.8</v>
      </c>
      <c r="V929" s="2">
        <f t="array" ref="V9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1407.9559999999999</v>
      </c>
      <c r="W929" t="s">
        <v>48</v>
      </c>
      <c r="X929">
        <f>IF(OR(vp.data[[#This Row],[Sulf]]="",vp.data[[#This Row],[Dens]]=""),1,0)</f>
        <v>0</v>
      </c>
      <c r="Y929">
        <f>IF(vp.data[[#This Row],[CrudeType]]="C5+",1,0)</f>
        <v>0</v>
      </c>
      <c r="Z929">
        <f>IF(AND(vp.data[[#This Row],[CrudeType]]="Crude",vp.data[[#This Row],[Dens]]&lt;=825,vp.data[[#This Row],[Sulf]]&gt;0.5,vp.data[[#This Row],[Unknown]]=0),1,0)</f>
        <v>0</v>
      </c>
      <c r="AA929">
        <f>IF(AND(vp.data[[#This Row],[CrudeType]]="Crude",vp.data[[#This Row],[Dens]]&lt;=825,vp.data[[#This Row],[Sulf]]&lt;=0.5,vp.data[[#This Row],[Unknown]]=0),1,0)</f>
        <v>0</v>
      </c>
      <c r="AB9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29">
        <f>IF(AND(vp.data[[#This Row],[CrudeType]]="Crude",vp.data[[#This Row],[Dens]]&gt;825,vp.data[[#This Row],[Dens]]&lt;=900,vp.data[[#This Row],[Sulf]]&lt;=0.5,vp.data[[#This Row],[Unknown]]=0),1,0)</f>
        <v>0</v>
      </c>
      <c r="AD929">
        <f>IF(AND(vp.data[[#This Row],[CrudeType]]="Crude",vp.data[[#This Row],[Dens]]&gt;865,vp.data[[#This Row],[Dens]]&lt;=900,vp.data[[#This Row],[Sulf]]&gt;2,vp.data[[#This Row],[Unknown]]=0),1,0)</f>
        <v>0</v>
      </c>
      <c r="AE929">
        <f>IF(AND(vp.data[[#This Row],[CrudeType]]="Crude",vp.data[[#This Row],[Dens]]&gt;900,vp.data[[#This Row],[Sulf]]&lt;=0.5,vp.data[[#This Row],[Unknown]]=0),1,0)</f>
        <v>0</v>
      </c>
      <c r="AF929">
        <f>IF(AND(vp.data[[#This Row],[CrudeType]]="Crude",vp.data[[#This Row],[Dens]]&gt;900,vp.data[[#This Row],[Sulf]]&lt;=0.5,vp.data[[#This Row],[Unknown]]=0),1,0)</f>
        <v>0</v>
      </c>
      <c r="AG929" t="str">
        <f>INDEX(vp.data[[#Headers],[Unknown]:[Heavy_SW]],MATCH(1,vp.data[[#This Row],[Unknown]:[Heavy_SW]],0))</f>
        <v>Medium_LSB</v>
      </c>
      <c r="AH929">
        <f>INDEX([3]!crudeBD.lkup[Number],MATCH(vp.data[[#This Row],[Crude_Breakdown]],crudeBD.lkup[Crude Breakdown],0))</f>
        <v>3</v>
      </c>
      <c r="AI929">
        <f>MONTH(vp.data[[#This Row],[SDate]])</f>
        <v>3</v>
      </c>
      <c r="AJ929" s="5">
        <f>(vp.data[[#This Row],[VP]]-INDEX(crudeBD.lkup[Mean_VP],MATCH(vp.data[[#This Row],[Crude_Breakdown]],crudeBD.lkup[Crude Breakdown],0)))^2</f>
        <v>64.968814120793695</v>
      </c>
      <c r="AK929" s="5">
        <f>(vp.data[[#This Row],[Dens]]-INDEX(crudeBD.lkup[Mean_Dens],MATCH(vp.data[[#This Row],[Crude_Breakdown]],crudeBD.lkup[Crude Breakdown],0)))^2</f>
        <v>6.150400000002346</v>
      </c>
      <c r="AL929" s="5">
        <f>(vp.data[[#This Row],[Sulf]]-INDEX(crudeBD.lkup[Mean_Sulf],MATCH(vp.data[[#This Row],[Crude_Breakdown]],crudeBD.lkup[Crude Breakdown],0)))^2</f>
        <v>4.5686613382800037E-3</v>
      </c>
      <c r="AM929" s="4">
        <f>IF(AND(vp.data[[#This Row],[SDate]]&gt;=DATE(YEAR(vp.data[[#This Row],[SDate]]),5,1),vp.data[[#This Row],[SDate]]&lt;=DATE(YEAR(vp.data[[#This Row],[SDate]]),9,15)),1,0)</f>
        <v>0</v>
      </c>
      <c r="AN929" s="4">
        <f>IF(vp.data[[#This Row],[SDate]]&lt;DATE(2016,12,1),0,1)</f>
        <v>1</v>
      </c>
      <c r="AO929" s="4">
        <f>IFERROR(vp.data[[#This Row],[Sulf]]*vp.data[[#This Row],[Net Dens]],"")</f>
        <v>1731531.3215552</v>
      </c>
      <c r="AP929">
        <f>IFERROR(vp.data[[#This Row],[Dens]]*vp.data[[#This Row],[VolumeM3]],"")</f>
        <v>1191693.9583999999</v>
      </c>
      <c r="AQ929" s="15">
        <f>IFERROR(vp.data[[#This Row],[VP]]*vp.data[[#This Row],[VolumeM3]],"")</f>
        <v>124885.6972</v>
      </c>
    </row>
    <row r="930" spans="1:43" x14ac:dyDescent="0.25">
      <c r="A930">
        <v>929</v>
      </c>
      <c r="B930" t="s">
        <v>96</v>
      </c>
      <c r="C930" t="s">
        <v>96</v>
      </c>
      <c r="D930" t="s">
        <v>97</v>
      </c>
      <c r="F930" s="1">
        <v>42796</v>
      </c>
      <c r="G930" s="2">
        <v>79.599999999999994</v>
      </c>
      <c r="H930" s="2"/>
      <c r="I930" s="2">
        <f t="array" ref="I930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930" s="2">
        <v>29.3</v>
      </c>
      <c r="K930" s="2">
        <v>-15</v>
      </c>
      <c r="L930" s="2">
        <v>819.9</v>
      </c>
      <c r="M930" s="2">
        <f t="array" ref="M930">_xlfn.IFNA(IF(vp.data[[#This Row],[Dens Input]]="",INDEX([1]DATA!$O$3:$O$9826,MATCH(1,(vp.data[[#This Row],[Battery]]=[1]DATA!$L$3:$L$9826)*(EOMONTH(vp.data[[#This Row],[SDate]],-1)+1=[1]DATA!$G$3:$G$9826),0)),vp.data[[#This Row],[Dens Input]]),"")</f>
        <v>819.9</v>
      </c>
      <c r="N930" s="2">
        <f ca="1">INDEX(INDIRECT(_xlfn.CONCAT("weather.tbl[",N$1,"]")),MATCH(vp.data[[#This Row],[SDate]],weather.tbl[Date],0))</f>
        <v>-14.083333333333334</v>
      </c>
      <c r="O930" s="2">
        <f ca="1">INDEX(INDIRECT(_xlfn.CONCAT("weather.tbl[",O$1,"]")),MATCH(vp.data[[#This Row],[SDate]],weather.tbl[Date],0))</f>
        <v>-12.366666666666665</v>
      </c>
      <c r="P930" s="2">
        <f ca="1">INDEX(INDIRECT(_xlfn.CONCAT("weather.tbl[",P$1,"]")),MATCH(vp.data[[#This Row],[SDate]],weather.tbl[Date],0))</f>
        <v>-13.4</v>
      </c>
      <c r="Q930" s="2">
        <f ca="1">INDEX(INDIRECT(_xlfn.CONCAT("weather.tbl[",Q$1,"]")),MATCH(vp.data[[#This Row],[SDate]],weather.tbl[Date],0))</f>
        <v>-12.8</v>
      </c>
      <c r="R930" s="2">
        <f ca="1">INDEX(INDIRECT(_xlfn.CONCAT("weather.tbl[",R$1,"]")),MATCH(vp.data[[#This Row],[SDate]],weather.tbl[Date],0))</f>
        <v>-14</v>
      </c>
      <c r="S930" s="2">
        <f ca="1">INDEX(INDIRECT(_xlfn.CONCAT("weather.tbl[",S$1,"]")),MATCH(vp.data[[#This Row],[SDate]],weather.tbl[Date],0))</f>
        <v>-12.5</v>
      </c>
      <c r="T930" s="2">
        <f ca="1">INDEX(INDIRECT(_xlfn.CONCAT("weather.tbl[",T$1,"]")),MATCH(vp.data[[#This Row],[SDate]],weather.tbl[Date],0))</f>
        <v>-18</v>
      </c>
      <c r="U930" s="2">
        <f ca="1">INDEX(INDIRECT(_xlfn.CONCAT("weather.tbl[",U$1,"]")),MATCH(vp.data[[#This Row],[SDate]],weather.tbl[Date],0))</f>
        <v>-13.8</v>
      </c>
      <c r="V930" s="2">
        <f t="array" ref="V9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6750.8019999999997</v>
      </c>
      <c r="W930" t="s">
        <v>48</v>
      </c>
      <c r="X930">
        <f>IF(OR(vp.data[[#This Row],[Sulf]]="",vp.data[[#This Row],[Dens]]=""),1,0)</f>
        <v>0</v>
      </c>
      <c r="Y930">
        <f>IF(vp.data[[#This Row],[CrudeType]]="C5+",1,0)</f>
        <v>0</v>
      </c>
      <c r="Z930">
        <f>IF(AND(vp.data[[#This Row],[CrudeType]]="Crude",vp.data[[#This Row],[Dens]]&lt;=825,vp.data[[#This Row],[Sulf]]&gt;0.5,vp.data[[#This Row],[Unknown]]=0),1,0)</f>
        <v>1</v>
      </c>
      <c r="AA930">
        <f>IF(AND(vp.data[[#This Row],[CrudeType]]="Crude",vp.data[[#This Row],[Dens]]&lt;=825,vp.data[[#This Row],[Sulf]]&lt;=0.5,vp.data[[#This Row],[Unknown]]=0),1,0)</f>
        <v>0</v>
      </c>
      <c r="AB9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0">
        <f>IF(AND(vp.data[[#This Row],[CrudeType]]="Crude",vp.data[[#This Row],[Dens]]&gt;825,vp.data[[#This Row],[Dens]]&lt;=900,vp.data[[#This Row],[Sulf]]&lt;=0.5,vp.data[[#This Row],[Unknown]]=0),1,0)</f>
        <v>0</v>
      </c>
      <c r="AD930">
        <f>IF(AND(vp.data[[#This Row],[CrudeType]]="Crude",vp.data[[#This Row],[Dens]]&gt;865,vp.data[[#This Row],[Dens]]&lt;=900,vp.data[[#This Row],[Sulf]]&gt;2,vp.data[[#This Row],[Unknown]]=0),1,0)</f>
        <v>0</v>
      </c>
      <c r="AE930">
        <f>IF(AND(vp.data[[#This Row],[CrudeType]]="Crude",vp.data[[#This Row],[Dens]]&gt;900,vp.data[[#This Row],[Sulf]]&lt;=0.5,vp.data[[#This Row],[Unknown]]=0),1,0)</f>
        <v>0</v>
      </c>
      <c r="AF930">
        <f>IF(AND(vp.data[[#This Row],[CrudeType]]="Crude",vp.data[[#This Row],[Dens]]&gt;900,vp.data[[#This Row],[Sulf]]&lt;=0.5,vp.data[[#This Row],[Unknown]]=0),1,0)</f>
        <v>0</v>
      </c>
      <c r="AG930" t="str">
        <f>INDEX(vp.data[[#Headers],[Unknown]:[Heavy_SW]],MATCH(1,vp.data[[#This Row],[Unknown]:[Heavy_SW]],0))</f>
        <v>Light_LSB</v>
      </c>
      <c r="AH930">
        <f>INDEX([3]!crudeBD.lkup[Number],MATCH(vp.data[[#This Row],[Crude_Breakdown]],crudeBD.lkup[Crude Breakdown],0))</f>
        <v>1</v>
      </c>
      <c r="AI930">
        <f>MONTH(vp.data[[#This Row],[SDate]])</f>
        <v>3</v>
      </c>
      <c r="AJ930" s="5">
        <f>(vp.data[[#This Row],[VP]]-INDEX(crudeBD.lkup[Mean_VP],MATCH(vp.data[[#This Row],[Crude_Breakdown]],crudeBD.lkup[Crude Breakdown],0)))^2</f>
        <v>142.7113496014463</v>
      </c>
      <c r="AK930" s="5">
        <f>(vp.data[[#This Row],[Dens]]-INDEX(crudeBD.lkup[Mean_Dens],MATCH(vp.data[[#This Row],[Crude_Breakdown]],crudeBD.lkup[Crude Breakdown],0)))^2</f>
        <v>1.9133258983723416</v>
      </c>
      <c r="AL930" s="5">
        <f>(vp.data[[#This Row],[Sulf]]-INDEX(crudeBD.lkup[Mean_Sulf],MATCH(vp.data[[#This Row],[Crude_Breakdown]],crudeBD.lkup[Crude Breakdown],0)))^2</f>
        <v>0.15442633918177728</v>
      </c>
      <c r="AM930" s="4">
        <f>IF(AND(vp.data[[#This Row],[SDate]]&gt;=DATE(YEAR(vp.data[[#This Row],[SDate]]),5,1),vp.data[[#This Row],[SDate]]&lt;=DATE(YEAR(vp.data[[#This Row],[SDate]]),9,15)),1,0)</f>
        <v>0</v>
      </c>
      <c r="AN930" s="4">
        <f>IF(vp.data[[#This Row],[SDate]]&lt;DATE(2016,12,1),0,1)</f>
        <v>1</v>
      </c>
      <c r="AO930" s="4">
        <f>IFERROR(vp.data[[#This Row],[Sulf]]*vp.data[[#This Row],[Net Dens]],"")</f>
        <v>2933540.7566940002</v>
      </c>
      <c r="AP930">
        <f>IFERROR(vp.data[[#This Row],[Dens]]*vp.data[[#This Row],[VolumeM3]],"")</f>
        <v>5534982.5597999999</v>
      </c>
      <c r="AQ930" s="15">
        <f>IFERROR(vp.data[[#This Row],[VP]]*vp.data[[#This Row],[VolumeM3]],"")</f>
        <v>537363.83919999993</v>
      </c>
    </row>
    <row r="931" spans="1:43" x14ac:dyDescent="0.25">
      <c r="A931">
        <v>930</v>
      </c>
      <c r="B931" t="s">
        <v>51</v>
      </c>
      <c r="C931" t="s">
        <v>51</v>
      </c>
      <c r="D931" t="s">
        <v>66</v>
      </c>
      <c r="F931" s="1">
        <v>42796</v>
      </c>
      <c r="G931" s="2">
        <v>94.3</v>
      </c>
      <c r="H931" s="2"/>
      <c r="I931" s="2">
        <f t="array" ref="I931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931" s="2">
        <v>-3</v>
      </c>
      <c r="K931" s="2">
        <v>-15</v>
      </c>
      <c r="L931" s="2">
        <v>826.3</v>
      </c>
      <c r="M931" s="2">
        <f t="array" ref="M931">_xlfn.IFNA(IF(vp.data[[#This Row],[Dens Input]]="",INDEX([1]DATA!$O$3:$O$9826,MATCH(1,(vp.data[[#This Row],[Battery]]=[1]DATA!$L$3:$L$9826)*(EOMONTH(vp.data[[#This Row],[SDate]],-1)+1=[1]DATA!$G$3:$G$9826),0)),vp.data[[#This Row],[Dens Input]]),"")</f>
        <v>826.3</v>
      </c>
      <c r="N931" s="2">
        <f ca="1">INDEX(INDIRECT(_xlfn.CONCAT("weather.tbl[",N$1,"]")),MATCH(vp.data[[#This Row],[SDate]],weather.tbl[Date],0))</f>
        <v>-14.083333333333334</v>
      </c>
      <c r="O931" s="2">
        <f ca="1">INDEX(INDIRECT(_xlfn.CONCAT("weather.tbl[",O$1,"]")),MATCH(vp.data[[#This Row],[SDate]],weather.tbl[Date],0))</f>
        <v>-12.366666666666665</v>
      </c>
      <c r="P931" s="2">
        <f ca="1">INDEX(INDIRECT(_xlfn.CONCAT("weather.tbl[",P$1,"]")),MATCH(vp.data[[#This Row],[SDate]],weather.tbl[Date],0))</f>
        <v>-13.4</v>
      </c>
      <c r="Q931" s="2">
        <f ca="1">INDEX(INDIRECT(_xlfn.CONCAT("weather.tbl[",Q$1,"]")),MATCH(vp.data[[#This Row],[SDate]],weather.tbl[Date],0))</f>
        <v>-12.8</v>
      </c>
      <c r="R931" s="2">
        <f ca="1">INDEX(INDIRECT(_xlfn.CONCAT("weather.tbl[",R$1,"]")),MATCH(vp.data[[#This Row],[SDate]],weather.tbl[Date],0))</f>
        <v>-14</v>
      </c>
      <c r="S931" s="2">
        <f ca="1">INDEX(INDIRECT(_xlfn.CONCAT("weather.tbl[",S$1,"]")),MATCH(vp.data[[#This Row],[SDate]],weather.tbl[Date],0))</f>
        <v>-12.5</v>
      </c>
      <c r="T931" s="2">
        <f ca="1">INDEX(INDIRECT(_xlfn.CONCAT("weather.tbl[",T$1,"]")),MATCH(vp.data[[#This Row],[SDate]],weather.tbl[Date],0))</f>
        <v>-18</v>
      </c>
      <c r="U931" s="2">
        <f ca="1">INDEX(INDIRECT(_xlfn.CONCAT("weather.tbl[",U$1,"]")),MATCH(vp.data[[#This Row],[SDate]],weather.tbl[Date],0))</f>
        <v>-13.8</v>
      </c>
      <c r="V931" s="2">
        <f t="array" ref="V9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3482.7910000000002</v>
      </c>
      <c r="W931" t="s">
        <v>48</v>
      </c>
      <c r="X931">
        <f>IF(OR(vp.data[[#This Row],[Sulf]]="",vp.data[[#This Row],[Dens]]=""),1,0)</f>
        <v>0</v>
      </c>
      <c r="Y931">
        <f>IF(vp.data[[#This Row],[CrudeType]]="C5+",1,0)</f>
        <v>0</v>
      </c>
      <c r="Z931">
        <f>IF(AND(vp.data[[#This Row],[CrudeType]]="Crude",vp.data[[#This Row],[Dens]]&lt;=825,vp.data[[#This Row],[Sulf]]&gt;0.5,vp.data[[#This Row],[Unknown]]=0),1,0)</f>
        <v>0</v>
      </c>
      <c r="AA931">
        <f>IF(AND(vp.data[[#This Row],[CrudeType]]="Crude",vp.data[[#This Row],[Dens]]&lt;=825,vp.data[[#This Row],[Sulf]]&lt;=0.5,vp.data[[#This Row],[Unknown]]=0),1,0)</f>
        <v>0</v>
      </c>
      <c r="AB9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31">
        <f>IF(AND(vp.data[[#This Row],[CrudeType]]="Crude",vp.data[[#This Row],[Dens]]&gt;825,vp.data[[#This Row],[Dens]]&lt;=900,vp.data[[#This Row],[Sulf]]&lt;=0.5,vp.data[[#This Row],[Unknown]]=0),1,0)</f>
        <v>0</v>
      </c>
      <c r="AD931">
        <f>IF(AND(vp.data[[#This Row],[CrudeType]]="Crude",vp.data[[#This Row],[Dens]]&gt;865,vp.data[[#This Row],[Dens]]&lt;=900,vp.data[[#This Row],[Sulf]]&gt;2,vp.data[[#This Row],[Unknown]]=0),1,0)</f>
        <v>0</v>
      </c>
      <c r="AE931">
        <f>IF(AND(vp.data[[#This Row],[CrudeType]]="Crude",vp.data[[#This Row],[Dens]]&gt;900,vp.data[[#This Row],[Sulf]]&lt;=0.5,vp.data[[#This Row],[Unknown]]=0),1,0)</f>
        <v>0</v>
      </c>
      <c r="AF931">
        <f>IF(AND(vp.data[[#This Row],[CrudeType]]="Crude",vp.data[[#This Row],[Dens]]&gt;900,vp.data[[#This Row],[Sulf]]&lt;=0.5,vp.data[[#This Row],[Unknown]]=0),1,0)</f>
        <v>0</v>
      </c>
      <c r="AG931" t="str">
        <f>INDEX(vp.data[[#Headers],[Unknown]:[Heavy_SW]],MATCH(1,vp.data[[#This Row],[Unknown]:[Heavy_SW]],0))</f>
        <v>Medium_LSB</v>
      </c>
      <c r="AH931">
        <f>INDEX([3]!crudeBD.lkup[Number],MATCH(vp.data[[#This Row],[Crude_Breakdown]],crudeBD.lkup[Crude Breakdown],0))</f>
        <v>3</v>
      </c>
      <c r="AI931">
        <f>MONTH(vp.data[[#This Row],[SDate]])</f>
        <v>3</v>
      </c>
      <c r="AJ931" s="5">
        <f>(vp.data[[#This Row],[VP]]-INDEX(crudeBD.lkup[Mean_VP],MATCH(vp.data[[#This Row],[Crude_Breakdown]],crudeBD.lkup[Crude Breakdown],0)))^2</f>
        <v>186.60443676230381</v>
      </c>
      <c r="AK931" s="5">
        <f>(vp.data[[#This Row],[Dens]]-INDEX(crudeBD.lkup[Mean_Dens],MATCH(vp.data[[#This Row],[Crude_Breakdown]],crudeBD.lkup[Crude Breakdown],0)))^2</f>
        <v>310.46439999998415</v>
      </c>
      <c r="AL931" s="5">
        <f>(vp.data[[#This Row],[Sulf]]-INDEX(crudeBD.lkup[Mean_Sulf],MATCH(vp.data[[#This Row],[Crude_Breakdown]],crudeBD.lkup[Crude Breakdown],0)))^2</f>
        <v>6.4557290162259046E-4</v>
      </c>
      <c r="AM931" s="4">
        <f>IF(AND(vp.data[[#This Row],[SDate]]&gt;=DATE(YEAR(vp.data[[#This Row],[SDate]]),5,1),vp.data[[#This Row],[SDate]]&lt;=DATE(YEAR(vp.data[[#This Row],[SDate]]),9,15)),1,0)</f>
        <v>0</v>
      </c>
      <c r="AN931" s="4">
        <f>IF(vp.data[[#This Row],[SDate]]&lt;DATE(2016,12,1),0,1)</f>
        <v>1</v>
      </c>
      <c r="AO931" s="4">
        <f>IFERROR(vp.data[[#This Row],[Sulf]]*vp.data[[#This Row],[Net Dens]],"")</f>
        <v>3913849.0764880003</v>
      </c>
      <c r="AP931">
        <f>IFERROR(vp.data[[#This Row],[Dens]]*vp.data[[#This Row],[VolumeM3]],"")</f>
        <v>2877830.2033000002</v>
      </c>
      <c r="AQ931" s="15">
        <f>IFERROR(vp.data[[#This Row],[VP]]*vp.data[[#This Row],[VolumeM3]],"")</f>
        <v>328427.19130000001</v>
      </c>
    </row>
    <row r="932" spans="1:43" x14ac:dyDescent="0.25">
      <c r="A932">
        <v>931</v>
      </c>
      <c r="B932" t="s">
        <v>108</v>
      </c>
      <c r="C932" t="s">
        <v>108</v>
      </c>
      <c r="D932" t="s">
        <v>109</v>
      </c>
      <c r="F932" s="1">
        <v>42796</v>
      </c>
      <c r="G932" s="2">
        <v>88.9</v>
      </c>
      <c r="H932" s="2"/>
      <c r="I932" s="2">
        <f t="array" ref="I932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932" s="2">
        <v>25.4</v>
      </c>
      <c r="K932" s="2">
        <v>-15</v>
      </c>
      <c r="L932" s="2">
        <v>834.2</v>
      </c>
      <c r="M932" s="2">
        <f t="array" ref="M932">_xlfn.IFNA(IF(vp.data[[#This Row],[Dens Input]]="",INDEX([1]DATA!$O$3:$O$9826,MATCH(1,(vp.data[[#This Row],[Battery]]=[1]DATA!$L$3:$L$9826)*(EOMONTH(vp.data[[#This Row],[SDate]],-1)+1=[1]DATA!$G$3:$G$9826),0)),vp.data[[#This Row],[Dens Input]]),"")</f>
        <v>834.2</v>
      </c>
      <c r="N932" s="2">
        <f ca="1">INDEX(INDIRECT(_xlfn.CONCAT("weather.tbl[",N$1,"]")),MATCH(vp.data[[#This Row],[SDate]],weather.tbl[Date],0))</f>
        <v>-14.083333333333334</v>
      </c>
      <c r="O932" s="2">
        <f ca="1">INDEX(INDIRECT(_xlfn.CONCAT("weather.tbl[",O$1,"]")),MATCH(vp.data[[#This Row],[SDate]],weather.tbl[Date],0))</f>
        <v>-12.366666666666665</v>
      </c>
      <c r="P932" s="2">
        <f ca="1">INDEX(INDIRECT(_xlfn.CONCAT("weather.tbl[",P$1,"]")),MATCH(vp.data[[#This Row],[SDate]],weather.tbl[Date],0))</f>
        <v>-13.4</v>
      </c>
      <c r="Q932" s="2">
        <f ca="1">INDEX(INDIRECT(_xlfn.CONCAT("weather.tbl[",Q$1,"]")),MATCH(vp.data[[#This Row],[SDate]],weather.tbl[Date],0))</f>
        <v>-12.8</v>
      </c>
      <c r="R932" s="2">
        <f ca="1">INDEX(INDIRECT(_xlfn.CONCAT("weather.tbl[",R$1,"]")),MATCH(vp.data[[#This Row],[SDate]],weather.tbl[Date],0))</f>
        <v>-14</v>
      </c>
      <c r="S932" s="2">
        <f ca="1">INDEX(INDIRECT(_xlfn.CONCAT("weather.tbl[",S$1,"]")),MATCH(vp.data[[#This Row],[SDate]],weather.tbl[Date],0))</f>
        <v>-12.5</v>
      </c>
      <c r="T932" s="2">
        <f ca="1">INDEX(INDIRECT(_xlfn.CONCAT("weather.tbl[",T$1,"]")),MATCH(vp.data[[#This Row],[SDate]],weather.tbl[Date],0))</f>
        <v>-18</v>
      </c>
      <c r="U932" s="2">
        <f ca="1">INDEX(INDIRECT(_xlfn.CONCAT("weather.tbl[",U$1,"]")),MATCH(vp.data[[#This Row],[SDate]],weather.tbl[Date],0))</f>
        <v>-13.8</v>
      </c>
      <c r="V932" s="2">
        <f t="array" ref="V9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9449.0609999999997</v>
      </c>
      <c r="W932" t="s">
        <v>48</v>
      </c>
      <c r="X932">
        <f>IF(OR(vp.data[[#This Row],[Sulf]]="",vp.data[[#This Row],[Dens]]=""),1,0)</f>
        <v>0</v>
      </c>
      <c r="Y932">
        <f>IF(vp.data[[#This Row],[CrudeType]]="C5+",1,0)</f>
        <v>0</v>
      </c>
      <c r="Z932">
        <f>IF(AND(vp.data[[#This Row],[CrudeType]]="Crude",vp.data[[#This Row],[Dens]]&lt;=825,vp.data[[#This Row],[Sulf]]&gt;0.5,vp.data[[#This Row],[Unknown]]=0),1,0)</f>
        <v>0</v>
      </c>
      <c r="AA932">
        <f>IF(AND(vp.data[[#This Row],[CrudeType]]="Crude",vp.data[[#This Row],[Dens]]&lt;=825,vp.data[[#This Row],[Sulf]]&lt;=0.5,vp.data[[#This Row],[Unknown]]=0),1,0)</f>
        <v>0</v>
      </c>
      <c r="AB9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32">
        <f>IF(AND(vp.data[[#This Row],[CrudeType]]="Crude",vp.data[[#This Row],[Dens]]&gt;825,vp.data[[#This Row],[Dens]]&lt;=900,vp.data[[#This Row],[Sulf]]&lt;=0.5,vp.data[[#This Row],[Unknown]]=0),1,0)</f>
        <v>0</v>
      </c>
      <c r="AD932">
        <f>IF(AND(vp.data[[#This Row],[CrudeType]]="Crude",vp.data[[#This Row],[Dens]]&gt;865,vp.data[[#This Row],[Dens]]&lt;=900,vp.data[[#This Row],[Sulf]]&gt;2,vp.data[[#This Row],[Unknown]]=0),1,0)</f>
        <v>0</v>
      </c>
      <c r="AE932">
        <f>IF(AND(vp.data[[#This Row],[CrudeType]]="Crude",vp.data[[#This Row],[Dens]]&gt;900,vp.data[[#This Row],[Sulf]]&lt;=0.5,vp.data[[#This Row],[Unknown]]=0),1,0)</f>
        <v>0</v>
      </c>
      <c r="AF932">
        <f>IF(AND(vp.data[[#This Row],[CrudeType]]="Crude",vp.data[[#This Row],[Dens]]&gt;900,vp.data[[#This Row],[Sulf]]&lt;=0.5,vp.data[[#This Row],[Unknown]]=0),1,0)</f>
        <v>0</v>
      </c>
      <c r="AG932" t="str">
        <f>INDEX(vp.data[[#Headers],[Unknown]:[Heavy_SW]],MATCH(1,vp.data[[#This Row],[Unknown]:[Heavy_SW]],0))</f>
        <v>Medium_LSB</v>
      </c>
      <c r="AH932">
        <f>INDEX([3]!crudeBD.lkup[Number],MATCH(vp.data[[#This Row],[Crude_Breakdown]],crudeBD.lkup[Crude Breakdown],0))</f>
        <v>3</v>
      </c>
      <c r="AI932">
        <f>MONTH(vp.data[[#This Row],[SDate]])</f>
        <v>3</v>
      </c>
      <c r="AJ932" s="5">
        <f>(vp.data[[#This Row],[VP]]-INDEX(crudeBD.lkup[Mean_VP],MATCH(vp.data[[#This Row],[Crude_Breakdown]],crudeBD.lkup[Crude Breakdown],0)))^2</f>
        <v>68.232943500847682</v>
      </c>
      <c r="AK932" s="5">
        <f>(vp.data[[#This Row],[Dens]]-INDEX(crudeBD.lkup[Mean_Dens],MATCH(vp.data[[#This Row],[Crude_Breakdown]],crudeBD.lkup[Crude Breakdown],0)))^2</f>
        <v>94.478399999989477</v>
      </c>
      <c r="AL932" s="5">
        <f>(vp.data[[#This Row],[Sulf]]-INDEX(crudeBD.lkup[Mean_Sulf],MATCH(vp.data[[#This Row],[Crude_Breakdown]],crudeBD.lkup[Crude Breakdown],0)))^2</f>
        <v>0.35451083732210947</v>
      </c>
      <c r="AM932" s="4">
        <f>IF(AND(vp.data[[#This Row],[SDate]]&gt;=DATE(YEAR(vp.data[[#This Row],[SDate]]),5,1),vp.data[[#This Row],[SDate]]&lt;=DATE(YEAR(vp.data[[#This Row],[SDate]]),9,15)),1,0)</f>
        <v>0</v>
      </c>
      <c r="AN932" s="4">
        <f>IF(vp.data[[#This Row],[SDate]]&lt;DATE(2016,12,1),0,1)</f>
        <v>1</v>
      </c>
      <c r="AO932" s="4">
        <f>IFERROR(vp.data[[#This Row],[Sulf]]*vp.data[[#This Row],[Net Dens]],"")</f>
        <v>6227101.2820980009</v>
      </c>
      <c r="AP932">
        <f>IFERROR(vp.data[[#This Row],[Dens]]*vp.data[[#This Row],[VolumeM3]],"")</f>
        <v>7882406.6862000003</v>
      </c>
      <c r="AQ932" s="15">
        <f>IFERROR(vp.data[[#This Row],[VP]]*vp.data[[#This Row],[VolumeM3]],"")</f>
        <v>840021.52289999998</v>
      </c>
    </row>
    <row r="933" spans="1:43" x14ac:dyDescent="0.25">
      <c r="A933">
        <v>932</v>
      </c>
      <c r="B933" t="s">
        <v>51</v>
      </c>
      <c r="C933" t="s">
        <v>51</v>
      </c>
      <c r="D933" t="s">
        <v>72</v>
      </c>
      <c r="F933" s="1">
        <v>42796</v>
      </c>
      <c r="G933" s="2">
        <v>84.6</v>
      </c>
      <c r="H933" s="2"/>
      <c r="I933" s="2">
        <f t="array" ref="I933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933" s="2">
        <v>29.3</v>
      </c>
      <c r="K933" s="2">
        <v>-15</v>
      </c>
      <c r="L933" s="2">
        <v>837.1</v>
      </c>
      <c r="M933" s="2">
        <f t="array" ref="M933">_xlfn.IFNA(IF(vp.data[[#This Row],[Dens Input]]="",INDEX([1]DATA!$O$3:$O$9826,MATCH(1,(vp.data[[#This Row],[Battery]]=[1]DATA!$L$3:$L$9826)*(EOMONTH(vp.data[[#This Row],[SDate]],-1)+1=[1]DATA!$G$3:$G$9826),0)),vp.data[[#This Row],[Dens Input]]),"")</f>
        <v>837.1</v>
      </c>
      <c r="N933" s="2">
        <f ca="1">INDEX(INDIRECT(_xlfn.CONCAT("weather.tbl[",N$1,"]")),MATCH(vp.data[[#This Row],[SDate]],weather.tbl[Date],0))</f>
        <v>-14.083333333333334</v>
      </c>
      <c r="O933" s="2">
        <f ca="1">INDEX(INDIRECT(_xlfn.CONCAT("weather.tbl[",O$1,"]")),MATCH(vp.data[[#This Row],[SDate]],weather.tbl[Date],0))</f>
        <v>-12.366666666666665</v>
      </c>
      <c r="P933" s="2">
        <f ca="1">INDEX(INDIRECT(_xlfn.CONCAT("weather.tbl[",P$1,"]")),MATCH(vp.data[[#This Row],[SDate]],weather.tbl[Date],0))</f>
        <v>-13.4</v>
      </c>
      <c r="Q933" s="2">
        <f ca="1">INDEX(INDIRECT(_xlfn.CONCAT("weather.tbl[",Q$1,"]")),MATCH(vp.data[[#This Row],[SDate]],weather.tbl[Date],0))</f>
        <v>-12.8</v>
      </c>
      <c r="R933" s="2">
        <f ca="1">INDEX(INDIRECT(_xlfn.CONCAT("weather.tbl[",R$1,"]")),MATCH(vp.data[[#This Row],[SDate]],weather.tbl[Date],0))</f>
        <v>-14</v>
      </c>
      <c r="S933" s="2">
        <f ca="1">INDEX(INDIRECT(_xlfn.CONCAT("weather.tbl[",S$1,"]")),MATCH(vp.data[[#This Row],[SDate]],weather.tbl[Date],0))</f>
        <v>-12.5</v>
      </c>
      <c r="T933" s="2">
        <f ca="1">INDEX(INDIRECT(_xlfn.CONCAT("weather.tbl[",T$1,"]")),MATCH(vp.data[[#This Row],[SDate]],weather.tbl[Date],0))</f>
        <v>-18</v>
      </c>
      <c r="U933" s="2">
        <f ca="1">INDEX(INDIRECT(_xlfn.CONCAT("weather.tbl[",U$1,"]")),MATCH(vp.data[[#This Row],[SDate]],weather.tbl[Date],0))</f>
        <v>-13.8</v>
      </c>
      <c r="V933" s="2">
        <f t="array" ref="V9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933" t="s">
        <v>48</v>
      </c>
      <c r="X933">
        <f>IF(OR(vp.data[[#This Row],[Sulf]]="",vp.data[[#This Row],[Dens]]=""),1,0)</f>
        <v>0</v>
      </c>
      <c r="Y933">
        <f>IF(vp.data[[#This Row],[CrudeType]]="C5+",1,0)</f>
        <v>0</v>
      </c>
      <c r="Z933">
        <f>IF(AND(vp.data[[#This Row],[CrudeType]]="Crude",vp.data[[#This Row],[Dens]]&lt;=825,vp.data[[#This Row],[Sulf]]&gt;0.5,vp.data[[#This Row],[Unknown]]=0),1,0)</f>
        <v>0</v>
      </c>
      <c r="AA933">
        <f>IF(AND(vp.data[[#This Row],[CrudeType]]="Crude",vp.data[[#This Row],[Dens]]&lt;=825,vp.data[[#This Row],[Sulf]]&lt;=0.5,vp.data[[#This Row],[Unknown]]=0),1,0)</f>
        <v>0</v>
      </c>
      <c r="AB9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33">
        <f>IF(AND(vp.data[[#This Row],[CrudeType]]="Crude",vp.data[[#This Row],[Dens]]&gt;825,vp.data[[#This Row],[Dens]]&lt;=900,vp.data[[#This Row],[Sulf]]&lt;=0.5,vp.data[[#This Row],[Unknown]]=0),1,0)</f>
        <v>0</v>
      </c>
      <c r="AD933">
        <f>IF(AND(vp.data[[#This Row],[CrudeType]]="Crude",vp.data[[#This Row],[Dens]]&gt;865,vp.data[[#This Row],[Dens]]&lt;=900,vp.data[[#This Row],[Sulf]]&gt;2,vp.data[[#This Row],[Unknown]]=0),1,0)</f>
        <v>0</v>
      </c>
      <c r="AE933">
        <f>IF(AND(vp.data[[#This Row],[CrudeType]]="Crude",vp.data[[#This Row],[Dens]]&gt;900,vp.data[[#This Row],[Sulf]]&lt;=0.5,vp.data[[#This Row],[Unknown]]=0),1,0)</f>
        <v>0</v>
      </c>
      <c r="AF933">
        <f>IF(AND(vp.data[[#This Row],[CrudeType]]="Crude",vp.data[[#This Row],[Dens]]&gt;900,vp.data[[#This Row],[Sulf]]&lt;=0.5,vp.data[[#This Row],[Unknown]]=0),1,0)</f>
        <v>0</v>
      </c>
      <c r="AG933" t="str">
        <f>INDEX(vp.data[[#Headers],[Unknown]:[Heavy_SW]],MATCH(1,vp.data[[#This Row],[Unknown]:[Heavy_SW]],0))</f>
        <v>Medium_LSB</v>
      </c>
      <c r="AH933">
        <f>INDEX([3]!crudeBD.lkup[Number],MATCH(vp.data[[#This Row],[Crude_Breakdown]],crudeBD.lkup[Crude Breakdown],0))</f>
        <v>3</v>
      </c>
      <c r="AI933">
        <f>MONTH(vp.data[[#This Row],[SDate]])</f>
        <v>3</v>
      </c>
      <c r="AJ933" s="5">
        <f>(vp.data[[#This Row],[VP]]-INDEX(crudeBD.lkup[Mean_VP],MATCH(vp.data[[#This Row],[Crude_Breakdown]],crudeBD.lkup[Crude Breakdown],0)))^2</f>
        <v>15.684161829687897</v>
      </c>
      <c r="AK933" s="5">
        <f>(vp.data[[#This Row],[Dens]]-INDEX(crudeBD.lkup[Mean_Dens],MATCH(vp.data[[#This Row],[Crude_Breakdown]],crudeBD.lkup[Crude Breakdown],0)))^2</f>
        <v>46.51239999999293</v>
      </c>
      <c r="AL933" s="5">
        <f>(vp.data[[#This Row],[Sulf]]-INDEX(crudeBD.lkup[Mean_Sulf],MATCH(vp.data[[#This Row],[Crude_Breakdown]],crudeBD.lkup[Crude Breakdown],0)))^2</f>
        <v>9.3274123845019638E-2</v>
      </c>
      <c r="AM933" s="4">
        <f>IF(AND(vp.data[[#This Row],[SDate]]&gt;=DATE(YEAR(vp.data[[#This Row],[SDate]]),5,1),vp.data[[#This Row],[SDate]]&lt;=DATE(YEAR(vp.data[[#This Row],[SDate]]),9,15)),1,0)</f>
        <v>0</v>
      </c>
      <c r="AN933" s="4">
        <f>IF(vp.data[[#This Row],[SDate]]&lt;DATE(2016,12,1),0,1)</f>
        <v>1</v>
      </c>
      <c r="AO933" s="4">
        <f>IFERROR(vp.data[[#This Row],[Sulf]]*vp.data[[#This Row],[Net Dens]],"")</f>
        <v>12547138.476312</v>
      </c>
      <c r="AP933">
        <f>IFERROR(vp.data[[#This Row],[Dens]]*vp.data[[#This Row],[VolumeM3]],"")</f>
        <v>11617720.8114</v>
      </c>
      <c r="AQ933" s="15">
        <f>IFERROR(vp.data[[#This Row],[VP]]*vp.data[[#This Row],[VolumeM3]],"")</f>
        <v>1174123.9763999998</v>
      </c>
    </row>
    <row r="934" spans="1:43" x14ac:dyDescent="0.25">
      <c r="A934">
        <v>933</v>
      </c>
      <c r="B934" t="s">
        <v>68</v>
      </c>
      <c r="C934" t="s">
        <v>68</v>
      </c>
      <c r="D934" t="s">
        <v>98</v>
      </c>
      <c r="F934" s="1">
        <v>42796</v>
      </c>
      <c r="G934" s="2">
        <v>72.2</v>
      </c>
      <c r="H934" s="2"/>
      <c r="I934" s="2">
        <f t="array" ref="I934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934" s="2">
        <v>32.6</v>
      </c>
      <c r="K934" s="2">
        <v>-15</v>
      </c>
      <c r="L934" s="2">
        <v>854.2</v>
      </c>
      <c r="M934" s="2">
        <f t="array" ref="M934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934" s="2">
        <f ca="1">INDEX(INDIRECT(_xlfn.CONCAT("weather.tbl[",N$1,"]")),MATCH(vp.data[[#This Row],[SDate]],weather.tbl[Date],0))</f>
        <v>-14.083333333333334</v>
      </c>
      <c r="O934" s="2">
        <f ca="1">INDEX(INDIRECT(_xlfn.CONCAT("weather.tbl[",O$1,"]")),MATCH(vp.data[[#This Row],[SDate]],weather.tbl[Date],0))</f>
        <v>-12.366666666666665</v>
      </c>
      <c r="P934" s="2">
        <f ca="1">INDEX(INDIRECT(_xlfn.CONCAT("weather.tbl[",P$1,"]")),MATCH(vp.data[[#This Row],[SDate]],weather.tbl[Date],0))</f>
        <v>-13.4</v>
      </c>
      <c r="Q934" s="2">
        <f ca="1">INDEX(INDIRECT(_xlfn.CONCAT("weather.tbl[",Q$1,"]")),MATCH(vp.data[[#This Row],[SDate]],weather.tbl[Date],0))</f>
        <v>-12.8</v>
      </c>
      <c r="R934" s="2">
        <f ca="1">INDEX(INDIRECT(_xlfn.CONCAT("weather.tbl[",R$1,"]")),MATCH(vp.data[[#This Row],[SDate]],weather.tbl[Date],0))</f>
        <v>-14</v>
      </c>
      <c r="S934" s="2">
        <f ca="1">INDEX(INDIRECT(_xlfn.CONCAT("weather.tbl[",S$1,"]")),MATCH(vp.data[[#This Row],[SDate]],weather.tbl[Date],0))</f>
        <v>-12.5</v>
      </c>
      <c r="T934" s="2">
        <f ca="1">INDEX(INDIRECT(_xlfn.CONCAT("weather.tbl[",T$1,"]")),MATCH(vp.data[[#This Row],[SDate]],weather.tbl[Date],0))</f>
        <v>-18</v>
      </c>
      <c r="U934" s="2">
        <f ca="1">INDEX(INDIRECT(_xlfn.CONCAT("weather.tbl[",U$1,"]")),MATCH(vp.data[[#This Row],[SDate]],weather.tbl[Date],0))</f>
        <v>-13.8</v>
      </c>
      <c r="V934" s="2">
        <f t="array" ref="V9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4943.8360000000002</v>
      </c>
      <c r="W934" t="s">
        <v>48</v>
      </c>
      <c r="X934">
        <f>IF(OR(vp.data[[#This Row],[Sulf]]="",vp.data[[#This Row],[Dens]]=""),1,0)</f>
        <v>0</v>
      </c>
      <c r="Y934">
        <f>IF(vp.data[[#This Row],[CrudeType]]="C5+",1,0)</f>
        <v>0</v>
      </c>
      <c r="Z934">
        <f>IF(AND(vp.data[[#This Row],[CrudeType]]="Crude",vp.data[[#This Row],[Dens]]&lt;=825,vp.data[[#This Row],[Sulf]]&gt;0.5,vp.data[[#This Row],[Unknown]]=0),1,0)</f>
        <v>0</v>
      </c>
      <c r="AA934">
        <f>IF(AND(vp.data[[#This Row],[CrudeType]]="Crude",vp.data[[#This Row],[Dens]]&lt;=825,vp.data[[#This Row],[Sulf]]&lt;=0.5,vp.data[[#This Row],[Unknown]]=0),1,0)</f>
        <v>0</v>
      </c>
      <c r="AB9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34">
        <f>IF(AND(vp.data[[#This Row],[CrudeType]]="Crude",vp.data[[#This Row],[Dens]]&gt;825,vp.data[[#This Row],[Dens]]&lt;=900,vp.data[[#This Row],[Sulf]]&lt;=0.5,vp.data[[#This Row],[Unknown]]=0),1,0)</f>
        <v>0</v>
      </c>
      <c r="AD934">
        <f>IF(AND(vp.data[[#This Row],[CrudeType]]="Crude",vp.data[[#This Row],[Dens]]&gt;865,vp.data[[#This Row],[Dens]]&lt;=900,vp.data[[#This Row],[Sulf]]&gt;2,vp.data[[#This Row],[Unknown]]=0),1,0)</f>
        <v>0</v>
      </c>
      <c r="AE934">
        <f>IF(AND(vp.data[[#This Row],[CrudeType]]="Crude",vp.data[[#This Row],[Dens]]&gt;900,vp.data[[#This Row],[Sulf]]&lt;=0.5,vp.data[[#This Row],[Unknown]]=0),1,0)</f>
        <v>0</v>
      </c>
      <c r="AF934">
        <f>IF(AND(vp.data[[#This Row],[CrudeType]]="Crude",vp.data[[#This Row],[Dens]]&gt;900,vp.data[[#This Row],[Sulf]]&lt;=0.5,vp.data[[#This Row],[Unknown]]=0),1,0)</f>
        <v>0</v>
      </c>
      <c r="AG934" t="str">
        <f>INDEX(vp.data[[#Headers],[Unknown]:[Heavy_SW]],MATCH(1,vp.data[[#This Row],[Unknown]:[Heavy_SW]],0))</f>
        <v>Medium_LSB</v>
      </c>
      <c r="AH934">
        <f>INDEX([3]!crudeBD.lkup[Number],MATCH(vp.data[[#This Row],[Crude_Breakdown]],crudeBD.lkup[Crude Breakdown],0))</f>
        <v>3</v>
      </c>
      <c r="AI934">
        <f>MONTH(vp.data[[#This Row],[SDate]])</f>
        <v>3</v>
      </c>
      <c r="AJ934" s="5">
        <f>(vp.data[[#This Row],[VP]]-INDEX(crudeBD.lkup[Mean_VP],MATCH(vp.data[[#This Row],[Crude_Breakdown]],crudeBD.lkup[Crude Breakdown],0)))^2</f>
        <v>71.2281402663438</v>
      </c>
      <c r="AK934" s="5">
        <f>(vp.data[[#This Row],[Dens]]-INDEX(crudeBD.lkup[Mean_Dens],MATCH(vp.data[[#This Row],[Crude_Breakdown]],crudeBD.lkup[Crude Breakdown],0)))^2</f>
        <v>105.67840000001112</v>
      </c>
      <c r="AL934" s="5">
        <f>(vp.data[[#This Row],[Sulf]]-INDEX(crudeBD.lkup[Mean_Sulf],MATCH(vp.data[[#This Row],[Crude_Breakdown]],crudeBD.lkup[Crude Breakdown],0)))^2</f>
        <v>3.07680109070139E-2</v>
      </c>
      <c r="AM934" s="4">
        <f>IF(AND(vp.data[[#This Row],[SDate]]&gt;=DATE(YEAR(vp.data[[#This Row],[SDate]]),5,1),vp.data[[#This Row],[SDate]]&lt;=DATE(YEAR(vp.data[[#This Row],[SDate]]),9,15)),1,0)</f>
        <v>0</v>
      </c>
      <c r="AN934" s="4">
        <f>IF(vp.data[[#This Row],[SDate]]&lt;DATE(2016,12,1),0,1)</f>
        <v>1</v>
      </c>
      <c r="AO934" s="4">
        <f>IFERROR(vp.data[[#This Row],[Sulf]]*vp.data[[#This Row],[Net Dens]],"")</f>
        <v>5109859.9005520009</v>
      </c>
      <c r="AP934">
        <f>IFERROR(vp.data[[#This Row],[Dens]]*vp.data[[#This Row],[VolumeM3]],"")</f>
        <v>4223024.7112000007</v>
      </c>
      <c r="AQ934" s="15">
        <f>IFERROR(vp.data[[#This Row],[VP]]*vp.data[[#This Row],[VolumeM3]],"")</f>
        <v>356944.95920000004</v>
      </c>
    </row>
    <row r="935" spans="1:43" x14ac:dyDescent="0.25">
      <c r="A935">
        <v>934</v>
      </c>
      <c r="B935" t="s">
        <v>62</v>
      </c>
      <c r="C935" t="s">
        <v>62</v>
      </c>
      <c r="D935" t="s">
        <v>79</v>
      </c>
      <c r="F935" s="1">
        <v>42797</v>
      </c>
      <c r="G935" s="2">
        <v>100.1</v>
      </c>
      <c r="H935" s="2"/>
      <c r="I935" s="2">
        <f t="array" ref="I935">_xlfn.IFNA(IF(vp.data[[#This Row],[Sulf Input]]="",INDEX([1]DATA!$Q$3:$Q$9826,MATCH(1,(vp.data[[#This Row],[Battery]]=[1]DATA!$L$3:$L$9826)*(EOMONTH(vp.data[[#This Row],[SDate]],-1)+1=[1]DATA!$G$3:$G$9826),0)),vp.data[[#This Row],[Sulf Input]]),"")</f>
        <v>0.3</v>
      </c>
      <c r="J935" s="2">
        <v>11.5</v>
      </c>
      <c r="K935" s="2">
        <v>-13</v>
      </c>
      <c r="L935" s="2">
        <v>808.1</v>
      </c>
      <c r="M935" s="2">
        <f t="array" ref="M935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935" s="2">
        <f ca="1">INDEX(INDIRECT(_xlfn.CONCAT("weather.tbl[",N$1,"]")),MATCH(vp.data[[#This Row],[SDate]],weather.tbl[Date],0))</f>
        <v>-7.416666666666667</v>
      </c>
      <c r="O935" s="2">
        <f ca="1">INDEX(INDIRECT(_xlfn.CONCAT("weather.tbl[",O$1,"]")),MATCH(vp.data[[#This Row],[SDate]],weather.tbl[Date],0))</f>
        <v>-12.469047619047618</v>
      </c>
      <c r="P935" s="2">
        <f ca="1">INDEX(INDIRECT(_xlfn.CONCAT("weather.tbl[",P$1,"]")),MATCH(vp.data[[#This Row],[SDate]],weather.tbl[Date],0))</f>
        <v>-6.2</v>
      </c>
      <c r="Q935" s="2">
        <f ca="1">INDEX(INDIRECT(_xlfn.CONCAT("weather.tbl[",Q$1,"]")),MATCH(vp.data[[#This Row],[SDate]],weather.tbl[Date],0))</f>
        <v>-6.2</v>
      </c>
      <c r="R935" s="2">
        <f ca="1">INDEX(INDIRECT(_xlfn.CONCAT("weather.tbl[",R$1,"]")),MATCH(vp.data[[#This Row],[SDate]],weather.tbl[Date],0))</f>
        <v>-12.3</v>
      </c>
      <c r="S935" s="2">
        <f ca="1">INDEX(INDIRECT(_xlfn.CONCAT("weather.tbl[",S$1,"]")),MATCH(vp.data[[#This Row],[SDate]],weather.tbl[Date],0))</f>
        <v>-3.4</v>
      </c>
      <c r="T935" s="2">
        <f ca="1">INDEX(INDIRECT(_xlfn.CONCAT("weather.tbl[",T$1,"]")),MATCH(vp.data[[#This Row],[SDate]],weather.tbl[Date],0))</f>
        <v>-9.1</v>
      </c>
      <c r="U935" s="2">
        <f ca="1">INDEX(INDIRECT(_xlfn.CONCAT("weather.tbl[",U$1,"]")),MATCH(vp.data[[#This Row],[SDate]],weather.tbl[Date],0))</f>
        <v>-7.3</v>
      </c>
      <c r="V935" s="2">
        <f t="array" ref="V9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15962.98</v>
      </c>
      <c r="W935" t="s">
        <v>48</v>
      </c>
      <c r="X935">
        <f>IF(OR(vp.data[[#This Row],[Sulf]]="",vp.data[[#This Row],[Dens]]=""),1,0)</f>
        <v>0</v>
      </c>
      <c r="Y935">
        <f>IF(vp.data[[#This Row],[CrudeType]]="C5+",1,0)</f>
        <v>0</v>
      </c>
      <c r="Z935">
        <f>IF(AND(vp.data[[#This Row],[CrudeType]]="Crude",vp.data[[#This Row],[Dens]]&lt;=825,vp.data[[#This Row],[Sulf]]&gt;0.5,vp.data[[#This Row],[Unknown]]=0),1,0)</f>
        <v>0</v>
      </c>
      <c r="AA935">
        <f>IF(AND(vp.data[[#This Row],[CrudeType]]="Crude",vp.data[[#This Row],[Dens]]&lt;=825,vp.data[[#This Row],[Sulf]]&lt;=0.5,vp.data[[#This Row],[Unknown]]=0),1,0)</f>
        <v>1</v>
      </c>
      <c r="AB9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5">
        <f>IF(AND(vp.data[[#This Row],[CrudeType]]="Crude",vp.data[[#This Row],[Dens]]&gt;825,vp.data[[#This Row],[Dens]]&lt;=900,vp.data[[#This Row],[Sulf]]&lt;=0.5,vp.data[[#This Row],[Unknown]]=0),1,0)</f>
        <v>0</v>
      </c>
      <c r="AD935">
        <f>IF(AND(vp.data[[#This Row],[CrudeType]]="Crude",vp.data[[#This Row],[Dens]]&gt;865,vp.data[[#This Row],[Dens]]&lt;=900,vp.data[[#This Row],[Sulf]]&gt;2,vp.data[[#This Row],[Unknown]]=0),1,0)</f>
        <v>0</v>
      </c>
      <c r="AE935">
        <f>IF(AND(vp.data[[#This Row],[CrudeType]]="Crude",vp.data[[#This Row],[Dens]]&gt;900,vp.data[[#This Row],[Sulf]]&lt;=0.5,vp.data[[#This Row],[Unknown]]=0),1,0)</f>
        <v>0</v>
      </c>
      <c r="AF935">
        <f>IF(AND(vp.data[[#This Row],[CrudeType]]="Crude",vp.data[[#This Row],[Dens]]&gt;900,vp.data[[#This Row],[Sulf]]&lt;=0.5,vp.data[[#This Row],[Unknown]]=0),1,0)</f>
        <v>0</v>
      </c>
      <c r="AG935" t="str">
        <f>INDEX(vp.data[[#Headers],[Unknown]:[Heavy_SW]],MATCH(1,vp.data[[#This Row],[Unknown]:[Heavy_SW]],0))</f>
        <v>Light_SW</v>
      </c>
      <c r="AH935">
        <f>INDEX([3]!crudeBD.lkup[Number],MATCH(vp.data[[#This Row],[Crude_Breakdown]],crudeBD.lkup[Crude Breakdown],0))</f>
        <v>2</v>
      </c>
      <c r="AI935">
        <f>MONTH(vp.data[[#This Row],[SDate]])</f>
        <v>3</v>
      </c>
      <c r="AJ935" s="5">
        <f>(vp.data[[#This Row],[VP]]-INDEX(crudeBD.lkup[Mean_VP],MATCH(vp.data[[#This Row],[Crude_Breakdown]],crudeBD.lkup[Crude Breakdown],0)))^2</f>
        <v>56.997764906700695</v>
      </c>
      <c r="AK935" s="5">
        <f>(vp.data[[#This Row],[Dens]]-INDEX(crudeBD.lkup[Mean_Dens],MATCH(vp.data[[#This Row],[Crude_Breakdown]],crudeBD.lkup[Crude Breakdown],0)))^2</f>
        <v>4.473151306913524E-2</v>
      </c>
      <c r="AL935" s="5">
        <f>(vp.data[[#This Row],[Sulf]]-INDEX(crudeBD.lkup[Mean_Sulf],MATCH(vp.data[[#This Row],[Crude_Breakdown]],crudeBD.lkup[Crude Breakdown],0)))^2</f>
        <v>4.0651065565929113E-3</v>
      </c>
      <c r="AM935" s="4">
        <f>IF(AND(vp.data[[#This Row],[SDate]]&gt;=DATE(YEAR(vp.data[[#This Row],[SDate]]),5,1),vp.data[[#This Row],[SDate]]&lt;=DATE(YEAR(vp.data[[#This Row],[SDate]]),9,15)),1,0)</f>
        <v>0</v>
      </c>
      <c r="AN935" s="4">
        <f>IF(vp.data[[#This Row],[SDate]]&lt;DATE(2016,12,1),0,1)</f>
        <v>1</v>
      </c>
      <c r="AO935" s="4">
        <f>IFERROR(vp.data[[#This Row],[Sulf]]*vp.data[[#This Row],[Net Dens]],"")</f>
        <v>3869905.2413999997</v>
      </c>
      <c r="AP935">
        <f>IFERROR(vp.data[[#This Row],[Dens]]*vp.data[[#This Row],[VolumeM3]],"")</f>
        <v>12899684.138</v>
      </c>
      <c r="AQ935" s="15">
        <f>IFERROR(vp.data[[#This Row],[VP]]*vp.data[[#This Row],[VolumeM3]],"")</f>
        <v>1597894.298</v>
      </c>
    </row>
    <row r="936" spans="1:43" x14ac:dyDescent="0.25">
      <c r="A936">
        <v>935</v>
      </c>
      <c r="B936" t="s">
        <v>62</v>
      </c>
      <c r="C936" t="s">
        <v>62</v>
      </c>
      <c r="D936" t="s">
        <v>87</v>
      </c>
      <c r="F936" s="1">
        <v>42797</v>
      </c>
      <c r="G936" s="2">
        <v>84.7</v>
      </c>
      <c r="H936" s="2"/>
      <c r="I936" s="2">
        <f t="array" ref="I93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936" s="2">
        <v>23.1</v>
      </c>
      <c r="K936" s="2">
        <v>-13</v>
      </c>
      <c r="L936" s="2">
        <v>809.1</v>
      </c>
      <c r="M936" s="2">
        <f t="array" ref="M936">_xlfn.IFNA(IF(vp.data[[#This Row],[Dens Input]]="",INDEX([1]DATA!$O$3:$O$9826,MATCH(1,(vp.data[[#This Row],[Battery]]=[1]DATA!$L$3:$L$9826)*(EOMONTH(vp.data[[#This Row],[SDate]],-1)+1=[1]DATA!$G$3:$G$9826),0)),vp.data[[#This Row],[Dens Input]]),"")</f>
        <v>809.1</v>
      </c>
      <c r="N936" s="2">
        <f ca="1">INDEX(INDIRECT(_xlfn.CONCAT("weather.tbl[",N$1,"]")),MATCH(vp.data[[#This Row],[SDate]],weather.tbl[Date],0))</f>
        <v>-7.416666666666667</v>
      </c>
      <c r="O936" s="2">
        <f ca="1">INDEX(INDIRECT(_xlfn.CONCAT("weather.tbl[",O$1,"]")),MATCH(vp.data[[#This Row],[SDate]],weather.tbl[Date],0))</f>
        <v>-12.469047619047618</v>
      </c>
      <c r="P936" s="2">
        <f ca="1">INDEX(INDIRECT(_xlfn.CONCAT("weather.tbl[",P$1,"]")),MATCH(vp.data[[#This Row],[SDate]],weather.tbl[Date],0))</f>
        <v>-6.2</v>
      </c>
      <c r="Q936" s="2">
        <f ca="1">INDEX(INDIRECT(_xlfn.CONCAT("weather.tbl[",Q$1,"]")),MATCH(vp.data[[#This Row],[SDate]],weather.tbl[Date],0))</f>
        <v>-6.2</v>
      </c>
      <c r="R936" s="2">
        <f ca="1">INDEX(INDIRECT(_xlfn.CONCAT("weather.tbl[",R$1,"]")),MATCH(vp.data[[#This Row],[SDate]],weather.tbl[Date],0))</f>
        <v>-12.3</v>
      </c>
      <c r="S936" s="2">
        <f ca="1">INDEX(INDIRECT(_xlfn.CONCAT("weather.tbl[",S$1,"]")),MATCH(vp.data[[#This Row],[SDate]],weather.tbl[Date],0))</f>
        <v>-3.4</v>
      </c>
      <c r="T936" s="2">
        <f ca="1">INDEX(INDIRECT(_xlfn.CONCAT("weather.tbl[",T$1,"]")),MATCH(vp.data[[#This Row],[SDate]],weather.tbl[Date],0))</f>
        <v>-9.1</v>
      </c>
      <c r="U936" s="2">
        <f ca="1">INDEX(INDIRECT(_xlfn.CONCAT("weather.tbl[",U$1,"]")),MATCH(vp.data[[#This Row],[SDate]],weather.tbl[Date],0))</f>
        <v>-7.3</v>
      </c>
      <c r="V936" s="2">
        <f t="array" ref="V9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7297.97</v>
      </c>
      <c r="W936" t="s">
        <v>48</v>
      </c>
      <c r="X936">
        <f>IF(OR(vp.data[[#This Row],[Sulf]]="",vp.data[[#This Row],[Dens]]=""),1,0)</f>
        <v>0</v>
      </c>
      <c r="Y936">
        <f>IF(vp.data[[#This Row],[CrudeType]]="C5+",1,0)</f>
        <v>0</v>
      </c>
      <c r="Z936">
        <f>IF(AND(vp.data[[#This Row],[CrudeType]]="Crude",vp.data[[#This Row],[Dens]]&lt;=825,vp.data[[#This Row],[Sulf]]&gt;0.5,vp.data[[#This Row],[Unknown]]=0),1,0)</f>
        <v>0</v>
      </c>
      <c r="AA936">
        <f>IF(AND(vp.data[[#This Row],[CrudeType]]="Crude",vp.data[[#This Row],[Dens]]&lt;=825,vp.data[[#This Row],[Sulf]]&lt;=0.5,vp.data[[#This Row],[Unknown]]=0),1,0)</f>
        <v>1</v>
      </c>
      <c r="AB9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6">
        <f>IF(AND(vp.data[[#This Row],[CrudeType]]="Crude",vp.data[[#This Row],[Dens]]&gt;825,vp.data[[#This Row],[Dens]]&lt;=900,vp.data[[#This Row],[Sulf]]&lt;=0.5,vp.data[[#This Row],[Unknown]]=0),1,0)</f>
        <v>0</v>
      </c>
      <c r="AD936">
        <f>IF(AND(vp.data[[#This Row],[CrudeType]]="Crude",vp.data[[#This Row],[Dens]]&gt;865,vp.data[[#This Row],[Dens]]&lt;=900,vp.data[[#This Row],[Sulf]]&gt;2,vp.data[[#This Row],[Unknown]]=0),1,0)</f>
        <v>0</v>
      </c>
      <c r="AE936">
        <f>IF(AND(vp.data[[#This Row],[CrudeType]]="Crude",vp.data[[#This Row],[Dens]]&gt;900,vp.data[[#This Row],[Sulf]]&lt;=0.5,vp.data[[#This Row],[Unknown]]=0),1,0)</f>
        <v>0</v>
      </c>
      <c r="AF936">
        <f>IF(AND(vp.data[[#This Row],[CrudeType]]="Crude",vp.data[[#This Row],[Dens]]&gt;900,vp.data[[#This Row],[Sulf]]&lt;=0.5,vp.data[[#This Row],[Unknown]]=0),1,0)</f>
        <v>0</v>
      </c>
      <c r="AG936" t="str">
        <f>INDEX(vp.data[[#Headers],[Unknown]:[Heavy_SW]],MATCH(1,vp.data[[#This Row],[Unknown]:[Heavy_SW]],0))</f>
        <v>Light_SW</v>
      </c>
      <c r="AH936">
        <f>INDEX([3]!crudeBD.lkup[Number],MATCH(vp.data[[#This Row],[Crude_Breakdown]],crudeBD.lkup[Crude Breakdown],0))</f>
        <v>2</v>
      </c>
      <c r="AI936">
        <f>MONTH(vp.data[[#This Row],[SDate]])</f>
        <v>3</v>
      </c>
      <c r="AJ936" s="5">
        <f>(vp.data[[#This Row],[VP]]-INDEX(crudeBD.lkup[Mean_VP],MATCH(vp.data[[#This Row],[Crude_Breakdown]],crudeBD.lkup[Crude Breakdown],0)))^2</f>
        <v>61.627423443285196</v>
      </c>
      <c r="AK936" s="5">
        <f>(vp.data[[#This Row],[Dens]]-INDEX(crudeBD.lkup[Mean_Dens],MATCH(vp.data[[#This Row],[Crude_Breakdown]],crudeBD.lkup[Crude Breakdown],0)))^2</f>
        <v>0.6217349973901749</v>
      </c>
      <c r="AL936" s="5">
        <f>(vp.data[[#This Row],[Sulf]]-INDEX(crudeBD.lkup[Mean_Sulf],MATCH(vp.data[[#This Row],[Crude_Breakdown]],crudeBD.lkup[Crude Breakdown],0)))^2</f>
        <v>4.3879776367322437E-3</v>
      </c>
      <c r="AM936" s="4">
        <f>IF(AND(vp.data[[#This Row],[SDate]]&gt;=DATE(YEAR(vp.data[[#This Row],[SDate]]),5,1),vp.data[[#This Row],[SDate]]&lt;=DATE(YEAR(vp.data[[#This Row],[SDate]]),9,15)),1,0)</f>
        <v>0</v>
      </c>
      <c r="AN936" s="4">
        <f>IF(vp.data[[#This Row],[SDate]]&lt;DATE(2016,12,1),0,1)</f>
        <v>1</v>
      </c>
      <c r="AO936" s="4">
        <f>IFERROR(vp.data[[#This Row],[Sulf]]*vp.data[[#This Row],[Net Dens]],"")</f>
        <v>1003813.8795900001</v>
      </c>
      <c r="AP936">
        <f>IFERROR(vp.data[[#This Row],[Dens]]*vp.data[[#This Row],[VolumeM3]],"")</f>
        <v>5904787.5270000007</v>
      </c>
      <c r="AQ936" s="15">
        <f>IFERROR(vp.data[[#This Row],[VP]]*vp.data[[#This Row],[VolumeM3]],"")</f>
        <v>618138.05900000001</v>
      </c>
    </row>
    <row r="937" spans="1:43" x14ac:dyDescent="0.25">
      <c r="A937">
        <v>936</v>
      </c>
      <c r="B937" t="s">
        <v>62</v>
      </c>
      <c r="C937" t="s">
        <v>62</v>
      </c>
      <c r="D937" t="s">
        <v>93</v>
      </c>
      <c r="F937" s="1">
        <v>42797</v>
      </c>
      <c r="G937" s="2">
        <v>80.5</v>
      </c>
      <c r="H937" s="2"/>
      <c r="I937" s="2">
        <f t="array" ref="I937">_xlfn.IFNA(IF(vp.data[[#This Row],[Sulf Input]]="",INDEX([1]DATA!$Q$3:$Q$9826,MATCH(1,(vp.data[[#This Row],[Battery]]=[1]DATA!$L$3:$L$9826)*(EOMONTH(vp.data[[#This Row],[SDate]],-1)+1=[1]DATA!$G$3:$G$9826),0)),vp.data[[#This Row],[Sulf Input]]),"")</f>
        <v>1.24</v>
      </c>
      <c r="J937" s="2">
        <v>6</v>
      </c>
      <c r="K937" s="2">
        <v>-13</v>
      </c>
      <c r="L937" s="2">
        <v>850.5</v>
      </c>
      <c r="M937" s="2">
        <f t="array" ref="M937">_xlfn.IFNA(IF(vp.data[[#This Row],[Dens Input]]="",INDEX([1]DATA!$O$3:$O$9826,MATCH(1,(vp.data[[#This Row],[Battery]]=[1]DATA!$L$3:$L$9826)*(EOMONTH(vp.data[[#This Row],[SDate]],-1)+1=[1]DATA!$G$3:$G$9826),0)),vp.data[[#This Row],[Dens Input]]),"")</f>
        <v>850.5</v>
      </c>
      <c r="N937" s="2">
        <f ca="1">INDEX(INDIRECT(_xlfn.CONCAT("weather.tbl[",N$1,"]")),MATCH(vp.data[[#This Row],[SDate]],weather.tbl[Date],0))</f>
        <v>-7.416666666666667</v>
      </c>
      <c r="O937" s="2">
        <f ca="1">INDEX(INDIRECT(_xlfn.CONCAT("weather.tbl[",O$1,"]")),MATCH(vp.data[[#This Row],[SDate]],weather.tbl[Date],0))</f>
        <v>-12.469047619047618</v>
      </c>
      <c r="P937" s="2">
        <f ca="1">INDEX(INDIRECT(_xlfn.CONCAT("weather.tbl[",P$1,"]")),MATCH(vp.data[[#This Row],[SDate]],weather.tbl[Date],0))</f>
        <v>-6.2</v>
      </c>
      <c r="Q937" s="2">
        <f ca="1">INDEX(INDIRECT(_xlfn.CONCAT("weather.tbl[",Q$1,"]")),MATCH(vp.data[[#This Row],[SDate]],weather.tbl[Date],0))</f>
        <v>-6.2</v>
      </c>
      <c r="R937" s="2">
        <f ca="1">INDEX(INDIRECT(_xlfn.CONCAT("weather.tbl[",R$1,"]")),MATCH(vp.data[[#This Row],[SDate]],weather.tbl[Date],0))</f>
        <v>-12.3</v>
      </c>
      <c r="S937" s="2">
        <f ca="1">INDEX(INDIRECT(_xlfn.CONCAT("weather.tbl[",S$1,"]")),MATCH(vp.data[[#This Row],[SDate]],weather.tbl[Date],0))</f>
        <v>-3.4</v>
      </c>
      <c r="T937" s="2">
        <f ca="1">INDEX(INDIRECT(_xlfn.CONCAT("weather.tbl[",T$1,"]")),MATCH(vp.data[[#This Row],[SDate]],weather.tbl[Date],0))</f>
        <v>-9.1</v>
      </c>
      <c r="U937" s="2">
        <f ca="1">INDEX(INDIRECT(_xlfn.CONCAT("weather.tbl[",U$1,"]")),MATCH(vp.data[[#This Row],[SDate]],weather.tbl[Date],0))</f>
        <v>-7.3</v>
      </c>
      <c r="V937" s="2">
        <f t="array" ref="V9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1068.2539999999999</v>
      </c>
      <c r="W937" t="s">
        <v>48</v>
      </c>
      <c r="X937">
        <f>IF(OR(vp.data[[#This Row],[Sulf]]="",vp.data[[#This Row],[Dens]]=""),1,0)</f>
        <v>0</v>
      </c>
      <c r="Y937">
        <f>IF(vp.data[[#This Row],[CrudeType]]="C5+",1,0)</f>
        <v>0</v>
      </c>
      <c r="Z937">
        <f>IF(AND(vp.data[[#This Row],[CrudeType]]="Crude",vp.data[[#This Row],[Dens]]&lt;=825,vp.data[[#This Row],[Sulf]]&gt;0.5,vp.data[[#This Row],[Unknown]]=0),1,0)</f>
        <v>0</v>
      </c>
      <c r="AA937">
        <f>IF(AND(vp.data[[#This Row],[CrudeType]]="Crude",vp.data[[#This Row],[Dens]]&lt;=825,vp.data[[#This Row],[Sulf]]&lt;=0.5,vp.data[[#This Row],[Unknown]]=0),1,0)</f>
        <v>0</v>
      </c>
      <c r="AB9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37">
        <f>IF(AND(vp.data[[#This Row],[CrudeType]]="Crude",vp.data[[#This Row],[Dens]]&gt;825,vp.data[[#This Row],[Dens]]&lt;=900,vp.data[[#This Row],[Sulf]]&lt;=0.5,vp.data[[#This Row],[Unknown]]=0),1,0)</f>
        <v>0</v>
      </c>
      <c r="AD937">
        <f>IF(AND(vp.data[[#This Row],[CrudeType]]="Crude",vp.data[[#This Row],[Dens]]&gt;865,vp.data[[#This Row],[Dens]]&lt;=900,vp.data[[#This Row],[Sulf]]&gt;2,vp.data[[#This Row],[Unknown]]=0),1,0)</f>
        <v>0</v>
      </c>
      <c r="AE937">
        <f>IF(AND(vp.data[[#This Row],[CrudeType]]="Crude",vp.data[[#This Row],[Dens]]&gt;900,vp.data[[#This Row],[Sulf]]&lt;=0.5,vp.data[[#This Row],[Unknown]]=0),1,0)</f>
        <v>0</v>
      </c>
      <c r="AF937">
        <f>IF(AND(vp.data[[#This Row],[CrudeType]]="Crude",vp.data[[#This Row],[Dens]]&gt;900,vp.data[[#This Row],[Sulf]]&lt;=0.5,vp.data[[#This Row],[Unknown]]=0),1,0)</f>
        <v>0</v>
      </c>
      <c r="AG937" t="str">
        <f>INDEX(vp.data[[#Headers],[Unknown]:[Heavy_SW]],MATCH(1,vp.data[[#This Row],[Unknown]:[Heavy_SW]],0))</f>
        <v>Medium_LSB</v>
      </c>
      <c r="AH937">
        <f>INDEX([3]!crudeBD.lkup[Number],MATCH(vp.data[[#This Row],[Crude_Breakdown]],crudeBD.lkup[Crude Breakdown],0))</f>
        <v>3</v>
      </c>
      <c r="AI937">
        <f>MONTH(vp.data[[#This Row],[SDate]])</f>
        <v>3</v>
      </c>
      <c r="AJ937" s="5">
        <f>(vp.data[[#This Row],[VP]]-INDEX(crudeBD.lkup[Mean_VP],MATCH(vp.data[[#This Row],[Crude_Breakdown]],crudeBD.lkup[Crude Breakdown],0)))^2</f>
        <v>1.9509538582233841E-2</v>
      </c>
      <c r="AK937" s="5">
        <f>(vp.data[[#This Row],[Dens]]-INDEX(crudeBD.lkup[Mean_Dens],MATCH(vp.data[[#This Row],[Crude_Breakdown]],crudeBD.lkup[Crude Breakdown],0)))^2</f>
        <v>43.296400000006521</v>
      </c>
      <c r="AL937" s="5">
        <f>(vp.data[[#This Row],[Sulf]]-INDEX(crudeBD.lkup[Mean_Sulf],MATCH(vp.data[[#This Row],[Crude_Breakdown]],crudeBD.lkup[Crude Breakdown],0)))^2</f>
        <v>2.1143523305935632E-2</v>
      </c>
      <c r="AM937" s="4">
        <f>IF(AND(vp.data[[#This Row],[SDate]]&gt;=DATE(YEAR(vp.data[[#This Row],[SDate]]),5,1),vp.data[[#This Row],[SDate]]&lt;=DATE(YEAR(vp.data[[#This Row],[SDate]]),9,15)),1,0)</f>
        <v>0</v>
      </c>
      <c r="AN937" s="4">
        <f>IF(vp.data[[#This Row],[SDate]]&lt;DATE(2016,12,1),0,1)</f>
        <v>1</v>
      </c>
      <c r="AO937" s="4">
        <f>IFERROR(vp.data[[#This Row],[Sulf]]*vp.data[[#This Row],[Net Dens]],"")</f>
        <v>1126602.0334799998</v>
      </c>
      <c r="AP937">
        <f>IFERROR(vp.data[[#This Row],[Dens]]*vp.data[[#This Row],[VolumeM3]],"")</f>
        <v>908550.02699999989</v>
      </c>
      <c r="AQ937" s="15">
        <f>IFERROR(vp.data[[#This Row],[VP]]*vp.data[[#This Row],[VolumeM3]],"")</f>
        <v>85994.446999999986</v>
      </c>
    </row>
    <row r="938" spans="1:43" x14ac:dyDescent="0.25">
      <c r="A938">
        <v>937</v>
      </c>
      <c r="B938" t="s">
        <v>49</v>
      </c>
      <c r="C938" t="s">
        <v>49</v>
      </c>
      <c r="D938" t="s">
        <v>80</v>
      </c>
      <c r="F938" s="1">
        <v>42799</v>
      </c>
      <c r="G938" s="2">
        <v>88.3</v>
      </c>
      <c r="H938" s="2">
        <v>0.49299999999999999</v>
      </c>
      <c r="I938" s="2">
        <f t="array" ref="I938">_xlfn.IFNA(IF(vp.data[[#This Row],[Sulf Input]]="",INDEX([1]DATA!$Q$3:$Q$9826,MATCH(1,(vp.data[[#This Row],[Battery]]=[1]DATA!$L$3:$L$9826)*(EOMONTH(vp.data[[#This Row],[SDate]],-1)+1=[1]DATA!$G$3:$G$9826),0)),vp.data[[#This Row],[Sulf Input]]),"")</f>
        <v>0.49299999999999999</v>
      </c>
      <c r="J938" s="2">
        <v>16.2</v>
      </c>
      <c r="K938" s="2">
        <v>4</v>
      </c>
      <c r="L938" s="2">
        <v>816</v>
      </c>
      <c r="M938" s="2">
        <f t="array" ref="M938">_xlfn.IFNA(IF(vp.data[[#This Row],[Dens Input]]="",INDEX([1]DATA!$O$3:$O$9826,MATCH(1,(vp.data[[#This Row],[Battery]]=[1]DATA!$L$3:$L$9826)*(EOMONTH(vp.data[[#This Row],[SDate]],-1)+1=[1]DATA!$G$3:$G$9826),0)),vp.data[[#This Row],[Dens Input]]),"")</f>
        <v>816</v>
      </c>
      <c r="N938" s="2">
        <f ca="1">INDEX(INDIRECT(_xlfn.CONCAT("weather.tbl[",N$1,"]")),MATCH(vp.data[[#This Row],[SDate]],weather.tbl[Date],0))</f>
        <v>-4.9999999999999968E-2</v>
      </c>
      <c r="O938" s="2">
        <f ca="1">INDEX(INDIRECT(_xlfn.CONCAT("weather.tbl[",O$1,"]")),MATCH(vp.data[[#This Row],[SDate]],weather.tbl[Date],0))</f>
        <v>-9.1476190476190471</v>
      </c>
      <c r="P938" s="2">
        <f ca="1">INDEX(INDIRECT(_xlfn.CONCAT("weather.tbl[",P$1,"]")),MATCH(vp.data[[#This Row],[SDate]],weather.tbl[Date],0))</f>
        <v>0.8</v>
      </c>
      <c r="Q938" s="2">
        <f ca="1">INDEX(INDIRECT(_xlfn.CONCAT("weather.tbl[",Q$1,"]")),MATCH(vp.data[[#This Row],[SDate]],weather.tbl[Date],0))</f>
        <v>-0.5</v>
      </c>
      <c r="R938" s="2">
        <f ca="1">INDEX(INDIRECT(_xlfn.CONCAT("weather.tbl[",R$1,"]")),MATCH(vp.data[[#This Row],[SDate]],weather.tbl[Date],0))</f>
        <v>-1.8</v>
      </c>
      <c r="S938" s="2">
        <f ca="1">INDEX(INDIRECT(_xlfn.CONCAT("weather.tbl[",S$1,"]")),MATCH(vp.data[[#This Row],[SDate]],weather.tbl[Date],0))</f>
        <v>1.1000000000000001</v>
      </c>
      <c r="T938" s="2">
        <f ca="1">INDEX(INDIRECT(_xlfn.CONCAT("weather.tbl[",T$1,"]")),MATCH(vp.data[[#This Row],[SDate]],weather.tbl[Date],0))</f>
        <v>-0.7</v>
      </c>
      <c r="U938" s="2">
        <f ca="1">INDEX(INDIRECT(_xlfn.CONCAT("weather.tbl[",U$1,"]")),MATCH(vp.data[[#This Row],[SDate]],weather.tbl[Date],0))</f>
        <v>0.8</v>
      </c>
      <c r="V938" s="2">
        <f t="array" ref="V9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23623.538</v>
      </c>
      <c r="W938" t="s">
        <v>48</v>
      </c>
      <c r="X938">
        <f>IF(OR(vp.data[[#This Row],[Sulf]]="",vp.data[[#This Row],[Dens]]=""),1,0)</f>
        <v>0</v>
      </c>
      <c r="Y938">
        <f>IF(vp.data[[#This Row],[CrudeType]]="C5+",1,0)</f>
        <v>0</v>
      </c>
      <c r="Z938">
        <f>IF(AND(vp.data[[#This Row],[CrudeType]]="Crude",vp.data[[#This Row],[Dens]]&lt;=825,vp.data[[#This Row],[Sulf]]&gt;0.5,vp.data[[#This Row],[Unknown]]=0),1,0)</f>
        <v>0</v>
      </c>
      <c r="AA938">
        <f>IF(AND(vp.data[[#This Row],[CrudeType]]="Crude",vp.data[[#This Row],[Dens]]&lt;=825,vp.data[[#This Row],[Sulf]]&lt;=0.5,vp.data[[#This Row],[Unknown]]=0),1,0)</f>
        <v>1</v>
      </c>
      <c r="AB9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8">
        <f>IF(AND(vp.data[[#This Row],[CrudeType]]="Crude",vp.data[[#This Row],[Dens]]&gt;825,vp.data[[#This Row],[Dens]]&lt;=900,vp.data[[#This Row],[Sulf]]&lt;=0.5,vp.data[[#This Row],[Unknown]]=0),1,0)</f>
        <v>0</v>
      </c>
      <c r="AD938">
        <f>IF(AND(vp.data[[#This Row],[CrudeType]]="Crude",vp.data[[#This Row],[Dens]]&gt;865,vp.data[[#This Row],[Dens]]&lt;=900,vp.data[[#This Row],[Sulf]]&gt;2,vp.data[[#This Row],[Unknown]]=0),1,0)</f>
        <v>0</v>
      </c>
      <c r="AE938">
        <f>IF(AND(vp.data[[#This Row],[CrudeType]]="Crude",vp.data[[#This Row],[Dens]]&gt;900,vp.data[[#This Row],[Sulf]]&lt;=0.5,vp.data[[#This Row],[Unknown]]=0),1,0)</f>
        <v>0</v>
      </c>
      <c r="AF938">
        <f>IF(AND(vp.data[[#This Row],[CrudeType]]="Crude",vp.data[[#This Row],[Dens]]&gt;900,vp.data[[#This Row],[Sulf]]&lt;=0.5,vp.data[[#This Row],[Unknown]]=0),1,0)</f>
        <v>0</v>
      </c>
      <c r="AG938" t="str">
        <f>INDEX(vp.data[[#Headers],[Unknown]:[Heavy_SW]],MATCH(1,vp.data[[#This Row],[Unknown]:[Heavy_SW]],0))</f>
        <v>Light_SW</v>
      </c>
      <c r="AH938">
        <f>INDEX([3]!crudeBD.lkup[Number],MATCH(vp.data[[#This Row],[Crude_Breakdown]],crudeBD.lkup[Crude Breakdown],0))</f>
        <v>2</v>
      </c>
      <c r="AI938">
        <f>MONTH(vp.data[[#This Row],[SDate]])</f>
        <v>3</v>
      </c>
      <c r="AJ938" s="5">
        <f>(vp.data[[#This Row],[VP]]-INDEX(crudeBD.lkup[Mean_VP],MATCH(vp.data[[#This Row],[Crude_Breakdown]],crudeBD.lkup[Crude Breakdown],0)))^2</f>
        <v>18.065165603564221</v>
      </c>
      <c r="AK938" s="5">
        <f>(vp.data[[#This Row],[Dens]]-INDEX(crudeBD.lkup[Mean_Dens],MATCH(vp.data[[#This Row],[Crude_Breakdown]],crudeBD.lkup[Crude Breakdown],0)))^2</f>
        <v>59.113059039204998</v>
      </c>
      <c r="AL938" s="5">
        <f>(vp.data[[#This Row],[Sulf]]-INDEX(crudeBD.lkup[Mean_Sulf],MATCH(vp.data[[#This Row],[Crude_Breakdown]],crudeBD.lkup[Crude Breakdown],0)))^2</f>
        <v>6.5924767183770674E-2</v>
      </c>
      <c r="AM938" s="4">
        <f>IF(AND(vp.data[[#This Row],[SDate]]&gt;=DATE(YEAR(vp.data[[#This Row],[SDate]]),5,1),vp.data[[#This Row],[SDate]]&lt;=DATE(YEAR(vp.data[[#This Row],[SDate]]),9,15)),1,0)</f>
        <v>0</v>
      </c>
      <c r="AN938" s="4">
        <f>IF(vp.data[[#This Row],[SDate]]&lt;DATE(2016,12,1),0,1)</f>
        <v>1</v>
      </c>
      <c r="AO938" s="4">
        <f>IFERROR(vp.data[[#This Row],[Sulf]]*vp.data[[#This Row],[Net Dens]],"")</f>
        <v>9503465.854944</v>
      </c>
      <c r="AP938">
        <f>IFERROR(vp.data[[#This Row],[Dens]]*vp.data[[#This Row],[VolumeM3]],"")</f>
        <v>19276807.008000001</v>
      </c>
      <c r="AQ938" s="15">
        <f>IFERROR(vp.data[[#This Row],[VP]]*vp.data[[#This Row],[VolumeM3]],"")</f>
        <v>2085958.4054</v>
      </c>
    </row>
    <row r="939" spans="1:43" x14ac:dyDescent="0.25">
      <c r="A939">
        <v>938</v>
      </c>
      <c r="B939" t="s">
        <v>49</v>
      </c>
      <c r="C939" t="s">
        <v>49</v>
      </c>
      <c r="D939" t="s">
        <v>67</v>
      </c>
      <c r="F939" s="1">
        <v>42799</v>
      </c>
      <c r="G939" s="2">
        <v>103</v>
      </c>
      <c r="H939" s="2">
        <v>0.60499999999999998</v>
      </c>
      <c r="I939" s="2">
        <f t="array" ref="I939">_xlfn.IFNA(IF(vp.data[[#This Row],[Sulf Input]]="",INDEX([1]DATA!$Q$3:$Q$9826,MATCH(1,(vp.data[[#This Row],[Battery]]=[1]DATA!$L$3:$L$9826)*(EOMONTH(vp.data[[#This Row],[SDate]],-1)+1=[1]DATA!$G$3:$G$9826),0)),vp.data[[#This Row],[Sulf Input]]),"")</f>
        <v>0.60499999999999998</v>
      </c>
      <c r="J939" s="2"/>
      <c r="K939" s="2">
        <v>4</v>
      </c>
      <c r="L939" s="2">
        <v>814.4</v>
      </c>
      <c r="M939" s="2">
        <f t="array" ref="M939">_xlfn.IFNA(IF(vp.data[[#This Row],[Dens Input]]="",INDEX([1]DATA!$O$3:$O$9826,MATCH(1,(vp.data[[#This Row],[Battery]]=[1]DATA!$L$3:$L$9826)*(EOMONTH(vp.data[[#This Row],[SDate]],-1)+1=[1]DATA!$G$3:$G$9826),0)),vp.data[[#This Row],[Dens Input]]),"")</f>
        <v>814.4</v>
      </c>
      <c r="N939" s="2">
        <f ca="1">INDEX(INDIRECT(_xlfn.CONCAT("weather.tbl[",N$1,"]")),MATCH(vp.data[[#This Row],[SDate]],weather.tbl[Date],0))</f>
        <v>-4.9999999999999968E-2</v>
      </c>
      <c r="O939" s="2">
        <f ca="1">INDEX(INDIRECT(_xlfn.CONCAT("weather.tbl[",O$1,"]")),MATCH(vp.data[[#This Row],[SDate]],weather.tbl[Date],0))</f>
        <v>-9.1476190476190471</v>
      </c>
      <c r="P939" s="2">
        <f ca="1">INDEX(INDIRECT(_xlfn.CONCAT("weather.tbl[",P$1,"]")),MATCH(vp.data[[#This Row],[SDate]],weather.tbl[Date],0))</f>
        <v>0.8</v>
      </c>
      <c r="Q939" s="2">
        <f ca="1">INDEX(INDIRECT(_xlfn.CONCAT("weather.tbl[",Q$1,"]")),MATCH(vp.data[[#This Row],[SDate]],weather.tbl[Date],0))</f>
        <v>-0.5</v>
      </c>
      <c r="R939" s="2">
        <f ca="1">INDEX(INDIRECT(_xlfn.CONCAT("weather.tbl[",R$1,"]")),MATCH(vp.data[[#This Row],[SDate]],weather.tbl[Date],0))</f>
        <v>-1.8</v>
      </c>
      <c r="S939" s="2">
        <f ca="1">INDEX(INDIRECT(_xlfn.CONCAT("weather.tbl[",S$1,"]")),MATCH(vp.data[[#This Row],[SDate]],weather.tbl[Date],0))</f>
        <v>1.1000000000000001</v>
      </c>
      <c r="T939" s="2">
        <f ca="1">INDEX(INDIRECT(_xlfn.CONCAT("weather.tbl[",T$1,"]")),MATCH(vp.data[[#This Row],[SDate]],weather.tbl[Date],0))</f>
        <v>-0.7</v>
      </c>
      <c r="U939" s="2">
        <f ca="1">INDEX(INDIRECT(_xlfn.CONCAT("weather.tbl[",U$1,"]")),MATCH(vp.data[[#This Row],[SDate]],weather.tbl[Date],0))</f>
        <v>0.8</v>
      </c>
      <c r="V939" s="2">
        <f t="array" ref="V9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939" t="s">
        <v>48</v>
      </c>
      <c r="X939">
        <f>IF(OR(vp.data[[#This Row],[Sulf]]="",vp.data[[#This Row],[Dens]]=""),1,0)</f>
        <v>0</v>
      </c>
      <c r="Y939">
        <f>IF(vp.data[[#This Row],[CrudeType]]="C5+",1,0)</f>
        <v>0</v>
      </c>
      <c r="Z939">
        <f>IF(AND(vp.data[[#This Row],[CrudeType]]="Crude",vp.data[[#This Row],[Dens]]&lt;=825,vp.data[[#This Row],[Sulf]]&gt;0.5,vp.data[[#This Row],[Unknown]]=0),1,0)</f>
        <v>1</v>
      </c>
      <c r="AA939">
        <f>IF(AND(vp.data[[#This Row],[CrudeType]]="Crude",vp.data[[#This Row],[Dens]]&lt;=825,vp.data[[#This Row],[Sulf]]&lt;=0.5,vp.data[[#This Row],[Unknown]]=0),1,0)</f>
        <v>0</v>
      </c>
      <c r="AB9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39">
        <f>IF(AND(vp.data[[#This Row],[CrudeType]]="Crude",vp.data[[#This Row],[Dens]]&gt;825,vp.data[[#This Row],[Dens]]&lt;=900,vp.data[[#This Row],[Sulf]]&lt;=0.5,vp.data[[#This Row],[Unknown]]=0),1,0)</f>
        <v>0</v>
      </c>
      <c r="AD939">
        <f>IF(AND(vp.data[[#This Row],[CrudeType]]="Crude",vp.data[[#This Row],[Dens]]&gt;865,vp.data[[#This Row],[Dens]]&lt;=900,vp.data[[#This Row],[Sulf]]&gt;2,vp.data[[#This Row],[Unknown]]=0),1,0)</f>
        <v>0</v>
      </c>
      <c r="AE939">
        <f>IF(AND(vp.data[[#This Row],[CrudeType]]="Crude",vp.data[[#This Row],[Dens]]&gt;900,vp.data[[#This Row],[Sulf]]&lt;=0.5,vp.data[[#This Row],[Unknown]]=0),1,0)</f>
        <v>0</v>
      </c>
      <c r="AF939">
        <f>IF(AND(vp.data[[#This Row],[CrudeType]]="Crude",vp.data[[#This Row],[Dens]]&gt;900,vp.data[[#This Row],[Sulf]]&lt;=0.5,vp.data[[#This Row],[Unknown]]=0),1,0)</f>
        <v>0</v>
      </c>
      <c r="AG939" t="str">
        <f>INDEX(vp.data[[#Headers],[Unknown]:[Heavy_SW]],MATCH(1,vp.data[[#This Row],[Unknown]:[Heavy_SW]],0))</f>
        <v>Light_LSB</v>
      </c>
      <c r="AH939">
        <f>INDEX([3]!crudeBD.lkup[Number],MATCH(vp.data[[#This Row],[Crude_Breakdown]],crudeBD.lkup[Crude Breakdown],0))</f>
        <v>1</v>
      </c>
      <c r="AI939">
        <f>MONTH(vp.data[[#This Row],[SDate]])</f>
        <v>3</v>
      </c>
      <c r="AJ939" s="5">
        <f>(vp.data[[#This Row],[VP]]-INDEX(crudeBD.lkup[Mean_VP],MATCH(vp.data[[#This Row],[Crude_Breakdown]],crudeBD.lkup[Crude Breakdown],0)))^2</f>
        <v>131.18986506536223</v>
      </c>
      <c r="AK939" s="5">
        <f>(vp.data[[#This Row],[Dens]]-INDEX(crudeBD.lkup[Mean_Dens],MATCH(vp.data[[#This Row],[Crude_Breakdown]],crudeBD.lkup[Crude Breakdown],0)))^2</f>
        <v>16.947793252321027</v>
      </c>
      <c r="AL939" s="5">
        <f>(vp.data[[#This Row],[Sulf]]-INDEX(crudeBD.lkup[Mean_Sulf],MATCH(vp.data[[#This Row],[Crude_Breakdown]],crudeBD.lkup[Crude Breakdown],0)))^2</f>
        <v>0.10110566392404538</v>
      </c>
      <c r="AM939" s="4">
        <f>IF(AND(vp.data[[#This Row],[SDate]]&gt;=DATE(YEAR(vp.data[[#This Row],[SDate]]),5,1),vp.data[[#This Row],[SDate]]&lt;=DATE(YEAR(vp.data[[#This Row],[SDate]]),9,15)),1,0)</f>
        <v>0</v>
      </c>
      <c r="AN939" s="4">
        <f>IF(vp.data[[#This Row],[SDate]]&lt;DATE(2016,12,1),0,1)</f>
        <v>1</v>
      </c>
      <c r="AO939" s="4">
        <f>IFERROR(vp.data[[#This Row],[Sulf]]*vp.data[[#This Row],[Net Dens]],"")</f>
        <v>65347116.928631999</v>
      </c>
      <c r="AP939">
        <f>IFERROR(vp.data[[#This Row],[Dens]]*vp.data[[#This Row],[VolumeM3]],"")</f>
        <v>108011763.5184</v>
      </c>
      <c r="AQ939" s="15">
        <f>IFERROR(vp.data[[#This Row],[VP]]*vp.data[[#This Row],[VolumeM3]],"")</f>
        <v>13660623.332999999</v>
      </c>
    </row>
    <row r="940" spans="1:43" x14ac:dyDescent="0.25">
      <c r="A940">
        <v>939</v>
      </c>
      <c r="B940" t="s">
        <v>49</v>
      </c>
      <c r="C940" t="s">
        <v>49</v>
      </c>
      <c r="D940" t="s">
        <v>100</v>
      </c>
      <c r="F940" s="1">
        <v>42799</v>
      </c>
      <c r="G940" s="2">
        <v>92.1</v>
      </c>
      <c r="H940" s="2">
        <v>0.65400000000000003</v>
      </c>
      <c r="I940" s="2">
        <f t="array" ref="I940">_xlfn.IFNA(IF(vp.data[[#This Row],[Sulf Input]]="",INDEX([1]DATA!$Q$3:$Q$9826,MATCH(1,(vp.data[[#This Row],[Battery]]=[1]DATA!$L$3:$L$9826)*(EOMONTH(vp.data[[#This Row],[SDate]],-1)+1=[1]DATA!$G$3:$G$9826),0)),vp.data[[#This Row],[Sulf Input]]),"")</f>
        <v>0.65400000000000003</v>
      </c>
      <c r="J940" s="2">
        <v>17</v>
      </c>
      <c r="K940" s="2">
        <v>4</v>
      </c>
      <c r="L940" s="2">
        <v>820.8</v>
      </c>
      <c r="M940" s="2">
        <f t="array" ref="M940">_xlfn.IFNA(IF(vp.data[[#This Row],[Dens Input]]="",INDEX([1]DATA!$O$3:$O$9826,MATCH(1,(vp.data[[#This Row],[Battery]]=[1]DATA!$L$3:$L$9826)*(EOMONTH(vp.data[[#This Row],[SDate]],-1)+1=[1]DATA!$G$3:$G$9826),0)),vp.data[[#This Row],[Dens Input]]),"")</f>
        <v>820.8</v>
      </c>
      <c r="N940" s="2">
        <f ca="1">INDEX(INDIRECT(_xlfn.CONCAT("weather.tbl[",N$1,"]")),MATCH(vp.data[[#This Row],[SDate]],weather.tbl[Date],0))</f>
        <v>-4.9999999999999968E-2</v>
      </c>
      <c r="O940" s="2">
        <f ca="1">INDEX(INDIRECT(_xlfn.CONCAT("weather.tbl[",O$1,"]")),MATCH(vp.data[[#This Row],[SDate]],weather.tbl[Date],0))</f>
        <v>-9.1476190476190471</v>
      </c>
      <c r="P940" s="2">
        <f ca="1">INDEX(INDIRECT(_xlfn.CONCAT("weather.tbl[",P$1,"]")),MATCH(vp.data[[#This Row],[SDate]],weather.tbl[Date],0))</f>
        <v>0.8</v>
      </c>
      <c r="Q940" s="2">
        <f ca="1">INDEX(INDIRECT(_xlfn.CONCAT("weather.tbl[",Q$1,"]")),MATCH(vp.data[[#This Row],[SDate]],weather.tbl[Date],0))</f>
        <v>-0.5</v>
      </c>
      <c r="R940" s="2">
        <f ca="1">INDEX(INDIRECT(_xlfn.CONCAT("weather.tbl[",R$1,"]")),MATCH(vp.data[[#This Row],[SDate]],weather.tbl[Date],0))</f>
        <v>-1.8</v>
      </c>
      <c r="S940" s="2">
        <f ca="1">INDEX(INDIRECT(_xlfn.CONCAT("weather.tbl[",S$1,"]")),MATCH(vp.data[[#This Row],[SDate]],weather.tbl[Date],0))</f>
        <v>1.1000000000000001</v>
      </c>
      <c r="T940" s="2">
        <f ca="1">INDEX(INDIRECT(_xlfn.CONCAT("weather.tbl[",T$1,"]")),MATCH(vp.data[[#This Row],[SDate]],weather.tbl[Date],0))</f>
        <v>-0.7</v>
      </c>
      <c r="U940" s="2">
        <f ca="1">INDEX(INDIRECT(_xlfn.CONCAT("weather.tbl[",U$1,"]")),MATCH(vp.data[[#This Row],[SDate]],weather.tbl[Date],0))</f>
        <v>0.8</v>
      </c>
      <c r="V940" s="2">
        <f t="array" ref="V9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10867.904</v>
      </c>
      <c r="W940" t="s">
        <v>48</v>
      </c>
      <c r="X940">
        <f>IF(OR(vp.data[[#This Row],[Sulf]]="",vp.data[[#This Row],[Dens]]=""),1,0)</f>
        <v>0</v>
      </c>
      <c r="Y940">
        <f>IF(vp.data[[#This Row],[CrudeType]]="C5+",1,0)</f>
        <v>0</v>
      </c>
      <c r="Z940">
        <f>IF(AND(vp.data[[#This Row],[CrudeType]]="Crude",vp.data[[#This Row],[Dens]]&lt;=825,vp.data[[#This Row],[Sulf]]&gt;0.5,vp.data[[#This Row],[Unknown]]=0),1,0)</f>
        <v>1</v>
      </c>
      <c r="AA940">
        <f>IF(AND(vp.data[[#This Row],[CrudeType]]="Crude",vp.data[[#This Row],[Dens]]&lt;=825,vp.data[[#This Row],[Sulf]]&lt;=0.5,vp.data[[#This Row],[Unknown]]=0),1,0)</f>
        <v>0</v>
      </c>
      <c r="AB9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0">
        <f>IF(AND(vp.data[[#This Row],[CrudeType]]="Crude",vp.data[[#This Row],[Dens]]&gt;825,vp.data[[#This Row],[Dens]]&lt;=900,vp.data[[#This Row],[Sulf]]&lt;=0.5,vp.data[[#This Row],[Unknown]]=0),1,0)</f>
        <v>0</v>
      </c>
      <c r="AD940">
        <f>IF(AND(vp.data[[#This Row],[CrudeType]]="Crude",vp.data[[#This Row],[Dens]]&gt;865,vp.data[[#This Row],[Dens]]&lt;=900,vp.data[[#This Row],[Sulf]]&gt;2,vp.data[[#This Row],[Unknown]]=0),1,0)</f>
        <v>0</v>
      </c>
      <c r="AE940">
        <f>IF(AND(vp.data[[#This Row],[CrudeType]]="Crude",vp.data[[#This Row],[Dens]]&gt;900,vp.data[[#This Row],[Sulf]]&lt;=0.5,vp.data[[#This Row],[Unknown]]=0),1,0)</f>
        <v>0</v>
      </c>
      <c r="AF940">
        <f>IF(AND(vp.data[[#This Row],[CrudeType]]="Crude",vp.data[[#This Row],[Dens]]&gt;900,vp.data[[#This Row],[Sulf]]&lt;=0.5,vp.data[[#This Row],[Unknown]]=0),1,0)</f>
        <v>0</v>
      </c>
      <c r="AG940" t="str">
        <f>INDEX(vp.data[[#Headers],[Unknown]:[Heavy_SW]],MATCH(1,vp.data[[#This Row],[Unknown]:[Heavy_SW]],0))</f>
        <v>Light_LSB</v>
      </c>
      <c r="AH940">
        <f>INDEX([3]!crudeBD.lkup[Number],MATCH(vp.data[[#This Row],[Crude_Breakdown]],crudeBD.lkup[Crude Breakdown],0))</f>
        <v>1</v>
      </c>
      <c r="AI940">
        <f>MONTH(vp.data[[#This Row],[SDate]])</f>
        <v>3</v>
      </c>
      <c r="AJ940" s="5">
        <f>(vp.data[[#This Row],[VP]]-INDEX(crudeBD.lkup[Mean_VP],MATCH(vp.data[[#This Row],[Crude_Breakdown]],crudeBD.lkup[Crude Breakdown],0)))^2</f>
        <v>0.30671042618765187</v>
      </c>
      <c r="AK940" s="5">
        <f>(vp.data[[#This Row],[Dens]]-INDEX(crudeBD.lkup[Mean_Dens],MATCH(vp.data[[#This Row],[Crude_Breakdown]],crudeBD.lkup[Crude Breakdown],0)))^2</f>
        <v>5.2131403313624531</v>
      </c>
      <c r="AL940" s="5">
        <f>(vp.data[[#This Row],[Sulf]]-INDEX(crudeBD.lkup[Mean_Sulf],MATCH(vp.data[[#This Row],[Crude_Breakdown]],crudeBD.lkup[Crude Breakdown],0)))^2</f>
        <v>7.2345489422327172E-2</v>
      </c>
      <c r="AM940" s="4">
        <f>IF(AND(vp.data[[#This Row],[SDate]]&gt;=DATE(YEAR(vp.data[[#This Row],[SDate]]),5,1),vp.data[[#This Row],[SDate]]&lt;=DATE(YEAR(vp.data[[#This Row],[SDate]]),9,15)),1,0)</f>
        <v>0</v>
      </c>
      <c r="AN940" s="4">
        <f>IF(vp.data[[#This Row],[SDate]]&lt;DATE(2016,12,1),0,1)</f>
        <v>1</v>
      </c>
      <c r="AO940" s="4">
        <f>IFERROR(vp.data[[#This Row],[Sulf]]*vp.data[[#This Row],[Net Dens]],"")</f>
        <v>5833925.6444928003</v>
      </c>
      <c r="AP940">
        <f>IFERROR(vp.data[[#This Row],[Dens]]*vp.data[[#This Row],[VolumeM3]],"")</f>
        <v>8920375.6031999998</v>
      </c>
      <c r="AQ940" s="15">
        <f>IFERROR(vp.data[[#This Row],[VP]]*vp.data[[#This Row],[VolumeM3]],"")</f>
        <v>1000933.9584</v>
      </c>
    </row>
    <row r="941" spans="1:43" x14ac:dyDescent="0.25">
      <c r="A941">
        <v>940</v>
      </c>
      <c r="B941" t="s">
        <v>49</v>
      </c>
      <c r="C941" t="s">
        <v>49</v>
      </c>
      <c r="D941" t="s">
        <v>89</v>
      </c>
      <c r="F941" s="1">
        <v>42799</v>
      </c>
      <c r="G941" s="2">
        <v>91</v>
      </c>
      <c r="H941" s="2">
        <v>0.69099999999999995</v>
      </c>
      <c r="I941" s="2">
        <f t="array" ref="I941">_xlfn.IFNA(IF(vp.data[[#This Row],[Sulf Input]]="",INDEX([1]DATA!$Q$3:$Q$9826,MATCH(1,(vp.data[[#This Row],[Battery]]=[1]DATA!$L$3:$L$9826)*(EOMONTH(vp.data[[#This Row],[SDate]],-1)+1=[1]DATA!$G$3:$G$9826),0)),vp.data[[#This Row],[Sulf Input]]),"")</f>
        <v>0.69099999999999995</v>
      </c>
      <c r="J941" s="2">
        <v>6.5</v>
      </c>
      <c r="K941" s="2">
        <v>4</v>
      </c>
      <c r="L941" s="2">
        <v>817.3</v>
      </c>
      <c r="M941" s="2">
        <f t="array" ref="M941">_xlfn.IFNA(IF(vp.data[[#This Row],[Dens Input]]="",INDEX([1]DATA!$O$3:$O$9826,MATCH(1,(vp.data[[#This Row],[Battery]]=[1]DATA!$L$3:$L$9826)*(EOMONTH(vp.data[[#This Row],[SDate]],-1)+1=[1]DATA!$G$3:$G$9826),0)),vp.data[[#This Row],[Dens Input]]),"")</f>
        <v>817.3</v>
      </c>
      <c r="N941" s="2">
        <f ca="1">INDEX(INDIRECT(_xlfn.CONCAT("weather.tbl[",N$1,"]")),MATCH(vp.data[[#This Row],[SDate]],weather.tbl[Date],0))</f>
        <v>-4.9999999999999968E-2</v>
      </c>
      <c r="O941" s="2">
        <f ca="1">INDEX(INDIRECT(_xlfn.CONCAT("weather.tbl[",O$1,"]")),MATCH(vp.data[[#This Row],[SDate]],weather.tbl[Date],0))</f>
        <v>-9.1476190476190471</v>
      </c>
      <c r="P941" s="2">
        <f ca="1">INDEX(INDIRECT(_xlfn.CONCAT("weather.tbl[",P$1,"]")),MATCH(vp.data[[#This Row],[SDate]],weather.tbl[Date],0))</f>
        <v>0.8</v>
      </c>
      <c r="Q941" s="2">
        <f ca="1">INDEX(INDIRECT(_xlfn.CONCAT("weather.tbl[",Q$1,"]")),MATCH(vp.data[[#This Row],[SDate]],weather.tbl[Date],0))</f>
        <v>-0.5</v>
      </c>
      <c r="R941" s="2">
        <f ca="1">INDEX(INDIRECT(_xlfn.CONCAT("weather.tbl[",R$1,"]")),MATCH(vp.data[[#This Row],[SDate]],weather.tbl[Date],0))</f>
        <v>-1.8</v>
      </c>
      <c r="S941" s="2">
        <f ca="1">INDEX(INDIRECT(_xlfn.CONCAT("weather.tbl[",S$1,"]")),MATCH(vp.data[[#This Row],[SDate]],weather.tbl[Date],0))</f>
        <v>1.1000000000000001</v>
      </c>
      <c r="T941" s="2">
        <f ca="1">INDEX(INDIRECT(_xlfn.CONCAT("weather.tbl[",T$1,"]")),MATCH(vp.data[[#This Row],[SDate]],weather.tbl[Date],0))</f>
        <v>-0.7</v>
      </c>
      <c r="U941" s="2">
        <f ca="1">INDEX(INDIRECT(_xlfn.CONCAT("weather.tbl[",U$1,"]")),MATCH(vp.data[[#This Row],[SDate]],weather.tbl[Date],0))</f>
        <v>0.8</v>
      </c>
      <c r="V941" s="2">
        <f t="array" ref="V9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6514.0349999999999</v>
      </c>
      <c r="W941" t="s">
        <v>48</v>
      </c>
      <c r="X941">
        <f>IF(OR(vp.data[[#This Row],[Sulf]]="",vp.data[[#This Row],[Dens]]=""),1,0)</f>
        <v>0</v>
      </c>
      <c r="Y941">
        <f>IF(vp.data[[#This Row],[CrudeType]]="C5+",1,0)</f>
        <v>0</v>
      </c>
      <c r="Z941">
        <f>IF(AND(vp.data[[#This Row],[CrudeType]]="Crude",vp.data[[#This Row],[Dens]]&lt;=825,vp.data[[#This Row],[Sulf]]&gt;0.5,vp.data[[#This Row],[Unknown]]=0),1,0)</f>
        <v>1</v>
      </c>
      <c r="AA941">
        <f>IF(AND(vp.data[[#This Row],[CrudeType]]="Crude",vp.data[[#This Row],[Dens]]&lt;=825,vp.data[[#This Row],[Sulf]]&lt;=0.5,vp.data[[#This Row],[Unknown]]=0),1,0)</f>
        <v>0</v>
      </c>
      <c r="AB9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1">
        <f>IF(AND(vp.data[[#This Row],[CrudeType]]="Crude",vp.data[[#This Row],[Dens]]&gt;825,vp.data[[#This Row],[Dens]]&lt;=900,vp.data[[#This Row],[Sulf]]&lt;=0.5,vp.data[[#This Row],[Unknown]]=0),1,0)</f>
        <v>0</v>
      </c>
      <c r="AD941">
        <f>IF(AND(vp.data[[#This Row],[CrudeType]]="Crude",vp.data[[#This Row],[Dens]]&gt;865,vp.data[[#This Row],[Dens]]&lt;=900,vp.data[[#This Row],[Sulf]]&gt;2,vp.data[[#This Row],[Unknown]]=0),1,0)</f>
        <v>0</v>
      </c>
      <c r="AE941">
        <f>IF(AND(vp.data[[#This Row],[CrudeType]]="Crude",vp.data[[#This Row],[Dens]]&gt;900,vp.data[[#This Row],[Sulf]]&lt;=0.5,vp.data[[#This Row],[Unknown]]=0),1,0)</f>
        <v>0</v>
      </c>
      <c r="AF941">
        <f>IF(AND(vp.data[[#This Row],[CrudeType]]="Crude",vp.data[[#This Row],[Dens]]&gt;900,vp.data[[#This Row],[Sulf]]&lt;=0.5,vp.data[[#This Row],[Unknown]]=0),1,0)</f>
        <v>0</v>
      </c>
      <c r="AG941" t="str">
        <f>INDEX(vp.data[[#Headers],[Unknown]:[Heavy_SW]],MATCH(1,vp.data[[#This Row],[Unknown]:[Heavy_SW]],0))</f>
        <v>Light_LSB</v>
      </c>
      <c r="AH941">
        <f>INDEX([3]!crudeBD.lkup[Number],MATCH(vp.data[[#This Row],[Crude_Breakdown]],crudeBD.lkup[Crude Breakdown],0))</f>
        <v>1</v>
      </c>
      <c r="AI941">
        <f>MONTH(vp.data[[#This Row],[SDate]])</f>
        <v>3</v>
      </c>
      <c r="AJ941" s="5">
        <f>(vp.data[[#This Row],[VP]]-INDEX(crudeBD.lkup[Mean_VP],MATCH(vp.data[[#This Row],[Crude_Breakdown]],crudeBD.lkup[Crude Breakdown],0)))^2</f>
        <v>0.29831867361040704</v>
      </c>
      <c r="AK941" s="5">
        <f>(vp.data[[#This Row],[Dens]]-INDEX(crudeBD.lkup[Mean_Dens],MATCH(vp.data[[#This Row],[Crude_Breakdown]],crudeBD.lkup[Crude Breakdown],0)))^2</f>
        <v>1.4805286475117752</v>
      </c>
      <c r="AL941" s="5">
        <f>(vp.data[[#This Row],[Sulf]]-INDEX(crudeBD.lkup[Mean_Sulf],MATCH(vp.data[[#This Row],[Crude_Breakdown]],crudeBD.lkup[Crude Breakdown],0)))^2</f>
        <v>5.3810622961846126E-2</v>
      </c>
      <c r="AM941" s="4">
        <f>IF(AND(vp.data[[#This Row],[SDate]]&gt;=DATE(YEAR(vp.data[[#This Row],[SDate]]),5,1),vp.data[[#This Row],[SDate]]&lt;=DATE(YEAR(vp.data[[#This Row],[SDate]]),9,15)),1,0)</f>
        <v>0</v>
      </c>
      <c r="AN941" s="4">
        <f>IF(vp.data[[#This Row],[SDate]]&lt;DATE(2016,12,1),0,1)</f>
        <v>1</v>
      </c>
      <c r="AO941" s="4">
        <f>IFERROR(vp.data[[#This Row],[Sulf]]*vp.data[[#This Row],[Net Dens]],"")</f>
        <v>3678829.2766004996</v>
      </c>
      <c r="AP941">
        <f>IFERROR(vp.data[[#This Row],[Dens]]*vp.data[[#This Row],[VolumeM3]],"")</f>
        <v>5323920.8054999998</v>
      </c>
      <c r="AQ941" s="15">
        <f>IFERROR(vp.data[[#This Row],[VP]]*vp.data[[#This Row],[VolumeM3]],"")</f>
        <v>592777.18499999994</v>
      </c>
    </row>
    <row r="942" spans="1:43" x14ac:dyDescent="0.25">
      <c r="A942">
        <v>941</v>
      </c>
      <c r="B942" t="s">
        <v>49</v>
      </c>
      <c r="C942" t="s">
        <v>49</v>
      </c>
      <c r="D942" t="s">
        <v>81</v>
      </c>
      <c r="F942" s="1">
        <v>42803</v>
      </c>
      <c r="G942" s="2">
        <v>88.5</v>
      </c>
      <c r="H942" s="2">
        <v>0.55400000000000005</v>
      </c>
      <c r="I942" s="2">
        <f t="array" ref="I942">_xlfn.IFNA(IF(vp.data[[#This Row],[Sulf Input]]="",INDEX([1]DATA!$Q$3:$Q$9826,MATCH(1,(vp.data[[#This Row],[Battery]]=[1]DATA!$L$3:$L$9826)*(EOMONTH(vp.data[[#This Row],[SDate]],-1)+1=[1]DATA!$G$3:$G$9826),0)),vp.data[[#This Row],[Sulf Input]]),"")</f>
        <v>0.55400000000000005</v>
      </c>
      <c r="J942" s="2">
        <v>3.1</v>
      </c>
      <c r="K942" s="2">
        <v>-25</v>
      </c>
      <c r="L942" s="2">
        <v>821.4</v>
      </c>
      <c r="M942" s="2">
        <f t="array" ref="M942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942" s="2">
        <f ca="1">INDEX(INDIRECT(_xlfn.CONCAT("weather.tbl[",N$1,"]")),MATCH(vp.data[[#This Row],[SDate]],weather.tbl[Date],0))</f>
        <v>-19.099999999999998</v>
      </c>
      <c r="O942" s="2">
        <f ca="1">INDEX(INDIRECT(_xlfn.CONCAT("weather.tbl[",O$1,"]")),MATCH(vp.data[[#This Row],[SDate]],weather.tbl[Date],0))</f>
        <v>-8.6976190476190478</v>
      </c>
      <c r="P942" s="2">
        <f ca="1">INDEX(INDIRECT(_xlfn.CONCAT("weather.tbl[",P$1,"]")),MATCH(vp.data[[#This Row],[SDate]],weather.tbl[Date],0))</f>
        <v>-19</v>
      </c>
      <c r="Q942" s="2">
        <f ca="1">INDEX(INDIRECT(_xlfn.CONCAT("weather.tbl[",Q$1,"]")),MATCH(vp.data[[#This Row],[SDate]],weather.tbl[Date],0))</f>
        <v>-18.899999999999999</v>
      </c>
      <c r="R942" s="2">
        <f ca="1">INDEX(INDIRECT(_xlfn.CONCAT("weather.tbl[",R$1,"]")),MATCH(vp.data[[#This Row],[SDate]],weather.tbl[Date],0))</f>
        <v>-18</v>
      </c>
      <c r="S942" s="2">
        <f ca="1">INDEX(INDIRECT(_xlfn.CONCAT("weather.tbl[",S$1,"]")),MATCH(vp.data[[#This Row],[SDate]],weather.tbl[Date],0))</f>
        <v>-18.2</v>
      </c>
      <c r="T942" s="2">
        <f ca="1">INDEX(INDIRECT(_xlfn.CONCAT("weather.tbl[",T$1,"]")),MATCH(vp.data[[#This Row],[SDate]],weather.tbl[Date],0))</f>
        <v>-21.2</v>
      </c>
      <c r="U942" s="2">
        <f ca="1">INDEX(INDIRECT(_xlfn.CONCAT("weather.tbl[",U$1,"]")),MATCH(vp.data[[#This Row],[SDate]],weather.tbl[Date],0))</f>
        <v>-19.3</v>
      </c>
      <c r="V942" s="2">
        <f t="array" ref="V9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20568.135999999999</v>
      </c>
      <c r="W942" t="s">
        <v>48</v>
      </c>
      <c r="X942">
        <f>IF(OR(vp.data[[#This Row],[Sulf]]="",vp.data[[#This Row],[Dens]]=""),1,0)</f>
        <v>0</v>
      </c>
      <c r="Y942">
        <f>IF(vp.data[[#This Row],[CrudeType]]="C5+",1,0)</f>
        <v>0</v>
      </c>
      <c r="Z942">
        <f>IF(AND(vp.data[[#This Row],[CrudeType]]="Crude",vp.data[[#This Row],[Dens]]&lt;=825,vp.data[[#This Row],[Sulf]]&gt;0.5,vp.data[[#This Row],[Unknown]]=0),1,0)</f>
        <v>1</v>
      </c>
      <c r="AA942">
        <f>IF(AND(vp.data[[#This Row],[CrudeType]]="Crude",vp.data[[#This Row],[Dens]]&lt;=825,vp.data[[#This Row],[Sulf]]&lt;=0.5,vp.data[[#This Row],[Unknown]]=0),1,0)</f>
        <v>0</v>
      </c>
      <c r="AB9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2">
        <f>IF(AND(vp.data[[#This Row],[CrudeType]]="Crude",vp.data[[#This Row],[Dens]]&gt;825,vp.data[[#This Row],[Dens]]&lt;=900,vp.data[[#This Row],[Sulf]]&lt;=0.5,vp.data[[#This Row],[Unknown]]=0),1,0)</f>
        <v>0</v>
      </c>
      <c r="AD942">
        <f>IF(AND(vp.data[[#This Row],[CrudeType]]="Crude",vp.data[[#This Row],[Dens]]&gt;865,vp.data[[#This Row],[Dens]]&lt;=900,vp.data[[#This Row],[Sulf]]&gt;2,vp.data[[#This Row],[Unknown]]=0),1,0)</f>
        <v>0</v>
      </c>
      <c r="AE942">
        <f>IF(AND(vp.data[[#This Row],[CrudeType]]="Crude",vp.data[[#This Row],[Dens]]&gt;900,vp.data[[#This Row],[Sulf]]&lt;=0.5,vp.data[[#This Row],[Unknown]]=0),1,0)</f>
        <v>0</v>
      </c>
      <c r="AF942">
        <f>IF(AND(vp.data[[#This Row],[CrudeType]]="Crude",vp.data[[#This Row],[Dens]]&gt;900,vp.data[[#This Row],[Sulf]]&lt;=0.5,vp.data[[#This Row],[Unknown]]=0),1,0)</f>
        <v>0</v>
      </c>
      <c r="AG942" t="str">
        <f>INDEX(vp.data[[#Headers],[Unknown]:[Heavy_SW]],MATCH(1,vp.data[[#This Row],[Unknown]:[Heavy_SW]],0))</f>
        <v>Light_LSB</v>
      </c>
      <c r="AH942">
        <f>INDEX([3]!crudeBD.lkup[Number],MATCH(vp.data[[#This Row],[Crude_Breakdown]],crudeBD.lkup[Crude Breakdown],0))</f>
        <v>1</v>
      </c>
      <c r="AI942">
        <f>MONTH(vp.data[[#This Row],[SDate]])</f>
        <v>3</v>
      </c>
      <c r="AJ942" s="5">
        <f>(vp.data[[#This Row],[VP]]-INDEX(crudeBD.lkup[Mean_VP],MATCH(vp.data[[#This Row],[Crude_Breakdown]],crudeBD.lkup[Crude Breakdown],0)))^2</f>
        <v>9.2792465086621085</v>
      </c>
      <c r="AK942" s="5">
        <f>(vp.data[[#This Row],[Dens]]-INDEX(crudeBD.lkup[Mean_Dens],MATCH(vp.data[[#This Row],[Crude_Breakdown]],crudeBD.lkup[Crude Breakdown],0)))^2</f>
        <v>8.3130166200227009</v>
      </c>
      <c r="AL942" s="5">
        <f>(vp.data[[#This Row],[Sulf]]-INDEX(crudeBD.lkup[Mean_Sulf],MATCH(vp.data[[#This Row],[Crude_Breakdown]],crudeBD.lkup[Crude Breakdown],0)))^2</f>
        <v>0.13613972309930306</v>
      </c>
      <c r="AM942" s="4">
        <f>IF(AND(vp.data[[#This Row],[SDate]]&gt;=DATE(YEAR(vp.data[[#This Row],[SDate]]),5,1),vp.data[[#This Row],[SDate]]&lt;=DATE(YEAR(vp.data[[#This Row],[SDate]]),9,15)),1,0)</f>
        <v>0</v>
      </c>
      <c r="AN942" s="4">
        <f>IF(vp.data[[#This Row],[SDate]]&lt;DATE(2016,12,1),0,1)</f>
        <v>1</v>
      </c>
      <c r="AO942" s="4">
        <f>IFERROR(vp.data[[#This Row],[Sulf]]*vp.data[[#This Row],[Net Dens]],"")</f>
        <v>9359645.4683616012</v>
      </c>
      <c r="AP942">
        <f>IFERROR(vp.data[[#This Row],[Dens]]*vp.data[[#This Row],[VolumeM3]],"")</f>
        <v>16894666.910399999</v>
      </c>
      <c r="AQ942" s="15">
        <f>IFERROR(vp.data[[#This Row],[VP]]*vp.data[[#This Row],[VolumeM3]],"")</f>
        <v>1820280.0359999998</v>
      </c>
    </row>
    <row r="943" spans="1:43" x14ac:dyDescent="0.25">
      <c r="A943">
        <v>942</v>
      </c>
      <c r="B943" t="s">
        <v>49</v>
      </c>
      <c r="C943" t="s">
        <v>49</v>
      </c>
      <c r="D943" t="s">
        <v>100</v>
      </c>
      <c r="F943" s="1">
        <v>42803</v>
      </c>
      <c r="G943" s="2">
        <v>90.1</v>
      </c>
      <c r="H943" s="2">
        <v>0.59699999999999998</v>
      </c>
      <c r="I943" s="2">
        <f t="array" ref="I943">_xlfn.IFNA(IF(vp.data[[#This Row],[Sulf Input]]="",INDEX([1]DATA!$Q$3:$Q$9826,MATCH(1,(vp.data[[#This Row],[Battery]]=[1]DATA!$L$3:$L$9826)*(EOMONTH(vp.data[[#This Row],[SDate]],-1)+1=[1]DATA!$G$3:$G$9826),0)),vp.data[[#This Row],[Sulf Input]]),"")</f>
        <v>0.59699999999999998</v>
      </c>
      <c r="J943" s="2">
        <v>8.3000000000000007</v>
      </c>
      <c r="K943" s="2">
        <v>-25</v>
      </c>
      <c r="L943" s="2">
        <v>815.9</v>
      </c>
      <c r="M943" s="2">
        <f t="array" ref="M943">_xlfn.IFNA(IF(vp.data[[#This Row],[Dens Input]]="",INDEX([1]DATA!$O$3:$O$9826,MATCH(1,(vp.data[[#This Row],[Battery]]=[1]DATA!$L$3:$L$9826)*(EOMONTH(vp.data[[#This Row],[SDate]],-1)+1=[1]DATA!$G$3:$G$9826),0)),vp.data[[#This Row],[Dens Input]]),"")</f>
        <v>815.9</v>
      </c>
      <c r="N943" s="2">
        <f ca="1">INDEX(INDIRECT(_xlfn.CONCAT("weather.tbl[",N$1,"]")),MATCH(vp.data[[#This Row],[SDate]],weather.tbl[Date],0))</f>
        <v>-19.099999999999998</v>
      </c>
      <c r="O943" s="2">
        <f ca="1">INDEX(INDIRECT(_xlfn.CONCAT("weather.tbl[",O$1,"]")),MATCH(vp.data[[#This Row],[SDate]],weather.tbl[Date],0))</f>
        <v>-8.6976190476190478</v>
      </c>
      <c r="P943" s="2">
        <f ca="1">INDEX(INDIRECT(_xlfn.CONCAT("weather.tbl[",P$1,"]")),MATCH(vp.data[[#This Row],[SDate]],weather.tbl[Date],0))</f>
        <v>-19</v>
      </c>
      <c r="Q943" s="2">
        <f ca="1">INDEX(INDIRECT(_xlfn.CONCAT("weather.tbl[",Q$1,"]")),MATCH(vp.data[[#This Row],[SDate]],weather.tbl[Date],0))</f>
        <v>-18.899999999999999</v>
      </c>
      <c r="R943" s="2">
        <f ca="1">INDEX(INDIRECT(_xlfn.CONCAT("weather.tbl[",R$1,"]")),MATCH(vp.data[[#This Row],[SDate]],weather.tbl[Date],0))</f>
        <v>-18</v>
      </c>
      <c r="S943" s="2">
        <f ca="1">INDEX(INDIRECT(_xlfn.CONCAT("weather.tbl[",S$1,"]")),MATCH(vp.data[[#This Row],[SDate]],weather.tbl[Date],0))</f>
        <v>-18.2</v>
      </c>
      <c r="T943" s="2">
        <f ca="1">INDEX(INDIRECT(_xlfn.CONCAT("weather.tbl[",T$1,"]")),MATCH(vp.data[[#This Row],[SDate]],weather.tbl[Date],0))</f>
        <v>-21.2</v>
      </c>
      <c r="U943" s="2">
        <f ca="1">INDEX(INDIRECT(_xlfn.CONCAT("weather.tbl[",U$1,"]")),MATCH(vp.data[[#This Row],[SDate]],weather.tbl[Date],0))</f>
        <v>-19.3</v>
      </c>
      <c r="V943" s="2">
        <f t="array" ref="V9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10867.904</v>
      </c>
      <c r="W943" t="s">
        <v>48</v>
      </c>
      <c r="X943">
        <f>IF(OR(vp.data[[#This Row],[Sulf]]="",vp.data[[#This Row],[Dens]]=""),1,0)</f>
        <v>0</v>
      </c>
      <c r="Y943">
        <f>IF(vp.data[[#This Row],[CrudeType]]="C5+",1,0)</f>
        <v>0</v>
      </c>
      <c r="Z943">
        <f>IF(AND(vp.data[[#This Row],[CrudeType]]="Crude",vp.data[[#This Row],[Dens]]&lt;=825,vp.data[[#This Row],[Sulf]]&gt;0.5,vp.data[[#This Row],[Unknown]]=0),1,0)</f>
        <v>1</v>
      </c>
      <c r="AA943">
        <f>IF(AND(vp.data[[#This Row],[CrudeType]]="Crude",vp.data[[#This Row],[Dens]]&lt;=825,vp.data[[#This Row],[Sulf]]&lt;=0.5,vp.data[[#This Row],[Unknown]]=0),1,0)</f>
        <v>0</v>
      </c>
      <c r="AB9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3">
        <f>IF(AND(vp.data[[#This Row],[CrudeType]]="Crude",vp.data[[#This Row],[Dens]]&gt;825,vp.data[[#This Row],[Dens]]&lt;=900,vp.data[[#This Row],[Sulf]]&lt;=0.5,vp.data[[#This Row],[Unknown]]=0),1,0)</f>
        <v>0</v>
      </c>
      <c r="AD943">
        <f>IF(AND(vp.data[[#This Row],[CrudeType]]="Crude",vp.data[[#This Row],[Dens]]&gt;865,vp.data[[#This Row],[Dens]]&lt;=900,vp.data[[#This Row],[Sulf]]&gt;2,vp.data[[#This Row],[Unknown]]=0),1,0)</f>
        <v>0</v>
      </c>
      <c r="AE943">
        <f>IF(AND(vp.data[[#This Row],[CrudeType]]="Crude",vp.data[[#This Row],[Dens]]&gt;900,vp.data[[#This Row],[Sulf]]&lt;=0.5,vp.data[[#This Row],[Unknown]]=0),1,0)</f>
        <v>0</v>
      </c>
      <c r="AF943">
        <f>IF(AND(vp.data[[#This Row],[CrudeType]]="Crude",vp.data[[#This Row],[Dens]]&gt;900,vp.data[[#This Row],[Sulf]]&lt;=0.5,vp.data[[#This Row],[Unknown]]=0),1,0)</f>
        <v>0</v>
      </c>
      <c r="AG943" t="str">
        <f>INDEX(vp.data[[#Headers],[Unknown]:[Heavy_SW]],MATCH(1,vp.data[[#This Row],[Unknown]:[Heavy_SW]],0))</f>
        <v>Light_LSB</v>
      </c>
      <c r="AH943">
        <f>INDEX([3]!crudeBD.lkup[Number],MATCH(vp.data[[#This Row],[Crude_Breakdown]],crudeBD.lkup[Crude Breakdown],0))</f>
        <v>1</v>
      </c>
      <c r="AI943">
        <f>MONTH(vp.data[[#This Row],[SDate]])</f>
        <v>3</v>
      </c>
      <c r="AJ943" s="5">
        <f>(vp.data[[#This Row],[VP]]-INDEX(crudeBD.lkup[Mean_VP],MATCH(vp.data[[#This Row],[Crude_Breakdown]],crudeBD.lkup[Crude Breakdown],0)))^2</f>
        <v>2.0914526942290363</v>
      </c>
      <c r="AK943" s="5">
        <f>(vp.data[[#This Row],[Dens]]-INDEX(crudeBD.lkup[Mean_Dens],MATCH(vp.data[[#This Row],[Crude_Breakdown]],crudeBD.lkup[Crude Breakdown],0)))^2</f>
        <v>6.8474839739713849</v>
      </c>
      <c r="AL943" s="5">
        <f>(vp.data[[#This Row],[Sulf]]-INDEX(crudeBD.lkup[Mean_Sulf],MATCH(vp.data[[#This Row],[Crude_Breakdown]],crudeBD.lkup[Crude Breakdown],0)))^2</f>
        <v>0.10625720261820346</v>
      </c>
      <c r="AM943" s="4">
        <f>IF(AND(vp.data[[#This Row],[SDate]]&gt;=DATE(YEAR(vp.data[[#This Row],[SDate]]),5,1),vp.data[[#This Row],[SDate]]&lt;=DATE(YEAR(vp.data[[#This Row],[SDate]]),9,15)),1,0)</f>
        <v>0</v>
      </c>
      <c r="AN943" s="4">
        <f>IF(vp.data[[#This Row],[SDate]]&lt;DATE(2016,12,1),0,1)</f>
        <v>1</v>
      </c>
      <c r="AO943" s="4">
        <f>IFERROR(vp.data[[#This Row],[Sulf]]*vp.data[[#This Row],[Net Dens]],"")</f>
        <v>5293672.3555391999</v>
      </c>
      <c r="AP943">
        <f>IFERROR(vp.data[[#This Row],[Dens]]*vp.data[[#This Row],[VolumeM3]],"")</f>
        <v>8867122.8736000005</v>
      </c>
      <c r="AQ943" s="15">
        <f>IFERROR(vp.data[[#This Row],[VP]]*vp.data[[#This Row],[VolumeM3]],"")</f>
        <v>979198.15039999993</v>
      </c>
    </row>
    <row r="944" spans="1:43" x14ac:dyDescent="0.25">
      <c r="A944">
        <v>943</v>
      </c>
      <c r="B944" t="s">
        <v>49</v>
      </c>
      <c r="C944" t="s">
        <v>49</v>
      </c>
      <c r="D944" t="s">
        <v>89</v>
      </c>
      <c r="F944" s="1">
        <v>42803</v>
      </c>
      <c r="G944" s="2">
        <v>97.8</v>
      </c>
      <c r="H944" s="2">
        <v>0.746</v>
      </c>
      <c r="I944" s="2">
        <f t="array" ref="I944">_xlfn.IFNA(IF(vp.data[[#This Row],[Sulf Input]]="",INDEX([1]DATA!$Q$3:$Q$9826,MATCH(1,(vp.data[[#This Row],[Battery]]=[1]DATA!$L$3:$L$9826)*(EOMONTH(vp.data[[#This Row],[SDate]],-1)+1=[1]DATA!$G$3:$G$9826),0)),vp.data[[#This Row],[Sulf Input]]),"")</f>
        <v>0.746</v>
      </c>
      <c r="J944" s="2">
        <v>2.5</v>
      </c>
      <c r="K944" s="2">
        <v>-25</v>
      </c>
      <c r="L944" s="2">
        <v>818.9</v>
      </c>
      <c r="M944" s="2">
        <f t="array" ref="M944">_xlfn.IFNA(IF(vp.data[[#This Row],[Dens Input]]="",INDEX([1]DATA!$O$3:$O$9826,MATCH(1,(vp.data[[#This Row],[Battery]]=[1]DATA!$L$3:$L$9826)*(EOMONTH(vp.data[[#This Row],[SDate]],-1)+1=[1]DATA!$G$3:$G$9826),0)),vp.data[[#This Row],[Dens Input]]),"")</f>
        <v>818.9</v>
      </c>
      <c r="N944" s="2">
        <f ca="1">INDEX(INDIRECT(_xlfn.CONCAT("weather.tbl[",N$1,"]")),MATCH(vp.data[[#This Row],[SDate]],weather.tbl[Date],0))</f>
        <v>-19.099999999999998</v>
      </c>
      <c r="O944" s="2">
        <f ca="1">INDEX(INDIRECT(_xlfn.CONCAT("weather.tbl[",O$1,"]")),MATCH(vp.data[[#This Row],[SDate]],weather.tbl[Date],0))</f>
        <v>-8.6976190476190478</v>
      </c>
      <c r="P944" s="2">
        <f ca="1">INDEX(INDIRECT(_xlfn.CONCAT("weather.tbl[",P$1,"]")),MATCH(vp.data[[#This Row],[SDate]],weather.tbl[Date],0))</f>
        <v>-19</v>
      </c>
      <c r="Q944" s="2">
        <f ca="1">INDEX(INDIRECT(_xlfn.CONCAT("weather.tbl[",Q$1,"]")),MATCH(vp.data[[#This Row],[SDate]],weather.tbl[Date],0))</f>
        <v>-18.899999999999999</v>
      </c>
      <c r="R944" s="2">
        <f ca="1">INDEX(INDIRECT(_xlfn.CONCAT("weather.tbl[",R$1,"]")),MATCH(vp.data[[#This Row],[SDate]],weather.tbl[Date],0))</f>
        <v>-18</v>
      </c>
      <c r="S944" s="2">
        <f ca="1">INDEX(INDIRECT(_xlfn.CONCAT("weather.tbl[",S$1,"]")),MATCH(vp.data[[#This Row],[SDate]],weather.tbl[Date],0))</f>
        <v>-18.2</v>
      </c>
      <c r="T944" s="2">
        <f ca="1">INDEX(INDIRECT(_xlfn.CONCAT("weather.tbl[",T$1,"]")),MATCH(vp.data[[#This Row],[SDate]],weather.tbl[Date],0))</f>
        <v>-21.2</v>
      </c>
      <c r="U944" s="2">
        <f ca="1">INDEX(INDIRECT(_xlfn.CONCAT("weather.tbl[",U$1,"]")),MATCH(vp.data[[#This Row],[SDate]],weather.tbl[Date],0))</f>
        <v>-19.3</v>
      </c>
      <c r="V944" s="2">
        <f t="array" ref="V9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6514.0349999999999</v>
      </c>
      <c r="W944" t="s">
        <v>48</v>
      </c>
      <c r="X944">
        <f>IF(OR(vp.data[[#This Row],[Sulf]]="",vp.data[[#This Row],[Dens]]=""),1,0)</f>
        <v>0</v>
      </c>
      <c r="Y944">
        <f>IF(vp.data[[#This Row],[CrudeType]]="C5+",1,0)</f>
        <v>0</v>
      </c>
      <c r="Z944">
        <f>IF(AND(vp.data[[#This Row],[CrudeType]]="Crude",vp.data[[#This Row],[Dens]]&lt;=825,vp.data[[#This Row],[Sulf]]&gt;0.5,vp.data[[#This Row],[Unknown]]=0),1,0)</f>
        <v>1</v>
      </c>
      <c r="AA944">
        <f>IF(AND(vp.data[[#This Row],[CrudeType]]="Crude",vp.data[[#This Row],[Dens]]&lt;=825,vp.data[[#This Row],[Sulf]]&lt;=0.5,vp.data[[#This Row],[Unknown]]=0),1,0)</f>
        <v>0</v>
      </c>
      <c r="AB9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44">
        <f>IF(AND(vp.data[[#This Row],[CrudeType]]="Crude",vp.data[[#This Row],[Dens]]&gt;825,vp.data[[#This Row],[Dens]]&lt;=900,vp.data[[#This Row],[Sulf]]&lt;=0.5,vp.data[[#This Row],[Unknown]]=0),1,0)</f>
        <v>0</v>
      </c>
      <c r="AD944">
        <f>IF(AND(vp.data[[#This Row],[CrudeType]]="Crude",vp.data[[#This Row],[Dens]]&gt;865,vp.data[[#This Row],[Dens]]&lt;=900,vp.data[[#This Row],[Sulf]]&gt;2,vp.data[[#This Row],[Unknown]]=0),1,0)</f>
        <v>0</v>
      </c>
      <c r="AE944">
        <f>IF(AND(vp.data[[#This Row],[CrudeType]]="Crude",vp.data[[#This Row],[Dens]]&gt;900,vp.data[[#This Row],[Sulf]]&lt;=0.5,vp.data[[#This Row],[Unknown]]=0),1,0)</f>
        <v>0</v>
      </c>
      <c r="AF944">
        <f>IF(AND(vp.data[[#This Row],[CrudeType]]="Crude",vp.data[[#This Row],[Dens]]&gt;900,vp.data[[#This Row],[Sulf]]&lt;=0.5,vp.data[[#This Row],[Unknown]]=0),1,0)</f>
        <v>0</v>
      </c>
      <c r="AG944" t="str">
        <f>INDEX(vp.data[[#Headers],[Unknown]:[Heavy_SW]],MATCH(1,vp.data[[#This Row],[Unknown]:[Heavy_SW]],0))</f>
        <v>Light_LSB</v>
      </c>
      <c r="AH944">
        <f>INDEX([3]!crudeBD.lkup[Number],MATCH(vp.data[[#This Row],[Crude_Breakdown]],crudeBD.lkup[Crude Breakdown],0))</f>
        <v>1</v>
      </c>
      <c r="AI944">
        <f>MONTH(vp.data[[#This Row],[SDate]])</f>
        <v>3</v>
      </c>
      <c r="AJ944" s="5">
        <f>(vp.data[[#This Row],[VP]]-INDEX(crudeBD.lkup[Mean_VP],MATCH(vp.data[[#This Row],[Crude_Breakdown]],crudeBD.lkup[Crude Breakdown],0)))^2</f>
        <v>39.110194962269745</v>
      </c>
      <c r="AK944" s="5">
        <f>(vp.data[[#This Row],[Dens]]-INDEX(crudeBD.lkup[Mean_Dens],MATCH(vp.data[[#This Row],[Crude_Breakdown]],crudeBD.lkup[Crude Breakdown],0)))^2</f>
        <v>0.14686541727210251</v>
      </c>
      <c r="AL944" s="5">
        <f>(vp.data[[#This Row],[Sulf]]-INDEX(crudeBD.lkup[Mean_Sulf],MATCH(vp.data[[#This Row],[Crude_Breakdown]],crudeBD.lkup[Crude Breakdown],0)))^2</f>
        <v>3.1318794439509363E-2</v>
      </c>
      <c r="AM944" s="4">
        <f>IF(AND(vp.data[[#This Row],[SDate]]&gt;=DATE(YEAR(vp.data[[#This Row],[SDate]]),5,1),vp.data[[#This Row],[SDate]]&lt;=DATE(YEAR(vp.data[[#This Row],[SDate]]),9,15)),1,0)</f>
        <v>0</v>
      </c>
      <c r="AN944" s="4">
        <f>IF(vp.data[[#This Row],[SDate]]&lt;DATE(2016,12,1),0,1)</f>
        <v>1</v>
      </c>
      <c r="AO944" s="4">
        <f>IFERROR(vp.data[[#This Row],[Sulf]]*vp.data[[#This Row],[Net Dens]],"")</f>
        <v>3979420.0730790002</v>
      </c>
      <c r="AP944">
        <f>IFERROR(vp.data[[#This Row],[Dens]]*vp.data[[#This Row],[VolumeM3]],"")</f>
        <v>5334343.2615</v>
      </c>
      <c r="AQ944" s="15">
        <f>IFERROR(vp.data[[#This Row],[VP]]*vp.data[[#This Row],[VolumeM3]],"")</f>
        <v>637072.62300000002</v>
      </c>
    </row>
    <row r="945" spans="1:43" x14ac:dyDescent="0.25">
      <c r="A945">
        <v>944</v>
      </c>
      <c r="B945" t="s">
        <v>51</v>
      </c>
      <c r="C945" t="s">
        <v>51</v>
      </c>
      <c r="D945" t="s">
        <v>72</v>
      </c>
      <c r="F945" s="1">
        <v>42803</v>
      </c>
      <c r="G945" s="2">
        <v>100.5</v>
      </c>
      <c r="H945" s="2"/>
      <c r="I945" s="2">
        <f t="array" ref="I945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945" s="2">
        <v>20.9</v>
      </c>
      <c r="K945" s="2">
        <v>-25</v>
      </c>
      <c r="L945" s="2">
        <v>828.9</v>
      </c>
      <c r="M945" s="2">
        <f t="array" ref="M945">_xlfn.IFNA(IF(vp.data[[#This Row],[Dens Input]]="",INDEX([1]DATA!$O$3:$O$9826,MATCH(1,(vp.data[[#This Row],[Battery]]=[1]DATA!$L$3:$L$9826)*(EOMONTH(vp.data[[#This Row],[SDate]],-1)+1=[1]DATA!$G$3:$G$9826),0)),vp.data[[#This Row],[Dens Input]]),"")</f>
        <v>828.9</v>
      </c>
      <c r="N945" s="2">
        <f ca="1">INDEX(INDIRECT(_xlfn.CONCAT("weather.tbl[",N$1,"]")),MATCH(vp.data[[#This Row],[SDate]],weather.tbl[Date],0))</f>
        <v>-19.099999999999998</v>
      </c>
      <c r="O945" s="2">
        <f ca="1">INDEX(INDIRECT(_xlfn.CONCAT("weather.tbl[",O$1,"]")),MATCH(vp.data[[#This Row],[SDate]],weather.tbl[Date],0))</f>
        <v>-8.6976190476190478</v>
      </c>
      <c r="P945" s="2">
        <f ca="1">INDEX(INDIRECT(_xlfn.CONCAT("weather.tbl[",P$1,"]")),MATCH(vp.data[[#This Row],[SDate]],weather.tbl[Date],0))</f>
        <v>-19</v>
      </c>
      <c r="Q945" s="2">
        <f ca="1">INDEX(INDIRECT(_xlfn.CONCAT("weather.tbl[",Q$1,"]")),MATCH(vp.data[[#This Row],[SDate]],weather.tbl[Date],0))</f>
        <v>-18.899999999999999</v>
      </c>
      <c r="R945" s="2">
        <f ca="1">INDEX(INDIRECT(_xlfn.CONCAT("weather.tbl[",R$1,"]")),MATCH(vp.data[[#This Row],[SDate]],weather.tbl[Date],0))</f>
        <v>-18</v>
      </c>
      <c r="S945" s="2">
        <f ca="1">INDEX(INDIRECT(_xlfn.CONCAT("weather.tbl[",S$1,"]")),MATCH(vp.data[[#This Row],[SDate]],weather.tbl[Date],0))</f>
        <v>-18.2</v>
      </c>
      <c r="T945" s="2">
        <f ca="1">INDEX(INDIRECT(_xlfn.CONCAT("weather.tbl[",T$1,"]")),MATCH(vp.data[[#This Row],[SDate]],weather.tbl[Date],0))</f>
        <v>-21.2</v>
      </c>
      <c r="U945" s="2">
        <f ca="1">INDEX(INDIRECT(_xlfn.CONCAT("weather.tbl[",U$1,"]")),MATCH(vp.data[[#This Row],[SDate]],weather.tbl[Date],0))</f>
        <v>-19.3</v>
      </c>
      <c r="V945" s="2">
        <f t="array" ref="V9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945" t="s">
        <v>48</v>
      </c>
      <c r="X945">
        <f>IF(OR(vp.data[[#This Row],[Sulf]]="",vp.data[[#This Row],[Dens]]=""),1,0)</f>
        <v>0</v>
      </c>
      <c r="Y945">
        <f>IF(vp.data[[#This Row],[CrudeType]]="C5+",1,0)</f>
        <v>0</v>
      </c>
      <c r="Z945">
        <f>IF(AND(vp.data[[#This Row],[CrudeType]]="Crude",vp.data[[#This Row],[Dens]]&lt;=825,vp.data[[#This Row],[Sulf]]&gt;0.5,vp.data[[#This Row],[Unknown]]=0),1,0)</f>
        <v>0</v>
      </c>
      <c r="AA945">
        <f>IF(AND(vp.data[[#This Row],[CrudeType]]="Crude",vp.data[[#This Row],[Dens]]&lt;=825,vp.data[[#This Row],[Sulf]]&lt;=0.5,vp.data[[#This Row],[Unknown]]=0),1,0)</f>
        <v>0</v>
      </c>
      <c r="AB9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45">
        <f>IF(AND(vp.data[[#This Row],[CrudeType]]="Crude",vp.data[[#This Row],[Dens]]&gt;825,vp.data[[#This Row],[Dens]]&lt;=900,vp.data[[#This Row],[Sulf]]&lt;=0.5,vp.data[[#This Row],[Unknown]]=0),1,0)</f>
        <v>0</v>
      </c>
      <c r="AD945">
        <f>IF(AND(vp.data[[#This Row],[CrudeType]]="Crude",vp.data[[#This Row],[Dens]]&gt;865,vp.data[[#This Row],[Dens]]&lt;=900,vp.data[[#This Row],[Sulf]]&gt;2,vp.data[[#This Row],[Unknown]]=0),1,0)</f>
        <v>0</v>
      </c>
      <c r="AE945">
        <f>IF(AND(vp.data[[#This Row],[CrudeType]]="Crude",vp.data[[#This Row],[Dens]]&gt;900,vp.data[[#This Row],[Sulf]]&lt;=0.5,vp.data[[#This Row],[Unknown]]=0),1,0)</f>
        <v>0</v>
      </c>
      <c r="AF945">
        <f>IF(AND(vp.data[[#This Row],[CrudeType]]="Crude",vp.data[[#This Row],[Dens]]&gt;900,vp.data[[#This Row],[Sulf]]&lt;=0.5,vp.data[[#This Row],[Unknown]]=0),1,0)</f>
        <v>0</v>
      </c>
      <c r="AG945" t="str">
        <f>INDEX(vp.data[[#Headers],[Unknown]:[Heavy_SW]],MATCH(1,vp.data[[#This Row],[Unknown]:[Heavy_SW]],0))</f>
        <v>Medium_LSB</v>
      </c>
      <c r="AH945">
        <f>INDEX([3]!crudeBD.lkup[Number],MATCH(vp.data[[#This Row],[Crude_Breakdown]],crudeBD.lkup[Crude Breakdown],0))</f>
        <v>3</v>
      </c>
      <c r="AI945">
        <f>MONTH(vp.data[[#This Row],[SDate]])</f>
        <v>3</v>
      </c>
      <c r="AJ945" s="5">
        <f>(vp.data[[#This Row],[VP]]-INDEX(crudeBD.lkup[Mean_VP],MATCH(vp.data[[#This Row],[Crude_Breakdown]],crudeBD.lkup[Crude Breakdown],0)))^2</f>
        <v>394.43244754397591</v>
      </c>
      <c r="AK945" s="5">
        <f>(vp.data[[#This Row],[Dens]]-INDEX(crudeBD.lkup[Mean_Dens],MATCH(vp.data[[#This Row],[Crude_Breakdown]],crudeBD.lkup[Crude Breakdown],0)))^2</f>
        <v>225.6003999999858</v>
      </c>
      <c r="AL945" s="5">
        <f>(vp.data[[#This Row],[Sulf]]-INDEX(crudeBD.lkup[Mean_Sulf],MATCH(vp.data[[#This Row],[Crude_Breakdown]],crudeBD.lkup[Crude Breakdown],0)))^2</f>
        <v>9.3274123845019638E-2</v>
      </c>
      <c r="AM945" s="4">
        <f>IF(AND(vp.data[[#This Row],[SDate]]&gt;=DATE(YEAR(vp.data[[#This Row],[SDate]]),5,1),vp.data[[#This Row],[SDate]]&lt;=DATE(YEAR(vp.data[[#This Row],[SDate]]),9,15)),1,0)</f>
        <v>0</v>
      </c>
      <c r="AN945" s="4">
        <f>IF(vp.data[[#This Row],[SDate]]&lt;DATE(2016,12,1),0,1)</f>
        <v>1</v>
      </c>
      <c r="AO945" s="4">
        <f>IFERROR(vp.data[[#This Row],[Sulf]]*vp.data[[#This Row],[Net Dens]],"")</f>
        <v>12424230.179207999</v>
      </c>
      <c r="AP945">
        <f>IFERROR(vp.data[[#This Row],[Dens]]*vp.data[[#This Row],[VolumeM3]],"")</f>
        <v>11503916.832599999</v>
      </c>
      <c r="AQ945" s="15">
        <f>IFERROR(vp.data[[#This Row],[VP]]*vp.data[[#This Row],[VolumeM3]],"")</f>
        <v>1394792.6669999999</v>
      </c>
    </row>
    <row r="946" spans="1:43" x14ac:dyDescent="0.25">
      <c r="A946">
        <v>945</v>
      </c>
      <c r="B946" t="s">
        <v>62</v>
      </c>
      <c r="C946" t="s">
        <v>62</v>
      </c>
      <c r="D946" t="s">
        <v>93</v>
      </c>
      <c r="F946" s="1">
        <v>42803</v>
      </c>
      <c r="G946" s="2">
        <v>108</v>
      </c>
      <c r="H946" s="2"/>
      <c r="I946" s="2">
        <f t="array" ref="I946">_xlfn.IFNA(IF(vp.data[[#This Row],[Sulf Input]]="",INDEX([1]DATA!$Q$3:$Q$9826,MATCH(1,(vp.data[[#This Row],[Battery]]=[1]DATA!$L$3:$L$9826)*(EOMONTH(vp.data[[#This Row],[SDate]],-1)+1=[1]DATA!$G$3:$G$9826),0)),vp.data[[#This Row],[Sulf Input]]),"")</f>
        <v>1.24</v>
      </c>
      <c r="J946" s="2">
        <v>-2</v>
      </c>
      <c r="K946" s="2">
        <v>-25</v>
      </c>
      <c r="L946" s="2">
        <v>839.2</v>
      </c>
      <c r="M946" s="2">
        <f t="array" ref="M946">_xlfn.IFNA(IF(vp.data[[#This Row],[Dens Input]]="",INDEX([1]DATA!$O$3:$O$9826,MATCH(1,(vp.data[[#This Row],[Battery]]=[1]DATA!$L$3:$L$9826)*(EOMONTH(vp.data[[#This Row],[SDate]],-1)+1=[1]DATA!$G$3:$G$9826),0)),vp.data[[#This Row],[Dens Input]]),"")</f>
        <v>839.2</v>
      </c>
      <c r="N946" s="2">
        <f ca="1">INDEX(INDIRECT(_xlfn.CONCAT("weather.tbl[",N$1,"]")),MATCH(vp.data[[#This Row],[SDate]],weather.tbl[Date],0))</f>
        <v>-19.099999999999998</v>
      </c>
      <c r="O946" s="2">
        <f ca="1">INDEX(INDIRECT(_xlfn.CONCAT("weather.tbl[",O$1,"]")),MATCH(vp.data[[#This Row],[SDate]],weather.tbl[Date],0))</f>
        <v>-8.6976190476190478</v>
      </c>
      <c r="P946" s="2">
        <f ca="1">INDEX(INDIRECT(_xlfn.CONCAT("weather.tbl[",P$1,"]")),MATCH(vp.data[[#This Row],[SDate]],weather.tbl[Date],0))</f>
        <v>-19</v>
      </c>
      <c r="Q946" s="2">
        <f ca="1">INDEX(INDIRECT(_xlfn.CONCAT("weather.tbl[",Q$1,"]")),MATCH(vp.data[[#This Row],[SDate]],weather.tbl[Date],0))</f>
        <v>-18.899999999999999</v>
      </c>
      <c r="R946" s="2">
        <f ca="1">INDEX(INDIRECT(_xlfn.CONCAT("weather.tbl[",R$1,"]")),MATCH(vp.data[[#This Row],[SDate]],weather.tbl[Date],0))</f>
        <v>-18</v>
      </c>
      <c r="S946" s="2">
        <f ca="1">INDEX(INDIRECT(_xlfn.CONCAT("weather.tbl[",S$1,"]")),MATCH(vp.data[[#This Row],[SDate]],weather.tbl[Date],0))</f>
        <v>-18.2</v>
      </c>
      <c r="T946" s="2">
        <f ca="1">INDEX(INDIRECT(_xlfn.CONCAT("weather.tbl[",T$1,"]")),MATCH(vp.data[[#This Row],[SDate]],weather.tbl[Date],0))</f>
        <v>-21.2</v>
      </c>
      <c r="U946" s="2">
        <f ca="1">INDEX(INDIRECT(_xlfn.CONCAT("weather.tbl[",U$1,"]")),MATCH(vp.data[[#This Row],[SDate]],weather.tbl[Date],0))</f>
        <v>-19.3</v>
      </c>
      <c r="V946" s="2">
        <f t="array" ref="V9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1068.2539999999999</v>
      </c>
      <c r="W946" t="s">
        <v>48</v>
      </c>
      <c r="X946">
        <f>IF(OR(vp.data[[#This Row],[Sulf]]="",vp.data[[#This Row],[Dens]]=""),1,0)</f>
        <v>0</v>
      </c>
      <c r="Y946">
        <f>IF(vp.data[[#This Row],[CrudeType]]="C5+",1,0)</f>
        <v>0</v>
      </c>
      <c r="Z946">
        <f>IF(AND(vp.data[[#This Row],[CrudeType]]="Crude",vp.data[[#This Row],[Dens]]&lt;=825,vp.data[[#This Row],[Sulf]]&gt;0.5,vp.data[[#This Row],[Unknown]]=0),1,0)</f>
        <v>0</v>
      </c>
      <c r="AA946">
        <f>IF(AND(vp.data[[#This Row],[CrudeType]]="Crude",vp.data[[#This Row],[Dens]]&lt;=825,vp.data[[#This Row],[Sulf]]&lt;=0.5,vp.data[[#This Row],[Unknown]]=0),1,0)</f>
        <v>0</v>
      </c>
      <c r="AB9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46">
        <f>IF(AND(vp.data[[#This Row],[CrudeType]]="Crude",vp.data[[#This Row],[Dens]]&gt;825,vp.data[[#This Row],[Dens]]&lt;=900,vp.data[[#This Row],[Sulf]]&lt;=0.5,vp.data[[#This Row],[Unknown]]=0),1,0)</f>
        <v>0</v>
      </c>
      <c r="AD946">
        <f>IF(AND(vp.data[[#This Row],[CrudeType]]="Crude",vp.data[[#This Row],[Dens]]&gt;865,vp.data[[#This Row],[Dens]]&lt;=900,vp.data[[#This Row],[Sulf]]&gt;2,vp.data[[#This Row],[Unknown]]=0),1,0)</f>
        <v>0</v>
      </c>
      <c r="AE946">
        <f>IF(AND(vp.data[[#This Row],[CrudeType]]="Crude",vp.data[[#This Row],[Dens]]&gt;900,vp.data[[#This Row],[Sulf]]&lt;=0.5,vp.data[[#This Row],[Unknown]]=0),1,0)</f>
        <v>0</v>
      </c>
      <c r="AF946">
        <f>IF(AND(vp.data[[#This Row],[CrudeType]]="Crude",vp.data[[#This Row],[Dens]]&gt;900,vp.data[[#This Row],[Sulf]]&lt;=0.5,vp.data[[#This Row],[Unknown]]=0),1,0)</f>
        <v>0</v>
      </c>
      <c r="AG946" t="str">
        <f>INDEX(vp.data[[#Headers],[Unknown]:[Heavy_SW]],MATCH(1,vp.data[[#This Row],[Unknown]:[Heavy_SW]],0))</f>
        <v>Medium_LSB</v>
      </c>
      <c r="AH946">
        <f>INDEX([3]!crudeBD.lkup[Number],MATCH(vp.data[[#This Row],[Crude_Breakdown]],crudeBD.lkup[Crude Breakdown],0))</f>
        <v>3</v>
      </c>
      <c r="AI946">
        <f>MONTH(vp.data[[#This Row],[SDate]])</f>
        <v>3</v>
      </c>
      <c r="AJ946" s="5">
        <f>(vp.data[[#This Row],[VP]]-INDEX(crudeBD.lkup[Mean_VP],MATCH(vp.data[[#This Row],[Crude_Breakdown]],crudeBD.lkup[Crude Breakdown],0)))^2</f>
        <v>748.5872992959986</v>
      </c>
      <c r="AK946" s="5">
        <f>(vp.data[[#This Row],[Dens]]-INDEX(crudeBD.lkup[Mean_Dens],MATCH(vp.data[[#This Row],[Crude_Breakdown]],crudeBD.lkup[Crude Breakdown],0)))^2</f>
        <v>22.278399999994893</v>
      </c>
      <c r="AL946" s="5">
        <f>(vp.data[[#This Row],[Sulf]]-INDEX(crudeBD.lkup[Mean_Sulf],MATCH(vp.data[[#This Row],[Crude_Breakdown]],crudeBD.lkup[Crude Breakdown],0)))^2</f>
        <v>2.1143523305935632E-2</v>
      </c>
      <c r="AM946" s="4">
        <f>IF(AND(vp.data[[#This Row],[SDate]]&gt;=DATE(YEAR(vp.data[[#This Row],[SDate]]),5,1),vp.data[[#This Row],[SDate]]&lt;=DATE(YEAR(vp.data[[#This Row],[SDate]]),9,15)),1,0)</f>
        <v>0</v>
      </c>
      <c r="AN946" s="4">
        <f>IF(vp.data[[#This Row],[SDate]]&lt;DATE(2016,12,1),0,1)</f>
        <v>1</v>
      </c>
      <c r="AO946" s="4">
        <f>IFERROR(vp.data[[#This Row],[Sulf]]*vp.data[[#This Row],[Net Dens]],"")</f>
        <v>1111633.6584319999</v>
      </c>
      <c r="AP946">
        <f>IFERROR(vp.data[[#This Row],[Dens]]*vp.data[[#This Row],[VolumeM3]],"")</f>
        <v>896478.75679999997</v>
      </c>
      <c r="AQ946" s="15">
        <f>IFERROR(vp.data[[#This Row],[VP]]*vp.data[[#This Row],[VolumeM3]],"")</f>
        <v>115371.43199999999</v>
      </c>
    </row>
    <row r="947" spans="1:43" x14ac:dyDescent="0.25">
      <c r="A947">
        <v>946</v>
      </c>
      <c r="B947" t="s">
        <v>68</v>
      </c>
      <c r="C947" t="s">
        <v>68</v>
      </c>
      <c r="D947" t="s">
        <v>110</v>
      </c>
      <c r="F947" s="1">
        <v>42803</v>
      </c>
      <c r="G947" s="2">
        <v>70.2</v>
      </c>
      <c r="H947" s="2"/>
      <c r="I947" s="2">
        <f t="array" ref="I947">_xlfn.IFNA(IF(vp.data[[#This Row],[Sulf Input]]="",INDEX([1]DATA!$Q$3:$Q$9826,MATCH(1,(vp.data[[#This Row],[Battery]]=[1]DATA!$L$3:$L$9826)*(EOMONTH(vp.data[[#This Row],[SDate]],-1)+1=[1]DATA!$G$3:$G$9826),0)),vp.data[[#This Row],[Sulf Input]]),"")</f>
        <v>1.41</v>
      </c>
      <c r="J947" s="2">
        <v>28.2</v>
      </c>
      <c r="K947" s="2">
        <v>-25</v>
      </c>
      <c r="L947" s="2">
        <v>852.1</v>
      </c>
      <c r="M947" s="2">
        <f t="array" ref="M947">_xlfn.IFNA(IF(vp.data[[#This Row],[Dens Input]]="",INDEX([1]DATA!$O$3:$O$9826,MATCH(1,(vp.data[[#This Row],[Battery]]=[1]DATA!$L$3:$L$9826)*(EOMONTH(vp.data[[#This Row],[SDate]],-1)+1=[1]DATA!$G$3:$G$9826),0)),vp.data[[#This Row],[Dens Input]]),"")</f>
        <v>852.1</v>
      </c>
      <c r="N947" s="2">
        <f ca="1">INDEX(INDIRECT(_xlfn.CONCAT("weather.tbl[",N$1,"]")),MATCH(vp.data[[#This Row],[SDate]],weather.tbl[Date],0))</f>
        <v>-19.099999999999998</v>
      </c>
      <c r="O947" s="2">
        <f ca="1">INDEX(INDIRECT(_xlfn.CONCAT("weather.tbl[",O$1,"]")),MATCH(vp.data[[#This Row],[SDate]],weather.tbl[Date],0))</f>
        <v>-8.6976190476190478</v>
      </c>
      <c r="P947" s="2">
        <f ca="1">INDEX(INDIRECT(_xlfn.CONCAT("weather.tbl[",P$1,"]")),MATCH(vp.data[[#This Row],[SDate]],weather.tbl[Date],0))</f>
        <v>-19</v>
      </c>
      <c r="Q947" s="2">
        <f ca="1">INDEX(INDIRECT(_xlfn.CONCAT("weather.tbl[",Q$1,"]")),MATCH(vp.data[[#This Row],[SDate]],weather.tbl[Date],0))</f>
        <v>-18.899999999999999</v>
      </c>
      <c r="R947" s="2">
        <f ca="1">INDEX(INDIRECT(_xlfn.CONCAT("weather.tbl[",R$1,"]")),MATCH(vp.data[[#This Row],[SDate]],weather.tbl[Date],0))</f>
        <v>-18</v>
      </c>
      <c r="S947" s="2">
        <f ca="1">INDEX(INDIRECT(_xlfn.CONCAT("weather.tbl[",S$1,"]")),MATCH(vp.data[[#This Row],[SDate]],weather.tbl[Date],0))</f>
        <v>-18.2</v>
      </c>
      <c r="T947" s="2">
        <f ca="1">INDEX(INDIRECT(_xlfn.CONCAT("weather.tbl[",T$1,"]")),MATCH(vp.data[[#This Row],[SDate]],weather.tbl[Date],0))</f>
        <v>-21.2</v>
      </c>
      <c r="U947" s="2">
        <f ca="1">INDEX(INDIRECT(_xlfn.CONCAT("weather.tbl[",U$1,"]")),MATCH(vp.data[[#This Row],[SDate]],weather.tbl[Date],0))</f>
        <v>-19.3</v>
      </c>
      <c r="V947" s="2">
        <f t="array" ref="V9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4854.1400000000003</v>
      </c>
      <c r="W947" t="s">
        <v>48</v>
      </c>
      <c r="X947">
        <f>IF(OR(vp.data[[#This Row],[Sulf]]="",vp.data[[#This Row],[Dens]]=""),1,0)</f>
        <v>0</v>
      </c>
      <c r="Y947">
        <f>IF(vp.data[[#This Row],[CrudeType]]="C5+",1,0)</f>
        <v>0</v>
      </c>
      <c r="Z947">
        <f>IF(AND(vp.data[[#This Row],[CrudeType]]="Crude",vp.data[[#This Row],[Dens]]&lt;=825,vp.data[[#This Row],[Sulf]]&gt;0.5,vp.data[[#This Row],[Unknown]]=0),1,0)</f>
        <v>0</v>
      </c>
      <c r="AA947">
        <f>IF(AND(vp.data[[#This Row],[CrudeType]]="Crude",vp.data[[#This Row],[Dens]]&lt;=825,vp.data[[#This Row],[Sulf]]&lt;=0.5,vp.data[[#This Row],[Unknown]]=0),1,0)</f>
        <v>0</v>
      </c>
      <c r="AB9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47">
        <f>IF(AND(vp.data[[#This Row],[CrudeType]]="Crude",vp.data[[#This Row],[Dens]]&gt;825,vp.data[[#This Row],[Dens]]&lt;=900,vp.data[[#This Row],[Sulf]]&lt;=0.5,vp.data[[#This Row],[Unknown]]=0),1,0)</f>
        <v>0</v>
      </c>
      <c r="AD947">
        <f>IF(AND(vp.data[[#This Row],[CrudeType]]="Crude",vp.data[[#This Row],[Dens]]&gt;865,vp.data[[#This Row],[Dens]]&lt;=900,vp.data[[#This Row],[Sulf]]&gt;2,vp.data[[#This Row],[Unknown]]=0),1,0)</f>
        <v>0</v>
      </c>
      <c r="AE947">
        <f>IF(AND(vp.data[[#This Row],[CrudeType]]="Crude",vp.data[[#This Row],[Dens]]&gt;900,vp.data[[#This Row],[Sulf]]&lt;=0.5,vp.data[[#This Row],[Unknown]]=0),1,0)</f>
        <v>0</v>
      </c>
      <c r="AF947">
        <f>IF(AND(vp.data[[#This Row],[CrudeType]]="Crude",vp.data[[#This Row],[Dens]]&gt;900,vp.data[[#This Row],[Sulf]]&lt;=0.5,vp.data[[#This Row],[Unknown]]=0),1,0)</f>
        <v>0</v>
      </c>
      <c r="AG947" t="str">
        <f>INDEX(vp.data[[#Headers],[Unknown]:[Heavy_SW]],MATCH(1,vp.data[[#This Row],[Unknown]:[Heavy_SW]],0))</f>
        <v>Medium_LSB</v>
      </c>
      <c r="AH947">
        <f>INDEX([3]!crudeBD.lkup[Number],MATCH(vp.data[[#This Row],[Crude_Breakdown]],crudeBD.lkup[Crude Breakdown],0))</f>
        <v>3</v>
      </c>
      <c r="AI947">
        <f>MONTH(vp.data[[#This Row],[SDate]])</f>
        <v>3</v>
      </c>
      <c r="AJ947" s="5">
        <f>(vp.data[[#This Row],[VP]]-INDEX(crudeBD.lkup[Mean_VP],MATCH(vp.data[[#This Row],[Crude_Breakdown]],crudeBD.lkup[Crude Breakdown],0)))^2</f>
        <v>108.98684646580442</v>
      </c>
      <c r="AK947" s="5">
        <f>(vp.data[[#This Row],[Dens]]-INDEX(crudeBD.lkup[Mean_Dens],MATCH(vp.data[[#This Row],[Crude_Breakdown]],crudeBD.lkup[Crude Breakdown],0)))^2</f>
        <v>66.912400000008475</v>
      </c>
      <c r="AL947" s="5">
        <f>(vp.data[[#This Row],[Sulf]]-INDEX(crudeBD.lkup[Mean_Sulf],MATCH(vp.data[[#This Row],[Crude_Breakdown]],crudeBD.lkup[Crude Breakdown],0)))^2</f>
        <v>6.0476023315882729E-4</v>
      </c>
      <c r="AM947" s="4">
        <f>IF(AND(vp.data[[#This Row],[SDate]]&gt;=DATE(YEAR(vp.data[[#This Row],[SDate]]),5,1),vp.data[[#This Row],[SDate]]&lt;=DATE(YEAR(vp.data[[#This Row],[SDate]]),9,15)),1,0)</f>
        <v>0</v>
      </c>
      <c r="AN947" s="4">
        <f>IF(vp.data[[#This Row],[SDate]]&lt;DATE(2016,12,1),0,1)</f>
        <v>1</v>
      </c>
      <c r="AO947" s="4">
        <f>IFERROR(vp.data[[#This Row],[Sulf]]*vp.data[[#This Row],[Net Dens]],"")</f>
        <v>5832059.8985400004</v>
      </c>
      <c r="AP947">
        <f>IFERROR(vp.data[[#This Row],[Dens]]*vp.data[[#This Row],[VolumeM3]],"")</f>
        <v>4136212.6940000006</v>
      </c>
      <c r="AQ947" s="15">
        <f>IFERROR(vp.data[[#This Row],[VP]]*vp.data[[#This Row],[VolumeM3]],"")</f>
        <v>340760.62800000003</v>
      </c>
    </row>
    <row r="948" spans="1:43" x14ac:dyDescent="0.25">
      <c r="A948">
        <v>947</v>
      </c>
      <c r="B948" t="s">
        <v>68</v>
      </c>
      <c r="C948" t="s">
        <v>68</v>
      </c>
      <c r="D948" t="s">
        <v>98</v>
      </c>
      <c r="F948" s="1">
        <v>42803</v>
      </c>
      <c r="G948" s="2">
        <v>63.6</v>
      </c>
      <c r="H948" s="2"/>
      <c r="I948" s="2">
        <f t="array" ref="I948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948" s="2">
        <v>28.7</v>
      </c>
      <c r="K948" s="2">
        <v>-25</v>
      </c>
      <c r="L948" s="2">
        <v>853.5</v>
      </c>
      <c r="M948" s="2">
        <f t="array" ref="M948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948" s="2">
        <f ca="1">INDEX(INDIRECT(_xlfn.CONCAT("weather.tbl[",N$1,"]")),MATCH(vp.data[[#This Row],[SDate]],weather.tbl[Date],0))</f>
        <v>-19.099999999999998</v>
      </c>
      <c r="O948" s="2">
        <f ca="1">INDEX(INDIRECT(_xlfn.CONCAT("weather.tbl[",O$1,"]")),MATCH(vp.data[[#This Row],[SDate]],weather.tbl[Date],0))</f>
        <v>-8.6976190476190478</v>
      </c>
      <c r="P948" s="2">
        <f ca="1">INDEX(INDIRECT(_xlfn.CONCAT("weather.tbl[",P$1,"]")),MATCH(vp.data[[#This Row],[SDate]],weather.tbl[Date],0))</f>
        <v>-19</v>
      </c>
      <c r="Q948" s="2">
        <f ca="1">INDEX(INDIRECT(_xlfn.CONCAT("weather.tbl[",Q$1,"]")),MATCH(vp.data[[#This Row],[SDate]],weather.tbl[Date],0))</f>
        <v>-18.899999999999999</v>
      </c>
      <c r="R948" s="2">
        <f ca="1">INDEX(INDIRECT(_xlfn.CONCAT("weather.tbl[",R$1,"]")),MATCH(vp.data[[#This Row],[SDate]],weather.tbl[Date],0))</f>
        <v>-18</v>
      </c>
      <c r="S948" s="2">
        <f ca="1">INDEX(INDIRECT(_xlfn.CONCAT("weather.tbl[",S$1,"]")),MATCH(vp.data[[#This Row],[SDate]],weather.tbl[Date],0))</f>
        <v>-18.2</v>
      </c>
      <c r="T948" s="2">
        <f ca="1">INDEX(INDIRECT(_xlfn.CONCAT("weather.tbl[",T$1,"]")),MATCH(vp.data[[#This Row],[SDate]],weather.tbl[Date],0))</f>
        <v>-21.2</v>
      </c>
      <c r="U948" s="2">
        <f ca="1">INDEX(INDIRECT(_xlfn.CONCAT("weather.tbl[",U$1,"]")),MATCH(vp.data[[#This Row],[SDate]],weather.tbl[Date],0))</f>
        <v>-19.3</v>
      </c>
      <c r="V948" s="2">
        <f t="array" ref="V9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4943.8360000000002</v>
      </c>
      <c r="W948" t="s">
        <v>48</v>
      </c>
      <c r="X948">
        <f>IF(OR(vp.data[[#This Row],[Sulf]]="",vp.data[[#This Row],[Dens]]=""),1,0)</f>
        <v>0</v>
      </c>
      <c r="Y948">
        <f>IF(vp.data[[#This Row],[CrudeType]]="C5+",1,0)</f>
        <v>0</v>
      </c>
      <c r="Z948">
        <f>IF(AND(vp.data[[#This Row],[CrudeType]]="Crude",vp.data[[#This Row],[Dens]]&lt;=825,vp.data[[#This Row],[Sulf]]&gt;0.5,vp.data[[#This Row],[Unknown]]=0),1,0)</f>
        <v>0</v>
      </c>
      <c r="AA948">
        <f>IF(AND(vp.data[[#This Row],[CrudeType]]="Crude",vp.data[[#This Row],[Dens]]&lt;=825,vp.data[[#This Row],[Sulf]]&lt;=0.5,vp.data[[#This Row],[Unknown]]=0),1,0)</f>
        <v>0</v>
      </c>
      <c r="AB9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48">
        <f>IF(AND(vp.data[[#This Row],[CrudeType]]="Crude",vp.data[[#This Row],[Dens]]&gt;825,vp.data[[#This Row],[Dens]]&lt;=900,vp.data[[#This Row],[Sulf]]&lt;=0.5,vp.data[[#This Row],[Unknown]]=0),1,0)</f>
        <v>0</v>
      </c>
      <c r="AD948">
        <f>IF(AND(vp.data[[#This Row],[CrudeType]]="Crude",vp.data[[#This Row],[Dens]]&gt;865,vp.data[[#This Row],[Dens]]&lt;=900,vp.data[[#This Row],[Sulf]]&gt;2,vp.data[[#This Row],[Unknown]]=0),1,0)</f>
        <v>0</v>
      </c>
      <c r="AE948">
        <f>IF(AND(vp.data[[#This Row],[CrudeType]]="Crude",vp.data[[#This Row],[Dens]]&gt;900,vp.data[[#This Row],[Sulf]]&lt;=0.5,vp.data[[#This Row],[Unknown]]=0),1,0)</f>
        <v>0</v>
      </c>
      <c r="AF948">
        <f>IF(AND(vp.data[[#This Row],[CrudeType]]="Crude",vp.data[[#This Row],[Dens]]&gt;900,vp.data[[#This Row],[Sulf]]&lt;=0.5,vp.data[[#This Row],[Unknown]]=0),1,0)</f>
        <v>0</v>
      </c>
      <c r="AG948" t="str">
        <f>INDEX(vp.data[[#Headers],[Unknown]:[Heavy_SW]],MATCH(1,vp.data[[#This Row],[Unknown]:[Heavy_SW]],0))</f>
        <v>Medium_LSB</v>
      </c>
      <c r="AH948">
        <f>INDEX([3]!crudeBD.lkup[Number],MATCH(vp.data[[#This Row],[Crude_Breakdown]],crudeBD.lkup[Crude Breakdown],0))</f>
        <v>3</v>
      </c>
      <c r="AI948">
        <f>MONTH(vp.data[[#This Row],[SDate]])</f>
        <v>3</v>
      </c>
      <c r="AJ948" s="5">
        <f>(vp.data[[#This Row],[VP]]-INDEX(crudeBD.lkup[Mean_VP],MATCH(vp.data[[#This Row],[Crude_Breakdown]],crudeBD.lkup[Crude Breakdown],0)))^2</f>
        <v>290.35057692402449</v>
      </c>
      <c r="AK948" s="5">
        <f>(vp.data[[#This Row],[Dens]]-INDEX(crudeBD.lkup[Mean_Dens],MATCH(vp.data[[#This Row],[Crude_Breakdown]],crudeBD.lkup[Crude Breakdown],0)))^2</f>
        <v>91.776400000009502</v>
      </c>
      <c r="AL948" s="5">
        <f>(vp.data[[#This Row],[Sulf]]-INDEX(crudeBD.lkup[Mean_Sulf],MATCH(vp.data[[#This Row],[Crude_Breakdown]],crudeBD.lkup[Crude Breakdown],0)))^2</f>
        <v>3.07680109070139E-2</v>
      </c>
      <c r="AM948" s="4">
        <f>IF(AND(vp.data[[#This Row],[SDate]]&gt;=DATE(YEAR(vp.data[[#This Row],[SDate]]),5,1),vp.data[[#This Row],[SDate]]&lt;=DATE(YEAR(vp.data[[#This Row],[SDate]]),9,15)),1,0)</f>
        <v>0</v>
      </c>
      <c r="AN948" s="4">
        <f>IF(vp.data[[#This Row],[SDate]]&lt;DATE(2016,12,1),0,1)</f>
        <v>1</v>
      </c>
      <c r="AO948" s="4">
        <f>IFERROR(vp.data[[#This Row],[Sulf]]*vp.data[[#This Row],[Net Dens]],"")</f>
        <v>5105672.4714600006</v>
      </c>
      <c r="AP948">
        <f>IFERROR(vp.data[[#This Row],[Dens]]*vp.data[[#This Row],[VolumeM3]],"")</f>
        <v>4219564.0260000005</v>
      </c>
      <c r="AQ948" s="15">
        <f>IFERROR(vp.data[[#This Row],[VP]]*vp.data[[#This Row],[VolumeM3]],"")</f>
        <v>314427.96960000001</v>
      </c>
    </row>
    <row r="949" spans="1:43" x14ac:dyDescent="0.25">
      <c r="A949">
        <v>948</v>
      </c>
      <c r="B949" t="s">
        <v>51</v>
      </c>
      <c r="C949" t="s">
        <v>51</v>
      </c>
      <c r="D949" t="s">
        <v>95</v>
      </c>
      <c r="F949" s="1">
        <v>42803</v>
      </c>
      <c r="G949" s="2">
        <v>82.5</v>
      </c>
      <c r="H949" s="2"/>
      <c r="I949" s="2">
        <f t="array" ref="I949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949" s="2">
        <v>12.4</v>
      </c>
      <c r="K949" s="2">
        <v>-25</v>
      </c>
      <c r="L949" s="2"/>
      <c r="M949" s="2">
        <f t="array" ref="M949">_xlfn.IFNA(IF(vp.data[[#This Row],[Dens Input]]="",INDEX([1]DATA!$O$3:$O$9826,MATCH(1,(vp.data[[#This Row],[Battery]]=[1]DATA!$L$3:$L$9826)*(EOMONTH(vp.data[[#This Row],[SDate]],-1)+1=[1]DATA!$G$3:$G$9826),0)),vp.data[[#This Row],[Dens Input]]),"")</f>
        <v>842.3</v>
      </c>
      <c r="N949" s="2">
        <f ca="1">INDEX(INDIRECT(_xlfn.CONCAT("weather.tbl[",N$1,"]")),MATCH(vp.data[[#This Row],[SDate]],weather.tbl[Date],0))</f>
        <v>-19.099999999999998</v>
      </c>
      <c r="O949" s="2">
        <f ca="1">INDEX(INDIRECT(_xlfn.CONCAT("weather.tbl[",O$1,"]")),MATCH(vp.data[[#This Row],[SDate]],weather.tbl[Date],0))</f>
        <v>-8.6976190476190478</v>
      </c>
      <c r="P949" s="2">
        <f ca="1">INDEX(INDIRECT(_xlfn.CONCAT("weather.tbl[",P$1,"]")),MATCH(vp.data[[#This Row],[SDate]],weather.tbl[Date],0))</f>
        <v>-19</v>
      </c>
      <c r="Q949" s="2">
        <f ca="1">INDEX(INDIRECT(_xlfn.CONCAT("weather.tbl[",Q$1,"]")),MATCH(vp.data[[#This Row],[SDate]],weather.tbl[Date],0))</f>
        <v>-18.899999999999999</v>
      </c>
      <c r="R949" s="2">
        <f ca="1">INDEX(INDIRECT(_xlfn.CONCAT("weather.tbl[",R$1,"]")),MATCH(vp.data[[#This Row],[SDate]],weather.tbl[Date],0))</f>
        <v>-18</v>
      </c>
      <c r="S949" s="2">
        <f ca="1">INDEX(INDIRECT(_xlfn.CONCAT("weather.tbl[",S$1,"]")),MATCH(vp.data[[#This Row],[SDate]],weather.tbl[Date],0))</f>
        <v>-18.2</v>
      </c>
      <c r="T949" s="2">
        <f ca="1">INDEX(INDIRECT(_xlfn.CONCAT("weather.tbl[",T$1,"]")),MATCH(vp.data[[#This Row],[SDate]],weather.tbl[Date],0))</f>
        <v>-21.2</v>
      </c>
      <c r="U949" s="2">
        <f ca="1">INDEX(INDIRECT(_xlfn.CONCAT("weather.tbl[",U$1,"]")),MATCH(vp.data[[#This Row],[SDate]],weather.tbl[Date],0))</f>
        <v>-19.3</v>
      </c>
      <c r="V949" s="2">
        <f t="array" ref="V9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5390.0870000000004</v>
      </c>
      <c r="W949" t="s">
        <v>48</v>
      </c>
      <c r="X949">
        <f>IF(OR(vp.data[[#This Row],[Sulf]]="",vp.data[[#This Row],[Dens]]=""),1,0)</f>
        <v>0</v>
      </c>
      <c r="Y949">
        <f>IF(vp.data[[#This Row],[CrudeType]]="C5+",1,0)</f>
        <v>0</v>
      </c>
      <c r="Z949">
        <f>IF(AND(vp.data[[#This Row],[CrudeType]]="Crude",vp.data[[#This Row],[Dens]]&lt;=825,vp.data[[#This Row],[Sulf]]&gt;0.5,vp.data[[#This Row],[Unknown]]=0),1,0)</f>
        <v>0</v>
      </c>
      <c r="AA949">
        <f>IF(AND(vp.data[[#This Row],[CrudeType]]="Crude",vp.data[[#This Row],[Dens]]&lt;=825,vp.data[[#This Row],[Sulf]]&lt;=0.5,vp.data[[#This Row],[Unknown]]=0),1,0)</f>
        <v>0</v>
      </c>
      <c r="AB9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49">
        <f>IF(AND(vp.data[[#This Row],[CrudeType]]="Crude",vp.data[[#This Row],[Dens]]&gt;825,vp.data[[#This Row],[Dens]]&lt;=900,vp.data[[#This Row],[Sulf]]&lt;=0.5,vp.data[[#This Row],[Unknown]]=0),1,0)</f>
        <v>0</v>
      </c>
      <c r="AD949">
        <f>IF(AND(vp.data[[#This Row],[CrudeType]]="Crude",vp.data[[#This Row],[Dens]]&gt;865,vp.data[[#This Row],[Dens]]&lt;=900,vp.data[[#This Row],[Sulf]]&gt;2,vp.data[[#This Row],[Unknown]]=0),1,0)</f>
        <v>0</v>
      </c>
      <c r="AE949">
        <f>IF(AND(vp.data[[#This Row],[CrudeType]]="Crude",vp.data[[#This Row],[Dens]]&gt;900,vp.data[[#This Row],[Sulf]]&lt;=0.5,vp.data[[#This Row],[Unknown]]=0),1,0)</f>
        <v>0</v>
      </c>
      <c r="AF949">
        <f>IF(AND(vp.data[[#This Row],[CrudeType]]="Crude",vp.data[[#This Row],[Dens]]&gt;900,vp.data[[#This Row],[Sulf]]&lt;=0.5,vp.data[[#This Row],[Unknown]]=0),1,0)</f>
        <v>0</v>
      </c>
      <c r="AG949" t="str">
        <f>INDEX(vp.data[[#Headers],[Unknown]:[Heavy_SW]],MATCH(1,vp.data[[#This Row],[Unknown]:[Heavy_SW]],0))</f>
        <v>Medium_LSB</v>
      </c>
      <c r="AH949">
        <f>INDEX([3]!crudeBD.lkup[Number],MATCH(vp.data[[#This Row],[Crude_Breakdown]],crudeBD.lkup[Crude Breakdown],0))</f>
        <v>3</v>
      </c>
      <c r="AI949">
        <f>MONTH(vp.data[[#This Row],[SDate]])</f>
        <v>3</v>
      </c>
      <c r="AJ949" s="5">
        <f>(vp.data[[#This Row],[VP]]-INDEX(crudeBD.lkup[Mean_VP],MATCH(vp.data[[#This Row],[Crude_Breakdown]],crudeBD.lkup[Crude Breakdown],0)))^2</f>
        <v>3.4608033391216035</v>
      </c>
      <c r="AK949" s="5">
        <f>(vp.data[[#This Row],[Dens]]-INDEX(crudeBD.lkup[Mean_Dens],MATCH(vp.data[[#This Row],[Crude_Breakdown]],crudeBD.lkup[Crude Breakdown],0)))^2</f>
        <v>2.6243999999985412</v>
      </c>
      <c r="AL949" s="5">
        <f>(vp.data[[#This Row],[Sulf]]-INDEX(crudeBD.lkup[Mean_Sulf],MATCH(vp.data[[#This Row],[Crude_Breakdown]],crudeBD.lkup[Crude Breakdown],0)))^2</f>
        <v>3.4376173440706655E-2</v>
      </c>
      <c r="AM949" s="4">
        <f>IF(AND(vp.data[[#This Row],[SDate]]&gt;=DATE(YEAR(vp.data[[#This Row],[SDate]]),5,1),vp.data[[#This Row],[SDate]]&lt;=DATE(YEAR(vp.data[[#This Row],[SDate]]),9,15)),1,0)</f>
        <v>0</v>
      </c>
      <c r="AN949" s="4">
        <f>IF(vp.data[[#This Row],[SDate]]&lt;DATE(2016,12,1),0,1)</f>
        <v>1</v>
      </c>
      <c r="AO949" s="4">
        <f>IFERROR(vp.data[[#This Row],[Sulf]]*vp.data[[#This Row],[Net Dens]],"")</f>
        <v>5448084.3361200001</v>
      </c>
      <c r="AP949">
        <f>IFERROR(vp.data[[#This Row],[Dens]]*vp.data[[#This Row],[VolumeM3]],"")</f>
        <v>4540070.2801000001</v>
      </c>
      <c r="AQ949" s="15">
        <f>IFERROR(vp.data[[#This Row],[VP]]*vp.data[[#This Row],[VolumeM3]],"")</f>
        <v>444682.17750000005</v>
      </c>
    </row>
    <row r="950" spans="1:43" x14ac:dyDescent="0.25">
      <c r="A950">
        <v>949</v>
      </c>
      <c r="B950" t="s">
        <v>60</v>
      </c>
      <c r="C950" t="s">
        <v>60</v>
      </c>
      <c r="D950" t="s">
        <v>61</v>
      </c>
      <c r="E950" t="s">
        <v>73</v>
      </c>
      <c r="F950" s="1">
        <v>42803</v>
      </c>
      <c r="G950" s="2">
        <v>79.599999999999994</v>
      </c>
      <c r="H950" s="2">
        <v>1.2589999999999999</v>
      </c>
      <c r="I950" s="2">
        <f t="array" ref="I950">_xlfn.IFNA(IF(vp.data[[#This Row],[Sulf Input]]="",INDEX([1]DATA!$Q$3:$Q$9826,MATCH(1,(vp.data[[#This Row],[Battery]]=[1]DATA!$L$3:$L$9826)*(EOMONTH(vp.data[[#This Row],[SDate]],-1)+1=[1]DATA!$G$3:$G$9826),0)),vp.data[[#This Row],[Sulf Input]]),"")</f>
        <v>1.2589999999999999</v>
      </c>
      <c r="J950" s="2">
        <v>4.3</v>
      </c>
      <c r="K950" s="2">
        <v>-25</v>
      </c>
      <c r="L950" s="2">
        <v>845.1</v>
      </c>
      <c r="M950" s="2">
        <f t="array" ref="M950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950" s="2">
        <f ca="1">INDEX(INDIRECT(_xlfn.CONCAT("weather.tbl[",N$1,"]")),MATCH(vp.data[[#This Row],[SDate]],weather.tbl[Date],0))</f>
        <v>-19.099999999999998</v>
      </c>
      <c r="O950" s="2">
        <f ca="1">INDEX(INDIRECT(_xlfn.CONCAT("weather.tbl[",O$1,"]")),MATCH(vp.data[[#This Row],[SDate]],weather.tbl[Date],0))</f>
        <v>-8.6976190476190478</v>
      </c>
      <c r="P950" s="2">
        <f ca="1">INDEX(INDIRECT(_xlfn.CONCAT("weather.tbl[",P$1,"]")),MATCH(vp.data[[#This Row],[SDate]],weather.tbl[Date],0))</f>
        <v>-19</v>
      </c>
      <c r="Q950" s="2">
        <f ca="1">INDEX(INDIRECT(_xlfn.CONCAT("weather.tbl[",Q$1,"]")),MATCH(vp.data[[#This Row],[SDate]],weather.tbl[Date],0))</f>
        <v>-18.899999999999999</v>
      </c>
      <c r="R950" s="2">
        <f ca="1">INDEX(INDIRECT(_xlfn.CONCAT("weather.tbl[",R$1,"]")),MATCH(vp.data[[#This Row],[SDate]],weather.tbl[Date],0))</f>
        <v>-18</v>
      </c>
      <c r="S950" s="2">
        <f ca="1">INDEX(INDIRECT(_xlfn.CONCAT("weather.tbl[",S$1,"]")),MATCH(vp.data[[#This Row],[SDate]],weather.tbl[Date],0))</f>
        <v>-18.2</v>
      </c>
      <c r="T950" s="2">
        <f ca="1">INDEX(INDIRECT(_xlfn.CONCAT("weather.tbl[",T$1,"]")),MATCH(vp.data[[#This Row],[SDate]],weather.tbl[Date],0))</f>
        <v>-21.2</v>
      </c>
      <c r="U950" s="2">
        <f ca="1">INDEX(INDIRECT(_xlfn.CONCAT("weather.tbl[",U$1,"]")),MATCH(vp.data[[#This Row],[SDate]],weather.tbl[Date],0))</f>
        <v>-19.3</v>
      </c>
      <c r="V950" s="2">
        <f t="array" ref="V9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50" t="s">
        <v>48</v>
      </c>
      <c r="X950">
        <f>IF(OR(vp.data[[#This Row],[Sulf]]="",vp.data[[#This Row],[Dens]]=""),1,0)</f>
        <v>0</v>
      </c>
      <c r="Y950">
        <f>IF(vp.data[[#This Row],[CrudeType]]="C5+",1,0)</f>
        <v>0</v>
      </c>
      <c r="Z950">
        <f>IF(AND(vp.data[[#This Row],[CrudeType]]="Crude",vp.data[[#This Row],[Dens]]&lt;=825,vp.data[[#This Row],[Sulf]]&gt;0.5,vp.data[[#This Row],[Unknown]]=0),1,0)</f>
        <v>0</v>
      </c>
      <c r="AA950">
        <f>IF(AND(vp.data[[#This Row],[CrudeType]]="Crude",vp.data[[#This Row],[Dens]]&lt;=825,vp.data[[#This Row],[Sulf]]&lt;=0.5,vp.data[[#This Row],[Unknown]]=0),1,0)</f>
        <v>0</v>
      </c>
      <c r="AB9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0">
        <f>IF(AND(vp.data[[#This Row],[CrudeType]]="Crude",vp.data[[#This Row],[Dens]]&gt;825,vp.data[[#This Row],[Dens]]&lt;=900,vp.data[[#This Row],[Sulf]]&lt;=0.5,vp.data[[#This Row],[Unknown]]=0),1,0)</f>
        <v>0</v>
      </c>
      <c r="AD950">
        <f>IF(AND(vp.data[[#This Row],[CrudeType]]="Crude",vp.data[[#This Row],[Dens]]&gt;865,vp.data[[#This Row],[Dens]]&lt;=900,vp.data[[#This Row],[Sulf]]&gt;2,vp.data[[#This Row],[Unknown]]=0),1,0)</f>
        <v>0</v>
      </c>
      <c r="AE950">
        <f>IF(AND(vp.data[[#This Row],[CrudeType]]="Crude",vp.data[[#This Row],[Dens]]&gt;900,vp.data[[#This Row],[Sulf]]&lt;=0.5,vp.data[[#This Row],[Unknown]]=0),1,0)</f>
        <v>0</v>
      </c>
      <c r="AF950">
        <f>IF(AND(vp.data[[#This Row],[CrudeType]]="Crude",vp.data[[#This Row],[Dens]]&gt;900,vp.data[[#This Row],[Sulf]]&lt;=0.5,vp.data[[#This Row],[Unknown]]=0),1,0)</f>
        <v>0</v>
      </c>
      <c r="AG950" t="str">
        <f>INDEX(vp.data[[#Headers],[Unknown]:[Heavy_SW]],MATCH(1,vp.data[[#This Row],[Unknown]:[Heavy_SW]],0))</f>
        <v>Medium_LSB</v>
      </c>
      <c r="AH950">
        <f>INDEX([3]!crudeBD.lkup[Number],MATCH(vp.data[[#This Row],[Crude_Breakdown]],crudeBD.lkup[Crude Breakdown],0))</f>
        <v>3</v>
      </c>
      <c r="AI950">
        <f>MONTH(vp.data[[#This Row],[SDate]])</f>
        <v>3</v>
      </c>
      <c r="AJ950" s="5">
        <f>(vp.data[[#This Row],[VP]]-INDEX(crudeBD.lkup[Mean_VP],MATCH(vp.data[[#This Row],[Crude_Breakdown]],crudeBD.lkup[Crude Breakdown],0)))^2</f>
        <v>1.0809273283395293</v>
      </c>
      <c r="AK950" s="5">
        <f>(vp.data[[#This Row],[Dens]]-INDEX(crudeBD.lkup[Mean_Dens],MATCH(vp.data[[#This Row],[Crude_Breakdown]],crudeBD.lkup[Crude Breakdown],0)))^2</f>
        <v>1.3924000000012235</v>
      </c>
      <c r="AL950" s="5">
        <f>(vp.data[[#This Row],[Sulf]]-INDEX(crudeBD.lkup[Mean_Sulf],MATCH(vp.data[[#This Row],[Crude_Breakdown]],crudeBD.lkup[Crude Breakdown],0)))^2</f>
        <v>1.5979014491919425E-2</v>
      </c>
      <c r="AM950" s="4">
        <f>IF(AND(vp.data[[#This Row],[SDate]]&gt;=DATE(YEAR(vp.data[[#This Row],[SDate]]),5,1),vp.data[[#This Row],[SDate]]&lt;=DATE(YEAR(vp.data[[#This Row],[SDate]]),9,15)),1,0)</f>
        <v>0</v>
      </c>
      <c r="AN950" s="4">
        <f>IF(vp.data[[#This Row],[SDate]]&lt;DATE(2016,12,1),0,1)</f>
        <v>1</v>
      </c>
      <c r="AO950" s="4">
        <f>IFERROR(vp.data[[#This Row],[Sulf]]*vp.data[[#This Row],[Net Dens]],"")</f>
        <v>112861615.43434589</v>
      </c>
      <c r="AP950">
        <f>IFERROR(vp.data[[#This Row],[Dens]]*vp.data[[#This Row],[VolumeM3]],"")</f>
        <v>89643856.5801</v>
      </c>
      <c r="AQ950" s="15">
        <f>IFERROR(vp.data[[#This Row],[VP]]*vp.data[[#This Row],[VolumeM3]],"")</f>
        <v>8443558.1395999994</v>
      </c>
    </row>
    <row r="951" spans="1:43" x14ac:dyDescent="0.25">
      <c r="A951">
        <v>950</v>
      </c>
      <c r="B951" t="s">
        <v>60</v>
      </c>
      <c r="C951" t="s">
        <v>60</v>
      </c>
      <c r="D951" t="s">
        <v>61</v>
      </c>
      <c r="E951" t="s">
        <v>55</v>
      </c>
      <c r="F951" s="1">
        <v>42803</v>
      </c>
      <c r="G951" s="2">
        <v>104.1</v>
      </c>
      <c r="H951" s="2">
        <v>1.1000000000000001</v>
      </c>
      <c r="I951" s="2">
        <f t="array" ref="I951">_xlfn.IFNA(IF(vp.data[[#This Row],[Sulf Input]]="",INDEX([1]DATA!$Q$3:$Q$9826,MATCH(1,(vp.data[[#This Row],[Battery]]=[1]DATA!$L$3:$L$9826)*(EOMONTH(vp.data[[#This Row],[SDate]],-1)+1=[1]DATA!$G$3:$G$9826),0)),vp.data[[#This Row],[Sulf Input]]),"")</f>
        <v>1.1000000000000001</v>
      </c>
      <c r="J951" s="2">
        <v>1.5</v>
      </c>
      <c r="K951" s="2">
        <v>-25</v>
      </c>
      <c r="L951" s="2">
        <v>829.8</v>
      </c>
      <c r="M951" s="2">
        <f t="array" ref="M951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951" s="2">
        <f ca="1">INDEX(INDIRECT(_xlfn.CONCAT("weather.tbl[",N$1,"]")),MATCH(vp.data[[#This Row],[SDate]],weather.tbl[Date],0))</f>
        <v>-19.099999999999998</v>
      </c>
      <c r="O951" s="2">
        <f ca="1">INDEX(INDIRECT(_xlfn.CONCAT("weather.tbl[",O$1,"]")),MATCH(vp.data[[#This Row],[SDate]],weather.tbl[Date],0))</f>
        <v>-8.6976190476190478</v>
      </c>
      <c r="P951" s="2">
        <f ca="1">INDEX(INDIRECT(_xlfn.CONCAT("weather.tbl[",P$1,"]")),MATCH(vp.data[[#This Row],[SDate]],weather.tbl[Date],0))</f>
        <v>-19</v>
      </c>
      <c r="Q951" s="2">
        <f ca="1">INDEX(INDIRECT(_xlfn.CONCAT("weather.tbl[",Q$1,"]")),MATCH(vp.data[[#This Row],[SDate]],weather.tbl[Date],0))</f>
        <v>-18.899999999999999</v>
      </c>
      <c r="R951" s="2">
        <f ca="1">INDEX(INDIRECT(_xlfn.CONCAT("weather.tbl[",R$1,"]")),MATCH(vp.data[[#This Row],[SDate]],weather.tbl[Date],0))</f>
        <v>-18</v>
      </c>
      <c r="S951" s="2">
        <f ca="1">INDEX(INDIRECT(_xlfn.CONCAT("weather.tbl[",S$1,"]")),MATCH(vp.data[[#This Row],[SDate]],weather.tbl[Date],0))</f>
        <v>-18.2</v>
      </c>
      <c r="T951" s="2">
        <f ca="1">INDEX(INDIRECT(_xlfn.CONCAT("weather.tbl[",T$1,"]")),MATCH(vp.data[[#This Row],[SDate]],weather.tbl[Date],0))</f>
        <v>-21.2</v>
      </c>
      <c r="U951" s="2">
        <f ca="1">INDEX(INDIRECT(_xlfn.CONCAT("weather.tbl[",U$1,"]")),MATCH(vp.data[[#This Row],[SDate]],weather.tbl[Date],0))</f>
        <v>-19.3</v>
      </c>
      <c r="V951" s="2">
        <f t="array" ref="V9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51" t="s">
        <v>48</v>
      </c>
      <c r="X951">
        <f>IF(OR(vp.data[[#This Row],[Sulf]]="",vp.data[[#This Row],[Dens]]=""),1,0)</f>
        <v>0</v>
      </c>
      <c r="Y951">
        <f>IF(vp.data[[#This Row],[CrudeType]]="C5+",1,0)</f>
        <v>0</v>
      </c>
      <c r="Z951">
        <f>IF(AND(vp.data[[#This Row],[CrudeType]]="Crude",vp.data[[#This Row],[Dens]]&lt;=825,vp.data[[#This Row],[Sulf]]&gt;0.5,vp.data[[#This Row],[Unknown]]=0),1,0)</f>
        <v>0</v>
      </c>
      <c r="AA951">
        <f>IF(AND(vp.data[[#This Row],[CrudeType]]="Crude",vp.data[[#This Row],[Dens]]&lt;=825,vp.data[[#This Row],[Sulf]]&lt;=0.5,vp.data[[#This Row],[Unknown]]=0),1,0)</f>
        <v>0</v>
      </c>
      <c r="AB9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1">
        <f>IF(AND(vp.data[[#This Row],[CrudeType]]="Crude",vp.data[[#This Row],[Dens]]&gt;825,vp.data[[#This Row],[Dens]]&lt;=900,vp.data[[#This Row],[Sulf]]&lt;=0.5,vp.data[[#This Row],[Unknown]]=0),1,0)</f>
        <v>0</v>
      </c>
      <c r="AD951">
        <f>IF(AND(vp.data[[#This Row],[CrudeType]]="Crude",vp.data[[#This Row],[Dens]]&gt;865,vp.data[[#This Row],[Dens]]&lt;=900,vp.data[[#This Row],[Sulf]]&gt;2,vp.data[[#This Row],[Unknown]]=0),1,0)</f>
        <v>0</v>
      </c>
      <c r="AE951">
        <f>IF(AND(vp.data[[#This Row],[CrudeType]]="Crude",vp.data[[#This Row],[Dens]]&gt;900,vp.data[[#This Row],[Sulf]]&lt;=0.5,vp.data[[#This Row],[Unknown]]=0),1,0)</f>
        <v>0</v>
      </c>
      <c r="AF951">
        <f>IF(AND(vp.data[[#This Row],[CrudeType]]="Crude",vp.data[[#This Row],[Dens]]&gt;900,vp.data[[#This Row],[Sulf]]&lt;=0.5,vp.data[[#This Row],[Unknown]]=0),1,0)</f>
        <v>0</v>
      </c>
      <c r="AG951" t="str">
        <f>INDEX(vp.data[[#Headers],[Unknown]:[Heavy_SW]],MATCH(1,vp.data[[#This Row],[Unknown]:[Heavy_SW]],0))</f>
        <v>Medium_LSB</v>
      </c>
      <c r="AH951">
        <f>INDEX([3]!crudeBD.lkup[Number],MATCH(vp.data[[#This Row],[Crude_Breakdown]],crudeBD.lkup[Crude Breakdown],0))</f>
        <v>3</v>
      </c>
      <c r="AI951">
        <f>MONTH(vp.data[[#This Row],[SDate]])</f>
        <v>3</v>
      </c>
      <c r="AJ951" s="5">
        <f>(vp.data[[#This Row],[VP]]-INDEX(crudeBD.lkup[Mean_VP],MATCH(vp.data[[#This Row],[Crude_Breakdown]],crudeBD.lkup[Crude Breakdown],0)))^2</f>
        <v>550.38677638494653</v>
      </c>
      <c r="AK951" s="5">
        <f>(vp.data[[#This Row],[Dens]]-INDEX(crudeBD.lkup[Mean_Dens],MATCH(vp.data[[#This Row],[Crude_Breakdown]],crudeBD.lkup[Crude Breakdown],0)))^2</f>
        <v>199.37439999998728</v>
      </c>
      <c r="AL951" s="5">
        <f>(vp.data[[#This Row],[Sulf]]-INDEX(crudeBD.lkup[Mean_Sulf],MATCH(vp.data[[#This Row],[Crude_Breakdown]],crudeBD.lkup[Crude Breakdown],0)))^2</f>
        <v>8.1457798777634122E-2</v>
      </c>
      <c r="AM951" s="4">
        <f>IF(AND(vp.data[[#This Row],[SDate]]&gt;=DATE(YEAR(vp.data[[#This Row],[SDate]]),5,1),vp.data[[#This Row],[SDate]]&lt;=DATE(YEAR(vp.data[[#This Row],[SDate]]),9,15)),1,0)</f>
        <v>0</v>
      </c>
      <c r="AN951" s="4">
        <f>IF(vp.data[[#This Row],[SDate]]&lt;DATE(2016,12,1),0,1)</f>
        <v>1</v>
      </c>
      <c r="AO951" s="4">
        <f>IFERROR(vp.data[[#This Row],[Sulf]]*vp.data[[#This Row],[Net Dens]],"")</f>
        <v>96823002.495780006</v>
      </c>
      <c r="AP951">
        <f>IFERROR(vp.data[[#This Row],[Dens]]*vp.data[[#This Row],[VolumeM3]],"")</f>
        <v>88020911.359799996</v>
      </c>
      <c r="AQ951" s="15">
        <f>IFERROR(vp.data[[#This Row],[VP]]*vp.data[[#This Row],[VolumeM3]],"")</f>
        <v>11042391.989099998</v>
      </c>
    </row>
    <row r="952" spans="1:43" x14ac:dyDescent="0.25">
      <c r="A952">
        <v>951</v>
      </c>
      <c r="B952" t="s">
        <v>53</v>
      </c>
      <c r="C952" t="s">
        <v>53</v>
      </c>
      <c r="D952" t="s">
        <v>54</v>
      </c>
      <c r="E952" t="s">
        <v>73</v>
      </c>
      <c r="F952" s="1">
        <v>42804</v>
      </c>
      <c r="G952" s="2">
        <v>90.5</v>
      </c>
      <c r="H952" s="2"/>
      <c r="I952" s="2">
        <f t="array" ref="I952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952" s="2">
        <v>2.2999999999999998</v>
      </c>
      <c r="K952" s="2">
        <v>-25</v>
      </c>
      <c r="L952" s="2">
        <v>826</v>
      </c>
      <c r="M952" s="2">
        <f t="array" ref="M952">_xlfn.IFNA(IF(vp.data[[#This Row],[Dens Input]]="",INDEX([1]DATA!$O$3:$O$9826,MATCH(1,(vp.data[[#This Row],[Battery]]=[1]DATA!$L$3:$L$9826)*(EOMONTH(vp.data[[#This Row],[SDate]],-1)+1=[1]DATA!$G$3:$G$9826),0)),vp.data[[#This Row],[Dens Input]]),"")</f>
        <v>826</v>
      </c>
      <c r="N952" s="2">
        <f ca="1">INDEX(INDIRECT(_xlfn.CONCAT("weather.tbl[",N$1,"]")),MATCH(vp.data[[#This Row],[SDate]],weather.tbl[Date],0))</f>
        <v>-21.283333333333335</v>
      </c>
      <c r="O952" s="2">
        <f ca="1">INDEX(INDIRECT(_xlfn.CONCAT("weather.tbl[",O$1,"]")),MATCH(vp.data[[#This Row],[SDate]],weather.tbl[Date],0))</f>
        <v>-10.678571428571429</v>
      </c>
      <c r="P952" s="2">
        <f ca="1">INDEX(INDIRECT(_xlfn.CONCAT("weather.tbl[",P$1,"]")),MATCH(vp.data[[#This Row],[SDate]],weather.tbl[Date],0))</f>
        <v>-20.8</v>
      </c>
      <c r="Q952" s="2">
        <f ca="1">INDEX(INDIRECT(_xlfn.CONCAT("weather.tbl[",Q$1,"]")),MATCH(vp.data[[#This Row],[SDate]],weather.tbl[Date],0))</f>
        <v>-20.5</v>
      </c>
      <c r="R952" s="2">
        <f ca="1">INDEX(INDIRECT(_xlfn.CONCAT("weather.tbl[",R$1,"]")),MATCH(vp.data[[#This Row],[SDate]],weather.tbl[Date],0))</f>
        <v>-22</v>
      </c>
      <c r="S952" s="2">
        <f ca="1">INDEX(INDIRECT(_xlfn.CONCAT("weather.tbl[",S$1,"]")),MATCH(vp.data[[#This Row],[SDate]],weather.tbl[Date],0))</f>
        <v>-19.600000000000001</v>
      </c>
      <c r="T952" s="2">
        <f ca="1">INDEX(INDIRECT(_xlfn.CONCAT("weather.tbl[",T$1,"]")),MATCH(vp.data[[#This Row],[SDate]],weather.tbl[Date],0))</f>
        <v>-23.3</v>
      </c>
      <c r="U952" s="2">
        <f ca="1">INDEX(INDIRECT(_xlfn.CONCAT("weather.tbl[",U$1,"]")),MATCH(vp.data[[#This Row],[SDate]],weather.tbl[Date],0))</f>
        <v>-21.5</v>
      </c>
      <c r="V952" s="2">
        <f t="array" ref="V9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952" t="s">
        <v>48</v>
      </c>
      <c r="X952">
        <f>IF(OR(vp.data[[#This Row],[Sulf]]="",vp.data[[#This Row],[Dens]]=""),1,0)</f>
        <v>0</v>
      </c>
      <c r="Y952">
        <f>IF(vp.data[[#This Row],[CrudeType]]="C5+",1,0)</f>
        <v>0</v>
      </c>
      <c r="Z952">
        <f>IF(AND(vp.data[[#This Row],[CrudeType]]="Crude",vp.data[[#This Row],[Dens]]&lt;=825,vp.data[[#This Row],[Sulf]]&gt;0.5,vp.data[[#This Row],[Unknown]]=0),1,0)</f>
        <v>0</v>
      </c>
      <c r="AA952">
        <f>IF(AND(vp.data[[#This Row],[CrudeType]]="Crude",vp.data[[#This Row],[Dens]]&lt;=825,vp.data[[#This Row],[Sulf]]&lt;=0.5,vp.data[[#This Row],[Unknown]]=0),1,0)</f>
        <v>0</v>
      </c>
      <c r="AB9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2">
        <f>IF(AND(vp.data[[#This Row],[CrudeType]]="Crude",vp.data[[#This Row],[Dens]]&gt;825,vp.data[[#This Row],[Dens]]&lt;=900,vp.data[[#This Row],[Sulf]]&lt;=0.5,vp.data[[#This Row],[Unknown]]=0),1,0)</f>
        <v>0</v>
      </c>
      <c r="AD952">
        <f>IF(AND(vp.data[[#This Row],[CrudeType]]="Crude",vp.data[[#This Row],[Dens]]&gt;865,vp.data[[#This Row],[Dens]]&lt;=900,vp.data[[#This Row],[Sulf]]&gt;2,vp.data[[#This Row],[Unknown]]=0),1,0)</f>
        <v>0</v>
      </c>
      <c r="AE952">
        <f>IF(AND(vp.data[[#This Row],[CrudeType]]="Crude",vp.data[[#This Row],[Dens]]&gt;900,vp.data[[#This Row],[Sulf]]&lt;=0.5,vp.data[[#This Row],[Unknown]]=0),1,0)</f>
        <v>0</v>
      </c>
      <c r="AF952">
        <f>IF(AND(vp.data[[#This Row],[CrudeType]]="Crude",vp.data[[#This Row],[Dens]]&gt;900,vp.data[[#This Row],[Sulf]]&lt;=0.5,vp.data[[#This Row],[Unknown]]=0),1,0)</f>
        <v>0</v>
      </c>
      <c r="AG952" t="str">
        <f>INDEX(vp.data[[#Headers],[Unknown]:[Heavy_SW]],MATCH(1,vp.data[[#This Row],[Unknown]:[Heavy_SW]],0))</f>
        <v>Medium_LSB</v>
      </c>
      <c r="AH952">
        <f>INDEX([3]!crudeBD.lkup[Number],MATCH(vp.data[[#This Row],[Crude_Breakdown]],crudeBD.lkup[Crude Breakdown],0))</f>
        <v>3</v>
      </c>
      <c r="AI952">
        <f>MONTH(vp.data[[#This Row],[SDate]])</f>
        <v>3</v>
      </c>
      <c r="AJ952" s="5">
        <f>(vp.data[[#This Row],[VP]]-INDEX(crudeBD.lkup[Mean_VP],MATCH(vp.data[[#This Row],[Crude_Breakdown]],crudeBD.lkup[Crude Breakdown],0)))^2</f>
        <v>97.225978541279076</v>
      </c>
      <c r="AK952" s="5">
        <f>(vp.data[[#This Row],[Dens]]-INDEX(crudeBD.lkup[Mean_Dens],MATCH(vp.data[[#This Row],[Crude_Breakdown]],crudeBD.lkup[Crude Breakdown],0)))^2</f>
        <v>321.12639999998225</v>
      </c>
      <c r="AL952" s="5">
        <f>(vp.data[[#This Row],[Sulf]]-INDEX(crudeBD.lkup[Mean_Sulf],MATCH(vp.data[[#This Row],[Crude_Breakdown]],crudeBD.lkup[Crude Breakdown],0)))^2</f>
        <v>4.2782230363935985E-3</v>
      </c>
      <c r="AM952" s="4">
        <f>IF(AND(vp.data[[#This Row],[SDate]]&gt;=DATE(YEAR(vp.data[[#This Row],[SDate]]),5,1),vp.data[[#This Row],[SDate]]&lt;=DATE(YEAR(vp.data[[#This Row],[SDate]]),9,15)),1,0)</f>
        <v>0</v>
      </c>
      <c r="AN952" s="4">
        <f>IF(vp.data[[#This Row],[SDate]]&lt;DATE(2016,12,1),0,1)</f>
        <v>1</v>
      </c>
      <c r="AO952" s="4">
        <f>IFERROR(vp.data[[#This Row],[Sulf]]*vp.data[[#This Row],[Net Dens]],"")</f>
        <v>9929234.5891200006</v>
      </c>
      <c r="AP952">
        <f>IFERROR(vp.data[[#This Row],[Dens]]*vp.data[[#This Row],[VolumeM3]],"")</f>
        <v>7522147.4160000002</v>
      </c>
      <c r="AQ952" s="15">
        <f>IFERROR(vp.data[[#This Row],[VP]]*vp.data[[#This Row],[VolumeM3]],"")</f>
        <v>824157.79800000007</v>
      </c>
    </row>
    <row r="953" spans="1:43" x14ac:dyDescent="0.25">
      <c r="A953">
        <v>952</v>
      </c>
      <c r="B953" t="s">
        <v>49</v>
      </c>
      <c r="C953" t="s">
        <v>49</v>
      </c>
      <c r="D953" t="s">
        <v>92</v>
      </c>
      <c r="F953" s="1">
        <v>42804</v>
      </c>
      <c r="G953" s="2">
        <v>83.7</v>
      </c>
      <c r="H953" s="2">
        <v>0.27500000000000002</v>
      </c>
      <c r="I953" s="2">
        <f t="array" ref="I953">_xlfn.IFNA(IF(vp.data[[#This Row],[Sulf Input]]="",INDEX([1]DATA!$Q$3:$Q$9826,MATCH(1,(vp.data[[#This Row],[Battery]]=[1]DATA!$L$3:$L$9826)*(EOMONTH(vp.data[[#This Row],[SDate]],-1)+1=[1]DATA!$G$3:$G$9826),0)),vp.data[[#This Row],[Sulf Input]]),"")</f>
        <v>0.27500000000000002</v>
      </c>
      <c r="J953" s="2">
        <v>15.1</v>
      </c>
      <c r="K953" s="2">
        <v>-25</v>
      </c>
      <c r="L953" s="2">
        <v>809.8</v>
      </c>
      <c r="M953" s="2">
        <f t="array" ref="M953">_xlfn.IFNA(IF(vp.data[[#This Row],[Dens Input]]="",INDEX([1]DATA!$O$3:$O$9826,MATCH(1,(vp.data[[#This Row],[Battery]]=[1]DATA!$L$3:$L$9826)*(EOMONTH(vp.data[[#This Row],[SDate]],-1)+1=[1]DATA!$G$3:$G$9826),0)),vp.data[[#This Row],[Dens Input]]),"")</f>
        <v>809.8</v>
      </c>
      <c r="N953" s="2">
        <f ca="1">INDEX(INDIRECT(_xlfn.CONCAT("weather.tbl[",N$1,"]")),MATCH(vp.data[[#This Row],[SDate]],weather.tbl[Date],0))</f>
        <v>-21.283333333333335</v>
      </c>
      <c r="O953" s="2">
        <f ca="1">INDEX(INDIRECT(_xlfn.CONCAT("weather.tbl[",O$1,"]")),MATCH(vp.data[[#This Row],[SDate]],weather.tbl[Date],0))</f>
        <v>-10.678571428571429</v>
      </c>
      <c r="P953" s="2">
        <f ca="1">INDEX(INDIRECT(_xlfn.CONCAT("weather.tbl[",P$1,"]")),MATCH(vp.data[[#This Row],[SDate]],weather.tbl[Date],0))</f>
        <v>-20.8</v>
      </c>
      <c r="Q953" s="2">
        <f ca="1">INDEX(INDIRECT(_xlfn.CONCAT("weather.tbl[",Q$1,"]")),MATCH(vp.data[[#This Row],[SDate]],weather.tbl[Date],0))</f>
        <v>-20.5</v>
      </c>
      <c r="R953" s="2">
        <f ca="1">INDEX(INDIRECT(_xlfn.CONCAT("weather.tbl[",R$1,"]")),MATCH(vp.data[[#This Row],[SDate]],weather.tbl[Date],0))</f>
        <v>-22</v>
      </c>
      <c r="S953" s="2">
        <f ca="1">INDEX(INDIRECT(_xlfn.CONCAT("weather.tbl[",S$1,"]")),MATCH(vp.data[[#This Row],[SDate]],weather.tbl[Date],0))</f>
        <v>-19.600000000000001</v>
      </c>
      <c r="T953" s="2">
        <f ca="1">INDEX(INDIRECT(_xlfn.CONCAT("weather.tbl[",T$1,"]")),MATCH(vp.data[[#This Row],[SDate]],weather.tbl[Date],0))</f>
        <v>-23.3</v>
      </c>
      <c r="U953" s="2">
        <f ca="1">INDEX(INDIRECT(_xlfn.CONCAT("weather.tbl[",U$1,"]")),MATCH(vp.data[[#This Row],[SDate]],weather.tbl[Date],0))</f>
        <v>-21.5</v>
      </c>
      <c r="V953" s="2">
        <f t="array" ref="V9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953" t="s">
        <v>48</v>
      </c>
      <c r="X953">
        <f>IF(OR(vp.data[[#This Row],[Sulf]]="",vp.data[[#This Row],[Dens]]=""),1,0)</f>
        <v>0</v>
      </c>
      <c r="Y953">
        <f>IF(vp.data[[#This Row],[CrudeType]]="C5+",1,0)</f>
        <v>0</v>
      </c>
      <c r="Z953">
        <f>IF(AND(vp.data[[#This Row],[CrudeType]]="Crude",vp.data[[#This Row],[Dens]]&lt;=825,vp.data[[#This Row],[Sulf]]&gt;0.5,vp.data[[#This Row],[Unknown]]=0),1,0)</f>
        <v>0</v>
      </c>
      <c r="AA953">
        <f>IF(AND(vp.data[[#This Row],[CrudeType]]="Crude",vp.data[[#This Row],[Dens]]&lt;=825,vp.data[[#This Row],[Sulf]]&lt;=0.5,vp.data[[#This Row],[Unknown]]=0),1,0)</f>
        <v>1</v>
      </c>
      <c r="AB9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53">
        <f>IF(AND(vp.data[[#This Row],[CrudeType]]="Crude",vp.data[[#This Row],[Dens]]&gt;825,vp.data[[#This Row],[Dens]]&lt;=900,vp.data[[#This Row],[Sulf]]&lt;=0.5,vp.data[[#This Row],[Unknown]]=0),1,0)</f>
        <v>0</v>
      </c>
      <c r="AD953">
        <f>IF(AND(vp.data[[#This Row],[CrudeType]]="Crude",vp.data[[#This Row],[Dens]]&gt;865,vp.data[[#This Row],[Dens]]&lt;=900,vp.data[[#This Row],[Sulf]]&gt;2,vp.data[[#This Row],[Unknown]]=0),1,0)</f>
        <v>0</v>
      </c>
      <c r="AE953">
        <f>IF(AND(vp.data[[#This Row],[CrudeType]]="Crude",vp.data[[#This Row],[Dens]]&gt;900,vp.data[[#This Row],[Sulf]]&lt;=0.5,vp.data[[#This Row],[Unknown]]=0),1,0)</f>
        <v>0</v>
      </c>
      <c r="AF953">
        <f>IF(AND(vp.data[[#This Row],[CrudeType]]="Crude",vp.data[[#This Row],[Dens]]&gt;900,vp.data[[#This Row],[Sulf]]&lt;=0.5,vp.data[[#This Row],[Unknown]]=0),1,0)</f>
        <v>0</v>
      </c>
      <c r="AG953" t="str">
        <f>INDEX(vp.data[[#Headers],[Unknown]:[Heavy_SW]],MATCH(1,vp.data[[#This Row],[Unknown]:[Heavy_SW]],0))</f>
        <v>Light_SW</v>
      </c>
      <c r="AH953">
        <f>INDEX([3]!crudeBD.lkup[Number],MATCH(vp.data[[#This Row],[Crude_Breakdown]],crudeBD.lkup[Crude Breakdown],0))</f>
        <v>2</v>
      </c>
      <c r="AI953">
        <f>MONTH(vp.data[[#This Row],[SDate]])</f>
        <v>3</v>
      </c>
      <c r="AJ953" s="5">
        <f>(vp.data[[#This Row],[VP]]-INDEX(crudeBD.lkup[Mean_VP],MATCH(vp.data[[#This Row],[Crude_Breakdown]],crudeBD.lkup[Crude Breakdown],0)))^2</f>
        <v>78.328050620985479</v>
      </c>
      <c r="AK953" s="5">
        <f>(vp.data[[#This Row],[Dens]]-INDEX(crudeBD.lkup[Mean_Dens],MATCH(vp.data[[#This Row],[Crude_Breakdown]],crudeBD.lkup[Crude Breakdown],0)))^2</f>
        <v>2.2156374364146996</v>
      </c>
      <c r="AL953" s="5">
        <f>(vp.data[[#This Row],[Sulf]]-INDEX(crudeBD.lkup[Mean_Sulf],MATCH(vp.data[[#This Row],[Crude_Breakdown]],crudeBD.lkup[Crude Breakdown],0)))^2</f>
        <v>1.5021971489274013E-3</v>
      </c>
      <c r="AM953" s="4">
        <f>IF(AND(vp.data[[#This Row],[SDate]]&gt;=DATE(YEAR(vp.data[[#This Row],[SDate]]),5,1),vp.data[[#This Row],[SDate]]&lt;=DATE(YEAR(vp.data[[#This Row],[SDate]]),9,15)),1,0)</f>
        <v>0</v>
      </c>
      <c r="AN953" s="4">
        <f>IF(vp.data[[#This Row],[SDate]]&lt;DATE(2016,12,1),0,1)</f>
        <v>1</v>
      </c>
      <c r="AO953" s="4">
        <f>IFERROR(vp.data[[#This Row],[Sulf]]*vp.data[[#This Row],[Net Dens]],"")</f>
        <v>4802767.5288450001</v>
      </c>
      <c r="AP953">
        <f>IFERROR(vp.data[[#This Row],[Dens]]*vp.data[[#This Row],[VolumeM3]],"")</f>
        <v>17464609.195799999</v>
      </c>
      <c r="AQ953" s="15">
        <f>IFERROR(vp.data[[#This Row],[VP]]*vp.data[[#This Row],[VolumeM3]],"")</f>
        <v>1805121.9927000001</v>
      </c>
    </row>
    <row r="954" spans="1:43" x14ac:dyDescent="0.25">
      <c r="A954">
        <v>953</v>
      </c>
      <c r="B954" t="s">
        <v>49</v>
      </c>
      <c r="C954" t="s">
        <v>49</v>
      </c>
      <c r="D954" t="s">
        <v>80</v>
      </c>
      <c r="F954" s="1">
        <v>42804</v>
      </c>
      <c r="G954" s="2">
        <v>96.8</v>
      </c>
      <c r="H954" s="2">
        <v>0.54400000000000004</v>
      </c>
      <c r="I954" s="2">
        <f t="array" ref="I954">_xlfn.IFNA(IF(vp.data[[#This Row],[Sulf Input]]="",INDEX([1]DATA!$Q$3:$Q$9826,MATCH(1,(vp.data[[#This Row],[Battery]]=[1]DATA!$L$3:$L$9826)*(EOMONTH(vp.data[[#This Row],[SDate]],-1)+1=[1]DATA!$G$3:$G$9826),0)),vp.data[[#This Row],[Sulf Input]]),"")</f>
        <v>0.54400000000000004</v>
      </c>
      <c r="J954" s="2">
        <v>12.4</v>
      </c>
      <c r="K954" s="2">
        <v>-25</v>
      </c>
      <c r="L954" s="2">
        <v>812.6</v>
      </c>
      <c r="M954" s="2">
        <f t="array" ref="M954">_xlfn.IFNA(IF(vp.data[[#This Row],[Dens Input]]="",INDEX([1]DATA!$O$3:$O$9826,MATCH(1,(vp.data[[#This Row],[Battery]]=[1]DATA!$L$3:$L$9826)*(EOMONTH(vp.data[[#This Row],[SDate]],-1)+1=[1]DATA!$G$3:$G$9826),0)),vp.data[[#This Row],[Dens Input]]),"")</f>
        <v>812.6</v>
      </c>
      <c r="N954" s="2">
        <f ca="1">INDEX(INDIRECT(_xlfn.CONCAT("weather.tbl[",N$1,"]")),MATCH(vp.data[[#This Row],[SDate]],weather.tbl[Date],0))</f>
        <v>-21.283333333333335</v>
      </c>
      <c r="O954" s="2">
        <f ca="1">INDEX(INDIRECT(_xlfn.CONCAT("weather.tbl[",O$1,"]")),MATCH(vp.data[[#This Row],[SDate]],weather.tbl[Date],0))</f>
        <v>-10.678571428571429</v>
      </c>
      <c r="P954" s="2">
        <f ca="1">INDEX(INDIRECT(_xlfn.CONCAT("weather.tbl[",P$1,"]")),MATCH(vp.data[[#This Row],[SDate]],weather.tbl[Date],0))</f>
        <v>-20.8</v>
      </c>
      <c r="Q954" s="2">
        <f ca="1">INDEX(INDIRECT(_xlfn.CONCAT("weather.tbl[",Q$1,"]")),MATCH(vp.data[[#This Row],[SDate]],weather.tbl[Date],0))</f>
        <v>-20.5</v>
      </c>
      <c r="R954" s="2">
        <f ca="1">INDEX(INDIRECT(_xlfn.CONCAT("weather.tbl[",R$1,"]")),MATCH(vp.data[[#This Row],[SDate]],weather.tbl[Date],0))</f>
        <v>-22</v>
      </c>
      <c r="S954" s="2">
        <f ca="1">INDEX(INDIRECT(_xlfn.CONCAT("weather.tbl[",S$1,"]")),MATCH(vp.data[[#This Row],[SDate]],weather.tbl[Date],0))</f>
        <v>-19.600000000000001</v>
      </c>
      <c r="T954" s="2">
        <f ca="1">INDEX(INDIRECT(_xlfn.CONCAT("weather.tbl[",T$1,"]")),MATCH(vp.data[[#This Row],[SDate]],weather.tbl[Date],0))</f>
        <v>-23.3</v>
      </c>
      <c r="U954" s="2">
        <f ca="1">INDEX(INDIRECT(_xlfn.CONCAT("weather.tbl[",U$1,"]")),MATCH(vp.data[[#This Row],[SDate]],weather.tbl[Date],0))</f>
        <v>-21.5</v>
      </c>
      <c r="V954" s="2">
        <f t="array" ref="V9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23623.538</v>
      </c>
      <c r="W954" t="s">
        <v>48</v>
      </c>
      <c r="X954">
        <f>IF(OR(vp.data[[#This Row],[Sulf]]="",vp.data[[#This Row],[Dens]]=""),1,0)</f>
        <v>0</v>
      </c>
      <c r="Y954">
        <f>IF(vp.data[[#This Row],[CrudeType]]="C5+",1,0)</f>
        <v>0</v>
      </c>
      <c r="Z954">
        <f>IF(AND(vp.data[[#This Row],[CrudeType]]="Crude",vp.data[[#This Row],[Dens]]&lt;=825,vp.data[[#This Row],[Sulf]]&gt;0.5,vp.data[[#This Row],[Unknown]]=0),1,0)</f>
        <v>1</v>
      </c>
      <c r="AA954">
        <f>IF(AND(vp.data[[#This Row],[CrudeType]]="Crude",vp.data[[#This Row],[Dens]]&lt;=825,vp.data[[#This Row],[Sulf]]&lt;=0.5,vp.data[[#This Row],[Unknown]]=0),1,0)</f>
        <v>0</v>
      </c>
      <c r="AB9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54">
        <f>IF(AND(vp.data[[#This Row],[CrudeType]]="Crude",vp.data[[#This Row],[Dens]]&gt;825,vp.data[[#This Row],[Dens]]&lt;=900,vp.data[[#This Row],[Sulf]]&lt;=0.5,vp.data[[#This Row],[Unknown]]=0),1,0)</f>
        <v>0</v>
      </c>
      <c r="AD954">
        <f>IF(AND(vp.data[[#This Row],[CrudeType]]="Crude",vp.data[[#This Row],[Dens]]&gt;865,vp.data[[#This Row],[Dens]]&lt;=900,vp.data[[#This Row],[Sulf]]&gt;2,vp.data[[#This Row],[Unknown]]=0),1,0)</f>
        <v>0</v>
      </c>
      <c r="AE954">
        <f>IF(AND(vp.data[[#This Row],[CrudeType]]="Crude",vp.data[[#This Row],[Dens]]&gt;900,vp.data[[#This Row],[Sulf]]&lt;=0.5,vp.data[[#This Row],[Unknown]]=0),1,0)</f>
        <v>0</v>
      </c>
      <c r="AF954">
        <f>IF(AND(vp.data[[#This Row],[CrudeType]]="Crude",vp.data[[#This Row],[Dens]]&gt;900,vp.data[[#This Row],[Sulf]]&lt;=0.5,vp.data[[#This Row],[Unknown]]=0),1,0)</f>
        <v>0</v>
      </c>
      <c r="AG954" t="str">
        <f>INDEX(vp.data[[#Headers],[Unknown]:[Heavy_SW]],MATCH(1,vp.data[[#This Row],[Unknown]:[Heavy_SW]],0))</f>
        <v>Light_LSB</v>
      </c>
      <c r="AH954">
        <f>INDEX([3]!crudeBD.lkup[Number],MATCH(vp.data[[#This Row],[Crude_Breakdown]],crudeBD.lkup[Crude Breakdown],0))</f>
        <v>1</v>
      </c>
      <c r="AI954">
        <f>MONTH(vp.data[[#This Row],[SDate]])</f>
        <v>3</v>
      </c>
      <c r="AJ954" s="5">
        <f>(vp.data[[#This Row],[VP]]-INDEX(crudeBD.lkup[Mean_VP],MATCH(vp.data[[#This Row],[Crude_Breakdown]],crudeBD.lkup[Crude Breakdown],0)))^2</f>
        <v>27.602566096290428</v>
      </c>
      <c r="AK954" s="5">
        <f>(vp.data[[#This Row],[Dens]]-INDEX(crudeBD.lkup[Mean_Dens],MATCH(vp.data[[#This Row],[Crude_Breakdown]],crudeBD.lkup[Crude Breakdown],0)))^2</f>
        <v>35.008164386340056</v>
      </c>
      <c r="AL954" s="5">
        <f>(vp.data[[#This Row],[Sulf]]-INDEX(crudeBD.lkup[Mean_Sulf],MATCH(vp.data[[#This Row],[Crude_Breakdown]],crudeBD.lkup[Crude Breakdown],0)))^2</f>
        <v>0.14361914646700064</v>
      </c>
      <c r="AM954" s="4">
        <f>IF(AND(vp.data[[#This Row],[SDate]]&gt;=DATE(YEAR(vp.data[[#This Row],[SDate]]),5,1),vp.data[[#This Row],[SDate]]&lt;=DATE(YEAR(vp.data[[#This Row],[SDate]]),9,15)),1,0)</f>
        <v>0</v>
      </c>
      <c r="AN954" s="4">
        <f>IF(vp.data[[#This Row],[SDate]]&lt;DATE(2016,12,1),0,1)</f>
        <v>1</v>
      </c>
      <c r="AO954" s="4">
        <f>IFERROR(vp.data[[#This Row],[Sulf]]*vp.data[[#This Row],[Net Dens]],"")</f>
        <v>10442888.916467203</v>
      </c>
      <c r="AP954">
        <f>IFERROR(vp.data[[#This Row],[Dens]]*vp.data[[#This Row],[VolumeM3]],"")</f>
        <v>19196486.978800002</v>
      </c>
      <c r="AQ954" s="15">
        <f>IFERROR(vp.data[[#This Row],[VP]]*vp.data[[#This Row],[VolumeM3]],"")</f>
        <v>2286758.4783999999</v>
      </c>
    </row>
    <row r="955" spans="1:43" x14ac:dyDescent="0.25">
      <c r="A955">
        <v>954</v>
      </c>
      <c r="B955" t="s">
        <v>49</v>
      </c>
      <c r="C955" t="s">
        <v>49</v>
      </c>
      <c r="D955" t="s">
        <v>196</v>
      </c>
      <c r="F955" s="1">
        <v>42804</v>
      </c>
      <c r="G955" s="2">
        <v>83.9</v>
      </c>
      <c r="H955" s="2">
        <v>1.819</v>
      </c>
      <c r="I955" s="2">
        <f t="array" ref="I955">_xlfn.IFNA(IF(vp.data[[#This Row],[Sulf Input]]="",INDEX([1]DATA!$Q$3:$Q$9826,MATCH(1,(vp.data[[#This Row],[Battery]]=[1]DATA!$L$3:$L$9826)*(EOMONTH(vp.data[[#This Row],[SDate]],-1)+1=[1]DATA!$G$3:$G$9826),0)),vp.data[[#This Row],[Sulf Input]]),"")</f>
        <v>1.819</v>
      </c>
      <c r="J955" s="2">
        <v>-8</v>
      </c>
      <c r="K955" s="2">
        <v>-25</v>
      </c>
      <c r="L955" s="2">
        <v>856.4</v>
      </c>
      <c r="M955" s="2">
        <f t="array" ref="M955">_xlfn.IFNA(IF(vp.data[[#This Row],[Dens Input]]="",INDEX([1]DATA!$O$3:$O$9826,MATCH(1,(vp.data[[#This Row],[Battery]]=[1]DATA!$L$3:$L$9826)*(EOMONTH(vp.data[[#This Row],[SDate]],-1)+1=[1]DATA!$G$3:$G$9826),0)),vp.data[[#This Row],[Dens Input]]),"")</f>
        <v>856.4</v>
      </c>
      <c r="N955" s="2">
        <f ca="1">INDEX(INDIRECT(_xlfn.CONCAT("weather.tbl[",N$1,"]")),MATCH(vp.data[[#This Row],[SDate]],weather.tbl[Date],0))</f>
        <v>-21.283333333333335</v>
      </c>
      <c r="O955" s="2">
        <f ca="1">INDEX(INDIRECT(_xlfn.CONCAT("weather.tbl[",O$1,"]")),MATCH(vp.data[[#This Row],[SDate]],weather.tbl[Date],0))</f>
        <v>-10.678571428571429</v>
      </c>
      <c r="P955" s="2">
        <f ca="1">INDEX(INDIRECT(_xlfn.CONCAT("weather.tbl[",P$1,"]")),MATCH(vp.data[[#This Row],[SDate]],weather.tbl[Date],0))</f>
        <v>-20.8</v>
      </c>
      <c r="Q955" s="2">
        <f ca="1">INDEX(INDIRECT(_xlfn.CONCAT("weather.tbl[",Q$1,"]")),MATCH(vp.data[[#This Row],[SDate]],weather.tbl[Date],0))</f>
        <v>-20.5</v>
      </c>
      <c r="R955" s="2">
        <f ca="1">INDEX(INDIRECT(_xlfn.CONCAT("weather.tbl[",R$1,"]")),MATCH(vp.data[[#This Row],[SDate]],weather.tbl[Date],0))</f>
        <v>-22</v>
      </c>
      <c r="S955" s="2">
        <f ca="1">INDEX(INDIRECT(_xlfn.CONCAT("weather.tbl[",S$1,"]")),MATCH(vp.data[[#This Row],[SDate]],weather.tbl[Date],0))</f>
        <v>-19.600000000000001</v>
      </c>
      <c r="T955" s="2">
        <f ca="1">INDEX(INDIRECT(_xlfn.CONCAT("weather.tbl[",T$1,"]")),MATCH(vp.data[[#This Row],[SDate]],weather.tbl[Date],0))</f>
        <v>-23.3</v>
      </c>
      <c r="U955" s="2">
        <f ca="1">INDEX(INDIRECT(_xlfn.CONCAT("weather.tbl[",U$1,"]")),MATCH(vp.data[[#This Row],[SDate]],weather.tbl[Date],0))</f>
        <v>-21.5</v>
      </c>
      <c r="V955" s="2">
        <f t="array" ref="V9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335.488</v>
      </c>
      <c r="W955" t="s">
        <v>48</v>
      </c>
      <c r="X955">
        <f>IF(OR(vp.data[[#This Row],[Sulf]]="",vp.data[[#This Row],[Dens]]=""),1,0)</f>
        <v>0</v>
      </c>
      <c r="Y955">
        <f>IF(vp.data[[#This Row],[CrudeType]]="C5+",1,0)</f>
        <v>0</v>
      </c>
      <c r="Z955">
        <f>IF(AND(vp.data[[#This Row],[CrudeType]]="Crude",vp.data[[#This Row],[Dens]]&lt;=825,vp.data[[#This Row],[Sulf]]&gt;0.5,vp.data[[#This Row],[Unknown]]=0),1,0)</f>
        <v>0</v>
      </c>
      <c r="AA955">
        <f>IF(AND(vp.data[[#This Row],[CrudeType]]="Crude",vp.data[[#This Row],[Dens]]&lt;=825,vp.data[[#This Row],[Sulf]]&lt;=0.5,vp.data[[#This Row],[Unknown]]=0),1,0)</f>
        <v>0</v>
      </c>
      <c r="AB9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5">
        <f>IF(AND(vp.data[[#This Row],[CrudeType]]="Crude",vp.data[[#This Row],[Dens]]&gt;825,vp.data[[#This Row],[Dens]]&lt;=900,vp.data[[#This Row],[Sulf]]&lt;=0.5,vp.data[[#This Row],[Unknown]]=0),1,0)</f>
        <v>0</v>
      </c>
      <c r="AD955">
        <f>IF(AND(vp.data[[#This Row],[CrudeType]]="Crude",vp.data[[#This Row],[Dens]]&gt;865,vp.data[[#This Row],[Dens]]&lt;=900,vp.data[[#This Row],[Sulf]]&gt;2,vp.data[[#This Row],[Unknown]]=0),1,0)</f>
        <v>0</v>
      </c>
      <c r="AE955">
        <f>IF(AND(vp.data[[#This Row],[CrudeType]]="Crude",vp.data[[#This Row],[Dens]]&gt;900,vp.data[[#This Row],[Sulf]]&lt;=0.5,vp.data[[#This Row],[Unknown]]=0),1,0)</f>
        <v>0</v>
      </c>
      <c r="AF955">
        <f>IF(AND(vp.data[[#This Row],[CrudeType]]="Crude",vp.data[[#This Row],[Dens]]&gt;900,vp.data[[#This Row],[Sulf]]&lt;=0.5,vp.data[[#This Row],[Unknown]]=0),1,0)</f>
        <v>0</v>
      </c>
      <c r="AG955" t="str">
        <f>INDEX(vp.data[[#Headers],[Unknown]:[Heavy_SW]],MATCH(1,vp.data[[#This Row],[Unknown]:[Heavy_SW]],0))</f>
        <v>Medium_LSB</v>
      </c>
      <c r="AH955">
        <f>INDEX([3]!crudeBD.lkup[Number],MATCH(vp.data[[#This Row],[Crude_Breakdown]],crudeBD.lkup[Crude Breakdown],0))</f>
        <v>3</v>
      </c>
      <c r="AI955">
        <f>MONTH(vp.data[[#This Row],[SDate]])</f>
        <v>3</v>
      </c>
      <c r="AJ955" s="5">
        <f>(vp.data[[#This Row],[VP]]-INDEX(crudeBD.lkup[Mean_VP],MATCH(vp.data[[#This Row],[Crude_Breakdown]],crudeBD.lkup[Crude Breakdown],0)))^2</f>
        <v>10.629708999499199</v>
      </c>
      <c r="AK955" s="5">
        <f>(vp.data[[#This Row],[Dens]]-INDEX(crudeBD.lkup[Mean_Dens],MATCH(vp.data[[#This Row],[Crude_Breakdown]],crudeBD.lkup[Crude Breakdown],0)))^2</f>
        <v>155.75040000001181</v>
      </c>
      <c r="AL955" s="5">
        <f>(vp.data[[#This Row],[Sulf]]-INDEX(crudeBD.lkup[Mean_Sulf],MATCH(vp.data[[#This Row],[Crude_Breakdown]],crudeBD.lkup[Crude Breakdown],0)))^2</f>
        <v>0.18800191260512519</v>
      </c>
      <c r="AM955" s="4">
        <f>IF(AND(vp.data[[#This Row],[SDate]]&gt;=DATE(YEAR(vp.data[[#This Row],[SDate]]),5,1),vp.data[[#This Row],[SDate]]&lt;=DATE(YEAR(vp.data[[#This Row],[SDate]]),9,15)),1,0)</f>
        <v>0</v>
      </c>
      <c r="AN955" s="4">
        <f>IF(vp.data[[#This Row],[SDate]]&lt;DATE(2016,12,1),0,1)</f>
        <v>1</v>
      </c>
      <c r="AO955" s="4">
        <f>IFERROR(vp.data[[#This Row],[Sulf]]*vp.data[[#This Row],[Net Dens]],"")</f>
        <v>522620.3883008</v>
      </c>
      <c r="AP955">
        <f>IFERROR(vp.data[[#This Row],[Dens]]*vp.data[[#This Row],[VolumeM3]],"")</f>
        <v>287311.92320000002</v>
      </c>
      <c r="AQ955" s="15">
        <f>IFERROR(vp.data[[#This Row],[VP]]*vp.data[[#This Row],[VolumeM3]],"")</f>
        <v>28147.443200000002</v>
      </c>
    </row>
    <row r="956" spans="1:43" x14ac:dyDescent="0.25">
      <c r="A956">
        <v>955</v>
      </c>
      <c r="B956" t="s">
        <v>62</v>
      </c>
      <c r="C956" t="s">
        <v>62</v>
      </c>
      <c r="D956" t="s">
        <v>87</v>
      </c>
      <c r="F956" s="1">
        <v>42804</v>
      </c>
      <c r="G956" s="2">
        <v>85.6</v>
      </c>
      <c r="H956" s="2"/>
      <c r="I956" s="2">
        <f t="array" ref="I956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956" s="2">
        <v>21.4</v>
      </c>
      <c r="K956" s="2">
        <v>-25</v>
      </c>
      <c r="L956" s="2">
        <v>809.3</v>
      </c>
      <c r="M956" s="2">
        <f t="array" ref="M956">_xlfn.IFNA(IF(vp.data[[#This Row],[Dens Input]]="",INDEX([1]DATA!$O$3:$O$9826,MATCH(1,(vp.data[[#This Row],[Battery]]=[1]DATA!$L$3:$L$9826)*(EOMONTH(vp.data[[#This Row],[SDate]],-1)+1=[1]DATA!$G$3:$G$9826),0)),vp.data[[#This Row],[Dens Input]]),"")</f>
        <v>809.3</v>
      </c>
      <c r="N956" s="2">
        <f ca="1">INDEX(INDIRECT(_xlfn.CONCAT("weather.tbl[",N$1,"]")),MATCH(vp.data[[#This Row],[SDate]],weather.tbl[Date],0))</f>
        <v>-21.283333333333335</v>
      </c>
      <c r="O956" s="2">
        <f ca="1">INDEX(INDIRECT(_xlfn.CONCAT("weather.tbl[",O$1,"]")),MATCH(vp.data[[#This Row],[SDate]],weather.tbl[Date],0))</f>
        <v>-10.678571428571429</v>
      </c>
      <c r="P956" s="2">
        <f ca="1">INDEX(INDIRECT(_xlfn.CONCAT("weather.tbl[",P$1,"]")),MATCH(vp.data[[#This Row],[SDate]],weather.tbl[Date],0))</f>
        <v>-20.8</v>
      </c>
      <c r="Q956" s="2">
        <f ca="1">INDEX(INDIRECT(_xlfn.CONCAT("weather.tbl[",Q$1,"]")),MATCH(vp.data[[#This Row],[SDate]],weather.tbl[Date],0))</f>
        <v>-20.5</v>
      </c>
      <c r="R956" s="2">
        <f ca="1">INDEX(INDIRECT(_xlfn.CONCAT("weather.tbl[",R$1,"]")),MATCH(vp.data[[#This Row],[SDate]],weather.tbl[Date],0))</f>
        <v>-22</v>
      </c>
      <c r="S956" s="2">
        <f ca="1">INDEX(INDIRECT(_xlfn.CONCAT("weather.tbl[",S$1,"]")),MATCH(vp.data[[#This Row],[SDate]],weather.tbl[Date],0))</f>
        <v>-19.600000000000001</v>
      </c>
      <c r="T956" s="2">
        <f ca="1">INDEX(INDIRECT(_xlfn.CONCAT("weather.tbl[",T$1,"]")),MATCH(vp.data[[#This Row],[SDate]],weather.tbl[Date],0))</f>
        <v>-23.3</v>
      </c>
      <c r="U956" s="2">
        <f ca="1">INDEX(INDIRECT(_xlfn.CONCAT("weather.tbl[",U$1,"]")),MATCH(vp.data[[#This Row],[SDate]],weather.tbl[Date],0))</f>
        <v>-21.5</v>
      </c>
      <c r="V956" s="2">
        <f t="array" ref="V9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7297.97</v>
      </c>
      <c r="W956" t="s">
        <v>48</v>
      </c>
      <c r="X956">
        <f>IF(OR(vp.data[[#This Row],[Sulf]]="",vp.data[[#This Row],[Dens]]=""),1,0)</f>
        <v>0</v>
      </c>
      <c r="Y956">
        <f>IF(vp.data[[#This Row],[CrudeType]]="C5+",1,0)</f>
        <v>0</v>
      </c>
      <c r="Z956">
        <f>IF(AND(vp.data[[#This Row],[CrudeType]]="Crude",vp.data[[#This Row],[Dens]]&lt;=825,vp.data[[#This Row],[Sulf]]&gt;0.5,vp.data[[#This Row],[Unknown]]=0),1,0)</f>
        <v>0</v>
      </c>
      <c r="AA956">
        <f>IF(AND(vp.data[[#This Row],[CrudeType]]="Crude",vp.data[[#This Row],[Dens]]&lt;=825,vp.data[[#This Row],[Sulf]]&lt;=0.5,vp.data[[#This Row],[Unknown]]=0),1,0)</f>
        <v>1</v>
      </c>
      <c r="AB9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56">
        <f>IF(AND(vp.data[[#This Row],[CrudeType]]="Crude",vp.data[[#This Row],[Dens]]&gt;825,vp.data[[#This Row],[Dens]]&lt;=900,vp.data[[#This Row],[Sulf]]&lt;=0.5,vp.data[[#This Row],[Unknown]]=0),1,0)</f>
        <v>0</v>
      </c>
      <c r="AD956">
        <f>IF(AND(vp.data[[#This Row],[CrudeType]]="Crude",vp.data[[#This Row],[Dens]]&gt;865,vp.data[[#This Row],[Dens]]&lt;=900,vp.data[[#This Row],[Sulf]]&gt;2,vp.data[[#This Row],[Unknown]]=0),1,0)</f>
        <v>0</v>
      </c>
      <c r="AE956">
        <f>IF(AND(vp.data[[#This Row],[CrudeType]]="Crude",vp.data[[#This Row],[Dens]]&gt;900,vp.data[[#This Row],[Sulf]]&lt;=0.5,vp.data[[#This Row],[Unknown]]=0),1,0)</f>
        <v>0</v>
      </c>
      <c r="AF956">
        <f>IF(AND(vp.data[[#This Row],[CrudeType]]="Crude",vp.data[[#This Row],[Dens]]&gt;900,vp.data[[#This Row],[Sulf]]&lt;=0.5,vp.data[[#This Row],[Unknown]]=0),1,0)</f>
        <v>0</v>
      </c>
      <c r="AG956" t="str">
        <f>INDEX(vp.data[[#Headers],[Unknown]:[Heavy_SW]],MATCH(1,vp.data[[#This Row],[Unknown]:[Heavy_SW]],0))</f>
        <v>Light_SW</v>
      </c>
      <c r="AH956">
        <f>INDEX([3]!crudeBD.lkup[Number],MATCH(vp.data[[#This Row],[Crude_Breakdown]],crudeBD.lkup[Crude Breakdown],0))</f>
        <v>2</v>
      </c>
      <c r="AI956">
        <f>MONTH(vp.data[[#This Row],[SDate]])</f>
        <v>3</v>
      </c>
      <c r="AJ956" s="5">
        <f>(vp.data[[#This Row],[VP]]-INDEX(crudeBD.lkup[Mean_VP],MATCH(vp.data[[#This Row],[Crude_Breakdown]],crudeBD.lkup[Crude Breakdown],0)))^2</f>
        <v>48.306858983355056</v>
      </c>
      <c r="AK956" s="5">
        <f>(vp.data[[#This Row],[Dens]]-INDEX(crudeBD.lkup[Mean_Dens],MATCH(vp.data[[#This Row],[Crude_Breakdown]],crudeBD.lkup[Crude Breakdown],0)))^2</f>
        <v>0.97713569425424796</v>
      </c>
      <c r="AL956" s="5">
        <f>(vp.data[[#This Row],[Sulf]]-INDEX(crudeBD.lkup[Mean_Sulf],MATCH(vp.data[[#This Row],[Crude_Breakdown]],crudeBD.lkup[Crude Breakdown],0)))^2</f>
        <v>4.3879776367322437E-3</v>
      </c>
      <c r="AM956" s="4">
        <f>IF(AND(vp.data[[#This Row],[SDate]]&gt;=DATE(YEAR(vp.data[[#This Row],[SDate]]),5,1),vp.data[[#This Row],[SDate]]&lt;=DATE(YEAR(vp.data[[#This Row],[SDate]]),9,15)),1,0)</f>
        <v>0</v>
      </c>
      <c r="AN956" s="4">
        <f>IF(vp.data[[#This Row],[SDate]]&lt;DATE(2016,12,1),0,1)</f>
        <v>1</v>
      </c>
      <c r="AO956" s="4">
        <f>IFERROR(vp.data[[#This Row],[Sulf]]*vp.data[[#This Row],[Net Dens]],"")</f>
        <v>1004062.0105700002</v>
      </c>
      <c r="AP956">
        <f>IFERROR(vp.data[[#This Row],[Dens]]*vp.data[[#This Row],[VolumeM3]],"")</f>
        <v>5906247.1210000003</v>
      </c>
      <c r="AQ956" s="15">
        <f>IFERROR(vp.data[[#This Row],[VP]]*vp.data[[#This Row],[VolumeM3]],"")</f>
        <v>624706.23199999996</v>
      </c>
    </row>
    <row r="957" spans="1:43" x14ac:dyDescent="0.25">
      <c r="A957">
        <v>956</v>
      </c>
      <c r="B957" t="s">
        <v>51</v>
      </c>
      <c r="C957" t="s">
        <v>51</v>
      </c>
      <c r="D957" t="s">
        <v>58</v>
      </c>
      <c r="F957" s="1">
        <v>42804</v>
      </c>
      <c r="G957" s="2">
        <v>110.4</v>
      </c>
      <c r="H957" s="2"/>
      <c r="I957" s="2">
        <f t="array" ref="I957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957" s="2">
        <v>18.100000000000001</v>
      </c>
      <c r="K957" s="2">
        <v>-25</v>
      </c>
      <c r="L957" s="2">
        <v>817.4</v>
      </c>
      <c r="M957" s="2">
        <f t="array" ref="M957">_xlfn.IFNA(IF(vp.data[[#This Row],[Dens Input]]="",INDEX([1]DATA!$O$3:$O$9826,MATCH(1,(vp.data[[#This Row],[Battery]]=[1]DATA!$L$3:$L$9826)*(EOMONTH(vp.data[[#This Row],[SDate]],-1)+1=[1]DATA!$G$3:$G$9826),0)),vp.data[[#This Row],[Dens Input]]),"")</f>
        <v>817.4</v>
      </c>
      <c r="N957" s="2">
        <f ca="1">INDEX(INDIRECT(_xlfn.CONCAT("weather.tbl[",N$1,"]")),MATCH(vp.data[[#This Row],[SDate]],weather.tbl[Date],0))</f>
        <v>-21.283333333333335</v>
      </c>
      <c r="O957" s="2">
        <f ca="1">INDEX(INDIRECT(_xlfn.CONCAT("weather.tbl[",O$1,"]")),MATCH(vp.data[[#This Row],[SDate]],weather.tbl[Date],0))</f>
        <v>-10.678571428571429</v>
      </c>
      <c r="P957" s="2">
        <f ca="1">INDEX(INDIRECT(_xlfn.CONCAT("weather.tbl[",P$1,"]")),MATCH(vp.data[[#This Row],[SDate]],weather.tbl[Date],0))</f>
        <v>-20.8</v>
      </c>
      <c r="Q957" s="2">
        <f ca="1">INDEX(INDIRECT(_xlfn.CONCAT("weather.tbl[",Q$1,"]")),MATCH(vp.data[[#This Row],[SDate]],weather.tbl[Date],0))</f>
        <v>-20.5</v>
      </c>
      <c r="R957" s="2">
        <f ca="1">INDEX(INDIRECT(_xlfn.CONCAT("weather.tbl[",R$1,"]")),MATCH(vp.data[[#This Row],[SDate]],weather.tbl[Date],0))</f>
        <v>-22</v>
      </c>
      <c r="S957" s="2">
        <f ca="1">INDEX(INDIRECT(_xlfn.CONCAT("weather.tbl[",S$1,"]")),MATCH(vp.data[[#This Row],[SDate]],weather.tbl[Date],0))</f>
        <v>-19.600000000000001</v>
      </c>
      <c r="T957" s="2">
        <f ca="1">INDEX(INDIRECT(_xlfn.CONCAT("weather.tbl[",T$1,"]")),MATCH(vp.data[[#This Row],[SDate]],weather.tbl[Date],0))</f>
        <v>-23.3</v>
      </c>
      <c r="U957" s="2">
        <f ca="1">INDEX(INDIRECT(_xlfn.CONCAT("weather.tbl[",U$1,"]")),MATCH(vp.data[[#This Row],[SDate]],weather.tbl[Date],0))</f>
        <v>-21.5</v>
      </c>
      <c r="V957" s="2">
        <f t="array" ref="V9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957" t="s">
        <v>48</v>
      </c>
      <c r="X957">
        <f>IF(OR(vp.data[[#This Row],[Sulf]]="",vp.data[[#This Row],[Dens]]=""),1,0)</f>
        <v>0</v>
      </c>
      <c r="Y957">
        <f>IF(vp.data[[#This Row],[CrudeType]]="C5+",1,0)</f>
        <v>0</v>
      </c>
      <c r="Z957">
        <f>IF(AND(vp.data[[#This Row],[CrudeType]]="Crude",vp.data[[#This Row],[Dens]]&lt;=825,vp.data[[#This Row],[Sulf]]&gt;0.5,vp.data[[#This Row],[Unknown]]=0),1,0)</f>
        <v>1</v>
      </c>
      <c r="AA957">
        <f>IF(AND(vp.data[[#This Row],[CrudeType]]="Crude",vp.data[[#This Row],[Dens]]&lt;=825,vp.data[[#This Row],[Sulf]]&lt;=0.5,vp.data[[#This Row],[Unknown]]=0),1,0)</f>
        <v>0</v>
      </c>
      <c r="AB9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57">
        <f>IF(AND(vp.data[[#This Row],[CrudeType]]="Crude",vp.data[[#This Row],[Dens]]&gt;825,vp.data[[#This Row],[Dens]]&lt;=900,vp.data[[#This Row],[Sulf]]&lt;=0.5,vp.data[[#This Row],[Unknown]]=0),1,0)</f>
        <v>0</v>
      </c>
      <c r="AD957">
        <f>IF(AND(vp.data[[#This Row],[CrudeType]]="Crude",vp.data[[#This Row],[Dens]]&gt;865,vp.data[[#This Row],[Dens]]&lt;=900,vp.data[[#This Row],[Sulf]]&gt;2,vp.data[[#This Row],[Unknown]]=0),1,0)</f>
        <v>0</v>
      </c>
      <c r="AE957">
        <f>IF(AND(vp.data[[#This Row],[CrudeType]]="Crude",vp.data[[#This Row],[Dens]]&gt;900,vp.data[[#This Row],[Sulf]]&lt;=0.5,vp.data[[#This Row],[Unknown]]=0),1,0)</f>
        <v>0</v>
      </c>
      <c r="AF957">
        <f>IF(AND(vp.data[[#This Row],[CrudeType]]="Crude",vp.data[[#This Row],[Dens]]&gt;900,vp.data[[#This Row],[Sulf]]&lt;=0.5,vp.data[[#This Row],[Unknown]]=0),1,0)</f>
        <v>0</v>
      </c>
      <c r="AG957" t="str">
        <f>INDEX(vp.data[[#Headers],[Unknown]:[Heavy_SW]],MATCH(1,vp.data[[#This Row],[Unknown]:[Heavy_SW]],0))</f>
        <v>Light_LSB</v>
      </c>
      <c r="AH957">
        <f>INDEX([3]!crudeBD.lkup[Number],MATCH(vp.data[[#This Row],[Crude_Breakdown]],crudeBD.lkup[Crude Breakdown],0))</f>
        <v>1</v>
      </c>
      <c r="AI957">
        <f>MONTH(vp.data[[#This Row],[SDate]])</f>
        <v>3</v>
      </c>
      <c r="AJ957" s="5">
        <f>(vp.data[[#This Row],[VP]]-INDEX(crudeBD.lkup[Mean_VP],MATCH(vp.data[[#This Row],[Crude_Breakdown]],crudeBD.lkup[Crude Breakdown],0)))^2</f>
        <v>355.46631867360941</v>
      </c>
      <c r="AK957" s="5">
        <f>(vp.data[[#This Row],[Dens]]-INDEX(crudeBD.lkup[Mean_Dens],MATCH(vp.data[[#This Row],[Crude_Breakdown]],crudeBD.lkup[Crude Breakdown],0)))^2</f>
        <v>1.2471746956217438</v>
      </c>
      <c r="AL957" s="5">
        <f>(vp.data[[#This Row],[Sulf]]-INDEX(crudeBD.lkup[Mean_Sulf],MATCH(vp.data[[#This Row],[Crude_Breakdown]],crudeBD.lkup[Crude Breakdown],0)))^2</f>
        <v>0.14979131650136537</v>
      </c>
      <c r="AM957" s="4">
        <f>IF(AND(vp.data[[#This Row],[SDate]]&gt;=DATE(YEAR(vp.data[[#This Row],[SDate]]),5,1),vp.data[[#This Row],[SDate]]&lt;=DATE(YEAR(vp.data[[#This Row],[SDate]]),9,15)),1,0)</f>
        <v>0</v>
      </c>
      <c r="AN957" s="4">
        <f>IF(vp.data[[#This Row],[SDate]]&lt;DATE(2016,12,1),0,1)</f>
        <v>1</v>
      </c>
      <c r="AO957" s="4">
        <f>IFERROR(vp.data[[#This Row],[Sulf]]*vp.data[[#This Row],[Net Dens]],"")</f>
        <v>6501080.5591739994</v>
      </c>
      <c r="AP957">
        <f>IFERROR(vp.data[[#This Row],[Dens]]*vp.data[[#This Row],[VolumeM3]],"")</f>
        <v>4962656.9153999994</v>
      </c>
      <c r="AQ957" s="15">
        <f>IFERROR(vp.data[[#This Row],[VP]]*vp.data[[#This Row],[VolumeM3]],"")</f>
        <v>670268.31839999999</v>
      </c>
    </row>
    <row r="958" spans="1:43" x14ac:dyDescent="0.25">
      <c r="A958">
        <v>957</v>
      </c>
      <c r="B958" t="s">
        <v>51</v>
      </c>
      <c r="C958" t="s">
        <v>51</v>
      </c>
      <c r="D958" t="s">
        <v>71</v>
      </c>
      <c r="F958" s="1">
        <v>42804</v>
      </c>
      <c r="G958" s="2">
        <v>93.1</v>
      </c>
      <c r="H958" s="2"/>
      <c r="I958" s="2">
        <f t="array" ref="I958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958" s="2">
        <v>7.5</v>
      </c>
      <c r="K958" s="2">
        <v>-25</v>
      </c>
      <c r="L958" s="2">
        <v>830.2</v>
      </c>
      <c r="M958" s="2">
        <f t="array" ref="M958">_xlfn.IFNA(IF(vp.data[[#This Row],[Dens Input]]="",INDEX([1]DATA!$O$3:$O$9826,MATCH(1,(vp.data[[#This Row],[Battery]]=[1]DATA!$L$3:$L$9826)*(EOMONTH(vp.data[[#This Row],[SDate]],-1)+1=[1]DATA!$G$3:$G$9826),0)),vp.data[[#This Row],[Dens Input]]),"")</f>
        <v>830.2</v>
      </c>
      <c r="N958" s="2">
        <f ca="1">INDEX(INDIRECT(_xlfn.CONCAT("weather.tbl[",N$1,"]")),MATCH(vp.data[[#This Row],[SDate]],weather.tbl[Date],0))</f>
        <v>-21.283333333333335</v>
      </c>
      <c r="O958" s="2">
        <f ca="1">INDEX(INDIRECT(_xlfn.CONCAT("weather.tbl[",O$1,"]")),MATCH(vp.data[[#This Row],[SDate]],weather.tbl[Date],0))</f>
        <v>-10.678571428571429</v>
      </c>
      <c r="P958" s="2">
        <f ca="1">INDEX(INDIRECT(_xlfn.CONCAT("weather.tbl[",P$1,"]")),MATCH(vp.data[[#This Row],[SDate]],weather.tbl[Date],0))</f>
        <v>-20.8</v>
      </c>
      <c r="Q958" s="2">
        <f ca="1">INDEX(INDIRECT(_xlfn.CONCAT("weather.tbl[",Q$1,"]")),MATCH(vp.data[[#This Row],[SDate]],weather.tbl[Date],0))</f>
        <v>-20.5</v>
      </c>
      <c r="R958" s="2">
        <f ca="1">INDEX(INDIRECT(_xlfn.CONCAT("weather.tbl[",R$1,"]")),MATCH(vp.data[[#This Row],[SDate]],weather.tbl[Date],0))</f>
        <v>-22</v>
      </c>
      <c r="S958" s="2">
        <f ca="1">INDEX(INDIRECT(_xlfn.CONCAT("weather.tbl[",S$1,"]")),MATCH(vp.data[[#This Row],[SDate]],weather.tbl[Date],0))</f>
        <v>-19.600000000000001</v>
      </c>
      <c r="T958" s="2">
        <f ca="1">INDEX(INDIRECT(_xlfn.CONCAT("weather.tbl[",T$1,"]")),MATCH(vp.data[[#This Row],[SDate]],weather.tbl[Date],0))</f>
        <v>-23.3</v>
      </c>
      <c r="U958" s="2">
        <f ca="1">INDEX(INDIRECT(_xlfn.CONCAT("weather.tbl[",U$1,"]")),MATCH(vp.data[[#This Row],[SDate]],weather.tbl[Date],0))</f>
        <v>-21.5</v>
      </c>
      <c r="V958" s="2">
        <f t="array" ref="V9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7995.5450000000001</v>
      </c>
      <c r="W958" t="s">
        <v>48</v>
      </c>
      <c r="X958">
        <f>IF(OR(vp.data[[#This Row],[Sulf]]="",vp.data[[#This Row],[Dens]]=""),1,0)</f>
        <v>0</v>
      </c>
      <c r="Y958">
        <f>IF(vp.data[[#This Row],[CrudeType]]="C5+",1,0)</f>
        <v>0</v>
      </c>
      <c r="Z958">
        <f>IF(AND(vp.data[[#This Row],[CrudeType]]="Crude",vp.data[[#This Row],[Dens]]&lt;=825,vp.data[[#This Row],[Sulf]]&gt;0.5,vp.data[[#This Row],[Unknown]]=0),1,0)</f>
        <v>0</v>
      </c>
      <c r="AA958">
        <f>IF(AND(vp.data[[#This Row],[CrudeType]]="Crude",vp.data[[#This Row],[Dens]]&lt;=825,vp.data[[#This Row],[Sulf]]&lt;=0.5,vp.data[[#This Row],[Unknown]]=0),1,0)</f>
        <v>0</v>
      </c>
      <c r="AB9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8">
        <f>IF(AND(vp.data[[#This Row],[CrudeType]]="Crude",vp.data[[#This Row],[Dens]]&gt;825,vp.data[[#This Row],[Dens]]&lt;=900,vp.data[[#This Row],[Sulf]]&lt;=0.5,vp.data[[#This Row],[Unknown]]=0),1,0)</f>
        <v>0</v>
      </c>
      <c r="AD958">
        <f>IF(AND(vp.data[[#This Row],[CrudeType]]="Crude",vp.data[[#This Row],[Dens]]&gt;865,vp.data[[#This Row],[Dens]]&lt;=900,vp.data[[#This Row],[Sulf]]&gt;2,vp.data[[#This Row],[Unknown]]=0),1,0)</f>
        <v>0</v>
      </c>
      <c r="AE958">
        <f>IF(AND(vp.data[[#This Row],[CrudeType]]="Crude",vp.data[[#This Row],[Dens]]&gt;900,vp.data[[#This Row],[Sulf]]&lt;=0.5,vp.data[[#This Row],[Unknown]]=0),1,0)</f>
        <v>0</v>
      </c>
      <c r="AF958">
        <f>IF(AND(vp.data[[#This Row],[CrudeType]]="Crude",vp.data[[#This Row],[Dens]]&gt;900,vp.data[[#This Row],[Sulf]]&lt;=0.5,vp.data[[#This Row],[Unknown]]=0),1,0)</f>
        <v>0</v>
      </c>
      <c r="AG958" t="str">
        <f>INDEX(vp.data[[#Headers],[Unknown]:[Heavy_SW]],MATCH(1,vp.data[[#This Row],[Unknown]:[Heavy_SW]],0))</f>
        <v>Medium_LSB</v>
      </c>
      <c r="AH958">
        <f>INDEX([3]!crudeBD.lkup[Number],MATCH(vp.data[[#This Row],[Crude_Breakdown]],crudeBD.lkup[Crude Breakdown],0))</f>
        <v>3</v>
      </c>
      <c r="AI958">
        <f>MONTH(vp.data[[#This Row],[SDate]])</f>
        <v>3</v>
      </c>
      <c r="AJ958" s="5">
        <f>(vp.data[[#This Row],[VP]]-INDEX(crudeBD.lkup[Mean_VP],MATCH(vp.data[[#This Row],[Crude_Breakdown]],crudeBD.lkup[Crude Breakdown],0)))^2</f>
        <v>155.25966048198012</v>
      </c>
      <c r="AK958" s="5">
        <f>(vp.data[[#This Row],[Dens]]-INDEX(crudeBD.lkup[Mean_Dens],MATCH(vp.data[[#This Row],[Crude_Breakdown]],crudeBD.lkup[Crude Breakdown],0)))^2</f>
        <v>188.23839999998515</v>
      </c>
      <c r="AL958" s="5">
        <f>(vp.data[[#This Row],[Sulf]]-INDEX(crudeBD.lkup[Mean_Sulf],MATCH(vp.data[[#This Row],[Crude_Breakdown]],crudeBD.lkup[Crude Breakdown],0)))^2</f>
        <v>5.5033347025611072E-2</v>
      </c>
      <c r="AM958" s="4">
        <f>IF(AND(vp.data[[#This Row],[SDate]]&gt;=DATE(YEAR(vp.data[[#This Row],[SDate]]),5,1),vp.data[[#This Row],[SDate]]&lt;=DATE(YEAR(vp.data[[#This Row],[SDate]]),9,15)),1,0)</f>
        <v>0</v>
      </c>
      <c r="AN958" s="4">
        <f>IF(vp.data[[#This Row],[SDate]]&lt;DATE(2016,12,1),0,1)</f>
        <v>1</v>
      </c>
      <c r="AO958" s="4">
        <f>IFERROR(vp.data[[#This Row],[Sulf]]*vp.data[[#This Row],[Net Dens]],"")</f>
        <v>10753400.363580002</v>
      </c>
      <c r="AP958">
        <f>IFERROR(vp.data[[#This Row],[Dens]]*vp.data[[#This Row],[VolumeM3]],"")</f>
        <v>6637901.4590000007</v>
      </c>
      <c r="AQ958" s="15">
        <f>IFERROR(vp.data[[#This Row],[VP]]*vp.data[[#This Row],[VolumeM3]],"")</f>
        <v>744385.23949999991</v>
      </c>
    </row>
    <row r="959" spans="1:43" x14ac:dyDescent="0.25">
      <c r="A959">
        <v>958</v>
      </c>
      <c r="B959" t="s">
        <v>51</v>
      </c>
      <c r="C959" t="s">
        <v>51</v>
      </c>
      <c r="D959" t="s">
        <v>197</v>
      </c>
      <c r="F959" s="1">
        <v>42804</v>
      </c>
      <c r="G959" s="2">
        <v>68.3</v>
      </c>
      <c r="H959" s="2"/>
      <c r="I959" s="2">
        <f t="array" ref="I959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959" s="2">
        <v>-3</v>
      </c>
      <c r="K959" s="2">
        <v>-25</v>
      </c>
      <c r="L959" s="2">
        <v>857.1</v>
      </c>
      <c r="M959" s="2">
        <f t="array" ref="M959">_xlfn.IFNA(IF(vp.data[[#This Row],[Dens Input]]="",INDEX([1]DATA!$O$3:$O$9826,MATCH(1,(vp.data[[#This Row],[Battery]]=[1]DATA!$L$3:$L$9826)*(EOMONTH(vp.data[[#This Row],[SDate]],-1)+1=[1]DATA!$G$3:$G$9826),0)),vp.data[[#This Row],[Dens Input]]),"")</f>
        <v>857.1</v>
      </c>
      <c r="N959" s="2">
        <f ca="1">INDEX(INDIRECT(_xlfn.CONCAT("weather.tbl[",N$1,"]")),MATCH(vp.data[[#This Row],[SDate]],weather.tbl[Date],0))</f>
        <v>-21.283333333333335</v>
      </c>
      <c r="O959" s="2">
        <f ca="1">INDEX(INDIRECT(_xlfn.CONCAT("weather.tbl[",O$1,"]")),MATCH(vp.data[[#This Row],[SDate]],weather.tbl[Date],0))</f>
        <v>-10.678571428571429</v>
      </c>
      <c r="P959" s="2">
        <f ca="1">INDEX(INDIRECT(_xlfn.CONCAT("weather.tbl[",P$1,"]")),MATCH(vp.data[[#This Row],[SDate]],weather.tbl[Date],0))</f>
        <v>-20.8</v>
      </c>
      <c r="Q959" s="2">
        <f ca="1">INDEX(INDIRECT(_xlfn.CONCAT("weather.tbl[",Q$1,"]")),MATCH(vp.data[[#This Row],[SDate]],weather.tbl[Date],0))</f>
        <v>-20.5</v>
      </c>
      <c r="R959" s="2">
        <f ca="1">INDEX(INDIRECT(_xlfn.CONCAT("weather.tbl[",R$1,"]")),MATCH(vp.data[[#This Row],[SDate]],weather.tbl[Date],0))</f>
        <v>-22</v>
      </c>
      <c r="S959" s="2">
        <f ca="1">INDEX(INDIRECT(_xlfn.CONCAT("weather.tbl[",S$1,"]")),MATCH(vp.data[[#This Row],[SDate]],weather.tbl[Date],0))</f>
        <v>-19.600000000000001</v>
      </c>
      <c r="T959" s="2">
        <f ca="1">INDEX(INDIRECT(_xlfn.CONCAT("weather.tbl[",T$1,"]")),MATCH(vp.data[[#This Row],[SDate]],weather.tbl[Date],0))</f>
        <v>-23.3</v>
      </c>
      <c r="U959" s="2">
        <f ca="1">INDEX(INDIRECT(_xlfn.CONCAT("weather.tbl[",U$1,"]")),MATCH(vp.data[[#This Row],[SDate]],weather.tbl[Date],0))</f>
        <v>-21.5</v>
      </c>
      <c r="V959" s="2">
        <f t="array" ref="V9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69.569999999999993</v>
      </c>
      <c r="W959" t="s">
        <v>48</v>
      </c>
      <c r="X959">
        <f>IF(OR(vp.data[[#This Row],[Sulf]]="",vp.data[[#This Row],[Dens]]=""),1,0)</f>
        <v>0</v>
      </c>
      <c r="Y959">
        <f>IF(vp.data[[#This Row],[CrudeType]]="C5+",1,0)</f>
        <v>0</v>
      </c>
      <c r="Z959">
        <f>IF(AND(vp.data[[#This Row],[CrudeType]]="Crude",vp.data[[#This Row],[Dens]]&lt;=825,vp.data[[#This Row],[Sulf]]&gt;0.5,vp.data[[#This Row],[Unknown]]=0),1,0)</f>
        <v>0</v>
      </c>
      <c r="AA959">
        <f>IF(AND(vp.data[[#This Row],[CrudeType]]="Crude",vp.data[[#This Row],[Dens]]&lt;=825,vp.data[[#This Row],[Sulf]]&lt;=0.5,vp.data[[#This Row],[Unknown]]=0),1,0)</f>
        <v>0</v>
      </c>
      <c r="AB9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59">
        <f>IF(AND(vp.data[[#This Row],[CrudeType]]="Crude",vp.data[[#This Row],[Dens]]&gt;825,vp.data[[#This Row],[Dens]]&lt;=900,vp.data[[#This Row],[Sulf]]&lt;=0.5,vp.data[[#This Row],[Unknown]]=0),1,0)</f>
        <v>0</v>
      </c>
      <c r="AD959">
        <f>IF(AND(vp.data[[#This Row],[CrudeType]]="Crude",vp.data[[#This Row],[Dens]]&gt;865,vp.data[[#This Row],[Dens]]&lt;=900,vp.data[[#This Row],[Sulf]]&gt;2,vp.data[[#This Row],[Unknown]]=0),1,0)</f>
        <v>0</v>
      </c>
      <c r="AE959">
        <f>IF(AND(vp.data[[#This Row],[CrudeType]]="Crude",vp.data[[#This Row],[Dens]]&gt;900,vp.data[[#This Row],[Sulf]]&lt;=0.5,vp.data[[#This Row],[Unknown]]=0),1,0)</f>
        <v>0</v>
      </c>
      <c r="AF959">
        <f>IF(AND(vp.data[[#This Row],[CrudeType]]="Crude",vp.data[[#This Row],[Dens]]&gt;900,vp.data[[#This Row],[Sulf]]&lt;=0.5,vp.data[[#This Row],[Unknown]]=0),1,0)</f>
        <v>0</v>
      </c>
      <c r="AG959" t="str">
        <f>INDEX(vp.data[[#Headers],[Unknown]:[Heavy_SW]],MATCH(1,vp.data[[#This Row],[Unknown]:[Heavy_SW]],0))</f>
        <v>Medium_LSB</v>
      </c>
      <c r="AH959">
        <f>INDEX([3]!crudeBD.lkup[Number],MATCH(vp.data[[#This Row],[Crude_Breakdown]],crudeBD.lkup[Crude Breakdown],0))</f>
        <v>3</v>
      </c>
      <c r="AI959">
        <f>MONTH(vp.data[[#This Row],[SDate]])</f>
        <v>3</v>
      </c>
      <c r="AJ959" s="5">
        <f>(vp.data[[#This Row],[VP]]-INDEX(crudeBD.lkup[Mean_VP],MATCH(vp.data[[#This Row],[Crude_Breakdown]],crudeBD.lkup[Crude Breakdown],0)))^2</f>
        <v>152.26761735529215</v>
      </c>
      <c r="AK959" s="5">
        <f>(vp.data[[#This Row],[Dens]]-INDEX(crudeBD.lkup[Mean_Dens],MATCH(vp.data[[#This Row],[Crude_Breakdown]],crudeBD.lkup[Crude Breakdown],0)))^2</f>
        <v>173.71240000001367</v>
      </c>
      <c r="AL959" s="5">
        <f>(vp.data[[#This Row],[Sulf]]-INDEX(crudeBD.lkup[Mean_Sulf],MATCH(vp.data[[#This Row],[Crude_Breakdown]],crudeBD.lkup[Crude Breakdown],0)))^2</f>
        <v>0.15570274648652699</v>
      </c>
      <c r="AM959" s="4">
        <f>IF(AND(vp.data[[#This Row],[SDate]]&gt;=DATE(YEAR(vp.data[[#This Row],[SDate]]),5,1),vp.data[[#This Row],[SDate]]&lt;=DATE(YEAR(vp.data[[#This Row],[SDate]]),9,15)),1,0)</f>
        <v>0</v>
      </c>
      <c r="AN959" s="4">
        <f>IF(vp.data[[#This Row],[SDate]]&lt;DATE(2016,12,1),0,1)</f>
        <v>1</v>
      </c>
      <c r="AO959" s="4">
        <f>IFERROR(vp.data[[#This Row],[Sulf]]*vp.data[[#This Row],[Net Dens]],"")</f>
        <v>106138.63565999999</v>
      </c>
      <c r="AP959">
        <f>IFERROR(vp.data[[#This Row],[Dens]]*vp.data[[#This Row],[VolumeM3]],"")</f>
        <v>59628.446999999993</v>
      </c>
      <c r="AQ959" s="15">
        <f>IFERROR(vp.data[[#This Row],[VP]]*vp.data[[#This Row],[VolumeM3]],"")</f>
        <v>4751.6309999999994</v>
      </c>
    </row>
    <row r="960" spans="1:43" x14ac:dyDescent="0.25">
      <c r="A960">
        <v>959</v>
      </c>
      <c r="B960" t="s">
        <v>134</v>
      </c>
      <c r="C960" t="s">
        <v>134</v>
      </c>
      <c r="D960" t="s">
        <v>198</v>
      </c>
      <c r="F960" s="1">
        <v>42804</v>
      </c>
      <c r="G960" s="2">
        <v>81.599999999999994</v>
      </c>
      <c r="H960" s="2"/>
      <c r="I960" s="2">
        <f t="array" ref="I960">_xlfn.IFNA(IF(vp.data[[#This Row],[Sulf Input]]="",INDEX([1]DATA!$Q$3:$Q$9826,MATCH(1,(vp.data[[#This Row],[Battery]]=[1]DATA!$L$3:$L$9826)*(EOMONTH(vp.data[[#This Row],[SDate]],-1)+1=[1]DATA!$G$3:$G$9826),0)),vp.data[[#This Row],[Sulf Input]]),"")</f>
        <v>1.93</v>
      </c>
      <c r="J960" s="2">
        <v>-1.1000000000000001</v>
      </c>
      <c r="K960" s="2">
        <v>-25</v>
      </c>
      <c r="L960" s="2">
        <v>858</v>
      </c>
      <c r="M960" s="2">
        <f t="array" ref="M960">_xlfn.IFNA(IF(vp.data[[#This Row],[Dens Input]]="",INDEX([1]DATA!$O$3:$O$9826,MATCH(1,(vp.data[[#This Row],[Battery]]=[1]DATA!$L$3:$L$9826)*(EOMONTH(vp.data[[#This Row],[SDate]],-1)+1=[1]DATA!$G$3:$G$9826),0)),vp.data[[#This Row],[Dens Input]]),"")</f>
        <v>858</v>
      </c>
      <c r="N960" s="2">
        <f ca="1">INDEX(INDIRECT(_xlfn.CONCAT("weather.tbl[",N$1,"]")),MATCH(vp.data[[#This Row],[SDate]],weather.tbl[Date],0))</f>
        <v>-21.283333333333335</v>
      </c>
      <c r="O960" s="2">
        <f ca="1">INDEX(INDIRECT(_xlfn.CONCAT("weather.tbl[",O$1,"]")),MATCH(vp.data[[#This Row],[SDate]],weather.tbl[Date],0))</f>
        <v>-10.678571428571429</v>
      </c>
      <c r="P960" s="2">
        <f ca="1">INDEX(INDIRECT(_xlfn.CONCAT("weather.tbl[",P$1,"]")),MATCH(vp.data[[#This Row],[SDate]],weather.tbl[Date],0))</f>
        <v>-20.8</v>
      </c>
      <c r="Q960" s="2">
        <f ca="1">INDEX(INDIRECT(_xlfn.CONCAT("weather.tbl[",Q$1,"]")),MATCH(vp.data[[#This Row],[SDate]],weather.tbl[Date],0))</f>
        <v>-20.5</v>
      </c>
      <c r="R960" s="2">
        <f ca="1">INDEX(INDIRECT(_xlfn.CONCAT("weather.tbl[",R$1,"]")),MATCH(vp.data[[#This Row],[SDate]],weather.tbl[Date],0))</f>
        <v>-22</v>
      </c>
      <c r="S960" s="2">
        <f ca="1">INDEX(INDIRECT(_xlfn.CONCAT("weather.tbl[",S$1,"]")),MATCH(vp.data[[#This Row],[SDate]],weather.tbl[Date],0))</f>
        <v>-19.600000000000001</v>
      </c>
      <c r="T960" s="2">
        <f ca="1">INDEX(INDIRECT(_xlfn.CONCAT("weather.tbl[",T$1,"]")),MATCH(vp.data[[#This Row],[SDate]],weather.tbl[Date],0))</f>
        <v>-23.3</v>
      </c>
      <c r="U960" s="2">
        <f ca="1">INDEX(INDIRECT(_xlfn.CONCAT("weather.tbl[",U$1,"]")),MATCH(vp.data[[#This Row],[SDate]],weather.tbl[Date],0))</f>
        <v>-21.5</v>
      </c>
      <c r="V960" s="2">
        <f t="array" ref="V9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425.87700000000001</v>
      </c>
      <c r="W960" t="s">
        <v>48</v>
      </c>
      <c r="X960">
        <f>IF(OR(vp.data[[#This Row],[Sulf]]="",vp.data[[#This Row],[Dens]]=""),1,0)</f>
        <v>0</v>
      </c>
      <c r="Y960">
        <f>IF(vp.data[[#This Row],[CrudeType]]="C5+",1,0)</f>
        <v>0</v>
      </c>
      <c r="Z960">
        <f>IF(AND(vp.data[[#This Row],[CrudeType]]="Crude",vp.data[[#This Row],[Dens]]&lt;=825,vp.data[[#This Row],[Sulf]]&gt;0.5,vp.data[[#This Row],[Unknown]]=0),1,0)</f>
        <v>0</v>
      </c>
      <c r="AA960">
        <f>IF(AND(vp.data[[#This Row],[CrudeType]]="Crude",vp.data[[#This Row],[Dens]]&lt;=825,vp.data[[#This Row],[Sulf]]&lt;=0.5,vp.data[[#This Row],[Unknown]]=0),1,0)</f>
        <v>0</v>
      </c>
      <c r="AB9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0">
        <f>IF(AND(vp.data[[#This Row],[CrudeType]]="Crude",vp.data[[#This Row],[Dens]]&gt;825,vp.data[[#This Row],[Dens]]&lt;=900,vp.data[[#This Row],[Sulf]]&lt;=0.5,vp.data[[#This Row],[Unknown]]=0),1,0)</f>
        <v>0</v>
      </c>
      <c r="AD960">
        <f>IF(AND(vp.data[[#This Row],[CrudeType]]="Crude",vp.data[[#This Row],[Dens]]&gt;865,vp.data[[#This Row],[Dens]]&lt;=900,vp.data[[#This Row],[Sulf]]&gt;2,vp.data[[#This Row],[Unknown]]=0),1,0)</f>
        <v>0</v>
      </c>
      <c r="AE960">
        <f>IF(AND(vp.data[[#This Row],[CrudeType]]="Crude",vp.data[[#This Row],[Dens]]&gt;900,vp.data[[#This Row],[Sulf]]&lt;=0.5,vp.data[[#This Row],[Unknown]]=0),1,0)</f>
        <v>0</v>
      </c>
      <c r="AF960">
        <f>IF(AND(vp.data[[#This Row],[CrudeType]]="Crude",vp.data[[#This Row],[Dens]]&gt;900,vp.data[[#This Row],[Sulf]]&lt;=0.5,vp.data[[#This Row],[Unknown]]=0),1,0)</f>
        <v>0</v>
      </c>
      <c r="AG960" t="str">
        <f>INDEX(vp.data[[#Headers],[Unknown]:[Heavy_SW]],MATCH(1,vp.data[[#This Row],[Unknown]:[Heavy_SW]],0))</f>
        <v>Medium_LSB</v>
      </c>
      <c r="AH960">
        <f>INDEX([3]!crudeBD.lkup[Number],MATCH(vp.data[[#This Row],[Crude_Breakdown]],crudeBD.lkup[Crude Breakdown],0))</f>
        <v>3</v>
      </c>
      <c r="AI960">
        <f>MONTH(vp.data[[#This Row],[SDate]])</f>
        <v>3</v>
      </c>
      <c r="AJ960" s="5">
        <f>(vp.data[[#This Row],[VP]]-INDEX(crudeBD.lkup[Mean_VP],MATCH(vp.data[[#This Row],[Crude_Breakdown]],crudeBD.lkup[Crude Breakdown],0)))^2</f>
        <v>0.92222112887887631</v>
      </c>
      <c r="AK960" s="5">
        <f>(vp.data[[#This Row],[Dens]]-INDEX(crudeBD.lkup[Mean_Dens],MATCH(vp.data[[#This Row],[Crude_Breakdown]],crudeBD.lkup[Crude Breakdown],0)))^2</f>
        <v>198.24640000001395</v>
      </c>
      <c r="AL960" s="5">
        <f>(vp.data[[#This Row],[Sulf]]-INDEX(crudeBD.lkup[Mean_Sulf],MATCH(vp.data[[#This Row],[Crude_Breakdown]],crudeBD.lkup[Crude Breakdown],0)))^2</f>
        <v>0.29658030848113559</v>
      </c>
      <c r="AM960" s="4">
        <f>IF(AND(vp.data[[#This Row],[SDate]]&gt;=DATE(YEAR(vp.data[[#This Row],[SDate]]),5,1),vp.data[[#This Row],[SDate]]&lt;=DATE(YEAR(vp.data[[#This Row],[SDate]]),9,15)),1,0)</f>
        <v>0</v>
      </c>
      <c r="AN960" s="4">
        <f>IF(vp.data[[#This Row],[SDate]]&lt;DATE(2016,12,1),0,1)</f>
        <v>1</v>
      </c>
      <c r="AO960" s="4">
        <f>IFERROR(vp.data[[#This Row],[Sulf]]*vp.data[[#This Row],[Net Dens]],"")</f>
        <v>705226.75938000006</v>
      </c>
      <c r="AP960">
        <f>IFERROR(vp.data[[#This Row],[Dens]]*vp.data[[#This Row],[VolumeM3]],"")</f>
        <v>365402.46600000001</v>
      </c>
      <c r="AQ960" s="15">
        <f>IFERROR(vp.data[[#This Row],[VP]]*vp.data[[#This Row],[VolumeM3]],"")</f>
        <v>34751.563199999997</v>
      </c>
    </row>
    <row r="961" spans="1:43" x14ac:dyDescent="0.25">
      <c r="A961">
        <v>960</v>
      </c>
      <c r="B961" t="s">
        <v>56</v>
      </c>
      <c r="C961" t="s">
        <v>56</v>
      </c>
      <c r="D961" t="s">
        <v>94</v>
      </c>
      <c r="F961" s="1">
        <v>42804</v>
      </c>
      <c r="G961" s="2">
        <v>81.400000000000006</v>
      </c>
      <c r="H961" s="2"/>
      <c r="I961" s="2">
        <f t="array" ref="I961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961" s="2">
        <v>15.9</v>
      </c>
      <c r="K961" s="2">
        <v>-25</v>
      </c>
      <c r="L961" s="2">
        <v>860.6</v>
      </c>
      <c r="M961" s="2">
        <f t="array" ref="M961">_xlfn.IFNA(IF(vp.data[[#This Row],[Dens Input]]="",INDEX([1]DATA!$O$3:$O$9826,MATCH(1,(vp.data[[#This Row],[Battery]]=[1]DATA!$L$3:$L$9826)*(EOMONTH(vp.data[[#This Row],[SDate]],-1)+1=[1]DATA!$G$3:$G$9826),0)),vp.data[[#This Row],[Dens Input]]),"")</f>
        <v>860.6</v>
      </c>
      <c r="N961" s="2">
        <f ca="1">INDEX(INDIRECT(_xlfn.CONCAT("weather.tbl[",N$1,"]")),MATCH(vp.data[[#This Row],[SDate]],weather.tbl[Date],0))</f>
        <v>-21.283333333333335</v>
      </c>
      <c r="O961" s="2">
        <f ca="1">INDEX(INDIRECT(_xlfn.CONCAT("weather.tbl[",O$1,"]")),MATCH(vp.data[[#This Row],[SDate]],weather.tbl[Date],0))</f>
        <v>-10.678571428571429</v>
      </c>
      <c r="P961" s="2">
        <f ca="1">INDEX(INDIRECT(_xlfn.CONCAT("weather.tbl[",P$1,"]")),MATCH(vp.data[[#This Row],[SDate]],weather.tbl[Date],0))</f>
        <v>-20.8</v>
      </c>
      <c r="Q961" s="2">
        <f ca="1">INDEX(INDIRECT(_xlfn.CONCAT("weather.tbl[",Q$1,"]")),MATCH(vp.data[[#This Row],[SDate]],weather.tbl[Date],0))</f>
        <v>-20.5</v>
      </c>
      <c r="R961" s="2">
        <f ca="1">INDEX(INDIRECT(_xlfn.CONCAT("weather.tbl[",R$1,"]")),MATCH(vp.data[[#This Row],[SDate]],weather.tbl[Date],0))</f>
        <v>-22</v>
      </c>
      <c r="S961" s="2">
        <f ca="1">INDEX(INDIRECT(_xlfn.CONCAT("weather.tbl[",S$1,"]")),MATCH(vp.data[[#This Row],[SDate]],weather.tbl[Date],0))</f>
        <v>-19.600000000000001</v>
      </c>
      <c r="T961" s="2">
        <f ca="1">INDEX(INDIRECT(_xlfn.CONCAT("weather.tbl[",T$1,"]")),MATCH(vp.data[[#This Row],[SDate]],weather.tbl[Date],0))</f>
        <v>-23.3</v>
      </c>
      <c r="U961" s="2">
        <f ca="1">INDEX(INDIRECT(_xlfn.CONCAT("weather.tbl[",U$1,"]")),MATCH(vp.data[[#This Row],[SDate]],weather.tbl[Date],0))</f>
        <v>-21.5</v>
      </c>
      <c r="V961" s="2">
        <f t="array" ref="V9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4141.4380000000001</v>
      </c>
      <c r="W961" t="s">
        <v>48</v>
      </c>
      <c r="X961">
        <f>IF(OR(vp.data[[#This Row],[Sulf]]="",vp.data[[#This Row],[Dens]]=""),1,0)</f>
        <v>0</v>
      </c>
      <c r="Y961">
        <f>IF(vp.data[[#This Row],[CrudeType]]="C5+",1,0)</f>
        <v>0</v>
      </c>
      <c r="Z961">
        <f>IF(AND(vp.data[[#This Row],[CrudeType]]="Crude",vp.data[[#This Row],[Dens]]&lt;=825,vp.data[[#This Row],[Sulf]]&gt;0.5,vp.data[[#This Row],[Unknown]]=0),1,0)</f>
        <v>0</v>
      </c>
      <c r="AA961">
        <f>IF(AND(vp.data[[#This Row],[CrudeType]]="Crude",vp.data[[#This Row],[Dens]]&lt;=825,vp.data[[#This Row],[Sulf]]&lt;=0.5,vp.data[[#This Row],[Unknown]]=0),1,0)</f>
        <v>0</v>
      </c>
      <c r="AB9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1">
        <f>IF(AND(vp.data[[#This Row],[CrudeType]]="Crude",vp.data[[#This Row],[Dens]]&gt;825,vp.data[[#This Row],[Dens]]&lt;=900,vp.data[[#This Row],[Sulf]]&lt;=0.5,vp.data[[#This Row],[Unknown]]=0),1,0)</f>
        <v>0</v>
      </c>
      <c r="AD961">
        <f>IF(AND(vp.data[[#This Row],[CrudeType]]="Crude",vp.data[[#This Row],[Dens]]&gt;865,vp.data[[#This Row],[Dens]]&lt;=900,vp.data[[#This Row],[Sulf]]&gt;2,vp.data[[#This Row],[Unknown]]=0),1,0)</f>
        <v>0</v>
      </c>
      <c r="AE961">
        <f>IF(AND(vp.data[[#This Row],[CrudeType]]="Crude",vp.data[[#This Row],[Dens]]&gt;900,vp.data[[#This Row],[Sulf]]&lt;=0.5,vp.data[[#This Row],[Unknown]]=0),1,0)</f>
        <v>0</v>
      </c>
      <c r="AF961">
        <f>IF(AND(vp.data[[#This Row],[CrudeType]]="Crude",vp.data[[#This Row],[Dens]]&gt;900,vp.data[[#This Row],[Sulf]]&lt;=0.5,vp.data[[#This Row],[Unknown]]=0),1,0)</f>
        <v>0</v>
      </c>
      <c r="AG961" t="str">
        <f>INDEX(vp.data[[#Headers],[Unknown]:[Heavy_SW]],MATCH(1,vp.data[[#This Row],[Unknown]:[Heavy_SW]],0))</f>
        <v>Medium_LSB</v>
      </c>
      <c r="AH961">
        <f>INDEX([3]!crudeBD.lkup[Number],MATCH(vp.data[[#This Row],[Crude_Breakdown]],crudeBD.lkup[Crude Breakdown],0))</f>
        <v>3</v>
      </c>
      <c r="AI961">
        <f>MONTH(vp.data[[#This Row],[SDate]])</f>
        <v>3</v>
      </c>
      <c r="AJ961" s="5">
        <f>(vp.data[[#This Row],[VP]]-INDEX(crudeBD.lkup[Mean_VP],MATCH(vp.data[[#This Row],[Crude_Breakdown]],crudeBD.lkup[Crude Breakdown],0)))^2</f>
        <v>0.57809174882495895</v>
      </c>
      <c r="AK961" s="5">
        <f>(vp.data[[#This Row],[Dens]]-INDEX(crudeBD.lkup[Mean_Dens],MATCH(vp.data[[#This Row],[Crude_Breakdown]],crudeBD.lkup[Crude Breakdown],0)))^2</f>
        <v>278.22240000001727</v>
      </c>
      <c r="AL961" s="5">
        <f>(vp.data[[#This Row],[Sulf]]-INDEX(crudeBD.lkup[Mean_Sulf],MATCH(vp.data[[#This Row],[Crude_Breakdown]],crudeBD.lkup[Crude Breakdown],0)))^2</f>
        <v>0.26480479608221386</v>
      </c>
      <c r="AM961" s="4">
        <f>IF(AND(vp.data[[#This Row],[SDate]]&gt;=DATE(YEAR(vp.data[[#This Row],[SDate]]),5,1),vp.data[[#This Row],[SDate]]&lt;=DATE(YEAR(vp.data[[#This Row],[SDate]]),9,15)),1,0)</f>
        <v>0</v>
      </c>
      <c r="AN961" s="4">
        <f>IF(vp.data[[#This Row],[SDate]]&lt;DATE(2016,12,1),0,1)</f>
        <v>1</v>
      </c>
      <c r="AO961" s="4">
        <f>IFERROR(vp.data[[#This Row],[Sulf]]*vp.data[[#This Row],[Net Dens]],"")</f>
        <v>6771830.9313200004</v>
      </c>
      <c r="AP961">
        <f>IFERROR(vp.data[[#This Row],[Dens]]*vp.data[[#This Row],[VolumeM3]],"")</f>
        <v>3564121.5428000004</v>
      </c>
      <c r="AQ961" s="15">
        <f>IFERROR(vp.data[[#This Row],[VP]]*vp.data[[#This Row],[VolumeM3]],"")</f>
        <v>337113.05320000002</v>
      </c>
    </row>
    <row r="962" spans="1:43" x14ac:dyDescent="0.25">
      <c r="A962">
        <v>961</v>
      </c>
      <c r="B962" t="s">
        <v>51</v>
      </c>
      <c r="C962" t="s">
        <v>51</v>
      </c>
      <c r="D962" t="s">
        <v>199</v>
      </c>
      <c r="F962" s="1">
        <v>42804</v>
      </c>
      <c r="G962" s="2">
        <v>79.900000000000006</v>
      </c>
      <c r="H962" s="2"/>
      <c r="I962" s="2">
        <f t="array" ref="I962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962" s="2">
        <v>8.6</v>
      </c>
      <c r="K962" s="2">
        <v>-25</v>
      </c>
      <c r="L962" s="2">
        <v>862.2</v>
      </c>
      <c r="M962" s="2">
        <f t="array" ref="M962">_xlfn.IFNA(IF(vp.data[[#This Row],[Dens Input]]="",INDEX([1]DATA!$O$3:$O$9826,MATCH(1,(vp.data[[#This Row],[Battery]]=[1]DATA!$L$3:$L$9826)*(EOMONTH(vp.data[[#This Row],[SDate]],-1)+1=[1]DATA!$G$3:$G$9826),0)),vp.data[[#This Row],[Dens Input]]),"")</f>
        <v>862.2</v>
      </c>
      <c r="N962" s="2">
        <f ca="1">INDEX(INDIRECT(_xlfn.CONCAT("weather.tbl[",N$1,"]")),MATCH(vp.data[[#This Row],[SDate]],weather.tbl[Date],0))</f>
        <v>-21.283333333333335</v>
      </c>
      <c r="O962" s="2">
        <f ca="1">INDEX(INDIRECT(_xlfn.CONCAT("weather.tbl[",O$1,"]")),MATCH(vp.data[[#This Row],[SDate]],weather.tbl[Date],0))</f>
        <v>-10.678571428571429</v>
      </c>
      <c r="P962" s="2">
        <f ca="1">INDEX(INDIRECT(_xlfn.CONCAT("weather.tbl[",P$1,"]")),MATCH(vp.data[[#This Row],[SDate]],weather.tbl[Date],0))</f>
        <v>-20.8</v>
      </c>
      <c r="Q962" s="2">
        <f ca="1">INDEX(INDIRECT(_xlfn.CONCAT("weather.tbl[",Q$1,"]")),MATCH(vp.data[[#This Row],[SDate]],weather.tbl[Date],0))</f>
        <v>-20.5</v>
      </c>
      <c r="R962" s="2">
        <f ca="1">INDEX(INDIRECT(_xlfn.CONCAT("weather.tbl[",R$1,"]")),MATCH(vp.data[[#This Row],[SDate]],weather.tbl[Date],0))</f>
        <v>-22</v>
      </c>
      <c r="S962" s="2">
        <f ca="1">INDEX(INDIRECT(_xlfn.CONCAT("weather.tbl[",S$1,"]")),MATCH(vp.data[[#This Row],[SDate]],weather.tbl[Date],0))</f>
        <v>-19.600000000000001</v>
      </c>
      <c r="T962" s="2">
        <f ca="1">INDEX(INDIRECT(_xlfn.CONCAT("weather.tbl[",T$1,"]")),MATCH(vp.data[[#This Row],[SDate]],weather.tbl[Date],0))</f>
        <v>-23.3</v>
      </c>
      <c r="U962" s="2">
        <f ca="1">INDEX(INDIRECT(_xlfn.CONCAT("weather.tbl[",U$1,"]")),MATCH(vp.data[[#This Row],[SDate]],weather.tbl[Date],0))</f>
        <v>-21.5</v>
      </c>
      <c r="V962" s="2">
        <f t="array" ref="V9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658.12599999999998</v>
      </c>
      <c r="W962" t="s">
        <v>48</v>
      </c>
      <c r="X962">
        <f>IF(OR(vp.data[[#This Row],[Sulf]]="",vp.data[[#This Row],[Dens]]=""),1,0)</f>
        <v>0</v>
      </c>
      <c r="Y962">
        <f>IF(vp.data[[#This Row],[CrudeType]]="C5+",1,0)</f>
        <v>0</v>
      </c>
      <c r="Z962">
        <f>IF(AND(vp.data[[#This Row],[CrudeType]]="Crude",vp.data[[#This Row],[Dens]]&lt;=825,vp.data[[#This Row],[Sulf]]&gt;0.5,vp.data[[#This Row],[Unknown]]=0),1,0)</f>
        <v>0</v>
      </c>
      <c r="AA962">
        <f>IF(AND(vp.data[[#This Row],[CrudeType]]="Crude",vp.data[[#This Row],[Dens]]&lt;=825,vp.data[[#This Row],[Sulf]]&lt;=0.5,vp.data[[#This Row],[Unknown]]=0),1,0)</f>
        <v>0</v>
      </c>
      <c r="AB9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2">
        <f>IF(AND(vp.data[[#This Row],[CrudeType]]="Crude",vp.data[[#This Row],[Dens]]&gt;825,vp.data[[#This Row],[Dens]]&lt;=900,vp.data[[#This Row],[Sulf]]&lt;=0.5,vp.data[[#This Row],[Unknown]]=0),1,0)</f>
        <v>0</v>
      </c>
      <c r="AD962">
        <f>IF(AND(vp.data[[#This Row],[CrudeType]]="Crude",vp.data[[#This Row],[Dens]]&gt;865,vp.data[[#This Row],[Dens]]&lt;=900,vp.data[[#This Row],[Sulf]]&gt;2,vp.data[[#This Row],[Unknown]]=0),1,0)</f>
        <v>0</v>
      </c>
      <c r="AE962">
        <f>IF(AND(vp.data[[#This Row],[CrudeType]]="Crude",vp.data[[#This Row],[Dens]]&gt;900,vp.data[[#This Row],[Sulf]]&lt;=0.5,vp.data[[#This Row],[Unknown]]=0),1,0)</f>
        <v>0</v>
      </c>
      <c r="AF962">
        <f>IF(AND(vp.data[[#This Row],[CrudeType]]="Crude",vp.data[[#This Row],[Dens]]&gt;900,vp.data[[#This Row],[Sulf]]&lt;=0.5,vp.data[[#This Row],[Unknown]]=0),1,0)</f>
        <v>0</v>
      </c>
      <c r="AG962" t="str">
        <f>INDEX(vp.data[[#Headers],[Unknown]:[Heavy_SW]],MATCH(1,vp.data[[#This Row],[Unknown]:[Heavy_SW]],0))</f>
        <v>Medium_LSB</v>
      </c>
      <c r="AH962">
        <f>INDEX([3]!crudeBD.lkup[Number],MATCH(vp.data[[#This Row],[Crude_Breakdown]],crudeBD.lkup[Crude Breakdown],0))</f>
        <v>3</v>
      </c>
      <c r="AI962">
        <f>MONTH(vp.data[[#This Row],[SDate]])</f>
        <v>3</v>
      </c>
      <c r="AJ962" s="5">
        <f>(vp.data[[#This Row],[VP]]-INDEX(crudeBD.lkup[Mean_VP],MATCH(vp.data[[#This Row],[Crude_Breakdown]],crudeBD.lkup[Crude Breakdown],0)))^2</f>
        <v>0.54712139842041452</v>
      </c>
      <c r="AK962" s="5">
        <f>(vp.data[[#This Row],[Dens]]-INDEX(crudeBD.lkup[Mean_Dens],MATCH(vp.data[[#This Row],[Crude_Breakdown]],crudeBD.lkup[Crude Breakdown],0)))^2</f>
        <v>334.15840000001981</v>
      </c>
      <c r="AL962" s="5">
        <f>(vp.data[[#This Row],[Sulf]]-INDEX(crudeBD.lkup[Mean_Sulf],MATCH(vp.data[[#This Row],[Crude_Breakdown]],crudeBD.lkup[Crude Breakdown],0)))^2</f>
        <v>0.26480479608221386</v>
      </c>
      <c r="AM962" s="4">
        <f>IF(AND(vp.data[[#This Row],[SDate]]&gt;=DATE(YEAR(vp.data[[#This Row],[SDate]]),5,1),vp.data[[#This Row],[SDate]]&lt;=DATE(YEAR(vp.data[[#This Row],[SDate]]),9,15)),1,0)</f>
        <v>0</v>
      </c>
      <c r="AN962" s="4">
        <f>IF(vp.data[[#This Row],[SDate]]&lt;DATE(2016,12,1),0,1)</f>
        <v>1</v>
      </c>
      <c r="AO962" s="4">
        <f>IFERROR(vp.data[[#This Row],[Sulf]]*vp.data[[#This Row],[Net Dens]],"")</f>
        <v>1078128.8506799999</v>
      </c>
      <c r="AP962">
        <f>IFERROR(vp.data[[#This Row],[Dens]]*vp.data[[#This Row],[VolumeM3]],"")</f>
        <v>567436.23719999997</v>
      </c>
      <c r="AQ962" s="15">
        <f>IFERROR(vp.data[[#This Row],[VP]]*vp.data[[#This Row],[VolumeM3]],"")</f>
        <v>52584.267400000004</v>
      </c>
    </row>
    <row r="963" spans="1:43" x14ac:dyDescent="0.25">
      <c r="A963">
        <v>962</v>
      </c>
      <c r="B963" t="s">
        <v>64</v>
      </c>
      <c r="C963" t="s">
        <v>64</v>
      </c>
      <c r="D963" t="s">
        <v>65</v>
      </c>
      <c r="F963" s="1">
        <v>42804</v>
      </c>
      <c r="G963" s="2">
        <v>48.6</v>
      </c>
      <c r="H963" s="2"/>
      <c r="I963" s="2">
        <f t="array" ref="I963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963" s="2">
        <v>30.4</v>
      </c>
      <c r="K963" s="2">
        <v>-25</v>
      </c>
      <c r="L963" s="2">
        <v>877.6</v>
      </c>
      <c r="M963" s="2">
        <f t="array" ref="M963">_xlfn.IFNA(IF(vp.data[[#This Row],[Dens Input]]="",INDEX([1]DATA!$O$3:$O$9826,MATCH(1,(vp.data[[#This Row],[Battery]]=[1]DATA!$L$3:$L$9826)*(EOMONTH(vp.data[[#This Row],[SDate]],-1)+1=[1]DATA!$G$3:$G$9826),0)),vp.data[[#This Row],[Dens Input]]),"")</f>
        <v>877.6</v>
      </c>
      <c r="N963" s="2">
        <f ca="1">INDEX(INDIRECT(_xlfn.CONCAT("weather.tbl[",N$1,"]")),MATCH(vp.data[[#This Row],[SDate]],weather.tbl[Date],0))</f>
        <v>-21.283333333333335</v>
      </c>
      <c r="O963" s="2">
        <f ca="1">INDEX(INDIRECT(_xlfn.CONCAT("weather.tbl[",O$1,"]")),MATCH(vp.data[[#This Row],[SDate]],weather.tbl[Date],0))</f>
        <v>-10.678571428571429</v>
      </c>
      <c r="P963" s="2">
        <f ca="1">INDEX(INDIRECT(_xlfn.CONCAT("weather.tbl[",P$1,"]")),MATCH(vp.data[[#This Row],[SDate]],weather.tbl[Date],0))</f>
        <v>-20.8</v>
      </c>
      <c r="Q963" s="2">
        <f ca="1">INDEX(INDIRECT(_xlfn.CONCAT("weather.tbl[",Q$1,"]")),MATCH(vp.data[[#This Row],[SDate]],weather.tbl[Date],0))</f>
        <v>-20.5</v>
      </c>
      <c r="R963" s="2">
        <f ca="1">INDEX(INDIRECT(_xlfn.CONCAT("weather.tbl[",R$1,"]")),MATCH(vp.data[[#This Row],[SDate]],weather.tbl[Date],0))</f>
        <v>-22</v>
      </c>
      <c r="S963" s="2">
        <f ca="1">INDEX(INDIRECT(_xlfn.CONCAT("weather.tbl[",S$1,"]")),MATCH(vp.data[[#This Row],[SDate]],weather.tbl[Date],0))</f>
        <v>-19.600000000000001</v>
      </c>
      <c r="T963" s="2">
        <f ca="1">INDEX(INDIRECT(_xlfn.CONCAT("weather.tbl[",T$1,"]")),MATCH(vp.data[[#This Row],[SDate]],weather.tbl[Date],0))</f>
        <v>-23.3</v>
      </c>
      <c r="U963" s="2">
        <f ca="1">INDEX(INDIRECT(_xlfn.CONCAT("weather.tbl[",U$1,"]")),MATCH(vp.data[[#This Row],[SDate]],weather.tbl[Date],0))</f>
        <v>-21.5</v>
      </c>
      <c r="V963" s="2">
        <f t="array" ref="V9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22323.207999999999</v>
      </c>
      <c r="W963" t="s">
        <v>48</v>
      </c>
      <c r="X963">
        <f>IF(OR(vp.data[[#This Row],[Sulf]]="",vp.data[[#This Row],[Dens]]=""),1,0)</f>
        <v>0</v>
      </c>
      <c r="Y963">
        <f>IF(vp.data[[#This Row],[CrudeType]]="C5+",1,0)</f>
        <v>0</v>
      </c>
      <c r="Z963">
        <f>IF(AND(vp.data[[#This Row],[CrudeType]]="Crude",vp.data[[#This Row],[Dens]]&lt;=825,vp.data[[#This Row],[Sulf]]&gt;0.5,vp.data[[#This Row],[Unknown]]=0),1,0)</f>
        <v>0</v>
      </c>
      <c r="AA963">
        <f>IF(AND(vp.data[[#This Row],[CrudeType]]="Crude",vp.data[[#This Row],[Dens]]&lt;=825,vp.data[[#This Row],[Sulf]]&lt;=0.5,vp.data[[#This Row],[Unknown]]=0),1,0)</f>
        <v>0</v>
      </c>
      <c r="AB9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63">
        <f>IF(AND(vp.data[[#This Row],[CrudeType]]="Crude",vp.data[[#This Row],[Dens]]&gt;825,vp.data[[#This Row],[Dens]]&lt;=900,vp.data[[#This Row],[Sulf]]&lt;=0.5,vp.data[[#This Row],[Unknown]]=0),1,0)</f>
        <v>0</v>
      </c>
      <c r="AD963">
        <f>IF(AND(vp.data[[#This Row],[CrudeType]]="Crude",vp.data[[#This Row],[Dens]]&gt;865,vp.data[[#This Row],[Dens]]&lt;=900,vp.data[[#This Row],[Sulf]]&gt;2,vp.data[[#This Row],[Unknown]]=0),1,0)</f>
        <v>1</v>
      </c>
      <c r="AE963">
        <f>IF(AND(vp.data[[#This Row],[CrudeType]]="Crude",vp.data[[#This Row],[Dens]]&gt;900,vp.data[[#This Row],[Sulf]]&lt;=0.5,vp.data[[#This Row],[Unknown]]=0),1,0)</f>
        <v>0</v>
      </c>
      <c r="AF963">
        <f>IF(AND(vp.data[[#This Row],[CrudeType]]="Crude",vp.data[[#This Row],[Dens]]&gt;900,vp.data[[#This Row],[Sulf]]&lt;=0.5,vp.data[[#This Row],[Unknown]]=0),1,0)</f>
        <v>0</v>
      </c>
      <c r="AG963" t="str">
        <f>INDEX(vp.data[[#Headers],[Unknown]:[Heavy_SW]],MATCH(1,vp.data[[#This Row],[Unknown]:[Heavy_SW]],0))</f>
        <v>Midale</v>
      </c>
      <c r="AH963">
        <f>INDEX([3]!crudeBD.lkup[Number],MATCH(vp.data[[#This Row],[Crude_Breakdown]],crudeBD.lkup[Crude Breakdown],0))</f>
        <v>5</v>
      </c>
      <c r="AI963">
        <f>MONTH(vp.data[[#This Row],[SDate]])</f>
        <v>3</v>
      </c>
      <c r="AJ963" s="5">
        <f>(vp.data[[#This Row],[VP]]-INDEX(crudeBD.lkup[Mean_VP],MATCH(vp.data[[#This Row],[Crude_Breakdown]],crudeBD.lkup[Crude Breakdown],0)))^2</f>
        <v>433.00461287065701</v>
      </c>
      <c r="AK963" s="5">
        <f>(vp.data[[#This Row],[Dens]]-INDEX(crudeBD.lkup[Mean_Dens],MATCH(vp.data[[#This Row],[Crude_Breakdown]],crudeBD.lkup[Crude Breakdown],0)))^2</f>
        <v>7.7450316186613994</v>
      </c>
      <c r="AL963" s="5">
        <f>(vp.data[[#This Row],[Sulf]]-INDEX(crudeBD.lkup[Mean_Sulf],MATCH(vp.data[[#This Row],[Crude_Breakdown]],crudeBD.lkup[Crude Breakdown],0)))^2</f>
        <v>0.12504396923202166</v>
      </c>
      <c r="AM963" s="4">
        <f>IF(AND(vp.data[[#This Row],[SDate]]&gt;=DATE(YEAR(vp.data[[#This Row],[SDate]]),5,1),vp.data[[#This Row],[SDate]]&lt;=DATE(YEAR(vp.data[[#This Row],[SDate]]),9,15)),1,0)</f>
        <v>0</v>
      </c>
      <c r="AN963" s="4">
        <f>IF(vp.data[[#This Row],[SDate]]&lt;DATE(2016,12,1),0,1)</f>
        <v>1</v>
      </c>
      <c r="AO963" s="4">
        <f>IFERROR(vp.data[[#This Row],[Sulf]]*vp.data[[#This Row],[Net Dens]],"")</f>
        <v>40944870.942271993</v>
      </c>
      <c r="AP963">
        <f>IFERROR(vp.data[[#This Row],[Dens]]*vp.data[[#This Row],[VolumeM3]],"")</f>
        <v>19590847.340799998</v>
      </c>
      <c r="AQ963" s="15">
        <f>IFERROR(vp.data[[#This Row],[VP]]*vp.data[[#This Row],[VolumeM3]],"")</f>
        <v>1084907.9087999999</v>
      </c>
    </row>
    <row r="964" spans="1:43" x14ac:dyDescent="0.25">
      <c r="A964">
        <v>963</v>
      </c>
      <c r="B964" t="s">
        <v>60</v>
      </c>
      <c r="C964" t="s">
        <v>60</v>
      </c>
      <c r="D964" t="s">
        <v>61</v>
      </c>
      <c r="E964" t="s">
        <v>73</v>
      </c>
      <c r="F964" s="1">
        <v>42804</v>
      </c>
      <c r="G964" s="2">
        <v>79</v>
      </c>
      <c r="H964" s="2"/>
      <c r="I964" s="2">
        <f t="array" ref="I964">_xlfn.IFNA(IF(vp.data[[#This Row],[Sulf Input]]="",INDEX([1]DATA!$Q$3:$Q$9826,MATCH(1,(vp.data[[#This Row],[Battery]]=[1]DATA!$L$3:$L$9826)*(EOMONTH(vp.data[[#This Row],[SDate]],-1)+1=[1]DATA!$G$3:$G$9826),0)),vp.data[[#This Row],[Sulf Input]]),"")</f>
        <v>1.1399999999999999</v>
      </c>
      <c r="J964" s="2">
        <v>4.3</v>
      </c>
      <c r="K964" s="2">
        <v>-25</v>
      </c>
      <c r="L964" s="2">
        <v>845.1</v>
      </c>
      <c r="M964" s="2">
        <f t="array" ref="M964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964" s="2">
        <f ca="1">INDEX(INDIRECT(_xlfn.CONCAT("weather.tbl[",N$1,"]")),MATCH(vp.data[[#This Row],[SDate]],weather.tbl[Date],0))</f>
        <v>-21.283333333333335</v>
      </c>
      <c r="O964" s="2">
        <f ca="1">INDEX(INDIRECT(_xlfn.CONCAT("weather.tbl[",O$1,"]")),MATCH(vp.data[[#This Row],[SDate]],weather.tbl[Date],0))</f>
        <v>-10.678571428571429</v>
      </c>
      <c r="P964" s="2">
        <f ca="1">INDEX(INDIRECT(_xlfn.CONCAT("weather.tbl[",P$1,"]")),MATCH(vp.data[[#This Row],[SDate]],weather.tbl[Date],0))</f>
        <v>-20.8</v>
      </c>
      <c r="Q964" s="2">
        <f ca="1">INDEX(INDIRECT(_xlfn.CONCAT("weather.tbl[",Q$1,"]")),MATCH(vp.data[[#This Row],[SDate]],weather.tbl[Date],0))</f>
        <v>-20.5</v>
      </c>
      <c r="R964" s="2">
        <f ca="1">INDEX(INDIRECT(_xlfn.CONCAT("weather.tbl[",R$1,"]")),MATCH(vp.data[[#This Row],[SDate]],weather.tbl[Date],0))</f>
        <v>-22</v>
      </c>
      <c r="S964" s="2">
        <f ca="1">INDEX(INDIRECT(_xlfn.CONCAT("weather.tbl[",S$1,"]")),MATCH(vp.data[[#This Row],[SDate]],weather.tbl[Date],0))</f>
        <v>-19.600000000000001</v>
      </c>
      <c r="T964" s="2">
        <f ca="1">INDEX(INDIRECT(_xlfn.CONCAT("weather.tbl[",T$1,"]")),MATCH(vp.data[[#This Row],[SDate]],weather.tbl[Date],0))</f>
        <v>-23.3</v>
      </c>
      <c r="U964" s="2">
        <f ca="1">INDEX(INDIRECT(_xlfn.CONCAT("weather.tbl[",U$1,"]")),MATCH(vp.data[[#This Row],[SDate]],weather.tbl[Date],0))</f>
        <v>-21.5</v>
      </c>
      <c r="V964" s="2">
        <f t="array" ref="V9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64" t="s">
        <v>48</v>
      </c>
      <c r="X964">
        <f>IF(OR(vp.data[[#This Row],[Sulf]]="",vp.data[[#This Row],[Dens]]=""),1,0)</f>
        <v>0</v>
      </c>
      <c r="Y964">
        <f>IF(vp.data[[#This Row],[CrudeType]]="C5+",1,0)</f>
        <v>0</v>
      </c>
      <c r="Z964">
        <f>IF(AND(vp.data[[#This Row],[CrudeType]]="Crude",vp.data[[#This Row],[Dens]]&lt;=825,vp.data[[#This Row],[Sulf]]&gt;0.5,vp.data[[#This Row],[Unknown]]=0),1,0)</f>
        <v>0</v>
      </c>
      <c r="AA964">
        <f>IF(AND(vp.data[[#This Row],[CrudeType]]="Crude",vp.data[[#This Row],[Dens]]&lt;=825,vp.data[[#This Row],[Sulf]]&lt;=0.5,vp.data[[#This Row],[Unknown]]=0),1,0)</f>
        <v>0</v>
      </c>
      <c r="AB9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4">
        <f>IF(AND(vp.data[[#This Row],[CrudeType]]="Crude",vp.data[[#This Row],[Dens]]&gt;825,vp.data[[#This Row],[Dens]]&lt;=900,vp.data[[#This Row],[Sulf]]&lt;=0.5,vp.data[[#This Row],[Unknown]]=0),1,0)</f>
        <v>0</v>
      </c>
      <c r="AD964">
        <f>IF(AND(vp.data[[#This Row],[CrudeType]]="Crude",vp.data[[#This Row],[Dens]]&gt;865,vp.data[[#This Row],[Dens]]&lt;=900,vp.data[[#This Row],[Sulf]]&gt;2,vp.data[[#This Row],[Unknown]]=0),1,0)</f>
        <v>0</v>
      </c>
      <c r="AE964">
        <f>IF(AND(vp.data[[#This Row],[CrudeType]]="Crude",vp.data[[#This Row],[Dens]]&gt;900,vp.data[[#This Row],[Sulf]]&lt;=0.5,vp.data[[#This Row],[Unknown]]=0),1,0)</f>
        <v>0</v>
      </c>
      <c r="AF964">
        <f>IF(AND(vp.data[[#This Row],[CrudeType]]="Crude",vp.data[[#This Row],[Dens]]&gt;900,vp.data[[#This Row],[Sulf]]&lt;=0.5,vp.data[[#This Row],[Unknown]]=0),1,0)</f>
        <v>0</v>
      </c>
      <c r="AG964" t="str">
        <f>INDEX(vp.data[[#Headers],[Unknown]:[Heavy_SW]],MATCH(1,vp.data[[#This Row],[Unknown]:[Heavy_SW]],0))</f>
        <v>Medium_LSB</v>
      </c>
      <c r="AH964">
        <f>INDEX([3]!crudeBD.lkup[Number],MATCH(vp.data[[#This Row],[Crude_Breakdown]],crudeBD.lkup[Crude Breakdown],0))</f>
        <v>3</v>
      </c>
      <c r="AI964">
        <f>MONTH(vp.data[[#This Row],[SDate]])</f>
        <v>3</v>
      </c>
      <c r="AJ964" s="5">
        <f>(vp.data[[#This Row],[VP]]-INDEX(crudeBD.lkup[Mean_VP],MATCH(vp.data[[#This Row],[Crude_Breakdown]],crudeBD.lkup[Crude Breakdown],0)))^2</f>
        <v>2.6885391881777063</v>
      </c>
      <c r="AK964" s="5">
        <f>(vp.data[[#This Row],[Dens]]-INDEX(crudeBD.lkup[Mean_Dens],MATCH(vp.data[[#This Row],[Crude_Breakdown]],crudeBD.lkup[Crude Breakdown],0)))^2</f>
        <v>1.3924000000012235</v>
      </c>
      <c r="AL964" s="5">
        <f>(vp.data[[#This Row],[Sulf]]-INDEX(crudeBD.lkup[Mean_Sulf],MATCH(vp.data[[#This Row],[Crude_Breakdown]],crudeBD.lkup[Crude Breakdown],0)))^2</f>
        <v>6.0225148642863206E-2</v>
      </c>
      <c r="AM964" s="4">
        <f>IF(AND(vp.data[[#This Row],[SDate]]&gt;=DATE(YEAR(vp.data[[#This Row],[SDate]]),5,1),vp.data[[#This Row],[SDate]]&lt;=DATE(YEAR(vp.data[[#This Row],[SDate]]),9,15)),1,0)</f>
        <v>0</v>
      </c>
      <c r="AN964" s="4">
        <f>IF(vp.data[[#This Row],[SDate]]&lt;DATE(2016,12,1),0,1)</f>
        <v>1</v>
      </c>
      <c r="AO964" s="4">
        <f>IFERROR(vp.data[[#This Row],[Sulf]]*vp.data[[#This Row],[Net Dens]],"")</f>
        <v>102193996.50131398</v>
      </c>
      <c r="AP964">
        <f>IFERROR(vp.data[[#This Row],[Dens]]*vp.data[[#This Row],[VolumeM3]],"")</f>
        <v>89643856.5801</v>
      </c>
      <c r="AQ964" s="15">
        <f>IFERROR(vp.data[[#This Row],[VP]]*vp.data[[#This Row],[VolumeM3]],"")</f>
        <v>8379913.2289999994</v>
      </c>
    </row>
    <row r="965" spans="1:43" x14ac:dyDescent="0.25">
      <c r="A965">
        <v>964</v>
      </c>
      <c r="B965" t="s">
        <v>60</v>
      </c>
      <c r="C965" t="s">
        <v>60</v>
      </c>
      <c r="D965" t="s">
        <v>61</v>
      </c>
      <c r="E965" t="s">
        <v>55</v>
      </c>
      <c r="F965" s="1">
        <v>42804</v>
      </c>
      <c r="G965" s="2">
        <v>104.3</v>
      </c>
      <c r="H965" s="2"/>
      <c r="I965" s="2">
        <f t="array" ref="I965">_xlfn.IFNA(IF(vp.data[[#This Row],[Sulf Input]]="",INDEX([1]DATA!$Q$3:$Q$9826,MATCH(1,(vp.data[[#This Row],[Battery]]=[1]DATA!$L$3:$L$9826)*(EOMONTH(vp.data[[#This Row],[SDate]],-1)+1=[1]DATA!$G$3:$G$9826),0)),vp.data[[#This Row],[Sulf Input]]),"")</f>
        <v>1.1399999999999999</v>
      </c>
      <c r="J965" s="2">
        <v>1.5</v>
      </c>
      <c r="K965" s="2">
        <v>-25</v>
      </c>
      <c r="L965" s="2">
        <v>829.8</v>
      </c>
      <c r="M965" s="2">
        <f t="array" ref="M965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965" s="2">
        <f ca="1">INDEX(INDIRECT(_xlfn.CONCAT("weather.tbl[",N$1,"]")),MATCH(vp.data[[#This Row],[SDate]],weather.tbl[Date],0))</f>
        <v>-21.283333333333335</v>
      </c>
      <c r="O965" s="2">
        <f ca="1">INDEX(INDIRECT(_xlfn.CONCAT("weather.tbl[",O$1,"]")),MATCH(vp.data[[#This Row],[SDate]],weather.tbl[Date],0))</f>
        <v>-10.678571428571429</v>
      </c>
      <c r="P965" s="2">
        <f ca="1">INDEX(INDIRECT(_xlfn.CONCAT("weather.tbl[",P$1,"]")),MATCH(vp.data[[#This Row],[SDate]],weather.tbl[Date],0))</f>
        <v>-20.8</v>
      </c>
      <c r="Q965" s="2">
        <f ca="1">INDEX(INDIRECT(_xlfn.CONCAT("weather.tbl[",Q$1,"]")),MATCH(vp.data[[#This Row],[SDate]],weather.tbl[Date],0))</f>
        <v>-20.5</v>
      </c>
      <c r="R965" s="2">
        <f ca="1">INDEX(INDIRECT(_xlfn.CONCAT("weather.tbl[",R$1,"]")),MATCH(vp.data[[#This Row],[SDate]],weather.tbl[Date],0))</f>
        <v>-22</v>
      </c>
      <c r="S965" s="2">
        <f ca="1">INDEX(INDIRECT(_xlfn.CONCAT("weather.tbl[",S$1,"]")),MATCH(vp.data[[#This Row],[SDate]],weather.tbl[Date],0))</f>
        <v>-19.600000000000001</v>
      </c>
      <c r="T965" s="2">
        <f ca="1">INDEX(INDIRECT(_xlfn.CONCAT("weather.tbl[",T$1,"]")),MATCH(vp.data[[#This Row],[SDate]],weather.tbl[Date],0))</f>
        <v>-23.3</v>
      </c>
      <c r="U965" s="2">
        <f ca="1">INDEX(INDIRECT(_xlfn.CONCAT("weather.tbl[",U$1,"]")),MATCH(vp.data[[#This Row],[SDate]],weather.tbl[Date],0))</f>
        <v>-21.5</v>
      </c>
      <c r="V965" s="2">
        <f t="array" ref="V9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65" t="s">
        <v>48</v>
      </c>
      <c r="X965">
        <f>IF(OR(vp.data[[#This Row],[Sulf]]="",vp.data[[#This Row],[Dens]]=""),1,0)</f>
        <v>0</v>
      </c>
      <c r="Y965">
        <f>IF(vp.data[[#This Row],[CrudeType]]="C5+",1,0)</f>
        <v>0</v>
      </c>
      <c r="Z965">
        <f>IF(AND(vp.data[[#This Row],[CrudeType]]="Crude",vp.data[[#This Row],[Dens]]&lt;=825,vp.data[[#This Row],[Sulf]]&gt;0.5,vp.data[[#This Row],[Unknown]]=0),1,0)</f>
        <v>0</v>
      </c>
      <c r="AA965">
        <f>IF(AND(vp.data[[#This Row],[CrudeType]]="Crude",vp.data[[#This Row],[Dens]]&lt;=825,vp.data[[#This Row],[Sulf]]&lt;=0.5,vp.data[[#This Row],[Unknown]]=0),1,0)</f>
        <v>0</v>
      </c>
      <c r="AB9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5">
        <f>IF(AND(vp.data[[#This Row],[CrudeType]]="Crude",vp.data[[#This Row],[Dens]]&gt;825,vp.data[[#This Row],[Dens]]&lt;=900,vp.data[[#This Row],[Sulf]]&lt;=0.5,vp.data[[#This Row],[Unknown]]=0),1,0)</f>
        <v>0</v>
      </c>
      <c r="AD965">
        <f>IF(AND(vp.data[[#This Row],[CrudeType]]="Crude",vp.data[[#This Row],[Dens]]&gt;865,vp.data[[#This Row],[Dens]]&lt;=900,vp.data[[#This Row],[Sulf]]&gt;2,vp.data[[#This Row],[Unknown]]=0),1,0)</f>
        <v>0</v>
      </c>
      <c r="AE965">
        <f>IF(AND(vp.data[[#This Row],[CrudeType]]="Crude",vp.data[[#This Row],[Dens]]&gt;900,vp.data[[#This Row],[Sulf]]&lt;=0.5,vp.data[[#This Row],[Unknown]]=0),1,0)</f>
        <v>0</v>
      </c>
      <c r="AF965">
        <f>IF(AND(vp.data[[#This Row],[CrudeType]]="Crude",vp.data[[#This Row],[Dens]]&gt;900,vp.data[[#This Row],[Sulf]]&lt;=0.5,vp.data[[#This Row],[Unknown]]=0),1,0)</f>
        <v>0</v>
      </c>
      <c r="AG965" t="str">
        <f>INDEX(vp.data[[#Headers],[Unknown]:[Heavy_SW]],MATCH(1,vp.data[[#This Row],[Unknown]:[Heavy_SW]],0))</f>
        <v>Medium_LSB</v>
      </c>
      <c r="AH965">
        <f>INDEX([3]!crudeBD.lkup[Number],MATCH(vp.data[[#This Row],[Crude_Breakdown]],crudeBD.lkup[Crude Breakdown],0))</f>
        <v>3</v>
      </c>
      <c r="AI965">
        <f>MONTH(vp.data[[#This Row],[SDate]])</f>
        <v>3</v>
      </c>
      <c r="AJ965" s="5">
        <f>(vp.data[[#This Row],[VP]]-INDEX(crudeBD.lkup[Mean_VP],MATCH(vp.data[[#This Row],[Crude_Breakdown]],crudeBD.lkup[Crude Breakdown],0)))^2</f>
        <v>559.8109057650006</v>
      </c>
      <c r="AK965" s="5">
        <f>(vp.data[[#This Row],[Dens]]-INDEX(crudeBD.lkup[Mean_Dens],MATCH(vp.data[[#This Row],[Crude_Breakdown]],crudeBD.lkup[Crude Breakdown],0)))^2</f>
        <v>199.37439999998728</v>
      </c>
      <c r="AL965" s="5">
        <f>(vp.data[[#This Row],[Sulf]]-INDEX(crudeBD.lkup[Mean_Sulf],MATCH(vp.data[[#This Row],[Crude_Breakdown]],crudeBD.lkup[Crude Breakdown],0)))^2</f>
        <v>6.0225148642863206E-2</v>
      </c>
      <c r="AM965" s="4">
        <f>IF(AND(vp.data[[#This Row],[SDate]]&gt;=DATE(YEAR(vp.data[[#This Row],[SDate]]),5,1),vp.data[[#This Row],[SDate]]&lt;=DATE(YEAR(vp.data[[#This Row],[SDate]]),9,15)),1,0)</f>
        <v>0</v>
      </c>
      <c r="AN965" s="4">
        <f>IF(vp.data[[#This Row],[SDate]]&lt;DATE(2016,12,1),0,1)</f>
        <v>1</v>
      </c>
      <c r="AO965" s="4">
        <f>IFERROR(vp.data[[#This Row],[Sulf]]*vp.data[[#This Row],[Net Dens]],"")</f>
        <v>100343838.95017199</v>
      </c>
      <c r="AP965">
        <f>IFERROR(vp.data[[#This Row],[Dens]]*vp.data[[#This Row],[VolumeM3]],"")</f>
        <v>88020911.359799996</v>
      </c>
      <c r="AQ965" s="15">
        <f>IFERROR(vp.data[[#This Row],[VP]]*vp.data[[#This Row],[VolumeM3]],"")</f>
        <v>11063606.959299998</v>
      </c>
    </row>
    <row r="966" spans="1:43" x14ac:dyDescent="0.25">
      <c r="A966">
        <v>965</v>
      </c>
      <c r="B966" t="s">
        <v>49</v>
      </c>
      <c r="C966" t="s">
        <v>49</v>
      </c>
      <c r="D966" t="s">
        <v>67</v>
      </c>
      <c r="F966" s="1">
        <v>42805</v>
      </c>
      <c r="G966" s="2">
        <v>107.3</v>
      </c>
      <c r="H966" s="2">
        <v>0.59099999999999997</v>
      </c>
      <c r="I966" s="2">
        <f t="array" ref="I966">_xlfn.IFNA(IF(vp.data[[#This Row],[Sulf Input]]="",INDEX([1]DATA!$Q$3:$Q$9826,MATCH(1,(vp.data[[#This Row],[Battery]]=[1]DATA!$L$3:$L$9826)*(EOMONTH(vp.data[[#This Row],[SDate]],-1)+1=[1]DATA!$G$3:$G$9826),0)),vp.data[[#This Row],[Sulf Input]]),"")</f>
        <v>0.59099999999999997</v>
      </c>
      <c r="J966" s="2">
        <v>2</v>
      </c>
      <c r="K966" s="2">
        <v>-17</v>
      </c>
      <c r="L966" s="2">
        <v>817.5</v>
      </c>
      <c r="M966" s="2">
        <f t="array" ref="M966">_xlfn.IFNA(IF(vp.data[[#This Row],[Dens Input]]="",INDEX([1]DATA!$O$3:$O$9826,MATCH(1,(vp.data[[#This Row],[Battery]]=[1]DATA!$L$3:$L$9826)*(EOMONTH(vp.data[[#This Row],[SDate]],-1)+1=[1]DATA!$G$3:$G$9826),0)),vp.data[[#This Row],[Dens Input]]),"")</f>
        <v>817.5</v>
      </c>
      <c r="N966" s="2">
        <f ca="1">INDEX(INDIRECT(_xlfn.CONCAT("weather.tbl[",N$1,"]")),MATCH(vp.data[[#This Row],[SDate]],weather.tbl[Date],0))</f>
        <v>-18</v>
      </c>
      <c r="O966" s="2">
        <f ca="1">INDEX(INDIRECT(_xlfn.CONCAT("weather.tbl[",O$1,"]")),MATCH(vp.data[[#This Row],[SDate]],weather.tbl[Date],0))</f>
        <v>-13.185714285714285</v>
      </c>
      <c r="P966" s="2">
        <f ca="1">INDEX(INDIRECT(_xlfn.CONCAT("weather.tbl[",P$1,"]")),MATCH(vp.data[[#This Row],[SDate]],weather.tbl[Date],0))</f>
        <v>-17.7</v>
      </c>
      <c r="Q966" s="2">
        <f ca="1">INDEX(INDIRECT(_xlfn.CONCAT("weather.tbl[",Q$1,"]")),MATCH(vp.data[[#This Row],[SDate]],weather.tbl[Date],0))</f>
        <v>-18.100000000000001</v>
      </c>
      <c r="R966" s="2">
        <f ca="1">INDEX(INDIRECT(_xlfn.CONCAT("weather.tbl[",R$1,"]")),MATCH(vp.data[[#This Row],[SDate]],weather.tbl[Date],0))</f>
        <v>-18.5</v>
      </c>
      <c r="S966" s="2">
        <f ca="1">INDEX(INDIRECT(_xlfn.CONCAT("weather.tbl[",S$1,"]")),MATCH(vp.data[[#This Row],[SDate]],weather.tbl[Date],0))</f>
        <v>-17.600000000000001</v>
      </c>
      <c r="T966" s="2">
        <f ca="1">INDEX(INDIRECT(_xlfn.CONCAT("weather.tbl[",T$1,"]")),MATCH(vp.data[[#This Row],[SDate]],weather.tbl[Date],0))</f>
        <v>-18.100000000000001</v>
      </c>
      <c r="U966" s="2">
        <f ca="1">INDEX(INDIRECT(_xlfn.CONCAT("weather.tbl[",U$1,"]")),MATCH(vp.data[[#This Row],[SDate]],weather.tbl[Date],0))</f>
        <v>-18</v>
      </c>
      <c r="V966" s="2">
        <f t="array" ref="V9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966" t="s">
        <v>48</v>
      </c>
      <c r="X966">
        <f>IF(OR(vp.data[[#This Row],[Sulf]]="",vp.data[[#This Row],[Dens]]=""),1,0)</f>
        <v>0</v>
      </c>
      <c r="Y966">
        <f>IF(vp.data[[#This Row],[CrudeType]]="C5+",1,0)</f>
        <v>0</v>
      </c>
      <c r="Z966">
        <f>IF(AND(vp.data[[#This Row],[CrudeType]]="Crude",vp.data[[#This Row],[Dens]]&lt;=825,vp.data[[#This Row],[Sulf]]&gt;0.5,vp.data[[#This Row],[Unknown]]=0),1,0)</f>
        <v>1</v>
      </c>
      <c r="AA966">
        <f>IF(AND(vp.data[[#This Row],[CrudeType]]="Crude",vp.data[[#This Row],[Dens]]&lt;=825,vp.data[[#This Row],[Sulf]]&lt;=0.5,vp.data[[#This Row],[Unknown]]=0),1,0)</f>
        <v>0</v>
      </c>
      <c r="AB9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66">
        <f>IF(AND(vp.data[[#This Row],[CrudeType]]="Crude",vp.data[[#This Row],[Dens]]&gt;825,vp.data[[#This Row],[Dens]]&lt;=900,vp.data[[#This Row],[Sulf]]&lt;=0.5,vp.data[[#This Row],[Unknown]]=0),1,0)</f>
        <v>0</v>
      </c>
      <c r="AD966">
        <f>IF(AND(vp.data[[#This Row],[CrudeType]]="Crude",vp.data[[#This Row],[Dens]]&gt;865,vp.data[[#This Row],[Dens]]&lt;=900,vp.data[[#This Row],[Sulf]]&gt;2,vp.data[[#This Row],[Unknown]]=0),1,0)</f>
        <v>0</v>
      </c>
      <c r="AE966">
        <f>IF(AND(vp.data[[#This Row],[CrudeType]]="Crude",vp.data[[#This Row],[Dens]]&gt;900,vp.data[[#This Row],[Sulf]]&lt;=0.5,vp.data[[#This Row],[Unknown]]=0),1,0)</f>
        <v>0</v>
      </c>
      <c r="AF966">
        <f>IF(AND(vp.data[[#This Row],[CrudeType]]="Crude",vp.data[[#This Row],[Dens]]&gt;900,vp.data[[#This Row],[Sulf]]&lt;=0.5,vp.data[[#This Row],[Unknown]]=0),1,0)</f>
        <v>0</v>
      </c>
      <c r="AG966" t="str">
        <f>INDEX(vp.data[[#Headers],[Unknown]:[Heavy_SW]],MATCH(1,vp.data[[#This Row],[Unknown]:[Heavy_SW]],0))</f>
        <v>Light_LSB</v>
      </c>
      <c r="AH966">
        <f>INDEX([3]!crudeBD.lkup[Number],MATCH(vp.data[[#This Row],[Crude_Breakdown]],crudeBD.lkup[Crude Breakdown],0))</f>
        <v>1</v>
      </c>
      <c r="AI966">
        <f>MONTH(vp.data[[#This Row],[SDate]])</f>
        <v>3</v>
      </c>
      <c r="AJ966" s="5">
        <f>(vp.data[[#This Row],[VP]]-INDEX(crudeBD.lkup[Mean_VP],MATCH(vp.data[[#This Row],[Crude_Breakdown]],crudeBD.lkup[Crude Breakdown],0)))^2</f>
        <v>248.18266918907321</v>
      </c>
      <c r="AK966" s="5">
        <f>(vp.data[[#This Row],[Dens]]-INDEX(crudeBD.lkup[Mean_Dens],MATCH(vp.data[[#This Row],[Crude_Breakdown]],crudeBD.lkup[Crude Breakdown],0)))^2</f>
        <v>1.0338207437317215</v>
      </c>
      <c r="AL966" s="5">
        <f>(vp.data[[#This Row],[Sulf]]-INDEX(crudeBD.lkup[Mean_Sulf],MATCH(vp.data[[#This Row],[Crude_Breakdown]],crudeBD.lkup[Crude Breakdown],0)))^2</f>
        <v>0.11020485663882201</v>
      </c>
      <c r="AM966" s="4">
        <f>IF(AND(vp.data[[#This Row],[SDate]]&gt;=DATE(YEAR(vp.data[[#This Row],[SDate]]),5,1),vp.data[[#This Row],[SDate]]&lt;=DATE(YEAR(vp.data[[#This Row],[SDate]]),9,15)),1,0)</f>
        <v>0</v>
      </c>
      <c r="AN966" s="4">
        <f>IF(vp.data[[#This Row],[SDate]]&lt;DATE(2016,12,1),0,1)</f>
        <v>1</v>
      </c>
      <c r="AO966" s="4">
        <f>IFERROR(vp.data[[#This Row],[Sulf]]*vp.data[[#This Row],[Net Dens]],"")</f>
        <v>64077938.919067495</v>
      </c>
      <c r="AP966">
        <f>IFERROR(vp.data[[#This Row],[Dens]]*vp.data[[#This Row],[VolumeM3]],"")</f>
        <v>108422908.49249999</v>
      </c>
      <c r="AQ966" s="15">
        <f>IFERROR(vp.data[[#This Row],[VP]]*vp.data[[#This Row],[VolumeM3]],"")</f>
        <v>14230921.200299999</v>
      </c>
    </row>
    <row r="967" spans="1:43" x14ac:dyDescent="0.25">
      <c r="A967">
        <v>966</v>
      </c>
      <c r="B967" t="s">
        <v>51</v>
      </c>
      <c r="C967" t="s">
        <v>51</v>
      </c>
      <c r="D967" t="s">
        <v>58</v>
      </c>
      <c r="F967" s="1">
        <v>42805</v>
      </c>
      <c r="G967" s="2">
        <v>113.4</v>
      </c>
      <c r="H967" s="2"/>
      <c r="I967" s="2">
        <f t="array" ref="I967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967" s="2">
        <v>19.7</v>
      </c>
      <c r="K967" s="2">
        <v>-17</v>
      </c>
      <c r="L967" s="2">
        <v>819</v>
      </c>
      <c r="M967" s="2">
        <f t="array" ref="M967">_xlfn.IFNA(IF(vp.data[[#This Row],[Dens Input]]="",INDEX([1]DATA!$O$3:$O$9826,MATCH(1,(vp.data[[#This Row],[Battery]]=[1]DATA!$L$3:$L$9826)*(EOMONTH(vp.data[[#This Row],[SDate]],-1)+1=[1]DATA!$G$3:$G$9826),0)),vp.data[[#This Row],[Dens Input]]),"")</f>
        <v>819</v>
      </c>
      <c r="N967" s="2">
        <f ca="1">INDEX(INDIRECT(_xlfn.CONCAT("weather.tbl[",N$1,"]")),MATCH(vp.data[[#This Row],[SDate]],weather.tbl[Date],0))</f>
        <v>-18</v>
      </c>
      <c r="O967" s="2">
        <f ca="1">INDEX(INDIRECT(_xlfn.CONCAT("weather.tbl[",O$1,"]")),MATCH(vp.data[[#This Row],[SDate]],weather.tbl[Date],0))</f>
        <v>-13.185714285714285</v>
      </c>
      <c r="P967" s="2">
        <f ca="1">INDEX(INDIRECT(_xlfn.CONCAT("weather.tbl[",P$1,"]")),MATCH(vp.data[[#This Row],[SDate]],weather.tbl[Date],0))</f>
        <v>-17.7</v>
      </c>
      <c r="Q967" s="2">
        <f ca="1">INDEX(INDIRECT(_xlfn.CONCAT("weather.tbl[",Q$1,"]")),MATCH(vp.data[[#This Row],[SDate]],weather.tbl[Date],0))</f>
        <v>-18.100000000000001</v>
      </c>
      <c r="R967" s="2">
        <f ca="1">INDEX(INDIRECT(_xlfn.CONCAT("weather.tbl[",R$1,"]")),MATCH(vp.data[[#This Row],[SDate]],weather.tbl[Date],0))</f>
        <v>-18.5</v>
      </c>
      <c r="S967" s="2">
        <f ca="1">INDEX(INDIRECT(_xlfn.CONCAT("weather.tbl[",S$1,"]")),MATCH(vp.data[[#This Row],[SDate]],weather.tbl[Date],0))</f>
        <v>-17.600000000000001</v>
      </c>
      <c r="T967" s="2">
        <f ca="1">INDEX(INDIRECT(_xlfn.CONCAT("weather.tbl[",T$1,"]")),MATCH(vp.data[[#This Row],[SDate]],weather.tbl[Date],0))</f>
        <v>-18.100000000000001</v>
      </c>
      <c r="U967" s="2">
        <f ca="1">INDEX(INDIRECT(_xlfn.CONCAT("weather.tbl[",U$1,"]")),MATCH(vp.data[[#This Row],[SDate]],weather.tbl[Date],0))</f>
        <v>-18</v>
      </c>
      <c r="V967" s="2">
        <f t="array" ref="V9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967" t="s">
        <v>48</v>
      </c>
      <c r="X967">
        <f>IF(OR(vp.data[[#This Row],[Sulf]]="",vp.data[[#This Row],[Dens]]=""),1,0)</f>
        <v>0</v>
      </c>
      <c r="Y967">
        <f>IF(vp.data[[#This Row],[CrudeType]]="C5+",1,0)</f>
        <v>0</v>
      </c>
      <c r="Z967">
        <f>IF(AND(vp.data[[#This Row],[CrudeType]]="Crude",vp.data[[#This Row],[Dens]]&lt;=825,vp.data[[#This Row],[Sulf]]&gt;0.5,vp.data[[#This Row],[Unknown]]=0),1,0)</f>
        <v>1</v>
      </c>
      <c r="AA967">
        <f>IF(AND(vp.data[[#This Row],[CrudeType]]="Crude",vp.data[[#This Row],[Dens]]&lt;=825,vp.data[[#This Row],[Sulf]]&lt;=0.5,vp.data[[#This Row],[Unknown]]=0),1,0)</f>
        <v>0</v>
      </c>
      <c r="AB9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67">
        <f>IF(AND(vp.data[[#This Row],[CrudeType]]="Crude",vp.data[[#This Row],[Dens]]&gt;825,vp.data[[#This Row],[Dens]]&lt;=900,vp.data[[#This Row],[Sulf]]&lt;=0.5,vp.data[[#This Row],[Unknown]]=0),1,0)</f>
        <v>0</v>
      </c>
      <c r="AD967">
        <f>IF(AND(vp.data[[#This Row],[CrudeType]]="Crude",vp.data[[#This Row],[Dens]]&gt;865,vp.data[[#This Row],[Dens]]&lt;=900,vp.data[[#This Row],[Sulf]]&gt;2,vp.data[[#This Row],[Unknown]]=0),1,0)</f>
        <v>0</v>
      </c>
      <c r="AE967">
        <f>IF(AND(vp.data[[#This Row],[CrudeType]]="Crude",vp.data[[#This Row],[Dens]]&gt;900,vp.data[[#This Row],[Sulf]]&lt;=0.5,vp.data[[#This Row],[Unknown]]=0),1,0)</f>
        <v>0</v>
      </c>
      <c r="AF967">
        <f>IF(AND(vp.data[[#This Row],[CrudeType]]="Crude",vp.data[[#This Row],[Dens]]&gt;900,vp.data[[#This Row],[Sulf]]&lt;=0.5,vp.data[[#This Row],[Unknown]]=0),1,0)</f>
        <v>0</v>
      </c>
      <c r="AG967" t="str">
        <f>INDEX(vp.data[[#Headers],[Unknown]:[Heavy_SW]],MATCH(1,vp.data[[#This Row],[Unknown]:[Heavy_SW]],0))</f>
        <v>Light_LSB</v>
      </c>
      <c r="AH967">
        <f>INDEX([3]!crudeBD.lkup[Number],MATCH(vp.data[[#This Row],[Crude_Breakdown]],crudeBD.lkup[Crude Breakdown],0))</f>
        <v>1</v>
      </c>
      <c r="AI967">
        <f>MONTH(vp.data[[#This Row],[SDate]])</f>
        <v>3</v>
      </c>
      <c r="AJ967" s="5">
        <f>(vp.data[[#This Row],[VP]]-INDEX(crudeBD.lkup[Mean_VP],MATCH(vp.data[[#This Row],[Crude_Breakdown]],crudeBD.lkup[Crude Breakdown],0)))^2</f>
        <v>477.58920527154743</v>
      </c>
      <c r="AK967" s="5">
        <f>(vp.data[[#This Row],[Dens]]-INDEX(crudeBD.lkup[Mean_Dens],MATCH(vp.data[[#This Row],[Crude_Breakdown]],crudeBD.lkup[Crude Breakdown],0)))^2</f>
        <v>0.2335114653821484</v>
      </c>
      <c r="AL967" s="5">
        <f>(vp.data[[#This Row],[Sulf]]-INDEX(crudeBD.lkup[Mean_Sulf],MATCH(vp.data[[#This Row],[Crude_Breakdown]],crudeBD.lkup[Crude Breakdown],0)))^2</f>
        <v>0.14979131650136537</v>
      </c>
      <c r="AM967" s="4">
        <f>IF(AND(vp.data[[#This Row],[SDate]]&gt;=DATE(YEAR(vp.data[[#This Row],[SDate]]),5,1),vp.data[[#This Row],[SDate]]&lt;=DATE(YEAR(vp.data[[#This Row],[SDate]]),9,15)),1,0)</f>
        <v>0</v>
      </c>
      <c r="AN967" s="4">
        <f>IF(vp.data[[#This Row],[SDate]]&lt;DATE(2016,12,1),0,1)</f>
        <v>1</v>
      </c>
      <c r="AO967" s="4">
        <f>IFERROR(vp.data[[#This Row],[Sulf]]*vp.data[[#This Row],[Net Dens]],"")</f>
        <v>6513805.94319</v>
      </c>
      <c r="AP967">
        <f>IFERROR(vp.data[[#This Row],[Dens]]*vp.data[[#This Row],[VolumeM3]],"")</f>
        <v>4972370.949</v>
      </c>
      <c r="AQ967" s="15">
        <f>IFERROR(vp.data[[#This Row],[VP]]*vp.data[[#This Row],[VolumeM3]],"")</f>
        <v>688482.13139999995</v>
      </c>
    </row>
    <row r="968" spans="1:43" x14ac:dyDescent="0.25">
      <c r="A968">
        <v>967</v>
      </c>
      <c r="B968" t="s">
        <v>51</v>
      </c>
      <c r="C968" t="s">
        <v>51</v>
      </c>
      <c r="D968" t="s">
        <v>72</v>
      </c>
      <c r="F968" s="1">
        <v>42805</v>
      </c>
      <c r="G968" s="2">
        <v>104.1</v>
      </c>
      <c r="H968" s="2"/>
      <c r="I968" s="2">
        <f t="array" ref="I968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968" s="2">
        <v>20.3</v>
      </c>
      <c r="K968" s="2">
        <v>-17</v>
      </c>
      <c r="L968" s="2">
        <v>828.9</v>
      </c>
      <c r="M968" s="2">
        <f t="array" ref="M968">_xlfn.IFNA(IF(vp.data[[#This Row],[Dens Input]]="",INDEX([1]DATA!$O$3:$O$9826,MATCH(1,(vp.data[[#This Row],[Battery]]=[1]DATA!$L$3:$L$9826)*(EOMONTH(vp.data[[#This Row],[SDate]],-1)+1=[1]DATA!$G$3:$G$9826),0)),vp.data[[#This Row],[Dens Input]]),"")</f>
        <v>828.9</v>
      </c>
      <c r="N968" s="2">
        <f ca="1">INDEX(INDIRECT(_xlfn.CONCAT("weather.tbl[",N$1,"]")),MATCH(vp.data[[#This Row],[SDate]],weather.tbl[Date],0))</f>
        <v>-18</v>
      </c>
      <c r="O968" s="2">
        <f ca="1">INDEX(INDIRECT(_xlfn.CONCAT("weather.tbl[",O$1,"]")),MATCH(vp.data[[#This Row],[SDate]],weather.tbl[Date],0))</f>
        <v>-13.185714285714285</v>
      </c>
      <c r="P968" s="2">
        <f ca="1">INDEX(INDIRECT(_xlfn.CONCAT("weather.tbl[",P$1,"]")),MATCH(vp.data[[#This Row],[SDate]],weather.tbl[Date],0))</f>
        <v>-17.7</v>
      </c>
      <c r="Q968" s="2">
        <f ca="1">INDEX(INDIRECT(_xlfn.CONCAT("weather.tbl[",Q$1,"]")),MATCH(vp.data[[#This Row],[SDate]],weather.tbl[Date],0))</f>
        <v>-18.100000000000001</v>
      </c>
      <c r="R968" s="2">
        <f ca="1">INDEX(INDIRECT(_xlfn.CONCAT("weather.tbl[",R$1,"]")),MATCH(vp.data[[#This Row],[SDate]],weather.tbl[Date],0))</f>
        <v>-18.5</v>
      </c>
      <c r="S968" s="2">
        <f ca="1">INDEX(INDIRECT(_xlfn.CONCAT("weather.tbl[",S$1,"]")),MATCH(vp.data[[#This Row],[SDate]],weather.tbl[Date],0))</f>
        <v>-17.600000000000001</v>
      </c>
      <c r="T968" s="2">
        <f ca="1">INDEX(INDIRECT(_xlfn.CONCAT("weather.tbl[",T$1,"]")),MATCH(vp.data[[#This Row],[SDate]],weather.tbl[Date],0))</f>
        <v>-18.100000000000001</v>
      </c>
      <c r="U968" s="2">
        <f ca="1">INDEX(INDIRECT(_xlfn.CONCAT("weather.tbl[",U$1,"]")),MATCH(vp.data[[#This Row],[SDate]],weather.tbl[Date],0))</f>
        <v>-18</v>
      </c>
      <c r="V968" s="2">
        <f t="array" ref="V9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968" t="s">
        <v>48</v>
      </c>
      <c r="X968">
        <f>IF(OR(vp.data[[#This Row],[Sulf]]="",vp.data[[#This Row],[Dens]]=""),1,0)</f>
        <v>0</v>
      </c>
      <c r="Y968">
        <f>IF(vp.data[[#This Row],[CrudeType]]="C5+",1,0)</f>
        <v>0</v>
      </c>
      <c r="Z968">
        <f>IF(AND(vp.data[[#This Row],[CrudeType]]="Crude",vp.data[[#This Row],[Dens]]&lt;=825,vp.data[[#This Row],[Sulf]]&gt;0.5,vp.data[[#This Row],[Unknown]]=0),1,0)</f>
        <v>0</v>
      </c>
      <c r="AA968">
        <f>IF(AND(vp.data[[#This Row],[CrudeType]]="Crude",vp.data[[#This Row],[Dens]]&lt;=825,vp.data[[#This Row],[Sulf]]&lt;=0.5,vp.data[[#This Row],[Unknown]]=0),1,0)</f>
        <v>0</v>
      </c>
      <c r="AB9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8">
        <f>IF(AND(vp.data[[#This Row],[CrudeType]]="Crude",vp.data[[#This Row],[Dens]]&gt;825,vp.data[[#This Row],[Dens]]&lt;=900,vp.data[[#This Row],[Sulf]]&lt;=0.5,vp.data[[#This Row],[Unknown]]=0),1,0)</f>
        <v>0</v>
      </c>
      <c r="AD968">
        <f>IF(AND(vp.data[[#This Row],[CrudeType]]="Crude",vp.data[[#This Row],[Dens]]&gt;865,vp.data[[#This Row],[Dens]]&lt;=900,vp.data[[#This Row],[Sulf]]&gt;2,vp.data[[#This Row],[Unknown]]=0),1,0)</f>
        <v>0</v>
      </c>
      <c r="AE968">
        <f>IF(AND(vp.data[[#This Row],[CrudeType]]="Crude",vp.data[[#This Row],[Dens]]&gt;900,vp.data[[#This Row],[Sulf]]&lt;=0.5,vp.data[[#This Row],[Unknown]]=0),1,0)</f>
        <v>0</v>
      </c>
      <c r="AF968">
        <f>IF(AND(vp.data[[#This Row],[CrudeType]]="Crude",vp.data[[#This Row],[Dens]]&gt;900,vp.data[[#This Row],[Sulf]]&lt;=0.5,vp.data[[#This Row],[Unknown]]=0),1,0)</f>
        <v>0</v>
      </c>
      <c r="AG968" t="str">
        <f>INDEX(vp.data[[#Headers],[Unknown]:[Heavy_SW]],MATCH(1,vp.data[[#This Row],[Unknown]:[Heavy_SW]],0))</f>
        <v>Medium_LSB</v>
      </c>
      <c r="AH968">
        <f>INDEX([3]!crudeBD.lkup[Number],MATCH(vp.data[[#This Row],[Crude_Breakdown]],crudeBD.lkup[Crude Breakdown],0))</f>
        <v>3</v>
      </c>
      <c r="AI968">
        <f>MONTH(vp.data[[#This Row],[SDate]])</f>
        <v>3</v>
      </c>
      <c r="AJ968" s="5">
        <f>(vp.data[[#This Row],[VP]]-INDEX(crudeBD.lkup[Mean_VP],MATCH(vp.data[[#This Row],[Crude_Breakdown]],crudeBD.lkup[Crude Breakdown],0)))^2</f>
        <v>550.38677638494653</v>
      </c>
      <c r="AK968" s="5">
        <f>(vp.data[[#This Row],[Dens]]-INDEX(crudeBD.lkup[Mean_Dens],MATCH(vp.data[[#This Row],[Crude_Breakdown]],crudeBD.lkup[Crude Breakdown],0)))^2</f>
        <v>225.6003999999858</v>
      </c>
      <c r="AL968" s="5">
        <f>(vp.data[[#This Row],[Sulf]]-INDEX(crudeBD.lkup[Mean_Sulf],MATCH(vp.data[[#This Row],[Crude_Breakdown]],crudeBD.lkup[Crude Breakdown],0)))^2</f>
        <v>9.3274123845019638E-2</v>
      </c>
      <c r="AM968" s="4">
        <f>IF(AND(vp.data[[#This Row],[SDate]]&gt;=DATE(YEAR(vp.data[[#This Row],[SDate]]),5,1),vp.data[[#This Row],[SDate]]&lt;=DATE(YEAR(vp.data[[#This Row],[SDate]]),9,15)),1,0)</f>
        <v>0</v>
      </c>
      <c r="AN968" s="4">
        <f>IF(vp.data[[#This Row],[SDate]]&lt;DATE(2016,12,1),0,1)</f>
        <v>1</v>
      </c>
      <c r="AO968" s="4">
        <f>IFERROR(vp.data[[#This Row],[Sulf]]*vp.data[[#This Row],[Net Dens]],"")</f>
        <v>12424230.179207999</v>
      </c>
      <c r="AP968">
        <f>IFERROR(vp.data[[#This Row],[Dens]]*vp.data[[#This Row],[VolumeM3]],"")</f>
        <v>11503916.832599999</v>
      </c>
      <c r="AQ968" s="15">
        <f>IFERROR(vp.data[[#This Row],[VP]]*vp.data[[#This Row],[VolumeM3]],"")</f>
        <v>1444755.3894</v>
      </c>
    </row>
    <row r="969" spans="1:43" x14ac:dyDescent="0.25">
      <c r="A969">
        <v>968</v>
      </c>
      <c r="B969" t="s">
        <v>62</v>
      </c>
      <c r="C969" t="s">
        <v>62</v>
      </c>
      <c r="D969" t="s">
        <v>63</v>
      </c>
      <c r="F969" s="1">
        <v>42805</v>
      </c>
      <c r="G969" s="2">
        <v>95.1</v>
      </c>
      <c r="H969" s="2"/>
      <c r="I969" s="2">
        <f t="array" ref="I969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969" s="2">
        <v>9.6999999999999993</v>
      </c>
      <c r="K969" s="2">
        <v>-17</v>
      </c>
      <c r="L969" s="2">
        <v>838.3</v>
      </c>
      <c r="M969" s="2">
        <f t="array" ref="M969">_xlfn.IFNA(IF(vp.data[[#This Row],[Dens Input]]="",INDEX([1]DATA!$O$3:$O$9826,MATCH(1,(vp.data[[#This Row],[Battery]]=[1]DATA!$L$3:$L$9826)*(EOMONTH(vp.data[[#This Row],[SDate]],-1)+1=[1]DATA!$G$3:$G$9826),0)),vp.data[[#This Row],[Dens Input]]),"")</f>
        <v>838.3</v>
      </c>
      <c r="N969" s="2">
        <f ca="1">INDEX(INDIRECT(_xlfn.CONCAT("weather.tbl[",N$1,"]")),MATCH(vp.data[[#This Row],[SDate]],weather.tbl[Date],0))</f>
        <v>-18</v>
      </c>
      <c r="O969" s="2">
        <f ca="1">INDEX(INDIRECT(_xlfn.CONCAT("weather.tbl[",O$1,"]")),MATCH(vp.data[[#This Row],[SDate]],weather.tbl[Date],0))</f>
        <v>-13.185714285714285</v>
      </c>
      <c r="P969" s="2">
        <f ca="1">INDEX(INDIRECT(_xlfn.CONCAT("weather.tbl[",P$1,"]")),MATCH(vp.data[[#This Row],[SDate]],weather.tbl[Date],0))</f>
        <v>-17.7</v>
      </c>
      <c r="Q969" s="2">
        <f ca="1">INDEX(INDIRECT(_xlfn.CONCAT("weather.tbl[",Q$1,"]")),MATCH(vp.data[[#This Row],[SDate]],weather.tbl[Date],0))</f>
        <v>-18.100000000000001</v>
      </c>
      <c r="R969" s="2">
        <f ca="1">INDEX(INDIRECT(_xlfn.CONCAT("weather.tbl[",R$1,"]")),MATCH(vp.data[[#This Row],[SDate]],weather.tbl[Date],0))</f>
        <v>-18.5</v>
      </c>
      <c r="S969" s="2">
        <f ca="1">INDEX(INDIRECT(_xlfn.CONCAT("weather.tbl[",S$1,"]")),MATCH(vp.data[[#This Row],[SDate]],weather.tbl[Date],0))</f>
        <v>-17.600000000000001</v>
      </c>
      <c r="T969" s="2">
        <f ca="1">INDEX(INDIRECT(_xlfn.CONCAT("weather.tbl[",T$1,"]")),MATCH(vp.data[[#This Row],[SDate]],weather.tbl[Date],0))</f>
        <v>-18.100000000000001</v>
      </c>
      <c r="U969" s="2">
        <f ca="1">INDEX(INDIRECT(_xlfn.CONCAT("weather.tbl[",U$1,"]")),MATCH(vp.data[[#This Row],[SDate]],weather.tbl[Date],0))</f>
        <v>-18</v>
      </c>
      <c r="V969" s="2">
        <f t="array" ref="V9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969" t="s">
        <v>48</v>
      </c>
      <c r="X969">
        <f>IF(OR(vp.data[[#This Row],[Sulf]]="",vp.data[[#This Row],[Dens]]=""),1,0)</f>
        <v>0</v>
      </c>
      <c r="Y969">
        <f>IF(vp.data[[#This Row],[CrudeType]]="C5+",1,0)</f>
        <v>0</v>
      </c>
      <c r="Z969">
        <f>IF(AND(vp.data[[#This Row],[CrudeType]]="Crude",vp.data[[#This Row],[Dens]]&lt;=825,vp.data[[#This Row],[Sulf]]&gt;0.5,vp.data[[#This Row],[Unknown]]=0),1,0)</f>
        <v>0</v>
      </c>
      <c r="AA969">
        <f>IF(AND(vp.data[[#This Row],[CrudeType]]="Crude",vp.data[[#This Row],[Dens]]&lt;=825,vp.data[[#This Row],[Sulf]]&lt;=0.5,vp.data[[#This Row],[Unknown]]=0),1,0)</f>
        <v>0</v>
      </c>
      <c r="AB9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69">
        <f>IF(AND(vp.data[[#This Row],[CrudeType]]="Crude",vp.data[[#This Row],[Dens]]&gt;825,vp.data[[#This Row],[Dens]]&lt;=900,vp.data[[#This Row],[Sulf]]&lt;=0.5,vp.data[[#This Row],[Unknown]]=0),1,0)</f>
        <v>0</v>
      </c>
      <c r="AD969">
        <f>IF(AND(vp.data[[#This Row],[CrudeType]]="Crude",vp.data[[#This Row],[Dens]]&gt;865,vp.data[[#This Row],[Dens]]&lt;=900,vp.data[[#This Row],[Sulf]]&gt;2,vp.data[[#This Row],[Unknown]]=0),1,0)</f>
        <v>0</v>
      </c>
      <c r="AE969">
        <f>IF(AND(vp.data[[#This Row],[CrudeType]]="Crude",vp.data[[#This Row],[Dens]]&gt;900,vp.data[[#This Row],[Sulf]]&lt;=0.5,vp.data[[#This Row],[Unknown]]=0),1,0)</f>
        <v>0</v>
      </c>
      <c r="AF969">
        <f>IF(AND(vp.data[[#This Row],[CrudeType]]="Crude",vp.data[[#This Row],[Dens]]&gt;900,vp.data[[#This Row],[Sulf]]&lt;=0.5,vp.data[[#This Row],[Unknown]]=0),1,0)</f>
        <v>0</v>
      </c>
      <c r="AG969" t="str">
        <f>INDEX(vp.data[[#Headers],[Unknown]:[Heavy_SW]],MATCH(1,vp.data[[#This Row],[Unknown]:[Heavy_SW]],0))</f>
        <v>Medium_LSB</v>
      </c>
      <c r="AH969">
        <f>INDEX([3]!crudeBD.lkup[Number],MATCH(vp.data[[#This Row],[Crude_Breakdown]],crudeBD.lkup[Crude Breakdown],0))</f>
        <v>3</v>
      </c>
      <c r="AI969">
        <f>MONTH(vp.data[[#This Row],[SDate]])</f>
        <v>3</v>
      </c>
      <c r="AJ969" s="5">
        <f>(vp.data[[#This Row],[VP]]-INDEX(crudeBD.lkup[Mean_VP],MATCH(vp.data[[#This Row],[Crude_Breakdown]],crudeBD.lkup[Crude Breakdown],0)))^2</f>
        <v>209.10095428251947</v>
      </c>
      <c r="AK969" s="5">
        <f>(vp.data[[#This Row],[Dens]]-INDEX(crudeBD.lkup[Mean_Dens],MATCH(vp.data[[#This Row],[Crude_Breakdown]],crudeBD.lkup[Crude Breakdown],0)))^2</f>
        <v>31.58439999999494</v>
      </c>
      <c r="AL969" s="5">
        <f>(vp.data[[#This Row],[Sulf]]-INDEX(crudeBD.lkup[Mean_Sulf],MATCH(vp.data[[#This Row],[Crude_Breakdown]],crudeBD.lkup[Crude Breakdown],0)))^2</f>
        <v>0.12573539662129798</v>
      </c>
      <c r="AM969" s="4">
        <f>IF(AND(vp.data[[#This Row],[SDate]]&gt;=DATE(YEAR(vp.data[[#This Row],[SDate]]),5,1),vp.data[[#This Row],[SDate]]&lt;=DATE(YEAR(vp.data[[#This Row],[SDate]]),9,15)),1,0)</f>
        <v>0</v>
      </c>
      <c r="AN969" s="4">
        <f>IF(vp.data[[#This Row],[SDate]]&lt;DATE(2016,12,1),0,1)</f>
        <v>1</v>
      </c>
      <c r="AO969" s="4">
        <f>IFERROR(vp.data[[#This Row],[Sulf]]*vp.data[[#This Row],[Net Dens]],"")</f>
        <v>10151057.255784001</v>
      </c>
      <c r="AP969">
        <f>IFERROR(vp.data[[#This Row],[Dens]]*vp.data[[#This Row],[VolumeM3]],"")</f>
        <v>5833940.9516000003</v>
      </c>
      <c r="AQ969" s="15">
        <f>IFERROR(vp.data[[#This Row],[VP]]*vp.data[[#This Row],[VolumeM3]],"")</f>
        <v>661824.8652</v>
      </c>
    </row>
    <row r="970" spans="1:43" x14ac:dyDescent="0.25">
      <c r="A970">
        <v>969</v>
      </c>
      <c r="B970" t="s">
        <v>62</v>
      </c>
      <c r="C970" t="s">
        <v>62</v>
      </c>
      <c r="D970" t="s">
        <v>93</v>
      </c>
      <c r="F970" s="1">
        <v>42805</v>
      </c>
      <c r="G970" s="2">
        <v>112.4</v>
      </c>
      <c r="H970" s="2"/>
      <c r="I970" s="2">
        <f t="array" ref="I970">_xlfn.IFNA(IF(vp.data[[#This Row],[Sulf Input]]="",INDEX([1]DATA!$Q$3:$Q$9826,MATCH(1,(vp.data[[#This Row],[Battery]]=[1]DATA!$L$3:$L$9826)*(EOMONTH(vp.data[[#This Row],[SDate]],-1)+1=[1]DATA!$G$3:$G$9826),0)),vp.data[[#This Row],[Sulf Input]]),"")</f>
        <v>1.24</v>
      </c>
      <c r="J970" s="2">
        <v>1.8</v>
      </c>
      <c r="K970" s="2">
        <v>-17</v>
      </c>
      <c r="L970" s="2">
        <v>840.3</v>
      </c>
      <c r="M970" s="2">
        <f t="array" ref="M970">_xlfn.IFNA(IF(vp.data[[#This Row],[Dens Input]]="",INDEX([1]DATA!$O$3:$O$9826,MATCH(1,(vp.data[[#This Row],[Battery]]=[1]DATA!$L$3:$L$9826)*(EOMONTH(vp.data[[#This Row],[SDate]],-1)+1=[1]DATA!$G$3:$G$9826),0)),vp.data[[#This Row],[Dens Input]]),"")</f>
        <v>840.3</v>
      </c>
      <c r="N970" s="2">
        <f ca="1">INDEX(INDIRECT(_xlfn.CONCAT("weather.tbl[",N$1,"]")),MATCH(vp.data[[#This Row],[SDate]],weather.tbl[Date],0))</f>
        <v>-18</v>
      </c>
      <c r="O970" s="2">
        <f ca="1">INDEX(INDIRECT(_xlfn.CONCAT("weather.tbl[",O$1,"]")),MATCH(vp.data[[#This Row],[SDate]],weather.tbl[Date],0))</f>
        <v>-13.185714285714285</v>
      </c>
      <c r="P970" s="2">
        <f ca="1">INDEX(INDIRECT(_xlfn.CONCAT("weather.tbl[",P$1,"]")),MATCH(vp.data[[#This Row],[SDate]],weather.tbl[Date],0))</f>
        <v>-17.7</v>
      </c>
      <c r="Q970" s="2">
        <f ca="1">INDEX(INDIRECT(_xlfn.CONCAT("weather.tbl[",Q$1,"]")),MATCH(vp.data[[#This Row],[SDate]],weather.tbl[Date],0))</f>
        <v>-18.100000000000001</v>
      </c>
      <c r="R970" s="2">
        <f ca="1">INDEX(INDIRECT(_xlfn.CONCAT("weather.tbl[",R$1,"]")),MATCH(vp.data[[#This Row],[SDate]],weather.tbl[Date],0))</f>
        <v>-18.5</v>
      </c>
      <c r="S970" s="2">
        <f ca="1">INDEX(INDIRECT(_xlfn.CONCAT("weather.tbl[",S$1,"]")),MATCH(vp.data[[#This Row],[SDate]],weather.tbl[Date],0))</f>
        <v>-17.600000000000001</v>
      </c>
      <c r="T970" s="2">
        <f ca="1">INDEX(INDIRECT(_xlfn.CONCAT("weather.tbl[",T$1,"]")),MATCH(vp.data[[#This Row],[SDate]],weather.tbl[Date],0))</f>
        <v>-18.100000000000001</v>
      </c>
      <c r="U970" s="2">
        <f ca="1">INDEX(INDIRECT(_xlfn.CONCAT("weather.tbl[",U$1,"]")),MATCH(vp.data[[#This Row],[SDate]],weather.tbl[Date],0))</f>
        <v>-18</v>
      </c>
      <c r="V970" s="2">
        <f t="array" ref="V9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1068.2539999999999</v>
      </c>
      <c r="W970" t="s">
        <v>48</v>
      </c>
      <c r="X970">
        <f>IF(OR(vp.data[[#This Row],[Sulf]]="",vp.data[[#This Row],[Dens]]=""),1,0)</f>
        <v>0</v>
      </c>
      <c r="Y970">
        <f>IF(vp.data[[#This Row],[CrudeType]]="C5+",1,0)</f>
        <v>0</v>
      </c>
      <c r="Z970">
        <f>IF(AND(vp.data[[#This Row],[CrudeType]]="Crude",vp.data[[#This Row],[Dens]]&lt;=825,vp.data[[#This Row],[Sulf]]&gt;0.5,vp.data[[#This Row],[Unknown]]=0),1,0)</f>
        <v>0</v>
      </c>
      <c r="AA970">
        <f>IF(AND(vp.data[[#This Row],[CrudeType]]="Crude",vp.data[[#This Row],[Dens]]&lt;=825,vp.data[[#This Row],[Sulf]]&lt;=0.5,vp.data[[#This Row],[Unknown]]=0),1,0)</f>
        <v>0</v>
      </c>
      <c r="AB9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70">
        <f>IF(AND(vp.data[[#This Row],[CrudeType]]="Crude",vp.data[[#This Row],[Dens]]&gt;825,vp.data[[#This Row],[Dens]]&lt;=900,vp.data[[#This Row],[Sulf]]&lt;=0.5,vp.data[[#This Row],[Unknown]]=0),1,0)</f>
        <v>0</v>
      </c>
      <c r="AD970">
        <f>IF(AND(vp.data[[#This Row],[CrudeType]]="Crude",vp.data[[#This Row],[Dens]]&gt;865,vp.data[[#This Row],[Dens]]&lt;=900,vp.data[[#This Row],[Sulf]]&gt;2,vp.data[[#This Row],[Unknown]]=0),1,0)</f>
        <v>0</v>
      </c>
      <c r="AE970">
        <f>IF(AND(vp.data[[#This Row],[CrudeType]]="Crude",vp.data[[#This Row],[Dens]]&gt;900,vp.data[[#This Row],[Sulf]]&lt;=0.5,vp.data[[#This Row],[Unknown]]=0),1,0)</f>
        <v>0</v>
      </c>
      <c r="AF970">
        <f>IF(AND(vp.data[[#This Row],[CrudeType]]="Crude",vp.data[[#This Row],[Dens]]&gt;900,vp.data[[#This Row],[Sulf]]&lt;=0.5,vp.data[[#This Row],[Unknown]]=0),1,0)</f>
        <v>0</v>
      </c>
      <c r="AG970" t="str">
        <f>INDEX(vp.data[[#Headers],[Unknown]:[Heavy_SW]],MATCH(1,vp.data[[#This Row],[Unknown]:[Heavy_SW]],0))</f>
        <v>Medium_LSB</v>
      </c>
      <c r="AH970">
        <f>INDEX([3]!crudeBD.lkup[Number],MATCH(vp.data[[#This Row],[Crude_Breakdown]],crudeBD.lkup[Crude Breakdown],0))</f>
        <v>3</v>
      </c>
      <c r="AI970">
        <f>MONTH(vp.data[[#This Row],[SDate]])</f>
        <v>3</v>
      </c>
      <c r="AJ970" s="5">
        <f>(vp.data[[#This Row],[VP]]-INDEX(crudeBD.lkup[Mean_VP],MATCH(vp.data[[#This Row],[Crude_Breakdown]],crudeBD.lkup[Crude Breakdown],0)))^2</f>
        <v>1008.7181456571856</v>
      </c>
      <c r="AK970" s="5">
        <f>(vp.data[[#This Row],[Dens]]-INDEX(crudeBD.lkup[Mean_Dens],MATCH(vp.data[[#This Row],[Crude_Breakdown]],crudeBD.lkup[Crude Breakdown],0)))^2</f>
        <v>13.10439999999674</v>
      </c>
      <c r="AL970" s="5">
        <f>(vp.data[[#This Row],[Sulf]]-INDEX(crudeBD.lkup[Mean_Sulf],MATCH(vp.data[[#This Row],[Crude_Breakdown]],crudeBD.lkup[Crude Breakdown],0)))^2</f>
        <v>2.1143523305935632E-2</v>
      </c>
      <c r="AM970" s="4">
        <f>IF(AND(vp.data[[#This Row],[SDate]]&gt;=DATE(YEAR(vp.data[[#This Row],[SDate]]),5,1),vp.data[[#This Row],[SDate]]&lt;=DATE(YEAR(vp.data[[#This Row],[SDate]]),9,15)),1,0)</f>
        <v>0</v>
      </c>
      <c r="AN970" s="4">
        <f>IF(vp.data[[#This Row],[SDate]]&lt;DATE(2016,12,1),0,1)</f>
        <v>1</v>
      </c>
      <c r="AO970" s="4">
        <f>IFERROR(vp.data[[#This Row],[Sulf]]*vp.data[[#This Row],[Net Dens]],"")</f>
        <v>1113090.7568879998</v>
      </c>
      <c r="AP970">
        <f>IFERROR(vp.data[[#This Row],[Dens]]*vp.data[[#This Row],[VolumeM3]],"")</f>
        <v>897653.8361999999</v>
      </c>
      <c r="AQ970" s="15">
        <f>IFERROR(vp.data[[#This Row],[VP]]*vp.data[[#This Row],[VolumeM3]],"")</f>
        <v>120071.7496</v>
      </c>
    </row>
    <row r="971" spans="1:43" x14ac:dyDescent="0.25">
      <c r="A971">
        <v>970</v>
      </c>
      <c r="B971" t="s">
        <v>60</v>
      </c>
      <c r="C971" t="s">
        <v>60</v>
      </c>
      <c r="D971" t="s">
        <v>61</v>
      </c>
      <c r="E971" t="s">
        <v>73</v>
      </c>
      <c r="F971" s="1">
        <v>42805</v>
      </c>
      <c r="G971" s="2">
        <v>89.5</v>
      </c>
      <c r="H971" s="2">
        <v>1.0309999999999999</v>
      </c>
      <c r="I971" s="2">
        <f t="array" ref="I971">_xlfn.IFNA(IF(vp.data[[#This Row],[Sulf Input]]="",INDEX([1]DATA!$Q$3:$Q$9826,MATCH(1,(vp.data[[#This Row],[Battery]]=[1]DATA!$L$3:$L$9826)*(EOMONTH(vp.data[[#This Row],[SDate]],-1)+1=[1]DATA!$G$3:$G$9826),0)),vp.data[[#This Row],[Sulf Input]]),"")</f>
        <v>1.0309999999999999</v>
      </c>
      <c r="J971" s="2">
        <v>4.5</v>
      </c>
      <c r="K971" s="2">
        <v>-17</v>
      </c>
      <c r="L971" s="2">
        <v>843.9</v>
      </c>
      <c r="M971" s="2">
        <f t="array" ref="M971">_xlfn.IFNA(IF(vp.data[[#This Row],[Dens Input]]="",INDEX([1]DATA!$O$3:$O$9826,MATCH(1,(vp.data[[#This Row],[Battery]]=[1]DATA!$L$3:$L$9826)*(EOMONTH(vp.data[[#This Row],[SDate]],-1)+1=[1]DATA!$G$3:$G$9826),0)),vp.data[[#This Row],[Dens Input]]),"")</f>
        <v>843.9</v>
      </c>
      <c r="N971" s="2">
        <f ca="1">INDEX(INDIRECT(_xlfn.CONCAT("weather.tbl[",N$1,"]")),MATCH(vp.data[[#This Row],[SDate]],weather.tbl[Date],0))</f>
        <v>-18</v>
      </c>
      <c r="O971" s="2">
        <f ca="1">INDEX(INDIRECT(_xlfn.CONCAT("weather.tbl[",O$1,"]")),MATCH(vp.data[[#This Row],[SDate]],weather.tbl[Date],0))</f>
        <v>-13.185714285714285</v>
      </c>
      <c r="P971" s="2">
        <f ca="1">INDEX(INDIRECT(_xlfn.CONCAT("weather.tbl[",P$1,"]")),MATCH(vp.data[[#This Row],[SDate]],weather.tbl[Date],0))</f>
        <v>-17.7</v>
      </c>
      <c r="Q971" s="2">
        <f ca="1">INDEX(INDIRECT(_xlfn.CONCAT("weather.tbl[",Q$1,"]")),MATCH(vp.data[[#This Row],[SDate]],weather.tbl[Date],0))</f>
        <v>-18.100000000000001</v>
      </c>
      <c r="R971" s="2">
        <f ca="1">INDEX(INDIRECT(_xlfn.CONCAT("weather.tbl[",R$1,"]")),MATCH(vp.data[[#This Row],[SDate]],weather.tbl[Date],0))</f>
        <v>-18.5</v>
      </c>
      <c r="S971" s="2">
        <f ca="1">INDEX(INDIRECT(_xlfn.CONCAT("weather.tbl[",S$1,"]")),MATCH(vp.data[[#This Row],[SDate]],weather.tbl[Date],0))</f>
        <v>-17.600000000000001</v>
      </c>
      <c r="T971" s="2">
        <f ca="1">INDEX(INDIRECT(_xlfn.CONCAT("weather.tbl[",T$1,"]")),MATCH(vp.data[[#This Row],[SDate]],weather.tbl[Date],0))</f>
        <v>-18.100000000000001</v>
      </c>
      <c r="U971" s="2">
        <f ca="1">INDEX(INDIRECT(_xlfn.CONCAT("weather.tbl[",U$1,"]")),MATCH(vp.data[[#This Row],[SDate]],weather.tbl[Date],0))</f>
        <v>-18</v>
      </c>
      <c r="V971" s="2">
        <f t="array" ref="V9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71" t="s">
        <v>48</v>
      </c>
      <c r="X971">
        <f>IF(OR(vp.data[[#This Row],[Sulf]]="",vp.data[[#This Row],[Dens]]=""),1,0)</f>
        <v>0</v>
      </c>
      <c r="Y971">
        <f>IF(vp.data[[#This Row],[CrudeType]]="C5+",1,0)</f>
        <v>0</v>
      </c>
      <c r="Z971">
        <f>IF(AND(vp.data[[#This Row],[CrudeType]]="Crude",vp.data[[#This Row],[Dens]]&lt;=825,vp.data[[#This Row],[Sulf]]&gt;0.5,vp.data[[#This Row],[Unknown]]=0),1,0)</f>
        <v>0</v>
      </c>
      <c r="AA971">
        <f>IF(AND(vp.data[[#This Row],[CrudeType]]="Crude",vp.data[[#This Row],[Dens]]&lt;=825,vp.data[[#This Row],[Sulf]]&lt;=0.5,vp.data[[#This Row],[Unknown]]=0),1,0)</f>
        <v>0</v>
      </c>
      <c r="AB9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71">
        <f>IF(AND(vp.data[[#This Row],[CrudeType]]="Crude",vp.data[[#This Row],[Dens]]&gt;825,vp.data[[#This Row],[Dens]]&lt;=900,vp.data[[#This Row],[Sulf]]&lt;=0.5,vp.data[[#This Row],[Unknown]]=0),1,0)</f>
        <v>0</v>
      </c>
      <c r="AD971">
        <f>IF(AND(vp.data[[#This Row],[CrudeType]]="Crude",vp.data[[#This Row],[Dens]]&gt;865,vp.data[[#This Row],[Dens]]&lt;=900,vp.data[[#This Row],[Sulf]]&gt;2,vp.data[[#This Row],[Unknown]]=0),1,0)</f>
        <v>0</v>
      </c>
      <c r="AE971">
        <f>IF(AND(vp.data[[#This Row],[CrudeType]]="Crude",vp.data[[#This Row],[Dens]]&gt;900,vp.data[[#This Row],[Sulf]]&lt;=0.5,vp.data[[#This Row],[Unknown]]=0),1,0)</f>
        <v>0</v>
      </c>
      <c r="AF971">
        <f>IF(AND(vp.data[[#This Row],[CrudeType]]="Crude",vp.data[[#This Row],[Dens]]&gt;900,vp.data[[#This Row],[Sulf]]&lt;=0.5,vp.data[[#This Row],[Unknown]]=0),1,0)</f>
        <v>0</v>
      </c>
      <c r="AG971" t="str">
        <f>INDEX(vp.data[[#Headers],[Unknown]:[Heavy_SW]],MATCH(1,vp.data[[#This Row],[Unknown]:[Heavy_SW]],0))</f>
        <v>Medium_LSB</v>
      </c>
      <c r="AH971">
        <f>INDEX([3]!crudeBD.lkup[Number],MATCH(vp.data[[#This Row],[Crude_Breakdown]],crudeBD.lkup[Crude Breakdown],0))</f>
        <v>3</v>
      </c>
      <c r="AI971">
        <f>MONTH(vp.data[[#This Row],[SDate]])</f>
        <v>3</v>
      </c>
      <c r="AJ971" s="5">
        <f>(vp.data[[#This Row],[VP]]-INDEX(crudeBD.lkup[Mean_VP],MATCH(vp.data[[#This Row],[Crude_Breakdown]],crudeBD.lkup[Crude Breakdown],0)))^2</f>
        <v>78.505331641009391</v>
      </c>
      <c r="AK971" s="5">
        <f>(vp.data[[#This Row],[Dens]]-INDEX(crudeBD.lkup[Mean_Dens],MATCH(vp.data[[#This Row],[Crude_Breakdown]],crudeBD.lkup[Crude Breakdown],0)))^2</f>
        <v>3.9999999998108253E-4</v>
      </c>
      <c r="AL971" s="5">
        <f>(vp.data[[#This Row],[Sulf]]-INDEX(crudeBD.lkup[Mean_Sulf],MATCH(vp.data[[#This Row],[Crude_Breakdown]],crudeBD.lkup[Crude Breakdown],0)))^2</f>
        <v>0.12560512026011422</v>
      </c>
      <c r="AM971" s="4">
        <f>IF(AND(vp.data[[#This Row],[SDate]]&gt;=DATE(YEAR(vp.data[[#This Row],[SDate]]),5,1),vp.data[[#This Row],[SDate]]&lt;=DATE(YEAR(vp.data[[#This Row],[SDate]]),9,15)),1,0)</f>
        <v>0</v>
      </c>
      <c r="AN971" s="4">
        <f>IF(vp.data[[#This Row],[SDate]]&lt;DATE(2016,12,1),0,1)</f>
        <v>1</v>
      </c>
      <c r="AO971" s="4">
        <f>IFERROR(vp.data[[#This Row],[Sulf]]*vp.data[[#This Row],[Net Dens]],"")</f>
        <v>92291580.328425884</v>
      </c>
      <c r="AP971">
        <f>IFERROR(vp.data[[#This Row],[Dens]]*vp.data[[#This Row],[VolumeM3]],"")</f>
        <v>89516566.758899987</v>
      </c>
      <c r="AQ971" s="15">
        <f>IFERROR(vp.data[[#This Row],[VP]]*vp.data[[#This Row],[VolumeM3]],"")</f>
        <v>9493699.1645</v>
      </c>
    </row>
    <row r="972" spans="1:43" x14ac:dyDescent="0.25">
      <c r="A972">
        <v>971</v>
      </c>
      <c r="B972" t="s">
        <v>60</v>
      </c>
      <c r="C972" t="s">
        <v>60</v>
      </c>
      <c r="D972" t="s">
        <v>61</v>
      </c>
      <c r="E972" t="s">
        <v>55</v>
      </c>
      <c r="F972" s="1">
        <v>42805</v>
      </c>
      <c r="G972" s="2">
        <v>101.3</v>
      </c>
      <c r="H972" s="2">
        <v>1.0589999999999999</v>
      </c>
      <c r="I972" s="2">
        <f t="array" ref="I972">_xlfn.IFNA(IF(vp.data[[#This Row],[Sulf Input]]="",INDEX([1]DATA!$Q$3:$Q$9826,MATCH(1,(vp.data[[#This Row],[Battery]]=[1]DATA!$L$3:$L$9826)*(EOMONTH(vp.data[[#This Row],[SDate]],-1)+1=[1]DATA!$G$3:$G$9826),0)),vp.data[[#This Row],[Sulf Input]]),"")</f>
        <v>1.0589999999999999</v>
      </c>
      <c r="J972" s="2">
        <v>2.6</v>
      </c>
      <c r="K972" s="2">
        <v>-17</v>
      </c>
      <c r="L972" s="2">
        <v>833.9</v>
      </c>
      <c r="M972" s="2">
        <f t="array" ref="M972">_xlfn.IFNA(IF(vp.data[[#This Row],[Dens Input]]="",INDEX([1]DATA!$O$3:$O$9826,MATCH(1,(vp.data[[#This Row],[Battery]]=[1]DATA!$L$3:$L$9826)*(EOMONTH(vp.data[[#This Row],[SDate]],-1)+1=[1]DATA!$G$3:$G$9826),0)),vp.data[[#This Row],[Dens Input]]),"")</f>
        <v>833.9</v>
      </c>
      <c r="N972" s="2">
        <f ca="1">INDEX(INDIRECT(_xlfn.CONCAT("weather.tbl[",N$1,"]")),MATCH(vp.data[[#This Row],[SDate]],weather.tbl[Date],0))</f>
        <v>-18</v>
      </c>
      <c r="O972" s="2">
        <f ca="1">INDEX(INDIRECT(_xlfn.CONCAT("weather.tbl[",O$1,"]")),MATCH(vp.data[[#This Row],[SDate]],weather.tbl[Date],0))</f>
        <v>-13.185714285714285</v>
      </c>
      <c r="P972" s="2">
        <f ca="1">INDEX(INDIRECT(_xlfn.CONCAT("weather.tbl[",P$1,"]")),MATCH(vp.data[[#This Row],[SDate]],weather.tbl[Date],0))</f>
        <v>-17.7</v>
      </c>
      <c r="Q972" s="2">
        <f ca="1">INDEX(INDIRECT(_xlfn.CONCAT("weather.tbl[",Q$1,"]")),MATCH(vp.data[[#This Row],[SDate]],weather.tbl[Date],0))</f>
        <v>-18.100000000000001</v>
      </c>
      <c r="R972" s="2">
        <f ca="1">INDEX(INDIRECT(_xlfn.CONCAT("weather.tbl[",R$1,"]")),MATCH(vp.data[[#This Row],[SDate]],weather.tbl[Date],0))</f>
        <v>-18.5</v>
      </c>
      <c r="S972" s="2">
        <f ca="1">INDEX(INDIRECT(_xlfn.CONCAT("weather.tbl[",S$1,"]")),MATCH(vp.data[[#This Row],[SDate]],weather.tbl[Date],0))</f>
        <v>-17.600000000000001</v>
      </c>
      <c r="T972" s="2">
        <f ca="1">INDEX(INDIRECT(_xlfn.CONCAT("weather.tbl[",T$1,"]")),MATCH(vp.data[[#This Row],[SDate]],weather.tbl[Date],0))</f>
        <v>-18.100000000000001</v>
      </c>
      <c r="U972" s="2">
        <f ca="1">INDEX(INDIRECT(_xlfn.CONCAT("weather.tbl[",U$1,"]")),MATCH(vp.data[[#This Row],[SDate]],weather.tbl[Date],0))</f>
        <v>-18</v>
      </c>
      <c r="V972" s="2">
        <f t="array" ref="V9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972" t="s">
        <v>48</v>
      </c>
      <c r="X972">
        <f>IF(OR(vp.data[[#This Row],[Sulf]]="",vp.data[[#This Row],[Dens]]=""),1,0)</f>
        <v>0</v>
      </c>
      <c r="Y972">
        <f>IF(vp.data[[#This Row],[CrudeType]]="C5+",1,0)</f>
        <v>0</v>
      </c>
      <c r="Z972">
        <f>IF(AND(vp.data[[#This Row],[CrudeType]]="Crude",vp.data[[#This Row],[Dens]]&lt;=825,vp.data[[#This Row],[Sulf]]&gt;0.5,vp.data[[#This Row],[Unknown]]=0),1,0)</f>
        <v>0</v>
      </c>
      <c r="AA972">
        <f>IF(AND(vp.data[[#This Row],[CrudeType]]="Crude",vp.data[[#This Row],[Dens]]&lt;=825,vp.data[[#This Row],[Sulf]]&lt;=0.5,vp.data[[#This Row],[Unknown]]=0),1,0)</f>
        <v>0</v>
      </c>
      <c r="AB9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72">
        <f>IF(AND(vp.data[[#This Row],[CrudeType]]="Crude",vp.data[[#This Row],[Dens]]&gt;825,vp.data[[#This Row],[Dens]]&lt;=900,vp.data[[#This Row],[Sulf]]&lt;=0.5,vp.data[[#This Row],[Unknown]]=0),1,0)</f>
        <v>0</v>
      </c>
      <c r="AD972">
        <f>IF(AND(vp.data[[#This Row],[CrudeType]]="Crude",vp.data[[#This Row],[Dens]]&gt;865,vp.data[[#This Row],[Dens]]&lt;=900,vp.data[[#This Row],[Sulf]]&gt;2,vp.data[[#This Row],[Unknown]]=0),1,0)</f>
        <v>0</v>
      </c>
      <c r="AE972">
        <f>IF(AND(vp.data[[#This Row],[CrudeType]]="Crude",vp.data[[#This Row],[Dens]]&gt;900,vp.data[[#This Row],[Sulf]]&lt;=0.5,vp.data[[#This Row],[Unknown]]=0),1,0)</f>
        <v>0</v>
      </c>
      <c r="AF972">
        <f>IF(AND(vp.data[[#This Row],[CrudeType]]="Crude",vp.data[[#This Row],[Dens]]&gt;900,vp.data[[#This Row],[Sulf]]&lt;=0.5,vp.data[[#This Row],[Unknown]]=0),1,0)</f>
        <v>0</v>
      </c>
      <c r="AG972" t="str">
        <f>INDEX(vp.data[[#Headers],[Unknown]:[Heavy_SW]],MATCH(1,vp.data[[#This Row],[Unknown]:[Heavy_SW]],0))</f>
        <v>Medium_LSB</v>
      </c>
      <c r="AH972">
        <f>INDEX([3]!crudeBD.lkup[Number],MATCH(vp.data[[#This Row],[Crude_Breakdown]],crudeBD.lkup[Crude Breakdown],0))</f>
        <v>3</v>
      </c>
      <c r="AI972">
        <f>MONTH(vp.data[[#This Row],[SDate]])</f>
        <v>3</v>
      </c>
      <c r="AJ972" s="5">
        <f>(vp.data[[#This Row],[VP]]-INDEX(crudeBD.lkup[Mean_VP],MATCH(vp.data[[#This Row],[Crude_Breakdown]],crudeBD.lkup[Crude Breakdown],0)))^2</f>
        <v>426.84896506419159</v>
      </c>
      <c r="AK972" s="5">
        <f>(vp.data[[#This Row],[Dens]]-INDEX(crudeBD.lkup[Mean_Dens],MATCH(vp.data[[#This Row],[Crude_Breakdown]],crudeBD.lkup[Crude Breakdown],0)))^2</f>
        <v>100.40039999999053</v>
      </c>
      <c r="AL972" s="5">
        <f>(vp.data[[#This Row],[Sulf]]-INDEX(crudeBD.lkup[Mean_Sulf],MATCH(vp.data[[#This Row],[Crude_Breakdown]],crudeBD.lkup[Crude Breakdown],0)))^2</f>
        <v>0.10654226516577449</v>
      </c>
      <c r="AM972" s="4">
        <f>IF(AND(vp.data[[#This Row],[SDate]]&gt;=DATE(YEAR(vp.data[[#This Row],[SDate]]),5,1),vp.data[[#This Row],[SDate]]&lt;=DATE(YEAR(vp.data[[#This Row],[SDate]]),9,15)),1,0)</f>
        <v>0</v>
      </c>
      <c r="AN972" s="4">
        <f>IF(vp.data[[#This Row],[SDate]]&lt;DATE(2016,12,1),0,1)</f>
        <v>1</v>
      </c>
      <c r="AO972" s="4">
        <f>IFERROR(vp.data[[#This Row],[Sulf]]*vp.data[[#This Row],[Net Dens]],"")</f>
        <v>93674711.525585085</v>
      </c>
      <c r="AP972">
        <f>IFERROR(vp.data[[#This Row],[Dens]]*vp.data[[#This Row],[VolumeM3]],"")</f>
        <v>88455818.248899996</v>
      </c>
      <c r="AQ972" s="15">
        <f>IFERROR(vp.data[[#This Row],[VP]]*vp.data[[#This Row],[VolumeM3]],"")</f>
        <v>10745382.406299999</v>
      </c>
    </row>
    <row r="973" spans="1:43" x14ac:dyDescent="0.25">
      <c r="A973">
        <v>972</v>
      </c>
      <c r="B973" t="s">
        <v>49</v>
      </c>
      <c r="C973" t="s">
        <v>49</v>
      </c>
      <c r="D973" t="s">
        <v>75</v>
      </c>
      <c r="F973" s="1">
        <v>42806</v>
      </c>
      <c r="G973" s="2">
        <v>98.4</v>
      </c>
      <c r="H973" s="2">
        <v>0.183</v>
      </c>
      <c r="I973" s="2">
        <f t="array" ref="I973">_xlfn.IFNA(IF(vp.data[[#This Row],[Sulf Input]]="",INDEX([1]DATA!$Q$3:$Q$9826,MATCH(1,(vp.data[[#This Row],[Battery]]=[1]DATA!$L$3:$L$9826)*(EOMONTH(vp.data[[#This Row],[SDate]],-1)+1=[1]DATA!$G$3:$G$9826),0)),vp.data[[#This Row],[Sulf Input]]),"")</f>
        <v>0.183</v>
      </c>
      <c r="J973" s="2">
        <v>23</v>
      </c>
      <c r="K973" s="2">
        <v>-14</v>
      </c>
      <c r="L973" s="2">
        <v>801.2</v>
      </c>
      <c r="M973" s="2">
        <f t="array" ref="M973">_xlfn.IFNA(IF(vp.data[[#This Row],[Dens Input]]="",INDEX([1]DATA!$O$3:$O$9826,MATCH(1,(vp.data[[#This Row],[Battery]]=[1]DATA!$L$3:$L$9826)*(EOMONTH(vp.data[[#This Row],[SDate]],-1)+1=[1]DATA!$G$3:$G$9826),0)),vp.data[[#This Row],[Dens Input]]),"")</f>
        <v>801.2</v>
      </c>
      <c r="N973" s="2">
        <f ca="1">INDEX(INDIRECT(_xlfn.CONCAT("weather.tbl[",N$1,"]")),MATCH(vp.data[[#This Row],[SDate]],weather.tbl[Date],0))</f>
        <v>-17.216666666666669</v>
      </c>
      <c r="O973" s="2">
        <f ca="1">INDEX(INDIRECT(_xlfn.CONCAT("weather.tbl[",O$1,"]")),MATCH(vp.data[[#This Row],[SDate]],weather.tbl[Date],0))</f>
        <v>-15.638095238095238</v>
      </c>
      <c r="P973" s="2">
        <f ca="1">INDEX(INDIRECT(_xlfn.CONCAT("weather.tbl[",P$1,"]")),MATCH(vp.data[[#This Row],[SDate]],weather.tbl[Date],0))</f>
        <v>-17.3</v>
      </c>
      <c r="Q973" s="2">
        <f ca="1">INDEX(INDIRECT(_xlfn.CONCAT("weather.tbl[",Q$1,"]")),MATCH(vp.data[[#This Row],[SDate]],weather.tbl[Date],0))</f>
        <v>-17.3</v>
      </c>
      <c r="R973" s="2">
        <f ca="1">INDEX(INDIRECT(_xlfn.CONCAT("weather.tbl[",R$1,"]")),MATCH(vp.data[[#This Row],[SDate]],weather.tbl[Date],0))</f>
        <v>-17</v>
      </c>
      <c r="S973" s="2">
        <f ca="1">INDEX(INDIRECT(_xlfn.CONCAT("weather.tbl[",S$1,"]")),MATCH(vp.data[[#This Row],[SDate]],weather.tbl[Date],0))</f>
        <v>-16.8</v>
      </c>
      <c r="T973" s="2">
        <f ca="1">INDEX(INDIRECT(_xlfn.CONCAT("weather.tbl[",T$1,"]")),MATCH(vp.data[[#This Row],[SDate]],weather.tbl[Date],0))</f>
        <v>-18.899999999999999</v>
      </c>
      <c r="U973" s="2">
        <f ca="1">INDEX(INDIRECT(_xlfn.CONCAT("weather.tbl[",U$1,"]")),MATCH(vp.data[[#This Row],[SDate]],weather.tbl[Date],0))</f>
        <v>-16</v>
      </c>
      <c r="V973" s="2">
        <f t="array" ref="V9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1638.6679999999999</v>
      </c>
      <c r="W973" t="s">
        <v>48</v>
      </c>
      <c r="X973">
        <f>IF(OR(vp.data[[#This Row],[Sulf]]="",vp.data[[#This Row],[Dens]]=""),1,0)</f>
        <v>0</v>
      </c>
      <c r="Y973">
        <f>IF(vp.data[[#This Row],[CrudeType]]="C5+",1,0)</f>
        <v>0</v>
      </c>
      <c r="Z973">
        <f>IF(AND(vp.data[[#This Row],[CrudeType]]="Crude",vp.data[[#This Row],[Dens]]&lt;=825,vp.data[[#This Row],[Sulf]]&gt;0.5,vp.data[[#This Row],[Unknown]]=0),1,0)</f>
        <v>0</v>
      </c>
      <c r="AA973">
        <f>IF(AND(vp.data[[#This Row],[CrudeType]]="Crude",vp.data[[#This Row],[Dens]]&lt;=825,vp.data[[#This Row],[Sulf]]&lt;=0.5,vp.data[[#This Row],[Unknown]]=0),1,0)</f>
        <v>1</v>
      </c>
      <c r="AB9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3">
        <f>IF(AND(vp.data[[#This Row],[CrudeType]]="Crude",vp.data[[#This Row],[Dens]]&gt;825,vp.data[[#This Row],[Dens]]&lt;=900,vp.data[[#This Row],[Sulf]]&lt;=0.5,vp.data[[#This Row],[Unknown]]=0),1,0)</f>
        <v>0</v>
      </c>
      <c r="AD973">
        <f>IF(AND(vp.data[[#This Row],[CrudeType]]="Crude",vp.data[[#This Row],[Dens]]&gt;865,vp.data[[#This Row],[Dens]]&lt;=900,vp.data[[#This Row],[Sulf]]&gt;2,vp.data[[#This Row],[Unknown]]=0),1,0)</f>
        <v>0</v>
      </c>
      <c r="AE973">
        <f>IF(AND(vp.data[[#This Row],[CrudeType]]="Crude",vp.data[[#This Row],[Dens]]&gt;900,vp.data[[#This Row],[Sulf]]&lt;=0.5,vp.data[[#This Row],[Unknown]]=0),1,0)</f>
        <v>0</v>
      </c>
      <c r="AF973">
        <f>IF(AND(vp.data[[#This Row],[CrudeType]]="Crude",vp.data[[#This Row],[Dens]]&gt;900,vp.data[[#This Row],[Sulf]]&lt;=0.5,vp.data[[#This Row],[Unknown]]=0),1,0)</f>
        <v>0</v>
      </c>
      <c r="AG973" t="str">
        <f>INDEX(vp.data[[#Headers],[Unknown]:[Heavy_SW]],MATCH(1,vp.data[[#This Row],[Unknown]:[Heavy_SW]],0))</f>
        <v>Light_SW</v>
      </c>
      <c r="AH973">
        <f>INDEX([3]!crudeBD.lkup[Number],MATCH(vp.data[[#This Row],[Crude_Breakdown]],crudeBD.lkup[Crude Breakdown],0))</f>
        <v>2</v>
      </c>
      <c r="AI973">
        <f>MONTH(vp.data[[#This Row],[SDate]])</f>
        <v>3</v>
      </c>
      <c r="AJ973" s="5">
        <f>(vp.data[[#This Row],[VP]]-INDEX(crudeBD.lkup[Mean_VP],MATCH(vp.data[[#This Row],[Crude_Breakdown]],crudeBD.lkup[Crude Breakdown],0)))^2</f>
        <v>34.218831108791342</v>
      </c>
      <c r="AK973" s="5">
        <f>(vp.data[[#This Row],[Dens]]-INDEX(crudeBD.lkup[Mean_Dens],MATCH(vp.data[[#This Row],[Crude_Breakdown]],crudeBD.lkup[Crude Breakdown],0)))^2</f>
        <v>50.573407471253638</v>
      </c>
      <c r="AL973" s="5">
        <f>(vp.data[[#This Row],[Sulf]]-INDEX(crudeBD.lkup[Mean_Sulf],MATCH(vp.data[[#This Row],[Crude_Breakdown]],crudeBD.lkup[Crude Breakdown],0)))^2</f>
        <v>2.8346905287183126E-3</v>
      </c>
      <c r="AM973" s="4">
        <f>IF(AND(vp.data[[#This Row],[SDate]]&gt;=DATE(YEAR(vp.data[[#This Row],[SDate]]),5,1),vp.data[[#This Row],[SDate]]&lt;=DATE(YEAR(vp.data[[#This Row],[SDate]]),9,15)),1,0)</f>
        <v>0</v>
      </c>
      <c r="AN973" s="4">
        <f>IF(vp.data[[#This Row],[SDate]]&lt;DATE(2016,12,1),0,1)</f>
        <v>1</v>
      </c>
      <c r="AO973" s="4">
        <f>IFERROR(vp.data[[#This Row],[Sulf]]*vp.data[[#This Row],[Net Dens]],"")</f>
        <v>240260.84669279997</v>
      </c>
      <c r="AP973">
        <f>IFERROR(vp.data[[#This Row],[Dens]]*vp.data[[#This Row],[VolumeM3]],"")</f>
        <v>1312900.8015999999</v>
      </c>
      <c r="AQ973" s="15">
        <f>IFERROR(vp.data[[#This Row],[VP]]*vp.data[[#This Row],[VolumeM3]],"")</f>
        <v>161244.93119999999</v>
      </c>
    </row>
    <row r="974" spans="1:43" x14ac:dyDescent="0.25">
      <c r="A974">
        <v>973</v>
      </c>
      <c r="B974" t="s">
        <v>49</v>
      </c>
      <c r="C974" t="s">
        <v>49</v>
      </c>
      <c r="D974" t="s">
        <v>78</v>
      </c>
      <c r="F974" s="1">
        <v>42806</v>
      </c>
      <c r="G974" s="2">
        <v>86.1</v>
      </c>
      <c r="H974" s="2">
        <v>0.189</v>
      </c>
      <c r="I974" s="2">
        <f t="array" ref="I974">_xlfn.IFNA(IF(vp.data[[#This Row],[Sulf Input]]="",INDEX([1]DATA!$Q$3:$Q$9826,MATCH(1,(vp.data[[#This Row],[Battery]]=[1]DATA!$L$3:$L$9826)*(EOMONTH(vp.data[[#This Row],[SDate]],-1)+1=[1]DATA!$G$3:$G$9826),0)),vp.data[[#This Row],[Sulf Input]]),"")</f>
        <v>0.189</v>
      </c>
      <c r="J974" s="2">
        <v>19</v>
      </c>
      <c r="K974" s="2">
        <v>-14</v>
      </c>
      <c r="L974" s="2">
        <v>807.5</v>
      </c>
      <c r="M974" s="2">
        <f t="array" ref="M974">_xlfn.IFNA(IF(vp.data[[#This Row],[Dens Input]]="",INDEX([1]DATA!$O$3:$O$9826,MATCH(1,(vp.data[[#This Row],[Battery]]=[1]DATA!$L$3:$L$9826)*(EOMONTH(vp.data[[#This Row],[SDate]],-1)+1=[1]DATA!$G$3:$G$9826),0)),vp.data[[#This Row],[Dens Input]]),"")</f>
        <v>807.5</v>
      </c>
      <c r="N974" s="2">
        <f ca="1">INDEX(INDIRECT(_xlfn.CONCAT("weather.tbl[",N$1,"]")),MATCH(vp.data[[#This Row],[SDate]],weather.tbl[Date],0))</f>
        <v>-17.216666666666669</v>
      </c>
      <c r="O974" s="2">
        <f ca="1">INDEX(INDIRECT(_xlfn.CONCAT("weather.tbl[",O$1,"]")),MATCH(vp.data[[#This Row],[SDate]],weather.tbl[Date],0))</f>
        <v>-15.638095238095238</v>
      </c>
      <c r="P974" s="2">
        <f ca="1">INDEX(INDIRECT(_xlfn.CONCAT("weather.tbl[",P$1,"]")),MATCH(vp.data[[#This Row],[SDate]],weather.tbl[Date],0))</f>
        <v>-17.3</v>
      </c>
      <c r="Q974" s="2">
        <f ca="1">INDEX(INDIRECT(_xlfn.CONCAT("weather.tbl[",Q$1,"]")),MATCH(vp.data[[#This Row],[SDate]],weather.tbl[Date],0))</f>
        <v>-17.3</v>
      </c>
      <c r="R974" s="2">
        <f ca="1">INDEX(INDIRECT(_xlfn.CONCAT("weather.tbl[",R$1,"]")),MATCH(vp.data[[#This Row],[SDate]],weather.tbl[Date],0))</f>
        <v>-17</v>
      </c>
      <c r="S974" s="2">
        <f ca="1">INDEX(INDIRECT(_xlfn.CONCAT("weather.tbl[",S$1,"]")),MATCH(vp.data[[#This Row],[SDate]],weather.tbl[Date],0))</f>
        <v>-16.8</v>
      </c>
      <c r="T974" s="2">
        <f ca="1">INDEX(INDIRECT(_xlfn.CONCAT("weather.tbl[",T$1,"]")),MATCH(vp.data[[#This Row],[SDate]],weather.tbl[Date],0))</f>
        <v>-18.899999999999999</v>
      </c>
      <c r="U974" s="2">
        <f ca="1">INDEX(INDIRECT(_xlfn.CONCAT("weather.tbl[",U$1,"]")),MATCH(vp.data[[#This Row],[SDate]],weather.tbl[Date],0))</f>
        <v>-16</v>
      </c>
      <c r="V974" s="2">
        <f t="array" ref="V9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19019.342000000001</v>
      </c>
      <c r="W974" t="s">
        <v>48</v>
      </c>
      <c r="X974">
        <f>IF(OR(vp.data[[#This Row],[Sulf]]="",vp.data[[#This Row],[Dens]]=""),1,0)</f>
        <v>0</v>
      </c>
      <c r="Y974">
        <f>IF(vp.data[[#This Row],[CrudeType]]="C5+",1,0)</f>
        <v>0</v>
      </c>
      <c r="Z974">
        <f>IF(AND(vp.data[[#This Row],[CrudeType]]="Crude",vp.data[[#This Row],[Dens]]&lt;=825,vp.data[[#This Row],[Sulf]]&gt;0.5,vp.data[[#This Row],[Unknown]]=0),1,0)</f>
        <v>0</v>
      </c>
      <c r="AA974">
        <f>IF(AND(vp.data[[#This Row],[CrudeType]]="Crude",vp.data[[#This Row],[Dens]]&lt;=825,vp.data[[#This Row],[Sulf]]&lt;=0.5,vp.data[[#This Row],[Unknown]]=0),1,0)</f>
        <v>1</v>
      </c>
      <c r="AB9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4">
        <f>IF(AND(vp.data[[#This Row],[CrudeType]]="Crude",vp.data[[#This Row],[Dens]]&gt;825,vp.data[[#This Row],[Dens]]&lt;=900,vp.data[[#This Row],[Sulf]]&lt;=0.5,vp.data[[#This Row],[Unknown]]=0),1,0)</f>
        <v>0</v>
      </c>
      <c r="AD974">
        <f>IF(AND(vp.data[[#This Row],[CrudeType]]="Crude",vp.data[[#This Row],[Dens]]&gt;865,vp.data[[#This Row],[Dens]]&lt;=900,vp.data[[#This Row],[Sulf]]&gt;2,vp.data[[#This Row],[Unknown]]=0),1,0)</f>
        <v>0</v>
      </c>
      <c r="AE974">
        <f>IF(AND(vp.data[[#This Row],[CrudeType]]="Crude",vp.data[[#This Row],[Dens]]&gt;900,vp.data[[#This Row],[Sulf]]&lt;=0.5,vp.data[[#This Row],[Unknown]]=0),1,0)</f>
        <v>0</v>
      </c>
      <c r="AF974">
        <f>IF(AND(vp.data[[#This Row],[CrudeType]]="Crude",vp.data[[#This Row],[Dens]]&gt;900,vp.data[[#This Row],[Sulf]]&lt;=0.5,vp.data[[#This Row],[Unknown]]=0),1,0)</f>
        <v>0</v>
      </c>
      <c r="AG974" t="str">
        <f>INDEX(vp.data[[#Headers],[Unknown]:[Heavy_SW]],MATCH(1,vp.data[[#This Row],[Unknown]:[Heavy_SW]],0))</f>
        <v>Light_SW</v>
      </c>
      <c r="AH974">
        <f>INDEX([3]!crudeBD.lkup[Number],MATCH(vp.data[[#This Row],[Crude_Breakdown]],crudeBD.lkup[Crude Breakdown],0))</f>
        <v>2</v>
      </c>
      <c r="AI974">
        <f>MONTH(vp.data[[#This Row],[SDate]])</f>
        <v>3</v>
      </c>
      <c r="AJ974" s="5">
        <f>(vp.data[[#This Row],[VP]]-INDEX(crudeBD.lkup[Mean_VP],MATCH(vp.data[[#This Row],[Crude_Breakdown]],crudeBD.lkup[Crude Breakdown],0)))^2</f>
        <v>41.606545394504906</v>
      </c>
      <c r="AK974" s="5">
        <f>(vp.data[[#This Row],[Dens]]-INDEX(crudeBD.lkup[Mean_Dens],MATCH(vp.data[[#This Row],[Crude_Breakdown]],crudeBD.lkup[Crude Breakdown],0)))^2</f>
        <v>0.65852942247654833</v>
      </c>
      <c r="AL974" s="5">
        <f>(vp.data[[#This Row],[Sulf]]-INDEX(crudeBD.lkup[Mean_Sulf],MATCH(vp.data[[#This Row],[Crude_Breakdown]],crudeBD.lkup[Crude Breakdown],0)))^2</f>
        <v>2.231788786558035E-3</v>
      </c>
      <c r="AM974" s="4">
        <f>IF(AND(vp.data[[#This Row],[SDate]]&gt;=DATE(YEAR(vp.data[[#This Row],[SDate]]),5,1),vp.data[[#This Row],[SDate]]&lt;=DATE(YEAR(vp.data[[#This Row],[SDate]]),9,15)),1,0)</f>
        <v>0</v>
      </c>
      <c r="AN974" s="4">
        <f>IF(vp.data[[#This Row],[SDate]]&lt;DATE(2016,12,1),0,1)</f>
        <v>1</v>
      </c>
      <c r="AO974" s="4">
        <f>IFERROR(vp.data[[#This Row],[Sulf]]*vp.data[[#This Row],[Net Dens]],"")</f>
        <v>2902684.427685</v>
      </c>
      <c r="AP974">
        <f>IFERROR(vp.data[[#This Row],[Dens]]*vp.data[[#This Row],[VolumeM3]],"")</f>
        <v>15358118.665000001</v>
      </c>
      <c r="AQ974" s="15">
        <f>IFERROR(vp.data[[#This Row],[VP]]*vp.data[[#This Row],[VolumeM3]],"")</f>
        <v>1637565.3462</v>
      </c>
    </row>
    <row r="975" spans="1:43" x14ac:dyDescent="0.25">
      <c r="A975">
        <v>974</v>
      </c>
      <c r="B975" t="s">
        <v>49</v>
      </c>
      <c r="C975" t="s">
        <v>49</v>
      </c>
      <c r="D975" t="s">
        <v>67</v>
      </c>
      <c r="F975" s="1">
        <v>42806</v>
      </c>
      <c r="G975" s="2">
        <v>106.2</v>
      </c>
      <c r="H975" s="2">
        <v>0.56599999999999995</v>
      </c>
      <c r="I975" s="2">
        <f t="array" ref="I975">_xlfn.IFNA(IF(vp.data[[#This Row],[Sulf Input]]="",INDEX([1]DATA!$Q$3:$Q$9826,MATCH(1,(vp.data[[#This Row],[Battery]]=[1]DATA!$L$3:$L$9826)*(EOMONTH(vp.data[[#This Row],[SDate]],-1)+1=[1]DATA!$G$3:$G$9826),0)),vp.data[[#This Row],[Sulf Input]]),"")</f>
        <v>0.56599999999999995</v>
      </c>
      <c r="J975" s="2">
        <v>2.4</v>
      </c>
      <c r="K975" s="2">
        <v>-14</v>
      </c>
      <c r="L975" s="2">
        <v>818.3</v>
      </c>
      <c r="M975" s="2">
        <f t="array" ref="M975">_xlfn.IFNA(IF(vp.data[[#This Row],[Dens Input]]="",INDEX([1]DATA!$O$3:$O$9826,MATCH(1,(vp.data[[#This Row],[Battery]]=[1]DATA!$L$3:$L$9826)*(EOMONTH(vp.data[[#This Row],[SDate]],-1)+1=[1]DATA!$G$3:$G$9826),0)),vp.data[[#This Row],[Dens Input]]),"")</f>
        <v>818.3</v>
      </c>
      <c r="N975" s="2">
        <f ca="1">INDEX(INDIRECT(_xlfn.CONCAT("weather.tbl[",N$1,"]")),MATCH(vp.data[[#This Row],[SDate]],weather.tbl[Date],0))</f>
        <v>-17.216666666666669</v>
      </c>
      <c r="O975" s="2">
        <f ca="1">INDEX(INDIRECT(_xlfn.CONCAT("weather.tbl[",O$1,"]")),MATCH(vp.data[[#This Row],[SDate]],weather.tbl[Date],0))</f>
        <v>-15.638095238095238</v>
      </c>
      <c r="P975" s="2">
        <f ca="1">INDEX(INDIRECT(_xlfn.CONCAT("weather.tbl[",P$1,"]")),MATCH(vp.data[[#This Row],[SDate]],weather.tbl[Date],0))</f>
        <v>-17.3</v>
      </c>
      <c r="Q975" s="2">
        <f ca="1">INDEX(INDIRECT(_xlfn.CONCAT("weather.tbl[",Q$1,"]")),MATCH(vp.data[[#This Row],[SDate]],weather.tbl[Date],0))</f>
        <v>-17.3</v>
      </c>
      <c r="R975" s="2">
        <f ca="1">INDEX(INDIRECT(_xlfn.CONCAT("weather.tbl[",R$1,"]")),MATCH(vp.data[[#This Row],[SDate]],weather.tbl[Date],0))</f>
        <v>-17</v>
      </c>
      <c r="S975" s="2">
        <f ca="1">INDEX(INDIRECT(_xlfn.CONCAT("weather.tbl[",S$1,"]")),MATCH(vp.data[[#This Row],[SDate]],weather.tbl[Date],0))</f>
        <v>-16.8</v>
      </c>
      <c r="T975" s="2">
        <f ca="1">INDEX(INDIRECT(_xlfn.CONCAT("weather.tbl[",T$1,"]")),MATCH(vp.data[[#This Row],[SDate]],weather.tbl[Date],0))</f>
        <v>-18.899999999999999</v>
      </c>
      <c r="U975" s="2">
        <f ca="1">INDEX(INDIRECT(_xlfn.CONCAT("weather.tbl[",U$1,"]")),MATCH(vp.data[[#This Row],[SDate]],weather.tbl[Date],0))</f>
        <v>-16</v>
      </c>
      <c r="V975" s="2">
        <f t="array" ref="V9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975" t="s">
        <v>48</v>
      </c>
      <c r="X975">
        <f>IF(OR(vp.data[[#This Row],[Sulf]]="",vp.data[[#This Row],[Dens]]=""),1,0)</f>
        <v>0</v>
      </c>
      <c r="Y975">
        <f>IF(vp.data[[#This Row],[CrudeType]]="C5+",1,0)</f>
        <v>0</v>
      </c>
      <c r="Z975">
        <f>IF(AND(vp.data[[#This Row],[CrudeType]]="Crude",vp.data[[#This Row],[Dens]]&lt;=825,vp.data[[#This Row],[Sulf]]&gt;0.5,vp.data[[#This Row],[Unknown]]=0),1,0)</f>
        <v>1</v>
      </c>
      <c r="AA975">
        <f>IF(AND(vp.data[[#This Row],[CrudeType]]="Crude",vp.data[[#This Row],[Dens]]&lt;=825,vp.data[[#This Row],[Sulf]]&lt;=0.5,vp.data[[#This Row],[Unknown]]=0),1,0)</f>
        <v>0</v>
      </c>
      <c r="AB9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5">
        <f>IF(AND(vp.data[[#This Row],[CrudeType]]="Crude",vp.data[[#This Row],[Dens]]&gt;825,vp.data[[#This Row],[Dens]]&lt;=900,vp.data[[#This Row],[Sulf]]&lt;=0.5,vp.data[[#This Row],[Unknown]]=0),1,0)</f>
        <v>0</v>
      </c>
      <c r="AD975">
        <f>IF(AND(vp.data[[#This Row],[CrudeType]]="Crude",vp.data[[#This Row],[Dens]]&gt;865,vp.data[[#This Row],[Dens]]&lt;=900,vp.data[[#This Row],[Sulf]]&gt;2,vp.data[[#This Row],[Unknown]]=0),1,0)</f>
        <v>0</v>
      </c>
      <c r="AE975">
        <f>IF(AND(vp.data[[#This Row],[CrudeType]]="Crude",vp.data[[#This Row],[Dens]]&gt;900,vp.data[[#This Row],[Sulf]]&lt;=0.5,vp.data[[#This Row],[Unknown]]=0),1,0)</f>
        <v>0</v>
      </c>
      <c r="AF975">
        <f>IF(AND(vp.data[[#This Row],[CrudeType]]="Crude",vp.data[[#This Row],[Dens]]&gt;900,vp.data[[#This Row],[Sulf]]&lt;=0.5,vp.data[[#This Row],[Unknown]]=0),1,0)</f>
        <v>0</v>
      </c>
      <c r="AG975" t="str">
        <f>INDEX(vp.data[[#Headers],[Unknown]:[Heavy_SW]],MATCH(1,vp.data[[#This Row],[Unknown]:[Heavy_SW]],0))</f>
        <v>Light_LSB</v>
      </c>
      <c r="AH975">
        <f>INDEX([3]!crudeBD.lkup[Number],MATCH(vp.data[[#This Row],[Crude_Breakdown]],crudeBD.lkup[Crude Breakdown],0))</f>
        <v>1</v>
      </c>
      <c r="AI975">
        <f>MONTH(vp.data[[#This Row],[SDate]])</f>
        <v>3</v>
      </c>
      <c r="AJ975" s="5">
        <f>(vp.data[[#This Row],[VP]]-INDEX(crudeBD.lkup[Mean_VP],MATCH(vp.data[[#This Row],[Crude_Breakdown]],crudeBD.lkup[Crude Breakdown],0)))^2</f>
        <v>214.73427743649614</v>
      </c>
      <c r="AK975" s="5">
        <f>(vp.data[[#This Row],[Dens]]-INDEX(crudeBD.lkup[Mean_Dens],MATCH(vp.data[[#This Row],[Crude_Breakdown]],crudeBD.lkup[Crude Breakdown],0)))^2</f>
        <v>4.698912861196889E-2</v>
      </c>
      <c r="AL975" s="5">
        <f>(vp.data[[#This Row],[Sulf]]-INDEX(crudeBD.lkup[Mean_Sulf],MATCH(vp.data[[#This Row],[Crude_Breakdown]],crudeBD.lkup[Crude Breakdown],0)))^2</f>
        <v>0.12742841505806601</v>
      </c>
      <c r="AM975" s="4">
        <f>IF(AND(vp.data[[#This Row],[SDate]]&gt;=DATE(YEAR(vp.data[[#This Row],[SDate]]),5,1),vp.data[[#This Row],[SDate]]&lt;=DATE(YEAR(vp.data[[#This Row],[SDate]]),9,15)),1,0)</f>
        <v>0</v>
      </c>
      <c r="AN975" s="4">
        <f>IF(vp.data[[#This Row],[SDate]]&lt;DATE(2016,12,1),0,1)</f>
        <v>1</v>
      </c>
      <c r="AO975" s="4">
        <f>IFERROR(vp.data[[#This Row],[Sulf]]*vp.data[[#This Row],[Net Dens]],"")</f>
        <v>61427419.898455791</v>
      </c>
      <c r="AP975">
        <f>IFERROR(vp.data[[#This Row],[Dens]]*vp.data[[#This Row],[VolumeM3]],"")</f>
        <v>108529010.42129999</v>
      </c>
      <c r="AQ975" s="15">
        <f>IFERROR(vp.data[[#This Row],[VP]]*vp.data[[#This Row],[VolumeM3]],"")</f>
        <v>14085031.0482</v>
      </c>
    </row>
    <row r="976" spans="1:43" x14ac:dyDescent="0.25">
      <c r="A976">
        <v>975</v>
      </c>
      <c r="B976" t="s">
        <v>49</v>
      </c>
      <c r="C976" t="s">
        <v>49</v>
      </c>
      <c r="D976" t="s">
        <v>70</v>
      </c>
      <c r="F976" s="1">
        <v>42806</v>
      </c>
      <c r="G976" s="2">
        <v>96.5</v>
      </c>
      <c r="H976" s="2">
        <v>0.88800000000000001</v>
      </c>
      <c r="I976" s="2">
        <f t="array" ref="I976">_xlfn.IFNA(IF(vp.data[[#This Row],[Sulf Input]]="",INDEX([1]DATA!$Q$3:$Q$9826,MATCH(1,(vp.data[[#This Row],[Battery]]=[1]DATA!$L$3:$L$9826)*(EOMONTH(vp.data[[#This Row],[SDate]],-1)+1=[1]DATA!$G$3:$G$9826),0)),vp.data[[#This Row],[Sulf Input]]),"")</f>
        <v>0.88800000000000001</v>
      </c>
      <c r="J976" s="2">
        <v>5.0999999999999996</v>
      </c>
      <c r="K976" s="2">
        <v>-14</v>
      </c>
      <c r="L976" s="2">
        <v>821.9</v>
      </c>
      <c r="M976" s="2">
        <f t="array" ref="M976">_xlfn.IFNA(IF(vp.data[[#This Row],[Dens Input]]="",INDEX([1]DATA!$O$3:$O$9826,MATCH(1,(vp.data[[#This Row],[Battery]]=[1]DATA!$L$3:$L$9826)*(EOMONTH(vp.data[[#This Row],[SDate]],-1)+1=[1]DATA!$G$3:$G$9826),0)),vp.data[[#This Row],[Dens Input]]),"")</f>
        <v>821.9</v>
      </c>
      <c r="N976" s="2">
        <f ca="1">INDEX(INDIRECT(_xlfn.CONCAT("weather.tbl[",N$1,"]")),MATCH(vp.data[[#This Row],[SDate]],weather.tbl[Date],0))</f>
        <v>-17.216666666666669</v>
      </c>
      <c r="O976" s="2">
        <f ca="1">INDEX(INDIRECT(_xlfn.CONCAT("weather.tbl[",O$1,"]")),MATCH(vp.data[[#This Row],[SDate]],weather.tbl[Date],0))</f>
        <v>-15.638095238095238</v>
      </c>
      <c r="P976" s="2">
        <f ca="1">INDEX(INDIRECT(_xlfn.CONCAT("weather.tbl[",P$1,"]")),MATCH(vp.data[[#This Row],[SDate]],weather.tbl[Date],0))</f>
        <v>-17.3</v>
      </c>
      <c r="Q976" s="2">
        <f ca="1">INDEX(INDIRECT(_xlfn.CONCAT("weather.tbl[",Q$1,"]")),MATCH(vp.data[[#This Row],[SDate]],weather.tbl[Date],0))</f>
        <v>-17.3</v>
      </c>
      <c r="R976" s="2">
        <f ca="1">INDEX(INDIRECT(_xlfn.CONCAT("weather.tbl[",R$1,"]")),MATCH(vp.data[[#This Row],[SDate]],weather.tbl[Date],0))</f>
        <v>-17</v>
      </c>
      <c r="S976" s="2">
        <f ca="1">INDEX(INDIRECT(_xlfn.CONCAT("weather.tbl[",S$1,"]")),MATCH(vp.data[[#This Row],[SDate]],weather.tbl[Date],0))</f>
        <v>-16.8</v>
      </c>
      <c r="T976" s="2">
        <f ca="1">INDEX(INDIRECT(_xlfn.CONCAT("weather.tbl[",T$1,"]")),MATCH(vp.data[[#This Row],[SDate]],weather.tbl[Date],0))</f>
        <v>-18.899999999999999</v>
      </c>
      <c r="U976" s="2">
        <f ca="1">INDEX(INDIRECT(_xlfn.CONCAT("weather.tbl[",U$1,"]")),MATCH(vp.data[[#This Row],[SDate]],weather.tbl[Date],0))</f>
        <v>-16</v>
      </c>
      <c r="V976" s="2">
        <f t="array" ref="V9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2628.259</v>
      </c>
      <c r="W976" t="s">
        <v>48</v>
      </c>
      <c r="X976">
        <f>IF(OR(vp.data[[#This Row],[Sulf]]="",vp.data[[#This Row],[Dens]]=""),1,0)</f>
        <v>0</v>
      </c>
      <c r="Y976">
        <f>IF(vp.data[[#This Row],[CrudeType]]="C5+",1,0)</f>
        <v>0</v>
      </c>
      <c r="Z976">
        <f>IF(AND(vp.data[[#This Row],[CrudeType]]="Crude",vp.data[[#This Row],[Dens]]&lt;=825,vp.data[[#This Row],[Sulf]]&gt;0.5,vp.data[[#This Row],[Unknown]]=0),1,0)</f>
        <v>1</v>
      </c>
      <c r="AA976">
        <f>IF(AND(vp.data[[#This Row],[CrudeType]]="Crude",vp.data[[#This Row],[Dens]]&lt;=825,vp.data[[#This Row],[Sulf]]&lt;=0.5,vp.data[[#This Row],[Unknown]]=0),1,0)</f>
        <v>0</v>
      </c>
      <c r="AB9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6">
        <f>IF(AND(vp.data[[#This Row],[CrudeType]]="Crude",vp.data[[#This Row],[Dens]]&gt;825,vp.data[[#This Row],[Dens]]&lt;=900,vp.data[[#This Row],[Sulf]]&lt;=0.5,vp.data[[#This Row],[Unknown]]=0),1,0)</f>
        <v>0</v>
      </c>
      <c r="AD976">
        <f>IF(AND(vp.data[[#This Row],[CrudeType]]="Crude",vp.data[[#This Row],[Dens]]&gt;865,vp.data[[#This Row],[Dens]]&lt;=900,vp.data[[#This Row],[Sulf]]&gt;2,vp.data[[#This Row],[Unknown]]=0),1,0)</f>
        <v>0</v>
      </c>
      <c r="AE976">
        <f>IF(AND(vp.data[[#This Row],[CrudeType]]="Crude",vp.data[[#This Row],[Dens]]&gt;900,vp.data[[#This Row],[Sulf]]&lt;=0.5,vp.data[[#This Row],[Unknown]]=0),1,0)</f>
        <v>0</v>
      </c>
      <c r="AF976">
        <f>IF(AND(vp.data[[#This Row],[CrudeType]]="Crude",vp.data[[#This Row],[Dens]]&gt;900,vp.data[[#This Row],[Sulf]]&lt;=0.5,vp.data[[#This Row],[Unknown]]=0),1,0)</f>
        <v>0</v>
      </c>
      <c r="AG976" t="str">
        <f>INDEX(vp.data[[#Headers],[Unknown]:[Heavy_SW]],MATCH(1,vp.data[[#This Row],[Unknown]:[Heavy_SW]],0))</f>
        <v>Light_LSB</v>
      </c>
      <c r="AH976">
        <f>INDEX([3]!crudeBD.lkup[Number],MATCH(vp.data[[#This Row],[Crude_Breakdown]],crudeBD.lkup[Crude Breakdown],0))</f>
        <v>1</v>
      </c>
      <c r="AI976">
        <f>MONTH(vp.data[[#This Row],[SDate]])</f>
        <v>3</v>
      </c>
      <c r="AJ976" s="5">
        <f>(vp.data[[#This Row],[VP]]-INDEX(crudeBD.lkup[Mean_VP],MATCH(vp.data[[#This Row],[Crude_Breakdown]],crudeBD.lkup[Crude Breakdown],0)))^2</f>
        <v>24.540277436496662</v>
      </c>
      <c r="AK976" s="5">
        <f>(vp.data[[#This Row],[Dens]]-INDEX(crudeBD.lkup[Mean_Dens],MATCH(vp.data[[#This Row],[Crude_Breakdown]],crudeBD.lkup[Crude Breakdown],0)))^2</f>
        <v>11.44624686057282</v>
      </c>
      <c r="AL976" s="5">
        <f>(vp.data[[#This Row],[Sulf]]-INDEX(crudeBD.lkup[Mean_Sulf],MATCH(vp.data[[#This Row],[Crude_Breakdown]],crudeBD.lkup[Crude Breakdown],0)))^2</f>
        <v>1.2229826182035925E-3</v>
      </c>
      <c r="AM976" s="4">
        <f>IF(AND(vp.data[[#This Row],[SDate]]&gt;=DATE(YEAR(vp.data[[#This Row],[SDate]]),5,1),vp.data[[#This Row],[SDate]]&lt;=DATE(YEAR(vp.data[[#This Row],[SDate]]),9,15)),1,0)</f>
        <v>0</v>
      </c>
      <c r="AN976" s="4">
        <f>IF(vp.data[[#This Row],[SDate]]&lt;DATE(2016,12,1),0,1)</f>
        <v>1</v>
      </c>
      <c r="AO976" s="4">
        <f>IFERROR(vp.data[[#This Row],[Sulf]]*vp.data[[#This Row],[Net Dens]],"")</f>
        <v>1918227.4720248</v>
      </c>
      <c r="AP976">
        <f>IFERROR(vp.data[[#This Row],[Dens]]*vp.data[[#This Row],[VolumeM3]],"")</f>
        <v>2160166.0721</v>
      </c>
      <c r="AQ976" s="15">
        <f>IFERROR(vp.data[[#This Row],[VP]]*vp.data[[#This Row],[VolumeM3]],"")</f>
        <v>253626.99350000001</v>
      </c>
    </row>
    <row r="977" spans="1:43" x14ac:dyDescent="0.25">
      <c r="A977">
        <v>976</v>
      </c>
      <c r="B977" t="s">
        <v>49</v>
      </c>
      <c r="C977" t="s">
        <v>49</v>
      </c>
      <c r="D977" t="s">
        <v>90</v>
      </c>
      <c r="F977" s="1">
        <v>42806</v>
      </c>
      <c r="G977" s="2">
        <v>81.900000000000006</v>
      </c>
      <c r="H977" s="2">
        <v>1.2649999999999999</v>
      </c>
      <c r="I977" s="2">
        <f t="array" ref="I977">_xlfn.IFNA(IF(vp.data[[#This Row],[Sulf Input]]="",INDEX([1]DATA!$Q$3:$Q$9826,MATCH(1,(vp.data[[#This Row],[Battery]]=[1]DATA!$L$3:$L$9826)*(EOMONTH(vp.data[[#This Row],[SDate]],-1)+1=[1]DATA!$G$3:$G$9826),0)),vp.data[[#This Row],[Sulf Input]]),"")</f>
        <v>1.2649999999999999</v>
      </c>
      <c r="J977" s="2">
        <v>25</v>
      </c>
      <c r="K977" s="2">
        <v>-14</v>
      </c>
      <c r="L977" s="2">
        <v>845.1</v>
      </c>
      <c r="M977" s="2">
        <f t="array" ref="M977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977" s="2">
        <f ca="1">INDEX(INDIRECT(_xlfn.CONCAT("weather.tbl[",N$1,"]")),MATCH(vp.data[[#This Row],[SDate]],weather.tbl[Date],0))</f>
        <v>-17.216666666666669</v>
      </c>
      <c r="O977" s="2">
        <f ca="1">INDEX(INDIRECT(_xlfn.CONCAT("weather.tbl[",O$1,"]")),MATCH(vp.data[[#This Row],[SDate]],weather.tbl[Date],0))</f>
        <v>-15.638095238095238</v>
      </c>
      <c r="P977" s="2">
        <f ca="1">INDEX(INDIRECT(_xlfn.CONCAT("weather.tbl[",P$1,"]")),MATCH(vp.data[[#This Row],[SDate]],weather.tbl[Date],0))</f>
        <v>-17.3</v>
      </c>
      <c r="Q977" s="2">
        <f ca="1">INDEX(INDIRECT(_xlfn.CONCAT("weather.tbl[",Q$1,"]")),MATCH(vp.data[[#This Row],[SDate]],weather.tbl[Date],0))</f>
        <v>-17.3</v>
      </c>
      <c r="R977" s="2">
        <f ca="1">INDEX(INDIRECT(_xlfn.CONCAT("weather.tbl[",R$1,"]")),MATCH(vp.data[[#This Row],[SDate]],weather.tbl[Date],0))</f>
        <v>-17</v>
      </c>
      <c r="S977" s="2">
        <f ca="1">INDEX(INDIRECT(_xlfn.CONCAT("weather.tbl[",S$1,"]")),MATCH(vp.data[[#This Row],[SDate]],weather.tbl[Date],0))</f>
        <v>-16.8</v>
      </c>
      <c r="T977" s="2">
        <f ca="1">INDEX(INDIRECT(_xlfn.CONCAT("weather.tbl[",T$1,"]")),MATCH(vp.data[[#This Row],[SDate]],weather.tbl[Date],0))</f>
        <v>-18.899999999999999</v>
      </c>
      <c r="U977" s="2">
        <f ca="1">INDEX(INDIRECT(_xlfn.CONCAT("weather.tbl[",U$1,"]")),MATCH(vp.data[[#This Row],[SDate]],weather.tbl[Date],0))</f>
        <v>-16</v>
      </c>
      <c r="V977" s="2">
        <f t="array" ref="V9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4661.3360000000002</v>
      </c>
      <c r="W977" t="s">
        <v>48</v>
      </c>
      <c r="X977">
        <f>IF(OR(vp.data[[#This Row],[Sulf]]="",vp.data[[#This Row],[Dens]]=""),1,0)</f>
        <v>0</v>
      </c>
      <c r="Y977">
        <f>IF(vp.data[[#This Row],[CrudeType]]="C5+",1,0)</f>
        <v>0</v>
      </c>
      <c r="Z977">
        <f>IF(AND(vp.data[[#This Row],[CrudeType]]="Crude",vp.data[[#This Row],[Dens]]&lt;=825,vp.data[[#This Row],[Sulf]]&gt;0.5,vp.data[[#This Row],[Unknown]]=0),1,0)</f>
        <v>0</v>
      </c>
      <c r="AA977">
        <f>IF(AND(vp.data[[#This Row],[CrudeType]]="Crude",vp.data[[#This Row],[Dens]]&lt;=825,vp.data[[#This Row],[Sulf]]&lt;=0.5,vp.data[[#This Row],[Unknown]]=0),1,0)</f>
        <v>0</v>
      </c>
      <c r="AB9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77">
        <f>IF(AND(vp.data[[#This Row],[CrudeType]]="Crude",vp.data[[#This Row],[Dens]]&gt;825,vp.data[[#This Row],[Dens]]&lt;=900,vp.data[[#This Row],[Sulf]]&lt;=0.5,vp.data[[#This Row],[Unknown]]=0),1,0)</f>
        <v>0</v>
      </c>
      <c r="AD977">
        <f>IF(AND(vp.data[[#This Row],[CrudeType]]="Crude",vp.data[[#This Row],[Dens]]&gt;865,vp.data[[#This Row],[Dens]]&lt;=900,vp.data[[#This Row],[Sulf]]&gt;2,vp.data[[#This Row],[Unknown]]=0),1,0)</f>
        <v>0</v>
      </c>
      <c r="AE977">
        <f>IF(AND(vp.data[[#This Row],[CrudeType]]="Crude",vp.data[[#This Row],[Dens]]&gt;900,vp.data[[#This Row],[Sulf]]&lt;=0.5,vp.data[[#This Row],[Unknown]]=0),1,0)</f>
        <v>0</v>
      </c>
      <c r="AF977">
        <f>IF(AND(vp.data[[#This Row],[CrudeType]]="Crude",vp.data[[#This Row],[Dens]]&gt;900,vp.data[[#This Row],[Sulf]]&lt;=0.5,vp.data[[#This Row],[Unknown]]=0),1,0)</f>
        <v>0</v>
      </c>
      <c r="AG977" t="str">
        <f>INDEX(vp.data[[#Headers],[Unknown]:[Heavy_SW]],MATCH(1,vp.data[[#This Row],[Unknown]:[Heavy_SW]],0))</f>
        <v>Medium_LSB</v>
      </c>
      <c r="AH977">
        <f>INDEX([3]!crudeBD.lkup[Number],MATCH(vp.data[[#This Row],[Crude_Breakdown]],crudeBD.lkup[Crude Breakdown],0))</f>
        <v>3</v>
      </c>
      <c r="AI977">
        <f>MONTH(vp.data[[#This Row],[SDate]])</f>
        <v>3</v>
      </c>
      <c r="AJ977" s="5">
        <f>(vp.data[[#This Row],[VP]]-INDEX(crudeBD.lkup[Mean_VP],MATCH(vp.data[[#This Row],[Crude_Breakdown]],crudeBD.lkup[Crude Breakdown],0)))^2</f>
        <v>1.588415198959807</v>
      </c>
      <c r="AK977" s="5">
        <f>(vp.data[[#This Row],[Dens]]-INDEX(crudeBD.lkup[Mean_Dens],MATCH(vp.data[[#This Row],[Crude_Breakdown]],crudeBD.lkup[Crude Breakdown],0)))^2</f>
        <v>1.3924000000012235</v>
      </c>
      <c r="AL977" s="5">
        <f>(vp.data[[#This Row],[Sulf]]-INDEX(crudeBD.lkup[Mean_Sulf],MATCH(vp.data[[#This Row],[Crude_Breakdown]],crudeBD.lkup[Crude Breakdown],0)))^2</f>
        <v>1.4498116971703771E-2</v>
      </c>
      <c r="AM977" s="4">
        <f>IF(AND(vp.data[[#This Row],[SDate]]&gt;=DATE(YEAR(vp.data[[#This Row],[SDate]]),5,1),vp.data[[#This Row],[SDate]]&lt;=DATE(YEAR(vp.data[[#This Row],[SDate]]),9,15)),1,0)</f>
        <v>0</v>
      </c>
      <c r="AN977" s="4">
        <f>IF(vp.data[[#This Row],[SDate]]&lt;DATE(2016,12,1),0,1)</f>
        <v>1</v>
      </c>
      <c r="AO977" s="4">
        <f>IFERROR(vp.data[[#This Row],[Sulf]]*vp.data[[#This Row],[Net Dens]],"")</f>
        <v>4983208.2428040002</v>
      </c>
      <c r="AP977">
        <f>IFERROR(vp.data[[#This Row],[Dens]]*vp.data[[#This Row],[VolumeM3]],"")</f>
        <v>3939295.0536000002</v>
      </c>
      <c r="AQ977" s="15">
        <f>IFERROR(vp.data[[#This Row],[VP]]*vp.data[[#This Row],[VolumeM3]],"")</f>
        <v>381763.41840000002</v>
      </c>
    </row>
    <row r="978" spans="1:43" x14ac:dyDescent="0.25">
      <c r="A978">
        <v>977</v>
      </c>
      <c r="B978" t="s">
        <v>49</v>
      </c>
      <c r="C978" t="s">
        <v>49</v>
      </c>
      <c r="D978" t="s">
        <v>59</v>
      </c>
      <c r="F978" s="1">
        <v>42806</v>
      </c>
      <c r="G978" s="2">
        <v>95.8</v>
      </c>
      <c r="H978" s="2">
        <v>1.518</v>
      </c>
      <c r="I978" s="2">
        <f t="array" ref="I978">_xlfn.IFNA(IF(vp.data[[#This Row],[Sulf Input]]="",INDEX([1]DATA!$Q$3:$Q$9826,MATCH(1,(vp.data[[#This Row],[Battery]]=[1]DATA!$L$3:$L$9826)*(EOMONTH(vp.data[[#This Row],[SDate]],-1)+1=[1]DATA!$G$3:$G$9826),0)),vp.data[[#This Row],[Sulf Input]]),"")</f>
        <v>1.518</v>
      </c>
      <c r="J978" s="2">
        <v>12</v>
      </c>
      <c r="K978" s="2">
        <v>-14</v>
      </c>
      <c r="L978" s="2">
        <v>848.2</v>
      </c>
      <c r="M978" s="2">
        <f t="array" ref="M978">_xlfn.IFNA(IF(vp.data[[#This Row],[Dens Input]]="",INDEX([1]DATA!$O$3:$O$9826,MATCH(1,(vp.data[[#This Row],[Battery]]=[1]DATA!$L$3:$L$9826)*(EOMONTH(vp.data[[#This Row],[SDate]],-1)+1=[1]DATA!$G$3:$G$9826),0)),vp.data[[#This Row],[Dens Input]]),"")</f>
        <v>848.2</v>
      </c>
      <c r="N978" s="2">
        <f ca="1">INDEX(INDIRECT(_xlfn.CONCAT("weather.tbl[",N$1,"]")),MATCH(vp.data[[#This Row],[SDate]],weather.tbl[Date],0))</f>
        <v>-17.216666666666669</v>
      </c>
      <c r="O978" s="2">
        <f ca="1">INDEX(INDIRECT(_xlfn.CONCAT("weather.tbl[",O$1,"]")),MATCH(vp.data[[#This Row],[SDate]],weather.tbl[Date],0))</f>
        <v>-15.638095238095238</v>
      </c>
      <c r="P978" s="2">
        <f ca="1">INDEX(INDIRECT(_xlfn.CONCAT("weather.tbl[",P$1,"]")),MATCH(vp.data[[#This Row],[SDate]],weather.tbl[Date],0))</f>
        <v>-17.3</v>
      </c>
      <c r="Q978" s="2">
        <f ca="1">INDEX(INDIRECT(_xlfn.CONCAT("weather.tbl[",Q$1,"]")),MATCH(vp.data[[#This Row],[SDate]],weather.tbl[Date],0))</f>
        <v>-17.3</v>
      </c>
      <c r="R978" s="2">
        <f ca="1">INDEX(INDIRECT(_xlfn.CONCAT("weather.tbl[",R$1,"]")),MATCH(vp.data[[#This Row],[SDate]],weather.tbl[Date],0))</f>
        <v>-17</v>
      </c>
      <c r="S978" s="2">
        <f ca="1">INDEX(INDIRECT(_xlfn.CONCAT("weather.tbl[",S$1,"]")),MATCH(vp.data[[#This Row],[SDate]],weather.tbl[Date],0))</f>
        <v>-16.8</v>
      </c>
      <c r="T978" s="2">
        <f ca="1">INDEX(INDIRECT(_xlfn.CONCAT("weather.tbl[",T$1,"]")),MATCH(vp.data[[#This Row],[SDate]],weather.tbl[Date],0))</f>
        <v>-18.899999999999999</v>
      </c>
      <c r="U978" s="2">
        <f ca="1">INDEX(INDIRECT(_xlfn.CONCAT("weather.tbl[",U$1,"]")),MATCH(vp.data[[#This Row],[SDate]],weather.tbl[Date],0))</f>
        <v>-16</v>
      </c>
      <c r="V978" s="2">
        <f t="array" ref="V9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1407.9559999999999</v>
      </c>
      <c r="W978" t="s">
        <v>48</v>
      </c>
      <c r="X978">
        <f>IF(OR(vp.data[[#This Row],[Sulf]]="",vp.data[[#This Row],[Dens]]=""),1,0)</f>
        <v>0</v>
      </c>
      <c r="Y978">
        <f>IF(vp.data[[#This Row],[CrudeType]]="C5+",1,0)</f>
        <v>0</v>
      </c>
      <c r="Z978">
        <f>IF(AND(vp.data[[#This Row],[CrudeType]]="Crude",vp.data[[#This Row],[Dens]]&lt;=825,vp.data[[#This Row],[Sulf]]&gt;0.5,vp.data[[#This Row],[Unknown]]=0),1,0)</f>
        <v>0</v>
      </c>
      <c r="AA978">
        <f>IF(AND(vp.data[[#This Row],[CrudeType]]="Crude",vp.data[[#This Row],[Dens]]&lt;=825,vp.data[[#This Row],[Sulf]]&lt;=0.5,vp.data[[#This Row],[Unknown]]=0),1,0)</f>
        <v>0</v>
      </c>
      <c r="AB9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78">
        <f>IF(AND(vp.data[[#This Row],[CrudeType]]="Crude",vp.data[[#This Row],[Dens]]&gt;825,vp.data[[#This Row],[Dens]]&lt;=900,vp.data[[#This Row],[Sulf]]&lt;=0.5,vp.data[[#This Row],[Unknown]]=0),1,0)</f>
        <v>0</v>
      </c>
      <c r="AD978">
        <f>IF(AND(vp.data[[#This Row],[CrudeType]]="Crude",vp.data[[#This Row],[Dens]]&gt;865,vp.data[[#This Row],[Dens]]&lt;=900,vp.data[[#This Row],[Sulf]]&gt;2,vp.data[[#This Row],[Unknown]]=0),1,0)</f>
        <v>0</v>
      </c>
      <c r="AE978">
        <f>IF(AND(vp.data[[#This Row],[CrudeType]]="Crude",vp.data[[#This Row],[Dens]]&gt;900,vp.data[[#This Row],[Sulf]]&lt;=0.5,vp.data[[#This Row],[Unknown]]=0),1,0)</f>
        <v>0</v>
      </c>
      <c r="AF978">
        <f>IF(AND(vp.data[[#This Row],[CrudeType]]="Crude",vp.data[[#This Row],[Dens]]&gt;900,vp.data[[#This Row],[Sulf]]&lt;=0.5,vp.data[[#This Row],[Unknown]]=0),1,0)</f>
        <v>0</v>
      </c>
      <c r="AG978" t="str">
        <f>INDEX(vp.data[[#Headers],[Unknown]:[Heavy_SW]],MATCH(1,vp.data[[#This Row],[Unknown]:[Heavy_SW]],0))</f>
        <v>Medium_LSB</v>
      </c>
      <c r="AH978">
        <f>INDEX([3]!crudeBD.lkup[Number],MATCH(vp.data[[#This Row],[Crude_Breakdown]],crudeBD.lkup[Crude Breakdown],0))</f>
        <v>3</v>
      </c>
      <c r="AI978">
        <f>MONTH(vp.data[[#This Row],[SDate]])</f>
        <v>3</v>
      </c>
      <c r="AJ978" s="5">
        <f>(vp.data[[#This Row],[VP]]-INDEX(crudeBD.lkup[Mean_VP],MATCH(vp.data[[#This Row],[Crude_Breakdown]],crudeBD.lkup[Crude Breakdown],0)))^2</f>
        <v>229.83540711270834</v>
      </c>
      <c r="AK978" s="5">
        <f>(vp.data[[#This Row],[Dens]]-INDEX(crudeBD.lkup[Mean_Dens],MATCH(vp.data[[#This Row],[Crude_Breakdown]],crudeBD.lkup[Crude Breakdown],0)))^2</f>
        <v>18.318400000004633</v>
      </c>
      <c r="AL978" s="5">
        <f>(vp.data[[#This Row],[Sulf]]-INDEX(crudeBD.lkup[Mean_Sulf],MATCH(vp.data[[#This Row],[Crude_Breakdown]],crudeBD.lkup[Crude Breakdown],0)))^2</f>
        <v>1.7580604869277105E-2</v>
      </c>
      <c r="AM978" s="4">
        <f>IF(AND(vp.data[[#This Row],[SDate]]&gt;=DATE(YEAR(vp.data[[#This Row],[SDate]]),5,1),vp.data[[#This Row],[SDate]]&lt;=DATE(YEAR(vp.data[[#This Row],[SDate]]),9,15)),1,0)</f>
        <v>0</v>
      </c>
      <c r="AN978" s="4">
        <f>IF(vp.data[[#This Row],[SDate]]&lt;DATE(2016,12,1),0,1)</f>
        <v>1</v>
      </c>
      <c r="AO978" s="4">
        <f>IFERROR(vp.data[[#This Row],[Sulf]]*vp.data[[#This Row],[Net Dens]],"")</f>
        <v>1812838.5278256</v>
      </c>
      <c r="AP978">
        <f>IFERROR(vp.data[[#This Row],[Dens]]*vp.data[[#This Row],[VolumeM3]],"")</f>
        <v>1194228.2792</v>
      </c>
      <c r="AQ978" s="15">
        <f>IFERROR(vp.data[[#This Row],[VP]]*vp.data[[#This Row],[VolumeM3]],"")</f>
        <v>134882.18479999999</v>
      </c>
    </row>
    <row r="979" spans="1:43" x14ac:dyDescent="0.25">
      <c r="A979">
        <v>978</v>
      </c>
      <c r="B979" t="s">
        <v>49</v>
      </c>
      <c r="C979" t="s">
        <v>49</v>
      </c>
      <c r="D979" t="s">
        <v>50</v>
      </c>
      <c r="F979" s="1">
        <v>42806</v>
      </c>
      <c r="G979" s="2">
        <v>77.7</v>
      </c>
      <c r="H979" s="2">
        <v>2.8730000000000002</v>
      </c>
      <c r="I979" s="2">
        <f t="array" ref="I979">_xlfn.IFNA(IF(vp.data[[#This Row],[Sulf Input]]="",INDEX([1]DATA!$Q$3:$Q$9826,MATCH(1,(vp.data[[#This Row],[Battery]]=[1]DATA!$L$3:$L$9826)*(EOMONTH(vp.data[[#This Row],[SDate]],-1)+1=[1]DATA!$G$3:$G$9826),0)),vp.data[[#This Row],[Sulf Input]]),"")</f>
        <v>2.8730000000000002</v>
      </c>
      <c r="J979" s="2">
        <v>12</v>
      </c>
      <c r="K979" s="2">
        <v>-14</v>
      </c>
      <c r="L979" s="2">
        <v>871.9</v>
      </c>
      <c r="M979" s="2">
        <f t="array" ref="M979">_xlfn.IFNA(IF(vp.data[[#This Row],[Dens Input]]="",INDEX([1]DATA!$O$3:$O$9826,MATCH(1,(vp.data[[#This Row],[Battery]]=[1]DATA!$L$3:$L$9826)*(EOMONTH(vp.data[[#This Row],[SDate]],-1)+1=[1]DATA!$G$3:$G$9826),0)),vp.data[[#This Row],[Dens Input]]),"")</f>
        <v>871.9</v>
      </c>
      <c r="N979" s="2">
        <f ca="1">INDEX(INDIRECT(_xlfn.CONCAT("weather.tbl[",N$1,"]")),MATCH(vp.data[[#This Row],[SDate]],weather.tbl[Date],0))</f>
        <v>-17.216666666666669</v>
      </c>
      <c r="O979" s="2">
        <f ca="1">INDEX(INDIRECT(_xlfn.CONCAT("weather.tbl[",O$1,"]")),MATCH(vp.data[[#This Row],[SDate]],weather.tbl[Date],0))</f>
        <v>-15.638095238095238</v>
      </c>
      <c r="P979" s="2">
        <f ca="1">INDEX(INDIRECT(_xlfn.CONCAT("weather.tbl[",P$1,"]")),MATCH(vp.data[[#This Row],[SDate]],weather.tbl[Date],0))</f>
        <v>-17.3</v>
      </c>
      <c r="Q979" s="2">
        <f ca="1">INDEX(INDIRECT(_xlfn.CONCAT("weather.tbl[",Q$1,"]")),MATCH(vp.data[[#This Row],[SDate]],weather.tbl[Date],0))</f>
        <v>-17.3</v>
      </c>
      <c r="R979" s="2">
        <f ca="1">INDEX(INDIRECT(_xlfn.CONCAT("weather.tbl[",R$1,"]")),MATCH(vp.data[[#This Row],[SDate]],weather.tbl[Date],0))</f>
        <v>-17</v>
      </c>
      <c r="S979" s="2">
        <f ca="1">INDEX(INDIRECT(_xlfn.CONCAT("weather.tbl[",S$1,"]")),MATCH(vp.data[[#This Row],[SDate]],weather.tbl[Date],0))</f>
        <v>-16.8</v>
      </c>
      <c r="T979" s="2">
        <f ca="1">INDEX(INDIRECT(_xlfn.CONCAT("weather.tbl[",T$1,"]")),MATCH(vp.data[[#This Row],[SDate]],weather.tbl[Date],0))</f>
        <v>-18.899999999999999</v>
      </c>
      <c r="U979" s="2">
        <f ca="1">INDEX(INDIRECT(_xlfn.CONCAT("weather.tbl[",U$1,"]")),MATCH(vp.data[[#This Row],[SDate]],weather.tbl[Date],0))</f>
        <v>-16</v>
      </c>
      <c r="V979" s="2">
        <f t="array" ref="V9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6292.7340000000004</v>
      </c>
      <c r="W979" t="s">
        <v>48</v>
      </c>
      <c r="X979">
        <f>IF(OR(vp.data[[#This Row],[Sulf]]="",vp.data[[#This Row],[Dens]]=""),1,0)</f>
        <v>0</v>
      </c>
      <c r="Y979">
        <f>IF(vp.data[[#This Row],[CrudeType]]="C5+",1,0)</f>
        <v>0</v>
      </c>
      <c r="Z979">
        <f>IF(AND(vp.data[[#This Row],[CrudeType]]="Crude",vp.data[[#This Row],[Dens]]&lt;=825,vp.data[[#This Row],[Sulf]]&gt;0.5,vp.data[[#This Row],[Unknown]]=0),1,0)</f>
        <v>0</v>
      </c>
      <c r="AA979">
        <f>IF(AND(vp.data[[#This Row],[CrudeType]]="Crude",vp.data[[#This Row],[Dens]]&lt;=825,vp.data[[#This Row],[Sulf]]&lt;=0.5,vp.data[[#This Row],[Unknown]]=0),1,0)</f>
        <v>0</v>
      </c>
      <c r="AB9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79">
        <f>IF(AND(vp.data[[#This Row],[CrudeType]]="Crude",vp.data[[#This Row],[Dens]]&gt;825,vp.data[[#This Row],[Dens]]&lt;=900,vp.data[[#This Row],[Sulf]]&lt;=0.5,vp.data[[#This Row],[Unknown]]=0),1,0)</f>
        <v>0</v>
      </c>
      <c r="AD979">
        <f>IF(AND(vp.data[[#This Row],[CrudeType]]="Crude",vp.data[[#This Row],[Dens]]&gt;865,vp.data[[#This Row],[Dens]]&lt;=900,vp.data[[#This Row],[Sulf]]&gt;2,vp.data[[#This Row],[Unknown]]=0),1,0)</f>
        <v>1</v>
      </c>
      <c r="AE979">
        <f>IF(AND(vp.data[[#This Row],[CrudeType]]="Crude",vp.data[[#This Row],[Dens]]&gt;900,vp.data[[#This Row],[Sulf]]&lt;=0.5,vp.data[[#This Row],[Unknown]]=0),1,0)</f>
        <v>0</v>
      </c>
      <c r="AF979">
        <f>IF(AND(vp.data[[#This Row],[CrudeType]]="Crude",vp.data[[#This Row],[Dens]]&gt;900,vp.data[[#This Row],[Sulf]]&lt;=0.5,vp.data[[#This Row],[Unknown]]=0),1,0)</f>
        <v>0</v>
      </c>
      <c r="AG979" t="str">
        <f>INDEX(vp.data[[#Headers],[Unknown]:[Heavy_SW]],MATCH(1,vp.data[[#This Row],[Unknown]:[Heavy_SW]],0))</f>
        <v>Midale</v>
      </c>
      <c r="AH979">
        <f>INDEX([3]!crudeBD.lkup[Number],MATCH(vp.data[[#This Row],[Crude_Breakdown]],crudeBD.lkup[Crude Breakdown],0))</f>
        <v>5</v>
      </c>
      <c r="AI979">
        <f>MONTH(vp.data[[#This Row],[SDate]])</f>
        <v>3</v>
      </c>
      <c r="AJ979" s="5">
        <f>(vp.data[[#This Row],[VP]]-INDEX(crudeBD.lkup[Mean_VP],MATCH(vp.data[[#This Row],[Crude_Breakdown]],crudeBD.lkup[Crude Breakdown],0)))^2</f>
        <v>68.744612870655288</v>
      </c>
      <c r="AK979" s="5">
        <f>(vp.data[[#This Row],[Dens]]-INDEX(crudeBD.lkup[Mean_Dens],MATCH(vp.data[[#This Row],[Crude_Breakdown]],crudeBD.lkup[Crude Breakdown],0)))^2</f>
        <v>8.5089491444381018</v>
      </c>
      <c r="AL979" s="5">
        <f>(vp.data[[#This Row],[Sulf]]-INDEX(crudeBD.lkup[Mean_Sulf],MATCH(vp.data[[#This Row],[Crude_Breakdown]],crudeBD.lkup[Crude Breakdown],0)))^2</f>
        <v>0.18437099129387957</v>
      </c>
      <c r="AM979" s="4">
        <f>IF(AND(vp.data[[#This Row],[SDate]]&gt;=DATE(YEAR(vp.data[[#This Row],[SDate]]),5,1),vp.data[[#This Row],[SDate]]&lt;=DATE(YEAR(vp.data[[#This Row],[SDate]]),9,15)),1,0)</f>
        <v>0</v>
      </c>
      <c r="AN979" s="4">
        <f>IF(vp.data[[#This Row],[SDate]]&lt;DATE(2016,12,1),0,1)</f>
        <v>1</v>
      </c>
      <c r="AO979" s="4">
        <f>IFERROR(vp.data[[#This Row],[Sulf]]*vp.data[[#This Row],[Net Dens]],"")</f>
        <v>15763101.707425801</v>
      </c>
      <c r="AP979">
        <f>IFERROR(vp.data[[#This Row],[Dens]]*vp.data[[#This Row],[VolumeM3]],"")</f>
        <v>5486634.7746000001</v>
      </c>
      <c r="AQ979" s="15">
        <f>IFERROR(vp.data[[#This Row],[VP]]*vp.data[[#This Row],[VolumeM3]],"")</f>
        <v>488945.43180000002</v>
      </c>
    </row>
    <row r="980" spans="1:43" x14ac:dyDescent="0.25">
      <c r="A980">
        <v>979</v>
      </c>
      <c r="B980" t="s">
        <v>62</v>
      </c>
      <c r="C980" t="s">
        <v>62</v>
      </c>
      <c r="D980" t="s">
        <v>79</v>
      </c>
      <c r="F980" s="1">
        <v>42806</v>
      </c>
      <c r="G980" s="2">
        <v>107.5</v>
      </c>
      <c r="H980" s="2"/>
      <c r="I980" s="2">
        <f t="array" ref="I980">_xlfn.IFNA(IF(vp.data[[#This Row],[Sulf Input]]="",INDEX([1]DATA!$Q$3:$Q$9826,MATCH(1,(vp.data[[#This Row],[Battery]]=[1]DATA!$L$3:$L$9826)*(EOMONTH(vp.data[[#This Row],[SDate]],-1)+1=[1]DATA!$G$3:$G$9826),0)),vp.data[[#This Row],[Sulf Input]]),"")</f>
        <v>0.3</v>
      </c>
      <c r="J980" s="2">
        <v>11</v>
      </c>
      <c r="K980" s="2">
        <v>-14</v>
      </c>
      <c r="L980" s="2">
        <v>805.7</v>
      </c>
      <c r="M980" s="2">
        <f t="array" ref="M980">_xlfn.IFNA(IF(vp.data[[#This Row],[Dens Input]]="",INDEX([1]DATA!$O$3:$O$9826,MATCH(1,(vp.data[[#This Row],[Battery]]=[1]DATA!$L$3:$L$9826)*(EOMONTH(vp.data[[#This Row],[SDate]],-1)+1=[1]DATA!$G$3:$G$9826),0)),vp.data[[#This Row],[Dens Input]]),"")</f>
        <v>805.7</v>
      </c>
      <c r="N980" s="2">
        <f ca="1">INDEX(INDIRECT(_xlfn.CONCAT("weather.tbl[",N$1,"]")),MATCH(vp.data[[#This Row],[SDate]],weather.tbl[Date],0))</f>
        <v>-17.216666666666669</v>
      </c>
      <c r="O980" s="2">
        <f ca="1">INDEX(INDIRECT(_xlfn.CONCAT("weather.tbl[",O$1,"]")),MATCH(vp.data[[#This Row],[SDate]],weather.tbl[Date],0))</f>
        <v>-15.638095238095238</v>
      </c>
      <c r="P980" s="2">
        <f ca="1">INDEX(INDIRECT(_xlfn.CONCAT("weather.tbl[",P$1,"]")),MATCH(vp.data[[#This Row],[SDate]],weather.tbl[Date],0))</f>
        <v>-17.3</v>
      </c>
      <c r="Q980" s="2">
        <f ca="1">INDEX(INDIRECT(_xlfn.CONCAT("weather.tbl[",Q$1,"]")),MATCH(vp.data[[#This Row],[SDate]],weather.tbl[Date],0))</f>
        <v>-17.3</v>
      </c>
      <c r="R980" s="2">
        <f ca="1">INDEX(INDIRECT(_xlfn.CONCAT("weather.tbl[",R$1,"]")),MATCH(vp.data[[#This Row],[SDate]],weather.tbl[Date],0))</f>
        <v>-17</v>
      </c>
      <c r="S980" s="2">
        <f ca="1">INDEX(INDIRECT(_xlfn.CONCAT("weather.tbl[",S$1,"]")),MATCH(vp.data[[#This Row],[SDate]],weather.tbl[Date],0))</f>
        <v>-16.8</v>
      </c>
      <c r="T980" s="2">
        <f ca="1">INDEX(INDIRECT(_xlfn.CONCAT("weather.tbl[",T$1,"]")),MATCH(vp.data[[#This Row],[SDate]],weather.tbl[Date],0))</f>
        <v>-18.899999999999999</v>
      </c>
      <c r="U980" s="2">
        <f ca="1">INDEX(INDIRECT(_xlfn.CONCAT("weather.tbl[",U$1,"]")),MATCH(vp.data[[#This Row],[SDate]],weather.tbl[Date],0))</f>
        <v>-16</v>
      </c>
      <c r="V980" s="2">
        <f t="array" ref="V9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15962.98</v>
      </c>
      <c r="W980" t="s">
        <v>48</v>
      </c>
      <c r="X980">
        <f>IF(OR(vp.data[[#This Row],[Sulf]]="",vp.data[[#This Row],[Dens]]=""),1,0)</f>
        <v>0</v>
      </c>
      <c r="Y980">
        <f>IF(vp.data[[#This Row],[CrudeType]]="C5+",1,0)</f>
        <v>0</v>
      </c>
      <c r="Z980">
        <f>IF(AND(vp.data[[#This Row],[CrudeType]]="Crude",vp.data[[#This Row],[Dens]]&lt;=825,vp.data[[#This Row],[Sulf]]&gt;0.5,vp.data[[#This Row],[Unknown]]=0),1,0)</f>
        <v>0</v>
      </c>
      <c r="AA980">
        <f>IF(AND(vp.data[[#This Row],[CrudeType]]="Crude",vp.data[[#This Row],[Dens]]&lt;=825,vp.data[[#This Row],[Sulf]]&lt;=0.5,vp.data[[#This Row],[Unknown]]=0),1,0)</f>
        <v>1</v>
      </c>
      <c r="AB9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80">
        <f>IF(AND(vp.data[[#This Row],[CrudeType]]="Crude",vp.data[[#This Row],[Dens]]&gt;825,vp.data[[#This Row],[Dens]]&lt;=900,vp.data[[#This Row],[Sulf]]&lt;=0.5,vp.data[[#This Row],[Unknown]]=0),1,0)</f>
        <v>0</v>
      </c>
      <c r="AD980">
        <f>IF(AND(vp.data[[#This Row],[CrudeType]]="Crude",vp.data[[#This Row],[Dens]]&gt;865,vp.data[[#This Row],[Dens]]&lt;=900,vp.data[[#This Row],[Sulf]]&gt;2,vp.data[[#This Row],[Unknown]]=0),1,0)</f>
        <v>0</v>
      </c>
      <c r="AE980">
        <f>IF(AND(vp.data[[#This Row],[CrudeType]]="Crude",vp.data[[#This Row],[Dens]]&gt;900,vp.data[[#This Row],[Sulf]]&lt;=0.5,vp.data[[#This Row],[Unknown]]=0),1,0)</f>
        <v>0</v>
      </c>
      <c r="AF980">
        <f>IF(AND(vp.data[[#This Row],[CrudeType]]="Crude",vp.data[[#This Row],[Dens]]&gt;900,vp.data[[#This Row],[Sulf]]&lt;=0.5,vp.data[[#This Row],[Unknown]]=0),1,0)</f>
        <v>0</v>
      </c>
      <c r="AG980" t="str">
        <f>INDEX(vp.data[[#Headers],[Unknown]:[Heavy_SW]],MATCH(1,vp.data[[#This Row],[Unknown]:[Heavy_SW]],0))</f>
        <v>Light_SW</v>
      </c>
      <c r="AH980">
        <f>INDEX([3]!crudeBD.lkup[Number],MATCH(vp.data[[#This Row],[Crude_Breakdown]],crudeBD.lkup[Crude Breakdown],0))</f>
        <v>2</v>
      </c>
      <c r="AI980">
        <f>MONTH(vp.data[[#This Row],[SDate]])</f>
        <v>3</v>
      </c>
      <c r="AJ980" s="5">
        <f>(vp.data[[#This Row],[VP]]-INDEX(crudeBD.lkup[Mean_VP],MATCH(vp.data[[#This Row],[Crude_Breakdown]],crudeBD.lkup[Crude Breakdown],0)))^2</f>
        <v>223.49312379171863</v>
      </c>
      <c r="AK980" s="5">
        <f>(vp.data[[#This Row],[Dens]]-INDEX(crudeBD.lkup[Mean_Dens],MATCH(vp.data[[#This Row],[Crude_Breakdown]],crudeBD.lkup[Crude Breakdown],0)))^2</f>
        <v>6.8199231506985214</v>
      </c>
      <c r="AL980" s="5">
        <f>(vp.data[[#This Row],[Sulf]]-INDEX(crudeBD.lkup[Mean_Sulf],MATCH(vp.data[[#This Row],[Crude_Breakdown]],crudeBD.lkup[Crude Breakdown],0)))^2</f>
        <v>4.0651065565929113E-3</v>
      </c>
      <c r="AM980" s="4">
        <f>IF(AND(vp.data[[#This Row],[SDate]]&gt;=DATE(YEAR(vp.data[[#This Row],[SDate]]),5,1),vp.data[[#This Row],[SDate]]&lt;=DATE(YEAR(vp.data[[#This Row],[SDate]]),9,15)),1,0)</f>
        <v>0</v>
      </c>
      <c r="AN980" s="4">
        <f>IF(vp.data[[#This Row],[SDate]]&lt;DATE(2016,12,1),0,1)</f>
        <v>1</v>
      </c>
      <c r="AO980" s="4">
        <f>IFERROR(vp.data[[#This Row],[Sulf]]*vp.data[[#This Row],[Net Dens]],"")</f>
        <v>3858411.8957999996</v>
      </c>
      <c r="AP980">
        <f>IFERROR(vp.data[[#This Row],[Dens]]*vp.data[[#This Row],[VolumeM3]],"")</f>
        <v>12861372.986</v>
      </c>
      <c r="AQ980" s="15">
        <f>IFERROR(vp.data[[#This Row],[VP]]*vp.data[[#This Row],[VolumeM3]],"")</f>
        <v>1716020.3499999999</v>
      </c>
    </row>
    <row r="981" spans="1:43" x14ac:dyDescent="0.25">
      <c r="A981">
        <v>980</v>
      </c>
      <c r="B981" t="s">
        <v>62</v>
      </c>
      <c r="C981" t="s">
        <v>62</v>
      </c>
      <c r="D981" t="s">
        <v>83</v>
      </c>
      <c r="F981" s="1">
        <v>42806</v>
      </c>
      <c r="G981" s="2">
        <v>93.2</v>
      </c>
      <c r="H981" s="2"/>
      <c r="I981" s="2">
        <f t="array" ref="I98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981" s="2">
        <v>-3</v>
      </c>
      <c r="K981" s="2">
        <v>-14</v>
      </c>
      <c r="L981" s="2">
        <v>807.8</v>
      </c>
      <c r="M981" s="2">
        <f t="array" ref="M981">_xlfn.IFNA(IF(vp.data[[#This Row],[Dens Input]]="",INDEX([1]DATA!$O$3:$O$9826,MATCH(1,(vp.data[[#This Row],[Battery]]=[1]DATA!$L$3:$L$9826)*(EOMONTH(vp.data[[#This Row],[SDate]],-1)+1=[1]DATA!$G$3:$G$9826),0)),vp.data[[#This Row],[Dens Input]]),"")</f>
        <v>807.8</v>
      </c>
      <c r="N981" s="2">
        <f ca="1">INDEX(INDIRECT(_xlfn.CONCAT("weather.tbl[",N$1,"]")),MATCH(vp.data[[#This Row],[SDate]],weather.tbl[Date],0))</f>
        <v>-17.216666666666669</v>
      </c>
      <c r="O981" s="2">
        <f ca="1">INDEX(INDIRECT(_xlfn.CONCAT("weather.tbl[",O$1,"]")),MATCH(vp.data[[#This Row],[SDate]],weather.tbl[Date],0))</f>
        <v>-15.638095238095238</v>
      </c>
      <c r="P981" s="2">
        <f ca="1">INDEX(INDIRECT(_xlfn.CONCAT("weather.tbl[",P$1,"]")),MATCH(vp.data[[#This Row],[SDate]],weather.tbl[Date],0))</f>
        <v>-17.3</v>
      </c>
      <c r="Q981" s="2">
        <f ca="1">INDEX(INDIRECT(_xlfn.CONCAT("weather.tbl[",Q$1,"]")),MATCH(vp.data[[#This Row],[SDate]],weather.tbl[Date],0))</f>
        <v>-17.3</v>
      </c>
      <c r="R981" s="2">
        <f ca="1">INDEX(INDIRECT(_xlfn.CONCAT("weather.tbl[",R$1,"]")),MATCH(vp.data[[#This Row],[SDate]],weather.tbl[Date],0))</f>
        <v>-17</v>
      </c>
      <c r="S981" s="2">
        <f ca="1">INDEX(INDIRECT(_xlfn.CONCAT("weather.tbl[",S$1,"]")),MATCH(vp.data[[#This Row],[SDate]],weather.tbl[Date],0))</f>
        <v>-16.8</v>
      </c>
      <c r="T981" s="2">
        <f ca="1">INDEX(INDIRECT(_xlfn.CONCAT("weather.tbl[",T$1,"]")),MATCH(vp.data[[#This Row],[SDate]],weather.tbl[Date],0))</f>
        <v>-18.899999999999999</v>
      </c>
      <c r="U981" s="2">
        <f ca="1">INDEX(INDIRECT(_xlfn.CONCAT("weather.tbl[",U$1,"]")),MATCH(vp.data[[#This Row],[SDate]],weather.tbl[Date],0))</f>
        <v>-16</v>
      </c>
      <c r="V981" s="2">
        <f t="array" ref="V9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6312.9459999999999</v>
      </c>
      <c r="W981" t="s">
        <v>48</v>
      </c>
      <c r="X981">
        <f>IF(OR(vp.data[[#This Row],[Sulf]]="",vp.data[[#This Row],[Dens]]=""),1,0)</f>
        <v>0</v>
      </c>
      <c r="Y981">
        <f>IF(vp.data[[#This Row],[CrudeType]]="C5+",1,0)</f>
        <v>0</v>
      </c>
      <c r="Z981">
        <f>IF(AND(vp.data[[#This Row],[CrudeType]]="Crude",vp.data[[#This Row],[Dens]]&lt;=825,vp.data[[#This Row],[Sulf]]&gt;0.5,vp.data[[#This Row],[Unknown]]=0),1,0)</f>
        <v>0</v>
      </c>
      <c r="AA981">
        <f>IF(AND(vp.data[[#This Row],[CrudeType]]="Crude",vp.data[[#This Row],[Dens]]&lt;=825,vp.data[[#This Row],[Sulf]]&lt;=0.5,vp.data[[#This Row],[Unknown]]=0),1,0)</f>
        <v>1</v>
      </c>
      <c r="AB9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81">
        <f>IF(AND(vp.data[[#This Row],[CrudeType]]="Crude",vp.data[[#This Row],[Dens]]&gt;825,vp.data[[#This Row],[Dens]]&lt;=900,vp.data[[#This Row],[Sulf]]&lt;=0.5,vp.data[[#This Row],[Unknown]]=0),1,0)</f>
        <v>0</v>
      </c>
      <c r="AD981">
        <f>IF(AND(vp.data[[#This Row],[CrudeType]]="Crude",vp.data[[#This Row],[Dens]]&gt;865,vp.data[[#This Row],[Dens]]&lt;=900,vp.data[[#This Row],[Sulf]]&gt;2,vp.data[[#This Row],[Unknown]]=0),1,0)</f>
        <v>0</v>
      </c>
      <c r="AE981">
        <f>IF(AND(vp.data[[#This Row],[CrudeType]]="Crude",vp.data[[#This Row],[Dens]]&gt;900,vp.data[[#This Row],[Sulf]]&lt;=0.5,vp.data[[#This Row],[Unknown]]=0),1,0)</f>
        <v>0</v>
      </c>
      <c r="AF981">
        <f>IF(AND(vp.data[[#This Row],[CrudeType]]="Crude",vp.data[[#This Row],[Dens]]&gt;900,vp.data[[#This Row],[Sulf]]&lt;=0.5,vp.data[[#This Row],[Unknown]]=0),1,0)</f>
        <v>0</v>
      </c>
      <c r="AG981" t="str">
        <f>INDEX(vp.data[[#Headers],[Unknown]:[Heavy_SW]],MATCH(1,vp.data[[#This Row],[Unknown]:[Heavy_SW]],0))</f>
        <v>Light_SW</v>
      </c>
      <c r="AH981">
        <f>INDEX([3]!crudeBD.lkup[Number],MATCH(vp.data[[#This Row],[Crude_Breakdown]],crudeBD.lkup[Crude Breakdown],0))</f>
        <v>2</v>
      </c>
      <c r="AI981">
        <f>MONTH(vp.data[[#This Row],[SDate]])</f>
        <v>3</v>
      </c>
      <c r="AJ981" s="5">
        <f>(vp.data[[#This Row],[VP]]-INDEX(crudeBD.lkup[Mean_VP],MATCH(vp.data[[#This Row],[Crude_Breakdown]],crudeBD.lkup[Crude Breakdown],0)))^2</f>
        <v>0.42209243283278253</v>
      </c>
      <c r="AK981" s="5">
        <f>(vp.data[[#This Row],[Dens]]-INDEX(crudeBD.lkup[Mean_Dens],MATCH(vp.data[[#This Row],[Crude_Breakdown]],crudeBD.lkup[Crude Breakdown],0)))^2</f>
        <v>0.26163046777289312</v>
      </c>
      <c r="AL981" s="5">
        <f>(vp.data[[#This Row],[Sulf]]-INDEX(crudeBD.lkup[Mean_Sulf],MATCH(vp.data[[#This Row],[Crude_Breakdown]],crudeBD.lkup[Crude Breakdown],0)))^2</f>
        <v>2.1383051628646554E-3</v>
      </c>
      <c r="AM981" s="4">
        <f>IF(AND(vp.data[[#This Row],[SDate]]&gt;=DATE(YEAR(vp.data[[#This Row],[SDate]]),5,1),vp.data[[#This Row],[SDate]]&lt;=DATE(YEAR(vp.data[[#This Row],[SDate]]),9,15)),1,0)</f>
        <v>0</v>
      </c>
      <c r="AN981" s="4">
        <f>IF(vp.data[[#This Row],[SDate]]&lt;DATE(2016,12,1),0,1)</f>
        <v>1</v>
      </c>
      <c r="AO981" s="4">
        <f>IFERROR(vp.data[[#This Row],[Sulf]]*vp.data[[#This Row],[Net Dens]],"")</f>
        <v>968923.57797199988</v>
      </c>
      <c r="AP981">
        <f>IFERROR(vp.data[[#This Row],[Dens]]*vp.data[[#This Row],[VolumeM3]],"")</f>
        <v>5099597.7787999995</v>
      </c>
      <c r="AQ981" s="15">
        <f>IFERROR(vp.data[[#This Row],[VP]]*vp.data[[#This Row],[VolumeM3]],"")</f>
        <v>588366.56720000005</v>
      </c>
    </row>
    <row r="982" spans="1:43" x14ac:dyDescent="0.25">
      <c r="A982">
        <v>981</v>
      </c>
      <c r="B982" t="s">
        <v>96</v>
      </c>
      <c r="C982" t="s">
        <v>96</v>
      </c>
      <c r="D982" t="s">
        <v>97</v>
      </c>
      <c r="F982" s="1">
        <v>42806</v>
      </c>
      <c r="G982" s="2">
        <v>90.9</v>
      </c>
      <c r="H982" s="2"/>
      <c r="I982" s="2">
        <f t="array" ref="I982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982" s="2">
        <v>21</v>
      </c>
      <c r="K982" s="2">
        <v>-14</v>
      </c>
      <c r="L982" s="2">
        <v>817.5</v>
      </c>
      <c r="M982" s="2">
        <f t="array" ref="M982">_xlfn.IFNA(IF(vp.data[[#This Row],[Dens Input]]="",INDEX([1]DATA!$O$3:$O$9826,MATCH(1,(vp.data[[#This Row],[Battery]]=[1]DATA!$L$3:$L$9826)*(EOMONTH(vp.data[[#This Row],[SDate]],-1)+1=[1]DATA!$G$3:$G$9826),0)),vp.data[[#This Row],[Dens Input]]),"")</f>
        <v>817.5</v>
      </c>
      <c r="N982" s="2">
        <f ca="1">INDEX(INDIRECT(_xlfn.CONCAT("weather.tbl[",N$1,"]")),MATCH(vp.data[[#This Row],[SDate]],weather.tbl[Date],0))</f>
        <v>-17.216666666666669</v>
      </c>
      <c r="O982" s="2">
        <f ca="1">INDEX(INDIRECT(_xlfn.CONCAT("weather.tbl[",O$1,"]")),MATCH(vp.data[[#This Row],[SDate]],weather.tbl[Date],0))</f>
        <v>-15.638095238095238</v>
      </c>
      <c r="P982" s="2">
        <f ca="1">INDEX(INDIRECT(_xlfn.CONCAT("weather.tbl[",P$1,"]")),MATCH(vp.data[[#This Row],[SDate]],weather.tbl[Date],0))</f>
        <v>-17.3</v>
      </c>
      <c r="Q982" s="2">
        <f ca="1">INDEX(INDIRECT(_xlfn.CONCAT("weather.tbl[",Q$1,"]")),MATCH(vp.data[[#This Row],[SDate]],weather.tbl[Date],0))</f>
        <v>-17.3</v>
      </c>
      <c r="R982" s="2">
        <f ca="1">INDEX(INDIRECT(_xlfn.CONCAT("weather.tbl[",R$1,"]")),MATCH(vp.data[[#This Row],[SDate]],weather.tbl[Date],0))</f>
        <v>-17</v>
      </c>
      <c r="S982" s="2">
        <f ca="1">INDEX(INDIRECT(_xlfn.CONCAT("weather.tbl[",S$1,"]")),MATCH(vp.data[[#This Row],[SDate]],weather.tbl[Date],0))</f>
        <v>-16.8</v>
      </c>
      <c r="T982" s="2">
        <f ca="1">INDEX(INDIRECT(_xlfn.CONCAT("weather.tbl[",T$1,"]")),MATCH(vp.data[[#This Row],[SDate]],weather.tbl[Date],0))</f>
        <v>-18.899999999999999</v>
      </c>
      <c r="U982" s="2">
        <f ca="1">INDEX(INDIRECT(_xlfn.CONCAT("weather.tbl[",U$1,"]")),MATCH(vp.data[[#This Row],[SDate]],weather.tbl[Date],0))</f>
        <v>-16</v>
      </c>
      <c r="V982" s="2">
        <f t="array" ref="V9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6750.8019999999997</v>
      </c>
      <c r="W982" t="s">
        <v>48</v>
      </c>
      <c r="X982">
        <f>IF(OR(vp.data[[#This Row],[Sulf]]="",vp.data[[#This Row],[Dens]]=""),1,0)</f>
        <v>0</v>
      </c>
      <c r="Y982">
        <f>IF(vp.data[[#This Row],[CrudeType]]="C5+",1,0)</f>
        <v>0</v>
      </c>
      <c r="Z982">
        <f>IF(AND(vp.data[[#This Row],[CrudeType]]="Crude",vp.data[[#This Row],[Dens]]&lt;=825,vp.data[[#This Row],[Sulf]]&gt;0.5,vp.data[[#This Row],[Unknown]]=0),1,0)</f>
        <v>1</v>
      </c>
      <c r="AA982">
        <f>IF(AND(vp.data[[#This Row],[CrudeType]]="Crude",vp.data[[#This Row],[Dens]]&lt;=825,vp.data[[#This Row],[Sulf]]&lt;=0.5,vp.data[[#This Row],[Unknown]]=0),1,0)</f>
        <v>0</v>
      </c>
      <c r="AB9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82">
        <f>IF(AND(vp.data[[#This Row],[CrudeType]]="Crude",vp.data[[#This Row],[Dens]]&gt;825,vp.data[[#This Row],[Dens]]&lt;=900,vp.data[[#This Row],[Sulf]]&lt;=0.5,vp.data[[#This Row],[Unknown]]=0),1,0)</f>
        <v>0</v>
      </c>
      <c r="AD982">
        <f>IF(AND(vp.data[[#This Row],[CrudeType]]="Crude",vp.data[[#This Row],[Dens]]&gt;865,vp.data[[#This Row],[Dens]]&lt;=900,vp.data[[#This Row],[Sulf]]&gt;2,vp.data[[#This Row],[Unknown]]=0),1,0)</f>
        <v>0</v>
      </c>
      <c r="AE982">
        <f>IF(AND(vp.data[[#This Row],[CrudeType]]="Crude",vp.data[[#This Row],[Dens]]&gt;900,vp.data[[#This Row],[Sulf]]&lt;=0.5,vp.data[[#This Row],[Unknown]]=0),1,0)</f>
        <v>0</v>
      </c>
      <c r="AF982">
        <f>IF(AND(vp.data[[#This Row],[CrudeType]]="Crude",vp.data[[#This Row],[Dens]]&gt;900,vp.data[[#This Row],[Sulf]]&lt;=0.5,vp.data[[#This Row],[Unknown]]=0),1,0)</f>
        <v>0</v>
      </c>
      <c r="AG982" t="str">
        <f>INDEX(vp.data[[#Headers],[Unknown]:[Heavy_SW]],MATCH(1,vp.data[[#This Row],[Unknown]:[Heavy_SW]],0))</f>
        <v>Light_LSB</v>
      </c>
      <c r="AH982">
        <f>INDEX([3]!crudeBD.lkup[Number],MATCH(vp.data[[#This Row],[Crude_Breakdown]],crudeBD.lkup[Crude Breakdown],0))</f>
        <v>1</v>
      </c>
      <c r="AI982">
        <f>MONTH(vp.data[[#This Row],[SDate]])</f>
        <v>3</v>
      </c>
      <c r="AJ982" s="5">
        <f>(vp.data[[#This Row],[VP]]-INDEX(crudeBD.lkup[Mean_VP],MATCH(vp.data[[#This Row],[Crude_Breakdown]],crudeBD.lkup[Crude Breakdown],0)))^2</f>
        <v>0.41755578701246776</v>
      </c>
      <c r="AK982" s="5">
        <f>(vp.data[[#This Row],[Dens]]-INDEX(crudeBD.lkup[Mean_Dens],MATCH(vp.data[[#This Row],[Crude_Breakdown]],crudeBD.lkup[Crude Breakdown],0)))^2</f>
        <v>1.0338207437317215</v>
      </c>
      <c r="AL982" s="5">
        <f>(vp.data[[#This Row],[Sulf]]-INDEX(crudeBD.lkup[Mean_Sulf],MATCH(vp.data[[#This Row],[Crude_Breakdown]],crudeBD.lkup[Crude Breakdown],0)))^2</f>
        <v>0.15442633918177728</v>
      </c>
      <c r="AM982" s="4">
        <f>IF(AND(vp.data[[#This Row],[SDate]]&gt;=DATE(YEAR(vp.data[[#This Row],[SDate]]),5,1),vp.data[[#This Row],[SDate]]&lt;=DATE(YEAR(vp.data[[#This Row],[SDate]]),9,15)),1,0)</f>
        <v>0</v>
      </c>
      <c r="AN982" s="4">
        <f>IF(vp.data[[#This Row],[SDate]]&lt;DATE(2016,12,1),0,1)</f>
        <v>1</v>
      </c>
      <c r="AO982" s="4">
        <f>IFERROR(vp.data[[#This Row],[Sulf]]*vp.data[[#This Row],[Net Dens]],"")</f>
        <v>2924953.73655</v>
      </c>
      <c r="AP982">
        <f>IFERROR(vp.data[[#This Row],[Dens]]*vp.data[[#This Row],[VolumeM3]],"")</f>
        <v>5518780.6349999998</v>
      </c>
      <c r="AQ982" s="15">
        <f>IFERROR(vp.data[[#This Row],[VP]]*vp.data[[#This Row],[VolumeM3]],"")</f>
        <v>613647.90179999999</v>
      </c>
    </row>
    <row r="983" spans="1:43" x14ac:dyDescent="0.25">
      <c r="A983">
        <v>982</v>
      </c>
      <c r="B983" t="s">
        <v>51</v>
      </c>
      <c r="C983" t="s">
        <v>51</v>
      </c>
      <c r="D983" t="s">
        <v>66</v>
      </c>
      <c r="F983" s="1">
        <v>42806</v>
      </c>
      <c r="G983" s="2">
        <v>81.099999999999994</v>
      </c>
      <c r="H983" s="2"/>
      <c r="I983" s="2">
        <f t="array" ref="I983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983" s="2">
        <v>-5.0999999999999996</v>
      </c>
      <c r="K983" s="2">
        <v>-14</v>
      </c>
      <c r="L983" s="2">
        <v>825.3</v>
      </c>
      <c r="M983" s="2">
        <f t="array" ref="M983">_xlfn.IFNA(IF(vp.data[[#This Row],[Dens Input]]="",INDEX([1]DATA!$O$3:$O$9826,MATCH(1,(vp.data[[#This Row],[Battery]]=[1]DATA!$L$3:$L$9826)*(EOMONTH(vp.data[[#This Row],[SDate]],-1)+1=[1]DATA!$G$3:$G$9826),0)),vp.data[[#This Row],[Dens Input]]),"")</f>
        <v>825.3</v>
      </c>
      <c r="N983" s="2">
        <f ca="1">INDEX(INDIRECT(_xlfn.CONCAT("weather.tbl[",N$1,"]")),MATCH(vp.data[[#This Row],[SDate]],weather.tbl[Date],0))</f>
        <v>-17.216666666666669</v>
      </c>
      <c r="O983" s="2">
        <f ca="1">INDEX(INDIRECT(_xlfn.CONCAT("weather.tbl[",O$1,"]")),MATCH(vp.data[[#This Row],[SDate]],weather.tbl[Date],0))</f>
        <v>-15.638095238095238</v>
      </c>
      <c r="P983" s="2">
        <f ca="1">INDEX(INDIRECT(_xlfn.CONCAT("weather.tbl[",P$1,"]")),MATCH(vp.data[[#This Row],[SDate]],weather.tbl[Date],0))</f>
        <v>-17.3</v>
      </c>
      <c r="Q983" s="2">
        <f ca="1">INDEX(INDIRECT(_xlfn.CONCAT("weather.tbl[",Q$1,"]")),MATCH(vp.data[[#This Row],[SDate]],weather.tbl[Date],0))</f>
        <v>-17.3</v>
      </c>
      <c r="R983" s="2">
        <f ca="1">INDEX(INDIRECT(_xlfn.CONCAT("weather.tbl[",R$1,"]")),MATCH(vp.data[[#This Row],[SDate]],weather.tbl[Date],0))</f>
        <v>-17</v>
      </c>
      <c r="S983" s="2">
        <f ca="1">INDEX(INDIRECT(_xlfn.CONCAT("weather.tbl[",S$1,"]")),MATCH(vp.data[[#This Row],[SDate]],weather.tbl[Date],0))</f>
        <v>-16.8</v>
      </c>
      <c r="T983" s="2">
        <f ca="1">INDEX(INDIRECT(_xlfn.CONCAT("weather.tbl[",T$1,"]")),MATCH(vp.data[[#This Row],[SDate]],weather.tbl[Date],0))</f>
        <v>-18.899999999999999</v>
      </c>
      <c r="U983" s="2">
        <f ca="1">INDEX(INDIRECT(_xlfn.CONCAT("weather.tbl[",U$1,"]")),MATCH(vp.data[[#This Row],[SDate]],weather.tbl[Date],0))</f>
        <v>-16</v>
      </c>
      <c r="V983" s="2">
        <f t="array" ref="V9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3482.7910000000002</v>
      </c>
      <c r="W983" t="s">
        <v>48</v>
      </c>
      <c r="X983">
        <f>IF(OR(vp.data[[#This Row],[Sulf]]="",vp.data[[#This Row],[Dens]]=""),1,0)</f>
        <v>0</v>
      </c>
      <c r="Y983">
        <f>IF(vp.data[[#This Row],[CrudeType]]="C5+",1,0)</f>
        <v>0</v>
      </c>
      <c r="Z983">
        <f>IF(AND(vp.data[[#This Row],[CrudeType]]="Crude",vp.data[[#This Row],[Dens]]&lt;=825,vp.data[[#This Row],[Sulf]]&gt;0.5,vp.data[[#This Row],[Unknown]]=0),1,0)</f>
        <v>0</v>
      </c>
      <c r="AA983">
        <f>IF(AND(vp.data[[#This Row],[CrudeType]]="Crude",vp.data[[#This Row],[Dens]]&lt;=825,vp.data[[#This Row],[Sulf]]&lt;=0.5,vp.data[[#This Row],[Unknown]]=0),1,0)</f>
        <v>0</v>
      </c>
      <c r="AB9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3">
        <f>IF(AND(vp.data[[#This Row],[CrudeType]]="Crude",vp.data[[#This Row],[Dens]]&gt;825,vp.data[[#This Row],[Dens]]&lt;=900,vp.data[[#This Row],[Sulf]]&lt;=0.5,vp.data[[#This Row],[Unknown]]=0),1,0)</f>
        <v>0</v>
      </c>
      <c r="AD983">
        <f>IF(AND(vp.data[[#This Row],[CrudeType]]="Crude",vp.data[[#This Row],[Dens]]&gt;865,vp.data[[#This Row],[Dens]]&lt;=900,vp.data[[#This Row],[Sulf]]&gt;2,vp.data[[#This Row],[Unknown]]=0),1,0)</f>
        <v>0</v>
      </c>
      <c r="AE983">
        <f>IF(AND(vp.data[[#This Row],[CrudeType]]="Crude",vp.data[[#This Row],[Dens]]&gt;900,vp.data[[#This Row],[Sulf]]&lt;=0.5,vp.data[[#This Row],[Unknown]]=0),1,0)</f>
        <v>0</v>
      </c>
      <c r="AF983">
        <f>IF(AND(vp.data[[#This Row],[CrudeType]]="Crude",vp.data[[#This Row],[Dens]]&gt;900,vp.data[[#This Row],[Sulf]]&lt;=0.5,vp.data[[#This Row],[Unknown]]=0),1,0)</f>
        <v>0</v>
      </c>
      <c r="AG983" t="str">
        <f>INDEX(vp.data[[#Headers],[Unknown]:[Heavy_SW]],MATCH(1,vp.data[[#This Row],[Unknown]:[Heavy_SW]],0))</f>
        <v>Medium_LSB</v>
      </c>
      <c r="AH983">
        <f>INDEX([3]!crudeBD.lkup[Number],MATCH(vp.data[[#This Row],[Crude_Breakdown]],crudeBD.lkup[Crude Breakdown],0))</f>
        <v>3</v>
      </c>
      <c r="AI983">
        <f>MONTH(vp.data[[#This Row],[SDate]])</f>
        <v>3</v>
      </c>
      <c r="AJ983" s="5">
        <f>(vp.data[[#This Row],[VP]]-INDEX(crudeBD.lkup[Mean_VP],MATCH(vp.data[[#This Row],[Crude_Breakdown]],crudeBD.lkup[Crude Breakdown],0)))^2</f>
        <v>0.21189767874403956</v>
      </c>
      <c r="AK983" s="5">
        <f>(vp.data[[#This Row],[Dens]]-INDEX(crudeBD.lkup[Mean_Dens],MATCH(vp.data[[#This Row],[Crude_Breakdown]],crudeBD.lkup[Crude Breakdown],0)))^2</f>
        <v>346.70439999998325</v>
      </c>
      <c r="AL983" s="5">
        <f>(vp.data[[#This Row],[Sulf]]-INDEX(crudeBD.lkup[Mean_Sulf],MATCH(vp.data[[#This Row],[Crude_Breakdown]],crudeBD.lkup[Crude Breakdown],0)))^2</f>
        <v>6.4557290162259046E-4</v>
      </c>
      <c r="AM983" s="4">
        <f>IF(AND(vp.data[[#This Row],[SDate]]&gt;=DATE(YEAR(vp.data[[#This Row],[SDate]]),5,1),vp.data[[#This Row],[SDate]]&lt;=DATE(YEAR(vp.data[[#This Row],[SDate]]),9,15)),1,0)</f>
        <v>0</v>
      </c>
      <c r="AN983" s="4">
        <f>IF(vp.data[[#This Row],[SDate]]&lt;DATE(2016,12,1),0,1)</f>
        <v>1</v>
      </c>
      <c r="AO983" s="4">
        <f>IFERROR(vp.data[[#This Row],[Sulf]]*vp.data[[#This Row],[Net Dens]],"")</f>
        <v>3909112.4807280004</v>
      </c>
      <c r="AP983">
        <f>IFERROR(vp.data[[#This Row],[Dens]]*vp.data[[#This Row],[VolumeM3]],"")</f>
        <v>2874347.4123</v>
      </c>
      <c r="AQ983" s="15">
        <f>IFERROR(vp.data[[#This Row],[VP]]*vp.data[[#This Row],[VolumeM3]],"")</f>
        <v>282454.35009999998</v>
      </c>
    </row>
    <row r="984" spans="1:43" x14ac:dyDescent="0.25">
      <c r="A984">
        <v>983</v>
      </c>
      <c r="B984" t="s">
        <v>51</v>
      </c>
      <c r="C984" t="s">
        <v>51</v>
      </c>
      <c r="D984" t="s">
        <v>72</v>
      </c>
      <c r="F984" s="1">
        <v>42806</v>
      </c>
      <c r="G984" s="2">
        <v>103.3</v>
      </c>
      <c r="H984" s="2"/>
      <c r="I984" s="2">
        <f t="array" ref="I984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984" s="2">
        <v>22</v>
      </c>
      <c r="K984" s="2">
        <v>-14</v>
      </c>
      <c r="L984" s="2">
        <v>829.2</v>
      </c>
      <c r="M984" s="2">
        <f t="array" ref="M984">_xlfn.IFNA(IF(vp.data[[#This Row],[Dens Input]]="",INDEX([1]DATA!$O$3:$O$9826,MATCH(1,(vp.data[[#This Row],[Battery]]=[1]DATA!$L$3:$L$9826)*(EOMONTH(vp.data[[#This Row],[SDate]],-1)+1=[1]DATA!$G$3:$G$9826),0)),vp.data[[#This Row],[Dens Input]]),"")</f>
        <v>829.2</v>
      </c>
      <c r="N984" s="2">
        <f ca="1">INDEX(INDIRECT(_xlfn.CONCAT("weather.tbl[",N$1,"]")),MATCH(vp.data[[#This Row],[SDate]],weather.tbl[Date],0))</f>
        <v>-17.216666666666669</v>
      </c>
      <c r="O984" s="2">
        <f ca="1">INDEX(INDIRECT(_xlfn.CONCAT("weather.tbl[",O$1,"]")),MATCH(vp.data[[#This Row],[SDate]],weather.tbl[Date],0))</f>
        <v>-15.638095238095238</v>
      </c>
      <c r="P984" s="2">
        <f ca="1">INDEX(INDIRECT(_xlfn.CONCAT("weather.tbl[",P$1,"]")),MATCH(vp.data[[#This Row],[SDate]],weather.tbl[Date],0))</f>
        <v>-17.3</v>
      </c>
      <c r="Q984" s="2">
        <f ca="1">INDEX(INDIRECT(_xlfn.CONCAT("weather.tbl[",Q$1,"]")),MATCH(vp.data[[#This Row],[SDate]],weather.tbl[Date],0))</f>
        <v>-17.3</v>
      </c>
      <c r="R984" s="2">
        <f ca="1">INDEX(INDIRECT(_xlfn.CONCAT("weather.tbl[",R$1,"]")),MATCH(vp.data[[#This Row],[SDate]],weather.tbl[Date],0))</f>
        <v>-17</v>
      </c>
      <c r="S984" s="2">
        <f ca="1">INDEX(INDIRECT(_xlfn.CONCAT("weather.tbl[",S$1,"]")),MATCH(vp.data[[#This Row],[SDate]],weather.tbl[Date],0))</f>
        <v>-16.8</v>
      </c>
      <c r="T984" s="2">
        <f ca="1">INDEX(INDIRECT(_xlfn.CONCAT("weather.tbl[",T$1,"]")),MATCH(vp.data[[#This Row],[SDate]],weather.tbl[Date],0))</f>
        <v>-18.899999999999999</v>
      </c>
      <c r="U984" s="2">
        <f ca="1">INDEX(INDIRECT(_xlfn.CONCAT("weather.tbl[",U$1,"]")),MATCH(vp.data[[#This Row],[SDate]],weather.tbl[Date],0))</f>
        <v>-16</v>
      </c>
      <c r="V984" s="2">
        <f t="array" ref="V9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984" t="s">
        <v>48</v>
      </c>
      <c r="X984">
        <f>IF(OR(vp.data[[#This Row],[Sulf]]="",vp.data[[#This Row],[Dens]]=""),1,0)</f>
        <v>0</v>
      </c>
      <c r="Y984">
        <f>IF(vp.data[[#This Row],[CrudeType]]="C5+",1,0)</f>
        <v>0</v>
      </c>
      <c r="Z984">
        <f>IF(AND(vp.data[[#This Row],[CrudeType]]="Crude",vp.data[[#This Row],[Dens]]&lt;=825,vp.data[[#This Row],[Sulf]]&gt;0.5,vp.data[[#This Row],[Unknown]]=0),1,0)</f>
        <v>0</v>
      </c>
      <c r="AA984">
        <f>IF(AND(vp.data[[#This Row],[CrudeType]]="Crude",vp.data[[#This Row],[Dens]]&lt;=825,vp.data[[#This Row],[Sulf]]&lt;=0.5,vp.data[[#This Row],[Unknown]]=0),1,0)</f>
        <v>0</v>
      </c>
      <c r="AB9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4">
        <f>IF(AND(vp.data[[#This Row],[CrudeType]]="Crude",vp.data[[#This Row],[Dens]]&gt;825,vp.data[[#This Row],[Dens]]&lt;=900,vp.data[[#This Row],[Sulf]]&lt;=0.5,vp.data[[#This Row],[Unknown]]=0),1,0)</f>
        <v>0</v>
      </c>
      <c r="AD984">
        <f>IF(AND(vp.data[[#This Row],[CrudeType]]="Crude",vp.data[[#This Row],[Dens]]&gt;865,vp.data[[#This Row],[Dens]]&lt;=900,vp.data[[#This Row],[Sulf]]&gt;2,vp.data[[#This Row],[Unknown]]=0),1,0)</f>
        <v>0</v>
      </c>
      <c r="AE984">
        <f>IF(AND(vp.data[[#This Row],[CrudeType]]="Crude",vp.data[[#This Row],[Dens]]&gt;900,vp.data[[#This Row],[Sulf]]&lt;=0.5,vp.data[[#This Row],[Unknown]]=0),1,0)</f>
        <v>0</v>
      </c>
      <c r="AF984">
        <f>IF(AND(vp.data[[#This Row],[CrudeType]]="Crude",vp.data[[#This Row],[Dens]]&gt;900,vp.data[[#This Row],[Sulf]]&lt;=0.5,vp.data[[#This Row],[Unknown]]=0),1,0)</f>
        <v>0</v>
      </c>
      <c r="AG984" t="str">
        <f>INDEX(vp.data[[#Headers],[Unknown]:[Heavy_SW]],MATCH(1,vp.data[[#This Row],[Unknown]:[Heavy_SW]],0))</f>
        <v>Medium_LSB</v>
      </c>
      <c r="AH984">
        <f>INDEX([3]!crudeBD.lkup[Number],MATCH(vp.data[[#This Row],[Crude_Breakdown]],crudeBD.lkup[Crude Breakdown],0))</f>
        <v>3</v>
      </c>
      <c r="AI984">
        <f>MONTH(vp.data[[#This Row],[SDate]])</f>
        <v>3</v>
      </c>
      <c r="AJ984" s="5">
        <f>(vp.data[[#This Row],[VP]]-INDEX(crudeBD.lkup[Mean_VP],MATCH(vp.data[[#This Row],[Crude_Breakdown]],crudeBD.lkup[Crude Breakdown],0)))^2</f>
        <v>513.49025886473089</v>
      </c>
      <c r="AK984" s="5">
        <f>(vp.data[[#This Row],[Dens]]-INDEX(crudeBD.lkup[Mean_Dens],MATCH(vp.data[[#This Row],[Crude_Breakdown]],crudeBD.lkup[Crude Breakdown],0)))^2</f>
        <v>216.67839999998407</v>
      </c>
      <c r="AL984" s="5">
        <f>(vp.data[[#This Row],[Sulf]]-INDEX(crudeBD.lkup[Mean_Sulf],MATCH(vp.data[[#This Row],[Crude_Breakdown]],crudeBD.lkup[Crude Breakdown],0)))^2</f>
        <v>9.3274123845019638E-2</v>
      </c>
      <c r="AM984" s="4">
        <f>IF(AND(vp.data[[#This Row],[SDate]]&gt;=DATE(YEAR(vp.data[[#This Row],[SDate]]),5,1),vp.data[[#This Row],[SDate]]&lt;=DATE(YEAR(vp.data[[#This Row],[SDate]]),9,15)),1,0)</f>
        <v>0</v>
      </c>
      <c r="AN984" s="4">
        <f>IF(vp.data[[#This Row],[SDate]]&lt;DATE(2016,12,1),0,1)</f>
        <v>1</v>
      </c>
      <c r="AO984" s="4">
        <f>IFERROR(vp.data[[#This Row],[Sulf]]*vp.data[[#This Row],[Net Dens]],"")</f>
        <v>12428726.824224001</v>
      </c>
      <c r="AP984">
        <f>IFERROR(vp.data[[#This Row],[Dens]]*vp.data[[#This Row],[VolumeM3]],"")</f>
        <v>11508080.3928</v>
      </c>
      <c r="AQ984" s="15">
        <f>IFERROR(vp.data[[#This Row],[VP]]*vp.data[[#This Row],[VolumeM3]],"")</f>
        <v>1433652.5621999998</v>
      </c>
    </row>
    <row r="985" spans="1:43" x14ac:dyDescent="0.25">
      <c r="A985">
        <v>984</v>
      </c>
      <c r="B985" t="s">
        <v>51</v>
      </c>
      <c r="C985" t="s">
        <v>51</v>
      </c>
      <c r="D985" t="s">
        <v>58</v>
      </c>
      <c r="F985" s="1">
        <v>42806</v>
      </c>
      <c r="G985" s="2">
        <v>107</v>
      </c>
      <c r="H985" s="2"/>
      <c r="I985" s="2">
        <f t="array" ref="I985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985" s="2">
        <v>21</v>
      </c>
      <c r="K985" s="2">
        <v>-14</v>
      </c>
      <c r="L985" s="2">
        <v>830.1</v>
      </c>
      <c r="M985" s="2">
        <f t="array" ref="M985">_xlfn.IFNA(IF(vp.data[[#This Row],[Dens Input]]="",INDEX([1]DATA!$O$3:$O$9826,MATCH(1,(vp.data[[#This Row],[Battery]]=[1]DATA!$L$3:$L$9826)*(EOMONTH(vp.data[[#This Row],[SDate]],-1)+1=[1]DATA!$G$3:$G$9826),0)),vp.data[[#This Row],[Dens Input]]),"")</f>
        <v>830.1</v>
      </c>
      <c r="N985" s="2">
        <f ca="1">INDEX(INDIRECT(_xlfn.CONCAT("weather.tbl[",N$1,"]")),MATCH(vp.data[[#This Row],[SDate]],weather.tbl[Date],0))</f>
        <v>-17.216666666666669</v>
      </c>
      <c r="O985" s="2">
        <f ca="1">INDEX(INDIRECT(_xlfn.CONCAT("weather.tbl[",O$1,"]")),MATCH(vp.data[[#This Row],[SDate]],weather.tbl[Date],0))</f>
        <v>-15.638095238095238</v>
      </c>
      <c r="P985" s="2">
        <f ca="1">INDEX(INDIRECT(_xlfn.CONCAT("weather.tbl[",P$1,"]")),MATCH(vp.data[[#This Row],[SDate]],weather.tbl[Date],0))</f>
        <v>-17.3</v>
      </c>
      <c r="Q985" s="2">
        <f ca="1">INDEX(INDIRECT(_xlfn.CONCAT("weather.tbl[",Q$1,"]")),MATCH(vp.data[[#This Row],[SDate]],weather.tbl[Date],0))</f>
        <v>-17.3</v>
      </c>
      <c r="R985" s="2">
        <f ca="1">INDEX(INDIRECT(_xlfn.CONCAT("weather.tbl[",R$1,"]")),MATCH(vp.data[[#This Row],[SDate]],weather.tbl[Date],0))</f>
        <v>-17</v>
      </c>
      <c r="S985" s="2">
        <f ca="1">INDEX(INDIRECT(_xlfn.CONCAT("weather.tbl[",S$1,"]")),MATCH(vp.data[[#This Row],[SDate]],weather.tbl[Date],0))</f>
        <v>-16.8</v>
      </c>
      <c r="T985" s="2">
        <f ca="1">INDEX(INDIRECT(_xlfn.CONCAT("weather.tbl[",T$1,"]")),MATCH(vp.data[[#This Row],[SDate]],weather.tbl[Date],0))</f>
        <v>-18.899999999999999</v>
      </c>
      <c r="U985" s="2">
        <f ca="1">INDEX(INDIRECT(_xlfn.CONCAT("weather.tbl[",U$1,"]")),MATCH(vp.data[[#This Row],[SDate]],weather.tbl[Date],0))</f>
        <v>-16</v>
      </c>
      <c r="V985" s="2">
        <f t="array" ref="V9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985" t="s">
        <v>48</v>
      </c>
      <c r="X985">
        <f>IF(OR(vp.data[[#This Row],[Sulf]]="",vp.data[[#This Row],[Dens]]=""),1,0)</f>
        <v>0</v>
      </c>
      <c r="Y985">
        <f>IF(vp.data[[#This Row],[CrudeType]]="C5+",1,0)</f>
        <v>0</v>
      </c>
      <c r="Z985">
        <f>IF(AND(vp.data[[#This Row],[CrudeType]]="Crude",vp.data[[#This Row],[Dens]]&lt;=825,vp.data[[#This Row],[Sulf]]&gt;0.5,vp.data[[#This Row],[Unknown]]=0),1,0)</f>
        <v>0</v>
      </c>
      <c r="AA985">
        <f>IF(AND(vp.data[[#This Row],[CrudeType]]="Crude",vp.data[[#This Row],[Dens]]&lt;=825,vp.data[[#This Row],[Sulf]]&lt;=0.5,vp.data[[#This Row],[Unknown]]=0),1,0)</f>
        <v>0</v>
      </c>
      <c r="AB9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5">
        <f>IF(AND(vp.data[[#This Row],[CrudeType]]="Crude",vp.data[[#This Row],[Dens]]&gt;825,vp.data[[#This Row],[Dens]]&lt;=900,vp.data[[#This Row],[Sulf]]&lt;=0.5,vp.data[[#This Row],[Unknown]]=0),1,0)</f>
        <v>0</v>
      </c>
      <c r="AD985">
        <f>IF(AND(vp.data[[#This Row],[CrudeType]]="Crude",vp.data[[#This Row],[Dens]]&gt;865,vp.data[[#This Row],[Dens]]&lt;=900,vp.data[[#This Row],[Sulf]]&gt;2,vp.data[[#This Row],[Unknown]]=0),1,0)</f>
        <v>0</v>
      </c>
      <c r="AE985">
        <f>IF(AND(vp.data[[#This Row],[CrudeType]]="Crude",vp.data[[#This Row],[Dens]]&gt;900,vp.data[[#This Row],[Sulf]]&lt;=0.5,vp.data[[#This Row],[Unknown]]=0),1,0)</f>
        <v>0</v>
      </c>
      <c r="AF985">
        <f>IF(AND(vp.data[[#This Row],[CrudeType]]="Crude",vp.data[[#This Row],[Dens]]&gt;900,vp.data[[#This Row],[Sulf]]&lt;=0.5,vp.data[[#This Row],[Unknown]]=0),1,0)</f>
        <v>0</v>
      </c>
      <c r="AG985" t="str">
        <f>INDEX(vp.data[[#Headers],[Unknown]:[Heavy_SW]],MATCH(1,vp.data[[#This Row],[Unknown]:[Heavy_SW]],0))</f>
        <v>Medium_LSB</v>
      </c>
      <c r="AH985">
        <f>INDEX([3]!crudeBD.lkup[Number],MATCH(vp.data[[#This Row],[Crude_Breakdown]],crudeBD.lkup[Crude Breakdown],0))</f>
        <v>3</v>
      </c>
      <c r="AI985">
        <f>MONTH(vp.data[[#This Row],[SDate]])</f>
        <v>3</v>
      </c>
      <c r="AJ985" s="5">
        <f>(vp.data[[#This Row],[VP]]-INDEX(crudeBD.lkup[Mean_VP],MATCH(vp.data[[#This Row],[Crude_Breakdown]],crudeBD.lkup[Crude Breakdown],0)))^2</f>
        <v>694.86665239572892</v>
      </c>
      <c r="AK985" s="5">
        <f>(vp.data[[#This Row],[Dens]]-INDEX(crudeBD.lkup[Mean_Dens],MATCH(vp.data[[#This Row],[Crude_Breakdown]],crudeBD.lkup[Crude Breakdown],0)))^2</f>
        <v>190.99239999998568</v>
      </c>
      <c r="AL985" s="5">
        <f>(vp.data[[#This Row],[Sulf]]-INDEX(crudeBD.lkup[Mean_Sulf],MATCH(vp.data[[#This Row],[Crude_Breakdown]],crudeBD.lkup[Crude Breakdown],0)))^2</f>
        <v>5.6863855700863518E-3</v>
      </c>
      <c r="AM985" s="4">
        <f>IF(AND(vp.data[[#This Row],[SDate]]&gt;=DATE(YEAR(vp.data[[#This Row],[SDate]]),5,1),vp.data[[#This Row],[SDate]]&lt;=DATE(YEAR(vp.data[[#This Row],[SDate]]),9,15)),1,0)</f>
        <v>0</v>
      </c>
      <c r="AN985" s="4">
        <f>IF(vp.data[[#This Row],[SDate]]&lt;DATE(2016,12,1),0,1)</f>
        <v>1</v>
      </c>
      <c r="AO985" s="4">
        <f>IFERROR(vp.data[[#This Row],[Sulf]]*vp.data[[#This Row],[Net Dens]],"")</f>
        <v>6602088.2948010005</v>
      </c>
      <c r="AP985">
        <f>IFERROR(vp.data[[#This Row],[Dens]]*vp.data[[#This Row],[VolumeM3]],"")</f>
        <v>5039762.0570999999</v>
      </c>
      <c r="AQ985" s="15">
        <f>IFERROR(vp.data[[#This Row],[VP]]*vp.data[[#This Row],[VolumeM3]],"")</f>
        <v>649625.99699999997</v>
      </c>
    </row>
    <row r="986" spans="1:43" x14ac:dyDescent="0.25">
      <c r="A986">
        <v>985</v>
      </c>
      <c r="B986" t="s">
        <v>108</v>
      </c>
      <c r="C986" t="s">
        <v>108</v>
      </c>
      <c r="D986" t="s">
        <v>109</v>
      </c>
      <c r="F986" s="1">
        <v>42806</v>
      </c>
      <c r="G986" s="2">
        <v>93</v>
      </c>
      <c r="H986" s="2"/>
      <c r="I986" s="2">
        <f t="array" ref="I986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986" s="2">
        <v>21</v>
      </c>
      <c r="K986" s="2">
        <v>-14</v>
      </c>
      <c r="L986" s="2">
        <v>834</v>
      </c>
      <c r="M986" s="2">
        <f t="array" ref="M986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986" s="2">
        <f ca="1">INDEX(INDIRECT(_xlfn.CONCAT("weather.tbl[",N$1,"]")),MATCH(vp.data[[#This Row],[SDate]],weather.tbl[Date],0))</f>
        <v>-17.216666666666669</v>
      </c>
      <c r="O986" s="2">
        <f ca="1">INDEX(INDIRECT(_xlfn.CONCAT("weather.tbl[",O$1,"]")),MATCH(vp.data[[#This Row],[SDate]],weather.tbl[Date],0))</f>
        <v>-15.638095238095238</v>
      </c>
      <c r="P986" s="2">
        <f ca="1">INDEX(INDIRECT(_xlfn.CONCAT("weather.tbl[",P$1,"]")),MATCH(vp.data[[#This Row],[SDate]],weather.tbl[Date],0))</f>
        <v>-17.3</v>
      </c>
      <c r="Q986" s="2">
        <f ca="1">INDEX(INDIRECT(_xlfn.CONCAT("weather.tbl[",Q$1,"]")),MATCH(vp.data[[#This Row],[SDate]],weather.tbl[Date],0))</f>
        <v>-17.3</v>
      </c>
      <c r="R986" s="2">
        <f ca="1">INDEX(INDIRECT(_xlfn.CONCAT("weather.tbl[",R$1,"]")),MATCH(vp.data[[#This Row],[SDate]],weather.tbl[Date],0))</f>
        <v>-17</v>
      </c>
      <c r="S986" s="2">
        <f ca="1">INDEX(INDIRECT(_xlfn.CONCAT("weather.tbl[",S$1,"]")),MATCH(vp.data[[#This Row],[SDate]],weather.tbl[Date],0))</f>
        <v>-16.8</v>
      </c>
      <c r="T986" s="2">
        <f ca="1">INDEX(INDIRECT(_xlfn.CONCAT("weather.tbl[",T$1,"]")),MATCH(vp.data[[#This Row],[SDate]],weather.tbl[Date],0))</f>
        <v>-18.899999999999999</v>
      </c>
      <c r="U986" s="2">
        <f ca="1">INDEX(INDIRECT(_xlfn.CONCAT("weather.tbl[",U$1,"]")),MATCH(vp.data[[#This Row],[SDate]],weather.tbl[Date],0))</f>
        <v>-16</v>
      </c>
      <c r="V986" s="2">
        <f t="array" ref="V9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9449.0609999999997</v>
      </c>
      <c r="W986" t="s">
        <v>48</v>
      </c>
      <c r="X986">
        <f>IF(OR(vp.data[[#This Row],[Sulf]]="",vp.data[[#This Row],[Dens]]=""),1,0)</f>
        <v>0</v>
      </c>
      <c r="Y986">
        <f>IF(vp.data[[#This Row],[CrudeType]]="C5+",1,0)</f>
        <v>0</v>
      </c>
      <c r="Z986">
        <f>IF(AND(vp.data[[#This Row],[CrudeType]]="Crude",vp.data[[#This Row],[Dens]]&lt;=825,vp.data[[#This Row],[Sulf]]&gt;0.5,vp.data[[#This Row],[Unknown]]=0),1,0)</f>
        <v>0</v>
      </c>
      <c r="AA986">
        <f>IF(AND(vp.data[[#This Row],[CrudeType]]="Crude",vp.data[[#This Row],[Dens]]&lt;=825,vp.data[[#This Row],[Sulf]]&lt;=0.5,vp.data[[#This Row],[Unknown]]=0),1,0)</f>
        <v>0</v>
      </c>
      <c r="AB9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6">
        <f>IF(AND(vp.data[[#This Row],[CrudeType]]="Crude",vp.data[[#This Row],[Dens]]&gt;825,vp.data[[#This Row],[Dens]]&lt;=900,vp.data[[#This Row],[Sulf]]&lt;=0.5,vp.data[[#This Row],[Unknown]]=0),1,0)</f>
        <v>0</v>
      </c>
      <c r="AD986">
        <f>IF(AND(vp.data[[#This Row],[CrudeType]]="Crude",vp.data[[#This Row],[Dens]]&gt;865,vp.data[[#This Row],[Dens]]&lt;=900,vp.data[[#This Row],[Sulf]]&gt;2,vp.data[[#This Row],[Unknown]]=0),1,0)</f>
        <v>0</v>
      </c>
      <c r="AE986">
        <f>IF(AND(vp.data[[#This Row],[CrudeType]]="Crude",vp.data[[#This Row],[Dens]]&gt;900,vp.data[[#This Row],[Sulf]]&lt;=0.5,vp.data[[#This Row],[Unknown]]=0),1,0)</f>
        <v>0</v>
      </c>
      <c r="AF986">
        <f>IF(AND(vp.data[[#This Row],[CrudeType]]="Crude",vp.data[[#This Row],[Dens]]&gt;900,vp.data[[#This Row],[Sulf]]&lt;=0.5,vp.data[[#This Row],[Unknown]]=0),1,0)</f>
        <v>0</v>
      </c>
      <c r="AG986" t="str">
        <f>INDEX(vp.data[[#Headers],[Unknown]:[Heavy_SW]],MATCH(1,vp.data[[#This Row],[Unknown]:[Heavy_SW]],0))</f>
        <v>Medium_LSB</v>
      </c>
      <c r="AH986">
        <f>INDEX([3]!crudeBD.lkup[Number],MATCH(vp.data[[#This Row],[Crude_Breakdown]],crudeBD.lkup[Crude Breakdown],0))</f>
        <v>3</v>
      </c>
      <c r="AI986">
        <f>MONTH(vp.data[[#This Row],[SDate]])</f>
        <v>3</v>
      </c>
      <c r="AJ986" s="5">
        <f>(vp.data[[#This Row],[VP]]-INDEX(crudeBD.lkup[Mean_VP],MATCH(vp.data[[#This Row],[Crude_Breakdown]],crudeBD.lkup[Crude Breakdown],0)))^2</f>
        <v>152.7775957919533</v>
      </c>
      <c r="AK986" s="5">
        <f>(vp.data[[#This Row],[Dens]]-INDEX(crudeBD.lkup[Mean_Dens],MATCH(vp.data[[#This Row],[Crude_Breakdown]],crudeBD.lkup[Crude Breakdown],0)))^2</f>
        <v>98.406399999990171</v>
      </c>
      <c r="AL986" s="5">
        <f>(vp.data[[#This Row],[Sulf]]-INDEX(crudeBD.lkup[Mean_Sulf],MATCH(vp.data[[#This Row],[Crude_Breakdown]],crudeBD.lkup[Crude Breakdown],0)))^2</f>
        <v>0.35451083732210947</v>
      </c>
      <c r="AM986" s="4">
        <f>IF(AND(vp.data[[#This Row],[SDate]]&gt;=DATE(YEAR(vp.data[[#This Row],[SDate]]),5,1),vp.data[[#This Row],[SDate]]&lt;=DATE(YEAR(vp.data[[#This Row],[SDate]]),9,15)),1,0)</f>
        <v>0</v>
      </c>
      <c r="AN986" s="4">
        <f>IF(vp.data[[#This Row],[SDate]]&lt;DATE(2016,12,1),0,1)</f>
        <v>1</v>
      </c>
      <c r="AO986" s="4">
        <f>IFERROR(vp.data[[#This Row],[Sulf]]*vp.data[[#This Row],[Net Dens]],"")</f>
        <v>6225608.3304599999</v>
      </c>
      <c r="AP986">
        <f>IFERROR(vp.data[[#This Row],[Dens]]*vp.data[[#This Row],[VolumeM3]],"")</f>
        <v>7880516.8739999998</v>
      </c>
      <c r="AQ986" s="15">
        <f>IFERROR(vp.data[[#This Row],[VP]]*vp.data[[#This Row],[VolumeM3]],"")</f>
        <v>878762.67299999995</v>
      </c>
    </row>
    <row r="987" spans="1:43" x14ac:dyDescent="0.25">
      <c r="A987">
        <v>986</v>
      </c>
      <c r="B987" t="s">
        <v>53</v>
      </c>
      <c r="C987" t="s">
        <v>53</v>
      </c>
      <c r="D987" t="s">
        <v>54</v>
      </c>
      <c r="F987" s="1">
        <v>42806</v>
      </c>
      <c r="G987" s="2">
        <v>90.4</v>
      </c>
      <c r="H987" s="2"/>
      <c r="I987" s="2">
        <f t="array" ref="I987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987" s="2">
        <v>0</v>
      </c>
      <c r="K987" s="2">
        <v>-14</v>
      </c>
      <c r="L987" s="2">
        <v>835.6</v>
      </c>
      <c r="M987" s="2">
        <f t="array" ref="M987">_xlfn.IFNA(IF(vp.data[[#This Row],[Dens Input]]="",INDEX([1]DATA!$O$3:$O$9826,MATCH(1,(vp.data[[#This Row],[Battery]]=[1]DATA!$L$3:$L$9826)*(EOMONTH(vp.data[[#This Row],[SDate]],-1)+1=[1]DATA!$G$3:$G$9826),0)),vp.data[[#This Row],[Dens Input]]),"")</f>
        <v>835.6</v>
      </c>
      <c r="N987" s="2">
        <f ca="1">INDEX(INDIRECT(_xlfn.CONCAT("weather.tbl[",N$1,"]")),MATCH(vp.data[[#This Row],[SDate]],weather.tbl[Date],0))</f>
        <v>-17.216666666666669</v>
      </c>
      <c r="O987" s="2">
        <f ca="1">INDEX(INDIRECT(_xlfn.CONCAT("weather.tbl[",O$1,"]")),MATCH(vp.data[[#This Row],[SDate]],weather.tbl[Date],0))</f>
        <v>-15.638095238095238</v>
      </c>
      <c r="P987" s="2">
        <f ca="1">INDEX(INDIRECT(_xlfn.CONCAT("weather.tbl[",P$1,"]")),MATCH(vp.data[[#This Row],[SDate]],weather.tbl[Date],0))</f>
        <v>-17.3</v>
      </c>
      <c r="Q987" s="2">
        <f ca="1">INDEX(INDIRECT(_xlfn.CONCAT("weather.tbl[",Q$1,"]")),MATCH(vp.data[[#This Row],[SDate]],weather.tbl[Date],0))</f>
        <v>-17.3</v>
      </c>
      <c r="R987" s="2">
        <f ca="1">INDEX(INDIRECT(_xlfn.CONCAT("weather.tbl[",R$1,"]")),MATCH(vp.data[[#This Row],[SDate]],weather.tbl[Date],0))</f>
        <v>-17</v>
      </c>
      <c r="S987" s="2">
        <f ca="1">INDEX(INDIRECT(_xlfn.CONCAT("weather.tbl[",S$1,"]")),MATCH(vp.data[[#This Row],[SDate]],weather.tbl[Date],0))</f>
        <v>-16.8</v>
      </c>
      <c r="T987" s="2">
        <f ca="1">INDEX(INDIRECT(_xlfn.CONCAT("weather.tbl[",T$1,"]")),MATCH(vp.data[[#This Row],[SDate]],weather.tbl[Date],0))</f>
        <v>-18.899999999999999</v>
      </c>
      <c r="U987" s="2">
        <f ca="1">INDEX(INDIRECT(_xlfn.CONCAT("weather.tbl[",U$1,"]")),MATCH(vp.data[[#This Row],[SDate]],weather.tbl[Date],0))</f>
        <v>-16</v>
      </c>
      <c r="V987" s="2">
        <f t="array" ref="V9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987" t="s">
        <v>48</v>
      </c>
      <c r="X987">
        <f>IF(OR(vp.data[[#This Row],[Sulf]]="",vp.data[[#This Row],[Dens]]=""),1,0)</f>
        <v>0</v>
      </c>
      <c r="Y987">
        <f>IF(vp.data[[#This Row],[CrudeType]]="C5+",1,0)</f>
        <v>0</v>
      </c>
      <c r="Z987">
        <f>IF(AND(vp.data[[#This Row],[CrudeType]]="Crude",vp.data[[#This Row],[Dens]]&lt;=825,vp.data[[#This Row],[Sulf]]&gt;0.5,vp.data[[#This Row],[Unknown]]=0),1,0)</f>
        <v>0</v>
      </c>
      <c r="AA987">
        <f>IF(AND(vp.data[[#This Row],[CrudeType]]="Crude",vp.data[[#This Row],[Dens]]&lt;=825,vp.data[[#This Row],[Sulf]]&lt;=0.5,vp.data[[#This Row],[Unknown]]=0),1,0)</f>
        <v>0</v>
      </c>
      <c r="AB9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7">
        <f>IF(AND(vp.data[[#This Row],[CrudeType]]="Crude",vp.data[[#This Row],[Dens]]&gt;825,vp.data[[#This Row],[Dens]]&lt;=900,vp.data[[#This Row],[Sulf]]&lt;=0.5,vp.data[[#This Row],[Unknown]]=0),1,0)</f>
        <v>0</v>
      </c>
      <c r="AD987">
        <f>IF(AND(vp.data[[#This Row],[CrudeType]]="Crude",vp.data[[#This Row],[Dens]]&gt;865,vp.data[[#This Row],[Dens]]&lt;=900,vp.data[[#This Row],[Sulf]]&gt;2,vp.data[[#This Row],[Unknown]]=0),1,0)</f>
        <v>0</v>
      </c>
      <c r="AE987">
        <f>IF(AND(vp.data[[#This Row],[CrudeType]]="Crude",vp.data[[#This Row],[Dens]]&gt;900,vp.data[[#This Row],[Sulf]]&lt;=0.5,vp.data[[#This Row],[Unknown]]=0),1,0)</f>
        <v>0</v>
      </c>
      <c r="AF987">
        <f>IF(AND(vp.data[[#This Row],[CrudeType]]="Crude",vp.data[[#This Row],[Dens]]&gt;900,vp.data[[#This Row],[Sulf]]&lt;=0.5,vp.data[[#This Row],[Unknown]]=0),1,0)</f>
        <v>0</v>
      </c>
      <c r="AG987" t="str">
        <f>INDEX(vp.data[[#Headers],[Unknown]:[Heavy_SW]],MATCH(1,vp.data[[#This Row],[Unknown]:[Heavy_SW]],0))</f>
        <v>Medium_LSB</v>
      </c>
      <c r="AH987">
        <f>INDEX([3]!crudeBD.lkup[Number],MATCH(vp.data[[#This Row],[Crude_Breakdown]],crudeBD.lkup[Crude Breakdown],0))</f>
        <v>3</v>
      </c>
      <c r="AI987">
        <f>MONTH(vp.data[[#This Row],[SDate]])</f>
        <v>3</v>
      </c>
      <c r="AJ987" s="5">
        <f>(vp.data[[#This Row],[VP]]-INDEX(crudeBD.lkup[Mean_VP],MATCH(vp.data[[#This Row],[Crude_Breakdown]],crudeBD.lkup[Crude Breakdown],0)))^2</f>
        <v>95.263913851252227</v>
      </c>
      <c r="AK987" s="5">
        <f>(vp.data[[#This Row],[Dens]]-INDEX(crudeBD.lkup[Mean_Dens],MATCH(vp.data[[#This Row],[Crude_Breakdown]],crudeBD.lkup[Crude Breakdown],0)))^2</f>
        <v>69.222399999991367</v>
      </c>
      <c r="AL987" s="5">
        <f>(vp.data[[#This Row],[Sulf]]-INDEX(crudeBD.lkup[Mean_Sulf],MATCH(vp.data[[#This Row],[Crude_Breakdown]],crudeBD.lkup[Crude Breakdown],0)))^2</f>
        <v>4.2782230363935985E-3</v>
      </c>
      <c r="AM987" s="4">
        <f>IF(AND(vp.data[[#This Row],[SDate]]&gt;=DATE(YEAR(vp.data[[#This Row],[SDate]]),5,1),vp.data[[#This Row],[SDate]]&lt;=DATE(YEAR(vp.data[[#This Row],[SDate]]),9,15)),1,0)</f>
        <v>0</v>
      </c>
      <c r="AN987" s="4">
        <f>IF(vp.data[[#This Row],[SDate]]&lt;DATE(2016,12,1),0,1)</f>
        <v>1</v>
      </c>
      <c r="AO987" s="4">
        <f>IFERROR(vp.data[[#This Row],[Sulf]]*vp.data[[#This Row],[Net Dens]],"")</f>
        <v>10044634.894272001</v>
      </c>
      <c r="AP987">
        <f>IFERROR(vp.data[[#This Row],[Dens]]*vp.data[[#This Row],[VolumeM3]],"")</f>
        <v>7609571.8896000003</v>
      </c>
      <c r="AQ987" s="15">
        <f>IFERROR(vp.data[[#This Row],[VP]]*vp.data[[#This Row],[VolumeM3]],"")</f>
        <v>823247.12640000007</v>
      </c>
    </row>
    <row r="988" spans="1:43" x14ac:dyDescent="0.25">
      <c r="A988">
        <v>987</v>
      </c>
      <c r="B988" t="s">
        <v>62</v>
      </c>
      <c r="C988" t="s">
        <v>62</v>
      </c>
      <c r="D988" t="s">
        <v>63</v>
      </c>
      <c r="F988" s="1">
        <v>42806</v>
      </c>
      <c r="G988" s="2">
        <v>89.5</v>
      </c>
      <c r="H988" s="2"/>
      <c r="I988" s="2">
        <f t="array" ref="I988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988" s="2">
        <v>8</v>
      </c>
      <c r="K988" s="2">
        <v>-14</v>
      </c>
      <c r="L988" s="2">
        <v>841</v>
      </c>
      <c r="M988" s="2">
        <f t="array" ref="M988">_xlfn.IFNA(IF(vp.data[[#This Row],[Dens Input]]="",INDEX([1]DATA!$O$3:$O$9826,MATCH(1,(vp.data[[#This Row],[Battery]]=[1]DATA!$L$3:$L$9826)*(EOMONTH(vp.data[[#This Row],[SDate]],-1)+1=[1]DATA!$G$3:$G$9826),0)),vp.data[[#This Row],[Dens Input]]),"")</f>
        <v>841</v>
      </c>
      <c r="N988" s="2">
        <f ca="1">INDEX(INDIRECT(_xlfn.CONCAT("weather.tbl[",N$1,"]")),MATCH(vp.data[[#This Row],[SDate]],weather.tbl[Date],0))</f>
        <v>-17.216666666666669</v>
      </c>
      <c r="O988" s="2">
        <f ca="1">INDEX(INDIRECT(_xlfn.CONCAT("weather.tbl[",O$1,"]")),MATCH(vp.data[[#This Row],[SDate]],weather.tbl[Date],0))</f>
        <v>-15.638095238095238</v>
      </c>
      <c r="P988" s="2">
        <f ca="1">INDEX(INDIRECT(_xlfn.CONCAT("weather.tbl[",P$1,"]")),MATCH(vp.data[[#This Row],[SDate]],weather.tbl[Date],0))</f>
        <v>-17.3</v>
      </c>
      <c r="Q988" s="2">
        <f ca="1">INDEX(INDIRECT(_xlfn.CONCAT("weather.tbl[",Q$1,"]")),MATCH(vp.data[[#This Row],[SDate]],weather.tbl[Date],0))</f>
        <v>-17.3</v>
      </c>
      <c r="R988" s="2">
        <f ca="1">INDEX(INDIRECT(_xlfn.CONCAT("weather.tbl[",R$1,"]")),MATCH(vp.data[[#This Row],[SDate]],weather.tbl[Date],0))</f>
        <v>-17</v>
      </c>
      <c r="S988" s="2">
        <f ca="1">INDEX(INDIRECT(_xlfn.CONCAT("weather.tbl[",S$1,"]")),MATCH(vp.data[[#This Row],[SDate]],weather.tbl[Date],0))</f>
        <v>-16.8</v>
      </c>
      <c r="T988" s="2">
        <f ca="1">INDEX(INDIRECT(_xlfn.CONCAT("weather.tbl[",T$1,"]")),MATCH(vp.data[[#This Row],[SDate]],weather.tbl[Date],0))</f>
        <v>-18.899999999999999</v>
      </c>
      <c r="U988" s="2">
        <f ca="1">INDEX(INDIRECT(_xlfn.CONCAT("weather.tbl[",U$1,"]")),MATCH(vp.data[[#This Row],[SDate]],weather.tbl[Date],0))</f>
        <v>-16</v>
      </c>
      <c r="V988" s="2">
        <f t="array" ref="V9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988" t="s">
        <v>48</v>
      </c>
      <c r="X988">
        <f>IF(OR(vp.data[[#This Row],[Sulf]]="",vp.data[[#This Row],[Dens]]=""),1,0)</f>
        <v>0</v>
      </c>
      <c r="Y988">
        <f>IF(vp.data[[#This Row],[CrudeType]]="C5+",1,0)</f>
        <v>0</v>
      </c>
      <c r="Z988">
        <f>IF(AND(vp.data[[#This Row],[CrudeType]]="Crude",vp.data[[#This Row],[Dens]]&lt;=825,vp.data[[#This Row],[Sulf]]&gt;0.5,vp.data[[#This Row],[Unknown]]=0),1,0)</f>
        <v>0</v>
      </c>
      <c r="AA988">
        <f>IF(AND(vp.data[[#This Row],[CrudeType]]="Crude",vp.data[[#This Row],[Dens]]&lt;=825,vp.data[[#This Row],[Sulf]]&lt;=0.5,vp.data[[#This Row],[Unknown]]=0),1,0)</f>
        <v>0</v>
      </c>
      <c r="AB9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8">
        <f>IF(AND(vp.data[[#This Row],[CrudeType]]="Crude",vp.data[[#This Row],[Dens]]&gt;825,vp.data[[#This Row],[Dens]]&lt;=900,vp.data[[#This Row],[Sulf]]&lt;=0.5,vp.data[[#This Row],[Unknown]]=0),1,0)</f>
        <v>0</v>
      </c>
      <c r="AD988">
        <f>IF(AND(vp.data[[#This Row],[CrudeType]]="Crude",vp.data[[#This Row],[Dens]]&gt;865,vp.data[[#This Row],[Dens]]&lt;=900,vp.data[[#This Row],[Sulf]]&gt;2,vp.data[[#This Row],[Unknown]]=0),1,0)</f>
        <v>0</v>
      </c>
      <c r="AE988">
        <f>IF(AND(vp.data[[#This Row],[CrudeType]]="Crude",vp.data[[#This Row],[Dens]]&gt;900,vp.data[[#This Row],[Sulf]]&lt;=0.5,vp.data[[#This Row],[Unknown]]=0),1,0)</f>
        <v>0</v>
      </c>
      <c r="AF988">
        <f>IF(AND(vp.data[[#This Row],[CrudeType]]="Crude",vp.data[[#This Row],[Dens]]&gt;900,vp.data[[#This Row],[Sulf]]&lt;=0.5,vp.data[[#This Row],[Unknown]]=0),1,0)</f>
        <v>0</v>
      </c>
      <c r="AG988" t="str">
        <f>INDEX(vp.data[[#Headers],[Unknown]:[Heavy_SW]],MATCH(1,vp.data[[#This Row],[Unknown]:[Heavy_SW]],0))</f>
        <v>Medium_LSB</v>
      </c>
      <c r="AH988">
        <f>INDEX([3]!crudeBD.lkup[Number],MATCH(vp.data[[#This Row],[Crude_Breakdown]],crudeBD.lkup[Crude Breakdown],0))</f>
        <v>3</v>
      </c>
      <c r="AI988">
        <f>MONTH(vp.data[[#This Row],[SDate]])</f>
        <v>3</v>
      </c>
      <c r="AJ988" s="5">
        <f>(vp.data[[#This Row],[VP]]-INDEX(crudeBD.lkup[Mean_VP],MATCH(vp.data[[#This Row],[Crude_Breakdown]],crudeBD.lkup[Crude Breakdown],0)))^2</f>
        <v>78.505331641009391</v>
      </c>
      <c r="AK988" s="5">
        <f>(vp.data[[#This Row],[Dens]]-INDEX(crudeBD.lkup[Mean_Dens],MATCH(vp.data[[#This Row],[Crude_Breakdown]],crudeBD.lkup[Crude Breakdown],0)))^2</f>
        <v>8.5263999999971052</v>
      </c>
      <c r="AL988" s="5">
        <f>(vp.data[[#This Row],[Sulf]]-INDEX(crudeBD.lkup[Mean_Sulf],MATCH(vp.data[[#This Row],[Crude_Breakdown]],crudeBD.lkup[Crude Breakdown],0)))^2</f>
        <v>0.12573539662129798</v>
      </c>
      <c r="AM988" s="4">
        <f>IF(AND(vp.data[[#This Row],[SDate]]&gt;=DATE(YEAR(vp.data[[#This Row],[SDate]]),5,1),vp.data[[#This Row],[SDate]]&lt;=DATE(YEAR(vp.data[[#This Row],[SDate]]),9,15)),1,0)</f>
        <v>0</v>
      </c>
      <c r="AN988" s="4">
        <f>IF(vp.data[[#This Row],[SDate]]&lt;DATE(2016,12,1),0,1)</f>
        <v>1</v>
      </c>
      <c r="AO988" s="4">
        <f>IFERROR(vp.data[[#This Row],[Sulf]]*vp.data[[#This Row],[Net Dens]],"")</f>
        <v>10183751.82168</v>
      </c>
      <c r="AP988">
        <f>IFERROR(vp.data[[#This Row],[Dens]]*vp.data[[#This Row],[VolumeM3]],"")</f>
        <v>5852730.932</v>
      </c>
      <c r="AQ988" s="15">
        <f>IFERROR(vp.data[[#This Row],[VP]]*vp.data[[#This Row],[VolumeM3]],"")</f>
        <v>622853.054</v>
      </c>
    </row>
    <row r="989" spans="1:43" x14ac:dyDescent="0.25">
      <c r="A989">
        <v>988</v>
      </c>
      <c r="B989" t="s">
        <v>111</v>
      </c>
      <c r="C989" t="s">
        <v>111</v>
      </c>
      <c r="D989" t="s">
        <v>112</v>
      </c>
      <c r="F989" s="1">
        <v>42806</v>
      </c>
      <c r="G989" s="2">
        <v>77.3</v>
      </c>
      <c r="H989" s="2"/>
      <c r="I989" s="2">
        <f t="array" ref="I989">_xlfn.IFNA(IF(vp.data[[#This Row],[Sulf Input]]="",INDEX([1]DATA!$Q$3:$Q$9826,MATCH(1,(vp.data[[#This Row],[Battery]]=[1]DATA!$L$3:$L$9826)*(EOMONTH(vp.data[[#This Row],[SDate]],-1)+1=[1]DATA!$G$3:$G$9826),0)),vp.data[[#This Row],[Sulf Input]]),"")</f>
        <v>1.86</v>
      </c>
      <c r="J989" s="2">
        <v>26.3</v>
      </c>
      <c r="K989" s="2">
        <v>-14</v>
      </c>
      <c r="L989" s="2">
        <v>856.1</v>
      </c>
      <c r="M989" s="2">
        <f t="array" ref="M989">_xlfn.IFNA(IF(vp.data[[#This Row],[Dens Input]]="",INDEX([1]DATA!$O$3:$O$9826,MATCH(1,(vp.data[[#This Row],[Battery]]=[1]DATA!$L$3:$L$9826)*(EOMONTH(vp.data[[#This Row],[SDate]],-1)+1=[1]DATA!$G$3:$G$9826),0)),vp.data[[#This Row],[Dens Input]]),"")</f>
        <v>856.1</v>
      </c>
      <c r="N989" s="2">
        <f ca="1">INDEX(INDIRECT(_xlfn.CONCAT("weather.tbl[",N$1,"]")),MATCH(vp.data[[#This Row],[SDate]],weather.tbl[Date],0))</f>
        <v>-17.216666666666669</v>
      </c>
      <c r="O989" s="2">
        <f ca="1">INDEX(INDIRECT(_xlfn.CONCAT("weather.tbl[",O$1,"]")),MATCH(vp.data[[#This Row],[SDate]],weather.tbl[Date],0))</f>
        <v>-15.638095238095238</v>
      </c>
      <c r="P989" s="2">
        <f ca="1">INDEX(INDIRECT(_xlfn.CONCAT("weather.tbl[",P$1,"]")),MATCH(vp.data[[#This Row],[SDate]],weather.tbl[Date],0))</f>
        <v>-17.3</v>
      </c>
      <c r="Q989" s="2">
        <f ca="1">INDEX(INDIRECT(_xlfn.CONCAT("weather.tbl[",Q$1,"]")),MATCH(vp.data[[#This Row],[SDate]],weather.tbl[Date],0))</f>
        <v>-17.3</v>
      </c>
      <c r="R989" s="2">
        <f ca="1">INDEX(INDIRECT(_xlfn.CONCAT("weather.tbl[",R$1,"]")),MATCH(vp.data[[#This Row],[SDate]],weather.tbl[Date],0))</f>
        <v>-17</v>
      </c>
      <c r="S989" s="2">
        <f ca="1">INDEX(INDIRECT(_xlfn.CONCAT("weather.tbl[",S$1,"]")),MATCH(vp.data[[#This Row],[SDate]],weather.tbl[Date],0))</f>
        <v>-16.8</v>
      </c>
      <c r="T989" s="2">
        <f ca="1">INDEX(INDIRECT(_xlfn.CONCAT("weather.tbl[",T$1,"]")),MATCH(vp.data[[#This Row],[SDate]],weather.tbl[Date],0))</f>
        <v>-18.899999999999999</v>
      </c>
      <c r="U989" s="2">
        <f ca="1">INDEX(INDIRECT(_xlfn.CONCAT("weather.tbl[",U$1,"]")),MATCH(vp.data[[#This Row],[SDate]],weather.tbl[Date],0))</f>
        <v>-16</v>
      </c>
      <c r="V989" s="2">
        <f t="array" ref="V9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7909.2460000000001</v>
      </c>
      <c r="W989" t="s">
        <v>48</v>
      </c>
      <c r="X989">
        <f>IF(OR(vp.data[[#This Row],[Sulf]]="",vp.data[[#This Row],[Dens]]=""),1,0)</f>
        <v>0</v>
      </c>
      <c r="Y989">
        <f>IF(vp.data[[#This Row],[CrudeType]]="C5+",1,0)</f>
        <v>0</v>
      </c>
      <c r="Z989">
        <f>IF(AND(vp.data[[#This Row],[CrudeType]]="Crude",vp.data[[#This Row],[Dens]]&lt;=825,vp.data[[#This Row],[Sulf]]&gt;0.5,vp.data[[#This Row],[Unknown]]=0),1,0)</f>
        <v>0</v>
      </c>
      <c r="AA989">
        <f>IF(AND(vp.data[[#This Row],[CrudeType]]="Crude",vp.data[[#This Row],[Dens]]&lt;=825,vp.data[[#This Row],[Sulf]]&lt;=0.5,vp.data[[#This Row],[Unknown]]=0),1,0)</f>
        <v>0</v>
      </c>
      <c r="AB9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89">
        <f>IF(AND(vp.data[[#This Row],[CrudeType]]="Crude",vp.data[[#This Row],[Dens]]&gt;825,vp.data[[#This Row],[Dens]]&lt;=900,vp.data[[#This Row],[Sulf]]&lt;=0.5,vp.data[[#This Row],[Unknown]]=0),1,0)</f>
        <v>0</v>
      </c>
      <c r="AD989">
        <f>IF(AND(vp.data[[#This Row],[CrudeType]]="Crude",vp.data[[#This Row],[Dens]]&gt;865,vp.data[[#This Row],[Dens]]&lt;=900,vp.data[[#This Row],[Sulf]]&gt;2,vp.data[[#This Row],[Unknown]]=0),1,0)</f>
        <v>0</v>
      </c>
      <c r="AE989">
        <f>IF(AND(vp.data[[#This Row],[CrudeType]]="Crude",vp.data[[#This Row],[Dens]]&gt;900,vp.data[[#This Row],[Sulf]]&lt;=0.5,vp.data[[#This Row],[Unknown]]=0),1,0)</f>
        <v>0</v>
      </c>
      <c r="AF989">
        <f>IF(AND(vp.data[[#This Row],[CrudeType]]="Crude",vp.data[[#This Row],[Dens]]&gt;900,vp.data[[#This Row],[Sulf]]&lt;=0.5,vp.data[[#This Row],[Unknown]]=0),1,0)</f>
        <v>0</v>
      </c>
      <c r="AG989" t="str">
        <f>INDEX(vp.data[[#Headers],[Unknown]:[Heavy_SW]],MATCH(1,vp.data[[#This Row],[Unknown]:[Heavy_SW]],0))</f>
        <v>Medium_LSB</v>
      </c>
      <c r="AH989">
        <f>INDEX([3]!crudeBD.lkup[Number],MATCH(vp.data[[#This Row],[Crude_Breakdown]],crudeBD.lkup[Crude Breakdown],0))</f>
        <v>3</v>
      </c>
      <c r="AI989">
        <f>MONTH(vp.data[[#This Row],[SDate]])</f>
        <v>3</v>
      </c>
      <c r="AJ989" s="5">
        <f>(vp.data[[#This Row],[VP]]-INDEX(crudeBD.lkup[Mean_VP],MATCH(vp.data[[#This Row],[Crude_Breakdown]],crudeBD.lkup[Crude Breakdown],0)))^2</f>
        <v>11.15343945771926</v>
      </c>
      <c r="AK989" s="5">
        <f>(vp.data[[#This Row],[Dens]]-INDEX(crudeBD.lkup[Mean_Dens],MATCH(vp.data[[#This Row],[Crude_Breakdown]],crudeBD.lkup[Crude Breakdown],0)))^2</f>
        <v>148.35240000001264</v>
      </c>
      <c r="AL989" s="5">
        <f>(vp.data[[#This Row],[Sulf]]-INDEX(crudeBD.lkup[Mean_Sulf],MATCH(vp.data[[#This Row],[Crude_Breakdown]],crudeBD.lkup[Crude Breakdown],0)))^2</f>
        <v>0.22523744621698505</v>
      </c>
      <c r="AM989" s="4">
        <f>IF(AND(vp.data[[#This Row],[SDate]]&gt;=DATE(YEAR(vp.data[[#This Row],[SDate]]),5,1),vp.data[[#This Row],[SDate]]&lt;=DATE(YEAR(vp.data[[#This Row],[SDate]]),9,15)),1,0)</f>
        <v>0</v>
      </c>
      <c r="AN989" s="4">
        <f>IF(vp.data[[#This Row],[SDate]]&lt;DATE(2016,12,1),0,1)</f>
        <v>1</v>
      </c>
      <c r="AO989" s="4">
        <f>IFERROR(vp.data[[#This Row],[Sulf]]*vp.data[[#This Row],[Net Dens]],"")</f>
        <v>12594256.231116001</v>
      </c>
      <c r="AP989">
        <f>IFERROR(vp.data[[#This Row],[Dens]]*vp.data[[#This Row],[VolumeM3]],"")</f>
        <v>6771105.5005999999</v>
      </c>
      <c r="AQ989" s="15">
        <f>IFERROR(vp.data[[#This Row],[VP]]*vp.data[[#This Row],[VolumeM3]],"")</f>
        <v>611384.71580000001</v>
      </c>
    </row>
    <row r="990" spans="1:43" x14ac:dyDescent="0.25">
      <c r="A990">
        <v>989</v>
      </c>
      <c r="B990" t="s">
        <v>68</v>
      </c>
      <c r="C990" t="s">
        <v>68</v>
      </c>
      <c r="D990" t="s">
        <v>69</v>
      </c>
      <c r="F990" s="1">
        <v>42806</v>
      </c>
      <c r="G990" s="2">
        <v>79.2</v>
      </c>
      <c r="H990" s="2"/>
      <c r="I990" s="2">
        <f t="array" ref="I990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990" s="2">
        <v>15</v>
      </c>
      <c r="K990" s="2">
        <v>-14</v>
      </c>
      <c r="L990" s="2">
        <v>859</v>
      </c>
      <c r="M990" s="2">
        <f t="array" ref="M990">_xlfn.IFNA(IF(vp.data[[#This Row],[Dens Input]]="",INDEX([1]DATA!$O$3:$O$9826,MATCH(1,(vp.data[[#This Row],[Battery]]=[1]DATA!$L$3:$L$9826)*(EOMONTH(vp.data[[#This Row],[SDate]],-1)+1=[1]DATA!$G$3:$G$9826),0)),vp.data[[#This Row],[Dens Input]]),"")</f>
        <v>859</v>
      </c>
      <c r="N990" s="2">
        <f ca="1">INDEX(INDIRECT(_xlfn.CONCAT("weather.tbl[",N$1,"]")),MATCH(vp.data[[#This Row],[SDate]],weather.tbl[Date],0))</f>
        <v>-17.216666666666669</v>
      </c>
      <c r="O990" s="2">
        <f ca="1">INDEX(INDIRECT(_xlfn.CONCAT("weather.tbl[",O$1,"]")),MATCH(vp.data[[#This Row],[SDate]],weather.tbl[Date],0))</f>
        <v>-15.638095238095238</v>
      </c>
      <c r="P990" s="2">
        <f ca="1">INDEX(INDIRECT(_xlfn.CONCAT("weather.tbl[",P$1,"]")),MATCH(vp.data[[#This Row],[SDate]],weather.tbl[Date],0))</f>
        <v>-17.3</v>
      </c>
      <c r="Q990" s="2">
        <f ca="1">INDEX(INDIRECT(_xlfn.CONCAT("weather.tbl[",Q$1,"]")),MATCH(vp.data[[#This Row],[SDate]],weather.tbl[Date],0))</f>
        <v>-17.3</v>
      </c>
      <c r="R990" s="2">
        <f ca="1">INDEX(INDIRECT(_xlfn.CONCAT("weather.tbl[",R$1,"]")),MATCH(vp.data[[#This Row],[SDate]],weather.tbl[Date],0))</f>
        <v>-17</v>
      </c>
      <c r="S990" s="2">
        <f ca="1">INDEX(INDIRECT(_xlfn.CONCAT("weather.tbl[",S$1,"]")),MATCH(vp.data[[#This Row],[SDate]],weather.tbl[Date],0))</f>
        <v>-16.8</v>
      </c>
      <c r="T990" s="2">
        <f ca="1">INDEX(INDIRECT(_xlfn.CONCAT("weather.tbl[",T$1,"]")),MATCH(vp.data[[#This Row],[SDate]],weather.tbl[Date],0))</f>
        <v>-18.899999999999999</v>
      </c>
      <c r="U990" s="2">
        <f ca="1">INDEX(INDIRECT(_xlfn.CONCAT("weather.tbl[",U$1,"]")),MATCH(vp.data[[#This Row],[SDate]],weather.tbl[Date],0))</f>
        <v>-16</v>
      </c>
      <c r="V990" s="2">
        <f t="array" ref="V9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1425.6389999999999</v>
      </c>
      <c r="W990" t="s">
        <v>48</v>
      </c>
      <c r="X990">
        <f>IF(OR(vp.data[[#This Row],[Sulf]]="",vp.data[[#This Row],[Dens]]=""),1,0)</f>
        <v>0</v>
      </c>
      <c r="Y990">
        <f>IF(vp.data[[#This Row],[CrudeType]]="C5+",1,0)</f>
        <v>0</v>
      </c>
      <c r="Z990">
        <f>IF(AND(vp.data[[#This Row],[CrudeType]]="Crude",vp.data[[#This Row],[Dens]]&lt;=825,vp.data[[#This Row],[Sulf]]&gt;0.5,vp.data[[#This Row],[Unknown]]=0),1,0)</f>
        <v>0</v>
      </c>
      <c r="AA990">
        <f>IF(AND(vp.data[[#This Row],[CrudeType]]="Crude",vp.data[[#This Row],[Dens]]&lt;=825,vp.data[[#This Row],[Sulf]]&lt;=0.5,vp.data[[#This Row],[Unknown]]=0),1,0)</f>
        <v>0</v>
      </c>
      <c r="AB9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990">
        <f>IF(AND(vp.data[[#This Row],[CrudeType]]="Crude",vp.data[[#This Row],[Dens]]&gt;825,vp.data[[#This Row],[Dens]]&lt;=900,vp.data[[#This Row],[Sulf]]&lt;=0.5,vp.data[[#This Row],[Unknown]]=0),1,0)</f>
        <v>0</v>
      </c>
      <c r="AD990">
        <f>IF(AND(vp.data[[#This Row],[CrudeType]]="Crude",vp.data[[#This Row],[Dens]]&gt;865,vp.data[[#This Row],[Dens]]&lt;=900,vp.data[[#This Row],[Sulf]]&gt;2,vp.data[[#This Row],[Unknown]]=0),1,0)</f>
        <v>0</v>
      </c>
      <c r="AE990">
        <f>IF(AND(vp.data[[#This Row],[CrudeType]]="Crude",vp.data[[#This Row],[Dens]]&gt;900,vp.data[[#This Row],[Sulf]]&lt;=0.5,vp.data[[#This Row],[Unknown]]=0),1,0)</f>
        <v>0</v>
      </c>
      <c r="AF990">
        <f>IF(AND(vp.data[[#This Row],[CrudeType]]="Crude",vp.data[[#This Row],[Dens]]&gt;900,vp.data[[#This Row],[Sulf]]&lt;=0.5,vp.data[[#This Row],[Unknown]]=0),1,0)</f>
        <v>0</v>
      </c>
      <c r="AG990" t="str">
        <f>INDEX(vp.data[[#Headers],[Unknown]:[Heavy_SW]],MATCH(1,vp.data[[#This Row],[Unknown]:[Heavy_SW]],0))</f>
        <v>Medium_LSB</v>
      </c>
      <c r="AH990">
        <f>INDEX([3]!crudeBD.lkup[Number],MATCH(vp.data[[#This Row],[Crude_Breakdown]],crudeBD.lkup[Crude Breakdown],0))</f>
        <v>3</v>
      </c>
      <c r="AI990">
        <f>MONTH(vp.data[[#This Row],[SDate]])</f>
        <v>3</v>
      </c>
      <c r="AJ990" s="5">
        <f>(vp.data[[#This Row],[VP]]-INDEX(crudeBD.lkup[Mean_VP],MATCH(vp.data[[#This Row],[Crude_Breakdown]],crudeBD.lkup[Crude Breakdown],0)))^2</f>
        <v>2.0726685682316353</v>
      </c>
      <c r="AK990" s="5">
        <f>(vp.data[[#This Row],[Dens]]-INDEX(crudeBD.lkup[Mean_Dens],MATCH(vp.data[[#This Row],[Crude_Breakdown]],crudeBD.lkup[Crude Breakdown],0)))^2</f>
        <v>227.40640000001494</v>
      </c>
      <c r="AL990" s="5">
        <f>(vp.data[[#This Row],[Sulf]]-INDEX(crudeBD.lkup[Mean_Sulf],MATCH(vp.data[[#This Row],[Crude_Breakdown]],crudeBD.lkup[Crude Breakdown],0)))^2</f>
        <v>9.8968046756068975E-2</v>
      </c>
      <c r="AM990" s="4">
        <f>IF(AND(vp.data[[#This Row],[SDate]]&gt;=DATE(YEAR(vp.data[[#This Row],[SDate]]),5,1),vp.data[[#This Row],[SDate]]&lt;=DATE(YEAR(vp.data[[#This Row],[SDate]]),9,15)),1,0)</f>
        <v>0</v>
      </c>
      <c r="AN990" s="4">
        <f>IF(vp.data[[#This Row],[SDate]]&lt;DATE(2016,12,1),0,1)</f>
        <v>1</v>
      </c>
      <c r="AO990" s="4">
        <f>IFERROR(vp.data[[#This Row],[Sulf]]*vp.data[[#This Row],[Net Dens]],"")</f>
        <v>2081860.6316999996</v>
      </c>
      <c r="AP990">
        <f>IFERROR(vp.data[[#This Row],[Dens]]*vp.data[[#This Row],[VolumeM3]],"")</f>
        <v>1224623.9009999998</v>
      </c>
      <c r="AQ990" s="15">
        <f>IFERROR(vp.data[[#This Row],[VP]]*vp.data[[#This Row],[VolumeM3]],"")</f>
        <v>112910.6088</v>
      </c>
    </row>
    <row r="991" spans="1:43" x14ac:dyDescent="0.25">
      <c r="A991">
        <v>990</v>
      </c>
      <c r="B991" t="s">
        <v>46</v>
      </c>
      <c r="C991" t="s">
        <v>46</v>
      </c>
      <c r="D991" t="s">
        <v>47</v>
      </c>
      <c r="F991" s="1">
        <v>42806</v>
      </c>
      <c r="G991" s="2">
        <v>68.8</v>
      </c>
      <c r="H991" s="2"/>
      <c r="I991" s="2">
        <f t="array" ref="I991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991" s="2">
        <v>26.5</v>
      </c>
      <c r="K991" s="2">
        <v>-14</v>
      </c>
      <c r="L991" s="2">
        <v>866.7</v>
      </c>
      <c r="M991" s="2">
        <f t="array" ref="M991">_xlfn.IFNA(IF(vp.data[[#This Row],[Dens Input]]="",INDEX([1]DATA!$O$3:$O$9826,MATCH(1,(vp.data[[#This Row],[Battery]]=[1]DATA!$L$3:$L$9826)*(EOMONTH(vp.data[[#This Row],[SDate]],-1)+1=[1]DATA!$G$3:$G$9826),0)),vp.data[[#This Row],[Dens Input]]),"")</f>
        <v>866.7</v>
      </c>
      <c r="N991" s="2">
        <f ca="1">INDEX(INDIRECT(_xlfn.CONCAT("weather.tbl[",N$1,"]")),MATCH(vp.data[[#This Row],[SDate]],weather.tbl[Date],0))</f>
        <v>-17.216666666666669</v>
      </c>
      <c r="O991" s="2">
        <f ca="1">INDEX(INDIRECT(_xlfn.CONCAT("weather.tbl[",O$1,"]")),MATCH(vp.data[[#This Row],[SDate]],weather.tbl[Date],0))</f>
        <v>-15.638095238095238</v>
      </c>
      <c r="P991" s="2">
        <f ca="1">INDEX(INDIRECT(_xlfn.CONCAT("weather.tbl[",P$1,"]")),MATCH(vp.data[[#This Row],[SDate]],weather.tbl[Date],0))</f>
        <v>-17.3</v>
      </c>
      <c r="Q991" s="2">
        <f ca="1">INDEX(INDIRECT(_xlfn.CONCAT("weather.tbl[",Q$1,"]")),MATCH(vp.data[[#This Row],[SDate]],weather.tbl[Date],0))</f>
        <v>-17.3</v>
      </c>
      <c r="R991" s="2">
        <f ca="1">INDEX(INDIRECT(_xlfn.CONCAT("weather.tbl[",R$1,"]")),MATCH(vp.data[[#This Row],[SDate]],weather.tbl[Date],0))</f>
        <v>-17</v>
      </c>
      <c r="S991" s="2">
        <f ca="1">INDEX(INDIRECT(_xlfn.CONCAT("weather.tbl[",S$1,"]")),MATCH(vp.data[[#This Row],[SDate]],weather.tbl[Date],0))</f>
        <v>-16.8</v>
      </c>
      <c r="T991" s="2">
        <f ca="1">INDEX(INDIRECT(_xlfn.CONCAT("weather.tbl[",T$1,"]")),MATCH(vp.data[[#This Row],[SDate]],weather.tbl[Date],0))</f>
        <v>-18.899999999999999</v>
      </c>
      <c r="U991" s="2">
        <f ca="1">INDEX(INDIRECT(_xlfn.CONCAT("weather.tbl[",U$1,"]")),MATCH(vp.data[[#This Row],[SDate]],weather.tbl[Date],0))</f>
        <v>-16</v>
      </c>
      <c r="V991" s="2">
        <f t="array" ref="V9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118908.394</v>
      </c>
      <c r="W991" t="s">
        <v>48</v>
      </c>
      <c r="X991">
        <f>IF(OR(vp.data[[#This Row],[Sulf]]="",vp.data[[#This Row],[Dens]]=""),1,0)</f>
        <v>0</v>
      </c>
      <c r="Y991">
        <f>IF(vp.data[[#This Row],[CrudeType]]="C5+",1,0)</f>
        <v>0</v>
      </c>
      <c r="Z991">
        <f>IF(AND(vp.data[[#This Row],[CrudeType]]="Crude",vp.data[[#This Row],[Dens]]&lt;=825,vp.data[[#This Row],[Sulf]]&gt;0.5,vp.data[[#This Row],[Unknown]]=0),1,0)</f>
        <v>0</v>
      </c>
      <c r="AA991">
        <f>IF(AND(vp.data[[#This Row],[CrudeType]]="Crude",vp.data[[#This Row],[Dens]]&lt;=825,vp.data[[#This Row],[Sulf]]&lt;=0.5,vp.data[[#This Row],[Unknown]]=0),1,0)</f>
        <v>0</v>
      </c>
      <c r="AB9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1">
        <f>IF(AND(vp.data[[#This Row],[CrudeType]]="Crude",vp.data[[#This Row],[Dens]]&gt;825,vp.data[[#This Row],[Dens]]&lt;=900,vp.data[[#This Row],[Sulf]]&lt;=0.5,vp.data[[#This Row],[Unknown]]=0),1,0)</f>
        <v>0</v>
      </c>
      <c r="AD991">
        <f>IF(AND(vp.data[[#This Row],[CrudeType]]="Crude",vp.data[[#This Row],[Dens]]&gt;865,vp.data[[#This Row],[Dens]]&lt;=900,vp.data[[#This Row],[Sulf]]&gt;2,vp.data[[#This Row],[Unknown]]=0),1,0)</f>
        <v>1</v>
      </c>
      <c r="AE991">
        <f>IF(AND(vp.data[[#This Row],[CrudeType]]="Crude",vp.data[[#This Row],[Dens]]&gt;900,vp.data[[#This Row],[Sulf]]&lt;=0.5,vp.data[[#This Row],[Unknown]]=0),1,0)</f>
        <v>0</v>
      </c>
      <c r="AF991">
        <f>IF(AND(vp.data[[#This Row],[CrudeType]]="Crude",vp.data[[#This Row],[Dens]]&gt;900,vp.data[[#This Row],[Sulf]]&lt;=0.5,vp.data[[#This Row],[Unknown]]=0),1,0)</f>
        <v>0</v>
      </c>
      <c r="AG991" t="str">
        <f>INDEX(vp.data[[#Headers],[Unknown]:[Heavy_SW]],MATCH(1,vp.data[[#This Row],[Unknown]:[Heavy_SW]],0))</f>
        <v>Midale</v>
      </c>
      <c r="AH991">
        <f>INDEX([3]!crudeBD.lkup[Number],MATCH(vp.data[[#This Row],[Crude_Breakdown]],crudeBD.lkup[Crude Breakdown],0))</f>
        <v>5</v>
      </c>
      <c r="AI991">
        <f>MONTH(vp.data[[#This Row],[SDate]])</f>
        <v>3</v>
      </c>
      <c r="AJ991" s="5">
        <f>(vp.data[[#This Row],[VP]]-INDEX(crudeBD.lkup[Mean_VP],MATCH(vp.data[[#This Row],[Crude_Breakdown]],crudeBD.lkup[Crude Breakdown],0)))^2</f>
        <v>0.3705922520990958</v>
      </c>
      <c r="AK991" s="5">
        <f>(vp.data[[#This Row],[Dens]]-INDEX(crudeBD.lkup[Mean_Dens],MATCH(vp.data[[#This Row],[Crude_Breakdown]],crudeBD.lkup[Crude Breakdown],0)))^2</f>
        <v>65.885856360935264</v>
      </c>
      <c r="AL991" s="5">
        <f>(vp.data[[#This Row],[Sulf]]-INDEX(crudeBD.lkup[Mean_Sulf],MATCH(vp.data[[#This Row],[Crude_Breakdown]],crudeBD.lkup[Crude Breakdown],0)))^2</f>
        <v>4.0469403660429899E-3</v>
      </c>
      <c r="AM991" s="4">
        <f>IF(AND(vp.data[[#This Row],[SDate]]&gt;=DATE(YEAR(vp.data[[#This Row],[SDate]]),5,1),vp.data[[#This Row],[SDate]]&lt;=DATE(YEAR(vp.data[[#This Row],[SDate]]),9,15)),1,0)</f>
        <v>0</v>
      </c>
      <c r="AN991" s="4">
        <f>IF(vp.data[[#This Row],[SDate]]&lt;DATE(2016,12,1),0,1)</f>
        <v>1</v>
      </c>
      <c r="AO991" s="4">
        <f>IFERROR(vp.data[[#This Row],[Sulf]]*vp.data[[#This Row],[Net Dens]],"")</f>
        <v>245277814.08992401</v>
      </c>
      <c r="AP991">
        <f>IFERROR(vp.data[[#This Row],[Dens]]*vp.data[[#This Row],[VolumeM3]],"")</f>
        <v>103057905.07980001</v>
      </c>
      <c r="AQ991" s="15">
        <f>IFERROR(vp.data[[#This Row],[VP]]*vp.data[[#This Row],[VolumeM3]],"")</f>
        <v>8180897.5071999999</v>
      </c>
    </row>
    <row r="992" spans="1:43" x14ac:dyDescent="0.25">
      <c r="A992">
        <v>991</v>
      </c>
      <c r="B992" t="s">
        <v>51</v>
      </c>
      <c r="C992" t="s">
        <v>51</v>
      </c>
      <c r="D992" t="s">
        <v>52</v>
      </c>
      <c r="F992" s="1">
        <v>42806</v>
      </c>
      <c r="G992" s="2">
        <v>85.9</v>
      </c>
      <c r="H992" s="2"/>
      <c r="I992" s="2">
        <f t="array" ref="I992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992" s="2">
        <v>28</v>
      </c>
      <c r="K992" s="2">
        <v>-14</v>
      </c>
      <c r="L992" s="2">
        <v>867.9</v>
      </c>
      <c r="M992" s="2">
        <f t="array" ref="M992">_xlfn.IFNA(IF(vp.data[[#This Row],[Dens Input]]="",INDEX([1]DATA!$O$3:$O$9826,MATCH(1,(vp.data[[#This Row],[Battery]]=[1]DATA!$L$3:$L$9826)*(EOMONTH(vp.data[[#This Row],[SDate]],-1)+1=[1]DATA!$G$3:$G$9826),0)),vp.data[[#This Row],[Dens Input]]),"")</f>
        <v>867.9</v>
      </c>
      <c r="N992" s="2">
        <f ca="1">INDEX(INDIRECT(_xlfn.CONCAT("weather.tbl[",N$1,"]")),MATCH(vp.data[[#This Row],[SDate]],weather.tbl[Date],0))</f>
        <v>-17.216666666666669</v>
      </c>
      <c r="O992" s="2">
        <f ca="1">INDEX(INDIRECT(_xlfn.CONCAT("weather.tbl[",O$1,"]")),MATCH(vp.data[[#This Row],[SDate]],weather.tbl[Date],0))</f>
        <v>-15.638095238095238</v>
      </c>
      <c r="P992" s="2">
        <f ca="1">INDEX(INDIRECT(_xlfn.CONCAT("weather.tbl[",P$1,"]")),MATCH(vp.data[[#This Row],[SDate]],weather.tbl[Date],0))</f>
        <v>-17.3</v>
      </c>
      <c r="Q992" s="2">
        <f ca="1">INDEX(INDIRECT(_xlfn.CONCAT("weather.tbl[",Q$1,"]")),MATCH(vp.data[[#This Row],[SDate]],weather.tbl[Date],0))</f>
        <v>-17.3</v>
      </c>
      <c r="R992" s="2">
        <f ca="1">INDEX(INDIRECT(_xlfn.CONCAT("weather.tbl[",R$1,"]")),MATCH(vp.data[[#This Row],[SDate]],weather.tbl[Date],0))</f>
        <v>-17</v>
      </c>
      <c r="S992" s="2">
        <f ca="1">INDEX(INDIRECT(_xlfn.CONCAT("weather.tbl[",S$1,"]")),MATCH(vp.data[[#This Row],[SDate]],weather.tbl[Date],0))</f>
        <v>-16.8</v>
      </c>
      <c r="T992" s="2">
        <f ca="1">INDEX(INDIRECT(_xlfn.CONCAT("weather.tbl[",T$1,"]")),MATCH(vp.data[[#This Row],[SDate]],weather.tbl[Date],0))</f>
        <v>-18.899999999999999</v>
      </c>
      <c r="U992" s="2">
        <f ca="1">INDEX(INDIRECT(_xlfn.CONCAT("weather.tbl[",U$1,"]")),MATCH(vp.data[[#This Row],[SDate]],weather.tbl[Date],0))</f>
        <v>-16</v>
      </c>
      <c r="V992" s="2">
        <f t="array" ref="V9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7335.8190000000004</v>
      </c>
      <c r="W992" t="s">
        <v>48</v>
      </c>
      <c r="X992">
        <f>IF(OR(vp.data[[#This Row],[Sulf]]="",vp.data[[#This Row],[Dens]]=""),1,0)</f>
        <v>0</v>
      </c>
      <c r="Y992">
        <f>IF(vp.data[[#This Row],[CrudeType]]="C5+",1,0)</f>
        <v>0</v>
      </c>
      <c r="Z992">
        <f>IF(AND(vp.data[[#This Row],[CrudeType]]="Crude",vp.data[[#This Row],[Dens]]&lt;=825,vp.data[[#This Row],[Sulf]]&gt;0.5,vp.data[[#This Row],[Unknown]]=0),1,0)</f>
        <v>0</v>
      </c>
      <c r="AA992">
        <f>IF(AND(vp.data[[#This Row],[CrudeType]]="Crude",vp.data[[#This Row],[Dens]]&lt;=825,vp.data[[#This Row],[Sulf]]&lt;=0.5,vp.data[[#This Row],[Unknown]]=0),1,0)</f>
        <v>0</v>
      </c>
      <c r="AB9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2">
        <f>IF(AND(vp.data[[#This Row],[CrudeType]]="Crude",vp.data[[#This Row],[Dens]]&gt;825,vp.data[[#This Row],[Dens]]&lt;=900,vp.data[[#This Row],[Sulf]]&lt;=0.5,vp.data[[#This Row],[Unknown]]=0),1,0)</f>
        <v>0</v>
      </c>
      <c r="AD992">
        <f>IF(AND(vp.data[[#This Row],[CrudeType]]="Crude",vp.data[[#This Row],[Dens]]&gt;865,vp.data[[#This Row],[Dens]]&lt;=900,vp.data[[#This Row],[Sulf]]&gt;2,vp.data[[#This Row],[Unknown]]=0),1,0)</f>
        <v>1</v>
      </c>
      <c r="AE992">
        <f>IF(AND(vp.data[[#This Row],[CrudeType]]="Crude",vp.data[[#This Row],[Dens]]&gt;900,vp.data[[#This Row],[Sulf]]&lt;=0.5,vp.data[[#This Row],[Unknown]]=0),1,0)</f>
        <v>0</v>
      </c>
      <c r="AF992">
        <f>IF(AND(vp.data[[#This Row],[CrudeType]]="Crude",vp.data[[#This Row],[Dens]]&gt;900,vp.data[[#This Row],[Sulf]]&lt;=0.5,vp.data[[#This Row],[Unknown]]=0),1,0)</f>
        <v>0</v>
      </c>
      <c r="AG992" t="str">
        <f>INDEX(vp.data[[#Headers],[Unknown]:[Heavy_SW]],MATCH(1,vp.data[[#This Row],[Unknown]:[Heavy_SW]],0))</f>
        <v>Midale</v>
      </c>
      <c r="AH992">
        <f>INDEX([3]!crudeBD.lkup[Number],MATCH(vp.data[[#This Row],[Crude_Breakdown]],crudeBD.lkup[Crude Breakdown],0))</f>
        <v>5</v>
      </c>
      <c r="AI992">
        <f>MONTH(vp.data[[#This Row],[SDate]])</f>
        <v>3</v>
      </c>
      <c r="AJ992" s="5">
        <f>(vp.data[[#This Row],[VP]]-INDEX(crudeBD.lkup[Mean_VP],MATCH(vp.data[[#This Row],[Crude_Breakdown]],crudeBD.lkup[Crude Breakdown],0)))^2</f>
        <v>271.96090153044872</v>
      </c>
      <c r="AK992" s="5">
        <f>(vp.data[[#This Row],[Dens]]-INDEX(crudeBD.lkup[Mean_Dens],MATCH(vp.data[[#This Row],[Crude_Breakdown]],crudeBD.lkup[Crude Breakdown],0)))^2</f>
        <v>47.845031618667548</v>
      </c>
      <c r="AL992" s="5">
        <f>(vp.data[[#This Row],[Sulf]]-INDEX(crudeBD.lkup[Mean_Sulf],MATCH(vp.data[[#This Row],[Crude_Breakdown]],crudeBD.lkup[Crude Breakdown],0)))^2</f>
        <v>2.0625431087692294E-2</v>
      </c>
      <c r="AM992" s="4">
        <f>IF(AND(vp.data[[#This Row],[SDate]]&gt;=DATE(YEAR(vp.data[[#This Row],[SDate]]),5,1),vp.data[[#This Row],[SDate]]&lt;=DATE(YEAR(vp.data[[#This Row],[SDate]]),9,15)),1,0)</f>
        <v>0</v>
      </c>
      <c r="AN992" s="4">
        <f>IF(vp.data[[#This Row],[SDate]]&lt;DATE(2016,12,1),0,1)</f>
        <v>1</v>
      </c>
      <c r="AO992" s="4">
        <f>IFERROR(vp.data[[#This Row],[Sulf]]*vp.data[[#This Row],[Net Dens]],"")</f>
        <v>14643541.81323</v>
      </c>
      <c r="AP992">
        <f>IFERROR(vp.data[[#This Row],[Dens]]*vp.data[[#This Row],[VolumeM3]],"")</f>
        <v>6366757.3101000004</v>
      </c>
      <c r="AQ992" s="15">
        <f>IFERROR(vp.data[[#This Row],[VP]]*vp.data[[#This Row],[VolumeM3]],"")</f>
        <v>630146.85210000013</v>
      </c>
    </row>
    <row r="993" spans="1:43" x14ac:dyDescent="0.25">
      <c r="A993">
        <v>992</v>
      </c>
      <c r="B993" t="s">
        <v>49</v>
      </c>
      <c r="C993" t="s">
        <v>49</v>
      </c>
      <c r="D993" t="s">
        <v>75</v>
      </c>
      <c r="F993" s="1">
        <v>42807</v>
      </c>
      <c r="G993" s="2">
        <v>85.3</v>
      </c>
      <c r="H993" s="2">
        <v>0.16800000000000001</v>
      </c>
      <c r="I993" s="2">
        <f t="array" ref="I993">_xlfn.IFNA(IF(vp.data[[#This Row],[Sulf Input]]="",INDEX([1]DATA!$Q$3:$Q$9826,MATCH(1,(vp.data[[#This Row],[Battery]]=[1]DATA!$L$3:$L$9826)*(EOMONTH(vp.data[[#This Row],[SDate]],-1)+1=[1]DATA!$G$3:$G$9826),0)),vp.data[[#This Row],[Sulf Input]]),"")</f>
        <v>0.16800000000000001</v>
      </c>
      <c r="J993" s="2">
        <v>29.7</v>
      </c>
      <c r="K993" s="2">
        <v>-18</v>
      </c>
      <c r="L993" s="2">
        <v>802.6</v>
      </c>
      <c r="M993" s="2">
        <f t="array" ref="M993">_xlfn.IFNA(IF(vp.data[[#This Row],[Dens Input]]="",INDEX([1]DATA!$O$3:$O$9826,MATCH(1,(vp.data[[#This Row],[Battery]]=[1]DATA!$L$3:$L$9826)*(EOMONTH(vp.data[[#This Row],[SDate]],-1)+1=[1]DATA!$G$3:$G$9826),0)),vp.data[[#This Row],[Dens Input]]),"")</f>
        <v>802.6</v>
      </c>
      <c r="N993" s="2">
        <f ca="1">INDEX(INDIRECT(_xlfn.CONCAT("weather.tbl[",N$1,"]")),MATCH(vp.data[[#This Row],[SDate]],weather.tbl[Date],0))</f>
        <v>-17.566666666666666</v>
      </c>
      <c r="O993" s="2">
        <f ca="1">INDEX(INDIRECT(_xlfn.CONCAT("weather.tbl[",O$1,"]")),MATCH(vp.data[[#This Row],[SDate]],weather.tbl[Date],0))</f>
        <v>-17.119047619047617</v>
      </c>
      <c r="P993" s="2">
        <f ca="1">INDEX(INDIRECT(_xlfn.CONCAT("weather.tbl[",P$1,"]")),MATCH(vp.data[[#This Row],[SDate]],weather.tbl[Date],0))</f>
        <v>-17.399999999999999</v>
      </c>
      <c r="Q993" s="2">
        <f ca="1">INDEX(INDIRECT(_xlfn.CONCAT("weather.tbl[",Q$1,"]")),MATCH(vp.data[[#This Row],[SDate]],weather.tbl[Date],0))</f>
        <v>-16.7</v>
      </c>
      <c r="R993" s="2">
        <f ca="1">INDEX(INDIRECT(_xlfn.CONCAT("weather.tbl[",R$1,"]")),MATCH(vp.data[[#This Row],[SDate]],weather.tbl[Date],0))</f>
        <v>-17</v>
      </c>
      <c r="S993" s="2">
        <f ca="1">INDEX(INDIRECT(_xlfn.CONCAT("weather.tbl[",S$1,"]")),MATCH(vp.data[[#This Row],[SDate]],weather.tbl[Date],0))</f>
        <v>-16.5</v>
      </c>
      <c r="T993" s="2">
        <f ca="1">INDEX(INDIRECT(_xlfn.CONCAT("weather.tbl[",T$1,"]")),MATCH(vp.data[[#This Row],[SDate]],weather.tbl[Date],0))</f>
        <v>-20</v>
      </c>
      <c r="U993" s="2">
        <f ca="1">INDEX(INDIRECT(_xlfn.CONCAT("weather.tbl[",U$1,"]")),MATCH(vp.data[[#This Row],[SDate]],weather.tbl[Date],0))</f>
        <v>-17.8</v>
      </c>
      <c r="V993" s="2">
        <f t="array" ref="V9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1638.6679999999999</v>
      </c>
      <c r="W993" t="s">
        <v>48</v>
      </c>
      <c r="X993">
        <f>IF(OR(vp.data[[#This Row],[Sulf]]="",vp.data[[#This Row],[Dens]]=""),1,0)</f>
        <v>0</v>
      </c>
      <c r="Y993">
        <f>IF(vp.data[[#This Row],[CrudeType]]="C5+",1,0)</f>
        <v>0</v>
      </c>
      <c r="Z993">
        <f>IF(AND(vp.data[[#This Row],[CrudeType]]="Crude",vp.data[[#This Row],[Dens]]&lt;=825,vp.data[[#This Row],[Sulf]]&gt;0.5,vp.data[[#This Row],[Unknown]]=0),1,0)</f>
        <v>0</v>
      </c>
      <c r="AA993">
        <f>IF(AND(vp.data[[#This Row],[CrudeType]]="Crude",vp.data[[#This Row],[Dens]]&lt;=825,vp.data[[#This Row],[Sulf]]&lt;=0.5,vp.data[[#This Row],[Unknown]]=0),1,0)</f>
        <v>1</v>
      </c>
      <c r="AB9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3">
        <f>IF(AND(vp.data[[#This Row],[CrudeType]]="Crude",vp.data[[#This Row],[Dens]]&gt;825,vp.data[[#This Row],[Dens]]&lt;=900,vp.data[[#This Row],[Sulf]]&lt;=0.5,vp.data[[#This Row],[Unknown]]=0),1,0)</f>
        <v>0</v>
      </c>
      <c r="AD993">
        <f>IF(AND(vp.data[[#This Row],[CrudeType]]="Crude",vp.data[[#This Row],[Dens]]&gt;865,vp.data[[#This Row],[Dens]]&lt;=900,vp.data[[#This Row],[Sulf]]&gt;2,vp.data[[#This Row],[Unknown]]=0),1,0)</f>
        <v>0</v>
      </c>
      <c r="AE993">
        <f>IF(AND(vp.data[[#This Row],[CrudeType]]="Crude",vp.data[[#This Row],[Dens]]&gt;900,vp.data[[#This Row],[Sulf]]&lt;=0.5,vp.data[[#This Row],[Unknown]]=0),1,0)</f>
        <v>0</v>
      </c>
      <c r="AF993">
        <f>IF(AND(vp.data[[#This Row],[CrudeType]]="Crude",vp.data[[#This Row],[Dens]]&gt;900,vp.data[[#This Row],[Sulf]]&lt;=0.5,vp.data[[#This Row],[Unknown]]=0),1,0)</f>
        <v>0</v>
      </c>
      <c r="AG993" t="str">
        <f>INDEX(vp.data[[#Headers],[Unknown]:[Heavy_SW]],MATCH(1,vp.data[[#This Row],[Unknown]:[Heavy_SW]],0))</f>
        <v>Light_SW</v>
      </c>
      <c r="AH993">
        <f>INDEX([3]!crudeBD.lkup[Number],MATCH(vp.data[[#This Row],[Crude_Breakdown]],crudeBD.lkup[Crude Breakdown],0))</f>
        <v>2</v>
      </c>
      <c r="AI993">
        <f>MONTH(vp.data[[#This Row],[SDate]])</f>
        <v>3</v>
      </c>
      <c r="AJ993" s="5">
        <f>(vp.data[[#This Row],[VP]]-INDEX(crudeBD.lkup[Mean_VP],MATCH(vp.data[[#This Row],[Crude_Breakdown]],crudeBD.lkup[Crude Breakdown],0)))^2</f>
        <v>52.567047136665103</v>
      </c>
      <c r="AK993" s="5">
        <f>(vp.data[[#This Row],[Dens]]-INDEX(crudeBD.lkup[Mean_Dens],MATCH(vp.data[[#This Row],[Crude_Breakdown]],crudeBD.lkup[Crude Breakdown],0)))^2</f>
        <v>32.62121234930342</v>
      </c>
      <c r="AL993" s="5">
        <f>(vp.data[[#This Row],[Sulf]]-INDEX(crudeBD.lkup[Mean_Sulf],MATCH(vp.data[[#This Row],[Crude_Breakdown]],crudeBD.lkup[Crude Breakdown],0)))^2</f>
        <v>4.6569448841190034E-3</v>
      </c>
      <c r="AM993" s="4">
        <f>IF(AND(vp.data[[#This Row],[SDate]]&gt;=DATE(YEAR(vp.data[[#This Row],[SDate]]),5,1),vp.data[[#This Row],[SDate]]&lt;=DATE(YEAR(vp.data[[#This Row],[SDate]]),9,15)),1,0)</f>
        <v>0</v>
      </c>
      <c r="AN993" s="4">
        <f>IF(vp.data[[#This Row],[SDate]]&lt;DATE(2016,12,1),0,1)</f>
        <v>1</v>
      </c>
      <c r="AO993" s="4">
        <f>IFERROR(vp.data[[#This Row],[Sulf]]*vp.data[[#This Row],[Net Dens]],"")</f>
        <v>220952.74938240001</v>
      </c>
      <c r="AP993">
        <f>IFERROR(vp.data[[#This Row],[Dens]]*vp.data[[#This Row],[VolumeM3]],"")</f>
        <v>1315194.9368</v>
      </c>
      <c r="AQ993" s="15">
        <f>IFERROR(vp.data[[#This Row],[VP]]*vp.data[[#This Row],[VolumeM3]],"")</f>
        <v>139778.38039999999</v>
      </c>
    </row>
    <row r="994" spans="1:43" x14ac:dyDescent="0.25">
      <c r="A994">
        <v>993</v>
      </c>
      <c r="B994" t="s">
        <v>49</v>
      </c>
      <c r="C994" t="s">
        <v>49</v>
      </c>
      <c r="D994" t="s">
        <v>78</v>
      </c>
      <c r="F994" s="1">
        <v>42807</v>
      </c>
      <c r="G994" s="2">
        <v>88.8</v>
      </c>
      <c r="H994" s="2">
        <v>0.217</v>
      </c>
      <c r="I994" s="2">
        <f t="array" ref="I994">_xlfn.IFNA(IF(vp.data[[#This Row],[Sulf Input]]="",INDEX([1]DATA!$Q$3:$Q$9826,MATCH(1,(vp.data[[#This Row],[Battery]]=[1]DATA!$L$3:$L$9826)*(EOMONTH(vp.data[[#This Row],[SDate]],-1)+1=[1]DATA!$G$3:$G$9826),0)),vp.data[[#This Row],[Sulf Input]]),"")</f>
        <v>0.217</v>
      </c>
      <c r="J994" s="2">
        <v>15.4</v>
      </c>
      <c r="K994" s="2">
        <v>-18</v>
      </c>
      <c r="L994" s="2">
        <v>805.85</v>
      </c>
      <c r="M994" s="2">
        <f t="array" ref="M994">_xlfn.IFNA(IF(vp.data[[#This Row],[Dens Input]]="",INDEX([1]DATA!$O$3:$O$9826,MATCH(1,(vp.data[[#This Row],[Battery]]=[1]DATA!$L$3:$L$9826)*(EOMONTH(vp.data[[#This Row],[SDate]],-1)+1=[1]DATA!$G$3:$G$9826),0)),vp.data[[#This Row],[Dens Input]]),"")</f>
        <v>805.85</v>
      </c>
      <c r="N994" s="2">
        <f ca="1">INDEX(INDIRECT(_xlfn.CONCAT("weather.tbl[",N$1,"]")),MATCH(vp.data[[#This Row],[SDate]],weather.tbl[Date],0))</f>
        <v>-17.566666666666666</v>
      </c>
      <c r="O994" s="2">
        <f ca="1">INDEX(INDIRECT(_xlfn.CONCAT("weather.tbl[",O$1,"]")),MATCH(vp.data[[#This Row],[SDate]],weather.tbl[Date],0))</f>
        <v>-17.119047619047617</v>
      </c>
      <c r="P994" s="2">
        <f ca="1">INDEX(INDIRECT(_xlfn.CONCAT("weather.tbl[",P$1,"]")),MATCH(vp.data[[#This Row],[SDate]],weather.tbl[Date],0))</f>
        <v>-17.399999999999999</v>
      </c>
      <c r="Q994" s="2">
        <f ca="1">INDEX(INDIRECT(_xlfn.CONCAT("weather.tbl[",Q$1,"]")),MATCH(vp.data[[#This Row],[SDate]],weather.tbl[Date],0))</f>
        <v>-16.7</v>
      </c>
      <c r="R994" s="2">
        <f ca="1">INDEX(INDIRECT(_xlfn.CONCAT("weather.tbl[",R$1,"]")),MATCH(vp.data[[#This Row],[SDate]],weather.tbl[Date],0))</f>
        <v>-17</v>
      </c>
      <c r="S994" s="2">
        <f ca="1">INDEX(INDIRECT(_xlfn.CONCAT("weather.tbl[",S$1,"]")),MATCH(vp.data[[#This Row],[SDate]],weather.tbl[Date],0))</f>
        <v>-16.5</v>
      </c>
      <c r="T994" s="2">
        <f ca="1">INDEX(INDIRECT(_xlfn.CONCAT("weather.tbl[",T$1,"]")),MATCH(vp.data[[#This Row],[SDate]],weather.tbl[Date],0))</f>
        <v>-20</v>
      </c>
      <c r="U994" s="2">
        <f ca="1">INDEX(INDIRECT(_xlfn.CONCAT("weather.tbl[",U$1,"]")),MATCH(vp.data[[#This Row],[SDate]],weather.tbl[Date],0))</f>
        <v>-17.8</v>
      </c>
      <c r="V994" s="2">
        <f t="array" ref="V9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19019.342000000001</v>
      </c>
      <c r="W994" t="s">
        <v>48</v>
      </c>
      <c r="X994">
        <f>IF(OR(vp.data[[#This Row],[Sulf]]="",vp.data[[#This Row],[Dens]]=""),1,0)</f>
        <v>0</v>
      </c>
      <c r="Y994">
        <f>IF(vp.data[[#This Row],[CrudeType]]="C5+",1,0)</f>
        <v>0</v>
      </c>
      <c r="Z994">
        <f>IF(AND(vp.data[[#This Row],[CrudeType]]="Crude",vp.data[[#This Row],[Dens]]&lt;=825,vp.data[[#This Row],[Sulf]]&gt;0.5,vp.data[[#This Row],[Unknown]]=0),1,0)</f>
        <v>0</v>
      </c>
      <c r="AA994">
        <f>IF(AND(vp.data[[#This Row],[CrudeType]]="Crude",vp.data[[#This Row],[Dens]]&lt;=825,vp.data[[#This Row],[Sulf]]&lt;=0.5,vp.data[[#This Row],[Unknown]]=0),1,0)</f>
        <v>1</v>
      </c>
      <c r="AB9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4">
        <f>IF(AND(vp.data[[#This Row],[CrudeType]]="Crude",vp.data[[#This Row],[Dens]]&gt;825,vp.data[[#This Row],[Dens]]&lt;=900,vp.data[[#This Row],[Sulf]]&lt;=0.5,vp.data[[#This Row],[Unknown]]=0),1,0)</f>
        <v>0</v>
      </c>
      <c r="AD994">
        <f>IF(AND(vp.data[[#This Row],[CrudeType]]="Crude",vp.data[[#This Row],[Dens]]&gt;865,vp.data[[#This Row],[Dens]]&lt;=900,vp.data[[#This Row],[Sulf]]&gt;2,vp.data[[#This Row],[Unknown]]=0),1,0)</f>
        <v>0</v>
      </c>
      <c r="AE994">
        <f>IF(AND(vp.data[[#This Row],[CrudeType]]="Crude",vp.data[[#This Row],[Dens]]&gt;900,vp.data[[#This Row],[Sulf]]&lt;=0.5,vp.data[[#This Row],[Unknown]]=0),1,0)</f>
        <v>0</v>
      </c>
      <c r="AF994">
        <f>IF(AND(vp.data[[#This Row],[CrudeType]]="Crude",vp.data[[#This Row],[Dens]]&gt;900,vp.data[[#This Row],[Sulf]]&lt;=0.5,vp.data[[#This Row],[Unknown]]=0),1,0)</f>
        <v>0</v>
      </c>
      <c r="AG994" t="str">
        <f>INDEX(vp.data[[#Headers],[Unknown]:[Heavy_SW]],MATCH(1,vp.data[[#This Row],[Unknown]:[Heavy_SW]],0))</f>
        <v>Light_SW</v>
      </c>
      <c r="AH994">
        <f>INDEX([3]!crudeBD.lkup[Number],MATCH(vp.data[[#This Row],[Crude_Breakdown]],crudeBD.lkup[Crude Breakdown],0))</f>
        <v>2</v>
      </c>
      <c r="AI994">
        <f>MONTH(vp.data[[#This Row],[SDate]])</f>
        <v>3</v>
      </c>
      <c r="AJ994" s="5">
        <f>(vp.data[[#This Row],[VP]]-INDEX(crudeBD.lkup[Mean_VP],MATCH(vp.data[[#This Row],[Crude_Breakdown]],crudeBD.lkup[Crude Breakdown],0)))^2</f>
        <v>14.064852014714074</v>
      </c>
      <c r="AK994" s="5">
        <f>(vp.data[[#This Row],[Dens]]-INDEX(crudeBD.lkup[Mean_Dens],MATCH(vp.data[[#This Row],[Crude_Breakdown]],crudeBD.lkup[Crude Breakdown],0)))^2</f>
        <v>6.058973673346796</v>
      </c>
      <c r="AL994" s="5">
        <f>(vp.data[[#This Row],[Sulf]]-INDEX(crudeBD.lkup[Mean_Sulf],MATCH(vp.data[[#This Row],[Crude_Breakdown]],crudeBD.lkup[Crude Breakdown],0)))^2</f>
        <v>3.7024732314340974E-4</v>
      </c>
      <c r="AM994" s="4">
        <f>IF(AND(vp.data[[#This Row],[SDate]]&gt;=DATE(YEAR(vp.data[[#This Row],[SDate]]),5,1),vp.data[[#This Row],[SDate]]&lt;=DATE(YEAR(vp.data[[#This Row],[SDate]]),9,15)),1,0)</f>
        <v>0</v>
      </c>
      <c r="AN994" s="4">
        <f>IF(vp.data[[#This Row],[SDate]]&lt;DATE(2016,12,1),0,1)</f>
        <v>1</v>
      </c>
      <c r="AO994" s="4">
        <f>IFERROR(vp.data[[#This Row],[Sulf]]*vp.data[[#This Row],[Net Dens]],"")</f>
        <v>3325901.8749019001</v>
      </c>
      <c r="AP994">
        <f>IFERROR(vp.data[[#This Row],[Dens]]*vp.data[[#This Row],[VolumeM3]],"")</f>
        <v>15326736.750700001</v>
      </c>
      <c r="AQ994" s="15">
        <f>IFERROR(vp.data[[#This Row],[VP]]*vp.data[[#This Row],[VolumeM3]],"")</f>
        <v>1688917.5696</v>
      </c>
    </row>
    <row r="995" spans="1:43" x14ac:dyDescent="0.25">
      <c r="A995">
        <v>994</v>
      </c>
      <c r="B995" t="s">
        <v>49</v>
      </c>
      <c r="C995" t="s">
        <v>49</v>
      </c>
      <c r="D995" t="s">
        <v>67</v>
      </c>
      <c r="F995" s="1">
        <v>42807</v>
      </c>
      <c r="G995" s="2">
        <v>106.4</v>
      </c>
      <c r="H995" s="2">
        <v>0.48499999999999999</v>
      </c>
      <c r="I995" s="2">
        <f t="array" ref="I995">_xlfn.IFNA(IF(vp.data[[#This Row],[Sulf Input]]="",INDEX([1]DATA!$Q$3:$Q$9826,MATCH(1,(vp.data[[#This Row],[Battery]]=[1]DATA!$L$3:$L$9826)*(EOMONTH(vp.data[[#This Row],[SDate]],-1)+1=[1]DATA!$G$3:$G$9826),0)),vp.data[[#This Row],[Sulf Input]]),"")</f>
        <v>0.48499999999999999</v>
      </c>
      <c r="J995" s="2">
        <v>3.4</v>
      </c>
      <c r="K995" s="2">
        <v>-18</v>
      </c>
      <c r="L995" s="2">
        <v>815.3</v>
      </c>
      <c r="M995" s="2">
        <f t="array" ref="M995">_xlfn.IFNA(IF(vp.data[[#This Row],[Dens Input]]="",INDEX([1]DATA!$O$3:$O$9826,MATCH(1,(vp.data[[#This Row],[Battery]]=[1]DATA!$L$3:$L$9826)*(EOMONTH(vp.data[[#This Row],[SDate]],-1)+1=[1]DATA!$G$3:$G$9826),0)),vp.data[[#This Row],[Dens Input]]),"")</f>
        <v>815.3</v>
      </c>
      <c r="N995" s="2">
        <f ca="1">INDEX(INDIRECT(_xlfn.CONCAT("weather.tbl[",N$1,"]")),MATCH(vp.data[[#This Row],[SDate]],weather.tbl[Date],0))</f>
        <v>-17.566666666666666</v>
      </c>
      <c r="O995" s="2">
        <f ca="1">INDEX(INDIRECT(_xlfn.CONCAT("weather.tbl[",O$1,"]")),MATCH(vp.data[[#This Row],[SDate]],weather.tbl[Date],0))</f>
        <v>-17.119047619047617</v>
      </c>
      <c r="P995" s="2">
        <f ca="1">INDEX(INDIRECT(_xlfn.CONCAT("weather.tbl[",P$1,"]")),MATCH(vp.data[[#This Row],[SDate]],weather.tbl[Date],0))</f>
        <v>-17.399999999999999</v>
      </c>
      <c r="Q995" s="2">
        <f ca="1">INDEX(INDIRECT(_xlfn.CONCAT("weather.tbl[",Q$1,"]")),MATCH(vp.data[[#This Row],[SDate]],weather.tbl[Date],0))</f>
        <v>-16.7</v>
      </c>
      <c r="R995" s="2">
        <f ca="1">INDEX(INDIRECT(_xlfn.CONCAT("weather.tbl[",R$1,"]")),MATCH(vp.data[[#This Row],[SDate]],weather.tbl[Date],0))</f>
        <v>-17</v>
      </c>
      <c r="S995" s="2">
        <f ca="1">INDEX(INDIRECT(_xlfn.CONCAT("weather.tbl[",S$1,"]")),MATCH(vp.data[[#This Row],[SDate]],weather.tbl[Date],0))</f>
        <v>-16.5</v>
      </c>
      <c r="T995" s="2">
        <f ca="1">INDEX(INDIRECT(_xlfn.CONCAT("weather.tbl[",T$1,"]")),MATCH(vp.data[[#This Row],[SDate]],weather.tbl[Date],0))</f>
        <v>-20</v>
      </c>
      <c r="U995" s="2">
        <f ca="1">INDEX(INDIRECT(_xlfn.CONCAT("weather.tbl[",U$1,"]")),MATCH(vp.data[[#This Row],[SDate]],weather.tbl[Date],0))</f>
        <v>-17.8</v>
      </c>
      <c r="V995" s="2">
        <f t="array" ref="V9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995" t="s">
        <v>48</v>
      </c>
      <c r="X995">
        <f>IF(OR(vp.data[[#This Row],[Sulf]]="",vp.data[[#This Row],[Dens]]=""),1,0)</f>
        <v>0</v>
      </c>
      <c r="Y995">
        <f>IF(vp.data[[#This Row],[CrudeType]]="C5+",1,0)</f>
        <v>0</v>
      </c>
      <c r="Z995">
        <f>IF(AND(vp.data[[#This Row],[CrudeType]]="Crude",vp.data[[#This Row],[Dens]]&lt;=825,vp.data[[#This Row],[Sulf]]&gt;0.5,vp.data[[#This Row],[Unknown]]=0),1,0)</f>
        <v>0</v>
      </c>
      <c r="AA995">
        <f>IF(AND(vp.data[[#This Row],[CrudeType]]="Crude",vp.data[[#This Row],[Dens]]&lt;=825,vp.data[[#This Row],[Sulf]]&lt;=0.5,vp.data[[#This Row],[Unknown]]=0),1,0)</f>
        <v>1</v>
      </c>
      <c r="AB9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5">
        <f>IF(AND(vp.data[[#This Row],[CrudeType]]="Crude",vp.data[[#This Row],[Dens]]&gt;825,vp.data[[#This Row],[Dens]]&lt;=900,vp.data[[#This Row],[Sulf]]&lt;=0.5,vp.data[[#This Row],[Unknown]]=0),1,0)</f>
        <v>0</v>
      </c>
      <c r="AD995">
        <f>IF(AND(vp.data[[#This Row],[CrudeType]]="Crude",vp.data[[#This Row],[Dens]]&gt;865,vp.data[[#This Row],[Dens]]&lt;=900,vp.data[[#This Row],[Sulf]]&gt;2,vp.data[[#This Row],[Unknown]]=0),1,0)</f>
        <v>0</v>
      </c>
      <c r="AE995">
        <f>IF(AND(vp.data[[#This Row],[CrudeType]]="Crude",vp.data[[#This Row],[Dens]]&gt;900,vp.data[[#This Row],[Sulf]]&lt;=0.5,vp.data[[#This Row],[Unknown]]=0),1,0)</f>
        <v>0</v>
      </c>
      <c r="AF995">
        <f>IF(AND(vp.data[[#This Row],[CrudeType]]="Crude",vp.data[[#This Row],[Dens]]&gt;900,vp.data[[#This Row],[Sulf]]&lt;=0.5,vp.data[[#This Row],[Unknown]]=0),1,0)</f>
        <v>0</v>
      </c>
      <c r="AG995" t="str">
        <f>INDEX(vp.data[[#Headers],[Unknown]:[Heavy_SW]],MATCH(1,vp.data[[#This Row],[Unknown]:[Heavy_SW]],0))</f>
        <v>Light_SW</v>
      </c>
      <c r="AH995">
        <f>INDEX([3]!crudeBD.lkup[Number],MATCH(vp.data[[#This Row],[Crude_Breakdown]],crudeBD.lkup[Crude Breakdown],0))</f>
        <v>2</v>
      </c>
      <c r="AI995">
        <f>MONTH(vp.data[[#This Row],[SDate]])</f>
        <v>3</v>
      </c>
      <c r="AJ995" s="5">
        <f>(vp.data[[#This Row],[VP]]-INDEX(crudeBD.lkup[Mean_VP],MATCH(vp.data[[#This Row],[Crude_Breakdown]],crudeBD.lkup[Crude Breakdown],0)))^2</f>
        <v>191.81381368718911</v>
      </c>
      <c r="AK995" s="5">
        <f>(vp.data[[#This Row],[Dens]]-INDEX(crudeBD.lkup[Mean_Dens],MATCH(vp.data[[#This Row],[Crude_Breakdown]],crudeBD.lkup[Crude Breakdown],0)))^2</f>
        <v>48.83915660017967</v>
      </c>
      <c r="AL995" s="5">
        <f>(vp.data[[#This Row],[Sulf]]-INDEX(crudeBD.lkup[Mean_Sulf],MATCH(vp.data[[#This Row],[Crude_Breakdown]],crudeBD.lkup[Crude Breakdown],0)))^2</f>
        <v>6.1880636173317703E-2</v>
      </c>
      <c r="AM995" s="4">
        <f>IF(AND(vp.data[[#This Row],[SDate]]&gt;=DATE(YEAR(vp.data[[#This Row],[SDate]]),5,1),vp.data[[#This Row],[SDate]]&lt;=DATE(YEAR(vp.data[[#This Row],[SDate]]),9,15)),1,0)</f>
        <v>0</v>
      </c>
      <c r="AN995" s="4">
        <f>IF(vp.data[[#This Row],[SDate]]&lt;DATE(2016,12,1),0,1)</f>
        <v>1</v>
      </c>
      <c r="AO995" s="4">
        <f>IFERROR(vp.data[[#This Row],[Sulf]]*vp.data[[#This Row],[Net Dens]],"")</f>
        <v>52443597.17132549</v>
      </c>
      <c r="AP995">
        <f>IFERROR(vp.data[[#This Row],[Dens]]*vp.data[[#This Row],[VolumeM3]],"")</f>
        <v>108131128.18829998</v>
      </c>
      <c r="AQ995" s="15">
        <f>IFERROR(vp.data[[#This Row],[VP]]*vp.data[[#This Row],[VolumeM3]],"")</f>
        <v>14111556.530400001</v>
      </c>
    </row>
    <row r="996" spans="1:43" x14ac:dyDescent="0.25">
      <c r="A996">
        <v>995</v>
      </c>
      <c r="B996" t="s">
        <v>49</v>
      </c>
      <c r="C996" t="s">
        <v>49</v>
      </c>
      <c r="D996" t="s">
        <v>80</v>
      </c>
      <c r="F996" s="1">
        <v>42807</v>
      </c>
      <c r="G996" s="2">
        <v>94.7</v>
      </c>
      <c r="H996" s="2">
        <v>0.499</v>
      </c>
      <c r="I996" s="2">
        <f t="array" ref="I996">_xlfn.IFNA(IF(vp.data[[#This Row],[Sulf Input]]="",INDEX([1]DATA!$Q$3:$Q$9826,MATCH(1,(vp.data[[#This Row],[Battery]]=[1]DATA!$L$3:$L$9826)*(EOMONTH(vp.data[[#This Row],[SDate]],-1)+1=[1]DATA!$G$3:$G$9826),0)),vp.data[[#This Row],[Sulf Input]]),"")</f>
        <v>0.499</v>
      </c>
      <c r="J996" s="2">
        <v>9.1999999999999993</v>
      </c>
      <c r="K996" s="2">
        <v>-18</v>
      </c>
      <c r="L996" s="2">
        <v>812.3</v>
      </c>
      <c r="M996" s="2">
        <f t="array" ref="M996">_xlfn.IFNA(IF(vp.data[[#This Row],[Dens Input]]="",INDEX([1]DATA!$O$3:$O$9826,MATCH(1,(vp.data[[#This Row],[Battery]]=[1]DATA!$L$3:$L$9826)*(EOMONTH(vp.data[[#This Row],[SDate]],-1)+1=[1]DATA!$G$3:$G$9826),0)),vp.data[[#This Row],[Dens Input]]),"")</f>
        <v>812.3</v>
      </c>
      <c r="N996" s="2">
        <f ca="1">INDEX(INDIRECT(_xlfn.CONCAT("weather.tbl[",N$1,"]")),MATCH(vp.data[[#This Row],[SDate]],weather.tbl[Date],0))</f>
        <v>-17.566666666666666</v>
      </c>
      <c r="O996" s="2">
        <f ca="1">INDEX(INDIRECT(_xlfn.CONCAT("weather.tbl[",O$1,"]")),MATCH(vp.data[[#This Row],[SDate]],weather.tbl[Date],0))</f>
        <v>-17.119047619047617</v>
      </c>
      <c r="P996" s="2">
        <f ca="1">INDEX(INDIRECT(_xlfn.CONCAT("weather.tbl[",P$1,"]")),MATCH(vp.data[[#This Row],[SDate]],weather.tbl[Date],0))</f>
        <v>-17.399999999999999</v>
      </c>
      <c r="Q996" s="2">
        <f ca="1">INDEX(INDIRECT(_xlfn.CONCAT("weather.tbl[",Q$1,"]")),MATCH(vp.data[[#This Row],[SDate]],weather.tbl[Date],0))</f>
        <v>-16.7</v>
      </c>
      <c r="R996" s="2">
        <f ca="1">INDEX(INDIRECT(_xlfn.CONCAT("weather.tbl[",R$1,"]")),MATCH(vp.data[[#This Row],[SDate]],weather.tbl[Date],0))</f>
        <v>-17</v>
      </c>
      <c r="S996" s="2">
        <f ca="1">INDEX(INDIRECT(_xlfn.CONCAT("weather.tbl[",S$1,"]")),MATCH(vp.data[[#This Row],[SDate]],weather.tbl[Date],0))</f>
        <v>-16.5</v>
      </c>
      <c r="T996" s="2">
        <f ca="1">INDEX(INDIRECT(_xlfn.CONCAT("weather.tbl[",T$1,"]")),MATCH(vp.data[[#This Row],[SDate]],weather.tbl[Date],0))</f>
        <v>-20</v>
      </c>
      <c r="U996" s="2">
        <f ca="1">INDEX(INDIRECT(_xlfn.CONCAT("weather.tbl[",U$1,"]")),MATCH(vp.data[[#This Row],[SDate]],weather.tbl[Date],0))</f>
        <v>-17.8</v>
      </c>
      <c r="V996" s="2">
        <f t="array" ref="V9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23623.538</v>
      </c>
      <c r="W996" t="s">
        <v>48</v>
      </c>
      <c r="X996">
        <f>IF(OR(vp.data[[#This Row],[Sulf]]="",vp.data[[#This Row],[Dens]]=""),1,0)</f>
        <v>0</v>
      </c>
      <c r="Y996">
        <f>IF(vp.data[[#This Row],[CrudeType]]="C5+",1,0)</f>
        <v>0</v>
      </c>
      <c r="Z996">
        <f>IF(AND(vp.data[[#This Row],[CrudeType]]="Crude",vp.data[[#This Row],[Dens]]&lt;=825,vp.data[[#This Row],[Sulf]]&gt;0.5,vp.data[[#This Row],[Unknown]]=0),1,0)</f>
        <v>0</v>
      </c>
      <c r="AA996">
        <f>IF(AND(vp.data[[#This Row],[CrudeType]]="Crude",vp.data[[#This Row],[Dens]]&lt;=825,vp.data[[#This Row],[Sulf]]&lt;=0.5,vp.data[[#This Row],[Unknown]]=0),1,0)</f>
        <v>1</v>
      </c>
      <c r="AB9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6">
        <f>IF(AND(vp.data[[#This Row],[CrudeType]]="Crude",vp.data[[#This Row],[Dens]]&gt;825,vp.data[[#This Row],[Dens]]&lt;=900,vp.data[[#This Row],[Sulf]]&lt;=0.5,vp.data[[#This Row],[Unknown]]=0),1,0)</f>
        <v>0</v>
      </c>
      <c r="AD996">
        <f>IF(AND(vp.data[[#This Row],[CrudeType]]="Crude",vp.data[[#This Row],[Dens]]&gt;865,vp.data[[#This Row],[Dens]]&lt;=900,vp.data[[#This Row],[Sulf]]&gt;2,vp.data[[#This Row],[Unknown]]=0),1,0)</f>
        <v>0</v>
      </c>
      <c r="AE996">
        <f>IF(AND(vp.data[[#This Row],[CrudeType]]="Crude",vp.data[[#This Row],[Dens]]&gt;900,vp.data[[#This Row],[Sulf]]&lt;=0.5,vp.data[[#This Row],[Unknown]]=0),1,0)</f>
        <v>0</v>
      </c>
      <c r="AF996">
        <f>IF(AND(vp.data[[#This Row],[CrudeType]]="Crude",vp.data[[#This Row],[Dens]]&gt;900,vp.data[[#This Row],[Sulf]]&lt;=0.5,vp.data[[#This Row],[Unknown]]=0),1,0)</f>
        <v>0</v>
      </c>
      <c r="AG996" t="str">
        <f>INDEX(vp.data[[#Headers],[Unknown]:[Heavy_SW]],MATCH(1,vp.data[[#This Row],[Unknown]:[Heavy_SW]],0))</f>
        <v>Light_SW</v>
      </c>
      <c r="AH996">
        <f>INDEX([3]!crudeBD.lkup[Number],MATCH(vp.data[[#This Row],[Crude_Breakdown]],crudeBD.lkup[Crude Breakdown],0))</f>
        <v>2</v>
      </c>
      <c r="AI996">
        <f>MONTH(vp.data[[#This Row],[SDate]])</f>
        <v>3</v>
      </c>
      <c r="AJ996" s="5">
        <f>(vp.data[[#This Row],[VP]]-INDEX(crudeBD.lkup[Mean_VP],MATCH(vp.data[[#This Row],[Crude_Breakdown]],crudeBD.lkup[Crude Breakdown],0)))^2</f>
        <v>4.6211516662823566</v>
      </c>
      <c r="AK996" s="5">
        <f>(vp.data[[#This Row],[Dens]]-INDEX(crudeBD.lkup[Mean_Dens],MATCH(vp.data[[#This Row],[Crude_Breakdown]],crudeBD.lkup[Crude Breakdown],0)))^2</f>
        <v>15.908146147216957</v>
      </c>
      <c r="AL996" s="5">
        <f>(vp.data[[#This Row],[Sulf]]-INDEX(crudeBD.lkup[Mean_Sulf],MATCH(vp.data[[#This Row],[Crude_Breakdown]],crudeBD.lkup[Crude Breakdown],0)))^2</f>
        <v>6.9041865441610395E-2</v>
      </c>
      <c r="AM996" s="4">
        <f>IF(AND(vp.data[[#This Row],[SDate]]&gt;=DATE(YEAR(vp.data[[#This Row],[SDate]]),5,1),vp.data[[#This Row],[SDate]]&lt;=DATE(YEAR(vp.data[[#This Row],[SDate]]),9,15)),1,0)</f>
        <v>0</v>
      </c>
      <c r="AN996" s="4">
        <f>IF(vp.data[[#This Row],[SDate]]&lt;DATE(2016,12,1),0,1)</f>
        <v>1</v>
      </c>
      <c r="AO996" s="4">
        <f>IFERROR(vp.data[[#This Row],[Sulf]]*vp.data[[#This Row],[Net Dens]],"")</f>
        <v>9575510.5587825999</v>
      </c>
      <c r="AP996">
        <f>IFERROR(vp.data[[#This Row],[Dens]]*vp.data[[#This Row],[VolumeM3]],"")</f>
        <v>19189399.917399999</v>
      </c>
      <c r="AQ996" s="15">
        <f>IFERROR(vp.data[[#This Row],[VP]]*vp.data[[#This Row],[VolumeM3]],"")</f>
        <v>2237149.0486000003</v>
      </c>
    </row>
    <row r="997" spans="1:43" x14ac:dyDescent="0.25">
      <c r="A997">
        <v>996</v>
      </c>
      <c r="B997" t="s">
        <v>49</v>
      </c>
      <c r="C997" t="s">
        <v>49</v>
      </c>
      <c r="D997" t="s">
        <v>81</v>
      </c>
      <c r="F997" s="1">
        <v>42807</v>
      </c>
      <c r="G997" s="2">
        <v>87.3</v>
      </c>
      <c r="H997" s="2">
        <v>0.51900000000000002</v>
      </c>
      <c r="I997" s="2">
        <f t="array" ref="I997">_xlfn.IFNA(IF(vp.data[[#This Row],[Sulf Input]]="",INDEX([1]DATA!$Q$3:$Q$9826,MATCH(1,(vp.data[[#This Row],[Battery]]=[1]DATA!$L$3:$L$9826)*(EOMONTH(vp.data[[#This Row],[SDate]],-1)+1=[1]DATA!$G$3:$G$9826),0)),vp.data[[#This Row],[Sulf Input]]),"")</f>
        <v>0.51900000000000002</v>
      </c>
      <c r="J997" s="2">
        <v>2.8</v>
      </c>
      <c r="K997" s="2">
        <v>-18</v>
      </c>
      <c r="L997" s="2">
        <v>818.7</v>
      </c>
      <c r="M997" s="2">
        <f t="array" ref="M997">_xlfn.IFNA(IF(vp.data[[#This Row],[Dens Input]]="",INDEX([1]DATA!$O$3:$O$9826,MATCH(1,(vp.data[[#This Row],[Battery]]=[1]DATA!$L$3:$L$9826)*(EOMONTH(vp.data[[#This Row],[SDate]],-1)+1=[1]DATA!$G$3:$G$9826),0)),vp.data[[#This Row],[Dens Input]]),"")</f>
        <v>818.7</v>
      </c>
      <c r="N997" s="2">
        <f ca="1">INDEX(INDIRECT(_xlfn.CONCAT("weather.tbl[",N$1,"]")),MATCH(vp.data[[#This Row],[SDate]],weather.tbl[Date],0))</f>
        <v>-17.566666666666666</v>
      </c>
      <c r="O997" s="2">
        <f ca="1">INDEX(INDIRECT(_xlfn.CONCAT("weather.tbl[",O$1,"]")),MATCH(vp.data[[#This Row],[SDate]],weather.tbl[Date],0))</f>
        <v>-17.119047619047617</v>
      </c>
      <c r="P997" s="2">
        <f ca="1">INDEX(INDIRECT(_xlfn.CONCAT("weather.tbl[",P$1,"]")),MATCH(vp.data[[#This Row],[SDate]],weather.tbl[Date],0))</f>
        <v>-17.399999999999999</v>
      </c>
      <c r="Q997" s="2">
        <f ca="1">INDEX(INDIRECT(_xlfn.CONCAT("weather.tbl[",Q$1,"]")),MATCH(vp.data[[#This Row],[SDate]],weather.tbl[Date],0))</f>
        <v>-16.7</v>
      </c>
      <c r="R997" s="2">
        <f ca="1">INDEX(INDIRECT(_xlfn.CONCAT("weather.tbl[",R$1,"]")),MATCH(vp.data[[#This Row],[SDate]],weather.tbl[Date],0))</f>
        <v>-17</v>
      </c>
      <c r="S997" s="2">
        <f ca="1">INDEX(INDIRECT(_xlfn.CONCAT("weather.tbl[",S$1,"]")),MATCH(vp.data[[#This Row],[SDate]],weather.tbl[Date],0))</f>
        <v>-16.5</v>
      </c>
      <c r="T997" s="2">
        <f ca="1">INDEX(INDIRECT(_xlfn.CONCAT("weather.tbl[",T$1,"]")),MATCH(vp.data[[#This Row],[SDate]],weather.tbl[Date],0))</f>
        <v>-20</v>
      </c>
      <c r="U997" s="2">
        <f ca="1">INDEX(INDIRECT(_xlfn.CONCAT("weather.tbl[",U$1,"]")),MATCH(vp.data[[#This Row],[SDate]],weather.tbl[Date],0))</f>
        <v>-17.8</v>
      </c>
      <c r="V997" s="2">
        <f t="array" ref="V9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20568.135999999999</v>
      </c>
      <c r="W997" t="s">
        <v>48</v>
      </c>
      <c r="X997">
        <f>IF(OR(vp.data[[#This Row],[Sulf]]="",vp.data[[#This Row],[Dens]]=""),1,0)</f>
        <v>0</v>
      </c>
      <c r="Y997">
        <f>IF(vp.data[[#This Row],[CrudeType]]="C5+",1,0)</f>
        <v>0</v>
      </c>
      <c r="Z997">
        <f>IF(AND(vp.data[[#This Row],[CrudeType]]="Crude",vp.data[[#This Row],[Dens]]&lt;=825,vp.data[[#This Row],[Sulf]]&gt;0.5,vp.data[[#This Row],[Unknown]]=0),1,0)</f>
        <v>1</v>
      </c>
      <c r="AA997">
        <f>IF(AND(vp.data[[#This Row],[CrudeType]]="Crude",vp.data[[#This Row],[Dens]]&lt;=825,vp.data[[#This Row],[Sulf]]&lt;=0.5,vp.data[[#This Row],[Unknown]]=0),1,0)</f>
        <v>0</v>
      </c>
      <c r="AB9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7">
        <f>IF(AND(vp.data[[#This Row],[CrudeType]]="Crude",vp.data[[#This Row],[Dens]]&gt;825,vp.data[[#This Row],[Dens]]&lt;=900,vp.data[[#This Row],[Sulf]]&lt;=0.5,vp.data[[#This Row],[Unknown]]=0),1,0)</f>
        <v>0</v>
      </c>
      <c r="AD997">
        <f>IF(AND(vp.data[[#This Row],[CrudeType]]="Crude",vp.data[[#This Row],[Dens]]&gt;865,vp.data[[#This Row],[Dens]]&lt;=900,vp.data[[#This Row],[Sulf]]&gt;2,vp.data[[#This Row],[Unknown]]=0),1,0)</f>
        <v>0</v>
      </c>
      <c r="AE997">
        <f>IF(AND(vp.data[[#This Row],[CrudeType]]="Crude",vp.data[[#This Row],[Dens]]&gt;900,vp.data[[#This Row],[Sulf]]&lt;=0.5,vp.data[[#This Row],[Unknown]]=0),1,0)</f>
        <v>0</v>
      </c>
      <c r="AF997">
        <f>IF(AND(vp.data[[#This Row],[CrudeType]]="Crude",vp.data[[#This Row],[Dens]]&gt;900,vp.data[[#This Row],[Sulf]]&lt;=0.5,vp.data[[#This Row],[Unknown]]=0),1,0)</f>
        <v>0</v>
      </c>
      <c r="AG997" t="str">
        <f>INDEX(vp.data[[#Headers],[Unknown]:[Heavy_SW]],MATCH(1,vp.data[[#This Row],[Unknown]:[Heavy_SW]],0))</f>
        <v>Light_LSB</v>
      </c>
      <c r="AH997">
        <f>INDEX([3]!crudeBD.lkup[Number],MATCH(vp.data[[#This Row],[Crude_Breakdown]],crudeBD.lkup[Crude Breakdown],0))</f>
        <v>1</v>
      </c>
      <c r="AI997">
        <f>MONTH(vp.data[[#This Row],[SDate]])</f>
        <v>3</v>
      </c>
      <c r="AJ997" s="5">
        <f>(vp.data[[#This Row],[VP]]-INDEX(crudeBD.lkup[Mean_VP],MATCH(vp.data[[#This Row],[Crude_Breakdown]],crudeBD.lkup[Crude Breakdown],0)))^2</f>
        <v>18.030091869486949</v>
      </c>
      <c r="AK997" s="5">
        <f>(vp.data[[#This Row],[Dens]]-INDEX(crudeBD.lkup[Mean_Dens],MATCH(vp.data[[#This Row],[Crude_Breakdown]],crudeBD.lkup[Crude Breakdown],0)))^2</f>
        <v>3.3573321052079677E-2</v>
      </c>
      <c r="AL997" s="5">
        <f>(vp.data[[#This Row],[Sulf]]-INDEX(crudeBD.lkup[Mean_Sulf],MATCH(vp.data[[#This Row],[Crude_Breakdown]],crudeBD.lkup[Crude Breakdown],0)))^2</f>
        <v>0.16319270488624463</v>
      </c>
      <c r="AM997" s="4">
        <f>IF(AND(vp.data[[#This Row],[SDate]]&gt;=DATE(YEAR(vp.data[[#This Row],[SDate]]),5,1),vp.data[[#This Row],[SDate]]&lt;=DATE(YEAR(vp.data[[#This Row],[SDate]]),9,15)),1,0)</f>
        <v>0</v>
      </c>
      <c r="AN997" s="4">
        <f>IF(vp.data[[#This Row],[SDate]]&lt;DATE(2016,12,1),0,1)</f>
        <v>1</v>
      </c>
      <c r="AO997" s="4">
        <f>IFERROR(vp.data[[#This Row],[Sulf]]*vp.data[[#This Row],[Net Dens]],"")</f>
        <v>8739509.9975208007</v>
      </c>
      <c r="AP997">
        <f>IFERROR(vp.data[[#This Row],[Dens]]*vp.data[[#This Row],[VolumeM3]],"")</f>
        <v>16839132.9432</v>
      </c>
      <c r="AQ997" s="15">
        <f>IFERROR(vp.data[[#This Row],[VP]]*vp.data[[#This Row],[VolumeM3]],"")</f>
        <v>1795598.2727999999</v>
      </c>
    </row>
    <row r="998" spans="1:43" x14ac:dyDescent="0.25">
      <c r="A998">
        <v>997</v>
      </c>
      <c r="B998" t="s">
        <v>49</v>
      </c>
      <c r="C998" t="s">
        <v>49</v>
      </c>
      <c r="D998" t="s">
        <v>92</v>
      </c>
      <c r="F998" s="1">
        <v>42807</v>
      </c>
      <c r="G998" s="2">
        <v>104.93</v>
      </c>
      <c r="H998" s="2">
        <v>0.57599999999999996</v>
      </c>
      <c r="I998" s="2">
        <f t="array" ref="I998">_xlfn.IFNA(IF(vp.data[[#This Row],[Sulf Input]]="",INDEX([1]DATA!$Q$3:$Q$9826,MATCH(1,(vp.data[[#This Row],[Battery]]=[1]DATA!$L$3:$L$9826)*(EOMONTH(vp.data[[#This Row],[SDate]],-1)+1=[1]DATA!$G$3:$G$9826),0)),vp.data[[#This Row],[Sulf Input]]),"")</f>
        <v>0.57599999999999996</v>
      </c>
      <c r="J998" s="2">
        <v>13.4</v>
      </c>
      <c r="K998" s="2">
        <v>-18</v>
      </c>
      <c r="L998" s="2">
        <v>819.8</v>
      </c>
      <c r="M998" s="2">
        <f t="array" ref="M998">_xlfn.IFNA(IF(vp.data[[#This Row],[Dens Input]]="",INDEX([1]DATA!$O$3:$O$9826,MATCH(1,(vp.data[[#This Row],[Battery]]=[1]DATA!$L$3:$L$9826)*(EOMONTH(vp.data[[#This Row],[SDate]],-1)+1=[1]DATA!$G$3:$G$9826),0)),vp.data[[#This Row],[Dens Input]]),"")</f>
        <v>819.8</v>
      </c>
      <c r="N998" s="2">
        <f ca="1">INDEX(INDIRECT(_xlfn.CONCAT("weather.tbl[",N$1,"]")),MATCH(vp.data[[#This Row],[SDate]],weather.tbl[Date],0))</f>
        <v>-17.566666666666666</v>
      </c>
      <c r="O998" s="2">
        <f ca="1">INDEX(INDIRECT(_xlfn.CONCAT("weather.tbl[",O$1,"]")),MATCH(vp.data[[#This Row],[SDate]],weather.tbl[Date],0))</f>
        <v>-17.119047619047617</v>
      </c>
      <c r="P998" s="2">
        <f ca="1">INDEX(INDIRECT(_xlfn.CONCAT("weather.tbl[",P$1,"]")),MATCH(vp.data[[#This Row],[SDate]],weather.tbl[Date],0))</f>
        <v>-17.399999999999999</v>
      </c>
      <c r="Q998" s="2">
        <f ca="1">INDEX(INDIRECT(_xlfn.CONCAT("weather.tbl[",Q$1,"]")),MATCH(vp.data[[#This Row],[SDate]],weather.tbl[Date],0))</f>
        <v>-16.7</v>
      </c>
      <c r="R998" s="2">
        <f ca="1">INDEX(INDIRECT(_xlfn.CONCAT("weather.tbl[",R$1,"]")),MATCH(vp.data[[#This Row],[SDate]],weather.tbl[Date],0))</f>
        <v>-17</v>
      </c>
      <c r="S998" s="2">
        <f ca="1">INDEX(INDIRECT(_xlfn.CONCAT("weather.tbl[",S$1,"]")),MATCH(vp.data[[#This Row],[SDate]],weather.tbl[Date],0))</f>
        <v>-16.5</v>
      </c>
      <c r="T998" s="2">
        <f ca="1">INDEX(INDIRECT(_xlfn.CONCAT("weather.tbl[",T$1,"]")),MATCH(vp.data[[#This Row],[SDate]],weather.tbl[Date],0))</f>
        <v>-20</v>
      </c>
      <c r="U998" s="2">
        <f ca="1">INDEX(INDIRECT(_xlfn.CONCAT("weather.tbl[",U$1,"]")),MATCH(vp.data[[#This Row],[SDate]],weather.tbl[Date],0))</f>
        <v>-17.8</v>
      </c>
      <c r="V998" s="2">
        <f t="array" ref="V9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998" t="s">
        <v>48</v>
      </c>
      <c r="X998">
        <f>IF(OR(vp.data[[#This Row],[Sulf]]="",vp.data[[#This Row],[Dens]]=""),1,0)</f>
        <v>0</v>
      </c>
      <c r="Y998">
        <f>IF(vp.data[[#This Row],[CrudeType]]="C5+",1,0)</f>
        <v>0</v>
      </c>
      <c r="Z998">
        <f>IF(AND(vp.data[[#This Row],[CrudeType]]="Crude",vp.data[[#This Row],[Dens]]&lt;=825,vp.data[[#This Row],[Sulf]]&gt;0.5,vp.data[[#This Row],[Unknown]]=0),1,0)</f>
        <v>1</v>
      </c>
      <c r="AA998">
        <f>IF(AND(vp.data[[#This Row],[CrudeType]]="Crude",vp.data[[#This Row],[Dens]]&lt;=825,vp.data[[#This Row],[Sulf]]&lt;=0.5,vp.data[[#This Row],[Unknown]]=0),1,0)</f>
        <v>0</v>
      </c>
      <c r="AB9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8">
        <f>IF(AND(vp.data[[#This Row],[CrudeType]]="Crude",vp.data[[#This Row],[Dens]]&gt;825,vp.data[[#This Row],[Dens]]&lt;=900,vp.data[[#This Row],[Sulf]]&lt;=0.5,vp.data[[#This Row],[Unknown]]=0),1,0)</f>
        <v>0</v>
      </c>
      <c r="AD998">
        <f>IF(AND(vp.data[[#This Row],[CrudeType]]="Crude",vp.data[[#This Row],[Dens]]&gt;865,vp.data[[#This Row],[Dens]]&lt;=900,vp.data[[#This Row],[Sulf]]&gt;2,vp.data[[#This Row],[Unknown]]=0),1,0)</f>
        <v>0</v>
      </c>
      <c r="AE998">
        <f>IF(AND(vp.data[[#This Row],[CrudeType]]="Crude",vp.data[[#This Row],[Dens]]&gt;900,vp.data[[#This Row],[Sulf]]&lt;=0.5,vp.data[[#This Row],[Unknown]]=0),1,0)</f>
        <v>0</v>
      </c>
      <c r="AF998">
        <f>IF(AND(vp.data[[#This Row],[CrudeType]]="Crude",vp.data[[#This Row],[Dens]]&gt;900,vp.data[[#This Row],[Sulf]]&lt;=0.5,vp.data[[#This Row],[Unknown]]=0),1,0)</f>
        <v>0</v>
      </c>
      <c r="AG998" t="str">
        <f>INDEX(vp.data[[#Headers],[Unknown]:[Heavy_SW]],MATCH(1,vp.data[[#This Row],[Unknown]:[Heavy_SW]],0))</f>
        <v>Light_LSB</v>
      </c>
      <c r="AH998">
        <f>INDEX([3]!crudeBD.lkup[Number],MATCH(vp.data[[#This Row],[Crude_Breakdown]],crudeBD.lkup[Crude Breakdown],0))</f>
        <v>1</v>
      </c>
      <c r="AI998">
        <f>MONTH(vp.data[[#This Row],[SDate]])</f>
        <v>3</v>
      </c>
      <c r="AJ998" s="5">
        <f>(vp.data[[#This Row],[VP]]-INDEX(crudeBD.lkup[Mean_VP],MATCH(vp.data[[#This Row],[Crude_Breakdown]],crudeBD.lkup[Crude Breakdown],0)))^2</f>
        <v>179.1264887767025</v>
      </c>
      <c r="AK998" s="5">
        <f>(vp.data[[#This Row],[Dens]]-INDEX(crudeBD.lkup[Mean_Dens],MATCH(vp.data[[#This Row],[Crude_Breakdown]],crudeBD.lkup[Crude Breakdown],0)))^2</f>
        <v>1.6466798502622593</v>
      </c>
      <c r="AL998" s="5">
        <f>(vp.data[[#This Row],[Sulf]]-INDEX(crudeBD.lkup[Mean_Sulf],MATCH(vp.data[[#This Row],[Crude_Breakdown]],crudeBD.lkup[Crude Breakdown],0)))^2</f>
        <v>0.12038899169036842</v>
      </c>
      <c r="AM998" s="4">
        <f>IF(AND(vp.data[[#This Row],[SDate]]&gt;=DATE(YEAR(vp.data[[#This Row],[SDate]]),5,1),vp.data[[#This Row],[SDate]]&lt;=DATE(YEAR(vp.data[[#This Row],[SDate]]),9,15)),1,0)</f>
        <v>0</v>
      </c>
      <c r="AN998" s="4">
        <f>IF(vp.data[[#This Row],[SDate]]&lt;DATE(2016,12,1),0,1)</f>
        <v>1</v>
      </c>
      <c r="AO998" s="4">
        <f>IFERROR(vp.data[[#This Row],[Sulf]]*vp.data[[#This Row],[Net Dens]],"")</f>
        <v>10183838.345740799</v>
      </c>
      <c r="AP998">
        <f>IFERROR(vp.data[[#This Row],[Dens]]*vp.data[[#This Row],[VolumeM3]],"")</f>
        <v>17680274.9058</v>
      </c>
      <c r="AQ998" s="15">
        <f>IFERROR(vp.data[[#This Row],[VP]]*vp.data[[#This Row],[VolumeM3]],"")</f>
        <v>2262980.2950300002</v>
      </c>
    </row>
    <row r="999" spans="1:43" x14ac:dyDescent="0.25">
      <c r="A999">
        <v>998</v>
      </c>
      <c r="B999" t="s">
        <v>49</v>
      </c>
      <c r="C999" t="s">
        <v>49</v>
      </c>
      <c r="D999" t="s">
        <v>100</v>
      </c>
      <c r="F999" s="1">
        <v>42807</v>
      </c>
      <c r="G999" s="2">
        <v>86.9</v>
      </c>
      <c r="H999" s="2">
        <v>0.59599999999999997</v>
      </c>
      <c r="I999" s="2">
        <f t="array" ref="I999">_xlfn.IFNA(IF(vp.data[[#This Row],[Sulf Input]]="",INDEX([1]DATA!$Q$3:$Q$9826,MATCH(1,(vp.data[[#This Row],[Battery]]=[1]DATA!$L$3:$L$9826)*(EOMONTH(vp.data[[#This Row],[SDate]],-1)+1=[1]DATA!$G$3:$G$9826),0)),vp.data[[#This Row],[Sulf Input]]),"")</f>
        <v>0.59599999999999997</v>
      </c>
      <c r="J999" s="2">
        <v>-2</v>
      </c>
      <c r="K999" s="2">
        <v>-18</v>
      </c>
      <c r="L999" s="2">
        <v>817</v>
      </c>
      <c r="M999" s="2">
        <f t="array" ref="M999">_xlfn.IFNA(IF(vp.data[[#This Row],[Dens Input]]="",INDEX([1]DATA!$O$3:$O$9826,MATCH(1,(vp.data[[#This Row],[Battery]]=[1]DATA!$L$3:$L$9826)*(EOMONTH(vp.data[[#This Row],[SDate]],-1)+1=[1]DATA!$G$3:$G$9826),0)),vp.data[[#This Row],[Dens Input]]),"")</f>
        <v>817</v>
      </c>
      <c r="N999" s="2">
        <f ca="1">INDEX(INDIRECT(_xlfn.CONCAT("weather.tbl[",N$1,"]")),MATCH(vp.data[[#This Row],[SDate]],weather.tbl[Date],0))</f>
        <v>-17.566666666666666</v>
      </c>
      <c r="O999" s="2">
        <f ca="1">INDEX(INDIRECT(_xlfn.CONCAT("weather.tbl[",O$1,"]")),MATCH(vp.data[[#This Row],[SDate]],weather.tbl[Date],0))</f>
        <v>-17.119047619047617</v>
      </c>
      <c r="P999" s="2">
        <f ca="1">INDEX(INDIRECT(_xlfn.CONCAT("weather.tbl[",P$1,"]")),MATCH(vp.data[[#This Row],[SDate]],weather.tbl[Date],0))</f>
        <v>-17.399999999999999</v>
      </c>
      <c r="Q999" s="2">
        <f ca="1">INDEX(INDIRECT(_xlfn.CONCAT("weather.tbl[",Q$1,"]")),MATCH(vp.data[[#This Row],[SDate]],weather.tbl[Date],0))</f>
        <v>-16.7</v>
      </c>
      <c r="R999" s="2">
        <f ca="1">INDEX(INDIRECT(_xlfn.CONCAT("weather.tbl[",R$1,"]")),MATCH(vp.data[[#This Row],[SDate]],weather.tbl[Date],0))</f>
        <v>-17</v>
      </c>
      <c r="S999" s="2">
        <f ca="1">INDEX(INDIRECT(_xlfn.CONCAT("weather.tbl[",S$1,"]")),MATCH(vp.data[[#This Row],[SDate]],weather.tbl[Date],0))</f>
        <v>-16.5</v>
      </c>
      <c r="T999" s="2">
        <f ca="1">INDEX(INDIRECT(_xlfn.CONCAT("weather.tbl[",T$1,"]")),MATCH(vp.data[[#This Row],[SDate]],weather.tbl[Date],0))</f>
        <v>-20</v>
      </c>
      <c r="U999" s="2">
        <f ca="1">INDEX(INDIRECT(_xlfn.CONCAT("weather.tbl[",U$1,"]")),MATCH(vp.data[[#This Row],[SDate]],weather.tbl[Date],0))</f>
        <v>-17.8</v>
      </c>
      <c r="V999" s="2">
        <f t="array" ref="V9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10867.904</v>
      </c>
      <c r="W999" t="s">
        <v>48</v>
      </c>
      <c r="X999">
        <f>IF(OR(vp.data[[#This Row],[Sulf]]="",vp.data[[#This Row],[Dens]]=""),1,0)</f>
        <v>0</v>
      </c>
      <c r="Y999">
        <f>IF(vp.data[[#This Row],[CrudeType]]="C5+",1,0)</f>
        <v>0</v>
      </c>
      <c r="Z999">
        <f>IF(AND(vp.data[[#This Row],[CrudeType]]="Crude",vp.data[[#This Row],[Dens]]&lt;=825,vp.data[[#This Row],[Sulf]]&gt;0.5,vp.data[[#This Row],[Unknown]]=0),1,0)</f>
        <v>1</v>
      </c>
      <c r="AA999">
        <f>IF(AND(vp.data[[#This Row],[CrudeType]]="Crude",vp.data[[#This Row],[Dens]]&lt;=825,vp.data[[#This Row],[Sulf]]&lt;=0.5,vp.data[[#This Row],[Unknown]]=0),1,0)</f>
        <v>0</v>
      </c>
      <c r="AB9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999">
        <f>IF(AND(vp.data[[#This Row],[CrudeType]]="Crude",vp.data[[#This Row],[Dens]]&gt;825,vp.data[[#This Row],[Dens]]&lt;=900,vp.data[[#This Row],[Sulf]]&lt;=0.5,vp.data[[#This Row],[Unknown]]=0),1,0)</f>
        <v>0</v>
      </c>
      <c r="AD999">
        <f>IF(AND(vp.data[[#This Row],[CrudeType]]="Crude",vp.data[[#This Row],[Dens]]&gt;865,vp.data[[#This Row],[Dens]]&lt;=900,vp.data[[#This Row],[Sulf]]&gt;2,vp.data[[#This Row],[Unknown]]=0),1,0)</f>
        <v>0</v>
      </c>
      <c r="AE999">
        <f>IF(AND(vp.data[[#This Row],[CrudeType]]="Crude",vp.data[[#This Row],[Dens]]&gt;900,vp.data[[#This Row],[Sulf]]&lt;=0.5,vp.data[[#This Row],[Unknown]]=0),1,0)</f>
        <v>0</v>
      </c>
      <c r="AF999">
        <f>IF(AND(vp.data[[#This Row],[CrudeType]]="Crude",vp.data[[#This Row],[Dens]]&gt;900,vp.data[[#This Row],[Sulf]]&lt;=0.5,vp.data[[#This Row],[Unknown]]=0),1,0)</f>
        <v>0</v>
      </c>
      <c r="AG999" t="str">
        <f>INDEX(vp.data[[#Headers],[Unknown]:[Heavy_SW]],MATCH(1,vp.data[[#This Row],[Unknown]:[Heavy_SW]],0))</f>
        <v>Light_LSB</v>
      </c>
      <c r="AH999">
        <f>INDEX([3]!crudeBD.lkup[Number],MATCH(vp.data[[#This Row],[Crude_Breakdown]],crudeBD.lkup[Crude Breakdown],0))</f>
        <v>1</v>
      </c>
      <c r="AI999">
        <f>MONTH(vp.data[[#This Row],[SDate]])</f>
        <v>3</v>
      </c>
      <c r="AJ999" s="5">
        <f>(vp.data[[#This Row],[VP]]-INDEX(crudeBD.lkup[Mean_VP],MATCH(vp.data[[#This Row],[Crude_Breakdown]],crudeBD.lkup[Crude Breakdown],0)))^2</f>
        <v>21.587040323095145</v>
      </c>
      <c r="AK999" s="5">
        <f>(vp.data[[#This Row],[Dens]]-INDEX(crudeBD.lkup[Mean_Dens],MATCH(vp.data[[#This Row],[Crude_Breakdown]],crudeBD.lkup[Crude Breakdown],0)))^2</f>
        <v>2.3005905031815792</v>
      </c>
      <c r="AL999" s="5">
        <f>(vp.data[[#This Row],[Sulf]]-INDEX(crudeBD.lkup[Mean_Sulf],MATCH(vp.data[[#This Row],[Crude_Breakdown]],crudeBD.lkup[Crude Breakdown],0)))^2</f>
        <v>0.10691014495497322</v>
      </c>
      <c r="AM999" s="4">
        <f>IF(AND(vp.data[[#This Row],[SDate]]&gt;=DATE(YEAR(vp.data[[#This Row],[SDate]]),5,1),vp.data[[#This Row],[SDate]]&lt;=DATE(YEAR(vp.data[[#This Row],[SDate]]),9,15)),1,0)</f>
        <v>0</v>
      </c>
      <c r="AN999" s="4">
        <f>IF(vp.data[[#This Row],[SDate]]&lt;DATE(2016,12,1),0,1)</f>
        <v>1</v>
      </c>
      <c r="AO999" s="4">
        <f>IFERROR(vp.data[[#This Row],[Sulf]]*vp.data[[#This Row],[Net Dens]],"")</f>
        <v>5291930.2305279998</v>
      </c>
      <c r="AP999">
        <f>IFERROR(vp.data[[#This Row],[Dens]]*vp.data[[#This Row],[VolumeM3]],"")</f>
        <v>8879077.568</v>
      </c>
      <c r="AQ999" s="15">
        <f>IFERROR(vp.data[[#This Row],[VP]]*vp.data[[#This Row],[VolumeM3]],"")</f>
        <v>944420.8576000001</v>
      </c>
    </row>
    <row r="1000" spans="1:43" x14ac:dyDescent="0.25">
      <c r="A1000">
        <v>999</v>
      </c>
      <c r="B1000" t="s">
        <v>49</v>
      </c>
      <c r="C1000" t="s">
        <v>49</v>
      </c>
      <c r="D1000" t="s">
        <v>89</v>
      </c>
      <c r="F1000" s="1">
        <v>42807</v>
      </c>
      <c r="G1000" s="2">
        <v>96.6</v>
      </c>
      <c r="H1000" s="2">
        <v>0.62849999999999995</v>
      </c>
      <c r="I1000" s="2">
        <f t="array" ref="I1000">_xlfn.IFNA(IF(vp.data[[#This Row],[Sulf Input]]="",INDEX([1]DATA!$Q$3:$Q$9826,MATCH(1,(vp.data[[#This Row],[Battery]]=[1]DATA!$L$3:$L$9826)*(EOMONTH(vp.data[[#This Row],[SDate]],-1)+1=[1]DATA!$G$3:$G$9826),0)),vp.data[[#This Row],[Sulf Input]]),"")</f>
        <v>0.62849999999999995</v>
      </c>
      <c r="J1000" s="2">
        <v>0.7</v>
      </c>
      <c r="K1000" s="2">
        <v>-18</v>
      </c>
      <c r="L1000" s="2">
        <v>815</v>
      </c>
      <c r="M1000" s="2">
        <f t="array" ref="M1000">_xlfn.IFNA(IF(vp.data[[#This Row],[Dens Input]]="",INDEX([1]DATA!$O$3:$O$9826,MATCH(1,(vp.data[[#This Row],[Battery]]=[1]DATA!$L$3:$L$9826)*(EOMONTH(vp.data[[#This Row],[SDate]],-1)+1=[1]DATA!$G$3:$G$9826),0)),vp.data[[#This Row],[Dens Input]]),"")</f>
        <v>815</v>
      </c>
      <c r="N1000" s="2">
        <f ca="1">INDEX(INDIRECT(_xlfn.CONCAT("weather.tbl[",N$1,"]")),MATCH(vp.data[[#This Row],[SDate]],weather.tbl[Date],0))</f>
        <v>-17.566666666666666</v>
      </c>
      <c r="O1000" s="2">
        <f ca="1">INDEX(INDIRECT(_xlfn.CONCAT("weather.tbl[",O$1,"]")),MATCH(vp.data[[#This Row],[SDate]],weather.tbl[Date],0))</f>
        <v>-17.119047619047617</v>
      </c>
      <c r="P1000" s="2">
        <f ca="1">INDEX(INDIRECT(_xlfn.CONCAT("weather.tbl[",P$1,"]")),MATCH(vp.data[[#This Row],[SDate]],weather.tbl[Date],0))</f>
        <v>-17.399999999999999</v>
      </c>
      <c r="Q1000" s="2">
        <f ca="1">INDEX(INDIRECT(_xlfn.CONCAT("weather.tbl[",Q$1,"]")),MATCH(vp.data[[#This Row],[SDate]],weather.tbl[Date],0))</f>
        <v>-16.7</v>
      </c>
      <c r="R1000" s="2">
        <f ca="1">INDEX(INDIRECT(_xlfn.CONCAT("weather.tbl[",R$1,"]")),MATCH(vp.data[[#This Row],[SDate]],weather.tbl[Date],0))</f>
        <v>-17</v>
      </c>
      <c r="S1000" s="2">
        <f ca="1">INDEX(INDIRECT(_xlfn.CONCAT("weather.tbl[",S$1,"]")),MATCH(vp.data[[#This Row],[SDate]],weather.tbl[Date],0))</f>
        <v>-16.5</v>
      </c>
      <c r="T1000" s="2">
        <f ca="1">INDEX(INDIRECT(_xlfn.CONCAT("weather.tbl[",T$1,"]")),MATCH(vp.data[[#This Row],[SDate]],weather.tbl[Date],0))</f>
        <v>-20</v>
      </c>
      <c r="U1000" s="2">
        <f ca="1">INDEX(INDIRECT(_xlfn.CONCAT("weather.tbl[",U$1,"]")),MATCH(vp.data[[#This Row],[SDate]],weather.tbl[Date],0))</f>
        <v>-17.8</v>
      </c>
      <c r="V1000" s="2">
        <f t="array" ref="V10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6514.0349999999999</v>
      </c>
      <c r="W1000" t="s">
        <v>48</v>
      </c>
      <c r="X1000">
        <f>IF(OR(vp.data[[#This Row],[Sulf]]="",vp.data[[#This Row],[Dens]]=""),1,0)</f>
        <v>0</v>
      </c>
      <c r="Y1000">
        <f>IF(vp.data[[#This Row],[CrudeType]]="C5+",1,0)</f>
        <v>0</v>
      </c>
      <c r="Z1000">
        <f>IF(AND(vp.data[[#This Row],[CrudeType]]="Crude",vp.data[[#This Row],[Dens]]&lt;=825,vp.data[[#This Row],[Sulf]]&gt;0.5,vp.data[[#This Row],[Unknown]]=0),1,0)</f>
        <v>1</v>
      </c>
      <c r="AA1000">
        <f>IF(AND(vp.data[[#This Row],[CrudeType]]="Crude",vp.data[[#This Row],[Dens]]&lt;=825,vp.data[[#This Row],[Sulf]]&lt;=0.5,vp.data[[#This Row],[Unknown]]=0),1,0)</f>
        <v>0</v>
      </c>
      <c r="AB10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00">
        <f>IF(AND(vp.data[[#This Row],[CrudeType]]="Crude",vp.data[[#This Row],[Dens]]&gt;825,vp.data[[#This Row],[Dens]]&lt;=900,vp.data[[#This Row],[Sulf]]&lt;=0.5,vp.data[[#This Row],[Unknown]]=0),1,0)</f>
        <v>0</v>
      </c>
      <c r="AD1000">
        <f>IF(AND(vp.data[[#This Row],[CrudeType]]="Crude",vp.data[[#This Row],[Dens]]&gt;865,vp.data[[#This Row],[Dens]]&lt;=900,vp.data[[#This Row],[Sulf]]&gt;2,vp.data[[#This Row],[Unknown]]=0),1,0)</f>
        <v>0</v>
      </c>
      <c r="AE1000">
        <f>IF(AND(vp.data[[#This Row],[CrudeType]]="Crude",vp.data[[#This Row],[Dens]]&gt;900,vp.data[[#This Row],[Sulf]]&lt;=0.5,vp.data[[#This Row],[Unknown]]=0),1,0)</f>
        <v>0</v>
      </c>
      <c r="AF1000">
        <f>IF(AND(vp.data[[#This Row],[CrudeType]]="Crude",vp.data[[#This Row],[Dens]]&gt;900,vp.data[[#This Row],[Sulf]]&lt;=0.5,vp.data[[#This Row],[Unknown]]=0),1,0)</f>
        <v>0</v>
      </c>
      <c r="AG1000" t="str">
        <f>INDEX(vp.data[[#Headers],[Unknown]:[Heavy_SW]],MATCH(1,vp.data[[#This Row],[Unknown]:[Heavy_SW]],0))</f>
        <v>Light_LSB</v>
      </c>
      <c r="AH1000">
        <f>INDEX([3]!crudeBD.lkup[Number],MATCH(vp.data[[#This Row],[Crude_Breakdown]],crudeBD.lkup[Crude Breakdown],0))</f>
        <v>1</v>
      </c>
      <c r="AI1000">
        <f>MONTH(vp.data[[#This Row],[SDate]])</f>
        <v>3</v>
      </c>
      <c r="AJ1000" s="5">
        <f>(vp.data[[#This Row],[VP]]-INDEX(crudeBD.lkup[Mean_VP],MATCH(vp.data[[#This Row],[Crude_Breakdown]],crudeBD.lkup[Crude Breakdown],0)))^2</f>
        <v>25.541040323094538</v>
      </c>
      <c r="AK1000" s="5">
        <f>(vp.data[[#This Row],[Dens]]-INDEX(crudeBD.lkup[Mean_Dens],MATCH(vp.data[[#This Row],[Crude_Breakdown]],crudeBD.lkup[Crude Breakdown],0)))^2</f>
        <v>12.36766954098101</v>
      </c>
      <c r="AL1000" s="5">
        <f>(vp.data[[#This Row],[Sulf]]-INDEX(crudeBD.lkup[Mean_Sulf],MATCH(vp.data[[#This Row],[Crude_Breakdown]],crudeBD.lkup[Crude Breakdown],0)))^2</f>
        <v>8.6713269009956073E-2</v>
      </c>
      <c r="AM1000" s="4">
        <f>IF(AND(vp.data[[#This Row],[SDate]]&gt;=DATE(YEAR(vp.data[[#This Row],[SDate]]),5,1),vp.data[[#This Row],[SDate]]&lt;=DATE(YEAR(vp.data[[#This Row],[SDate]]),9,15)),1,0)</f>
        <v>0</v>
      </c>
      <c r="AN1000" s="4">
        <f>IF(vp.data[[#This Row],[SDate]]&lt;DATE(2016,12,1),0,1)</f>
        <v>1</v>
      </c>
      <c r="AO1000" s="4">
        <f>IFERROR(vp.data[[#This Row],[Sulf]]*vp.data[[#This Row],[Net Dens]],"")</f>
        <v>3336667.8629624993</v>
      </c>
      <c r="AP1000">
        <f>IFERROR(vp.data[[#This Row],[Dens]]*vp.data[[#This Row],[VolumeM3]],"")</f>
        <v>5308938.5249999994</v>
      </c>
      <c r="AQ1000" s="15">
        <f>IFERROR(vp.data[[#This Row],[VP]]*vp.data[[#This Row],[VolumeM3]],"")</f>
        <v>629255.78099999996</v>
      </c>
    </row>
    <row r="1001" spans="1:43" x14ac:dyDescent="0.25">
      <c r="A1001">
        <v>1000</v>
      </c>
      <c r="B1001" t="s">
        <v>62</v>
      </c>
      <c r="C1001" t="s">
        <v>62</v>
      </c>
      <c r="D1001" t="s">
        <v>79</v>
      </c>
      <c r="F1001" s="1">
        <v>42807</v>
      </c>
      <c r="G1001" s="2">
        <v>96.8</v>
      </c>
      <c r="H1001" s="2"/>
      <c r="I1001" s="2">
        <f t="array" ref="I1001">_xlfn.IFNA(IF(vp.data[[#This Row],[Sulf Input]]="",INDEX([1]DATA!$Q$3:$Q$9826,MATCH(1,(vp.data[[#This Row],[Battery]]=[1]DATA!$L$3:$L$9826)*(EOMONTH(vp.data[[#This Row],[SDate]],-1)+1=[1]DATA!$G$3:$G$9826),0)),vp.data[[#This Row],[Sulf Input]]),"")</f>
        <v>0.3</v>
      </c>
      <c r="J1001" s="2">
        <v>22.7</v>
      </c>
      <c r="K1001" s="2">
        <v>-18</v>
      </c>
      <c r="L1001" s="2">
        <v>804.5</v>
      </c>
      <c r="M1001" s="2">
        <f t="array" ref="M1001">_xlfn.IFNA(IF(vp.data[[#This Row],[Dens Input]]="",INDEX([1]DATA!$O$3:$O$9826,MATCH(1,(vp.data[[#This Row],[Battery]]=[1]DATA!$L$3:$L$9826)*(EOMONTH(vp.data[[#This Row],[SDate]],-1)+1=[1]DATA!$G$3:$G$9826),0)),vp.data[[#This Row],[Dens Input]]),"")</f>
        <v>804.5</v>
      </c>
      <c r="N1001" s="2">
        <f ca="1">INDEX(INDIRECT(_xlfn.CONCAT("weather.tbl[",N$1,"]")),MATCH(vp.data[[#This Row],[SDate]],weather.tbl[Date],0))</f>
        <v>-17.566666666666666</v>
      </c>
      <c r="O1001" s="2">
        <f ca="1">INDEX(INDIRECT(_xlfn.CONCAT("weather.tbl[",O$1,"]")),MATCH(vp.data[[#This Row],[SDate]],weather.tbl[Date],0))</f>
        <v>-17.119047619047617</v>
      </c>
      <c r="P1001" s="2">
        <f ca="1">INDEX(INDIRECT(_xlfn.CONCAT("weather.tbl[",P$1,"]")),MATCH(vp.data[[#This Row],[SDate]],weather.tbl[Date],0))</f>
        <v>-17.399999999999999</v>
      </c>
      <c r="Q1001" s="2">
        <f ca="1">INDEX(INDIRECT(_xlfn.CONCAT("weather.tbl[",Q$1,"]")),MATCH(vp.data[[#This Row],[SDate]],weather.tbl[Date],0))</f>
        <v>-16.7</v>
      </c>
      <c r="R1001" s="2">
        <f ca="1">INDEX(INDIRECT(_xlfn.CONCAT("weather.tbl[",R$1,"]")),MATCH(vp.data[[#This Row],[SDate]],weather.tbl[Date],0))</f>
        <v>-17</v>
      </c>
      <c r="S1001" s="2">
        <f ca="1">INDEX(INDIRECT(_xlfn.CONCAT("weather.tbl[",S$1,"]")),MATCH(vp.data[[#This Row],[SDate]],weather.tbl[Date],0))</f>
        <v>-16.5</v>
      </c>
      <c r="T1001" s="2">
        <f ca="1">INDEX(INDIRECT(_xlfn.CONCAT("weather.tbl[",T$1,"]")),MATCH(vp.data[[#This Row],[SDate]],weather.tbl[Date],0))</f>
        <v>-20</v>
      </c>
      <c r="U1001" s="2">
        <f ca="1">INDEX(INDIRECT(_xlfn.CONCAT("weather.tbl[",U$1,"]")),MATCH(vp.data[[#This Row],[SDate]],weather.tbl[Date],0))</f>
        <v>-17.8</v>
      </c>
      <c r="V1001" s="2">
        <f t="array" ref="V10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15962.98</v>
      </c>
      <c r="W1001" t="s">
        <v>48</v>
      </c>
      <c r="X1001">
        <f>IF(OR(vp.data[[#This Row],[Sulf]]="",vp.data[[#This Row],[Dens]]=""),1,0)</f>
        <v>0</v>
      </c>
      <c r="Y1001">
        <f>IF(vp.data[[#This Row],[CrudeType]]="C5+",1,0)</f>
        <v>0</v>
      </c>
      <c r="Z1001">
        <f>IF(AND(vp.data[[#This Row],[CrudeType]]="Crude",vp.data[[#This Row],[Dens]]&lt;=825,vp.data[[#This Row],[Sulf]]&gt;0.5,vp.data[[#This Row],[Unknown]]=0),1,0)</f>
        <v>0</v>
      </c>
      <c r="AA1001">
        <f>IF(AND(vp.data[[#This Row],[CrudeType]]="Crude",vp.data[[#This Row],[Dens]]&lt;=825,vp.data[[#This Row],[Sulf]]&lt;=0.5,vp.data[[#This Row],[Unknown]]=0),1,0)</f>
        <v>1</v>
      </c>
      <c r="AB10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01">
        <f>IF(AND(vp.data[[#This Row],[CrudeType]]="Crude",vp.data[[#This Row],[Dens]]&gt;825,vp.data[[#This Row],[Dens]]&lt;=900,vp.data[[#This Row],[Sulf]]&lt;=0.5,vp.data[[#This Row],[Unknown]]=0),1,0)</f>
        <v>0</v>
      </c>
      <c r="AD1001">
        <f>IF(AND(vp.data[[#This Row],[CrudeType]]="Crude",vp.data[[#This Row],[Dens]]&gt;865,vp.data[[#This Row],[Dens]]&lt;=900,vp.data[[#This Row],[Sulf]]&gt;2,vp.data[[#This Row],[Unknown]]=0),1,0)</f>
        <v>0</v>
      </c>
      <c r="AE1001">
        <f>IF(AND(vp.data[[#This Row],[CrudeType]]="Crude",vp.data[[#This Row],[Dens]]&gt;900,vp.data[[#This Row],[Sulf]]&lt;=0.5,vp.data[[#This Row],[Unknown]]=0),1,0)</f>
        <v>0</v>
      </c>
      <c r="AF1001">
        <f>IF(AND(vp.data[[#This Row],[CrudeType]]="Crude",vp.data[[#This Row],[Dens]]&gt;900,vp.data[[#This Row],[Sulf]]&lt;=0.5,vp.data[[#This Row],[Unknown]]=0),1,0)</f>
        <v>0</v>
      </c>
      <c r="AG1001" t="str">
        <f>INDEX(vp.data[[#Headers],[Unknown]:[Heavy_SW]],MATCH(1,vp.data[[#This Row],[Unknown]:[Heavy_SW]],0))</f>
        <v>Light_SW</v>
      </c>
      <c r="AH1001">
        <f>INDEX([3]!crudeBD.lkup[Number],MATCH(vp.data[[#This Row],[Crude_Breakdown]],crudeBD.lkup[Crude Breakdown],0))</f>
        <v>2</v>
      </c>
      <c r="AI1001">
        <f>MONTH(vp.data[[#This Row],[SDate]])</f>
        <v>3</v>
      </c>
      <c r="AJ1001" s="5">
        <f>(vp.data[[#This Row],[VP]]-INDEX(crudeBD.lkup[Mean_VP],MATCH(vp.data[[#This Row],[Crude_Breakdown]],crudeBD.lkup[Crude Breakdown],0)))^2</f>
        <v>18.059834593111713</v>
      </c>
      <c r="AK1001" s="5">
        <f>(vp.data[[#This Row],[Dens]]-INDEX(crudeBD.lkup[Mean_Dens],MATCH(vp.data[[#This Row],[Crude_Breakdown]],crudeBD.lkup[Crude Breakdown],0)))^2</f>
        <v>14.527518969513565</v>
      </c>
      <c r="AL1001" s="5">
        <f>(vp.data[[#This Row],[Sulf]]-INDEX(crudeBD.lkup[Mean_Sulf],MATCH(vp.data[[#This Row],[Crude_Breakdown]],crudeBD.lkup[Crude Breakdown],0)))^2</f>
        <v>4.0651065565929113E-3</v>
      </c>
      <c r="AM1001" s="4">
        <f>IF(AND(vp.data[[#This Row],[SDate]]&gt;=DATE(YEAR(vp.data[[#This Row],[SDate]]),5,1),vp.data[[#This Row],[SDate]]&lt;=DATE(YEAR(vp.data[[#This Row],[SDate]]),9,15)),1,0)</f>
        <v>0</v>
      </c>
      <c r="AN1001" s="4">
        <f>IF(vp.data[[#This Row],[SDate]]&lt;DATE(2016,12,1),0,1)</f>
        <v>1</v>
      </c>
      <c r="AO1001" s="4">
        <f>IFERROR(vp.data[[#This Row],[Sulf]]*vp.data[[#This Row],[Net Dens]],"")</f>
        <v>3852665.2229999998</v>
      </c>
      <c r="AP1001">
        <f>IFERROR(vp.data[[#This Row],[Dens]]*vp.data[[#This Row],[VolumeM3]],"")</f>
        <v>12842217.41</v>
      </c>
      <c r="AQ1001" s="15">
        <f>IFERROR(vp.data[[#This Row],[VP]]*vp.data[[#This Row],[VolumeM3]],"")</f>
        <v>1545216.4639999999</v>
      </c>
    </row>
    <row r="1002" spans="1:43" x14ac:dyDescent="0.25">
      <c r="A1002">
        <v>1001</v>
      </c>
      <c r="B1002" t="s">
        <v>62</v>
      </c>
      <c r="C1002" t="s">
        <v>62</v>
      </c>
      <c r="D1002" t="s">
        <v>83</v>
      </c>
      <c r="F1002" s="1">
        <v>42807</v>
      </c>
      <c r="G1002" s="2">
        <v>92.6</v>
      </c>
      <c r="H1002" s="2"/>
      <c r="I1002" s="2">
        <f t="array" ref="I1002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002" s="2">
        <v>-2.5</v>
      </c>
      <c r="K1002" s="2">
        <v>-18</v>
      </c>
      <c r="L1002" s="2">
        <v>807</v>
      </c>
      <c r="M1002" s="2">
        <f t="array" ref="M1002">_xlfn.IFNA(IF(vp.data[[#This Row],[Dens Input]]="",INDEX([1]DATA!$O$3:$O$9826,MATCH(1,(vp.data[[#This Row],[Battery]]=[1]DATA!$L$3:$L$9826)*(EOMONTH(vp.data[[#This Row],[SDate]],-1)+1=[1]DATA!$G$3:$G$9826),0)),vp.data[[#This Row],[Dens Input]]),"")</f>
        <v>807</v>
      </c>
      <c r="N1002" s="2">
        <f ca="1">INDEX(INDIRECT(_xlfn.CONCAT("weather.tbl[",N$1,"]")),MATCH(vp.data[[#This Row],[SDate]],weather.tbl[Date],0))</f>
        <v>-17.566666666666666</v>
      </c>
      <c r="O1002" s="2">
        <f ca="1">INDEX(INDIRECT(_xlfn.CONCAT("weather.tbl[",O$1,"]")),MATCH(vp.data[[#This Row],[SDate]],weather.tbl[Date],0))</f>
        <v>-17.119047619047617</v>
      </c>
      <c r="P1002" s="2">
        <f ca="1">INDEX(INDIRECT(_xlfn.CONCAT("weather.tbl[",P$1,"]")),MATCH(vp.data[[#This Row],[SDate]],weather.tbl[Date],0))</f>
        <v>-17.399999999999999</v>
      </c>
      <c r="Q1002" s="2">
        <f ca="1">INDEX(INDIRECT(_xlfn.CONCAT("weather.tbl[",Q$1,"]")),MATCH(vp.data[[#This Row],[SDate]],weather.tbl[Date],0))</f>
        <v>-16.7</v>
      </c>
      <c r="R1002" s="2">
        <f ca="1">INDEX(INDIRECT(_xlfn.CONCAT("weather.tbl[",R$1,"]")),MATCH(vp.data[[#This Row],[SDate]],weather.tbl[Date],0))</f>
        <v>-17</v>
      </c>
      <c r="S1002" s="2">
        <f ca="1">INDEX(INDIRECT(_xlfn.CONCAT("weather.tbl[",S$1,"]")),MATCH(vp.data[[#This Row],[SDate]],weather.tbl[Date],0))</f>
        <v>-16.5</v>
      </c>
      <c r="T1002" s="2">
        <f ca="1">INDEX(INDIRECT(_xlfn.CONCAT("weather.tbl[",T$1,"]")),MATCH(vp.data[[#This Row],[SDate]],weather.tbl[Date],0))</f>
        <v>-20</v>
      </c>
      <c r="U1002" s="2">
        <f ca="1">INDEX(INDIRECT(_xlfn.CONCAT("weather.tbl[",U$1,"]")),MATCH(vp.data[[#This Row],[SDate]],weather.tbl[Date],0))</f>
        <v>-17.8</v>
      </c>
      <c r="V1002" s="2">
        <f t="array" ref="V10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6312.9459999999999</v>
      </c>
      <c r="W1002" t="s">
        <v>48</v>
      </c>
      <c r="X1002">
        <f>IF(OR(vp.data[[#This Row],[Sulf]]="",vp.data[[#This Row],[Dens]]=""),1,0)</f>
        <v>0</v>
      </c>
      <c r="Y1002">
        <f>IF(vp.data[[#This Row],[CrudeType]]="C5+",1,0)</f>
        <v>0</v>
      </c>
      <c r="Z1002">
        <f>IF(AND(vp.data[[#This Row],[CrudeType]]="Crude",vp.data[[#This Row],[Dens]]&lt;=825,vp.data[[#This Row],[Sulf]]&gt;0.5,vp.data[[#This Row],[Unknown]]=0),1,0)</f>
        <v>0</v>
      </c>
      <c r="AA1002">
        <f>IF(AND(vp.data[[#This Row],[CrudeType]]="Crude",vp.data[[#This Row],[Dens]]&lt;=825,vp.data[[#This Row],[Sulf]]&lt;=0.5,vp.data[[#This Row],[Unknown]]=0),1,0)</f>
        <v>1</v>
      </c>
      <c r="AB10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02">
        <f>IF(AND(vp.data[[#This Row],[CrudeType]]="Crude",vp.data[[#This Row],[Dens]]&gt;825,vp.data[[#This Row],[Dens]]&lt;=900,vp.data[[#This Row],[Sulf]]&lt;=0.5,vp.data[[#This Row],[Unknown]]=0),1,0)</f>
        <v>0</v>
      </c>
      <c r="AD1002">
        <f>IF(AND(vp.data[[#This Row],[CrudeType]]="Crude",vp.data[[#This Row],[Dens]]&gt;865,vp.data[[#This Row],[Dens]]&lt;=900,vp.data[[#This Row],[Sulf]]&gt;2,vp.data[[#This Row],[Unknown]]=0),1,0)</f>
        <v>0</v>
      </c>
      <c r="AE1002">
        <f>IF(AND(vp.data[[#This Row],[CrudeType]]="Crude",vp.data[[#This Row],[Dens]]&gt;900,vp.data[[#This Row],[Sulf]]&lt;=0.5,vp.data[[#This Row],[Unknown]]=0),1,0)</f>
        <v>0</v>
      </c>
      <c r="AF1002">
        <f>IF(AND(vp.data[[#This Row],[CrudeType]]="Crude",vp.data[[#This Row],[Dens]]&gt;900,vp.data[[#This Row],[Sulf]]&lt;=0.5,vp.data[[#This Row],[Unknown]]=0),1,0)</f>
        <v>0</v>
      </c>
      <c r="AG1002" t="str">
        <f>INDEX(vp.data[[#Headers],[Unknown]:[Heavy_SW]],MATCH(1,vp.data[[#This Row],[Unknown]:[Heavy_SW]],0))</f>
        <v>Light_SW</v>
      </c>
      <c r="AH1002">
        <f>INDEX([3]!crudeBD.lkup[Number],MATCH(vp.data[[#This Row],[Crude_Breakdown]],crudeBD.lkup[Crude Breakdown],0))</f>
        <v>2</v>
      </c>
      <c r="AI1002">
        <f>MONTH(vp.data[[#This Row],[SDate]])</f>
        <v>3</v>
      </c>
      <c r="AJ1002" s="5">
        <f>(vp.data[[#This Row],[VP]]-INDEX(crudeBD.lkup[Mean_VP],MATCH(vp.data[[#This Row],[Crude_Breakdown]],crudeBD.lkup[Crude Breakdown],0)))^2</f>
        <v>2.4687394529519006E-3</v>
      </c>
      <c r="AK1002" s="5">
        <f>(vp.data[[#This Row],[Dens]]-INDEX(crudeBD.lkup[Mean_Dens],MATCH(vp.data[[#This Row],[Crude_Breakdown]],crudeBD.lkup[Crude Breakdown],0)))^2</f>
        <v>1.7200276803160512</v>
      </c>
      <c r="AL1002" s="5">
        <f>(vp.data[[#This Row],[Sulf]]-INDEX(crudeBD.lkup[Mean_Sulf],MATCH(vp.data[[#This Row],[Crude_Breakdown]],crudeBD.lkup[Crude Breakdown],0)))^2</f>
        <v>2.1383051628646554E-3</v>
      </c>
      <c r="AM1002" s="4">
        <f>IF(AND(vp.data[[#This Row],[SDate]]&gt;=DATE(YEAR(vp.data[[#This Row],[SDate]]),5,1),vp.data[[#This Row],[SDate]]&lt;=DATE(YEAR(vp.data[[#This Row],[SDate]]),9,15)),1,0)</f>
        <v>0</v>
      </c>
      <c r="AN1002" s="4">
        <f>IF(vp.data[[#This Row],[SDate]]&lt;DATE(2016,12,1),0,1)</f>
        <v>1</v>
      </c>
      <c r="AO1002" s="4">
        <f>IFERROR(vp.data[[#This Row],[Sulf]]*vp.data[[#This Row],[Net Dens]],"")</f>
        <v>967964.0101800001</v>
      </c>
      <c r="AP1002">
        <f>IFERROR(vp.data[[#This Row],[Dens]]*vp.data[[#This Row],[VolumeM3]],"")</f>
        <v>5094547.4220000003</v>
      </c>
      <c r="AQ1002" s="15">
        <f>IFERROR(vp.data[[#This Row],[VP]]*vp.data[[#This Row],[VolumeM3]],"")</f>
        <v>584578.79959999991</v>
      </c>
    </row>
    <row r="1003" spans="1:43" x14ac:dyDescent="0.25">
      <c r="A1003">
        <v>1002</v>
      </c>
      <c r="B1003" t="s">
        <v>62</v>
      </c>
      <c r="C1003" t="s">
        <v>62</v>
      </c>
      <c r="D1003" t="s">
        <v>87</v>
      </c>
      <c r="F1003" s="1">
        <v>42807</v>
      </c>
      <c r="G1003" s="2">
        <v>86.8</v>
      </c>
      <c r="H1003" s="2"/>
      <c r="I1003" s="2">
        <f t="array" ref="I1003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003" s="2">
        <v>22.4</v>
      </c>
      <c r="K1003" s="2">
        <v>-18</v>
      </c>
      <c r="L1003" s="2">
        <v>809.2</v>
      </c>
      <c r="M1003" s="2">
        <f t="array" ref="M1003">_xlfn.IFNA(IF(vp.data[[#This Row],[Dens Input]]="",INDEX([1]DATA!$O$3:$O$9826,MATCH(1,(vp.data[[#This Row],[Battery]]=[1]DATA!$L$3:$L$9826)*(EOMONTH(vp.data[[#This Row],[SDate]],-1)+1=[1]DATA!$G$3:$G$9826),0)),vp.data[[#This Row],[Dens Input]]),"")</f>
        <v>809.2</v>
      </c>
      <c r="N1003" s="2">
        <f ca="1">INDEX(INDIRECT(_xlfn.CONCAT("weather.tbl[",N$1,"]")),MATCH(vp.data[[#This Row],[SDate]],weather.tbl[Date],0))</f>
        <v>-17.566666666666666</v>
      </c>
      <c r="O1003" s="2">
        <f ca="1">INDEX(INDIRECT(_xlfn.CONCAT("weather.tbl[",O$1,"]")),MATCH(vp.data[[#This Row],[SDate]],weather.tbl[Date],0))</f>
        <v>-17.119047619047617</v>
      </c>
      <c r="P1003" s="2">
        <f ca="1">INDEX(INDIRECT(_xlfn.CONCAT("weather.tbl[",P$1,"]")),MATCH(vp.data[[#This Row],[SDate]],weather.tbl[Date],0))</f>
        <v>-17.399999999999999</v>
      </c>
      <c r="Q1003" s="2">
        <f ca="1">INDEX(INDIRECT(_xlfn.CONCAT("weather.tbl[",Q$1,"]")),MATCH(vp.data[[#This Row],[SDate]],weather.tbl[Date],0))</f>
        <v>-16.7</v>
      </c>
      <c r="R1003" s="2">
        <f ca="1">INDEX(INDIRECT(_xlfn.CONCAT("weather.tbl[",R$1,"]")),MATCH(vp.data[[#This Row],[SDate]],weather.tbl[Date],0))</f>
        <v>-17</v>
      </c>
      <c r="S1003" s="2">
        <f ca="1">INDEX(INDIRECT(_xlfn.CONCAT("weather.tbl[",S$1,"]")),MATCH(vp.data[[#This Row],[SDate]],weather.tbl[Date],0))</f>
        <v>-16.5</v>
      </c>
      <c r="T1003" s="2">
        <f ca="1">INDEX(INDIRECT(_xlfn.CONCAT("weather.tbl[",T$1,"]")),MATCH(vp.data[[#This Row],[SDate]],weather.tbl[Date],0))</f>
        <v>-20</v>
      </c>
      <c r="U1003" s="2">
        <f ca="1">INDEX(INDIRECT(_xlfn.CONCAT("weather.tbl[",U$1,"]")),MATCH(vp.data[[#This Row],[SDate]],weather.tbl[Date],0))</f>
        <v>-17.8</v>
      </c>
      <c r="V1003" s="2">
        <f t="array" ref="V10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7297.97</v>
      </c>
      <c r="W1003" t="s">
        <v>48</v>
      </c>
      <c r="X1003">
        <f>IF(OR(vp.data[[#This Row],[Sulf]]="",vp.data[[#This Row],[Dens]]=""),1,0)</f>
        <v>0</v>
      </c>
      <c r="Y1003">
        <f>IF(vp.data[[#This Row],[CrudeType]]="C5+",1,0)</f>
        <v>0</v>
      </c>
      <c r="Z1003">
        <f>IF(AND(vp.data[[#This Row],[CrudeType]]="Crude",vp.data[[#This Row],[Dens]]&lt;=825,vp.data[[#This Row],[Sulf]]&gt;0.5,vp.data[[#This Row],[Unknown]]=0),1,0)</f>
        <v>0</v>
      </c>
      <c r="AA1003">
        <f>IF(AND(vp.data[[#This Row],[CrudeType]]="Crude",vp.data[[#This Row],[Dens]]&lt;=825,vp.data[[#This Row],[Sulf]]&lt;=0.5,vp.data[[#This Row],[Unknown]]=0),1,0)</f>
        <v>1</v>
      </c>
      <c r="AB10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03">
        <f>IF(AND(vp.data[[#This Row],[CrudeType]]="Crude",vp.data[[#This Row],[Dens]]&gt;825,vp.data[[#This Row],[Dens]]&lt;=900,vp.data[[#This Row],[Sulf]]&lt;=0.5,vp.data[[#This Row],[Unknown]]=0),1,0)</f>
        <v>0</v>
      </c>
      <c r="AD1003">
        <f>IF(AND(vp.data[[#This Row],[CrudeType]]="Crude",vp.data[[#This Row],[Dens]]&gt;865,vp.data[[#This Row],[Dens]]&lt;=900,vp.data[[#This Row],[Sulf]]&gt;2,vp.data[[#This Row],[Unknown]]=0),1,0)</f>
        <v>0</v>
      </c>
      <c r="AE1003">
        <f>IF(AND(vp.data[[#This Row],[CrudeType]]="Crude",vp.data[[#This Row],[Dens]]&gt;900,vp.data[[#This Row],[Sulf]]&lt;=0.5,vp.data[[#This Row],[Unknown]]=0),1,0)</f>
        <v>0</v>
      </c>
      <c r="AF1003">
        <f>IF(AND(vp.data[[#This Row],[CrudeType]]="Crude",vp.data[[#This Row],[Dens]]&gt;900,vp.data[[#This Row],[Sulf]]&lt;=0.5,vp.data[[#This Row],[Unknown]]=0),1,0)</f>
        <v>0</v>
      </c>
      <c r="AG1003" t="str">
        <f>INDEX(vp.data[[#Headers],[Unknown]:[Heavy_SW]],MATCH(1,vp.data[[#This Row],[Unknown]:[Heavy_SW]],0))</f>
        <v>Light_SW</v>
      </c>
      <c r="AH1003">
        <f>INDEX([3]!crudeBD.lkup[Number],MATCH(vp.data[[#This Row],[Crude_Breakdown]],crudeBD.lkup[Crude Breakdown],0))</f>
        <v>2</v>
      </c>
      <c r="AI1003">
        <f>MONTH(vp.data[[#This Row],[SDate]])</f>
        <v>3</v>
      </c>
      <c r="AJ1003" s="5">
        <f>(vp.data[[#This Row],[VP]]-INDEX(crudeBD.lkup[Mean_VP],MATCH(vp.data[[#This Row],[Crude_Breakdown]],crudeBD.lkup[Crude Breakdown],0)))^2</f>
        <v>33.06610637011466</v>
      </c>
      <c r="AK1003" s="5">
        <f>(vp.data[[#This Row],[Dens]]-INDEX(crudeBD.lkup[Mean_Dens],MATCH(vp.data[[#This Row],[Crude_Breakdown]],crudeBD.lkup[Crude Breakdown],0)))^2</f>
        <v>0.78943534582231922</v>
      </c>
      <c r="AL1003" s="5">
        <f>(vp.data[[#This Row],[Sulf]]-INDEX(crudeBD.lkup[Mean_Sulf],MATCH(vp.data[[#This Row],[Crude_Breakdown]],crudeBD.lkup[Crude Breakdown],0)))^2</f>
        <v>4.3879776367322437E-3</v>
      </c>
      <c r="AM1003" s="4">
        <f>IF(AND(vp.data[[#This Row],[SDate]]&gt;=DATE(YEAR(vp.data[[#This Row],[SDate]]),5,1),vp.data[[#This Row],[SDate]]&lt;=DATE(YEAR(vp.data[[#This Row],[SDate]]),9,15)),1,0)</f>
        <v>0</v>
      </c>
      <c r="AN1003" s="4">
        <f>IF(vp.data[[#This Row],[SDate]]&lt;DATE(2016,12,1),0,1)</f>
        <v>1</v>
      </c>
      <c r="AO1003" s="4">
        <f>IFERROR(vp.data[[#This Row],[Sulf]]*vp.data[[#This Row],[Net Dens]],"")</f>
        <v>1003937.9450800002</v>
      </c>
      <c r="AP1003">
        <f>IFERROR(vp.data[[#This Row],[Dens]]*vp.data[[#This Row],[VolumeM3]],"")</f>
        <v>5905517.324000001</v>
      </c>
      <c r="AQ1003" s="15">
        <f>IFERROR(vp.data[[#This Row],[VP]]*vp.data[[#This Row],[VolumeM3]],"")</f>
        <v>633463.79599999997</v>
      </c>
    </row>
    <row r="1004" spans="1:43" x14ac:dyDescent="0.25">
      <c r="A1004">
        <v>1003</v>
      </c>
      <c r="B1004" t="s">
        <v>51</v>
      </c>
      <c r="C1004" t="s">
        <v>51</v>
      </c>
      <c r="D1004" t="s">
        <v>58</v>
      </c>
      <c r="F1004" s="1">
        <v>42807</v>
      </c>
      <c r="G1004" s="2">
        <v>101.4</v>
      </c>
      <c r="H1004" s="2"/>
      <c r="I1004" s="2">
        <f t="array" ref="I1004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1004" s="2">
        <v>22.7</v>
      </c>
      <c r="K1004" s="2">
        <v>-18</v>
      </c>
      <c r="L1004" s="2">
        <v>830.9</v>
      </c>
      <c r="M1004" s="2">
        <f t="array" ref="M1004">_xlfn.IFNA(IF(vp.data[[#This Row],[Dens Input]]="",INDEX([1]DATA!$O$3:$O$9826,MATCH(1,(vp.data[[#This Row],[Battery]]=[1]DATA!$L$3:$L$9826)*(EOMONTH(vp.data[[#This Row],[SDate]],-1)+1=[1]DATA!$G$3:$G$9826),0)),vp.data[[#This Row],[Dens Input]]),"")</f>
        <v>830.9</v>
      </c>
      <c r="N1004" s="2">
        <f ca="1">INDEX(INDIRECT(_xlfn.CONCAT("weather.tbl[",N$1,"]")),MATCH(vp.data[[#This Row],[SDate]],weather.tbl[Date],0))</f>
        <v>-17.566666666666666</v>
      </c>
      <c r="O1004" s="2">
        <f ca="1">INDEX(INDIRECT(_xlfn.CONCAT("weather.tbl[",O$1,"]")),MATCH(vp.data[[#This Row],[SDate]],weather.tbl[Date],0))</f>
        <v>-17.119047619047617</v>
      </c>
      <c r="P1004" s="2">
        <f ca="1">INDEX(INDIRECT(_xlfn.CONCAT("weather.tbl[",P$1,"]")),MATCH(vp.data[[#This Row],[SDate]],weather.tbl[Date],0))</f>
        <v>-17.399999999999999</v>
      </c>
      <c r="Q1004" s="2">
        <f ca="1">INDEX(INDIRECT(_xlfn.CONCAT("weather.tbl[",Q$1,"]")),MATCH(vp.data[[#This Row],[SDate]],weather.tbl[Date],0))</f>
        <v>-16.7</v>
      </c>
      <c r="R1004" s="2">
        <f ca="1">INDEX(INDIRECT(_xlfn.CONCAT("weather.tbl[",R$1,"]")),MATCH(vp.data[[#This Row],[SDate]],weather.tbl[Date],0))</f>
        <v>-17</v>
      </c>
      <c r="S1004" s="2">
        <f ca="1">INDEX(INDIRECT(_xlfn.CONCAT("weather.tbl[",S$1,"]")),MATCH(vp.data[[#This Row],[SDate]],weather.tbl[Date],0))</f>
        <v>-16.5</v>
      </c>
      <c r="T1004" s="2">
        <f ca="1">INDEX(INDIRECT(_xlfn.CONCAT("weather.tbl[",T$1,"]")),MATCH(vp.data[[#This Row],[SDate]],weather.tbl[Date],0))</f>
        <v>-20</v>
      </c>
      <c r="U1004" s="2">
        <f ca="1">INDEX(INDIRECT(_xlfn.CONCAT("weather.tbl[",U$1,"]")),MATCH(vp.data[[#This Row],[SDate]],weather.tbl[Date],0))</f>
        <v>-17.8</v>
      </c>
      <c r="V1004" s="2">
        <f t="array" ref="V10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1004" t="s">
        <v>48</v>
      </c>
      <c r="X1004">
        <f>IF(OR(vp.data[[#This Row],[Sulf]]="",vp.data[[#This Row],[Dens]]=""),1,0)</f>
        <v>0</v>
      </c>
      <c r="Y1004">
        <f>IF(vp.data[[#This Row],[CrudeType]]="C5+",1,0)</f>
        <v>0</v>
      </c>
      <c r="Z1004">
        <f>IF(AND(vp.data[[#This Row],[CrudeType]]="Crude",vp.data[[#This Row],[Dens]]&lt;=825,vp.data[[#This Row],[Sulf]]&gt;0.5,vp.data[[#This Row],[Unknown]]=0),1,0)</f>
        <v>0</v>
      </c>
      <c r="AA1004">
        <f>IF(AND(vp.data[[#This Row],[CrudeType]]="Crude",vp.data[[#This Row],[Dens]]&lt;=825,vp.data[[#This Row],[Sulf]]&lt;=0.5,vp.data[[#This Row],[Unknown]]=0),1,0)</f>
        <v>0</v>
      </c>
      <c r="AB10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4">
        <f>IF(AND(vp.data[[#This Row],[CrudeType]]="Crude",vp.data[[#This Row],[Dens]]&gt;825,vp.data[[#This Row],[Dens]]&lt;=900,vp.data[[#This Row],[Sulf]]&lt;=0.5,vp.data[[#This Row],[Unknown]]=0),1,0)</f>
        <v>0</v>
      </c>
      <c r="AD1004">
        <f>IF(AND(vp.data[[#This Row],[CrudeType]]="Crude",vp.data[[#This Row],[Dens]]&gt;865,vp.data[[#This Row],[Dens]]&lt;=900,vp.data[[#This Row],[Sulf]]&gt;2,vp.data[[#This Row],[Unknown]]=0),1,0)</f>
        <v>0</v>
      </c>
      <c r="AE1004">
        <f>IF(AND(vp.data[[#This Row],[CrudeType]]="Crude",vp.data[[#This Row],[Dens]]&gt;900,vp.data[[#This Row],[Sulf]]&lt;=0.5,vp.data[[#This Row],[Unknown]]=0),1,0)</f>
        <v>0</v>
      </c>
      <c r="AF1004">
        <f>IF(AND(vp.data[[#This Row],[CrudeType]]="Crude",vp.data[[#This Row],[Dens]]&gt;900,vp.data[[#This Row],[Sulf]]&lt;=0.5,vp.data[[#This Row],[Unknown]]=0),1,0)</f>
        <v>0</v>
      </c>
      <c r="AG1004" t="str">
        <f>INDEX(vp.data[[#Headers],[Unknown]:[Heavy_SW]],MATCH(1,vp.data[[#This Row],[Unknown]:[Heavy_SW]],0))</f>
        <v>Medium_LSB</v>
      </c>
      <c r="AH1004">
        <f>INDEX([3]!crudeBD.lkup[Number],MATCH(vp.data[[#This Row],[Crude_Breakdown]],crudeBD.lkup[Crude Breakdown],0))</f>
        <v>3</v>
      </c>
      <c r="AI1004">
        <f>MONTH(vp.data[[#This Row],[SDate]])</f>
        <v>3</v>
      </c>
      <c r="AJ1004" s="5">
        <f>(vp.data[[#This Row],[VP]]-INDEX(crudeBD.lkup[Mean_VP],MATCH(vp.data[[#This Row],[Crude_Breakdown]],crudeBD.lkup[Crude Breakdown],0)))^2</f>
        <v>430.99102975421886</v>
      </c>
      <c r="AK1004" s="5">
        <f>(vp.data[[#This Row],[Dens]]-INDEX(crudeBD.lkup[Mean_Dens],MATCH(vp.data[[#This Row],[Crude_Breakdown]],crudeBD.lkup[Crude Breakdown],0)))^2</f>
        <v>169.52039999998769</v>
      </c>
      <c r="AL1004" s="5">
        <f>(vp.data[[#This Row],[Sulf]]-INDEX(crudeBD.lkup[Mean_Sulf],MATCH(vp.data[[#This Row],[Crude_Breakdown]],crudeBD.lkup[Crude Breakdown],0)))^2</f>
        <v>5.6863855700863518E-3</v>
      </c>
      <c r="AM1004" s="4">
        <f>IF(AND(vp.data[[#This Row],[SDate]]&gt;=DATE(YEAR(vp.data[[#This Row],[SDate]]),5,1),vp.data[[#This Row],[SDate]]&lt;=DATE(YEAR(vp.data[[#This Row],[SDate]]),9,15)),1,0)</f>
        <v>0</v>
      </c>
      <c r="AN1004" s="4">
        <f>IF(vp.data[[#This Row],[SDate]]&lt;DATE(2016,12,1),0,1)</f>
        <v>1</v>
      </c>
      <c r="AO1004" s="4">
        <f>IFERROR(vp.data[[#This Row],[Sulf]]*vp.data[[#This Row],[Net Dens]],"")</f>
        <v>6608450.9868089994</v>
      </c>
      <c r="AP1004">
        <f>IFERROR(vp.data[[#This Row],[Dens]]*vp.data[[#This Row],[VolumeM3]],"")</f>
        <v>5044619.0738999993</v>
      </c>
      <c r="AQ1004" s="15">
        <f>IFERROR(vp.data[[#This Row],[VP]]*vp.data[[#This Row],[VolumeM3]],"")</f>
        <v>615626.87939999998</v>
      </c>
    </row>
    <row r="1005" spans="1:43" x14ac:dyDescent="0.25">
      <c r="A1005">
        <v>1004</v>
      </c>
      <c r="B1005" t="s">
        <v>62</v>
      </c>
      <c r="C1005" t="s">
        <v>62</v>
      </c>
      <c r="D1005" t="s">
        <v>63</v>
      </c>
      <c r="F1005" s="1">
        <v>42807</v>
      </c>
      <c r="G1005" s="2">
        <v>86.2</v>
      </c>
      <c r="H1005" s="2"/>
      <c r="I1005" s="2">
        <f t="array" ref="I1005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05" s="2">
        <v>11.5</v>
      </c>
      <c r="K1005" s="2">
        <v>-18</v>
      </c>
      <c r="L1005" s="2">
        <v>838</v>
      </c>
      <c r="M1005" s="2">
        <f t="array" ref="M1005">_xlfn.IFNA(IF(vp.data[[#This Row],[Dens Input]]="",INDEX([1]DATA!$O$3:$O$9826,MATCH(1,(vp.data[[#This Row],[Battery]]=[1]DATA!$L$3:$L$9826)*(EOMONTH(vp.data[[#This Row],[SDate]],-1)+1=[1]DATA!$G$3:$G$9826),0)),vp.data[[#This Row],[Dens Input]]),"")</f>
        <v>838</v>
      </c>
      <c r="N1005" s="2">
        <f ca="1">INDEX(INDIRECT(_xlfn.CONCAT("weather.tbl[",N$1,"]")),MATCH(vp.data[[#This Row],[SDate]],weather.tbl[Date],0))</f>
        <v>-17.566666666666666</v>
      </c>
      <c r="O1005" s="2">
        <f ca="1">INDEX(INDIRECT(_xlfn.CONCAT("weather.tbl[",O$1,"]")),MATCH(vp.data[[#This Row],[SDate]],weather.tbl[Date],0))</f>
        <v>-17.119047619047617</v>
      </c>
      <c r="P1005" s="2">
        <f ca="1">INDEX(INDIRECT(_xlfn.CONCAT("weather.tbl[",P$1,"]")),MATCH(vp.data[[#This Row],[SDate]],weather.tbl[Date],0))</f>
        <v>-17.399999999999999</v>
      </c>
      <c r="Q1005" s="2">
        <f ca="1">INDEX(INDIRECT(_xlfn.CONCAT("weather.tbl[",Q$1,"]")),MATCH(vp.data[[#This Row],[SDate]],weather.tbl[Date],0))</f>
        <v>-16.7</v>
      </c>
      <c r="R1005" s="2">
        <f ca="1">INDEX(INDIRECT(_xlfn.CONCAT("weather.tbl[",R$1,"]")),MATCH(vp.data[[#This Row],[SDate]],weather.tbl[Date],0))</f>
        <v>-17</v>
      </c>
      <c r="S1005" s="2">
        <f ca="1">INDEX(INDIRECT(_xlfn.CONCAT("weather.tbl[",S$1,"]")),MATCH(vp.data[[#This Row],[SDate]],weather.tbl[Date],0))</f>
        <v>-16.5</v>
      </c>
      <c r="T1005" s="2">
        <f ca="1">INDEX(INDIRECT(_xlfn.CONCAT("weather.tbl[",T$1,"]")),MATCH(vp.data[[#This Row],[SDate]],weather.tbl[Date],0))</f>
        <v>-20</v>
      </c>
      <c r="U1005" s="2">
        <f ca="1">INDEX(INDIRECT(_xlfn.CONCAT("weather.tbl[",U$1,"]")),MATCH(vp.data[[#This Row],[SDate]],weather.tbl[Date],0))</f>
        <v>-17.8</v>
      </c>
      <c r="V1005" s="2">
        <f t="array" ref="V10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05" t="s">
        <v>48</v>
      </c>
      <c r="X1005">
        <f>IF(OR(vp.data[[#This Row],[Sulf]]="",vp.data[[#This Row],[Dens]]=""),1,0)</f>
        <v>0</v>
      </c>
      <c r="Y1005">
        <f>IF(vp.data[[#This Row],[CrudeType]]="C5+",1,0)</f>
        <v>0</v>
      </c>
      <c r="Z1005">
        <f>IF(AND(vp.data[[#This Row],[CrudeType]]="Crude",vp.data[[#This Row],[Dens]]&lt;=825,vp.data[[#This Row],[Sulf]]&gt;0.5,vp.data[[#This Row],[Unknown]]=0),1,0)</f>
        <v>0</v>
      </c>
      <c r="AA1005">
        <f>IF(AND(vp.data[[#This Row],[CrudeType]]="Crude",vp.data[[#This Row],[Dens]]&lt;=825,vp.data[[#This Row],[Sulf]]&lt;=0.5,vp.data[[#This Row],[Unknown]]=0),1,0)</f>
        <v>0</v>
      </c>
      <c r="AB10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5">
        <f>IF(AND(vp.data[[#This Row],[CrudeType]]="Crude",vp.data[[#This Row],[Dens]]&gt;825,vp.data[[#This Row],[Dens]]&lt;=900,vp.data[[#This Row],[Sulf]]&lt;=0.5,vp.data[[#This Row],[Unknown]]=0),1,0)</f>
        <v>0</v>
      </c>
      <c r="AD1005">
        <f>IF(AND(vp.data[[#This Row],[CrudeType]]="Crude",vp.data[[#This Row],[Dens]]&gt;865,vp.data[[#This Row],[Dens]]&lt;=900,vp.data[[#This Row],[Sulf]]&gt;2,vp.data[[#This Row],[Unknown]]=0),1,0)</f>
        <v>0</v>
      </c>
      <c r="AE1005">
        <f>IF(AND(vp.data[[#This Row],[CrudeType]]="Crude",vp.data[[#This Row],[Dens]]&gt;900,vp.data[[#This Row],[Sulf]]&lt;=0.5,vp.data[[#This Row],[Unknown]]=0),1,0)</f>
        <v>0</v>
      </c>
      <c r="AF1005">
        <f>IF(AND(vp.data[[#This Row],[CrudeType]]="Crude",vp.data[[#This Row],[Dens]]&gt;900,vp.data[[#This Row],[Sulf]]&lt;=0.5,vp.data[[#This Row],[Unknown]]=0),1,0)</f>
        <v>0</v>
      </c>
      <c r="AG1005" t="str">
        <f>INDEX(vp.data[[#Headers],[Unknown]:[Heavy_SW]],MATCH(1,vp.data[[#This Row],[Unknown]:[Heavy_SW]],0))</f>
        <v>Medium_LSB</v>
      </c>
      <c r="AH1005">
        <f>INDEX([3]!crudeBD.lkup[Number],MATCH(vp.data[[#This Row],[Crude_Breakdown]],crudeBD.lkup[Crude Breakdown],0))</f>
        <v>3</v>
      </c>
      <c r="AI1005">
        <f>MONTH(vp.data[[#This Row],[SDate]])</f>
        <v>3</v>
      </c>
      <c r="AJ1005" s="5">
        <f>(vp.data[[#This Row],[VP]]-INDEX(crudeBD.lkup[Mean_VP],MATCH(vp.data[[#This Row],[Crude_Breakdown]],crudeBD.lkup[Crude Breakdown],0)))^2</f>
        <v>30.917196870119469</v>
      </c>
      <c r="AK1005" s="5">
        <f>(vp.data[[#This Row],[Dens]]-INDEX(crudeBD.lkup[Mean_Dens],MATCH(vp.data[[#This Row],[Crude_Breakdown]],crudeBD.lkup[Crude Breakdown],0)))^2</f>
        <v>35.046399999994129</v>
      </c>
      <c r="AL1005" s="5">
        <f>(vp.data[[#This Row],[Sulf]]-INDEX(crudeBD.lkup[Mean_Sulf],MATCH(vp.data[[#This Row],[Crude_Breakdown]],crudeBD.lkup[Crude Breakdown],0)))^2</f>
        <v>0.12573539662129798</v>
      </c>
      <c r="AM1005" s="4">
        <f>IF(AND(vp.data[[#This Row],[SDate]]&gt;=DATE(YEAR(vp.data[[#This Row],[SDate]]),5,1),vp.data[[#This Row],[SDate]]&lt;=DATE(YEAR(vp.data[[#This Row],[SDate]]),9,15)),1,0)</f>
        <v>0</v>
      </c>
      <c r="AN1005" s="4">
        <f>IF(vp.data[[#This Row],[SDate]]&lt;DATE(2016,12,1),0,1)</f>
        <v>1</v>
      </c>
      <c r="AO1005" s="4">
        <f>IFERROR(vp.data[[#This Row],[Sulf]]*vp.data[[#This Row],[Net Dens]],"")</f>
        <v>10147424.526240001</v>
      </c>
      <c r="AP1005">
        <f>IFERROR(vp.data[[#This Row],[Dens]]*vp.data[[#This Row],[VolumeM3]],"")</f>
        <v>5831853.176</v>
      </c>
      <c r="AQ1005" s="15">
        <f>IFERROR(vp.data[[#This Row],[VP]]*vp.data[[#This Row],[VolumeM3]],"")</f>
        <v>599887.52240000002</v>
      </c>
    </row>
    <row r="1006" spans="1:43" x14ac:dyDescent="0.25">
      <c r="A1006">
        <v>1005</v>
      </c>
      <c r="B1006" t="s">
        <v>62</v>
      </c>
      <c r="C1006" t="s">
        <v>62</v>
      </c>
      <c r="D1006" t="s">
        <v>93</v>
      </c>
      <c r="F1006" s="1">
        <v>42807</v>
      </c>
      <c r="G1006" s="2">
        <v>108.6</v>
      </c>
      <c r="H1006" s="2"/>
      <c r="I1006" s="2">
        <f t="array" ref="I1006">_xlfn.IFNA(IF(vp.data[[#This Row],[Sulf Input]]="",INDEX([1]DATA!$Q$3:$Q$9826,MATCH(1,(vp.data[[#This Row],[Battery]]=[1]DATA!$L$3:$L$9826)*(EOMONTH(vp.data[[#This Row],[SDate]],-1)+1=[1]DATA!$G$3:$G$9826),0)),vp.data[[#This Row],[Sulf Input]]),"")</f>
        <v>1.24</v>
      </c>
      <c r="J1006" s="2">
        <v>3.6</v>
      </c>
      <c r="K1006" s="2">
        <v>-18</v>
      </c>
      <c r="L1006" s="2">
        <v>839.7</v>
      </c>
      <c r="M1006" s="2">
        <f t="array" ref="M1006">_xlfn.IFNA(IF(vp.data[[#This Row],[Dens Input]]="",INDEX([1]DATA!$O$3:$O$9826,MATCH(1,(vp.data[[#This Row],[Battery]]=[1]DATA!$L$3:$L$9826)*(EOMONTH(vp.data[[#This Row],[SDate]],-1)+1=[1]DATA!$G$3:$G$9826),0)),vp.data[[#This Row],[Dens Input]]),"")</f>
        <v>839.7</v>
      </c>
      <c r="N1006" s="2">
        <f ca="1">INDEX(INDIRECT(_xlfn.CONCAT("weather.tbl[",N$1,"]")),MATCH(vp.data[[#This Row],[SDate]],weather.tbl[Date],0))</f>
        <v>-17.566666666666666</v>
      </c>
      <c r="O1006" s="2">
        <f ca="1">INDEX(INDIRECT(_xlfn.CONCAT("weather.tbl[",O$1,"]")),MATCH(vp.data[[#This Row],[SDate]],weather.tbl[Date],0))</f>
        <v>-17.119047619047617</v>
      </c>
      <c r="P1006" s="2">
        <f ca="1">INDEX(INDIRECT(_xlfn.CONCAT("weather.tbl[",P$1,"]")),MATCH(vp.data[[#This Row],[SDate]],weather.tbl[Date],0))</f>
        <v>-17.399999999999999</v>
      </c>
      <c r="Q1006" s="2">
        <f ca="1">INDEX(INDIRECT(_xlfn.CONCAT("weather.tbl[",Q$1,"]")),MATCH(vp.data[[#This Row],[SDate]],weather.tbl[Date],0))</f>
        <v>-16.7</v>
      </c>
      <c r="R1006" s="2">
        <f ca="1">INDEX(INDIRECT(_xlfn.CONCAT("weather.tbl[",R$1,"]")),MATCH(vp.data[[#This Row],[SDate]],weather.tbl[Date],0))</f>
        <v>-17</v>
      </c>
      <c r="S1006" s="2">
        <f ca="1">INDEX(INDIRECT(_xlfn.CONCAT("weather.tbl[",S$1,"]")),MATCH(vp.data[[#This Row],[SDate]],weather.tbl[Date],0))</f>
        <v>-16.5</v>
      </c>
      <c r="T1006" s="2">
        <f ca="1">INDEX(INDIRECT(_xlfn.CONCAT("weather.tbl[",T$1,"]")),MATCH(vp.data[[#This Row],[SDate]],weather.tbl[Date],0))</f>
        <v>-20</v>
      </c>
      <c r="U1006" s="2">
        <f ca="1">INDEX(INDIRECT(_xlfn.CONCAT("weather.tbl[",U$1,"]")),MATCH(vp.data[[#This Row],[SDate]],weather.tbl[Date],0))</f>
        <v>-17.8</v>
      </c>
      <c r="V1006" s="2">
        <f t="array" ref="V10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1068.2539999999999</v>
      </c>
      <c r="W1006" t="s">
        <v>48</v>
      </c>
      <c r="X1006">
        <f>IF(OR(vp.data[[#This Row],[Sulf]]="",vp.data[[#This Row],[Dens]]=""),1,0)</f>
        <v>0</v>
      </c>
      <c r="Y1006">
        <f>IF(vp.data[[#This Row],[CrudeType]]="C5+",1,0)</f>
        <v>0</v>
      </c>
      <c r="Z1006">
        <f>IF(AND(vp.data[[#This Row],[CrudeType]]="Crude",vp.data[[#This Row],[Dens]]&lt;=825,vp.data[[#This Row],[Sulf]]&gt;0.5,vp.data[[#This Row],[Unknown]]=0),1,0)</f>
        <v>0</v>
      </c>
      <c r="AA1006">
        <f>IF(AND(vp.data[[#This Row],[CrudeType]]="Crude",vp.data[[#This Row],[Dens]]&lt;=825,vp.data[[#This Row],[Sulf]]&lt;=0.5,vp.data[[#This Row],[Unknown]]=0),1,0)</f>
        <v>0</v>
      </c>
      <c r="AB10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6">
        <f>IF(AND(vp.data[[#This Row],[CrudeType]]="Crude",vp.data[[#This Row],[Dens]]&gt;825,vp.data[[#This Row],[Dens]]&lt;=900,vp.data[[#This Row],[Sulf]]&lt;=0.5,vp.data[[#This Row],[Unknown]]=0),1,0)</f>
        <v>0</v>
      </c>
      <c r="AD1006">
        <f>IF(AND(vp.data[[#This Row],[CrudeType]]="Crude",vp.data[[#This Row],[Dens]]&gt;865,vp.data[[#This Row],[Dens]]&lt;=900,vp.data[[#This Row],[Sulf]]&gt;2,vp.data[[#This Row],[Unknown]]=0),1,0)</f>
        <v>0</v>
      </c>
      <c r="AE1006">
        <f>IF(AND(vp.data[[#This Row],[CrudeType]]="Crude",vp.data[[#This Row],[Dens]]&gt;900,vp.data[[#This Row],[Sulf]]&lt;=0.5,vp.data[[#This Row],[Unknown]]=0),1,0)</f>
        <v>0</v>
      </c>
      <c r="AF1006">
        <f>IF(AND(vp.data[[#This Row],[CrudeType]]="Crude",vp.data[[#This Row],[Dens]]&gt;900,vp.data[[#This Row],[Sulf]]&lt;=0.5,vp.data[[#This Row],[Unknown]]=0),1,0)</f>
        <v>0</v>
      </c>
      <c r="AG1006" t="str">
        <f>INDEX(vp.data[[#Headers],[Unknown]:[Heavy_SW]],MATCH(1,vp.data[[#This Row],[Unknown]:[Heavy_SW]],0))</f>
        <v>Medium_LSB</v>
      </c>
      <c r="AH1006">
        <f>INDEX([3]!crudeBD.lkup[Number],MATCH(vp.data[[#This Row],[Crude_Breakdown]],crudeBD.lkup[Crude Breakdown],0))</f>
        <v>3</v>
      </c>
      <c r="AI1006">
        <f>MONTH(vp.data[[#This Row],[SDate]])</f>
        <v>3</v>
      </c>
      <c r="AJ1006" s="5">
        <f>(vp.data[[#This Row],[VP]]-INDEX(crudeBD.lkup[Mean_VP],MATCH(vp.data[[#This Row],[Crude_Breakdown]],crudeBD.lkup[Crude Breakdown],0)))^2</f>
        <v>781.77968743616009</v>
      </c>
      <c r="AK1006" s="5">
        <f>(vp.data[[#This Row],[Dens]]-INDEX(crudeBD.lkup[Mean_Dens],MATCH(vp.data[[#This Row],[Crude_Breakdown]],crudeBD.lkup[Crude Breakdown],0)))^2</f>
        <v>17.808399999995434</v>
      </c>
      <c r="AL1006" s="5">
        <f>(vp.data[[#This Row],[Sulf]]-INDEX(crudeBD.lkup[Mean_Sulf],MATCH(vp.data[[#This Row],[Crude_Breakdown]],crudeBD.lkup[Crude Breakdown],0)))^2</f>
        <v>2.1143523305935632E-2</v>
      </c>
      <c r="AM1006" s="4">
        <f>IF(AND(vp.data[[#This Row],[SDate]]&gt;=DATE(YEAR(vp.data[[#This Row],[SDate]]),5,1),vp.data[[#This Row],[SDate]]&lt;=DATE(YEAR(vp.data[[#This Row],[SDate]]),9,15)),1,0)</f>
        <v>0</v>
      </c>
      <c r="AN1006" s="4">
        <f>IF(vp.data[[#This Row],[SDate]]&lt;DATE(2016,12,1),0,1)</f>
        <v>1</v>
      </c>
      <c r="AO1006" s="4">
        <f>IFERROR(vp.data[[#This Row],[Sulf]]*vp.data[[#This Row],[Net Dens]],"")</f>
        <v>1112295.9759119998</v>
      </c>
      <c r="AP1006">
        <f>IFERROR(vp.data[[#This Row],[Dens]]*vp.data[[#This Row],[VolumeM3]],"")</f>
        <v>897012.88379999995</v>
      </c>
      <c r="AQ1006" s="15">
        <f>IFERROR(vp.data[[#This Row],[VP]]*vp.data[[#This Row],[VolumeM3]],"")</f>
        <v>116012.38439999998</v>
      </c>
    </row>
    <row r="1007" spans="1:43" x14ac:dyDescent="0.25">
      <c r="A1007">
        <v>1006</v>
      </c>
      <c r="B1007" t="s">
        <v>51</v>
      </c>
      <c r="C1007" t="s">
        <v>51</v>
      </c>
      <c r="D1007" t="s">
        <v>95</v>
      </c>
      <c r="F1007" s="1">
        <v>42807</v>
      </c>
      <c r="G1007" s="2">
        <v>70.349999999999994</v>
      </c>
      <c r="H1007" s="2"/>
      <c r="I1007" s="2">
        <f t="array" ref="I1007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007" s="2">
        <v>31.6</v>
      </c>
      <c r="K1007" s="2">
        <v>-18</v>
      </c>
      <c r="L1007" s="2">
        <v>842.5</v>
      </c>
      <c r="M1007" s="2">
        <f t="array" ref="M1007">_xlfn.IFNA(IF(vp.data[[#This Row],[Dens Input]]="",INDEX([1]DATA!$O$3:$O$9826,MATCH(1,(vp.data[[#This Row],[Battery]]=[1]DATA!$L$3:$L$9826)*(EOMONTH(vp.data[[#This Row],[SDate]],-1)+1=[1]DATA!$G$3:$G$9826),0)),vp.data[[#This Row],[Dens Input]]),"")</f>
        <v>842.5</v>
      </c>
      <c r="N1007" s="2">
        <f ca="1">INDEX(INDIRECT(_xlfn.CONCAT("weather.tbl[",N$1,"]")),MATCH(vp.data[[#This Row],[SDate]],weather.tbl[Date],0))</f>
        <v>-17.566666666666666</v>
      </c>
      <c r="O1007" s="2">
        <f ca="1">INDEX(INDIRECT(_xlfn.CONCAT("weather.tbl[",O$1,"]")),MATCH(vp.data[[#This Row],[SDate]],weather.tbl[Date],0))</f>
        <v>-17.119047619047617</v>
      </c>
      <c r="P1007" s="2">
        <f ca="1">INDEX(INDIRECT(_xlfn.CONCAT("weather.tbl[",P$1,"]")),MATCH(vp.data[[#This Row],[SDate]],weather.tbl[Date],0))</f>
        <v>-17.399999999999999</v>
      </c>
      <c r="Q1007" s="2">
        <f ca="1">INDEX(INDIRECT(_xlfn.CONCAT("weather.tbl[",Q$1,"]")),MATCH(vp.data[[#This Row],[SDate]],weather.tbl[Date],0))</f>
        <v>-16.7</v>
      </c>
      <c r="R1007" s="2">
        <f ca="1">INDEX(INDIRECT(_xlfn.CONCAT("weather.tbl[",R$1,"]")),MATCH(vp.data[[#This Row],[SDate]],weather.tbl[Date],0))</f>
        <v>-17</v>
      </c>
      <c r="S1007" s="2">
        <f ca="1">INDEX(INDIRECT(_xlfn.CONCAT("weather.tbl[",S$1,"]")),MATCH(vp.data[[#This Row],[SDate]],weather.tbl[Date],0))</f>
        <v>-16.5</v>
      </c>
      <c r="T1007" s="2">
        <f ca="1">INDEX(INDIRECT(_xlfn.CONCAT("weather.tbl[",T$1,"]")),MATCH(vp.data[[#This Row],[SDate]],weather.tbl[Date],0))</f>
        <v>-20</v>
      </c>
      <c r="U1007" s="2">
        <f ca="1">INDEX(INDIRECT(_xlfn.CONCAT("weather.tbl[",U$1,"]")),MATCH(vp.data[[#This Row],[SDate]],weather.tbl[Date],0))</f>
        <v>-17.8</v>
      </c>
      <c r="V1007" s="2">
        <f t="array" ref="V10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5390.0870000000004</v>
      </c>
      <c r="W1007" t="s">
        <v>48</v>
      </c>
      <c r="X1007">
        <f>IF(OR(vp.data[[#This Row],[Sulf]]="",vp.data[[#This Row],[Dens]]=""),1,0)</f>
        <v>0</v>
      </c>
      <c r="Y1007">
        <f>IF(vp.data[[#This Row],[CrudeType]]="C5+",1,0)</f>
        <v>0</v>
      </c>
      <c r="Z1007">
        <f>IF(AND(vp.data[[#This Row],[CrudeType]]="Crude",vp.data[[#This Row],[Dens]]&lt;=825,vp.data[[#This Row],[Sulf]]&gt;0.5,vp.data[[#This Row],[Unknown]]=0),1,0)</f>
        <v>0</v>
      </c>
      <c r="AA1007">
        <f>IF(AND(vp.data[[#This Row],[CrudeType]]="Crude",vp.data[[#This Row],[Dens]]&lt;=825,vp.data[[#This Row],[Sulf]]&lt;=0.5,vp.data[[#This Row],[Unknown]]=0),1,0)</f>
        <v>0</v>
      </c>
      <c r="AB10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7">
        <f>IF(AND(vp.data[[#This Row],[CrudeType]]="Crude",vp.data[[#This Row],[Dens]]&gt;825,vp.data[[#This Row],[Dens]]&lt;=900,vp.data[[#This Row],[Sulf]]&lt;=0.5,vp.data[[#This Row],[Unknown]]=0),1,0)</f>
        <v>0</v>
      </c>
      <c r="AD1007">
        <f>IF(AND(vp.data[[#This Row],[CrudeType]]="Crude",vp.data[[#This Row],[Dens]]&gt;865,vp.data[[#This Row],[Dens]]&lt;=900,vp.data[[#This Row],[Sulf]]&gt;2,vp.data[[#This Row],[Unknown]]=0),1,0)</f>
        <v>0</v>
      </c>
      <c r="AE1007">
        <f>IF(AND(vp.data[[#This Row],[CrudeType]]="Crude",vp.data[[#This Row],[Dens]]&gt;900,vp.data[[#This Row],[Sulf]]&lt;=0.5,vp.data[[#This Row],[Unknown]]=0),1,0)</f>
        <v>0</v>
      </c>
      <c r="AF1007">
        <f>IF(AND(vp.data[[#This Row],[CrudeType]]="Crude",vp.data[[#This Row],[Dens]]&gt;900,vp.data[[#This Row],[Sulf]]&lt;=0.5,vp.data[[#This Row],[Unknown]]=0),1,0)</f>
        <v>0</v>
      </c>
      <c r="AG1007" t="str">
        <f>INDEX(vp.data[[#Headers],[Unknown]:[Heavy_SW]],MATCH(1,vp.data[[#This Row],[Unknown]:[Heavy_SW]],0))</f>
        <v>Medium_LSB</v>
      </c>
      <c r="AH1007">
        <f>INDEX([3]!crudeBD.lkup[Number],MATCH(vp.data[[#This Row],[Crude_Breakdown]],crudeBD.lkup[Crude Breakdown],0))</f>
        <v>3</v>
      </c>
      <c r="AI1007">
        <f>MONTH(vp.data[[#This Row],[SDate]])</f>
        <v>3</v>
      </c>
      <c r="AJ1007" s="5">
        <f>(vp.data[[#This Row],[VP]]-INDEX(crudeBD.lkup[Mean_VP],MATCH(vp.data[[#This Row],[Crude_Breakdown]],crudeBD.lkup[Crude Breakdown],0)))^2</f>
        <v>105.87744350084505</v>
      </c>
      <c r="AK1007" s="5">
        <f>(vp.data[[#This Row],[Dens]]-INDEX(crudeBD.lkup[Mean_Dens],MATCH(vp.data[[#This Row],[Crude_Breakdown]],crudeBD.lkup[Crude Breakdown],0)))^2</f>
        <v>2.0163999999985922</v>
      </c>
      <c r="AL1007" s="5">
        <f>(vp.data[[#This Row],[Sulf]]-INDEX(crudeBD.lkup[Mean_Sulf],MATCH(vp.data[[#This Row],[Crude_Breakdown]],crudeBD.lkup[Crude Breakdown],0)))^2</f>
        <v>3.4376173440706655E-2</v>
      </c>
      <c r="AM1007" s="4">
        <f>IF(AND(vp.data[[#This Row],[SDate]]&gt;=DATE(YEAR(vp.data[[#This Row],[SDate]]),5,1),vp.data[[#This Row],[SDate]]&lt;=DATE(YEAR(vp.data[[#This Row],[SDate]]),9,15)),1,0)</f>
        <v>0</v>
      </c>
      <c r="AN1007" s="4">
        <f>IF(vp.data[[#This Row],[SDate]]&lt;DATE(2016,12,1),0,1)</f>
        <v>1</v>
      </c>
      <c r="AO1007" s="4">
        <f>IFERROR(vp.data[[#This Row],[Sulf]]*vp.data[[#This Row],[Net Dens]],"")</f>
        <v>5449377.9570000004</v>
      </c>
      <c r="AP1007">
        <f>IFERROR(vp.data[[#This Row],[Dens]]*vp.data[[#This Row],[VolumeM3]],"")</f>
        <v>4541148.2975000003</v>
      </c>
      <c r="AQ1007" s="15">
        <f>IFERROR(vp.data[[#This Row],[VP]]*vp.data[[#This Row],[VolumeM3]],"")</f>
        <v>379192.62044999999</v>
      </c>
    </row>
    <row r="1008" spans="1:43" x14ac:dyDescent="0.25">
      <c r="A1008">
        <v>1007</v>
      </c>
      <c r="B1008" t="s">
        <v>56</v>
      </c>
      <c r="C1008" t="s">
        <v>56</v>
      </c>
      <c r="D1008" t="s">
        <v>57</v>
      </c>
      <c r="F1008" s="1">
        <v>42807</v>
      </c>
      <c r="G1008" s="2">
        <v>89.7</v>
      </c>
      <c r="H1008" s="2"/>
      <c r="I1008" s="2">
        <f t="array" ref="I1008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1008" s="2">
        <v>1.5</v>
      </c>
      <c r="K1008" s="2">
        <v>-18</v>
      </c>
      <c r="L1008" s="2">
        <v>845.2</v>
      </c>
      <c r="M1008" s="2">
        <f t="array" ref="M1008">_xlfn.IFNA(IF(vp.data[[#This Row],[Dens Input]]="",INDEX([1]DATA!$O$3:$O$9826,MATCH(1,(vp.data[[#This Row],[Battery]]=[1]DATA!$L$3:$L$9826)*(EOMONTH(vp.data[[#This Row],[SDate]],-1)+1=[1]DATA!$G$3:$G$9826),0)),vp.data[[#This Row],[Dens Input]]),"")</f>
        <v>845.2</v>
      </c>
      <c r="N1008" s="2">
        <f ca="1">INDEX(INDIRECT(_xlfn.CONCAT("weather.tbl[",N$1,"]")),MATCH(vp.data[[#This Row],[SDate]],weather.tbl[Date],0))</f>
        <v>-17.566666666666666</v>
      </c>
      <c r="O1008" s="2">
        <f ca="1">INDEX(INDIRECT(_xlfn.CONCAT("weather.tbl[",O$1,"]")),MATCH(vp.data[[#This Row],[SDate]],weather.tbl[Date],0))</f>
        <v>-17.119047619047617</v>
      </c>
      <c r="P1008" s="2">
        <f ca="1">INDEX(INDIRECT(_xlfn.CONCAT("weather.tbl[",P$1,"]")),MATCH(vp.data[[#This Row],[SDate]],weather.tbl[Date],0))</f>
        <v>-17.399999999999999</v>
      </c>
      <c r="Q1008" s="2">
        <f ca="1">INDEX(INDIRECT(_xlfn.CONCAT("weather.tbl[",Q$1,"]")),MATCH(vp.data[[#This Row],[SDate]],weather.tbl[Date],0))</f>
        <v>-16.7</v>
      </c>
      <c r="R1008" s="2">
        <f ca="1">INDEX(INDIRECT(_xlfn.CONCAT("weather.tbl[",R$1,"]")),MATCH(vp.data[[#This Row],[SDate]],weather.tbl[Date],0))</f>
        <v>-17</v>
      </c>
      <c r="S1008" s="2">
        <f ca="1">INDEX(INDIRECT(_xlfn.CONCAT("weather.tbl[",S$1,"]")),MATCH(vp.data[[#This Row],[SDate]],weather.tbl[Date],0))</f>
        <v>-16.5</v>
      </c>
      <c r="T1008" s="2">
        <f ca="1">INDEX(INDIRECT(_xlfn.CONCAT("weather.tbl[",T$1,"]")),MATCH(vp.data[[#This Row],[SDate]],weather.tbl[Date],0))</f>
        <v>-20</v>
      </c>
      <c r="U1008" s="2">
        <f ca="1">INDEX(INDIRECT(_xlfn.CONCAT("weather.tbl[",U$1,"]")),MATCH(vp.data[[#This Row],[SDate]],weather.tbl[Date],0))</f>
        <v>-17.8</v>
      </c>
      <c r="V1008" s="2">
        <f t="array" ref="V10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2822.4540000000002</v>
      </c>
      <c r="W1008" t="s">
        <v>48</v>
      </c>
      <c r="X1008">
        <f>IF(OR(vp.data[[#This Row],[Sulf]]="",vp.data[[#This Row],[Dens]]=""),1,0)</f>
        <v>0</v>
      </c>
      <c r="Y1008">
        <f>IF(vp.data[[#This Row],[CrudeType]]="C5+",1,0)</f>
        <v>0</v>
      </c>
      <c r="Z1008">
        <f>IF(AND(vp.data[[#This Row],[CrudeType]]="Crude",vp.data[[#This Row],[Dens]]&lt;=825,vp.data[[#This Row],[Sulf]]&gt;0.5,vp.data[[#This Row],[Unknown]]=0),1,0)</f>
        <v>0</v>
      </c>
      <c r="AA1008">
        <f>IF(AND(vp.data[[#This Row],[CrudeType]]="Crude",vp.data[[#This Row],[Dens]]&lt;=825,vp.data[[#This Row],[Sulf]]&lt;=0.5,vp.data[[#This Row],[Unknown]]=0),1,0)</f>
        <v>0</v>
      </c>
      <c r="AB10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8">
        <f>IF(AND(vp.data[[#This Row],[CrudeType]]="Crude",vp.data[[#This Row],[Dens]]&gt;825,vp.data[[#This Row],[Dens]]&lt;=900,vp.data[[#This Row],[Sulf]]&lt;=0.5,vp.data[[#This Row],[Unknown]]=0),1,0)</f>
        <v>0</v>
      </c>
      <c r="AD1008">
        <f>IF(AND(vp.data[[#This Row],[CrudeType]]="Crude",vp.data[[#This Row],[Dens]]&gt;865,vp.data[[#This Row],[Dens]]&lt;=900,vp.data[[#This Row],[Sulf]]&gt;2,vp.data[[#This Row],[Unknown]]=0),1,0)</f>
        <v>0</v>
      </c>
      <c r="AE1008">
        <f>IF(AND(vp.data[[#This Row],[CrudeType]]="Crude",vp.data[[#This Row],[Dens]]&gt;900,vp.data[[#This Row],[Sulf]]&lt;=0.5,vp.data[[#This Row],[Unknown]]=0),1,0)</f>
        <v>0</v>
      </c>
      <c r="AF1008">
        <f>IF(AND(vp.data[[#This Row],[CrudeType]]="Crude",vp.data[[#This Row],[Dens]]&gt;900,vp.data[[#This Row],[Sulf]]&lt;=0.5,vp.data[[#This Row],[Unknown]]=0),1,0)</f>
        <v>0</v>
      </c>
      <c r="AG1008" t="str">
        <f>INDEX(vp.data[[#Headers],[Unknown]:[Heavy_SW]],MATCH(1,vp.data[[#This Row],[Unknown]:[Heavy_SW]],0))</f>
        <v>Medium_LSB</v>
      </c>
      <c r="AH1008">
        <f>INDEX([3]!crudeBD.lkup[Number],MATCH(vp.data[[#This Row],[Crude_Breakdown]],crudeBD.lkup[Crude Breakdown],0))</f>
        <v>3</v>
      </c>
      <c r="AI1008">
        <f>MONTH(vp.data[[#This Row],[SDate]])</f>
        <v>3</v>
      </c>
      <c r="AJ1008" s="5">
        <f>(vp.data[[#This Row],[VP]]-INDEX(crudeBD.lkup[Mean_VP],MATCH(vp.data[[#This Row],[Crude_Breakdown]],crudeBD.lkup[Crude Breakdown],0)))^2</f>
        <v>82.089461021063386</v>
      </c>
      <c r="AK1008" s="5">
        <f>(vp.data[[#This Row],[Dens]]-INDEX(crudeBD.lkup[Mean_Dens],MATCH(vp.data[[#This Row],[Crude_Breakdown]],crudeBD.lkup[Crude Breakdown],0)))^2</f>
        <v>1.6384000000013854</v>
      </c>
      <c r="AL1008" s="5">
        <f>(vp.data[[#This Row],[Sulf]]-INDEX(crudeBD.lkup[Mean_Sulf],MATCH(vp.data[[#This Row],[Crude_Breakdown]],crudeBD.lkup[Crude Breakdown],0)))^2</f>
        <v>5.9825184491918218E-2</v>
      </c>
      <c r="AM1008" s="4">
        <f>IF(AND(vp.data[[#This Row],[SDate]]&gt;=DATE(YEAR(vp.data[[#This Row],[SDate]]),5,1),vp.data[[#This Row],[SDate]]&lt;=DATE(YEAR(vp.data[[#This Row],[SDate]]),9,15)),1,0)</f>
        <v>0</v>
      </c>
      <c r="AN1008" s="4">
        <f>IF(vp.data[[#This Row],[SDate]]&lt;DATE(2016,12,1),0,1)</f>
        <v>1</v>
      </c>
      <c r="AO1008" s="4">
        <f>IFERROR(vp.data[[#This Row],[Sulf]]*vp.data[[#This Row],[Net Dens]],"")</f>
        <v>3888427.1369039998</v>
      </c>
      <c r="AP1008">
        <f>IFERROR(vp.data[[#This Row],[Dens]]*vp.data[[#This Row],[VolumeM3]],"")</f>
        <v>2385538.1208000001</v>
      </c>
      <c r="AQ1008" s="15">
        <f>IFERROR(vp.data[[#This Row],[VP]]*vp.data[[#This Row],[VolumeM3]],"")</f>
        <v>253174.12380000003</v>
      </c>
    </row>
    <row r="1009" spans="1:43" x14ac:dyDescent="0.25">
      <c r="A1009">
        <v>1008</v>
      </c>
      <c r="B1009" t="s">
        <v>68</v>
      </c>
      <c r="C1009" t="s">
        <v>68</v>
      </c>
      <c r="D1009" t="s">
        <v>98</v>
      </c>
      <c r="F1009" s="1">
        <v>42807</v>
      </c>
      <c r="G1009" s="2">
        <v>66</v>
      </c>
      <c r="H1009" s="2"/>
      <c r="I1009" s="2">
        <f t="array" ref="I1009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1009" s="2">
        <v>22.7</v>
      </c>
      <c r="K1009" s="2">
        <v>-18</v>
      </c>
      <c r="L1009" s="2">
        <v>852.3</v>
      </c>
      <c r="M1009" s="2">
        <f t="array" ref="M1009">_xlfn.IFNA(IF(vp.data[[#This Row],[Dens Input]]="",INDEX([1]DATA!$O$3:$O$9826,MATCH(1,(vp.data[[#This Row],[Battery]]=[1]DATA!$L$3:$L$9826)*(EOMONTH(vp.data[[#This Row],[SDate]],-1)+1=[1]DATA!$G$3:$G$9826),0)),vp.data[[#This Row],[Dens Input]]),"")</f>
        <v>852.3</v>
      </c>
      <c r="N1009" s="2">
        <f ca="1">INDEX(INDIRECT(_xlfn.CONCAT("weather.tbl[",N$1,"]")),MATCH(vp.data[[#This Row],[SDate]],weather.tbl[Date],0))</f>
        <v>-17.566666666666666</v>
      </c>
      <c r="O1009" s="2">
        <f ca="1">INDEX(INDIRECT(_xlfn.CONCAT("weather.tbl[",O$1,"]")),MATCH(vp.data[[#This Row],[SDate]],weather.tbl[Date],0))</f>
        <v>-17.119047619047617</v>
      </c>
      <c r="P1009" s="2">
        <f ca="1">INDEX(INDIRECT(_xlfn.CONCAT("weather.tbl[",P$1,"]")),MATCH(vp.data[[#This Row],[SDate]],weather.tbl[Date],0))</f>
        <v>-17.399999999999999</v>
      </c>
      <c r="Q1009" s="2">
        <f ca="1">INDEX(INDIRECT(_xlfn.CONCAT("weather.tbl[",Q$1,"]")),MATCH(vp.data[[#This Row],[SDate]],weather.tbl[Date],0))</f>
        <v>-16.7</v>
      </c>
      <c r="R1009" s="2">
        <f ca="1">INDEX(INDIRECT(_xlfn.CONCAT("weather.tbl[",R$1,"]")),MATCH(vp.data[[#This Row],[SDate]],weather.tbl[Date],0))</f>
        <v>-17</v>
      </c>
      <c r="S1009" s="2">
        <f ca="1">INDEX(INDIRECT(_xlfn.CONCAT("weather.tbl[",S$1,"]")),MATCH(vp.data[[#This Row],[SDate]],weather.tbl[Date],0))</f>
        <v>-16.5</v>
      </c>
      <c r="T1009" s="2">
        <f ca="1">INDEX(INDIRECT(_xlfn.CONCAT("weather.tbl[",T$1,"]")),MATCH(vp.data[[#This Row],[SDate]],weather.tbl[Date],0))</f>
        <v>-20</v>
      </c>
      <c r="U1009" s="2">
        <f ca="1">INDEX(INDIRECT(_xlfn.CONCAT("weather.tbl[",U$1,"]")),MATCH(vp.data[[#This Row],[SDate]],weather.tbl[Date],0))</f>
        <v>-17.8</v>
      </c>
      <c r="V1009" s="2">
        <f t="array" ref="V10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4943.8360000000002</v>
      </c>
      <c r="W1009" t="s">
        <v>48</v>
      </c>
      <c r="X1009">
        <f>IF(OR(vp.data[[#This Row],[Sulf]]="",vp.data[[#This Row],[Dens]]=""),1,0)</f>
        <v>0</v>
      </c>
      <c r="Y1009">
        <f>IF(vp.data[[#This Row],[CrudeType]]="C5+",1,0)</f>
        <v>0</v>
      </c>
      <c r="Z1009">
        <f>IF(AND(vp.data[[#This Row],[CrudeType]]="Crude",vp.data[[#This Row],[Dens]]&lt;=825,vp.data[[#This Row],[Sulf]]&gt;0.5,vp.data[[#This Row],[Unknown]]=0),1,0)</f>
        <v>0</v>
      </c>
      <c r="AA1009">
        <f>IF(AND(vp.data[[#This Row],[CrudeType]]="Crude",vp.data[[#This Row],[Dens]]&lt;=825,vp.data[[#This Row],[Sulf]]&lt;=0.5,vp.data[[#This Row],[Unknown]]=0),1,0)</f>
        <v>0</v>
      </c>
      <c r="AB10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09">
        <f>IF(AND(vp.data[[#This Row],[CrudeType]]="Crude",vp.data[[#This Row],[Dens]]&gt;825,vp.data[[#This Row],[Dens]]&lt;=900,vp.data[[#This Row],[Sulf]]&lt;=0.5,vp.data[[#This Row],[Unknown]]=0),1,0)</f>
        <v>0</v>
      </c>
      <c r="AD1009">
        <f>IF(AND(vp.data[[#This Row],[CrudeType]]="Crude",vp.data[[#This Row],[Dens]]&gt;865,vp.data[[#This Row],[Dens]]&lt;=900,vp.data[[#This Row],[Sulf]]&gt;2,vp.data[[#This Row],[Unknown]]=0),1,0)</f>
        <v>0</v>
      </c>
      <c r="AE1009">
        <f>IF(AND(vp.data[[#This Row],[CrudeType]]="Crude",vp.data[[#This Row],[Dens]]&gt;900,vp.data[[#This Row],[Sulf]]&lt;=0.5,vp.data[[#This Row],[Unknown]]=0),1,0)</f>
        <v>0</v>
      </c>
      <c r="AF1009">
        <f>IF(AND(vp.data[[#This Row],[CrudeType]]="Crude",vp.data[[#This Row],[Dens]]&gt;900,vp.data[[#This Row],[Sulf]]&lt;=0.5,vp.data[[#This Row],[Unknown]]=0),1,0)</f>
        <v>0</v>
      </c>
      <c r="AG1009" t="str">
        <f>INDEX(vp.data[[#Headers],[Unknown]:[Heavy_SW]],MATCH(1,vp.data[[#This Row],[Unknown]:[Heavy_SW]],0))</f>
        <v>Medium_LSB</v>
      </c>
      <c r="AH1009">
        <f>INDEX([3]!crudeBD.lkup[Number],MATCH(vp.data[[#This Row],[Crude_Breakdown]],crudeBD.lkup[Crude Breakdown],0))</f>
        <v>3</v>
      </c>
      <c r="AI1009">
        <f>MONTH(vp.data[[#This Row],[SDate]])</f>
        <v>3</v>
      </c>
      <c r="AJ1009" s="5">
        <f>(vp.data[[#This Row],[VP]]-INDEX(crudeBD.lkup[Mean_VP],MATCH(vp.data[[#This Row],[Crude_Breakdown]],crudeBD.lkup[Crude Breakdown],0)))^2</f>
        <v>214.32012948467181</v>
      </c>
      <c r="AK1009" s="5">
        <f>(vp.data[[#This Row],[Dens]]-INDEX(crudeBD.lkup[Mean_Dens],MATCH(vp.data[[#This Row],[Crude_Breakdown]],crudeBD.lkup[Crude Breakdown],0)))^2</f>
        <v>70.224400000007549</v>
      </c>
      <c r="AL1009" s="5">
        <f>(vp.data[[#This Row],[Sulf]]-INDEX(crudeBD.lkup[Mean_Sulf],MATCH(vp.data[[#This Row],[Crude_Breakdown]],crudeBD.lkup[Crude Breakdown],0)))^2</f>
        <v>3.07680109070139E-2</v>
      </c>
      <c r="AM1009" s="4">
        <f>IF(AND(vp.data[[#This Row],[SDate]]&gt;=DATE(YEAR(vp.data[[#This Row],[SDate]]),5,1),vp.data[[#This Row],[SDate]]&lt;=DATE(YEAR(vp.data[[#This Row],[SDate]]),9,15)),1,0)</f>
        <v>0</v>
      </c>
      <c r="AN1009" s="4">
        <f>IF(vp.data[[#This Row],[SDate]]&lt;DATE(2016,12,1),0,1)</f>
        <v>1</v>
      </c>
      <c r="AO1009" s="4">
        <f>IFERROR(vp.data[[#This Row],[Sulf]]*vp.data[[#This Row],[Net Dens]],"")</f>
        <v>5098494.0215879995</v>
      </c>
      <c r="AP1009">
        <f>IFERROR(vp.data[[#This Row],[Dens]]*vp.data[[#This Row],[VolumeM3]],"")</f>
        <v>4213631.4227999998</v>
      </c>
      <c r="AQ1009" s="15">
        <f>IFERROR(vp.data[[#This Row],[VP]]*vp.data[[#This Row],[VolumeM3]],"")</f>
        <v>326293.17600000004</v>
      </c>
    </row>
    <row r="1010" spans="1:43" x14ac:dyDescent="0.25">
      <c r="A1010">
        <v>1009</v>
      </c>
      <c r="B1010" t="s">
        <v>68</v>
      </c>
      <c r="C1010" t="s">
        <v>68</v>
      </c>
      <c r="D1010" t="s">
        <v>110</v>
      </c>
      <c r="F1010" s="1">
        <v>42807</v>
      </c>
      <c r="G1010" s="2">
        <v>66.8</v>
      </c>
      <c r="H1010" s="2"/>
      <c r="I1010" s="2">
        <f t="array" ref="I1010">_xlfn.IFNA(IF(vp.data[[#This Row],[Sulf Input]]="",INDEX([1]DATA!$Q$3:$Q$9826,MATCH(1,(vp.data[[#This Row],[Battery]]=[1]DATA!$L$3:$L$9826)*(EOMONTH(vp.data[[#This Row],[SDate]],-1)+1=[1]DATA!$G$3:$G$9826),0)),vp.data[[#This Row],[Sulf Input]]),"")</f>
        <v>1.41</v>
      </c>
      <c r="J1010" s="2">
        <v>32.6</v>
      </c>
      <c r="K1010" s="2">
        <v>-18</v>
      </c>
      <c r="L1010" s="2">
        <v>853.5</v>
      </c>
      <c r="M1010" s="2">
        <f t="array" ref="M1010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1010" s="2">
        <f ca="1">INDEX(INDIRECT(_xlfn.CONCAT("weather.tbl[",N$1,"]")),MATCH(vp.data[[#This Row],[SDate]],weather.tbl[Date],0))</f>
        <v>-17.566666666666666</v>
      </c>
      <c r="O1010" s="2">
        <f ca="1">INDEX(INDIRECT(_xlfn.CONCAT("weather.tbl[",O$1,"]")),MATCH(vp.data[[#This Row],[SDate]],weather.tbl[Date],0))</f>
        <v>-17.119047619047617</v>
      </c>
      <c r="P1010" s="2">
        <f ca="1">INDEX(INDIRECT(_xlfn.CONCAT("weather.tbl[",P$1,"]")),MATCH(vp.data[[#This Row],[SDate]],weather.tbl[Date],0))</f>
        <v>-17.399999999999999</v>
      </c>
      <c r="Q1010" s="2">
        <f ca="1">INDEX(INDIRECT(_xlfn.CONCAT("weather.tbl[",Q$1,"]")),MATCH(vp.data[[#This Row],[SDate]],weather.tbl[Date],0))</f>
        <v>-16.7</v>
      </c>
      <c r="R1010" s="2">
        <f ca="1">INDEX(INDIRECT(_xlfn.CONCAT("weather.tbl[",R$1,"]")),MATCH(vp.data[[#This Row],[SDate]],weather.tbl[Date],0))</f>
        <v>-17</v>
      </c>
      <c r="S1010" s="2">
        <f ca="1">INDEX(INDIRECT(_xlfn.CONCAT("weather.tbl[",S$1,"]")),MATCH(vp.data[[#This Row],[SDate]],weather.tbl[Date],0))</f>
        <v>-16.5</v>
      </c>
      <c r="T1010" s="2">
        <f ca="1">INDEX(INDIRECT(_xlfn.CONCAT("weather.tbl[",T$1,"]")),MATCH(vp.data[[#This Row],[SDate]],weather.tbl[Date],0))</f>
        <v>-20</v>
      </c>
      <c r="U1010" s="2">
        <f ca="1">INDEX(INDIRECT(_xlfn.CONCAT("weather.tbl[",U$1,"]")),MATCH(vp.data[[#This Row],[SDate]],weather.tbl[Date],0))</f>
        <v>-17.8</v>
      </c>
      <c r="V1010" s="2">
        <f t="array" ref="V10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4854.1400000000003</v>
      </c>
      <c r="W1010" t="s">
        <v>48</v>
      </c>
      <c r="X1010">
        <f>IF(OR(vp.data[[#This Row],[Sulf]]="",vp.data[[#This Row],[Dens]]=""),1,0)</f>
        <v>0</v>
      </c>
      <c r="Y1010">
        <f>IF(vp.data[[#This Row],[CrudeType]]="C5+",1,0)</f>
        <v>0</v>
      </c>
      <c r="Z1010">
        <f>IF(AND(vp.data[[#This Row],[CrudeType]]="Crude",vp.data[[#This Row],[Dens]]&lt;=825,vp.data[[#This Row],[Sulf]]&gt;0.5,vp.data[[#This Row],[Unknown]]=0),1,0)</f>
        <v>0</v>
      </c>
      <c r="AA1010">
        <f>IF(AND(vp.data[[#This Row],[CrudeType]]="Crude",vp.data[[#This Row],[Dens]]&lt;=825,vp.data[[#This Row],[Sulf]]&lt;=0.5,vp.data[[#This Row],[Unknown]]=0),1,0)</f>
        <v>0</v>
      </c>
      <c r="AB10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0">
        <f>IF(AND(vp.data[[#This Row],[CrudeType]]="Crude",vp.data[[#This Row],[Dens]]&gt;825,vp.data[[#This Row],[Dens]]&lt;=900,vp.data[[#This Row],[Sulf]]&lt;=0.5,vp.data[[#This Row],[Unknown]]=0),1,0)</f>
        <v>0</v>
      </c>
      <c r="AD1010">
        <f>IF(AND(vp.data[[#This Row],[CrudeType]]="Crude",vp.data[[#This Row],[Dens]]&gt;865,vp.data[[#This Row],[Dens]]&lt;=900,vp.data[[#This Row],[Sulf]]&gt;2,vp.data[[#This Row],[Unknown]]=0),1,0)</f>
        <v>0</v>
      </c>
      <c r="AE1010">
        <f>IF(AND(vp.data[[#This Row],[CrudeType]]="Crude",vp.data[[#This Row],[Dens]]&gt;900,vp.data[[#This Row],[Sulf]]&lt;=0.5,vp.data[[#This Row],[Unknown]]=0),1,0)</f>
        <v>0</v>
      </c>
      <c r="AF1010">
        <f>IF(AND(vp.data[[#This Row],[CrudeType]]="Crude",vp.data[[#This Row],[Dens]]&gt;900,vp.data[[#This Row],[Sulf]]&lt;=0.5,vp.data[[#This Row],[Unknown]]=0),1,0)</f>
        <v>0</v>
      </c>
      <c r="AG1010" t="str">
        <f>INDEX(vp.data[[#Headers],[Unknown]:[Heavy_SW]],MATCH(1,vp.data[[#This Row],[Unknown]:[Heavy_SW]],0))</f>
        <v>Medium_LSB</v>
      </c>
      <c r="AH1010">
        <f>INDEX([3]!crudeBD.lkup[Number],MATCH(vp.data[[#This Row],[Crude_Breakdown]],crudeBD.lkup[Crude Breakdown],0))</f>
        <v>3</v>
      </c>
      <c r="AI1010">
        <f>MONTH(vp.data[[#This Row],[SDate]])</f>
        <v>3</v>
      </c>
      <c r="AJ1010" s="5">
        <f>(vp.data[[#This Row],[VP]]-INDEX(crudeBD.lkup[Mean_VP],MATCH(vp.data[[#This Row],[Crude_Breakdown]],crudeBD.lkup[Crude Breakdown],0)))^2</f>
        <v>191.53664700488764</v>
      </c>
      <c r="AK1010" s="5">
        <f>(vp.data[[#This Row],[Dens]]-INDEX(crudeBD.lkup[Mean_Dens],MATCH(vp.data[[#This Row],[Crude_Breakdown]],crudeBD.lkup[Crude Breakdown],0)))^2</f>
        <v>91.776400000009502</v>
      </c>
      <c r="AL1010" s="5">
        <f>(vp.data[[#This Row],[Sulf]]-INDEX(crudeBD.lkup[Mean_Sulf],MATCH(vp.data[[#This Row],[Crude_Breakdown]],crudeBD.lkup[Crude Breakdown],0)))^2</f>
        <v>6.0476023315882729E-4</v>
      </c>
      <c r="AM1010" s="4">
        <f>IF(AND(vp.data[[#This Row],[SDate]]&gt;=DATE(YEAR(vp.data[[#This Row],[SDate]]),5,1),vp.data[[#This Row],[SDate]]&lt;=DATE(YEAR(vp.data[[#This Row],[SDate]]),9,15)),1,0)</f>
        <v>0</v>
      </c>
      <c r="AN1010" s="4">
        <f>IF(vp.data[[#This Row],[SDate]]&lt;DATE(2016,12,1),0,1)</f>
        <v>1</v>
      </c>
      <c r="AO1010" s="4">
        <f>IFERROR(vp.data[[#This Row],[Sulf]]*vp.data[[#This Row],[Net Dens]],"")</f>
        <v>5841641.9709000001</v>
      </c>
      <c r="AP1010">
        <f>IFERROR(vp.data[[#This Row],[Dens]]*vp.data[[#This Row],[VolumeM3]],"")</f>
        <v>4143008.49</v>
      </c>
      <c r="AQ1010" s="15">
        <f>IFERROR(vp.data[[#This Row],[VP]]*vp.data[[#This Row],[VolumeM3]],"")</f>
        <v>324256.55200000003</v>
      </c>
    </row>
    <row r="1011" spans="1:43" x14ac:dyDescent="0.25">
      <c r="A1011">
        <v>1010</v>
      </c>
      <c r="B1011" t="s">
        <v>56</v>
      </c>
      <c r="C1011" t="s">
        <v>56</v>
      </c>
      <c r="D1011" t="s">
        <v>94</v>
      </c>
      <c r="F1011" s="1">
        <v>42807</v>
      </c>
      <c r="G1011" s="2">
        <v>76.400000000000006</v>
      </c>
      <c r="H1011" s="2"/>
      <c r="I1011" s="2">
        <f t="array" ref="I1011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011" s="2">
        <v>14.7</v>
      </c>
      <c r="K1011" s="2">
        <v>-18</v>
      </c>
      <c r="L1011" s="2">
        <v>857.2</v>
      </c>
      <c r="M1011" s="2">
        <f t="array" ref="M1011">_xlfn.IFNA(IF(vp.data[[#This Row],[Dens Input]]="",INDEX([1]DATA!$O$3:$O$9826,MATCH(1,(vp.data[[#This Row],[Battery]]=[1]DATA!$L$3:$L$9826)*(EOMONTH(vp.data[[#This Row],[SDate]],-1)+1=[1]DATA!$G$3:$G$9826),0)),vp.data[[#This Row],[Dens Input]]),"")</f>
        <v>857.2</v>
      </c>
      <c r="N1011" s="2">
        <f ca="1">INDEX(INDIRECT(_xlfn.CONCAT("weather.tbl[",N$1,"]")),MATCH(vp.data[[#This Row],[SDate]],weather.tbl[Date],0))</f>
        <v>-17.566666666666666</v>
      </c>
      <c r="O1011" s="2">
        <f ca="1">INDEX(INDIRECT(_xlfn.CONCAT("weather.tbl[",O$1,"]")),MATCH(vp.data[[#This Row],[SDate]],weather.tbl[Date],0))</f>
        <v>-17.119047619047617</v>
      </c>
      <c r="P1011" s="2">
        <f ca="1">INDEX(INDIRECT(_xlfn.CONCAT("weather.tbl[",P$1,"]")),MATCH(vp.data[[#This Row],[SDate]],weather.tbl[Date],0))</f>
        <v>-17.399999999999999</v>
      </c>
      <c r="Q1011" s="2">
        <f ca="1">INDEX(INDIRECT(_xlfn.CONCAT("weather.tbl[",Q$1,"]")),MATCH(vp.data[[#This Row],[SDate]],weather.tbl[Date],0))</f>
        <v>-16.7</v>
      </c>
      <c r="R1011" s="2">
        <f ca="1">INDEX(INDIRECT(_xlfn.CONCAT("weather.tbl[",R$1,"]")),MATCH(vp.data[[#This Row],[SDate]],weather.tbl[Date],0))</f>
        <v>-17</v>
      </c>
      <c r="S1011" s="2">
        <f ca="1">INDEX(INDIRECT(_xlfn.CONCAT("weather.tbl[",S$1,"]")),MATCH(vp.data[[#This Row],[SDate]],weather.tbl[Date],0))</f>
        <v>-16.5</v>
      </c>
      <c r="T1011" s="2">
        <f ca="1">INDEX(INDIRECT(_xlfn.CONCAT("weather.tbl[",T$1,"]")),MATCH(vp.data[[#This Row],[SDate]],weather.tbl[Date],0))</f>
        <v>-20</v>
      </c>
      <c r="U1011" s="2">
        <f ca="1">INDEX(INDIRECT(_xlfn.CONCAT("weather.tbl[",U$1,"]")),MATCH(vp.data[[#This Row],[SDate]],weather.tbl[Date],0))</f>
        <v>-17.8</v>
      </c>
      <c r="V1011" s="2">
        <f t="array" ref="V10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4141.4380000000001</v>
      </c>
      <c r="W1011" t="s">
        <v>48</v>
      </c>
      <c r="X1011">
        <f>IF(OR(vp.data[[#This Row],[Sulf]]="",vp.data[[#This Row],[Dens]]=""),1,0)</f>
        <v>0</v>
      </c>
      <c r="Y1011">
        <f>IF(vp.data[[#This Row],[CrudeType]]="C5+",1,0)</f>
        <v>0</v>
      </c>
      <c r="Z1011">
        <f>IF(AND(vp.data[[#This Row],[CrudeType]]="Crude",vp.data[[#This Row],[Dens]]&lt;=825,vp.data[[#This Row],[Sulf]]&gt;0.5,vp.data[[#This Row],[Unknown]]=0),1,0)</f>
        <v>0</v>
      </c>
      <c r="AA1011">
        <f>IF(AND(vp.data[[#This Row],[CrudeType]]="Crude",vp.data[[#This Row],[Dens]]&lt;=825,vp.data[[#This Row],[Sulf]]&lt;=0.5,vp.data[[#This Row],[Unknown]]=0),1,0)</f>
        <v>0</v>
      </c>
      <c r="AB10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1">
        <f>IF(AND(vp.data[[#This Row],[CrudeType]]="Crude",vp.data[[#This Row],[Dens]]&gt;825,vp.data[[#This Row],[Dens]]&lt;=900,vp.data[[#This Row],[Sulf]]&lt;=0.5,vp.data[[#This Row],[Unknown]]=0),1,0)</f>
        <v>0</v>
      </c>
      <c r="AD1011">
        <f>IF(AND(vp.data[[#This Row],[CrudeType]]="Crude",vp.data[[#This Row],[Dens]]&gt;865,vp.data[[#This Row],[Dens]]&lt;=900,vp.data[[#This Row],[Sulf]]&gt;2,vp.data[[#This Row],[Unknown]]=0),1,0)</f>
        <v>0</v>
      </c>
      <c r="AE1011">
        <f>IF(AND(vp.data[[#This Row],[CrudeType]]="Crude",vp.data[[#This Row],[Dens]]&gt;900,vp.data[[#This Row],[Sulf]]&lt;=0.5,vp.data[[#This Row],[Unknown]]=0),1,0)</f>
        <v>0</v>
      </c>
      <c r="AF1011">
        <f>IF(AND(vp.data[[#This Row],[CrudeType]]="Crude",vp.data[[#This Row],[Dens]]&gt;900,vp.data[[#This Row],[Sulf]]&lt;=0.5,vp.data[[#This Row],[Unknown]]=0),1,0)</f>
        <v>0</v>
      </c>
      <c r="AG1011" t="str">
        <f>INDEX(vp.data[[#Headers],[Unknown]:[Heavy_SW]],MATCH(1,vp.data[[#This Row],[Unknown]:[Heavy_SW]],0))</f>
        <v>Medium_LSB</v>
      </c>
      <c r="AH1011">
        <f>INDEX([3]!crudeBD.lkup[Number],MATCH(vp.data[[#This Row],[Crude_Breakdown]],crudeBD.lkup[Crude Breakdown],0))</f>
        <v>3</v>
      </c>
      <c r="AI1011">
        <f>MONTH(vp.data[[#This Row],[SDate]])</f>
        <v>3</v>
      </c>
      <c r="AJ1011" s="5">
        <f>(vp.data[[#This Row],[VP]]-INDEX(crudeBD.lkup[Mean_VP],MATCH(vp.data[[#This Row],[Crude_Breakdown]],crudeBD.lkup[Crude Breakdown],0)))^2</f>
        <v>17.974857247476479</v>
      </c>
      <c r="AK1011" s="5">
        <f>(vp.data[[#This Row],[Dens]]-INDEX(crudeBD.lkup[Mean_Dens],MATCH(vp.data[[#This Row],[Crude_Breakdown]],crudeBD.lkup[Crude Breakdown],0)))^2</f>
        <v>176.35840000001437</v>
      </c>
      <c r="AL1011" s="5">
        <f>(vp.data[[#This Row],[Sulf]]-INDEX(crudeBD.lkup[Mean_Sulf],MATCH(vp.data[[#This Row],[Crude_Breakdown]],crudeBD.lkup[Crude Breakdown],0)))^2</f>
        <v>0.26480479608221386</v>
      </c>
      <c r="AM1011" s="4">
        <f>IF(AND(vp.data[[#This Row],[SDate]]&gt;=DATE(YEAR(vp.data[[#This Row],[SDate]]),5,1),vp.data[[#This Row],[SDate]]&lt;=DATE(YEAR(vp.data[[#This Row],[SDate]]),9,15)),1,0)</f>
        <v>0</v>
      </c>
      <c r="AN1011" s="4">
        <f>IF(vp.data[[#This Row],[SDate]]&lt;DATE(2016,12,1),0,1)</f>
        <v>1</v>
      </c>
      <c r="AO1011" s="4">
        <f>IFERROR(vp.data[[#This Row],[Sulf]]*vp.data[[#This Row],[Net Dens]],"")</f>
        <v>6745077.2418400003</v>
      </c>
      <c r="AP1011">
        <f>IFERROR(vp.data[[#This Row],[Dens]]*vp.data[[#This Row],[VolumeM3]],"")</f>
        <v>3550040.6536000003</v>
      </c>
      <c r="AQ1011" s="15">
        <f>IFERROR(vp.data[[#This Row],[VP]]*vp.data[[#This Row],[VolumeM3]],"")</f>
        <v>316405.86320000002</v>
      </c>
    </row>
    <row r="1012" spans="1:43" x14ac:dyDescent="0.25">
      <c r="A1012">
        <v>1011</v>
      </c>
      <c r="B1012" t="s">
        <v>64</v>
      </c>
      <c r="C1012" t="s">
        <v>64</v>
      </c>
      <c r="D1012" t="s">
        <v>65</v>
      </c>
      <c r="F1012" s="1">
        <v>42807</v>
      </c>
      <c r="G1012" s="2">
        <v>51.2</v>
      </c>
      <c r="H1012" s="2"/>
      <c r="I1012" s="2">
        <f t="array" ref="I1012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1012" s="2">
        <v>29.1</v>
      </c>
      <c r="K1012" s="2">
        <v>-18</v>
      </c>
      <c r="L1012" s="2">
        <v>873.4</v>
      </c>
      <c r="M1012" s="2">
        <f t="array" ref="M1012">_xlfn.IFNA(IF(vp.data[[#This Row],[Dens Input]]="",INDEX([1]DATA!$O$3:$O$9826,MATCH(1,(vp.data[[#This Row],[Battery]]=[1]DATA!$L$3:$L$9826)*(EOMONTH(vp.data[[#This Row],[SDate]],-1)+1=[1]DATA!$G$3:$G$9826),0)),vp.data[[#This Row],[Dens Input]]),"")</f>
        <v>873.4</v>
      </c>
      <c r="N1012" s="2">
        <f ca="1">INDEX(INDIRECT(_xlfn.CONCAT("weather.tbl[",N$1,"]")),MATCH(vp.data[[#This Row],[SDate]],weather.tbl[Date],0))</f>
        <v>-17.566666666666666</v>
      </c>
      <c r="O1012" s="2">
        <f ca="1">INDEX(INDIRECT(_xlfn.CONCAT("weather.tbl[",O$1,"]")),MATCH(vp.data[[#This Row],[SDate]],weather.tbl[Date],0))</f>
        <v>-17.119047619047617</v>
      </c>
      <c r="P1012" s="2">
        <f ca="1">INDEX(INDIRECT(_xlfn.CONCAT("weather.tbl[",P$1,"]")),MATCH(vp.data[[#This Row],[SDate]],weather.tbl[Date],0))</f>
        <v>-17.399999999999999</v>
      </c>
      <c r="Q1012" s="2">
        <f ca="1">INDEX(INDIRECT(_xlfn.CONCAT("weather.tbl[",Q$1,"]")),MATCH(vp.data[[#This Row],[SDate]],weather.tbl[Date],0))</f>
        <v>-16.7</v>
      </c>
      <c r="R1012" s="2">
        <f ca="1">INDEX(INDIRECT(_xlfn.CONCAT("weather.tbl[",R$1,"]")),MATCH(vp.data[[#This Row],[SDate]],weather.tbl[Date],0))</f>
        <v>-17</v>
      </c>
      <c r="S1012" s="2">
        <f ca="1">INDEX(INDIRECT(_xlfn.CONCAT("weather.tbl[",S$1,"]")),MATCH(vp.data[[#This Row],[SDate]],weather.tbl[Date],0))</f>
        <v>-16.5</v>
      </c>
      <c r="T1012" s="2">
        <f ca="1">INDEX(INDIRECT(_xlfn.CONCAT("weather.tbl[",T$1,"]")),MATCH(vp.data[[#This Row],[SDate]],weather.tbl[Date],0))</f>
        <v>-20</v>
      </c>
      <c r="U1012" s="2">
        <f ca="1">INDEX(INDIRECT(_xlfn.CONCAT("weather.tbl[",U$1,"]")),MATCH(vp.data[[#This Row],[SDate]],weather.tbl[Date],0))</f>
        <v>-17.8</v>
      </c>
      <c r="V1012" s="2">
        <f t="array" ref="V10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22323.207999999999</v>
      </c>
      <c r="W1012" t="s">
        <v>48</v>
      </c>
      <c r="X1012">
        <f>IF(OR(vp.data[[#This Row],[Sulf]]="",vp.data[[#This Row],[Dens]]=""),1,0)</f>
        <v>0</v>
      </c>
      <c r="Y1012">
        <f>IF(vp.data[[#This Row],[CrudeType]]="C5+",1,0)</f>
        <v>0</v>
      </c>
      <c r="Z1012">
        <f>IF(AND(vp.data[[#This Row],[CrudeType]]="Crude",vp.data[[#This Row],[Dens]]&lt;=825,vp.data[[#This Row],[Sulf]]&gt;0.5,vp.data[[#This Row],[Unknown]]=0),1,0)</f>
        <v>0</v>
      </c>
      <c r="AA1012">
        <f>IF(AND(vp.data[[#This Row],[CrudeType]]="Crude",vp.data[[#This Row],[Dens]]&lt;=825,vp.data[[#This Row],[Sulf]]&lt;=0.5,vp.data[[#This Row],[Unknown]]=0),1,0)</f>
        <v>0</v>
      </c>
      <c r="AB10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12">
        <f>IF(AND(vp.data[[#This Row],[CrudeType]]="Crude",vp.data[[#This Row],[Dens]]&gt;825,vp.data[[#This Row],[Dens]]&lt;=900,vp.data[[#This Row],[Sulf]]&lt;=0.5,vp.data[[#This Row],[Unknown]]=0),1,0)</f>
        <v>0</v>
      </c>
      <c r="AD1012">
        <f>IF(AND(vp.data[[#This Row],[CrudeType]]="Crude",vp.data[[#This Row],[Dens]]&gt;865,vp.data[[#This Row],[Dens]]&lt;=900,vp.data[[#This Row],[Sulf]]&gt;2,vp.data[[#This Row],[Unknown]]=0),1,0)</f>
        <v>1</v>
      </c>
      <c r="AE1012">
        <f>IF(AND(vp.data[[#This Row],[CrudeType]]="Crude",vp.data[[#This Row],[Dens]]&gt;900,vp.data[[#This Row],[Sulf]]&lt;=0.5,vp.data[[#This Row],[Unknown]]=0),1,0)</f>
        <v>0</v>
      </c>
      <c r="AF1012">
        <f>IF(AND(vp.data[[#This Row],[CrudeType]]="Crude",vp.data[[#This Row],[Dens]]&gt;900,vp.data[[#This Row],[Sulf]]&lt;=0.5,vp.data[[#This Row],[Unknown]]=0),1,0)</f>
        <v>0</v>
      </c>
      <c r="AG1012" t="str">
        <f>INDEX(vp.data[[#Headers],[Unknown]:[Heavy_SW]],MATCH(1,vp.data[[#This Row],[Unknown]:[Heavy_SW]],0))</f>
        <v>Midale</v>
      </c>
      <c r="AH1012">
        <f>INDEX([3]!crudeBD.lkup[Number],MATCH(vp.data[[#This Row],[Crude_Breakdown]],crudeBD.lkup[Crude Breakdown],0))</f>
        <v>5</v>
      </c>
      <c r="AI1012">
        <f>MONTH(vp.data[[#This Row],[SDate]])</f>
        <v>3</v>
      </c>
      <c r="AJ1012" s="5">
        <f>(vp.data[[#This Row],[VP]]-INDEX(crudeBD.lkup[Mean_VP],MATCH(vp.data[[#This Row],[Crude_Breakdown]],crudeBD.lkup[Crude Breakdown],0)))^2</f>
        <v>331.55904586034751</v>
      </c>
      <c r="AK1012" s="5">
        <f>(vp.data[[#This Row],[Dens]]-INDEX(crudeBD.lkup[Mean_Dens],MATCH(vp.data[[#This Row],[Crude_Breakdown]],crudeBD.lkup[Crude Breakdown],0)))^2</f>
        <v>2.0079182166020613</v>
      </c>
      <c r="AL1012" s="5">
        <f>(vp.data[[#This Row],[Sulf]]-INDEX(crudeBD.lkup[Mean_Sulf],MATCH(vp.data[[#This Row],[Crude_Breakdown]],crudeBD.lkup[Crude Breakdown],0)))^2</f>
        <v>0.12504396923202166</v>
      </c>
      <c r="AM1012" s="4">
        <f>IF(AND(vp.data[[#This Row],[SDate]]&gt;=DATE(YEAR(vp.data[[#This Row],[SDate]]),5,1),vp.data[[#This Row],[SDate]]&lt;=DATE(YEAR(vp.data[[#This Row],[SDate]]),9,15)),1,0)</f>
        <v>0</v>
      </c>
      <c r="AN1012" s="4">
        <f>IF(vp.data[[#This Row],[SDate]]&lt;DATE(2016,12,1),0,1)</f>
        <v>1</v>
      </c>
      <c r="AO1012" s="4">
        <f>IFERROR(vp.data[[#This Row],[Sulf]]*vp.data[[#This Row],[Net Dens]],"")</f>
        <v>40748917.822447993</v>
      </c>
      <c r="AP1012">
        <f>IFERROR(vp.data[[#This Row],[Dens]]*vp.data[[#This Row],[VolumeM3]],"")</f>
        <v>19497089.867199998</v>
      </c>
      <c r="AQ1012" s="15">
        <f>IFERROR(vp.data[[#This Row],[VP]]*vp.data[[#This Row],[VolumeM3]],"")</f>
        <v>1142948.2496</v>
      </c>
    </row>
    <row r="1013" spans="1:43" x14ac:dyDescent="0.25">
      <c r="A1013">
        <v>1012</v>
      </c>
      <c r="B1013" t="s">
        <v>60</v>
      </c>
      <c r="C1013" t="s">
        <v>60</v>
      </c>
      <c r="D1013" t="s">
        <v>61</v>
      </c>
      <c r="E1013" t="s">
        <v>73</v>
      </c>
      <c r="F1013" s="1">
        <v>42807</v>
      </c>
      <c r="G1013" s="2">
        <v>80.3</v>
      </c>
      <c r="H1013" s="2">
        <v>1.181</v>
      </c>
      <c r="I1013" s="2">
        <f t="array" ref="I1013">_xlfn.IFNA(IF(vp.data[[#This Row],[Sulf Input]]="",INDEX([1]DATA!$Q$3:$Q$9826,MATCH(1,(vp.data[[#This Row],[Battery]]=[1]DATA!$L$3:$L$9826)*(EOMONTH(vp.data[[#This Row],[SDate]],-1)+1=[1]DATA!$G$3:$G$9826),0)),vp.data[[#This Row],[Sulf Input]]),"")</f>
        <v>1.181</v>
      </c>
      <c r="J1013" s="2">
        <v>3.5</v>
      </c>
      <c r="K1013" s="2">
        <v>-18</v>
      </c>
      <c r="L1013" s="2">
        <v>839</v>
      </c>
      <c r="M1013" s="2">
        <f t="array" ref="M1013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1013" s="2">
        <f ca="1">INDEX(INDIRECT(_xlfn.CONCAT("weather.tbl[",N$1,"]")),MATCH(vp.data[[#This Row],[SDate]],weather.tbl[Date],0))</f>
        <v>-17.566666666666666</v>
      </c>
      <c r="O1013" s="2">
        <f ca="1">INDEX(INDIRECT(_xlfn.CONCAT("weather.tbl[",O$1,"]")),MATCH(vp.data[[#This Row],[SDate]],weather.tbl[Date],0))</f>
        <v>-17.119047619047617</v>
      </c>
      <c r="P1013" s="2">
        <f ca="1">INDEX(INDIRECT(_xlfn.CONCAT("weather.tbl[",P$1,"]")),MATCH(vp.data[[#This Row],[SDate]],weather.tbl[Date],0))</f>
        <v>-17.399999999999999</v>
      </c>
      <c r="Q1013" s="2">
        <f ca="1">INDEX(INDIRECT(_xlfn.CONCAT("weather.tbl[",Q$1,"]")),MATCH(vp.data[[#This Row],[SDate]],weather.tbl[Date],0))</f>
        <v>-16.7</v>
      </c>
      <c r="R1013" s="2">
        <f ca="1">INDEX(INDIRECT(_xlfn.CONCAT("weather.tbl[",R$1,"]")),MATCH(vp.data[[#This Row],[SDate]],weather.tbl[Date],0))</f>
        <v>-17</v>
      </c>
      <c r="S1013" s="2">
        <f ca="1">INDEX(INDIRECT(_xlfn.CONCAT("weather.tbl[",S$1,"]")),MATCH(vp.data[[#This Row],[SDate]],weather.tbl[Date],0))</f>
        <v>-16.5</v>
      </c>
      <c r="T1013" s="2">
        <f ca="1">INDEX(INDIRECT(_xlfn.CONCAT("weather.tbl[",T$1,"]")),MATCH(vp.data[[#This Row],[SDate]],weather.tbl[Date],0))</f>
        <v>-20</v>
      </c>
      <c r="U1013" s="2">
        <f ca="1">INDEX(INDIRECT(_xlfn.CONCAT("weather.tbl[",U$1,"]")),MATCH(vp.data[[#This Row],[SDate]],weather.tbl[Date],0))</f>
        <v>-17.8</v>
      </c>
      <c r="V1013" s="2">
        <f t="array" ref="V10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13" t="s">
        <v>48</v>
      </c>
      <c r="X1013">
        <f>IF(OR(vp.data[[#This Row],[Sulf]]="",vp.data[[#This Row],[Dens]]=""),1,0)</f>
        <v>0</v>
      </c>
      <c r="Y1013">
        <f>IF(vp.data[[#This Row],[CrudeType]]="C5+",1,0)</f>
        <v>0</v>
      </c>
      <c r="Z1013">
        <f>IF(AND(vp.data[[#This Row],[CrudeType]]="Crude",vp.data[[#This Row],[Dens]]&lt;=825,vp.data[[#This Row],[Sulf]]&gt;0.5,vp.data[[#This Row],[Unknown]]=0),1,0)</f>
        <v>0</v>
      </c>
      <c r="AA1013">
        <f>IF(AND(vp.data[[#This Row],[CrudeType]]="Crude",vp.data[[#This Row],[Dens]]&lt;=825,vp.data[[#This Row],[Sulf]]&lt;=0.5,vp.data[[#This Row],[Unknown]]=0),1,0)</f>
        <v>0</v>
      </c>
      <c r="AB10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3">
        <f>IF(AND(vp.data[[#This Row],[CrudeType]]="Crude",vp.data[[#This Row],[Dens]]&gt;825,vp.data[[#This Row],[Dens]]&lt;=900,vp.data[[#This Row],[Sulf]]&lt;=0.5,vp.data[[#This Row],[Unknown]]=0),1,0)</f>
        <v>0</v>
      </c>
      <c r="AD1013">
        <f>IF(AND(vp.data[[#This Row],[CrudeType]]="Crude",vp.data[[#This Row],[Dens]]&gt;865,vp.data[[#This Row],[Dens]]&lt;=900,vp.data[[#This Row],[Sulf]]&gt;2,vp.data[[#This Row],[Unknown]]=0),1,0)</f>
        <v>0</v>
      </c>
      <c r="AE1013">
        <f>IF(AND(vp.data[[#This Row],[CrudeType]]="Crude",vp.data[[#This Row],[Dens]]&gt;900,vp.data[[#This Row],[Sulf]]&lt;=0.5,vp.data[[#This Row],[Unknown]]=0),1,0)</f>
        <v>0</v>
      </c>
      <c r="AF1013">
        <f>IF(AND(vp.data[[#This Row],[CrudeType]]="Crude",vp.data[[#This Row],[Dens]]&gt;900,vp.data[[#This Row],[Sulf]]&lt;=0.5,vp.data[[#This Row],[Unknown]]=0),1,0)</f>
        <v>0</v>
      </c>
      <c r="AG1013" t="str">
        <f>INDEX(vp.data[[#Headers],[Unknown]:[Heavy_SW]],MATCH(1,vp.data[[#This Row],[Unknown]:[Heavy_SW]],0))</f>
        <v>Medium_LSB</v>
      </c>
      <c r="AH1013">
        <f>INDEX([3]!crudeBD.lkup[Number],MATCH(vp.data[[#This Row],[Crude_Breakdown]],crudeBD.lkup[Crude Breakdown],0))</f>
        <v>3</v>
      </c>
      <c r="AI1013">
        <f>MONTH(vp.data[[#This Row],[SDate]])</f>
        <v>3</v>
      </c>
      <c r="AJ1013" s="5">
        <f>(vp.data[[#This Row],[VP]]-INDEX(crudeBD.lkup[Mean_VP],MATCH(vp.data[[#This Row],[Crude_Breakdown]],crudeBD.lkup[Crude Breakdown],0)))^2</f>
        <v>0.11538015852829879</v>
      </c>
      <c r="AK1013" s="5">
        <f>(vp.data[[#This Row],[Dens]]-INDEX(crudeBD.lkup[Mean_Dens],MATCH(vp.data[[#This Row],[Crude_Breakdown]],crudeBD.lkup[Crude Breakdown],0)))^2</f>
        <v>24.206399999995124</v>
      </c>
      <c r="AL1013" s="5">
        <f>(vp.data[[#This Row],[Sulf]]-INDEX(crudeBD.lkup[Mean_Sulf],MATCH(vp.data[[#This Row],[Crude_Breakdown]],crudeBD.lkup[Crude Breakdown],0)))^2</f>
        <v>4.1782682254722849E-2</v>
      </c>
      <c r="AM1013" s="4">
        <f>IF(AND(vp.data[[#This Row],[SDate]]&gt;=DATE(YEAR(vp.data[[#This Row],[SDate]]),5,1),vp.data[[#This Row],[SDate]]&lt;=DATE(YEAR(vp.data[[#This Row],[SDate]]),9,15)),1,0)</f>
        <v>0</v>
      </c>
      <c r="AN1013" s="4">
        <f>IF(vp.data[[#This Row],[SDate]]&lt;DATE(2016,12,1),0,1)</f>
        <v>1</v>
      </c>
      <c r="AO1013" s="4">
        <f>IFERROR(vp.data[[#This Row],[Sulf]]*vp.data[[#This Row],[Net Dens]],"")</f>
        <v>105105220.787009</v>
      </c>
      <c r="AP1013">
        <f>IFERROR(vp.data[[#This Row],[Dens]]*vp.data[[#This Row],[VolumeM3]],"")</f>
        <v>88996799.988999993</v>
      </c>
      <c r="AQ1013" s="15">
        <f>IFERROR(vp.data[[#This Row],[VP]]*vp.data[[#This Row],[VolumeM3]],"")</f>
        <v>8517810.5352999996</v>
      </c>
    </row>
    <row r="1014" spans="1:43" x14ac:dyDescent="0.25">
      <c r="A1014">
        <v>1013</v>
      </c>
      <c r="B1014" t="s">
        <v>60</v>
      </c>
      <c r="C1014" t="s">
        <v>60</v>
      </c>
      <c r="D1014" t="s">
        <v>61</v>
      </c>
      <c r="E1014" t="s">
        <v>55</v>
      </c>
      <c r="F1014" s="1">
        <v>42807</v>
      </c>
      <c r="G1014" s="2">
        <v>90.6</v>
      </c>
      <c r="H1014" s="2">
        <v>1.1259999999999999</v>
      </c>
      <c r="I1014" s="2">
        <f t="array" ref="I1014">_xlfn.IFNA(IF(vp.data[[#This Row],[Sulf Input]]="",INDEX([1]DATA!$Q$3:$Q$9826,MATCH(1,(vp.data[[#This Row],[Battery]]=[1]DATA!$L$3:$L$9826)*(EOMONTH(vp.data[[#This Row],[SDate]],-1)+1=[1]DATA!$G$3:$G$9826),0)),vp.data[[#This Row],[Sulf Input]]),"")</f>
        <v>1.1259999999999999</v>
      </c>
      <c r="J1014" s="2">
        <v>3.5</v>
      </c>
      <c r="K1014" s="2">
        <v>-18</v>
      </c>
      <c r="L1014" s="2">
        <v>839.7</v>
      </c>
      <c r="M1014" s="2">
        <f t="array" ref="M1014">_xlfn.IFNA(IF(vp.data[[#This Row],[Dens Input]]="",INDEX([1]DATA!$O$3:$O$9826,MATCH(1,(vp.data[[#This Row],[Battery]]=[1]DATA!$L$3:$L$9826)*(EOMONTH(vp.data[[#This Row],[SDate]],-1)+1=[1]DATA!$G$3:$G$9826),0)),vp.data[[#This Row],[Dens Input]]),"")</f>
        <v>839.7</v>
      </c>
      <c r="N1014" s="2">
        <f ca="1">INDEX(INDIRECT(_xlfn.CONCAT("weather.tbl[",N$1,"]")),MATCH(vp.data[[#This Row],[SDate]],weather.tbl[Date],0))</f>
        <v>-17.566666666666666</v>
      </c>
      <c r="O1014" s="2">
        <f ca="1">INDEX(INDIRECT(_xlfn.CONCAT("weather.tbl[",O$1,"]")),MATCH(vp.data[[#This Row],[SDate]],weather.tbl[Date],0))</f>
        <v>-17.119047619047617</v>
      </c>
      <c r="P1014" s="2">
        <f ca="1">INDEX(INDIRECT(_xlfn.CONCAT("weather.tbl[",P$1,"]")),MATCH(vp.data[[#This Row],[SDate]],weather.tbl[Date],0))</f>
        <v>-17.399999999999999</v>
      </c>
      <c r="Q1014" s="2">
        <f ca="1">INDEX(INDIRECT(_xlfn.CONCAT("weather.tbl[",Q$1,"]")),MATCH(vp.data[[#This Row],[SDate]],weather.tbl[Date],0))</f>
        <v>-16.7</v>
      </c>
      <c r="R1014" s="2">
        <f ca="1">INDEX(INDIRECT(_xlfn.CONCAT("weather.tbl[",R$1,"]")),MATCH(vp.data[[#This Row],[SDate]],weather.tbl[Date],0))</f>
        <v>-17</v>
      </c>
      <c r="S1014" s="2">
        <f ca="1">INDEX(INDIRECT(_xlfn.CONCAT("weather.tbl[",S$1,"]")),MATCH(vp.data[[#This Row],[SDate]],weather.tbl[Date],0))</f>
        <v>-16.5</v>
      </c>
      <c r="T1014" s="2">
        <f ca="1">INDEX(INDIRECT(_xlfn.CONCAT("weather.tbl[",T$1,"]")),MATCH(vp.data[[#This Row],[SDate]],weather.tbl[Date],0))</f>
        <v>-20</v>
      </c>
      <c r="U1014" s="2">
        <f ca="1">INDEX(INDIRECT(_xlfn.CONCAT("weather.tbl[",U$1,"]")),MATCH(vp.data[[#This Row],[SDate]],weather.tbl[Date],0))</f>
        <v>-17.8</v>
      </c>
      <c r="V1014" s="2">
        <f t="array" ref="V10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14" t="s">
        <v>48</v>
      </c>
      <c r="X1014">
        <f>IF(OR(vp.data[[#This Row],[Sulf]]="",vp.data[[#This Row],[Dens]]=""),1,0)</f>
        <v>0</v>
      </c>
      <c r="Y1014">
        <f>IF(vp.data[[#This Row],[CrudeType]]="C5+",1,0)</f>
        <v>0</v>
      </c>
      <c r="Z1014">
        <f>IF(AND(vp.data[[#This Row],[CrudeType]]="Crude",vp.data[[#This Row],[Dens]]&lt;=825,vp.data[[#This Row],[Sulf]]&gt;0.5,vp.data[[#This Row],[Unknown]]=0),1,0)</f>
        <v>0</v>
      </c>
      <c r="AA1014">
        <f>IF(AND(vp.data[[#This Row],[CrudeType]]="Crude",vp.data[[#This Row],[Dens]]&lt;=825,vp.data[[#This Row],[Sulf]]&lt;=0.5,vp.data[[#This Row],[Unknown]]=0),1,0)</f>
        <v>0</v>
      </c>
      <c r="AB10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4">
        <f>IF(AND(vp.data[[#This Row],[CrudeType]]="Crude",vp.data[[#This Row],[Dens]]&gt;825,vp.data[[#This Row],[Dens]]&lt;=900,vp.data[[#This Row],[Sulf]]&lt;=0.5,vp.data[[#This Row],[Unknown]]=0),1,0)</f>
        <v>0</v>
      </c>
      <c r="AD1014">
        <f>IF(AND(vp.data[[#This Row],[CrudeType]]="Crude",vp.data[[#This Row],[Dens]]&gt;865,vp.data[[#This Row],[Dens]]&lt;=900,vp.data[[#This Row],[Sulf]]&gt;2,vp.data[[#This Row],[Unknown]]=0),1,0)</f>
        <v>0</v>
      </c>
      <c r="AE1014">
        <f>IF(AND(vp.data[[#This Row],[CrudeType]]="Crude",vp.data[[#This Row],[Dens]]&gt;900,vp.data[[#This Row],[Sulf]]&lt;=0.5,vp.data[[#This Row],[Unknown]]=0),1,0)</f>
        <v>0</v>
      </c>
      <c r="AF1014">
        <f>IF(AND(vp.data[[#This Row],[CrudeType]]="Crude",vp.data[[#This Row],[Dens]]&gt;900,vp.data[[#This Row],[Sulf]]&lt;=0.5,vp.data[[#This Row],[Unknown]]=0),1,0)</f>
        <v>0</v>
      </c>
      <c r="AG1014" t="str">
        <f>INDEX(vp.data[[#Headers],[Unknown]:[Heavy_SW]],MATCH(1,vp.data[[#This Row],[Unknown]:[Heavy_SW]],0))</f>
        <v>Medium_LSB</v>
      </c>
      <c r="AH1014">
        <f>INDEX([3]!crudeBD.lkup[Number],MATCH(vp.data[[#This Row],[Crude_Breakdown]],crudeBD.lkup[Crude Breakdown],0))</f>
        <v>3</v>
      </c>
      <c r="AI1014">
        <f>MONTH(vp.data[[#This Row],[SDate]])</f>
        <v>3</v>
      </c>
      <c r="AJ1014" s="5">
        <f>(vp.data[[#This Row],[VP]]-INDEX(crudeBD.lkup[Mean_VP],MATCH(vp.data[[#This Row],[Crude_Breakdown]],crudeBD.lkup[Crude Breakdown],0)))^2</f>
        <v>99.208043231305936</v>
      </c>
      <c r="AK1014" s="5">
        <f>(vp.data[[#This Row],[Dens]]-INDEX(crudeBD.lkup[Mean_Dens],MATCH(vp.data[[#This Row],[Crude_Breakdown]],crudeBD.lkup[Crude Breakdown],0)))^2</f>
        <v>17.808399999995434</v>
      </c>
      <c r="AL1014" s="5">
        <f>(vp.data[[#This Row],[Sulf]]-INDEX(crudeBD.lkup[Mean_Sulf],MATCH(vp.data[[#This Row],[Crude_Breakdown]],crudeBD.lkup[Crude Breakdown],0)))^2</f>
        <v>6.7292576190033065E-2</v>
      </c>
      <c r="AM1014" s="4">
        <f>IF(AND(vp.data[[#This Row],[SDate]]&gt;=DATE(YEAR(vp.data[[#This Row],[SDate]]),5,1),vp.data[[#This Row],[SDate]]&lt;=DATE(YEAR(vp.data[[#This Row],[SDate]]),9,15)),1,0)</f>
        <v>0</v>
      </c>
      <c r="AN1014" s="4">
        <f>IF(vp.data[[#This Row],[SDate]]&lt;DATE(2016,12,1),0,1)</f>
        <v>1</v>
      </c>
      <c r="AO1014" s="4">
        <f>IFERROR(vp.data[[#This Row],[Sulf]]*vp.data[[#This Row],[Net Dens]],"")</f>
        <v>100294004.9851722</v>
      </c>
      <c r="AP1014">
        <f>IFERROR(vp.data[[#This Row],[Dens]]*vp.data[[#This Row],[VolumeM3]],"")</f>
        <v>89071052.3847</v>
      </c>
      <c r="AQ1014" s="15">
        <f>IFERROR(vp.data[[#This Row],[VP]]*vp.data[[#This Row],[VolumeM3]],"")</f>
        <v>9610381.500599999</v>
      </c>
    </row>
    <row r="1015" spans="1:43" x14ac:dyDescent="0.25">
      <c r="A1015">
        <v>1014</v>
      </c>
      <c r="B1015" t="s">
        <v>49</v>
      </c>
      <c r="C1015" t="s">
        <v>49</v>
      </c>
      <c r="D1015" t="s">
        <v>70</v>
      </c>
      <c r="F1015" s="1">
        <v>42808</v>
      </c>
      <c r="G1015" s="2">
        <v>90.19</v>
      </c>
      <c r="H1015" s="2">
        <v>0.88500000000000001</v>
      </c>
      <c r="I1015" s="2">
        <f t="array" ref="I1015">_xlfn.IFNA(IF(vp.data[[#This Row],[Sulf Input]]="",INDEX([1]DATA!$Q$3:$Q$9826,MATCH(1,(vp.data[[#This Row],[Battery]]=[1]DATA!$L$3:$L$9826)*(EOMONTH(vp.data[[#This Row],[SDate]],-1)+1=[1]DATA!$G$3:$G$9826),0)),vp.data[[#This Row],[Sulf Input]]),"")</f>
        <v>0.88500000000000001</v>
      </c>
      <c r="J1015" s="2">
        <v>10.8</v>
      </c>
      <c r="K1015" s="2">
        <v>-8</v>
      </c>
      <c r="L1015" s="2">
        <v>823.5</v>
      </c>
      <c r="M1015" s="2">
        <f t="array" ref="M1015">_xlfn.IFNA(IF(vp.data[[#This Row],[Dens Input]]="",INDEX([1]DATA!$O$3:$O$9826,MATCH(1,(vp.data[[#This Row],[Battery]]=[1]DATA!$L$3:$L$9826)*(EOMONTH(vp.data[[#This Row],[SDate]],-1)+1=[1]DATA!$G$3:$G$9826),0)),vp.data[[#This Row],[Dens Input]]),"")</f>
        <v>823.5</v>
      </c>
      <c r="N1015" s="2">
        <f ca="1">INDEX(INDIRECT(_xlfn.CONCAT("weather.tbl[",N$1,"]")),MATCH(vp.data[[#This Row],[SDate]],weather.tbl[Date],0))</f>
        <v>-9.3500000000000014</v>
      </c>
      <c r="O1015" s="2">
        <f ca="1">INDEX(INDIRECT(_xlfn.CONCAT("weather.tbl[",O$1,"]")),MATCH(vp.data[[#This Row],[SDate]],weather.tbl[Date],0))</f>
        <v>-16.659523809523812</v>
      </c>
      <c r="P1015" s="2">
        <f ca="1">INDEX(INDIRECT(_xlfn.CONCAT("weather.tbl[",P$1,"]")),MATCH(vp.data[[#This Row],[SDate]],weather.tbl[Date],0))</f>
        <v>-8.4</v>
      </c>
      <c r="Q1015" s="2">
        <f ca="1">INDEX(INDIRECT(_xlfn.CONCAT("weather.tbl[",Q$1,"]")),MATCH(vp.data[[#This Row],[SDate]],weather.tbl[Date],0))</f>
        <v>-9</v>
      </c>
      <c r="R1015" s="2">
        <f ca="1">INDEX(INDIRECT(_xlfn.CONCAT("weather.tbl[",R$1,"]")),MATCH(vp.data[[#This Row],[SDate]],weather.tbl[Date],0))</f>
        <v>-11.3</v>
      </c>
      <c r="S1015" s="2">
        <f ca="1">INDEX(INDIRECT(_xlfn.CONCAT("weather.tbl[",S$1,"]")),MATCH(vp.data[[#This Row],[SDate]],weather.tbl[Date],0))</f>
        <v>-7.5</v>
      </c>
      <c r="T1015" s="2">
        <f ca="1">INDEX(INDIRECT(_xlfn.CONCAT("weather.tbl[",T$1,"]")),MATCH(vp.data[[#This Row],[SDate]],weather.tbl[Date],0))</f>
        <v>-9.6</v>
      </c>
      <c r="U1015" s="2">
        <f ca="1">INDEX(INDIRECT(_xlfn.CONCAT("weather.tbl[",U$1,"]")),MATCH(vp.data[[#This Row],[SDate]],weather.tbl[Date],0))</f>
        <v>-10.3</v>
      </c>
      <c r="V1015" s="2">
        <f t="array" ref="V10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2628.259</v>
      </c>
      <c r="W1015" t="s">
        <v>48</v>
      </c>
      <c r="X1015">
        <f>IF(OR(vp.data[[#This Row],[Sulf]]="",vp.data[[#This Row],[Dens]]=""),1,0)</f>
        <v>0</v>
      </c>
      <c r="Y1015">
        <f>IF(vp.data[[#This Row],[CrudeType]]="C5+",1,0)</f>
        <v>0</v>
      </c>
      <c r="Z1015">
        <f>IF(AND(vp.data[[#This Row],[CrudeType]]="Crude",vp.data[[#This Row],[Dens]]&lt;=825,vp.data[[#This Row],[Sulf]]&gt;0.5,vp.data[[#This Row],[Unknown]]=0),1,0)</f>
        <v>1</v>
      </c>
      <c r="AA1015">
        <f>IF(AND(vp.data[[#This Row],[CrudeType]]="Crude",vp.data[[#This Row],[Dens]]&lt;=825,vp.data[[#This Row],[Sulf]]&lt;=0.5,vp.data[[#This Row],[Unknown]]=0),1,0)</f>
        <v>0</v>
      </c>
      <c r="AB10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15">
        <f>IF(AND(vp.data[[#This Row],[CrudeType]]="Crude",vp.data[[#This Row],[Dens]]&gt;825,vp.data[[#This Row],[Dens]]&lt;=900,vp.data[[#This Row],[Sulf]]&lt;=0.5,vp.data[[#This Row],[Unknown]]=0),1,0)</f>
        <v>0</v>
      </c>
      <c r="AD1015">
        <f>IF(AND(vp.data[[#This Row],[CrudeType]]="Crude",vp.data[[#This Row],[Dens]]&gt;865,vp.data[[#This Row],[Dens]]&lt;=900,vp.data[[#This Row],[Sulf]]&gt;2,vp.data[[#This Row],[Unknown]]=0),1,0)</f>
        <v>0</v>
      </c>
      <c r="AE1015">
        <f>IF(AND(vp.data[[#This Row],[CrudeType]]="Crude",vp.data[[#This Row],[Dens]]&gt;900,vp.data[[#This Row],[Sulf]]&lt;=0.5,vp.data[[#This Row],[Unknown]]=0),1,0)</f>
        <v>0</v>
      </c>
      <c r="AF1015">
        <f>IF(AND(vp.data[[#This Row],[CrudeType]]="Crude",vp.data[[#This Row],[Dens]]&gt;900,vp.data[[#This Row],[Sulf]]&lt;=0.5,vp.data[[#This Row],[Unknown]]=0),1,0)</f>
        <v>0</v>
      </c>
      <c r="AG1015" t="str">
        <f>INDEX(vp.data[[#Headers],[Unknown]:[Heavy_SW]],MATCH(1,vp.data[[#This Row],[Unknown]:[Heavy_SW]],0))</f>
        <v>Light_LSB</v>
      </c>
      <c r="AH1015">
        <f>INDEX([3]!crudeBD.lkup[Number],MATCH(vp.data[[#This Row],[Crude_Breakdown]],crudeBD.lkup[Crude Breakdown],0))</f>
        <v>1</v>
      </c>
      <c r="AI1015">
        <f>MONTH(vp.data[[#This Row],[SDate]])</f>
        <v>3</v>
      </c>
      <c r="AJ1015" s="5">
        <f>(vp.data[[#This Row],[VP]]-INDEX(crudeBD.lkup[Mean_VP],MATCH(vp.data[[#This Row],[Crude_Breakdown]],crudeBD.lkup[Crude Breakdown],0)))^2</f>
        <v>1.8392392921671645</v>
      </c>
      <c r="AK1015" s="5">
        <f>(vp.data[[#This Row],[Dens]]-INDEX(crudeBD.lkup[Mean_Dens],MATCH(vp.data[[#This Row],[Crude_Breakdown]],crudeBD.lkup[Crude Breakdown],0)))^2</f>
        <v>24.832583630333428</v>
      </c>
      <c r="AL1015" s="5">
        <f>(vp.data[[#This Row],[Sulf]]-INDEX(crudeBD.lkup[Mean_Sulf],MATCH(vp.data[[#This Row],[Crude_Breakdown]],crudeBD.lkup[Crude Breakdown],0)))^2</f>
        <v>1.4418096285128694E-3</v>
      </c>
      <c r="AM1015" s="4">
        <f>IF(AND(vp.data[[#This Row],[SDate]]&gt;=DATE(YEAR(vp.data[[#This Row],[SDate]]),5,1),vp.data[[#This Row],[SDate]]&lt;=DATE(YEAR(vp.data[[#This Row],[SDate]]),9,15)),1,0)</f>
        <v>0</v>
      </c>
      <c r="AN1015" s="4">
        <f>IF(vp.data[[#This Row],[SDate]]&lt;DATE(2016,12,1),0,1)</f>
        <v>1</v>
      </c>
      <c r="AO1015" s="4">
        <f>IFERROR(vp.data[[#This Row],[Sulf]]*vp.data[[#This Row],[Net Dens]],"")</f>
        <v>1915468.5885524999</v>
      </c>
      <c r="AP1015">
        <f>IFERROR(vp.data[[#This Row],[Dens]]*vp.data[[#This Row],[VolumeM3]],"")</f>
        <v>2164371.2864999999</v>
      </c>
      <c r="AQ1015" s="15">
        <f>IFERROR(vp.data[[#This Row],[VP]]*vp.data[[#This Row],[VolumeM3]],"")</f>
        <v>237042.67921</v>
      </c>
    </row>
    <row r="1016" spans="1:43" x14ac:dyDescent="0.25">
      <c r="A1016">
        <v>1015</v>
      </c>
      <c r="B1016" t="s">
        <v>49</v>
      </c>
      <c r="C1016" t="s">
        <v>49</v>
      </c>
      <c r="D1016" t="s">
        <v>90</v>
      </c>
      <c r="F1016" s="1">
        <v>42808</v>
      </c>
      <c r="G1016" s="2">
        <v>79.5</v>
      </c>
      <c r="H1016" s="2">
        <v>1.2430000000000001</v>
      </c>
      <c r="I1016" s="2">
        <f t="array" ref="I1016">_xlfn.IFNA(IF(vp.data[[#This Row],[Sulf Input]]="",INDEX([1]DATA!$Q$3:$Q$9826,MATCH(1,(vp.data[[#This Row],[Battery]]=[1]DATA!$L$3:$L$9826)*(EOMONTH(vp.data[[#This Row],[SDate]],-1)+1=[1]DATA!$G$3:$G$9826),0)),vp.data[[#This Row],[Sulf Input]]),"")</f>
        <v>1.2430000000000001</v>
      </c>
      <c r="J1016" s="2">
        <v>30.3</v>
      </c>
      <c r="K1016" s="2">
        <v>-8</v>
      </c>
      <c r="L1016" s="2">
        <v>842.9</v>
      </c>
      <c r="M1016" s="2">
        <f t="array" ref="M1016">_xlfn.IFNA(IF(vp.data[[#This Row],[Dens Input]]="",INDEX([1]DATA!$O$3:$O$9826,MATCH(1,(vp.data[[#This Row],[Battery]]=[1]DATA!$L$3:$L$9826)*(EOMONTH(vp.data[[#This Row],[SDate]],-1)+1=[1]DATA!$G$3:$G$9826),0)),vp.data[[#This Row],[Dens Input]]),"")</f>
        <v>842.9</v>
      </c>
      <c r="N1016" s="2">
        <f ca="1">INDEX(INDIRECT(_xlfn.CONCAT("weather.tbl[",N$1,"]")),MATCH(vp.data[[#This Row],[SDate]],weather.tbl[Date],0))</f>
        <v>-9.3500000000000014</v>
      </c>
      <c r="O1016" s="2">
        <f ca="1">INDEX(INDIRECT(_xlfn.CONCAT("weather.tbl[",O$1,"]")),MATCH(vp.data[[#This Row],[SDate]],weather.tbl[Date],0))</f>
        <v>-16.659523809523812</v>
      </c>
      <c r="P1016" s="2">
        <f ca="1">INDEX(INDIRECT(_xlfn.CONCAT("weather.tbl[",P$1,"]")),MATCH(vp.data[[#This Row],[SDate]],weather.tbl[Date],0))</f>
        <v>-8.4</v>
      </c>
      <c r="Q1016" s="2">
        <f ca="1">INDEX(INDIRECT(_xlfn.CONCAT("weather.tbl[",Q$1,"]")),MATCH(vp.data[[#This Row],[SDate]],weather.tbl[Date],0))</f>
        <v>-9</v>
      </c>
      <c r="R1016" s="2">
        <f ca="1">INDEX(INDIRECT(_xlfn.CONCAT("weather.tbl[",R$1,"]")),MATCH(vp.data[[#This Row],[SDate]],weather.tbl[Date],0))</f>
        <v>-11.3</v>
      </c>
      <c r="S1016" s="2">
        <f ca="1">INDEX(INDIRECT(_xlfn.CONCAT("weather.tbl[",S$1,"]")),MATCH(vp.data[[#This Row],[SDate]],weather.tbl[Date],0))</f>
        <v>-7.5</v>
      </c>
      <c r="T1016" s="2">
        <f ca="1">INDEX(INDIRECT(_xlfn.CONCAT("weather.tbl[",T$1,"]")),MATCH(vp.data[[#This Row],[SDate]],weather.tbl[Date],0))</f>
        <v>-9.6</v>
      </c>
      <c r="U1016" s="2">
        <f ca="1">INDEX(INDIRECT(_xlfn.CONCAT("weather.tbl[",U$1,"]")),MATCH(vp.data[[#This Row],[SDate]],weather.tbl[Date],0))</f>
        <v>-10.3</v>
      </c>
      <c r="V1016" s="2">
        <f t="array" ref="V10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4661.3360000000002</v>
      </c>
      <c r="W1016" t="s">
        <v>48</v>
      </c>
      <c r="X1016">
        <f>IF(OR(vp.data[[#This Row],[Sulf]]="",vp.data[[#This Row],[Dens]]=""),1,0)</f>
        <v>0</v>
      </c>
      <c r="Y1016">
        <f>IF(vp.data[[#This Row],[CrudeType]]="C5+",1,0)</f>
        <v>0</v>
      </c>
      <c r="Z1016">
        <f>IF(AND(vp.data[[#This Row],[CrudeType]]="Crude",vp.data[[#This Row],[Dens]]&lt;=825,vp.data[[#This Row],[Sulf]]&gt;0.5,vp.data[[#This Row],[Unknown]]=0),1,0)</f>
        <v>0</v>
      </c>
      <c r="AA1016">
        <f>IF(AND(vp.data[[#This Row],[CrudeType]]="Crude",vp.data[[#This Row],[Dens]]&lt;=825,vp.data[[#This Row],[Sulf]]&lt;=0.5,vp.data[[#This Row],[Unknown]]=0),1,0)</f>
        <v>0</v>
      </c>
      <c r="AB10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6">
        <f>IF(AND(vp.data[[#This Row],[CrudeType]]="Crude",vp.data[[#This Row],[Dens]]&gt;825,vp.data[[#This Row],[Dens]]&lt;=900,vp.data[[#This Row],[Sulf]]&lt;=0.5,vp.data[[#This Row],[Unknown]]=0),1,0)</f>
        <v>0</v>
      </c>
      <c r="AD1016">
        <f>IF(AND(vp.data[[#This Row],[CrudeType]]="Crude",vp.data[[#This Row],[Dens]]&gt;865,vp.data[[#This Row],[Dens]]&lt;=900,vp.data[[#This Row],[Sulf]]&gt;2,vp.data[[#This Row],[Unknown]]=0),1,0)</f>
        <v>0</v>
      </c>
      <c r="AE1016">
        <f>IF(AND(vp.data[[#This Row],[CrudeType]]="Crude",vp.data[[#This Row],[Dens]]&gt;900,vp.data[[#This Row],[Sulf]]&lt;=0.5,vp.data[[#This Row],[Unknown]]=0),1,0)</f>
        <v>0</v>
      </c>
      <c r="AF1016">
        <f>IF(AND(vp.data[[#This Row],[CrudeType]]="Crude",vp.data[[#This Row],[Dens]]&gt;900,vp.data[[#This Row],[Sulf]]&lt;=0.5,vp.data[[#This Row],[Unknown]]=0),1,0)</f>
        <v>0</v>
      </c>
      <c r="AG1016" t="str">
        <f>INDEX(vp.data[[#Headers],[Unknown]:[Heavy_SW]],MATCH(1,vp.data[[#This Row],[Unknown]:[Heavy_SW]],0))</f>
        <v>Medium_LSB</v>
      </c>
      <c r="AH1016">
        <f>INDEX([3]!crudeBD.lkup[Number],MATCH(vp.data[[#This Row],[Crude_Breakdown]],crudeBD.lkup[Crude Breakdown],0))</f>
        <v>3</v>
      </c>
      <c r="AI1016">
        <f>MONTH(vp.data[[#This Row],[SDate]])</f>
        <v>3</v>
      </c>
      <c r="AJ1016" s="5">
        <f>(vp.data[[#This Row],[VP]]-INDEX(crudeBD.lkup[Mean_VP],MATCH(vp.data[[#This Row],[Crude_Breakdown]],crudeBD.lkup[Crude Breakdown],0)))^2</f>
        <v>1.298862638312549</v>
      </c>
      <c r="AK1016" s="5">
        <f>(vp.data[[#This Row],[Dens]]-INDEX(crudeBD.lkup[Mean_Dens],MATCH(vp.data[[#This Row],[Crude_Breakdown]],crudeBD.lkup[Crude Breakdown],0)))^2</f>
        <v>1.0403999999990352</v>
      </c>
      <c r="AL1016" s="5">
        <f>(vp.data[[#This Row],[Sulf]]-INDEX(crudeBD.lkup[Mean_Sulf],MATCH(vp.data[[#This Row],[Crude_Breakdown]],crudeBD.lkup[Crude Breakdown],0)))^2</f>
        <v>2.0280074545827774E-2</v>
      </c>
      <c r="AM1016" s="4">
        <f>IF(AND(vp.data[[#This Row],[SDate]]&gt;=DATE(YEAR(vp.data[[#This Row],[SDate]]),5,1),vp.data[[#This Row],[SDate]]&lt;=DATE(YEAR(vp.data[[#This Row],[SDate]]),9,15)),1,0)</f>
        <v>0</v>
      </c>
      <c r="AN1016" s="4">
        <f>IF(vp.data[[#This Row],[SDate]]&lt;DATE(2016,12,1),0,1)</f>
        <v>1</v>
      </c>
      <c r="AO1016" s="4">
        <f>IFERROR(vp.data[[#This Row],[Sulf]]*vp.data[[#This Row],[Net Dens]],"")</f>
        <v>4883796.8621992012</v>
      </c>
      <c r="AP1016">
        <f>IFERROR(vp.data[[#This Row],[Dens]]*vp.data[[#This Row],[VolumeM3]],"")</f>
        <v>3929040.1144000003</v>
      </c>
      <c r="AQ1016" s="15">
        <f>IFERROR(vp.data[[#This Row],[VP]]*vp.data[[#This Row],[VolumeM3]],"")</f>
        <v>370576.212</v>
      </c>
    </row>
    <row r="1017" spans="1:43" x14ac:dyDescent="0.25">
      <c r="A1017">
        <v>1016</v>
      </c>
      <c r="B1017" t="s">
        <v>49</v>
      </c>
      <c r="C1017" t="s">
        <v>49</v>
      </c>
      <c r="D1017" t="s">
        <v>59</v>
      </c>
      <c r="F1017" s="1">
        <v>42808</v>
      </c>
      <c r="G1017" s="2">
        <v>90.05</v>
      </c>
      <c r="H1017" s="2">
        <v>1.3819999999999999</v>
      </c>
      <c r="I1017" s="2">
        <f t="array" ref="I1017">_xlfn.IFNA(IF(vp.data[[#This Row],[Sulf Input]]="",INDEX([1]DATA!$Q$3:$Q$9826,MATCH(1,(vp.data[[#This Row],[Battery]]=[1]DATA!$L$3:$L$9826)*(EOMONTH(vp.data[[#This Row],[SDate]],-1)+1=[1]DATA!$G$3:$G$9826),0)),vp.data[[#This Row],[Sulf Input]]),"")</f>
        <v>1.3819999999999999</v>
      </c>
      <c r="J1017" s="2">
        <v>13.4</v>
      </c>
      <c r="K1017" s="2">
        <v>-8</v>
      </c>
      <c r="L1017" s="2">
        <v>845.1</v>
      </c>
      <c r="M1017" s="2">
        <f t="array" ref="M1017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1017" s="2">
        <f ca="1">INDEX(INDIRECT(_xlfn.CONCAT("weather.tbl[",N$1,"]")),MATCH(vp.data[[#This Row],[SDate]],weather.tbl[Date],0))</f>
        <v>-9.3500000000000014</v>
      </c>
      <c r="O1017" s="2">
        <f ca="1">INDEX(INDIRECT(_xlfn.CONCAT("weather.tbl[",O$1,"]")),MATCH(vp.data[[#This Row],[SDate]],weather.tbl[Date],0))</f>
        <v>-16.659523809523812</v>
      </c>
      <c r="P1017" s="2">
        <f ca="1">INDEX(INDIRECT(_xlfn.CONCAT("weather.tbl[",P$1,"]")),MATCH(vp.data[[#This Row],[SDate]],weather.tbl[Date],0))</f>
        <v>-8.4</v>
      </c>
      <c r="Q1017" s="2">
        <f ca="1">INDEX(INDIRECT(_xlfn.CONCAT("weather.tbl[",Q$1,"]")),MATCH(vp.data[[#This Row],[SDate]],weather.tbl[Date],0))</f>
        <v>-9</v>
      </c>
      <c r="R1017" s="2">
        <f ca="1">INDEX(INDIRECT(_xlfn.CONCAT("weather.tbl[",R$1,"]")),MATCH(vp.data[[#This Row],[SDate]],weather.tbl[Date],0))</f>
        <v>-11.3</v>
      </c>
      <c r="S1017" s="2">
        <f ca="1">INDEX(INDIRECT(_xlfn.CONCAT("weather.tbl[",S$1,"]")),MATCH(vp.data[[#This Row],[SDate]],weather.tbl[Date],0))</f>
        <v>-7.5</v>
      </c>
      <c r="T1017" s="2">
        <f ca="1">INDEX(INDIRECT(_xlfn.CONCAT("weather.tbl[",T$1,"]")),MATCH(vp.data[[#This Row],[SDate]],weather.tbl[Date],0))</f>
        <v>-9.6</v>
      </c>
      <c r="U1017" s="2">
        <f ca="1">INDEX(INDIRECT(_xlfn.CONCAT("weather.tbl[",U$1,"]")),MATCH(vp.data[[#This Row],[SDate]],weather.tbl[Date],0))</f>
        <v>-10.3</v>
      </c>
      <c r="V1017" s="2">
        <f t="array" ref="V10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1407.9559999999999</v>
      </c>
      <c r="W1017" t="s">
        <v>48</v>
      </c>
      <c r="X1017">
        <f>IF(OR(vp.data[[#This Row],[Sulf]]="",vp.data[[#This Row],[Dens]]=""),1,0)</f>
        <v>0</v>
      </c>
      <c r="Y1017">
        <f>IF(vp.data[[#This Row],[CrudeType]]="C5+",1,0)</f>
        <v>0</v>
      </c>
      <c r="Z1017">
        <f>IF(AND(vp.data[[#This Row],[CrudeType]]="Crude",vp.data[[#This Row],[Dens]]&lt;=825,vp.data[[#This Row],[Sulf]]&gt;0.5,vp.data[[#This Row],[Unknown]]=0),1,0)</f>
        <v>0</v>
      </c>
      <c r="AA1017">
        <f>IF(AND(vp.data[[#This Row],[CrudeType]]="Crude",vp.data[[#This Row],[Dens]]&lt;=825,vp.data[[#This Row],[Sulf]]&lt;=0.5,vp.data[[#This Row],[Unknown]]=0),1,0)</f>
        <v>0</v>
      </c>
      <c r="AB10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17">
        <f>IF(AND(vp.data[[#This Row],[CrudeType]]="Crude",vp.data[[#This Row],[Dens]]&gt;825,vp.data[[#This Row],[Dens]]&lt;=900,vp.data[[#This Row],[Sulf]]&lt;=0.5,vp.data[[#This Row],[Unknown]]=0),1,0)</f>
        <v>0</v>
      </c>
      <c r="AD1017">
        <f>IF(AND(vp.data[[#This Row],[CrudeType]]="Crude",vp.data[[#This Row],[Dens]]&gt;865,vp.data[[#This Row],[Dens]]&lt;=900,vp.data[[#This Row],[Sulf]]&gt;2,vp.data[[#This Row],[Unknown]]=0),1,0)</f>
        <v>0</v>
      </c>
      <c r="AE1017">
        <f>IF(AND(vp.data[[#This Row],[CrudeType]]="Crude",vp.data[[#This Row],[Dens]]&gt;900,vp.data[[#This Row],[Sulf]]&lt;=0.5,vp.data[[#This Row],[Unknown]]=0),1,0)</f>
        <v>0</v>
      </c>
      <c r="AF1017">
        <f>IF(AND(vp.data[[#This Row],[CrudeType]]="Crude",vp.data[[#This Row],[Dens]]&gt;900,vp.data[[#This Row],[Sulf]]&lt;=0.5,vp.data[[#This Row],[Unknown]]=0),1,0)</f>
        <v>0</v>
      </c>
      <c r="AG1017" t="str">
        <f>INDEX(vp.data[[#Headers],[Unknown]:[Heavy_SW]],MATCH(1,vp.data[[#This Row],[Unknown]:[Heavy_SW]],0))</f>
        <v>Medium_LSB</v>
      </c>
      <c r="AH1017">
        <f>INDEX([3]!crudeBD.lkup[Number],MATCH(vp.data[[#This Row],[Crude_Breakdown]],crudeBD.lkup[Crude Breakdown],0))</f>
        <v>3</v>
      </c>
      <c r="AI1017">
        <f>MONTH(vp.data[[#This Row],[SDate]])</f>
        <v>3</v>
      </c>
      <c r="AJ1017" s="5">
        <f>(vp.data[[#This Row],[VP]]-INDEX(crudeBD.lkup[Mean_VP],MATCH(vp.data[[#This Row],[Crude_Breakdown]],crudeBD.lkup[Crude Breakdown],0)))^2</f>
        <v>88.554187436157676</v>
      </c>
      <c r="AK1017" s="5">
        <f>(vp.data[[#This Row],[Dens]]-INDEX(crudeBD.lkup[Mean_Dens],MATCH(vp.data[[#This Row],[Crude_Breakdown]],crudeBD.lkup[Crude Breakdown],0)))^2</f>
        <v>1.3924000000012235</v>
      </c>
      <c r="AL1017" s="5">
        <f>(vp.data[[#This Row],[Sulf]]-INDEX(crudeBD.lkup[Mean_Sulf],MATCH(vp.data[[#This Row],[Crude_Breakdown]],crudeBD.lkup[Crude Breakdown],0)))^2</f>
        <v>1.1615327498539878E-5</v>
      </c>
      <c r="AM1017" s="4">
        <f>IF(AND(vp.data[[#This Row],[SDate]]&gt;=DATE(YEAR(vp.data[[#This Row],[SDate]]),5,1),vp.data[[#This Row],[SDate]]&lt;=DATE(YEAR(vp.data[[#This Row],[SDate]]),9,15)),1,0)</f>
        <v>0</v>
      </c>
      <c r="AN1017" s="4">
        <f>IF(vp.data[[#This Row],[SDate]]&lt;DATE(2016,12,1),0,1)</f>
        <v>1</v>
      </c>
      <c r="AO1017" s="4">
        <f>IFERROR(vp.data[[#This Row],[Sulf]]*vp.data[[#This Row],[Net Dens]],"")</f>
        <v>1644391.5167591998</v>
      </c>
      <c r="AP1017">
        <f>IFERROR(vp.data[[#This Row],[Dens]]*vp.data[[#This Row],[VolumeM3]],"")</f>
        <v>1189863.6155999999</v>
      </c>
      <c r="AQ1017" s="15">
        <f>IFERROR(vp.data[[#This Row],[VP]]*vp.data[[#This Row],[VolumeM3]],"")</f>
        <v>126786.43779999999</v>
      </c>
    </row>
    <row r="1018" spans="1:43" x14ac:dyDescent="0.25">
      <c r="A1018">
        <v>1017</v>
      </c>
      <c r="B1018" t="s">
        <v>49</v>
      </c>
      <c r="C1018" t="s">
        <v>49</v>
      </c>
      <c r="D1018" t="s">
        <v>50</v>
      </c>
      <c r="F1018" s="1">
        <v>42808</v>
      </c>
      <c r="G1018" s="2">
        <v>69.599999999999994</v>
      </c>
      <c r="H1018" s="2">
        <v>2.6070000000000002</v>
      </c>
      <c r="I1018" s="2">
        <f t="array" ref="I1018">_xlfn.IFNA(IF(vp.data[[#This Row],[Sulf Input]]="",INDEX([1]DATA!$Q$3:$Q$9826,MATCH(1,(vp.data[[#This Row],[Battery]]=[1]DATA!$L$3:$L$9826)*(EOMONTH(vp.data[[#This Row],[SDate]],-1)+1=[1]DATA!$G$3:$G$9826),0)),vp.data[[#This Row],[Sulf Input]]),"")</f>
        <v>2.6070000000000002</v>
      </c>
      <c r="J1018" s="2">
        <v>17.100000000000001</v>
      </c>
      <c r="K1018" s="2">
        <v>-8</v>
      </c>
      <c r="L1018" s="2">
        <v>873</v>
      </c>
      <c r="M1018" s="2">
        <f t="array" ref="M1018">_xlfn.IFNA(IF(vp.data[[#This Row],[Dens Input]]="",INDEX([1]DATA!$O$3:$O$9826,MATCH(1,(vp.data[[#This Row],[Battery]]=[1]DATA!$L$3:$L$9826)*(EOMONTH(vp.data[[#This Row],[SDate]],-1)+1=[1]DATA!$G$3:$G$9826),0)),vp.data[[#This Row],[Dens Input]]),"")</f>
        <v>873</v>
      </c>
      <c r="N1018" s="2">
        <f ca="1">INDEX(INDIRECT(_xlfn.CONCAT("weather.tbl[",N$1,"]")),MATCH(vp.data[[#This Row],[SDate]],weather.tbl[Date],0))</f>
        <v>-9.3500000000000014</v>
      </c>
      <c r="O1018" s="2">
        <f ca="1">INDEX(INDIRECT(_xlfn.CONCAT("weather.tbl[",O$1,"]")),MATCH(vp.data[[#This Row],[SDate]],weather.tbl[Date],0))</f>
        <v>-16.659523809523812</v>
      </c>
      <c r="P1018" s="2">
        <f ca="1">INDEX(INDIRECT(_xlfn.CONCAT("weather.tbl[",P$1,"]")),MATCH(vp.data[[#This Row],[SDate]],weather.tbl[Date],0))</f>
        <v>-8.4</v>
      </c>
      <c r="Q1018" s="2">
        <f ca="1">INDEX(INDIRECT(_xlfn.CONCAT("weather.tbl[",Q$1,"]")),MATCH(vp.data[[#This Row],[SDate]],weather.tbl[Date],0))</f>
        <v>-9</v>
      </c>
      <c r="R1018" s="2">
        <f ca="1">INDEX(INDIRECT(_xlfn.CONCAT("weather.tbl[",R$1,"]")),MATCH(vp.data[[#This Row],[SDate]],weather.tbl[Date],0))</f>
        <v>-11.3</v>
      </c>
      <c r="S1018" s="2">
        <f ca="1">INDEX(INDIRECT(_xlfn.CONCAT("weather.tbl[",S$1,"]")),MATCH(vp.data[[#This Row],[SDate]],weather.tbl[Date],0))</f>
        <v>-7.5</v>
      </c>
      <c r="T1018" s="2">
        <f ca="1">INDEX(INDIRECT(_xlfn.CONCAT("weather.tbl[",T$1,"]")),MATCH(vp.data[[#This Row],[SDate]],weather.tbl[Date],0))</f>
        <v>-9.6</v>
      </c>
      <c r="U1018" s="2">
        <f ca="1">INDEX(INDIRECT(_xlfn.CONCAT("weather.tbl[",U$1,"]")),MATCH(vp.data[[#This Row],[SDate]],weather.tbl[Date],0))</f>
        <v>-10.3</v>
      </c>
      <c r="V1018" s="2">
        <f t="array" ref="V10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6292.7340000000004</v>
      </c>
      <c r="W1018" t="s">
        <v>48</v>
      </c>
      <c r="X1018">
        <f>IF(OR(vp.data[[#This Row],[Sulf]]="",vp.data[[#This Row],[Dens]]=""),1,0)</f>
        <v>0</v>
      </c>
      <c r="Y1018">
        <f>IF(vp.data[[#This Row],[CrudeType]]="C5+",1,0)</f>
        <v>0</v>
      </c>
      <c r="Z1018">
        <f>IF(AND(vp.data[[#This Row],[CrudeType]]="Crude",vp.data[[#This Row],[Dens]]&lt;=825,vp.data[[#This Row],[Sulf]]&gt;0.5,vp.data[[#This Row],[Unknown]]=0),1,0)</f>
        <v>0</v>
      </c>
      <c r="AA1018">
        <f>IF(AND(vp.data[[#This Row],[CrudeType]]="Crude",vp.data[[#This Row],[Dens]]&lt;=825,vp.data[[#This Row],[Sulf]]&lt;=0.5,vp.data[[#This Row],[Unknown]]=0),1,0)</f>
        <v>0</v>
      </c>
      <c r="AB10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18">
        <f>IF(AND(vp.data[[#This Row],[CrudeType]]="Crude",vp.data[[#This Row],[Dens]]&gt;825,vp.data[[#This Row],[Dens]]&lt;=900,vp.data[[#This Row],[Sulf]]&lt;=0.5,vp.data[[#This Row],[Unknown]]=0),1,0)</f>
        <v>0</v>
      </c>
      <c r="AD1018">
        <f>IF(AND(vp.data[[#This Row],[CrudeType]]="Crude",vp.data[[#This Row],[Dens]]&gt;865,vp.data[[#This Row],[Dens]]&lt;=900,vp.data[[#This Row],[Sulf]]&gt;2,vp.data[[#This Row],[Unknown]]=0),1,0)</f>
        <v>1</v>
      </c>
      <c r="AE1018">
        <f>IF(AND(vp.data[[#This Row],[CrudeType]]="Crude",vp.data[[#This Row],[Dens]]&gt;900,vp.data[[#This Row],[Sulf]]&lt;=0.5,vp.data[[#This Row],[Unknown]]=0),1,0)</f>
        <v>0</v>
      </c>
      <c r="AF1018">
        <f>IF(AND(vp.data[[#This Row],[CrudeType]]="Crude",vp.data[[#This Row],[Dens]]&gt;900,vp.data[[#This Row],[Sulf]]&lt;=0.5,vp.data[[#This Row],[Unknown]]=0),1,0)</f>
        <v>0</v>
      </c>
      <c r="AG1018" t="str">
        <f>INDEX(vp.data[[#Headers],[Unknown]:[Heavy_SW]],MATCH(1,vp.data[[#This Row],[Unknown]:[Heavy_SW]],0))</f>
        <v>Midale</v>
      </c>
      <c r="AH1018">
        <f>INDEX([3]!crudeBD.lkup[Number],MATCH(vp.data[[#This Row],[Crude_Breakdown]],crudeBD.lkup[Crude Breakdown],0))</f>
        <v>5</v>
      </c>
      <c r="AI1018">
        <f>MONTH(vp.data[[#This Row],[SDate]])</f>
        <v>3</v>
      </c>
      <c r="AJ1018" s="5">
        <f>(vp.data[[#This Row],[VP]]-INDEX(crudeBD.lkup[Mean_VP],MATCH(vp.data[[#This Row],[Crude_Breakdown]],crudeBD.lkup[Crude Breakdown],0)))^2</f>
        <v>3.6571633542338881E-2</v>
      </c>
      <c r="AK1018" s="5">
        <f>(vp.data[[#This Row],[Dens]]-INDEX(crudeBD.lkup[Mean_Dens],MATCH(vp.data[[#This Row],[Crude_Breakdown]],crudeBD.lkup[Crude Breakdown],0)))^2</f>
        <v>3.3015264640249229</v>
      </c>
      <c r="AL1018" s="5">
        <f>(vp.data[[#This Row],[Sulf]]-INDEX(crudeBD.lkup[Mean_Sulf],MATCH(vp.data[[#This Row],[Crude_Breakdown]],crudeBD.lkup[Crude Breakdown],0)))^2</f>
        <v>2.6694472943363252E-2</v>
      </c>
      <c r="AM1018" s="4">
        <f>IF(AND(vp.data[[#This Row],[SDate]]&gt;=DATE(YEAR(vp.data[[#This Row],[SDate]]),5,1),vp.data[[#This Row],[SDate]]&lt;=DATE(YEAR(vp.data[[#This Row],[SDate]]),9,15)),1,0)</f>
        <v>0</v>
      </c>
      <c r="AN1018" s="4">
        <f>IF(vp.data[[#This Row],[SDate]]&lt;DATE(2016,12,1),0,1)</f>
        <v>1</v>
      </c>
      <c r="AO1018" s="4">
        <f>IFERROR(vp.data[[#This Row],[Sulf]]*vp.data[[#This Row],[Net Dens]],"")</f>
        <v>14321702.530674003</v>
      </c>
      <c r="AP1018">
        <f>IFERROR(vp.data[[#This Row],[Dens]]*vp.data[[#This Row],[VolumeM3]],"")</f>
        <v>5493556.7820000006</v>
      </c>
      <c r="AQ1018" s="15">
        <f>IFERROR(vp.data[[#This Row],[VP]]*vp.data[[#This Row],[VolumeM3]],"")</f>
        <v>437974.28639999998</v>
      </c>
    </row>
    <row r="1019" spans="1:43" x14ac:dyDescent="0.25">
      <c r="A1019">
        <v>1018</v>
      </c>
      <c r="B1019" t="s">
        <v>96</v>
      </c>
      <c r="C1019" t="s">
        <v>96</v>
      </c>
      <c r="D1019" t="s">
        <v>97</v>
      </c>
      <c r="F1019" s="1">
        <v>42808</v>
      </c>
      <c r="G1019" s="2">
        <v>80.16</v>
      </c>
      <c r="H1019" s="2"/>
      <c r="I1019" s="2">
        <f t="array" ref="I1019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019" s="2">
        <v>27.3</v>
      </c>
      <c r="K1019" s="2">
        <v>-8</v>
      </c>
      <c r="L1019" s="2">
        <v>818.6</v>
      </c>
      <c r="M1019" s="2">
        <f t="array" ref="M1019">_xlfn.IFNA(IF(vp.data[[#This Row],[Dens Input]]="",INDEX([1]DATA!$O$3:$O$9826,MATCH(1,(vp.data[[#This Row],[Battery]]=[1]DATA!$L$3:$L$9826)*(EOMONTH(vp.data[[#This Row],[SDate]],-1)+1=[1]DATA!$G$3:$G$9826),0)),vp.data[[#This Row],[Dens Input]]),"")</f>
        <v>818.6</v>
      </c>
      <c r="N1019" s="2">
        <f ca="1">INDEX(INDIRECT(_xlfn.CONCAT("weather.tbl[",N$1,"]")),MATCH(vp.data[[#This Row],[SDate]],weather.tbl[Date],0))</f>
        <v>-9.3500000000000014</v>
      </c>
      <c r="O1019" s="2">
        <f ca="1">INDEX(INDIRECT(_xlfn.CONCAT("weather.tbl[",O$1,"]")),MATCH(vp.data[[#This Row],[SDate]],weather.tbl[Date],0))</f>
        <v>-16.659523809523812</v>
      </c>
      <c r="P1019" s="2">
        <f ca="1">INDEX(INDIRECT(_xlfn.CONCAT("weather.tbl[",P$1,"]")),MATCH(vp.data[[#This Row],[SDate]],weather.tbl[Date],0))</f>
        <v>-8.4</v>
      </c>
      <c r="Q1019" s="2">
        <f ca="1">INDEX(INDIRECT(_xlfn.CONCAT("weather.tbl[",Q$1,"]")),MATCH(vp.data[[#This Row],[SDate]],weather.tbl[Date],0))</f>
        <v>-9</v>
      </c>
      <c r="R1019" s="2">
        <f ca="1">INDEX(INDIRECT(_xlfn.CONCAT("weather.tbl[",R$1,"]")),MATCH(vp.data[[#This Row],[SDate]],weather.tbl[Date],0))</f>
        <v>-11.3</v>
      </c>
      <c r="S1019" s="2">
        <f ca="1">INDEX(INDIRECT(_xlfn.CONCAT("weather.tbl[",S$1,"]")),MATCH(vp.data[[#This Row],[SDate]],weather.tbl[Date],0))</f>
        <v>-7.5</v>
      </c>
      <c r="T1019" s="2">
        <f ca="1">INDEX(INDIRECT(_xlfn.CONCAT("weather.tbl[",T$1,"]")),MATCH(vp.data[[#This Row],[SDate]],weather.tbl[Date],0))</f>
        <v>-9.6</v>
      </c>
      <c r="U1019" s="2">
        <f ca="1">INDEX(INDIRECT(_xlfn.CONCAT("weather.tbl[",U$1,"]")),MATCH(vp.data[[#This Row],[SDate]],weather.tbl[Date],0))</f>
        <v>-10.3</v>
      </c>
      <c r="V1019" s="2">
        <f t="array" ref="V10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6750.8019999999997</v>
      </c>
      <c r="W1019" t="s">
        <v>48</v>
      </c>
      <c r="X1019">
        <f>IF(OR(vp.data[[#This Row],[Sulf]]="",vp.data[[#This Row],[Dens]]=""),1,0)</f>
        <v>0</v>
      </c>
      <c r="Y1019">
        <f>IF(vp.data[[#This Row],[CrudeType]]="C5+",1,0)</f>
        <v>0</v>
      </c>
      <c r="Z1019">
        <f>IF(AND(vp.data[[#This Row],[CrudeType]]="Crude",vp.data[[#This Row],[Dens]]&lt;=825,vp.data[[#This Row],[Sulf]]&gt;0.5,vp.data[[#This Row],[Unknown]]=0),1,0)</f>
        <v>1</v>
      </c>
      <c r="AA1019">
        <f>IF(AND(vp.data[[#This Row],[CrudeType]]="Crude",vp.data[[#This Row],[Dens]]&lt;=825,vp.data[[#This Row],[Sulf]]&lt;=0.5,vp.data[[#This Row],[Unknown]]=0),1,0)</f>
        <v>0</v>
      </c>
      <c r="AB10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19">
        <f>IF(AND(vp.data[[#This Row],[CrudeType]]="Crude",vp.data[[#This Row],[Dens]]&gt;825,vp.data[[#This Row],[Dens]]&lt;=900,vp.data[[#This Row],[Sulf]]&lt;=0.5,vp.data[[#This Row],[Unknown]]=0),1,0)</f>
        <v>0</v>
      </c>
      <c r="AD1019">
        <f>IF(AND(vp.data[[#This Row],[CrudeType]]="Crude",vp.data[[#This Row],[Dens]]&gt;865,vp.data[[#This Row],[Dens]]&lt;=900,vp.data[[#This Row],[Sulf]]&gt;2,vp.data[[#This Row],[Unknown]]=0),1,0)</f>
        <v>0</v>
      </c>
      <c r="AE1019">
        <f>IF(AND(vp.data[[#This Row],[CrudeType]]="Crude",vp.data[[#This Row],[Dens]]&gt;900,vp.data[[#This Row],[Sulf]]&lt;=0.5,vp.data[[#This Row],[Unknown]]=0),1,0)</f>
        <v>0</v>
      </c>
      <c r="AF1019">
        <f>IF(AND(vp.data[[#This Row],[CrudeType]]="Crude",vp.data[[#This Row],[Dens]]&gt;900,vp.data[[#This Row],[Sulf]]&lt;=0.5,vp.data[[#This Row],[Unknown]]=0),1,0)</f>
        <v>0</v>
      </c>
      <c r="AG1019" t="str">
        <f>INDEX(vp.data[[#Headers],[Unknown]:[Heavy_SW]],MATCH(1,vp.data[[#This Row],[Unknown]:[Heavy_SW]],0))</f>
        <v>Light_LSB</v>
      </c>
      <c r="AH1019">
        <f>INDEX([3]!crudeBD.lkup[Number],MATCH(vp.data[[#This Row],[Crude_Breakdown]],crudeBD.lkup[Crude Breakdown],0))</f>
        <v>1</v>
      </c>
      <c r="AI1019">
        <f>MONTH(vp.data[[#This Row],[SDate]])</f>
        <v>3</v>
      </c>
      <c r="AJ1019" s="5">
        <f>(vp.data[[#This Row],[VP]]-INDEX(crudeBD.lkup[Mean_VP],MATCH(vp.data[[#This Row],[Crude_Breakdown]],crudeBD.lkup[Crude Breakdown],0)))^2</f>
        <v>129.64522176639466</v>
      </c>
      <c r="AK1019" s="5">
        <f>(vp.data[[#This Row],[Dens]]-INDEX(crudeBD.lkup[Mean_Dens],MATCH(vp.data[[#This Row],[Crude_Breakdown]],crudeBD.lkup[Crude Breakdown],0)))^2</f>
        <v>6.9272729420383362E-3</v>
      </c>
      <c r="AL1019" s="5">
        <f>(vp.data[[#This Row],[Sulf]]-INDEX(crudeBD.lkup[Mean_Sulf],MATCH(vp.data[[#This Row],[Crude_Breakdown]],crudeBD.lkup[Crude Breakdown],0)))^2</f>
        <v>0.15442633918177728</v>
      </c>
      <c r="AM1019" s="4">
        <f>IF(AND(vp.data[[#This Row],[SDate]]&gt;=DATE(YEAR(vp.data[[#This Row],[SDate]]),5,1),vp.data[[#This Row],[SDate]]&lt;=DATE(YEAR(vp.data[[#This Row],[SDate]]),9,15)),1,0)</f>
        <v>0</v>
      </c>
      <c r="AN1019" s="4">
        <f>IF(vp.data[[#This Row],[SDate]]&lt;DATE(2016,12,1),0,1)</f>
        <v>1</v>
      </c>
      <c r="AO1019" s="4">
        <f>IFERROR(vp.data[[#This Row],[Sulf]]*vp.data[[#This Row],[Net Dens]],"")</f>
        <v>2928889.4541159999</v>
      </c>
      <c r="AP1019">
        <f>IFERROR(vp.data[[#This Row],[Dens]]*vp.data[[#This Row],[VolumeM3]],"")</f>
        <v>5526206.5171999997</v>
      </c>
      <c r="AQ1019" s="15">
        <f>IFERROR(vp.data[[#This Row],[VP]]*vp.data[[#This Row],[VolumeM3]],"")</f>
        <v>541144.28831999993</v>
      </c>
    </row>
    <row r="1020" spans="1:43" x14ac:dyDescent="0.25">
      <c r="A1020">
        <v>1019</v>
      </c>
      <c r="B1020" t="s">
        <v>51</v>
      </c>
      <c r="C1020" t="s">
        <v>51</v>
      </c>
      <c r="D1020" t="s">
        <v>66</v>
      </c>
      <c r="F1020" s="1">
        <v>42808</v>
      </c>
      <c r="G1020" s="2">
        <v>81.36</v>
      </c>
      <c r="H1020" s="2"/>
      <c r="I1020" s="2">
        <f t="array" ref="I1020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1020" s="2">
        <v>4.4000000000000004</v>
      </c>
      <c r="K1020" s="2">
        <v>-8</v>
      </c>
      <c r="L1020" s="2">
        <v>824.7</v>
      </c>
      <c r="M1020" s="2">
        <f t="array" ref="M1020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020" s="2">
        <f ca="1">INDEX(INDIRECT(_xlfn.CONCAT("weather.tbl[",N$1,"]")),MATCH(vp.data[[#This Row],[SDate]],weather.tbl[Date],0))</f>
        <v>-9.3500000000000014</v>
      </c>
      <c r="O1020" s="2">
        <f ca="1">INDEX(INDIRECT(_xlfn.CONCAT("weather.tbl[",O$1,"]")),MATCH(vp.data[[#This Row],[SDate]],weather.tbl[Date],0))</f>
        <v>-16.659523809523812</v>
      </c>
      <c r="P1020" s="2">
        <f ca="1">INDEX(INDIRECT(_xlfn.CONCAT("weather.tbl[",P$1,"]")),MATCH(vp.data[[#This Row],[SDate]],weather.tbl[Date],0))</f>
        <v>-8.4</v>
      </c>
      <c r="Q1020" s="2">
        <f ca="1">INDEX(INDIRECT(_xlfn.CONCAT("weather.tbl[",Q$1,"]")),MATCH(vp.data[[#This Row],[SDate]],weather.tbl[Date],0))</f>
        <v>-9</v>
      </c>
      <c r="R1020" s="2">
        <f ca="1">INDEX(INDIRECT(_xlfn.CONCAT("weather.tbl[",R$1,"]")),MATCH(vp.data[[#This Row],[SDate]],weather.tbl[Date],0))</f>
        <v>-11.3</v>
      </c>
      <c r="S1020" s="2">
        <f ca="1">INDEX(INDIRECT(_xlfn.CONCAT("weather.tbl[",S$1,"]")),MATCH(vp.data[[#This Row],[SDate]],weather.tbl[Date],0))</f>
        <v>-7.5</v>
      </c>
      <c r="T1020" s="2">
        <f ca="1">INDEX(INDIRECT(_xlfn.CONCAT("weather.tbl[",T$1,"]")),MATCH(vp.data[[#This Row],[SDate]],weather.tbl[Date],0))</f>
        <v>-9.6</v>
      </c>
      <c r="U1020" s="2">
        <f ca="1">INDEX(INDIRECT(_xlfn.CONCAT("weather.tbl[",U$1,"]")),MATCH(vp.data[[#This Row],[SDate]],weather.tbl[Date],0))</f>
        <v>-10.3</v>
      </c>
      <c r="V1020" s="2">
        <f t="array" ref="V10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3482.7910000000002</v>
      </c>
      <c r="W1020" t="s">
        <v>48</v>
      </c>
      <c r="X1020">
        <f>IF(OR(vp.data[[#This Row],[Sulf]]="",vp.data[[#This Row],[Dens]]=""),1,0)</f>
        <v>0</v>
      </c>
      <c r="Y1020">
        <f>IF(vp.data[[#This Row],[CrudeType]]="C5+",1,0)</f>
        <v>0</v>
      </c>
      <c r="Z1020">
        <f>IF(AND(vp.data[[#This Row],[CrudeType]]="Crude",vp.data[[#This Row],[Dens]]&lt;=825,vp.data[[#This Row],[Sulf]]&gt;0.5,vp.data[[#This Row],[Unknown]]=0),1,0)</f>
        <v>1</v>
      </c>
      <c r="AA1020">
        <f>IF(AND(vp.data[[#This Row],[CrudeType]]="Crude",vp.data[[#This Row],[Dens]]&lt;=825,vp.data[[#This Row],[Sulf]]&lt;=0.5,vp.data[[#This Row],[Unknown]]=0),1,0)</f>
        <v>0</v>
      </c>
      <c r="AB10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20">
        <f>IF(AND(vp.data[[#This Row],[CrudeType]]="Crude",vp.data[[#This Row],[Dens]]&gt;825,vp.data[[#This Row],[Dens]]&lt;=900,vp.data[[#This Row],[Sulf]]&lt;=0.5,vp.data[[#This Row],[Unknown]]=0),1,0)</f>
        <v>0</v>
      </c>
      <c r="AD1020">
        <f>IF(AND(vp.data[[#This Row],[CrudeType]]="Crude",vp.data[[#This Row],[Dens]]&gt;865,vp.data[[#This Row],[Dens]]&lt;=900,vp.data[[#This Row],[Sulf]]&gt;2,vp.data[[#This Row],[Unknown]]=0),1,0)</f>
        <v>0</v>
      </c>
      <c r="AE1020">
        <f>IF(AND(vp.data[[#This Row],[CrudeType]]="Crude",vp.data[[#This Row],[Dens]]&gt;900,vp.data[[#This Row],[Sulf]]&lt;=0.5,vp.data[[#This Row],[Unknown]]=0),1,0)</f>
        <v>0</v>
      </c>
      <c r="AF1020">
        <f>IF(AND(vp.data[[#This Row],[CrudeType]]="Crude",vp.data[[#This Row],[Dens]]&gt;900,vp.data[[#This Row],[Sulf]]&lt;=0.5,vp.data[[#This Row],[Unknown]]=0),1,0)</f>
        <v>0</v>
      </c>
      <c r="AG1020" t="str">
        <f>INDEX(vp.data[[#Headers],[Unknown]:[Heavy_SW]],MATCH(1,vp.data[[#This Row],[Unknown]:[Heavy_SW]],0))</f>
        <v>Light_LSB</v>
      </c>
      <c r="AH1020">
        <f>INDEX([3]!crudeBD.lkup[Number],MATCH(vp.data[[#This Row],[Crude_Breakdown]],crudeBD.lkup[Crude Breakdown],0))</f>
        <v>1</v>
      </c>
      <c r="AI1020">
        <f>MONTH(vp.data[[#This Row],[SDate]])</f>
        <v>3</v>
      </c>
      <c r="AJ1020" s="5">
        <f>(vp.data[[#This Row],[VP]]-INDEX(crudeBD.lkup[Mean_VP],MATCH(vp.data[[#This Row],[Crude_Breakdown]],crudeBD.lkup[Crude Breakdown],0)))^2</f>
        <v>103.75837640556978</v>
      </c>
      <c r="AK1020" s="5">
        <f>(vp.data[[#This Row],[Dens]]-INDEX(crudeBD.lkup[Mean_Dens],MATCH(vp.data[[#This Row],[Crude_Breakdown]],crudeBD.lkup[Crude Breakdown],0)))^2</f>
        <v>38.232336207654335</v>
      </c>
      <c r="AL1020" s="5">
        <f>(vp.data[[#This Row],[Sulf]]-INDEX(crudeBD.lkup[Mean_Sulf],MATCH(vp.data[[#This Row],[Crude_Breakdown]],crudeBD.lkup[Crude Breakdown],0)))^2</f>
        <v>0.19099419966287745</v>
      </c>
      <c r="AM1020" s="4">
        <f>IF(AND(vp.data[[#This Row],[SDate]]&gt;=DATE(YEAR(vp.data[[#This Row],[SDate]]),5,1),vp.data[[#This Row],[SDate]]&lt;=DATE(YEAR(vp.data[[#This Row],[SDate]]),9,15)),1,0)</f>
        <v>0</v>
      </c>
      <c r="AN1020" s="4">
        <f>IF(vp.data[[#This Row],[SDate]]&lt;DATE(2016,12,1),0,1)</f>
        <v>1</v>
      </c>
      <c r="AO1020" s="4">
        <f>IFERROR(vp.data[[#This Row],[Sulf]]*vp.data[[#This Row],[Net Dens]],"")</f>
        <v>3906270.5232720007</v>
      </c>
      <c r="AP1020">
        <f>IFERROR(vp.data[[#This Row],[Dens]]*vp.data[[#This Row],[VolumeM3]],"")</f>
        <v>2872257.7377000004</v>
      </c>
      <c r="AQ1020" s="15">
        <f>IFERROR(vp.data[[#This Row],[VP]]*vp.data[[#This Row],[VolumeM3]],"")</f>
        <v>283359.87576000002</v>
      </c>
    </row>
    <row r="1021" spans="1:43" x14ac:dyDescent="0.25">
      <c r="A1021">
        <v>1020</v>
      </c>
      <c r="B1021" t="s">
        <v>51</v>
      </c>
      <c r="C1021" t="s">
        <v>51</v>
      </c>
      <c r="D1021" t="s">
        <v>71</v>
      </c>
      <c r="F1021" s="1">
        <v>42808</v>
      </c>
      <c r="G1021" s="2">
        <v>96.2</v>
      </c>
      <c r="H1021" s="2"/>
      <c r="I1021" s="2">
        <f t="array" ref="I1021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1021" s="2">
        <v>5.3</v>
      </c>
      <c r="K1021" s="2">
        <v>-8</v>
      </c>
      <c r="L1021" s="2">
        <v>827.7</v>
      </c>
      <c r="M1021" s="2">
        <f t="array" ref="M1021">_xlfn.IFNA(IF(vp.data[[#This Row],[Dens Input]]="",INDEX([1]DATA!$O$3:$O$9826,MATCH(1,(vp.data[[#This Row],[Battery]]=[1]DATA!$L$3:$L$9826)*(EOMONTH(vp.data[[#This Row],[SDate]],-1)+1=[1]DATA!$G$3:$G$9826),0)),vp.data[[#This Row],[Dens Input]]),"")</f>
        <v>827.7</v>
      </c>
      <c r="N1021" s="2">
        <f ca="1">INDEX(INDIRECT(_xlfn.CONCAT("weather.tbl[",N$1,"]")),MATCH(vp.data[[#This Row],[SDate]],weather.tbl[Date],0))</f>
        <v>-9.3500000000000014</v>
      </c>
      <c r="O1021" s="2">
        <f ca="1">INDEX(INDIRECT(_xlfn.CONCAT("weather.tbl[",O$1,"]")),MATCH(vp.data[[#This Row],[SDate]],weather.tbl[Date],0))</f>
        <v>-16.659523809523812</v>
      </c>
      <c r="P1021" s="2">
        <f ca="1">INDEX(INDIRECT(_xlfn.CONCAT("weather.tbl[",P$1,"]")),MATCH(vp.data[[#This Row],[SDate]],weather.tbl[Date],0))</f>
        <v>-8.4</v>
      </c>
      <c r="Q1021" s="2">
        <f ca="1">INDEX(INDIRECT(_xlfn.CONCAT("weather.tbl[",Q$1,"]")),MATCH(vp.data[[#This Row],[SDate]],weather.tbl[Date],0))</f>
        <v>-9</v>
      </c>
      <c r="R1021" s="2">
        <f ca="1">INDEX(INDIRECT(_xlfn.CONCAT("weather.tbl[",R$1,"]")),MATCH(vp.data[[#This Row],[SDate]],weather.tbl[Date],0))</f>
        <v>-11.3</v>
      </c>
      <c r="S1021" s="2">
        <f ca="1">INDEX(INDIRECT(_xlfn.CONCAT("weather.tbl[",S$1,"]")),MATCH(vp.data[[#This Row],[SDate]],weather.tbl[Date],0))</f>
        <v>-7.5</v>
      </c>
      <c r="T1021" s="2">
        <f ca="1">INDEX(INDIRECT(_xlfn.CONCAT("weather.tbl[",T$1,"]")),MATCH(vp.data[[#This Row],[SDate]],weather.tbl[Date],0))</f>
        <v>-9.6</v>
      </c>
      <c r="U1021" s="2">
        <f ca="1">INDEX(INDIRECT(_xlfn.CONCAT("weather.tbl[",U$1,"]")),MATCH(vp.data[[#This Row],[SDate]],weather.tbl[Date],0))</f>
        <v>-10.3</v>
      </c>
      <c r="V1021" s="2">
        <f t="array" ref="V10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7995.5450000000001</v>
      </c>
      <c r="W1021" t="s">
        <v>48</v>
      </c>
      <c r="X1021">
        <f>IF(OR(vp.data[[#This Row],[Sulf]]="",vp.data[[#This Row],[Dens]]=""),1,0)</f>
        <v>0</v>
      </c>
      <c r="Y1021">
        <f>IF(vp.data[[#This Row],[CrudeType]]="C5+",1,0)</f>
        <v>0</v>
      </c>
      <c r="Z1021">
        <f>IF(AND(vp.data[[#This Row],[CrudeType]]="Crude",vp.data[[#This Row],[Dens]]&lt;=825,vp.data[[#This Row],[Sulf]]&gt;0.5,vp.data[[#This Row],[Unknown]]=0),1,0)</f>
        <v>0</v>
      </c>
      <c r="AA1021">
        <f>IF(AND(vp.data[[#This Row],[CrudeType]]="Crude",vp.data[[#This Row],[Dens]]&lt;=825,vp.data[[#This Row],[Sulf]]&lt;=0.5,vp.data[[#This Row],[Unknown]]=0),1,0)</f>
        <v>0</v>
      </c>
      <c r="AB10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1">
        <f>IF(AND(vp.data[[#This Row],[CrudeType]]="Crude",vp.data[[#This Row],[Dens]]&gt;825,vp.data[[#This Row],[Dens]]&lt;=900,vp.data[[#This Row],[Sulf]]&lt;=0.5,vp.data[[#This Row],[Unknown]]=0),1,0)</f>
        <v>0</v>
      </c>
      <c r="AD1021">
        <f>IF(AND(vp.data[[#This Row],[CrudeType]]="Crude",vp.data[[#This Row],[Dens]]&gt;865,vp.data[[#This Row],[Dens]]&lt;=900,vp.data[[#This Row],[Sulf]]&gt;2,vp.data[[#This Row],[Unknown]]=0),1,0)</f>
        <v>0</v>
      </c>
      <c r="AE1021">
        <f>IF(AND(vp.data[[#This Row],[CrudeType]]="Crude",vp.data[[#This Row],[Dens]]&gt;900,vp.data[[#This Row],[Sulf]]&lt;=0.5,vp.data[[#This Row],[Unknown]]=0),1,0)</f>
        <v>0</v>
      </c>
      <c r="AF1021">
        <f>IF(AND(vp.data[[#This Row],[CrudeType]]="Crude",vp.data[[#This Row],[Dens]]&gt;900,vp.data[[#This Row],[Sulf]]&lt;=0.5,vp.data[[#This Row],[Unknown]]=0),1,0)</f>
        <v>0</v>
      </c>
      <c r="AG1021" t="str">
        <f>INDEX(vp.data[[#Headers],[Unknown]:[Heavy_SW]],MATCH(1,vp.data[[#This Row],[Unknown]:[Heavy_SW]],0))</f>
        <v>Medium_LSB</v>
      </c>
      <c r="AH1021">
        <f>INDEX([3]!crudeBD.lkup[Number],MATCH(vp.data[[#This Row],[Crude_Breakdown]],crudeBD.lkup[Crude Breakdown],0))</f>
        <v>3</v>
      </c>
      <c r="AI1021">
        <f>MONTH(vp.data[[#This Row],[SDate]])</f>
        <v>3</v>
      </c>
      <c r="AJ1021" s="5">
        <f>(vp.data[[#This Row],[VP]]-INDEX(crudeBD.lkup[Mean_VP],MATCH(vp.data[[#This Row],[Crude_Breakdown]],crudeBD.lkup[Crude Breakdown],0)))^2</f>
        <v>242.12366587281639</v>
      </c>
      <c r="AK1021" s="5">
        <f>(vp.data[[#This Row],[Dens]]-INDEX(crudeBD.lkup[Mean_Dens],MATCH(vp.data[[#This Row],[Crude_Breakdown]],crudeBD.lkup[Crude Breakdown],0)))^2</f>
        <v>263.08839999998247</v>
      </c>
      <c r="AL1021" s="5">
        <f>(vp.data[[#This Row],[Sulf]]-INDEX(crudeBD.lkup[Mean_Sulf],MATCH(vp.data[[#This Row],[Crude_Breakdown]],crudeBD.lkup[Crude Breakdown],0)))^2</f>
        <v>5.5033347025611072E-2</v>
      </c>
      <c r="AM1021" s="4">
        <f>IF(AND(vp.data[[#This Row],[SDate]]&gt;=DATE(YEAR(vp.data[[#This Row],[SDate]]),5,1),vp.data[[#This Row],[SDate]]&lt;=DATE(YEAR(vp.data[[#This Row],[SDate]]),9,15)),1,0)</f>
        <v>0</v>
      </c>
      <c r="AN1021" s="4">
        <f>IF(vp.data[[#This Row],[SDate]]&lt;DATE(2016,12,1),0,1)</f>
        <v>1</v>
      </c>
      <c r="AO1021" s="4">
        <f>IFERROR(vp.data[[#This Row],[Sulf]]*vp.data[[#This Row],[Net Dens]],"")</f>
        <v>10721018.406330001</v>
      </c>
      <c r="AP1021">
        <f>IFERROR(vp.data[[#This Row],[Dens]]*vp.data[[#This Row],[VolumeM3]],"")</f>
        <v>6617912.5965</v>
      </c>
      <c r="AQ1021" s="15">
        <f>IFERROR(vp.data[[#This Row],[VP]]*vp.data[[#This Row],[VolumeM3]],"")</f>
        <v>769171.429</v>
      </c>
    </row>
    <row r="1022" spans="1:43" x14ac:dyDescent="0.25">
      <c r="A1022">
        <v>1021</v>
      </c>
      <c r="B1022" t="s">
        <v>108</v>
      </c>
      <c r="C1022" t="s">
        <v>108</v>
      </c>
      <c r="D1022" t="s">
        <v>109</v>
      </c>
      <c r="F1022" s="1">
        <v>42808</v>
      </c>
      <c r="G1022" s="2">
        <v>94.36</v>
      </c>
      <c r="H1022" s="2"/>
      <c r="I1022" s="2">
        <f t="array" ref="I1022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1022" s="2">
        <v>20.2</v>
      </c>
      <c r="K1022" s="2">
        <v>-8</v>
      </c>
      <c r="L1022" s="2">
        <v>834.3</v>
      </c>
      <c r="M1022" s="2">
        <f t="array" ref="M1022">_xlfn.IFNA(IF(vp.data[[#This Row],[Dens Input]]="",INDEX([1]DATA!$O$3:$O$9826,MATCH(1,(vp.data[[#This Row],[Battery]]=[1]DATA!$L$3:$L$9826)*(EOMONTH(vp.data[[#This Row],[SDate]],-1)+1=[1]DATA!$G$3:$G$9826),0)),vp.data[[#This Row],[Dens Input]]),"")</f>
        <v>834.3</v>
      </c>
      <c r="N1022" s="2">
        <f ca="1">INDEX(INDIRECT(_xlfn.CONCAT("weather.tbl[",N$1,"]")),MATCH(vp.data[[#This Row],[SDate]],weather.tbl[Date],0))</f>
        <v>-9.3500000000000014</v>
      </c>
      <c r="O1022" s="2">
        <f ca="1">INDEX(INDIRECT(_xlfn.CONCAT("weather.tbl[",O$1,"]")),MATCH(vp.data[[#This Row],[SDate]],weather.tbl[Date],0))</f>
        <v>-16.659523809523812</v>
      </c>
      <c r="P1022" s="2">
        <f ca="1">INDEX(INDIRECT(_xlfn.CONCAT("weather.tbl[",P$1,"]")),MATCH(vp.data[[#This Row],[SDate]],weather.tbl[Date],0))</f>
        <v>-8.4</v>
      </c>
      <c r="Q1022" s="2">
        <f ca="1">INDEX(INDIRECT(_xlfn.CONCAT("weather.tbl[",Q$1,"]")),MATCH(vp.data[[#This Row],[SDate]],weather.tbl[Date],0))</f>
        <v>-9</v>
      </c>
      <c r="R1022" s="2">
        <f ca="1">INDEX(INDIRECT(_xlfn.CONCAT("weather.tbl[",R$1,"]")),MATCH(vp.data[[#This Row],[SDate]],weather.tbl[Date],0))</f>
        <v>-11.3</v>
      </c>
      <c r="S1022" s="2">
        <f ca="1">INDEX(INDIRECT(_xlfn.CONCAT("weather.tbl[",S$1,"]")),MATCH(vp.data[[#This Row],[SDate]],weather.tbl[Date],0))</f>
        <v>-7.5</v>
      </c>
      <c r="T1022" s="2">
        <f ca="1">INDEX(INDIRECT(_xlfn.CONCAT("weather.tbl[",T$1,"]")),MATCH(vp.data[[#This Row],[SDate]],weather.tbl[Date],0))</f>
        <v>-9.6</v>
      </c>
      <c r="U1022" s="2">
        <f ca="1">INDEX(INDIRECT(_xlfn.CONCAT("weather.tbl[",U$1,"]")),MATCH(vp.data[[#This Row],[SDate]],weather.tbl[Date],0))</f>
        <v>-10.3</v>
      </c>
      <c r="V1022" s="2">
        <f t="array" ref="V10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9449.0609999999997</v>
      </c>
      <c r="W1022" t="s">
        <v>48</v>
      </c>
      <c r="X1022">
        <f>IF(OR(vp.data[[#This Row],[Sulf]]="",vp.data[[#This Row],[Dens]]=""),1,0)</f>
        <v>0</v>
      </c>
      <c r="Y1022">
        <f>IF(vp.data[[#This Row],[CrudeType]]="C5+",1,0)</f>
        <v>0</v>
      </c>
      <c r="Z1022">
        <f>IF(AND(vp.data[[#This Row],[CrudeType]]="Crude",vp.data[[#This Row],[Dens]]&lt;=825,vp.data[[#This Row],[Sulf]]&gt;0.5,vp.data[[#This Row],[Unknown]]=0),1,0)</f>
        <v>0</v>
      </c>
      <c r="AA1022">
        <f>IF(AND(vp.data[[#This Row],[CrudeType]]="Crude",vp.data[[#This Row],[Dens]]&lt;=825,vp.data[[#This Row],[Sulf]]&lt;=0.5,vp.data[[#This Row],[Unknown]]=0),1,0)</f>
        <v>0</v>
      </c>
      <c r="AB10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2">
        <f>IF(AND(vp.data[[#This Row],[CrudeType]]="Crude",vp.data[[#This Row],[Dens]]&gt;825,vp.data[[#This Row],[Dens]]&lt;=900,vp.data[[#This Row],[Sulf]]&lt;=0.5,vp.data[[#This Row],[Unknown]]=0),1,0)</f>
        <v>0</v>
      </c>
      <c r="AD1022">
        <f>IF(AND(vp.data[[#This Row],[CrudeType]]="Crude",vp.data[[#This Row],[Dens]]&gt;865,vp.data[[#This Row],[Dens]]&lt;=900,vp.data[[#This Row],[Sulf]]&gt;2,vp.data[[#This Row],[Unknown]]=0),1,0)</f>
        <v>0</v>
      </c>
      <c r="AE1022">
        <f>IF(AND(vp.data[[#This Row],[CrudeType]]="Crude",vp.data[[#This Row],[Dens]]&gt;900,vp.data[[#This Row],[Sulf]]&lt;=0.5,vp.data[[#This Row],[Unknown]]=0),1,0)</f>
        <v>0</v>
      </c>
      <c r="AF1022">
        <f>IF(AND(vp.data[[#This Row],[CrudeType]]="Crude",vp.data[[#This Row],[Dens]]&gt;900,vp.data[[#This Row],[Sulf]]&lt;=0.5,vp.data[[#This Row],[Unknown]]=0),1,0)</f>
        <v>0</v>
      </c>
      <c r="AG1022" t="str">
        <f>INDEX(vp.data[[#Headers],[Unknown]:[Heavy_SW]],MATCH(1,vp.data[[#This Row],[Unknown]:[Heavy_SW]],0))</f>
        <v>Medium_LSB</v>
      </c>
      <c r="AH1022">
        <f>INDEX([3]!crudeBD.lkup[Number],MATCH(vp.data[[#This Row],[Crude_Breakdown]],crudeBD.lkup[Crude Breakdown],0))</f>
        <v>3</v>
      </c>
      <c r="AI1022">
        <f>MONTH(vp.data[[#This Row],[SDate]])</f>
        <v>3</v>
      </c>
      <c r="AJ1022" s="5">
        <f>(vp.data[[#This Row],[VP]]-INDEX(crudeBD.lkup[Mean_VP],MATCH(vp.data[[#This Row],[Crude_Breakdown]],crudeBD.lkup[Crude Breakdown],0)))^2</f>
        <v>188.24727557632005</v>
      </c>
      <c r="AK1022" s="5">
        <f>(vp.data[[#This Row],[Dens]]-INDEX(crudeBD.lkup[Mean_Dens],MATCH(vp.data[[#This Row],[Crude_Breakdown]],crudeBD.lkup[Crude Breakdown],0)))^2</f>
        <v>92.544399999991342</v>
      </c>
      <c r="AL1022" s="5">
        <f>(vp.data[[#This Row],[Sulf]]-INDEX(crudeBD.lkup[Mean_Sulf],MATCH(vp.data[[#This Row],[Crude_Breakdown]],crudeBD.lkup[Crude Breakdown],0)))^2</f>
        <v>0.35451083732210947</v>
      </c>
      <c r="AM1022" s="4">
        <f>IF(AND(vp.data[[#This Row],[SDate]]&gt;=DATE(YEAR(vp.data[[#This Row],[SDate]]),5,1),vp.data[[#This Row],[SDate]]&lt;=DATE(YEAR(vp.data[[#This Row],[SDate]]),9,15)),1,0)</f>
        <v>0</v>
      </c>
      <c r="AN1022" s="4">
        <f>IF(vp.data[[#This Row],[SDate]]&lt;DATE(2016,12,1),0,1)</f>
        <v>1</v>
      </c>
      <c r="AO1022" s="4">
        <f>IFERROR(vp.data[[#This Row],[Sulf]]*vp.data[[#This Row],[Net Dens]],"")</f>
        <v>6227847.757917</v>
      </c>
      <c r="AP1022">
        <f>IFERROR(vp.data[[#This Row],[Dens]]*vp.data[[#This Row],[VolumeM3]],"")</f>
        <v>7883351.5922999997</v>
      </c>
      <c r="AQ1022" s="15">
        <f>IFERROR(vp.data[[#This Row],[VP]]*vp.data[[#This Row],[VolumeM3]],"")</f>
        <v>891613.39595999999</v>
      </c>
    </row>
    <row r="1023" spans="1:43" x14ac:dyDescent="0.25">
      <c r="A1023">
        <v>1022</v>
      </c>
      <c r="B1023" t="s">
        <v>111</v>
      </c>
      <c r="C1023" t="s">
        <v>111</v>
      </c>
      <c r="D1023" t="s">
        <v>112</v>
      </c>
      <c r="F1023" s="1">
        <v>42808</v>
      </c>
      <c r="G1023" s="2">
        <v>65.7</v>
      </c>
      <c r="H1023" s="2"/>
      <c r="I1023" s="2">
        <f t="array" ref="I1023">_xlfn.IFNA(IF(vp.data[[#This Row],[Sulf Input]]="",INDEX([1]DATA!$Q$3:$Q$9826,MATCH(1,(vp.data[[#This Row],[Battery]]=[1]DATA!$L$3:$L$9826)*(EOMONTH(vp.data[[#This Row],[SDate]],-1)+1=[1]DATA!$G$3:$G$9826),0)),vp.data[[#This Row],[Sulf Input]]),"")</f>
        <v>1.86</v>
      </c>
      <c r="J1023" s="2">
        <v>30.1</v>
      </c>
      <c r="K1023" s="2">
        <v>-8</v>
      </c>
      <c r="L1023" s="2">
        <v>857.6</v>
      </c>
      <c r="M1023" s="2">
        <f t="array" ref="M1023">_xlfn.IFNA(IF(vp.data[[#This Row],[Dens Input]]="",INDEX([1]DATA!$O$3:$O$9826,MATCH(1,(vp.data[[#This Row],[Battery]]=[1]DATA!$L$3:$L$9826)*(EOMONTH(vp.data[[#This Row],[SDate]],-1)+1=[1]DATA!$G$3:$G$9826),0)),vp.data[[#This Row],[Dens Input]]),"")</f>
        <v>857.6</v>
      </c>
      <c r="N1023" s="2">
        <f ca="1">INDEX(INDIRECT(_xlfn.CONCAT("weather.tbl[",N$1,"]")),MATCH(vp.data[[#This Row],[SDate]],weather.tbl[Date],0))</f>
        <v>-9.3500000000000014</v>
      </c>
      <c r="O1023" s="2">
        <f ca="1">INDEX(INDIRECT(_xlfn.CONCAT("weather.tbl[",O$1,"]")),MATCH(vp.data[[#This Row],[SDate]],weather.tbl[Date],0))</f>
        <v>-16.659523809523812</v>
      </c>
      <c r="P1023" s="2">
        <f ca="1">INDEX(INDIRECT(_xlfn.CONCAT("weather.tbl[",P$1,"]")),MATCH(vp.data[[#This Row],[SDate]],weather.tbl[Date],0))</f>
        <v>-8.4</v>
      </c>
      <c r="Q1023" s="2">
        <f ca="1">INDEX(INDIRECT(_xlfn.CONCAT("weather.tbl[",Q$1,"]")),MATCH(vp.data[[#This Row],[SDate]],weather.tbl[Date],0))</f>
        <v>-9</v>
      </c>
      <c r="R1023" s="2">
        <f ca="1">INDEX(INDIRECT(_xlfn.CONCAT("weather.tbl[",R$1,"]")),MATCH(vp.data[[#This Row],[SDate]],weather.tbl[Date],0))</f>
        <v>-11.3</v>
      </c>
      <c r="S1023" s="2">
        <f ca="1">INDEX(INDIRECT(_xlfn.CONCAT("weather.tbl[",S$1,"]")),MATCH(vp.data[[#This Row],[SDate]],weather.tbl[Date],0))</f>
        <v>-7.5</v>
      </c>
      <c r="T1023" s="2">
        <f ca="1">INDEX(INDIRECT(_xlfn.CONCAT("weather.tbl[",T$1,"]")),MATCH(vp.data[[#This Row],[SDate]],weather.tbl[Date],0))</f>
        <v>-9.6</v>
      </c>
      <c r="U1023" s="2">
        <f ca="1">INDEX(INDIRECT(_xlfn.CONCAT("weather.tbl[",U$1,"]")),MATCH(vp.data[[#This Row],[SDate]],weather.tbl[Date],0))</f>
        <v>-10.3</v>
      </c>
      <c r="V1023" s="2">
        <f t="array" ref="V10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7909.2460000000001</v>
      </c>
      <c r="W1023" t="s">
        <v>48</v>
      </c>
      <c r="X1023">
        <f>IF(OR(vp.data[[#This Row],[Sulf]]="",vp.data[[#This Row],[Dens]]=""),1,0)</f>
        <v>0</v>
      </c>
      <c r="Y1023">
        <f>IF(vp.data[[#This Row],[CrudeType]]="C5+",1,0)</f>
        <v>0</v>
      </c>
      <c r="Z1023">
        <f>IF(AND(vp.data[[#This Row],[CrudeType]]="Crude",vp.data[[#This Row],[Dens]]&lt;=825,vp.data[[#This Row],[Sulf]]&gt;0.5,vp.data[[#This Row],[Unknown]]=0),1,0)</f>
        <v>0</v>
      </c>
      <c r="AA1023">
        <f>IF(AND(vp.data[[#This Row],[CrudeType]]="Crude",vp.data[[#This Row],[Dens]]&lt;=825,vp.data[[#This Row],[Sulf]]&lt;=0.5,vp.data[[#This Row],[Unknown]]=0),1,0)</f>
        <v>0</v>
      </c>
      <c r="AB10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3">
        <f>IF(AND(vp.data[[#This Row],[CrudeType]]="Crude",vp.data[[#This Row],[Dens]]&gt;825,vp.data[[#This Row],[Dens]]&lt;=900,vp.data[[#This Row],[Sulf]]&lt;=0.5,vp.data[[#This Row],[Unknown]]=0),1,0)</f>
        <v>0</v>
      </c>
      <c r="AD1023">
        <f>IF(AND(vp.data[[#This Row],[CrudeType]]="Crude",vp.data[[#This Row],[Dens]]&gt;865,vp.data[[#This Row],[Dens]]&lt;=900,vp.data[[#This Row],[Sulf]]&gt;2,vp.data[[#This Row],[Unknown]]=0),1,0)</f>
        <v>0</v>
      </c>
      <c r="AE1023">
        <f>IF(AND(vp.data[[#This Row],[CrudeType]]="Crude",vp.data[[#This Row],[Dens]]&gt;900,vp.data[[#This Row],[Sulf]]&lt;=0.5,vp.data[[#This Row],[Unknown]]=0),1,0)</f>
        <v>0</v>
      </c>
      <c r="AF1023">
        <f>IF(AND(vp.data[[#This Row],[CrudeType]]="Crude",vp.data[[#This Row],[Dens]]&gt;900,vp.data[[#This Row],[Sulf]]&lt;=0.5,vp.data[[#This Row],[Unknown]]=0),1,0)</f>
        <v>0</v>
      </c>
      <c r="AG1023" t="str">
        <f>INDEX(vp.data[[#Headers],[Unknown]:[Heavy_SW]],MATCH(1,vp.data[[#This Row],[Unknown]:[Heavy_SW]],0))</f>
        <v>Medium_LSB</v>
      </c>
      <c r="AH1023">
        <f>INDEX([3]!crudeBD.lkup[Number],MATCH(vp.data[[#This Row],[Crude_Breakdown]],crudeBD.lkup[Crude Breakdown],0))</f>
        <v>3</v>
      </c>
      <c r="AI1023">
        <f>MONTH(vp.data[[#This Row],[SDate]])</f>
        <v>3</v>
      </c>
      <c r="AJ1023" s="5">
        <f>(vp.data[[#This Row],[VP]]-INDEX(crudeBD.lkup[Mean_VP],MATCH(vp.data[[#This Row],[Crude_Breakdown]],crudeBD.lkup[Crude Breakdown],0)))^2</f>
        <v>223.19393541459081</v>
      </c>
      <c r="AK1023" s="5">
        <f>(vp.data[[#This Row],[Dens]]-INDEX(crudeBD.lkup[Mean_Dens],MATCH(vp.data[[#This Row],[Crude_Breakdown]],crudeBD.lkup[Crude Breakdown],0)))^2</f>
        <v>187.14240000001419</v>
      </c>
      <c r="AL1023" s="5">
        <f>(vp.data[[#This Row],[Sulf]]-INDEX(crudeBD.lkup[Mean_Sulf],MATCH(vp.data[[#This Row],[Crude_Breakdown]],crudeBD.lkup[Crude Breakdown],0)))^2</f>
        <v>0.22523744621698505</v>
      </c>
      <c r="AM1023" s="4">
        <f>IF(AND(vp.data[[#This Row],[SDate]]&gt;=DATE(YEAR(vp.data[[#This Row],[SDate]]),5,1),vp.data[[#This Row],[SDate]]&lt;=DATE(YEAR(vp.data[[#This Row],[SDate]]),9,15)),1,0)</f>
        <v>0</v>
      </c>
      <c r="AN1023" s="4">
        <f>IF(vp.data[[#This Row],[SDate]]&lt;DATE(2016,12,1),0,1)</f>
        <v>1</v>
      </c>
      <c r="AO1023" s="4">
        <f>IFERROR(vp.data[[#This Row],[Sulf]]*vp.data[[#This Row],[Net Dens]],"")</f>
        <v>12616323.027456</v>
      </c>
      <c r="AP1023">
        <f>IFERROR(vp.data[[#This Row],[Dens]]*vp.data[[#This Row],[VolumeM3]],"")</f>
        <v>6782969.3695999999</v>
      </c>
      <c r="AQ1023" s="15">
        <f>IFERROR(vp.data[[#This Row],[VP]]*vp.data[[#This Row],[VolumeM3]],"")</f>
        <v>519637.46220000001</v>
      </c>
    </row>
    <row r="1024" spans="1:43" x14ac:dyDescent="0.25">
      <c r="A1024">
        <v>1023</v>
      </c>
      <c r="B1024" t="s">
        <v>51</v>
      </c>
      <c r="C1024" t="s">
        <v>51</v>
      </c>
      <c r="D1024" t="s">
        <v>52</v>
      </c>
      <c r="F1024" s="1">
        <v>42808</v>
      </c>
      <c r="G1024" s="2">
        <v>74.3</v>
      </c>
      <c r="H1024" s="2"/>
      <c r="I1024" s="2">
        <f t="array" ref="I1024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024" s="2">
        <v>30.1</v>
      </c>
      <c r="K1024" s="2">
        <v>-8</v>
      </c>
      <c r="L1024" s="2">
        <v>868.2</v>
      </c>
      <c r="M1024" s="2">
        <f t="array" ref="M1024">_xlfn.IFNA(IF(vp.data[[#This Row],[Dens Input]]="",INDEX([1]DATA!$O$3:$O$9826,MATCH(1,(vp.data[[#This Row],[Battery]]=[1]DATA!$L$3:$L$9826)*(EOMONTH(vp.data[[#This Row],[SDate]],-1)+1=[1]DATA!$G$3:$G$9826),0)),vp.data[[#This Row],[Dens Input]]),"")</f>
        <v>868.2</v>
      </c>
      <c r="N1024" s="2">
        <f ca="1">INDEX(INDIRECT(_xlfn.CONCAT("weather.tbl[",N$1,"]")),MATCH(vp.data[[#This Row],[SDate]],weather.tbl[Date],0))</f>
        <v>-9.3500000000000014</v>
      </c>
      <c r="O1024" s="2">
        <f ca="1">INDEX(INDIRECT(_xlfn.CONCAT("weather.tbl[",O$1,"]")),MATCH(vp.data[[#This Row],[SDate]],weather.tbl[Date],0))</f>
        <v>-16.659523809523812</v>
      </c>
      <c r="P1024" s="2">
        <f ca="1">INDEX(INDIRECT(_xlfn.CONCAT("weather.tbl[",P$1,"]")),MATCH(vp.data[[#This Row],[SDate]],weather.tbl[Date],0))</f>
        <v>-8.4</v>
      </c>
      <c r="Q1024" s="2">
        <f ca="1">INDEX(INDIRECT(_xlfn.CONCAT("weather.tbl[",Q$1,"]")),MATCH(vp.data[[#This Row],[SDate]],weather.tbl[Date],0))</f>
        <v>-9</v>
      </c>
      <c r="R1024" s="2">
        <f ca="1">INDEX(INDIRECT(_xlfn.CONCAT("weather.tbl[",R$1,"]")),MATCH(vp.data[[#This Row],[SDate]],weather.tbl[Date],0))</f>
        <v>-11.3</v>
      </c>
      <c r="S1024" s="2">
        <f ca="1">INDEX(INDIRECT(_xlfn.CONCAT("weather.tbl[",S$1,"]")),MATCH(vp.data[[#This Row],[SDate]],weather.tbl[Date],0))</f>
        <v>-7.5</v>
      </c>
      <c r="T1024" s="2">
        <f ca="1">INDEX(INDIRECT(_xlfn.CONCAT("weather.tbl[",T$1,"]")),MATCH(vp.data[[#This Row],[SDate]],weather.tbl[Date],0))</f>
        <v>-9.6</v>
      </c>
      <c r="U1024" s="2">
        <f ca="1">INDEX(INDIRECT(_xlfn.CONCAT("weather.tbl[",U$1,"]")),MATCH(vp.data[[#This Row],[SDate]],weather.tbl[Date],0))</f>
        <v>-10.3</v>
      </c>
      <c r="V1024" s="2">
        <f t="array" ref="V10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7335.8190000000004</v>
      </c>
      <c r="W1024" t="s">
        <v>48</v>
      </c>
      <c r="X1024">
        <f>IF(OR(vp.data[[#This Row],[Sulf]]="",vp.data[[#This Row],[Dens]]=""),1,0)</f>
        <v>0</v>
      </c>
      <c r="Y1024">
        <f>IF(vp.data[[#This Row],[CrudeType]]="C5+",1,0)</f>
        <v>0</v>
      </c>
      <c r="Z1024">
        <f>IF(AND(vp.data[[#This Row],[CrudeType]]="Crude",vp.data[[#This Row],[Dens]]&lt;=825,vp.data[[#This Row],[Sulf]]&gt;0.5,vp.data[[#This Row],[Unknown]]=0),1,0)</f>
        <v>0</v>
      </c>
      <c r="AA1024">
        <f>IF(AND(vp.data[[#This Row],[CrudeType]]="Crude",vp.data[[#This Row],[Dens]]&lt;=825,vp.data[[#This Row],[Sulf]]&lt;=0.5,vp.data[[#This Row],[Unknown]]=0),1,0)</f>
        <v>0</v>
      </c>
      <c r="AB10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24">
        <f>IF(AND(vp.data[[#This Row],[CrudeType]]="Crude",vp.data[[#This Row],[Dens]]&gt;825,vp.data[[#This Row],[Dens]]&lt;=900,vp.data[[#This Row],[Sulf]]&lt;=0.5,vp.data[[#This Row],[Unknown]]=0),1,0)</f>
        <v>0</v>
      </c>
      <c r="AD1024">
        <f>IF(AND(vp.data[[#This Row],[CrudeType]]="Crude",vp.data[[#This Row],[Dens]]&gt;865,vp.data[[#This Row],[Dens]]&lt;=900,vp.data[[#This Row],[Sulf]]&gt;2,vp.data[[#This Row],[Unknown]]=0),1,0)</f>
        <v>1</v>
      </c>
      <c r="AE1024">
        <f>IF(AND(vp.data[[#This Row],[CrudeType]]="Crude",vp.data[[#This Row],[Dens]]&gt;900,vp.data[[#This Row],[Sulf]]&lt;=0.5,vp.data[[#This Row],[Unknown]]=0),1,0)</f>
        <v>0</v>
      </c>
      <c r="AF1024">
        <f>IF(AND(vp.data[[#This Row],[CrudeType]]="Crude",vp.data[[#This Row],[Dens]]&gt;900,vp.data[[#This Row],[Sulf]]&lt;=0.5,vp.data[[#This Row],[Unknown]]=0),1,0)</f>
        <v>0</v>
      </c>
      <c r="AG1024" t="str">
        <f>INDEX(vp.data[[#Headers],[Unknown]:[Heavy_SW]],MATCH(1,vp.data[[#This Row],[Unknown]:[Heavy_SW]],0))</f>
        <v>Midale</v>
      </c>
      <c r="AH1024">
        <f>INDEX([3]!crudeBD.lkup[Number],MATCH(vp.data[[#This Row],[Crude_Breakdown]],crudeBD.lkup[Crude Breakdown],0))</f>
        <v>5</v>
      </c>
      <c r="AI1024">
        <f>MONTH(vp.data[[#This Row],[SDate]])</f>
        <v>3</v>
      </c>
      <c r="AJ1024" s="5">
        <f>(vp.data[[#This Row],[VP]]-INDEX(crudeBD.lkup[Mean_VP],MATCH(vp.data[[#This Row],[Crude_Breakdown]],crudeBD.lkup[Crude Breakdown],0)))^2</f>
        <v>23.924200499521401</v>
      </c>
      <c r="AK1024" s="5">
        <f>(vp.data[[#This Row],[Dens]]-INDEX(crudeBD.lkup[Mean_Dens],MATCH(vp.data[[#This Row],[Crude_Breakdown]],crudeBD.lkup[Crude Breakdown],0)))^2</f>
        <v>43.784825433099435</v>
      </c>
      <c r="AL1024" s="5">
        <f>(vp.data[[#This Row],[Sulf]]-INDEX(crudeBD.lkup[Mean_Sulf],MATCH(vp.data[[#This Row],[Crude_Breakdown]],crudeBD.lkup[Crude Breakdown],0)))^2</f>
        <v>2.0625431087692294E-2</v>
      </c>
      <c r="AM1024" s="4">
        <f>IF(AND(vp.data[[#This Row],[SDate]]&gt;=DATE(YEAR(vp.data[[#This Row],[SDate]]),5,1),vp.data[[#This Row],[SDate]]&lt;=DATE(YEAR(vp.data[[#This Row],[SDate]]),9,15)),1,0)</f>
        <v>0</v>
      </c>
      <c r="AN1024" s="4">
        <f>IF(vp.data[[#This Row],[SDate]]&lt;DATE(2016,12,1),0,1)</f>
        <v>1</v>
      </c>
      <c r="AO1024" s="4">
        <f>IFERROR(vp.data[[#This Row],[Sulf]]*vp.data[[#This Row],[Net Dens]],"")</f>
        <v>14648603.528340001</v>
      </c>
      <c r="AP1024">
        <f>IFERROR(vp.data[[#This Row],[Dens]]*vp.data[[#This Row],[VolumeM3]],"")</f>
        <v>6368958.0558000011</v>
      </c>
      <c r="AQ1024" s="15">
        <f>IFERROR(vp.data[[#This Row],[VP]]*vp.data[[#This Row],[VolumeM3]],"")</f>
        <v>545051.3517</v>
      </c>
    </row>
    <row r="1025" spans="1:43" x14ac:dyDescent="0.25">
      <c r="A1025">
        <v>1024</v>
      </c>
      <c r="B1025" t="s">
        <v>46</v>
      </c>
      <c r="C1025" t="s">
        <v>46</v>
      </c>
      <c r="D1025" t="s">
        <v>47</v>
      </c>
      <c r="F1025" s="1">
        <v>42808</v>
      </c>
      <c r="G1025" s="2">
        <v>54</v>
      </c>
      <c r="H1025" s="2"/>
      <c r="I1025" s="2">
        <f t="array" ref="I1025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1025" s="2">
        <v>29</v>
      </c>
      <c r="K1025" s="2">
        <v>-8</v>
      </c>
      <c r="L1025" s="2">
        <v>871.2</v>
      </c>
      <c r="M1025" s="2">
        <f t="array" ref="M1025">_xlfn.IFNA(IF(vp.data[[#This Row],[Dens Input]]="",INDEX([1]DATA!$O$3:$O$9826,MATCH(1,(vp.data[[#This Row],[Battery]]=[1]DATA!$L$3:$L$9826)*(EOMONTH(vp.data[[#This Row],[SDate]],-1)+1=[1]DATA!$G$3:$G$9826),0)),vp.data[[#This Row],[Dens Input]]),"")</f>
        <v>871.2</v>
      </c>
      <c r="N1025" s="2">
        <f ca="1">INDEX(INDIRECT(_xlfn.CONCAT("weather.tbl[",N$1,"]")),MATCH(vp.data[[#This Row],[SDate]],weather.tbl[Date],0))</f>
        <v>-9.3500000000000014</v>
      </c>
      <c r="O1025" s="2">
        <f ca="1">INDEX(INDIRECT(_xlfn.CONCAT("weather.tbl[",O$1,"]")),MATCH(vp.data[[#This Row],[SDate]],weather.tbl[Date],0))</f>
        <v>-16.659523809523812</v>
      </c>
      <c r="P1025" s="2">
        <f ca="1">INDEX(INDIRECT(_xlfn.CONCAT("weather.tbl[",P$1,"]")),MATCH(vp.data[[#This Row],[SDate]],weather.tbl[Date],0))</f>
        <v>-8.4</v>
      </c>
      <c r="Q1025" s="2">
        <f ca="1">INDEX(INDIRECT(_xlfn.CONCAT("weather.tbl[",Q$1,"]")),MATCH(vp.data[[#This Row],[SDate]],weather.tbl[Date],0))</f>
        <v>-9</v>
      </c>
      <c r="R1025" s="2">
        <f ca="1">INDEX(INDIRECT(_xlfn.CONCAT("weather.tbl[",R$1,"]")),MATCH(vp.data[[#This Row],[SDate]],weather.tbl[Date],0))</f>
        <v>-11.3</v>
      </c>
      <c r="S1025" s="2">
        <f ca="1">INDEX(INDIRECT(_xlfn.CONCAT("weather.tbl[",S$1,"]")),MATCH(vp.data[[#This Row],[SDate]],weather.tbl[Date],0))</f>
        <v>-7.5</v>
      </c>
      <c r="T1025" s="2">
        <f ca="1">INDEX(INDIRECT(_xlfn.CONCAT("weather.tbl[",T$1,"]")),MATCH(vp.data[[#This Row],[SDate]],weather.tbl[Date],0))</f>
        <v>-9.6</v>
      </c>
      <c r="U1025" s="2">
        <f ca="1">INDEX(INDIRECT(_xlfn.CONCAT("weather.tbl[",U$1,"]")),MATCH(vp.data[[#This Row],[SDate]],weather.tbl[Date],0))</f>
        <v>-10.3</v>
      </c>
      <c r="V1025" s="2">
        <f t="array" ref="V10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118908.394</v>
      </c>
      <c r="W1025" t="s">
        <v>48</v>
      </c>
      <c r="X1025">
        <f>IF(OR(vp.data[[#This Row],[Sulf]]="",vp.data[[#This Row],[Dens]]=""),1,0)</f>
        <v>0</v>
      </c>
      <c r="Y1025">
        <f>IF(vp.data[[#This Row],[CrudeType]]="C5+",1,0)</f>
        <v>0</v>
      </c>
      <c r="Z1025">
        <f>IF(AND(vp.data[[#This Row],[CrudeType]]="Crude",vp.data[[#This Row],[Dens]]&lt;=825,vp.data[[#This Row],[Sulf]]&gt;0.5,vp.data[[#This Row],[Unknown]]=0),1,0)</f>
        <v>0</v>
      </c>
      <c r="AA1025">
        <f>IF(AND(vp.data[[#This Row],[CrudeType]]="Crude",vp.data[[#This Row],[Dens]]&lt;=825,vp.data[[#This Row],[Sulf]]&lt;=0.5,vp.data[[#This Row],[Unknown]]=0),1,0)</f>
        <v>0</v>
      </c>
      <c r="AB10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25">
        <f>IF(AND(vp.data[[#This Row],[CrudeType]]="Crude",vp.data[[#This Row],[Dens]]&gt;825,vp.data[[#This Row],[Dens]]&lt;=900,vp.data[[#This Row],[Sulf]]&lt;=0.5,vp.data[[#This Row],[Unknown]]=0),1,0)</f>
        <v>0</v>
      </c>
      <c r="AD1025">
        <f>IF(AND(vp.data[[#This Row],[CrudeType]]="Crude",vp.data[[#This Row],[Dens]]&gt;865,vp.data[[#This Row],[Dens]]&lt;=900,vp.data[[#This Row],[Sulf]]&gt;2,vp.data[[#This Row],[Unknown]]=0),1,0)</f>
        <v>1</v>
      </c>
      <c r="AE1025">
        <f>IF(AND(vp.data[[#This Row],[CrudeType]]="Crude",vp.data[[#This Row],[Dens]]&gt;900,vp.data[[#This Row],[Sulf]]&lt;=0.5,vp.data[[#This Row],[Unknown]]=0),1,0)</f>
        <v>0</v>
      </c>
      <c r="AF1025">
        <f>IF(AND(vp.data[[#This Row],[CrudeType]]="Crude",vp.data[[#This Row],[Dens]]&gt;900,vp.data[[#This Row],[Sulf]]&lt;=0.5,vp.data[[#This Row],[Unknown]]=0),1,0)</f>
        <v>0</v>
      </c>
      <c r="AG1025" t="str">
        <f>INDEX(vp.data[[#Headers],[Unknown]:[Heavy_SW]],MATCH(1,vp.data[[#This Row],[Unknown]:[Heavy_SW]],0))</f>
        <v>Midale</v>
      </c>
      <c r="AH1025">
        <f>INDEX([3]!crudeBD.lkup[Number],MATCH(vp.data[[#This Row],[Crude_Breakdown]],crudeBD.lkup[Crude Breakdown],0))</f>
        <v>5</v>
      </c>
      <c r="AI1025">
        <f>MONTH(vp.data[[#This Row],[SDate]])</f>
        <v>3</v>
      </c>
      <c r="AJ1025" s="5">
        <f>(vp.data[[#This Row],[VP]]-INDEX(crudeBD.lkup[Mean_VP],MATCH(vp.data[[#This Row],[Crude_Breakdown]],crudeBD.lkup[Crude Breakdown],0)))^2</f>
        <v>237.42997369539899</v>
      </c>
      <c r="AK1025" s="5">
        <f>(vp.data[[#This Row],[Dens]]-INDEX(crudeBD.lkup[Mean_Dens],MATCH(vp.data[[#This Row],[Crude_Breakdown]],crudeBD.lkup[Crude Breakdown],0)))^2</f>
        <v>13.082763577427761</v>
      </c>
      <c r="AL1025" s="5">
        <f>(vp.data[[#This Row],[Sulf]]-INDEX(crudeBD.lkup[Mean_Sulf],MATCH(vp.data[[#This Row],[Crude_Breakdown]],crudeBD.lkup[Crude Breakdown],0)))^2</f>
        <v>4.0469403660429899E-3</v>
      </c>
      <c r="AM1025" s="4">
        <f>IF(AND(vp.data[[#This Row],[SDate]]&gt;=DATE(YEAR(vp.data[[#This Row],[SDate]]),5,1),vp.data[[#This Row],[SDate]]&lt;=DATE(YEAR(vp.data[[#This Row],[SDate]]),9,15)),1,0)</f>
        <v>0</v>
      </c>
      <c r="AN1025" s="4">
        <f>IF(vp.data[[#This Row],[SDate]]&lt;DATE(2016,12,1),0,1)</f>
        <v>1</v>
      </c>
      <c r="AO1025" s="4">
        <f>IFERROR(vp.data[[#This Row],[Sulf]]*vp.data[[#This Row],[Net Dens]],"")</f>
        <v>246551322.98966402</v>
      </c>
      <c r="AP1025">
        <f>IFERROR(vp.data[[#This Row],[Dens]]*vp.data[[#This Row],[VolumeM3]],"")</f>
        <v>103592992.85280001</v>
      </c>
      <c r="AQ1025" s="15">
        <f>IFERROR(vp.data[[#This Row],[VP]]*vp.data[[#This Row],[VolumeM3]],"")</f>
        <v>6421053.2759999996</v>
      </c>
    </row>
    <row r="1026" spans="1:43" x14ac:dyDescent="0.25">
      <c r="A1026">
        <v>1025</v>
      </c>
      <c r="B1026" t="s">
        <v>53</v>
      </c>
      <c r="C1026" t="s">
        <v>53</v>
      </c>
      <c r="D1026" t="s">
        <v>54</v>
      </c>
      <c r="E1026" t="s">
        <v>73</v>
      </c>
      <c r="F1026" s="1">
        <v>42809</v>
      </c>
      <c r="G1026" s="2">
        <v>83.61</v>
      </c>
      <c r="H1026" s="2"/>
      <c r="I1026" s="2">
        <f t="array" ref="I1026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026" s="2">
        <v>2.4</v>
      </c>
      <c r="K1026" s="2">
        <v>-1</v>
      </c>
      <c r="L1026" s="2">
        <v>828.04</v>
      </c>
      <c r="M1026" s="2">
        <f t="array" ref="M1026">_xlfn.IFNA(IF(vp.data[[#This Row],[Dens Input]]="",INDEX([1]DATA!$O$3:$O$9826,MATCH(1,(vp.data[[#This Row],[Battery]]=[1]DATA!$L$3:$L$9826)*(EOMONTH(vp.data[[#This Row],[SDate]],-1)+1=[1]DATA!$G$3:$G$9826),0)),vp.data[[#This Row],[Dens Input]]),"")</f>
        <v>828.04</v>
      </c>
      <c r="N1026" s="2">
        <f ca="1">INDEX(INDIRECT(_xlfn.CONCAT("weather.tbl[",N$1,"]")),MATCH(vp.data[[#This Row],[SDate]],weather.tbl[Date],0))</f>
        <v>-3.3166666666666664</v>
      </c>
      <c r="O1026" s="2">
        <f ca="1">INDEX(INDIRECT(_xlfn.CONCAT("weather.tbl[",O$1,"]")),MATCH(vp.data[[#This Row],[SDate]],weather.tbl[Date],0))</f>
        <v>-15.119047619047617</v>
      </c>
      <c r="P1026" s="2">
        <f ca="1">INDEX(INDIRECT(_xlfn.CONCAT("weather.tbl[",P$1,"]")),MATCH(vp.data[[#This Row],[SDate]],weather.tbl[Date],0))</f>
        <v>-3.5</v>
      </c>
      <c r="Q1026" s="2">
        <f ca="1">INDEX(INDIRECT(_xlfn.CONCAT("weather.tbl[",Q$1,"]")),MATCH(vp.data[[#This Row],[SDate]],weather.tbl[Date],0))</f>
        <v>-2.6</v>
      </c>
      <c r="R1026" s="2">
        <f ca="1">INDEX(INDIRECT(_xlfn.CONCAT("weather.tbl[",R$1,"]")),MATCH(vp.data[[#This Row],[SDate]],weather.tbl[Date],0))</f>
        <v>-5.3</v>
      </c>
      <c r="S1026" s="2">
        <f ca="1">INDEX(INDIRECT(_xlfn.CONCAT("weather.tbl[",S$1,"]")),MATCH(vp.data[[#This Row],[SDate]],weather.tbl[Date],0))</f>
        <v>-1.7</v>
      </c>
      <c r="T1026" s="2">
        <f ca="1">INDEX(INDIRECT(_xlfn.CONCAT("weather.tbl[",T$1,"]")),MATCH(vp.data[[#This Row],[SDate]],weather.tbl[Date],0))</f>
        <v>-4.3</v>
      </c>
      <c r="U1026" s="2">
        <f ca="1">INDEX(INDIRECT(_xlfn.CONCAT("weather.tbl[",U$1,"]")),MATCH(vp.data[[#This Row],[SDate]],weather.tbl[Date],0))</f>
        <v>-2.5</v>
      </c>
      <c r="V1026" s="2">
        <f t="array" ref="V10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1026" t="s">
        <v>48</v>
      </c>
      <c r="X1026">
        <f>IF(OR(vp.data[[#This Row],[Sulf]]="",vp.data[[#This Row],[Dens]]=""),1,0)</f>
        <v>0</v>
      </c>
      <c r="Y1026">
        <f>IF(vp.data[[#This Row],[CrudeType]]="C5+",1,0)</f>
        <v>0</v>
      </c>
      <c r="Z1026">
        <f>IF(AND(vp.data[[#This Row],[CrudeType]]="Crude",vp.data[[#This Row],[Dens]]&lt;=825,vp.data[[#This Row],[Sulf]]&gt;0.5,vp.data[[#This Row],[Unknown]]=0),1,0)</f>
        <v>0</v>
      </c>
      <c r="AA1026">
        <f>IF(AND(vp.data[[#This Row],[CrudeType]]="Crude",vp.data[[#This Row],[Dens]]&lt;=825,vp.data[[#This Row],[Sulf]]&lt;=0.5,vp.data[[#This Row],[Unknown]]=0),1,0)</f>
        <v>0</v>
      </c>
      <c r="AB10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6">
        <f>IF(AND(vp.data[[#This Row],[CrudeType]]="Crude",vp.data[[#This Row],[Dens]]&gt;825,vp.data[[#This Row],[Dens]]&lt;=900,vp.data[[#This Row],[Sulf]]&lt;=0.5,vp.data[[#This Row],[Unknown]]=0),1,0)</f>
        <v>0</v>
      </c>
      <c r="AD1026">
        <f>IF(AND(vp.data[[#This Row],[CrudeType]]="Crude",vp.data[[#This Row],[Dens]]&gt;865,vp.data[[#This Row],[Dens]]&lt;=900,vp.data[[#This Row],[Sulf]]&gt;2,vp.data[[#This Row],[Unknown]]=0),1,0)</f>
        <v>0</v>
      </c>
      <c r="AE1026">
        <f>IF(AND(vp.data[[#This Row],[CrudeType]]="Crude",vp.data[[#This Row],[Dens]]&gt;900,vp.data[[#This Row],[Sulf]]&lt;=0.5,vp.data[[#This Row],[Unknown]]=0),1,0)</f>
        <v>0</v>
      </c>
      <c r="AF1026">
        <f>IF(AND(vp.data[[#This Row],[CrudeType]]="Crude",vp.data[[#This Row],[Dens]]&gt;900,vp.data[[#This Row],[Sulf]]&lt;=0.5,vp.data[[#This Row],[Unknown]]=0),1,0)</f>
        <v>0</v>
      </c>
      <c r="AG1026" t="str">
        <f>INDEX(vp.data[[#Headers],[Unknown]:[Heavy_SW]],MATCH(1,vp.data[[#This Row],[Unknown]:[Heavy_SW]],0))</f>
        <v>Medium_LSB</v>
      </c>
      <c r="AH1026">
        <f>INDEX([3]!crudeBD.lkup[Number],MATCH(vp.data[[#This Row],[Crude_Breakdown]],crudeBD.lkup[Crude Breakdown],0))</f>
        <v>3</v>
      </c>
      <c r="AI1026">
        <f>MONTH(vp.data[[#This Row],[SDate]])</f>
        <v>3</v>
      </c>
      <c r="AJ1026" s="5">
        <f>(vp.data[[#This Row],[VP]]-INDEX(crudeBD.lkup[Mean_VP],MATCH(vp.data[[#This Row],[Crude_Breakdown]],crudeBD.lkup[Crude Breakdown],0)))^2</f>
        <v>8.8228213984209507</v>
      </c>
      <c r="AK1026" s="5">
        <f>(vp.data[[#This Row],[Dens]]-INDEX(crudeBD.lkup[Mean_Dens],MATCH(vp.data[[#This Row],[Crude_Breakdown]],crudeBD.lkup[Crude Breakdown],0)))^2</f>
        <v>252.17439999998541</v>
      </c>
      <c r="AL1026" s="5">
        <f>(vp.data[[#This Row],[Sulf]]-INDEX(crudeBD.lkup[Mean_Sulf],MATCH(vp.data[[#This Row],[Crude_Breakdown]],crudeBD.lkup[Crude Breakdown],0)))^2</f>
        <v>4.2782230363935985E-3</v>
      </c>
      <c r="AM1026" s="4">
        <f>IF(AND(vp.data[[#This Row],[SDate]]&gt;=DATE(YEAR(vp.data[[#This Row],[SDate]]),5,1),vp.data[[#This Row],[SDate]]&lt;=DATE(YEAR(vp.data[[#This Row],[SDate]]),9,15)),1,0)</f>
        <v>0</v>
      </c>
      <c r="AN1026" s="4">
        <f>IF(vp.data[[#This Row],[SDate]]&lt;DATE(2016,12,1),0,1)</f>
        <v>1</v>
      </c>
      <c r="AO1026" s="4">
        <f>IFERROR(vp.data[[#This Row],[Sulf]]*vp.data[[#This Row],[Net Dens]],"")</f>
        <v>9953757.1539648008</v>
      </c>
      <c r="AP1026">
        <f>IFERROR(vp.data[[#This Row],[Dens]]*vp.data[[#This Row],[VolumeM3]],"")</f>
        <v>7540725.1166399997</v>
      </c>
      <c r="AQ1026" s="15">
        <f>IFERROR(vp.data[[#This Row],[VP]]*vp.data[[#This Row],[VolumeM3]],"")</f>
        <v>761412.52476000006</v>
      </c>
    </row>
    <row r="1027" spans="1:43" x14ac:dyDescent="0.25">
      <c r="A1027">
        <v>1026</v>
      </c>
      <c r="B1027" t="s">
        <v>49</v>
      </c>
      <c r="C1027" t="s">
        <v>49</v>
      </c>
      <c r="D1027" t="s">
        <v>67</v>
      </c>
      <c r="F1027" s="1">
        <v>42809</v>
      </c>
      <c r="G1027" s="2">
        <v>99.33</v>
      </c>
      <c r="H1027" s="2">
        <v>0.44600000000000001</v>
      </c>
      <c r="I1027" s="2">
        <f t="array" ref="I1027">_xlfn.IFNA(IF(vp.data[[#This Row],[Sulf Input]]="",INDEX([1]DATA!$Q$3:$Q$9826,MATCH(1,(vp.data[[#This Row],[Battery]]=[1]DATA!$L$3:$L$9826)*(EOMONTH(vp.data[[#This Row],[SDate]],-1)+1=[1]DATA!$G$3:$G$9826),0)),vp.data[[#This Row],[Sulf Input]]),"")</f>
        <v>0.44600000000000001</v>
      </c>
      <c r="J1027" s="2">
        <v>1.8</v>
      </c>
      <c r="K1027" s="2">
        <v>-1</v>
      </c>
      <c r="L1027" s="2">
        <v>818.05</v>
      </c>
      <c r="M1027" s="2">
        <f t="array" ref="M1027">_xlfn.IFNA(IF(vp.data[[#This Row],[Dens Input]]="",INDEX([1]DATA!$O$3:$O$9826,MATCH(1,(vp.data[[#This Row],[Battery]]=[1]DATA!$L$3:$L$9826)*(EOMONTH(vp.data[[#This Row],[SDate]],-1)+1=[1]DATA!$G$3:$G$9826),0)),vp.data[[#This Row],[Dens Input]]),"")</f>
        <v>818.05</v>
      </c>
      <c r="N1027" s="2">
        <f ca="1">INDEX(INDIRECT(_xlfn.CONCAT("weather.tbl[",N$1,"]")),MATCH(vp.data[[#This Row],[SDate]],weather.tbl[Date],0))</f>
        <v>-3.3166666666666664</v>
      </c>
      <c r="O1027" s="2">
        <f ca="1">INDEX(INDIRECT(_xlfn.CONCAT("weather.tbl[",O$1,"]")),MATCH(vp.data[[#This Row],[SDate]],weather.tbl[Date],0))</f>
        <v>-15.119047619047617</v>
      </c>
      <c r="P1027" s="2">
        <f ca="1">INDEX(INDIRECT(_xlfn.CONCAT("weather.tbl[",P$1,"]")),MATCH(vp.data[[#This Row],[SDate]],weather.tbl[Date],0))</f>
        <v>-3.5</v>
      </c>
      <c r="Q1027" s="2">
        <f ca="1">INDEX(INDIRECT(_xlfn.CONCAT("weather.tbl[",Q$1,"]")),MATCH(vp.data[[#This Row],[SDate]],weather.tbl[Date],0))</f>
        <v>-2.6</v>
      </c>
      <c r="R1027" s="2">
        <f ca="1">INDEX(INDIRECT(_xlfn.CONCAT("weather.tbl[",R$1,"]")),MATCH(vp.data[[#This Row],[SDate]],weather.tbl[Date],0))</f>
        <v>-5.3</v>
      </c>
      <c r="S1027" s="2">
        <f ca="1">INDEX(INDIRECT(_xlfn.CONCAT("weather.tbl[",S$1,"]")),MATCH(vp.data[[#This Row],[SDate]],weather.tbl[Date],0))</f>
        <v>-1.7</v>
      </c>
      <c r="T1027" s="2">
        <f ca="1">INDEX(INDIRECT(_xlfn.CONCAT("weather.tbl[",T$1,"]")),MATCH(vp.data[[#This Row],[SDate]],weather.tbl[Date],0))</f>
        <v>-4.3</v>
      </c>
      <c r="U1027" s="2">
        <f ca="1">INDEX(INDIRECT(_xlfn.CONCAT("weather.tbl[",U$1,"]")),MATCH(vp.data[[#This Row],[SDate]],weather.tbl[Date],0))</f>
        <v>-2.5</v>
      </c>
      <c r="V1027" s="2">
        <f t="array" ref="V10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1027" t="s">
        <v>48</v>
      </c>
      <c r="X1027">
        <f>IF(OR(vp.data[[#This Row],[Sulf]]="",vp.data[[#This Row],[Dens]]=""),1,0)</f>
        <v>0</v>
      </c>
      <c r="Y1027">
        <f>IF(vp.data[[#This Row],[CrudeType]]="C5+",1,0)</f>
        <v>0</v>
      </c>
      <c r="Z1027">
        <f>IF(AND(vp.data[[#This Row],[CrudeType]]="Crude",vp.data[[#This Row],[Dens]]&lt;=825,vp.data[[#This Row],[Sulf]]&gt;0.5,vp.data[[#This Row],[Unknown]]=0),1,0)</f>
        <v>0</v>
      </c>
      <c r="AA1027">
        <f>IF(AND(vp.data[[#This Row],[CrudeType]]="Crude",vp.data[[#This Row],[Dens]]&lt;=825,vp.data[[#This Row],[Sulf]]&lt;=0.5,vp.data[[#This Row],[Unknown]]=0),1,0)</f>
        <v>1</v>
      </c>
      <c r="AB10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27">
        <f>IF(AND(vp.data[[#This Row],[CrudeType]]="Crude",vp.data[[#This Row],[Dens]]&gt;825,vp.data[[#This Row],[Dens]]&lt;=900,vp.data[[#This Row],[Sulf]]&lt;=0.5,vp.data[[#This Row],[Unknown]]=0),1,0)</f>
        <v>0</v>
      </c>
      <c r="AD1027">
        <f>IF(AND(vp.data[[#This Row],[CrudeType]]="Crude",vp.data[[#This Row],[Dens]]&gt;865,vp.data[[#This Row],[Dens]]&lt;=900,vp.data[[#This Row],[Sulf]]&gt;2,vp.data[[#This Row],[Unknown]]=0),1,0)</f>
        <v>0</v>
      </c>
      <c r="AE1027">
        <f>IF(AND(vp.data[[#This Row],[CrudeType]]="Crude",vp.data[[#This Row],[Dens]]&gt;900,vp.data[[#This Row],[Sulf]]&lt;=0.5,vp.data[[#This Row],[Unknown]]=0),1,0)</f>
        <v>0</v>
      </c>
      <c r="AF1027">
        <f>IF(AND(vp.data[[#This Row],[CrudeType]]="Crude",vp.data[[#This Row],[Dens]]&gt;900,vp.data[[#This Row],[Sulf]]&lt;=0.5,vp.data[[#This Row],[Unknown]]=0),1,0)</f>
        <v>0</v>
      </c>
      <c r="AG1027" t="str">
        <f>INDEX(vp.data[[#Headers],[Unknown]:[Heavy_SW]],MATCH(1,vp.data[[#This Row],[Unknown]:[Heavy_SW]],0))</f>
        <v>Light_SW</v>
      </c>
      <c r="AH1027">
        <f>INDEX([3]!crudeBD.lkup[Number],MATCH(vp.data[[#This Row],[Crude_Breakdown]],crudeBD.lkup[Crude Breakdown],0))</f>
        <v>2</v>
      </c>
      <c r="AI1027">
        <f>MONTH(vp.data[[#This Row],[SDate]])</f>
        <v>3</v>
      </c>
      <c r="AJ1027" s="5">
        <f>(vp.data[[#This Row],[VP]]-INDEX(crudeBD.lkup[Mean_VP],MATCH(vp.data[[#This Row],[Crude_Breakdown]],crudeBD.lkup[Crude Breakdown],0)))^2</f>
        <v>45.964147833529985</v>
      </c>
      <c r="AK1027" s="5">
        <f>(vp.data[[#This Row],[Dens]]-INDEX(crudeBD.lkup[Mean_Dens],MATCH(vp.data[[#This Row],[Crude_Breakdown]],crudeBD.lkup[Crude Breakdown],0)))^2</f>
        <v>94.838416182062147</v>
      </c>
      <c r="AL1027" s="5">
        <f>(vp.data[[#This Row],[Sulf]]-INDEX(crudeBD.lkup[Mean_Sulf],MATCH(vp.data[[#This Row],[Crude_Breakdown]],crudeBD.lkup[Crude Breakdown],0)))^2</f>
        <v>4.3998497497359512E-2</v>
      </c>
      <c r="AM1027" s="4">
        <f>IF(AND(vp.data[[#This Row],[SDate]]&gt;=DATE(YEAR(vp.data[[#This Row],[SDate]]),5,1),vp.data[[#This Row],[SDate]]&lt;=DATE(YEAR(vp.data[[#This Row],[SDate]]),9,15)),1,0)</f>
        <v>0</v>
      </c>
      <c r="AN1027" s="4">
        <f>IF(vp.data[[#This Row],[SDate]]&lt;DATE(2016,12,1),0,1)</f>
        <v>1</v>
      </c>
      <c r="AO1027" s="4">
        <f>IFERROR(vp.data[[#This Row],[Sulf]]*vp.data[[#This Row],[Net Dens]],"")</f>
        <v>48389150.691573299</v>
      </c>
      <c r="AP1027">
        <f>IFERROR(vp.data[[#This Row],[Dens]]*vp.data[[#This Row],[VolumeM3]],"")</f>
        <v>108495853.56854999</v>
      </c>
      <c r="AQ1027" s="15">
        <f>IFERROR(vp.data[[#This Row],[VP]]*vp.data[[#This Row],[VolumeM3]],"")</f>
        <v>13173880.73463</v>
      </c>
    </row>
    <row r="1028" spans="1:43" x14ac:dyDescent="0.25">
      <c r="A1028">
        <v>1027</v>
      </c>
      <c r="B1028" t="s">
        <v>49</v>
      </c>
      <c r="C1028" t="s">
        <v>49</v>
      </c>
      <c r="D1028" t="s">
        <v>92</v>
      </c>
      <c r="F1028" s="1">
        <v>42809</v>
      </c>
      <c r="G1028" s="2">
        <v>90.35</v>
      </c>
      <c r="H1028" s="2">
        <v>0.73</v>
      </c>
      <c r="I1028" s="2">
        <f t="array" ref="I1028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028" s="2">
        <v>25.7</v>
      </c>
      <c r="K1028" s="2">
        <v>-1</v>
      </c>
      <c r="L1028" s="2">
        <v>827</v>
      </c>
      <c r="M1028" s="2">
        <f t="array" ref="M1028">_xlfn.IFNA(IF(vp.data[[#This Row],[Dens Input]]="",INDEX([1]DATA!$O$3:$O$9826,MATCH(1,(vp.data[[#This Row],[Battery]]=[1]DATA!$L$3:$L$9826)*(EOMONTH(vp.data[[#This Row],[SDate]],-1)+1=[1]DATA!$G$3:$G$9826),0)),vp.data[[#This Row],[Dens Input]]),"")</f>
        <v>827</v>
      </c>
      <c r="N1028" s="2">
        <f ca="1">INDEX(INDIRECT(_xlfn.CONCAT("weather.tbl[",N$1,"]")),MATCH(vp.data[[#This Row],[SDate]],weather.tbl[Date],0))</f>
        <v>-3.3166666666666664</v>
      </c>
      <c r="O1028" s="2">
        <f ca="1">INDEX(INDIRECT(_xlfn.CONCAT("weather.tbl[",O$1,"]")),MATCH(vp.data[[#This Row],[SDate]],weather.tbl[Date],0))</f>
        <v>-15.119047619047617</v>
      </c>
      <c r="P1028" s="2">
        <f ca="1">INDEX(INDIRECT(_xlfn.CONCAT("weather.tbl[",P$1,"]")),MATCH(vp.data[[#This Row],[SDate]],weather.tbl[Date],0))</f>
        <v>-3.5</v>
      </c>
      <c r="Q1028" s="2">
        <f ca="1">INDEX(INDIRECT(_xlfn.CONCAT("weather.tbl[",Q$1,"]")),MATCH(vp.data[[#This Row],[SDate]],weather.tbl[Date],0))</f>
        <v>-2.6</v>
      </c>
      <c r="R1028" s="2">
        <f ca="1">INDEX(INDIRECT(_xlfn.CONCAT("weather.tbl[",R$1,"]")),MATCH(vp.data[[#This Row],[SDate]],weather.tbl[Date],0))</f>
        <v>-5.3</v>
      </c>
      <c r="S1028" s="2">
        <f ca="1">INDEX(INDIRECT(_xlfn.CONCAT("weather.tbl[",S$1,"]")),MATCH(vp.data[[#This Row],[SDate]],weather.tbl[Date],0))</f>
        <v>-1.7</v>
      </c>
      <c r="T1028" s="2">
        <f ca="1">INDEX(INDIRECT(_xlfn.CONCAT("weather.tbl[",T$1,"]")),MATCH(vp.data[[#This Row],[SDate]],weather.tbl[Date],0))</f>
        <v>-4.3</v>
      </c>
      <c r="U1028" s="2">
        <f ca="1">INDEX(INDIRECT(_xlfn.CONCAT("weather.tbl[",U$1,"]")),MATCH(vp.data[[#This Row],[SDate]],weather.tbl[Date],0))</f>
        <v>-2.5</v>
      </c>
      <c r="V1028" s="2">
        <f t="array" ref="V10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1028" t="s">
        <v>48</v>
      </c>
      <c r="X1028">
        <f>IF(OR(vp.data[[#This Row],[Sulf]]="",vp.data[[#This Row],[Dens]]=""),1,0)</f>
        <v>0</v>
      </c>
      <c r="Y1028">
        <f>IF(vp.data[[#This Row],[CrudeType]]="C5+",1,0)</f>
        <v>0</v>
      </c>
      <c r="Z1028">
        <f>IF(AND(vp.data[[#This Row],[CrudeType]]="Crude",vp.data[[#This Row],[Dens]]&lt;=825,vp.data[[#This Row],[Sulf]]&gt;0.5,vp.data[[#This Row],[Unknown]]=0),1,0)</f>
        <v>0</v>
      </c>
      <c r="AA1028">
        <f>IF(AND(vp.data[[#This Row],[CrudeType]]="Crude",vp.data[[#This Row],[Dens]]&lt;=825,vp.data[[#This Row],[Sulf]]&lt;=0.5,vp.data[[#This Row],[Unknown]]=0),1,0)</f>
        <v>0</v>
      </c>
      <c r="AB10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8">
        <f>IF(AND(vp.data[[#This Row],[CrudeType]]="Crude",vp.data[[#This Row],[Dens]]&gt;825,vp.data[[#This Row],[Dens]]&lt;=900,vp.data[[#This Row],[Sulf]]&lt;=0.5,vp.data[[#This Row],[Unknown]]=0),1,0)</f>
        <v>0</v>
      </c>
      <c r="AD1028">
        <f>IF(AND(vp.data[[#This Row],[CrudeType]]="Crude",vp.data[[#This Row],[Dens]]&gt;865,vp.data[[#This Row],[Dens]]&lt;=900,vp.data[[#This Row],[Sulf]]&gt;2,vp.data[[#This Row],[Unknown]]=0),1,0)</f>
        <v>0</v>
      </c>
      <c r="AE1028">
        <f>IF(AND(vp.data[[#This Row],[CrudeType]]="Crude",vp.data[[#This Row],[Dens]]&gt;900,vp.data[[#This Row],[Sulf]]&lt;=0.5,vp.data[[#This Row],[Unknown]]=0),1,0)</f>
        <v>0</v>
      </c>
      <c r="AF1028">
        <f>IF(AND(vp.data[[#This Row],[CrudeType]]="Crude",vp.data[[#This Row],[Dens]]&gt;900,vp.data[[#This Row],[Sulf]]&lt;=0.5,vp.data[[#This Row],[Unknown]]=0),1,0)</f>
        <v>0</v>
      </c>
      <c r="AG1028" t="str">
        <f>INDEX(vp.data[[#Headers],[Unknown]:[Heavy_SW]],MATCH(1,vp.data[[#This Row],[Unknown]:[Heavy_SW]],0))</f>
        <v>Medium_LSB</v>
      </c>
      <c r="AH1028">
        <f>INDEX([3]!crudeBD.lkup[Number],MATCH(vp.data[[#This Row],[Crude_Breakdown]],crudeBD.lkup[Crude Breakdown],0))</f>
        <v>3</v>
      </c>
      <c r="AI1028">
        <f>MONTH(vp.data[[#This Row],[SDate]])</f>
        <v>3</v>
      </c>
      <c r="AJ1028" s="5">
        <f>(vp.data[[#This Row],[VP]]-INDEX(crudeBD.lkup[Mean_VP],MATCH(vp.data[[#This Row],[Crude_Breakdown]],crudeBD.lkup[Crude Breakdown],0)))^2</f>
        <v>94.290381506238518</v>
      </c>
      <c r="AK1028" s="5">
        <f>(vp.data[[#This Row],[Dens]]-INDEX(crudeBD.lkup[Mean_Dens],MATCH(vp.data[[#This Row],[Crude_Breakdown]],crudeBD.lkup[Crude Breakdown],0)))^2</f>
        <v>286.28639999998325</v>
      </c>
      <c r="AL1028" s="5">
        <f>(vp.data[[#This Row],[Sulf]]-INDEX(crudeBD.lkup[Mean_Sulf],MATCH(vp.data[[#This Row],[Crude_Breakdown]],crudeBD.lkup[Crude Breakdown],0)))^2</f>
        <v>0.42955981252426606</v>
      </c>
      <c r="AM1028" s="4">
        <f>IF(AND(vp.data[[#This Row],[SDate]]&gt;=DATE(YEAR(vp.data[[#This Row],[SDate]]),5,1),vp.data[[#This Row],[SDate]]&lt;=DATE(YEAR(vp.data[[#This Row],[SDate]]),9,15)),1,0)</f>
        <v>0</v>
      </c>
      <c r="AN1028" s="4">
        <f>IF(vp.data[[#This Row],[SDate]]&lt;DATE(2016,12,1),0,1)</f>
        <v>1</v>
      </c>
      <c r="AO1028" s="4">
        <f>IFERROR(vp.data[[#This Row],[Sulf]]*vp.data[[#This Row],[Net Dens]],"")</f>
        <v>13019954.57841</v>
      </c>
      <c r="AP1028">
        <f>IFERROR(vp.data[[#This Row],[Dens]]*vp.data[[#This Row],[VolumeM3]],"")</f>
        <v>17835554.217</v>
      </c>
      <c r="AQ1028" s="15">
        <f>IFERROR(vp.data[[#This Row],[VP]]*vp.data[[#This Row],[VolumeM3]],"")</f>
        <v>1948539.68985</v>
      </c>
    </row>
    <row r="1029" spans="1:43" x14ac:dyDescent="0.25">
      <c r="A1029">
        <v>1028</v>
      </c>
      <c r="B1029" t="s">
        <v>62</v>
      </c>
      <c r="C1029" t="s">
        <v>62</v>
      </c>
      <c r="D1029" t="s">
        <v>93</v>
      </c>
      <c r="F1029" s="1">
        <v>42809</v>
      </c>
      <c r="G1029" s="2">
        <v>97.51</v>
      </c>
      <c r="H1029" s="2">
        <v>1.3380000000000001</v>
      </c>
      <c r="I1029" s="2">
        <f t="array" ref="I1029">_xlfn.IFNA(IF(vp.data[[#This Row],[Sulf Input]]="",INDEX([1]DATA!$Q$3:$Q$9826,MATCH(1,(vp.data[[#This Row],[Battery]]=[1]DATA!$L$3:$L$9826)*(EOMONTH(vp.data[[#This Row],[SDate]],-1)+1=[1]DATA!$G$3:$G$9826),0)),vp.data[[#This Row],[Sulf Input]]),"")</f>
        <v>1.3380000000000001</v>
      </c>
      <c r="J1029" s="2">
        <v>7.3</v>
      </c>
      <c r="K1029" s="2">
        <v>-1</v>
      </c>
      <c r="L1029" s="2">
        <v>842.6</v>
      </c>
      <c r="M1029" s="2">
        <f t="array" ref="M1029">_xlfn.IFNA(IF(vp.data[[#This Row],[Dens Input]]="",INDEX([1]DATA!$O$3:$O$9826,MATCH(1,(vp.data[[#This Row],[Battery]]=[1]DATA!$L$3:$L$9826)*(EOMONTH(vp.data[[#This Row],[SDate]],-1)+1=[1]DATA!$G$3:$G$9826),0)),vp.data[[#This Row],[Dens Input]]),"")</f>
        <v>842.6</v>
      </c>
      <c r="N1029" s="2">
        <f ca="1">INDEX(INDIRECT(_xlfn.CONCAT("weather.tbl[",N$1,"]")),MATCH(vp.data[[#This Row],[SDate]],weather.tbl[Date],0))</f>
        <v>-3.3166666666666664</v>
      </c>
      <c r="O1029" s="2">
        <f ca="1">INDEX(INDIRECT(_xlfn.CONCAT("weather.tbl[",O$1,"]")),MATCH(vp.data[[#This Row],[SDate]],weather.tbl[Date],0))</f>
        <v>-15.119047619047617</v>
      </c>
      <c r="P1029" s="2">
        <f ca="1">INDEX(INDIRECT(_xlfn.CONCAT("weather.tbl[",P$1,"]")),MATCH(vp.data[[#This Row],[SDate]],weather.tbl[Date],0))</f>
        <v>-3.5</v>
      </c>
      <c r="Q1029" s="2">
        <f ca="1">INDEX(INDIRECT(_xlfn.CONCAT("weather.tbl[",Q$1,"]")),MATCH(vp.data[[#This Row],[SDate]],weather.tbl[Date],0))</f>
        <v>-2.6</v>
      </c>
      <c r="R1029" s="2">
        <f ca="1">INDEX(INDIRECT(_xlfn.CONCAT("weather.tbl[",R$1,"]")),MATCH(vp.data[[#This Row],[SDate]],weather.tbl[Date],0))</f>
        <v>-5.3</v>
      </c>
      <c r="S1029" s="2">
        <f ca="1">INDEX(INDIRECT(_xlfn.CONCAT("weather.tbl[",S$1,"]")),MATCH(vp.data[[#This Row],[SDate]],weather.tbl[Date],0))</f>
        <v>-1.7</v>
      </c>
      <c r="T1029" s="2">
        <f ca="1">INDEX(INDIRECT(_xlfn.CONCAT("weather.tbl[",T$1,"]")),MATCH(vp.data[[#This Row],[SDate]],weather.tbl[Date],0))</f>
        <v>-4.3</v>
      </c>
      <c r="U1029" s="2">
        <f ca="1">INDEX(INDIRECT(_xlfn.CONCAT("weather.tbl[",U$1,"]")),MATCH(vp.data[[#This Row],[SDate]],weather.tbl[Date],0))</f>
        <v>-2.5</v>
      </c>
      <c r="V1029" s="2">
        <f t="array" ref="V10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1068.2539999999999</v>
      </c>
      <c r="W1029" t="s">
        <v>48</v>
      </c>
      <c r="X1029">
        <f>IF(OR(vp.data[[#This Row],[Sulf]]="",vp.data[[#This Row],[Dens]]=""),1,0)</f>
        <v>0</v>
      </c>
      <c r="Y1029">
        <f>IF(vp.data[[#This Row],[CrudeType]]="C5+",1,0)</f>
        <v>0</v>
      </c>
      <c r="Z1029">
        <f>IF(AND(vp.data[[#This Row],[CrudeType]]="Crude",vp.data[[#This Row],[Dens]]&lt;=825,vp.data[[#This Row],[Sulf]]&gt;0.5,vp.data[[#This Row],[Unknown]]=0),1,0)</f>
        <v>0</v>
      </c>
      <c r="AA1029">
        <f>IF(AND(vp.data[[#This Row],[CrudeType]]="Crude",vp.data[[#This Row],[Dens]]&lt;=825,vp.data[[#This Row],[Sulf]]&lt;=0.5,vp.data[[#This Row],[Unknown]]=0),1,0)</f>
        <v>0</v>
      </c>
      <c r="AB10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29">
        <f>IF(AND(vp.data[[#This Row],[CrudeType]]="Crude",vp.data[[#This Row],[Dens]]&gt;825,vp.data[[#This Row],[Dens]]&lt;=900,vp.data[[#This Row],[Sulf]]&lt;=0.5,vp.data[[#This Row],[Unknown]]=0),1,0)</f>
        <v>0</v>
      </c>
      <c r="AD1029">
        <f>IF(AND(vp.data[[#This Row],[CrudeType]]="Crude",vp.data[[#This Row],[Dens]]&gt;865,vp.data[[#This Row],[Dens]]&lt;=900,vp.data[[#This Row],[Sulf]]&gt;2,vp.data[[#This Row],[Unknown]]=0),1,0)</f>
        <v>0</v>
      </c>
      <c r="AE1029">
        <f>IF(AND(vp.data[[#This Row],[CrudeType]]="Crude",vp.data[[#This Row],[Dens]]&gt;900,vp.data[[#This Row],[Sulf]]&lt;=0.5,vp.data[[#This Row],[Unknown]]=0),1,0)</f>
        <v>0</v>
      </c>
      <c r="AF1029">
        <f>IF(AND(vp.data[[#This Row],[CrudeType]]="Crude",vp.data[[#This Row],[Dens]]&gt;900,vp.data[[#This Row],[Sulf]]&lt;=0.5,vp.data[[#This Row],[Unknown]]=0),1,0)</f>
        <v>0</v>
      </c>
      <c r="AG1029" t="str">
        <f>INDEX(vp.data[[#Headers],[Unknown]:[Heavy_SW]],MATCH(1,vp.data[[#This Row],[Unknown]:[Heavy_SW]],0))</f>
        <v>Medium_LSB</v>
      </c>
      <c r="AH1029">
        <f>INDEX([3]!crudeBD.lkup[Number],MATCH(vp.data[[#This Row],[Crude_Breakdown]],crudeBD.lkup[Crude Breakdown],0))</f>
        <v>3</v>
      </c>
      <c r="AI1029">
        <f>MONTH(vp.data[[#This Row],[SDate]])</f>
        <v>3</v>
      </c>
      <c r="AJ1029" s="5">
        <f>(vp.data[[#This Row],[VP]]-INDEX(crudeBD.lkup[Mean_VP],MATCH(vp.data[[#This Row],[Crude_Breakdown]],crudeBD.lkup[Crude Breakdown],0)))^2</f>
        <v>284.60781331216975</v>
      </c>
      <c r="AK1029" s="5">
        <f>(vp.data[[#This Row],[Dens]]-INDEX(crudeBD.lkup[Mean_Dens],MATCH(vp.data[[#This Row],[Crude_Breakdown]],crudeBD.lkup[Crude Breakdown],0)))^2</f>
        <v>1.7423999999986315</v>
      </c>
      <c r="AL1029" s="5">
        <f>(vp.data[[#This Row],[Sulf]]-INDEX(crudeBD.lkup[Mean_Sulf],MATCH(vp.data[[#This Row],[Crude_Breakdown]],crudeBD.lkup[Crude Breakdown],0)))^2</f>
        <v>2.2475304757466441E-3</v>
      </c>
      <c r="AM1029" s="4">
        <f>IF(AND(vp.data[[#This Row],[SDate]]&gt;=DATE(YEAR(vp.data[[#This Row],[SDate]]),5,1),vp.data[[#This Row],[SDate]]&lt;=DATE(YEAR(vp.data[[#This Row],[SDate]]),9,15)),1,0)</f>
        <v>0</v>
      </c>
      <c r="AN1029" s="4">
        <f>IF(vp.data[[#This Row],[SDate]]&lt;DATE(2016,12,1),0,1)</f>
        <v>1</v>
      </c>
      <c r="AO1029" s="4">
        <f>IFERROR(vp.data[[#This Row],[Sulf]]*vp.data[[#This Row],[Net Dens]],"")</f>
        <v>1204348.2776951999</v>
      </c>
      <c r="AP1029">
        <f>IFERROR(vp.data[[#This Row],[Dens]]*vp.data[[#This Row],[VolumeM3]],"")</f>
        <v>900110.82039999997</v>
      </c>
      <c r="AQ1029" s="15">
        <f>IFERROR(vp.data[[#This Row],[VP]]*vp.data[[#This Row],[VolumeM3]],"")</f>
        <v>104165.44753999999</v>
      </c>
    </row>
    <row r="1030" spans="1:43" x14ac:dyDescent="0.25">
      <c r="A1030">
        <v>1029</v>
      </c>
      <c r="B1030" t="s">
        <v>51</v>
      </c>
      <c r="C1030" t="s">
        <v>51</v>
      </c>
      <c r="D1030" t="s">
        <v>58</v>
      </c>
      <c r="F1030" s="1">
        <v>42809</v>
      </c>
      <c r="G1030" s="2">
        <v>98.4</v>
      </c>
      <c r="H1030" s="2"/>
      <c r="I1030" s="2">
        <f t="array" ref="I1030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1030" s="2">
        <v>26.4</v>
      </c>
      <c r="K1030" s="2">
        <v>-1</v>
      </c>
      <c r="L1030" s="2">
        <v>821.1</v>
      </c>
      <c r="M1030" s="2">
        <f t="array" ref="M1030">_xlfn.IFNA(IF(vp.data[[#This Row],[Dens Input]]="",INDEX([1]DATA!$O$3:$O$9826,MATCH(1,(vp.data[[#This Row],[Battery]]=[1]DATA!$L$3:$L$9826)*(EOMONTH(vp.data[[#This Row],[SDate]],-1)+1=[1]DATA!$G$3:$G$9826),0)),vp.data[[#This Row],[Dens Input]]),"")</f>
        <v>821.1</v>
      </c>
      <c r="N1030" s="2">
        <f ca="1">INDEX(INDIRECT(_xlfn.CONCAT("weather.tbl[",N$1,"]")),MATCH(vp.data[[#This Row],[SDate]],weather.tbl[Date],0))</f>
        <v>-3.3166666666666664</v>
      </c>
      <c r="O1030" s="2">
        <f ca="1">INDEX(INDIRECT(_xlfn.CONCAT("weather.tbl[",O$1,"]")),MATCH(vp.data[[#This Row],[SDate]],weather.tbl[Date],0))</f>
        <v>-15.119047619047617</v>
      </c>
      <c r="P1030" s="2">
        <f ca="1">INDEX(INDIRECT(_xlfn.CONCAT("weather.tbl[",P$1,"]")),MATCH(vp.data[[#This Row],[SDate]],weather.tbl[Date],0))</f>
        <v>-3.5</v>
      </c>
      <c r="Q1030" s="2">
        <f ca="1">INDEX(INDIRECT(_xlfn.CONCAT("weather.tbl[",Q$1,"]")),MATCH(vp.data[[#This Row],[SDate]],weather.tbl[Date],0))</f>
        <v>-2.6</v>
      </c>
      <c r="R1030" s="2">
        <f ca="1">INDEX(INDIRECT(_xlfn.CONCAT("weather.tbl[",R$1,"]")),MATCH(vp.data[[#This Row],[SDate]],weather.tbl[Date],0))</f>
        <v>-5.3</v>
      </c>
      <c r="S1030" s="2">
        <f ca="1">INDEX(INDIRECT(_xlfn.CONCAT("weather.tbl[",S$1,"]")),MATCH(vp.data[[#This Row],[SDate]],weather.tbl[Date],0))</f>
        <v>-1.7</v>
      </c>
      <c r="T1030" s="2">
        <f ca="1">INDEX(INDIRECT(_xlfn.CONCAT("weather.tbl[",T$1,"]")),MATCH(vp.data[[#This Row],[SDate]],weather.tbl[Date],0))</f>
        <v>-4.3</v>
      </c>
      <c r="U1030" s="2">
        <f ca="1">INDEX(INDIRECT(_xlfn.CONCAT("weather.tbl[",U$1,"]")),MATCH(vp.data[[#This Row],[SDate]],weather.tbl[Date],0))</f>
        <v>-2.5</v>
      </c>
      <c r="V1030" s="2">
        <f t="array" ref="V10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1030" t="s">
        <v>48</v>
      </c>
      <c r="X1030">
        <f>IF(OR(vp.data[[#This Row],[Sulf]]="",vp.data[[#This Row],[Dens]]=""),1,0)</f>
        <v>0</v>
      </c>
      <c r="Y1030">
        <f>IF(vp.data[[#This Row],[CrudeType]]="C5+",1,0)</f>
        <v>0</v>
      </c>
      <c r="Z1030">
        <f>IF(AND(vp.data[[#This Row],[CrudeType]]="Crude",vp.data[[#This Row],[Dens]]&lt;=825,vp.data[[#This Row],[Sulf]]&gt;0.5,vp.data[[#This Row],[Unknown]]=0),1,0)</f>
        <v>1</v>
      </c>
      <c r="AA1030">
        <f>IF(AND(vp.data[[#This Row],[CrudeType]]="Crude",vp.data[[#This Row],[Dens]]&lt;=825,vp.data[[#This Row],[Sulf]]&lt;=0.5,vp.data[[#This Row],[Unknown]]=0),1,0)</f>
        <v>0</v>
      </c>
      <c r="AB10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30">
        <f>IF(AND(vp.data[[#This Row],[CrudeType]]="Crude",vp.data[[#This Row],[Dens]]&gt;825,vp.data[[#This Row],[Dens]]&lt;=900,vp.data[[#This Row],[Sulf]]&lt;=0.5,vp.data[[#This Row],[Unknown]]=0),1,0)</f>
        <v>0</v>
      </c>
      <c r="AD1030">
        <f>IF(AND(vp.data[[#This Row],[CrudeType]]="Crude",vp.data[[#This Row],[Dens]]&gt;865,vp.data[[#This Row],[Dens]]&lt;=900,vp.data[[#This Row],[Sulf]]&gt;2,vp.data[[#This Row],[Unknown]]=0),1,0)</f>
        <v>0</v>
      </c>
      <c r="AE1030">
        <f>IF(AND(vp.data[[#This Row],[CrudeType]]="Crude",vp.data[[#This Row],[Dens]]&gt;900,vp.data[[#This Row],[Sulf]]&lt;=0.5,vp.data[[#This Row],[Unknown]]=0),1,0)</f>
        <v>0</v>
      </c>
      <c r="AF1030">
        <f>IF(AND(vp.data[[#This Row],[CrudeType]]="Crude",vp.data[[#This Row],[Dens]]&gt;900,vp.data[[#This Row],[Sulf]]&lt;=0.5,vp.data[[#This Row],[Unknown]]=0),1,0)</f>
        <v>0</v>
      </c>
      <c r="AG1030" t="str">
        <f>INDEX(vp.data[[#Headers],[Unknown]:[Heavy_SW]],MATCH(1,vp.data[[#This Row],[Unknown]:[Heavy_SW]],0))</f>
        <v>Light_LSB</v>
      </c>
      <c r="AH1030">
        <f>INDEX([3]!crudeBD.lkup[Number],MATCH(vp.data[[#This Row],[Crude_Breakdown]],crudeBD.lkup[Crude Breakdown],0))</f>
        <v>1</v>
      </c>
      <c r="AI1030">
        <f>MONTH(vp.data[[#This Row],[SDate]])</f>
        <v>3</v>
      </c>
      <c r="AJ1030" s="5">
        <f>(vp.data[[#This Row],[VP]]-INDEX(crudeBD.lkup[Mean_VP],MATCH(vp.data[[#This Row],[Crude_Breakdown]],crudeBD.lkup[Crude Breakdown],0)))^2</f>
        <v>46.974772281857447</v>
      </c>
      <c r="AK1030" s="5">
        <f>(vp.data[[#This Row],[Dens]]-INDEX(crudeBD.lkup[Mean_Dens],MATCH(vp.data[[#This Row],[Crude_Breakdown]],crudeBD.lkup[Crude Breakdown],0)))^2</f>
        <v>6.6730784756928632</v>
      </c>
      <c r="AL1030" s="5">
        <f>(vp.data[[#This Row],[Sulf]]-INDEX(crudeBD.lkup[Mean_Sulf],MATCH(vp.data[[#This Row],[Crude_Breakdown]],crudeBD.lkup[Crude Breakdown],0)))^2</f>
        <v>0.14979131650136537</v>
      </c>
      <c r="AM1030" s="4">
        <f>IF(AND(vp.data[[#This Row],[SDate]]&gt;=DATE(YEAR(vp.data[[#This Row],[SDate]]),5,1),vp.data[[#This Row],[SDate]]&lt;=DATE(YEAR(vp.data[[#This Row],[SDate]]),9,15)),1,0)</f>
        <v>0</v>
      </c>
      <c r="AN1030" s="4">
        <f>IF(vp.data[[#This Row],[SDate]]&lt;DATE(2016,12,1),0,1)</f>
        <v>1</v>
      </c>
      <c r="AO1030" s="4">
        <f>IFERROR(vp.data[[#This Row],[Sulf]]*vp.data[[#This Row],[Net Dens]],"")</f>
        <v>6530508.0097110001</v>
      </c>
      <c r="AP1030">
        <f>IFERROR(vp.data[[#This Row],[Dens]]*vp.data[[#This Row],[VolumeM3]],"")</f>
        <v>4985120.6180999996</v>
      </c>
      <c r="AQ1030" s="15">
        <f>IFERROR(vp.data[[#This Row],[VP]]*vp.data[[#This Row],[VolumeM3]],"")</f>
        <v>597413.06640000001</v>
      </c>
    </row>
    <row r="1031" spans="1:43" x14ac:dyDescent="0.25">
      <c r="A1031">
        <v>1030</v>
      </c>
      <c r="B1031" t="s">
        <v>51</v>
      </c>
      <c r="C1031" t="s">
        <v>51</v>
      </c>
      <c r="D1031" t="s">
        <v>72</v>
      </c>
      <c r="F1031" s="1">
        <v>42809</v>
      </c>
      <c r="G1031" s="2">
        <v>96.9</v>
      </c>
      <c r="H1031" s="2"/>
      <c r="I1031" s="2">
        <f t="array" ref="I1031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031" s="2">
        <v>22.5</v>
      </c>
      <c r="K1031" s="2">
        <v>-1</v>
      </c>
      <c r="L1031" s="2">
        <v>828.1</v>
      </c>
      <c r="M1031" s="2">
        <f t="array" ref="M1031">_xlfn.IFNA(IF(vp.data[[#This Row],[Dens Input]]="",INDEX([1]DATA!$O$3:$O$9826,MATCH(1,(vp.data[[#This Row],[Battery]]=[1]DATA!$L$3:$L$9826)*(EOMONTH(vp.data[[#This Row],[SDate]],-1)+1=[1]DATA!$G$3:$G$9826),0)),vp.data[[#This Row],[Dens Input]]),"")</f>
        <v>828.1</v>
      </c>
      <c r="N1031" s="2">
        <f ca="1">INDEX(INDIRECT(_xlfn.CONCAT("weather.tbl[",N$1,"]")),MATCH(vp.data[[#This Row],[SDate]],weather.tbl[Date],0))</f>
        <v>-3.3166666666666664</v>
      </c>
      <c r="O1031" s="2">
        <f ca="1">INDEX(INDIRECT(_xlfn.CONCAT("weather.tbl[",O$1,"]")),MATCH(vp.data[[#This Row],[SDate]],weather.tbl[Date],0))</f>
        <v>-15.119047619047617</v>
      </c>
      <c r="P1031" s="2">
        <f ca="1">INDEX(INDIRECT(_xlfn.CONCAT("weather.tbl[",P$1,"]")),MATCH(vp.data[[#This Row],[SDate]],weather.tbl[Date],0))</f>
        <v>-3.5</v>
      </c>
      <c r="Q1031" s="2">
        <f ca="1">INDEX(INDIRECT(_xlfn.CONCAT("weather.tbl[",Q$1,"]")),MATCH(vp.data[[#This Row],[SDate]],weather.tbl[Date],0))</f>
        <v>-2.6</v>
      </c>
      <c r="R1031" s="2">
        <f ca="1">INDEX(INDIRECT(_xlfn.CONCAT("weather.tbl[",R$1,"]")),MATCH(vp.data[[#This Row],[SDate]],weather.tbl[Date],0))</f>
        <v>-5.3</v>
      </c>
      <c r="S1031" s="2">
        <f ca="1">INDEX(INDIRECT(_xlfn.CONCAT("weather.tbl[",S$1,"]")),MATCH(vp.data[[#This Row],[SDate]],weather.tbl[Date],0))</f>
        <v>-1.7</v>
      </c>
      <c r="T1031" s="2">
        <f ca="1">INDEX(INDIRECT(_xlfn.CONCAT("weather.tbl[",T$1,"]")),MATCH(vp.data[[#This Row],[SDate]],weather.tbl[Date],0))</f>
        <v>-4.3</v>
      </c>
      <c r="U1031" s="2">
        <f ca="1">INDEX(INDIRECT(_xlfn.CONCAT("weather.tbl[",U$1,"]")),MATCH(vp.data[[#This Row],[SDate]],weather.tbl[Date],0))</f>
        <v>-2.5</v>
      </c>
      <c r="V1031" s="2">
        <f t="array" ref="V10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1031" t="s">
        <v>48</v>
      </c>
      <c r="X1031">
        <f>IF(OR(vp.data[[#This Row],[Sulf]]="",vp.data[[#This Row],[Dens]]=""),1,0)</f>
        <v>0</v>
      </c>
      <c r="Y1031">
        <f>IF(vp.data[[#This Row],[CrudeType]]="C5+",1,0)</f>
        <v>0</v>
      </c>
      <c r="Z1031">
        <f>IF(AND(vp.data[[#This Row],[CrudeType]]="Crude",vp.data[[#This Row],[Dens]]&lt;=825,vp.data[[#This Row],[Sulf]]&gt;0.5,vp.data[[#This Row],[Unknown]]=0),1,0)</f>
        <v>0</v>
      </c>
      <c r="AA1031">
        <f>IF(AND(vp.data[[#This Row],[CrudeType]]="Crude",vp.data[[#This Row],[Dens]]&lt;=825,vp.data[[#This Row],[Sulf]]&lt;=0.5,vp.data[[#This Row],[Unknown]]=0),1,0)</f>
        <v>0</v>
      </c>
      <c r="AB10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1">
        <f>IF(AND(vp.data[[#This Row],[CrudeType]]="Crude",vp.data[[#This Row],[Dens]]&gt;825,vp.data[[#This Row],[Dens]]&lt;=900,vp.data[[#This Row],[Sulf]]&lt;=0.5,vp.data[[#This Row],[Unknown]]=0),1,0)</f>
        <v>0</v>
      </c>
      <c r="AD1031">
        <f>IF(AND(vp.data[[#This Row],[CrudeType]]="Crude",vp.data[[#This Row],[Dens]]&gt;865,vp.data[[#This Row],[Dens]]&lt;=900,vp.data[[#This Row],[Sulf]]&gt;2,vp.data[[#This Row],[Unknown]]=0),1,0)</f>
        <v>0</v>
      </c>
      <c r="AE1031">
        <f>IF(AND(vp.data[[#This Row],[CrudeType]]="Crude",vp.data[[#This Row],[Dens]]&gt;900,vp.data[[#This Row],[Sulf]]&lt;=0.5,vp.data[[#This Row],[Unknown]]=0),1,0)</f>
        <v>0</v>
      </c>
      <c r="AF1031">
        <f>IF(AND(vp.data[[#This Row],[CrudeType]]="Crude",vp.data[[#This Row],[Dens]]&gt;900,vp.data[[#This Row],[Sulf]]&lt;=0.5,vp.data[[#This Row],[Unknown]]=0),1,0)</f>
        <v>0</v>
      </c>
      <c r="AG1031" t="str">
        <f>INDEX(vp.data[[#Headers],[Unknown]:[Heavy_SW]],MATCH(1,vp.data[[#This Row],[Unknown]:[Heavy_SW]],0))</f>
        <v>Medium_LSB</v>
      </c>
      <c r="AH1031">
        <f>INDEX([3]!crudeBD.lkup[Number],MATCH(vp.data[[#This Row],[Crude_Breakdown]],crudeBD.lkup[Crude Breakdown],0))</f>
        <v>3</v>
      </c>
      <c r="AI1031">
        <f>MONTH(vp.data[[#This Row],[SDate]])</f>
        <v>3</v>
      </c>
      <c r="AJ1031" s="5">
        <f>(vp.data[[#This Row],[VP]]-INDEX(crudeBD.lkup[Mean_VP],MATCH(vp.data[[#This Row],[Crude_Breakdown]],crudeBD.lkup[Crude Breakdown],0)))^2</f>
        <v>264.39811870300525</v>
      </c>
      <c r="AK1031" s="5">
        <f>(vp.data[[#This Row],[Dens]]-INDEX(crudeBD.lkup[Mean_Dens],MATCH(vp.data[[#This Row],[Crude_Breakdown]],crudeBD.lkup[Crude Breakdown],0)))^2</f>
        <v>250.27239999998361</v>
      </c>
      <c r="AL1031" s="5">
        <f>(vp.data[[#This Row],[Sulf]]-INDEX(crudeBD.lkup[Mean_Sulf],MATCH(vp.data[[#This Row],[Crude_Breakdown]],crudeBD.lkup[Crude Breakdown],0)))^2</f>
        <v>9.3274123845019638E-2</v>
      </c>
      <c r="AM1031" s="4">
        <f>IF(AND(vp.data[[#This Row],[SDate]]&gt;=DATE(YEAR(vp.data[[#This Row],[SDate]]),5,1),vp.data[[#This Row],[SDate]]&lt;=DATE(YEAR(vp.data[[#This Row],[SDate]]),9,15)),1,0)</f>
        <v>0</v>
      </c>
      <c r="AN1031" s="4">
        <f>IF(vp.data[[#This Row],[SDate]]&lt;DATE(2016,12,1),0,1)</f>
        <v>1</v>
      </c>
      <c r="AO1031" s="4">
        <f>IFERROR(vp.data[[#This Row],[Sulf]]*vp.data[[#This Row],[Net Dens]],"")</f>
        <v>12412239.125832001</v>
      </c>
      <c r="AP1031">
        <f>IFERROR(vp.data[[#This Row],[Dens]]*vp.data[[#This Row],[VolumeM3]],"")</f>
        <v>11492814.0054</v>
      </c>
      <c r="AQ1031" s="15">
        <f>IFERROR(vp.data[[#This Row],[VP]]*vp.data[[#This Row],[VolumeM3]],"")</f>
        <v>1344829.9446</v>
      </c>
    </row>
    <row r="1032" spans="1:43" x14ac:dyDescent="0.25">
      <c r="A1032">
        <v>1031</v>
      </c>
      <c r="B1032" t="s">
        <v>68</v>
      </c>
      <c r="C1032" t="s">
        <v>68</v>
      </c>
      <c r="D1032" t="s">
        <v>200</v>
      </c>
      <c r="F1032" s="1">
        <v>42809</v>
      </c>
      <c r="G1032" s="2">
        <v>61.1</v>
      </c>
      <c r="H1032" s="2"/>
      <c r="I1032" s="2">
        <f t="array" ref="I1032">_xlfn.IFNA(IF(vp.data[[#This Row],[Sulf Input]]="",INDEX([1]DATA!$Q$3:$Q$9826,MATCH(1,(vp.data[[#This Row],[Battery]]=[1]DATA!$L$3:$L$9826)*(EOMONTH(vp.data[[#This Row],[SDate]],-1)+1=[1]DATA!$G$3:$G$9826),0)),vp.data[[#This Row],[Sulf Input]]),"")</f>
        <v>1.8</v>
      </c>
      <c r="J1032" s="2">
        <v>5</v>
      </c>
      <c r="K1032" s="2">
        <v>-30</v>
      </c>
      <c r="L1032" s="2">
        <v>869.4</v>
      </c>
      <c r="M1032" s="2">
        <f t="array" ref="M1032">_xlfn.IFNA(IF(vp.data[[#This Row],[Dens Input]]="",INDEX([1]DATA!$O$3:$O$9826,MATCH(1,(vp.data[[#This Row],[Battery]]=[1]DATA!$L$3:$L$9826)*(EOMONTH(vp.data[[#This Row],[SDate]],-1)+1=[1]DATA!$G$3:$G$9826),0)),vp.data[[#This Row],[Dens Input]]),"")</f>
        <v>869.4</v>
      </c>
      <c r="N1032" s="2">
        <f ca="1">INDEX(INDIRECT(_xlfn.CONCAT("weather.tbl[",N$1,"]")),MATCH(vp.data[[#This Row],[SDate]],weather.tbl[Date],0))</f>
        <v>-3.3166666666666664</v>
      </c>
      <c r="O1032" s="2">
        <f ca="1">INDEX(INDIRECT(_xlfn.CONCAT("weather.tbl[",O$1,"]")),MATCH(vp.data[[#This Row],[SDate]],weather.tbl[Date],0))</f>
        <v>-15.119047619047617</v>
      </c>
      <c r="P1032" s="2">
        <f ca="1">INDEX(INDIRECT(_xlfn.CONCAT("weather.tbl[",P$1,"]")),MATCH(vp.data[[#This Row],[SDate]],weather.tbl[Date],0))</f>
        <v>-3.5</v>
      </c>
      <c r="Q1032" s="2">
        <f ca="1">INDEX(INDIRECT(_xlfn.CONCAT("weather.tbl[",Q$1,"]")),MATCH(vp.data[[#This Row],[SDate]],weather.tbl[Date],0))</f>
        <v>-2.6</v>
      </c>
      <c r="R1032" s="2">
        <f ca="1">INDEX(INDIRECT(_xlfn.CONCAT("weather.tbl[",R$1,"]")),MATCH(vp.data[[#This Row],[SDate]],weather.tbl[Date],0))</f>
        <v>-5.3</v>
      </c>
      <c r="S1032" s="2">
        <f ca="1">INDEX(INDIRECT(_xlfn.CONCAT("weather.tbl[",S$1,"]")),MATCH(vp.data[[#This Row],[SDate]],weather.tbl[Date],0))</f>
        <v>-1.7</v>
      </c>
      <c r="T1032" s="2">
        <f ca="1">INDEX(INDIRECT(_xlfn.CONCAT("weather.tbl[",T$1,"]")),MATCH(vp.data[[#This Row],[SDate]],weather.tbl[Date],0))</f>
        <v>-4.3</v>
      </c>
      <c r="U1032" s="2">
        <f ca="1">INDEX(INDIRECT(_xlfn.CONCAT("weather.tbl[",U$1,"]")),MATCH(vp.data[[#This Row],[SDate]],weather.tbl[Date],0))</f>
        <v>-2.5</v>
      </c>
      <c r="V1032" s="2">
        <f t="array" ref="V10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245.85900000000001</v>
      </c>
      <c r="W1032" t="s">
        <v>48</v>
      </c>
      <c r="X1032">
        <f>IF(OR(vp.data[[#This Row],[Sulf]]="",vp.data[[#This Row],[Dens]]=""),1,0)</f>
        <v>0</v>
      </c>
      <c r="Y1032">
        <f>IF(vp.data[[#This Row],[CrudeType]]="C5+",1,0)</f>
        <v>0</v>
      </c>
      <c r="Z1032">
        <f>IF(AND(vp.data[[#This Row],[CrudeType]]="Crude",vp.data[[#This Row],[Dens]]&lt;=825,vp.data[[#This Row],[Sulf]]&gt;0.5,vp.data[[#This Row],[Unknown]]=0),1,0)</f>
        <v>0</v>
      </c>
      <c r="AA1032">
        <f>IF(AND(vp.data[[#This Row],[CrudeType]]="Crude",vp.data[[#This Row],[Dens]]&lt;=825,vp.data[[#This Row],[Sulf]]&lt;=0.5,vp.data[[#This Row],[Unknown]]=0),1,0)</f>
        <v>0</v>
      </c>
      <c r="AB10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2">
        <f>IF(AND(vp.data[[#This Row],[CrudeType]]="Crude",vp.data[[#This Row],[Dens]]&gt;825,vp.data[[#This Row],[Dens]]&lt;=900,vp.data[[#This Row],[Sulf]]&lt;=0.5,vp.data[[#This Row],[Unknown]]=0),1,0)</f>
        <v>0</v>
      </c>
      <c r="AD1032">
        <f>IF(AND(vp.data[[#This Row],[CrudeType]]="Crude",vp.data[[#This Row],[Dens]]&gt;865,vp.data[[#This Row],[Dens]]&lt;=900,vp.data[[#This Row],[Sulf]]&gt;2,vp.data[[#This Row],[Unknown]]=0),1,0)</f>
        <v>0</v>
      </c>
      <c r="AE1032">
        <f>IF(AND(vp.data[[#This Row],[CrudeType]]="Crude",vp.data[[#This Row],[Dens]]&gt;900,vp.data[[#This Row],[Sulf]]&lt;=0.5,vp.data[[#This Row],[Unknown]]=0),1,0)</f>
        <v>0</v>
      </c>
      <c r="AF1032">
        <f>IF(AND(vp.data[[#This Row],[CrudeType]]="Crude",vp.data[[#This Row],[Dens]]&gt;900,vp.data[[#This Row],[Sulf]]&lt;=0.5,vp.data[[#This Row],[Unknown]]=0),1,0)</f>
        <v>0</v>
      </c>
      <c r="AG1032" t="str">
        <f>INDEX(vp.data[[#Headers],[Unknown]:[Heavy_SW]],MATCH(1,vp.data[[#This Row],[Unknown]:[Heavy_SW]],0))</f>
        <v>Medium_LSB</v>
      </c>
      <c r="AH1032">
        <f>INDEX([3]!crudeBD.lkup[Number],MATCH(vp.data[[#This Row],[Crude_Breakdown]],crudeBD.lkup[Crude Breakdown],0))</f>
        <v>3</v>
      </c>
      <c r="AI1032">
        <f>MONTH(vp.data[[#This Row],[SDate]])</f>
        <v>3</v>
      </c>
      <c r="AJ1032" s="5">
        <f>(vp.data[[#This Row],[VP]]-INDEX(crudeBD.lkup[Mean_VP],MATCH(vp.data[[#This Row],[Crude_Breakdown]],crudeBD.lkup[Crude Breakdown],0)))^2</f>
        <v>381.79895967335028</v>
      </c>
      <c r="AK1032" s="5">
        <f>(vp.data[[#This Row],[Dens]]-INDEX(crudeBD.lkup[Mean_Dens],MATCH(vp.data[[#This Row],[Crude_Breakdown]],crudeBD.lkup[Crude Breakdown],0)))^2</f>
        <v>649.23040000002413</v>
      </c>
      <c r="AL1032" s="5">
        <f>(vp.data[[#This Row],[Sulf]]-INDEX(crudeBD.lkup[Mean_Sulf],MATCH(vp.data[[#This Row],[Crude_Breakdown]],crudeBD.lkup[Crude Breakdown],0)))^2</f>
        <v>0.17188642141914151</v>
      </c>
      <c r="AM1032" s="4">
        <f>IF(AND(vp.data[[#This Row],[SDate]]&gt;=DATE(YEAR(vp.data[[#This Row],[SDate]]),5,1),vp.data[[#This Row],[SDate]]&lt;=DATE(YEAR(vp.data[[#This Row],[SDate]]),9,15)),1,0)</f>
        <v>0</v>
      </c>
      <c r="AN1032" s="4">
        <f>IF(vp.data[[#This Row],[SDate]]&lt;DATE(2016,12,1),0,1)</f>
        <v>1</v>
      </c>
      <c r="AO1032" s="4">
        <f>IFERROR(vp.data[[#This Row],[Sulf]]*vp.data[[#This Row],[Net Dens]],"")</f>
        <v>384749.66628</v>
      </c>
      <c r="AP1032">
        <f>IFERROR(vp.data[[#This Row],[Dens]]*vp.data[[#This Row],[VolumeM3]],"")</f>
        <v>213749.81460000001</v>
      </c>
      <c r="AQ1032" s="15">
        <f>IFERROR(vp.data[[#This Row],[VP]]*vp.data[[#This Row],[VolumeM3]],"")</f>
        <v>15021.984900000001</v>
      </c>
    </row>
    <row r="1033" spans="1:43" x14ac:dyDescent="0.25">
      <c r="A1033">
        <v>1032</v>
      </c>
      <c r="B1033" t="s">
        <v>62</v>
      </c>
      <c r="C1033" t="s">
        <v>62</v>
      </c>
      <c r="D1033" t="s">
        <v>63</v>
      </c>
      <c r="F1033" s="1">
        <v>42810</v>
      </c>
      <c r="G1033" s="2">
        <v>92.4</v>
      </c>
      <c r="H1033" s="2"/>
      <c r="I1033" s="2">
        <f t="array" ref="I1033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33" s="2">
        <v>13.7</v>
      </c>
      <c r="K1033" s="2">
        <v>3</v>
      </c>
      <c r="L1033" s="2">
        <v>827.8</v>
      </c>
      <c r="M1033" s="2">
        <f t="array" ref="M1033">_xlfn.IFNA(IF(vp.data[[#This Row],[Dens Input]]="",INDEX([1]DATA!$O$3:$O$9826,MATCH(1,(vp.data[[#This Row],[Battery]]=[1]DATA!$L$3:$L$9826)*(EOMONTH(vp.data[[#This Row],[SDate]],-1)+1=[1]DATA!$G$3:$G$9826),0)),vp.data[[#This Row],[Dens Input]]),"")</f>
        <v>827.8</v>
      </c>
      <c r="N1033" s="2">
        <f ca="1">INDEX(INDIRECT(_xlfn.CONCAT("weather.tbl[",N$1,"]")),MATCH(vp.data[[#This Row],[SDate]],weather.tbl[Date],0))</f>
        <v>1.5</v>
      </c>
      <c r="O1033" s="2">
        <f ca="1">INDEX(INDIRECT(_xlfn.CONCAT("weather.tbl[",O$1,"]")),MATCH(vp.data[[#This Row],[SDate]],weather.tbl[Date],0))</f>
        <v>-12.176190476190474</v>
      </c>
      <c r="P1033" s="2">
        <f ca="1">INDEX(INDIRECT(_xlfn.CONCAT("weather.tbl[",P$1,"]")),MATCH(vp.data[[#This Row],[SDate]],weather.tbl[Date],0))</f>
        <v>1.1000000000000001</v>
      </c>
      <c r="Q1033" s="2">
        <f ca="1">INDEX(INDIRECT(_xlfn.CONCAT("weather.tbl[",Q$1,"]")),MATCH(vp.data[[#This Row],[SDate]],weather.tbl[Date],0))</f>
        <v>2.9</v>
      </c>
      <c r="R1033" s="2">
        <f ca="1">INDEX(INDIRECT(_xlfn.CONCAT("weather.tbl[",R$1,"]")),MATCH(vp.data[[#This Row],[SDate]],weather.tbl[Date],0))</f>
        <v>-0.8</v>
      </c>
      <c r="S1033" s="2">
        <f ca="1">INDEX(INDIRECT(_xlfn.CONCAT("weather.tbl[",S$1,"]")),MATCH(vp.data[[#This Row],[SDate]],weather.tbl[Date],0))</f>
        <v>4</v>
      </c>
      <c r="T1033" s="2">
        <f ca="1">INDEX(INDIRECT(_xlfn.CONCAT("weather.tbl[",T$1,"]")),MATCH(vp.data[[#This Row],[SDate]],weather.tbl[Date],0))</f>
        <v>-0.5</v>
      </c>
      <c r="U1033" s="2">
        <f ca="1">INDEX(INDIRECT(_xlfn.CONCAT("weather.tbl[",U$1,"]")),MATCH(vp.data[[#This Row],[SDate]],weather.tbl[Date],0))</f>
        <v>2.2999999999999998</v>
      </c>
      <c r="V1033" s="2">
        <f t="array" ref="V10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33" t="s">
        <v>48</v>
      </c>
      <c r="X1033">
        <f>IF(OR(vp.data[[#This Row],[Sulf]]="",vp.data[[#This Row],[Dens]]=""),1,0)</f>
        <v>0</v>
      </c>
      <c r="Y1033">
        <f>IF(vp.data[[#This Row],[CrudeType]]="C5+",1,0)</f>
        <v>0</v>
      </c>
      <c r="Z1033">
        <f>IF(AND(vp.data[[#This Row],[CrudeType]]="Crude",vp.data[[#This Row],[Dens]]&lt;=825,vp.data[[#This Row],[Sulf]]&gt;0.5,vp.data[[#This Row],[Unknown]]=0),1,0)</f>
        <v>0</v>
      </c>
      <c r="AA1033">
        <f>IF(AND(vp.data[[#This Row],[CrudeType]]="Crude",vp.data[[#This Row],[Dens]]&lt;=825,vp.data[[#This Row],[Sulf]]&lt;=0.5,vp.data[[#This Row],[Unknown]]=0),1,0)</f>
        <v>0</v>
      </c>
      <c r="AB10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3">
        <f>IF(AND(vp.data[[#This Row],[CrudeType]]="Crude",vp.data[[#This Row],[Dens]]&gt;825,vp.data[[#This Row],[Dens]]&lt;=900,vp.data[[#This Row],[Sulf]]&lt;=0.5,vp.data[[#This Row],[Unknown]]=0),1,0)</f>
        <v>0</v>
      </c>
      <c r="AD1033">
        <f>IF(AND(vp.data[[#This Row],[CrudeType]]="Crude",vp.data[[#This Row],[Dens]]&gt;865,vp.data[[#This Row],[Dens]]&lt;=900,vp.data[[#This Row],[Sulf]]&gt;2,vp.data[[#This Row],[Unknown]]=0),1,0)</f>
        <v>0</v>
      </c>
      <c r="AE1033">
        <f>IF(AND(vp.data[[#This Row],[CrudeType]]="Crude",vp.data[[#This Row],[Dens]]&gt;900,vp.data[[#This Row],[Sulf]]&lt;=0.5,vp.data[[#This Row],[Unknown]]=0),1,0)</f>
        <v>0</v>
      </c>
      <c r="AF1033">
        <f>IF(AND(vp.data[[#This Row],[CrudeType]]="Crude",vp.data[[#This Row],[Dens]]&gt;900,vp.data[[#This Row],[Sulf]]&lt;=0.5,vp.data[[#This Row],[Unknown]]=0),1,0)</f>
        <v>0</v>
      </c>
      <c r="AG1033" t="str">
        <f>INDEX(vp.data[[#Headers],[Unknown]:[Heavy_SW]],MATCH(1,vp.data[[#This Row],[Unknown]:[Heavy_SW]],0))</f>
        <v>Medium_LSB</v>
      </c>
      <c r="AH1033">
        <f>INDEX([3]!crudeBD.lkup[Number],MATCH(vp.data[[#This Row],[Crude_Breakdown]],crudeBD.lkup[Crude Breakdown],0))</f>
        <v>3</v>
      </c>
      <c r="AI1033">
        <f>MONTH(vp.data[[#This Row],[SDate]])</f>
        <v>3</v>
      </c>
      <c r="AJ1033" s="5">
        <f>(vp.data[[#This Row],[VP]]-INDEX(crudeBD.lkup[Mean_VP],MATCH(vp.data[[#This Row],[Crude_Breakdown]],crudeBD.lkup[Crude Breakdown],0)))^2</f>
        <v>138.30520765179162</v>
      </c>
      <c r="AK1033" s="5">
        <f>(vp.data[[#This Row],[Dens]]-INDEX(crudeBD.lkup[Mean_Dens],MATCH(vp.data[[#This Row],[Crude_Breakdown]],crudeBD.lkup[Crude Breakdown],0)))^2</f>
        <v>259.8543999999855</v>
      </c>
      <c r="AL1033" s="5">
        <f>(vp.data[[#This Row],[Sulf]]-INDEX(crudeBD.lkup[Mean_Sulf],MATCH(vp.data[[#This Row],[Crude_Breakdown]],crudeBD.lkup[Crude Breakdown],0)))^2</f>
        <v>0.12573539662129798</v>
      </c>
      <c r="AM1033" s="4">
        <f>IF(AND(vp.data[[#This Row],[SDate]]&gt;=DATE(YEAR(vp.data[[#This Row],[SDate]]),5,1),vp.data[[#This Row],[SDate]]&lt;=DATE(YEAR(vp.data[[#This Row],[SDate]]),9,15)),1,0)</f>
        <v>0</v>
      </c>
      <c r="AN1033" s="4">
        <f>IF(vp.data[[#This Row],[SDate]]&lt;DATE(2016,12,1),0,1)</f>
        <v>1</v>
      </c>
      <c r="AO1033" s="4">
        <f>IFERROR(vp.data[[#This Row],[Sulf]]*vp.data[[#This Row],[Net Dens]],"")</f>
        <v>10023911.721743999</v>
      </c>
      <c r="AP1033">
        <f>IFERROR(vp.data[[#This Row],[Dens]]*vp.data[[#This Row],[VolumeM3]],"")</f>
        <v>5760868.8055999996</v>
      </c>
      <c r="AQ1033" s="15">
        <f>IFERROR(vp.data[[#This Row],[VP]]*vp.data[[#This Row],[VolumeM3]],"")</f>
        <v>643034.88480000012</v>
      </c>
    </row>
    <row r="1034" spans="1:43" x14ac:dyDescent="0.25">
      <c r="A1034">
        <v>1033</v>
      </c>
      <c r="B1034" t="s">
        <v>60</v>
      </c>
      <c r="C1034" t="s">
        <v>60</v>
      </c>
      <c r="D1034" t="s">
        <v>61</v>
      </c>
      <c r="E1034" t="s">
        <v>73</v>
      </c>
      <c r="F1034" s="1">
        <v>42810</v>
      </c>
      <c r="G1034" s="2">
        <v>70.91</v>
      </c>
      <c r="H1034" s="2">
        <v>1.077</v>
      </c>
      <c r="I1034" s="2">
        <f t="array" ref="I1034">_xlfn.IFNA(IF(vp.data[[#This Row],[Sulf Input]]="",INDEX([1]DATA!$Q$3:$Q$9826,MATCH(1,(vp.data[[#This Row],[Battery]]=[1]DATA!$L$3:$L$9826)*(EOMONTH(vp.data[[#This Row],[SDate]],-1)+1=[1]DATA!$G$3:$G$9826),0)),vp.data[[#This Row],[Sulf Input]]),"")</f>
        <v>1.077</v>
      </c>
      <c r="J1034" s="2">
        <v>8</v>
      </c>
      <c r="K1034" s="2">
        <v>1</v>
      </c>
      <c r="L1034" s="2">
        <v>845.9</v>
      </c>
      <c r="M1034" s="2">
        <f t="array" ref="M1034">_xlfn.IFNA(IF(vp.data[[#This Row],[Dens Input]]="",INDEX([1]DATA!$O$3:$O$9826,MATCH(1,(vp.data[[#This Row],[Battery]]=[1]DATA!$L$3:$L$9826)*(EOMONTH(vp.data[[#This Row],[SDate]],-1)+1=[1]DATA!$G$3:$G$9826),0)),vp.data[[#This Row],[Dens Input]]),"")</f>
        <v>845.9</v>
      </c>
      <c r="N1034" s="2">
        <f ca="1">INDEX(INDIRECT(_xlfn.CONCAT("weather.tbl[",N$1,"]")),MATCH(vp.data[[#This Row],[SDate]],weather.tbl[Date],0))</f>
        <v>1.5</v>
      </c>
      <c r="O1034" s="2">
        <f ca="1">INDEX(INDIRECT(_xlfn.CONCAT("weather.tbl[",O$1,"]")),MATCH(vp.data[[#This Row],[SDate]],weather.tbl[Date],0))</f>
        <v>-12.176190476190474</v>
      </c>
      <c r="P1034" s="2">
        <f ca="1">INDEX(INDIRECT(_xlfn.CONCAT("weather.tbl[",P$1,"]")),MATCH(vp.data[[#This Row],[SDate]],weather.tbl[Date],0))</f>
        <v>1.1000000000000001</v>
      </c>
      <c r="Q1034" s="2">
        <f ca="1">INDEX(INDIRECT(_xlfn.CONCAT("weather.tbl[",Q$1,"]")),MATCH(vp.data[[#This Row],[SDate]],weather.tbl[Date],0))</f>
        <v>2.9</v>
      </c>
      <c r="R1034" s="2">
        <f ca="1">INDEX(INDIRECT(_xlfn.CONCAT("weather.tbl[",R$1,"]")),MATCH(vp.data[[#This Row],[SDate]],weather.tbl[Date],0))</f>
        <v>-0.8</v>
      </c>
      <c r="S1034" s="2">
        <f ca="1">INDEX(INDIRECT(_xlfn.CONCAT("weather.tbl[",S$1,"]")),MATCH(vp.data[[#This Row],[SDate]],weather.tbl[Date],0))</f>
        <v>4</v>
      </c>
      <c r="T1034" s="2">
        <f ca="1">INDEX(INDIRECT(_xlfn.CONCAT("weather.tbl[",T$1,"]")),MATCH(vp.data[[#This Row],[SDate]],weather.tbl[Date],0))</f>
        <v>-0.5</v>
      </c>
      <c r="U1034" s="2">
        <f ca="1">INDEX(INDIRECT(_xlfn.CONCAT("weather.tbl[",U$1,"]")),MATCH(vp.data[[#This Row],[SDate]],weather.tbl[Date],0))</f>
        <v>2.2999999999999998</v>
      </c>
      <c r="V1034" s="2">
        <f t="array" ref="V10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34" t="s">
        <v>48</v>
      </c>
      <c r="X1034">
        <f>IF(OR(vp.data[[#This Row],[Sulf]]="",vp.data[[#This Row],[Dens]]=""),1,0)</f>
        <v>0</v>
      </c>
      <c r="Y1034">
        <f>IF(vp.data[[#This Row],[CrudeType]]="C5+",1,0)</f>
        <v>0</v>
      </c>
      <c r="Z1034">
        <f>IF(AND(vp.data[[#This Row],[CrudeType]]="Crude",vp.data[[#This Row],[Dens]]&lt;=825,vp.data[[#This Row],[Sulf]]&gt;0.5,vp.data[[#This Row],[Unknown]]=0),1,0)</f>
        <v>0</v>
      </c>
      <c r="AA1034">
        <f>IF(AND(vp.data[[#This Row],[CrudeType]]="Crude",vp.data[[#This Row],[Dens]]&lt;=825,vp.data[[#This Row],[Sulf]]&lt;=0.5,vp.data[[#This Row],[Unknown]]=0),1,0)</f>
        <v>0</v>
      </c>
      <c r="AB10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4">
        <f>IF(AND(vp.data[[#This Row],[CrudeType]]="Crude",vp.data[[#This Row],[Dens]]&gt;825,vp.data[[#This Row],[Dens]]&lt;=900,vp.data[[#This Row],[Sulf]]&lt;=0.5,vp.data[[#This Row],[Unknown]]=0),1,0)</f>
        <v>0</v>
      </c>
      <c r="AD1034">
        <f>IF(AND(vp.data[[#This Row],[CrudeType]]="Crude",vp.data[[#This Row],[Dens]]&gt;865,vp.data[[#This Row],[Dens]]&lt;=900,vp.data[[#This Row],[Sulf]]&gt;2,vp.data[[#This Row],[Unknown]]=0),1,0)</f>
        <v>0</v>
      </c>
      <c r="AE1034">
        <f>IF(AND(vp.data[[#This Row],[CrudeType]]="Crude",vp.data[[#This Row],[Dens]]&gt;900,vp.data[[#This Row],[Sulf]]&lt;=0.5,vp.data[[#This Row],[Unknown]]=0),1,0)</f>
        <v>0</v>
      </c>
      <c r="AF1034">
        <f>IF(AND(vp.data[[#This Row],[CrudeType]]="Crude",vp.data[[#This Row],[Dens]]&gt;900,vp.data[[#This Row],[Sulf]]&lt;=0.5,vp.data[[#This Row],[Unknown]]=0),1,0)</f>
        <v>0</v>
      </c>
      <c r="AG1034" t="str">
        <f>INDEX(vp.data[[#Headers],[Unknown]:[Heavy_SW]],MATCH(1,vp.data[[#This Row],[Unknown]:[Heavy_SW]],0))</f>
        <v>Medium_LSB</v>
      </c>
      <c r="AH1034">
        <f>INDEX([3]!crudeBD.lkup[Number],MATCH(vp.data[[#This Row],[Crude_Breakdown]],crudeBD.lkup[Crude Breakdown],0))</f>
        <v>3</v>
      </c>
      <c r="AI1034">
        <f>MONTH(vp.data[[#This Row],[SDate]])</f>
        <v>3</v>
      </c>
      <c r="AJ1034" s="5">
        <f>(vp.data[[#This Row],[VP]]-INDEX(crudeBD.lkup[Mean_VP],MATCH(vp.data[[#This Row],[Crude_Breakdown]],crudeBD.lkup[Crude Breakdown],0)))^2</f>
        <v>94.666605764996021</v>
      </c>
      <c r="AK1034" s="5">
        <f>(vp.data[[#This Row],[Dens]]-INDEX(crudeBD.lkup[Mean_Dens],MATCH(vp.data[[#This Row],[Crude_Breakdown]],crudeBD.lkup[Crude Breakdown],0)))^2</f>
        <v>3.9204000000018731</v>
      </c>
      <c r="AL1034" s="5">
        <f>(vp.data[[#This Row],[Sulf]]-INDEX(crudeBD.lkup[Mean_Sulf],MATCH(vp.data[[#This Row],[Crude_Breakdown]],crudeBD.lkup[Crude Breakdown],0)))^2</f>
        <v>9.5115572605127527E-2</v>
      </c>
      <c r="AM1034" s="4">
        <f>IF(AND(vp.data[[#This Row],[SDate]]&gt;=DATE(YEAR(vp.data[[#This Row],[SDate]]),5,1),vp.data[[#This Row],[SDate]]&lt;=DATE(YEAR(vp.data[[#This Row],[SDate]]),9,15)),1,0)</f>
        <v>0</v>
      </c>
      <c r="AN1034" s="4">
        <f>IF(vp.data[[#This Row],[SDate]]&lt;DATE(2016,12,1),0,1)</f>
        <v>1</v>
      </c>
      <c r="AO1034" s="4">
        <f>IFERROR(vp.data[[#This Row],[Sulf]]*vp.data[[#This Row],[Net Dens]],"")</f>
        <v>96637827.628389284</v>
      </c>
      <c r="AP1034">
        <f>IFERROR(vp.data[[#This Row],[Dens]]*vp.data[[#This Row],[VolumeM3]],"")</f>
        <v>89728716.460899994</v>
      </c>
      <c r="AQ1034" s="15">
        <f>IFERROR(vp.data[[#This Row],[VP]]*vp.data[[#This Row],[VolumeM3]],"")</f>
        <v>7521767.6844099993</v>
      </c>
    </row>
    <row r="1035" spans="1:43" x14ac:dyDescent="0.25">
      <c r="A1035">
        <v>1034</v>
      </c>
      <c r="B1035" t="s">
        <v>60</v>
      </c>
      <c r="C1035" t="s">
        <v>60</v>
      </c>
      <c r="D1035" t="s">
        <v>61</v>
      </c>
      <c r="E1035" t="s">
        <v>55</v>
      </c>
      <c r="F1035" s="1">
        <v>42810</v>
      </c>
      <c r="G1035" s="2">
        <v>85.29</v>
      </c>
      <c r="H1035" s="2">
        <v>1.1100000000000001</v>
      </c>
      <c r="I1035" s="2">
        <f t="array" ref="I1035">_xlfn.IFNA(IF(vp.data[[#This Row],[Sulf Input]]="",INDEX([1]DATA!$Q$3:$Q$9826,MATCH(1,(vp.data[[#This Row],[Battery]]=[1]DATA!$L$3:$L$9826)*(EOMONTH(vp.data[[#This Row],[SDate]],-1)+1=[1]DATA!$G$3:$G$9826),0)),vp.data[[#This Row],[Sulf Input]]),"")</f>
        <v>1.1100000000000001</v>
      </c>
      <c r="J1035" s="2">
        <v>7.1</v>
      </c>
      <c r="K1035" s="2">
        <v>1</v>
      </c>
      <c r="L1035" s="2">
        <v>840.9</v>
      </c>
      <c r="M1035" s="2">
        <f t="array" ref="M1035">_xlfn.IFNA(IF(vp.data[[#This Row],[Dens Input]]="",INDEX([1]DATA!$O$3:$O$9826,MATCH(1,(vp.data[[#This Row],[Battery]]=[1]DATA!$L$3:$L$9826)*(EOMONTH(vp.data[[#This Row],[SDate]],-1)+1=[1]DATA!$G$3:$G$9826),0)),vp.data[[#This Row],[Dens Input]]),"")</f>
        <v>840.9</v>
      </c>
      <c r="N1035" s="2">
        <f ca="1">INDEX(INDIRECT(_xlfn.CONCAT("weather.tbl[",N$1,"]")),MATCH(vp.data[[#This Row],[SDate]],weather.tbl[Date],0))</f>
        <v>1.5</v>
      </c>
      <c r="O1035" s="2">
        <f ca="1">INDEX(INDIRECT(_xlfn.CONCAT("weather.tbl[",O$1,"]")),MATCH(vp.data[[#This Row],[SDate]],weather.tbl[Date],0))</f>
        <v>-12.176190476190474</v>
      </c>
      <c r="P1035" s="2">
        <f ca="1">INDEX(INDIRECT(_xlfn.CONCAT("weather.tbl[",P$1,"]")),MATCH(vp.data[[#This Row],[SDate]],weather.tbl[Date],0))</f>
        <v>1.1000000000000001</v>
      </c>
      <c r="Q1035" s="2">
        <f ca="1">INDEX(INDIRECT(_xlfn.CONCAT("weather.tbl[",Q$1,"]")),MATCH(vp.data[[#This Row],[SDate]],weather.tbl[Date],0))</f>
        <v>2.9</v>
      </c>
      <c r="R1035" s="2">
        <f ca="1">INDEX(INDIRECT(_xlfn.CONCAT("weather.tbl[",R$1,"]")),MATCH(vp.data[[#This Row],[SDate]],weather.tbl[Date],0))</f>
        <v>-0.8</v>
      </c>
      <c r="S1035" s="2">
        <f ca="1">INDEX(INDIRECT(_xlfn.CONCAT("weather.tbl[",S$1,"]")),MATCH(vp.data[[#This Row],[SDate]],weather.tbl[Date],0))</f>
        <v>4</v>
      </c>
      <c r="T1035" s="2">
        <f ca="1">INDEX(INDIRECT(_xlfn.CONCAT("weather.tbl[",T$1,"]")),MATCH(vp.data[[#This Row],[SDate]],weather.tbl[Date],0))</f>
        <v>-0.5</v>
      </c>
      <c r="U1035" s="2">
        <f ca="1">INDEX(INDIRECT(_xlfn.CONCAT("weather.tbl[",U$1,"]")),MATCH(vp.data[[#This Row],[SDate]],weather.tbl[Date],0))</f>
        <v>2.2999999999999998</v>
      </c>
      <c r="V1035" s="2">
        <f t="array" ref="V10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35" t="s">
        <v>48</v>
      </c>
      <c r="X1035">
        <f>IF(OR(vp.data[[#This Row],[Sulf]]="",vp.data[[#This Row],[Dens]]=""),1,0)</f>
        <v>0</v>
      </c>
      <c r="Y1035">
        <f>IF(vp.data[[#This Row],[CrudeType]]="C5+",1,0)</f>
        <v>0</v>
      </c>
      <c r="Z1035">
        <f>IF(AND(vp.data[[#This Row],[CrudeType]]="Crude",vp.data[[#This Row],[Dens]]&lt;=825,vp.data[[#This Row],[Sulf]]&gt;0.5,vp.data[[#This Row],[Unknown]]=0),1,0)</f>
        <v>0</v>
      </c>
      <c r="AA1035">
        <f>IF(AND(vp.data[[#This Row],[CrudeType]]="Crude",vp.data[[#This Row],[Dens]]&lt;=825,vp.data[[#This Row],[Sulf]]&lt;=0.5,vp.data[[#This Row],[Unknown]]=0),1,0)</f>
        <v>0</v>
      </c>
      <c r="AB10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5">
        <f>IF(AND(vp.data[[#This Row],[CrudeType]]="Crude",vp.data[[#This Row],[Dens]]&gt;825,vp.data[[#This Row],[Dens]]&lt;=900,vp.data[[#This Row],[Sulf]]&lt;=0.5,vp.data[[#This Row],[Unknown]]=0),1,0)</f>
        <v>0</v>
      </c>
      <c r="AD1035">
        <f>IF(AND(vp.data[[#This Row],[CrudeType]]="Crude",vp.data[[#This Row],[Dens]]&gt;865,vp.data[[#This Row],[Dens]]&lt;=900,vp.data[[#This Row],[Sulf]]&gt;2,vp.data[[#This Row],[Unknown]]=0),1,0)</f>
        <v>0</v>
      </c>
      <c r="AE1035">
        <f>IF(AND(vp.data[[#This Row],[CrudeType]]="Crude",vp.data[[#This Row],[Dens]]&gt;900,vp.data[[#This Row],[Sulf]]&lt;=0.5,vp.data[[#This Row],[Unknown]]=0),1,0)</f>
        <v>0</v>
      </c>
      <c r="AF1035">
        <f>IF(AND(vp.data[[#This Row],[CrudeType]]="Crude",vp.data[[#This Row],[Dens]]&gt;900,vp.data[[#This Row],[Sulf]]&lt;=0.5,vp.data[[#This Row],[Unknown]]=0),1,0)</f>
        <v>0</v>
      </c>
      <c r="AG1035" t="str">
        <f>INDEX(vp.data[[#Headers],[Unknown]:[Heavy_SW]],MATCH(1,vp.data[[#This Row],[Unknown]:[Heavy_SW]],0))</f>
        <v>Medium_LSB</v>
      </c>
      <c r="AH1035">
        <f>INDEX([3]!crudeBD.lkup[Number],MATCH(vp.data[[#This Row],[Crude_Breakdown]],crudeBD.lkup[Crude Breakdown],0))</f>
        <v>3</v>
      </c>
      <c r="AI1035">
        <f>MONTH(vp.data[[#This Row],[SDate]])</f>
        <v>3</v>
      </c>
      <c r="AJ1035" s="5">
        <f>(vp.data[[#This Row],[VP]]-INDEX(crudeBD.lkup[Mean_VP],MATCH(vp.data[[#This Row],[Crude_Breakdown]],crudeBD.lkup[Crude Breakdown],0)))^2</f>
        <v>21.625508190874083</v>
      </c>
      <c r="AK1035" s="5">
        <f>(vp.data[[#This Row],[Dens]]-INDEX(crudeBD.lkup[Mean_Dens],MATCH(vp.data[[#This Row],[Crude_Breakdown]],crudeBD.lkup[Crude Breakdown],0)))^2</f>
        <v>9.1203999999971437</v>
      </c>
      <c r="AL1035" s="5">
        <f>(vp.data[[#This Row],[Sulf]]-INDEX(crudeBD.lkup[Mean_Sulf],MATCH(vp.data[[#This Row],[Crude_Breakdown]],crudeBD.lkup[Crude Breakdown],0)))^2</f>
        <v>7.5849636243941365E-2</v>
      </c>
      <c r="AM1035" s="4">
        <f>IF(AND(vp.data[[#This Row],[SDate]]&gt;=DATE(YEAR(vp.data[[#This Row],[SDate]]),5,1),vp.data[[#This Row],[SDate]]&lt;=DATE(YEAR(vp.data[[#This Row],[SDate]]),9,15)),1,0)</f>
        <v>0</v>
      </c>
      <c r="AN1035" s="4">
        <f>IF(vp.data[[#This Row],[SDate]]&lt;DATE(2016,12,1),0,1)</f>
        <v>1</v>
      </c>
      <c r="AO1035" s="4">
        <f>IFERROR(vp.data[[#This Row],[Sulf]]*vp.data[[#This Row],[Net Dens]],"")</f>
        <v>99010159.848549008</v>
      </c>
      <c r="AP1035">
        <f>IFERROR(vp.data[[#This Row],[Dens]]*vp.data[[#This Row],[VolumeM3]],"")</f>
        <v>89198342.205899999</v>
      </c>
      <c r="AQ1035" s="15">
        <f>IFERROR(vp.data[[#This Row],[VP]]*vp.data[[#This Row],[VolumeM3]],"")</f>
        <v>9047124.0417900011</v>
      </c>
    </row>
    <row r="1036" spans="1:43" x14ac:dyDescent="0.25">
      <c r="A1036">
        <v>1035</v>
      </c>
      <c r="B1036" t="s">
        <v>49</v>
      </c>
      <c r="C1036" t="s">
        <v>49</v>
      </c>
      <c r="D1036" t="s">
        <v>201</v>
      </c>
      <c r="F1036" s="1">
        <v>42811</v>
      </c>
      <c r="G1036" s="2">
        <v>62.4</v>
      </c>
      <c r="H1036" s="2">
        <v>1.405</v>
      </c>
      <c r="I1036" s="2">
        <f t="array" ref="I1036">_xlfn.IFNA(IF(vp.data[[#This Row],[Sulf Input]]="",INDEX([1]DATA!$Q$3:$Q$9826,MATCH(1,(vp.data[[#This Row],[Battery]]=[1]DATA!$L$3:$L$9826)*(EOMONTH(vp.data[[#This Row],[SDate]],-1)+1=[1]DATA!$G$3:$G$9826),0)),vp.data[[#This Row],[Sulf Input]]),"")</f>
        <v>1.405</v>
      </c>
      <c r="J1036" s="2">
        <v>6.7</v>
      </c>
      <c r="K1036" s="2">
        <v>-1</v>
      </c>
      <c r="L1036" s="2">
        <v>849.9</v>
      </c>
      <c r="M1036" s="2">
        <f t="array" ref="M1036">_xlfn.IFNA(IF(vp.data[[#This Row],[Dens Input]]="",INDEX([1]DATA!$O$3:$O$9826,MATCH(1,(vp.data[[#This Row],[Battery]]=[1]DATA!$L$3:$L$9826)*(EOMONTH(vp.data[[#This Row],[SDate]],-1)+1=[1]DATA!$G$3:$G$9826),0)),vp.data[[#This Row],[Dens Input]]),"")</f>
        <v>849.9</v>
      </c>
      <c r="N1036" s="2">
        <f ca="1">INDEX(INDIRECT(_xlfn.CONCAT("weather.tbl[",N$1,"]")),MATCH(vp.data[[#This Row],[SDate]],weather.tbl[Date],0))</f>
        <v>-1.7</v>
      </c>
      <c r="O1036" s="2">
        <f ca="1">INDEX(INDIRECT(_xlfn.CONCAT("weather.tbl[",O$1,"]")),MATCH(vp.data[[#This Row],[SDate]],weather.tbl[Date],0))</f>
        <v>-9.3785714285714299</v>
      </c>
      <c r="P1036" s="2">
        <f ca="1">INDEX(INDIRECT(_xlfn.CONCAT("weather.tbl[",P$1,"]")),MATCH(vp.data[[#This Row],[SDate]],weather.tbl[Date],0))</f>
        <v>-2.6</v>
      </c>
      <c r="Q1036" s="2">
        <f ca="1">INDEX(INDIRECT(_xlfn.CONCAT("weather.tbl[",Q$1,"]")),MATCH(vp.data[[#This Row],[SDate]],weather.tbl[Date],0))</f>
        <v>-1.3</v>
      </c>
      <c r="R1036" s="2">
        <f ca="1">INDEX(INDIRECT(_xlfn.CONCAT("weather.tbl[",R$1,"]")),MATCH(vp.data[[#This Row],[SDate]],weather.tbl[Date],0))</f>
        <v>-0.8</v>
      </c>
      <c r="S1036" s="2">
        <f ca="1">INDEX(INDIRECT(_xlfn.CONCAT("weather.tbl[",S$1,"]")),MATCH(vp.data[[#This Row],[SDate]],weather.tbl[Date],0))</f>
        <v>0.2</v>
      </c>
      <c r="T1036" s="2">
        <f ca="1">INDEX(INDIRECT(_xlfn.CONCAT("weather.tbl[",T$1,"]")),MATCH(vp.data[[#This Row],[SDate]],weather.tbl[Date],0))</f>
        <v>-3.4</v>
      </c>
      <c r="U1036" s="2">
        <f ca="1">INDEX(INDIRECT(_xlfn.CONCAT("weather.tbl[",U$1,"]")),MATCH(vp.data[[#This Row],[SDate]],weather.tbl[Date],0))</f>
        <v>-2.2999999999999998</v>
      </c>
      <c r="V1036" s="2">
        <f t="array" ref="V10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290.43200000000002</v>
      </c>
      <c r="W1036" t="s">
        <v>48</v>
      </c>
      <c r="X1036">
        <f>IF(OR(vp.data[[#This Row],[Sulf]]="",vp.data[[#This Row],[Dens]]=""),1,0)</f>
        <v>0</v>
      </c>
      <c r="Y1036">
        <f>IF(vp.data[[#This Row],[CrudeType]]="C5+",1,0)</f>
        <v>0</v>
      </c>
      <c r="Z1036">
        <f>IF(AND(vp.data[[#This Row],[CrudeType]]="Crude",vp.data[[#This Row],[Dens]]&lt;=825,vp.data[[#This Row],[Sulf]]&gt;0.5,vp.data[[#This Row],[Unknown]]=0),1,0)</f>
        <v>0</v>
      </c>
      <c r="AA1036">
        <f>IF(AND(vp.data[[#This Row],[CrudeType]]="Crude",vp.data[[#This Row],[Dens]]&lt;=825,vp.data[[#This Row],[Sulf]]&lt;=0.5,vp.data[[#This Row],[Unknown]]=0),1,0)</f>
        <v>0</v>
      </c>
      <c r="AB10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6">
        <f>IF(AND(vp.data[[#This Row],[CrudeType]]="Crude",vp.data[[#This Row],[Dens]]&gt;825,vp.data[[#This Row],[Dens]]&lt;=900,vp.data[[#This Row],[Sulf]]&lt;=0.5,vp.data[[#This Row],[Unknown]]=0),1,0)</f>
        <v>0</v>
      </c>
      <c r="AD1036">
        <f>IF(AND(vp.data[[#This Row],[CrudeType]]="Crude",vp.data[[#This Row],[Dens]]&gt;865,vp.data[[#This Row],[Dens]]&lt;=900,vp.data[[#This Row],[Sulf]]&gt;2,vp.data[[#This Row],[Unknown]]=0),1,0)</f>
        <v>0</v>
      </c>
      <c r="AE1036">
        <f>IF(AND(vp.data[[#This Row],[CrudeType]]="Crude",vp.data[[#This Row],[Dens]]&gt;900,vp.data[[#This Row],[Sulf]]&lt;=0.5,vp.data[[#This Row],[Unknown]]=0),1,0)</f>
        <v>0</v>
      </c>
      <c r="AF1036">
        <f>IF(AND(vp.data[[#This Row],[CrudeType]]="Crude",vp.data[[#This Row],[Dens]]&gt;900,vp.data[[#This Row],[Sulf]]&lt;=0.5,vp.data[[#This Row],[Unknown]]=0),1,0)</f>
        <v>0</v>
      </c>
      <c r="AG1036" t="str">
        <f>INDEX(vp.data[[#Headers],[Unknown]:[Heavy_SW]],MATCH(1,vp.data[[#This Row],[Unknown]:[Heavy_SW]],0))</f>
        <v>Medium_LSB</v>
      </c>
      <c r="AH1036">
        <f>INDEX([3]!crudeBD.lkup[Number],MATCH(vp.data[[#This Row],[Crude_Breakdown]],crudeBD.lkup[Crude Breakdown],0))</f>
        <v>3</v>
      </c>
      <c r="AI1036">
        <f>MONTH(vp.data[[#This Row],[SDate]])</f>
        <v>3</v>
      </c>
      <c r="AJ1036" s="5">
        <f>(vp.data[[#This Row],[VP]]-INDEX(crudeBD.lkup[Mean_VP],MATCH(vp.data[[#This Row],[Crude_Breakdown]],crudeBD.lkup[Crude Breakdown],0)))^2</f>
        <v>332.68580064370099</v>
      </c>
      <c r="AK1036" s="5">
        <f>(vp.data[[#This Row],[Dens]]-INDEX(crudeBD.lkup[Mean_Dens],MATCH(vp.data[[#This Row],[Crude_Breakdown]],crudeBD.lkup[Crude Breakdown],0)))^2</f>
        <v>35.760400000005653</v>
      </c>
      <c r="AL1036" s="5">
        <f>(vp.data[[#This Row],[Sulf]]-INDEX(crudeBD.lkup[Mean_Sulf],MATCH(vp.data[[#This Row],[Crude_Breakdown]],crudeBD.lkup[Crude Breakdown],0)))^2</f>
        <v>3.8384150000520868E-4</v>
      </c>
      <c r="AM1036" s="4">
        <f>IF(AND(vp.data[[#This Row],[SDate]]&gt;=DATE(YEAR(vp.data[[#This Row],[SDate]]),5,1),vp.data[[#This Row],[SDate]]&lt;=DATE(YEAR(vp.data[[#This Row],[SDate]]),9,15)),1,0)</f>
        <v>0</v>
      </c>
      <c r="AN1036" s="4">
        <f>IF(vp.data[[#This Row],[SDate]]&lt;DATE(2016,12,1),0,1)</f>
        <v>1</v>
      </c>
      <c r="AO1036" s="4">
        <f>IFERROR(vp.data[[#This Row],[Sulf]]*vp.data[[#This Row],[Net Dens]],"")</f>
        <v>346807.61030400003</v>
      </c>
      <c r="AP1036">
        <f>IFERROR(vp.data[[#This Row],[Dens]]*vp.data[[#This Row],[VolumeM3]],"")</f>
        <v>246838.1568</v>
      </c>
      <c r="AQ1036" s="15">
        <f>IFERROR(vp.data[[#This Row],[VP]]*vp.data[[#This Row],[VolumeM3]],"")</f>
        <v>18122.9568</v>
      </c>
    </row>
    <row r="1037" spans="1:43" x14ac:dyDescent="0.25">
      <c r="A1037">
        <v>1036</v>
      </c>
      <c r="B1037" t="s">
        <v>49</v>
      </c>
      <c r="C1037" t="s">
        <v>49</v>
      </c>
      <c r="D1037" t="s">
        <v>202</v>
      </c>
      <c r="F1037" s="1">
        <v>42811</v>
      </c>
      <c r="G1037" s="2">
        <v>74.099999999999994</v>
      </c>
      <c r="H1037" s="2">
        <v>1.5509999999999999</v>
      </c>
      <c r="I1037" s="2">
        <f t="array" ref="I1037">_xlfn.IFNA(IF(vp.data[[#This Row],[Sulf Input]]="",INDEX([1]DATA!$Q$3:$Q$9826,MATCH(1,(vp.data[[#This Row],[Battery]]=[1]DATA!$L$3:$L$9826)*(EOMONTH(vp.data[[#This Row],[SDate]],-1)+1=[1]DATA!$G$3:$G$9826),0)),vp.data[[#This Row],[Sulf Input]]),"")</f>
        <v>1.5509999999999999</v>
      </c>
      <c r="J1037" s="2">
        <v>5.5</v>
      </c>
      <c r="K1037" s="2">
        <v>-1</v>
      </c>
      <c r="L1037" s="2">
        <v>850.3</v>
      </c>
      <c r="M1037" s="2">
        <f t="array" ref="M1037">_xlfn.IFNA(IF(vp.data[[#This Row],[Dens Input]]="",INDEX([1]DATA!$O$3:$O$9826,MATCH(1,(vp.data[[#This Row],[Battery]]=[1]DATA!$L$3:$L$9826)*(EOMONTH(vp.data[[#This Row],[SDate]],-1)+1=[1]DATA!$G$3:$G$9826),0)),vp.data[[#This Row],[Dens Input]]),"")</f>
        <v>850.3</v>
      </c>
      <c r="N1037" s="2">
        <f ca="1">INDEX(INDIRECT(_xlfn.CONCAT("weather.tbl[",N$1,"]")),MATCH(vp.data[[#This Row],[SDate]],weather.tbl[Date],0))</f>
        <v>-1.7</v>
      </c>
      <c r="O1037" s="2">
        <f ca="1">INDEX(INDIRECT(_xlfn.CONCAT("weather.tbl[",O$1,"]")),MATCH(vp.data[[#This Row],[SDate]],weather.tbl[Date],0))</f>
        <v>-9.3785714285714299</v>
      </c>
      <c r="P1037" s="2">
        <f ca="1">INDEX(INDIRECT(_xlfn.CONCAT("weather.tbl[",P$1,"]")),MATCH(vp.data[[#This Row],[SDate]],weather.tbl[Date],0))</f>
        <v>-2.6</v>
      </c>
      <c r="Q1037" s="2">
        <f ca="1">INDEX(INDIRECT(_xlfn.CONCAT("weather.tbl[",Q$1,"]")),MATCH(vp.data[[#This Row],[SDate]],weather.tbl[Date],0))</f>
        <v>-1.3</v>
      </c>
      <c r="R1037" s="2">
        <f ca="1">INDEX(INDIRECT(_xlfn.CONCAT("weather.tbl[",R$1,"]")),MATCH(vp.data[[#This Row],[SDate]],weather.tbl[Date],0))</f>
        <v>-0.8</v>
      </c>
      <c r="S1037" s="2">
        <f ca="1">INDEX(INDIRECT(_xlfn.CONCAT("weather.tbl[",S$1,"]")),MATCH(vp.data[[#This Row],[SDate]],weather.tbl[Date],0))</f>
        <v>0.2</v>
      </c>
      <c r="T1037" s="2">
        <f ca="1">INDEX(INDIRECT(_xlfn.CONCAT("weather.tbl[",T$1,"]")),MATCH(vp.data[[#This Row],[SDate]],weather.tbl[Date],0))</f>
        <v>-3.4</v>
      </c>
      <c r="U1037" s="2">
        <f ca="1">INDEX(INDIRECT(_xlfn.CONCAT("weather.tbl[",U$1,"]")),MATCH(vp.data[[#This Row],[SDate]],weather.tbl[Date],0))</f>
        <v>-2.2999999999999998</v>
      </c>
      <c r="V1037" s="2">
        <f t="array" ref="V10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167.65799999999999</v>
      </c>
      <c r="W1037" t="s">
        <v>48</v>
      </c>
      <c r="X1037">
        <f>IF(OR(vp.data[[#This Row],[Sulf]]="",vp.data[[#This Row],[Dens]]=""),1,0)</f>
        <v>0</v>
      </c>
      <c r="Y1037">
        <f>IF(vp.data[[#This Row],[CrudeType]]="C5+",1,0)</f>
        <v>0</v>
      </c>
      <c r="Z1037">
        <f>IF(AND(vp.data[[#This Row],[CrudeType]]="Crude",vp.data[[#This Row],[Dens]]&lt;=825,vp.data[[#This Row],[Sulf]]&gt;0.5,vp.data[[#This Row],[Unknown]]=0),1,0)</f>
        <v>0</v>
      </c>
      <c r="AA1037">
        <f>IF(AND(vp.data[[#This Row],[CrudeType]]="Crude",vp.data[[#This Row],[Dens]]&lt;=825,vp.data[[#This Row],[Sulf]]&lt;=0.5,vp.data[[#This Row],[Unknown]]=0),1,0)</f>
        <v>0</v>
      </c>
      <c r="AB10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7">
        <f>IF(AND(vp.data[[#This Row],[CrudeType]]="Crude",vp.data[[#This Row],[Dens]]&gt;825,vp.data[[#This Row],[Dens]]&lt;=900,vp.data[[#This Row],[Sulf]]&lt;=0.5,vp.data[[#This Row],[Unknown]]=0),1,0)</f>
        <v>0</v>
      </c>
      <c r="AD1037">
        <f>IF(AND(vp.data[[#This Row],[CrudeType]]="Crude",vp.data[[#This Row],[Dens]]&gt;865,vp.data[[#This Row],[Dens]]&lt;=900,vp.data[[#This Row],[Sulf]]&gt;2,vp.data[[#This Row],[Unknown]]=0),1,0)</f>
        <v>0</v>
      </c>
      <c r="AE1037">
        <f>IF(AND(vp.data[[#This Row],[CrudeType]]="Crude",vp.data[[#This Row],[Dens]]&gt;900,vp.data[[#This Row],[Sulf]]&lt;=0.5,vp.data[[#This Row],[Unknown]]=0),1,0)</f>
        <v>0</v>
      </c>
      <c r="AF1037">
        <f>IF(AND(vp.data[[#This Row],[CrudeType]]="Crude",vp.data[[#This Row],[Dens]]&gt;900,vp.data[[#This Row],[Sulf]]&lt;=0.5,vp.data[[#This Row],[Unknown]]=0),1,0)</f>
        <v>0</v>
      </c>
      <c r="AG1037" t="str">
        <f>INDEX(vp.data[[#Headers],[Unknown]:[Heavy_SW]],MATCH(1,vp.data[[#This Row],[Unknown]:[Heavy_SW]],0))</f>
        <v>Medium_LSB</v>
      </c>
      <c r="AH1037">
        <f>INDEX([3]!crudeBD.lkup[Number],MATCH(vp.data[[#This Row],[Crude_Breakdown]],crudeBD.lkup[Crude Breakdown],0))</f>
        <v>3</v>
      </c>
      <c r="AI1037">
        <f>MONTH(vp.data[[#This Row],[SDate]])</f>
        <v>3</v>
      </c>
      <c r="AJ1037" s="5">
        <f>(vp.data[[#This Row],[VP]]-INDEX(crudeBD.lkup[Mean_VP],MATCH(vp.data[[#This Row],[Crude_Breakdown]],crudeBD.lkup[Crude Breakdown],0)))^2</f>
        <v>42.767369376856323</v>
      </c>
      <c r="AK1037" s="5">
        <f>(vp.data[[#This Row],[Dens]]-INDEX(crudeBD.lkup[Mean_Dens],MATCH(vp.data[[#This Row],[Crude_Breakdown]],crudeBD.lkup[Crude Breakdown],0)))^2</f>
        <v>40.704400000005748</v>
      </c>
      <c r="AL1037" s="5">
        <f>(vp.data[[#This Row],[Sulf]]-INDEX(crudeBD.lkup[Mean_Sulf],MATCH(vp.data[[#This Row],[Crude_Breakdown]],crudeBD.lkup[Crude Breakdown],0)))^2</f>
        <v>2.7420668508090995E-2</v>
      </c>
      <c r="AM1037" s="4">
        <f>IF(AND(vp.data[[#This Row],[SDate]]&gt;=DATE(YEAR(vp.data[[#This Row],[SDate]]),5,1),vp.data[[#This Row],[SDate]]&lt;=DATE(YEAR(vp.data[[#This Row],[SDate]]),9,15)),1,0)</f>
        <v>0</v>
      </c>
      <c r="AN1037" s="4">
        <f>IF(vp.data[[#This Row],[SDate]]&lt;DATE(2016,12,1),0,1)</f>
        <v>1</v>
      </c>
      <c r="AO1037" s="4">
        <f>IFERROR(vp.data[[#This Row],[Sulf]]*vp.data[[#This Row],[Net Dens]],"")</f>
        <v>221109.93556739995</v>
      </c>
      <c r="AP1037">
        <f>IFERROR(vp.data[[#This Row],[Dens]]*vp.data[[#This Row],[VolumeM3]],"")</f>
        <v>142559.59739999997</v>
      </c>
      <c r="AQ1037" s="15">
        <f>IFERROR(vp.data[[#This Row],[VP]]*vp.data[[#This Row],[VolumeM3]],"")</f>
        <v>12423.457799999998</v>
      </c>
    </row>
    <row r="1038" spans="1:43" x14ac:dyDescent="0.25">
      <c r="A1038">
        <v>1037</v>
      </c>
      <c r="B1038" t="s">
        <v>68</v>
      </c>
      <c r="C1038" t="s">
        <v>68</v>
      </c>
      <c r="D1038" t="s">
        <v>203</v>
      </c>
      <c r="F1038" s="1">
        <v>42811</v>
      </c>
      <c r="G1038" s="2">
        <v>65.099999999999994</v>
      </c>
      <c r="H1038" s="2"/>
      <c r="I1038" s="2">
        <f t="array" ref="I1038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038" s="2">
        <v>22.2</v>
      </c>
      <c r="K1038" s="2">
        <v>-1</v>
      </c>
      <c r="L1038" s="2">
        <v>846.8</v>
      </c>
      <c r="M1038" s="2">
        <f t="array" ref="M1038">_xlfn.IFNA(IF(vp.data[[#This Row],[Dens Input]]="",INDEX([1]DATA!$O$3:$O$9826,MATCH(1,(vp.data[[#This Row],[Battery]]=[1]DATA!$L$3:$L$9826)*(EOMONTH(vp.data[[#This Row],[SDate]],-1)+1=[1]DATA!$G$3:$G$9826),0)),vp.data[[#This Row],[Dens Input]]),"")</f>
        <v>846.8</v>
      </c>
      <c r="N1038" s="2">
        <f ca="1">INDEX(INDIRECT(_xlfn.CONCAT("weather.tbl[",N$1,"]")),MATCH(vp.data[[#This Row],[SDate]],weather.tbl[Date],0))</f>
        <v>-1.7</v>
      </c>
      <c r="O1038" s="2">
        <f ca="1">INDEX(INDIRECT(_xlfn.CONCAT("weather.tbl[",O$1,"]")),MATCH(vp.data[[#This Row],[SDate]],weather.tbl[Date],0))</f>
        <v>-9.3785714285714299</v>
      </c>
      <c r="P1038" s="2">
        <f ca="1">INDEX(INDIRECT(_xlfn.CONCAT("weather.tbl[",P$1,"]")),MATCH(vp.data[[#This Row],[SDate]],weather.tbl[Date],0))</f>
        <v>-2.6</v>
      </c>
      <c r="Q1038" s="2">
        <f ca="1">INDEX(INDIRECT(_xlfn.CONCAT("weather.tbl[",Q$1,"]")),MATCH(vp.data[[#This Row],[SDate]],weather.tbl[Date],0))</f>
        <v>-1.3</v>
      </c>
      <c r="R1038" s="2">
        <f ca="1">INDEX(INDIRECT(_xlfn.CONCAT("weather.tbl[",R$1,"]")),MATCH(vp.data[[#This Row],[SDate]],weather.tbl[Date],0))</f>
        <v>-0.8</v>
      </c>
      <c r="S1038" s="2">
        <f ca="1">INDEX(INDIRECT(_xlfn.CONCAT("weather.tbl[",S$1,"]")),MATCH(vp.data[[#This Row],[SDate]],weather.tbl[Date],0))</f>
        <v>0.2</v>
      </c>
      <c r="T1038" s="2">
        <f ca="1">INDEX(INDIRECT(_xlfn.CONCAT("weather.tbl[",T$1,"]")),MATCH(vp.data[[#This Row],[SDate]],weather.tbl[Date],0))</f>
        <v>-3.4</v>
      </c>
      <c r="U1038" s="2">
        <f ca="1">INDEX(INDIRECT(_xlfn.CONCAT("weather.tbl[",U$1,"]")),MATCH(vp.data[[#This Row],[SDate]],weather.tbl[Date],0))</f>
        <v>-2.2999999999999998</v>
      </c>
      <c r="V1038" s="2">
        <f t="array" ref="V10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2413.5329999999999</v>
      </c>
      <c r="W1038" t="s">
        <v>48</v>
      </c>
      <c r="X1038">
        <f>IF(OR(vp.data[[#This Row],[Sulf]]="",vp.data[[#This Row],[Dens]]=""),1,0)</f>
        <v>0</v>
      </c>
      <c r="Y1038">
        <f>IF(vp.data[[#This Row],[CrudeType]]="C5+",1,0)</f>
        <v>0</v>
      </c>
      <c r="Z1038">
        <f>IF(AND(vp.data[[#This Row],[CrudeType]]="Crude",vp.data[[#This Row],[Dens]]&lt;=825,vp.data[[#This Row],[Sulf]]&gt;0.5,vp.data[[#This Row],[Unknown]]=0),1,0)</f>
        <v>0</v>
      </c>
      <c r="AA1038">
        <f>IF(AND(vp.data[[#This Row],[CrudeType]]="Crude",vp.data[[#This Row],[Dens]]&lt;=825,vp.data[[#This Row],[Sulf]]&lt;=0.5,vp.data[[#This Row],[Unknown]]=0),1,0)</f>
        <v>0</v>
      </c>
      <c r="AB10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8">
        <f>IF(AND(vp.data[[#This Row],[CrudeType]]="Crude",vp.data[[#This Row],[Dens]]&gt;825,vp.data[[#This Row],[Dens]]&lt;=900,vp.data[[#This Row],[Sulf]]&lt;=0.5,vp.data[[#This Row],[Unknown]]=0),1,0)</f>
        <v>0</v>
      </c>
      <c r="AD1038">
        <f>IF(AND(vp.data[[#This Row],[CrudeType]]="Crude",vp.data[[#This Row],[Dens]]&gt;865,vp.data[[#This Row],[Dens]]&lt;=900,vp.data[[#This Row],[Sulf]]&gt;2,vp.data[[#This Row],[Unknown]]=0),1,0)</f>
        <v>0</v>
      </c>
      <c r="AE1038">
        <f>IF(AND(vp.data[[#This Row],[CrudeType]]="Crude",vp.data[[#This Row],[Dens]]&gt;900,vp.data[[#This Row],[Sulf]]&lt;=0.5,vp.data[[#This Row],[Unknown]]=0),1,0)</f>
        <v>0</v>
      </c>
      <c r="AF1038">
        <f>IF(AND(vp.data[[#This Row],[CrudeType]]="Crude",vp.data[[#This Row],[Dens]]&gt;900,vp.data[[#This Row],[Sulf]]&lt;=0.5,vp.data[[#This Row],[Unknown]]=0),1,0)</f>
        <v>0</v>
      </c>
      <c r="AG1038" t="str">
        <f>INDEX(vp.data[[#Headers],[Unknown]:[Heavy_SW]],MATCH(1,vp.data[[#This Row],[Unknown]:[Heavy_SW]],0))</f>
        <v>Medium_LSB</v>
      </c>
      <c r="AH1038">
        <f>INDEX([3]!crudeBD.lkup[Number],MATCH(vp.data[[#This Row],[Crude_Breakdown]],crudeBD.lkup[Crude Breakdown],0))</f>
        <v>3</v>
      </c>
      <c r="AI1038">
        <f>MONTH(vp.data[[#This Row],[SDate]])</f>
        <v>3</v>
      </c>
      <c r="AJ1038" s="5">
        <f>(vp.data[[#This Row],[VP]]-INDEX(crudeBD.lkup[Mean_VP],MATCH(vp.data[[#This Row],[Crude_Breakdown]],crudeBD.lkup[Crude Breakdown],0)))^2</f>
        <v>241.48154727442926</v>
      </c>
      <c r="AK1038" s="5">
        <f>(vp.data[[#This Row],[Dens]]-INDEX(crudeBD.lkup[Mean_Dens],MATCH(vp.data[[#This Row],[Crude_Breakdown]],crudeBD.lkup[Crude Breakdown],0)))^2</f>
        <v>8.294400000002593</v>
      </c>
      <c r="AL1038" s="5">
        <f>(vp.data[[#This Row],[Sulf]]-INDEX(crudeBD.lkup[Mean_Sulf],MATCH(vp.data[[#This Row],[Crude_Breakdown]],crudeBD.lkup[Crude Breakdown],0)))^2</f>
        <v>1.1110873171164612E-2</v>
      </c>
      <c r="AM1038" s="4">
        <f>IF(AND(vp.data[[#This Row],[SDate]]&gt;=DATE(YEAR(vp.data[[#This Row],[SDate]]),5,1),vp.data[[#This Row],[SDate]]&lt;=DATE(YEAR(vp.data[[#This Row],[SDate]]),9,15)),1,0)</f>
        <v>0</v>
      </c>
      <c r="AN1038" s="4">
        <f>IF(vp.data[[#This Row],[SDate]]&lt;DATE(2016,12,1),0,1)</f>
        <v>1</v>
      </c>
      <c r="AO1038" s="4">
        <f>IFERROR(vp.data[[#This Row],[Sulf]]*vp.data[[#This Row],[Net Dens]],"")</f>
        <v>2616038.0728319995</v>
      </c>
      <c r="AP1038">
        <f>IFERROR(vp.data[[#This Row],[Dens]]*vp.data[[#This Row],[VolumeM3]],"")</f>
        <v>2043779.7443999997</v>
      </c>
      <c r="AQ1038" s="15">
        <f>IFERROR(vp.data[[#This Row],[VP]]*vp.data[[#This Row],[VolumeM3]],"")</f>
        <v>157120.99829999998</v>
      </c>
    </row>
    <row r="1039" spans="1:43" x14ac:dyDescent="0.25">
      <c r="A1039">
        <v>1038</v>
      </c>
      <c r="B1039" t="s">
        <v>51</v>
      </c>
      <c r="C1039" t="s">
        <v>51</v>
      </c>
      <c r="D1039" t="s">
        <v>204</v>
      </c>
      <c r="F1039" s="1">
        <v>42811</v>
      </c>
      <c r="G1039" s="2">
        <v>86.2</v>
      </c>
      <c r="H1039" s="2"/>
      <c r="I1039" s="2">
        <f t="array" ref="I1039">_xlfn.IFNA(IF(vp.data[[#This Row],[Sulf Input]]="",INDEX([1]DATA!$Q$3:$Q$9826,MATCH(1,(vp.data[[#This Row],[Battery]]=[1]DATA!$L$3:$L$9826)*(EOMONTH(vp.data[[#This Row],[SDate]],-1)+1=[1]DATA!$G$3:$G$9826),0)),vp.data[[#This Row],[Sulf Input]]),"")</f>
        <v>1.27</v>
      </c>
      <c r="J1039" s="2">
        <v>7.5</v>
      </c>
      <c r="K1039" s="2">
        <v>-1</v>
      </c>
      <c r="L1039" s="2">
        <v>847.5</v>
      </c>
      <c r="M1039" s="2">
        <f t="array" ref="M1039">_xlfn.IFNA(IF(vp.data[[#This Row],[Dens Input]]="",INDEX([1]DATA!$O$3:$O$9826,MATCH(1,(vp.data[[#This Row],[Battery]]=[1]DATA!$L$3:$L$9826)*(EOMONTH(vp.data[[#This Row],[SDate]],-1)+1=[1]DATA!$G$3:$G$9826),0)),vp.data[[#This Row],[Dens Input]]),"")</f>
        <v>847.5</v>
      </c>
      <c r="N1039" s="2">
        <f ca="1">INDEX(INDIRECT(_xlfn.CONCAT("weather.tbl[",N$1,"]")),MATCH(vp.data[[#This Row],[SDate]],weather.tbl[Date],0))</f>
        <v>-1.7</v>
      </c>
      <c r="O1039" s="2">
        <f ca="1">INDEX(INDIRECT(_xlfn.CONCAT("weather.tbl[",O$1,"]")),MATCH(vp.data[[#This Row],[SDate]],weather.tbl[Date],0))</f>
        <v>-9.3785714285714299</v>
      </c>
      <c r="P1039" s="2">
        <f ca="1">INDEX(INDIRECT(_xlfn.CONCAT("weather.tbl[",P$1,"]")),MATCH(vp.data[[#This Row],[SDate]],weather.tbl[Date],0))</f>
        <v>-2.6</v>
      </c>
      <c r="Q1039" s="2">
        <f ca="1">INDEX(INDIRECT(_xlfn.CONCAT("weather.tbl[",Q$1,"]")),MATCH(vp.data[[#This Row],[SDate]],weather.tbl[Date],0))</f>
        <v>-1.3</v>
      </c>
      <c r="R1039" s="2">
        <f ca="1">INDEX(INDIRECT(_xlfn.CONCAT("weather.tbl[",R$1,"]")),MATCH(vp.data[[#This Row],[SDate]],weather.tbl[Date],0))</f>
        <v>-0.8</v>
      </c>
      <c r="S1039" s="2">
        <f ca="1">INDEX(INDIRECT(_xlfn.CONCAT("weather.tbl[",S$1,"]")),MATCH(vp.data[[#This Row],[SDate]],weather.tbl[Date],0))</f>
        <v>0.2</v>
      </c>
      <c r="T1039" s="2">
        <f ca="1">INDEX(INDIRECT(_xlfn.CONCAT("weather.tbl[",T$1,"]")),MATCH(vp.data[[#This Row],[SDate]],weather.tbl[Date],0))</f>
        <v>-3.4</v>
      </c>
      <c r="U1039" s="2">
        <f ca="1">INDEX(INDIRECT(_xlfn.CONCAT("weather.tbl[",U$1,"]")),MATCH(vp.data[[#This Row],[SDate]],weather.tbl[Date],0))</f>
        <v>-2.2999999999999998</v>
      </c>
      <c r="V1039" s="2">
        <f t="array" ref="V10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229.31899999999999</v>
      </c>
      <c r="W1039" t="s">
        <v>48</v>
      </c>
      <c r="X1039">
        <f>IF(OR(vp.data[[#This Row],[Sulf]]="",vp.data[[#This Row],[Dens]]=""),1,0)</f>
        <v>0</v>
      </c>
      <c r="Y1039">
        <f>IF(vp.data[[#This Row],[CrudeType]]="C5+",1,0)</f>
        <v>0</v>
      </c>
      <c r="Z1039">
        <f>IF(AND(vp.data[[#This Row],[CrudeType]]="Crude",vp.data[[#This Row],[Dens]]&lt;=825,vp.data[[#This Row],[Sulf]]&gt;0.5,vp.data[[#This Row],[Unknown]]=0),1,0)</f>
        <v>0</v>
      </c>
      <c r="AA1039">
        <f>IF(AND(vp.data[[#This Row],[CrudeType]]="Crude",vp.data[[#This Row],[Dens]]&lt;=825,vp.data[[#This Row],[Sulf]]&lt;=0.5,vp.data[[#This Row],[Unknown]]=0),1,0)</f>
        <v>0</v>
      </c>
      <c r="AB10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39">
        <f>IF(AND(vp.data[[#This Row],[CrudeType]]="Crude",vp.data[[#This Row],[Dens]]&gt;825,vp.data[[#This Row],[Dens]]&lt;=900,vp.data[[#This Row],[Sulf]]&lt;=0.5,vp.data[[#This Row],[Unknown]]=0),1,0)</f>
        <v>0</v>
      </c>
      <c r="AD1039">
        <f>IF(AND(vp.data[[#This Row],[CrudeType]]="Crude",vp.data[[#This Row],[Dens]]&gt;865,vp.data[[#This Row],[Dens]]&lt;=900,vp.data[[#This Row],[Sulf]]&gt;2,vp.data[[#This Row],[Unknown]]=0),1,0)</f>
        <v>0</v>
      </c>
      <c r="AE1039">
        <f>IF(AND(vp.data[[#This Row],[CrudeType]]="Crude",vp.data[[#This Row],[Dens]]&gt;900,vp.data[[#This Row],[Sulf]]&lt;=0.5,vp.data[[#This Row],[Unknown]]=0),1,0)</f>
        <v>0</v>
      </c>
      <c r="AF1039">
        <f>IF(AND(vp.data[[#This Row],[CrudeType]]="Crude",vp.data[[#This Row],[Dens]]&gt;900,vp.data[[#This Row],[Sulf]]&lt;=0.5,vp.data[[#This Row],[Unknown]]=0),1,0)</f>
        <v>0</v>
      </c>
      <c r="AG1039" t="str">
        <f>INDEX(vp.data[[#Headers],[Unknown]:[Heavy_SW]],MATCH(1,vp.data[[#This Row],[Unknown]:[Heavy_SW]],0))</f>
        <v>Medium_LSB</v>
      </c>
      <c r="AH1039">
        <f>INDEX([3]!crudeBD.lkup[Number],MATCH(vp.data[[#This Row],[Crude_Breakdown]],crudeBD.lkup[Crude Breakdown],0))</f>
        <v>3</v>
      </c>
      <c r="AI1039">
        <f>MONTH(vp.data[[#This Row],[SDate]])</f>
        <v>3</v>
      </c>
      <c r="AJ1039" s="5">
        <f>(vp.data[[#This Row],[VP]]-INDEX(crudeBD.lkup[Mean_VP],MATCH(vp.data[[#This Row],[Crude_Breakdown]],crudeBD.lkup[Crude Breakdown],0)))^2</f>
        <v>30.917196870119469</v>
      </c>
      <c r="AK1039" s="5">
        <f>(vp.data[[#This Row],[Dens]]-INDEX(crudeBD.lkup[Mean_Dens],MATCH(vp.data[[#This Row],[Crude_Breakdown]],crudeBD.lkup[Crude Breakdown],0)))^2</f>
        <v>12.816400000003549</v>
      </c>
      <c r="AL1039" s="5">
        <f>(vp.data[[#This Row],[Sulf]]-INDEX(crudeBD.lkup[Mean_Sulf],MATCH(vp.data[[#This Row],[Crude_Breakdown]],crudeBD.lkup[Crude Breakdown],0)))^2</f>
        <v>1.3319035704857367E-2</v>
      </c>
      <c r="AM1039" s="4">
        <f>IF(AND(vp.data[[#This Row],[SDate]]&gt;=DATE(YEAR(vp.data[[#This Row],[SDate]]),5,1),vp.data[[#This Row],[SDate]]&lt;=DATE(YEAR(vp.data[[#This Row],[SDate]]),9,15)),1,0)</f>
        <v>0</v>
      </c>
      <c r="AN1039" s="4">
        <f>IF(vp.data[[#This Row],[SDate]]&lt;DATE(2016,12,1),0,1)</f>
        <v>1</v>
      </c>
      <c r="AO1039" s="4">
        <f>IFERROR(vp.data[[#This Row],[Sulf]]*vp.data[[#This Row],[Net Dens]],"")</f>
        <v>246821.77267499999</v>
      </c>
      <c r="AP1039">
        <f>IFERROR(vp.data[[#This Row],[Dens]]*vp.data[[#This Row],[VolumeM3]],"")</f>
        <v>194347.85249999998</v>
      </c>
      <c r="AQ1039" s="15">
        <f>IFERROR(vp.data[[#This Row],[VP]]*vp.data[[#This Row],[VolumeM3]],"")</f>
        <v>19767.2978</v>
      </c>
    </row>
    <row r="1040" spans="1:43" x14ac:dyDescent="0.25">
      <c r="A1040">
        <v>1039</v>
      </c>
      <c r="B1040" t="s">
        <v>51</v>
      </c>
      <c r="C1040" t="s">
        <v>51</v>
      </c>
      <c r="D1040" t="s">
        <v>205</v>
      </c>
      <c r="F1040" s="1">
        <v>42811</v>
      </c>
      <c r="G1040" s="2">
        <v>62.6</v>
      </c>
      <c r="H1040" s="2"/>
      <c r="I1040" s="2">
        <f t="array" ref="I1040">_xlfn.IFNA(IF(vp.data[[#This Row],[Sulf Input]]="",INDEX([1]DATA!$Q$3:$Q$9826,MATCH(1,(vp.data[[#This Row],[Battery]]=[1]DATA!$L$3:$L$9826)*(EOMONTH(vp.data[[#This Row],[SDate]],-1)+1=[1]DATA!$G$3:$G$9826),0)),vp.data[[#This Row],[Sulf Input]]),"")</f>
        <v>1.4</v>
      </c>
      <c r="J1040" s="2">
        <v>16.8</v>
      </c>
      <c r="K1040" s="2">
        <v>-1</v>
      </c>
      <c r="L1040" s="2">
        <v>850.1</v>
      </c>
      <c r="M1040" s="2">
        <f t="array" ref="M1040">_xlfn.IFNA(IF(vp.data[[#This Row],[Dens Input]]="",INDEX([1]DATA!$O$3:$O$9826,MATCH(1,(vp.data[[#This Row],[Battery]]=[1]DATA!$L$3:$L$9826)*(EOMONTH(vp.data[[#This Row],[SDate]],-1)+1=[1]DATA!$G$3:$G$9826),0)),vp.data[[#This Row],[Dens Input]]),"")</f>
        <v>850.1</v>
      </c>
      <c r="N1040" s="2">
        <f ca="1">INDEX(INDIRECT(_xlfn.CONCAT("weather.tbl[",N$1,"]")),MATCH(vp.data[[#This Row],[SDate]],weather.tbl[Date],0))</f>
        <v>-1.7</v>
      </c>
      <c r="O1040" s="2">
        <f ca="1">INDEX(INDIRECT(_xlfn.CONCAT("weather.tbl[",O$1,"]")),MATCH(vp.data[[#This Row],[SDate]],weather.tbl[Date],0))</f>
        <v>-9.3785714285714299</v>
      </c>
      <c r="P1040" s="2">
        <f ca="1">INDEX(INDIRECT(_xlfn.CONCAT("weather.tbl[",P$1,"]")),MATCH(vp.data[[#This Row],[SDate]],weather.tbl[Date],0))</f>
        <v>-2.6</v>
      </c>
      <c r="Q1040" s="2">
        <f ca="1">INDEX(INDIRECT(_xlfn.CONCAT("weather.tbl[",Q$1,"]")),MATCH(vp.data[[#This Row],[SDate]],weather.tbl[Date],0))</f>
        <v>-1.3</v>
      </c>
      <c r="R1040" s="2">
        <f ca="1">INDEX(INDIRECT(_xlfn.CONCAT("weather.tbl[",R$1,"]")),MATCH(vp.data[[#This Row],[SDate]],weather.tbl[Date],0))</f>
        <v>-0.8</v>
      </c>
      <c r="S1040" s="2">
        <f ca="1">INDEX(INDIRECT(_xlfn.CONCAT("weather.tbl[",S$1,"]")),MATCH(vp.data[[#This Row],[SDate]],weather.tbl[Date],0))</f>
        <v>0.2</v>
      </c>
      <c r="T1040" s="2">
        <f ca="1">INDEX(INDIRECT(_xlfn.CONCAT("weather.tbl[",T$1,"]")),MATCH(vp.data[[#This Row],[SDate]],weather.tbl[Date],0))</f>
        <v>-3.4</v>
      </c>
      <c r="U1040" s="2">
        <f ca="1">INDEX(INDIRECT(_xlfn.CONCAT("weather.tbl[",U$1,"]")),MATCH(vp.data[[#This Row],[SDate]],weather.tbl[Date],0))</f>
        <v>-2.2999999999999998</v>
      </c>
      <c r="V1040" s="2">
        <f t="array" ref="V10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686.59100000000001</v>
      </c>
      <c r="W1040" t="s">
        <v>48</v>
      </c>
      <c r="X1040">
        <f>IF(OR(vp.data[[#This Row],[Sulf]]="",vp.data[[#This Row],[Dens]]=""),1,0)</f>
        <v>0</v>
      </c>
      <c r="Y1040">
        <f>IF(vp.data[[#This Row],[CrudeType]]="C5+",1,0)</f>
        <v>0</v>
      </c>
      <c r="Z1040">
        <f>IF(AND(vp.data[[#This Row],[CrudeType]]="Crude",vp.data[[#This Row],[Dens]]&lt;=825,vp.data[[#This Row],[Sulf]]&gt;0.5,vp.data[[#This Row],[Unknown]]=0),1,0)</f>
        <v>0</v>
      </c>
      <c r="AA1040">
        <f>IF(AND(vp.data[[#This Row],[CrudeType]]="Crude",vp.data[[#This Row],[Dens]]&lt;=825,vp.data[[#This Row],[Sulf]]&lt;=0.5,vp.data[[#This Row],[Unknown]]=0),1,0)</f>
        <v>0</v>
      </c>
      <c r="AB10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0">
        <f>IF(AND(vp.data[[#This Row],[CrudeType]]="Crude",vp.data[[#This Row],[Dens]]&gt;825,vp.data[[#This Row],[Dens]]&lt;=900,vp.data[[#This Row],[Sulf]]&lt;=0.5,vp.data[[#This Row],[Unknown]]=0),1,0)</f>
        <v>0</v>
      </c>
      <c r="AD1040">
        <f>IF(AND(vp.data[[#This Row],[CrudeType]]="Crude",vp.data[[#This Row],[Dens]]&gt;865,vp.data[[#This Row],[Dens]]&lt;=900,vp.data[[#This Row],[Sulf]]&gt;2,vp.data[[#This Row],[Unknown]]=0),1,0)</f>
        <v>0</v>
      </c>
      <c r="AE1040">
        <f>IF(AND(vp.data[[#This Row],[CrudeType]]="Crude",vp.data[[#This Row],[Dens]]&gt;900,vp.data[[#This Row],[Sulf]]&lt;=0.5,vp.data[[#This Row],[Unknown]]=0),1,0)</f>
        <v>0</v>
      </c>
      <c r="AF1040">
        <f>IF(AND(vp.data[[#This Row],[CrudeType]]="Crude",vp.data[[#This Row],[Dens]]&gt;900,vp.data[[#This Row],[Sulf]]&lt;=0.5,vp.data[[#This Row],[Unknown]]=0),1,0)</f>
        <v>0</v>
      </c>
      <c r="AG1040" t="str">
        <f>INDEX(vp.data[[#Headers],[Unknown]:[Heavy_SW]],MATCH(1,vp.data[[#This Row],[Unknown]:[Heavy_SW]],0))</f>
        <v>Medium_LSB</v>
      </c>
      <c r="AH1040">
        <f>INDEX([3]!crudeBD.lkup[Number],MATCH(vp.data[[#This Row],[Crude_Breakdown]],crudeBD.lkup[Crude Breakdown],0))</f>
        <v>3</v>
      </c>
      <c r="AI1040">
        <f>MONTH(vp.data[[#This Row],[SDate]])</f>
        <v>3</v>
      </c>
      <c r="AJ1040" s="5">
        <f>(vp.data[[#This Row],[VP]]-INDEX(crudeBD.lkup[Mean_VP],MATCH(vp.data[[#This Row],[Crude_Breakdown]],crudeBD.lkup[Crude Breakdown],0)))^2</f>
        <v>325.42993002375482</v>
      </c>
      <c r="AK1040" s="5">
        <f>(vp.data[[#This Row],[Dens]]-INDEX(crudeBD.lkup[Mean_Dens],MATCH(vp.data[[#This Row],[Crude_Breakdown]],crudeBD.lkup[Crude Breakdown],0)))^2</f>
        <v>38.192400000006408</v>
      </c>
      <c r="AL1040" s="5">
        <f>(vp.data[[#This Row],[Sulf]]-INDEX(crudeBD.lkup[Mean_Sulf],MATCH(vp.data[[#This Row],[Crude_Breakdown]],crudeBD.lkup[Crude Breakdown],0)))^2</f>
        <v>2.1292276685158147E-4</v>
      </c>
      <c r="AM1040" s="4">
        <f>IF(AND(vp.data[[#This Row],[SDate]]&gt;=DATE(YEAR(vp.data[[#This Row],[SDate]]),5,1),vp.data[[#This Row],[SDate]]&lt;=DATE(YEAR(vp.data[[#This Row],[SDate]]),9,15)),1,0)</f>
        <v>0</v>
      </c>
      <c r="AN1040" s="4">
        <f>IF(vp.data[[#This Row],[SDate]]&lt;DATE(2016,12,1),0,1)</f>
        <v>1</v>
      </c>
      <c r="AO1040" s="4">
        <f>IFERROR(vp.data[[#This Row],[Sulf]]*vp.data[[#This Row],[Net Dens]],"")</f>
        <v>817139.41273999994</v>
      </c>
      <c r="AP1040">
        <f>IFERROR(vp.data[[#This Row],[Dens]]*vp.data[[#This Row],[VolumeM3]],"")</f>
        <v>583671.00910000002</v>
      </c>
      <c r="AQ1040" s="15">
        <f>IFERROR(vp.data[[#This Row],[VP]]*vp.data[[#This Row],[VolumeM3]],"")</f>
        <v>42980.596600000004</v>
      </c>
    </row>
    <row r="1041" spans="1:43" x14ac:dyDescent="0.25">
      <c r="A1041">
        <v>1040</v>
      </c>
      <c r="B1041" t="s">
        <v>51</v>
      </c>
      <c r="C1041" t="s">
        <v>51</v>
      </c>
      <c r="D1041" t="s">
        <v>206</v>
      </c>
      <c r="F1041" s="1">
        <v>42811</v>
      </c>
      <c r="G1041" s="2">
        <v>66.3</v>
      </c>
      <c r="H1041" s="2"/>
      <c r="I1041" s="2">
        <f t="array" ref="I1041">_xlfn.IFNA(IF(vp.data[[#This Row],[Sulf Input]]="",INDEX([1]DATA!$Q$3:$Q$9826,MATCH(1,(vp.data[[#This Row],[Battery]]=[1]DATA!$L$3:$L$9826)*(EOMONTH(vp.data[[#This Row],[SDate]],-1)+1=[1]DATA!$G$3:$G$9826),0)),vp.data[[#This Row],[Sulf Input]]),"")</f>
        <v>1.47</v>
      </c>
      <c r="J1041" s="2">
        <v>24</v>
      </c>
      <c r="K1041" s="2">
        <v>-1</v>
      </c>
      <c r="L1041" s="2">
        <v>853.6</v>
      </c>
      <c r="M1041" s="2">
        <f t="array" ref="M1041">_xlfn.IFNA(IF(vp.data[[#This Row],[Dens Input]]="",INDEX([1]DATA!$O$3:$O$9826,MATCH(1,(vp.data[[#This Row],[Battery]]=[1]DATA!$L$3:$L$9826)*(EOMONTH(vp.data[[#This Row],[SDate]],-1)+1=[1]DATA!$G$3:$G$9826),0)),vp.data[[#This Row],[Dens Input]]),"")</f>
        <v>853.6</v>
      </c>
      <c r="N1041" s="2">
        <f ca="1">INDEX(INDIRECT(_xlfn.CONCAT("weather.tbl[",N$1,"]")),MATCH(vp.data[[#This Row],[SDate]],weather.tbl[Date],0))</f>
        <v>-1.7</v>
      </c>
      <c r="O1041" s="2">
        <f ca="1">INDEX(INDIRECT(_xlfn.CONCAT("weather.tbl[",O$1,"]")),MATCH(vp.data[[#This Row],[SDate]],weather.tbl[Date],0))</f>
        <v>-9.3785714285714299</v>
      </c>
      <c r="P1041" s="2">
        <f ca="1">INDEX(INDIRECT(_xlfn.CONCAT("weather.tbl[",P$1,"]")),MATCH(vp.data[[#This Row],[SDate]],weather.tbl[Date],0))</f>
        <v>-2.6</v>
      </c>
      <c r="Q1041" s="2">
        <f ca="1">INDEX(INDIRECT(_xlfn.CONCAT("weather.tbl[",Q$1,"]")),MATCH(vp.data[[#This Row],[SDate]],weather.tbl[Date],0))</f>
        <v>-1.3</v>
      </c>
      <c r="R1041" s="2">
        <f ca="1">INDEX(INDIRECT(_xlfn.CONCAT("weather.tbl[",R$1,"]")),MATCH(vp.data[[#This Row],[SDate]],weather.tbl[Date],0))</f>
        <v>-0.8</v>
      </c>
      <c r="S1041" s="2">
        <f ca="1">INDEX(INDIRECT(_xlfn.CONCAT("weather.tbl[",S$1,"]")),MATCH(vp.data[[#This Row],[SDate]],weather.tbl[Date],0))</f>
        <v>0.2</v>
      </c>
      <c r="T1041" s="2">
        <f ca="1">INDEX(INDIRECT(_xlfn.CONCAT("weather.tbl[",T$1,"]")),MATCH(vp.data[[#This Row],[SDate]],weather.tbl[Date],0))</f>
        <v>-3.4</v>
      </c>
      <c r="U1041" s="2">
        <f ca="1">INDEX(INDIRECT(_xlfn.CONCAT("weather.tbl[",U$1,"]")),MATCH(vp.data[[#This Row],[SDate]],weather.tbl[Date],0))</f>
        <v>-2.2999999999999998</v>
      </c>
      <c r="V1041" s="2">
        <f t="array" ref="V10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789.12599999999998</v>
      </c>
      <c r="W1041" t="s">
        <v>48</v>
      </c>
      <c r="X1041">
        <f>IF(OR(vp.data[[#This Row],[Sulf]]="",vp.data[[#This Row],[Dens]]=""),1,0)</f>
        <v>0</v>
      </c>
      <c r="Y1041">
        <f>IF(vp.data[[#This Row],[CrudeType]]="C5+",1,0)</f>
        <v>0</v>
      </c>
      <c r="Z1041">
        <f>IF(AND(vp.data[[#This Row],[CrudeType]]="Crude",vp.data[[#This Row],[Dens]]&lt;=825,vp.data[[#This Row],[Sulf]]&gt;0.5,vp.data[[#This Row],[Unknown]]=0),1,0)</f>
        <v>0</v>
      </c>
      <c r="AA1041">
        <f>IF(AND(vp.data[[#This Row],[CrudeType]]="Crude",vp.data[[#This Row],[Dens]]&lt;=825,vp.data[[#This Row],[Sulf]]&lt;=0.5,vp.data[[#This Row],[Unknown]]=0),1,0)</f>
        <v>0</v>
      </c>
      <c r="AB10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1">
        <f>IF(AND(vp.data[[#This Row],[CrudeType]]="Crude",vp.data[[#This Row],[Dens]]&gt;825,vp.data[[#This Row],[Dens]]&lt;=900,vp.data[[#This Row],[Sulf]]&lt;=0.5,vp.data[[#This Row],[Unknown]]=0),1,0)</f>
        <v>0</v>
      </c>
      <c r="AD1041">
        <f>IF(AND(vp.data[[#This Row],[CrudeType]]="Crude",vp.data[[#This Row],[Dens]]&gt;865,vp.data[[#This Row],[Dens]]&lt;=900,vp.data[[#This Row],[Sulf]]&gt;2,vp.data[[#This Row],[Unknown]]=0),1,0)</f>
        <v>0</v>
      </c>
      <c r="AE1041">
        <f>IF(AND(vp.data[[#This Row],[CrudeType]]="Crude",vp.data[[#This Row],[Dens]]&gt;900,vp.data[[#This Row],[Sulf]]&lt;=0.5,vp.data[[#This Row],[Unknown]]=0),1,0)</f>
        <v>0</v>
      </c>
      <c r="AF1041">
        <f>IF(AND(vp.data[[#This Row],[CrudeType]]="Crude",vp.data[[#This Row],[Dens]]&gt;900,vp.data[[#This Row],[Sulf]]&lt;=0.5,vp.data[[#This Row],[Unknown]]=0),1,0)</f>
        <v>0</v>
      </c>
      <c r="AG1041" t="str">
        <f>INDEX(vp.data[[#Headers],[Unknown]:[Heavy_SW]],MATCH(1,vp.data[[#This Row],[Unknown]:[Heavy_SW]],0))</f>
        <v>Medium_LSB</v>
      </c>
      <c r="AH1041">
        <f>INDEX([3]!crudeBD.lkup[Number],MATCH(vp.data[[#This Row],[Crude_Breakdown]],crudeBD.lkup[Crude Breakdown],0))</f>
        <v>3</v>
      </c>
      <c r="AI1041">
        <f>MONTH(vp.data[[#This Row],[SDate]])</f>
        <v>3</v>
      </c>
      <c r="AJ1041" s="5">
        <f>(vp.data[[#This Row],[VP]]-INDEX(crudeBD.lkup[Mean_VP],MATCH(vp.data[[#This Row],[Crude_Breakdown]],crudeBD.lkup[Crude Breakdown],0)))^2</f>
        <v>205.62632355475279</v>
      </c>
      <c r="AK1041" s="5">
        <f>(vp.data[[#This Row],[Dens]]-INDEX(crudeBD.lkup[Mean_Dens],MATCH(vp.data[[#This Row],[Crude_Breakdown]],crudeBD.lkup[Crude Breakdown],0)))^2</f>
        <v>93.70240000001003</v>
      </c>
      <c r="AL1041" s="5">
        <f>(vp.data[[#This Row],[Sulf]]-INDEX(crudeBD.lkup[Mean_Sulf],MATCH(vp.data[[#This Row],[Crude_Breakdown]],crudeBD.lkup[Crude Breakdown],0)))^2</f>
        <v>7.1557850310023097E-3</v>
      </c>
      <c r="AM1041" s="4">
        <f>IF(AND(vp.data[[#This Row],[SDate]]&gt;=DATE(YEAR(vp.data[[#This Row],[SDate]]),5,1),vp.data[[#This Row],[SDate]]&lt;=DATE(YEAR(vp.data[[#This Row],[SDate]]),9,15)),1,0)</f>
        <v>0</v>
      </c>
      <c r="AN1041" s="4">
        <f>IF(vp.data[[#This Row],[SDate]]&lt;DATE(2016,12,1),0,1)</f>
        <v>1</v>
      </c>
      <c r="AO1041" s="4">
        <f>IFERROR(vp.data[[#This Row],[Sulf]]*vp.data[[#This Row],[Net Dens]],"")</f>
        <v>990188.99179200002</v>
      </c>
      <c r="AP1041">
        <f>IFERROR(vp.data[[#This Row],[Dens]]*vp.data[[#This Row],[VolumeM3]],"")</f>
        <v>673597.95360000001</v>
      </c>
      <c r="AQ1041" s="15">
        <f>IFERROR(vp.data[[#This Row],[VP]]*vp.data[[#This Row],[VolumeM3]],"")</f>
        <v>52319.053799999994</v>
      </c>
    </row>
    <row r="1042" spans="1:43" x14ac:dyDescent="0.25">
      <c r="A1042">
        <v>1041</v>
      </c>
      <c r="B1042" t="s">
        <v>51</v>
      </c>
      <c r="C1042" t="s">
        <v>51</v>
      </c>
      <c r="D1042" t="s">
        <v>207</v>
      </c>
      <c r="F1042" s="1">
        <v>42811</v>
      </c>
      <c r="G1042" s="2">
        <v>61</v>
      </c>
      <c r="H1042" s="2"/>
      <c r="I1042" s="2">
        <f t="array" ref="I1042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042" s="2">
        <v>4.5999999999999996</v>
      </c>
      <c r="K1042" s="2">
        <v>-1</v>
      </c>
      <c r="L1042" s="2">
        <v>854</v>
      </c>
      <c r="M1042" s="2">
        <f t="array" ref="M1042">_xlfn.IFNA(IF(vp.data[[#This Row],[Dens Input]]="",INDEX([1]DATA!$O$3:$O$9826,MATCH(1,(vp.data[[#This Row],[Battery]]=[1]DATA!$L$3:$L$9826)*(EOMONTH(vp.data[[#This Row],[SDate]],-1)+1=[1]DATA!$G$3:$G$9826),0)),vp.data[[#This Row],[Dens Input]]),"")</f>
        <v>854</v>
      </c>
      <c r="N1042" s="2">
        <f ca="1">INDEX(INDIRECT(_xlfn.CONCAT("weather.tbl[",N$1,"]")),MATCH(vp.data[[#This Row],[SDate]],weather.tbl[Date],0))</f>
        <v>-1.7</v>
      </c>
      <c r="O1042" s="2">
        <f ca="1">INDEX(INDIRECT(_xlfn.CONCAT("weather.tbl[",O$1,"]")),MATCH(vp.data[[#This Row],[SDate]],weather.tbl[Date],0))</f>
        <v>-9.3785714285714299</v>
      </c>
      <c r="P1042" s="2">
        <f ca="1">INDEX(INDIRECT(_xlfn.CONCAT("weather.tbl[",P$1,"]")),MATCH(vp.data[[#This Row],[SDate]],weather.tbl[Date],0))</f>
        <v>-2.6</v>
      </c>
      <c r="Q1042" s="2">
        <f ca="1">INDEX(INDIRECT(_xlfn.CONCAT("weather.tbl[",Q$1,"]")),MATCH(vp.data[[#This Row],[SDate]],weather.tbl[Date],0))</f>
        <v>-1.3</v>
      </c>
      <c r="R1042" s="2">
        <f ca="1">INDEX(INDIRECT(_xlfn.CONCAT("weather.tbl[",R$1,"]")),MATCH(vp.data[[#This Row],[SDate]],weather.tbl[Date],0))</f>
        <v>-0.8</v>
      </c>
      <c r="S1042" s="2">
        <f ca="1">INDEX(INDIRECT(_xlfn.CONCAT("weather.tbl[",S$1,"]")),MATCH(vp.data[[#This Row],[SDate]],weather.tbl[Date],0))</f>
        <v>0.2</v>
      </c>
      <c r="T1042" s="2">
        <f ca="1">INDEX(INDIRECT(_xlfn.CONCAT("weather.tbl[",T$1,"]")),MATCH(vp.data[[#This Row],[SDate]],weather.tbl[Date],0))</f>
        <v>-3.4</v>
      </c>
      <c r="U1042" s="2">
        <f ca="1">INDEX(INDIRECT(_xlfn.CONCAT("weather.tbl[",U$1,"]")),MATCH(vp.data[[#This Row],[SDate]],weather.tbl[Date],0))</f>
        <v>-2.2999999999999998</v>
      </c>
      <c r="V1042" s="2">
        <f t="array" ref="V10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273.02600000000001</v>
      </c>
      <c r="W1042" t="s">
        <v>48</v>
      </c>
      <c r="X1042">
        <f>IF(OR(vp.data[[#This Row],[Sulf]]="",vp.data[[#This Row],[Dens]]=""),1,0)</f>
        <v>0</v>
      </c>
      <c r="Y1042">
        <f>IF(vp.data[[#This Row],[CrudeType]]="C5+",1,0)</f>
        <v>0</v>
      </c>
      <c r="Z1042">
        <f>IF(AND(vp.data[[#This Row],[CrudeType]]="Crude",vp.data[[#This Row],[Dens]]&lt;=825,vp.data[[#This Row],[Sulf]]&gt;0.5,vp.data[[#This Row],[Unknown]]=0),1,0)</f>
        <v>0</v>
      </c>
      <c r="AA1042">
        <f>IF(AND(vp.data[[#This Row],[CrudeType]]="Crude",vp.data[[#This Row],[Dens]]&lt;=825,vp.data[[#This Row],[Sulf]]&lt;=0.5,vp.data[[#This Row],[Unknown]]=0),1,0)</f>
        <v>0</v>
      </c>
      <c r="AB10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2">
        <f>IF(AND(vp.data[[#This Row],[CrudeType]]="Crude",vp.data[[#This Row],[Dens]]&gt;825,vp.data[[#This Row],[Dens]]&lt;=900,vp.data[[#This Row],[Sulf]]&lt;=0.5,vp.data[[#This Row],[Unknown]]=0),1,0)</f>
        <v>0</v>
      </c>
      <c r="AD1042">
        <f>IF(AND(vp.data[[#This Row],[CrudeType]]="Crude",vp.data[[#This Row],[Dens]]&gt;865,vp.data[[#This Row],[Dens]]&lt;=900,vp.data[[#This Row],[Sulf]]&gt;2,vp.data[[#This Row],[Unknown]]=0),1,0)</f>
        <v>0</v>
      </c>
      <c r="AE1042">
        <f>IF(AND(vp.data[[#This Row],[CrudeType]]="Crude",vp.data[[#This Row],[Dens]]&gt;900,vp.data[[#This Row],[Sulf]]&lt;=0.5,vp.data[[#This Row],[Unknown]]=0),1,0)</f>
        <v>0</v>
      </c>
      <c r="AF1042">
        <f>IF(AND(vp.data[[#This Row],[CrudeType]]="Crude",vp.data[[#This Row],[Dens]]&gt;900,vp.data[[#This Row],[Sulf]]&lt;=0.5,vp.data[[#This Row],[Unknown]]=0),1,0)</f>
        <v>0</v>
      </c>
      <c r="AG1042" t="str">
        <f>INDEX(vp.data[[#Headers],[Unknown]:[Heavy_SW]],MATCH(1,vp.data[[#This Row],[Unknown]:[Heavy_SW]],0))</f>
        <v>Medium_LSB</v>
      </c>
      <c r="AH1042">
        <f>INDEX([3]!crudeBD.lkup[Number],MATCH(vp.data[[#This Row],[Crude_Breakdown]],crudeBD.lkup[Crude Breakdown],0))</f>
        <v>3</v>
      </c>
      <c r="AI1042">
        <f>MONTH(vp.data[[#This Row],[SDate]])</f>
        <v>3</v>
      </c>
      <c r="AJ1042" s="5">
        <f>(vp.data[[#This Row],[VP]]-INDEX(crudeBD.lkup[Mean_VP],MATCH(vp.data[[#This Row],[Crude_Breakdown]],crudeBD.lkup[Crude Breakdown],0)))^2</f>
        <v>385.71689498332336</v>
      </c>
      <c r="AK1042" s="5">
        <f>(vp.data[[#This Row],[Dens]]-INDEX(crudeBD.lkup[Mean_Dens],MATCH(vp.data[[#This Row],[Crude_Breakdown]],crudeBD.lkup[Crude Breakdown],0)))^2</f>
        <v>101.60640000001</v>
      </c>
      <c r="AL1042" s="5">
        <f>(vp.data[[#This Row],[Sulf]]-INDEX(crudeBD.lkup[Mean_Sulf],MATCH(vp.data[[#This Row],[Crude_Breakdown]],crudeBD.lkup[Crude Breakdown],0)))^2</f>
        <v>1.9884351657733202E-3</v>
      </c>
      <c r="AM1042" s="4">
        <f>IF(AND(vp.data[[#This Row],[SDate]]&gt;=DATE(YEAR(vp.data[[#This Row],[SDate]]),5,1),vp.data[[#This Row],[SDate]]&lt;=DATE(YEAR(vp.data[[#This Row],[SDate]]),9,15)),1,0)</f>
        <v>0</v>
      </c>
      <c r="AN1042" s="4">
        <f>IF(vp.data[[#This Row],[SDate]]&lt;DATE(2016,12,1),0,1)</f>
        <v>1</v>
      </c>
      <c r="AO1042" s="4">
        <f>IFERROR(vp.data[[#This Row],[Sulf]]*vp.data[[#This Row],[Net Dens]],"")</f>
        <v>333424.81172</v>
      </c>
      <c r="AP1042">
        <f>IFERROR(vp.data[[#This Row],[Dens]]*vp.data[[#This Row],[VolumeM3]],"")</f>
        <v>233164.204</v>
      </c>
      <c r="AQ1042" s="15">
        <f>IFERROR(vp.data[[#This Row],[VP]]*vp.data[[#This Row],[VolumeM3]],"")</f>
        <v>16654.585999999999</v>
      </c>
    </row>
    <row r="1043" spans="1:43" x14ac:dyDescent="0.25">
      <c r="A1043">
        <v>1042</v>
      </c>
      <c r="B1043" t="s">
        <v>51</v>
      </c>
      <c r="C1043" t="s">
        <v>51</v>
      </c>
      <c r="D1043" t="s">
        <v>208</v>
      </c>
      <c r="F1043" s="1">
        <v>42811</v>
      </c>
      <c r="G1043" s="2">
        <v>65.099999999999994</v>
      </c>
      <c r="H1043" s="2"/>
      <c r="I1043" s="2">
        <f t="array" ref="I1043">_xlfn.IFNA(IF(vp.data[[#This Row],[Sulf Input]]="",INDEX([1]DATA!$Q$3:$Q$9826,MATCH(1,(vp.data[[#This Row],[Battery]]=[1]DATA!$L$3:$L$9826)*(EOMONTH(vp.data[[#This Row],[SDate]],-1)+1=[1]DATA!$G$3:$G$9826),0)),vp.data[[#This Row],[Sulf Input]]),"")</f>
        <v>1.56</v>
      </c>
      <c r="J1043" s="2">
        <v>23.6</v>
      </c>
      <c r="K1043" s="2">
        <v>-1</v>
      </c>
      <c r="L1043" s="2">
        <v>855.2</v>
      </c>
      <c r="M1043" s="2">
        <f t="array" ref="M1043">_xlfn.IFNA(IF(vp.data[[#This Row],[Dens Input]]="",INDEX([1]DATA!$O$3:$O$9826,MATCH(1,(vp.data[[#This Row],[Battery]]=[1]DATA!$L$3:$L$9826)*(EOMONTH(vp.data[[#This Row],[SDate]],-1)+1=[1]DATA!$G$3:$G$9826),0)),vp.data[[#This Row],[Dens Input]]),"")</f>
        <v>855.2</v>
      </c>
      <c r="N1043" s="2">
        <f ca="1">INDEX(INDIRECT(_xlfn.CONCAT("weather.tbl[",N$1,"]")),MATCH(vp.data[[#This Row],[SDate]],weather.tbl[Date],0))</f>
        <v>-1.7</v>
      </c>
      <c r="O1043" s="2">
        <f ca="1">INDEX(INDIRECT(_xlfn.CONCAT("weather.tbl[",O$1,"]")),MATCH(vp.data[[#This Row],[SDate]],weather.tbl[Date],0))</f>
        <v>-9.3785714285714299</v>
      </c>
      <c r="P1043" s="2">
        <f ca="1">INDEX(INDIRECT(_xlfn.CONCAT("weather.tbl[",P$1,"]")),MATCH(vp.data[[#This Row],[SDate]],weather.tbl[Date],0))</f>
        <v>-2.6</v>
      </c>
      <c r="Q1043" s="2">
        <f ca="1">INDEX(INDIRECT(_xlfn.CONCAT("weather.tbl[",Q$1,"]")),MATCH(vp.data[[#This Row],[SDate]],weather.tbl[Date],0))</f>
        <v>-1.3</v>
      </c>
      <c r="R1043" s="2">
        <f ca="1">INDEX(INDIRECT(_xlfn.CONCAT("weather.tbl[",R$1,"]")),MATCH(vp.data[[#This Row],[SDate]],weather.tbl[Date],0))</f>
        <v>-0.8</v>
      </c>
      <c r="S1043" s="2">
        <f ca="1">INDEX(INDIRECT(_xlfn.CONCAT("weather.tbl[",S$1,"]")),MATCH(vp.data[[#This Row],[SDate]],weather.tbl[Date],0))</f>
        <v>0.2</v>
      </c>
      <c r="T1043" s="2">
        <f ca="1">INDEX(INDIRECT(_xlfn.CONCAT("weather.tbl[",T$1,"]")),MATCH(vp.data[[#This Row],[SDate]],weather.tbl[Date],0))</f>
        <v>-3.4</v>
      </c>
      <c r="U1043" s="2">
        <f ca="1">INDEX(INDIRECT(_xlfn.CONCAT("weather.tbl[",U$1,"]")),MATCH(vp.data[[#This Row],[SDate]],weather.tbl[Date],0))</f>
        <v>-2.2999999999999998</v>
      </c>
      <c r="V1043" s="2">
        <f t="array" ref="V10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1088.213</v>
      </c>
      <c r="W1043" t="s">
        <v>48</v>
      </c>
      <c r="X1043">
        <f>IF(OR(vp.data[[#This Row],[Sulf]]="",vp.data[[#This Row],[Dens]]=""),1,0)</f>
        <v>0</v>
      </c>
      <c r="Y1043">
        <f>IF(vp.data[[#This Row],[CrudeType]]="C5+",1,0)</f>
        <v>0</v>
      </c>
      <c r="Z1043">
        <f>IF(AND(vp.data[[#This Row],[CrudeType]]="Crude",vp.data[[#This Row],[Dens]]&lt;=825,vp.data[[#This Row],[Sulf]]&gt;0.5,vp.data[[#This Row],[Unknown]]=0),1,0)</f>
        <v>0</v>
      </c>
      <c r="AA1043">
        <f>IF(AND(vp.data[[#This Row],[CrudeType]]="Crude",vp.data[[#This Row],[Dens]]&lt;=825,vp.data[[#This Row],[Sulf]]&lt;=0.5,vp.data[[#This Row],[Unknown]]=0),1,0)</f>
        <v>0</v>
      </c>
      <c r="AB10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3">
        <f>IF(AND(vp.data[[#This Row],[CrudeType]]="Crude",vp.data[[#This Row],[Dens]]&gt;825,vp.data[[#This Row],[Dens]]&lt;=900,vp.data[[#This Row],[Sulf]]&lt;=0.5,vp.data[[#This Row],[Unknown]]=0),1,0)</f>
        <v>0</v>
      </c>
      <c r="AD1043">
        <f>IF(AND(vp.data[[#This Row],[CrudeType]]="Crude",vp.data[[#This Row],[Dens]]&gt;865,vp.data[[#This Row],[Dens]]&lt;=900,vp.data[[#This Row],[Sulf]]&gt;2,vp.data[[#This Row],[Unknown]]=0),1,0)</f>
        <v>0</v>
      </c>
      <c r="AE1043">
        <f>IF(AND(vp.data[[#This Row],[CrudeType]]="Crude",vp.data[[#This Row],[Dens]]&gt;900,vp.data[[#This Row],[Sulf]]&lt;=0.5,vp.data[[#This Row],[Unknown]]=0),1,0)</f>
        <v>0</v>
      </c>
      <c r="AF1043">
        <f>IF(AND(vp.data[[#This Row],[CrudeType]]="Crude",vp.data[[#This Row],[Dens]]&gt;900,vp.data[[#This Row],[Sulf]]&lt;=0.5,vp.data[[#This Row],[Unknown]]=0),1,0)</f>
        <v>0</v>
      </c>
      <c r="AG1043" t="str">
        <f>INDEX(vp.data[[#Headers],[Unknown]:[Heavy_SW]],MATCH(1,vp.data[[#This Row],[Unknown]:[Heavy_SW]],0))</f>
        <v>Medium_LSB</v>
      </c>
      <c r="AH1043">
        <f>INDEX([3]!crudeBD.lkup[Number],MATCH(vp.data[[#This Row],[Crude_Breakdown]],crudeBD.lkup[Crude Breakdown],0))</f>
        <v>3</v>
      </c>
      <c r="AI1043">
        <f>MONTH(vp.data[[#This Row],[SDate]])</f>
        <v>3</v>
      </c>
      <c r="AJ1043" s="5">
        <f>(vp.data[[#This Row],[VP]]-INDEX(crudeBD.lkup[Mean_VP],MATCH(vp.data[[#This Row],[Crude_Breakdown]],crudeBD.lkup[Crude Breakdown],0)))^2</f>
        <v>241.48154727442926</v>
      </c>
      <c r="AK1043" s="5">
        <f>(vp.data[[#This Row],[Dens]]-INDEX(crudeBD.lkup[Mean_Dens],MATCH(vp.data[[#This Row],[Crude_Breakdown]],crudeBD.lkup[Crude Breakdown],0)))^2</f>
        <v>127.23840000001221</v>
      </c>
      <c r="AL1043" s="5">
        <f>(vp.data[[#This Row],[Sulf]]-INDEX(crudeBD.lkup[Mean_Sulf],MATCH(vp.data[[#This Row],[Crude_Breakdown]],crudeBD.lkup[Crude Breakdown],0)))^2</f>
        <v>3.0482322227767557E-2</v>
      </c>
      <c r="AM1043" s="4">
        <f>IF(AND(vp.data[[#This Row],[SDate]]&gt;=DATE(YEAR(vp.data[[#This Row],[SDate]]),5,1),vp.data[[#This Row],[SDate]]&lt;=DATE(YEAR(vp.data[[#This Row],[SDate]]),9,15)),1,0)</f>
        <v>0</v>
      </c>
      <c r="AN1043" s="4">
        <f>IF(vp.data[[#This Row],[SDate]]&lt;DATE(2016,12,1),0,1)</f>
        <v>1</v>
      </c>
      <c r="AO1043" s="4">
        <f>IFERROR(vp.data[[#This Row],[Sulf]]*vp.data[[#This Row],[Net Dens]],"")</f>
        <v>1451798.0218560002</v>
      </c>
      <c r="AP1043">
        <f>IFERROR(vp.data[[#This Row],[Dens]]*vp.data[[#This Row],[VolumeM3]],"")</f>
        <v>930639.75760000001</v>
      </c>
      <c r="AQ1043" s="15">
        <f>IFERROR(vp.data[[#This Row],[VP]]*vp.data[[#This Row],[VolumeM3]],"")</f>
        <v>70842.666299999997</v>
      </c>
    </row>
    <row r="1044" spans="1:43" x14ac:dyDescent="0.25">
      <c r="A1044">
        <v>1043</v>
      </c>
      <c r="B1044" t="s">
        <v>62</v>
      </c>
      <c r="C1044" t="s">
        <v>62</v>
      </c>
      <c r="D1044" t="s">
        <v>63</v>
      </c>
      <c r="F1044" s="1">
        <v>42812</v>
      </c>
      <c r="G1044" s="2">
        <v>72</v>
      </c>
      <c r="H1044" s="2"/>
      <c r="I1044" s="2">
        <f t="array" ref="I1044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44" s="2">
        <v>17.600000000000001</v>
      </c>
      <c r="K1044" s="2">
        <v>-4</v>
      </c>
      <c r="L1044" s="2">
        <v>848.3</v>
      </c>
      <c r="M1044" s="2">
        <f t="array" ref="M1044">_xlfn.IFNA(IF(vp.data[[#This Row],[Dens Input]]="",INDEX([1]DATA!$O$3:$O$9826,MATCH(1,(vp.data[[#This Row],[Battery]]=[1]DATA!$L$3:$L$9826)*(EOMONTH(vp.data[[#This Row],[SDate]],-1)+1=[1]DATA!$G$3:$G$9826),0)),vp.data[[#This Row],[Dens Input]]),"")</f>
        <v>848.3</v>
      </c>
      <c r="N1044" s="2">
        <f ca="1">INDEX(INDIRECT(_xlfn.CONCAT("weather.tbl[",N$1,"]")),MATCH(vp.data[[#This Row],[SDate]],weather.tbl[Date],0))</f>
        <v>-1.05</v>
      </c>
      <c r="O1044" s="2">
        <f ca="1">INDEX(INDIRECT(_xlfn.CONCAT("weather.tbl[",O$1,"]")),MATCH(vp.data[[#This Row],[SDate]],weather.tbl[Date],0))</f>
        <v>-6.9571428571428573</v>
      </c>
      <c r="P1044" s="2">
        <f ca="1">INDEX(INDIRECT(_xlfn.CONCAT("weather.tbl[",P$1,"]")),MATCH(vp.data[[#This Row],[SDate]],weather.tbl[Date],0))</f>
        <v>-0.7</v>
      </c>
      <c r="Q1044" s="2">
        <f ca="1">INDEX(INDIRECT(_xlfn.CONCAT("weather.tbl[",Q$1,"]")),MATCH(vp.data[[#This Row],[SDate]],weather.tbl[Date],0))</f>
        <v>-0.3</v>
      </c>
      <c r="R1044" s="2">
        <f ca="1">INDEX(INDIRECT(_xlfn.CONCAT("weather.tbl[",R$1,"]")),MATCH(vp.data[[#This Row],[SDate]],weather.tbl[Date],0))</f>
        <v>-2.8</v>
      </c>
      <c r="S1044" s="2">
        <f ca="1">INDEX(INDIRECT(_xlfn.CONCAT("weather.tbl[",S$1,"]")),MATCH(vp.data[[#This Row],[SDate]],weather.tbl[Date],0))</f>
        <v>2.2000000000000002</v>
      </c>
      <c r="T1044" s="2">
        <f ca="1">INDEX(INDIRECT(_xlfn.CONCAT("weather.tbl[",T$1,"]")),MATCH(vp.data[[#This Row],[SDate]],weather.tbl[Date],0))</f>
        <v>-4.7</v>
      </c>
      <c r="U1044" s="2">
        <f ca="1">INDEX(INDIRECT(_xlfn.CONCAT("weather.tbl[",U$1,"]")),MATCH(vp.data[[#This Row],[SDate]],weather.tbl[Date],0))</f>
        <v>0</v>
      </c>
      <c r="V1044" s="2">
        <f t="array" ref="V10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44" t="s">
        <v>48</v>
      </c>
      <c r="X1044">
        <f>IF(OR(vp.data[[#This Row],[Sulf]]="",vp.data[[#This Row],[Dens]]=""),1,0)</f>
        <v>0</v>
      </c>
      <c r="Y1044">
        <f>IF(vp.data[[#This Row],[CrudeType]]="C5+",1,0)</f>
        <v>0</v>
      </c>
      <c r="Z1044">
        <f>IF(AND(vp.data[[#This Row],[CrudeType]]="Crude",vp.data[[#This Row],[Dens]]&lt;=825,vp.data[[#This Row],[Sulf]]&gt;0.5,vp.data[[#This Row],[Unknown]]=0),1,0)</f>
        <v>0</v>
      </c>
      <c r="AA1044">
        <f>IF(AND(vp.data[[#This Row],[CrudeType]]="Crude",vp.data[[#This Row],[Dens]]&lt;=825,vp.data[[#This Row],[Sulf]]&lt;=0.5,vp.data[[#This Row],[Unknown]]=0),1,0)</f>
        <v>0</v>
      </c>
      <c r="AB10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4">
        <f>IF(AND(vp.data[[#This Row],[CrudeType]]="Crude",vp.data[[#This Row],[Dens]]&gt;825,vp.data[[#This Row],[Dens]]&lt;=900,vp.data[[#This Row],[Sulf]]&lt;=0.5,vp.data[[#This Row],[Unknown]]=0),1,0)</f>
        <v>0</v>
      </c>
      <c r="AD1044">
        <f>IF(AND(vp.data[[#This Row],[CrudeType]]="Crude",vp.data[[#This Row],[Dens]]&gt;865,vp.data[[#This Row],[Dens]]&lt;=900,vp.data[[#This Row],[Sulf]]&gt;2,vp.data[[#This Row],[Unknown]]=0),1,0)</f>
        <v>0</v>
      </c>
      <c r="AE1044">
        <f>IF(AND(vp.data[[#This Row],[CrudeType]]="Crude",vp.data[[#This Row],[Dens]]&gt;900,vp.data[[#This Row],[Sulf]]&lt;=0.5,vp.data[[#This Row],[Unknown]]=0),1,0)</f>
        <v>0</v>
      </c>
      <c r="AF1044">
        <f>IF(AND(vp.data[[#This Row],[CrudeType]]="Crude",vp.data[[#This Row],[Dens]]&gt;900,vp.data[[#This Row],[Sulf]]&lt;=0.5,vp.data[[#This Row],[Unknown]]=0),1,0)</f>
        <v>0</v>
      </c>
      <c r="AG1044" t="str">
        <f>INDEX(vp.data[[#Headers],[Unknown]:[Heavy_SW]],MATCH(1,vp.data[[#This Row],[Unknown]:[Heavy_SW]],0))</f>
        <v>Medium_LSB</v>
      </c>
      <c r="AH1044">
        <f>INDEX([3]!crudeBD.lkup[Number],MATCH(vp.data[[#This Row],[Crude_Breakdown]],crudeBD.lkup[Crude Breakdown],0))</f>
        <v>3</v>
      </c>
      <c r="AI1044">
        <f>MONTH(vp.data[[#This Row],[SDate]])</f>
        <v>3</v>
      </c>
      <c r="AJ1044" s="5">
        <f>(vp.data[[#This Row],[VP]]-INDEX(crudeBD.lkup[Mean_VP],MATCH(vp.data[[#This Row],[Crude_Breakdown]],crudeBD.lkup[Crude Breakdown],0)))^2</f>
        <v>74.644010886289905</v>
      </c>
      <c r="AK1044" s="5">
        <f>(vp.data[[#This Row],[Dens]]-INDEX(crudeBD.lkup[Mean_Dens],MATCH(vp.data[[#This Row],[Crude_Breakdown]],crudeBD.lkup[Crude Breakdown],0)))^2</f>
        <v>19.184400000003944</v>
      </c>
      <c r="AL1044" s="5">
        <f>(vp.data[[#This Row],[Sulf]]-INDEX(crudeBD.lkup[Mean_Sulf],MATCH(vp.data[[#This Row],[Crude_Breakdown]],crudeBD.lkup[Crude Breakdown],0)))^2</f>
        <v>0.12573539662129798</v>
      </c>
      <c r="AM1044" s="4">
        <f>IF(AND(vp.data[[#This Row],[SDate]]&gt;=DATE(YEAR(vp.data[[#This Row],[SDate]]),5,1),vp.data[[#This Row],[SDate]]&lt;=DATE(YEAR(vp.data[[#This Row],[SDate]]),9,15)),1,0)</f>
        <v>0</v>
      </c>
      <c r="AN1044" s="4">
        <f>IF(vp.data[[#This Row],[SDate]]&lt;DATE(2016,12,1),0,1)</f>
        <v>1</v>
      </c>
      <c r="AO1044" s="4">
        <f>IFERROR(vp.data[[#This Row],[Sulf]]*vp.data[[#This Row],[Net Dens]],"")</f>
        <v>10272148.240583999</v>
      </c>
      <c r="AP1044">
        <f>IFERROR(vp.data[[#This Row],[Dens]]*vp.data[[#This Row],[VolumeM3]],"")</f>
        <v>5903533.4715999998</v>
      </c>
      <c r="AQ1044" s="15">
        <f>IFERROR(vp.data[[#This Row],[VP]]*vp.data[[#This Row],[VolumeM3]],"")</f>
        <v>501066.14400000003</v>
      </c>
    </row>
    <row r="1045" spans="1:43" x14ac:dyDescent="0.25">
      <c r="A1045">
        <v>1044</v>
      </c>
      <c r="B1045" t="s">
        <v>49</v>
      </c>
      <c r="C1045" t="s">
        <v>49</v>
      </c>
      <c r="D1045" t="s">
        <v>67</v>
      </c>
      <c r="F1045" s="1">
        <v>42814</v>
      </c>
      <c r="G1045" s="2">
        <v>93</v>
      </c>
      <c r="H1045" s="2">
        <v>0.34100000000000003</v>
      </c>
      <c r="I1045" s="2">
        <f t="array" ref="I1045">_xlfn.IFNA(IF(vp.data[[#This Row],[Sulf Input]]="",INDEX([1]DATA!$Q$3:$Q$9826,MATCH(1,(vp.data[[#This Row],[Battery]]=[1]DATA!$L$3:$L$9826)*(EOMONTH(vp.data[[#This Row],[SDate]],-1)+1=[1]DATA!$G$3:$G$9826),0)),vp.data[[#This Row],[Sulf Input]]),"")</f>
        <v>0.34100000000000003</v>
      </c>
      <c r="J1045" s="2">
        <v>6.9</v>
      </c>
      <c r="K1045" s="2">
        <v>-1</v>
      </c>
      <c r="L1045" s="2">
        <v>810.3</v>
      </c>
      <c r="M1045" s="2">
        <f t="array" ref="M1045">_xlfn.IFNA(IF(vp.data[[#This Row],[Dens Input]]="",INDEX([1]DATA!$O$3:$O$9826,MATCH(1,(vp.data[[#This Row],[Battery]]=[1]DATA!$L$3:$L$9826)*(EOMONTH(vp.data[[#This Row],[SDate]],-1)+1=[1]DATA!$G$3:$G$9826),0)),vp.data[[#This Row],[Dens Input]]),"")</f>
        <v>810.3</v>
      </c>
      <c r="N1045" s="2">
        <f ca="1">INDEX(INDIRECT(_xlfn.CONCAT("weather.tbl[",N$1,"]")),MATCH(vp.data[[#This Row],[SDate]],weather.tbl[Date],0))</f>
        <v>-2.6166666666666667</v>
      </c>
      <c r="O1045" s="2">
        <f ca="1">INDEX(INDIRECT(_xlfn.CONCAT("weather.tbl[",O$1,"]")),MATCH(vp.data[[#This Row],[SDate]],weather.tbl[Date],0))</f>
        <v>-1.9547619047619051</v>
      </c>
      <c r="P1045" s="2">
        <f ca="1">INDEX(INDIRECT(_xlfn.CONCAT("weather.tbl[",P$1,"]")),MATCH(vp.data[[#This Row],[SDate]],weather.tbl[Date],0))</f>
        <v>-3.3</v>
      </c>
      <c r="Q1045" s="2">
        <f ca="1">INDEX(INDIRECT(_xlfn.CONCAT("weather.tbl[",Q$1,"]")),MATCH(vp.data[[#This Row],[SDate]],weather.tbl[Date],0))</f>
        <v>-2.4</v>
      </c>
      <c r="R1045" s="2">
        <f ca="1">INDEX(INDIRECT(_xlfn.CONCAT("weather.tbl[",R$1,"]")),MATCH(vp.data[[#This Row],[SDate]],weather.tbl[Date],0))</f>
        <v>-2</v>
      </c>
      <c r="S1045" s="2">
        <f ca="1">INDEX(INDIRECT(_xlfn.CONCAT("weather.tbl[",S$1,"]")),MATCH(vp.data[[#This Row],[SDate]],weather.tbl[Date],0))</f>
        <v>-2.1</v>
      </c>
      <c r="T1045" s="2">
        <f ca="1">INDEX(INDIRECT(_xlfn.CONCAT("weather.tbl[",T$1,"]")),MATCH(vp.data[[#This Row],[SDate]],weather.tbl[Date],0))</f>
        <v>-3.9</v>
      </c>
      <c r="U1045" s="2">
        <f ca="1">INDEX(INDIRECT(_xlfn.CONCAT("weather.tbl[",U$1,"]")),MATCH(vp.data[[#This Row],[SDate]],weather.tbl[Date],0))</f>
        <v>-2</v>
      </c>
      <c r="V1045" s="2">
        <f t="array" ref="V10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1045" t="s">
        <v>48</v>
      </c>
      <c r="X1045">
        <f>IF(OR(vp.data[[#This Row],[Sulf]]="",vp.data[[#This Row],[Dens]]=""),1,0)</f>
        <v>0</v>
      </c>
      <c r="Y1045">
        <f>IF(vp.data[[#This Row],[CrudeType]]="C5+",1,0)</f>
        <v>0</v>
      </c>
      <c r="Z1045">
        <f>IF(AND(vp.data[[#This Row],[CrudeType]]="Crude",vp.data[[#This Row],[Dens]]&lt;=825,vp.data[[#This Row],[Sulf]]&gt;0.5,vp.data[[#This Row],[Unknown]]=0),1,0)</f>
        <v>0</v>
      </c>
      <c r="AA1045">
        <f>IF(AND(vp.data[[#This Row],[CrudeType]]="Crude",vp.data[[#This Row],[Dens]]&lt;=825,vp.data[[#This Row],[Sulf]]&lt;=0.5,vp.data[[#This Row],[Unknown]]=0),1,0)</f>
        <v>1</v>
      </c>
      <c r="AB10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45">
        <f>IF(AND(vp.data[[#This Row],[CrudeType]]="Crude",vp.data[[#This Row],[Dens]]&gt;825,vp.data[[#This Row],[Dens]]&lt;=900,vp.data[[#This Row],[Sulf]]&lt;=0.5,vp.data[[#This Row],[Unknown]]=0),1,0)</f>
        <v>0</v>
      </c>
      <c r="AD1045">
        <f>IF(AND(vp.data[[#This Row],[CrudeType]]="Crude",vp.data[[#This Row],[Dens]]&gt;865,vp.data[[#This Row],[Dens]]&lt;=900,vp.data[[#This Row],[Sulf]]&gt;2,vp.data[[#This Row],[Unknown]]=0),1,0)</f>
        <v>0</v>
      </c>
      <c r="AE1045">
        <f>IF(AND(vp.data[[#This Row],[CrudeType]]="Crude",vp.data[[#This Row],[Dens]]&gt;900,vp.data[[#This Row],[Sulf]]&lt;=0.5,vp.data[[#This Row],[Unknown]]=0),1,0)</f>
        <v>0</v>
      </c>
      <c r="AF1045">
        <f>IF(AND(vp.data[[#This Row],[CrudeType]]="Crude",vp.data[[#This Row],[Dens]]&gt;900,vp.data[[#This Row],[Sulf]]&lt;=0.5,vp.data[[#This Row],[Unknown]]=0),1,0)</f>
        <v>0</v>
      </c>
      <c r="AG1045" t="str">
        <f>INDEX(vp.data[[#Headers],[Unknown]:[Heavy_SW]],MATCH(1,vp.data[[#This Row],[Unknown]:[Heavy_SW]],0))</f>
        <v>Light_SW</v>
      </c>
      <c r="AH1045">
        <f>INDEX([3]!crudeBD.lkup[Number],MATCH(vp.data[[#This Row],[Crude_Breakdown]],crudeBD.lkup[Crude Breakdown],0))</f>
        <v>2</v>
      </c>
      <c r="AI1045">
        <f>MONTH(vp.data[[#This Row],[SDate]])</f>
        <v>3</v>
      </c>
      <c r="AJ1045" s="5">
        <f>(vp.data[[#This Row],[VP]]-INDEX(crudeBD.lkup[Mean_VP],MATCH(vp.data[[#This Row],[Crude_Breakdown]],crudeBD.lkup[Crude Breakdown],0)))^2</f>
        <v>0.2022178683728367</v>
      </c>
      <c r="AK1045" s="5">
        <f>(vp.data[[#This Row],[Dens]]-INDEX(crudeBD.lkup[Mean_Dens],MATCH(vp.data[[#This Row],[Crude_Breakdown]],crudeBD.lkup[Crude Breakdown],0)))^2</f>
        <v>3.9541391785751512</v>
      </c>
      <c r="AL1045" s="5">
        <f>(vp.data[[#This Row],[Sulf]]-INDEX(crudeBD.lkup[Mean_Sulf],MATCH(vp.data[[#This Row],[Crude_Breakdown]],crudeBD.lkup[Crude Breakdown],0)))^2</f>
        <v>1.0974277985164359E-2</v>
      </c>
      <c r="AM1045" s="4">
        <f>IF(AND(vp.data[[#This Row],[SDate]]&gt;=DATE(YEAR(vp.data[[#This Row],[SDate]]),5,1),vp.data[[#This Row],[SDate]]&lt;=DATE(YEAR(vp.data[[#This Row],[SDate]]),9,15)),1,0)</f>
        <v>0</v>
      </c>
      <c r="AN1045" s="4">
        <f>IF(vp.data[[#This Row],[SDate]]&lt;DATE(2016,12,1),0,1)</f>
        <v>1</v>
      </c>
      <c r="AO1045" s="4">
        <f>IFERROR(vp.data[[#This Row],[Sulf]]*vp.data[[#This Row],[Net Dens]],"")</f>
        <v>36646584.976455301</v>
      </c>
      <c r="AP1045">
        <f>IFERROR(vp.data[[#This Row],[Dens]]*vp.data[[#This Row],[VolumeM3]],"")</f>
        <v>107467991.13329999</v>
      </c>
      <c r="AQ1045" s="15">
        <f>IFERROR(vp.data[[#This Row],[VP]]*vp.data[[#This Row],[VolumeM3]],"")</f>
        <v>12334349.222999999</v>
      </c>
    </row>
    <row r="1046" spans="1:43" x14ac:dyDescent="0.25">
      <c r="A1046">
        <v>1045</v>
      </c>
      <c r="B1046" t="s">
        <v>49</v>
      </c>
      <c r="C1046" t="s">
        <v>49</v>
      </c>
      <c r="D1046" t="s">
        <v>80</v>
      </c>
      <c r="F1046" s="1">
        <v>42814</v>
      </c>
      <c r="G1046" s="2">
        <v>89.6</v>
      </c>
      <c r="H1046" s="2">
        <v>0.41160000000000002</v>
      </c>
      <c r="I1046" s="2">
        <f t="array" ref="I1046">_xlfn.IFNA(IF(vp.data[[#This Row],[Sulf Input]]="",INDEX([1]DATA!$Q$3:$Q$9826,MATCH(1,(vp.data[[#This Row],[Battery]]=[1]DATA!$L$3:$L$9826)*(EOMONTH(vp.data[[#This Row],[SDate]],-1)+1=[1]DATA!$G$3:$G$9826),0)),vp.data[[#This Row],[Sulf Input]]),"")</f>
        <v>0.41160000000000002</v>
      </c>
      <c r="J1046" s="2">
        <v>17.5</v>
      </c>
      <c r="K1046" s="2">
        <v>-1</v>
      </c>
      <c r="L1046" s="2">
        <v>812.4</v>
      </c>
      <c r="M1046" s="2">
        <f t="array" ref="M1046">_xlfn.IFNA(IF(vp.data[[#This Row],[Dens Input]]="",INDEX([1]DATA!$O$3:$O$9826,MATCH(1,(vp.data[[#This Row],[Battery]]=[1]DATA!$L$3:$L$9826)*(EOMONTH(vp.data[[#This Row],[SDate]],-1)+1=[1]DATA!$G$3:$G$9826),0)),vp.data[[#This Row],[Dens Input]]),"")</f>
        <v>812.4</v>
      </c>
      <c r="N1046" s="2">
        <f ca="1">INDEX(INDIRECT(_xlfn.CONCAT("weather.tbl[",N$1,"]")),MATCH(vp.data[[#This Row],[SDate]],weather.tbl[Date],0))</f>
        <v>-2.6166666666666667</v>
      </c>
      <c r="O1046" s="2">
        <f ca="1">INDEX(INDIRECT(_xlfn.CONCAT("weather.tbl[",O$1,"]")),MATCH(vp.data[[#This Row],[SDate]],weather.tbl[Date],0))</f>
        <v>-1.9547619047619051</v>
      </c>
      <c r="P1046" s="2">
        <f ca="1">INDEX(INDIRECT(_xlfn.CONCAT("weather.tbl[",P$1,"]")),MATCH(vp.data[[#This Row],[SDate]],weather.tbl[Date],0))</f>
        <v>-3.3</v>
      </c>
      <c r="Q1046" s="2">
        <f ca="1">INDEX(INDIRECT(_xlfn.CONCAT("weather.tbl[",Q$1,"]")),MATCH(vp.data[[#This Row],[SDate]],weather.tbl[Date],0))</f>
        <v>-2.4</v>
      </c>
      <c r="R1046" s="2">
        <f ca="1">INDEX(INDIRECT(_xlfn.CONCAT("weather.tbl[",R$1,"]")),MATCH(vp.data[[#This Row],[SDate]],weather.tbl[Date],0))</f>
        <v>-2</v>
      </c>
      <c r="S1046" s="2">
        <f ca="1">INDEX(INDIRECT(_xlfn.CONCAT("weather.tbl[",S$1,"]")),MATCH(vp.data[[#This Row],[SDate]],weather.tbl[Date],0))</f>
        <v>-2.1</v>
      </c>
      <c r="T1046" s="2">
        <f ca="1">INDEX(INDIRECT(_xlfn.CONCAT("weather.tbl[",T$1,"]")),MATCH(vp.data[[#This Row],[SDate]],weather.tbl[Date],0))</f>
        <v>-3.9</v>
      </c>
      <c r="U1046" s="2">
        <f ca="1">INDEX(INDIRECT(_xlfn.CONCAT("weather.tbl[",U$1,"]")),MATCH(vp.data[[#This Row],[SDate]],weather.tbl[Date],0))</f>
        <v>-2</v>
      </c>
      <c r="V1046" s="2">
        <f t="array" ref="V10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23623.538</v>
      </c>
      <c r="W1046" t="s">
        <v>48</v>
      </c>
      <c r="X1046">
        <f>IF(OR(vp.data[[#This Row],[Sulf]]="",vp.data[[#This Row],[Dens]]=""),1,0)</f>
        <v>0</v>
      </c>
      <c r="Y1046">
        <f>IF(vp.data[[#This Row],[CrudeType]]="C5+",1,0)</f>
        <v>0</v>
      </c>
      <c r="Z1046">
        <f>IF(AND(vp.data[[#This Row],[CrudeType]]="Crude",vp.data[[#This Row],[Dens]]&lt;=825,vp.data[[#This Row],[Sulf]]&gt;0.5,vp.data[[#This Row],[Unknown]]=0),1,0)</f>
        <v>0</v>
      </c>
      <c r="AA1046">
        <f>IF(AND(vp.data[[#This Row],[CrudeType]]="Crude",vp.data[[#This Row],[Dens]]&lt;=825,vp.data[[#This Row],[Sulf]]&lt;=0.5,vp.data[[#This Row],[Unknown]]=0),1,0)</f>
        <v>1</v>
      </c>
      <c r="AB10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46">
        <f>IF(AND(vp.data[[#This Row],[CrudeType]]="Crude",vp.data[[#This Row],[Dens]]&gt;825,vp.data[[#This Row],[Dens]]&lt;=900,vp.data[[#This Row],[Sulf]]&lt;=0.5,vp.data[[#This Row],[Unknown]]=0),1,0)</f>
        <v>0</v>
      </c>
      <c r="AD1046">
        <f>IF(AND(vp.data[[#This Row],[CrudeType]]="Crude",vp.data[[#This Row],[Dens]]&gt;865,vp.data[[#This Row],[Dens]]&lt;=900,vp.data[[#This Row],[Sulf]]&gt;2,vp.data[[#This Row],[Unknown]]=0),1,0)</f>
        <v>0</v>
      </c>
      <c r="AE1046">
        <f>IF(AND(vp.data[[#This Row],[CrudeType]]="Crude",vp.data[[#This Row],[Dens]]&gt;900,vp.data[[#This Row],[Sulf]]&lt;=0.5,vp.data[[#This Row],[Unknown]]=0),1,0)</f>
        <v>0</v>
      </c>
      <c r="AF1046">
        <f>IF(AND(vp.data[[#This Row],[CrudeType]]="Crude",vp.data[[#This Row],[Dens]]&gt;900,vp.data[[#This Row],[Sulf]]&lt;=0.5,vp.data[[#This Row],[Unknown]]=0),1,0)</f>
        <v>0</v>
      </c>
      <c r="AG1046" t="str">
        <f>INDEX(vp.data[[#Headers],[Unknown]:[Heavy_SW]],MATCH(1,vp.data[[#This Row],[Unknown]:[Heavy_SW]],0))</f>
        <v>Light_SW</v>
      </c>
      <c r="AH1046">
        <f>INDEX([3]!crudeBD.lkup[Number],MATCH(vp.data[[#This Row],[Crude_Breakdown]],crudeBD.lkup[Crude Breakdown],0))</f>
        <v>2</v>
      </c>
      <c r="AI1046">
        <f>MONTH(vp.data[[#This Row],[SDate]])</f>
        <v>3</v>
      </c>
      <c r="AJ1046" s="5">
        <f>(vp.data[[#This Row],[VP]]-INDEX(crudeBD.lkup[Mean_VP],MATCH(vp.data[[#This Row],[Crude_Breakdown]],crudeBD.lkup[Crude Breakdown],0)))^2</f>
        <v>8.7043502725538549</v>
      </c>
      <c r="AK1046" s="5">
        <f>(vp.data[[#This Row],[Dens]]-INDEX(crudeBD.lkup[Mean_Dens],MATCH(vp.data[[#This Row],[Crude_Breakdown]],crudeBD.lkup[Crude Breakdown],0)))^2</f>
        <v>16.715846495649235</v>
      </c>
      <c r="AL1046" s="5">
        <f>(vp.data[[#This Row],[Sulf]]-INDEX(crudeBD.lkup[Mean_Sulf],MATCH(vp.data[[#This Row],[Crude_Breakdown]],crudeBD.lkup[Crude Breakdown],0)))^2</f>
        <v>3.075049415241177E-2</v>
      </c>
      <c r="AM1046" s="4">
        <f>IF(AND(vp.data[[#This Row],[SDate]]&gt;=DATE(YEAR(vp.data[[#This Row],[SDate]]),5,1),vp.data[[#This Row],[SDate]]&lt;=DATE(YEAR(vp.data[[#This Row],[SDate]]),9,15)),1,0)</f>
        <v>0</v>
      </c>
      <c r="AN1046" s="4">
        <f>IF(vp.data[[#This Row],[SDate]]&lt;DATE(2016,12,1),0,1)</f>
        <v>1</v>
      </c>
      <c r="AO1046" s="4">
        <f>IFERROR(vp.data[[#This Row],[Sulf]]*vp.data[[#This Row],[Net Dens]],"")</f>
        <v>7899329.3508259207</v>
      </c>
      <c r="AP1046">
        <f>IFERROR(vp.data[[#This Row],[Dens]]*vp.data[[#This Row],[VolumeM3]],"")</f>
        <v>19191762.271200001</v>
      </c>
      <c r="AQ1046" s="15">
        <f>IFERROR(vp.data[[#This Row],[VP]]*vp.data[[#This Row],[VolumeM3]],"")</f>
        <v>2116669.0047999998</v>
      </c>
    </row>
    <row r="1047" spans="1:43" x14ac:dyDescent="0.25">
      <c r="A1047">
        <v>1046</v>
      </c>
      <c r="B1047" t="s">
        <v>49</v>
      </c>
      <c r="C1047" t="s">
        <v>49</v>
      </c>
      <c r="D1047" t="s">
        <v>100</v>
      </c>
      <c r="F1047" s="1">
        <v>42814</v>
      </c>
      <c r="G1047" s="2">
        <v>87.1</v>
      </c>
      <c r="H1047" s="2">
        <v>0.56399999999999995</v>
      </c>
      <c r="I1047" s="2">
        <f t="array" ref="I1047">_xlfn.IFNA(IF(vp.data[[#This Row],[Sulf Input]]="",INDEX([1]DATA!$Q$3:$Q$9826,MATCH(1,(vp.data[[#This Row],[Battery]]=[1]DATA!$L$3:$L$9826)*(EOMONTH(vp.data[[#This Row],[SDate]],-1)+1=[1]DATA!$G$3:$G$9826),0)),vp.data[[#This Row],[Sulf Input]]),"")</f>
        <v>0.56399999999999995</v>
      </c>
      <c r="J1047" s="2">
        <v>13</v>
      </c>
      <c r="K1047" s="2">
        <v>-1</v>
      </c>
      <c r="L1047" s="2">
        <v>817.6</v>
      </c>
      <c r="M1047" s="2">
        <f t="array" ref="M1047">_xlfn.IFNA(IF(vp.data[[#This Row],[Dens Input]]="",INDEX([1]DATA!$O$3:$O$9826,MATCH(1,(vp.data[[#This Row],[Battery]]=[1]DATA!$L$3:$L$9826)*(EOMONTH(vp.data[[#This Row],[SDate]],-1)+1=[1]DATA!$G$3:$G$9826),0)),vp.data[[#This Row],[Dens Input]]),"")</f>
        <v>817.6</v>
      </c>
      <c r="N1047" s="2">
        <f ca="1">INDEX(INDIRECT(_xlfn.CONCAT("weather.tbl[",N$1,"]")),MATCH(vp.data[[#This Row],[SDate]],weather.tbl[Date],0))</f>
        <v>-2.6166666666666667</v>
      </c>
      <c r="O1047" s="2">
        <f ca="1">INDEX(INDIRECT(_xlfn.CONCAT("weather.tbl[",O$1,"]")),MATCH(vp.data[[#This Row],[SDate]],weather.tbl[Date],0))</f>
        <v>-1.9547619047619051</v>
      </c>
      <c r="P1047" s="2">
        <f ca="1">INDEX(INDIRECT(_xlfn.CONCAT("weather.tbl[",P$1,"]")),MATCH(vp.data[[#This Row],[SDate]],weather.tbl[Date],0))</f>
        <v>-3.3</v>
      </c>
      <c r="Q1047" s="2">
        <f ca="1">INDEX(INDIRECT(_xlfn.CONCAT("weather.tbl[",Q$1,"]")),MATCH(vp.data[[#This Row],[SDate]],weather.tbl[Date],0))</f>
        <v>-2.4</v>
      </c>
      <c r="R1047" s="2">
        <f ca="1">INDEX(INDIRECT(_xlfn.CONCAT("weather.tbl[",R$1,"]")),MATCH(vp.data[[#This Row],[SDate]],weather.tbl[Date],0))</f>
        <v>-2</v>
      </c>
      <c r="S1047" s="2">
        <f ca="1">INDEX(INDIRECT(_xlfn.CONCAT("weather.tbl[",S$1,"]")),MATCH(vp.data[[#This Row],[SDate]],weather.tbl[Date],0))</f>
        <v>-2.1</v>
      </c>
      <c r="T1047" s="2">
        <f ca="1">INDEX(INDIRECT(_xlfn.CONCAT("weather.tbl[",T$1,"]")),MATCH(vp.data[[#This Row],[SDate]],weather.tbl[Date],0))</f>
        <v>-3.9</v>
      </c>
      <c r="U1047" s="2">
        <f ca="1">INDEX(INDIRECT(_xlfn.CONCAT("weather.tbl[",U$1,"]")),MATCH(vp.data[[#This Row],[SDate]],weather.tbl[Date],0))</f>
        <v>-2</v>
      </c>
      <c r="V1047" s="2">
        <f t="array" ref="V10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10867.904</v>
      </c>
      <c r="W1047" t="s">
        <v>48</v>
      </c>
      <c r="X1047">
        <f>IF(OR(vp.data[[#This Row],[Sulf]]="",vp.data[[#This Row],[Dens]]=""),1,0)</f>
        <v>0</v>
      </c>
      <c r="Y1047">
        <f>IF(vp.data[[#This Row],[CrudeType]]="C5+",1,0)</f>
        <v>0</v>
      </c>
      <c r="Z1047">
        <f>IF(AND(vp.data[[#This Row],[CrudeType]]="Crude",vp.data[[#This Row],[Dens]]&lt;=825,vp.data[[#This Row],[Sulf]]&gt;0.5,vp.data[[#This Row],[Unknown]]=0),1,0)</f>
        <v>1</v>
      </c>
      <c r="AA1047">
        <f>IF(AND(vp.data[[#This Row],[CrudeType]]="Crude",vp.data[[#This Row],[Dens]]&lt;=825,vp.data[[#This Row],[Sulf]]&lt;=0.5,vp.data[[#This Row],[Unknown]]=0),1,0)</f>
        <v>0</v>
      </c>
      <c r="AB10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47">
        <f>IF(AND(vp.data[[#This Row],[CrudeType]]="Crude",vp.data[[#This Row],[Dens]]&gt;825,vp.data[[#This Row],[Dens]]&lt;=900,vp.data[[#This Row],[Sulf]]&lt;=0.5,vp.data[[#This Row],[Unknown]]=0),1,0)</f>
        <v>0</v>
      </c>
      <c r="AD1047">
        <f>IF(AND(vp.data[[#This Row],[CrudeType]]="Crude",vp.data[[#This Row],[Dens]]&gt;865,vp.data[[#This Row],[Dens]]&lt;=900,vp.data[[#This Row],[Sulf]]&gt;2,vp.data[[#This Row],[Unknown]]=0),1,0)</f>
        <v>0</v>
      </c>
      <c r="AE1047">
        <f>IF(AND(vp.data[[#This Row],[CrudeType]]="Crude",vp.data[[#This Row],[Dens]]&gt;900,vp.data[[#This Row],[Sulf]]&lt;=0.5,vp.data[[#This Row],[Unknown]]=0),1,0)</f>
        <v>0</v>
      </c>
      <c r="AF1047">
        <f>IF(AND(vp.data[[#This Row],[CrudeType]]="Crude",vp.data[[#This Row],[Dens]]&gt;900,vp.data[[#This Row],[Sulf]]&lt;=0.5,vp.data[[#This Row],[Unknown]]=0),1,0)</f>
        <v>0</v>
      </c>
      <c r="AG1047" t="str">
        <f>INDEX(vp.data[[#Headers],[Unknown]:[Heavy_SW]],MATCH(1,vp.data[[#This Row],[Unknown]:[Heavy_SW]],0))</f>
        <v>Light_LSB</v>
      </c>
      <c r="AH1047">
        <f>INDEX([3]!crudeBD.lkup[Number],MATCH(vp.data[[#This Row],[Crude_Breakdown]],crudeBD.lkup[Crude Breakdown],0))</f>
        <v>1</v>
      </c>
      <c r="AI1047">
        <f>MONTH(vp.data[[#This Row],[SDate]])</f>
        <v>3</v>
      </c>
      <c r="AJ1047" s="5">
        <f>(vp.data[[#This Row],[VP]]-INDEX(crudeBD.lkup[Mean_VP],MATCH(vp.data[[#This Row],[Crude_Breakdown]],crudeBD.lkup[Crude Breakdown],0)))^2</f>
        <v>19.768566096291114</v>
      </c>
      <c r="AK1047" s="5">
        <f>(vp.data[[#This Row],[Dens]]-INDEX(crudeBD.lkup[Mean_Dens],MATCH(vp.data[[#This Row],[Crude_Breakdown]],crudeBD.lkup[Crude Breakdown],0)))^2</f>
        <v>0.84046679184170825</v>
      </c>
      <c r="AL1047" s="5">
        <f>(vp.data[[#This Row],[Sulf]]-INDEX(crudeBD.lkup[Mean_Sulf],MATCH(vp.data[[#This Row],[Crude_Breakdown]],crudeBD.lkup[Crude Breakdown],0)))^2</f>
        <v>0.12886029973160554</v>
      </c>
      <c r="AM1047" s="4">
        <f>IF(AND(vp.data[[#This Row],[SDate]]&gt;=DATE(YEAR(vp.data[[#This Row],[SDate]]),5,1),vp.data[[#This Row],[SDate]]&lt;=DATE(YEAR(vp.data[[#This Row],[SDate]]),9,15)),1,0)</f>
        <v>0</v>
      </c>
      <c r="AN1047" s="4">
        <f>IF(vp.data[[#This Row],[SDate]]&lt;DATE(2016,12,1),0,1)</f>
        <v>1</v>
      </c>
      <c r="AO1047" s="4">
        <f>IFERROR(vp.data[[#This Row],[Sulf]]*vp.data[[#This Row],[Net Dens]],"")</f>
        <v>5011477.4470655993</v>
      </c>
      <c r="AP1047">
        <f>IFERROR(vp.data[[#This Row],[Dens]]*vp.data[[#This Row],[VolumeM3]],"")</f>
        <v>8885598.3103999998</v>
      </c>
      <c r="AQ1047" s="15">
        <f>IFERROR(vp.data[[#This Row],[VP]]*vp.data[[#This Row],[VolumeM3]],"")</f>
        <v>946594.43839999998</v>
      </c>
    </row>
    <row r="1048" spans="1:43" x14ac:dyDescent="0.25">
      <c r="A1048">
        <v>1047</v>
      </c>
      <c r="B1048" t="s">
        <v>49</v>
      </c>
      <c r="C1048" t="s">
        <v>49</v>
      </c>
      <c r="D1048" t="s">
        <v>89</v>
      </c>
      <c r="F1048" s="1">
        <v>42814</v>
      </c>
      <c r="G1048" s="2">
        <v>93.5</v>
      </c>
      <c r="H1048" s="2">
        <v>0.63400000000000001</v>
      </c>
      <c r="I1048" s="2">
        <f t="array" ref="I1048">_xlfn.IFNA(IF(vp.data[[#This Row],[Sulf Input]]="",INDEX([1]DATA!$Q$3:$Q$9826,MATCH(1,(vp.data[[#This Row],[Battery]]=[1]DATA!$L$3:$L$9826)*(EOMONTH(vp.data[[#This Row],[SDate]],-1)+1=[1]DATA!$G$3:$G$9826),0)),vp.data[[#This Row],[Sulf Input]]),"")</f>
        <v>0.63400000000000001</v>
      </c>
      <c r="J1048" s="2">
        <v>5.6</v>
      </c>
      <c r="K1048" s="2">
        <v>-1</v>
      </c>
      <c r="L1048" s="2">
        <v>815.5</v>
      </c>
      <c r="M1048" s="2">
        <f t="array" ref="M1048">_xlfn.IFNA(IF(vp.data[[#This Row],[Dens Input]]="",INDEX([1]DATA!$O$3:$O$9826,MATCH(1,(vp.data[[#This Row],[Battery]]=[1]DATA!$L$3:$L$9826)*(EOMONTH(vp.data[[#This Row],[SDate]],-1)+1=[1]DATA!$G$3:$G$9826),0)),vp.data[[#This Row],[Dens Input]]),"")</f>
        <v>815.5</v>
      </c>
      <c r="N1048" s="2">
        <f ca="1">INDEX(INDIRECT(_xlfn.CONCAT("weather.tbl[",N$1,"]")),MATCH(vp.data[[#This Row],[SDate]],weather.tbl[Date],0))</f>
        <v>-2.6166666666666667</v>
      </c>
      <c r="O1048" s="2">
        <f ca="1">INDEX(INDIRECT(_xlfn.CONCAT("weather.tbl[",O$1,"]")),MATCH(vp.data[[#This Row],[SDate]],weather.tbl[Date],0))</f>
        <v>-1.9547619047619051</v>
      </c>
      <c r="P1048" s="2">
        <f ca="1">INDEX(INDIRECT(_xlfn.CONCAT("weather.tbl[",P$1,"]")),MATCH(vp.data[[#This Row],[SDate]],weather.tbl[Date],0))</f>
        <v>-3.3</v>
      </c>
      <c r="Q1048" s="2">
        <f ca="1">INDEX(INDIRECT(_xlfn.CONCAT("weather.tbl[",Q$1,"]")),MATCH(vp.data[[#This Row],[SDate]],weather.tbl[Date],0))</f>
        <v>-2.4</v>
      </c>
      <c r="R1048" s="2">
        <f ca="1">INDEX(INDIRECT(_xlfn.CONCAT("weather.tbl[",R$1,"]")),MATCH(vp.data[[#This Row],[SDate]],weather.tbl[Date],0))</f>
        <v>-2</v>
      </c>
      <c r="S1048" s="2">
        <f ca="1">INDEX(INDIRECT(_xlfn.CONCAT("weather.tbl[",S$1,"]")),MATCH(vp.data[[#This Row],[SDate]],weather.tbl[Date],0))</f>
        <v>-2.1</v>
      </c>
      <c r="T1048" s="2">
        <f ca="1">INDEX(INDIRECT(_xlfn.CONCAT("weather.tbl[",T$1,"]")),MATCH(vp.data[[#This Row],[SDate]],weather.tbl[Date],0))</f>
        <v>-3.9</v>
      </c>
      <c r="U1048" s="2">
        <f ca="1">INDEX(INDIRECT(_xlfn.CONCAT("weather.tbl[",U$1,"]")),MATCH(vp.data[[#This Row],[SDate]],weather.tbl[Date],0))</f>
        <v>-2</v>
      </c>
      <c r="V1048" s="2">
        <f t="array" ref="V10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6514.0349999999999</v>
      </c>
      <c r="W1048" t="s">
        <v>48</v>
      </c>
      <c r="X1048">
        <f>IF(OR(vp.data[[#This Row],[Sulf]]="",vp.data[[#This Row],[Dens]]=""),1,0)</f>
        <v>0</v>
      </c>
      <c r="Y1048">
        <f>IF(vp.data[[#This Row],[CrudeType]]="C5+",1,0)</f>
        <v>0</v>
      </c>
      <c r="Z1048">
        <f>IF(AND(vp.data[[#This Row],[CrudeType]]="Crude",vp.data[[#This Row],[Dens]]&lt;=825,vp.data[[#This Row],[Sulf]]&gt;0.5,vp.data[[#This Row],[Unknown]]=0),1,0)</f>
        <v>1</v>
      </c>
      <c r="AA1048">
        <f>IF(AND(vp.data[[#This Row],[CrudeType]]="Crude",vp.data[[#This Row],[Dens]]&lt;=825,vp.data[[#This Row],[Sulf]]&lt;=0.5,vp.data[[#This Row],[Unknown]]=0),1,0)</f>
        <v>0</v>
      </c>
      <c r="AB10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48">
        <f>IF(AND(vp.data[[#This Row],[CrudeType]]="Crude",vp.data[[#This Row],[Dens]]&gt;825,vp.data[[#This Row],[Dens]]&lt;=900,vp.data[[#This Row],[Sulf]]&lt;=0.5,vp.data[[#This Row],[Unknown]]=0),1,0)</f>
        <v>0</v>
      </c>
      <c r="AD1048">
        <f>IF(AND(vp.data[[#This Row],[CrudeType]]="Crude",vp.data[[#This Row],[Dens]]&gt;865,vp.data[[#This Row],[Dens]]&lt;=900,vp.data[[#This Row],[Sulf]]&gt;2,vp.data[[#This Row],[Unknown]]=0),1,0)</f>
        <v>0</v>
      </c>
      <c r="AE1048">
        <f>IF(AND(vp.data[[#This Row],[CrudeType]]="Crude",vp.data[[#This Row],[Dens]]&gt;900,vp.data[[#This Row],[Sulf]]&lt;=0.5,vp.data[[#This Row],[Unknown]]=0),1,0)</f>
        <v>0</v>
      </c>
      <c r="AF1048">
        <f>IF(AND(vp.data[[#This Row],[CrudeType]]="Crude",vp.data[[#This Row],[Dens]]&gt;900,vp.data[[#This Row],[Sulf]]&lt;=0.5,vp.data[[#This Row],[Unknown]]=0),1,0)</f>
        <v>0</v>
      </c>
      <c r="AG1048" t="str">
        <f>INDEX(vp.data[[#Headers],[Unknown]:[Heavy_SW]],MATCH(1,vp.data[[#This Row],[Unknown]:[Heavy_SW]],0))</f>
        <v>Light_LSB</v>
      </c>
      <c r="AH1048">
        <f>INDEX([3]!crudeBD.lkup[Number],MATCH(vp.data[[#This Row],[Crude_Breakdown]],crudeBD.lkup[Crude Breakdown],0))</f>
        <v>1</v>
      </c>
      <c r="AI1048">
        <f>MONTH(vp.data[[#This Row],[SDate]])</f>
        <v>3</v>
      </c>
      <c r="AJ1048" s="5">
        <f>(vp.data[[#This Row],[VP]]-INDEX(crudeBD.lkup[Mean_VP],MATCH(vp.data[[#This Row],[Crude_Breakdown]],crudeBD.lkup[Crude Breakdown],0)))^2</f>
        <v>3.8173908385587052</v>
      </c>
      <c r="AK1048" s="5">
        <f>(vp.data[[#This Row],[Dens]]-INDEX(crudeBD.lkup[Mean_Dens],MATCH(vp.data[[#This Row],[Crude_Breakdown]],crudeBD.lkup[Crude Breakdown],0)))^2</f>
        <v>9.1008997815311528</v>
      </c>
      <c r="AL1048" s="5">
        <f>(vp.data[[#This Row],[Sulf]]-INDEX(crudeBD.lkup[Mean_Sulf],MATCH(vp.data[[#This Row],[Crude_Breakdown]],crudeBD.lkup[Crude Breakdown],0)))^2</f>
        <v>8.3504336157722361E-2</v>
      </c>
      <c r="AM1048" s="4">
        <f>IF(AND(vp.data[[#This Row],[SDate]]&gt;=DATE(YEAR(vp.data[[#This Row],[SDate]]),5,1),vp.data[[#This Row],[SDate]]&lt;=DATE(YEAR(vp.data[[#This Row],[SDate]]),9,15)),1,0)</f>
        <v>0</v>
      </c>
      <c r="AN1048" s="4">
        <f>IF(vp.data[[#This Row],[SDate]]&lt;DATE(2016,12,1),0,1)</f>
        <v>1</v>
      </c>
      <c r="AO1048" s="4">
        <f>IFERROR(vp.data[[#This Row],[Sulf]]*vp.data[[#This Row],[Net Dens]],"")</f>
        <v>3367931.9739449997</v>
      </c>
      <c r="AP1048">
        <f>IFERROR(vp.data[[#This Row],[Dens]]*vp.data[[#This Row],[VolumeM3]],"")</f>
        <v>5312195.5424999995</v>
      </c>
      <c r="AQ1048" s="15">
        <f>IFERROR(vp.data[[#This Row],[VP]]*vp.data[[#This Row],[VolumeM3]],"")</f>
        <v>609062.27249999996</v>
      </c>
    </row>
    <row r="1049" spans="1:43" x14ac:dyDescent="0.25">
      <c r="A1049">
        <v>1048</v>
      </c>
      <c r="B1049" t="s">
        <v>49</v>
      </c>
      <c r="C1049" t="s">
        <v>49</v>
      </c>
      <c r="D1049" t="s">
        <v>90</v>
      </c>
      <c r="F1049" s="1">
        <v>42814</v>
      </c>
      <c r="G1049" s="2">
        <v>73</v>
      </c>
      <c r="H1049" s="2">
        <v>1.323</v>
      </c>
      <c r="I1049" s="2">
        <f t="array" ref="I1049">_xlfn.IFNA(IF(vp.data[[#This Row],[Sulf Input]]="",INDEX([1]DATA!$Q$3:$Q$9826,MATCH(1,(vp.data[[#This Row],[Battery]]=[1]DATA!$L$3:$L$9826)*(EOMONTH(vp.data[[#This Row],[SDate]],-1)+1=[1]DATA!$G$3:$G$9826),0)),vp.data[[#This Row],[Sulf Input]]),"")</f>
        <v>1.323</v>
      </c>
      <c r="J1049" s="2">
        <v>32.200000000000003</v>
      </c>
      <c r="K1049" s="2">
        <v>-1</v>
      </c>
      <c r="L1049" s="2">
        <v>846.2</v>
      </c>
      <c r="M1049" s="2">
        <f t="array" ref="M1049">_xlfn.IFNA(IF(vp.data[[#This Row],[Dens Input]]="",INDEX([1]DATA!$O$3:$O$9826,MATCH(1,(vp.data[[#This Row],[Battery]]=[1]DATA!$L$3:$L$9826)*(EOMONTH(vp.data[[#This Row],[SDate]],-1)+1=[1]DATA!$G$3:$G$9826),0)),vp.data[[#This Row],[Dens Input]]),"")</f>
        <v>846.2</v>
      </c>
      <c r="N1049" s="2">
        <f ca="1">INDEX(INDIRECT(_xlfn.CONCAT("weather.tbl[",N$1,"]")),MATCH(vp.data[[#This Row],[SDate]],weather.tbl[Date],0))</f>
        <v>-2.6166666666666667</v>
      </c>
      <c r="O1049" s="2">
        <f ca="1">INDEX(INDIRECT(_xlfn.CONCAT("weather.tbl[",O$1,"]")),MATCH(vp.data[[#This Row],[SDate]],weather.tbl[Date],0))</f>
        <v>-1.9547619047619051</v>
      </c>
      <c r="P1049" s="2">
        <f ca="1">INDEX(INDIRECT(_xlfn.CONCAT("weather.tbl[",P$1,"]")),MATCH(vp.data[[#This Row],[SDate]],weather.tbl[Date],0))</f>
        <v>-3.3</v>
      </c>
      <c r="Q1049" s="2">
        <f ca="1">INDEX(INDIRECT(_xlfn.CONCAT("weather.tbl[",Q$1,"]")),MATCH(vp.data[[#This Row],[SDate]],weather.tbl[Date],0))</f>
        <v>-2.4</v>
      </c>
      <c r="R1049" s="2">
        <f ca="1">INDEX(INDIRECT(_xlfn.CONCAT("weather.tbl[",R$1,"]")),MATCH(vp.data[[#This Row],[SDate]],weather.tbl[Date],0))</f>
        <v>-2</v>
      </c>
      <c r="S1049" s="2">
        <f ca="1">INDEX(INDIRECT(_xlfn.CONCAT("weather.tbl[",S$1,"]")),MATCH(vp.data[[#This Row],[SDate]],weather.tbl[Date],0))</f>
        <v>-2.1</v>
      </c>
      <c r="T1049" s="2">
        <f ca="1">INDEX(INDIRECT(_xlfn.CONCAT("weather.tbl[",T$1,"]")),MATCH(vp.data[[#This Row],[SDate]],weather.tbl[Date],0))</f>
        <v>-3.9</v>
      </c>
      <c r="U1049" s="2">
        <f ca="1">INDEX(INDIRECT(_xlfn.CONCAT("weather.tbl[",U$1,"]")),MATCH(vp.data[[#This Row],[SDate]],weather.tbl[Date],0))</f>
        <v>-2</v>
      </c>
      <c r="V1049" s="2">
        <f t="array" ref="V10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4661.3360000000002</v>
      </c>
      <c r="W1049" t="s">
        <v>48</v>
      </c>
      <c r="X1049">
        <f>IF(OR(vp.data[[#This Row],[Sulf]]="",vp.data[[#This Row],[Dens]]=""),1,0)</f>
        <v>0</v>
      </c>
      <c r="Y1049">
        <f>IF(vp.data[[#This Row],[CrudeType]]="C5+",1,0)</f>
        <v>0</v>
      </c>
      <c r="Z1049">
        <f>IF(AND(vp.data[[#This Row],[CrudeType]]="Crude",vp.data[[#This Row],[Dens]]&lt;=825,vp.data[[#This Row],[Sulf]]&gt;0.5,vp.data[[#This Row],[Unknown]]=0),1,0)</f>
        <v>0</v>
      </c>
      <c r="AA1049">
        <f>IF(AND(vp.data[[#This Row],[CrudeType]]="Crude",vp.data[[#This Row],[Dens]]&lt;=825,vp.data[[#This Row],[Sulf]]&lt;=0.5,vp.data[[#This Row],[Unknown]]=0),1,0)</f>
        <v>0</v>
      </c>
      <c r="AB10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49">
        <f>IF(AND(vp.data[[#This Row],[CrudeType]]="Crude",vp.data[[#This Row],[Dens]]&gt;825,vp.data[[#This Row],[Dens]]&lt;=900,vp.data[[#This Row],[Sulf]]&lt;=0.5,vp.data[[#This Row],[Unknown]]=0),1,0)</f>
        <v>0</v>
      </c>
      <c r="AD1049">
        <f>IF(AND(vp.data[[#This Row],[CrudeType]]="Crude",vp.data[[#This Row],[Dens]]&gt;865,vp.data[[#This Row],[Dens]]&lt;=900,vp.data[[#This Row],[Sulf]]&gt;2,vp.data[[#This Row],[Unknown]]=0),1,0)</f>
        <v>0</v>
      </c>
      <c r="AE1049">
        <f>IF(AND(vp.data[[#This Row],[CrudeType]]="Crude",vp.data[[#This Row],[Dens]]&gt;900,vp.data[[#This Row],[Sulf]]&lt;=0.5,vp.data[[#This Row],[Unknown]]=0),1,0)</f>
        <v>0</v>
      </c>
      <c r="AF1049">
        <f>IF(AND(vp.data[[#This Row],[CrudeType]]="Crude",vp.data[[#This Row],[Dens]]&gt;900,vp.data[[#This Row],[Sulf]]&lt;=0.5,vp.data[[#This Row],[Unknown]]=0),1,0)</f>
        <v>0</v>
      </c>
      <c r="AG1049" t="str">
        <f>INDEX(vp.data[[#Headers],[Unknown]:[Heavy_SW]],MATCH(1,vp.data[[#This Row],[Unknown]:[Heavy_SW]],0))</f>
        <v>Medium_LSB</v>
      </c>
      <c r="AH1049">
        <f>INDEX([3]!crudeBD.lkup[Number],MATCH(vp.data[[#This Row],[Crude_Breakdown]],crudeBD.lkup[Crude Breakdown],0))</f>
        <v>3</v>
      </c>
      <c r="AI1049">
        <f>MONTH(vp.data[[#This Row],[SDate]])</f>
        <v>3</v>
      </c>
      <c r="AJ1049" s="5">
        <f>(vp.data[[#This Row],[VP]]-INDEX(crudeBD.lkup[Mean_VP],MATCH(vp.data[[#This Row],[Crude_Breakdown]],crudeBD.lkup[Crude Breakdown],0)))^2</f>
        <v>58.364657786559597</v>
      </c>
      <c r="AK1049" s="5">
        <f>(vp.data[[#This Row],[Dens]]-INDEX(crudeBD.lkup[Mean_Dens],MATCH(vp.data[[#This Row],[Crude_Breakdown]],crudeBD.lkup[Crude Breakdown],0)))^2</f>
        <v>5.1984000000024677</v>
      </c>
      <c r="AL1049" s="5">
        <f>(vp.data[[#This Row],[Sulf]]-INDEX(crudeBD.lkup[Mean_Sulf],MATCH(vp.data[[#This Row],[Crude_Breakdown]],crudeBD.lkup[Crude Breakdown],0)))^2</f>
        <v>3.8947742762857865E-3</v>
      </c>
      <c r="AM1049" s="4">
        <f>IF(AND(vp.data[[#This Row],[SDate]]&gt;=DATE(YEAR(vp.data[[#This Row],[SDate]]),5,1),vp.data[[#This Row],[SDate]]&lt;=DATE(YEAR(vp.data[[#This Row],[SDate]]),9,15)),1,0)</f>
        <v>0</v>
      </c>
      <c r="AN1049" s="4">
        <f>IF(vp.data[[#This Row],[SDate]]&lt;DATE(2016,12,1),0,1)</f>
        <v>1</v>
      </c>
      <c r="AO1049" s="4">
        <f>IFERROR(vp.data[[#This Row],[Sulf]]*vp.data[[#This Row],[Net Dens]],"")</f>
        <v>5218470.9981936002</v>
      </c>
      <c r="AP1049">
        <f>IFERROR(vp.data[[#This Row],[Dens]]*vp.data[[#This Row],[VolumeM3]],"")</f>
        <v>3944422.5232000006</v>
      </c>
      <c r="AQ1049" s="15">
        <f>IFERROR(vp.data[[#This Row],[VP]]*vp.data[[#This Row],[VolumeM3]],"")</f>
        <v>340277.52799999999</v>
      </c>
    </row>
    <row r="1050" spans="1:43" x14ac:dyDescent="0.25">
      <c r="A1050">
        <v>1049</v>
      </c>
      <c r="B1050" t="s">
        <v>62</v>
      </c>
      <c r="C1050" t="s">
        <v>62</v>
      </c>
      <c r="D1050" t="s">
        <v>79</v>
      </c>
      <c r="F1050" s="1">
        <v>42814</v>
      </c>
      <c r="G1050" s="2">
        <v>85.2</v>
      </c>
      <c r="H1050" s="2"/>
      <c r="I1050" s="2">
        <f t="array" ref="I1050">_xlfn.IFNA(IF(vp.data[[#This Row],[Sulf Input]]="",INDEX([1]DATA!$Q$3:$Q$9826,MATCH(1,(vp.data[[#This Row],[Battery]]=[1]DATA!$L$3:$L$9826)*(EOMONTH(vp.data[[#This Row],[SDate]],-1)+1=[1]DATA!$G$3:$G$9826),0)),vp.data[[#This Row],[Sulf Input]]),"")</f>
        <v>0.3</v>
      </c>
      <c r="J1050" s="2">
        <v>23</v>
      </c>
      <c r="K1050" s="2">
        <v>-1</v>
      </c>
      <c r="L1050" s="2">
        <v>807.8</v>
      </c>
      <c r="M1050" s="2">
        <f t="array" ref="M1050">_xlfn.IFNA(IF(vp.data[[#This Row],[Dens Input]]="",INDEX([1]DATA!$O$3:$O$9826,MATCH(1,(vp.data[[#This Row],[Battery]]=[1]DATA!$L$3:$L$9826)*(EOMONTH(vp.data[[#This Row],[SDate]],-1)+1=[1]DATA!$G$3:$G$9826),0)),vp.data[[#This Row],[Dens Input]]),"")</f>
        <v>807.8</v>
      </c>
      <c r="N1050" s="2">
        <f ca="1">INDEX(INDIRECT(_xlfn.CONCAT("weather.tbl[",N$1,"]")),MATCH(vp.data[[#This Row],[SDate]],weather.tbl[Date],0))</f>
        <v>-2.6166666666666667</v>
      </c>
      <c r="O1050" s="2">
        <f ca="1">INDEX(INDIRECT(_xlfn.CONCAT("weather.tbl[",O$1,"]")),MATCH(vp.data[[#This Row],[SDate]],weather.tbl[Date],0))</f>
        <v>-1.9547619047619051</v>
      </c>
      <c r="P1050" s="2">
        <f ca="1">INDEX(INDIRECT(_xlfn.CONCAT("weather.tbl[",P$1,"]")),MATCH(vp.data[[#This Row],[SDate]],weather.tbl[Date],0))</f>
        <v>-3.3</v>
      </c>
      <c r="Q1050" s="2">
        <f ca="1">INDEX(INDIRECT(_xlfn.CONCAT("weather.tbl[",Q$1,"]")),MATCH(vp.data[[#This Row],[SDate]],weather.tbl[Date],0))</f>
        <v>-2.4</v>
      </c>
      <c r="R1050" s="2">
        <f ca="1">INDEX(INDIRECT(_xlfn.CONCAT("weather.tbl[",R$1,"]")),MATCH(vp.data[[#This Row],[SDate]],weather.tbl[Date],0))</f>
        <v>-2</v>
      </c>
      <c r="S1050" s="2">
        <f ca="1">INDEX(INDIRECT(_xlfn.CONCAT("weather.tbl[",S$1,"]")),MATCH(vp.data[[#This Row],[SDate]],weather.tbl[Date],0))</f>
        <v>-2.1</v>
      </c>
      <c r="T1050" s="2">
        <f ca="1">INDEX(INDIRECT(_xlfn.CONCAT("weather.tbl[",T$1,"]")),MATCH(vp.data[[#This Row],[SDate]],weather.tbl[Date],0))</f>
        <v>-3.9</v>
      </c>
      <c r="U1050" s="2">
        <f ca="1">INDEX(INDIRECT(_xlfn.CONCAT("weather.tbl[",U$1,"]")),MATCH(vp.data[[#This Row],[SDate]],weather.tbl[Date],0))</f>
        <v>-2</v>
      </c>
      <c r="V1050" s="2">
        <f t="array" ref="V10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15962.98</v>
      </c>
      <c r="W1050" t="s">
        <v>48</v>
      </c>
      <c r="X1050">
        <f>IF(OR(vp.data[[#This Row],[Sulf]]="",vp.data[[#This Row],[Dens]]=""),1,0)</f>
        <v>0</v>
      </c>
      <c r="Y1050">
        <f>IF(vp.data[[#This Row],[CrudeType]]="C5+",1,0)</f>
        <v>0</v>
      </c>
      <c r="Z1050">
        <f>IF(AND(vp.data[[#This Row],[CrudeType]]="Crude",vp.data[[#This Row],[Dens]]&lt;=825,vp.data[[#This Row],[Sulf]]&gt;0.5,vp.data[[#This Row],[Unknown]]=0),1,0)</f>
        <v>0</v>
      </c>
      <c r="AA1050">
        <f>IF(AND(vp.data[[#This Row],[CrudeType]]="Crude",vp.data[[#This Row],[Dens]]&lt;=825,vp.data[[#This Row],[Sulf]]&lt;=0.5,vp.data[[#This Row],[Unknown]]=0),1,0)</f>
        <v>1</v>
      </c>
      <c r="AB10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50">
        <f>IF(AND(vp.data[[#This Row],[CrudeType]]="Crude",vp.data[[#This Row],[Dens]]&gt;825,vp.data[[#This Row],[Dens]]&lt;=900,vp.data[[#This Row],[Sulf]]&lt;=0.5,vp.data[[#This Row],[Unknown]]=0),1,0)</f>
        <v>0</v>
      </c>
      <c r="AD1050">
        <f>IF(AND(vp.data[[#This Row],[CrudeType]]="Crude",vp.data[[#This Row],[Dens]]&gt;865,vp.data[[#This Row],[Dens]]&lt;=900,vp.data[[#This Row],[Sulf]]&gt;2,vp.data[[#This Row],[Unknown]]=0),1,0)</f>
        <v>0</v>
      </c>
      <c r="AE1050">
        <f>IF(AND(vp.data[[#This Row],[CrudeType]]="Crude",vp.data[[#This Row],[Dens]]&gt;900,vp.data[[#This Row],[Sulf]]&lt;=0.5,vp.data[[#This Row],[Unknown]]=0),1,0)</f>
        <v>0</v>
      </c>
      <c r="AF1050">
        <f>IF(AND(vp.data[[#This Row],[CrudeType]]="Crude",vp.data[[#This Row],[Dens]]&gt;900,vp.data[[#This Row],[Sulf]]&lt;=0.5,vp.data[[#This Row],[Unknown]]=0),1,0)</f>
        <v>0</v>
      </c>
      <c r="AG1050" t="str">
        <f>INDEX(vp.data[[#Headers],[Unknown]:[Heavy_SW]],MATCH(1,vp.data[[#This Row],[Unknown]:[Heavy_SW]],0))</f>
        <v>Light_SW</v>
      </c>
      <c r="AH1050">
        <f>INDEX([3]!crudeBD.lkup[Number],MATCH(vp.data[[#This Row],[Crude_Breakdown]],crudeBD.lkup[Crude Breakdown],0))</f>
        <v>2</v>
      </c>
      <c r="AI1050">
        <f>MONTH(vp.data[[#This Row],[SDate]])</f>
        <v>3</v>
      </c>
      <c r="AJ1050" s="5">
        <f>(vp.data[[#This Row],[VP]]-INDEX(crudeBD.lkup[Mean_VP],MATCH(vp.data[[#This Row],[Crude_Breakdown]],crudeBD.lkup[Crude Breakdown],0)))^2</f>
        <v>54.027109854435054</v>
      </c>
      <c r="AK1050" s="5">
        <f>(vp.data[[#This Row],[Dens]]-INDEX(crudeBD.lkup[Mean_Dens],MATCH(vp.data[[#This Row],[Crude_Breakdown]],crudeBD.lkup[Crude Breakdown],0)))^2</f>
        <v>0.26163046777289312</v>
      </c>
      <c r="AL1050" s="5">
        <f>(vp.data[[#This Row],[Sulf]]-INDEX(crudeBD.lkup[Mean_Sulf],MATCH(vp.data[[#This Row],[Crude_Breakdown]],crudeBD.lkup[Crude Breakdown],0)))^2</f>
        <v>4.0651065565929113E-3</v>
      </c>
      <c r="AM1050" s="4">
        <f>IF(AND(vp.data[[#This Row],[SDate]]&gt;=DATE(YEAR(vp.data[[#This Row],[SDate]]),5,1),vp.data[[#This Row],[SDate]]&lt;=DATE(YEAR(vp.data[[#This Row],[SDate]]),9,15)),1,0)</f>
        <v>0</v>
      </c>
      <c r="AN1050" s="4">
        <f>IF(vp.data[[#This Row],[SDate]]&lt;DATE(2016,12,1),0,1)</f>
        <v>1</v>
      </c>
      <c r="AO1050" s="4">
        <f>IFERROR(vp.data[[#This Row],[Sulf]]*vp.data[[#This Row],[Net Dens]],"")</f>
        <v>3868468.5731999995</v>
      </c>
      <c r="AP1050">
        <f>IFERROR(vp.data[[#This Row],[Dens]]*vp.data[[#This Row],[VolumeM3]],"")</f>
        <v>12894895.243999999</v>
      </c>
      <c r="AQ1050" s="15">
        <f>IFERROR(vp.data[[#This Row],[VP]]*vp.data[[#This Row],[VolumeM3]],"")</f>
        <v>1360045.8959999999</v>
      </c>
    </row>
    <row r="1051" spans="1:43" x14ac:dyDescent="0.25">
      <c r="A1051">
        <v>1050</v>
      </c>
      <c r="B1051" t="s">
        <v>62</v>
      </c>
      <c r="C1051" t="s">
        <v>62</v>
      </c>
      <c r="D1051" t="s">
        <v>87</v>
      </c>
      <c r="F1051" s="1">
        <v>42814</v>
      </c>
      <c r="G1051" s="2">
        <v>78.099999999999994</v>
      </c>
      <c r="H1051" s="2"/>
      <c r="I1051" s="2">
        <f t="array" ref="I1051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051" s="2">
        <v>25.9</v>
      </c>
      <c r="K1051" s="2">
        <v>-1</v>
      </c>
      <c r="L1051" s="2">
        <v>811.2</v>
      </c>
      <c r="M1051" s="2">
        <f t="array" ref="M1051">_xlfn.IFNA(IF(vp.data[[#This Row],[Dens Input]]="",INDEX([1]DATA!$O$3:$O$9826,MATCH(1,(vp.data[[#This Row],[Battery]]=[1]DATA!$L$3:$L$9826)*(EOMONTH(vp.data[[#This Row],[SDate]],-1)+1=[1]DATA!$G$3:$G$9826),0)),vp.data[[#This Row],[Dens Input]]),"")</f>
        <v>811.2</v>
      </c>
      <c r="N1051" s="2">
        <f ca="1">INDEX(INDIRECT(_xlfn.CONCAT("weather.tbl[",N$1,"]")),MATCH(vp.data[[#This Row],[SDate]],weather.tbl[Date],0))</f>
        <v>-2.6166666666666667</v>
      </c>
      <c r="O1051" s="2">
        <f ca="1">INDEX(INDIRECT(_xlfn.CONCAT("weather.tbl[",O$1,"]")),MATCH(vp.data[[#This Row],[SDate]],weather.tbl[Date],0))</f>
        <v>-1.9547619047619051</v>
      </c>
      <c r="P1051" s="2">
        <f ca="1">INDEX(INDIRECT(_xlfn.CONCAT("weather.tbl[",P$1,"]")),MATCH(vp.data[[#This Row],[SDate]],weather.tbl[Date],0))</f>
        <v>-3.3</v>
      </c>
      <c r="Q1051" s="2">
        <f ca="1">INDEX(INDIRECT(_xlfn.CONCAT("weather.tbl[",Q$1,"]")),MATCH(vp.data[[#This Row],[SDate]],weather.tbl[Date],0))</f>
        <v>-2.4</v>
      </c>
      <c r="R1051" s="2">
        <f ca="1">INDEX(INDIRECT(_xlfn.CONCAT("weather.tbl[",R$1,"]")),MATCH(vp.data[[#This Row],[SDate]],weather.tbl[Date],0))</f>
        <v>-2</v>
      </c>
      <c r="S1051" s="2">
        <f ca="1">INDEX(INDIRECT(_xlfn.CONCAT("weather.tbl[",S$1,"]")),MATCH(vp.data[[#This Row],[SDate]],weather.tbl[Date],0))</f>
        <v>-2.1</v>
      </c>
      <c r="T1051" s="2">
        <f ca="1">INDEX(INDIRECT(_xlfn.CONCAT("weather.tbl[",T$1,"]")),MATCH(vp.data[[#This Row],[SDate]],weather.tbl[Date],0))</f>
        <v>-3.9</v>
      </c>
      <c r="U1051" s="2">
        <f ca="1">INDEX(INDIRECT(_xlfn.CONCAT("weather.tbl[",U$1,"]")),MATCH(vp.data[[#This Row],[SDate]],weather.tbl[Date],0))</f>
        <v>-2</v>
      </c>
      <c r="V1051" s="2">
        <f t="array" ref="V10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7297.97</v>
      </c>
      <c r="W1051" t="s">
        <v>48</v>
      </c>
      <c r="X1051">
        <f>IF(OR(vp.data[[#This Row],[Sulf]]="",vp.data[[#This Row],[Dens]]=""),1,0)</f>
        <v>0</v>
      </c>
      <c r="Y1051">
        <f>IF(vp.data[[#This Row],[CrudeType]]="C5+",1,0)</f>
        <v>0</v>
      </c>
      <c r="Z1051">
        <f>IF(AND(vp.data[[#This Row],[CrudeType]]="Crude",vp.data[[#This Row],[Dens]]&lt;=825,vp.data[[#This Row],[Sulf]]&gt;0.5,vp.data[[#This Row],[Unknown]]=0),1,0)</f>
        <v>0</v>
      </c>
      <c r="AA1051">
        <f>IF(AND(vp.data[[#This Row],[CrudeType]]="Crude",vp.data[[#This Row],[Dens]]&lt;=825,vp.data[[#This Row],[Sulf]]&lt;=0.5,vp.data[[#This Row],[Unknown]]=0),1,0)</f>
        <v>1</v>
      </c>
      <c r="AB10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51">
        <f>IF(AND(vp.data[[#This Row],[CrudeType]]="Crude",vp.data[[#This Row],[Dens]]&gt;825,vp.data[[#This Row],[Dens]]&lt;=900,vp.data[[#This Row],[Sulf]]&lt;=0.5,vp.data[[#This Row],[Unknown]]=0),1,0)</f>
        <v>0</v>
      </c>
      <c r="AD1051">
        <f>IF(AND(vp.data[[#This Row],[CrudeType]]="Crude",vp.data[[#This Row],[Dens]]&gt;865,vp.data[[#This Row],[Dens]]&lt;=900,vp.data[[#This Row],[Sulf]]&gt;2,vp.data[[#This Row],[Unknown]]=0),1,0)</f>
        <v>0</v>
      </c>
      <c r="AE1051">
        <f>IF(AND(vp.data[[#This Row],[CrudeType]]="Crude",vp.data[[#This Row],[Dens]]&gt;900,vp.data[[#This Row],[Sulf]]&lt;=0.5,vp.data[[#This Row],[Unknown]]=0),1,0)</f>
        <v>0</v>
      </c>
      <c r="AF1051">
        <f>IF(AND(vp.data[[#This Row],[CrudeType]]="Crude",vp.data[[#This Row],[Dens]]&gt;900,vp.data[[#This Row],[Sulf]]&lt;=0.5,vp.data[[#This Row],[Unknown]]=0),1,0)</f>
        <v>0</v>
      </c>
      <c r="AG1051" t="str">
        <f>INDEX(vp.data[[#Headers],[Unknown]:[Heavy_SW]],MATCH(1,vp.data[[#This Row],[Unknown]:[Heavy_SW]],0))</f>
        <v>Light_SW</v>
      </c>
      <c r="AH1051">
        <f>INDEX([3]!crudeBD.lkup[Number],MATCH(vp.data[[#This Row],[Crude_Breakdown]],crudeBD.lkup[Crude Breakdown],0))</f>
        <v>2</v>
      </c>
      <c r="AI1051">
        <f>MONTH(vp.data[[#This Row],[SDate]])</f>
        <v>3</v>
      </c>
      <c r="AJ1051" s="5">
        <f>(vp.data[[#This Row],[VP]]-INDEX(crudeBD.lkup[Mean_VP],MATCH(vp.data[[#This Row],[Crude_Breakdown]],crudeBD.lkup[Crude Breakdown],0)))^2</f>
        <v>208.81156281610731</v>
      </c>
      <c r="AK1051" s="5">
        <f>(vp.data[[#This Row],[Dens]]-INDEX(crudeBD.lkup[Mean_Dens],MATCH(vp.data[[#This Row],[Crude_Breakdown]],crudeBD.lkup[Crude Breakdown],0)))^2</f>
        <v>8.3434423144644896</v>
      </c>
      <c r="AL1051" s="5">
        <f>(vp.data[[#This Row],[Sulf]]-INDEX(crudeBD.lkup[Mean_Sulf],MATCH(vp.data[[#This Row],[Crude_Breakdown]],crudeBD.lkup[Crude Breakdown],0)))^2</f>
        <v>4.3879776367322437E-3</v>
      </c>
      <c r="AM1051" s="4">
        <f>IF(AND(vp.data[[#This Row],[SDate]]&gt;=DATE(YEAR(vp.data[[#This Row],[SDate]]),5,1),vp.data[[#This Row],[SDate]]&lt;=DATE(YEAR(vp.data[[#This Row],[SDate]]),9,15)),1,0)</f>
        <v>0</v>
      </c>
      <c r="AN1051" s="4">
        <f>IF(vp.data[[#This Row],[SDate]]&lt;DATE(2016,12,1),0,1)</f>
        <v>1</v>
      </c>
      <c r="AO1051" s="4">
        <f>IFERROR(vp.data[[#This Row],[Sulf]]*vp.data[[#This Row],[Net Dens]],"")</f>
        <v>1006419.2548800001</v>
      </c>
      <c r="AP1051">
        <f>IFERROR(vp.data[[#This Row],[Dens]]*vp.data[[#This Row],[VolumeM3]],"")</f>
        <v>5920113.2640000004</v>
      </c>
      <c r="AQ1051" s="15">
        <f>IFERROR(vp.data[[#This Row],[VP]]*vp.data[[#This Row],[VolumeM3]],"")</f>
        <v>569971.45699999994</v>
      </c>
    </row>
    <row r="1052" spans="1:43" x14ac:dyDescent="0.25">
      <c r="A1052">
        <v>1051</v>
      </c>
      <c r="B1052" t="s">
        <v>51</v>
      </c>
      <c r="C1052" t="s">
        <v>51</v>
      </c>
      <c r="D1052" t="s">
        <v>95</v>
      </c>
      <c r="F1052" s="1">
        <v>42814</v>
      </c>
      <c r="G1052" s="2">
        <v>85.4</v>
      </c>
      <c r="H1052" s="2"/>
      <c r="I1052" s="2">
        <f t="array" ref="I1052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052" s="2">
        <v>18</v>
      </c>
      <c r="K1052" s="2">
        <v>-1</v>
      </c>
      <c r="L1052" s="2">
        <v>841</v>
      </c>
      <c r="M1052" s="2">
        <f t="array" ref="M1052">_xlfn.IFNA(IF(vp.data[[#This Row],[Dens Input]]="",INDEX([1]DATA!$O$3:$O$9826,MATCH(1,(vp.data[[#This Row],[Battery]]=[1]DATA!$L$3:$L$9826)*(EOMONTH(vp.data[[#This Row],[SDate]],-1)+1=[1]DATA!$G$3:$G$9826),0)),vp.data[[#This Row],[Dens Input]]),"")</f>
        <v>841</v>
      </c>
      <c r="N1052" s="2">
        <f ca="1">INDEX(INDIRECT(_xlfn.CONCAT("weather.tbl[",N$1,"]")),MATCH(vp.data[[#This Row],[SDate]],weather.tbl[Date],0))</f>
        <v>-2.6166666666666667</v>
      </c>
      <c r="O1052" s="2">
        <f ca="1">INDEX(INDIRECT(_xlfn.CONCAT("weather.tbl[",O$1,"]")),MATCH(vp.data[[#This Row],[SDate]],weather.tbl[Date],0))</f>
        <v>-1.9547619047619051</v>
      </c>
      <c r="P1052" s="2">
        <f ca="1">INDEX(INDIRECT(_xlfn.CONCAT("weather.tbl[",P$1,"]")),MATCH(vp.data[[#This Row],[SDate]],weather.tbl[Date],0))</f>
        <v>-3.3</v>
      </c>
      <c r="Q1052" s="2">
        <f ca="1">INDEX(INDIRECT(_xlfn.CONCAT("weather.tbl[",Q$1,"]")),MATCH(vp.data[[#This Row],[SDate]],weather.tbl[Date],0))</f>
        <v>-2.4</v>
      </c>
      <c r="R1052" s="2">
        <f ca="1">INDEX(INDIRECT(_xlfn.CONCAT("weather.tbl[",R$1,"]")),MATCH(vp.data[[#This Row],[SDate]],weather.tbl[Date],0))</f>
        <v>-2</v>
      </c>
      <c r="S1052" s="2">
        <f ca="1">INDEX(INDIRECT(_xlfn.CONCAT("weather.tbl[",S$1,"]")),MATCH(vp.data[[#This Row],[SDate]],weather.tbl[Date],0))</f>
        <v>-2.1</v>
      </c>
      <c r="T1052" s="2">
        <f ca="1">INDEX(INDIRECT(_xlfn.CONCAT("weather.tbl[",T$1,"]")),MATCH(vp.data[[#This Row],[SDate]],weather.tbl[Date],0))</f>
        <v>-3.9</v>
      </c>
      <c r="U1052" s="2">
        <f ca="1">INDEX(INDIRECT(_xlfn.CONCAT("weather.tbl[",U$1,"]")),MATCH(vp.data[[#This Row],[SDate]],weather.tbl[Date],0))</f>
        <v>-2</v>
      </c>
      <c r="V1052" s="2">
        <f t="array" ref="V10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5390.0870000000004</v>
      </c>
      <c r="W1052" t="s">
        <v>48</v>
      </c>
      <c r="X1052">
        <f>IF(OR(vp.data[[#This Row],[Sulf]]="",vp.data[[#This Row],[Dens]]=""),1,0)</f>
        <v>0</v>
      </c>
      <c r="Y1052">
        <f>IF(vp.data[[#This Row],[CrudeType]]="C5+",1,0)</f>
        <v>0</v>
      </c>
      <c r="Z1052">
        <f>IF(AND(vp.data[[#This Row],[CrudeType]]="Crude",vp.data[[#This Row],[Dens]]&lt;=825,vp.data[[#This Row],[Sulf]]&gt;0.5,vp.data[[#This Row],[Unknown]]=0),1,0)</f>
        <v>0</v>
      </c>
      <c r="AA1052">
        <f>IF(AND(vp.data[[#This Row],[CrudeType]]="Crude",vp.data[[#This Row],[Dens]]&lt;=825,vp.data[[#This Row],[Sulf]]&lt;=0.5,vp.data[[#This Row],[Unknown]]=0),1,0)</f>
        <v>0</v>
      </c>
      <c r="AB10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2">
        <f>IF(AND(vp.data[[#This Row],[CrudeType]]="Crude",vp.data[[#This Row],[Dens]]&gt;825,vp.data[[#This Row],[Dens]]&lt;=900,vp.data[[#This Row],[Sulf]]&lt;=0.5,vp.data[[#This Row],[Unknown]]=0),1,0)</f>
        <v>0</v>
      </c>
      <c r="AD1052">
        <f>IF(AND(vp.data[[#This Row],[CrudeType]]="Crude",vp.data[[#This Row],[Dens]]&gt;865,vp.data[[#This Row],[Dens]]&lt;=900,vp.data[[#This Row],[Sulf]]&gt;2,vp.data[[#This Row],[Unknown]]=0),1,0)</f>
        <v>0</v>
      </c>
      <c r="AE1052">
        <f>IF(AND(vp.data[[#This Row],[CrudeType]]="Crude",vp.data[[#This Row],[Dens]]&gt;900,vp.data[[#This Row],[Sulf]]&lt;=0.5,vp.data[[#This Row],[Unknown]]=0),1,0)</f>
        <v>0</v>
      </c>
      <c r="AF1052">
        <f>IF(AND(vp.data[[#This Row],[CrudeType]]="Crude",vp.data[[#This Row],[Dens]]&gt;900,vp.data[[#This Row],[Sulf]]&lt;=0.5,vp.data[[#This Row],[Unknown]]=0),1,0)</f>
        <v>0</v>
      </c>
      <c r="AG1052" t="str">
        <f>INDEX(vp.data[[#Headers],[Unknown]:[Heavy_SW]],MATCH(1,vp.data[[#This Row],[Unknown]:[Heavy_SW]],0))</f>
        <v>Medium_LSB</v>
      </c>
      <c r="AH1052">
        <f>INDEX([3]!crudeBD.lkup[Number],MATCH(vp.data[[#This Row],[Crude_Breakdown]],crudeBD.lkup[Crude Breakdown],0))</f>
        <v>3</v>
      </c>
      <c r="AI1052">
        <f>MONTH(vp.data[[#This Row],[SDate]])</f>
        <v>3</v>
      </c>
      <c r="AJ1052" s="5">
        <f>(vp.data[[#This Row],[VP]]-INDEX(crudeBD.lkup[Mean_VP],MATCH(vp.data[[#This Row],[Crude_Breakdown]],crudeBD.lkup[Crude Breakdown],0)))^2</f>
        <v>22.660679349903745</v>
      </c>
      <c r="AK1052" s="5">
        <f>(vp.data[[#This Row],[Dens]]-INDEX(crudeBD.lkup[Mean_Dens],MATCH(vp.data[[#This Row],[Crude_Breakdown]],crudeBD.lkup[Crude Breakdown],0)))^2</f>
        <v>8.5263999999971052</v>
      </c>
      <c r="AL1052" s="5">
        <f>(vp.data[[#This Row],[Sulf]]-INDEX(crudeBD.lkup[Mean_Sulf],MATCH(vp.data[[#This Row],[Crude_Breakdown]],crudeBD.lkup[Crude Breakdown],0)))^2</f>
        <v>3.4376173440706655E-2</v>
      </c>
      <c r="AM1052" s="4">
        <f>IF(AND(vp.data[[#This Row],[SDate]]&gt;=DATE(YEAR(vp.data[[#This Row],[SDate]]),5,1),vp.data[[#This Row],[SDate]]&lt;=DATE(YEAR(vp.data[[#This Row],[SDate]]),9,15)),1,0)</f>
        <v>0</v>
      </c>
      <c r="AN1052" s="4">
        <f>IF(vp.data[[#This Row],[SDate]]&lt;DATE(2016,12,1),0,1)</f>
        <v>1</v>
      </c>
      <c r="AO1052" s="4">
        <f>IFERROR(vp.data[[#This Row],[Sulf]]*vp.data[[#This Row],[Net Dens]],"")</f>
        <v>5439675.8004000001</v>
      </c>
      <c r="AP1052">
        <f>IFERROR(vp.data[[#This Row],[Dens]]*vp.data[[#This Row],[VolumeM3]],"")</f>
        <v>4533063.1670000004</v>
      </c>
      <c r="AQ1052" s="15">
        <f>IFERROR(vp.data[[#This Row],[VP]]*vp.data[[#This Row],[VolumeM3]],"")</f>
        <v>460313.42980000004</v>
      </c>
    </row>
    <row r="1053" spans="1:43" x14ac:dyDescent="0.25">
      <c r="A1053">
        <v>1052</v>
      </c>
      <c r="B1053" t="s">
        <v>62</v>
      </c>
      <c r="C1053" t="s">
        <v>62</v>
      </c>
      <c r="D1053" t="s">
        <v>63</v>
      </c>
      <c r="F1053" s="1">
        <v>42814</v>
      </c>
      <c r="G1053" s="2">
        <v>68.400000000000006</v>
      </c>
      <c r="H1053" s="2"/>
      <c r="I1053" s="2">
        <f t="array" ref="I1053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53" s="2">
        <v>21.7</v>
      </c>
      <c r="K1053" s="2">
        <v>-1</v>
      </c>
      <c r="L1053" s="2">
        <v>849.9</v>
      </c>
      <c r="M1053" s="2">
        <f t="array" ref="M1053">_xlfn.IFNA(IF(vp.data[[#This Row],[Dens Input]]="",INDEX([1]DATA!$O$3:$O$9826,MATCH(1,(vp.data[[#This Row],[Battery]]=[1]DATA!$L$3:$L$9826)*(EOMONTH(vp.data[[#This Row],[SDate]],-1)+1=[1]DATA!$G$3:$G$9826),0)),vp.data[[#This Row],[Dens Input]]),"")</f>
        <v>849.9</v>
      </c>
      <c r="N1053" s="2">
        <f ca="1">INDEX(INDIRECT(_xlfn.CONCAT("weather.tbl[",N$1,"]")),MATCH(vp.data[[#This Row],[SDate]],weather.tbl[Date],0))</f>
        <v>-2.6166666666666667</v>
      </c>
      <c r="O1053" s="2">
        <f ca="1">INDEX(INDIRECT(_xlfn.CONCAT("weather.tbl[",O$1,"]")),MATCH(vp.data[[#This Row],[SDate]],weather.tbl[Date],0))</f>
        <v>-1.9547619047619051</v>
      </c>
      <c r="P1053" s="2">
        <f ca="1">INDEX(INDIRECT(_xlfn.CONCAT("weather.tbl[",P$1,"]")),MATCH(vp.data[[#This Row],[SDate]],weather.tbl[Date],0))</f>
        <v>-3.3</v>
      </c>
      <c r="Q1053" s="2">
        <f ca="1">INDEX(INDIRECT(_xlfn.CONCAT("weather.tbl[",Q$1,"]")),MATCH(vp.data[[#This Row],[SDate]],weather.tbl[Date],0))</f>
        <v>-2.4</v>
      </c>
      <c r="R1053" s="2">
        <f ca="1">INDEX(INDIRECT(_xlfn.CONCAT("weather.tbl[",R$1,"]")),MATCH(vp.data[[#This Row],[SDate]],weather.tbl[Date],0))</f>
        <v>-2</v>
      </c>
      <c r="S1053" s="2">
        <f ca="1">INDEX(INDIRECT(_xlfn.CONCAT("weather.tbl[",S$1,"]")),MATCH(vp.data[[#This Row],[SDate]],weather.tbl[Date],0))</f>
        <v>-2.1</v>
      </c>
      <c r="T1053" s="2">
        <f ca="1">INDEX(INDIRECT(_xlfn.CONCAT("weather.tbl[",T$1,"]")),MATCH(vp.data[[#This Row],[SDate]],weather.tbl[Date],0))</f>
        <v>-3.9</v>
      </c>
      <c r="U1053" s="2">
        <f ca="1">INDEX(INDIRECT(_xlfn.CONCAT("weather.tbl[",U$1,"]")),MATCH(vp.data[[#This Row],[SDate]],weather.tbl[Date],0))</f>
        <v>-2</v>
      </c>
      <c r="V1053" s="2">
        <f t="array" ref="V10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53" t="s">
        <v>48</v>
      </c>
      <c r="X1053">
        <f>IF(OR(vp.data[[#This Row],[Sulf]]="",vp.data[[#This Row],[Dens]]=""),1,0)</f>
        <v>0</v>
      </c>
      <c r="Y1053">
        <f>IF(vp.data[[#This Row],[CrudeType]]="C5+",1,0)</f>
        <v>0</v>
      </c>
      <c r="Z1053">
        <f>IF(AND(vp.data[[#This Row],[CrudeType]]="Crude",vp.data[[#This Row],[Dens]]&lt;=825,vp.data[[#This Row],[Sulf]]&gt;0.5,vp.data[[#This Row],[Unknown]]=0),1,0)</f>
        <v>0</v>
      </c>
      <c r="AA1053">
        <f>IF(AND(vp.data[[#This Row],[CrudeType]]="Crude",vp.data[[#This Row],[Dens]]&lt;=825,vp.data[[#This Row],[Sulf]]&lt;=0.5,vp.data[[#This Row],[Unknown]]=0),1,0)</f>
        <v>0</v>
      </c>
      <c r="AB10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3">
        <f>IF(AND(vp.data[[#This Row],[CrudeType]]="Crude",vp.data[[#This Row],[Dens]]&gt;825,vp.data[[#This Row],[Dens]]&lt;=900,vp.data[[#This Row],[Sulf]]&lt;=0.5,vp.data[[#This Row],[Unknown]]=0),1,0)</f>
        <v>0</v>
      </c>
      <c r="AD1053">
        <f>IF(AND(vp.data[[#This Row],[CrudeType]]="Crude",vp.data[[#This Row],[Dens]]&gt;865,vp.data[[#This Row],[Dens]]&lt;=900,vp.data[[#This Row],[Sulf]]&gt;2,vp.data[[#This Row],[Unknown]]=0),1,0)</f>
        <v>0</v>
      </c>
      <c r="AE1053">
        <f>IF(AND(vp.data[[#This Row],[CrudeType]]="Crude",vp.data[[#This Row],[Dens]]&gt;900,vp.data[[#This Row],[Sulf]]&lt;=0.5,vp.data[[#This Row],[Unknown]]=0),1,0)</f>
        <v>0</v>
      </c>
      <c r="AF1053">
        <f>IF(AND(vp.data[[#This Row],[CrudeType]]="Crude",vp.data[[#This Row],[Dens]]&gt;900,vp.data[[#This Row],[Sulf]]&lt;=0.5,vp.data[[#This Row],[Unknown]]=0),1,0)</f>
        <v>0</v>
      </c>
      <c r="AG1053" t="str">
        <f>INDEX(vp.data[[#Headers],[Unknown]:[Heavy_SW]],MATCH(1,vp.data[[#This Row],[Unknown]:[Heavy_SW]],0))</f>
        <v>Medium_LSB</v>
      </c>
      <c r="AH1053">
        <f>INDEX([3]!crudeBD.lkup[Number],MATCH(vp.data[[#This Row],[Crude_Breakdown]],crudeBD.lkup[Crude Breakdown],0))</f>
        <v>3</v>
      </c>
      <c r="AI1053">
        <f>MONTH(vp.data[[#This Row],[SDate]])</f>
        <v>3</v>
      </c>
      <c r="AJ1053" s="5">
        <f>(vp.data[[#This Row],[VP]]-INDEX(crudeBD.lkup[Mean_VP],MATCH(vp.data[[#This Row],[Crude_Breakdown]],crudeBD.lkup[Crude Breakdown],0)))^2</f>
        <v>149.80968204531891</v>
      </c>
      <c r="AK1053" s="5">
        <f>(vp.data[[#This Row],[Dens]]-INDEX(crudeBD.lkup[Mean_Dens],MATCH(vp.data[[#This Row],[Crude_Breakdown]],crudeBD.lkup[Crude Breakdown],0)))^2</f>
        <v>35.760400000005653</v>
      </c>
      <c r="AL1053" s="5">
        <f>(vp.data[[#This Row],[Sulf]]-INDEX(crudeBD.lkup[Mean_Sulf],MATCH(vp.data[[#This Row],[Crude_Breakdown]],crudeBD.lkup[Crude Breakdown],0)))^2</f>
        <v>0.12573539662129798</v>
      </c>
      <c r="AM1053" s="4">
        <f>IF(AND(vp.data[[#This Row],[SDate]]&gt;=DATE(YEAR(vp.data[[#This Row],[SDate]]),5,1),vp.data[[#This Row],[SDate]]&lt;=DATE(YEAR(vp.data[[#This Row],[SDate]]),9,15)),1,0)</f>
        <v>0</v>
      </c>
      <c r="AN1053" s="4">
        <f>IF(vp.data[[#This Row],[SDate]]&lt;DATE(2016,12,1),0,1)</f>
        <v>1</v>
      </c>
      <c r="AO1053" s="4">
        <f>IFERROR(vp.data[[#This Row],[Sulf]]*vp.data[[#This Row],[Net Dens]],"")</f>
        <v>10291522.798152</v>
      </c>
      <c r="AP1053">
        <f>IFERROR(vp.data[[#This Row],[Dens]]*vp.data[[#This Row],[VolumeM3]],"")</f>
        <v>5914668.2747999998</v>
      </c>
      <c r="AQ1053" s="15">
        <f>IFERROR(vp.data[[#This Row],[VP]]*vp.data[[#This Row],[VolumeM3]],"")</f>
        <v>476012.83680000005</v>
      </c>
    </row>
    <row r="1054" spans="1:43" x14ac:dyDescent="0.25">
      <c r="A1054">
        <v>1053</v>
      </c>
      <c r="B1054" t="s">
        <v>60</v>
      </c>
      <c r="C1054" t="s">
        <v>60</v>
      </c>
      <c r="D1054" t="s">
        <v>61</v>
      </c>
      <c r="E1054" t="s">
        <v>73</v>
      </c>
      <c r="F1054" s="1">
        <v>42814</v>
      </c>
      <c r="G1054" s="2">
        <v>76.8</v>
      </c>
      <c r="H1054" s="2">
        <v>1.1220000000000001</v>
      </c>
      <c r="I1054" s="2">
        <f t="array" ref="I1054">_xlfn.IFNA(IF(vp.data[[#This Row],[Sulf Input]]="",INDEX([1]DATA!$Q$3:$Q$9826,MATCH(1,(vp.data[[#This Row],[Battery]]=[1]DATA!$L$3:$L$9826)*(EOMONTH(vp.data[[#This Row],[SDate]],-1)+1=[1]DATA!$G$3:$G$9826),0)),vp.data[[#This Row],[Sulf Input]]),"")</f>
        <v>1.1220000000000001</v>
      </c>
      <c r="J1054" s="2">
        <v>3.5</v>
      </c>
      <c r="K1054" s="2">
        <v>-1</v>
      </c>
      <c r="L1054" s="2">
        <v>844.5</v>
      </c>
      <c r="M1054" s="2">
        <f t="array" ref="M1054">_xlfn.IFNA(IF(vp.data[[#This Row],[Dens Input]]="",INDEX([1]DATA!$O$3:$O$9826,MATCH(1,(vp.data[[#This Row],[Battery]]=[1]DATA!$L$3:$L$9826)*(EOMONTH(vp.data[[#This Row],[SDate]],-1)+1=[1]DATA!$G$3:$G$9826),0)),vp.data[[#This Row],[Dens Input]]),"")</f>
        <v>844.5</v>
      </c>
      <c r="N1054" s="2">
        <f ca="1">INDEX(INDIRECT(_xlfn.CONCAT("weather.tbl[",N$1,"]")),MATCH(vp.data[[#This Row],[SDate]],weather.tbl[Date],0))</f>
        <v>-2.6166666666666667</v>
      </c>
      <c r="O1054" s="2">
        <f ca="1">INDEX(INDIRECT(_xlfn.CONCAT("weather.tbl[",O$1,"]")),MATCH(vp.data[[#This Row],[SDate]],weather.tbl[Date],0))</f>
        <v>-1.9547619047619051</v>
      </c>
      <c r="P1054" s="2">
        <f ca="1">INDEX(INDIRECT(_xlfn.CONCAT("weather.tbl[",P$1,"]")),MATCH(vp.data[[#This Row],[SDate]],weather.tbl[Date],0))</f>
        <v>-3.3</v>
      </c>
      <c r="Q1054" s="2">
        <f ca="1">INDEX(INDIRECT(_xlfn.CONCAT("weather.tbl[",Q$1,"]")),MATCH(vp.data[[#This Row],[SDate]],weather.tbl[Date],0))</f>
        <v>-2.4</v>
      </c>
      <c r="R1054" s="2">
        <f ca="1">INDEX(INDIRECT(_xlfn.CONCAT("weather.tbl[",R$1,"]")),MATCH(vp.data[[#This Row],[SDate]],weather.tbl[Date],0))</f>
        <v>-2</v>
      </c>
      <c r="S1054" s="2">
        <f ca="1">INDEX(INDIRECT(_xlfn.CONCAT("weather.tbl[",S$1,"]")),MATCH(vp.data[[#This Row],[SDate]],weather.tbl[Date],0))</f>
        <v>-2.1</v>
      </c>
      <c r="T1054" s="2">
        <f ca="1">INDEX(INDIRECT(_xlfn.CONCAT("weather.tbl[",T$1,"]")),MATCH(vp.data[[#This Row],[SDate]],weather.tbl[Date],0))</f>
        <v>-3.9</v>
      </c>
      <c r="U1054" s="2">
        <f ca="1">INDEX(INDIRECT(_xlfn.CONCAT("weather.tbl[",U$1,"]")),MATCH(vp.data[[#This Row],[SDate]],weather.tbl[Date],0))</f>
        <v>-2</v>
      </c>
      <c r="V1054" s="2">
        <f t="array" ref="V10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54" t="s">
        <v>48</v>
      </c>
      <c r="X1054">
        <f>IF(OR(vp.data[[#This Row],[Sulf]]="",vp.data[[#This Row],[Dens]]=""),1,0)</f>
        <v>0</v>
      </c>
      <c r="Y1054">
        <f>IF(vp.data[[#This Row],[CrudeType]]="C5+",1,0)</f>
        <v>0</v>
      </c>
      <c r="Z1054">
        <f>IF(AND(vp.data[[#This Row],[CrudeType]]="Crude",vp.data[[#This Row],[Dens]]&lt;=825,vp.data[[#This Row],[Sulf]]&gt;0.5,vp.data[[#This Row],[Unknown]]=0),1,0)</f>
        <v>0</v>
      </c>
      <c r="AA1054">
        <f>IF(AND(vp.data[[#This Row],[CrudeType]]="Crude",vp.data[[#This Row],[Dens]]&lt;=825,vp.data[[#This Row],[Sulf]]&lt;=0.5,vp.data[[#This Row],[Unknown]]=0),1,0)</f>
        <v>0</v>
      </c>
      <c r="AB10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4">
        <f>IF(AND(vp.data[[#This Row],[CrudeType]]="Crude",vp.data[[#This Row],[Dens]]&gt;825,vp.data[[#This Row],[Dens]]&lt;=900,vp.data[[#This Row],[Sulf]]&lt;=0.5,vp.data[[#This Row],[Unknown]]=0),1,0)</f>
        <v>0</v>
      </c>
      <c r="AD1054">
        <f>IF(AND(vp.data[[#This Row],[CrudeType]]="Crude",vp.data[[#This Row],[Dens]]&gt;865,vp.data[[#This Row],[Dens]]&lt;=900,vp.data[[#This Row],[Sulf]]&gt;2,vp.data[[#This Row],[Unknown]]=0),1,0)</f>
        <v>0</v>
      </c>
      <c r="AE1054">
        <f>IF(AND(vp.data[[#This Row],[CrudeType]]="Crude",vp.data[[#This Row],[Dens]]&gt;900,vp.data[[#This Row],[Sulf]]&lt;=0.5,vp.data[[#This Row],[Unknown]]=0),1,0)</f>
        <v>0</v>
      </c>
      <c r="AF1054">
        <f>IF(AND(vp.data[[#This Row],[CrudeType]]="Crude",vp.data[[#This Row],[Dens]]&gt;900,vp.data[[#This Row],[Sulf]]&lt;=0.5,vp.data[[#This Row],[Unknown]]=0),1,0)</f>
        <v>0</v>
      </c>
      <c r="AG1054" t="str">
        <f>INDEX(vp.data[[#Headers],[Unknown]:[Heavy_SW]],MATCH(1,vp.data[[#This Row],[Unknown]:[Heavy_SW]],0))</f>
        <v>Medium_LSB</v>
      </c>
      <c r="AH1054">
        <f>INDEX([3]!crudeBD.lkup[Number],MATCH(vp.data[[#This Row],[Crude_Breakdown]],crudeBD.lkup[Crude Breakdown],0))</f>
        <v>3</v>
      </c>
      <c r="AI1054">
        <f>MONTH(vp.data[[#This Row],[SDate]])</f>
        <v>3</v>
      </c>
      <c r="AJ1054" s="5">
        <f>(vp.data[[#This Row],[VP]]-INDEX(crudeBD.lkup[Mean_VP],MATCH(vp.data[[#This Row],[Crude_Breakdown]],crudeBD.lkup[Crude Breakdown],0)))^2</f>
        <v>14.743116007584421</v>
      </c>
      <c r="AK1054" s="5">
        <f>(vp.data[[#This Row],[Dens]]-INDEX(crudeBD.lkup[Mean_Dens],MATCH(vp.data[[#This Row],[Crude_Breakdown]],crudeBD.lkup[Crude Breakdown],0)))^2</f>
        <v>0.33640000000057496</v>
      </c>
      <c r="AL1054" s="5">
        <f>(vp.data[[#This Row],[Sulf]]-INDEX(crudeBD.lkup[Mean_Sulf],MATCH(vp.data[[#This Row],[Crude_Breakdown]],crudeBD.lkup[Crude Breakdown],0)))^2</f>
        <v>6.9383841203510058E-2</v>
      </c>
      <c r="AM1054" s="4">
        <f>IF(AND(vp.data[[#This Row],[SDate]]&gt;=DATE(YEAR(vp.data[[#This Row],[SDate]]),5,1),vp.data[[#This Row],[SDate]]&lt;=DATE(YEAR(vp.data[[#This Row],[SDate]]),9,15)),1,0)</f>
        <v>0</v>
      </c>
      <c r="AN1054" s="4">
        <f>IF(vp.data[[#This Row],[SDate]]&lt;DATE(2016,12,1),0,1)</f>
        <v>1</v>
      </c>
      <c r="AO1054" s="4">
        <f>IFERROR(vp.data[[#This Row],[Sulf]]*vp.data[[#This Row],[Net Dens]],"")</f>
        <v>100508997.49317901</v>
      </c>
      <c r="AP1054">
        <f>IFERROR(vp.data[[#This Row],[Dens]]*vp.data[[#This Row],[VolumeM3]],"")</f>
        <v>89580211.669499993</v>
      </c>
      <c r="AQ1054" s="15">
        <f>IFERROR(vp.data[[#This Row],[VP]]*vp.data[[#This Row],[VolumeM3]],"")</f>
        <v>8146548.5567999994</v>
      </c>
    </row>
    <row r="1055" spans="1:43" x14ac:dyDescent="0.25">
      <c r="A1055">
        <v>1054</v>
      </c>
      <c r="B1055" t="s">
        <v>60</v>
      </c>
      <c r="C1055" t="s">
        <v>60</v>
      </c>
      <c r="D1055" t="s">
        <v>61</v>
      </c>
      <c r="E1055" t="s">
        <v>55</v>
      </c>
      <c r="F1055" s="1">
        <v>42814</v>
      </c>
      <c r="G1055" s="2">
        <v>93.9</v>
      </c>
      <c r="H1055" s="2">
        <v>0.997</v>
      </c>
      <c r="I1055" s="2">
        <f t="array" ref="I1055">_xlfn.IFNA(IF(vp.data[[#This Row],[Sulf Input]]="",INDEX([1]DATA!$Q$3:$Q$9826,MATCH(1,(vp.data[[#This Row],[Battery]]=[1]DATA!$L$3:$L$9826)*(EOMONTH(vp.data[[#This Row],[SDate]],-1)+1=[1]DATA!$G$3:$G$9826),0)),vp.data[[#This Row],[Sulf Input]]),"")</f>
        <v>0.997</v>
      </c>
      <c r="J1055" s="2">
        <v>6.4</v>
      </c>
      <c r="K1055" s="2">
        <v>-1</v>
      </c>
      <c r="L1055" s="2">
        <v>830.6</v>
      </c>
      <c r="M1055" s="2">
        <f t="array" ref="M1055">_xlfn.IFNA(IF(vp.data[[#This Row],[Dens Input]]="",INDEX([1]DATA!$O$3:$O$9826,MATCH(1,(vp.data[[#This Row],[Battery]]=[1]DATA!$L$3:$L$9826)*(EOMONTH(vp.data[[#This Row],[SDate]],-1)+1=[1]DATA!$G$3:$G$9826),0)),vp.data[[#This Row],[Dens Input]]),"")</f>
        <v>830.6</v>
      </c>
      <c r="N1055" s="2">
        <f ca="1">INDEX(INDIRECT(_xlfn.CONCAT("weather.tbl[",N$1,"]")),MATCH(vp.data[[#This Row],[SDate]],weather.tbl[Date],0))</f>
        <v>-2.6166666666666667</v>
      </c>
      <c r="O1055" s="2">
        <f ca="1">INDEX(INDIRECT(_xlfn.CONCAT("weather.tbl[",O$1,"]")),MATCH(vp.data[[#This Row],[SDate]],weather.tbl[Date],0))</f>
        <v>-1.9547619047619051</v>
      </c>
      <c r="P1055" s="2">
        <f ca="1">INDEX(INDIRECT(_xlfn.CONCAT("weather.tbl[",P$1,"]")),MATCH(vp.data[[#This Row],[SDate]],weather.tbl[Date],0))</f>
        <v>-3.3</v>
      </c>
      <c r="Q1055" s="2">
        <f ca="1">INDEX(INDIRECT(_xlfn.CONCAT("weather.tbl[",Q$1,"]")),MATCH(vp.data[[#This Row],[SDate]],weather.tbl[Date],0))</f>
        <v>-2.4</v>
      </c>
      <c r="R1055" s="2">
        <f ca="1">INDEX(INDIRECT(_xlfn.CONCAT("weather.tbl[",R$1,"]")),MATCH(vp.data[[#This Row],[SDate]],weather.tbl[Date],0))</f>
        <v>-2</v>
      </c>
      <c r="S1055" s="2">
        <f ca="1">INDEX(INDIRECT(_xlfn.CONCAT("weather.tbl[",S$1,"]")),MATCH(vp.data[[#This Row],[SDate]],weather.tbl[Date],0))</f>
        <v>-2.1</v>
      </c>
      <c r="T1055" s="2">
        <f ca="1">INDEX(INDIRECT(_xlfn.CONCAT("weather.tbl[",T$1,"]")),MATCH(vp.data[[#This Row],[SDate]],weather.tbl[Date],0))</f>
        <v>-3.9</v>
      </c>
      <c r="U1055" s="2">
        <f ca="1">INDEX(INDIRECT(_xlfn.CONCAT("weather.tbl[",U$1,"]")),MATCH(vp.data[[#This Row],[SDate]],weather.tbl[Date],0))</f>
        <v>-2</v>
      </c>
      <c r="V1055" s="2">
        <f t="array" ref="V10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055" t="s">
        <v>48</v>
      </c>
      <c r="X1055">
        <f>IF(OR(vp.data[[#This Row],[Sulf]]="",vp.data[[#This Row],[Dens]]=""),1,0)</f>
        <v>0</v>
      </c>
      <c r="Y1055">
        <f>IF(vp.data[[#This Row],[CrudeType]]="C5+",1,0)</f>
        <v>0</v>
      </c>
      <c r="Z1055">
        <f>IF(AND(vp.data[[#This Row],[CrudeType]]="Crude",vp.data[[#This Row],[Dens]]&lt;=825,vp.data[[#This Row],[Sulf]]&gt;0.5,vp.data[[#This Row],[Unknown]]=0),1,0)</f>
        <v>0</v>
      </c>
      <c r="AA1055">
        <f>IF(AND(vp.data[[#This Row],[CrudeType]]="Crude",vp.data[[#This Row],[Dens]]&lt;=825,vp.data[[#This Row],[Sulf]]&lt;=0.5,vp.data[[#This Row],[Unknown]]=0),1,0)</f>
        <v>0</v>
      </c>
      <c r="AB10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5">
        <f>IF(AND(vp.data[[#This Row],[CrudeType]]="Crude",vp.data[[#This Row],[Dens]]&gt;825,vp.data[[#This Row],[Dens]]&lt;=900,vp.data[[#This Row],[Sulf]]&lt;=0.5,vp.data[[#This Row],[Unknown]]=0),1,0)</f>
        <v>0</v>
      </c>
      <c r="AD1055">
        <f>IF(AND(vp.data[[#This Row],[CrudeType]]="Crude",vp.data[[#This Row],[Dens]]&gt;865,vp.data[[#This Row],[Dens]]&lt;=900,vp.data[[#This Row],[Sulf]]&gt;2,vp.data[[#This Row],[Unknown]]=0),1,0)</f>
        <v>0</v>
      </c>
      <c r="AE1055">
        <f>IF(AND(vp.data[[#This Row],[CrudeType]]="Crude",vp.data[[#This Row],[Dens]]&gt;900,vp.data[[#This Row],[Sulf]]&lt;=0.5,vp.data[[#This Row],[Unknown]]=0),1,0)</f>
        <v>0</v>
      </c>
      <c r="AF1055">
        <f>IF(AND(vp.data[[#This Row],[CrudeType]]="Crude",vp.data[[#This Row],[Dens]]&gt;900,vp.data[[#This Row],[Sulf]]&lt;=0.5,vp.data[[#This Row],[Unknown]]=0),1,0)</f>
        <v>0</v>
      </c>
      <c r="AG1055" t="str">
        <f>INDEX(vp.data[[#Headers],[Unknown]:[Heavy_SW]],MATCH(1,vp.data[[#This Row],[Unknown]:[Heavy_SW]],0))</f>
        <v>Medium_LSB</v>
      </c>
      <c r="AH1055">
        <f>INDEX([3]!crudeBD.lkup[Number],MATCH(vp.data[[#This Row],[Crude_Breakdown]],crudeBD.lkup[Crude Breakdown],0))</f>
        <v>3</v>
      </c>
      <c r="AI1055">
        <f>MONTH(vp.data[[#This Row],[SDate]])</f>
        <v>3</v>
      </c>
      <c r="AJ1055" s="5">
        <f>(vp.data[[#This Row],[VP]]-INDEX(crudeBD.lkup[Mean_VP],MATCH(vp.data[[#This Row],[Crude_Breakdown]],crudeBD.lkup[Crude Breakdown],0)))^2</f>
        <v>175.83617800219616</v>
      </c>
      <c r="AK1055" s="5">
        <f>(vp.data[[#This Row],[Dens]]-INDEX(crudeBD.lkup[Mean_Dens],MATCH(vp.data[[#This Row],[Crude_Breakdown]],crudeBD.lkup[Crude Breakdown],0)))^2</f>
        <v>177.4223999999862</v>
      </c>
      <c r="AL1055" s="5">
        <f>(vp.data[[#This Row],[Sulf]]-INDEX(crudeBD.lkup[Mean_Sulf],MATCH(vp.data[[#This Row],[Crude_Breakdown]],crudeBD.lkup[Crude Breakdown],0)))^2</f>
        <v>0.15086087287466954</v>
      </c>
      <c r="AM1055" s="4">
        <f>IF(AND(vp.data[[#This Row],[SDate]]&gt;=DATE(YEAR(vp.data[[#This Row],[SDate]]),5,1),vp.data[[#This Row],[SDate]]&lt;=DATE(YEAR(vp.data[[#This Row],[SDate]]),9,15)),1,0)</f>
        <v>0</v>
      </c>
      <c r="AN1055" s="4">
        <f>IF(vp.data[[#This Row],[SDate]]&lt;DATE(2016,12,1),0,1)</f>
        <v>1</v>
      </c>
      <c r="AO1055" s="4">
        <f>IFERROR(vp.data[[#This Row],[Sulf]]*vp.data[[#This Row],[Net Dens]],"")</f>
        <v>87841453.926878199</v>
      </c>
      <c r="AP1055">
        <f>IFERROR(vp.data[[#This Row],[Dens]]*vp.data[[#This Row],[VolumeM3]],"")</f>
        <v>88105771.240600005</v>
      </c>
      <c r="AQ1055" s="15">
        <f>IFERROR(vp.data[[#This Row],[VP]]*vp.data[[#This Row],[VolumeM3]],"")</f>
        <v>9960428.5088999998</v>
      </c>
    </row>
    <row r="1056" spans="1:43" x14ac:dyDescent="0.25">
      <c r="A1056">
        <v>1055</v>
      </c>
      <c r="B1056" t="s">
        <v>53</v>
      </c>
      <c r="C1056" t="s">
        <v>53</v>
      </c>
      <c r="D1056" t="s">
        <v>54</v>
      </c>
      <c r="E1056" t="s">
        <v>73</v>
      </c>
      <c r="F1056" s="1">
        <v>42815</v>
      </c>
      <c r="G1056" s="2">
        <v>81</v>
      </c>
      <c r="H1056" s="2"/>
      <c r="I1056" s="2">
        <f t="array" ref="I1056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056" s="2">
        <v>3</v>
      </c>
      <c r="K1056" s="2">
        <v>-11</v>
      </c>
      <c r="L1056" s="2">
        <v>828.8</v>
      </c>
      <c r="M1056" s="2">
        <f t="array" ref="M1056">_xlfn.IFNA(IF(vp.data[[#This Row],[Dens Input]]="",INDEX([1]DATA!$O$3:$O$9826,MATCH(1,(vp.data[[#This Row],[Battery]]=[1]DATA!$L$3:$L$9826)*(EOMONTH(vp.data[[#This Row],[SDate]],-1)+1=[1]DATA!$G$3:$G$9826),0)),vp.data[[#This Row],[Dens Input]]),"")</f>
        <v>828.8</v>
      </c>
      <c r="N1056" s="2">
        <f ca="1">INDEX(INDIRECT(_xlfn.CONCAT("weather.tbl[",N$1,"]")),MATCH(vp.data[[#This Row],[SDate]],weather.tbl[Date],0))</f>
        <v>-9.8166666666666682</v>
      </c>
      <c r="O1056" s="2">
        <f ca="1">INDEX(INDIRECT(_xlfn.CONCAT("weather.tbl[",O$1,"]")),MATCH(vp.data[[#This Row],[SDate]],weather.tbl[Date],0))</f>
        <v>-2.0214285714285718</v>
      </c>
      <c r="P1056" s="2">
        <f ca="1">INDEX(INDIRECT(_xlfn.CONCAT("weather.tbl[",P$1,"]")),MATCH(vp.data[[#This Row],[SDate]],weather.tbl[Date],0))</f>
        <v>-9.3000000000000007</v>
      </c>
      <c r="Q1056" s="2">
        <f ca="1">INDEX(INDIRECT(_xlfn.CONCAT("weather.tbl[",Q$1,"]")),MATCH(vp.data[[#This Row],[SDate]],weather.tbl[Date],0))</f>
        <v>-8.1999999999999993</v>
      </c>
      <c r="R1056" s="2">
        <f ca="1">INDEX(INDIRECT(_xlfn.CONCAT("weather.tbl[",R$1,"]")),MATCH(vp.data[[#This Row],[SDate]],weather.tbl[Date],0))</f>
        <v>-11.8</v>
      </c>
      <c r="S1056" s="2">
        <f ca="1">INDEX(INDIRECT(_xlfn.CONCAT("weather.tbl[",S$1,"]")),MATCH(vp.data[[#This Row],[SDate]],weather.tbl[Date],0))</f>
        <v>-6.8</v>
      </c>
      <c r="T1056" s="2">
        <f ca="1">INDEX(INDIRECT(_xlfn.CONCAT("weather.tbl[",T$1,"]")),MATCH(vp.data[[#This Row],[SDate]],weather.tbl[Date],0))</f>
        <v>-12.8</v>
      </c>
      <c r="U1056" s="2">
        <f ca="1">INDEX(INDIRECT(_xlfn.CONCAT("weather.tbl[",U$1,"]")),MATCH(vp.data[[#This Row],[SDate]],weather.tbl[Date],0))</f>
        <v>-10</v>
      </c>
      <c r="V1056" s="2">
        <f t="array" ref="V10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1056" t="s">
        <v>48</v>
      </c>
      <c r="X1056">
        <f>IF(OR(vp.data[[#This Row],[Sulf]]="",vp.data[[#This Row],[Dens]]=""),1,0)</f>
        <v>0</v>
      </c>
      <c r="Y1056">
        <f>IF(vp.data[[#This Row],[CrudeType]]="C5+",1,0)</f>
        <v>0</v>
      </c>
      <c r="Z1056">
        <f>IF(AND(vp.data[[#This Row],[CrudeType]]="Crude",vp.data[[#This Row],[Dens]]&lt;=825,vp.data[[#This Row],[Sulf]]&gt;0.5,vp.data[[#This Row],[Unknown]]=0),1,0)</f>
        <v>0</v>
      </c>
      <c r="AA1056">
        <f>IF(AND(vp.data[[#This Row],[CrudeType]]="Crude",vp.data[[#This Row],[Dens]]&lt;=825,vp.data[[#This Row],[Sulf]]&lt;=0.5,vp.data[[#This Row],[Unknown]]=0),1,0)</f>
        <v>0</v>
      </c>
      <c r="AB10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56">
        <f>IF(AND(vp.data[[#This Row],[CrudeType]]="Crude",vp.data[[#This Row],[Dens]]&gt;825,vp.data[[#This Row],[Dens]]&lt;=900,vp.data[[#This Row],[Sulf]]&lt;=0.5,vp.data[[#This Row],[Unknown]]=0),1,0)</f>
        <v>0</v>
      </c>
      <c r="AD1056">
        <f>IF(AND(vp.data[[#This Row],[CrudeType]]="Crude",vp.data[[#This Row],[Dens]]&gt;865,vp.data[[#This Row],[Dens]]&lt;=900,vp.data[[#This Row],[Sulf]]&gt;2,vp.data[[#This Row],[Unknown]]=0),1,0)</f>
        <v>0</v>
      </c>
      <c r="AE1056">
        <f>IF(AND(vp.data[[#This Row],[CrudeType]]="Crude",vp.data[[#This Row],[Dens]]&gt;900,vp.data[[#This Row],[Sulf]]&lt;=0.5,vp.data[[#This Row],[Unknown]]=0),1,0)</f>
        <v>0</v>
      </c>
      <c r="AF1056">
        <f>IF(AND(vp.data[[#This Row],[CrudeType]]="Crude",vp.data[[#This Row],[Dens]]&gt;900,vp.data[[#This Row],[Sulf]]&lt;=0.5,vp.data[[#This Row],[Unknown]]=0),1,0)</f>
        <v>0</v>
      </c>
      <c r="AG1056" t="str">
        <f>INDEX(vp.data[[#Headers],[Unknown]:[Heavy_SW]],MATCH(1,vp.data[[#This Row],[Unknown]:[Heavy_SW]],0))</f>
        <v>Medium_LSB</v>
      </c>
      <c r="AH1056">
        <f>INDEX([3]!crudeBD.lkup[Number],MATCH(vp.data[[#This Row],[Crude_Breakdown]],crudeBD.lkup[Crude Breakdown],0))</f>
        <v>3</v>
      </c>
      <c r="AI1056">
        <f>MONTH(vp.data[[#This Row],[SDate]])</f>
        <v>3</v>
      </c>
      <c r="AJ1056" s="5">
        <f>(vp.data[[#This Row],[VP]]-INDEX(crudeBD.lkup[Mean_VP],MATCH(vp.data[[#This Row],[Crude_Breakdown]],crudeBD.lkup[Crude Breakdown],0)))^2</f>
        <v>0.1298329887170763</v>
      </c>
      <c r="AK1056" s="5">
        <f>(vp.data[[#This Row],[Dens]]-INDEX(crudeBD.lkup[Mean_Dens],MATCH(vp.data[[#This Row],[Crude_Breakdown]],crudeBD.lkup[Crude Breakdown],0)))^2</f>
        <v>228.61439999998638</v>
      </c>
      <c r="AL1056" s="5">
        <f>(vp.data[[#This Row],[Sulf]]-INDEX(crudeBD.lkup[Mean_Sulf],MATCH(vp.data[[#This Row],[Crude_Breakdown]],crudeBD.lkup[Crude Breakdown],0)))^2</f>
        <v>4.2782230363935985E-3</v>
      </c>
      <c r="AM1056" s="4">
        <f>IF(AND(vp.data[[#This Row],[SDate]]&gt;=DATE(YEAR(vp.data[[#This Row],[SDate]]),5,1),vp.data[[#This Row],[SDate]]&lt;=DATE(YEAR(vp.data[[#This Row],[SDate]]),9,15)),1,0)</f>
        <v>0</v>
      </c>
      <c r="AN1056" s="4">
        <f>IF(vp.data[[#This Row],[SDate]]&lt;DATE(2016,12,1),0,1)</f>
        <v>1</v>
      </c>
      <c r="AO1056" s="4">
        <f>IFERROR(vp.data[[#This Row],[Sulf]]*vp.data[[#This Row],[Net Dens]],"")</f>
        <v>9962893.0114560015</v>
      </c>
      <c r="AP1056">
        <f>IFERROR(vp.data[[#This Row],[Dens]]*vp.data[[#This Row],[VolumeM3]],"")</f>
        <v>7547646.2208000002</v>
      </c>
      <c r="AQ1056" s="15">
        <f>IFERROR(vp.data[[#This Row],[VP]]*vp.data[[#This Row],[VolumeM3]],"")</f>
        <v>737643.99600000004</v>
      </c>
    </row>
    <row r="1057" spans="1:43" x14ac:dyDescent="0.25">
      <c r="A1057">
        <v>1056</v>
      </c>
      <c r="B1057" t="s">
        <v>49</v>
      </c>
      <c r="C1057" t="s">
        <v>49</v>
      </c>
      <c r="D1057" t="s">
        <v>81</v>
      </c>
      <c r="F1057" s="1">
        <v>42815</v>
      </c>
      <c r="G1057" s="2">
        <v>77.7</v>
      </c>
      <c r="H1057" s="2">
        <v>0.56699999999999995</v>
      </c>
      <c r="I1057" s="2">
        <f t="array" ref="I1057">_xlfn.IFNA(IF(vp.data[[#This Row],[Sulf Input]]="",INDEX([1]DATA!$Q$3:$Q$9826,MATCH(1,(vp.data[[#This Row],[Battery]]=[1]DATA!$L$3:$L$9826)*(EOMONTH(vp.data[[#This Row],[SDate]],-1)+1=[1]DATA!$G$3:$G$9826),0)),vp.data[[#This Row],[Sulf Input]]),"")</f>
        <v>0.56699999999999995</v>
      </c>
      <c r="J1057" s="2">
        <v>4</v>
      </c>
      <c r="K1057" s="2">
        <v>-11</v>
      </c>
      <c r="L1057" s="2">
        <v>823.6</v>
      </c>
      <c r="M1057" s="2">
        <f t="array" ref="M1057">_xlfn.IFNA(IF(vp.data[[#This Row],[Dens Input]]="",INDEX([1]DATA!$O$3:$O$9826,MATCH(1,(vp.data[[#This Row],[Battery]]=[1]DATA!$L$3:$L$9826)*(EOMONTH(vp.data[[#This Row],[SDate]],-1)+1=[1]DATA!$G$3:$G$9826),0)),vp.data[[#This Row],[Dens Input]]),"")</f>
        <v>823.6</v>
      </c>
      <c r="N1057" s="2">
        <f ca="1">INDEX(INDIRECT(_xlfn.CONCAT("weather.tbl[",N$1,"]")),MATCH(vp.data[[#This Row],[SDate]],weather.tbl[Date],0))</f>
        <v>-9.8166666666666682</v>
      </c>
      <c r="O1057" s="2">
        <f ca="1">INDEX(INDIRECT(_xlfn.CONCAT("weather.tbl[",O$1,"]")),MATCH(vp.data[[#This Row],[SDate]],weather.tbl[Date],0))</f>
        <v>-2.0214285714285718</v>
      </c>
      <c r="P1057" s="2">
        <f ca="1">INDEX(INDIRECT(_xlfn.CONCAT("weather.tbl[",P$1,"]")),MATCH(vp.data[[#This Row],[SDate]],weather.tbl[Date],0))</f>
        <v>-9.3000000000000007</v>
      </c>
      <c r="Q1057" s="2">
        <f ca="1">INDEX(INDIRECT(_xlfn.CONCAT("weather.tbl[",Q$1,"]")),MATCH(vp.data[[#This Row],[SDate]],weather.tbl[Date],0))</f>
        <v>-8.1999999999999993</v>
      </c>
      <c r="R1057" s="2">
        <f ca="1">INDEX(INDIRECT(_xlfn.CONCAT("weather.tbl[",R$1,"]")),MATCH(vp.data[[#This Row],[SDate]],weather.tbl[Date],0))</f>
        <v>-11.8</v>
      </c>
      <c r="S1057" s="2">
        <f ca="1">INDEX(INDIRECT(_xlfn.CONCAT("weather.tbl[",S$1,"]")),MATCH(vp.data[[#This Row],[SDate]],weather.tbl[Date],0))</f>
        <v>-6.8</v>
      </c>
      <c r="T1057" s="2">
        <f ca="1">INDEX(INDIRECT(_xlfn.CONCAT("weather.tbl[",T$1,"]")),MATCH(vp.data[[#This Row],[SDate]],weather.tbl[Date],0))</f>
        <v>-12.8</v>
      </c>
      <c r="U1057" s="2">
        <f ca="1">INDEX(INDIRECT(_xlfn.CONCAT("weather.tbl[",U$1,"]")),MATCH(vp.data[[#This Row],[SDate]],weather.tbl[Date],0))</f>
        <v>-10</v>
      </c>
      <c r="V1057" s="2">
        <f t="array" ref="V10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20568.135999999999</v>
      </c>
      <c r="W1057" t="s">
        <v>48</v>
      </c>
      <c r="X1057">
        <f>IF(OR(vp.data[[#This Row],[Sulf]]="",vp.data[[#This Row],[Dens]]=""),1,0)</f>
        <v>0</v>
      </c>
      <c r="Y1057">
        <f>IF(vp.data[[#This Row],[CrudeType]]="C5+",1,0)</f>
        <v>0</v>
      </c>
      <c r="Z1057">
        <f>IF(AND(vp.data[[#This Row],[CrudeType]]="Crude",vp.data[[#This Row],[Dens]]&lt;=825,vp.data[[#This Row],[Sulf]]&gt;0.5,vp.data[[#This Row],[Unknown]]=0),1,0)</f>
        <v>1</v>
      </c>
      <c r="AA1057">
        <f>IF(AND(vp.data[[#This Row],[CrudeType]]="Crude",vp.data[[#This Row],[Dens]]&lt;=825,vp.data[[#This Row],[Sulf]]&lt;=0.5,vp.data[[#This Row],[Unknown]]=0),1,0)</f>
        <v>0</v>
      </c>
      <c r="AB10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57">
        <f>IF(AND(vp.data[[#This Row],[CrudeType]]="Crude",vp.data[[#This Row],[Dens]]&gt;825,vp.data[[#This Row],[Dens]]&lt;=900,vp.data[[#This Row],[Sulf]]&lt;=0.5,vp.data[[#This Row],[Unknown]]=0),1,0)</f>
        <v>0</v>
      </c>
      <c r="AD1057">
        <f>IF(AND(vp.data[[#This Row],[CrudeType]]="Crude",vp.data[[#This Row],[Dens]]&gt;865,vp.data[[#This Row],[Dens]]&lt;=900,vp.data[[#This Row],[Sulf]]&gt;2,vp.data[[#This Row],[Unknown]]=0),1,0)</f>
        <v>0</v>
      </c>
      <c r="AE1057">
        <f>IF(AND(vp.data[[#This Row],[CrudeType]]="Crude",vp.data[[#This Row],[Dens]]&gt;900,vp.data[[#This Row],[Sulf]]&lt;=0.5,vp.data[[#This Row],[Unknown]]=0),1,0)</f>
        <v>0</v>
      </c>
      <c r="AF1057">
        <f>IF(AND(vp.data[[#This Row],[CrudeType]]="Crude",vp.data[[#This Row],[Dens]]&gt;900,vp.data[[#This Row],[Sulf]]&lt;=0.5,vp.data[[#This Row],[Unknown]]=0),1,0)</f>
        <v>0</v>
      </c>
      <c r="AG1057" t="str">
        <f>INDEX(vp.data[[#Headers],[Unknown]:[Heavy_SW]],MATCH(1,vp.data[[#This Row],[Unknown]:[Heavy_SW]],0))</f>
        <v>Light_LSB</v>
      </c>
      <c r="AH1057">
        <f>INDEX([3]!crudeBD.lkup[Number],MATCH(vp.data[[#This Row],[Crude_Breakdown]],crudeBD.lkup[Crude Breakdown],0))</f>
        <v>1</v>
      </c>
      <c r="AI1057">
        <f>MONTH(vp.data[[#This Row],[SDate]])</f>
        <v>3</v>
      </c>
      <c r="AJ1057" s="5">
        <f>(vp.data[[#This Row],[VP]]-INDEX(crudeBD.lkup[Mean_VP],MATCH(vp.data[[#This Row],[Crude_Breakdown]],crudeBD.lkup[Crude Breakdown],0)))^2</f>
        <v>191.71685475608538</v>
      </c>
      <c r="AK1057" s="5">
        <f>(vp.data[[#This Row],[Dens]]-INDEX(crudeBD.lkup[Mean_Dens],MATCH(vp.data[[#This Row],[Crude_Breakdown]],crudeBD.lkup[Crude Breakdown],0)))^2</f>
        <v>25.83922967844369</v>
      </c>
      <c r="AL1057" s="5">
        <f>(vp.data[[#This Row],[Sulf]]-INDEX(crudeBD.lkup[Mean_Sulf],MATCH(vp.data[[#This Row],[Crude_Breakdown]],crudeBD.lkup[Crude Breakdown],0)))^2</f>
        <v>0.12671547272129624</v>
      </c>
      <c r="AM1057" s="4">
        <f>IF(AND(vp.data[[#This Row],[SDate]]&gt;=DATE(YEAR(vp.data[[#This Row],[SDate]]),5,1),vp.data[[#This Row],[SDate]]&lt;=DATE(YEAR(vp.data[[#This Row],[SDate]]),9,15)),1,0)</f>
        <v>0</v>
      </c>
      <c r="AN1057" s="4">
        <f>IF(vp.data[[#This Row],[SDate]]&lt;DATE(2016,12,1),0,1)</f>
        <v>1</v>
      </c>
      <c r="AO1057" s="4">
        <f>IFERROR(vp.data[[#This Row],[Sulf]]*vp.data[[#This Row],[Net Dens]],"")</f>
        <v>9604932.8310431987</v>
      </c>
      <c r="AP1057">
        <f>IFERROR(vp.data[[#This Row],[Dens]]*vp.data[[#This Row],[VolumeM3]],"")</f>
        <v>16939916.809599999</v>
      </c>
      <c r="AQ1057" s="15">
        <f>IFERROR(vp.data[[#This Row],[VP]]*vp.data[[#This Row],[VolumeM3]],"")</f>
        <v>1598144.1672</v>
      </c>
    </row>
    <row r="1058" spans="1:43" x14ac:dyDescent="0.25">
      <c r="A1058">
        <v>1057</v>
      </c>
      <c r="B1058" t="s">
        <v>49</v>
      </c>
      <c r="C1058" t="s">
        <v>49</v>
      </c>
      <c r="D1058" t="s">
        <v>70</v>
      </c>
      <c r="F1058" s="1">
        <v>42815</v>
      </c>
      <c r="G1058" s="2">
        <v>88.2</v>
      </c>
      <c r="H1058" s="2">
        <v>0.90400000000000003</v>
      </c>
      <c r="I1058" s="2">
        <f t="array" ref="I1058">_xlfn.IFNA(IF(vp.data[[#This Row],[Sulf Input]]="",INDEX([1]DATA!$Q$3:$Q$9826,MATCH(1,(vp.data[[#This Row],[Battery]]=[1]DATA!$L$3:$L$9826)*(EOMONTH(vp.data[[#This Row],[SDate]],-1)+1=[1]DATA!$G$3:$G$9826),0)),vp.data[[#This Row],[Sulf Input]]),"")</f>
        <v>0.90400000000000003</v>
      </c>
      <c r="J1058" s="2">
        <v>13</v>
      </c>
      <c r="K1058" s="2">
        <v>-11</v>
      </c>
      <c r="L1058" s="2">
        <v>824.9</v>
      </c>
      <c r="M1058" s="2">
        <f t="array" ref="M1058">_xlfn.IFNA(IF(vp.data[[#This Row],[Dens Input]]="",INDEX([1]DATA!$O$3:$O$9826,MATCH(1,(vp.data[[#This Row],[Battery]]=[1]DATA!$L$3:$L$9826)*(EOMONTH(vp.data[[#This Row],[SDate]],-1)+1=[1]DATA!$G$3:$G$9826),0)),vp.data[[#This Row],[Dens Input]]),"")</f>
        <v>824.9</v>
      </c>
      <c r="N1058" s="2">
        <f ca="1">INDEX(INDIRECT(_xlfn.CONCAT("weather.tbl[",N$1,"]")),MATCH(vp.data[[#This Row],[SDate]],weather.tbl[Date],0))</f>
        <v>-9.8166666666666682</v>
      </c>
      <c r="O1058" s="2">
        <f ca="1">INDEX(INDIRECT(_xlfn.CONCAT("weather.tbl[",O$1,"]")),MATCH(vp.data[[#This Row],[SDate]],weather.tbl[Date],0))</f>
        <v>-2.0214285714285718</v>
      </c>
      <c r="P1058" s="2">
        <f ca="1">INDEX(INDIRECT(_xlfn.CONCAT("weather.tbl[",P$1,"]")),MATCH(vp.data[[#This Row],[SDate]],weather.tbl[Date],0))</f>
        <v>-9.3000000000000007</v>
      </c>
      <c r="Q1058" s="2">
        <f ca="1">INDEX(INDIRECT(_xlfn.CONCAT("weather.tbl[",Q$1,"]")),MATCH(vp.data[[#This Row],[SDate]],weather.tbl[Date],0))</f>
        <v>-8.1999999999999993</v>
      </c>
      <c r="R1058" s="2">
        <f ca="1">INDEX(INDIRECT(_xlfn.CONCAT("weather.tbl[",R$1,"]")),MATCH(vp.data[[#This Row],[SDate]],weather.tbl[Date],0))</f>
        <v>-11.8</v>
      </c>
      <c r="S1058" s="2">
        <f ca="1">INDEX(INDIRECT(_xlfn.CONCAT("weather.tbl[",S$1,"]")),MATCH(vp.data[[#This Row],[SDate]],weather.tbl[Date],0))</f>
        <v>-6.8</v>
      </c>
      <c r="T1058" s="2">
        <f ca="1">INDEX(INDIRECT(_xlfn.CONCAT("weather.tbl[",T$1,"]")),MATCH(vp.data[[#This Row],[SDate]],weather.tbl[Date],0))</f>
        <v>-12.8</v>
      </c>
      <c r="U1058" s="2">
        <f ca="1">INDEX(INDIRECT(_xlfn.CONCAT("weather.tbl[",U$1,"]")),MATCH(vp.data[[#This Row],[SDate]],weather.tbl[Date],0))</f>
        <v>-10</v>
      </c>
      <c r="V1058" s="2">
        <f t="array" ref="V10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2628.259</v>
      </c>
      <c r="W1058" t="s">
        <v>48</v>
      </c>
      <c r="X1058">
        <f>IF(OR(vp.data[[#This Row],[Sulf]]="",vp.data[[#This Row],[Dens]]=""),1,0)</f>
        <v>0</v>
      </c>
      <c r="Y1058">
        <f>IF(vp.data[[#This Row],[CrudeType]]="C5+",1,0)</f>
        <v>0</v>
      </c>
      <c r="Z1058">
        <f>IF(AND(vp.data[[#This Row],[CrudeType]]="Crude",vp.data[[#This Row],[Dens]]&lt;=825,vp.data[[#This Row],[Sulf]]&gt;0.5,vp.data[[#This Row],[Unknown]]=0),1,0)</f>
        <v>1</v>
      </c>
      <c r="AA1058">
        <f>IF(AND(vp.data[[#This Row],[CrudeType]]="Crude",vp.data[[#This Row],[Dens]]&lt;=825,vp.data[[#This Row],[Sulf]]&lt;=0.5,vp.data[[#This Row],[Unknown]]=0),1,0)</f>
        <v>0</v>
      </c>
      <c r="AB10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58">
        <f>IF(AND(vp.data[[#This Row],[CrudeType]]="Crude",vp.data[[#This Row],[Dens]]&gt;825,vp.data[[#This Row],[Dens]]&lt;=900,vp.data[[#This Row],[Sulf]]&lt;=0.5,vp.data[[#This Row],[Unknown]]=0),1,0)</f>
        <v>0</v>
      </c>
      <c r="AD1058">
        <f>IF(AND(vp.data[[#This Row],[CrudeType]]="Crude",vp.data[[#This Row],[Dens]]&gt;865,vp.data[[#This Row],[Dens]]&lt;=900,vp.data[[#This Row],[Sulf]]&gt;2,vp.data[[#This Row],[Unknown]]=0),1,0)</f>
        <v>0</v>
      </c>
      <c r="AE1058">
        <f>IF(AND(vp.data[[#This Row],[CrudeType]]="Crude",vp.data[[#This Row],[Dens]]&gt;900,vp.data[[#This Row],[Sulf]]&lt;=0.5,vp.data[[#This Row],[Unknown]]=0),1,0)</f>
        <v>0</v>
      </c>
      <c r="AF1058">
        <f>IF(AND(vp.data[[#This Row],[CrudeType]]="Crude",vp.data[[#This Row],[Dens]]&gt;900,vp.data[[#This Row],[Sulf]]&lt;=0.5,vp.data[[#This Row],[Unknown]]=0),1,0)</f>
        <v>0</v>
      </c>
      <c r="AG1058" t="str">
        <f>INDEX(vp.data[[#Headers],[Unknown]:[Heavy_SW]],MATCH(1,vp.data[[#This Row],[Unknown]:[Heavy_SW]],0))</f>
        <v>Light_LSB</v>
      </c>
      <c r="AH1058">
        <f>INDEX([3]!crudeBD.lkup[Number],MATCH(vp.data[[#This Row],[Crude_Breakdown]],crudeBD.lkup[Crude Breakdown],0))</f>
        <v>1</v>
      </c>
      <c r="AI1058">
        <f>MONTH(vp.data[[#This Row],[SDate]])</f>
        <v>3</v>
      </c>
      <c r="AJ1058" s="5">
        <f>(vp.data[[#This Row],[VP]]-INDEX(crudeBD.lkup[Mean_VP],MATCH(vp.data[[#This Row],[Crude_Breakdown]],crudeBD.lkup[Crude Breakdown],0)))^2</f>
        <v>11.196957848868294</v>
      </c>
      <c r="AK1058" s="5">
        <f>(vp.data[[#This Row],[Dens]]-INDEX(crudeBD.lkup[Mean_Dens],MATCH(vp.data[[#This Row],[Crude_Breakdown]],crudeBD.lkup[Crude Breakdown],0)))^2</f>
        <v>40.745628303873538</v>
      </c>
      <c r="AL1058" s="5">
        <f>(vp.data[[#This Row],[Sulf]]-INDEX(crudeBD.lkup[Mean_Sulf],MATCH(vp.data[[#This Row],[Crude_Breakdown]],crudeBD.lkup[Crude Breakdown],0)))^2</f>
        <v>3.5990522988744935E-4</v>
      </c>
      <c r="AM1058" s="4">
        <f>IF(AND(vp.data[[#This Row],[SDate]]&gt;=DATE(YEAR(vp.data[[#This Row],[SDate]]),5,1),vp.data[[#This Row],[SDate]]&lt;=DATE(YEAR(vp.data[[#This Row],[SDate]]),9,15)),1,0)</f>
        <v>0</v>
      </c>
      <c r="AN1058" s="4">
        <f>IF(vp.data[[#This Row],[SDate]]&lt;DATE(2016,12,1),0,1)</f>
        <v>1</v>
      </c>
      <c r="AO1058" s="4">
        <f>IFERROR(vp.data[[#This Row],[Sulf]]*vp.data[[#This Row],[Net Dens]],"")</f>
        <v>1959917.9675863998</v>
      </c>
      <c r="AP1058">
        <f>IFERROR(vp.data[[#This Row],[Dens]]*vp.data[[#This Row],[VolumeM3]],"")</f>
        <v>2168050.8490999998</v>
      </c>
      <c r="AQ1058" s="15">
        <f>IFERROR(vp.data[[#This Row],[VP]]*vp.data[[#This Row],[VolumeM3]],"")</f>
        <v>231812.44380000001</v>
      </c>
    </row>
    <row r="1059" spans="1:43" x14ac:dyDescent="0.25">
      <c r="A1059">
        <v>1058</v>
      </c>
      <c r="B1059" t="s">
        <v>96</v>
      </c>
      <c r="C1059" t="s">
        <v>96</v>
      </c>
      <c r="D1059" t="s">
        <v>97</v>
      </c>
      <c r="F1059" s="1">
        <v>42815</v>
      </c>
      <c r="G1059" s="2">
        <v>75.8</v>
      </c>
      <c r="H1059" s="2"/>
      <c r="I1059" s="2">
        <f t="array" ref="I1059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059" s="2">
        <v>30</v>
      </c>
      <c r="K1059" s="2">
        <v>-11</v>
      </c>
      <c r="L1059" s="2">
        <v>819.78</v>
      </c>
      <c r="M1059" s="2">
        <f t="array" ref="M1059">_xlfn.IFNA(IF(vp.data[[#This Row],[Dens Input]]="",INDEX([1]DATA!$O$3:$O$9826,MATCH(1,(vp.data[[#This Row],[Battery]]=[1]DATA!$L$3:$L$9826)*(EOMONTH(vp.data[[#This Row],[SDate]],-1)+1=[1]DATA!$G$3:$G$9826),0)),vp.data[[#This Row],[Dens Input]]),"")</f>
        <v>819.78</v>
      </c>
      <c r="N1059" s="2">
        <f ca="1">INDEX(INDIRECT(_xlfn.CONCAT("weather.tbl[",N$1,"]")),MATCH(vp.data[[#This Row],[SDate]],weather.tbl[Date],0))</f>
        <v>-9.8166666666666682</v>
      </c>
      <c r="O1059" s="2">
        <f ca="1">INDEX(INDIRECT(_xlfn.CONCAT("weather.tbl[",O$1,"]")),MATCH(vp.data[[#This Row],[SDate]],weather.tbl[Date],0))</f>
        <v>-2.0214285714285718</v>
      </c>
      <c r="P1059" s="2">
        <f ca="1">INDEX(INDIRECT(_xlfn.CONCAT("weather.tbl[",P$1,"]")),MATCH(vp.data[[#This Row],[SDate]],weather.tbl[Date],0))</f>
        <v>-9.3000000000000007</v>
      </c>
      <c r="Q1059" s="2">
        <f ca="1">INDEX(INDIRECT(_xlfn.CONCAT("weather.tbl[",Q$1,"]")),MATCH(vp.data[[#This Row],[SDate]],weather.tbl[Date],0))</f>
        <v>-8.1999999999999993</v>
      </c>
      <c r="R1059" s="2">
        <f ca="1">INDEX(INDIRECT(_xlfn.CONCAT("weather.tbl[",R$1,"]")),MATCH(vp.data[[#This Row],[SDate]],weather.tbl[Date],0))</f>
        <v>-11.8</v>
      </c>
      <c r="S1059" s="2">
        <f ca="1">INDEX(INDIRECT(_xlfn.CONCAT("weather.tbl[",S$1,"]")),MATCH(vp.data[[#This Row],[SDate]],weather.tbl[Date],0))</f>
        <v>-6.8</v>
      </c>
      <c r="T1059" s="2">
        <f ca="1">INDEX(INDIRECT(_xlfn.CONCAT("weather.tbl[",T$1,"]")),MATCH(vp.data[[#This Row],[SDate]],weather.tbl[Date],0))</f>
        <v>-12.8</v>
      </c>
      <c r="U1059" s="2">
        <f ca="1">INDEX(INDIRECT(_xlfn.CONCAT("weather.tbl[",U$1,"]")),MATCH(vp.data[[#This Row],[SDate]],weather.tbl[Date],0))</f>
        <v>-10</v>
      </c>
      <c r="V1059" s="2">
        <f t="array" ref="V10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6750.8019999999997</v>
      </c>
      <c r="W1059" t="s">
        <v>48</v>
      </c>
      <c r="X1059">
        <f>IF(OR(vp.data[[#This Row],[Sulf]]="",vp.data[[#This Row],[Dens]]=""),1,0)</f>
        <v>0</v>
      </c>
      <c r="Y1059">
        <f>IF(vp.data[[#This Row],[CrudeType]]="C5+",1,0)</f>
        <v>0</v>
      </c>
      <c r="Z1059">
        <f>IF(AND(vp.data[[#This Row],[CrudeType]]="Crude",vp.data[[#This Row],[Dens]]&lt;=825,vp.data[[#This Row],[Sulf]]&gt;0.5,vp.data[[#This Row],[Unknown]]=0),1,0)</f>
        <v>1</v>
      </c>
      <c r="AA1059">
        <f>IF(AND(vp.data[[#This Row],[CrudeType]]="Crude",vp.data[[#This Row],[Dens]]&lt;=825,vp.data[[#This Row],[Sulf]]&lt;=0.5,vp.data[[#This Row],[Unknown]]=0),1,0)</f>
        <v>0</v>
      </c>
      <c r="AB10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59">
        <f>IF(AND(vp.data[[#This Row],[CrudeType]]="Crude",vp.data[[#This Row],[Dens]]&gt;825,vp.data[[#This Row],[Dens]]&lt;=900,vp.data[[#This Row],[Sulf]]&lt;=0.5,vp.data[[#This Row],[Unknown]]=0),1,0)</f>
        <v>0</v>
      </c>
      <c r="AD1059">
        <f>IF(AND(vp.data[[#This Row],[CrudeType]]="Crude",vp.data[[#This Row],[Dens]]&gt;865,vp.data[[#This Row],[Dens]]&lt;=900,vp.data[[#This Row],[Sulf]]&gt;2,vp.data[[#This Row],[Unknown]]=0),1,0)</f>
        <v>0</v>
      </c>
      <c r="AE1059">
        <f>IF(AND(vp.data[[#This Row],[CrudeType]]="Crude",vp.data[[#This Row],[Dens]]&gt;900,vp.data[[#This Row],[Sulf]]&lt;=0.5,vp.data[[#This Row],[Unknown]]=0),1,0)</f>
        <v>0</v>
      </c>
      <c r="AF1059">
        <f>IF(AND(vp.data[[#This Row],[CrudeType]]="Crude",vp.data[[#This Row],[Dens]]&gt;900,vp.data[[#This Row],[Sulf]]&lt;=0.5,vp.data[[#This Row],[Unknown]]=0),1,0)</f>
        <v>0</v>
      </c>
      <c r="AG1059" t="str">
        <f>INDEX(vp.data[[#Headers],[Unknown]:[Heavy_SW]],MATCH(1,vp.data[[#This Row],[Unknown]:[Heavy_SW]],0))</f>
        <v>Light_LSB</v>
      </c>
      <c r="AH1059">
        <f>INDEX([3]!crudeBD.lkup[Number],MATCH(vp.data[[#This Row],[Crude_Breakdown]],crudeBD.lkup[Crude Breakdown],0))</f>
        <v>1</v>
      </c>
      <c r="AI1059">
        <f>MONTH(vp.data[[#This Row],[SDate]])</f>
        <v>3</v>
      </c>
      <c r="AJ1059" s="5">
        <f>(vp.data[[#This Row],[VP]]-INDEX(crudeBD.lkup[Mean_VP],MATCH(vp.data[[#This Row],[Crude_Breakdown]],crudeBD.lkup[Crude Breakdown],0)))^2</f>
        <v>247.94235991072483</v>
      </c>
      <c r="AK1059" s="5">
        <f>(vp.data[[#This Row],[Dens]]-INDEX(crudeBD.lkup[Mean_Dens],MATCH(vp.data[[#This Row],[Crude_Breakdown]],crudeBD.lkup[Crude Breakdown],0)))^2</f>
        <v>1.5957506406403015</v>
      </c>
      <c r="AL1059" s="5">
        <f>(vp.data[[#This Row],[Sulf]]-INDEX(crudeBD.lkup[Mean_Sulf],MATCH(vp.data[[#This Row],[Crude_Breakdown]],crudeBD.lkup[Crude Breakdown],0)))^2</f>
        <v>0.15442633918177728</v>
      </c>
      <c r="AM1059" s="4">
        <f>IF(AND(vp.data[[#This Row],[SDate]]&gt;=DATE(YEAR(vp.data[[#This Row],[SDate]]),5,1),vp.data[[#This Row],[SDate]]&lt;=DATE(YEAR(vp.data[[#This Row],[SDate]]),9,15)),1,0)</f>
        <v>0</v>
      </c>
      <c r="AN1059" s="4">
        <f>IF(vp.data[[#This Row],[SDate]]&lt;DATE(2016,12,1),0,1)</f>
        <v>1</v>
      </c>
      <c r="AO1059" s="4">
        <f>IFERROR(vp.data[[#This Row],[Sulf]]*vp.data[[#This Row],[Net Dens]],"")</f>
        <v>2933111.4056867999</v>
      </c>
      <c r="AP1059">
        <f>IFERROR(vp.data[[#This Row],[Dens]]*vp.data[[#This Row],[VolumeM3]],"")</f>
        <v>5534172.4635599991</v>
      </c>
      <c r="AQ1059" s="15">
        <f>IFERROR(vp.data[[#This Row],[VP]]*vp.data[[#This Row],[VolumeM3]],"")</f>
        <v>511710.79159999994</v>
      </c>
    </row>
    <row r="1060" spans="1:43" x14ac:dyDescent="0.25">
      <c r="A1060">
        <v>1059</v>
      </c>
      <c r="B1060" t="s">
        <v>51</v>
      </c>
      <c r="C1060" t="s">
        <v>51</v>
      </c>
      <c r="D1060" t="s">
        <v>66</v>
      </c>
      <c r="F1060" s="1">
        <v>42815</v>
      </c>
      <c r="G1060" s="2">
        <v>83.2</v>
      </c>
      <c r="H1060" s="2"/>
      <c r="I1060" s="2">
        <f t="array" ref="I1060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1060" s="2">
        <v>6</v>
      </c>
      <c r="K1060" s="2">
        <v>-11</v>
      </c>
      <c r="L1060" s="2">
        <v>824.8</v>
      </c>
      <c r="M1060" s="2">
        <f t="array" ref="M1060">_xlfn.IFNA(IF(vp.data[[#This Row],[Dens Input]]="",INDEX([1]DATA!$O$3:$O$9826,MATCH(1,(vp.data[[#This Row],[Battery]]=[1]DATA!$L$3:$L$9826)*(EOMONTH(vp.data[[#This Row],[SDate]],-1)+1=[1]DATA!$G$3:$G$9826),0)),vp.data[[#This Row],[Dens Input]]),"")</f>
        <v>824.8</v>
      </c>
      <c r="N1060" s="2">
        <f ca="1">INDEX(INDIRECT(_xlfn.CONCAT("weather.tbl[",N$1,"]")),MATCH(vp.data[[#This Row],[SDate]],weather.tbl[Date],0))</f>
        <v>-9.8166666666666682</v>
      </c>
      <c r="O1060" s="2">
        <f ca="1">INDEX(INDIRECT(_xlfn.CONCAT("weather.tbl[",O$1,"]")),MATCH(vp.data[[#This Row],[SDate]],weather.tbl[Date],0))</f>
        <v>-2.0214285714285718</v>
      </c>
      <c r="P1060" s="2">
        <f ca="1">INDEX(INDIRECT(_xlfn.CONCAT("weather.tbl[",P$1,"]")),MATCH(vp.data[[#This Row],[SDate]],weather.tbl[Date],0))</f>
        <v>-9.3000000000000007</v>
      </c>
      <c r="Q1060" s="2">
        <f ca="1">INDEX(INDIRECT(_xlfn.CONCAT("weather.tbl[",Q$1,"]")),MATCH(vp.data[[#This Row],[SDate]],weather.tbl[Date],0))</f>
        <v>-8.1999999999999993</v>
      </c>
      <c r="R1060" s="2">
        <f ca="1">INDEX(INDIRECT(_xlfn.CONCAT("weather.tbl[",R$1,"]")),MATCH(vp.data[[#This Row],[SDate]],weather.tbl[Date],0))</f>
        <v>-11.8</v>
      </c>
      <c r="S1060" s="2">
        <f ca="1">INDEX(INDIRECT(_xlfn.CONCAT("weather.tbl[",S$1,"]")),MATCH(vp.data[[#This Row],[SDate]],weather.tbl[Date],0))</f>
        <v>-6.8</v>
      </c>
      <c r="T1060" s="2">
        <f ca="1">INDEX(INDIRECT(_xlfn.CONCAT("weather.tbl[",T$1,"]")),MATCH(vp.data[[#This Row],[SDate]],weather.tbl[Date],0))</f>
        <v>-12.8</v>
      </c>
      <c r="U1060" s="2">
        <f ca="1">INDEX(INDIRECT(_xlfn.CONCAT("weather.tbl[",U$1,"]")),MATCH(vp.data[[#This Row],[SDate]],weather.tbl[Date],0))</f>
        <v>-10</v>
      </c>
      <c r="V1060" s="2">
        <f t="array" ref="V10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3482.7910000000002</v>
      </c>
      <c r="W1060" t="s">
        <v>48</v>
      </c>
      <c r="X1060">
        <f>IF(OR(vp.data[[#This Row],[Sulf]]="",vp.data[[#This Row],[Dens]]=""),1,0)</f>
        <v>0</v>
      </c>
      <c r="Y1060">
        <f>IF(vp.data[[#This Row],[CrudeType]]="C5+",1,0)</f>
        <v>0</v>
      </c>
      <c r="Z1060">
        <f>IF(AND(vp.data[[#This Row],[CrudeType]]="Crude",vp.data[[#This Row],[Dens]]&lt;=825,vp.data[[#This Row],[Sulf]]&gt;0.5,vp.data[[#This Row],[Unknown]]=0),1,0)</f>
        <v>1</v>
      </c>
      <c r="AA1060">
        <f>IF(AND(vp.data[[#This Row],[CrudeType]]="Crude",vp.data[[#This Row],[Dens]]&lt;=825,vp.data[[#This Row],[Sulf]]&lt;=0.5,vp.data[[#This Row],[Unknown]]=0),1,0)</f>
        <v>0</v>
      </c>
      <c r="AB10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60">
        <f>IF(AND(vp.data[[#This Row],[CrudeType]]="Crude",vp.data[[#This Row],[Dens]]&gt;825,vp.data[[#This Row],[Dens]]&lt;=900,vp.data[[#This Row],[Sulf]]&lt;=0.5,vp.data[[#This Row],[Unknown]]=0),1,0)</f>
        <v>0</v>
      </c>
      <c r="AD1060">
        <f>IF(AND(vp.data[[#This Row],[CrudeType]]="Crude",vp.data[[#This Row],[Dens]]&gt;865,vp.data[[#This Row],[Dens]]&lt;=900,vp.data[[#This Row],[Sulf]]&gt;2,vp.data[[#This Row],[Unknown]]=0),1,0)</f>
        <v>0</v>
      </c>
      <c r="AE1060">
        <f>IF(AND(vp.data[[#This Row],[CrudeType]]="Crude",vp.data[[#This Row],[Dens]]&gt;900,vp.data[[#This Row],[Sulf]]&lt;=0.5,vp.data[[#This Row],[Unknown]]=0),1,0)</f>
        <v>0</v>
      </c>
      <c r="AF1060">
        <f>IF(AND(vp.data[[#This Row],[CrudeType]]="Crude",vp.data[[#This Row],[Dens]]&gt;900,vp.data[[#This Row],[Sulf]]&lt;=0.5,vp.data[[#This Row],[Unknown]]=0),1,0)</f>
        <v>0</v>
      </c>
      <c r="AG1060" t="str">
        <f>INDEX(vp.data[[#Headers],[Unknown]:[Heavy_SW]],MATCH(1,vp.data[[#This Row],[Unknown]:[Heavy_SW]],0))</f>
        <v>Light_LSB</v>
      </c>
      <c r="AH1060">
        <f>INDEX([3]!crudeBD.lkup[Number],MATCH(vp.data[[#This Row],[Crude_Breakdown]],crudeBD.lkup[Crude Breakdown],0))</f>
        <v>1</v>
      </c>
      <c r="AI1060">
        <f>MONTH(vp.data[[#This Row],[SDate]])</f>
        <v>3</v>
      </c>
      <c r="AJ1060" s="5">
        <f>(vp.data[[#This Row],[VP]]-INDEX(crudeBD.lkup[Mean_VP],MATCH(vp.data[[#This Row],[Crude_Breakdown]],crudeBD.lkup[Crude Breakdown],0)))^2</f>
        <v>69.65881351897167</v>
      </c>
      <c r="AK1060" s="5">
        <f>(vp.data[[#This Row],[Dens]]-INDEX(crudeBD.lkup[Mean_Dens],MATCH(vp.data[[#This Row],[Crude_Breakdown]],crudeBD.lkup[Crude Breakdown],0)))^2</f>
        <v>39.478982255763228</v>
      </c>
      <c r="AL1060" s="5">
        <f>(vp.data[[#This Row],[Sulf]]-INDEX(crudeBD.lkup[Mean_Sulf],MATCH(vp.data[[#This Row],[Crude_Breakdown]],crudeBD.lkup[Crude Breakdown],0)))^2</f>
        <v>0.19099419966287745</v>
      </c>
      <c r="AM1060" s="4">
        <f>IF(AND(vp.data[[#This Row],[SDate]]&gt;=DATE(YEAR(vp.data[[#This Row],[SDate]]),5,1),vp.data[[#This Row],[SDate]]&lt;=DATE(YEAR(vp.data[[#This Row],[SDate]]),9,15)),1,0)</f>
        <v>0</v>
      </c>
      <c r="AN1060" s="4">
        <f>IF(vp.data[[#This Row],[SDate]]&lt;DATE(2016,12,1),0,1)</f>
        <v>1</v>
      </c>
      <c r="AO1060" s="4">
        <f>IFERROR(vp.data[[#This Row],[Sulf]]*vp.data[[#This Row],[Net Dens]],"")</f>
        <v>3906744.182848</v>
      </c>
      <c r="AP1060">
        <f>IFERROR(vp.data[[#This Row],[Dens]]*vp.data[[#This Row],[VolumeM3]],"")</f>
        <v>2872606.0167999999</v>
      </c>
      <c r="AQ1060" s="15">
        <f>IFERROR(vp.data[[#This Row],[VP]]*vp.data[[#This Row],[VolumeM3]],"")</f>
        <v>289768.21120000002</v>
      </c>
    </row>
    <row r="1061" spans="1:43" x14ac:dyDescent="0.25">
      <c r="A1061">
        <v>1060</v>
      </c>
      <c r="B1061" t="s">
        <v>51</v>
      </c>
      <c r="C1061" t="s">
        <v>51</v>
      </c>
      <c r="D1061" t="s">
        <v>72</v>
      </c>
      <c r="F1061" s="1">
        <v>42815</v>
      </c>
      <c r="G1061" s="2">
        <v>86.2</v>
      </c>
      <c r="H1061" s="2"/>
      <c r="I1061" s="2">
        <f t="array" ref="I1061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061" s="2">
        <v>26</v>
      </c>
      <c r="K1061" s="2">
        <v>-11</v>
      </c>
      <c r="L1061" s="2">
        <v>832.8</v>
      </c>
      <c r="M1061" s="2">
        <f t="array" ref="M1061">_xlfn.IFNA(IF(vp.data[[#This Row],[Dens Input]]="",INDEX([1]DATA!$O$3:$O$9826,MATCH(1,(vp.data[[#This Row],[Battery]]=[1]DATA!$L$3:$L$9826)*(EOMONTH(vp.data[[#This Row],[SDate]],-1)+1=[1]DATA!$G$3:$G$9826),0)),vp.data[[#This Row],[Dens Input]]),"")</f>
        <v>832.8</v>
      </c>
      <c r="N1061" s="2">
        <f ca="1">INDEX(INDIRECT(_xlfn.CONCAT("weather.tbl[",N$1,"]")),MATCH(vp.data[[#This Row],[SDate]],weather.tbl[Date],0))</f>
        <v>-9.8166666666666682</v>
      </c>
      <c r="O1061" s="2">
        <f ca="1">INDEX(INDIRECT(_xlfn.CONCAT("weather.tbl[",O$1,"]")),MATCH(vp.data[[#This Row],[SDate]],weather.tbl[Date],0))</f>
        <v>-2.0214285714285718</v>
      </c>
      <c r="P1061" s="2">
        <f ca="1">INDEX(INDIRECT(_xlfn.CONCAT("weather.tbl[",P$1,"]")),MATCH(vp.data[[#This Row],[SDate]],weather.tbl[Date],0))</f>
        <v>-9.3000000000000007</v>
      </c>
      <c r="Q1061" s="2">
        <f ca="1">INDEX(INDIRECT(_xlfn.CONCAT("weather.tbl[",Q$1,"]")),MATCH(vp.data[[#This Row],[SDate]],weather.tbl[Date],0))</f>
        <v>-8.1999999999999993</v>
      </c>
      <c r="R1061" s="2">
        <f ca="1">INDEX(INDIRECT(_xlfn.CONCAT("weather.tbl[",R$1,"]")),MATCH(vp.data[[#This Row],[SDate]],weather.tbl[Date],0))</f>
        <v>-11.8</v>
      </c>
      <c r="S1061" s="2">
        <f ca="1">INDEX(INDIRECT(_xlfn.CONCAT("weather.tbl[",S$1,"]")),MATCH(vp.data[[#This Row],[SDate]],weather.tbl[Date],0))</f>
        <v>-6.8</v>
      </c>
      <c r="T1061" s="2">
        <f ca="1">INDEX(INDIRECT(_xlfn.CONCAT("weather.tbl[",T$1,"]")),MATCH(vp.data[[#This Row],[SDate]],weather.tbl[Date],0))</f>
        <v>-12.8</v>
      </c>
      <c r="U1061" s="2">
        <f ca="1">INDEX(INDIRECT(_xlfn.CONCAT("weather.tbl[",U$1,"]")),MATCH(vp.data[[#This Row],[SDate]],weather.tbl[Date],0))</f>
        <v>-10</v>
      </c>
      <c r="V1061" s="2">
        <f t="array" ref="V10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1061" t="s">
        <v>48</v>
      </c>
      <c r="X1061">
        <f>IF(OR(vp.data[[#This Row],[Sulf]]="",vp.data[[#This Row],[Dens]]=""),1,0)</f>
        <v>0</v>
      </c>
      <c r="Y1061">
        <f>IF(vp.data[[#This Row],[CrudeType]]="C5+",1,0)</f>
        <v>0</v>
      </c>
      <c r="Z1061">
        <f>IF(AND(vp.data[[#This Row],[CrudeType]]="Crude",vp.data[[#This Row],[Dens]]&lt;=825,vp.data[[#This Row],[Sulf]]&gt;0.5,vp.data[[#This Row],[Unknown]]=0),1,0)</f>
        <v>0</v>
      </c>
      <c r="AA1061">
        <f>IF(AND(vp.data[[#This Row],[CrudeType]]="Crude",vp.data[[#This Row],[Dens]]&lt;=825,vp.data[[#This Row],[Sulf]]&lt;=0.5,vp.data[[#This Row],[Unknown]]=0),1,0)</f>
        <v>0</v>
      </c>
      <c r="AB10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1">
        <f>IF(AND(vp.data[[#This Row],[CrudeType]]="Crude",vp.data[[#This Row],[Dens]]&gt;825,vp.data[[#This Row],[Dens]]&lt;=900,vp.data[[#This Row],[Sulf]]&lt;=0.5,vp.data[[#This Row],[Unknown]]=0),1,0)</f>
        <v>0</v>
      </c>
      <c r="AD1061">
        <f>IF(AND(vp.data[[#This Row],[CrudeType]]="Crude",vp.data[[#This Row],[Dens]]&gt;865,vp.data[[#This Row],[Dens]]&lt;=900,vp.data[[#This Row],[Sulf]]&gt;2,vp.data[[#This Row],[Unknown]]=0),1,0)</f>
        <v>0</v>
      </c>
      <c r="AE1061">
        <f>IF(AND(vp.data[[#This Row],[CrudeType]]="Crude",vp.data[[#This Row],[Dens]]&gt;900,vp.data[[#This Row],[Sulf]]&lt;=0.5,vp.data[[#This Row],[Unknown]]=0),1,0)</f>
        <v>0</v>
      </c>
      <c r="AF1061">
        <f>IF(AND(vp.data[[#This Row],[CrudeType]]="Crude",vp.data[[#This Row],[Dens]]&gt;900,vp.data[[#This Row],[Sulf]]&lt;=0.5,vp.data[[#This Row],[Unknown]]=0),1,0)</f>
        <v>0</v>
      </c>
      <c r="AG1061" t="str">
        <f>INDEX(vp.data[[#Headers],[Unknown]:[Heavy_SW]],MATCH(1,vp.data[[#This Row],[Unknown]:[Heavy_SW]],0))</f>
        <v>Medium_LSB</v>
      </c>
      <c r="AH1061">
        <f>INDEX([3]!crudeBD.lkup[Number],MATCH(vp.data[[#This Row],[Crude_Breakdown]],crudeBD.lkup[Crude Breakdown],0))</f>
        <v>3</v>
      </c>
      <c r="AI1061">
        <f>MONTH(vp.data[[#This Row],[SDate]])</f>
        <v>3</v>
      </c>
      <c r="AJ1061" s="5">
        <f>(vp.data[[#This Row],[VP]]-INDEX(crudeBD.lkup[Mean_VP],MATCH(vp.data[[#This Row],[Crude_Breakdown]],crudeBD.lkup[Crude Breakdown],0)))^2</f>
        <v>30.917196870119469</v>
      </c>
      <c r="AK1061" s="5">
        <f>(vp.data[[#This Row],[Dens]]-INDEX(crudeBD.lkup[Mean_Dens],MATCH(vp.data[[#This Row],[Crude_Breakdown]],crudeBD.lkup[Crude Breakdown],0)))^2</f>
        <v>123.65439999998999</v>
      </c>
      <c r="AL1061" s="5">
        <f>(vp.data[[#This Row],[Sulf]]-INDEX(crudeBD.lkup[Mean_Sulf],MATCH(vp.data[[#This Row],[Crude_Breakdown]],crudeBD.lkup[Crude Breakdown],0)))^2</f>
        <v>9.3274123845019638E-2</v>
      </c>
      <c r="AM1061" s="4">
        <f>IF(AND(vp.data[[#This Row],[SDate]]&gt;=DATE(YEAR(vp.data[[#This Row],[SDate]]),5,1),vp.data[[#This Row],[SDate]]&lt;=DATE(YEAR(vp.data[[#This Row],[SDate]]),9,15)),1,0)</f>
        <v>0</v>
      </c>
      <c r="AN1061" s="4">
        <f>IF(vp.data[[#This Row],[SDate]]&lt;DATE(2016,12,1),0,1)</f>
        <v>1</v>
      </c>
      <c r="AO1061" s="4">
        <f>IFERROR(vp.data[[#This Row],[Sulf]]*vp.data[[#This Row],[Net Dens]],"")</f>
        <v>12482686.564416001</v>
      </c>
      <c r="AP1061">
        <f>IFERROR(vp.data[[#This Row],[Dens]]*vp.data[[#This Row],[VolumeM3]],"")</f>
        <v>11558043.1152</v>
      </c>
      <c r="AQ1061" s="15">
        <f>IFERROR(vp.data[[#This Row],[VP]]*vp.data[[#This Row],[VolumeM3]],"")</f>
        <v>1196329.6307999999</v>
      </c>
    </row>
    <row r="1062" spans="1:43" x14ac:dyDescent="0.25">
      <c r="A1062">
        <v>1061</v>
      </c>
      <c r="B1062" t="s">
        <v>108</v>
      </c>
      <c r="C1062" t="s">
        <v>108</v>
      </c>
      <c r="D1062" t="s">
        <v>109</v>
      </c>
      <c r="F1062" s="1">
        <v>42815</v>
      </c>
      <c r="G1062" s="2">
        <v>92.4</v>
      </c>
      <c r="H1062" s="2"/>
      <c r="I1062" s="2">
        <f t="array" ref="I1062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1062" s="2">
        <v>23</v>
      </c>
      <c r="K1062" s="2">
        <v>-11</v>
      </c>
      <c r="L1062" s="2">
        <v>834.4</v>
      </c>
      <c r="M1062" s="2">
        <f t="array" ref="M1062">_xlfn.IFNA(IF(vp.data[[#This Row],[Dens Input]]="",INDEX([1]DATA!$O$3:$O$9826,MATCH(1,(vp.data[[#This Row],[Battery]]=[1]DATA!$L$3:$L$9826)*(EOMONTH(vp.data[[#This Row],[SDate]],-1)+1=[1]DATA!$G$3:$G$9826),0)),vp.data[[#This Row],[Dens Input]]),"")</f>
        <v>834.4</v>
      </c>
      <c r="N1062" s="2">
        <f ca="1">INDEX(INDIRECT(_xlfn.CONCAT("weather.tbl[",N$1,"]")),MATCH(vp.data[[#This Row],[SDate]],weather.tbl[Date],0))</f>
        <v>-9.8166666666666682</v>
      </c>
      <c r="O1062" s="2">
        <f ca="1">INDEX(INDIRECT(_xlfn.CONCAT("weather.tbl[",O$1,"]")),MATCH(vp.data[[#This Row],[SDate]],weather.tbl[Date],0))</f>
        <v>-2.0214285714285718</v>
      </c>
      <c r="P1062" s="2">
        <f ca="1">INDEX(INDIRECT(_xlfn.CONCAT("weather.tbl[",P$1,"]")),MATCH(vp.data[[#This Row],[SDate]],weather.tbl[Date],0))</f>
        <v>-9.3000000000000007</v>
      </c>
      <c r="Q1062" s="2">
        <f ca="1">INDEX(INDIRECT(_xlfn.CONCAT("weather.tbl[",Q$1,"]")),MATCH(vp.data[[#This Row],[SDate]],weather.tbl[Date],0))</f>
        <v>-8.1999999999999993</v>
      </c>
      <c r="R1062" s="2">
        <f ca="1">INDEX(INDIRECT(_xlfn.CONCAT("weather.tbl[",R$1,"]")),MATCH(vp.data[[#This Row],[SDate]],weather.tbl[Date],0))</f>
        <v>-11.8</v>
      </c>
      <c r="S1062" s="2">
        <f ca="1">INDEX(INDIRECT(_xlfn.CONCAT("weather.tbl[",S$1,"]")),MATCH(vp.data[[#This Row],[SDate]],weather.tbl[Date],0))</f>
        <v>-6.8</v>
      </c>
      <c r="T1062" s="2">
        <f ca="1">INDEX(INDIRECT(_xlfn.CONCAT("weather.tbl[",T$1,"]")),MATCH(vp.data[[#This Row],[SDate]],weather.tbl[Date],0))</f>
        <v>-12.8</v>
      </c>
      <c r="U1062" s="2">
        <f ca="1">INDEX(INDIRECT(_xlfn.CONCAT("weather.tbl[",U$1,"]")),MATCH(vp.data[[#This Row],[SDate]],weather.tbl[Date],0))</f>
        <v>-10</v>
      </c>
      <c r="V1062" s="2">
        <f t="array" ref="V10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9449.0609999999997</v>
      </c>
      <c r="W1062" t="s">
        <v>48</v>
      </c>
      <c r="X1062">
        <f>IF(OR(vp.data[[#This Row],[Sulf]]="",vp.data[[#This Row],[Dens]]=""),1,0)</f>
        <v>0</v>
      </c>
      <c r="Y1062">
        <f>IF(vp.data[[#This Row],[CrudeType]]="C5+",1,0)</f>
        <v>0</v>
      </c>
      <c r="Z1062">
        <f>IF(AND(vp.data[[#This Row],[CrudeType]]="Crude",vp.data[[#This Row],[Dens]]&lt;=825,vp.data[[#This Row],[Sulf]]&gt;0.5,vp.data[[#This Row],[Unknown]]=0),1,0)</f>
        <v>0</v>
      </c>
      <c r="AA1062">
        <f>IF(AND(vp.data[[#This Row],[CrudeType]]="Crude",vp.data[[#This Row],[Dens]]&lt;=825,vp.data[[#This Row],[Sulf]]&lt;=0.5,vp.data[[#This Row],[Unknown]]=0),1,0)</f>
        <v>0</v>
      </c>
      <c r="AB10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2">
        <f>IF(AND(vp.data[[#This Row],[CrudeType]]="Crude",vp.data[[#This Row],[Dens]]&gt;825,vp.data[[#This Row],[Dens]]&lt;=900,vp.data[[#This Row],[Sulf]]&lt;=0.5,vp.data[[#This Row],[Unknown]]=0),1,0)</f>
        <v>0</v>
      </c>
      <c r="AD1062">
        <f>IF(AND(vp.data[[#This Row],[CrudeType]]="Crude",vp.data[[#This Row],[Dens]]&gt;865,vp.data[[#This Row],[Dens]]&lt;=900,vp.data[[#This Row],[Sulf]]&gt;2,vp.data[[#This Row],[Unknown]]=0),1,0)</f>
        <v>0</v>
      </c>
      <c r="AE1062">
        <f>IF(AND(vp.data[[#This Row],[CrudeType]]="Crude",vp.data[[#This Row],[Dens]]&gt;900,vp.data[[#This Row],[Sulf]]&lt;=0.5,vp.data[[#This Row],[Unknown]]=0),1,0)</f>
        <v>0</v>
      </c>
      <c r="AF1062">
        <f>IF(AND(vp.data[[#This Row],[CrudeType]]="Crude",vp.data[[#This Row],[Dens]]&gt;900,vp.data[[#This Row],[Sulf]]&lt;=0.5,vp.data[[#This Row],[Unknown]]=0),1,0)</f>
        <v>0</v>
      </c>
      <c r="AG1062" t="str">
        <f>INDEX(vp.data[[#Headers],[Unknown]:[Heavy_SW]],MATCH(1,vp.data[[#This Row],[Unknown]:[Heavy_SW]],0))</f>
        <v>Medium_LSB</v>
      </c>
      <c r="AH1062">
        <f>INDEX([3]!crudeBD.lkup[Number],MATCH(vp.data[[#This Row],[Crude_Breakdown]],crudeBD.lkup[Crude Breakdown],0))</f>
        <v>3</v>
      </c>
      <c r="AI1062">
        <f>MONTH(vp.data[[#This Row],[SDate]])</f>
        <v>3</v>
      </c>
      <c r="AJ1062" s="5">
        <f>(vp.data[[#This Row],[VP]]-INDEX(crudeBD.lkup[Mean_VP],MATCH(vp.data[[#This Row],[Crude_Breakdown]],crudeBD.lkup[Crude Breakdown],0)))^2</f>
        <v>138.30520765179162</v>
      </c>
      <c r="AK1062" s="5">
        <f>(vp.data[[#This Row],[Dens]]-INDEX(crudeBD.lkup[Mean_Dens],MATCH(vp.data[[#This Row],[Crude_Breakdown]],crudeBD.lkup[Crude Breakdown],0)))^2</f>
        <v>90.630399999990999</v>
      </c>
      <c r="AL1062" s="5">
        <f>(vp.data[[#This Row],[Sulf]]-INDEX(crudeBD.lkup[Mean_Sulf],MATCH(vp.data[[#This Row],[Crude_Breakdown]],crudeBD.lkup[Crude Breakdown],0)))^2</f>
        <v>0.35451083732210947</v>
      </c>
      <c r="AM1062" s="4">
        <f>IF(AND(vp.data[[#This Row],[SDate]]&gt;=DATE(YEAR(vp.data[[#This Row],[SDate]]),5,1),vp.data[[#This Row],[SDate]]&lt;=DATE(YEAR(vp.data[[#This Row],[SDate]]),9,15)),1,0)</f>
        <v>0</v>
      </c>
      <c r="AN1062" s="4">
        <f>IF(vp.data[[#This Row],[SDate]]&lt;DATE(2016,12,1),0,1)</f>
        <v>1</v>
      </c>
      <c r="AO1062" s="4">
        <f>IFERROR(vp.data[[#This Row],[Sulf]]*vp.data[[#This Row],[Net Dens]],"")</f>
        <v>6228594.233736</v>
      </c>
      <c r="AP1062">
        <f>IFERROR(vp.data[[#This Row],[Dens]]*vp.data[[#This Row],[VolumeM3]],"")</f>
        <v>7884296.4983999999</v>
      </c>
      <c r="AQ1062" s="15">
        <f>IFERROR(vp.data[[#This Row],[VP]]*vp.data[[#This Row],[VolumeM3]],"")</f>
        <v>873093.23640000005</v>
      </c>
    </row>
    <row r="1063" spans="1:43" x14ac:dyDescent="0.25">
      <c r="A1063">
        <v>1062</v>
      </c>
      <c r="B1063" t="s">
        <v>62</v>
      </c>
      <c r="C1063" t="s">
        <v>62</v>
      </c>
      <c r="D1063" t="s">
        <v>63</v>
      </c>
      <c r="F1063" s="1">
        <v>42815</v>
      </c>
      <c r="G1063" s="2">
        <v>79.2</v>
      </c>
      <c r="H1063" s="2"/>
      <c r="I1063" s="2">
        <f t="array" ref="I1063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63" s="2">
        <v>21</v>
      </c>
      <c r="K1063" s="2">
        <v>-11</v>
      </c>
      <c r="L1063" s="2">
        <v>837.6</v>
      </c>
      <c r="M1063" s="2">
        <f t="array" ref="M1063">_xlfn.IFNA(IF(vp.data[[#This Row],[Dens Input]]="",INDEX([1]DATA!$O$3:$O$9826,MATCH(1,(vp.data[[#This Row],[Battery]]=[1]DATA!$L$3:$L$9826)*(EOMONTH(vp.data[[#This Row],[SDate]],-1)+1=[1]DATA!$G$3:$G$9826),0)),vp.data[[#This Row],[Dens Input]]),"")</f>
        <v>837.6</v>
      </c>
      <c r="N1063" s="2">
        <f ca="1">INDEX(INDIRECT(_xlfn.CONCAT("weather.tbl[",N$1,"]")),MATCH(vp.data[[#This Row],[SDate]],weather.tbl[Date],0))</f>
        <v>-9.8166666666666682</v>
      </c>
      <c r="O1063" s="2">
        <f ca="1">INDEX(INDIRECT(_xlfn.CONCAT("weather.tbl[",O$1,"]")),MATCH(vp.data[[#This Row],[SDate]],weather.tbl[Date],0))</f>
        <v>-2.0214285714285718</v>
      </c>
      <c r="P1063" s="2">
        <f ca="1">INDEX(INDIRECT(_xlfn.CONCAT("weather.tbl[",P$1,"]")),MATCH(vp.data[[#This Row],[SDate]],weather.tbl[Date],0))</f>
        <v>-9.3000000000000007</v>
      </c>
      <c r="Q1063" s="2">
        <f ca="1">INDEX(INDIRECT(_xlfn.CONCAT("weather.tbl[",Q$1,"]")),MATCH(vp.data[[#This Row],[SDate]],weather.tbl[Date],0))</f>
        <v>-8.1999999999999993</v>
      </c>
      <c r="R1063" s="2">
        <f ca="1">INDEX(INDIRECT(_xlfn.CONCAT("weather.tbl[",R$1,"]")),MATCH(vp.data[[#This Row],[SDate]],weather.tbl[Date],0))</f>
        <v>-11.8</v>
      </c>
      <c r="S1063" s="2">
        <f ca="1">INDEX(INDIRECT(_xlfn.CONCAT("weather.tbl[",S$1,"]")),MATCH(vp.data[[#This Row],[SDate]],weather.tbl[Date],0))</f>
        <v>-6.8</v>
      </c>
      <c r="T1063" s="2">
        <f ca="1">INDEX(INDIRECT(_xlfn.CONCAT("weather.tbl[",T$1,"]")),MATCH(vp.data[[#This Row],[SDate]],weather.tbl[Date],0))</f>
        <v>-12.8</v>
      </c>
      <c r="U1063" s="2">
        <f ca="1">INDEX(INDIRECT(_xlfn.CONCAT("weather.tbl[",U$1,"]")),MATCH(vp.data[[#This Row],[SDate]],weather.tbl[Date],0))</f>
        <v>-10</v>
      </c>
      <c r="V1063" s="2">
        <f t="array" ref="V10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63" t="s">
        <v>48</v>
      </c>
      <c r="X1063">
        <f>IF(OR(vp.data[[#This Row],[Sulf]]="",vp.data[[#This Row],[Dens]]=""),1,0)</f>
        <v>0</v>
      </c>
      <c r="Y1063">
        <f>IF(vp.data[[#This Row],[CrudeType]]="C5+",1,0)</f>
        <v>0</v>
      </c>
      <c r="Z1063">
        <f>IF(AND(vp.data[[#This Row],[CrudeType]]="Crude",vp.data[[#This Row],[Dens]]&lt;=825,vp.data[[#This Row],[Sulf]]&gt;0.5,vp.data[[#This Row],[Unknown]]=0),1,0)</f>
        <v>0</v>
      </c>
      <c r="AA1063">
        <f>IF(AND(vp.data[[#This Row],[CrudeType]]="Crude",vp.data[[#This Row],[Dens]]&lt;=825,vp.data[[#This Row],[Sulf]]&lt;=0.5,vp.data[[#This Row],[Unknown]]=0),1,0)</f>
        <v>0</v>
      </c>
      <c r="AB10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3">
        <f>IF(AND(vp.data[[#This Row],[CrudeType]]="Crude",vp.data[[#This Row],[Dens]]&gt;825,vp.data[[#This Row],[Dens]]&lt;=900,vp.data[[#This Row],[Sulf]]&lt;=0.5,vp.data[[#This Row],[Unknown]]=0),1,0)</f>
        <v>0</v>
      </c>
      <c r="AD1063">
        <f>IF(AND(vp.data[[#This Row],[CrudeType]]="Crude",vp.data[[#This Row],[Dens]]&gt;865,vp.data[[#This Row],[Dens]]&lt;=900,vp.data[[#This Row],[Sulf]]&gt;2,vp.data[[#This Row],[Unknown]]=0),1,0)</f>
        <v>0</v>
      </c>
      <c r="AE1063">
        <f>IF(AND(vp.data[[#This Row],[CrudeType]]="Crude",vp.data[[#This Row],[Dens]]&gt;900,vp.data[[#This Row],[Sulf]]&lt;=0.5,vp.data[[#This Row],[Unknown]]=0),1,0)</f>
        <v>0</v>
      </c>
      <c r="AF1063">
        <f>IF(AND(vp.data[[#This Row],[CrudeType]]="Crude",vp.data[[#This Row],[Dens]]&gt;900,vp.data[[#This Row],[Sulf]]&lt;=0.5,vp.data[[#This Row],[Unknown]]=0),1,0)</f>
        <v>0</v>
      </c>
      <c r="AG1063" t="str">
        <f>INDEX(vp.data[[#Headers],[Unknown]:[Heavy_SW]],MATCH(1,vp.data[[#This Row],[Unknown]:[Heavy_SW]],0))</f>
        <v>Medium_LSB</v>
      </c>
      <c r="AH1063">
        <f>INDEX([3]!crudeBD.lkup[Number],MATCH(vp.data[[#This Row],[Crude_Breakdown]],crudeBD.lkup[Crude Breakdown],0))</f>
        <v>3</v>
      </c>
      <c r="AI1063">
        <f>MONTH(vp.data[[#This Row],[SDate]])</f>
        <v>3</v>
      </c>
      <c r="AJ1063" s="5">
        <f>(vp.data[[#This Row],[VP]]-INDEX(crudeBD.lkup[Mean_VP],MATCH(vp.data[[#This Row],[Crude_Breakdown]],crudeBD.lkup[Crude Breakdown],0)))^2</f>
        <v>2.0726685682316353</v>
      </c>
      <c r="AK1063" s="5">
        <f>(vp.data[[#This Row],[Dens]]-INDEX(crudeBD.lkup[Mean_Dens],MATCH(vp.data[[#This Row],[Crude_Breakdown]],crudeBD.lkup[Crude Breakdown],0)))^2</f>
        <v>39.942399999993448</v>
      </c>
      <c r="AL1063" s="5">
        <f>(vp.data[[#This Row],[Sulf]]-INDEX(crudeBD.lkup[Mean_Sulf],MATCH(vp.data[[#This Row],[Crude_Breakdown]],crudeBD.lkup[Crude Breakdown],0)))^2</f>
        <v>0.12573539662129798</v>
      </c>
      <c r="AM1063" s="4">
        <f>IF(AND(vp.data[[#This Row],[SDate]]&gt;=DATE(YEAR(vp.data[[#This Row],[SDate]]),5,1),vp.data[[#This Row],[SDate]]&lt;=DATE(YEAR(vp.data[[#This Row],[SDate]]),9,15)),1,0)</f>
        <v>0</v>
      </c>
      <c r="AN1063" s="4">
        <f>IF(vp.data[[#This Row],[SDate]]&lt;DATE(2016,12,1),0,1)</f>
        <v>1</v>
      </c>
      <c r="AO1063" s="4">
        <f>IFERROR(vp.data[[#This Row],[Sulf]]*vp.data[[#This Row],[Net Dens]],"")</f>
        <v>10142580.886848001</v>
      </c>
      <c r="AP1063">
        <f>IFERROR(vp.data[[#This Row],[Dens]]*vp.data[[#This Row],[VolumeM3]],"")</f>
        <v>5829069.4752000002</v>
      </c>
      <c r="AQ1063" s="15">
        <f>IFERROR(vp.data[[#This Row],[VP]]*vp.data[[#This Row],[VolumeM3]],"")</f>
        <v>551172.75840000005</v>
      </c>
    </row>
    <row r="1064" spans="1:43" x14ac:dyDescent="0.25">
      <c r="A1064">
        <v>1063</v>
      </c>
      <c r="B1064" t="s">
        <v>68</v>
      </c>
      <c r="C1064" t="s">
        <v>68</v>
      </c>
      <c r="D1064" t="s">
        <v>98</v>
      </c>
      <c r="F1064" s="1">
        <v>42815</v>
      </c>
      <c r="G1064" s="2">
        <v>59.4</v>
      </c>
      <c r="H1064" s="2"/>
      <c r="I1064" s="2">
        <f t="array" ref="I1064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1064" s="2">
        <v>32</v>
      </c>
      <c r="K1064" s="2">
        <v>-11</v>
      </c>
      <c r="L1064" s="2">
        <v>853.2</v>
      </c>
      <c r="M1064" s="2">
        <f t="array" ref="M1064">_xlfn.IFNA(IF(vp.data[[#This Row],[Dens Input]]="",INDEX([1]DATA!$O$3:$O$9826,MATCH(1,(vp.data[[#This Row],[Battery]]=[1]DATA!$L$3:$L$9826)*(EOMONTH(vp.data[[#This Row],[SDate]],-1)+1=[1]DATA!$G$3:$G$9826),0)),vp.data[[#This Row],[Dens Input]]),"")</f>
        <v>853.2</v>
      </c>
      <c r="N1064" s="2">
        <f ca="1">INDEX(INDIRECT(_xlfn.CONCAT("weather.tbl[",N$1,"]")),MATCH(vp.data[[#This Row],[SDate]],weather.tbl[Date],0))</f>
        <v>-9.8166666666666682</v>
      </c>
      <c r="O1064" s="2">
        <f ca="1">INDEX(INDIRECT(_xlfn.CONCAT("weather.tbl[",O$1,"]")),MATCH(vp.data[[#This Row],[SDate]],weather.tbl[Date],0))</f>
        <v>-2.0214285714285718</v>
      </c>
      <c r="P1064" s="2">
        <f ca="1">INDEX(INDIRECT(_xlfn.CONCAT("weather.tbl[",P$1,"]")),MATCH(vp.data[[#This Row],[SDate]],weather.tbl[Date],0))</f>
        <v>-9.3000000000000007</v>
      </c>
      <c r="Q1064" s="2">
        <f ca="1">INDEX(INDIRECT(_xlfn.CONCAT("weather.tbl[",Q$1,"]")),MATCH(vp.data[[#This Row],[SDate]],weather.tbl[Date],0))</f>
        <v>-8.1999999999999993</v>
      </c>
      <c r="R1064" s="2">
        <f ca="1">INDEX(INDIRECT(_xlfn.CONCAT("weather.tbl[",R$1,"]")),MATCH(vp.data[[#This Row],[SDate]],weather.tbl[Date],0))</f>
        <v>-11.8</v>
      </c>
      <c r="S1064" s="2">
        <f ca="1">INDEX(INDIRECT(_xlfn.CONCAT("weather.tbl[",S$1,"]")),MATCH(vp.data[[#This Row],[SDate]],weather.tbl[Date],0))</f>
        <v>-6.8</v>
      </c>
      <c r="T1064" s="2">
        <f ca="1">INDEX(INDIRECT(_xlfn.CONCAT("weather.tbl[",T$1,"]")),MATCH(vp.data[[#This Row],[SDate]],weather.tbl[Date],0))</f>
        <v>-12.8</v>
      </c>
      <c r="U1064" s="2">
        <f ca="1">INDEX(INDIRECT(_xlfn.CONCAT("weather.tbl[",U$1,"]")),MATCH(vp.data[[#This Row],[SDate]],weather.tbl[Date],0))</f>
        <v>-10</v>
      </c>
      <c r="V1064" s="2">
        <f t="array" ref="V10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4943.8360000000002</v>
      </c>
      <c r="W1064" t="s">
        <v>48</v>
      </c>
      <c r="X1064">
        <f>IF(OR(vp.data[[#This Row],[Sulf]]="",vp.data[[#This Row],[Dens]]=""),1,0)</f>
        <v>0</v>
      </c>
      <c r="Y1064">
        <f>IF(vp.data[[#This Row],[CrudeType]]="C5+",1,0)</f>
        <v>0</v>
      </c>
      <c r="Z1064">
        <f>IF(AND(vp.data[[#This Row],[CrudeType]]="Crude",vp.data[[#This Row],[Dens]]&lt;=825,vp.data[[#This Row],[Sulf]]&gt;0.5,vp.data[[#This Row],[Unknown]]=0),1,0)</f>
        <v>0</v>
      </c>
      <c r="AA1064">
        <f>IF(AND(vp.data[[#This Row],[CrudeType]]="Crude",vp.data[[#This Row],[Dens]]&lt;=825,vp.data[[#This Row],[Sulf]]&lt;=0.5,vp.data[[#This Row],[Unknown]]=0),1,0)</f>
        <v>0</v>
      </c>
      <c r="AB10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4">
        <f>IF(AND(vp.data[[#This Row],[CrudeType]]="Crude",vp.data[[#This Row],[Dens]]&gt;825,vp.data[[#This Row],[Dens]]&lt;=900,vp.data[[#This Row],[Sulf]]&lt;=0.5,vp.data[[#This Row],[Unknown]]=0),1,0)</f>
        <v>0</v>
      </c>
      <c r="AD1064">
        <f>IF(AND(vp.data[[#This Row],[CrudeType]]="Crude",vp.data[[#This Row],[Dens]]&gt;865,vp.data[[#This Row],[Dens]]&lt;=900,vp.data[[#This Row],[Sulf]]&gt;2,vp.data[[#This Row],[Unknown]]=0),1,0)</f>
        <v>0</v>
      </c>
      <c r="AE1064">
        <f>IF(AND(vp.data[[#This Row],[CrudeType]]="Crude",vp.data[[#This Row],[Dens]]&gt;900,vp.data[[#This Row],[Sulf]]&lt;=0.5,vp.data[[#This Row],[Unknown]]=0),1,0)</f>
        <v>0</v>
      </c>
      <c r="AF1064">
        <f>IF(AND(vp.data[[#This Row],[CrudeType]]="Crude",vp.data[[#This Row],[Dens]]&gt;900,vp.data[[#This Row],[Sulf]]&lt;=0.5,vp.data[[#This Row],[Unknown]]=0),1,0)</f>
        <v>0</v>
      </c>
      <c r="AG1064" t="str">
        <f>INDEX(vp.data[[#Headers],[Unknown]:[Heavy_SW]],MATCH(1,vp.data[[#This Row],[Unknown]:[Heavy_SW]],0))</f>
        <v>Medium_LSB</v>
      </c>
      <c r="AH1064">
        <f>INDEX([3]!crudeBD.lkup[Number],MATCH(vp.data[[#This Row],[Crude_Breakdown]],crudeBD.lkup[Crude Breakdown],0))</f>
        <v>3</v>
      </c>
      <c r="AI1064">
        <f>MONTH(vp.data[[#This Row],[SDate]])</f>
        <v>3</v>
      </c>
      <c r="AJ1064" s="5">
        <f>(vp.data[[#This Row],[VP]]-INDEX(crudeBD.lkup[Mean_VP],MATCH(vp.data[[#This Row],[Crude_Breakdown]],crudeBD.lkup[Crude Breakdown],0)))^2</f>
        <v>451.12385994289195</v>
      </c>
      <c r="AK1064" s="5">
        <f>(vp.data[[#This Row],[Dens]]-INDEX(crudeBD.lkup[Mean_Dens],MATCH(vp.data[[#This Row],[Crude_Breakdown]],crudeBD.lkup[Crude Breakdown],0)))^2</f>
        <v>86.118400000010041</v>
      </c>
      <c r="AL1064" s="5">
        <f>(vp.data[[#This Row],[Sulf]]-INDEX(crudeBD.lkup[Mean_Sulf],MATCH(vp.data[[#This Row],[Crude_Breakdown]],crudeBD.lkup[Crude Breakdown],0)))^2</f>
        <v>3.07680109070139E-2</v>
      </c>
      <c r="AM1064" s="4">
        <f>IF(AND(vp.data[[#This Row],[SDate]]&gt;=DATE(YEAR(vp.data[[#This Row],[SDate]]),5,1),vp.data[[#This Row],[SDate]]&lt;=DATE(YEAR(vp.data[[#This Row],[SDate]]),9,15)),1,0)</f>
        <v>0</v>
      </c>
      <c r="AN1064" s="4">
        <f>IF(vp.data[[#This Row],[SDate]]&lt;DATE(2016,12,1),0,1)</f>
        <v>1</v>
      </c>
      <c r="AO1064" s="4">
        <f>IFERROR(vp.data[[#This Row],[Sulf]]*vp.data[[#This Row],[Net Dens]],"")</f>
        <v>5103877.8589920001</v>
      </c>
      <c r="AP1064">
        <f>IFERROR(vp.data[[#This Row],[Dens]]*vp.data[[#This Row],[VolumeM3]],"")</f>
        <v>4218080.8752000006</v>
      </c>
      <c r="AQ1064" s="15">
        <f>IFERROR(vp.data[[#This Row],[VP]]*vp.data[[#This Row],[VolumeM3]],"")</f>
        <v>293663.85840000003</v>
      </c>
    </row>
    <row r="1065" spans="1:43" x14ac:dyDescent="0.25">
      <c r="A1065">
        <v>1064</v>
      </c>
      <c r="B1065" t="s">
        <v>68</v>
      </c>
      <c r="C1065" t="s">
        <v>68</v>
      </c>
      <c r="D1065" t="s">
        <v>110</v>
      </c>
      <c r="F1065" s="1">
        <v>42815</v>
      </c>
      <c r="G1065" s="2">
        <v>67</v>
      </c>
      <c r="H1065" s="2"/>
      <c r="I1065" s="2">
        <f t="array" ref="I1065">_xlfn.IFNA(IF(vp.data[[#This Row],[Sulf Input]]="",INDEX([1]DATA!$Q$3:$Q$9826,MATCH(1,(vp.data[[#This Row],[Battery]]=[1]DATA!$L$3:$L$9826)*(EOMONTH(vp.data[[#This Row],[SDate]],-1)+1=[1]DATA!$G$3:$G$9826),0)),vp.data[[#This Row],[Sulf Input]]),"")</f>
        <v>1.41</v>
      </c>
      <c r="J1065" s="2">
        <v>32</v>
      </c>
      <c r="K1065" s="2">
        <v>-11</v>
      </c>
      <c r="L1065" s="2">
        <v>853.9</v>
      </c>
      <c r="M1065" s="2">
        <f t="array" ref="M1065">_xlfn.IFNA(IF(vp.data[[#This Row],[Dens Input]]="",INDEX([1]DATA!$O$3:$O$9826,MATCH(1,(vp.data[[#This Row],[Battery]]=[1]DATA!$L$3:$L$9826)*(EOMONTH(vp.data[[#This Row],[SDate]],-1)+1=[1]DATA!$G$3:$G$9826),0)),vp.data[[#This Row],[Dens Input]]),"")</f>
        <v>853.9</v>
      </c>
      <c r="N1065" s="2">
        <f ca="1">INDEX(INDIRECT(_xlfn.CONCAT("weather.tbl[",N$1,"]")),MATCH(vp.data[[#This Row],[SDate]],weather.tbl[Date],0))</f>
        <v>-9.8166666666666682</v>
      </c>
      <c r="O1065" s="2">
        <f ca="1">INDEX(INDIRECT(_xlfn.CONCAT("weather.tbl[",O$1,"]")),MATCH(vp.data[[#This Row],[SDate]],weather.tbl[Date],0))</f>
        <v>-2.0214285714285718</v>
      </c>
      <c r="P1065" s="2">
        <f ca="1">INDEX(INDIRECT(_xlfn.CONCAT("weather.tbl[",P$1,"]")),MATCH(vp.data[[#This Row],[SDate]],weather.tbl[Date],0))</f>
        <v>-9.3000000000000007</v>
      </c>
      <c r="Q1065" s="2">
        <f ca="1">INDEX(INDIRECT(_xlfn.CONCAT("weather.tbl[",Q$1,"]")),MATCH(vp.data[[#This Row],[SDate]],weather.tbl[Date],0))</f>
        <v>-8.1999999999999993</v>
      </c>
      <c r="R1065" s="2">
        <f ca="1">INDEX(INDIRECT(_xlfn.CONCAT("weather.tbl[",R$1,"]")),MATCH(vp.data[[#This Row],[SDate]],weather.tbl[Date],0))</f>
        <v>-11.8</v>
      </c>
      <c r="S1065" s="2">
        <f ca="1">INDEX(INDIRECT(_xlfn.CONCAT("weather.tbl[",S$1,"]")),MATCH(vp.data[[#This Row],[SDate]],weather.tbl[Date],0))</f>
        <v>-6.8</v>
      </c>
      <c r="T1065" s="2">
        <f ca="1">INDEX(INDIRECT(_xlfn.CONCAT("weather.tbl[",T$1,"]")),MATCH(vp.data[[#This Row],[SDate]],weather.tbl[Date],0))</f>
        <v>-12.8</v>
      </c>
      <c r="U1065" s="2">
        <f ca="1">INDEX(INDIRECT(_xlfn.CONCAT("weather.tbl[",U$1,"]")),MATCH(vp.data[[#This Row],[SDate]],weather.tbl[Date],0))</f>
        <v>-10</v>
      </c>
      <c r="V1065" s="2">
        <f t="array" ref="V10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4854.1400000000003</v>
      </c>
      <c r="W1065" t="s">
        <v>48</v>
      </c>
      <c r="X1065">
        <f>IF(OR(vp.data[[#This Row],[Sulf]]="",vp.data[[#This Row],[Dens]]=""),1,0)</f>
        <v>0</v>
      </c>
      <c r="Y1065">
        <f>IF(vp.data[[#This Row],[CrudeType]]="C5+",1,0)</f>
        <v>0</v>
      </c>
      <c r="Z1065">
        <f>IF(AND(vp.data[[#This Row],[CrudeType]]="Crude",vp.data[[#This Row],[Dens]]&lt;=825,vp.data[[#This Row],[Sulf]]&gt;0.5,vp.data[[#This Row],[Unknown]]=0),1,0)</f>
        <v>0</v>
      </c>
      <c r="AA1065">
        <f>IF(AND(vp.data[[#This Row],[CrudeType]]="Crude",vp.data[[#This Row],[Dens]]&lt;=825,vp.data[[#This Row],[Sulf]]&lt;=0.5,vp.data[[#This Row],[Unknown]]=0),1,0)</f>
        <v>0</v>
      </c>
      <c r="AB10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5">
        <f>IF(AND(vp.data[[#This Row],[CrudeType]]="Crude",vp.data[[#This Row],[Dens]]&gt;825,vp.data[[#This Row],[Dens]]&lt;=900,vp.data[[#This Row],[Sulf]]&lt;=0.5,vp.data[[#This Row],[Unknown]]=0),1,0)</f>
        <v>0</v>
      </c>
      <c r="AD1065">
        <f>IF(AND(vp.data[[#This Row],[CrudeType]]="Crude",vp.data[[#This Row],[Dens]]&gt;865,vp.data[[#This Row],[Dens]]&lt;=900,vp.data[[#This Row],[Sulf]]&gt;2,vp.data[[#This Row],[Unknown]]=0),1,0)</f>
        <v>0</v>
      </c>
      <c r="AE1065">
        <f>IF(AND(vp.data[[#This Row],[CrudeType]]="Crude",vp.data[[#This Row],[Dens]]&gt;900,vp.data[[#This Row],[Sulf]]&lt;=0.5,vp.data[[#This Row],[Unknown]]=0),1,0)</f>
        <v>0</v>
      </c>
      <c r="AF1065">
        <f>IF(AND(vp.data[[#This Row],[CrudeType]]="Crude",vp.data[[#This Row],[Dens]]&gt;900,vp.data[[#This Row],[Sulf]]&lt;=0.5,vp.data[[#This Row],[Unknown]]=0),1,0)</f>
        <v>0</v>
      </c>
      <c r="AG1065" t="str">
        <f>INDEX(vp.data[[#Headers],[Unknown]:[Heavy_SW]],MATCH(1,vp.data[[#This Row],[Unknown]:[Heavy_SW]],0))</f>
        <v>Medium_LSB</v>
      </c>
      <c r="AH1065">
        <f>INDEX([3]!crudeBD.lkup[Number],MATCH(vp.data[[#This Row],[Crude_Breakdown]],crudeBD.lkup[Crude Breakdown],0))</f>
        <v>3</v>
      </c>
      <c r="AI1065">
        <f>MONTH(vp.data[[#This Row],[SDate]])</f>
        <v>3</v>
      </c>
      <c r="AJ1065" s="5">
        <f>(vp.data[[#This Row],[VP]]-INDEX(crudeBD.lkup[Mean_VP],MATCH(vp.data[[#This Row],[Crude_Breakdown]],crudeBD.lkup[Crude Breakdown],0)))^2</f>
        <v>186.04077638494149</v>
      </c>
      <c r="AK1065" s="5">
        <f>(vp.data[[#This Row],[Dens]]-INDEX(crudeBD.lkup[Mean_Dens],MATCH(vp.data[[#This Row],[Crude_Breakdown]],crudeBD.lkup[Crude Breakdown],0)))^2</f>
        <v>99.600400000009444</v>
      </c>
      <c r="AL1065" s="5">
        <f>(vp.data[[#This Row],[Sulf]]-INDEX(crudeBD.lkup[Mean_Sulf],MATCH(vp.data[[#This Row],[Crude_Breakdown]],crudeBD.lkup[Crude Breakdown],0)))^2</f>
        <v>6.0476023315882729E-4</v>
      </c>
      <c r="AM1065" s="4">
        <f>IF(AND(vp.data[[#This Row],[SDate]]&gt;=DATE(YEAR(vp.data[[#This Row],[SDate]]),5,1),vp.data[[#This Row],[SDate]]&lt;=DATE(YEAR(vp.data[[#This Row],[SDate]]),9,15)),1,0)</f>
        <v>0</v>
      </c>
      <c r="AN1065" s="4">
        <f>IF(vp.data[[#This Row],[SDate]]&lt;DATE(2016,12,1),0,1)</f>
        <v>1</v>
      </c>
      <c r="AO1065" s="4">
        <f>IFERROR(vp.data[[#This Row],[Sulf]]*vp.data[[#This Row],[Net Dens]],"")</f>
        <v>5844379.7058600001</v>
      </c>
      <c r="AP1065">
        <f>IFERROR(vp.data[[#This Row],[Dens]]*vp.data[[#This Row],[VolumeM3]],"")</f>
        <v>4144950.1460000002</v>
      </c>
      <c r="AQ1065" s="15">
        <f>IFERROR(vp.data[[#This Row],[VP]]*vp.data[[#This Row],[VolumeM3]],"")</f>
        <v>325227.38</v>
      </c>
    </row>
    <row r="1066" spans="1:43" x14ac:dyDescent="0.25">
      <c r="A1066">
        <v>1065</v>
      </c>
      <c r="B1066" t="s">
        <v>68</v>
      </c>
      <c r="C1066" t="s">
        <v>68</v>
      </c>
      <c r="D1066" t="s">
        <v>69</v>
      </c>
      <c r="F1066" s="1">
        <v>42815</v>
      </c>
      <c r="G1066" s="2">
        <v>72.400000000000006</v>
      </c>
      <c r="H1066" s="2"/>
      <c r="I1066" s="2">
        <f t="array" ref="I1066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1066" s="2">
        <v>19</v>
      </c>
      <c r="K1066" s="2">
        <v>-11</v>
      </c>
      <c r="L1066" s="2">
        <v>861.8</v>
      </c>
      <c r="M1066" s="2">
        <f t="array" ref="M1066">_xlfn.IFNA(IF(vp.data[[#This Row],[Dens Input]]="",INDEX([1]DATA!$O$3:$O$9826,MATCH(1,(vp.data[[#This Row],[Battery]]=[1]DATA!$L$3:$L$9826)*(EOMONTH(vp.data[[#This Row],[SDate]],-1)+1=[1]DATA!$G$3:$G$9826),0)),vp.data[[#This Row],[Dens Input]]),"")</f>
        <v>861.8</v>
      </c>
      <c r="N1066" s="2">
        <f ca="1">INDEX(INDIRECT(_xlfn.CONCAT("weather.tbl[",N$1,"]")),MATCH(vp.data[[#This Row],[SDate]],weather.tbl[Date],0))</f>
        <v>-9.8166666666666682</v>
      </c>
      <c r="O1066" s="2">
        <f ca="1">INDEX(INDIRECT(_xlfn.CONCAT("weather.tbl[",O$1,"]")),MATCH(vp.data[[#This Row],[SDate]],weather.tbl[Date],0))</f>
        <v>-2.0214285714285718</v>
      </c>
      <c r="P1066" s="2">
        <f ca="1">INDEX(INDIRECT(_xlfn.CONCAT("weather.tbl[",P$1,"]")),MATCH(vp.data[[#This Row],[SDate]],weather.tbl[Date],0))</f>
        <v>-9.3000000000000007</v>
      </c>
      <c r="Q1066" s="2">
        <f ca="1">INDEX(INDIRECT(_xlfn.CONCAT("weather.tbl[",Q$1,"]")),MATCH(vp.data[[#This Row],[SDate]],weather.tbl[Date],0))</f>
        <v>-8.1999999999999993</v>
      </c>
      <c r="R1066" s="2">
        <f ca="1">INDEX(INDIRECT(_xlfn.CONCAT("weather.tbl[",R$1,"]")),MATCH(vp.data[[#This Row],[SDate]],weather.tbl[Date],0))</f>
        <v>-11.8</v>
      </c>
      <c r="S1066" s="2">
        <f ca="1">INDEX(INDIRECT(_xlfn.CONCAT("weather.tbl[",S$1,"]")),MATCH(vp.data[[#This Row],[SDate]],weather.tbl[Date],0))</f>
        <v>-6.8</v>
      </c>
      <c r="T1066" s="2">
        <f ca="1">INDEX(INDIRECT(_xlfn.CONCAT("weather.tbl[",T$1,"]")),MATCH(vp.data[[#This Row],[SDate]],weather.tbl[Date],0))</f>
        <v>-12.8</v>
      </c>
      <c r="U1066" s="2">
        <f ca="1">INDEX(INDIRECT(_xlfn.CONCAT("weather.tbl[",U$1,"]")),MATCH(vp.data[[#This Row],[SDate]],weather.tbl[Date],0))</f>
        <v>-10</v>
      </c>
      <c r="V1066" s="2">
        <f t="array" ref="V10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1425.6389999999999</v>
      </c>
      <c r="W1066" t="s">
        <v>48</v>
      </c>
      <c r="X1066">
        <f>IF(OR(vp.data[[#This Row],[Sulf]]="",vp.data[[#This Row],[Dens]]=""),1,0)</f>
        <v>0</v>
      </c>
      <c r="Y1066">
        <f>IF(vp.data[[#This Row],[CrudeType]]="C5+",1,0)</f>
        <v>0</v>
      </c>
      <c r="Z1066">
        <f>IF(AND(vp.data[[#This Row],[CrudeType]]="Crude",vp.data[[#This Row],[Dens]]&lt;=825,vp.data[[#This Row],[Sulf]]&gt;0.5,vp.data[[#This Row],[Unknown]]=0),1,0)</f>
        <v>0</v>
      </c>
      <c r="AA1066">
        <f>IF(AND(vp.data[[#This Row],[CrudeType]]="Crude",vp.data[[#This Row],[Dens]]&lt;=825,vp.data[[#This Row],[Sulf]]&lt;=0.5,vp.data[[#This Row],[Unknown]]=0),1,0)</f>
        <v>0</v>
      </c>
      <c r="AB10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6">
        <f>IF(AND(vp.data[[#This Row],[CrudeType]]="Crude",vp.data[[#This Row],[Dens]]&gt;825,vp.data[[#This Row],[Dens]]&lt;=900,vp.data[[#This Row],[Sulf]]&lt;=0.5,vp.data[[#This Row],[Unknown]]=0),1,0)</f>
        <v>0</v>
      </c>
      <c r="AD1066">
        <f>IF(AND(vp.data[[#This Row],[CrudeType]]="Crude",vp.data[[#This Row],[Dens]]&gt;865,vp.data[[#This Row],[Dens]]&lt;=900,vp.data[[#This Row],[Sulf]]&gt;2,vp.data[[#This Row],[Unknown]]=0),1,0)</f>
        <v>0</v>
      </c>
      <c r="AE1066">
        <f>IF(AND(vp.data[[#This Row],[CrudeType]]="Crude",vp.data[[#This Row],[Dens]]&gt;900,vp.data[[#This Row],[Sulf]]&lt;=0.5,vp.data[[#This Row],[Unknown]]=0),1,0)</f>
        <v>0</v>
      </c>
      <c r="AF1066">
        <f>IF(AND(vp.data[[#This Row],[CrudeType]]="Crude",vp.data[[#This Row],[Dens]]&gt;900,vp.data[[#This Row],[Sulf]]&lt;=0.5,vp.data[[#This Row],[Unknown]]=0),1,0)</f>
        <v>0</v>
      </c>
      <c r="AG1066" t="str">
        <f>INDEX(vp.data[[#Headers],[Unknown]:[Heavy_SW]],MATCH(1,vp.data[[#This Row],[Unknown]:[Heavy_SW]],0))</f>
        <v>Medium_LSB</v>
      </c>
      <c r="AH1066">
        <f>INDEX([3]!crudeBD.lkup[Number],MATCH(vp.data[[#This Row],[Crude_Breakdown]],crudeBD.lkup[Crude Breakdown],0))</f>
        <v>3</v>
      </c>
      <c r="AI1066">
        <f>MONTH(vp.data[[#This Row],[SDate]])</f>
        <v>3</v>
      </c>
      <c r="AJ1066" s="5">
        <f>(vp.data[[#This Row],[VP]]-INDEX(crudeBD.lkup[Mean_VP],MATCH(vp.data[[#This Row],[Crude_Breakdown]],crudeBD.lkup[Crude Breakdown],0)))^2</f>
        <v>67.892269646397693</v>
      </c>
      <c r="AK1066" s="5">
        <f>(vp.data[[#This Row],[Dens]]-INDEX(crudeBD.lkup[Mean_Dens],MATCH(vp.data[[#This Row],[Crude_Breakdown]],crudeBD.lkup[Crude Breakdown],0)))^2</f>
        <v>319.69440000001612</v>
      </c>
      <c r="AL1066" s="5">
        <f>(vp.data[[#This Row],[Sulf]]-INDEX(crudeBD.lkup[Mean_Sulf],MATCH(vp.data[[#This Row],[Crude_Breakdown]],crudeBD.lkup[Crude Breakdown],0)))^2</f>
        <v>9.8968046756068975E-2</v>
      </c>
      <c r="AM1066" s="4">
        <f>IF(AND(vp.data[[#This Row],[SDate]]&gt;=DATE(YEAR(vp.data[[#This Row],[SDate]]),5,1),vp.data[[#This Row],[SDate]]&lt;=DATE(YEAR(vp.data[[#This Row],[SDate]]),9,15)),1,0)</f>
        <v>0</v>
      </c>
      <c r="AN1066" s="4">
        <f>IF(vp.data[[#This Row],[SDate]]&lt;DATE(2016,12,1),0,1)</f>
        <v>1</v>
      </c>
      <c r="AO1066" s="4">
        <f>IFERROR(vp.data[[#This Row],[Sulf]]*vp.data[[#This Row],[Net Dens]],"")</f>
        <v>2088646.6733399997</v>
      </c>
      <c r="AP1066">
        <f>IFERROR(vp.data[[#This Row],[Dens]]*vp.data[[#This Row],[VolumeM3]],"")</f>
        <v>1228615.6901999998</v>
      </c>
      <c r="AQ1066" s="15">
        <f>IFERROR(vp.data[[#This Row],[VP]]*vp.data[[#This Row],[VolumeM3]],"")</f>
        <v>103216.26360000001</v>
      </c>
    </row>
    <row r="1067" spans="1:43" x14ac:dyDescent="0.25">
      <c r="A1067">
        <v>1066</v>
      </c>
      <c r="B1067" t="s">
        <v>46</v>
      </c>
      <c r="C1067" t="s">
        <v>46</v>
      </c>
      <c r="D1067" t="s">
        <v>47</v>
      </c>
      <c r="F1067" s="1">
        <v>42815</v>
      </c>
      <c r="G1067" s="2">
        <v>58.7</v>
      </c>
      <c r="H1067" s="2"/>
      <c r="I1067" s="2">
        <f t="array" ref="I1067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1067" s="2">
        <v>27</v>
      </c>
      <c r="K1067" s="2">
        <v>-11</v>
      </c>
      <c r="L1067" s="2">
        <v>867.7</v>
      </c>
      <c r="M1067" s="2">
        <f t="array" ref="M1067">_xlfn.IFNA(IF(vp.data[[#This Row],[Dens Input]]="",INDEX([1]DATA!$O$3:$O$9826,MATCH(1,(vp.data[[#This Row],[Battery]]=[1]DATA!$L$3:$L$9826)*(EOMONTH(vp.data[[#This Row],[SDate]],-1)+1=[1]DATA!$G$3:$G$9826),0)),vp.data[[#This Row],[Dens Input]]),"")</f>
        <v>867.7</v>
      </c>
      <c r="N1067" s="2">
        <f ca="1">INDEX(INDIRECT(_xlfn.CONCAT("weather.tbl[",N$1,"]")),MATCH(vp.data[[#This Row],[SDate]],weather.tbl[Date],0))</f>
        <v>-9.8166666666666682</v>
      </c>
      <c r="O1067" s="2">
        <f ca="1">INDEX(INDIRECT(_xlfn.CONCAT("weather.tbl[",O$1,"]")),MATCH(vp.data[[#This Row],[SDate]],weather.tbl[Date],0))</f>
        <v>-2.0214285714285718</v>
      </c>
      <c r="P1067" s="2">
        <f ca="1">INDEX(INDIRECT(_xlfn.CONCAT("weather.tbl[",P$1,"]")),MATCH(vp.data[[#This Row],[SDate]],weather.tbl[Date],0))</f>
        <v>-9.3000000000000007</v>
      </c>
      <c r="Q1067" s="2">
        <f ca="1">INDEX(INDIRECT(_xlfn.CONCAT("weather.tbl[",Q$1,"]")),MATCH(vp.data[[#This Row],[SDate]],weather.tbl[Date],0))</f>
        <v>-8.1999999999999993</v>
      </c>
      <c r="R1067" s="2">
        <f ca="1">INDEX(INDIRECT(_xlfn.CONCAT("weather.tbl[",R$1,"]")),MATCH(vp.data[[#This Row],[SDate]],weather.tbl[Date],0))</f>
        <v>-11.8</v>
      </c>
      <c r="S1067" s="2">
        <f ca="1">INDEX(INDIRECT(_xlfn.CONCAT("weather.tbl[",S$1,"]")),MATCH(vp.data[[#This Row],[SDate]],weather.tbl[Date],0))</f>
        <v>-6.8</v>
      </c>
      <c r="T1067" s="2">
        <f ca="1">INDEX(INDIRECT(_xlfn.CONCAT("weather.tbl[",T$1,"]")),MATCH(vp.data[[#This Row],[SDate]],weather.tbl[Date],0))</f>
        <v>-12.8</v>
      </c>
      <c r="U1067" s="2">
        <f ca="1">INDEX(INDIRECT(_xlfn.CONCAT("weather.tbl[",U$1,"]")),MATCH(vp.data[[#This Row],[SDate]],weather.tbl[Date],0))</f>
        <v>-10</v>
      </c>
      <c r="V1067" s="2">
        <f t="array" ref="V10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118908.394</v>
      </c>
      <c r="W1067" t="s">
        <v>48</v>
      </c>
      <c r="X1067">
        <f>IF(OR(vp.data[[#This Row],[Sulf]]="",vp.data[[#This Row],[Dens]]=""),1,0)</f>
        <v>0</v>
      </c>
      <c r="Y1067">
        <f>IF(vp.data[[#This Row],[CrudeType]]="C5+",1,0)</f>
        <v>0</v>
      </c>
      <c r="Z1067">
        <f>IF(AND(vp.data[[#This Row],[CrudeType]]="Crude",vp.data[[#This Row],[Dens]]&lt;=825,vp.data[[#This Row],[Sulf]]&gt;0.5,vp.data[[#This Row],[Unknown]]=0),1,0)</f>
        <v>0</v>
      </c>
      <c r="AA1067">
        <f>IF(AND(vp.data[[#This Row],[CrudeType]]="Crude",vp.data[[#This Row],[Dens]]&lt;=825,vp.data[[#This Row],[Sulf]]&lt;=0.5,vp.data[[#This Row],[Unknown]]=0),1,0)</f>
        <v>0</v>
      </c>
      <c r="AB10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67">
        <f>IF(AND(vp.data[[#This Row],[CrudeType]]="Crude",vp.data[[#This Row],[Dens]]&gt;825,vp.data[[#This Row],[Dens]]&lt;=900,vp.data[[#This Row],[Sulf]]&lt;=0.5,vp.data[[#This Row],[Unknown]]=0),1,0)</f>
        <v>0</v>
      </c>
      <c r="AD1067">
        <f>IF(AND(vp.data[[#This Row],[CrudeType]]="Crude",vp.data[[#This Row],[Dens]]&gt;865,vp.data[[#This Row],[Dens]]&lt;=900,vp.data[[#This Row],[Sulf]]&gt;2,vp.data[[#This Row],[Unknown]]=0),1,0)</f>
        <v>1</v>
      </c>
      <c r="AE1067">
        <f>IF(AND(vp.data[[#This Row],[CrudeType]]="Crude",vp.data[[#This Row],[Dens]]&gt;900,vp.data[[#This Row],[Sulf]]&lt;=0.5,vp.data[[#This Row],[Unknown]]=0),1,0)</f>
        <v>0</v>
      </c>
      <c r="AF1067">
        <f>IF(AND(vp.data[[#This Row],[CrudeType]]="Crude",vp.data[[#This Row],[Dens]]&gt;900,vp.data[[#This Row],[Sulf]]&lt;=0.5,vp.data[[#This Row],[Unknown]]=0),1,0)</f>
        <v>0</v>
      </c>
      <c r="AG1067" t="str">
        <f>INDEX(vp.data[[#Headers],[Unknown]:[Heavy_SW]],MATCH(1,vp.data[[#This Row],[Unknown]:[Heavy_SW]],0))</f>
        <v>Midale</v>
      </c>
      <c r="AH1067">
        <f>INDEX([3]!crudeBD.lkup[Number],MATCH(vp.data[[#This Row],[Crude_Breakdown]],crudeBD.lkup[Crude Breakdown],0))</f>
        <v>5</v>
      </c>
      <c r="AI1067">
        <f>MONTH(vp.data[[#This Row],[SDate]])</f>
        <v>3</v>
      </c>
      <c r="AJ1067" s="5">
        <f>(vp.data[[#This Row],[VP]]-INDEX(crudeBD.lkup[Mean_VP],MATCH(vp.data[[#This Row],[Crude_Breakdown]],crudeBD.lkup[Crude Breakdown],0)))^2</f>
        <v>114.67760256137802</v>
      </c>
      <c r="AK1067" s="5">
        <f>(vp.data[[#This Row],[Dens]]-INDEX(crudeBD.lkup[Mean_Dens],MATCH(vp.data[[#This Row],[Crude_Breakdown]],crudeBD.lkup[Crude Breakdown],0)))^2</f>
        <v>50.651835742378047</v>
      </c>
      <c r="AL1067" s="5">
        <f>(vp.data[[#This Row],[Sulf]]-INDEX(crudeBD.lkup[Mean_Sulf],MATCH(vp.data[[#This Row],[Crude_Breakdown]],crudeBD.lkup[Crude Breakdown],0)))^2</f>
        <v>4.0469403660429899E-3</v>
      </c>
      <c r="AM1067" s="4">
        <f>IF(AND(vp.data[[#This Row],[SDate]]&gt;=DATE(YEAR(vp.data[[#This Row],[SDate]]),5,1),vp.data[[#This Row],[SDate]]&lt;=DATE(YEAR(vp.data[[#This Row],[SDate]]),9,15)),1,0)</f>
        <v>0</v>
      </c>
      <c r="AN1067" s="4">
        <f>IF(vp.data[[#This Row],[SDate]]&lt;DATE(2016,12,1),0,1)</f>
        <v>1</v>
      </c>
      <c r="AO1067" s="4">
        <f>IFERROR(vp.data[[#This Row],[Sulf]]*vp.data[[#This Row],[Net Dens]],"")</f>
        <v>245560816.067644</v>
      </c>
      <c r="AP1067">
        <f>IFERROR(vp.data[[#This Row],[Dens]]*vp.data[[#This Row],[VolumeM3]],"")</f>
        <v>103176813.4738</v>
      </c>
      <c r="AQ1067" s="15">
        <f>IFERROR(vp.data[[#This Row],[VP]]*vp.data[[#This Row],[VolumeM3]],"")</f>
        <v>6979922.7278000005</v>
      </c>
    </row>
    <row r="1068" spans="1:43" x14ac:dyDescent="0.25">
      <c r="A1068">
        <v>1067</v>
      </c>
      <c r="B1068" t="s">
        <v>108</v>
      </c>
      <c r="C1068" t="s">
        <v>108</v>
      </c>
      <c r="D1068" t="s">
        <v>209</v>
      </c>
      <c r="F1068" s="1">
        <v>42815</v>
      </c>
      <c r="G1068" s="2">
        <v>67.400000000000006</v>
      </c>
      <c r="H1068" s="2"/>
      <c r="I1068" s="2">
        <f t="array" ref="I1068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068" s="2">
        <v>4</v>
      </c>
      <c r="K1068" s="2">
        <v>-30</v>
      </c>
      <c r="L1068" s="2">
        <v>868.2</v>
      </c>
      <c r="M1068" s="2">
        <f t="array" ref="M1068">_xlfn.IFNA(IF(vp.data[[#This Row],[Dens Input]]="",INDEX([1]DATA!$O$3:$O$9826,MATCH(1,(vp.data[[#This Row],[Battery]]=[1]DATA!$L$3:$L$9826)*(EOMONTH(vp.data[[#This Row],[SDate]],-1)+1=[1]DATA!$G$3:$G$9826),0)),vp.data[[#This Row],[Dens Input]]),"")</f>
        <v>868.2</v>
      </c>
      <c r="N1068" s="2">
        <f ca="1">INDEX(INDIRECT(_xlfn.CONCAT("weather.tbl[",N$1,"]")),MATCH(vp.data[[#This Row],[SDate]],weather.tbl[Date],0))</f>
        <v>-9.8166666666666682</v>
      </c>
      <c r="O1068" s="2">
        <f ca="1">INDEX(INDIRECT(_xlfn.CONCAT("weather.tbl[",O$1,"]")),MATCH(vp.data[[#This Row],[SDate]],weather.tbl[Date],0))</f>
        <v>-2.0214285714285718</v>
      </c>
      <c r="P1068" s="2">
        <f ca="1">INDEX(INDIRECT(_xlfn.CONCAT("weather.tbl[",P$1,"]")),MATCH(vp.data[[#This Row],[SDate]],weather.tbl[Date],0))</f>
        <v>-9.3000000000000007</v>
      </c>
      <c r="Q1068" s="2">
        <f ca="1">INDEX(INDIRECT(_xlfn.CONCAT("weather.tbl[",Q$1,"]")),MATCH(vp.data[[#This Row],[SDate]],weather.tbl[Date],0))</f>
        <v>-8.1999999999999993</v>
      </c>
      <c r="R1068" s="2">
        <f ca="1">INDEX(INDIRECT(_xlfn.CONCAT("weather.tbl[",R$1,"]")),MATCH(vp.data[[#This Row],[SDate]],weather.tbl[Date],0))</f>
        <v>-11.8</v>
      </c>
      <c r="S1068" s="2">
        <f ca="1">INDEX(INDIRECT(_xlfn.CONCAT("weather.tbl[",S$1,"]")),MATCH(vp.data[[#This Row],[SDate]],weather.tbl[Date],0))</f>
        <v>-6.8</v>
      </c>
      <c r="T1068" s="2">
        <f ca="1">INDEX(INDIRECT(_xlfn.CONCAT("weather.tbl[",T$1,"]")),MATCH(vp.data[[#This Row],[SDate]],weather.tbl[Date],0))</f>
        <v>-12.8</v>
      </c>
      <c r="U1068" s="2">
        <f ca="1">INDEX(INDIRECT(_xlfn.CONCAT("weather.tbl[",U$1,"]")),MATCH(vp.data[[#This Row],[SDate]],weather.tbl[Date],0))</f>
        <v>-10</v>
      </c>
      <c r="V1068" s="2">
        <f t="array" ref="V10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814.29399999999998</v>
      </c>
      <c r="W1068" t="s">
        <v>48</v>
      </c>
      <c r="X1068">
        <f>IF(OR(vp.data[[#This Row],[Sulf]]="",vp.data[[#This Row],[Dens]]=""),1,0)</f>
        <v>0</v>
      </c>
      <c r="Y1068">
        <f>IF(vp.data[[#This Row],[CrudeType]]="C5+",1,0)</f>
        <v>0</v>
      </c>
      <c r="Z1068">
        <f>IF(AND(vp.data[[#This Row],[CrudeType]]="Crude",vp.data[[#This Row],[Dens]]&lt;=825,vp.data[[#This Row],[Sulf]]&gt;0.5,vp.data[[#This Row],[Unknown]]=0),1,0)</f>
        <v>0</v>
      </c>
      <c r="AA1068">
        <f>IF(AND(vp.data[[#This Row],[CrudeType]]="Crude",vp.data[[#This Row],[Dens]]&lt;=825,vp.data[[#This Row],[Sulf]]&lt;=0.5,vp.data[[#This Row],[Unknown]]=0),1,0)</f>
        <v>0</v>
      </c>
      <c r="AB10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8">
        <f>IF(AND(vp.data[[#This Row],[CrudeType]]="Crude",vp.data[[#This Row],[Dens]]&gt;825,vp.data[[#This Row],[Dens]]&lt;=900,vp.data[[#This Row],[Sulf]]&lt;=0.5,vp.data[[#This Row],[Unknown]]=0),1,0)</f>
        <v>0</v>
      </c>
      <c r="AD1068">
        <f>IF(AND(vp.data[[#This Row],[CrudeType]]="Crude",vp.data[[#This Row],[Dens]]&gt;865,vp.data[[#This Row],[Dens]]&lt;=900,vp.data[[#This Row],[Sulf]]&gt;2,vp.data[[#This Row],[Unknown]]=0),1,0)</f>
        <v>0</v>
      </c>
      <c r="AE1068">
        <f>IF(AND(vp.data[[#This Row],[CrudeType]]="Crude",vp.data[[#This Row],[Dens]]&gt;900,vp.data[[#This Row],[Sulf]]&lt;=0.5,vp.data[[#This Row],[Unknown]]=0),1,0)</f>
        <v>0</v>
      </c>
      <c r="AF1068">
        <f>IF(AND(vp.data[[#This Row],[CrudeType]]="Crude",vp.data[[#This Row],[Dens]]&gt;900,vp.data[[#This Row],[Sulf]]&lt;=0.5,vp.data[[#This Row],[Unknown]]=0),1,0)</f>
        <v>0</v>
      </c>
      <c r="AG1068" t="str">
        <f>INDEX(vp.data[[#Headers],[Unknown]:[Heavy_SW]],MATCH(1,vp.data[[#This Row],[Unknown]:[Heavy_SW]],0))</f>
        <v>Medium_LSB</v>
      </c>
      <c r="AH1068">
        <f>INDEX([3]!crudeBD.lkup[Number],MATCH(vp.data[[#This Row],[Crude_Breakdown]],crudeBD.lkup[Crude Breakdown],0))</f>
        <v>3</v>
      </c>
      <c r="AI1068">
        <f>MONTH(vp.data[[#This Row],[SDate]])</f>
        <v>3</v>
      </c>
      <c r="AJ1068" s="5">
        <f>(vp.data[[#This Row],[VP]]-INDEX(crudeBD.lkup[Mean_VP],MATCH(vp.data[[#This Row],[Crude_Breakdown]],crudeBD.lkup[Crude Breakdown],0)))^2</f>
        <v>175.28903514504921</v>
      </c>
      <c r="AK1068" s="5">
        <f>(vp.data[[#This Row],[Dens]]-INDEX(crudeBD.lkup[Mean_Dens],MATCH(vp.data[[#This Row],[Crude_Breakdown]],crudeBD.lkup[Crude Breakdown],0)))^2</f>
        <v>589.5184000000263</v>
      </c>
      <c r="AL1068" s="5">
        <f>(vp.data[[#This Row],[Sulf]]-INDEX(crudeBD.lkup[Mean_Sulf],MATCH(vp.data[[#This Row],[Crude_Breakdown]],crudeBD.lkup[Crude Breakdown],0)))^2</f>
        <v>0.26480479608221386</v>
      </c>
      <c r="AM1068" s="4">
        <f>IF(AND(vp.data[[#This Row],[SDate]]&gt;=DATE(YEAR(vp.data[[#This Row],[SDate]]),5,1),vp.data[[#This Row],[SDate]]&lt;=DATE(YEAR(vp.data[[#This Row],[SDate]]),9,15)),1,0)</f>
        <v>0</v>
      </c>
      <c r="AN1068" s="4">
        <f>IF(vp.data[[#This Row],[SDate]]&lt;DATE(2016,12,1),0,1)</f>
        <v>1</v>
      </c>
      <c r="AO1068" s="4">
        <f>IFERROR(vp.data[[#This Row],[Sulf]]*vp.data[[#This Row],[Net Dens]],"")</f>
        <v>1343243.0965199999</v>
      </c>
      <c r="AP1068">
        <f>IFERROR(vp.data[[#This Row],[Dens]]*vp.data[[#This Row],[VolumeM3]],"")</f>
        <v>706970.05079999997</v>
      </c>
      <c r="AQ1068" s="15">
        <f>IFERROR(vp.data[[#This Row],[VP]]*vp.data[[#This Row],[VolumeM3]],"")</f>
        <v>54883.4156</v>
      </c>
    </row>
    <row r="1069" spans="1:43" x14ac:dyDescent="0.25">
      <c r="A1069">
        <v>1068</v>
      </c>
      <c r="B1069" t="s">
        <v>68</v>
      </c>
      <c r="C1069" t="s">
        <v>68</v>
      </c>
      <c r="D1069" t="s">
        <v>210</v>
      </c>
      <c r="F1069" s="1">
        <v>42815</v>
      </c>
      <c r="G1069" s="2">
        <v>67.7</v>
      </c>
      <c r="H1069" s="2"/>
      <c r="I1069" s="2">
        <f t="array" ref="I1069">_xlfn.IFNA(IF(vp.data[[#This Row],[Sulf Input]]="",INDEX([1]DATA!$Q$3:$Q$9826,MATCH(1,(vp.data[[#This Row],[Battery]]=[1]DATA!$L$3:$L$9826)*(EOMONTH(vp.data[[#This Row],[SDate]],-1)+1=[1]DATA!$G$3:$G$9826),0)),vp.data[[#This Row],[Sulf Input]]),"")</f>
        <v>1.93</v>
      </c>
      <c r="J1069" s="2">
        <v>4</v>
      </c>
      <c r="K1069" s="2">
        <v>-30</v>
      </c>
      <c r="L1069" s="2">
        <v>869.1</v>
      </c>
      <c r="M1069" s="2">
        <f t="array" ref="M1069">_xlfn.IFNA(IF(vp.data[[#This Row],[Dens Input]]="",INDEX([1]DATA!$O$3:$O$9826,MATCH(1,(vp.data[[#This Row],[Battery]]=[1]DATA!$L$3:$L$9826)*(EOMONTH(vp.data[[#This Row],[SDate]],-1)+1=[1]DATA!$G$3:$G$9826),0)),vp.data[[#This Row],[Dens Input]]),"")</f>
        <v>869.1</v>
      </c>
      <c r="N1069" s="2">
        <f ca="1">INDEX(INDIRECT(_xlfn.CONCAT("weather.tbl[",N$1,"]")),MATCH(vp.data[[#This Row],[SDate]],weather.tbl[Date],0))</f>
        <v>-9.8166666666666682</v>
      </c>
      <c r="O1069" s="2">
        <f ca="1">INDEX(INDIRECT(_xlfn.CONCAT("weather.tbl[",O$1,"]")),MATCH(vp.data[[#This Row],[SDate]],weather.tbl[Date],0))</f>
        <v>-2.0214285714285718</v>
      </c>
      <c r="P1069" s="2">
        <f ca="1">INDEX(INDIRECT(_xlfn.CONCAT("weather.tbl[",P$1,"]")),MATCH(vp.data[[#This Row],[SDate]],weather.tbl[Date],0))</f>
        <v>-9.3000000000000007</v>
      </c>
      <c r="Q1069" s="2">
        <f ca="1">INDEX(INDIRECT(_xlfn.CONCAT("weather.tbl[",Q$1,"]")),MATCH(vp.data[[#This Row],[SDate]],weather.tbl[Date],0))</f>
        <v>-8.1999999999999993</v>
      </c>
      <c r="R1069" s="2">
        <f ca="1">INDEX(INDIRECT(_xlfn.CONCAT("weather.tbl[",R$1,"]")),MATCH(vp.data[[#This Row],[SDate]],weather.tbl[Date],0))</f>
        <v>-11.8</v>
      </c>
      <c r="S1069" s="2">
        <f ca="1">INDEX(INDIRECT(_xlfn.CONCAT("weather.tbl[",S$1,"]")),MATCH(vp.data[[#This Row],[SDate]],weather.tbl[Date],0))</f>
        <v>-6.8</v>
      </c>
      <c r="T1069" s="2">
        <f ca="1">INDEX(INDIRECT(_xlfn.CONCAT("weather.tbl[",T$1,"]")),MATCH(vp.data[[#This Row],[SDate]],weather.tbl[Date],0))</f>
        <v>-12.8</v>
      </c>
      <c r="U1069" s="2">
        <f ca="1">INDEX(INDIRECT(_xlfn.CONCAT("weather.tbl[",U$1,"]")),MATCH(vp.data[[#This Row],[SDate]],weather.tbl[Date],0))</f>
        <v>-10</v>
      </c>
      <c r="V1069" s="2">
        <f t="array" ref="V10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453.82</v>
      </c>
      <c r="W1069" t="s">
        <v>48</v>
      </c>
      <c r="X1069">
        <f>IF(OR(vp.data[[#This Row],[Sulf]]="",vp.data[[#This Row],[Dens]]=""),1,0)</f>
        <v>0</v>
      </c>
      <c r="Y1069">
        <f>IF(vp.data[[#This Row],[CrudeType]]="C5+",1,0)</f>
        <v>0</v>
      </c>
      <c r="Z1069">
        <f>IF(AND(vp.data[[#This Row],[CrudeType]]="Crude",vp.data[[#This Row],[Dens]]&lt;=825,vp.data[[#This Row],[Sulf]]&gt;0.5,vp.data[[#This Row],[Unknown]]=0),1,0)</f>
        <v>0</v>
      </c>
      <c r="AA1069">
        <f>IF(AND(vp.data[[#This Row],[CrudeType]]="Crude",vp.data[[#This Row],[Dens]]&lt;=825,vp.data[[#This Row],[Sulf]]&lt;=0.5,vp.data[[#This Row],[Unknown]]=0),1,0)</f>
        <v>0</v>
      </c>
      <c r="AB10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69">
        <f>IF(AND(vp.data[[#This Row],[CrudeType]]="Crude",vp.data[[#This Row],[Dens]]&gt;825,vp.data[[#This Row],[Dens]]&lt;=900,vp.data[[#This Row],[Sulf]]&lt;=0.5,vp.data[[#This Row],[Unknown]]=0),1,0)</f>
        <v>0</v>
      </c>
      <c r="AD1069">
        <f>IF(AND(vp.data[[#This Row],[CrudeType]]="Crude",vp.data[[#This Row],[Dens]]&gt;865,vp.data[[#This Row],[Dens]]&lt;=900,vp.data[[#This Row],[Sulf]]&gt;2,vp.data[[#This Row],[Unknown]]=0),1,0)</f>
        <v>0</v>
      </c>
      <c r="AE1069">
        <f>IF(AND(vp.data[[#This Row],[CrudeType]]="Crude",vp.data[[#This Row],[Dens]]&gt;900,vp.data[[#This Row],[Sulf]]&lt;=0.5,vp.data[[#This Row],[Unknown]]=0),1,0)</f>
        <v>0</v>
      </c>
      <c r="AF1069">
        <f>IF(AND(vp.data[[#This Row],[CrudeType]]="Crude",vp.data[[#This Row],[Dens]]&gt;900,vp.data[[#This Row],[Sulf]]&lt;=0.5,vp.data[[#This Row],[Unknown]]=0),1,0)</f>
        <v>0</v>
      </c>
      <c r="AG1069" t="str">
        <f>INDEX(vp.data[[#Headers],[Unknown]:[Heavy_SW]],MATCH(1,vp.data[[#This Row],[Unknown]:[Heavy_SW]],0))</f>
        <v>Medium_LSB</v>
      </c>
      <c r="AH1069">
        <f>INDEX([3]!crudeBD.lkup[Number],MATCH(vp.data[[#This Row],[Crude_Breakdown]],crudeBD.lkup[Crude Breakdown],0))</f>
        <v>3</v>
      </c>
      <c r="AI1069">
        <f>MONTH(vp.data[[#This Row],[SDate]])</f>
        <v>3</v>
      </c>
      <c r="AJ1069" s="5">
        <f>(vp.data[[#This Row],[VP]]-INDEX(crudeBD.lkup[Mean_VP],MATCH(vp.data[[#This Row],[Crude_Breakdown]],crudeBD.lkup[Crude Breakdown],0)))^2</f>
        <v>167.43522921513019</v>
      </c>
      <c r="AK1069" s="5">
        <f>(vp.data[[#This Row],[Dens]]-INDEX(crudeBD.lkup[Mean_Dens],MATCH(vp.data[[#This Row],[Crude_Breakdown]],crudeBD.lkup[Crude Breakdown],0)))^2</f>
        <v>634.03240000002609</v>
      </c>
      <c r="AL1069" s="5">
        <f>(vp.data[[#This Row],[Sulf]]-INDEX(crudeBD.lkup[Mean_Sulf],MATCH(vp.data[[#This Row],[Crude_Breakdown]],crudeBD.lkup[Crude Breakdown],0)))^2</f>
        <v>0.29658030848113559</v>
      </c>
      <c r="AM1069" s="4">
        <f>IF(AND(vp.data[[#This Row],[SDate]]&gt;=DATE(YEAR(vp.data[[#This Row],[SDate]]),5,1),vp.data[[#This Row],[SDate]]&lt;=DATE(YEAR(vp.data[[#This Row],[SDate]]),9,15)),1,0)</f>
        <v>0</v>
      </c>
      <c r="AN1069" s="4">
        <f>IF(vp.data[[#This Row],[SDate]]&lt;DATE(2016,12,1),0,1)</f>
        <v>1</v>
      </c>
      <c r="AO1069" s="4">
        <f>IFERROR(vp.data[[#This Row],[Sulf]]*vp.data[[#This Row],[Net Dens]],"")</f>
        <v>761220.87665999995</v>
      </c>
      <c r="AP1069">
        <f>IFERROR(vp.data[[#This Row],[Dens]]*vp.data[[#This Row],[VolumeM3]],"")</f>
        <v>394414.962</v>
      </c>
      <c r="AQ1069" s="15">
        <f>IFERROR(vp.data[[#This Row],[VP]]*vp.data[[#This Row],[VolumeM3]],"")</f>
        <v>30723.614000000001</v>
      </c>
    </row>
    <row r="1070" spans="1:43" x14ac:dyDescent="0.25">
      <c r="A1070">
        <v>1069</v>
      </c>
      <c r="B1070" t="s">
        <v>64</v>
      </c>
      <c r="C1070" t="s">
        <v>64</v>
      </c>
      <c r="D1070" t="s">
        <v>65</v>
      </c>
      <c r="F1070" s="1">
        <v>42815</v>
      </c>
      <c r="G1070" s="2">
        <v>45.7</v>
      </c>
      <c r="H1070" s="2"/>
      <c r="I1070" s="2">
        <f t="array" ref="I1070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1070" s="2">
        <v>28</v>
      </c>
      <c r="K1070" s="2">
        <v>-11</v>
      </c>
      <c r="L1070" s="2">
        <v>876</v>
      </c>
      <c r="M1070" s="2">
        <f t="array" ref="M1070">_xlfn.IFNA(IF(vp.data[[#This Row],[Dens Input]]="",INDEX([1]DATA!$O$3:$O$9826,MATCH(1,(vp.data[[#This Row],[Battery]]=[1]DATA!$L$3:$L$9826)*(EOMONTH(vp.data[[#This Row],[SDate]],-1)+1=[1]DATA!$G$3:$G$9826),0)),vp.data[[#This Row],[Dens Input]]),"")</f>
        <v>876</v>
      </c>
      <c r="N1070" s="2">
        <f ca="1">INDEX(INDIRECT(_xlfn.CONCAT("weather.tbl[",N$1,"]")),MATCH(vp.data[[#This Row],[SDate]],weather.tbl[Date],0))</f>
        <v>-9.8166666666666682</v>
      </c>
      <c r="O1070" s="2">
        <f ca="1">INDEX(INDIRECT(_xlfn.CONCAT("weather.tbl[",O$1,"]")),MATCH(vp.data[[#This Row],[SDate]],weather.tbl[Date],0))</f>
        <v>-2.0214285714285718</v>
      </c>
      <c r="P1070" s="2">
        <f ca="1">INDEX(INDIRECT(_xlfn.CONCAT("weather.tbl[",P$1,"]")),MATCH(vp.data[[#This Row],[SDate]],weather.tbl[Date],0))</f>
        <v>-9.3000000000000007</v>
      </c>
      <c r="Q1070" s="2">
        <f ca="1">INDEX(INDIRECT(_xlfn.CONCAT("weather.tbl[",Q$1,"]")),MATCH(vp.data[[#This Row],[SDate]],weather.tbl[Date],0))</f>
        <v>-8.1999999999999993</v>
      </c>
      <c r="R1070" s="2">
        <f ca="1">INDEX(INDIRECT(_xlfn.CONCAT("weather.tbl[",R$1,"]")),MATCH(vp.data[[#This Row],[SDate]],weather.tbl[Date],0))</f>
        <v>-11.8</v>
      </c>
      <c r="S1070" s="2">
        <f ca="1">INDEX(INDIRECT(_xlfn.CONCAT("weather.tbl[",S$1,"]")),MATCH(vp.data[[#This Row],[SDate]],weather.tbl[Date],0))</f>
        <v>-6.8</v>
      </c>
      <c r="T1070" s="2">
        <f ca="1">INDEX(INDIRECT(_xlfn.CONCAT("weather.tbl[",T$1,"]")),MATCH(vp.data[[#This Row],[SDate]],weather.tbl[Date],0))</f>
        <v>-12.8</v>
      </c>
      <c r="U1070" s="2">
        <f ca="1">INDEX(INDIRECT(_xlfn.CONCAT("weather.tbl[",U$1,"]")),MATCH(vp.data[[#This Row],[SDate]],weather.tbl[Date],0))</f>
        <v>-10</v>
      </c>
      <c r="V1070" s="2">
        <f t="array" ref="V10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22323.207999999999</v>
      </c>
      <c r="W1070" t="s">
        <v>48</v>
      </c>
      <c r="X1070">
        <f>IF(OR(vp.data[[#This Row],[Sulf]]="",vp.data[[#This Row],[Dens]]=""),1,0)</f>
        <v>0</v>
      </c>
      <c r="Y1070">
        <f>IF(vp.data[[#This Row],[CrudeType]]="C5+",1,0)</f>
        <v>0</v>
      </c>
      <c r="Z1070">
        <f>IF(AND(vp.data[[#This Row],[CrudeType]]="Crude",vp.data[[#This Row],[Dens]]&lt;=825,vp.data[[#This Row],[Sulf]]&gt;0.5,vp.data[[#This Row],[Unknown]]=0),1,0)</f>
        <v>0</v>
      </c>
      <c r="AA1070">
        <f>IF(AND(vp.data[[#This Row],[CrudeType]]="Crude",vp.data[[#This Row],[Dens]]&lt;=825,vp.data[[#This Row],[Sulf]]&lt;=0.5,vp.data[[#This Row],[Unknown]]=0),1,0)</f>
        <v>0</v>
      </c>
      <c r="AB10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0">
        <f>IF(AND(vp.data[[#This Row],[CrudeType]]="Crude",vp.data[[#This Row],[Dens]]&gt;825,vp.data[[#This Row],[Dens]]&lt;=900,vp.data[[#This Row],[Sulf]]&lt;=0.5,vp.data[[#This Row],[Unknown]]=0),1,0)</f>
        <v>0</v>
      </c>
      <c r="AD1070">
        <f>IF(AND(vp.data[[#This Row],[CrudeType]]="Crude",vp.data[[#This Row],[Dens]]&gt;865,vp.data[[#This Row],[Dens]]&lt;=900,vp.data[[#This Row],[Sulf]]&gt;2,vp.data[[#This Row],[Unknown]]=0),1,0)</f>
        <v>1</v>
      </c>
      <c r="AE1070">
        <f>IF(AND(vp.data[[#This Row],[CrudeType]]="Crude",vp.data[[#This Row],[Dens]]&gt;900,vp.data[[#This Row],[Sulf]]&lt;=0.5,vp.data[[#This Row],[Unknown]]=0),1,0)</f>
        <v>0</v>
      </c>
      <c r="AF1070">
        <f>IF(AND(vp.data[[#This Row],[CrudeType]]="Crude",vp.data[[#This Row],[Dens]]&gt;900,vp.data[[#This Row],[Sulf]]&lt;=0.5,vp.data[[#This Row],[Unknown]]=0),1,0)</f>
        <v>0</v>
      </c>
      <c r="AG1070" t="str">
        <f>INDEX(vp.data[[#Headers],[Unknown]:[Heavy_SW]],MATCH(1,vp.data[[#This Row],[Unknown]:[Heavy_SW]],0))</f>
        <v>Midale</v>
      </c>
      <c r="AH1070">
        <f>INDEX([3]!crudeBD.lkup[Number],MATCH(vp.data[[#This Row],[Crude_Breakdown]],crudeBD.lkup[Crude Breakdown],0))</f>
        <v>5</v>
      </c>
      <c r="AI1070">
        <f>MONTH(vp.data[[#This Row],[SDate]])</f>
        <v>3</v>
      </c>
      <c r="AJ1070" s="5">
        <f>(vp.data[[#This Row],[VP]]-INDEX(crudeBD.lkup[Mean_VP],MATCH(vp.data[[#This Row],[Crude_Breakdown]],crudeBD.lkup[Crude Breakdown],0)))^2</f>
        <v>562.10543761292513</v>
      </c>
      <c r="AK1070" s="5">
        <f>(vp.data[[#This Row],[Dens]]-INDEX(crudeBD.lkup[Mean_Dens],MATCH(vp.data[[#This Row],[Crude_Breakdown]],crudeBD.lkup[Crude Breakdown],0)))^2</f>
        <v>1.3994646083529774</v>
      </c>
      <c r="AL1070" s="5">
        <f>(vp.data[[#This Row],[Sulf]]-INDEX(crudeBD.lkup[Mean_Sulf],MATCH(vp.data[[#This Row],[Crude_Breakdown]],crudeBD.lkup[Crude Breakdown],0)))^2</f>
        <v>0.12504396923202166</v>
      </c>
      <c r="AM1070" s="4">
        <f>IF(AND(vp.data[[#This Row],[SDate]]&gt;=DATE(YEAR(vp.data[[#This Row],[SDate]]),5,1),vp.data[[#This Row],[SDate]]&lt;=DATE(YEAR(vp.data[[#This Row],[SDate]]),9,15)),1,0)</f>
        <v>0</v>
      </c>
      <c r="AN1070" s="4">
        <f>IF(vp.data[[#This Row],[SDate]]&lt;DATE(2016,12,1),0,1)</f>
        <v>1</v>
      </c>
      <c r="AO1070" s="4">
        <f>IFERROR(vp.data[[#This Row],[Sulf]]*vp.data[[#This Row],[Net Dens]],"")</f>
        <v>40870222.134719998</v>
      </c>
      <c r="AP1070">
        <f>IFERROR(vp.data[[#This Row],[Dens]]*vp.data[[#This Row],[VolumeM3]],"")</f>
        <v>19555130.208000001</v>
      </c>
      <c r="AQ1070" s="15">
        <f>IFERROR(vp.data[[#This Row],[VP]]*vp.data[[#This Row],[VolumeM3]],"")</f>
        <v>1020170.6056</v>
      </c>
    </row>
    <row r="1071" spans="1:43" x14ac:dyDescent="0.25">
      <c r="A1071">
        <v>1070</v>
      </c>
      <c r="B1071" t="s">
        <v>49</v>
      </c>
      <c r="C1071" t="s">
        <v>49</v>
      </c>
      <c r="D1071" t="s">
        <v>78</v>
      </c>
      <c r="F1071" s="1">
        <v>42816</v>
      </c>
      <c r="G1071" s="2">
        <v>82.4</v>
      </c>
      <c r="H1071" s="2">
        <v>0.183</v>
      </c>
      <c r="I1071" s="2">
        <f t="array" ref="I1071">_xlfn.IFNA(IF(vp.data[[#This Row],[Sulf Input]]="",INDEX([1]DATA!$Q$3:$Q$9826,MATCH(1,(vp.data[[#This Row],[Battery]]=[1]DATA!$L$3:$L$9826)*(EOMONTH(vp.data[[#This Row],[SDate]],-1)+1=[1]DATA!$G$3:$G$9826),0)),vp.data[[#This Row],[Sulf Input]]),"")</f>
        <v>0.183</v>
      </c>
      <c r="J1071" s="2">
        <v>11</v>
      </c>
      <c r="K1071" s="2">
        <v>2</v>
      </c>
      <c r="L1071" s="2">
        <v>802.8</v>
      </c>
      <c r="M1071" s="2">
        <f t="array" ref="M1071">_xlfn.IFNA(IF(vp.data[[#This Row],[Dens Input]]="",INDEX([1]DATA!$O$3:$O$9826,MATCH(1,(vp.data[[#This Row],[Battery]]=[1]DATA!$L$3:$L$9826)*(EOMONTH(vp.data[[#This Row],[SDate]],-1)+1=[1]DATA!$G$3:$G$9826),0)),vp.data[[#This Row],[Dens Input]]),"")</f>
        <v>802.8</v>
      </c>
      <c r="N1071" s="2">
        <f ca="1">INDEX(INDIRECT(_xlfn.CONCAT("weather.tbl[",N$1,"]")),MATCH(vp.data[[#This Row],[SDate]],weather.tbl[Date],0))</f>
        <v>-4.8666666666666663</v>
      </c>
      <c r="O1071" s="2">
        <f ca="1">INDEX(INDIRECT(_xlfn.CONCAT("weather.tbl[",O$1,"]")),MATCH(vp.data[[#This Row],[SDate]],weather.tbl[Date],0))</f>
        <v>-2.2428571428571433</v>
      </c>
      <c r="P1071" s="2">
        <f ca="1">INDEX(INDIRECT(_xlfn.CONCAT("weather.tbl[",P$1,"]")),MATCH(vp.data[[#This Row],[SDate]],weather.tbl[Date],0))</f>
        <v>-2.9</v>
      </c>
      <c r="Q1071" s="2">
        <f ca="1">INDEX(INDIRECT(_xlfn.CONCAT("weather.tbl[",Q$1,"]")),MATCH(vp.data[[#This Row],[SDate]],weather.tbl[Date],0))</f>
        <v>-2.6</v>
      </c>
      <c r="R1071" s="2">
        <f ca="1">INDEX(INDIRECT(_xlfn.CONCAT("weather.tbl[",R$1,"]")),MATCH(vp.data[[#This Row],[SDate]],weather.tbl[Date],0))</f>
        <v>-11.8</v>
      </c>
      <c r="S1071" s="2">
        <f ca="1">INDEX(INDIRECT(_xlfn.CONCAT("weather.tbl[",S$1,"]")),MATCH(vp.data[[#This Row],[SDate]],weather.tbl[Date],0))</f>
        <v>-1.2</v>
      </c>
      <c r="T1071" s="2">
        <f ca="1">INDEX(INDIRECT(_xlfn.CONCAT("weather.tbl[",T$1,"]")),MATCH(vp.data[[#This Row],[SDate]],weather.tbl[Date],0))</f>
        <v>-6.2</v>
      </c>
      <c r="U1071" s="2">
        <f ca="1">INDEX(INDIRECT(_xlfn.CONCAT("weather.tbl[",U$1,"]")),MATCH(vp.data[[#This Row],[SDate]],weather.tbl[Date],0))</f>
        <v>-4.5</v>
      </c>
      <c r="V1071" s="2">
        <f t="array" ref="V10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19019.342000000001</v>
      </c>
      <c r="W1071" t="s">
        <v>48</v>
      </c>
      <c r="X1071">
        <f>IF(OR(vp.data[[#This Row],[Sulf]]="",vp.data[[#This Row],[Dens]]=""),1,0)</f>
        <v>0</v>
      </c>
      <c r="Y1071">
        <f>IF(vp.data[[#This Row],[CrudeType]]="C5+",1,0)</f>
        <v>0</v>
      </c>
      <c r="Z1071">
        <f>IF(AND(vp.data[[#This Row],[CrudeType]]="Crude",vp.data[[#This Row],[Dens]]&lt;=825,vp.data[[#This Row],[Sulf]]&gt;0.5,vp.data[[#This Row],[Unknown]]=0),1,0)</f>
        <v>0</v>
      </c>
      <c r="AA1071">
        <f>IF(AND(vp.data[[#This Row],[CrudeType]]="Crude",vp.data[[#This Row],[Dens]]&lt;=825,vp.data[[#This Row],[Sulf]]&lt;=0.5,vp.data[[#This Row],[Unknown]]=0),1,0)</f>
        <v>1</v>
      </c>
      <c r="AB10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1">
        <f>IF(AND(vp.data[[#This Row],[CrudeType]]="Crude",vp.data[[#This Row],[Dens]]&gt;825,vp.data[[#This Row],[Dens]]&lt;=900,vp.data[[#This Row],[Sulf]]&lt;=0.5,vp.data[[#This Row],[Unknown]]=0),1,0)</f>
        <v>0</v>
      </c>
      <c r="AD1071">
        <f>IF(AND(vp.data[[#This Row],[CrudeType]]="Crude",vp.data[[#This Row],[Dens]]&gt;865,vp.data[[#This Row],[Dens]]&lt;=900,vp.data[[#This Row],[Sulf]]&gt;2,vp.data[[#This Row],[Unknown]]=0),1,0)</f>
        <v>0</v>
      </c>
      <c r="AE1071">
        <f>IF(AND(vp.data[[#This Row],[CrudeType]]="Crude",vp.data[[#This Row],[Dens]]&gt;900,vp.data[[#This Row],[Sulf]]&lt;=0.5,vp.data[[#This Row],[Unknown]]=0),1,0)</f>
        <v>0</v>
      </c>
      <c r="AF1071">
        <f>IF(AND(vp.data[[#This Row],[CrudeType]]="Crude",vp.data[[#This Row],[Dens]]&gt;900,vp.data[[#This Row],[Sulf]]&lt;=0.5,vp.data[[#This Row],[Unknown]]=0),1,0)</f>
        <v>0</v>
      </c>
      <c r="AG1071" t="str">
        <f>INDEX(vp.data[[#Headers],[Unknown]:[Heavy_SW]],MATCH(1,vp.data[[#This Row],[Unknown]:[Heavy_SW]],0))</f>
        <v>Light_SW</v>
      </c>
      <c r="AH1071">
        <f>INDEX([3]!crudeBD.lkup[Number],MATCH(vp.data[[#This Row],[Crude_Breakdown]],crudeBD.lkup[Crude Breakdown],0))</f>
        <v>2</v>
      </c>
      <c r="AI1071">
        <f>MONTH(vp.data[[#This Row],[SDate]])</f>
        <v>3</v>
      </c>
      <c r="AJ1071" s="5">
        <f>(vp.data[[#This Row],[VP]]-INDEX(crudeBD.lkup[Mean_VP],MATCH(vp.data[[#This Row],[Crude_Breakdown]],crudeBD.lkup[Crude Breakdown],0)))^2</f>
        <v>103.02886595199578</v>
      </c>
      <c r="AK1071" s="5">
        <f>(vp.data[[#This Row],[Dens]]-INDEX(crudeBD.lkup[Mean_Dens],MATCH(vp.data[[#This Row],[Crude_Breakdown]],crudeBD.lkup[Crude Breakdown],0)))^2</f>
        <v>30.376613046168377</v>
      </c>
      <c r="AL1071" s="5">
        <f>(vp.data[[#This Row],[Sulf]]-INDEX(crudeBD.lkup[Mean_Sulf],MATCH(vp.data[[#This Row],[Crude_Breakdown]],crudeBD.lkup[Crude Breakdown],0)))^2</f>
        <v>2.8346905287183126E-3</v>
      </c>
      <c r="AM1071" s="4">
        <f>IF(AND(vp.data[[#This Row],[SDate]]&gt;=DATE(YEAR(vp.data[[#This Row],[SDate]]),5,1),vp.data[[#This Row],[SDate]]&lt;=DATE(YEAR(vp.data[[#This Row],[SDate]]),9,15)),1,0)</f>
        <v>0</v>
      </c>
      <c r="AN1071" s="4">
        <f>IF(vp.data[[#This Row],[SDate]]&lt;DATE(2016,12,1),0,1)</f>
        <v>1</v>
      </c>
      <c r="AO1071" s="4">
        <f>IFERROR(vp.data[[#This Row],[Sulf]]*vp.data[[#This Row],[Net Dens]],"")</f>
        <v>2794177.1796407998</v>
      </c>
      <c r="AP1071">
        <f>IFERROR(vp.data[[#This Row],[Dens]]*vp.data[[#This Row],[VolumeM3]],"")</f>
        <v>15268727.7576</v>
      </c>
      <c r="AQ1071" s="15">
        <f>IFERROR(vp.data[[#This Row],[VP]]*vp.data[[#This Row],[VolumeM3]],"")</f>
        <v>1567193.7808000001</v>
      </c>
    </row>
    <row r="1072" spans="1:43" x14ac:dyDescent="0.25">
      <c r="A1072">
        <v>1071</v>
      </c>
      <c r="B1072" t="s">
        <v>49</v>
      </c>
      <c r="C1072" t="s">
        <v>49</v>
      </c>
      <c r="D1072" t="s">
        <v>92</v>
      </c>
      <c r="F1072" s="1">
        <v>42816</v>
      </c>
      <c r="G1072" s="2">
        <v>78.3</v>
      </c>
      <c r="H1072" s="2">
        <v>0.59899999999999998</v>
      </c>
      <c r="I1072" s="2">
        <f t="array" ref="I1072">_xlfn.IFNA(IF(vp.data[[#This Row],[Sulf Input]]="",INDEX([1]DATA!$Q$3:$Q$9826,MATCH(1,(vp.data[[#This Row],[Battery]]=[1]DATA!$L$3:$L$9826)*(EOMONTH(vp.data[[#This Row],[SDate]],-1)+1=[1]DATA!$G$3:$G$9826),0)),vp.data[[#This Row],[Sulf Input]]),"")</f>
        <v>0.59899999999999998</v>
      </c>
      <c r="J1072" s="2">
        <v>26</v>
      </c>
      <c r="K1072" s="2">
        <v>2</v>
      </c>
      <c r="L1072" s="2">
        <v>823</v>
      </c>
      <c r="M1072" s="2">
        <f t="array" ref="M1072">_xlfn.IFNA(IF(vp.data[[#This Row],[Dens Input]]="",INDEX([1]DATA!$O$3:$O$9826,MATCH(1,(vp.data[[#This Row],[Battery]]=[1]DATA!$L$3:$L$9826)*(EOMONTH(vp.data[[#This Row],[SDate]],-1)+1=[1]DATA!$G$3:$G$9826),0)),vp.data[[#This Row],[Dens Input]]),"")</f>
        <v>823</v>
      </c>
      <c r="N1072" s="2">
        <f ca="1">INDEX(INDIRECT(_xlfn.CONCAT("weather.tbl[",N$1,"]")),MATCH(vp.data[[#This Row],[SDate]],weather.tbl[Date],0))</f>
        <v>-4.8666666666666663</v>
      </c>
      <c r="O1072" s="2">
        <f ca="1">INDEX(INDIRECT(_xlfn.CONCAT("weather.tbl[",O$1,"]")),MATCH(vp.data[[#This Row],[SDate]],weather.tbl[Date],0))</f>
        <v>-2.2428571428571433</v>
      </c>
      <c r="P1072" s="2">
        <f ca="1">INDEX(INDIRECT(_xlfn.CONCAT("weather.tbl[",P$1,"]")),MATCH(vp.data[[#This Row],[SDate]],weather.tbl[Date],0))</f>
        <v>-2.9</v>
      </c>
      <c r="Q1072" s="2">
        <f ca="1">INDEX(INDIRECT(_xlfn.CONCAT("weather.tbl[",Q$1,"]")),MATCH(vp.data[[#This Row],[SDate]],weather.tbl[Date],0))</f>
        <v>-2.6</v>
      </c>
      <c r="R1072" s="2">
        <f ca="1">INDEX(INDIRECT(_xlfn.CONCAT("weather.tbl[",R$1,"]")),MATCH(vp.data[[#This Row],[SDate]],weather.tbl[Date],0))</f>
        <v>-11.8</v>
      </c>
      <c r="S1072" s="2">
        <f ca="1">INDEX(INDIRECT(_xlfn.CONCAT("weather.tbl[",S$1,"]")),MATCH(vp.data[[#This Row],[SDate]],weather.tbl[Date],0))</f>
        <v>-1.2</v>
      </c>
      <c r="T1072" s="2">
        <f ca="1">INDEX(INDIRECT(_xlfn.CONCAT("weather.tbl[",T$1,"]")),MATCH(vp.data[[#This Row],[SDate]],weather.tbl[Date],0))</f>
        <v>-6.2</v>
      </c>
      <c r="U1072" s="2">
        <f ca="1">INDEX(INDIRECT(_xlfn.CONCAT("weather.tbl[",U$1,"]")),MATCH(vp.data[[#This Row],[SDate]],weather.tbl[Date],0))</f>
        <v>-4.5</v>
      </c>
      <c r="V1072" s="2">
        <f t="array" ref="V10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1072" t="s">
        <v>48</v>
      </c>
      <c r="X1072">
        <f>IF(OR(vp.data[[#This Row],[Sulf]]="",vp.data[[#This Row],[Dens]]=""),1,0)</f>
        <v>0</v>
      </c>
      <c r="Y1072">
        <f>IF(vp.data[[#This Row],[CrudeType]]="C5+",1,0)</f>
        <v>0</v>
      </c>
      <c r="Z1072">
        <f>IF(AND(vp.data[[#This Row],[CrudeType]]="Crude",vp.data[[#This Row],[Dens]]&lt;=825,vp.data[[#This Row],[Sulf]]&gt;0.5,vp.data[[#This Row],[Unknown]]=0),1,0)</f>
        <v>1</v>
      </c>
      <c r="AA1072">
        <f>IF(AND(vp.data[[#This Row],[CrudeType]]="Crude",vp.data[[#This Row],[Dens]]&lt;=825,vp.data[[#This Row],[Sulf]]&lt;=0.5,vp.data[[#This Row],[Unknown]]=0),1,0)</f>
        <v>0</v>
      </c>
      <c r="AB10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2">
        <f>IF(AND(vp.data[[#This Row],[CrudeType]]="Crude",vp.data[[#This Row],[Dens]]&gt;825,vp.data[[#This Row],[Dens]]&lt;=900,vp.data[[#This Row],[Sulf]]&lt;=0.5,vp.data[[#This Row],[Unknown]]=0),1,0)</f>
        <v>0</v>
      </c>
      <c r="AD1072">
        <f>IF(AND(vp.data[[#This Row],[CrudeType]]="Crude",vp.data[[#This Row],[Dens]]&gt;865,vp.data[[#This Row],[Dens]]&lt;=900,vp.data[[#This Row],[Sulf]]&gt;2,vp.data[[#This Row],[Unknown]]=0),1,0)</f>
        <v>0</v>
      </c>
      <c r="AE1072">
        <f>IF(AND(vp.data[[#This Row],[CrudeType]]="Crude",vp.data[[#This Row],[Dens]]&gt;900,vp.data[[#This Row],[Sulf]]&lt;=0.5,vp.data[[#This Row],[Unknown]]=0),1,0)</f>
        <v>0</v>
      </c>
      <c r="AF1072">
        <f>IF(AND(vp.data[[#This Row],[CrudeType]]="Crude",vp.data[[#This Row],[Dens]]&gt;900,vp.data[[#This Row],[Sulf]]&lt;=0.5,vp.data[[#This Row],[Unknown]]=0),1,0)</f>
        <v>0</v>
      </c>
      <c r="AG1072" t="str">
        <f>INDEX(vp.data[[#Headers],[Unknown]:[Heavy_SW]],MATCH(1,vp.data[[#This Row],[Unknown]:[Heavy_SW]],0))</f>
        <v>Light_LSB</v>
      </c>
      <c r="AH1072">
        <f>INDEX([3]!crudeBD.lkup[Number],MATCH(vp.data[[#This Row],[Crude_Breakdown]],crudeBD.lkup[Crude Breakdown],0))</f>
        <v>1</v>
      </c>
      <c r="AI1072">
        <f>MONTH(vp.data[[#This Row],[SDate]])</f>
        <v>3</v>
      </c>
      <c r="AJ1072" s="5">
        <f>(vp.data[[#This Row],[VP]]-INDEX(crudeBD.lkup[Mean_VP],MATCH(vp.data[[#This Row],[Crude_Breakdown]],crudeBD.lkup[Crude Breakdown],0)))^2</f>
        <v>175.46143207567312</v>
      </c>
      <c r="AK1072" s="5">
        <f>(vp.data[[#This Row],[Dens]]-INDEX(crudeBD.lkup[Mean_Dens],MATCH(vp.data[[#This Row],[Crude_Breakdown]],crudeBD.lkup[Crude Breakdown],0)))^2</f>
        <v>20.099353389783285</v>
      </c>
      <c r="AL1072" s="5">
        <f>(vp.data[[#This Row],[Sulf]]-INDEX(crudeBD.lkup[Mean_Sulf],MATCH(vp.data[[#This Row],[Crude_Breakdown]],crudeBD.lkup[Crude Breakdown],0)))^2</f>
        <v>0.10495731794466394</v>
      </c>
      <c r="AM1072" s="4">
        <f>IF(AND(vp.data[[#This Row],[SDate]]&gt;=DATE(YEAR(vp.data[[#This Row],[SDate]]),5,1),vp.data[[#This Row],[SDate]]&lt;=DATE(YEAR(vp.data[[#This Row],[SDate]]),9,15)),1,0)</f>
        <v>0</v>
      </c>
      <c r="AN1072" s="4">
        <f>IF(vp.data[[#This Row],[SDate]]&lt;DATE(2016,12,1),0,1)</f>
        <v>1</v>
      </c>
      <c r="AO1072" s="4">
        <f>IFERROR(vp.data[[#This Row],[Sulf]]*vp.data[[#This Row],[Net Dens]],"")</f>
        <v>10631823.471866999</v>
      </c>
      <c r="AP1072">
        <f>IFERROR(vp.data[[#This Row],[Dens]]*vp.data[[#This Row],[VolumeM3]],"")</f>
        <v>17749287.932999998</v>
      </c>
      <c r="AQ1072" s="15">
        <f>IFERROR(vp.data[[#This Row],[VP]]*vp.data[[#This Row],[VolumeM3]],"")</f>
        <v>1688662.5093</v>
      </c>
    </row>
    <row r="1073" spans="1:43" x14ac:dyDescent="0.25">
      <c r="A1073">
        <v>1072</v>
      </c>
      <c r="B1073" t="s">
        <v>49</v>
      </c>
      <c r="C1073" t="s">
        <v>49</v>
      </c>
      <c r="D1073" t="s">
        <v>50</v>
      </c>
      <c r="F1073" s="1">
        <v>42816</v>
      </c>
      <c r="G1073" s="2">
        <v>78.099999999999994</v>
      </c>
      <c r="H1073" s="2">
        <v>2.903</v>
      </c>
      <c r="I1073" s="2">
        <f t="array" ref="I1073">_xlfn.IFNA(IF(vp.data[[#This Row],[Sulf Input]]="",INDEX([1]DATA!$Q$3:$Q$9826,MATCH(1,(vp.data[[#This Row],[Battery]]=[1]DATA!$L$3:$L$9826)*(EOMONTH(vp.data[[#This Row],[SDate]],-1)+1=[1]DATA!$G$3:$G$9826),0)),vp.data[[#This Row],[Sulf Input]]),"")</f>
        <v>2.903</v>
      </c>
      <c r="J1073" s="2">
        <v>2</v>
      </c>
      <c r="K1073" s="2">
        <v>2</v>
      </c>
      <c r="L1073" s="2">
        <v>870.9</v>
      </c>
      <c r="M1073" s="2">
        <f t="array" ref="M1073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073" s="2">
        <f ca="1">INDEX(INDIRECT(_xlfn.CONCAT("weather.tbl[",N$1,"]")),MATCH(vp.data[[#This Row],[SDate]],weather.tbl[Date],0))</f>
        <v>-4.8666666666666663</v>
      </c>
      <c r="O1073" s="2">
        <f ca="1">INDEX(INDIRECT(_xlfn.CONCAT("weather.tbl[",O$1,"]")),MATCH(vp.data[[#This Row],[SDate]],weather.tbl[Date],0))</f>
        <v>-2.2428571428571433</v>
      </c>
      <c r="P1073" s="2">
        <f ca="1">INDEX(INDIRECT(_xlfn.CONCAT("weather.tbl[",P$1,"]")),MATCH(vp.data[[#This Row],[SDate]],weather.tbl[Date],0))</f>
        <v>-2.9</v>
      </c>
      <c r="Q1073" s="2">
        <f ca="1">INDEX(INDIRECT(_xlfn.CONCAT("weather.tbl[",Q$1,"]")),MATCH(vp.data[[#This Row],[SDate]],weather.tbl[Date],0))</f>
        <v>-2.6</v>
      </c>
      <c r="R1073" s="2">
        <f ca="1">INDEX(INDIRECT(_xlfn.CONCAT("weather.tbl[",R$1,"]")),MATCH(vp.data[[#This Row],[SDate]],weather.tbl[Date],0))</f>
        <v>-11.8</v>
      </c>
      <c r="S1073" s="2">
        <f ca="1">INDEX(INDIRECT(_xlfn.CONCAT("weather.tbl[",S$1,"]")),MATCH(vp.data[[#This Row],[SDate]],weather.tbl[Date],0))</f>
        <v>-1.2</v>
      </c>
      <c r="T1073" s="2">
        <f ca="1">INDEX(INDIRECT(_xlfn.CONCAT("weather.tbl[",T$1,"]")),MATCH(vp.data[[#This Row],[SDate]],weather.tbl[Date],0))</f>
        <v>-6.2</v>
      </c>
      <c r="U1073" s="2">
        <f ca="1">INDEX(INDIRECT(_xlfn.CONCAT("weather.tbl[",U$1,"]")),MATCH(vp.data[[#This Row],[SDate]],weather.tbl[Date],0))</f>
        <v>-4.5</v>
      </c>
      <c r="V1073" s="2">
        <f t="array" ref="V10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6292.7340000000004</v>
      </c>
      <c r="W1073" t="s">
        <v>48</v>
      </c>
      <c r="X1073">
        <f>IF(OR(vp.data[[#This Row],[Sulf]]="",vp.data[[#This Row],[Dens]]=""),1,0)</f>
        <v>0</v>
      </c>
      <c r="Y1073">
        <f>IF(vp.data[[#This Row],[CrudeType]]="C5+",1,0)</f>
        <v>0</v>
      </c>
      <c r="Z1073">
        <f>IF(AND(vp.data[[#This Row],[CrudeType]]="Crude",vp.data[[#This Row],[Dens]]&lt;=825,vp.data[[#This Row],[Sulf]]&gt;0.5,vp.data[[#This Row],[Unknown]]=0),1,0)</f>
        <v>0</v>
      </c>
      <c r="AA1073">
        <f>IF(AND(vp.data[[#This Row],[CrudeType]]="Crude",vp.data[[#This Row],[Dens]]&lt;=825,vp.data[[#This Row],[Sulf]]&lt;=0.5,vp.data[[#This Row],[Unknown]]=0),1,0)</f>
        <v>0</v>
      </c>
      <c r="AB10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3">
        <f>IF(AND(vp.data[[#This Row],[CrudeType]]="Crude",vp.data[[#This Row],[Dens]]&gt;825,vp.data[[#This Row],[Dens]]&lt;=900,vp.data[[#This Row],[Sulf]]&lt;=0.5,vp.data[[#This Row],[Unknown]]=0),1,0)</f>
        <v>0</v>
      </c>
      <c r="AD1073">
        <f>IF(AND(vp.data[[#This Row],[CrudeType]]="Crude",vp.data[[#This Row],[Dens]]&gt;865,vp.data[[#This Row],[Dens]]&lt;=900,vp.data[[#This Row],[Sulf]]&gt;2,vp.data[[#This Row],[Unknown]]=0),1,0)</f>
        <v>1</v>
      </c>
      <c r="AE1073">
        <f>IF(AND(vp.data[[#This Row],[CrudeType]]="Crude",vp.data[[#This Row],[Dens]]&gt;900,vp.data[[#This Row],[Sulf]]&lt;=0.5,vp.data[[#This Row],[Unknown]]=0),1,0)</f>
        <v>0</v>
      </c>
      <c r="AF1073">
        <f>IF(AND(vp.data[[#This Row],[CrudeType]]="Crude",vp.data[[#This Row],[Dens]]&gt;900,vp.data[[#This Row],[Sulf]]&lt;=0.5,vp.data[[#This Row],[Unknown]]=0),1,0)</f>
        <v>0</v>
      </c>
      <c r="AG1073" t="str">
        <f>INDEX(vp.data[[#Headers],[Unknown]:[Heavy_SW]],MATCH(1,vp.data[[#This Row],[Unknown]:[Heavy_SW]],0))</f>
        <v>Midale</v>
      </c>
      <c r="AH1073">
        <f>INDEX([3]!crudeBD.lkup[Number],MATCH(vp.data[[#This Row],[Crude_Breakdown]],crudeBD.lkup[Crude Breakdown],0))</f>
        <v>5</v>
      </c>
      <c r="AI1073">
        <f>MONTH(vp.data[[#This Row],[SDate]])</f>
        <v>3</v>
      </c>
      <c r="AJ1073" s="5">
        <f>(vp.data[[#This Row],[VP]]-INDEX(crudeBD.lkup[Mean_VP],MATCH(vp.data[[#This Row],[Crude_Breakdown]],crudeBD.lkup[Crude Breakdown],0)))^2</f>
        <v>75.537602561376758</v>
      </c>
      <c r="AK1073" s="5">
        <f>(vp.data[[#This Row],[Dens]]-INDEX(crudeBD.lkup[Mean_Dens],MATCH(vp.data[[#This Row],[Crude_Breakdown]],crudeBD.lkup[Crude Breakdown],0)))^2</f>
        <v>15.342969762995462</v>
      </c>
      <c r="AL1073" s="5">
        <f>(vp.data[[#This Row],[Sulf]]-INDEX(crudeBD.lkup[Mean_Sulf],MATCH(vp.data[[#This Row],[Crude_Breakdown]],crudeBD.lkup[Crude Breakdown],0)))^2</f>
        <v>0.21103405727326094</v>
      </c>
      <c r="AM1073" s="4">
        <f>IF(AND(vp.data[[#This Row],[SDate]]&gt;=DATE(YEAR(vp.data[[#This Row],[SDate]]),5,1),vp.data[[#This Row],[SDate]]&lt;=DATE(YEAR(vp.data[[#This Row],[SDate]]),9,15)),1,0)</f>
        <v>0</v>
      </c>
      <c r="AN1073" s="4">
        <f>IF(vp.data[[#This Row],[SDate]]&lt;DATE(2016,12,1),0,1)</f>
        <v>1</v>
      </c>
      <c r="AO1073" s="4">
        <f>IFERROR(vp.data[[#This Row],[Sulf]]*vp.data[[#This Row],[Net Dens]],"")</f>
        <v>15909432.943861799</v>
      </c>
      <c r="AP1073">
        <f>IFERROR(vp.data[[#This Row],[Dens]]*vp.data[[#This Row],[VolumeM3]],"")</f>
        <v>5480342.0405999999</v>
      </c>
      <c r="AQ1073" s="15">
        <f>IFERROR(vp.data[[#This Row],[VP]]*vp.data[[#This Row],[VolumeM3]],"")</f>
        <v>491462.52539999998</v>
      </c>
    </row>
    <row r="1074" spans="1:43" x14ac:dyDescent="0.25">
      <c r="A1074">
        <v>1073</v>
      </c>
      <c r="B1074" t="s">
        <v>62</v>
      </c>
      <c r="C1074" t="s">
        <v>62</v>
      </c>
      <c r="D1074" t="s">
        <v>83</v>
      </c>
      <c r="F1074" s="1">
        <v>42816</v>
      </c>
      <c r="G1074" s="2">
        <v>91</v>
      </c>
      <c r="H1074" s="2"/>
      <c r="I1074" s="2">
        <f t="array" ref="I1074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074" s="2">
        <v>0.2</v>
      </c>
      <c r="K1074" s="2">
        <v>2</v>
      </c>
      <c r="L1074" s="2">
        <v>807.2</v>
      </c>
      <c r="M1074" s="2">
        <f t="array" ref="M1074">_xlfn.IFNA(IF(vp.data[[#This Row],[Dens Input]]="",INDEX([1]DATA!$O$3:$O$9826,MATCH(1,(vp.data[[#This Row],[Battery]]=[1]DATA!$L$3:$L$9826)*(EOMONTH(vp.data[[#This Row],[SDate]],-1)+1=[1]DATA!$G$3:$G$9826),0)),vp.data[[#This Row],[Dens Input]]),"")</f>
        <v>807.2</v>
      </c>
      <c r="N1074" s="2">
        <f ca="1">INDEX(INDIRECT(_xlfn.CONCAT("weather.tbl[",N$1,"]")),MATCH(vp.data[[#This Row],[SDate]],weather.tbl[Date],0))</f>
        <v>-4.8666666666666663</v>
      </c>
      <c r="O1074" s="2">
        <f ca="1">INDEX(INDIRECT(_xlfn.CONCAT("weather.tbl[",O$1,"]")),MATCH(vp.data[[#This Row],[SDate]],weather.tbl[Date],0))</f>
        <v>-2.2428571428571433</v>
      </c>
      <c r="P1074" s="2">
        <f ca="1">INDEX(INDIRECT(_xlfn.CONCAT("weather.tbl[",P$1,"]")),MATCH(vp.data[[#This Row],[SDate]],weather.tbl[Date],0))</f>
        <v>-2.9</v>
      </c>
      <c r="Q1074" s="2">
        <f ca="1">INDEX(INDIRECT(_xlfn.CONCAT("weather.tbl[",Q$1,"]")),MATCH(vp.data[[#This Row],[SDate]],weather.tbl[Date],0))</f>
        <v>-2.6</v>
      </c>
      <c r="R1074" s="2">
        <f ca="1">INDEX(INDIRECT(_xlfn.CONCAT("weather.tbl[",R$1,"]")),MATCH(vp.data[[#This Row],[SDate]],weather.tbl[Date],0))</f>
        <v>-11.8</v>
      </c>
      <c r="S1074" s="2">
        <f ca="1">INDEX(INDIRECT(_xlfn.CONCAT("weather.tbl[",S$1,"]")),MATCH(vp.data[[#This Row],[SDate]],weather.tbl[Date],0))</f>
        <v>-1.2</v>
      </c>
      <c r="T1074" s="2">
        <f ca="1">INDEX(INDIRECT(_xlfn.CONCAT("weather.tbl[",T$1,"]")),MATCH(vp.data[[#This Row],[SDate]],weather.tbl[Date],0))</f>
        <v>-6.2</v>
      </c>
      <c r="U1074" s="2">
        <f ca="1">INDEX(INDIRECT(_xlfn.CONCAT("weather.tbl[",U$1,"]")),MATCH(vp.data[[#This Row],[SDate]],weather.tbl[Date],0))</f>
        <v>-4.5</v>
      </c>
      <c r="V1074" s="2">
        <f t="array" ref="V10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6312.9459999999999</v>
      </c>
      <c r="W1074" t="s">
        <v>48</v>
      </c>
      <c r="X1074">
        <f>IF(OR(vp.data[[#This Row],[Sulf]]="",vp.data[[#This Row],[Dens]]=""),1,0)</f>
        <v>0</v>
      </c>
      <c r="Y1074">
        <f>IF(vp.data[[#This Row],[CrudeType]]="C5+",1,0)</f>
        <v>0</v>
      </c>
      <c r="Z1074">
        <f>IF(AND(vp.data[[#This Row],[CrudeType]]="Crude",vp.data[[#This Row],[Dens]]&lt;=825,vp.data[[#This Row],[Sulf]]&gt;0.5,vp.data[[#This Row],[Unknown]]=0),1,0)</f>
        <v>0</v>
      </c>
      <c r="AA1074">
        <f>IF(AND(vp.data[[#This Row],[CrudeType]]="Crude",vp.data[[#This Row],[Dens]]&lt;=825,vp.data[[#This Row],[Sulf]]&lt;=0.5,vp.data[[#This Row],[Unknown]]=0),1,0)</f>
        <v>1</v>
      </c>
      <c r="AB10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4">
        <f>IF(AND(vp.data[[#This Row],[CrudeType]]="Crude",vp.data[[#This Row],[Dens]]&gt;825,vp.data[[#This Row],[Dens]]&lt;=900,vp.data[[#This Row],[Sulf]]&lt;=0.5,vp.data[[#This Row],[Unknown]]=0),1,0)</f>
        <v>0</v>
      </c>
      <c r="AD1074">
        <f>IF(AND(vp.data[[#This Row],[CrudeType]]="Crude",vp.data[[#This Row],[Dens]]&gt;865,vp.data[[#This Row],[Dens]]&lt;=900,vp.data[[#This Row],[Sulf]]&gt;2,vp.data[[#This Row],[Unknown]]=0),1,0)</f>
        <v>0</v>
      </c>
      <c r="AE1074">
        <f>IF(AND(vp.data[[#This Row],[CrudeType]]="Crude",vp.data[[#This Row],[Dens]]&gt;900,vp.data[[#This Row],[Sulf]]&lt;=0.5,vp.data[[#This Row],[Unknown]]=0),1,0)</f>
        <v>0</v>
      </c>
      <c r="AF1074">
        <f>IF(AND(vp.data[[#This Row],[CrudeType]]="Crude",vp.data[[#This Row],[Dens]]&gt;900,vp.data[[#This Row],[Sulf]]&lt;=0.5,vp.data[[#This Row],[Unknown]]=0),1,0)</f>
        <v>0</v>
      </c>
      <c r="AG1074" t="str">
        <f>INDEX(vp.data[[#Headers],[Unknown]:[Heavy_SW]],MATCH(1,vp.data[[#This Row],[Unknown]:[Heavy_SW]],0))</f>
        <v>Light_SW</v>
      </c>
      <c r="AH1074">
        <f>INDEX([3]!crudeBD.lkup[Number],MATCH(vp.data[[#This Row],[Crude_Breakdown]],crudeBD.lkup[Crude Breakdown],0))</f>
        <v>2</v>
      </c>
      <c r="AI1074">
        <f>MONTH(vp.data[[#This Row],[SDate]])</f>
        <v>3</v>
      </c>
      <c r="AJ1074" s="5">
        <f>(vp.data[[#This Row],[VP]]-INDEX(crudeBD.lkup[Mean_VP],MATCH(vp.data[[#This Row],[Crude_Breakdown]],crudeBD.lkup[Crude Breakdown],0)))^2</f>
        <v>2.4034722237734156</v>
      </c>
      <c r="AK1074" s="5">
        <f>(vp.data[[#This Row],[Dens]]-INDEX(crudeBD.lkup[Mean_Dens],MATCH(vp.data[[#This Row],[Crude_Breakdown]],crudeBD.lkup[Crude Breakdown],0)))^2</f>
        <v>1.2354283771801491</v>
      </c>
      <c r="AL1074" s="5">
        <f>(vp.data[[#This Row],[Sulf]]-INDEX(crudeBD.lkup[Mean_Sulf],MATCH(vp.data[[#This Row],[Crude_Breakdown]],crudeBD.lkup[Crude Breakdown],0)))^2</f>
        <v>2.1383051628646554E-3</v>
      </c>
      <c r="AM1074" s="4">
        <f>IF(AND(vp.data[[#This Row],[SDate]]&gt;=DATE(YEAR(vp.data[[#This Row],[SDate]]),5,1),vp.data[[#This Row],[SDate]]&lt;=DATE(YEAR(vp.data[[#This Row],[SDate]]),9,15)),1,0)</f>
        <v>0</v>
      </c>
      <c r="AN1074" s="4">
        <f>IF(vp.data[[#This Row],[SDate]]&lt;DATE(2016,12,1),0,1)</f>
        <v>1</v>
      </c>
      <c r="AO1074" s="4">
        <f>IFERROR(vp.data[[#This Row],[Sulf]]*vp.data[[#This Row],[Net Dens]],"")</f>
        <v>968203.90212800016</v>
      </c>
      <c r="AP1074">
        <f>IFERROR(vp.data[[#This Row],[Dens]]*vp.data[[#This Row],[VolumeM3]],"")</f>
        <v>5095810.0112000005</v>
      </c>
      <c r="AQ1074" s="15">
        <f>IFERROR(vp.data[[#This Row],[VP]]*vp.data[[#This Row],[VolumeM3]],"")</f>
        <v>574478.08600000001</v>
      </c>
    </row>
    <row r="1075" spans="1:43" x14ac:dyDescent="0.25">
      <c r="A1075">
        <v>1074</v>
      </c>
      <c r="B1075" t="s">
        <v>51</v>
      </c>
      <c r="C1075" t="s">
        <v>51</v>
      </c>
      <c r="D1075" t="s">
        <v>71</v>
      </c>
      <c r="F1075" s="1">
        <v>42816</v>
      </c>
      <c r="G1075" s="2">
        <v>94</v>
      </c>
      <c r="H1075" s="2"/>
      <c r="I1075" s="2">
        <f t="array" ref="I1075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1075" s="2">
        <v>13</v>
      </c>
      <c r="K1075" s="2">
        <v>4</v>
      </c>
      <c r="L1075" s="2">
        <v>810.1</v>
      </c>
      <c r="M1075" s="2">
        <f t="array" ref="M1075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1075" s="2">
        <f ca="1">INDEX(INDIRECT(_xlfn.CONCAT("weather.tbl[",N$1,"]")),MATCH(vp.data[[#This Row],[SDate]],weather.tbl[Date],0))</f>
        <v>-4.8666666666666663</v>
      </c>
      <c r="O1075" s="2">
        <f ca="1">INDEX(INDIRECT(_xlfn.CONCAT("weather.tbl[",O$1,"]")),MATCH(vp.data[[#This Row],[SDate]],weather.tbl[Date],0))</f>
        <v>-2.2428571428571433</v>
      </c>
      <c r="P1075" s="2">
        <f ca="1">INDEX(INDIRECT(_xlfn.CONCAT("weather.tbl[",P$1,"]")),MATCH(vp.data[[#This Row],[SDate]],weather.tbl[Date],0))</f>
        <v>-2.9</v>
      </c>
      <c r="Q1075" s="2">
        <f ca="1">INDEX(INDIRECT(_xlfn.CONCAT("weather.tbl[",Q$1,"]")),MATCH(vp.data[[#This Row],[SDate]],weather.tbl[Date],0))</f>
        <v>-2.6</v>
      </c>
      <c r="R1075" s="2">
        <f ca="1">INDEX(INDIRECT(_xlfn.CONCAT("weather.tbl[",R$1,"]")),MATCH(vp.data[[#This Row],[SDate]],weather.tbl[Date],0))</f>
        <v>-11.8</v>
      </c>
      <c r="S1075" s="2">
        <f ca="1">INDEX(INDIRECT(_xlfn.CONCAT("weather.tbl[",S$1,"]")),MATCH(vp.data[[#This Row],[SDate]],weather.tbl[Date],0))</f>
        <v>-1.2</v>
      </c>
      <c r="T1075" s="2">
        <f ca="1">INDEX(INDIRECT(_xlfn.CONCAT("weather.tbl[",T$1,"]")),MATCH(vp.data[[#This Row],[SDate]],weather.tbl[Date],0))</f>
        <v>-6.2</v>
      </c>
      <c r="U1075" s="2">
        <f ca="1">INDEX(INDIRECT(_xlfn.CONCAT("weather.tbl[",U$1,"]")),MATCH(vp.data[[#This Row],[SDate]],weather.tbl[Date],0))</f>
        <v>-4.5</v>
      </c>
      <c r="V1075" s="2">
        <f t="array" ref="V10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7995.5450000000001</v>
      </c>
      <c r="W1075" t="s">
        <v>48</v>
      </c>
      <c r="X1075">
        <f>IF(OR(vp.data[[#This Row],[Sulf]]="",vp.data[[#This Row],[Dens]]=""),1,0)</f>
        <v>0</v>
      </c>
      <c r="Y1075">
        <f>IF(vp.data[[#This Row],[CrudeType]]="C5+",1,0)</f>
        <v>0</v>
      </c>
      <c r="Z1075">
        <f>IF(AND(vp.data[[#This Row],[CrudeType]]="Crude",vp.data[[#This Row],[Dens]]&lt;=825,vp.data[[#This Row],[Sulf]]&gt;0.5,vp.data[[#This Row],[Unknown]]=0),1,0)</f>
        <v>1</v>
      </c>
      <c r="AA1075">
        <f>IF(AND(vp.data[[#This Row],[CrudeType]]="Crude",vp.data[[#This Row],[Dens]]&lt;=825,vp.data[[#This Row],[Sulf]]&lt;=0.5,vp.data[[#This Row],[Unknown]]=0),1,0)</f>
        <v>0</v>
      </c>
      <c r="AB10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75">
        <f>IF(AND(vp.data[[#This Row],[CrudeType]]="Crude",vp.data[[#This Row],[Dens]]&gt;825,vp.data[[#This Row],[Dens]]&lt;=900,vp.data[[#This Row],[Sulf]]&lt;=0.5,vp.data[[#This Row],[Unknown]]=0),1,0)</f>
        <v>0</v>
      </c>
      <c r="AD1075">
        <f>IF(AND(vp.data[[#This Row],[CrudeType]]="Crude",vp.data[[#This Row],[Dens]]&gt;865,vp.data[[#This Row],[Dens]]&lt;=900,vp.data[[#This Row],[Sulf]]&gt;2,vp.data[[#This Row],[Unknown]]=0),1,0)</f>
        <v>0</v>
      </c>
      <c r="AE1075">
        <f>IF(AND(vp.data[[#This Row],[CrudeType]]="Crude",vp.data[[#This Row],[Dens]]&gt;900,vp.data[[#This Row],[Sulf]]&lt;=0.5,vp.data[[#This Row],[Unknown]]=0),1,0)</f>
        <v>0</v>
      </c>
      <c r="AF1075">
        <f>IF(AND(vp.data[[#This Row],[CrudeType]]="Crude",vp.data[[#This Row],[Dens]]&gt;900,vp.data[[#This Row],[Sulf]]&lt;=0.5,vp.data[[#This Row],[Unknown]]=0),1,0)</f>
        <v>0</v>
      </c>
      <c r="AG1075" t="str">
        <f>INDEX(vp.data[[#Headers],[Unknown]:[Heavy_SW]],MATCH(1,vp.data[[#This Row],[Unknown]:[Heavy_SW]],0))</f>
        <v>Light_LSB</v>
      </c>
      <c r="AH1075">
        <f>INDEX([3]!crudeBD.lkup[Number],MATCH(vp.data[[#This Row],[Crude_Breakdown]],crudeBD.lkup[Crude Breakdown],0))</f>
        <v>1</v>
      </c>
      <c r="AI1075">
        <f>MONTH(vp.data[[#This Row],[SDate]])</f>
        <v>3</v>
      </c>
      <c r="AJ1075" s="5">
        <f>(vp.data[[#This Row],[VP]]-INDEX(crudeBD.lkup[Mean_VP],MATCH(vp.data[[#This Row],[Crude_Breakdown]],crudeBD.lkup[Crude Breakdown],0)))^2</f>
        <v>6.0212052715483644</v>
      </c>
      <c r="AK1075" s="5">
        <f>(vp.data[[#This Row],[Dens]]-INDEX(crudeBD.lkup[Mean_Dens],MATCH(vp.data[[#This Row],[Crude_Breakdown]],crudeBD.lkup[Crude Breakdown],0)))^2</f>
        <v>70.842013183589231</v>
      </c>
      <c r="AL1075" s="5">
        <f>(vp.data[[#This Row],[Sulf]]-INDEX(crudeBD.lkup[Mean_Sulf],MATCH(vp.data[[#This Row],[Crude_Breakdown]],crudeBD.lkup[Crude Breakdown],0)))^2</f>
        <v>0.48584919210274019</v>
      </c>
      <c r="AM1075" s="4">
        <f>IF(AND(vp.data[[#This Row],[SDate]]&gt;=DATE(YEAR(vp.data[[#This Row],[SDate]]),5,1),vp.data[[#This Row],[SDate]]&lt;=DATE(YEAR(vp.data[[#This Row],[SDate]]),9,15)),1,0)</f>
        <v>0</v>
      </c>
      <c r="AN1075" s="4">
        <f>IF(vp.data[[#This Row],[SDate]]&lt;DATE(2016,12,1),0,1)</f>
        <v>1</v>
      </c>
      <c r="AO1075" s="4">
        <f>IFERROR(vp.data[[#This Row],[Sulf]]*vp.data[[#This Row],[Net Dens]],"")</f>
        <v>10493049.42729</v>
      </c>
      <c r="AP1075">
        <f>IFERROR(vp.data[[#This Row],[Dens]]*vp.data[[#This Row],[VolumeM3]],"")</f>
        <v>6477191.0044999998</v>
      </c>
      <c r="AQ1075" s="15">
        <f>IFERROR(vp.data[[#This Row],[VP]]*vp.data[[#This Row],[VolumeM3]],"")</f>
        <v>751581.23</v>
      </c>
    </row>
    <row r="1076" spans="1:43" x14ac:dyDescent="0.25">
      <c r="A1076">
        <v>1075</v>
      </c>
      <c r="B1076" t="s">
        <v>51</v>
      </c>
      <c r="C1076" t="s">
        <v>51</v>
      </c>
      <c r="D1076" t="s">
        <v>58</v>
      </c>
      <c r="F1076" s="1">
        <v>42816</v>
      </c>
      <c r="G1076" s="2">
        <v>92</v>
      </c>
      <c r="H1076" s="2"/>
      <c r="I1076" s="2">
        <f t="array" ref="I1076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1076" s="2">
        <v>27</v>
      </c>
      <c r="K1076" s="2">
        <v>2</v>
      </c>
      <c r="L1076" s="2">
        <v>828.5</v>
      </c>
      <c r="M1076" s="2">
        <f t="array" ref="M1076">_xlfn.IFNA(IF(vp.data[[#This Row],[Dens Input]]="",INDEX([1]DATA!$O$3:$O$9826,MATCH(1,(vp.data[[#This Row],[Battery]]=[1]DATA!$L$3:$L$9826)*(EOMONTH(vp.data[[#This Row],[SDate]],-1)+1=[1]DATA!$G$3:$G$9826),0)),vp.data[[#This Row],[Dens Input]]),"")</f>
        <v>828.5</v>
      </c>
      <c r="N1076" s="2">
        <f ca="1">INDEX(INDIRECT(_xlfn.CONCAT("weather.tbl[",N$1,"]")),MATCH(vp.data[[#This Row],[SDate]],weather.tbl[Date],0))</f>
        <v>-4.8666666666666663</v>
      </c>
      <c r="O1076" s="2">
        <f ca="1">INDEX(INDIRECT(_xlfn.CONCAT("weather.tbl[",O$1,"]")),MATCH(vp.data[[#This Row],[SDate]],weather.tbl[Date],0))</f>
        <v>-2.2428571428571433</v>
      </c>
      <c r="P1076" s="2">
        <f ca="1">INDEX(INDIRECT(_xlfn.CONCAT("weather.tbl[",P$1,"]")),MATCH(vp.data[[#This Row],[SDate]],weather.tbl[Date],0))</f>
        <v>-2.9</v>
      </c>
      <c r="Q1076" s="2">
        <f ca="1">INDEX(INDIRECT(_xlfn.CONCAT("weather.tbl[",Q$1,"]")),MATCH(vp.data[[#This Row],[SDate]],weather.tbl[Date],0))</f>
        <v>-2.6</v>
      </c>
      <c r="R1076" s="2">
        <f ca="1">INDEX(INDIRECT(_xlfn.CONCAT("weather.tbl[",R$1,"]")),MATCH(vp.data[[#This Row],[SDate]],weather.tbl[Date],0))</f>
        <v>-11.8</v>
      </c>
      <c r="S1076" s="2">
        <f ca="1">INDEX(INDIRECT(_xlfn.CONCAT("weather.tbl[",S$1,"]")),MATCH(vp.data[[#This Row],[SDate]],weather.tbl[Date],0))</f>
        <v>-1.2</v>
      </c>
      <c r="T1076" s="2">
        <f ca="1">INDEX(INDIRECT(_xlfn.CONCAT("weather.tbl[",T$1,"]")),MATCH(vp.data[[#This Row],[SDate]],weather.tbl[Date],0))</f>
        <v>-6.2</v>
      </c>
      <c r="U1076" s="2">
        <f ca="1">INDEX(INDIRECT(_xlfn.CONCAT("weather.tbl[",U$1,"]")),MATCH(vp.data[[#This Row],[SDate]],weather.tbl[Date],0))</f>
        <v>-4.5</v>
      </c>
      <c r="V1076" s="2">
        <f t="array" ref="V10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1076" t="s">
        <v>48</v>
      </c>
      <c r="X1076">
        <f>IF(OR(vp.data[[#This Row],[Sulf]]="",vp.data[[#This Row],[Dens]]=""),1,0)</f>
        <v>0</v>
      </c>
      <c r="Y1076">
        <f>IF(vp.data[[#This Row],[CrudeType]]="C5+",1,0)</f>
        <v>0</v>
      </c>
      <c r="Z1076">
        <f>IF(AND(vp.data[[#This Row],[CrudeType]]="Crude",vp.data[[#This Row],[Dens]]&lt;=825,vp.data[[#This Row],[Sulf]]&gt;0.5,vp.data[[#This Row],[Unknown]]=0),1,0)</f>
        <v>0</v>
      </c>
      <c r="AA1076">
        <f>IF(AND(vp.data[[#This Row],[CrudeType]]="Crude",vp.data[[#This Row],[Dens]]&lt;=825,vp.data[[#This Row],[Sulf]]&lt;=0.5,vp.data[[#This Row],[Unknown]]=0),1,0)</f>
        <v>0</v>
      </c>
      <c r="AB10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76">
        <f>IF(AND(vp.data[[#This Row],[CrudeType]]="Crude",vp.data[[#This Row],[Dens]]&gt;825,vp.data[[#This Row],[Dens]]&lt;=900,vp.data[[#This Row],[Sulf]]&lt;=0.5,vp.data[[#This Row],[Unknown]]=0),1,0)</f>
        <v>0</v>
      </c>
      <c r="AD1076">
        <f>IF(AND(vp.data[[#This Row],[CrudeType]]="Crude",vp.data[[#This Row],[Dens]]&gt;865,vp.data[[#This Row],[Dens]]&lt;=900,vp.data[[#This Row],[Sulf]]&gt;2,vp.data[[#This Row],[Unknown]]=0),1,0)</f>
        <v>0</v>
      </c>
      <c r="AE1076">
        <f>IF(AND(vp.data[[#This Row],[CrudeType]]="Crude",vp.data[[#This Row],[Dens]]&gt;900,vp.data[[#This Row],[Sulf]]&lt;=0.5,vp.data[[#This Row],[Unknown]]=0),1,0)</f>
        <v>0</v>
      </c>
      <c r="AF1076">
        <f>IF(AND(vp.data[[#This Row],[CrudeType]]="Crude",vp.data[[#This Row],[Dens]]&gt;900,vp.data[[#This Row],[Sulf]]&lt;=0.5,vp.data[[#This Row],[Unknown]]=0),1,0)</f>
        <v>0</v>
      </c>
      <c r="AG1076" t="str">
        <f>INDEX(vp.data[[#Headers],[Unknown]:[Heavy_SW]],MATCH(1,vp.data[[#This Row],[Unknown]:[Heavy_SW]],0))</f>
        <v>Medium_LSB</v>
      </c>
      <c r="AH1076">
        <f>INDEX([3]!crudeBD.lkup[Number],MATCH(vp.data[[#This Row],[Crude_Breakdown]],crudeBD.lkup[Crude Breakdown],0))</f>
        <v>3</v>
      </c>
      <c r="AI1076">
        <f>MONTH(vp.data[[#This Row],[SDate]])</f>
        <v>3</v>
      </c>
      <c r="AJ1076" s="5">
        <f>(vp.data[[#This Row],[VP]]-INDEX(crudeBD.lkup[Mean_VP],MATCH(vp.data[[#This Row],[Crude_Breakdown]],crudeBD.lkup[Crude Breakdown],0)))^2</f>
        <v>129.05694889168362</v>
      </c>
      <c r="AK1076" s="5">
        <f>(vp.data[[#This Row],[Dens]]-INDEX(crudeBD.lkup[Mean_Dens],MATCH(vp.data[[#This Row],[Crude_Breakdown]],crudeBD.lkup[Crude Breakdown],0)))^2</f>
        <v>237.7763999999847</v>
      </c>
      <c r="AL1076" s="5">
        <f>(vp.data[[#This Row],[Sulf]]-INDEX(crudeBD.lkup[Mean_Sulf],MATCH(vp.data[[#This Row],[Crude_Breakdown]],crudeBD.lkup[Crude Breakdown],0)))^2</f>
        <v>5.6863855700863518E-3</v>
      </c>
      <c r="AM1076" s="4">
        <f>IF(AND(vp.data[[#This Row],[SDate]]&gt;=DATE(YEAR(vp.data[[#This Row],[SDate]]),5,1),vp.data[[#This Row],[SDate]]&lt;=DATE(YEAR(vp.data[[#This Row],[SDate]]),9,15)),1,0)</f>
        <v>0</v>
      </c>
      <c r="AN1076" s="4">
        <f>IF(vp.data[[#This Row],[SDate]]&lt;DATE(2016,12,1),0,1)</f>
        <v>1</v>
      </c>
      <c r="AO1076" s="4">
        <f>IFERROR(vp.data[[#This Row],[Sulf]]*vp.data[[#This Row],[Net Dens]],"")</f>
        <v>6589362.9107850008</v>
      </c>
      <c r="AP1076">
        <f>IFERROR(vp.data[[#This Row],[Dens]]*vp.data[[#This Row],[VolumeM3]],"")</f>
        <v>5030048.0235000001</v>
      </c>
      <c r="AQ1076" s="15">
        <f>IFERROR(vp.data[[#This Row],[VP]]*vp.data[[#This Row],[VolumeM3]],"")</f>
        <v>558556.93200000003</v>
      </c>
    </row>
    <row r="1077" spans="1:43" x14ac:dyDescent="0.25">
      <c r="A1077">
        <v>1076</v>
      </c>
      <c r="B1077" t="s">
        <v>56</v>
      </c>
      <c r="C1077" t="s">
        <v>56</v>
      </c>
      <c r="D1077" t="s">
        <v>57</v>
      </c>
      <c r="F1077" s="1">
        <v>42816</v>
      </c>
      <c r="G1077" s="2">
        <v>57.1</v>
      </c>
      <c r="H1077" s="2"/>
      <c r="I1077" s="2">
        <f t="array" ref="I1077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1077" s="2">
        <v>9</v>
      </c>
      <c r="K1077" s="2">
        <v>2</v>
      </c>
      <c r="L1077" s="2">
        <v>847.8</v>
      </c>
      <c r="M1077" s="2">
        <f t="array" ref="M1077">_xlfn.IFNA(IF(vp.data[[#This Row],[Dens Input]]="",INDEX([1]DATA!$O$3:$O$9826,MATCH(1,(vp.data[[#This Row],[Battery]]=[1]DATA!$L$3:$L$9826)*(EOMONTH(vp.data[[#This Row],[SDate]],-1)+1=[1]DATA!$G$3:$G$9826),0)),vp.data[[#This Row],[Dens Input]]),"")</f>
        <v>847.8</v>
      </c>
      <c r="N1077" s="2">
        <f ca="1">INDEX(INDIRECT(_xlfn.CONCAT("weather.tbl[",N$1,"]")),MATCH(vp.data[[#This Row],[SDate]],weather.tbl[Date],0))</f>
        <v>-4.8666666666666663</v>
      </c>
      <c r="O1077" s="2">
        <f ca="1">INDEX(INDIRECT(_xlfn.CONCAT("weather.tbl[",O$1,"]")),MATCH(vp.data[[#This Row],[SDate]],weather.tbl[Date],0))</f>
        <v>-2.2428571428571433</v>
      </c>
      <c r="P1077" s="2">
        <f ca="1">INDEX(INDIRECT(_xlfn.CONCAT("weather.tbl[",P$1,"]")),MATCH(vp.data[[#This Row],[SDate]],weather.tbl[Date],0))</f>
        <v>-2.9</v>
      </c>
      <c r="Q1077" s="2">
        <f ca="1">INDEX(INDIRECT(_xlfn.CONCAT("weather.tbl[",Q$1,"]")),MATCH(vp.data[[#This Row],[SDate]],weather.tbl[Date],0))</f>
        <v>-2.6</v>
      </c>
      <c r="R1077" s="2">
        <f ca="1">INDEX(INDIRECT(_xlfn.CONCAT("weather.tbl[",R$1,"]")),MATCH(vp.data[[#This Row],[SDate]],weather.tbl[Date],0))</f>
        <v>-11.8</v>
      </c>
      <c r="S1077" s="2">
        <f ca="1">INDEX(INDIRECT(_xlfn.CONCAT("weather.tbl[",S$1,"]")),MATCH(vp.data[[#This Row],[SDate]],weather.tbl[Date],0))</f>
        <v>-1.2</v>
      </c>
      <c r="T1077" s="2">
        <f ca="1">INDEX(INDIRECT(_xlfn.CONCAT("weather.tbl[",T$1,"]")),MATCH(vp.data[[#This Row],[SDate]],weather.tbl[Date],0))</f>
        <v>-6.2</v>
      </c>
      <c r="U1077" s="2">
        <f ca="1">INDEX(INDIRECT(_xlfn.CONCAT("weather.tbl[",U$1,"]")),MATCH(vp.data[[#This Row],[SDate]],weather.tbl[Date],0))</f>
        <v>-4.5</v>
      </c>
      <c r="V1077" s="2">
        <f t="array" ref="V10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2822.4540000000002</v>
      </c>
      <c r="W1077" t="s">
        <v>48</v>
      </c>
      <c r="X1077">
        <f>IF(OR(vp.data[[#This Row],[Sulf]]="",vp.data[[#This Row],[Dens]]=""),1,0)</f>
        <v>0</v>
      </c>
      <c r="Y1077">
        <f>IF(vp.data[[#This Row],[CrudeType]]="C5+",1,0)</f>
        <v>0</v>
      </c>
      <c r="Z1077">
        <f>IF(AND(vp.data[[#This Row],[CrudeType]]="Crude",vp.data[[#This Row],[Dens]]&lt;=825,vp.data[[#This Row],[Sulf]]&gt;0.5,vp.data[[#This Row],[Unknown]]=0),1,0)</f>
        <v>0</v>
      </c>
      <c r="AA1077">
        <f>IF(AND(vp.data[[#This Row],[CrudeType]]="Crude",vp.data[[#This Row],[Dens]]&lt;=825,vp.data[[#This Row],[Sulf]]&lt;=0.5,vp.data[[#This Row],[Unknown]]=0),1,0)</f>
        <v>0</v>
      </c>
      <c r="AB10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77">
        <f>IF(AND(vp.data[[#This Row],[CrudeType]]="Crude",vp.data[[#This Row],[Dens]]&gt;825,vp.data[[#This Row],[Dens]]&lt;=900,vp.data[[#This Row],[Sulf]]&lt;=0.5,vp.data[[#This Row],[Unknown]]=0),1,0)</f>
        <v>0</v>
      </c>
      <c r="AD1077">
        <f>IF(AND(vp.data[[#This Row],[CrudeType]]="Crude",vp.data[[#This Row],[Dens]]&gt;865,vp.data[[#This Row],[Dens]]&lt;=900,vp.data[[#This Row],[Sulf]]&gt;2,vp.data[[#This Row],[Unknown]]=0),1,0)</f>
        <v>0</v>
      </c>
      <c r="AE1077">
        <f>IF(AND(vp.data[[#This Row],[CrudeType]]="Crude",vp.data[[#This Row],[Dens]]&gt;900,vp.data[[#This Row],[Sulf]]&lt;=0.5,vp.data[[#This Row],[Unknown]]=0),1,0)</f>
        <v>0</v>
      </c>
      <c r="AF1077">
        <f>IF(AND(vp.data[[#This Row],[CrudeType]]="Crude",vp.data[[#This Row],[Dens]]&gt;900,vp.data[[#This Row],[Sulf]]&lt;=0.5,vp.data[[#This Row],[Unknown]]=0),1,0)</f>
        <v>0</v>
      </c>
      <c r="AG1077" t="str">
        <f>INDEX(vp.data[[#Headers],[Unknown]:[Heavy_SW]],MATCH(1,vp.data[[#This Row],[Unknown]:[Heavy_SW]],0))</f>
        <v>Medium_LSB</v>
      </c>
      <c r="AH1077">
        <f>INDEX([3]!crudeBD.lkup[Number],MATCH(vp.data[[#This Row],[Crude_Breakdown]],crudeBD.lkup[Crude Breakdown],0))</f>
        <v>3</v>
      </c>
      <c r="AI1077">
        <f>MONTH(vp.data[[#This Row],[SDate]])</f>
        <v>3</v>
      </c>
      <c r="AJ1077" s="5">
        <f>(vp.data[[#This Row],[VP]]-INDEX(crudeBD.lkup[Mean_VP],MATCH(vp.data[[#This Row],[Crude_Breakdown]],crudeBD.lkup[Crude Breakdown],0)))^2</f>
        <v>554.11637207227159</v>
      </c>
      <c r="AK1077" s="5">
        <f>(vp.data[[#This Row],[Dens]]-INDEX(crudeBD.lkup[Mean_Dens],MATCH(vp.data[[#This Row],[Crude_Breakdown]],crudeBD.lkup[Crude Breakdown],0)))^2</f>
        <v>15.054400000003493</v>
      </c>
      <c r="AL1077" s="5">
        <f>(vp.data[[#This Row],[Sulf]]-INDEX(crudeBD.lkup[Mean_Sulf],MATCH(vp.data[[#This Row],[Crude_Breakdown]],crudeBD.lkup[Crude Breakdown],0)))^2</f>
        <v>5.9825184491918218E-2</v>
      </c>
      <c r="AM1077" s="4">
        <f>IF(AND(vp.data[[#This Row],[SDate]]&gt;=DATE(YEAR(vp.data[[#This Row],[SDate]]),5,1),vp.data[[#This Row],[SDate]]&lt;=DATE(YEAR(vp.data[[#This Row],[SDate]]),9,15)),1,0)</f>
        <v>0</v>
      </c>
      <c r="AN1077" s="4">
        <f>IF(vp.data[[#This Row],[SDate]]&lt;DATE(2016,12,1),0,1)</f>
        <v>1</v>
      </c>
      <c r="AO1077" s="4">
        <f>IFERROR(vp.data[[#This Row],[Sulf]]*vp.data[[#This Row],[Net Dens]],"")</f>
        <v>3900388.6969559994</v>
      </c>
      <c r="AP1077">
        <f>IFERROR(vp.data[[#This Row],[Dens]]*vp.data[[#This Row],[VolumeM3]],"")</f>
        <v>2392876.5011999998</v>
      </c>
      <c r="AQ1077" s="15">
        <f>IFERROR(vp.data[[#This Row],[VP]]*vp.data[[#This Row],[VolumeM3]],"")</f>
        <v>161162.12340000001</v>
      </c>
    </row>
    <row r="1078" spans="1:43" x14ac:dyDescent="0.25">
      <c r="A1078">
        <v>1077</v>
      </c>
      <c r="B1078" t="s">
        <v>111</v>
      </c>
      <c r="C1078" t="s">
        <v>111</v>
      </c>
      <c r="D1078" t="s">
        <v>112</v>
      </c>
      <c r="F1078" s="1">
        <v>42816</v>
      </c>
      <c r="G1078" s="2">
        <v>76.3</v>
      </c>
      <c r="H1078" s="2"/>
      <c r="I1078" s="2">
        <f t="array" ref="I1078">_xlfn.IFNA(IF(vp.data[[#This Row],[Sulf Input]]="",INDEX([1]DATA!$Q$3:$Q$9826,MATCH(1,(vp.data[[#This Row],[Battery]]=[1]DATA!$L$3:$L$9826)*(EOMONTH(vp.data[[#This Row],[SDate]],-1)+1=[1]DATA!$G$3:$G$9826),0)),vp.data[[#This Row],[Sulf Input]]),"")</f>
        <v>1.86</v>
      </c>
      <c r="J1078" s="2">
        <v>26</v>
      </c>
      <c r="K1078" s="2">
        <v>2</v>
      </c>
      <c r="L1078" s="2">
        <v>856.7</v>
      </c>
      <c r="M1078" s="2">
        <f t="array" ref="M1078">_xlfn.IFNA(IF(vp.data[[#This Row],[Dens Input]]="",INDEX([1]DATA!$O$3:$O$9826,MATCH(1,(vp.data[[#This Row],[Battery]]=[1]DATA!$L$3:$L$9826)*(EOMONTH(vp.data[[#This Row],[SDate]],-1)+1=[1]DATA!$G$3:$G$9826),0)),vp.data[[#This Row],[Dens Input]]),"")</f>
        <v>856.7</v>
      </c>
      <c r="N1078" s="2">
        <f ca="1">INDEX(INDIRECT(_xlfn.CONCAT("weather.tbl[",N$1,"]")),MATCH(vp.data[[#This Row],[SDate]],weather.tbl[Date],0))</f>
        <v>-4.8666666666666663</v>
      </c>
      <c r="O1078" s="2">
        <f ca="1">INDEX(INDIRECT(_xlfn.CONCAT("weather.tbl[",O$1,"]")),MATCH(vp.data[[#This Row],[SDate]],weather.tbl[Date],0))</f>
        <v>-2.2428571428571433</v>
      </c>
      <c r="P1078" s="2">
        <f ca="1">INDEX(INDIRECT(_xlfn.CONCAT("weather.tbl[",P$1,"]")),MATCH(vp.data[[#This Row],[SDate]],weather.tbl[Date],0))</f>
        <v>-2.9</v>
      </c>
      <c r="Q1078" s="2">
        <f ca="1">INDEX(INDIRECT(_xlfn.CONCAT("weather.tbl[",Q$1,"]")),MATCH(vp.data[[#This Row],[SDate]],weather.tbl[Date],0))</f>
        <v>-2.6</v>
      </c>
      <c r="R1078" s="2">
        <f ca="1">INDEX(INDIRECT(_xlfn.CONCAT("weather.tbl[",R$1,"]")),MATCH(vp.data[[#This Row],[SDate]],weather.tbl[Date],0))</f>
        <v>-11.8</v>
      </c>
      <c r="S1078" s="2">
        <f ca="1">INDEX(INDIRECT(_xlfn.CONCAT("weather.tbl[",S$1,"]")),MATCH(vp.data[[#This Row],[SDate]],weather.tbl[Date],0))</f>
        <v>-1.2</v>
      </c>
      <c r="T1078" s="2">
        <f ca="1">INDEX(INDIRECT(_xlfn.CONCAT("weather.tbl[",T$1,"]")),MATCH(vp.data[[#This Row],[SDate]],weather.tbl[Date],0))</f>
        <v>-6.2</v>
      </c>
      <c r="U1078" s="2">
        <f ca="1">INDEX(INDIRECT(_xlfn.CONCAT("weather.tbl[",U$1,"]")),MATCH(vp.data[[#This Row],[SDate]],weather.tbl[Date],0))</f>
        <v>-4.5</v>
      </c>
      <c r="V1078" s="2">
        <f t="array" ref="V10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7909.2460000000001</v>
      </c>
      <c r="W1078" t="s">
        <v>48</v>
      </c>
      <c r="X1078">
        <f>IF(OR(vp.data[[#This Row],[Sulf]]="",vp.data[[#This Row],[Dens]]=""),1,0)</f>
        <v>0</v>
      </c>
      <c r="Y1078">
        <f>IF(vp.data[[#This Row],[CrudeType]]="C5+",1,0)</f>
        <v>0</v>
      </c>
      <c r="Z1078">
        <f>IF(AND(vp.data[[#This Row],[CrudeType]]="Crude",vp.data[[#This Row],[Dens]]&lt;=825,vp.data[[#This Row],[Sulf]]&gt;0.5,vp.data[[#This Row],[Unknown]]=0),1,0)</f>
        <v>0</v>
      </c>
      <c r="AA1078">
        <f>IF(AND(vp.data[[#This Row],[CrudeType]]="Crude",vp.data[[#This Row],[Dens]]&lt;=825,vp.data[[#This Row],[Sulf]]&lt;=0.5,vp.data[[#This Row],[Unknown]]=0),1,0)</f>
        <v>0</v>
      </c>
      <c r="AB10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78">
        <f>IF(AND(vp.data[[#This Row],[CrudeType]]="Crude",vp.data[[#This Row],[Dens]]&gt;825,vp.data[[#This Row],[Dens]]&lt;=900,vp.data[[#This Row],[Sulf]]&lt;=0.5,vp.data[[#This Row],[Unknown]]=0),1,0)</f>
        <v>0</v>
      </c>
      <c r="AD1078">
        <f>IF(AND(vp.data[[#This Row],[CrudeType]]="Crude",vp.data[[#This Row],[Dens]]&gt;865,vp.data[[#This Row],[Dens]]&lt;=900,vp.data[[#This Row],[Sulf]]&gt;2,vp.data[[#This Row],[Unknown]]=0),1,0)</f>
        <v>0</v>
      </c>
      <c r="AE1078">
        <f>IF(AND(vp.data[[#This Row],[CrudeType]]="Crude",vp.data[[#This Row],[Dens]]&gt;900,vp.data[[#This Row],[Sulf]]&lt;=0.5,vp.data[[#This Row],[Unknown]]=0),1,0)</f>
        <v>0</v>
      </c>
      <c r="AF1078">
        <f>IF(AND(vp.data[[#This Row],[CrudeType]]="Crude",vp.data[[#This Row],[Dens]]&gt;900,vp.data[[#This Row],[Sulf]]&lt;=0.5,vp.data[[#This Row],[Unknown]]=0),1,0)</f>
        <v>0</v>
      </c>
      <c r="AG1078" t="str">
        <f>INDEX(vp.data[[#Headers],[Unknown]:[Heavy_SW]],MATCH(1,vp.data[[#This Row],[Unknown]:[Heavy_SW]],0))</f>
        <v>Medium_LSB</v>
      </c>
      <c r="AH1078">
        <f>INDEX([3]!crudeBD.lkup[Number],MATCH(vp.data[[#This Row],[Crude_Breakdown]],crudeBD.lkup[Crude Breakdown],0))</f>
        <v>3</v>
      </c>
      <c r="AI1078">
        <f>MONTH(vp.data[[#This Row],[SDate]])</f>
        <v>3</v>
      </c>
      <c r="AJ1078" s="5">
        <f>(vp.data[[#This Row],[VP]]-INDEX(crudeBD.lkup[Mean_VP],MATCH(vp.data[[#This Row],[Crude_Breakdown]],crudeBD.lkup[Crude Breakdown],0)))^2</f>
        <v>18.832792557449583</v>
      </c>
      <c r="AK1078" s="5">
        <f>(vp.data[[#This Row],[Dens]]-INDEX(crudeBD.lkup[Mean_Dens],MATCH(vp.data[[#This Row],[Crude_Breakdown]],crudeBD.lkup[Crude Breakdown],0)))^2</f>
        <v>163.32840000001383</v>
      </c>
      <c r="AL1078" s="5">
        <f>(vp.data[[#This Row],[Sulf]]-INDEX(crudeBD.lkup[Mean_Sulf],MATCH(vp.data[[#This Row],[Crude_Breakdown]],crudeBD.lkup[Crude Breakdown],0)))^2</f>
        <v>0.22523744621698505</v>
      </c>
      <c r="AM1078" s="4">
        <f>IF(AND(vp.data[[#This Row],[SDate]]&gt;=DATE(YEAR(vp.data[[#This Row],[SDate]]),5,1),vp.data[[#This Row],[SDate]]&lt;=DATE(YEAR(vp.data[[#This Row],[SDate]]),9,15)),1,0)</f>
        <v>0</v>
      </c>
      <c r="AN1078" s="4">
        <f>IF(vp.data[[#This Row],[SDate]]&lt;DATE(2016,12,1),0,1)</f>
        <v>1</v>
      </c>
      <c r="AO1078" s="4">
        <f>IFERROR(vp.data[[#This Row],[Sulf]]*vp.data[[#This Row],[Net Dens]],"")</f>
        <v>12603082.949652001</v>
      </c>
      <c r="AP1078">
        <f>IFERROR(vp.data[[#This Row],[Dens]]*vp.data[[#This Row],[VolumeM3]],"")</f>
        <v>6775851.0482000001</v>
      </c>
      <c r="AQ1078" s="15">
        <f>IFERROR(vp.data[[#This Row],[VP]]*vp.data[[#This Row],[VolumeM3]],"")</f>
        <v>603475.46979999996</v>
      </c>
    </row>
    <row r="1079" spans="1:43" x14ac:dyDescent="0.25">
      <c r="A1079">
        <v>1078</v>
      </c>
      <c r="B1079" t="s">
        <v>56</v>
      </c>
      <c r="C1079" t="s">
        <v>56</v>
      </c>
      <c r="D1079" t="s">
        <v>94</v>
      </c>
      <c r="F1079" s="1">
        <v>42816</v>
      </c>
      <c r="G1079" s="2">
        <v>73.400000000000006</v>
      </c>
      <c r="H1079" s="2"/>
      <c r="I1079" s="2">
        <f t="array" ref="I1079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079" s="2">
        <v>18</v>
      </c>
      <c r="K1079" s="2">
        <v>2</v>
      </c>
      <c r="L1079" s="2">
        <v>866.3</v>
      </c>
      <c r="M1079" s="2">
        <f t="array" ref="M1079">_xlfn.IFNA(IF(vp.data[[#This Row],[Dens Input]]="",INDEX([1]DATA!$O$3:$O$9826,MATCH(1,(vp.data[[#This Row],[Battery]]=[1]DATA!$L$3:$L$9826)*(EOMONTH(vp.data[[#This Row],[SDate]],-1)+1=[1]DATA!$G$3:$G$9826),0)),vp.data[[#This Row],[Dens Input]]),"")</f>
        <v>866.3</v>
      </c>
      <c r="N1079" s="2">
        <f ca="1">INDEX(INDIRECT(_xlfn.CONCAT("weather.tbl[",N$1,"]")),MATCH(vp.data[[#This Row],[SDate]],weather.tbl[Date],0))</f>
        <v>-4.8666666666666663</v>
      </c>
      <c r="O1079" s="2">
        <f ca="1">INDEX(INDIRECT(_xlfn.CONCAT("weather.tbl[",O$1,"]")),MATCH(vp.data[[#This Row],[SDate]],weather.tbl[Date],0))</f>
        <v>-2.2428571428571433</v>
      </c>
      <c r="P1079" s="2">
        <f ca="1">INDEX(INDIRECT(_xlfn.CONCAT("weather.tbl[",P$1,"]")),MATCH(vp.data[[#This Row],[SDate]],weather.tbl[Date],0))</f>
        <v>-2.9</v>
      </c>
      <c r="Q1079" s="2">
        <f ca="1">INDEX(INDIRECT(_xlfn.CONCAT("weather.tbl[",Q$1,"]")),MATCH(vp.data[[#This Row],[SDate]],weather.tbl[Date],0))</f>
        <v>-2.6</v>
      </c>
      <c r="R1079" s="2">
        <f ca="1">INDEX(INDIRECT(_xlfn.CONCAT("weather.tbl[",R$1,"]")),MATCH(vp.data[[#This Row],[SDate]],weather.tbl[Date],0))</f>
        <v>-11.8</v>
      </c>
      <c r="S1079" s="2">
        <f ca="1">INDEX(INDIRECT(_xlfn.CONCAT("weather.tbl[",S$1,"]")),MATCH(vp.data[[#This Row],[SDate]],weather.tbl[Date],0))</f>
        <v>-1.2</v>
      </c>
      <c r="T1079" s="2">
        <f ca="1">INDEX(INDIRECT(_xlfn.CONCAT("weather.tbl[",T$1,"]")),MATCH(vp.data[[#This Row],[SDate]],weather.tbl[Date],0))</f>
        <v>-6.2</v>
      </c>
      <c r="U1079" s="2">
        <f ca="1">INDEX(INDIRECT(_xlfn.CONCAT("weather.tbl[",U$1,"]")),MATCH(vp.data[[#This Row],[SDate]],weather.tbl[Date],0))</f>
        <v>-4.5</v>
      </c>
      <c r="V1079" s="2">
        <f t="array" ref="V10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4141.4380000000001</v>
      </c>
      <c r="W1079" t="s">
        <v>48</v>
      </c>
      <c r="X1079">
        <f>IF(OR(vp.data[[#This Row],[Sulf]]="",vp.data[[#This Row],[Dens]]=""),1,0)</f>
        <v>0</v>
      </c>
      <c r="Y1079">
        <f>IF(vp.data[[#This Row],[CrudeType]]="C5+",1,0)</f>
        <v>0</v>
      </c>
      <c r="Z1079">
        <f>IF(AND(vp.data[[#This Row],[CrudeType]]="Crude",vp.data[[#This Row],[Dens]]&lt;=825,vp.data[[#This Row],[Sulf]]&gt;0.5,vp.data[[#This Row],[Unknown]]=0),1,0)</f>
        <v>0</v>
      </c>
      <c r="AA1079">
        <f>IF(AND(vp.data[[#This Row],[CrudeType]]="Crude",vp.data[[#This Row],[Dens]]&lt;=825,vp.data[[#This Row],[Sulf]]&lt;=0.5,vp.data[[#This Row],[Unknown]]=0),1,0)</f>
        <v>0</v>
      </c>
      <c r="AB10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79">
        <f>IF(AND(vp.data[[#This Row],[CrudeType]]="Crude",vp.data[[#This Row],[Dens]]&gt;825,vp.data[[#This Row],[Dens]]&lt;=900,vp.data[[#This Row],[Sulf]]&lt;=0.5,vp.data[[#This Row],[Unknown]]=0),1,0)</f>
        <v>0</v>
      </c>
      <c r="AD1079">
        <f>IF(AND(vp.data[[#This Row],[CrudeType]]="Crude",vp.data[[#This Row],[Dens]]&gt;865,vp.data[[#This Row],[Dens]]&lt;=900,vp.data[[#This Row],[Sulf]]&gt;2,vp.data[[#This Row],[Unknown]]=0),1,0)</f>
        <v>0</v>
      </c>
      <c r="AE1079">
        <f>IF(AND(vp.data[[#This Row],[CrudeType]]="Crude",vp.data[[#This Row],[Dens]]&gt;900,vp.data[[#This Row],[Sulf]]&lt;=0.5,vp.data[[#This Row],[Unknown]]=0),1,0)</f>
        <v>0</v>
      </c>
      <c r="AF1079">
        <f>IF(AND(vp.data[[#This Row],[CrudeType]]="Crude",vp.data[[#This Row],[Dens]]&gt;900,vp.data[[#This Row],[Sulf]]&lt;=0.5,vp.data[[#This Row],[Unknown]]=0),1,0)</f>
        <v>0</v>
      </c>
      <c r="AG1079" t="str">
        <f>INDEX(vp.data[[#Headers],[Unknown]:[Heavy_SW]],MATCH(1,vp.data[[#This Row],[Unknown]:[Heavy_SW]],0))</f>
        <v>Medium_LSB</v>
      </c>
      <c r="AH1079">
        <f>INDEX([3]!crudeBD.lkup[Number],MATCH(vp.data[[#This Row],[Crude_Breakdown]],crudeBD.lkup[Crude Breakdown],0))</f>
        <v>3</v>
      </c>
      <c r="AI1079">
        <f>MONTH(vp.data[[#This Row],[SDate]])</f>
        <v>3</v>
      </c>
      <c r="AJ1079" s="5">
        <f>(vp.data[[#This Row],[VP]]-INDEX(crudeBD.lkup[Mean_VP],MATCH(vp.data[[#This Row],[Crude_Breakdown]],crudeBD.lkup[Crude Breakdown],0)))^2</f>
        <v>52.41291654666739</v>
      </c>
      <c r="AK1079" s="5">
        <f>(vp.data[[#This Row],[Dens]]-INDEX(crudeBD.lkup[Mean_Dens],MATCH(vp.data[[#This Row],[Crude_Breakdown]],crudeBD.lkup[Crude Breakdown],0)))^2</f>
        <v>500.86440000002017</v>
      </c>
      <c r="AL1079" s="5">
        <f>(vp.data[[#This Row],[Sulf]]-INDEX(crudeBD.lkup[Mean_Sulf],MATCH(vp.data[[#This Row],[Crude_Breakdown]],crudeBD.lkup[Crude Breakdown],0)))^2</f>
        <v>0.26480479608221386</v>
      </c>
      <c r="AM1079" s="4">
        <f>IF(AND(vp.data[[#This Row],[SDate]]&gt;=DATE(YEAR(vp.data[[#This Row],[SDate]]),5,1),vp.data[[#This Row],[SDate]]&lt;=DATE(YEAR(vp.data[[#This Row],[SDate]]),9,15)),1,0)</f>
        <v>0</v>
      </c>
      <c r="AN1079" s="4">
        <f>IF(vp.data[[#This Row],[SDate]]&lt;DATE(2016,12,1),0,1)</f>
        <v>1</v>
      </c>
      <c r="AO1079" s="4">
        <f>IFERROR(vp.data[[#This Row],[Sulf]]*vp.data[[#This Row],[Net Dens]],"")</f>
        <v>6816682.704859999</v>
      </c>
      <c r="AP1079">
        <f>IFERROR(vp.data[[#This Row],[Dens]]*vp.data[[#This Row],[VolumeM3]],"")</f>
        <v>3587727.7393999998</v>
      </c>
      <c r="AQ1079" s="15">
        <f>IFERROR(vp.data[[#This Row],[VP]]*vp.data[[#This Row],[VolumeM3]],"")</f>
        <v>303981.54920000001</v>
      </c>
    </row>
    <row r="1080" spans="1:43" x14ac:dyDescent="0.25">
      <c r="A1080">
        <v>1079</v>
      </c>
      <c r="B1080" t="s">
        <v>49</v>
      </c>
      <c r="C1080" t="s">
        <v>49</v>
      </c>
      <c r="D1080" t="s">
        <v>154</v>
      </c>
      <c r="F1080" s="1">
        <v>42818</v>
      </c>
      <c r="G1080" s="2">
        <v>83.6</v>
      </c>
      <c r="H1080" s="2">
        <v>1.234</v>
      </c>
      <c r="I1080" s="2">
        <f t="array" ref="I1080">_xlfn.IFNA(IF(vp.data[[#This Row],[Sulf Input]]="",INDEX([1]DATA!$Q$3:$Q$9826,MATCH(1,(vp.data[[#This Row],[Battery]]=[1]DATA!$L$3:$L$9826)*(EOMONTH(vp.data[[#This Row],[SDate]],-1)+1=[1]DATA!$G$3:$G$9826),0)),vp.data[[#This Row],[Sulf Input]]),"")</f>
        <v>1.234</v>
      </c>
      <c r="J1080" s="2">
        <v>22</v>
      </c>
      <c r="K1080" s="2">
        <v>4</v>
      </c>
      <c r="L1080" s="2">
        <v>841.2</v>
      </c>
      <c r="M1080" s="2">
        <f t="array" ref="M1080">_xlfn.IFNA(IF(vp.data[[#This Row],[Dens Input]]="",INDEX([1]DATA!$O$3:$O$9826,MATCH(1,(vp.data[[#This Row],[Battery]]=[1]DATA!$L$3:$L$9826)*(EOMONTH(vp.data[[#This Row],[SDate]],-1)+1=[1]DATA!$G$3:$G$9826),0)),vp.data[[#This Row],[Dens Input]]),"")</f>
        <v>841.2</v>
      </c>
      <c r="N1080" s="2">
        <f ca="1">INDEX(INDIRECT(_xlfn.CONCAT("weather.tbl[",N$1,"]")),MATCH(vp.data[[#This Row],[SDate]],weather.tbl[Date],0))</f>
        <v>-2.2833333333333337</v>
      </c>
      <c r="O1080" s="2">
        <f ca="1">INDEX(INDIRECT(_xlfn.CONCAT("weather.tbl[",O$1,"]")),MATCH(vp.data[[#This Row],[SDate]],weather.tbl[Date],0))</f>
        <v>-2.7095238095238097</v>
      </c>
      <c r="P1080" s="2">
        <f ca="1">INDEX(INDIRECT(_xlfn.CONCAT("weather.tbl[",P$1,"]")),MATCH(vp.data[[#This Row],[SDate]],weather.tbl[Date],0))</f>
        <v>-0.1</v>
      </c>
      <c r="Q1080" s="2">
        <f ca="1">INDEX(INDIRECT(_xlfn.CONCAT("weather.tbl[",Q$1,"]")),MATCH(vp.data[[#This Row],[SDate]],weather.tbl[Date],0))</f>
        <v>0.3</v>
      </c>
      <c r="R1080" s="2">
        <f ca="1">INDEX(INDIRECT(_xlfn.CONCAT("weather.tbl[",R$1,"]")),MATCH(vp.data[[#This Row],[SDate]],weather.tbl[Date],0))</f>
        <v>-11.8</v>
      </c>
      <c r="S1080" s="2">
        <f ca="1">INDEX(INDIRECT(_xlfn.CONCAT("weather.tbl[",S$1,"]")),MATCH(vp.data[[#This Row],[SDate]],weather.tbl[Date],0))</f>
        <v>1.1000000000000001</v>
      </c>
      <c r="T1080" s="2">
        <f ca="1">INDEX(INDIRECT(_xlfn.CONCAT("weather.tbl[",T$1,"]")),MATCH(vp.data[[#This Row],[SDate]],weather.tbl[Date],0))</f>
        <v>-2.7</v>
      </c>
      <c r="U1080" s="2">
        <f ca="1">INDEX(INDIRECT(_xlfn.CONCAT("weather.tbl[",U$1,"]")),MATCH(vp.data[[#This Row],[SDate]],weather.tbl[Date],0))</f>
        <v>-0.5</v>
      </c>
      <c r="V1080" s="2">
        <f t="array" ref="V10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2666.2469999999998</v>
      </c>
      <c r="W1080" t="s">
        <v>48</v>
      </c>
      <c r="X1080">
        <f>IF(OR(vp.data[[#This Row],[Sulf]]="",vp.data[[#This Row],[Dens]]=""),1,0)</f>
        <v>0</v>
      </c>
      <c r="Y1080">
        <f>IF(vp.data[[#This Row],[CrudeType]]="C5+",1,0)</f>
        <v>0</v>
      </c>
      <c r="Z1080">
        <f>IF(AND(vp.data[[#This Row],[CrudeType]]="Crude",vp.data[[#This Row],[Dens]]&lt;=825,vp.data[[#This Row],[Sulf]]&gt;0.5,vp.data[[#This Row],[Unknown]]=0),1,0)</f>
        <v>0</v>
      </c>
      <c r="AA1080">
        <f>IF(AND(vp.data[[#This Row],[CrudeType]]="Crude",vp.data[[#This Row],[Dens]]&lt;=825,vp.data[[#This Row],[Sulf]]&lt;=0.5,vp.data[[#This Row],[Unknown]]=0),1,0)</f>
        <v>0</v>
      </c>
      <c r="AB10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0">
        <f>IF(AND(vp.data[[#This Row],[CrudeType]]="Crude",vp.data[[#This Row],[Dens]]&gt;825,vp.data[[#This Row],[Dens]]&lt;=900,vp.data[[#This Row],[Sulf]]&lt;=0.5,vp.data[[#This Row],[Unknown]]=0),1,0)</f>
        <v>0</v>
      </c>
      <c r="AD1080">
        <f>IF(AND(vp.data[[#This Row],[CrudeType]]="Crude",vp.data[[#This Row],[Dens]]&gt;865,vp.data[[#This Row],[Dens]]&lt;=900,vp.data[[#This Row],[Sulf]]&gt;2,vp.data[[#This Row],[Unknown]]=0),1,0)</f>
        <v>0</v>
      </c>
      <c r="AE1080">
        <f>IF(AND(vp.data[[#This Row],[CrudeType]]="Crude",vp.data[[#This Row],[Dens]]&gt;900,vp.data[[#This Row],[Sulf]]&lt;=0.5,vp.data[[#This Row],[Unknown]]=0),1,0)</f>
        <v>0</v>
      </c>
      <c r="AF1080">
        <f>IF(AND(vp.data[[#This Row],[CrudeType]]="Crude",vp.data[[#This Row],[Dens]]&gt;900,vp.data[[#This Row],[Sulf]]&lt;=0.5,vp.data[[#This Row],[Unknown]]=0),1,0)</f>
        <v>0</v>
      </c>
      <c r="AG1080" t="str">
        <f>INDEX(vp.data[[#Headers],[Unknown]:[Heavy_SW]],MATCH(1,vp.data[[#This Row],[Unknown]:[Heavy_SW]],0))</f>
        <v>Medium_LSB</v>
      </c>
      <c r="AH1080">
        <f>INDEX([3]!crudeBD.lkup[Number],MATCH(vp.data[[#This Row],[Crude_Breakdown]],crudeBD.lkup[Crude Breakdown],0))</f>
        <v>3</v>
      </c>
      <c r="AI1080">
        <f>MONTH(vp.data[[#This Row],[SDate]])</f>
        <v>3</v>
      </c>
      <c r="AJ1080" s="5">
        <f>(vp.data[[#This Row],[VP]]-INDEX(crudeBD.lkup[Mean_VP],MATCH(vp.data[[#This Row],[Crude_Breakdown]],crudeBD.lkup[Crude Breakdown],0)))^2</f>
        <v>8.7635149294182231</v>
      </c>
      <c r="AK1080" s="5">
        <f>(vp.data[[#This Row],[Dens]]-INDEX(crudeBD.lkup[Mean_Dens],MATCH(vp.data[[#This Row],[Crude_Breakdown]],crudeBD.lkup[Crude Breakdown],0)))^2</f>
        <v>7.3983999999970562</v>
      </c>
      <c r="AL1080" s="5">
        <f>(vp.data[[#This Row],[Sulf]]-INDEX(crudeBD.lkup[Mean_Sulf],MATCH(vp.data[[#This Row],[Crude_Breakdown]],crudeBD.lkup[Crude Breakdown],0)))^2</f>
        <v>2.2924420826151287E-2</v>
      </c>
      <c r="AM1080" s="4">
        <f>IF(AND(vp.data[[#This Row],[SDate]]&gt;=DATE(YEAR(vp.data[[#This Row],[SDate]]),5,1),vp.data[[#This Row],[SDate]]&lt;=DATE(YEAR(vp.data[[#This Row],[SDate]]),9,15)),1,0)</f>
        <v>0</v>
      </c>
      <c r="AN1080" s="4">
        <f>IF(vp.data[[#This Row],[SDate]]&lt;DATE(2016,12,1),0,1)</f>
        <v>1</v>
      </c>
      <c r="AO1080" s="4">
        <f>IFERROR(vp.data[[#This Row],[Sulf]]*vp.data[[#This Row],[Net Dens]],"")</f>
        <v>2767673.1688776002</v>
      </c>
      <c r="AP1080">
        <f>IFERROR(vp.data[[#This Row],[Dens]]*vp.data[[#This Row],[VolumeM3]],"")</f>
        <v>2242846.9764</v>
      </c>
      <c r="AQ1080" s="15">
        <f>IFERROR(vp.data[[#This Row],[VP]]*vp.data[[#This Row],[VolumeM3]],"")</f>
        <v>222898.24919999996</v>
      </c>
    </row>
    <row r="1081" spans="1:43" x14ac:dyDescent="0.25">
      <c r="A1081">
        <v>1080</v>
      </c>
      <c r="B1081" t="s">
        <v>49</v>
      </c>
      <c r="C1081" t="s">
        <v>49</v>
      </c>
      <c r="D1081" t="s">
        <v>196</v>
      </c>
      <c r="F1081" s="1">
        <v>42818</v>
      </c>
      <c r="G1081" s="2">
        <v>91</v>
      </c>
      <c r="H1081" s="2">
        <v>1.8</v>
      </c>
      <c r="I1081" s="2">
        <f t="array" ref="I1081">_xlfn.IFNA(IF(vp.data[[#This Row],[Sulf Input]]="",INDEX([1]DATA!$Q$3:$Q$9826,MATCH(1,(vp.data[[#This Row],[Battery]]=[1]DATA!$L$3:$L$9826)*(EOMONTH(vp.data[[#This Row],[SDate]],-1)+1=[1]DATA!$G$3:$G$9826),0)),vp.data[[#This Row],[Sulf Input]]),"")</f>
        <v>1.8</v>
      </c>
      <c r="J1081" s="2">
        <v>3.4</v>
      </c>
      <c r="K1081" s="2">
        <v>4</v>
      </c>
      <c r="L1081" s="2">
        <v>851.8</v>
      </c>
      <c r="M1081" s="2">
        <f t="array" ref="M1081">_xlfn.IFNA(IF(vp.data[[#This Row],[Dens Input]]="",INDEX([1]DATA!$O$3:$O$9826,MATCH(1,(vp.data[[#This Row],[Battery]]=[1]DATA!$L$3:$L$9826)*(EOMONTH(vp.data[[#This Row],[SDate]],-1)+1=[1]DATA!$G$3:$G$9826),0)),vp.data[[#This Row],[Dens Input]]),"")</f>
        <v>851.8</v>
      </c>
      <c r="N1081" s="2">
        <f ca="1">INDEX(INDIRECT(_xlfn.CONCAT("weather.tbl[",N$1,"]")),MATCH(vp.data[[#This Row],[SDate]],weather.tbl[Date],0))</f>
        <v>-2.2833333333333337</v>
      </c>
      <c r="O1081" s="2">
        <f ca="1">INDEX(INDIRECT(_xlfn.CONCAT("weather.tbl[",O$1,"]")),MATCH(vp.data[[#This Row],[SDate]],weather.tbl[Date],0))</f>
        <v>-2.7095238095238097</v>
      </c>
      <c r="P1081" s="2">
        <f ca="1">INDEX(INDIRECT(_xlfn.CONCAT("weather.tbl[",P$1,"]")),MATCH(vp.data[[#This Row],[SDate]],weather.tbl[Date],0))</f>
        <v>-0.1</v>
      </c>
      <c r="Q1081" s="2">
        <f ca="1">INDEX(INDIRECT(_xlfn.CONCAT("weather.tbl[",Q$1,"]")),MATCH(vp.data[[#This Row],[SDate]],weather.tbl[Date],0))</f>
        <v>0.3</v>
      </c>
      <c r="R1081" s="2">
        <f ca="1">INDEX(INDIRECT(_xlfn.CONCAT("weather.tbl[",R$1,"]")),MATCH(vp.data[[#This Row],[SDate]],weather.tbl[Date],0))</f>
        <v>-11.8</v>
      </c>
      <c r="S1081" s="2">
        <f ca="1">INDEX(INDIRECT(_xlfn.CONCAT("weather.tbl[",S$1,"]")),MATCH(vp.data[[#This Row],[SDate]],weather.tbl[Date],0))</f>
        <v>1.1000000000000001</v>
      </c>
      <c r="T1081" s="2">
        <f ca="1">INDEX(INDIRECT(_xlfn.CONCAT("weather.tbl[",T$1,"]")),MATCH(vp.data[[#This Row],[SDate]],weather.tbl[Date],0))</f>
        <v>-2.7</v>
      </c>
      <c r="U1081" s="2">
        <f ca="1">INDEX(INDIRECT(_xlfn.CONCAT("weather.tbl[",U$1,"]")),MATCH(vp.data[[#This Row],[SDate]],weather.tbl[Date],0))</f>
        <v>-0.5</v>
      </c>
      <c r="V1081" s="2">
        <f t="array" ref="V10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335.488</v>
      </c>
      <c r="W1081" t="s">
        <v>48</v>
      </c>
      <c r="X1081">
        <f>IF(OR(vp.data[[#This Row],[Sulf]]="",vp.data[[#This Row],[Dens]]=""),1,0)</f>
        <v>0</v>
      </c>
      <c r="Y1081">
        <f>IF(vp.data[[#This Row],[CrudeType]]="C5+",1,0)</f>
        <v>0</v>
      </c>
      <c r="Z1081">
        <f>IF(AND(vp.data[[#This Row],[CrudeType]]="Crude",vp.data[[#This Row],[Dens]]&lt;=825,vp.data[[#This Row],[Sulf]]&gt;0.5,vp.data[[#This Row],[Unknown]]=0),1,0)</f>
        <v>0</v>
      </c>
      <c r="AA1081">
        <f>IF(AND(vp.data[[#This Row],[CrudeType]]="Crude",vp.data[[#This Row],[Dens]]&lt;=825,vp.data[[#This Row],[Sulf]]&lt;=0.5,vp.data[[#This Row],[Unknown]]=0),1,0)</f>
        <v>0</v>
      </c>
      <c r="AB10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1">
        <f>IF(AND(vp.data[[#This Row],[CrudeType]]="Crude",vp.data[[#This Row],[Dens]]&gt;825,vp.data[[#This Row],[Dens]]&lt;=900,vp.data[[#This Row],[Sulf]]&lt;=0.5,vp.data[[#This Row],[Unknown]]=0),1,0)</f>
        <v>0</v>
      </c>
      <c r="AD1081">
        <f>IF(AND(vp.data[[#This Row],[CrudeType]]="Crude",vp.data[[#This Row],[Dens]]&gt;865,vp.data[[#This Row],[Dens]]&lt;=900,vp.data[[#This Row],[Sulf]]&gt;2,vp.data[[#This Row],[Unknown]]=0),1,0)</f>
        <v>0</v>
      </c>
      <c r="AE1081">
        <f>IF(AND(vp.data[[#This Row],[CrudeType]]="Crude",vp.data[[#This Row],[Dens]]&gt;900,vp.data[[#This Row],[Sulf]]&lt;=0.5,vp.data[[#This Row],[Unknown]]=0),1,0)</f>
        <v>0</v>
      </c>
      <c r="AF1081">
        <f>IF(AND(vp.data[[#This Row],[CrudeType]]="Crude",vp.data[[#This Row],[Dens]]&gt;900,vp.data[[#This Row],[Sulf]]&lt;=0.5,vp.data[[#This Row],[Unknown]]=0),1,0)</f>
        <v>0</v>
      </c>
      <c r="AG1081" t="str">
        <f>INDEX(vp.data[[#Headers],[Unknown]:[Heavy_SW]],MATCH(1,vp.data[[#This Row],[Unknown]:[Heavy_SW]],0))</f>
        <v>Medium_LSB</v>
      </c>
      <c r="AH1081">
        <f>INDEX([3]!crudeBD.lkup[Number],MATCH(vp.data[[#This Row],[Crude_Breakdown]],crudeBD.lkup[Crude Breakdown],0))</f>
        <v>3</v>
      </c>
      <c r="AI1081">
        <f>MONTH(vp.data[[#This Row],[SDate]])</f>
        <v>3</v>
      </c>
      <c r="AJ1081" s="5">
        <f>(vp.data[[#This Row],[VP]]-INDEX(crudeBD.lkup[Mean_VP],MATCH(vp.data[[#This Row],[Crude_Breakdown]],crudeBD.lkup[Crude Breakdown],0)))^2</f>
        <v>107.33630199141392</v>
      </c>
      <c r="AK1081" s="5">
        <f>(vp.data[[#This Row],[Dens]]-INDEX(crudeBD.lkup[Mean_Dens],MATCH(vp.data[[#This Row],[Crude_Breakdown]],crudeBD.lkup[Crude Breakdown],0)))^2</f>
        <v>62.094400000007099</v>
      </c>
      <c r="AL1081" s="5">
        <f>(vp.data[[#This Row],[Sulf]]-INDEX(crudeBD.lkup[Mean_Sulf],MATCH(vp.data[[#This Row],[Crude_Breakdown]],crudeBD.lkup[Crude Breakdown],0)))^2</f>
        <v>0.17188642141914151</v>
      </c>
      <c r="AM1081" s="4">
        <f>IF(AND(vp.data[[#This Row],[SDate]]&gt;=DATE(YEAR(vp.data[[#This Row],[SDate]]),5,1),vp.data[[#This Row],[SDate]]&lt;=DATE(YEAR(vp.data[[#This Row],[SDate]]),9,15)),1,0)</f>
        <v>0</v>
      </c>
      <c r="AN1081" s="4">
        <f>IF(vp.data[[#This Row],[SDate]]&lt;DATE(2016,12,1),0,1)</f>
        <v>1</v>
      </c>
      <c r="AO1081" s="4">
        <f>IFERROR(vp.data[[#This Row],[Sulf]]*vp.data[[#This Row],[Net Dens]],"")</f>
        <v>514383.62111999997</v>
      </c>
      <c r="AP1081">
        <f>IFERROR(vp.data[[#This Row],[Dens]]*vp.data[[#This Row],[VolumeM3]],"")</f>
        <v>285768.67839999998</v>
      </c>
      <c r="AQ1081" s="15">
        <f>IFERROR(vp.data[[#This Row],[VP]]*vp.data[[#This Row],[VolumeM3]],"")</f>
        <v>30529.407999999999</v>
      </c>
    </row>
    <row r="1082" spans="1:43" x14ac:dyDescent="0.25">
      <c r="A1082">
        <v>1081</v>
      </c>
      <c r="B1082" t="s">
        <v>51</v>
      </c>
      <c r="C1082" t="s">
        <v>51</v>
      </c>
      <c r="D1082" t="s">
        <v>72</v>
      </c>
      <c r="F1082" s="1">
        <v>42818</v>
      </c>
      <c r="G1082" s="2">
        <v>105.4</v>
      </c>
      <c r="H1082" s="2"/>
      <c r="I1082" s="2">
        <f t="array" ref="I1082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082" s="2">
        <v>21.7</v>
      </c>
      <c r="K1082" s="2">
        <v>-18</v>
      </c>
      <c r="L1082" s="2">
        <v>825.5</v>
      </c>
      <c r="M1082" s="2">
        <f t="array" ref="M1082">_xlfn.IFNA(IF(vp.data[[#This Row],[Dens Input]]="",INDEX([1]DATA!$O$3:$O$9826,MATCH(1,(vp.data[[#This Row],[Battery]]=[1]DATA!$L$3:$L$9826)*(EOMONTH(vp.data[[#This Row],[SDate]],-1)+1=[1]DATA!$G$3:$G$9826),0)),vp.data[[#This Row],[Dens Input]]),"")</f>
        <v>825.5</v>
      </c>
      <c r="N1082" s="2">
        <f ca="1">INDEX(INDIRECT(_xlfn.CONCAT("weather.tbl[",N$1,"]")),MATCH(vp.data[[#This Row],[SDate]],weather.tbl[Date],0))</f>
        <v>-2.2833333333333337</v>
      </c>
      <c r="O1082" s="2">
        <f ca="1">INDEX(INDIRECT(_xlfn.CONCAT("weather.tbl[",O$1,"]")),MATCH(vp.data[[#This Row],[SDate]],weather.tbl[Date],0))</f>
        <v>-2.7095238095238097</v>
      </c>
      <c r="P1082" s="2">
        <f ca="1">INDEX(INDIRECT(_xlfn.CONCAT("weather.tbl[",P$1,"]")),MATCH(vp.data[[#This Row],[SDate]],weather.tbl[Date],0))</f>
        <v>-0.1</v>
      </c>
      <c r="Q1082" s="2">
        <f ca="1">INDEX(INDIRECT(_xlfn.CONCAT("weather.tbl[",Q$1,"]")),MATCH(vp.data[[#This Row],[SDate]],weather.tbl[Date],0))</f>
        <v>0.3</v>
      </c>
      <c r="R1082" s="2">
        <f ca="1">INDEX(INDIRECT(_xlfn.CONCAT("weather.tbl[",R$1,"]")),MATCH(vp.data[[#This Row],[SDate]],weather.tbl[Date],0))</f>
        <v>-11.8</v>
      </c>
      <c r="S1082" s="2">
        <f ca="1">INDEX(INDIRECT(_xlfn.CONCAT("weather.tbl[",S$1,"]")),MATCH(vp.data[[#This Row],[SDate]],weather.tbl[Date],0))</f>
        <v>1.1000000000000001</v>
      </c>
      <c r="T1082" s="2">
        <f ca="1">INDEX(INDIRECT(_xlfn.CONCAT("weather.tbl[",T$1,"]")),MATCH(vp.data[[#This Row],[SDate]],weather.tbl[Date],0))</f>
        <v>-2.7</v>
      </c>
      <c r="U1082" s="2">
        <f ca="1">INDEX(INDIRECT(_xlfn.CONCAT("weather.tbl[",U$1,"]")),MATCH(vp.data[[#This Row],[SDate]],weather.tbl[Date],0))</f>
        <v>-0.5</v>
      </c>
      <c r="V1082" s="2">
        <f t="array" ref="V10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1082" t="s">
        <v>48</v>
      </c>
      <c r="X1082">
        <f>IF(OR(vp.data[[#This Row],[Sulf]]="",vp.data[[#This Row],[Dens]]=""),1,0)</f>
        <v>0</v>
      </c>
      <c r="Y1082">
        <f>IF(vp.data[[#This Row],[CrudeType]]="C5+",1,0)</f>
        <v>0</v>
      </c>
      <c r="Z1082">
        <f>IF(AND(vp.data[[#This Row],[CrudeType]]="Crude",vp.data[[#This Row],[Dens]]&lt;=825,vp.data[[#This Row],[Sulf]]&gt;0.5,vp.data[[#This Row],[Unknown]]=0),1,0)</f>
        <v>0</v>
      </c>
      <c r="AA1082">
        <f>IF(AND(vp.data[[#This Row],[CrudeType]]="Crude",vp.data[[#This Row],[Dens]]&lt;=825,vp.data[[#This Row],[Sulf]]&lt;=0.5,vp.data[[#This Row],[Unknown]]=0),1,0)</f>
        <v>0</v>
      </c>
      <c r="AB10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2">
        <f>IF(AND(vp.data[[#This Row],[CrudeType]]="Crude",vp.data[[#This Row],[Dens]]&gt;825,vp.data[[#This Row],[Dens]]&lt;=900,vp.data[[#This Row],[Sulf]]&lt;=0.5,vp.data[[#This Row],[Unknown]]=0),1,0)</f>
        <v>0</v>
      </c>
      <c r="AD1082">
        <f>IF(AND(vp.data[[#This Row],[CrudeType]]="Crude",vp.data[[#This Row],[Dens]]&gt;865,vp.data[[#This Row],[Dens]]&lt;=900,vp.data[[#This Row],[Sulf]]&gt;2,vp.data[[#This Row],[Unknown]]=0),1,0)</f>
        <v>0</v>
      </c>
      <c r="AE1082">
        <f>IF(AND(vp.data[[#This Row],[CrudeType]]="Crude",vp.data[[#This Row],[Dens]]&gt;900,vp.data[[#This Row],[Sulf]]&lt;=0.5,vp.data[[#This Row],[Unknown]]=0),1,0)</f>
        <v>0</v>
      </c>
      <c r="AF1082">
        <f>IF(AND(vp.data[[#This Row],[CrudeType]]="Crude",vp.data[[#This Row],[Dens]]&gt;900,vp.data[[#This Row],[Sulf]]&lt;=0.5,vp.data[[#This Row],[Unknown]]=0),1,0)</f>
        <v>0</v>
      </c>
      <c r="AG1082" t="str">
        <f>INDEX(vp.data[[#Headers],[Unknown]:[Heavy_SW]],MATCH(1,vp.data[[#This Row],[Unknown]:[Heavy_SW]],0))</f>
        <v>Medium_LSB</v>
      </c>
      <c r="AH1082">
        <f>INDEX([3]!crudeBD.lkup[Number],MATCH(vp.data[[#This Row],[Crude_Breakdown]],crudeBD.lkup[Crude Breakdown],0))</f>
        <v>3</v>
      </c>
      <c r="AI1082">
        <f>MONTH(vp.data[[#This Row],[SDate]])</f>
        <v>3</v>
      </c>
      <c r="AJ1082" s="5">
        <f>(vp.data[[#This Row],[VP]]-INDEX(crudeBD.lkup[Mean_VP],MATCH(vp.data[[#This Row],[Crude_Breakdown]],crudeBD.lkup[Crude Breakdown],0)))^2</f>
        <v>613.07361735529764</v>
      </c>
      <c r="AK1082" s="5">
        <f>(vp.data[[#This Row],[Dens]]-INDEX(crudeBD.lkup[Mean_Dens],MATCH(vp.data[[#This Row],[Crude_Breakdown]],crudeBD.lkup[Crude Breakdown],0)))^2</f>
        <v>339.29639999998176</v>
      </c>
      <c r="AL1082" s="5">
        <f>(vp.data[[#This Row],[Sulf]]-INDEX(crudeBD.lkup[Mean_Sulf],MATCH(vp.data[[#This Row],[Crude_Breakdown]],crudeBD.lkup[Crude Breakdown],0)))^2</f>
        <v>9.3274123845019638E-2</v>
      </c>
      <c r="AM1082" s="4">
        <f>IF(AND(vp.data[[#This Row],[SDate]]&gt;=DATE(YEAR(vp.data[[#This Row],[SDate]]),5,1),vp.data[[#This Row],[SDate]]&lt;=DATE(YEAR(vp.data[[#This Row],[SDate]]),9,15)),1,0)</f>
        <v>0</v>
      </c>
      <c r="AN1082" s="4">
        <f>IF(vp.data[[#This Row],[SDate]]&lt;DATE(2016,12,1),0,1)</f>
        <v>1</v>
      </c>
      <c r="AO1082" s="4">
        <f>IFERROR(vp.data[[#This Row],[Sulf]]*vp.data[[#This Row],[Net Dens]],"")</f>
        <v>12373268.20236</v>
      </c>
      <c r="AP1082">
        <f>IFERROR(vp.data[[#This Row],[Dens]]*vp.data[[#This Row],[VolumeM3]],"")</f>
        <v>11456729.817</v>
      </c>
      <c r="AQ1082" s="15">
        <f>IFERROR(vp.data[[#This Row],[VP]]*vp.data[[#This Row],[VolumeM3]],"")</f>
        <v>1462797.4836000002</v>
      </c>
    </row>
    <row r="1083" spans="1:43" x14ac:dyDescent="0.25">
      <c r="A1083">
        <v>1082</v>
      </c>
      <c r="B1083" t="s">
        <v>62</v>
      </c>
      <c r="C1083" t="s">
        <v>62</v>
      </c>
      <c r="D1083" t="s">
        <v>63</v>
      </c>
      <c r="F1083" s="1">
        <v>42818</v>
      </c>
      <c r="G1083" s="2">
        <v>77.900000000000006</v>
      </c>
      <c r="H1083" s="2"/>
      <c r="I1083" s="2">
        <f t="array" ref="I1083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83" s="2">
        <v>17.600000000000001</v>
      </c>
      <c r="K1083" s="2">
        <v>4</v>
      </c>
      <c r="L1083" s="2">
        <v>830.9</v>
      </c>
      <c r="M1083" s="2">
        <f t="array" ref="M1083">_xlfn.IFNA(IF(vp.data[[#This Row],[Dens Input]]="",INDEX([1]DATA!$O$3:$O$9826,MATCH(1,(vp.data[[#This Row],[Battery]]=[1]DATA!$L$3:$L$9826)*(EOMONTH(vp.data[[#This Row],[SDate]],-1)+1=[1]DATA!$G$3:$G$9826),0)),vp.data[[#This Row],[Dens Input]]),"")</f>
        <v>830.9</v>
      </c>
      <c r="N1083" s="2">
        <f ca="1">INDEX(INDIRECT(_xlfn.CONCAT("weather.tbl[",N$1,"]")),MATCH(vp.data[[#This Row],[SDate]],weather.tbl[Date],0))</f>
        <v>-2.2833333333333337</v>
      </c>
      <c r="O1083" s="2">
        <f ca="1">INDEX(INDIRECT(_xlfn.CONCAT("weather.tbl[",O$1,"]")),MATCH(vp.data[[#This Row],[SDate]],weather.tbl[Date],0))</f>
        <v>-2.7095238095238097</v>
      </c>
      <c r="P1083" s="2">
        <f ca="1">INDEX(INDIRECT(_xlfn.CONCAT("weather.tbl[",P$1,"]")),MATCH(vp.data[[#This Row],[SDate]],weather.tbl[Date],0))</f>
        <v>-0.1</v>
      </c>
      <c r="Q1083" s="2">
        <f ca="1">INDEX(INDIRECT(_xlfn.CONCAT("weather.tbl[",Q$1,"]")),MATCH(vp.data[[#This Row],[SDate]],weather.tbl[Date],0))</f>
        <v>0.3</v>
      </c>
      <c r="R1083" s="2">
        <f ca="1">INDEX(INDIRECT(_xlfn.CONCAT("weather.tbl[",R$1,"]")),MATCH(vp.data[[#This Row],[SDate]],weather.tbl[Date],0))</f>
        <v>-11.8</v>
      </c>
      <c r="S1083" s="2">
        <f ca="1">INDEX(INDIRECT(_xlfn.CONCAT("weather.tbl[",S$1,"]")),MATCH(vp.data[[#This Row],[SDate]],weather.tbl[Date],0))</f>
        <v>1.1000000000000001</v>
      </c>
      <c r="T1083" s="2">
        <f ca="1">INDEX(INDIRECT(_xlfn.CONCAT("weather.tbl[",T$1,"]")),MATCH(vp.data[[#This Row],[SDate]],weather.tbl[Date],0))</f>
        <v>-2.7</v>
      </c>
      <c r="U1083" s="2">
        <f ca="1">INDEX(INDIRECT(_xlfn.CONCAT("weather.tbl[",U$1,"]")),MATCH(vp.data[[#This Row],[SDate]],weather.tbl[Date],0))</f>
        <v>-0.5</v>
      </c>
      <c r="V1083" s="2">
        <f t="array" ref="V10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083" t="s">
        <v>48</v>
      </c>
      <c r="X1083">
        <f>IF(OR(vp.data[[#This Row],[Sulf]]="",vp.data[[#This Row],[Dens]]=""),1,0)</f>
        <v>0</v>
      </c>
      <c r="Y1083">
        <f>IF(vp.data[[#This Row],[CrudeType]]="C5+",1,0)</f>
        <v>0</v>
      </c>
      <c r="Z1083">
        <f>IF(AND(vp.data[[#This Row],[CrudeType]]="Crude",vp.data[[#This Row],[Dens]]&lt;=825,vp.data[[#This Row],[Sulf]]&gt;0.5,vp.data[[#This Row],[Unknown]]=0),1,0)</f>
        <v>0</v>
      </c>
      <c r="AA1083">
        <f>IF(AND(vp.data[[#This Row],[CrudeType]]="Crude",vp.data[[#This Row],[Dens]]&lt;=825,vp.data[[#This Row],[Sulf]]&lt;=0.5,vp.data[[#This Row],[Unknown]]=0),1,0)</f>
        <v>0</v>
      </c>
      <c r="AB10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3">
        <f>IF(AND(vp.data[[#This Row],[CrudeType]]="Crude",vp.data[[#This Row],[Dens]]&gt;825,vp.data[[#This Row],[Dens]]&lt;=900,vp.data[[#This Row],[Sulf]]&lt;=0.5,vp.data[[#This Row],[Unknown]]=0),1,0)</f>
        <v>0</v>
      </c>
      <c r="AD1083">
        <f>IF(AND(vp.data[[#This Row],[CrudeType]]="Crude",vp.data[[#This Row],[Dens]]&gt;865,vp.data[[#This Row],[Dens]]&lt;=900,vp.data[[#This Row],[Sulf]]&gt;2,vp.data[[#This Row],[Unknown]]=0),1,0)</f>
        <v>0</v>
      </c>
      <c r="AE1083">
        <f>IF(AND(vp.data[[#This Row],[CrudeType]]="Crude",vp.data[[#This Row],[Dens]]&gt;900,vp.data[[#This Row],[Sulf]]&lt;=0.5,vp.data[[#This Row],[Unknown]]=0),1,0)</f>
        <v>0</v>
      </c>
      <c r="AF1083">
        <f>IF(AND(vp.data[[#This Row],[CrudeType]]="Crude",vp.data[[#This Row],[Dens]]&gt;900,vp.data[[#This Row],[Sulf]]&lt;=0.5,vp.data[[#This Row],[Unknown]]=0),1,0)</f>
        <v>0</v>
      </c>
      <c r="AG1083" t="str">
        <f>INDEX(vp.data[[#Headers],[Unknown]:[Heavy_SW]],MATCH(1,vp.data[[#This Row],[Unknown]:[Heavy_SW]],0))</f>
        <v>Medium_LSB</v>
      </c>
      <c r="AH1083">
        <f>INDEX([3]!crudeBD.lkup[Number],MATCH(vp.data[[#This Row],[Crude_Breakdown]],crudeBD.lkup[Crude Breakdown],0))</f>
        <v>3</v>
      </c>
      <c r="AI1083">
        <f>MONTH(vp.data[[#This Row],[SDate]])</f>
        <v>3</v>
      </c>
      <c r="AJ1083" s="5">
        <f>(vp.data[[#This Row],[VP]]-INDEX(crudeBD.lkup[Mean_VP],MATCH(vp.data[[#This Row],[Crude_Breakdown]],crudeBD.lkup[Crude Breakdown],0)))^2</f>
        <v>7.5058275978810221</v>
      </c>
      <c r="AK1083" s="5">
        <f>(vp.data[[#This Row],[Dens]]-INDEX(crudeBD.lkup[Mean_Dens],MATCH(vp.data[[#This Row],[Crude_Breakdown]],crudeBD.lkup[Crude Breakdown],0)))^2</f>
        <v>169.52039999998769</v>
      </c>
      <c r="AL1083" s="5">
        <f>(vp.data[[#This Row],[Sulf]]-INDEX(crudeBD.lkup[Mean_Sulf],MATCH(vp.data[[#This Row],[Crude_Breakdown]],crudeBD.lkup[Crude Breakdown],0)))^2</f>
        <v>0.12573539662129798</v>
      </c>
      <c r="AM1083" s="4">
        <f>IF(AND(vp.data[[#This Row],[SDate]]&gt;=DATE(YEAR(vp.data[[#This Row],[SDate]]),5,1),vp.data[[#This Row],[SDate]]&lt;=DATE(YEAR(vp.data[[#This Row],[SDate]]),9,15)),1,0)</f>
        <v>0</v>
      </c>
      <c r="AN1083" s="4">
        <f>IF(vp.data[[#This Row],[SDate]]&lt;DATE(2016,12,1),0,1)</f>
        <v>1</v>
      </c>
      <c r="AO1083" s="4">
        <f>IFERROR(vp.data[[#This Row],[Sulf]]*vp.data[[#This Row],[Net Dens]],"")</f>
        <v>10061449.927031999</v>
      </c>
      <c r="AP1083">
        <f>IFERROR(vp.data[[#This Row],[Dens]]*vp.data[[#This Row],[VolumeM3]],"")</f>
        <v>5782442.4868000001</v>
      </c>
      <c r="AQ1083" s="15">
        <f>IFERROR(vp.data[[#This Row],[VP]]*vp.data[[#This Row],[VolumeM3]],"")</f>
        <v>542125.73080000002</v>
      </c>
    </row>
    <row r="1084" spans="1:43" x14ac:dyDescent="0.25">
      <c r="A1084">
        <v>1083</v>
      </c>
      <c r="B1084" t="s">
        <v>211</v>
      </c>
      <c r="C1084" t="s">
        <v>211</v>
      </c>
      <c r="D1084" t="s">
        <v>212</v>
      </c>
      <c r="F1084" s="1">
        <v>42818</v>
      </c>
      <c r="G1084" s="2">
        <v>80.900000000000006</v>
      </c>
      <c r="H1084" s="2"/>
      <c r="I1084" s="2">
        <f t="array" ref="I1084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084" s="2">
        <v>12</v>
      </c>
      <c r="K1084" s="2">
        <v>4</v>
      </c>
      <c r="L1084" s="2">
        <v>836.4</v>
      </c>
      <c r="M1084" s="2">
        <f t="array" ref="M1084">_xlfn.IFNA(IF(vp.data[[#This Row],[Dens Input]]="",INDEX([1]DATA!$O$3:$O$9826,MATCH(1,(vp.data[[#This Row],[Battery]]=[1]DATA!$L$3:$L$9826)*(EOMONTH(vp.data[[#This Row],[SDate]],-1)+1=[1]DATA!$G$3:$G$9826),0)),vp.data[[#This Row],[Dens Input]]),"")</f>
        <v>836.4</v>
      </c>
      <c r="N1084" s="2">
        <f ca="1">INDEX(INDIRECT(_xlfn.CONCAT("weather.tbl[",N$1,"]")),MATCH(vp.data[[#This Row],[SDate]],weather.tbl[Date],0))</f>
        <v>-2.2833333333333337</v>
      </c>
      <c r="O1084" s="2">
        <f ca="1">INDEX(INDIRECT(_xlfn.CONCAT("weather.tbl[",O$1,"]")),MATCH(vp.data[[#This Row],[SDate]],weather.tbl[Date],0))</f>
        <v>-2.7095238095238097</v>
      </c>
      <c r="P1084" s="2">
        <f ca="1">INDEX(INDIRECT(_xlfn.CONCAT("weather.tbl[",P$1,"]")),MATCH(vp.data[[#This Row],[SDate]],weather.tbl[Date],0))</f>
        <v>-0.1</v>
      </c>
      <c r="Q1084" s="2">
        <f ca="1">INDEX(INDIRECT(_xlfn.CONCAT("weather.tbl[",Q$1,"]")),MATCH(vp.data[[#This Row],[SDate]],weather.tbl[Date],0))</f>
        <v>0.3</v>
      </c>
      <c r="R1084" s="2">
        <f ca="1">INDEX(INDIRECT(_xlfn.CONCAT("weather.tbl[",R$1,"]")),MATCH(vp.data[[#This Row],[SDate]],weather.tbl[Date],0))</f>
        <v>-11.8</v>
      </c>
      <c r="S1084" s="2">
        <f ca="1">INDEX(INDIRECT(_xlfn.CONCAT("weather.tbl[",S$1,"]")),MATCH(vp.data[[#This Row],[SDate]],weather.tbl[Date],0))</f>
        <v>1.1000000000000001</v>
      </c>
      <c r="T1084" s="2">
        <f ca="1">INDEX(INDIRECT(_xlfn.CONCAT("weather.tbl[",T$1,"]")),MATCH(vp.data[[#This Row],[SDate]],weather.tbl[Date],0))</f>
        <v>-2.7</v>
      </c>
      <c r="U1084" s="2">
        <f ca="1">INDEX(INDIRECT(_xlfn.CONCAT("weather.tbl[",U$1,"]")),MATCH(vp.data[[#This Row],[SDate]],weather.tbl[Date],0))</f>
        <v>-0.5</v>
      </c>
      <c r="V1084" s="2">
        <f t="array" ref="V10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167.45699999999999</v>
      </c>
      <c r="W1084" t="s">
        <v>48</v>
      </c>
      <c r="X1084">
        <f>IF(OR(vp.data[[#This Row],[Sulf]]="",vp.data[[#This Row],[Dens]]=""),1,0)</f>
        <v>0</v>
      </c>
      <c r="Y1084">
        <f>IF(vp.data[[#This Row],[CrudeType]]="C5+",1,0)</f>
        <v>0</v>
      </c>
      <c r="Z1084">
        <f>IF(AND(vp.data[[#This Row],[CrudeType]]="Crude",vp.data[[#This Row],[Dens]]&lt;=825,vp.data[[#This Row],[Sulf]]&gt;0.5,vp.data[[#This Row],[Unknown]]=0),1,0)</f>
        <v>0</v>
      </c>
      <c r="AA1084">
        <f>IF(AND(vp.data[[#This Row],[CrudeType]]="Crude",vp.data[[#This Row],[Dens]]&lt;=825,vp.data[[#This Row],[Sulf]]&lt;=0.5,vp.data[[#This Row],[Unknown]]=0),1,0)</f>
        <v>0</v>
      </c>
      <c r="AB10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4">
        <f>IF(AND(vp.data[[#This Row],[CrudeType]]="Crude",vp.data[[#This Row],[Dens]]&gt;825,vp.data[[#This Row],[Dens]]&lt;=900,vp.data[[#This Row],[Sulf]]&lt;=0.5,vp.data[[#This Row],[Unknown]]=0),1,0)</f>
        <v>0</v>
      </c>
      <c r="AD1084">
        <f>IF(AND(vp.data[[#This Row],[CrudeType]]="Crude",vp.data[[#This Row],[Dens]]&gt;865,vp.data[[#This Row],[Dens]]&lt;=900,vp.data[[#This Row],[Sulf]]&gt;2,vp.data[[#This Row],[Unknown]]=0),1,0)</f>
        <v>0</v>
      </c>
      <c r="AE1084">
        <f>IF(AND(vp.data[[#This Row],[CrudeType]]="Crude",vp.data[[#This Row],[Dens]]&gt;900,vp.data[[#This Row],[Sulf]]&lt;=0.5,vp.data[[#This Row],[Unknown]]=0),1,0)</f>
        <v>0</v>
      </c>
      <c r="AF1084">
        <f>IF(AND(vp.data[[#This Row],[CrudeType]]="Crude",vp.data[[#This Row],[Dens]]&gt;900,vp.data[[#This Row],[Sulf]]&lt;=0.5,vp.data[[#This Row],[Unknown]]=0),1,0)</f>
        <v>0</v>
      </c>
      <c r="AG1084" t="str">
        <f>INDEX(vp.data[[#Headers],[Unknown]:[Heavy_SW]],MATCH(1,vp.data[[#This Row],[Unknown]:[Heavy_SW]],0))</f>
        <v>Medium_LSB</v>
      </c>
      <c r="AH1084">
        <f>INDEX([3]!crudeBD.lkup[Number],MATCH(vp.data[[#This Row],[Crude_Breakdown]],crudeBD.lkup[Crude Breakdown],0))</f>
        <v>3</v>
      </c>
      <c r="AI1084">
        <f>MONTH(vp.data[[#This Row],[SDate]])</f>
        <v>3</v>
      </c>
      <c r="AJ1084" s="5">
        <f>(vp.data[[#This Row],[VP]]-INDEX(crudeBD.lkup[Mean_VP],MATCH(vp.data[[#This Row],[Crude_Breakdown]],crudeBD.lkup[Crude Breakdown],0)))^2</f>
        <v>6.7768298690110765E-2</v>
      </c>
      <c r="AK1084" s="5">
        <f>(vp.data[[#This Row],[Dens]]-INDEX(crudeBD.lkup[Mean_Dens],MATCH(vp.data[[#This Row],[Crude_Breakdown]],crudeBD.lkup[Crude Breakdown],0)))^2</f>
        <v>56.550399999992884</v>
      </c>
      <c r="AL1084" s="5">
        <f>(vp.data[[#This Row],[Sulf]]-INDEX(crudeBD.lkup[Mean_Sulf],MATCH(vp.data[[#This Row],[Crude_Breakdown]],crudeBD.lkup[Crude Breakdown],0)))^2</f>
        <v>9.3274123845019638E-2</v>
      </c>
      <c r="AM1084" s="4">
        <f>IF(AND(vp.data[[#This Row],[SDate]]&gt;=DATE(YEAR(vp.data[[#This Row],[SDate]]),5,1),vp.data[[#This Row],[SDate]]&lt;=DATE(YEAR(vp.data[[#This Row],[SDate]]),9,15)),1,0)</f>
        <v>0</v>
      </c>
      <c r="AN1084" s="4">
        <f>IF(vp.data[[#This Row],[SDate]]&lt;DATE(2016,12,1),0,1)</f>
        <v>1</v>
      </c>
      <c r="AO1084" s="4">
        <f>IFERROR(vp.data[[#This Row],[Sulf]]*vp.data[[#This Row],[Net Dens]],"")</f>
        <v>151265.91758400001</v>
      </c>
      <c r="AP1084">
        <f>IFERROR(vp.data[[#This Row],[Dens]]*vp.data[[#This Row],[VolumeM3]],"")</f>
        <v>140061.03479999999</v>
      </c>
      <c r="AQ1084" s="15">
        <f>IFERROR(vp.data[[#This Row],[VP]]*vp.data[[#This Row],[VolumeM3]],"")</f>
        <v>13547.2713</v>
      </c>
    </row>
    <row r="1085" spans="1:43" x14ac:dyDescent="0.25">
      <c r="A1085">
        <v>1084</v>
      </c>
      <c r="B1085" t="s">
        <v>84</v>
      </c>
      <c r="C1085" t="s">
        <v>84</v>
      </c>
      <c r="D1085" t="s">
        <v>213</v>
      </c>
      <c r="F1085" s="1">
        <v>42818</v>
      </c>
      <c r="G1085" s="2">
        <v>89</v>
      </c>
      <c r="H1085" s="2"/>
      <c r="I1085" s="2">
        <f t="array" ref="I1085">_xlfn.IFNA(IF(vp.data[[#This Row],[Sulf Input]]="",INDEX([1]DATA!$Q$3:$Q$9826,MATCH(1,(vp.data[[#This Row],[Battery]]=[1]DATA!$L$3:$L$9826)*(EOMONTH(vp.data[[#This Row],[SDate]],-1)+1=[1]DATA!$G$3:$G$9826),0)),vp.data[[#This Row],[Sulf Input]]),"")</f>
        <v>1.26</v>
      </c>
      <c r="J1085" s="2">
        <v>8</v>
      </c>
      <c r="K1085" s="2">
        <v>4</v>
      </c>
      <c r="L1085" s="2">
        <v>846.6</v>
      </c>
      <c r="M1085" s="2">
        <f t="array" ref="M1085">_xlfn.IFNA(IF(vp.data[[#This Row],[Dens Input]]="",INDEX([1]DATA!$O$3:$O$9826,MATCH(1,(vp.data[[#This Row],[Battery]]=[1]DATA!$L$3:$L$9826)*(EOMONTH(vp.data[[#This Row],[SDate]],-1)+1=[1]DATA!$G$3:$G$9826),0)),vp.data[[#This Row],[Dens Input]]),"")</f>
        <v>846.6</v>
      </c>
      <c r="N1085" s="2">
        <f ca="1">INDEX(INDIRECT(_xlfn.CONCAT("weather.tbl[",N$1,"]")),MATCH(vp.data[[#This Row],[SDate]],weather.tbl[Date],0))</f>
        <v>-2.2833333333333337</v>
      </c>
      <c r="O1085" s="2">
        <f ca="1">INDEX(INDIRECT(_xlfn.CONCAT("weather.tbl[",O$1,"]")),MATCH(vp.data[[#This Row],[SDate]],weather.tbl[Date],0))</f>
        <v>-2.7095238095238097</v>
      </c>
      <c r="P1085" s="2">
        <f ca="1">INDEX(INDIRECT(_xlfn.CONCAT("weather.tbl[",P$1,"]")),MATCH(vp.data[[#This Row],[SDate]],weather.tbl[Date],0))</f>
        <v>-0.1</v>
      </c>
      <c r="Q1085" s="2">
        <f ca="1">INDEX(INDIRECT(_xlfn.CONCAT("weather.tbl[",Q$1,"]")),MATCH(vp.data[[#This Row],[SDate]],weather.tbl[Date],0))</f>
        <v>0.3</v>
      </c>
      <c r="R1085" s="2">
        <f ca="1">INDEX(INDIRECT(_xlfn.CONCAT("weather.tbl[",R$1,"]")),MATCH(vp.data[[#This Row],[SDate]],weather.tbl[Date],0))</f>
        <v>-11.8</v>
      </c>
      <c r="S1085" s="2">
        <f ca="1">INDEX(INDIRECT(_xlfn.CONCAT("weather.tbl[",S$1,"]")),MATCH(vp.data[[#This Row],[SDate]],weather.tbl[Date],0))</f>
        <v>1.1000000000000001</v>
      </c>
      <c r="T1085" s="2">
        <f ca="1">INDEX(INDIRECT(_xlfn.CONCAT("weather.tbl[",T$1,"]")),MATCH(vp.data[[#This Row],[SDate]],weather.tbl[Date],0))</f>
        <v>-2.7</v>
      </c>
      <c r="U1085" s="2">
        <f ca="1">INDEX(INDIRECT(_xlfn.CONCAT("weather.tbl[",U$1,"]")),MATCH(vp.data[[#This Row],[SDate]],weather.tbl[Date],0))</f>
        <v>-0.5</v>
      </c>
      <c r="V1085" s="2">
        <f t="array" ref="V10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139.06800000000001</v>
      </c>
      <c r="W1085" t="s">
        <v>48</v>
      </c>
      <c r="X1085">
        <f>IF(OR(vp.data[[#This Row],[Sulf]]="",vp.data[[#This Row],[Dens]]=""),1,0)</f>
        <v>0</v>
      </c>
      <c r="Y1085">
        <f>IF(vp.data[[#This Row],[CrudeType]]="C5+",1,0)</f>
        <v>0</v>
      </c>
      <c r="Z1085">
        <f>IF(AND(vp.data[[#This Row],[CrudeType]]="Crude",vp.data[[#This Row],[Dens]]&lt;=825,vp.data[[#This Row],[Sulf]]&gt;0.5,vp.data[[#This Row],[Unknown]]=0),1,0)</f>
        <v>0</v>
      </c>
      <c r="AA1085">
        <f>IF(AND(vp.data[[#This Row],[CrudeType]]="Crude",vp.data[[#This Row],[Dens]]&lt;=825,vp.data[[#This Row],[Sulf]]&lt;=0.5,vp.data[[#This Row],[Unknown]]=0),1,0)</f>
        <v>0</v>
      </c>
      <c r="AB10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5">
        <f>IF(AND(vp.data[[#This Row],[CrudeType]]="Crude",vp.data[[#This Row],[Dens]]&gt;825,vp.data[[#This Row],[Dens]]&lt;=900,vp.data[[#This Row],[Sulf]]&lt;=0.5,vp.data[[#This Row],[Unknown]]=0),1,0)</f>
        <v>0</v>
      </c>
      <c r="AD1085">
        <f>IF(AND(vp.data[[#This Row],[CrudeType]]="Crude",vp.data[[#This Row],[Dens]]&gt;865,vp.data[[#This Row],[Dens]]&lt;=900,vp.data[[#This Row],[Sulf]]&gt;2,vp.data[[#This Row],[Unknown]]=0),1,0)</f>
        <v>0</v>
      </c>
      <c r="AE1085">
        <f>IF(AND(vp.data[[#This Row],[CrudeType]]="Crude",vp.data[[#This Row],[Dens]]&gt;900,vp.data[[#This Row],[Sulf]]&lt;=0.5,vp.data[[#This Row],[Unknown]]=0),1,0)</f>
        <v>0</v>
      </c>
      <c r="AF1085">
        <f>IF(AND(vp.data[[#This Row],[CrudeType]]="Crude",vp.data[[#This Row],[Dens]]&gt;900,vp.data[[#This Row],[Sulf]]&lt;=0.5,vp.data[[#This Row],[Unknown]]=0),1,0)</f>
        <v>0</v>
      </c>
      <c r="AG1085" t="str">
        <f>INDEX(vp.data[[#Headers],[Unknown]:[Heavy_SW]],MATCH(1,vp.data[[#This Row],[Unknown]:[Heavy_SW]],0))</f>
        <v>Medium_LSB</v>
      </c>
      <c r="AH1085">
        <f>INDEX([3]!crudeBD.lkup[Number],MATCH(vp.data[[#This Row],[Crude_Breakdown]],crudeBD.lkup[Crude Breakdown],0))</f>
        <v>3</v>
      </c>
      <c r="AI1085">
        <f>MONTH(vp.data[[#This Row],[SDate]])</f>
        <v>3</v>
      </c>
      <c r="AJ1085" s="5">
        <f>(vp.data[[#This Row],[VP]]-INDEX(crudeBD.lkup[Mean_VP],MATCH(vp.data[[#This Row],[Crude_Breakdown]],crudeBD.lkup[Crude Breakdown],0)))^2</f>
        <v>69.895008190874549</v>
      </c>
      <c r="AK1085" s="5">
        <f>(vp.data[[#This Row],[Dens]]-INDEX(crudeBD.lkup[Mean_Dens],MATCH(vp.data[[#This Row],[Crude_Breakdown]],crudeBD.lkup[Crude Breakdown],0)))^2</f>
        <v>7.1824000000027786</v>
      </c>
      <c r="AL1085" s="5">
        <f>(vp.data[[#This Row],[Sulf]]-INDEX(crudeBD.lkup[Mean_Sulf],MATCH(vp.data[[#This Row],[Crude_Breakdown]],crudeBD.lkup[Crude Breakdown],0)))^2</f>
        <v>1.5727198238550122E-2</v>
      </c>
      <c r="AM1085" s="4">
        <f>IF(AND(vp.data[[#This Row],[SDate]]&gt;=DATE(YEAR(vp.data[[#This Row],[SDate]]),5,1),vp.data[[#This Row],[SDate]]&lt;=DATE(YEAR(vp.data[[#This Row],[SDate]]),9,15)),1,0)</f>
        <v>0</v>
      </c>
      <c r="AN1085" s="4">
        <f>IF(vp.data[[#This Row],[SDate]]&lt;DATE(2016,12,1),0,1)</f>
        <v>1</v>
      </c>
      <c r="AO1085" s="4">
        <f>IFERROR(vp.data[[#This Row],[Sulf]]*vp.data[[#This Row],[Net Dens]],"")</f>
        <v>148346.06068800003</v>
      </c>
      <c r="AP1085">
        <f>IFERROR(vp.data[[#This Row],[Dens]]*vp.data[[#This Row],[VolumeM3]],"")</f>
        <v>117734.96880000002</v>
      </c>
      <c r="AQ1085" s="15">
        <f>IFERROR(vp.data[[#This Row],[VP]]*vp.data[[#This Row],[VolumeM3]],"")</f>
        <v>12377.052000000001</v>
      </c>
    </row>
    <row r="1086" spans="1:43" x14ac:dyDescent="0.25">
      <c r="A1086">
        <v>1085</v>
      </c>
      <c r="B1086" t="s">
        <v>84</v>
      </c>
      <c r="C1086" t="s">
        <v>84</v>
      </c>
      <c r="D1086" t="s">
        <v>85</v>
      </c>
      <c r="F1086" s="1">
        <v>42818</v>
      </c>
      <c r="G1086" s="2">
        <v>87.9</v>
      </c>
      <c r="H1086" s="2"/>
      <c r="I1086" s="2">
        <f t="array" ref="I1086">_xlfn.IFNA(IF(vp.data[[#This Row],[Sulf Input]]="",INDEX([1]DATA!$Q$3:$Q$9826,MATCH(1,(vp.data[[#This Row],[Battery]]=[1]DATA!$L$3:$L$9826)*(EOMONTH(vp.data[[#This Row],[SDate]],-1)+1=[1]DATA!$G$3:$G$9826),0)),vp.data[[#This Row],[Sulf Input]]),"")</f>
        <v>1.34</v>
      </c>
      <c r="J1086" s="2">
        <v>24</v>
      </c>
      <c r="K1086" s="2">
        <v>4</v>
      </c>
      <c r="L1086" s="2">
        <v>847.1</v>
      </c>
      <c r="M1086" s="2">
        <f t="array" ref="M1086">_xlfn.IFNA(IF(vp.data[[#This Row],[Dens Input]]="",INDEX([1]DATA!$O$3:$O$9826,MATCH(1,(vp.data[[#This Row],[Battery]]=[1]DATA!$L$3:$L$9826)*(EOMONTH(vp.data[[#This Row],[SDate]],-1)+1=[1]DATA!$G$3:$G$9826),0)),vp.data[[#This Row],[Dens Input]]),"")</f>
        <v>847.1</v>
      </c>
      <c r="N1086" s="2">
        <f ca="1">INDEX(INDIRECT(_xlfn.CONCAT("weather.tbl[",N$1,"]")),MATCH(vp.data[[#This Row],[SDate]],weather.tbl[Date],0))</f>
        <v>-2.2833333333333337</v>
      </c>
      <c r="O1086" s="2">
        <f ca="1">INDEX(INDIRECT(_xlfn.CONCAT("weather.tbl[",O$1,"]")),MATCH(vp.data[[#This Row],[SDate]],weather.tbl[Date],0))</f>
        <v>-2.7095238095238097</v>
      </c>
      <c r="P1086" s="2">
        <f ca="1">INDEX(INDIRECT(_xlfn.CONCAT("weather.tbl[",P$1,"]")),MATCH(vp.data[[#This Row],[SDate]],weather.tbl[Date],0))</f>
        <v>-0.1</v>
      </c>
      <c r="Q1086" s="2">
        <f ca="1">INDEX(INDIRECT(_xlfn.CONCAT("weather.tbl[",Q$1,"]")),MATCH(vp.data[[#This Row],[SDate]],weather.tbl[Date],0))</f>
        <v>0.3</v>
      </c>
      <c r="R1086" s="2">
        <f ca="1">INDEX(INDIRECT(_xlfn.CONCAT("weather.tbl[",R$1,"]")),MATCH(vp.data[[#This Row],[SDate]],weather.tbl[Date],0))</f>
        <v>-11.8</v>
      </c>
      <c r="S1086" s="2">
        <f ca="1">INDEX(INDIRECT(_xlfn.CONCAT("weather.tbl[",S$1,"]")),MATCH(vp.data[[#This Row],[SDate]],weather.tbl[Date],0))</f>
        <v>1.1000000000000001</v>
      </c>
      <c r="T1086" s="2">
        <f ca="1">INDEX(INDIRECT(_xlfn.CONCAT("weather.tbl[",T$1,"]")),MATCH(vp.data[[#This Row],[SDate]],weather.tbl[Date],0))</f>
        <v>-2.7</v>
      </c>
      <c r="U1086" s="2">
        <f ca="1">INDEX(INDIRECT(_xlfn.CONCAT("weather.tbl[",U$1,"]")),MATCH(vp.data[[#This Row],[SDate]],weather.tbl[Date],0))</f>
        <v>-0.5</v>
      </c>
      <c r="V1086" s="2">
        <f t="array" ref="V10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2456.3589999999999</v>
      </c>
      <c r="W1086" t="s">
        <v>48</v>
      </c>
      <c r="X1086">
        <f>IF(OR(vp.data[[#This Row],[Sulf]]="",vp.data[[#This Row],[Dens]]=""),1,0)</f>
        <v>0</v>
      </c>
      <c r="Y1086">
        <f>IF(vp.data[[#This Row],[CrudeType]]="C5+",1,0)</f>
        <v>0</v>
      </c>
      <c r="Z1086">
        <f>IF(AND(vp.data[[#This Row],[CrudeType]]="Crude",vp.data[[#This Row],[Dens]]&lt;=825,vp.data[[#This Row],[Sulf]]&gt;0.5,vp.data[[#This Row],[Unknown]]=0),1,0)</f>
        <v>0</v>
      </c>
      <c r="AA1086">
        <f>IF(AND(vp.data[[#This Row],[CrudeType]]="Crude",vp.data[[#This Row],[Dens]]&lt;=825,vp.data[[#This Row],[Sulf]]&lt;=0.5,vp.data[[#This Row],[Unknown]]=0),1,0)</f>
        <v>0</v>
      </c>
      <c r="AB10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6">
        <f>IF(AND(vp.data[[#This Row],[CrudeType]]="Crude",vp.data[[#This Row],[Dens]]&gt;825,vp.data[[#This Row],[Dens]]&lt;=900,vp.data[[#This Row],[Sulf]]&lt;=0.5,vp.data[[#This Row],[Unknown]]=0),1,0)</f>
        <v>0</v>
      </c>
      <c r="AD1086">
        <f>IF(AND(vp.data[[#This Row],[CrudeType]]="Crude",vp.data[[#This Row],[Dens]]&gt;865,vp.data[[#This Row],[Dens]]&lt;=900,vp.data[[#This Row],[Sulf]]&gt;2,vp.data[[#This Row],[Unknown]]=0),1,0)</f>
        <v>0</v>
      </c>
      <c r="AE1086">
        <f>IF(AND(vp.data[[#This Row],[CrudeType]]="Crude",vp.data[[#This Row],[Dens]]&gt;900,vp.data[[#This Row],[Sulf]]&lt;=0.5,vp.data[[#This Row],[Unknown]]=0),1,0)</f>
        <v>0</v>
      </c>
      <c r="AF1086">
        <f>IF(AND(vp.data[[#This Row],[CrudeType]]="Crude",vp.data[[#This Row],[Dens]]&gt;900,vp.data[[#This Row],[Sulf]]&lt;=0.5,vp.data[[#This Row],[Unknown]]=0),1,0)</f>
        <v>0</v>
      </c>
      <c r="AG1086" t="str">
        <f>INDEX(vp.data[[#Headers],[Unknown]:[Heavy_SW]],MATCH(1,vp.data[[#This Row],[Unknown]:[Heavy_SW]],0))</f>
        <v>Medium_LSB</v>
      </c>
      <c r="AH1086">
        <f>INDEX([3]!crudeBD.lkup[Number],MATCH(vp.data[[#This Row],[Crude_Breakdown]],crudeBD.lkup[Crude Breakdown],0))</f>
        <v>3</v>
      </c>
      <c r="AI1086">
        <f>MONTH(vp.data[[#This Row],[SDate]])</f>
        <v>3</v>
      </c>
      <c r="AJ1086" s="5">
        <f>(vp.data[[#This Row],[VP]]-INDEX(crudeBD.lkup[Mean_VP],MATCH(vp.data[[#This Row],[Crude_Breakdown]],crudeBD.lkup[Crude Breakdown],0)))^2</f>
        <v>52.712296600577986</v>
      </c>
      <c r="AK1086" s="5">
        <f>(vp.data[[#This Row],[Dens]]-INDEX(crudeBD.lkup[Mean_Dens],MATCH(vp.data[[#This Row],[Crude_Breakdown]],crudeBD.lkup[Crude Breakdown],0)))^2</f>
        <v>10.112400000003298</v>
      </c>
      <c r="AL1086" s="5">
        <f>(vp.data[[#This Row],[Sulf]]-INDEX(crudeBD.lkup[Mean_Sulf],MATCH(vp.data[[#This Row],[Crude_Breakdown]],crudeBD.lkup[Crude Breakdown],0)))^2</f>
        <v>2.0618979690080939E-3</v>
      </c>
      <c r="AM1086" s="4">
        <f>IF(AND(vp.data[[#This Row],[SDate]]&gt;=DATE(YEAR(vp.data[[#This Row],[SDate]]),5,1),vp.data[[#This Row],[SDate]]&lt;=DATE(YEAR(vp.data[[#This Row],[SDate]]),9,15)),1,0)</f>
        <v>0</v>
      </c>
      <c r="AN1086" s="4">
        <f>IF(vp.data[[#This Row],[SDate]]&lt;DATE(2016,12,1),0,1)</f>
        <v>1</v>
      </c>
      <c r="AO1086" s="4">
        <f>IFERROR(vp.data[[#This Row],[Sulf]]*vp.data[[#This Row],[Net Dens]],"")</f>
        <v>2788247.4899260001</v>
      </c>
      <c r="AP1086">
        <f>IFERROR(vp.data[[#This Row],[Dens]]*vp.data[[#This Row],[VolumeM3]],"")</f>
        <v>2080781.7089</v>
      </c>
      <c r="AQ1086" s="15">
        <f>IFERROR(vp.data[[#This Row],[VP]]*vp.data[[#This Row],[VolumeM3]],"")</f>
        <v>215913.95610000001</v>
      </c>
    </row>
    <row r="1087" spans="1:43" x14ac:dyDescent="0.25">
      <c r="A1087">
        <v>1086</v>
      </c>
      <c r="B1087" t="s">
        <v>51</v>
      </c>
      <c r="C1087" t="s">
        <v>51</v>
      </c>
      <c r="D1087" t="s">
        <v>214</v>
      </c>
      <c r="F1087" s="1">
        <v>42818</v>
      </c>
      <c r="G1087" s="2">
        <v>92.9</v>
      </c>
      <c r="H1087" s="2"/>
      <c r="I1087" s="2">
        <f t="array" ref="I1087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087" s="2">
        <v>19</v>
      </c>
      <c r="K1087" s="2">
        <v>4</v>
      </c>
      <c r="L1087" s="2">
        <v>853</v>
      </c>
      <c r="M1087" s="2">
        <f t="array" ref="M1087">_xlfn.IFNA(IF(vp.data[[#This Row],[Dens Input]]="",INDEX([1]DATA!$O$3:$O$9826,MATCH(1,(vp.data[[#This Row],[Battery]]=[1]DATA!$L$3:$L$9826)*(EOMONTH(vp.data[[#This Row],[SDate]],-1)+1=[1]DATA!$G$3:$G$9826),0)),vp.data[[#This Row],[Dens Input]]),"")</f>
        <v>853</v>
      </c>
      <c r="N1087" s="2">
        <f ca="1">INDEX(INDIRECT(_xlfn.CONCAT("weather.tbl[",N$1,"]")),MATCH(vp.data[[#This Row],[SDate]],weather.tbl[Date],0))</f>
        <v>-2.2833333333333337</v>
      </c>
      <c r="O1087" s="2">
        <f ca="1">INDEX(INDIRECT(_xlfn.CONCAT("weather.tbl[",O$1,"]")),MATCH(vp.data[[#This Row],[SDate]],weather.tbl[Date],0))</f>
        <v>-2.7095238095238097</v>
      </c>
      <c r="P1087" s="2">
        <f ca="1">INDEX(INDIRECT(_xlfn.CONCAT("weather.tbl[",P$1,"]")),MATCH(vp.data[[#This Row],[SDate]],weather.tbl[Date],0))</f>
        <v>-0.1</v>
      </c>
      <c r="Q1087" s="2">
        <f ca="1">INDEX(INDIRECT(_xlfn.CONCAT("weather.tbl[",Q$1,"]")),MATCH(vp.data[[#This Row],[SDate]],weather.tbl[Date],0))</f>
        <v>0.3</v>
      </c>
      <c r="R1087" s="2">
        <f ca="1">INDEX(INDIRECT(_xlfn.CONCAT("weather.tbl[",R$1,"]")),MATCH(vp.data[[#This Row],[SDate]],weather.tbl[Date],0))</f>
        <v>-11.8</v>
      </c>
      <c r="S1087" s="2">
        <f ca="1">INDEX(INDIRECT(_xlfn.CONCAT("weather.tbl[",S$1,"]")),MATCH(vp.data[[#This Row],[SDate]],weather.tbl[Date],0))</f>
        <v>1.1000000000000001</v>
      </c>
      <c r="T1087" s="2">
        <f ca="1">INDEX(INDIRECT(_xlfn.CONCAT("weather.tbl[",T$1,"]")),MATCH(vp.data[[#This Row],[SDate]],weather.tbl[Date],0))</f>
        <v>-2.7</v>
      </c>
      <c r="U1087" s="2">
        <f ca="1">INDEX(INDIRECT(_xlfn.CONCAT("weather.tbl[",U$1,"]")),MATCH(vp.data[[#This Row],[SDate]],weather.tbl[Date],0))</f>
        <v>-0.5</v>
      </c>
      <c r="V1087" s="2">
        <f t="array" ref="V10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658.22500000000002</v>
      </c>
      <c r="W1087" t="s">
        <v>48</v>
      </c>
      <c r="X1087">
        <f>IF(OR(vp.data[[#This Row],[Sulf]]="",vp.data[[#This Row],[Dens]]=""),1,0)</f>
        <v>0</v>
      </c>
      <c r="Y1087">
        <f>IF(vp.data[[#This Row],[CrudeType]]="C5+",1,0)</f>
        <v>0</v>
      </c>
      <c r="Z1087">
        <f>IF(AND(vp.data[[#This Row],[CrudeType]]="Crude",vp.data[[#This Row],[Dens]]&lt;=825,vp.data[[#This Row],[Sulf]]&gt;0.5,vp.data[[#This Row],[Unknown]]=0),1,0)</f>
        <v>0</v>
      </c>
      <c r="AA1087">
        <f>IF(AND(vp.data[[#This Row],[CrudeType]]="Crude",vp.data[[#This Row],[Dens]]&lt;=825,vp.data[[#This Row],[Sulf]]&lt;=0.5,vp.data[[#This Row],[Unknown]]=0),1,0)</f>
        <v>0</v>
      </c>
      <c r="AB10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7">
        <f>IF(AND(vp.data[[#This Row],[CrudeType]]="Crude",vp.data[[#This Row],[Dens]]&gt;825,vp.data[[#This Row],[Dens]]&lt;=900,vp.data[[#This Row],[Sulf]]&lt;=0.5,vp.data[[#This Row],[Unknown]]=0),1,0)</f>
        <v>0</v>
      </c>
      <c r="AD1087">
        <f>IF(AND(vp.data[[#This Row],[CrudeType]]="Crude",vp.data[[#This Row],[Dens]]&gt;865,vp.data[[#This Row],[Dens]]&lt;=900,vp.data[[#This Row],[Sulf]]&gt;2,vp.data[[#This Row],[Unknown]]=0),1,0)</f>
        <v>0</v>
      </c>
      <c r="AE1087">
        <f>IF(AND(vp.data[[#This Row],[CrudeType]]="Crude",vp.data[[#This Row],[Dens]]&gt;900,vp.data[[#This Row],[Sulf]]&lt;=0.5,vp.data[[#This Row],[Unknown]]=0),1,0)</f>
        <v>0</v>
      </c>
      <c r="AF1087">
        <f>IF(AND(vp.data[[#This Row],[CrudeType]]="Crude",vp.data[[#This Row],[Dens]]&gt;900,vp.data[[#This Row],[Sulf]]&lt;=0.5,vp.data[[#This Row],[Unknown]]=0),1,0)</f>
        <v>0</v>
      </c>
      <c r="AG1087" t="str">
        <f>INDEX(vp.data[[#Headers],[Unknown]:[Heavy_SW]],MATCH(1,vp.data[[#This Row],[Unknown]:[Heavy_SW]],0))</f>
        <v>Medium_LSB</v>
      </c>
      <c r="AH1087">
        <f>INDEX([3]!crudeBD.lkup[Number],MATCH(vp.data[[#This Row],[Crude_Breakdown]],crudeBD.lkup[Crude Breakdown],0))</f>
        <v>3</v>
      </c>
      <c r="AI1087">
        <f>MONTH(vp.data[[#This Row],[SDate]])</f>
        <v>3</v>
      </c>
      <c r="AJ1087" s="5">
        <f>(vp.data[[#This Row],[VP]]-INDEX(crudeBD.lkup[Mean_VP],MATCH(vp.data[[#This Row],[Crude_Breakdown]],crudeBD.lkup[Crude Breakdown],0)))^2</f>
        <v>150.31553110192647</v>
      </c>
      <c r="AK1087" s="5">
        <f>(vp.data[[#This Row],[Dens]]-INDEX(crudeBD.lkup[Mean_Dens],MATCH(vp.data[[#This Row],[Crude_Breakdown]],crudeBD.lkup[Crude Breakdown],0)))^2</f>
        <v>82.446400000009007</v>
      </c>
      <c r="AL1087" s="5">
        <f>(vp.data[[#This Row],[Sulf]]-INDEX(crudeBD.lkup[Mean_Sulf],MATCH(vp.data[[#This Row],[Crude_Breakdown]],crudeBD.lkup[Crude Breakdown],0)))^2</f>
        <v>0.12573539662129798</v>
      </c>
      <c r="AM1087" s="4">
        <f>IF(AND(vp.data[[#This Row],[SDate]]&gt;=DATE(YEAR(vp.data[[#This Row],[SDate]]),5,1),vp.data[[#This Row],[SDate]]&lt;=DATE(YEAR(vp.data[[#This Row],[SDate]]),9,15)),1,0)</f>
        <v>0</v>
      </c>
      <c r="AN1087" s="4">
        <f>IF(vp.data[[#This Row],[SDate]]&lt;DATE(2016,12,1),0,1)</f>
        <v>1</v>
      </c>
      <c r="AO1087" s="4">
        <f>IFERROR(vp.data[[#This Row],[Sulf]]*vp.data[[#This Row],[Net Dens]],"")</f>
        <v>976950.70950000011</v>
      </c>
      <c r="AP1087">
        <f>IFERROR(vp.data[[#This Row],[Dens]]*vp.data[[#This Row],[VolumeM3]],"")</f>
        <v>561465.92500000005</v>
      </c>
      <c r="AQ1087" s="15">
        <f>IFERROR(vp.data[[#This Row],[VP]]*vp.data[[#This Row],[VolumeM3]],"")</f>
        <v>61149.102500000008</v>
      </c>
    </row>
    <row r="1088" spans="1:43" x14ac:dyDescent="0.25">
      <c r="A1088">
        <v>1087</v>
      </c>
      <c r="B1088" t="s">
        <v>84</v>
      </c>
      <c r="C1088" t="s">
        <v>84</v>
      </c>
      <c r="D1088" t="s">
        <v>215</v>
      </c>
      <c r="F1088" s="1">
        <v>42818</v>
      </c>
      <c r="G1088" s="2">
        <v>74.599999999999994</v>
      </c>
      <c r="H1088" s="2"/>
      <c r="I1088" s="2">
        <f t="array" ref="I1088">_xlfn.IFNA(IF(vp.data[[#This Row],[Sulf Input]]="",INDEX([1]DATA!$Q$3:$Q$9826,MATCH(1,(vp.data[[#This Row],[Battery]]=[1]DATA!$L$3:$L$9826)*(EOMONTH(vp.data[[#This Row],[SDate]],-1)+1=[1]DATA!$G$3:$G$9826),0)),vp.data[[#This Row],[Sulf Input]]),"")</f>
        <v>1.46</v>
      </c>
      <c r="J1088" s="2">
        <v>33</v>
      </c>
      <c r="K1088" s="2">
        <v>4</v>
      </c>
      <c r="L1088" s="2">
        <v>853.7</v>
      </c>
      <c r="M1088" s="2">
        <f t="array" ref="M1088">_xlfn.IFNA(IF(vp.data[[#This Row],[Dens Input]]="",INDEX([1]DATA!$O$3:$O$9826,MATCH(1,(vp.data[[#This Row],[Battery]]=[1]DATA!$L$3:$L$9826)*(EOMONTH(vp.data[[#This Row],[SDate]],-1)+1=[1]DATA!$G$3:$G$9826),0)),vp.data[[#This Row],[Dens Input]]),"")</f>
        <v>853.7</v>
      </c>
      <c r="N1088" s="2">
        <f ca="1">INDEX(INDIRECT(_xlfn.CONCAT("weather.tbl[",N$1,"]")),MATCH(vp.data[[#This Row],[SDate]],weather.tbl[Date],0))</f>
        <v>-2.2833333333333337</v>
      </c>
      <c r="O1088" s="2">
        <f ca="1">INDEX(INDIRECT(_xlfn.CONCAT("weather.tbl[",O$1,"]")),MATCH(vp.data[[#This Row],[SDate]],weather.tbl[Date],0))</f>
        <v>-2.7095238095238097</v>
      </c>
      <c r="P1088" s="2">
        <f ca="1">INDEX(INDIRECT(_xlfn.CONCAT("weather.tbl[",P$1,"]")),MATCH(vp.data[[#This Row],[SDate]],weather.tbl[Date],0))</f>
        <v>-0.1</v>
      </c>
      <c r="Q1088" s="2">
        <f ca="1">INDEX(INDIRECT(_xlfn.CONCAT("weather.tbl[",Q$1,"]")),MATCH(vp.data[[#This Row],[SDate]],weather.tbl[Date],0))</f>
        <v>0.3</v>
      </c>
      <c r="R1088" s="2">
        <f ca="1">INDEX(INDIRECT(_xlfn.CONCAT("weather.tbl[",R$1,"]")),MATCH(vp.data[[#This Row],[SDate]],weather.tbl[Date],0))</f>
        <v>-11.8</v>
      </c>
      <c r="S1088" s="2">
        <f ca="1">INDEX(INDIRECT(_xlfn.CONCAT("weather.tbl[",S$1,"]")),MATCH(vp.data[[#This Row],[SDate]],weather.tbl[Date],0))</f>
        <v>1.1000000000000001</v>
      </c>
      <c r="T1088" s="2">
        <f ca="1">INDEX(INDIRECT(_xlfn.CONCAT("weather.tbl[",T$1,"]")),MATCH(vp.data[[#This Row],[SDate]],weather.tbl[Date],0))</f>
        <v>-2.7</v>
      </c>
      <c r="U1088" s="2">
        <f ca="1">INDEX(INDIRECT(_xlfn.CONCAT("weather.tbl[",U$1,"]")),MATCH(vp.data[[#This Row],[SDate]],weather.tbl[Date],0))</f>
        <v>-0.5</v>
      </c>
      <c r="V1088" s="2">
        <f t="array" ref="V10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2079.982</v>
      </c>
      <c r="W1088" t="s">
        <v>48</v>
      </c>
      <c r="X1088">
        <f>IF(OR(vp.data[[#This Row],[Sulf]]="",vp.data[[#This Row],[Dens]]=""),1,0)</f>
        <v>0</v>
      </c>
      <c r="Y1088">
        <f>IF(vp.data[[#This Row],[CrudeType]]="C5+",1,0)</f>
        <v>0</v>
      </c>
      <c r="Z1088">
        <f>IF(AND(vp.data[[#This Row],[CrudeType]]="Crude",vp.data[[#This Row],[Dens]]&lt;=825,vp.data[[#This Row],[Sulf]]&gt;0.5,vp.data[[#This Row],[Unknown]]=0),1,0)</f>
        <v>0</v>
      </c>
      <c r="AA1088">
        <f>IF(AND(vp.data[[#This Row],[CrudeType]]="Crude",vp.data[[#This Row],[Dens]]&lt;=825,vp.data[[#This Row],[Sulf]]&lt;=0.5,vp.data[[#This Row],[Unknown]]=0),1,0)</f>
        <v>0</v>
      </c>
      <c r="AB10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8">
        <f>IF(AND(vp.data[[#This Row],[CrudeType]]="Crude",vp.data[[#This Row],[Dens]]&gt;825,vp.data[[#This Row],[Dens]]&lt;=900,vp.data[[#This Row],[Sulf]]&lt;=0.5,vp.data[[#This Row],[Unknown]]=0),1,0)</f>
        <v>0</v>
      </c>
      <c r="AD1088">
        <f>IF(AND(vp.data[[#This Row],[CrudeType]]="Crude",vp.data[[#This Row],[Dens]]&gt;865,vp.data[[#This Row],[Dens]]&lt;=900,vp.data[[#This Row],[Sulf]]&gt;2,vp.data[[#This Row],[Unknown]]=0),1,0)</f>
        <v>0</v>
      </c>
      <c r="AE1088">
        <f>IF(AND(vp.data[[#This Row],[CrudeType]]="Crude",vp.data[[#This Row],[Dens]]&gt;900,vp.data[[#This Row],[Sulf]]&lt;=0.5,vp.data[[#This Row],[Unknown]]=0),1,0)</f>
        <v>0</v>
      </c>
      <c r="AF1088">
        <f>IF(AND(vp.data[[#This Row],[CrudeType]]="Crude",vp.data[[#This Row],[Dens]]&gt;900,vp.data[[#This Row],[Sulf]]&lt;=0.5,vp.data[[#This Row],[Unknown]]=0),1,0)</f>
        <v>0</v>
      </c>
      <c r="AG1088" t="str">
        <f>INDEX(vp.data[[#Headers],[Unknown]:[Heavy_SW]],MATCH(1,vp.data[[#This Row],[Unknown]:[Heavy_SW]],0))</f>
        <v>Medium_LSB</v>
      </c>
      <c r="AH1088">
        <f>INDEX([3]!crudeBD.lkup[Number],MATCH(vp.data[[#This Row],[Crude_Breakdown]],crudeBD.lkup[Crude Breakdown],0))</f>
        <v>3</v>
      </c>
      <c r="AI1088">
        <f>MONTH(vp.data[[#This Row],[SDate]])</f>
        <v>3</v>
      </c>
      <c r="AJ1088" s="5">
        <f>(vp.data[[#This Row],[VP]]-INDEX(crudeBD.lkup[Mean_VP],MATCH(vp.data[[#This Row],[Crude_Breakdown]],crudeBD.lkup[Crude Breakdown],0)))^2</f>
        <v>36.477692826991159</v>
      </c>
      <c r="AK1088" s="5">
        <f>(vp.data[[#This Row],[Dens]]-INDEX(crudeBD.lkup[Mean_Dens],MATCH(vp.data[[#This Row],[Crude_Breakdown]],crudeBD.lkup[Crude Breakdown],0)))^2</f>
        <v>95.648400000010582</v>
      </c>
      <c r="AL1088" s="5">
        <f>(vp.data[[#This Row],[Sulf]]-INDEX(crudeBD.lkup[Mean_Sulf],MATCH(vp.data[[#This Row],[Crude_Breakdown]],crudeBD.lkup[Crude Breakdown],0)))^2</f>
        <v>5.5639475646950621E-3</v>
      </c>
      <c r="AM1088" s="4">
        <f>IF(AND(vp.data[[#This Row],[SDate]]&gt;=DATE(YEAR(vp.data[[#This Row],[SDate]]),5,1),vp.data[[#This Row],[SDate]]&lt;=DATE(YEAR(vp.data[[#This Row],[SDate]]),9,15)),1,0)</f>
        <v>0</v>
      </c>
      <c r="AN1088" s="4">
        <f>IF(vp.data[[#This Row],[SDate]]&lt;DATE(2016,12,1),0,1)</f>
        <v>1</v>
      </c>
      <c r="AO1088" s="4">
        <f>IFERROR(vp.data[[#This Row],[Sulf]]*vp.data[[#This Row],[Net Dens]],"")</f>
        <v>2592493.7247640002</v>
      </c>
      <c r="AP1088">
        <f>IFERROR(vp.data[[#This Row],[Dens]]*vp.data[[#This Row],[VolumeM3]],"")</f>
        <v>1775680.6334000002</v>
      </c>
      <c r="AQ1088" s="15">
        <f>IFERROR(vp.data[[#This Row],[VP]]*vp.data[[#This Row],[VolumeM3]],"")</f>
        <v>155166.65719999999</v>
      </c>
    </row>
    <row r="1089" spans="1:43" x14ac:dyDescent="0.25">
      <c r="A1089">
        <v>1088</v>
      </c>
      <c r="B1089" t="s">
        <v>51</v>
      </c>
      <c r="C1089" t="s">
        <v>51</v>
      </c>
      <c r="D1089" t="s">
        <v>107</v>
      </c>
      <c r="F1089" s="1">
        <v>42818</v>
      </c>
      <c r="G1089" s="2">
        <v>90.2</v>
      </c>
      <c r="H1089" s="2"/>
      <c r="I1089" s="2">
        <f t="array" ref="I1089">_xlfn.IFNA(IF(vp.data[[#This Row],[Sulf Input]]="",INDEX([1]DATA!$Q$3:$Q$9826,MATCH(1,(vp.data[[#This Row],[Battery]]=[1]DATA!$L$3:$L$9826)*(EOMONTH(vp.data[[#This Row],[SDate]],-1)+1=[1]DATA!$G$3:$G$9826),0)),vp.data[[#This Row],[Sulf Input]]),"")</f>
        <v>0.72</v>
      </c>
      <c r="J1089" s="2">
        <v>21</v>
      </c>
      <c r="K1089" s="2">
        <v>4</v>
      </c>
      <c r="L1089" s="2">
        <v>854.2</v>
      </c>
      <c r="M1089" s="2">
        <f t="array" ref="M1089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089" s="2">
        <f ca="1">INDEX(INDIRECT(_xlfn.CONCAT("weather.tbl[",N$1,"]")),MATCH(vp.data[[#This Row],[SDate]],weather.tbl[Date],0))</f>
        <v>-2.2833333333333337</v>
      </c>
      <c r="O1089" s="2">
        <f ca="1">INDEX(INDIRECT(_xlfn.CONCAT("weather.tbl[",O$1,"]")),MATCH(vp.data[[#This Row],[SDate]],weather.tbl[Date],0))</f>
        <v>-2.7095238095238097</v>
      </c>
      <c r="P1089" s="2">
        <f ca="1">INDEX(INDIRECT(_xlfn.CONCAT("weather.tbl[",P$1,"]")),MATCH(vp.data[[#This Row],[SDate]],weather.tbl[Date],0))</f>
        <v>-0.1</v>
      </c>
      <c r="Q1089" s="2">
        <f ca="1">INDEX(INDIRECT(_xlfn.CONCAT("weather.tbl[",Q$1,"]")),MATCH(vp.data[[#This Row],[SDate]],weather.tbl[Date],0))</f>
        <v>0.3</v>
      </c>
      <c r="R1089" s="2">
        <f ca="1">INDEX(INDIRECT(_xlfn.CONCAT("weather.tbl[",R$1,"]")),MATCH(vp.data[[#This Row],[SDate]],weather.tbl[Date],0))</f>
        <v>-11.8</v>
      </c>
      <c r="S1089" s="2">
        <f ca="1">INDEX(INDIRECT(_xlfn.CONCAT("weather.tbl[",S$1,"]")),MATCH(vp.data[[#This Row],[SDate]],weather.tbl[Date],0))</f>
        <v>1.1000000000000001</v>
      </c>
      <c r="T1089" s="2">
        <f ca="1">INDEX(INDIRECT(_xlfn.CONCAT("weather.tbl[",T$1,"]")),MATCH(vp.data[[#This Row],[SDate]],weather.tbl[Date],0))</f>
        <v>-2.7</v>
      </c>
      <c r="U1089" s="2">
        <f ca="1">INDEX(INDIRECT(_xlfn.CONCAT("weather.tbl[",U$1,"]")),MATCH(vp.data[[#This Row],[SDate]],weather.tbl[Date],0))</f>
        <v>-0.5</v>
      </c>
      <c r="V1089" s="2">
        <f t="array" ref="V10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2810.9380000000001</v>
      </c>
      <c r="W1089" t="s">
        <v>48</v>
      </c>
      <c r="X1089">
        <f>IF(OR(vp.data[[#This Row],[Sulf]]="",vp.data[[#This Row],[Dens]]=""),1,0)</f>
        <v>0</v>
      </c>
      <c r="Y1089">
        <f>IF(vp.data[[#This Row],[CrudeType]]="C5+",1,0)</f>
        <v>0</v>
      </c>
      <c r="Z1089">
        <f>IF(AND(vp.data[[#This Row],[CrudeType]]="Crude",vp.data[[#This Row],[Dens]]&lt;=825,vp.data[[#This Row],[Sulf]]&gt;0.5,vp.data[[#This Row],[Unknown]]=0),1,0)</f>
        <v>0</v>
      </c>
      <c r="AA1089">
        <f>IF(AND(vp.data[[#This Row],[CrudeType]]="Crude",vp.data[[#This Row],[Dens]]&lt;=825,vp.data[[#This Row],[Sulf]]&lt;=0.5,vp.data[[#This Row],[Unknown]]=0),1,0)</f>
        <v>0</v>
      </c>
      <c r="AB10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89">
        <f>IF(AND(vp.data[[#This Row],[CrudeType]]="Crude",vp.data[[#This Row],[Dens]]&gt;825,vp.data[[#This Row],[Dens]]&lt;=900,vp.data[[#This Row],[Sulf]]&lt;=0.5,vp.data[[#This Row],[Unknown]]=0),1,0)</f>
        <v>0</v>
      </c>
      <c r="AD1089">
        <f>IF(AND(vp.data[[#This Row],[CrudeType]]="Crude",vp.data[[#This Row],[Dens]]&gt;865,vp.data[[#This Row],[Dens]]&lt;=900,vp.data[[#This Row],[Sulf]]&gt;2,vp.data[[#This Row],[Unknown]]=0),1,0)</f>
        <v>0</v>
      </c>
      <c r="AE1089">
        <f>IF(AND(vp.data[[#This Row],[CrudeType]]="Crude",vp.data[[#This Row],[Dens]]&gt;900,vp.data[[#This Row],[Sulf]]&lt;=0.5,vp.data[[#This Row],[Unknown]]=0),1,0)</f>
        <v>0</v>
      </c>
      <c r="AF1089">
        <f>IF(AND(vp.data[[#This Row],[CrudeType]]="Crude",vp.data[[#This Row],[Dens]]&gt;900,vp.data[[#This Row],[Sulf]]&lt;=0.5,vp.data[[#This Row],[Unknown]]=0),1,0)</f>
        <v>0</v>
      </c>
      <c r="AG1089" t="str">
        <f>INDEX(vp.data[[#Headers],[Unknown]:[Heavy_SW]],MATCH(1,vp.data[[#This Row],[Unknown]:[Heavy_SW]],0))</f>
        <v>Medium_LSB</v>
      </c>
      <c r="AH1089">
        <f>INDEX([3]!crudeBD.lkup[Number],MATCH(vp.data[[#This Row],[Crude_Breakdown]],crudeBD.lkup[Crude Breakdown],0))</f>
        <v>3</v>
      </c>
      <c r="AI1089">
        <f>MONTH(vp.data[[#This Row],[SDate]])</f>
        <v>3</v>
      </c>
      <c r="AJ1089" s="5">
        <f>(vp.data[[#This Row],[VP]]-INDEX(crudeBD.lkup[Mean_VP],MATCH(vp.data[[#This Row],[Crude_Breakdown]],crudeBD.lkup[Crude Breakdown],0)))^2</f>
        <v>91.399784471198231</v>
      </c>
      <c r="AK1089" s="5">
        <f>(vp.data[[#This Row],[Dens]]-INDEX(crudeBD.lkup[Mean_Dens],MATCH(vp.data[[#This Row],[Crude_Breakdown]],crudeBD.lkup[Crude Breakdown],0)))^2</f>
        <v>105.67840000001112</v>
      </c>
      <c r="AL1089" s="5">
        <f>(vp.data[[#This Row],[Sulf]]-INDEX(crudeBD.lkup[Mean_Sulf],MATCH(vp.data[[#This Row],[Crude_Breakdown]],crudeBD.lkup[Crude Breakdown],0)))^2</f>
        <v>0.44276797505795884</v>
      </c>
      <c r="AM1089" s="4">
        <f>IF(AND(vp.data[[#This Row],[SDate]]&gt;=DATE(YEAR(vp.data[[#This Row],[SDate]]),5,1),vp.data[[#This Row],[SDate]]&lt;=DATE(YEAR(vp.data[[#This Row],[SDate]]),9,15)),1,0)</f>
        <v>0</v>
      </c>
      <c r="AN1089" s="4">
        <f>IF(vp.data[[#This Row],[SDate]]&lt;DATE(2016,12,1),0,1)</f>
        <v>1</v>
      </c>
      <c r="AO1089" s="4">
        <f>IFERROR(vp.data[[#This Row],[Sulf]]*vp.data[[#This Row],[Net Dens]],"")</f>
        <v>1728794.3325120003</v>
      </c>
      <c r="AP1089">
        <f>IFERROR(vp.data[[#This Row],[Dens]]*vp.data[[#This Row],[VolumeM3]],"")</f>
        <v>2401103.2396000004</v>
      </c>
      <c r="AQ1089" s="15">
        <f>IFERROR(vp.data[[#This Row],[VP]]*vp.data[[#This Row],[VolumeM3]],"")</f>
        <v>253546.60760000002</v>
      </c>
    </row>
    <row r="1090" spans="1:43" x14ac:dyDescent="0.25">
      <c r="A1090">
        <v>1089</v>
      </c>
      <c r="B1090" t="s">
        <v>56</v>
      </c>
      <c r="C1090" t="s">
        <v>56</v>
      </c>
      <c r="D1090" t="s">
        <v>216</v>
      </c>
      <c r="F1090" s="1">
        <v>42818</v>
      </c>
      <c r="G1090" s="2">
        <v>74.3</v>
      </c>
      <c r="H1090" s="2"/>
      <c r="I1090" s="2">
        <f t="array" ref="I1090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1090" s="2">
        <v>17</v>
      </c>
      <c r="K1090" s="2">
        <v>4</v>
      </c>
      <c r="L1090" s="2">
        <v>854.8</v>
      </c>
      <c r="M1090" s="2">
        <f t="array" ref="M1090">_xlfn.IFNA(IF(vp.data[[#This Row],[Dens Input]]="",INDEX([1]DATA!$O$3:$O$9826,MATCH(1,(vp.data[[#This Row],[Battery]]=[1]DATA!$L$3:$L$9826)*(EOMONTH(vp.data[[#This Row],[SDate]],-1)+1=[1]DATA!$G$3:$G$9826),0)),vp.data[[#This Row],[Dens Input]]),"")</f>
        <v>854.8</v>
      </c>
      <c r="N1090" s="2">
        <f ca="1">INDEX(INDIRECT(_xlfn.CONCAT("weather.tbl[",N$1,"]")),MATCH(vp.data[[#This Row],[SDate]],weather.tbl[Date],0))</f>
        <v>-2.2833333333333337</v>
      </c>
      <c r="O1090" s="2">
        <f ca="1">INDEX(INDIRECT(_xlfn.CONCAT("weather.tbl[",O$1,"]")),MATCH(vp.data[[#This Row],[SDate]],weather.tbl[Date],0))</f>
        <v>-2.7095238095238097</v>
      </c>
      <c r="P1090" s="2">
        <f ca="1">INDEX(INDIRECT(_xlfn.CONCAT("weather.tbl[",P$1,"]")),MATCH(vp.data[[#This Row],[SDate]],weather.tbl[Date],0))</f>
        <v>-0.1</v>
      </c>
      <c r="Q1090" s="2">
        <f ca="1">INDEX(INDIRECT(_xlfn.CONCAT("weather.tbl[",Q$1,"]")),MATCH(vp.data[[#This Row],[SDate]],weather.tbl[Date],0))</f>
        <v>0.3</v>
      </c>
      <c r="R1090" s="2">
        <f ca="1">INDEX(INDIRECT(_xlfn.CONCAT("weather.tbl[",R$1,"]")),MATCH(vp.data[[#This Row],[SDate]],weather.tbl[Date],0))</f>
        <v>-11.8</v>
      </c>
      <c r="S1090" s="2">
        <f ca="1">INDEX(INDIRECT(_xlfn.CONCAT("weather.tbl[",S$1,"]")),MATCH(vp.data[[#This Row],[SDate]],weather.tbl[Date],0))</f>
        <v>1.1000000000000001</v>
      </c>
      <c r="T1090" s="2">
        <f ca="1">INDEX(INDIRECT(_xlfn.CONCAT("weather.tbl[",T$1,"]")),MATCH(vp.data[[#This Row],[SDate]],weather.tbl[Date],0))</f>
        <v>-2.7</v>
      </c>
      <c r="U1090" s="2">
        <f ca="1">INDEX(INDIRECT(_xlfn.CONCAT("weather.tbl[",U$1,"]")),MATCH(vp.data[[#This Row],[SDate]],weather.tbl[Date],0))</f>
        <v>-0.5</v>
      </c>
      <c r="V1090" s="2">
        <f t="array" ref="V10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461.166</v>
      </c>
      <c r="W1090" t="s">
        <v>48</v>
      </c>
      <c r="X1090">
        <f>IF(OR(vp.data[[#This Row],[Sulf]]="",vp.data[[#This Row],[Dens]]=""),1,0)</f>
        <v>0</v>
      </c>
      <c r="Y1090">
        <f>IF(vp.data[[#This Row],[CrudeType]]="C5+",1,0)</f>
        <v>0</v>
      </c>
      <c r="Z1090">
        <f>IF(AND(vp.data[[#This Row],[CrudeType]]="Crude",vp.data[[#This Row],[Dens]]&lt;=825,vp.data[[#This Row],[Sulf]]&gt;0.5,vp.data[[#This Row],[Unknown]]=0),1,0)</f>
        <v>0</v>
      </c>
      <c r="AA1090">
        <f>IF(AND(vp.data[[#This Row],[CrudeType]]="Crude",vp.data[[#This Row],[Dens]]&lt;=825,vp.data[[#This Row],[Sulf]]&lt;=0.5,vp.data[[#This Row],[Unknown]]=0),1,0)</f>
        <v>0</v>
      </c>
      <c r="AB10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0">
        <f>IF(AND(vp.data[[#This Row],[CrudeType]]="Crude",vp.data[[#This Row],[Dens]]&gt;825,vp.data[[#This Row],[Dens]]&lt;=900,vp.data[[#This Row],[Sulf]]&lt;=0.5,vp.data[[#This Row],[Unknown]]=0),1,0)</f>
        <v>0</v>
      </c>
      <c r="AD1090">
        <f>IF(AND(vp.data[[#This Row],[CrudeType]]="Crude",vp.data[[#This Row],[Dens]]&gt;865,vp.data[[#This Row],[Dens]]&lt;=900,vp.data[[#This Row],[Sulf]]&gt;2,vp.data[[#This Row],[Unknown]]=0),1,0)</f>
        <v>0</v>
      </c>
      <c r="AE1090">
        <f>IF(AND(vp.data[[#This Row],[CrudeType]]="Crude",vp.data[[#This Row],[Dens]]&gt;900,vp.data[[#This Row],[Sulf]]&lt;=0.5,vp.data[[#This Row],[Unknown]]=0),1,0)</f>
        <v>0</v>
      </c>
      <c r="AF1090">
        <f>IF(AND(vp.data[[#This Row],[CrudeType]]="Crude",vp.data[[#This Row],[Dens]]&gt;900,vp.data[[#This Row],[Sulf]]&lt;=0.5,vp.data[[#This Row],[Unknown]]=0),1,0)</f>
        <v>0</v>
      </c>
      <c r="AG1090" t="str">
        <f>INDEX(vp.data[[#Headers],[Unknown]:[Heavy_SW]],MATCH(1,vp.data[[#This Row],[Unknown]:[Heavy_SW]],0))</f>
        <v>Medium_LSB</v>
      </c>
      <c r="AH1090">
        <f>INDEX([3]!crudeBD.lkup[Number],MATCH(vp.data[[#This Row],[Crude_Breakdown]],crudeBD.lkup[Crude Breakdown],0))</f>
        <v>3</v>
      </c>
      <c r="AI1090">
        <f>MONTH(vp.data[[#This Row],[SDate]])</f>
        <v>3</v>
      </c>
      <c r="AJ1090" s="5">
        <f>(vp.data[[#This Row],[VP]]-INDEX(crudeBD.lkup[Mean_VP],MATCH(vp.data[[#This Row],[Crude_Breakdown]],crudeBD.lkup[Crude Breakdown],0)))^2</f>
        <v>40.191498756910221</v>
      </c>
      <c r="AK1090" s="5">
        <f>(vp.data[[#This Row],[Dens]]-INDEX(crudeBD.lkup[Mean_Dens],MATCH(vp.data[[#This Row],[Crude_Breakdown]],crudeBD.lkup[Crude Breakdown],0)))^2</f>
        <v>118.3744000000098</v>
      </c>
      <c r="AL1090" s="5">
        <f>(vp.data[[#This Row],[Sulf]]-INDEX(crudeBD.lkup[Mean_Sulf],MATCH(vp.data[[#This Row],[Crude_Breakdown]],crudeBD.lkup[Crude Breakdown],0)))^2</f>
        <v>9.8968046756068975E-2</v>
      </c>
      <c r="AM1090" s="4">
        <f>IF(AND(vp.data[[#This Row],[SDate]]&gt;=DATE(YEAR(vp.data[[#This Row],[SDate]]),5,1),vp.data[[#This Row],[SDate]]&lt;=DATE(YEAR(vp.data[[#This Row],[SDate]]),9,15)),1,0)</f>
        <v>0</v>
      </c>
      <c r="AN1090" s="4">
        <f>IF(vp.data[[#This Row],[SDate]]&lt;DATE(2016,12,1),0,1)</f>
        <v>1</v>
      </c>
      <c r="AO1090" s="4">
        <f>IFERROR(vp.data[[#This Row],[Sulf]]*vp.data[[#This Row],[Net Dens]],"")</f>
        <v>670147.9845599999</v>
      </c>
      <c r="AP1090">
        <f>IFERROR(vp.data[[#This Row],[Dens]]*vp.data[[#This Row],[VolumeM3]],"")</f>
        <v>394204.69679999998</v>
      </c>
      <c r="AQ1090" s="15">
        <f>IFERROR(vp.data[[#This Row],[VP]]*vp.data[[#This Row],[VolumeM3]],"")</f>
        <v>34264.633799999996</v>
      </c>
    </row>
    <row r="1091" spans="1:43" x14ac:dyDescent="0.25">
      <c r="A1091">
        <v>1090</v>
      </c>
      <c r="B1091" t="s">
        <v>84</v>
      </c>
      <c r="C1091" t="s">
        <v>84</v>
      </c>
      <c r="D1091" t="s">
        <v>217</v>
      </c>
      <c r="F1091" s="1">
        <v>42818</v>
      </c>
      <c r="G1091" s="2">
        <v>91.7</v>
      </c>
      <c r="H1091" s="2"/>
      <c r="I1091" s="2">
        <f t="array" ref="I1091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1091" s="2">
        <v>11</v>
      </c>
      <c r="K1091" s="2">
        <v>4</v>
      </c>
      <c r="L1091" s="2">
        <v>856.4</v>
      </c>
      <c r="M1091" s="2">
        <f t="array" ref="M1091">_xlfn.IFNA(IF(vp.data[[#This Row],[Dens Input]]="",INDEX([1]DATA!$O$3:$O$9826,MATCH(1,(vp.data[[#This Row],[Battery]]=[1]DATA!$L$3:$L$9826)*(EOMONTH(vp.data[[#This Row],[SDate]],-1)+1=[1]DATA!$G$3:$G$9826),0)),vp.data[[#This Row],[Dens Input]]),"")</f>
        <v>856.4</v>
      </c>
      <c r="N1091" s="2">
        <f ca="1">INDEX(INDIRECT(_xlfn.CONCAT("weather.tbl[",N$1,"]")),MATCH(vp.data[[#This Row],[SDate]],weather.tbl[Date],0))</f>
        <v>-2.2833333333333337</v>
      </c>
      <c r="O1091" s="2">
        <f ca="1">INDEX(INDIRECT(_xlfn.CONCAT("weather.tbl[",O$1,"]")),MATCH(vp.data[[#This Row],[SDate]],weather.tbl[Date],0))</f>
        <v>-2.7095238095238097</v>
      </c>
      <c r="P1091" s="2">
        <f ca="1">INDEX(INDIRECT(_xlfn.CONCAT("weather.tbl[",P$1,"]")),MATCH(vp.data[[#This Row],[SDate]],weather.tbl[Date],0))</f>
        <v>-0.1</v>
      </c>
      <c r="Q1091" s="2">
        <f ca="1">INDEX(INDIRECT(_xlfn.CONCAT("weather.tbl[",Q$1,"]")),MATCH(vp.data[[#This Row],[SDate]],weather.tbl[Date],0))</f>
        <v>0.3</v>
      </c>
      <c r="R1091" s="2">
        <f ca="1">INDEX(INDIRECT(_xlfn.CONCAT("weather.tbl[",R$1,"]")),MATCH(vp.data[[#This Row],[SDate]],weather.tbl[Date],0))</f>
        <v>-11.8</v>
      </c>
      <c r="S1091" s="2">
        <f ca="1">INDEX(INDIRECT(_xlfn.CONCAT("weather.tbl[",S$1,"]")),MATCH(vp.data[[#This Row],[SDate]],weather.tbl[Date],0))</f>
        <v>1.1000000000000001</v>
      </c>
      <c r="T1091" s="2">
        <f ca="1">INDEX(INDIRECT(_xlfn.CONCAT("weather.tbl[",T$1,"]")),MATCH(vp.data[[#This Row],[SDate]],weather.tbl[Date],0))</f>
        <v>-2.7</v>
      </c>
      <c r="U1091" s="2">
        <f ca="1">INDEX(INDIRECT(_xlfn.CONCAT("weather.tbl[",U$1,"]")),MATCH(vp.data[[#This Row],[SDate]],weather.tbl[Date],0))</f>
        <v>-0.5</v>
      </c>
      <c r="V1091" s="2">
        <f t="array" ref="V10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1197.4169999999999</v>
      </c>
      <c r="W1091" t="s">
        <v>48</v>
      </c>
      <c r="X1091">
        <f>IF(OR(vp.data[[#This Row],[Sulf]]="",vp.data[[#This Row],[Dens]]=""),1,0)</f>
        <v>0</v>
      </c>
      <c r="Y1091">
        <f>IF(vp.data[[#This Row],[CrudeType]]="C5+",1,0)</f>
        <v>0</v>
      </c>
      <c r="Z1091">
        <f>IF(AND(vp.data[[#This Row],[CrudeType]]="Crude",vp.data[[#This Row],[Dens]]&lt;=825,vp.data[[#This Row],[Sulf]]&gt;0.5,vp.data[[#This Row],[Unknown]]=0),1,0)</f>
        <v>0</v>
      </c>
      <c r="AA1091">
        <f>IF(AND(vp.data[[#This Row],[CrudeType]]="Crude",vp.data[[#This Row],[Dens]]&lt;=825,vp.data[[#This Row],[Sulf]]&lt;=0.5,vp.data[[#This Row],[Unknown]]=0),1,0)</f>
        <v>0</v>
      </c>
      <c r="AB10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1">
        <f>IF(AND(vp.data[[#This Row],[CrudeType]]="Crude",vp.data[[#This Row],[Dens]]&gt;825,vp.data[[#This Row],[Dens]]&lt;=900,vp.data[[#This Row],[Sulf]]&lt;=0.5,vp.data[[#This Row],[Unknown]]=0),1,0)</f>
        <v>0</v>
      </c>
      <c r="AD1091">
        <f>IF(AND(vp.data[[#This Row],[CrudeType]]="Crude",vp.data[[#This Row],[Dens]]&gt;865,vp.data[[#This Row],[Dens]]&lt;=900,vp.data[[#This Row],[Sulf]]&gt;2,vp.data[[#This Row],[Unknown]]=0),1,0)</f>
        <v>0</v>
      </c>
      <c r="AE1091">
        <f>IF(AND(vp.data[[#This Row],[CrudeType]]="Crude",vp.data[[#This Row],[Dens]]&gt;900,vp.data[[#This Row],[Sulf]]&lt;=0.5,vp.data[[#This Row],[Unknown]]=0),1,0)</f>
        <v>0</v>
      </c>
      <c r="AF1091">
        <f>IF(AND(vp.data[[#This Row],[CrudeType]]="Crude",vp.data[[#This Row],[Dens]]&gt;900,vp.data[[#This Row],[Sulf]]&lt;=0.5,vp.data[[#This Row],[Unknown]]=0),1,0)</f>
        <v>0</v>
      </c>
      <c r="AG1091" t="str">
        <f>INDEX(vp.data[[#Headers],[Unknown]:[Heavy_SW]],MATCH(1,vp.data[[#This Row],[Unknown]:[Heavy_SW]],0))</f>
        <v>Medium_LSB</v>
      </c>
      <c r="AH1091">
        <f>INDEX([3]!crudeBD.lkup[Number],MATCH(vp.data[[#This Row],[Crude_Breakdown]],crudeBD.lkup[Crude Breakdown],0))</f>
        <v>3</v>
      </c>
      <c r="AI1091">
        <f>MONTH(vp.data[[#This Row],[SDate]])</f>
        <v>3</v>
      </c>
      <c r="AJ1091" s="5">
        <f>(vp.data[[#This Row],[VP]]-INDEX(crudeBD.lkup[Mean_VP],MATCH(vp.data[[#This Row],[Crude_Breakdown]],crudeBD.lkup[Crude Breakdown],0)))^2</f>
        <v>122.33075482160277</v>
      </c>
      <c r="AK1091" s="5">
        <f>(vp.data[[#This Row],[Dens]]-INDEX(crudeBD.lkup[Mean_Dens],MATCH(vp.data[[#This Row],[Crude_Breakdown]],crudeBD.lkup[Crude Breakdown],0)))^2</f>
        <v>155.75040000001181</v>
      </c>
      <c r="AL1091" s="5">
        <f>(vp.data[[#This Row],[Sulf]]-INDEX(crudeBD.lkup[Mean_Sulf],MATCH(vp.data[[#This Row],[Crude_Breakdown]],crudeBD.lkup[Crude Breakdown],0)))^2</f>
        <v>0.11874355915499073</v>
      </c>
      <c r="AM1091" s="4">
        <f>IF(AND(vp.data[[#This Row],[SDate]]&gt;=DATE(YEAR(vp.data[[#This Row],[SDate]]),5,1),vp.data[[#This Row],[SDate]]&lt;=DATE(YEAR(vp.data[[#This Row],[SDate]]),9,15)),1,0)</f>
        <v>0</v>
      </c>
      <c r="AN1091" s="4">
        <f>IF(vp.data[[#This Row],[SDate]]&lt;DATE(2016,12,1),0,1)</f>
        <v>1</v>
      </c>
      <c r="AO1091" s="4">
        <f>IFERROR(vp.data[[#This Row],[Sulf]]*vp.data[[#This Row],[Net Dens]],"")</f>
        <v>1774059.4995239999</v>
      </c>
      <c r="AP1091">
        <f>IFERROR(vp.data[[#This Row],[Dens]]*vp.data[[#This Row],[VolumeM3]],"")</f>
        <v>1025467.9187999999</v>
      </c>
      <c r="AQ1091" s="15">
        <f>IFERROR(vp.data[[#This Row],[VP]]*vp.data[[#This Row],[VolumeM3]],"")</f>
        <v>109803.13889999999</v>
      </c>
    </row>
    <row r="1092" spans="1:43" x14ac:dyDescent="0.25">
      <c r="A1092">
        <v>1091</v>
      </c>
      <c r="B1092" t="s">
        <v>51</v>
      </c>
      <c r="C1092" t="s">
        <v>51</v>
      </c>
      <c r="D1092" t="s">
        <v>218</v>
      </c>
      <c r="F1092" s="1">
        <v>42818</v>
      </c>
      <c r="G1092" s="2">
        <v>56</v>
      </c>
      <c r="H1092" s="2"/>
      <c r="I1092" s="2">
        <f t="array" ref="I1092">_xlfn.IFNA(IF(vp.data[[#This Row],[Sulf Input]]="",INDEX([1]DATA!$Q$3:$Q$9826,MATCH(1,(vp.data[[#This Row],[Battery]]=[1]DATA!$L$3:$L$9826)*(EOMONTH(vp.data[[#This Row],[SDate]],-1)+1=[1]DATA!$G$3:$G$9826),0)),vp.data[[#This Row],[Sulf Input]]),"")</f>
        <v>1.85</v>
      </c>
      <c r="J1092" s="2">
        <v>17</v>
      </c>
      <c r="K1092" s="2">
        <v>4</v>
      </c>
      <c r="L1092" s="2">
        <v>862.3</v>
      </c>
      <c r="M1092" s="2">
        <f t="array" ref="M1092">_xlfn.IFNA(IF(vp.data[[#This Row],[Dens Input]]="",INDEX([1]DATA!$O$3:$O$9826,MATCH(1,(vp.data[[#This Row],[Battery]]=[1]DATA!$L$3:$L$9826)*(EOMONTH(vp.data[[#This Row],[SDate]],-1)+1=[1]DATA!$G$3:$G$9826),0)),vp.data[[#This Row],[Dens Input]]),"")</f>
        <v>862.3</v>
      </c>
      <c r="N1092" s="2">
        <f ca="1">INDEX(INDIRECT(_xlfn.CONCAT("weather.tbl[",N$1,"]")),MATCH(vp.data[[#This Row],[SDate]],weather.tbl[Date],0))</f>
        <v>-2.2833333333333337</v>
      </c>
      <c r="O1092" s="2">
        <f ca="1">INDEX(INDIRECT(_xlfn.CONCAT("weather.tbl[",O$1,"]")),MATCH(vp.data[[#This Row],[SDate]],weather.tbl[Date],0))</f>
        <v>-2.7095238095238097</v>
      </c>
      <c r="P1092" s="2">
        <f ca="1">INDEX(INDIRECT(_xlfn.CONCAT("weather.tbl[",P$1,"]")),MATCH(vp.data[[#This Row],[SDate]],weather.tbl[Date],0))</f>
        <v>-0.1</v>
      </c>
      <c r="Q1092" s="2">
        <f ca="1">INDEX(INDIRECT(_xlfn.CONCAT("weather.tbl[",Q$1,"]")),MATCH(vp.data[[#This Row],[SDate]],weather.tbl[Date],0))</f>
        <v>0.3</v>
      </c>
      <c r="R1092" s="2">
        <f ca="1">INDEX(INDIRECT(_xlfn.CONCAT("weather.tbl[",R$1,"]")),MATCH(vp.data[[#This Row],[SDate]],weather.tbl[Date],0))</f>
        <v>-11.8</v>
      </c>
      <c r="S1092" s="2">
        <f ca="1">INDEX(INDIRECT(_xlfn.CONCAT("weather.tbl[",S$1,"]")),MATCH(vp.data[[#This Row],[SDate]],weather.tbl[Date],0))</f>
        <v>1.1000000000000001</v>
      </c>
      <c r="T1092" s="2">
        <f ca="1">INDEX(INDIRECT(_xlfn.CONCAT("weather.tbl[",T$1,"]")),MATCH(vp.data[[#This Row],[SDate]],weather.tbl[Date],0))</f>
        <v>-2.7</v>
      </c>
      <c r="U1092" s="2">
        <f ca="1">INDEX(INDIRECT(_xlfn.CONCAT("weather.tbl[",U$1,"]")),MATCH(vp.data[[#This Row],[SDate]],weather.tbl[Date],0))</f>
        <v>-0.5</v>
      </c>
      <c r="V1092" s="2">
        <f t="array" ref="V10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148.28100000000001</v>
      </c>
      <c r="W1092" t="s">
        <v>48</v>
      </c>
      <c r="X1092">
        <f>IF(OR(vp.data[[#This Row],[Sulf]]="",vp.data[[#This Row],[Dens]]=""),1,0)</f>
        <v>0</v>
      </c>
      <c r="Y1092">
        <f>IF(vp.data[[#This Row],[CrudeType]]="C5+",1,0)</f>
        <v>0</v>
      </c>
      <c r="Z1092">
        <f>IF(AND(vp.data[[#This Row],[CrudeType]]="Crude",vp.data[[#This Row],[Dens]]&lt;=825,vp.data[[#This Row],[Sulf]]&gt;0.5,vp.data[[#This Row],[Unknown]]=0),1,0)</f>
        <v>0</v>
      </c>
      <c r="AA1092">
        <f>IF(AND(vp.data[[#This Row],[CrudeType]]="Crude",vp.data[[#This Row],[Dens]]&lt;=825,vp.data[[#This Row],[Sulf]]&lt;=0.5,vp.data[[#This Row],[Unknown]]=0),1,0)</f>
        <v>0</v>
      </c>
      <c r="AB10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2">
        <f>IF(AND(vp.data[[#This Row],[CrudeType]]="Crude",vp.data[[#This Row],[Dens]]&gt;825,vp.data[[#This Row],[Dens]]&lt;=900,vp.data[[#This Row],[Sulf]]&lt;=0.5,vp.data[[#This Row],[Unknown]]=0),1,0)</f>
        <v>0</v>
      </c>
      <c r="AD1092">
        <f>IF(AND(vp.data[[#This Row],[CrudeType]]="Crude",vp.data[[#This Row],[Dens]]&gt;865,vp.data[[#This Row],[Dens]]&lt;=900,vp.data[[#This Row],[Sulf]]&gt;2,vp.data[[#This Row],[Unknown]]=0),1,0)</f>
        <v>0</v>
      </c>
      <c r="AE1092">
        <f>IF(AND(vp.data[[#This Row],[CrudeType]]="Crude",vp.data[[#This Row],[Dens]]&gt;900,vp.data[[#This Row],[Sulf]]&lt;=0.5,vp.data[[#This Row],[Unknown]]=0),1,0)</f>
        <v>0</v>
      </c>
      <c r="AF1092">
        <f>IF(AND(vp.data[[#This Row],[CrudeType]]="Crude",vp.data[[#This Row],[Dens]]&gt;900,vp.data[[#This Row],[Sulf]]&lt;=0.5,vp.data[[#This Row],[Unknown]]=0),1,0)</f>
        <v>0</v>
      </c>
      <c r="AG1092" t="str">
        <f>INDEX(vp.data[[#Headers],[Unknown]:[Heavy_SW]],MATCH(1,vp.data[[#This Row],[Unknown]:[Heavy_SW]],0))</f>
        <v>Medium_LSB</v>
      </c>
      <c r="AH1092">
        <f>INDEX([3]!crudeBD.lkup[Number],MATCH(vp.data[[#This Row],[Crude_Breakdown]],crudeBD.lkup[Crude Breakdown],0))</f>
        <v>3</v>
      </c>
      <c r="AI1092">
        <f>MONTH(vp.data[[#This Row],[SDate]])</f>
        <v>3</v>
      </c>
      <c r="AJ1092" s="5">
        <f>(vp.data[[#This Row],[VP]]-INDEX(crudeBD.lkup[Mean_VP],MATCH(vp.data[[#This Row],[Crude_Breakdown]],crudeBD.lkup[Crude Breakdown],0)))^2</f>
        <v>607.11366048197499</v>
      </c>
      <c r="AK1092" s="5">
        <f>(vp.data[[#This Row],[Dens]]-INDEX(crudeBD.lkup[Mean_Dens],MATCH(vp.data[[#This Row],[Crude_Breakdown]],crudeBD.lkup[Crude Breakdown],0)))^2</f>
        <v>337.82440000001657</v>
      </c>
      <c r="AL1092" s="5">
        <f>(vp.data[[#This Row],[Sulf]]-INDEX(crudeBD.lkup[Mean_Sulf],MATCH(vp.data[[#This Row],[Crude_Breakdown]],crudeBD.lkup[Crude Breakdown],0)))^2</f>
        <v>0.21584560875067779</v>
      </c>
      <c r="AM1092" s="4">
        <f>IF(AND(vp.data[[#This Row],[SDate]]&gt;=DATE(YEAR(vp.data[[#This Row],[SDate]]),5,1),vp.data[[#This Row],[SDate]]&lt;=DATE(YEAR(vp.data[[#This Row],[SDate]]),9,15)),1,0)</f>
        <v>0</v>
      </c>
      <c r="AN1092" s="4">
        <f>IF(vp.data[[#This Row],[SDate]]&lt;DATE(2016,12,1),0,1)</f>
        <v>1</v>
      </c>
      <c r="AO1092" s="4">
        <f>IFERROR(vp.data[[#This Row],[Sulf]]*vp.data[[#This Row],[Net Dens]],"")</f>
        <v>236546.00665500003</v>
      </c>
      <c r="AP1092">
        <f>IFERROR(vp.data[[#This Row],[Dens]]*vp.data[[#This Row],[VolumeM3]],"")</f>
        <v>127862.70630000001</v>
      </c>
      <c r="AQ1092" s="15">
        <f>IFERROR(vp.data[[#This Row],[VP]]*vp.data[[#This Row],[VolumeM3]],"")</f>
        <v>8303.7360000000008</v>
      </c>
    </row>
    <row r="1093" spans="1:43" x14ac:dyDescent="0.25">
      <c r="A1093">
        <v>1092</v>
      </c>
      <c r="B1093" t="s">
        <v>49</v>
      </c>
      <c r="C1093" t="s">
        <v>49</v>
      </c>
      <c r="D1093" t="s">
        <v>219</v>
      </c>
      <c r="F1093" s="1">
        <v>42820</v>
      </c>
      <c r="G1093" s="2">
        <v>78.5</v>
      </c>
      <c r="H1093" s="2">
        <v>0.19800000000000001</v>
      </c>
      <c r="I1093" s="2">
        <f t="array" ref="I1093">_xlfn.IFNA(IF(vp.data[[#This Row],[Sulf Input]]="",INDEX([1]DATA!$Q$3:$Q$9826,MATCH(1,(vp.data[[#This Row],[Battery]]=[1]DATA!$L$3:$L$9826)*(EOMONTH(vp.data[[#This Row],[SDate]],-1)+1=[1]DATA!$G$3:$G$9826),0)),vp.data[[#This Row],[Sulf Input]]),"")</f>
        <v>0.19800000000000001</v>
      </c>
      <c r="J1093" s="2">
        <v>4.5</v>
      </c>
      <c r="K1093" s="2">
        <v>9</v>
      </c>
      <c r="L1093" s="2">
        <v>813.3</v>
      </c>
      <c r="M1093" s="2">
        <f t="array" ref="M1093">_xlfn.IFNA(IF(vp.data[[#This Row],[Dens Input]]="",INDEX([1]DATA!$O$3:$O$9826,MATCH(1,(vp.data[[#This Row],[Battery]]=[1]DATA!$L$3:$L$9826)*(EOMONTH(vp.data[[#This Row],[SDate]],-1)+1=[1]DATA!$G$3:$G$9826),0)),vp.data[[#This Row],[Dens Input]]),"")</f>
        <v>813.3</v>
      </c>
      <c r="N1093" s="2">
        <f ca="1">INDEX(INDIRECT(_xlfn.CONCAT("weather.tbl[",N$1,"]")),MATCH(vp.data[[#This Row],[SDate]],weather.tbl[Date],0))</f>
        <v>5.166666666666667</v>
      </c>
      <c r="O1093" s="2">
        <f ca="1">INDEX(INDIRECT(_xlfn.CONCAT("weather.tbl[",O$1,"]")),MATCH(vp.data[[#This Row],[SDate]],weather.tbl[Date],0))</f>
        <v>-1.485714285714286</v>
      </c>
      <c r="P1093" s="2">
        <f ca="1">INDEX(INDIRECT(_xlfn.CONCAT("weather.tbl[",P$1,"]")),MATCH(vp.data[[#This Row],[SDate]],weather.tbl[Date],0))</f>
        <v>7.2</v>
      </c>
      <c r="Q1093" s="2">
        <f ca="1">INDEX(INDIRECT(_xlfn.CONCAT("weather.tbl[",Q$1,"]")),MATCH(vp.data[[#This Row],[SDate]],weather.tbl[Date],0))</f>
        <v>5.8</v>
      </c>
      <c r="R1093" s="2">
        <f ca="1">INDEX(INDIRECT(_xlfn.CONCAT("weather.tbl[",R$1,"]")),MATCH(vp.data[[#This Row],[SDate]],weather.tbl[Date],0))</f>
        <v>3.3</v>
      </c>
      <c r="S1093" s="2">
        <f ca="1">INDEX(INDIRECT(_xlfn.CONCAT("weather.tbl[",S$1,"]")),MATCH(vp.data[[#This Row],[SDate]],weather.tbl[Date],0))</f>
        <v>5.3</v>
      </c>
      <c r="T1093" s="2">
        <f ca="1">INDEX(INDIRECT(_xlfn.CONCAT("weather.tbl[",T$1,"]")),MATCH(vp.data[[#This Row],[SDate]],weather.tbl[Date],0))</f>
        <v>2.6</v>
      </c>
      <c r="U1093" s="2">
        <f ca="1">INDEX(INDIRECT(_xlfn.CONCAT("weather.tbl[",U$1,"]")),MATCH(vp.data[[#This Row],[SDate]],weather.tbl[Date],0))</f>
        <v>6.8</v>
      </c>
      <c r="V1093" s="2">
        <f t="array" ref="V10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2573.5479999999998</v>
      </c>
      <c r="W1093" t="s">
        <v>48</v>
      </c>
      <c r="X1093">
        <f>IF(OR(vp.data[[#This Row],[Sulf]]="",vp.data[[#This Row],[Dens]]=""),1,0)</f>
        <v>0</v>
      </c>
      <c r="Y1093">
        <f>IF(vp.data[[#This Row],[CrudeType]]="C5+",1,0)</f>
        <v>0</v>
      </c>
      <c r="Z1093">
        <f>IF(AND(vp.data[[#This Row],[CrudeType]]="Crude",vp.data[[#This Row],[Dens]]&lt;=825,vp.data[[#This Row],[Sulf]]&gt;0.5,vp.data[[#This Row],[Unknown]]=0),1,0)</f>
        <v>0</v>
      </c>
      <c r="AA1093">
        <f>IF(AND(vp.data[[#This Row],[CrudeType]]="Crude",vp.data[[#This Row],[Dens]]&lt;=825,vp.data[[#This Row],[Sulf]]&lt;=0.5,vp.data[[#This Row],[Unknown]]=0),1,0)</f>
        <v>1</v>
      </c>
      <c r="AB10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93">
        <f>IF(AND(vp.data[[#This Row],[CrudeType]]="Crude",vp.data[[#This Row],[Dens]]&gt;825,vp.data[[#This Row],[Dens]]&lt;=900,vp.data[[#This Row],[Sulf]]&lt;=0.5,vp.data[[#This Row],[Unknown]]=0),1,0)</f>
        <v>0</v>
      </c>
      <c r="AD1093">
        <f>IF(AND(vp.data[[#This Row],[CrudeType]]="Crude",vp.data[[#This Row],[Dens]]&gt;865,vp.data[[#This Row],[Dens]]&lt;=900,vp.data[[#This Row],[Sulf]]&gt;2,vp.data[[#This Row],[Unknown]]=0),1,0)</f>
        <v>0</v>
      </c>
      <c r="AE1093">
        <f>IF(AND(vp.data[[#This Row],[CrudeType]]="Crude",vp.data[[#This Row],[Dens]]&gt;900,vp.data[[#This Row],[Sulf]]&lt;=0.5,vp.data[[#This Row],[Unknown]]=0),1,0)</f>
        <v>0</v>
      </c>
      <c r="AF1093">
        <f>IF(AND(vp.data[[#This Row],[CrudeType]]="Crude",vp.data[[#This Row],[Dens]]&gt;900,vp.data[[#This Row],[Sulf]]&lt;=0.5,vp.data[[#This Row],[Unknown]]=0),1,0)</f>
        <v>0</v>
      </c>
      <c r="AG1093" t="str">
        <f>INDEX(vp.data[[#Headers],[Unknown]:[Heavy_SW]],MATCH(1,vp.data[[#This Row],[Unknown]:[Heavy_SW]],0))</f>
        <v>Light_SW</v>
      </c>
      <c r="AH1093">
        <f>INDEX([3]!crudeBD.lkup[Number],MATCH(vp.data[[#This Row],[Crude_Breakdown]],crudeBD.lkup[Crude Breakdown],0))</f>
        <v>2</v>
      </c>
      <c r="AI1093">
        <f>MONTH(vp.data[[#This Row],[SDate]])</f>
        <v>3</v>
      </c>
      <c r="AJ1093" s="5">
        <f>(vp.data[[#This Row],[VP]]-INDEX(crudeBD.lkup[Mean_VP],MATCH(vp.data[[#This Row],[Crude_Breakdown]],crudeBD.lkup[Crude Breakdown],0)))^2</f>
        <v>197.41131194502702</v>
      </c>
      <c r="AK1093" s="5">
        <f>(vp.data[[#This Row],[Dens]]-INDEX(crudeBD.lkup[Mean_Dens],MATCH(vp.data[[#This Row],[Crude_Breakdown]],crudeBD.lkup[Crude Breakdown],0)))^2</f>
        <v>24.88514963153786</v>
      </c>
      <c r="AL1093" s="5">
        <f>(vp.data[[#This Row],[Sulf]]-INDEX(crudeBD.lkup[Mean_Sulf],MATCH(vp.data[[#This Row],[Crude_Breakdown]],crudeBD.lkup[Crude Breakdown],0)))^2</f>
        <v>1.4624361733176193E-3</v>
      </c>
      <c r="AM1093" s="4">
        <f>IF(AND(vp.data[[#This Row],[SDate]]&gt;=DATE(YEAR(vp.data[[#This Row],[SDate]]),5,1),vp.data[[#This Row],[SDate]]&lt;=DATE(YEAR(vp.data[[#This Row],[SDate]]),9,15)),1,0)</f>
        <v>0</v>
      </c>
      <c r="AN1093" s="4">
        <f>IF(vp.data[[#This Row],[SDate]]&lt;DATE(2016,12,1),0,1)</f>
        <v>1</v>
      </c>
      <c r="AO1093" s="4">
        <f>IFERROR(vp.data[[#This Row],[Sulf]]*vp.data[[#This Row],[Net Dens]],"")</f>
        <v>414427.1845032</v>
      </c>
      <c r="AP1093">
        <f>IFERROR(vp.data[[#This Row],[Dens]]*vp.data[[#This Row],[VolumeM3]],"")</f>
        <v>2093066.5883999998</v>
      </c>
      <c r="AQ1093" s="15">
        <f>IFERROR(vp.data[[#This Row],[VP]]*vp.data[[#This Row],[VolumeM3]],"")</f>
        <v>202023.51799999998</v>
      </c>
    </row>
    <row r="1094" spans="1:43" x14ac:dyDescent="0.25">
      <c r="A1094">
        <v>1093</v>
      </c>
      <c r="B1094" t="s">
        <v>49</v>
      </c>
      <c r="C1094" t="s">
        <v>49</v>
      </c>
      <c r="D1094" t="s">
        <v>220</v>
      </c>
      <c r="F1094" s="1">
        <v>42820</v>
      </c>
      <c r="G1094" s="2">
        <v>53.2</v>
      </c>
      <c r="H1094" s="2">
        <v>3.4550000000000001</v>
      </c>
      <c r="I1094" s="2">
        <f t="array" ref="I1094">_xlfn.IFNA(IF(vp.data[[#This Row],[Sulf Input]]="",INDEX([1]DATA!$Q$3:$Q$9826,MATCH(1,(vp.data[[#This Row],[Battery]]=[1]DATA!$L$3:$L$9826)*(EOMONTH(vp.data[[#This Row],[SDate]],-1)+1=[1]DATA!$G$3:$G$9826),0)),vp.data[[#This Row],[Sulf Input]]),"")</f>
        <v>3.4550000000000001</v>
      </c>
      <c r="J1094" s="2">
        <v>30.6</v>
      </c>
      <c r="K1094" s="2">
        <v>9</v>
      </c>
      <c r="L1094" s="2">
        <v>881.1</v>
      </c>
      <c r="M1094" s="2">
        <f t="array" ref="M1094">_xlfn.IFNA(IF(vp.data[[#This Row],[Dens Input]]="",INDEX([1]DATA!$O$3:$O$9826,MATCH(1,(vp.data[[#This Row],[Battery]]=[1]DATA!$L$3:$L$9826)*(EOMONTH(vp.data[[#This Row],[SDate]],-1)+1=[1]DATA!$G$3:$G$9826),0)),vp.data[[#This Row],[Dens Input]]),"")</f>
        <v>881.1</v>
      </c>
      <c r="N1094" s="2">
        <f ca="1">INDEX(INDIRECT(_xlfn.CONCAT("weather.tbl[",N$1,"]")),MATCH(vp.data[[#This Row],[SDate]],weather.tbl[Date],0))</f>
        <v>5.166666666666667</v>
      </c>
      <c r="O1094" s="2">
        <f ca="1">INDEX(INDIRECT(_xlfn.CONCAT("weather.tbl[",O$1,"]")),MATCH(vp.data[[#This Row],[SDate]],weather.tbl[Date],0))</f>
        <v>-1.485714285714286</v>
      </c>
      <c r="P1094" s="2">
        <f ca="1">INDEX(INDIRECT(_xlfn.CONCAT("weather.tbl[",P$1,"]")),MATCH(vp.data[[#This Row],[SDate]],weather.tbl[Date],0))</f>
        <v>7.2</v>
      </c>
      <c r="Q1094" s="2">
        <f ca="1">INDEX(INDIRECT(_xlfn.CONCAT("weather.tbl[",Q$1,"]")),MATCH(vp.data[[#This Row],[SDate]],weather.tbl[Date],0))</f>
        <v>5.8</v>
      </c>
      <c r="R1094" s="2">
        <f ca="1">INDEX(INDIRECT(_xlfn.CONCAT("weather.tbl[",R$1,"]")),MATCH(vp.data[[#This Row],[SDate]],weather.tbl[Date],0))</f>
        <v>3.3</v>
      </c>
      <c r="S1094" s="2">
        <f ca="1">INDEX(INDIRECT(_xlfn.CONCAT("weather.tbl[",S$1,"]")),MATCH(vp.data[[#This Row],[SDate]],weather.tbl[Date],0))</f>
        <v>5.3</v>
      </c>
      <c r="T1094" s="2">
        <f ca="1">INDEX(INDIRECT(_xlfn.CONCAT("weather.tbl[",T$1,"]")),MATCH(vp.data[[#This Row],[SDate]],weather.tbl[Date],0))</f>
        <v>2.6</v>
      </c>
      <c r="U1094" s="2">
        <f ca="1">INDEX(INDIRECT(_xlfn.CONCAT("weather.tbl[",U$1,"]")),MATCH(vp.data[[#This Row],[SDate]],weather.tbl[Date],0))</f>
        <v>6.8</v>
      </c>
      <c r="V1094" s="2">
        <f t="array" ref="V10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2101.7660000000001</v>
      </c>
      <c r="W1094" t="s">
        <v>48</v>
      </c>
      <c r="X1094">
        <f>IF(OR(vp.data[[#This Row],[Sulf]]="",vp.data[[#This Row],[Dens]]=""),1,0)</f>
        <v>0</v>
      </c>
      <c r="Y1094">
        <f>IF(vp.data[[#This Row],[CrudeType]]="C5+",1,0)</f>
        <v>0</v>
      </c>
      <c r="Z1094">
        <f>IF(AND(vp.data[[#This Row],[CrudeType]]="Crude",vp.data[[#This Row],[Dens]]&lt;=825,vp.data[[#This Row],[Sulf]]&gt;0.5,vp.data[[#This Row],[Unknown]]=0),1,0)</f>
        <v>0</v>
      </c>
      <c r="AA1094">
        <f>IF(AND(vp.data[[#This Row],[CrudeType]]="Crude",vp.data[[#This Row],[Dens]]&lt;=825,vp.data[[#This Row],[Sulf]]&lt;=0.5,vp.data[[#This Row],[Unknown]]=0),1,0)</f>
        <v>0</v>
      </c>
      <c r="AB10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94">
        <f>IF(AND(vp.data[[#This Row],[CrudeType]]="Crude",vp.data[[#This Row],[Dens]]&gt;825,vp.data[[#This Row],[Dens]]&lt;=900,vp.data[[#This Row],[Sulf]]&lt;=0.5,vp.data[[#This Row],[Unknown]]=0),1,0)</f>
        <v>0</v>
      </c>
      <c r="AD1094">
        <f>IF(AND(vp.data[[#This Row],[CrudeType]]="Crude",vp.data[[#This Row],[Dens]]&gt;865,vp.data[[#This Row],[Dens]]&lt;=900,vp.data[[#This Row],[Sulf]]&gt;2,vp.data[[#This Row],[Unknown]]=0),1,0)</f>
        <v>1</v>
      </c>
      <c r="AE1094">
        <f>IF(AND(vp.data[[#This Row],[CrudeType]]="Crude",vp.data[[#This Row],[Dens]]&gt;900,vp.data[[#This Row],[Sulf]]&lt;=0.5,vp.data[[#This Row],[Unknown]]=0),1,0)</f>
        <v>0</v>
      </c>
      <c r="AF1094">
        <f>IF(AND(vp.data[[#This Row],[CrudeType]]="Crude",vp.data[[#This Row],[Dens]]&gt;900,vp.data[[#This Row],[Sulf]]&lt;=0.5,vp.data[[#This Row],[Unknown]]=0),1,0)</f>
        <v>0</v>
      </c>
      <c r="AG1094" t="str">
        <f>INDEX(vp.data[[#Headers],[Unknown]:[Heavy_SW]],MATCH(1,vp.data[[#This Row],[Unknown]:[Heavy_SW]],0))</f>
        <v>Midale</v>
      </c>
      <c r="AH1094">
        <f>INDEX([3]!crudeBD.lkup[Number],MATCH(vp.data[[#This Row],[Crude_Breakdown]],crudeBD.lkup[Crude Breakdown],0))</f>
        <v>5</v>
      </c>
      <c r="AI1094">
        <f>MONTH(vp.data[[#This Row],[SDate]])</f>
        <v>3</v>
      </c>
      <c r="AJ1094" s="5">
        <f>(vp.data[[#This Row],[VP]]-INDEX(crudeBD.lkup[Mean_VP],MATCH(vp.data[[#This Row],[Crude_Breakdown]],crudeBD.lkup[Crude Breakdown],0)))^2</f>
        <v>262.72399431395564</v>
      </c>
      <c r="AK1094" s="5">
        <f>(vp.data[[#This Row],[Dens]]-INDEX(crudeBD.lkup[Mean_Dens],MATCH(vp.data[[#This Row],[Crude_Breakdown]],crudeBD.lkup[Crude Breakdown],0)))^2</f>
        <v>39.475959453710956</v>
      </c>
      <c r="AL1094" s="5">
        <f>(vp.data[[#This Row],[Sulf]]-INDEX(crudeBD.lkup[Mean_Sulf],MATCH(vp.data[[#This Row],[Crude_Breakdown]],crudeBD.lkup[Crude Breakdown],0)))^2</f>
        <v>1.0228984712938811</v>
      </c>
      <c r="AM1094" s="4">
        <f>IF(AND(vp.data[[#This Row],[SDate]]&gt;=DATE(YEAR(vp.data[[#This Row],[SDate]]),5,1),vp.data[[#This Row],[SDate]]&lt;=DATE(YEAR(vp.data[[#This Row],[SDate]]),9,15)),1,0)</f>
        <v>0</v>
      </c>
      <c r="AN1094" s="4">
        <f>IF(vp.data[[#This Row],[SDate]]&lt;DATE(2016,12,1),0,1)</f>
        <v>1</v>
      </c>
      <c r="AO1094" s="4">
        <f>IFERROR(vp.data[[#This Row],[Sulf]]*vp.data[[#This Row],[Net Dens]],"")</f>
        <v>6398197.1080830004</v>
      </c>
      <c r="AP1094">
        <f>IFERROR(vp.data[[#This Row],[Dens]]*vp.data[[#This Row],[VolumeM3]],"")</f>
        <v>1851866.0226</v>
      </c>
      <c r="AQ1094" s="15">
        <f>IFERROR(vp.data[[#This Row],[VP]]*vp.data[[#This Row],[VolumeM3]],"")</f>
        <v>111813.95120000001</v>
      </c>
    </row>
    <row r="1095" spans="1:43" x14ac:dyDescent="0.25">
      <c r="A1095">
        <v>1094</v>
      </c>
      <c r="B1095" t="s">
        <v>49</v>
      </c>
      <c r="C1095" t="s">
        <v>49</v>
      </c>
      <c r="D1095" t="s">
        <v>221</v>
      </c>
      <c r="F1095" s="1">
        <v>42820</v>
      </c>
      <c r="G1095" s="2">
        <v>58.5</v>
      </c>
      <c r="H1095" s="2">
        <v>4.0190000000000001</v>
      </c>
      <c r="I1095" s="2">
        <f t="array" ref="I1095">_xlfn.IFNA(IF(vp.data[[#This Row],[Sulf Input]]="",INDEX([1]DATA!$Q$3:$Q$9826,MATCH(1,(vp.data[[#This Row],[Battery]]=[1]DATA!$L$3:$L$9826)*(EOMONTH(vp.data[[#This Row],[SDate]],-1)+1=[1]DATA!$G$3:$G$9826),0)),vp.data[[#This Row],[Sulf Input]]),"")</f>
        <v>4.0190000000000001</v>
      </c>
      <c r="J1095" s="2">
        <v>27</v>
      </c>
      <c r="K1095" s="2">
        <v>9</v>
      </c>
      <c r="L1095" s="2">
        <v>879.1</v>
      </c>
      <c r="M1095" s="2">
        <f t="array" ref="M1095">_xlfn.IFNA(IF(vp.data[[#This Row],[Dens Input]]="",INDEX([1]DATA!$O$3:$O$9826,MATCH(1,(vp.data[[#This Row],[Battery]]=[1]DATA!$L$3:$L$9826)*(EOMONTH(vp.data[[#This Row],[SDate]],-1)+1=[1]DATA!$G$3:$G$9826),0)),vp.data[[#This Row],[Dens Input]]),"")</f>
        <v>879.1</v>
      </c>
      <c r="N1095" s="2">
        <f ca="1">INDEX(INDIRECT(_xlfn.CONCAT("weather.tbl[",N$1,"]")),MATCH(vp.data[[#This Row],[SDate]],weather.tbl[Date],0))</f>
        <v>5.166666666666667</v>
      </c>
      <c r="O1095" s="2">
        <f ca="1">INDEX(INDIRECT(_xlfn.CONCAT("weather.tbl[",O$1,"]")),MATCH(vp.data[[#This Row],[SDate]],weather.tbl[Date],0))</f>
        <v>-1.485714285714286</v>
      </c>
      <c r="P1095" s="2">
        <f ca="1">INDEX(INDIRECT(_xlfn.CONCAT("weather.tbl[",P$1,"]")),MATCH(vp.data[[#This Row],[SDate]],weather.tbl[Date],0))</f>
        <v>7.2</v>
      </c>
      <c r="Q1095" s="2">
        <f ca="1">INDEX(INDIRECT(_xlfn.CONCAT("weather.tbl[",Q$1,"]")),MATCH(vp.data[[#This Row],[SDate]],weather.tbl[Date],0))</f>
        <v>5.8</v>
      </c>
      <c r="R1095" s="2">
        <f ca="1">INDEX(INDIRECT(_xlfn.CONCAT("weather.tbl[",R$1,"]")),MATCH(vp.data[[#This Row],[SDate]],weather.tbl[Date],0))</f>
        <v>3.3</v>
      </c>
      <c r="S1095" s="2">
        <f ca="1">INDEX(INDIRECT(_xlfn.CONCAT("weather.tbl[",S$1,"]")),MATCH(vp.data[[#This Row],[SDate]],weather.tbl[Date],0))</f>
        <v>5.3</v>
      </c>
      <c r="T1095" s="2">
        <f ca="1">INDEX(INDIRECT(_xlfn.CONCAT("weather.tbl[",T$1,"]")),MATCH(vp.data[[#This Row],[SDate]],weather.tbl[Date],0))</f>
        <v>2.6</v>
      </c>
      <c r="U1095" s="2">
        <f ca="1">INDEX(INDIRECT(_xlfn.CONCAT("weather.tbl[",U$1,"]")),MATCH(vp.data[[#This Row],[SDate]],weather.tbl[Date],0))</f>
        <v>6.8</v>
      </c>
      <c r="V1095" s="2">
        <f t="array" ref="V10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598.46199999999999</v>
      </c>
      <c r="W1095" t="s">
        <v>48</v>
      </c>
      <c r="X1095">
        <f>IF(OR(vp.data[[#This Row],[Sulf]]="",vp.data[[#This Row],[Dens]]=""),1,0)</f>
        <v>0</v>
      </c>
      <c r="Y1095">
        <f>IF(vp.data[[#This Row],[CrudeType]]="C5+",1,0)</f>
        <v>0</v>
      </c>
      <c r="Z1095">
        <f>IF(AND(vp.data[[#This Row],[CrudeType]]="Crude",vp.data[[#This Row],[Dens]]&lt;=825,vp.data[[#This Row],[Sulf]]&gt;0.5,vp.data[[#This Row],[Unknown]]=0),1,0)</f>
        <v>0</v>
      </c>
      <c r="AA1095">
        <f>IF(AND(vp.data[[#This Row],[CrudeType]]="Crude",vp.data[[#This Row],[Dens]]&lt;=825,vp.data[[#This Row],[Sulf]]&lt;=0.5,vp.data[[#This Row],[Unknown]]=0),1,0)</f>
        <v>0</v>
      </c>
      <c r="AB10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95">
        <f>IF(AND(vp.data[[#This Row],[CrudeType]]="Crude",vp.data[[#This Row],[Dens]]&gt;825,vp.data[[#This Row],[Dens]]&lt;=900,vp.data[[#This Row],[Sulf]]&lt;=0.5,vp.data[[#This Row],[Unknown]]=0),1,0)</f>
        <v>0</v>
      </c>
      <c r="AD1095">
        <f>IF(AND(vp.data[[#This Row],[CrudeType]]="Crude",vp.data[[#This Row],[Dens]]&gt;865,vp.data[[#This Row],[Dens]]&lt;=900,vp.data[[#This Row],[Sulf]]&gt;2,vp.data[[#This Row],[Unknown]]=0),1,0)</f>
        <v>1</v>
      </c>
      <c r="AE1095">
        <f>IF(AND(vp.data[[#This Row],[CrudeType]]="Crude",vp.data[[#This Row],[Dens]]&gt;900,vp.data[[#This Row],[Sulf]]&lt;=0.5,vp.data[[#This Row],[Unknown]]=0),1,0)</f>
        <v>0</v>
      </c>
      <c r="AF1095">
        <f>IF(AND(vp.data[[#This Row],[CrudeType]]="Crude",vp.data[[#This Row],[Dens]]&gt;900,vp.data[[#This Row],[Sulf]]&lt;=0.5,vp.data[[#This Row],[Unknown]]=0),1,0)</f>
        <v>0</v>
      </c>
      <c r="AG1095" t="str">
        <f>INDEX(vp.data[[#Headers],[Unknown]:[Heavy_SW]],MATCH(1,vp.data[[#This Row],[Unknown]:[Heavy_SW]],0))</f>
        <v>Midale</v>
      </c>
      <c r="AH1095">
        <f>INDEX([3]!crudeBD.lkup[Number],MATCH(vp.data[[#This Row],[Crude_Breakdown]],crudeBD.lkup[Crude Breakdown],0))</f>
        <v>5</v>
      </c>
      <c r="AI1095">
        <f>MONTH(vp.data[[#This Row],[SDate]])</f>
        <v>3</v>
      </c>
      <c r="AJ1095" s="5">
        <f>(vp.data[[#This Row],[VP]]-INDEX(crudeBD.lkup[Mean_VP],MATCH(vp.data[[#This Row],[Crude_Breakdown]],crudeBD.lkup[Crude Breakdown],0)))^2</f>
        <v>119.00110771601726</v>
      </c>
      <c r="AK1095" s="5">
        <f>(vp.data[[#This Row],[Dens]]-INDEX(crudeBD.lkup[Mean_Dens],MATCH(vp.data[[#This Row],[Crude_Breakdown]],crudeBD.lkup[Crude Breakdown],0)))^2</f>
        <v>18.344000690825496</v>
      </c>
      <c r="AL1095" s="5">
        <f>(vp.data[[#This Row],[Sulf]]-INDEX(crudeBD.lkup[Mean_Sulf],MATCH(vp.data[[#This Row],[Crude_Breakdown]],crudeBD.lkup[Crude Breakdown],0)))^2</f>
        <v>2.481836111706254</v>
      </c>
      <c r="AM1095" s="4">
        <f>IF(AND(vp.data[[#This Row],[SDate]]&gt;=DATE(YEAR(vp.data[[#This Row],[SDate]]),5,1),vp.data[[#This Row],[SDate]]&lt;=DATE(YEAR(vp.data[[#This Row],[SDate]]),9,15)),1,0)</f>
        <v>0</v>
      </c>
      <c r="AN1095" s="4">
        <f>IF(vp.data[[#This Row],[SDate]]&lt;DATE(2016,12,1),0,1)</f>
        <v>1</v>
      </c>
      <c r="AO1095" s="4">
        <f>IFERROR(vp.data[[#This Row],[Sulf]]*vp.data[[#This Row],[Net Dens]],"")</f>
        <v>2114427.8277398003</v>
      </c>
      <c r="AP1095">
        <f>IFERROR(vp.data[[#This Row],[Dens]]*vp.data[[#This Row],[VolumeM3]],"")</f>
        <v>526107.94420000003</v>
      </c>
      <c r="AQ1095" s="15">
        <f>IFERROR(vp.data[[#This Row],[VP]]*vp.data[[#This Row],[VolumeM3]],"")</f>
        <v>35010.027000000002</v>
      </c>
    </row>
    <row r="1096" spans="1:43" x14ac:dyDescent="0.25">
      <c r="A1096">
        <v>1095</v>
      </c>
      <c r="B1096" t="s">
        <v>62</v>
      </c>
      <c r="C1096" t="s">
        <v>62</v>
      </c>
      <c r="D1096" t="s">
        <v>222</v>
      </c>
      <c r="F1096" s="1">
        <v>42820</v>
      </c>
      <c r="G1096" s="2">
        <v>82.8</v>
      </c>
      <c r="H1096" s="2"/>
      <c r="I1096" s="2">
        <f t="array" ref="I1096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096" s="2">
        <v>29.7</v>
      </c>
      <c r="K1096" s="2">
        <v>9</v>
      </c>
      <c r="L1096" s="2">
        <v>819</v>
      </c>
      <c r="M1096" s="2">
        <f t="array" ref="M1096">_xlfn.IFNA(IF(vp.data[[#This Row],[Dens Input]]="",INDEX([1]DATA!$O$3:$O$9826,MATCH(1,(vp.data[[#This Row],[Battery]]=[1]DATA!$L$3:$L$9826)*(EOMONTH(vp.data[[#This Row],[SDate]],-1)+1=[1]DATA!$G$3:$G$9826),0)),vp.data[[#This Row],[Dens Input]]),"")</f>
        <v>819</v>
      </c>
      <c r="N1096" s="2">
        <f ca="1">INDEX(INDIRECT(_xlfn.CONCAT("weather.tbl[",N$1,"]")),MATCH(vp.data[[#This Row],[SDate]],weather.tbl[Date],0))</f>
        <v>5.166666666666667</v>
      </c>
      <c r="O1096" s="2">
        <f ca="1">INDEX(INDIRECT(_xlfn.CONCAT("weather.tbl[",O$1,"]")),MATCH(vp.data[[#This Row],[SDate]],weather.tbl[Date],0))</f>
        <v>-1.485714285714286</v>
      </c>
      <c r="P1096" s="2">
        <f ca="1">INDEX(INDIRECT(_xlfn.CONCAT("weather.tbl[",P$1,"]")),MATCH(vp.data[[#This Row],[SDate]],weather.tbl[Date],0))</f>
        <v>7.2</v>
      </c>
      <c r="Q1096" s="2">
        <f ca="1">INDEX(INDIRECT(_xlfn.CONCAT("weather.tbl[",Q$1,"]")),MATCH(vp.data[[#This Row],[SDate]],weather.tbl[Date],0))</f>
        <v>5.8</v>
      </c>
      <c r="R1096" s="2">
        <f ca="1">INDEX(INDIRECT(_xlfn.CONCAT("weather.tbl[",R$1,"]")),MATCH(vp.data[[#This Row],[SDate]],weather.tbl[Date],0))</f>
        <v>3.3</v>
      </c>
      <c r="S1096" s="2">
        <f ca="1">INDEX(INDIRECT(_xlfn.CONCAT("weather.tbl[",S$1,"]")),MATCH(vp.data[[#This Row],[SDate]],weather.tbl[Date],0))</f>
        <v>5.3</v>
      </c>
      <c r="T1096" s="2">
        <f ca="1">INDEX(INDIRECT(_xlfn.CONCAT("weather.tbl[",T$1,"]")),MATCH(vp.data[[#This Row],[SDate]],weather.tbl[Date],0))</f>
        <v>2.6</v>
      </c>
      <c r="U1096" s="2">
        <f ca="1">INDEX(INDIRECT(_xlfn.CONCAT("weather.tbl[",U$1,"]")),MATCH(vp.data[[#This Row],[SDate]],weather.tbl[Date],0))</f>
        <v>6.8</v>
      </c>
      <c r="V1096" s="2">
        <f t="array" ref="V10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1249.3440000000001</v>
      </c>
      <c r="W1096" t="s">
        <v>48</v>
      </c>
      <c r="X1096">
        <f>IF(OR(vp.data[[#This Row],[Sulf]]="",vp.data[[#This Row],[Dens]]=""),1,0)</f>
        <v>0</v>
      </c>
      <c r="Y1096">
        <f>IF(vp.data[[#This Row],[CrudeType]]="C5+",1,0)</f>
        <v>0</v>
      </c>
      <c r="Z1096">
        <f>IF(AND(vp.data[[#This Row],[CrudeType]]="Crude",vp.data[[#This Row],[Dens]]&lt;=825,vp.data[[#This Row],[Sulf]]&gt;0.5,vp.data[[#This Row],[Unknown]]=0),1,0)</f>
        <v>1</v>
      </c>
      <c r="AA1096">
        <f>IF(AND(vp.data[[#This Row],[CrudeType]]="Crude",vp.data[[#This Row],[Dens]]&lt;=825,vp.data[[#This Row],[Sulf]]&lt;=0.5,vp.data[[#This Row],[Unknown]]=0),1,0)</f>
        <v>0</v>
      </c>
      <c r="AB10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96">
        <f>IF(AND(vp.data[[#This Row],[CrudeType]]="Crude",vp.data[[#This Row],[Dens]]&gt;825,vp.data[[#This Row],[Dens]]&lt;=900,vp.data[[#This Row],[Sulf]]&lt;=0.5,vp.data[[#This Row],[Unknown]]=0),1,0)</f>
        <v>0</v>
      </c>
      <c r="AD1096">
        <f>IF(AND(vp.data[[#This Row],[CrudeType]]="Crude",vp.data[[#This Row],[Dens]]&gt;865,vp.data[[#This Row],[Dens]]&lt;=900,vp.data[[#This Row],[Sulf]]&gt;2,vp.data[[#This Row],[Unknown]]=0),1,0)</f>
        <v>0</v>
      </c>
      <c r="AE1096">
        <f>IF(AND(vp.data[[#This Row],[CrudeType]]="Crude",vp.data[[#This Row],[Dens]]&gt;900,vp.data[[#This Row],[Sulf]]&lt;=0.5,vp.data[[#This Row],[Unknown]]=0),1,0)</f>
        <v>0</v>
      </c>
      <c r="AF1096">
        <f>IF(AND(vp.data[[#This Row],[CrudeType]]="Crude",vp.data[[#This Row],[Dens]]&gt;900,vp.data[[#This Row],[Sulf]]&lt;=0.5,vp.data[[#This Row],[Unknown]]=0),1,0)</f>
        <v>0</v>
      </c>
      <c r="AG1096" t="str">
        <f>INDEX(vp.data[[#Headers],[Unknown]:[Heavy_SW]],MATCH(1,vp.data[[#This Row],[Unknown]:[Heavy_SW]],0))</f>
        <v>Light_LSB</v>
      </c>
      <c r="AH1096">
        <f>INDEX([3]!crudeBD.lkup[Number],MATCH(vp.data[[#This Row],[Crude_Breakdown]],crudeBD.lkup[Crude Breakdown],0))</f>
        <v>1</v>
      </c>
      <c r="AI1096">
        <f>MONTH(vp.data[[#This Row],[SDate]])</f>
        <v>3</v>
      </c>
      <c r="AJ1096" s="5">
        <f>(vp.data[[#This Row],[VP]]-INDEX(crudeBD.lkup[Mean_VP],MATCH(vp.data[[#This Row],[Crude_Breakdown]],crudeBD.lkup[Crude Breakdown],0)))^2</f>
        <v>76.495761972580041</v>
      </c>
      <c r="AK1096" s="5">
        <f>(vp.data[[#This Row],[Dens]]-INDEX(crudeBD.lkup[Mean_Dens],MATCH(vp.data[[#This Row],[Crude_Breakdown]],crudeBD.lkup[Crude Breakdown],0)))^2</f>
        <v>0.2335114653821484</v>
      </c>
      <c r="AL1096" s="5">
        <f>(vp.data[[#This Row],[Sulf]]-INDEX(crudeBD.lkup[Mean_Sulf],MATCH(vp.data[[#This Row],[Crude_Breakdown]],crudeBD.lkup[Crude Breakdown],0)))^2</f>
        <v>8.5832105504801401E-2</v>
      </c>
      <c r="AM1096" s="4">
        <f>IF(AND(vp.data[[#This Row],[SDate]]&gt;=DATE(YEAR(vp.data[[#This Row],[SDate]]),5,1),vp.data[[#This Row],[SDate]]&lt;=DATE(YEAR(vp.data[[#This Row],[SDate]]),9,15)),1,0)</f>
        <v>0</v>
      </c>
      <c r="AN1096" s="4">
        <f>IF(vp.data[[#This Row],[SDate]]&lt;DATE(2016,12,1),0,1)</f>
        <v>1</v>
      </c>
      <c r="AO1096" s="4">
        <f>IFERROR(vp.data[[#This Row],[Sulf]]*vp.data[[#This Row],[Net Dens]],"")</f>
        <v>644624.02367999998</v>
      </c>
      <c r="AP1096">
        <f>IFERROR(vp.data[[#This Row],[Dens]]*vp.data[[#This Row],[VolumeM3]],"")</f>
        <v>1023212.736</v>
      </c>
      <c r="AQ1096" s="15">
        <f>IFERROR(vp.data[[#This Row],[VP]]*vp.data[[#This Row],[VolumeM3]],"")</f>
        <v>103445.6832</v>
      </c>
    </row>
    <row r="1097" spans="1:43" x14ac:dyDescent="0.25">
      <c r="A1097">
        <v>1096</v>
      </c>
      <c r="B1097" t="s">
        <v>223</v>
      </c>
      <c r="C1097" t="s">
        <v>223</v>
      </c>
      <c r="D1097" t="s">
        <v>224</v>
      </c>
      <c r="F1097" s="1">
        <v>42820</v>
      </c>
      <c r="G1097" s="2">
        <v>54.6</v>
      </c>
      <c r="H1097" s="2"/>
      <c r="I1097" s="2">
        <f t="array" ref="I1097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097" s="2">
        <v>29.5</v>
      </c>
      <c r="K1097" s="2">
        <v>9</v>
      </c>
      <c r="L1097" s="2">
        <v>863.7</v>
      </c>
      <c r="M1097" s="2">
        <f t="array" ref="M1097">_xlfn.IFNA(IF(vp.data[[#This Row],[Dens Input]]="",INDEX([1]DATA!$O$3:$O$9826,MATCH(1,(vp.data[[#This Row],[Battery]]=[1]DATA!$L$3:$L$9826)*(EOMONTH(vp.data[[#This Row],[SDate]],-1)+1=[1]DATA!$G$3:$G$9826),0)),vp.data[[#This Row],[Dens Input]]),"")</f>
        <v>863.7</v>
      </c>
      <c r="N1097" s="2">
        <f ca="1">INDEX(INDIRECT(_xlfn.CONCAT("weather.tbl[",N$1,"]")),MATCH(vp.data[[#This Row],[SDate]],weather.tbl[Date],0))</f>
        <v>5.166666666666667</v>
      </c>
      <c r="O1097" s="2">
        <f ca="1">INDEX(INDIRECT(_xlfn.CONCAT("weather.tbl[",O$1,"]")),MATCH(vp.data[[#This Row],[SDate]],weather.tbl[Date],0))</f>
        <v>-1.485714285714286</v>
      </c>
      <c r="P1097" s="2">
        <f ca="1">INDEX(INDIRECT(_xlfn.CONCAT("weather.tbl[",P$1,"]")),MATCH(vp.data[[#This Row],[SDate]],weather.tbl[Date],0))</f>
        <v>7.2</v>
      </c>
      <c r="Q1097" s="2">
        <f ca="1">INDEX(INDIRECT(_xlfn.CONCAT("weather.tbl[",Q$1,"]")),MATCH(vp.data[[#This Row],[SDate]],weather.tbl[Date],0))</f>
        <v>5.8</v>
      </c>
      <c r="R1097" s="2">
        <f ca="1">INDEX(INDIRECT(_xlfn.CONCAT("weather.tbl[",R$1,"]")),MATCH(vp.data[[#This Row],[SDate]],weather.tbl[Date],0))</f>
        <v>3.3</v>
      </c>
      <c r="S1097" s="2">
        <f ca="1">INDEX(INDIRECT(_xlfn.CONCAT("weather.tbl[",S$1,"]")),MATCH(vp.data[[#This Row],[SDate]],weather.tbl[Date],0))</f>
        <v>5.3</v>
      </c>
      <c r="T1097" s="2">
        <f ca="1">INDEX(INDIRECT(_xlfn.CONCAT("weather.tbl[",T$1,"]")),MATCH(vp.data[[#This Row],[SDate]],weather.tbl[Date],0))</f>
        <v>2.6</v>
      </c>
      <c r="U1097" s="2">
        <f ca="1">INDEX(INDIRECT(_xlfn.CONCAT("weather.tbl[",U$1,"]")),MATCH(vp.data[[#This Row],[SDate]],weather.tbl[Date],0))</f>
        <v>6.8</v>
      </c>
      <c r="V1097" s="2">
        <f t="array" ref="V10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2169.6999999999998</v>
      </c>
      <c r="W1097" t="s">
        <v>48</v>
      </c>
      <c r="X1097">
        <f>IF(OR(vp.data[[#This Row],[Sulf]]="",vp.data[[#This Row],[Dens]]=""),1,0)</f>
        <v>0</v>
      </c>
      <c r="Y1097">
        <f>IF(vp.data[[#This Row],[CrudeType]]="C5+",1,0)</f>
        <v>0</v>
      </c>
      <c r="Z1097">
        <f>IF(AND(vp.data[[#This Row],[CrudeType]]="Crude",vp.data[[#This Row],[Dens]]&lt;=825,vp.data[[#This Row],[Sulf]]&gt;0.5,vp.data[[#This Row],[Unknown]]=0),1,0)</f>
        <v>0</v>
      </c>
      <c r="AA1097">
        <f>IF(AND(vp.data[[#This Row],[CrudeType]]="Crude",vp.data[[#This Row],[Dens]]&lt;=825,vp.data[[#This Row],[Sulf]]&lt;=0.5,vp.data[[#This Row],[Unknown]]=0),1,0)</f>
        <v>0</v>
      </c>
      <c r="AB10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7">
        <f>IF(AND(vp.data[[#This Row],[CrudeType]]="Crude",vp.data[[#This Row],[Dens]]&gt;825,vp.data[[#This Row],[Dens]]&lt;=900,vp.data[[#This Row],[Sulf]]&lt;=0.5,vp.data[[#This Row],[Unknown]]=0),1,0)</f>
        <v>0</v>
      </c>
      <c r="AD1097">
        <f>IF(AND(vp.data[[#This Row],[CrudeType]]="Crude",vp.data[[#This Row],[Dens]]&gt;865,vp.data[[#This Row],[Dens]]&lt;=900,vp.data[[#This Row],[Sulf]]&gt;2,vp.data[[#This Row],[Unknown]]=0),1,0)</f>
        <v>0</v>
      </c>
      <c r="AE1097">
        <f>IF(AND(vp.data[[#This Row],[CrudeType]]="Crude",vp.data[[#This Row],[Dens]]&gt;900,vp.data[[#This Row],[Sulf]]&lt;=0.5,vp.data[[#This Row],[Unknown]]=0),1,0)</f>
        <v>0</v>
      </c>
      <c r="AF1097">
        <f>IF(AND(vp.data[[#This Row],[CrudeType]]="Crude",vp.data[[#This Row],[Dens]]&gt;900,vp.data[[#This Row],[Sulf]]&lt;=0.5,vp.data[[#This Row],[Unknown]]=0),1,0)</f>
        <v>0</v>
      </c>
      <c r="AG1097" t="str">
        <f>INDEX(vp.data[[#Headers],[Unknown]:[Heavy_SW]],MATCH(1,vp.data[[#This Row],[Unknown]:[Heavy_SW]],0))</f>
        <v>Medium_LSB</v>
      </c>
      <c r="AH1097">
        <f>INDEX([3]!crudeBD.lkup[Number],MATCH(vp.data[[#This Row],[Crude_Breakdown]],crudeBD.lkup[Crude Breakdown],0))</f>
        <v>3</v>
      </c>
      <c r="AI1097">
        <f>MONTH(vp.data[[#This Row],[SDate]])</f>
        <v>3</v>
      </c>
      <c r="AJ1097" s="5">
        <f>(vp.data[[#This Row],[VP]]-INDEX(crudeBD.lkup[Mean_VP],MATCH(vp.data[[#This Row],[Crude_Breakdown]],crudeBD.lkup[Crude Breakdown],0)))^2</f>
        <v>678.06475482159738</v>
      </c>
      <c r="AK1097" s="5">
        <f>(vp.data[[#This Row],[Dens]]-INDEX(crudeBD.lkup[Mean_Dens],MATCH(vp.data[[#This Row],[Crude_Breakdown]],crudeBD.lkup[Crude Breakdown],0)))^2</f>
        <v>391.24840000002143</v>
      </c>
      <c r="AL1097" s="5">
        <f>(vp.data[[#This Row],[Sulf]]-INDEX(crudeBD.lkup[Mean_Sulf],MATCH(vp.data[[#This Row],[Crude_Breakdown]],crudeBD.lkup[Crude Breakdown],0)))^2</f>
        <v>0.14791090902021975</v>
      </c>
      <c r="AM1097" s="4">
        <f>IF(AND(vp.data[[#This Row],[SDate]]&gt;=DATE(YEAR(vp.data[[#This Row],[SDate]]),5,1),vp.data[[#This Row],[SDate]]&lt;=DATE(YEAR(vp.data[[#This Row],[SDate]]),9,15)),1,0)</f>
        <v>0</v>
      </c>
      <c r="AN1097" s="4">
        <f>IF(vp.data[[#This Row],[SDate]]&lt;DATE(2016,12,1),0,1)</f>
        <v>1</v>
      </c>
      <c r="AO1097" s="4">
        <f>IFERROR(vp.data[[#This Row],[Sulf]]*vp.data[[#This Row],[Net Dens]],"")</f>
        <v>3316926.7053</v>
      </c>
      <c r="AP1097">
        <f>IFERROR(vp.data[[#This Row],[Dens]]*vp.data[[#This Row],[VolumeM3]],"")</f>
        <v>1873969.89</v>
      </c>
      <c r="AQ1097" s="15">
        <f>IFERROR(vp.data[[#This Row],[VP]]*vp.data[[#This Row],[VolumeM3]],"")</f>
        <v>118465.62</v>
      </c>
    </row>
    <row r="1098" spans="1:43" x14ac:dyDescent="0.25">
      <c r="A1098">
        <v>1097</v>
      </c>
      <c r="B1098" t="s">
        <v>108</v>
      </c>
      <c r="C1098" t="s">
        <v>108</v>
      </c>
      <c r="D1098" t="s">
        <v>225</v>
      </c>
      <c r="F1098" s="1">
        <v>42820</v>
      </c>
      <c r="G1098" s="2">
        <v>72.2</v>
      </c>
      <c r="H1098" s="2"/>
      <c r="I1098" s="2">
        <f t="array" ref="I1098">_xlfn.IFNA(IF(vp.data[[#This Row],[Sulf Input]]="",INDEX([1]DATA!$Q$3:$Q$9826,MATCH(1,(vp.data[[#This Row],[Battery]]=[1]DATA!$L$3:$L$9826)*(EOMONTH(vp.data[[#This Row],[SDate]],-1)+1=[1]DATA!$G$3:$G$9826),0)),vp.data[[#This Row],[Sulf Input]]),"")</f>
        <v>1.92</v>
      </c>
      <c r="J1098" s="2">
        <v>6</v>
      </c>
      <c r="K1098" s="2">
        <v>-30</v>
      </c>
      <c r="L1098" s="2">
        <v>869.3</v>
      </c>
      <c r="M1098" s="2">
        <f t="array" ref="M1098">_xlfn.IFNA(IF(vp.data[[#This Row],[Dens Input]]="",INDEX([1]DATA!$O$3:$O$9826,MATCH(1,(vp.data[[#This Row],[Battery]]=[1]DATA!$L$3:$L$9826)*(EOMONTH(vp.data[[#This Row],[SDate]],-1)+1=[1]DATA!$G$3:$G$9826),0)),vp.data[[#This Row],[Dens Input]]),"")</f>
        <v>869.3</v>
      </c>
      <c r="N1098" s="2">
        <f ca="1">INDEX(INDIRECT(_xlfn.CONCAT("weather.tbl[",N$1,"]")),MATCH(vp.data[[#This Row],[SDate]],weather.tbl[Date],0))</f>
        <v>5.166666666666667</v>
      </c>
      <c r="O1098" s="2">
        <f ca="1">INDEX(INDIRECT(_xlfn.CONCAT("weather.tbl[",O$1,"]")),MATCH(vp.data[[#This Row],[SDate]],weather.tbl[Date],0))</f>
        <v>-1.485714285714286</v>
      </c>
      <c r="P1098" s="2">
        <f ca="1">INDEX(INDIRECT(_xlfn.CONCAT("weather.tbl[",P$1,"]")),MATCH(vp.data[[#This Row],[SDate]],weather.tbl[Date],0))</f>
        <v>7.2</v>
      </c>
      <c r="Q1098" s="2">
        <f ca="1">INDEX(INDIRECT(_xlfn.CONCAT("weather.tbl[",Q$1,"]")),MATCH(vp.data[[#This Row],[SDate]],weather.tbl[Date],0))</f>
        <v>5.8</v>
      </c>
      <c r="R1098" s="2">
        <f ca="1">INDEX(INDIRECT(_xlfn.CONCAT("weather.tbl[",R$1,"]")),MATCH(vp.data[[#This Row],[SDate]],weather.tbl[Date],0))</f>
        <v>3.3</v>
      </c>
      <c r="S1098" s="2">
        <f ca="1">INDEX(INDIRECT(_xlfn.CONCAT("weather.tbl[",S$1,"]")),MATCH(vp.data[[#This Row],[SDate]],weather.tbl[Date],0))</f>
        <v>5.3</v>
      </c>
      <c r="T1098" s="2">
        <f ca="1">INDEX(INDIRECT(_xlfn.CONCAT("weather.tbl[",T$1,"]")),MATCH(vp.data[[#This Row],[SDate]],weather.tbl[Date],0))</f>
        <v>2.6</v>
      </c>
      <c r="U1098" s="2">
        <f ca="1">INDEX(INDIRECT(_xlfn.CONCAT("weather.tbl[",U$1,"]")),MATCH(vp.data[[#This Row],[SDate]],weather.tbl[Date],0))</f>
        <v>6.8</v>
      </c>
      <c r="V1098" s="2">
        <f t="array" ref="V10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363.72300000000001</v>
      </c>
      <c r="W1098" t="s">
        <v>48</v>
      </c>
      <c r="X1098">
        <f>IF(OR(vp.data[[#This Row],[Sulf]]="",vp.data[[#This Row],[Dens]]=""),1,0)</f>
        <v>0</v>
      </c>
      <c r="Y1098">
        <f>IF(vp.data[[#This Row],[CrudeType]]="C5+",1,0)</f>
        <v>0</v>
      </c>
      <c r="Z1098">
        <f>IF(AND(vp.data[[#This Row],[CrudeType]]="Crude",vp.data[[#This Row],[Dens]]&lt;=825,vp.data[[#This Row],[Sulf]]&gt;0.5,vp.data[[#This Row],[Unknown]]=0),1,0)</f>
        <v>0</v>
      </c>
      <c r="AA1098">
        <f>IF(AND(vp.data[[#This Row],[CrudeType]]="Crude",vp.data[[#This Row],[Dens]]&lt;=825,vp.data[[#This Row],[Sulf]]&lt;=0.5,vp.data[[#This Row],[Unknown]]=0),1,0)</f>
        <v>0</v>
      </c>
      <c r="AB10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098">
        <f>IF(AND(vp.data[[#This Row],[CrudeType]]="Crude",vp.data[[#This Row],[Dens]]&gt;825,vp.data[[#This Row],[Dens]]&lt;=900,vp.data[[#This Row],[Sulf]]&lt;=0.5,vp.data[[#This Row],[Unknown]]=0),1,0)</f>
        <v>0</v>
      </c>
      <c r="AD1098">
        <f>IF(AND(vp.data[[#This Row],[CrudeType]]="Crude",vp.data[[#This Row],[Dens]]&gt;865,vp.data[[#This Row],[Dens]]&lt;=900,vp.data[[#This Row],[Sulf]]&gt;2,vp.data[[#This Row],[Unknown]]=0),1,0)</f>
        <v>0</v>
      </c>
      <c r="AE1098">
        <f>IF(AND(vp.data[[#This Row],[CrudeType]]="Crude",vp.data[[#This Row],[Dens]]&gt;900,vp.data[[#This Row],[Sulf]]&lt;=0.5,vp.data[[#This Row],[Unknown]]=0),1,0)</f>
        <v>0</v>
      </c>
      <c r="AF1098">
        <f>IF(AND(vp.data[[#This Row],[CrudeType]]="Crude",vp.data[[#This Row],[Dens]]&gt;900,vp.data[[#This Row],[Sulf]]&lt;=0.5,vp.data[[#This Row],[Unknown]]=0),1,0)</f>
        <v>0</v>
      </c>
      <c r="AG1098" t="str">
        <f>INDEX(vp.data[[#Headers],[Unknown]:[Heavy_SW]],MATCH(1,vp.data[[#This Row],[Unknown]:[Heavy_SW]],0))</f>
        <v>Medium_LSB</v>
      </c>
      <c r="AH1098">
        <f>INDEX([3]!crudeBD.lkup[Number],MATCH(vp.data[[#This Row],[Crude_Breakdown]],crudeBD.lkup[Crude Breakdown],0))</f>
        <v>3</v>
      </c>
      <c r="AI1098">
        <f>MONTH(vp.data[[#This Row],[SDate]])</f>
        <v>3</v>
      </c>
      <c r="AJ1098" s="5">
        <f>(vp.data[[#This Row],[VP]]-INDEX(crudeBD.lkup[Mean_VP],MATCH(vp.data[[#This Row],[Crude_Breakdown]],crudeBD.lkup[Crude Breakdown],0)))^2</f>
        <v>71.2281402663438</v>
      </c>
      <c r="AK1098" s="5">
        <f>(vp.data[[#This Row],[Dens]]-INDEX(crudeBD.lkup[Mean_Dens],MATCH(vp.data[[#This Row],[Crude_Breakdown]],crudeBD.lkup[Crude Breakdown],0)))^2</f>
        <v>644.14440000002287</v>
      </c>
      <c r="AL1098" s="5">
        <f>(vp.data[[#This Row],[Sulf]]-INDEX(crudeBD.lkup[Mean_Sulf],MATCH(vp.data[[#This Row],[Crude_Breakdown]],crudeBD.lkup[Crude Breakdown],0)))^2</f>
        <v>0.28578847101482835</v>
      </c>
      <c r="AM1098" s="4">
        <f>IF(AND(vp.data[[#This Row],[SDate]]&gt;=DATE(YEAR(vp.data[[#This Row],[SDate]]),5,1),vp.data[[#This Row],[SDate]]&lt;=DATE(YEAR(vp.data[[#This Row],[SDate]]),9,15)),1,0)</f>
        <v>0</v>
      </c>
      <c r="AN1098" s="4">
        <f>IF(vp.data[[#This Row],[SDate]]&lt;DATE(2016,12,1),0,1)</f>
        <v>1</v>
      </c>
      <c r="AO1098" s="4">
        <f>IFERROR(vp.data[[#This Row],[Sulf]]*vp.data[[#This Row],[Net Dens]],"")</f>
        <v>607074.05548799993</v>
      </c>
      <c r="AP1098">
        <f>IFERROR(vp.data[[#This Row],[Dens]]*vp.data[[#This Row],[VolumeM3]],"")</f>
        <v>316184.40389999998</v>
      </c>
      <c r="AQ1098" s="15">
        <f>IFERROR(vp.data[[#This Row],[VP]]*vp.data[[#This Row],[VolumeM3]],"")</f>
        <v>26260.800600000002</v>
      </c>
    </row>
    <row r="1099" spans="1:43" x14ac:dyDescent="0.25">
      <c r="A1099">
        <v>1098</v>
      </c>
      <c r="B1099" t="s">
        <v>108</v>
      </c>
      <c r="C1099" t="s">
        <v>108</v>
      </c>
      <c r="D1099" t="s">
        <v>226</v>
      </c>
      <c r="F1099" s="1">
        <v>42820</v>
      </c>
      <c r="G1099" s="2">
        <v>96.5</v>
      </c>
      <c r="H1099" s="2"/>
      <c r="I1099" s="2">
        <f t="array" ref="I1099">_xlfn.IFNA(IF(vp.data[[#This Row],[Sulf Input]]="",INDEX([1]DATA!$Q$3:$Q$9826,MATCH(1,(vp.data[[#This Row],[Battery]]=[1]DATA!$L$3:$L$9826)*(EOMONTH(vp.data[[#This Row],[SDate]],-1)+1=[1]DATA!$G$3:$G$9826),0)),vp.data[[#This Row],[Sulf Input]]),"")</f>
        <v>2.42</v>
      </c>
      <c r="J1099" s="2">
        <v>7.2</v>
      </c>
      <c r="K1099" s="2">
        <v>9</v>
      </c>
      <c r="L1099" s="2">
        <v>870.4</v>
      </c>
      <c r="M1099" s="2">
        <f t="array" ref="M1099">_xlfn.IFNA(IF(vp.data[[#This Row],[Dens Input]]="",INDEX([1]DATA!$O$3:$O$9826,MATCH(1,(vp.data[[#This Row],[Battery]]=[1]DATA!$L$3:$L$9826)*(EOMONTH(vp.data[[#This Row],[SDate]],-1)+1=[1]DATA!$G$3:$G$9826),0)),vp.data[[#This Row],[Dens Input]]),"")</f>
        <v>870.4</v>
      </c>
      <c r="N1099" s="2">
        <f ca="1">INDEX(INDIRECT(_xlfn.CONCAT("weather.tbl[",N$1,"]")),MATCH(vp.data[[#This Row],[SDate]],weather.tbl[Date],0))</f>
        <v>5.166666666666667</v>
      </c>
      <c r="O1099" s="2">
        <f ca="1">INDEX(INDIRECT(_xlfn.CONCAT("weather.tbl[",O$1,"]")),MATCH(vp.data[[#This Row],[SDate]],weather.tbl[Date],0))</f>
        <v>-1.485714285714286</v>
      </c>
      <c r="P1099" s="2">
        <f ca="1">INDEX(INDIRECT(_xlfn.CONCAT("weather.tbl[",P$1,"]")),MATCH(vp.data[[#This Row],[SDate]],weather.tbl[Date],0))</f>
        <v>7.2</v>
      </c>
      <c r="Q1099" s="2">
        <f ca="1">INDEX(INDIRECT(_xlfn.CONCAT("weather.tbl[",Q$1,"]")),MATCH(vp.data[[#This Row],[SDate]],weather.tbl[Date],0))</f>
        <v>5.8</v>
      </c>
      <c r="R1099" s="2">
        <f ca="1">INDEX(INDIRECT(_xlfn.CONCAT("weather.tbl[",R$1,"]")),MATCH(vp.data[[#This Row],[SDate]],weather.tbl[Date],0))</f>
        <v>3.3</v>
      </c>
      <c r="S1099" s="2">
        <f ca="1">INDEX(INDIRECT(_xlfn.CONCAT("weather.tbl[",S$1,"]")),MATCH(vp.data[[#This Row],[SDate]],weather.tbl[Date],0))</f>
        <v>5.3</v>
      </c>
      <c r="T1099" s="2">
        <f ca="1">INDEX(INDIRECT(_xlfn.CONCAT("weather.tbl[",T$1,"]")),MATCH(vp.data[[#This Row],[SDate]],weather.tbl[Date],0))</f>
        <v>2.6</v>
      </c>
      <c r="U1099" s="2">
        <f ca="1">INDEX(INDIRECT(_xlfn.CONCAT("weather.tbl[",U$1,"]")),MATCH(vp.data[[#This Row],[SDate]],weather.tbl[Date],0))</f>
        <v>6.8</v>
      </c>
      <c r="V1099" s="2">
        <f t="array" ref="V10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1259.367</v>
      </c>
      <c r="W1099" t="s">
        <v>48</v>
      </c>
      <c r="X1099">
        <f>IF(OR(vp.data[[#This Row],[Sulf]]="",vp.data[[#This Row],[Dens]]=""),1,0)</f>
        <v>0</v>
      </c>
      <c r="Y1099">
        <f>IF(vp.data[[#This Row],[CrudeType]]="C5+",1,0)</f>
        <v>0</v>
      </c>
      <c r="Z1099">
        <f>IF(AND(vp.data[[#This Row],[CrudeType]]="Crude",vp.data[[#This Row],[Dens]]&lt;=825,vp.data[[#This Row],[Sulf]]&gt;0.5,vp.data[[#This Row],[Unknown]]=0),1,0)</f>
        <v>0</v>
      </c>
      <c r="AA1099">
        <f>IF(AND(vp.data[[#This Row],[CrudeType]]="Crude",vp.data[[#This Row],[Dens]]&lt;=825,vp.data[[#This Row],[Sulf]]&lt;=0.5,vp.data[[#This Row],[Unknown]]=0),1,0)</f>
        <v>0</v>
      </c>
      <c r="AB10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099">
        <f>IF(AND(vp.data[[#This Row],[CrudeType]]="Crude",vp.data[[#This Row],[Dens]]&gt;825,vp.data[[#This Row],[Dens]]&lt;=900,vp.data[[#This Row],[Sulf]]&lt;=0.5,vp.data[[#This Row],[Unknown]]=0),1,0)</f>
        <v>0</v>
      </c>
      <c r="AD1099">
        <f>IF(AND(vp.data[[#This Row],[CrudeType]]="Crude",vp.data[[#This Row],[Dens]]&gt;865,vp.data[[#This Row],[Dens]]&lt;=900,vp.data[[#This Row],[Sulf]]&gt;2,vp.data[[#This Row],[Unknown]]=0),1,0)</f>
        <v>1</v>
      </c>
      <c r="AE1099">
        <f>IF(AND(vp.data[[#This Row],[CrudeType]]="Crude",vp.data[[#This Row],[Dens]]&gt;900,vp.data[[#This Row],[Sulf]]&lt;=0.5,vp.data[[#This Row],[Unknown]]=0),1,0)</f>
        <v>0</v>
      </c>
      <c r="AF1099">
        <f>IF(AND(vp.data[[#This Row],[CrudeType]]="Crude",vp.data[[#This Row],[Dens]]&gt;900,vp.data[[#This Row],[Sulf]]&lt;=0.5,vp.data[[#This Row],[Unknown]]=0),1,0)</f>
        <v>0</v>
      </c>
      <c r="AG1099" t="str">
        <f>INDEX(vp.data[[#Headers],[Unknown]:[Heavy_SW]],MATCH(1,vp.data[[#This Row],[Unknown]:[Heavy_SW]],0))</f>
        <v>Midale</v>
      </c>
      <c r="AH1099">
        <f>INDEX([3]!crudeBD.lkup[Number],MATCH(vp.data[[#This Row],[Crude_Breakdown]],crudeBD.lkup[Crude Breakdown],0))</f>
        <v>5</v>
      </c>
      <c r="AI1099">
        <f>MONTH(vp.data[[#This Row],[SDate]])</f>
        <v>3</v>
      </c>
      <c r="AJ1099" s="5">
        <f>(vp.data[[#This Row],[VP]]-INDEX(crudeBD.lkup[Mean_VP],MATCH(vp.data[[#This Row],[Crude_Breakdown]],crudeBD.lkup[Crude Breakdown],0)))^2</f>
        <v>733.93512833457157</v>
      </c>
      <c r="AK1099" s="5">
        <f>(vp.data[[#This Row],[Dens]]-INDEX(crudeBD.lkup[Mean_Dens],MATCH(vp.data[[#This Row],[Crude_Breakdown]],crudeBD.lkup[Crude Breakdown],0)))^2</f>
        <v>19.509980072274143</v>
      </c>
      <c r="AL1099" s="5">
        <f>(vp.data[[#This Row],[Sulf]]-INDEX(crudeBD.lkup[Mean_Sulf],MATCH(vp.data[[#This Row],[Crude_Breakdown]],crudeBD.lkup[Crude Breakdown],0)))^2</f>
        <v>5.5769500521834657E-4</v>
      </c>
      <c r="AM1099" s="4">
        <f>IF(AND(vp.data[[#This Row],[SDate]]&gt;=DATE(YEAR(vp.data[[#This Row],[SDate]]),5,1),vp.data[[#This Row],[SDate]]&lt;=DATE(YEAR(vp.data[[#This Row],[SDate]]),9,15)),1,0)</f>
        <v>0</v>
      </c>
      <c r="AN1099" s="4">
        <f>IF(vp.data[[#This Row],[SDate]]&lt;DATE(2016,12,1),0,1)</f>
        <v>1</v>
      </c>
      <c r="AO1099" s="4">
        <f>IFERROR(vp.data[[#This Row],[Sulf]]*vp.data[[#This Row],[Net Dens]],"")</f>
        <v>2652690.3490559994</v>
      </c>
      <c r="AP1099">
        <f>IFERROR(vp.data[[#This Row],[Dens]]*vp.data[[#This Row],[VolumeM3]],"")</f>
        <v>1096153.0367999999</v>
      </c>
      <c r="AQ1099" s="15">
        <f>IFERROR(vp.data[[#This Row],[VP]]*vp.data[[#This Row],[VolumeM3]],"")</f>
        <v>121528.9155</v>
      </c>
    </row>
    <row r="1100" spans="1:43" x14ac:dyDescent="0.25">
      <c r="A1100">
        <v>1099</v>
      </c>
      <c r="B1100" t="s">
        <v>84</v>
      </c>
      <c r="C1100" t="s">
        <v>84</v>
      </c>
      <c r="D1100" t="s">
        <v>227</v>
      </c>
      <c r="F1100" s="1">
        <v>42820</v>
      </c>
      <c r="G1100" s="2">
        <v>61.1</v>
      </c>
      <c r="H1100" s="2"/>
      <c r="I1100" s="2">
        <f t="array" ref="I1100">_xlfn.IFNA(IF(vp.data[[#This Row],[Sulf Input]]="",INDEX([1]DATA!$Q$3:$Q$9826,MATCH(1,(vp.data[[#This Row],[Battery]]=[1]DATA!$L$3:$L$9826)*(EOMONTH(vp.data[[#This Row],[SDate]],-1)+1=[1]DATA!$G$3:$G$9826),0)),vp.data[[#This Row],[Sulf Input]]),"")</f>
        <v>2.2599999999999998</v>
      </c>
      <c r="J1100" s="2">
        <v>21.3</v>
      </c>
      <c r="K1100" s="2">
        <v>9</v>
      </c>
      <c r="L1100" s="2">
        <v>877.9</v>
      </c>
      <c r="M1100" s="2">
        <f t="array" ref="M1100">_xlfn.IFNA(IF(vp.data[[#This Row],[Dens Input]]="",INDEX([1]DATA!$O$3:$O$9826,MATCH(1,(vp.data[[#This Row],[Battery]]=[1]DATA!$L$3:$L$9826)*(EOMONTH(vp.data[[#This Row],[SDate]],-1)+1=[1]DATA!$G$3:$G$9826),0)),vp.data[[#This Row],[Dens Input]]),"")</f>
        <v>877.9</v>
      </c>
      <c r="N1100" s="2">
        <f ca="1">INDEX(INDIRECT(_xlfn.CONCAT("weather.tbl[",N$1,"]")),MATCH(vp.data[[#This Row],[SDate]],weather.tbl[Date],0))</f>
        <v>5.166666666666667</v>
      </c>
      <c r="O1100" s="2">
        <f ca="1">INDEX(INDIRECT(_xlfn.CONCAT("weather.tbl[",O$1,"]")),MATCH(vp.data[[#This Row],[SDate]],weather.tbl[Date],0))</f>
        <v>-1.485714285714286</v>
      </c>
      <c r="P1100" s="2">
        <f ca="1">INDEX(INDIRECT(_xlfn.CONCAT("weather.tbl[",P$1,"]")),MATCH(vp.data[[#This Row],[SDate]],weather.tbl[Date],0))</f>
        <v>7.2</v>
      </c>
      <c r="Q1100" s="2">
        <f ca="1">INDEX(INDIRECT(_xlfn.CONCAT("weather.tbl[",Q$1,"]")),MATCH(vp.data[[#This Row],[SDate]],weather.tbl[Date],0))</f>
        <v>5.8</v>
      </c>
      <c r="R1100" s="2">
        <f ca="1">INDEX(INDIRECT(_xlfn.CONCAT("weather.tbl[",R$1,"]")),MATCH(vp.data[[#This Row],[SDate]],weather.tbl[Date],0))</f>
        <v>3.3</v>
      </c>
      <c r="S1100" s="2">
        <f ca="1">INDEX(INDIRECT(_xlfn.CONCAT("weather.tbl[",S$1,"]")),MATCH(vp.data[[#This Row],[SDate]],weather.tbl[Date],0))</f>
        <v>5.3</v>
      </c>
      <c r="T1100" s="2">
        <f ca="1">INDEX(INDIRECT(_xlfn.CONCAT("weather.tbl[",T$1,"]")),MATCH(vp.data[[#This Row],[SDate]],weather.tbl[Date],0))</f>
        <v>2.6</v>
      </c>
      <c r="U1100" s="2">
        <f ca="1">INDEX(INDIRECT(_xlfn.CONCAT("weather.tbl[",U$1,"]")),MATCH(vp.data[[#This Row],[SDate]],weather.tbl[Date],0))</f>
        <v>6.8</v>
      </c>
      <c r="V1100" s="2">
        <f t="array" ref="V11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628.79600000000005</v>
      </c>
      <c r="W1100" t="s">
        <v>48</v>
      </c>
      <c r="X1100">
        <f>IF(OR(vp.data[[#This Row],[Sulf]]="",vp.data[[#This Row],[Dens]]=""),1,0)</f>
        <v>0</v>
      </c>
      <c r="Y1100">
        <f>IF(vp.data[[#This Row],[CrudeType]]="C5+",1,0)</f>
        <v>0</v>
      </c>
      <c r="Z1100">
        <f>IF(AND(vp.data[[#This Row],[CrudeType]]="Crude",vp.data[[#This Row],[Dens]]&lt;=825,vp.data[[#This Row],[Sulf]]&gt;0.5,vp.data[[#This Row],[Unknown]]=0),1,0)</f>
        <v>0</v>
      </c>
      <c r="AA1100">
        <f>IF(AND(vp.data[[#This Row],[CrudeType]]="Crude",vp.data[[#This Row],[Dens]]&lt;=825,vp.data[[#This Row],[Sulf]]&lt;=0.5,vp.data[[#This Row],[Unknown]]=0),1,0)</f>
        <v>0</v>
      </c>
      <c r="AB11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0">
        <f>IF(AND(vp.data[[#This Row],[CrudeType]]="Crude",vp.data[[#This Row],[Dens]]&gt;825,vp.data[[#This Row],[Dens]]&lt;=900,vp.data[[#This Row],[Sulf]]&lt;=0.5,vp.data[[#This Row],[Unknown]]=0),1,0)</f>
        <v>0</v>
      </c>
      <c r="AD1100">
        <f>IF(AND(vp.data[[#This Row],[CrudeType]]="Crude",vp.data[[#This Row],[Dens]]&gt;865,vp.data[[#This Row],[Dens]]&lt;=900,vp.data[[#This Row],[Sulf]]&gt;2,vp.data[[#This Row],[Unknown]]=0),1,0)</f>
        <v>1</v>
      </c>
      <c r="AE1100">
        <f>IF(AND(vp.data[[#This Row],[CrudeType]]="Crude",vp.data[[#This Row],[Dens]]&gt;900,vp.data[[#This Row],[Sulf]]&lt;=0.5,vp.data[[#This Row],[Unknown]]=0),1,0)</f>
        <v>0</v>
      </c>
      <c r="AF1100">
        <f>IF(AND(vp.data[[#This Row],[CrudeType]]="Crude",vp.data[[#This Row],[Dens]]&gt;900,vp.data[[#This Row],[Sulf]]&lt;=0.5,vp.data[[#This Row],[Unknown]]=0),1,0)</f>
        <v>0</v>
      </c>
      <c r="AG1100" t="str">
        <f>INDEX(vp.data[[#Headers],[Unknown]:[Heavy_SW]],MATCH(1,vp.data[[#This Row],[Unknown]:[Heavy_SW]],0))</f>
        <v>Midale</v>
      </c>
      <c r="AH1100">
        <f>INDEX([3]!crudeBD.lkup[Number],MATCH(vp.data[[#This Row],[Crude_Breakdown]],crudeBD.lkup[Crude Breakdown],0))</f>
        <v>5</v>
      </c>
      <c r="AI1100">
        <f>MONTH(vp.data[[#This Row],[SDate]])</f>
        <v>3</v>
      </c>
      <c r="AJ1100" s="5">
        <f>(vp.data[[#This Row],[VP]]-INDEX(crudeBD.lkup[Mean_VP],MATCH(vp.data[[#This Row],[Crude_Breakdown]],crudeBD.lkup[Crude Breakdown],0)))^2</f>
        <v>69.035540705707803</v>
      </c>
      <c r="AK1100" s="5">
        <f>(vp.data[[#This Row],[Dens]]-INDEX(crudeBD.lkup[Mean_Dens],MATCH(vp.data[[#This Row],[Crude_Breakdown]],crudeBD.lkup[Crude Breakdown],0)))^2</f>
        <v>9.5048254330939379</v>
      </c>
      <c r="AL1100" s="5">
        <f>(vp.data[[#This Row],[Sulf]]-INDEX(crudeBD.lkup[Mean_Sulf],MATCH(vp.data[[#This Row],[Crude_Breakdown]],crudeBD.lkup[Crude Breakdown],0)))^2</f>
        <v>3.3714676448516952E-2</v>
      </c>
      <c r="AM1100" s="4">
        <f>IF(AND(vp.data[[#This Row],[SDate]]&gt;=DATE(YEAR(vp.data[[#This Row],[SDate]]),5,1),vp.data[[#This Row],[SDate]]&lt;=DATE(YEAR(vp.data[[#This Row],[SDate]]),9,15)),1,0)</f>
        <v>0</v>
      </c>
      <c r="AN1100" s="4">
        <f>IF(vp.data[[#This Row],[SDate]]&lt;DATE(2016,12,1),0,1)</f>
        <v>1</v>
      </c>
      <c r="AO1100" s="4">
        <f>IFERROR(vp.data[[#This Row],[Sulf]]*vp.data[[#This Row],[Net Dens]],"")</f>
        <v>1247565.2189839999</v>
      </c>
      <c r="AP1100">
        <f>IFERROR(vp.data[[#This Row],[Dens]]*vp.data[[#This Row],[VolumeM3]],"")</f>
        <v>552020.00840000005</v>
      </c>
      <c r="AQ1100" s="15">
        <f>IFERROR(vp.data[[#This Row],[VP]]*vp.data[[#This Row],[VolumeM3]],"")</f>
        <v>38419.435600000004</v>
      </c>
    </row>
    <row r="1101" spans="1:43" x14ac:dyDescent="0.25">
      <c r="A1101">
        <v>1100</v>
      </c>
      <c r="B1101" t="s">
        <v>108</v>
      </c>
      <c r="C1101" t="s">
        <v>108</v>
      </c>
      <c r="D1101" t="s">
        <v>228</v>
      </c>
      <c r="F1101" s="1">
        <v>42820</v>
      </c>
      <c r="G1101" s="2">
        <v>65.7</v>
      </c>
      <c r="H1101" s="2"/>
      <c r="I1101" s="2">
        <f t="array" ref="I1101">_xlfn.IFNA(IF(vp.data[[#This Row],[Sulf Input]]="",INDEX([1]DATA!$Q$3:$Q$9826,MATCH(1,(vp.data[[#This Row],[Battery]]=[1]DATA!$L$3:$L$9826)*(EOMONTH(vp.data[[#This Row],[SDate]],-1)+1=[1]DATA!$G$3:$G$9826),0)),vp.data[[#This Row],[Sulf Input]]),"")</f>
        <v>2.46</v>
      </c>
      <c r="J1101" s="2">
        <v>19.5</v>
      </c>
      <c r="K1101" s="2">
        <v>9</v>
      </c>
      <c r="L1101" s="2">
        <v>880</v>
      </c>
      <c r="M1101" s="2">
        <f t="array" ref="M1101">_xlfn.IFNA(IF(vp.data[[#This Row],[Dens Input]]="",INDEX([1]DATA!$O$3:$O$9826,MATCH(1,(vp.data[[#This Row],[Battery]]=[1]DATA!$L$3:$L$9826)*(EOMONTH(vp.data[[#This Row],[SDate]],-1)+1=[1]DATA!$G$3:$G$9826),0)),vp.data[[#This Row],[Dens Input]]),"")</f>
        <v>880</v>
      </c>
      <c r="N1101" s="2">
        <f ca="1">INDEX(INDIRECT(_xlfn.CONCAT("weather.tbl[",N$1,"]")),MATCH(vp.data[[#This Row],[SDate]],weather.tbl[Date],0))</f>
        <v>5.166666666666667</v>
      </c>
      <c r="O1101" s="2">
        <f ca="1">INDEX(INDIRECT(_xlfn.CONCAT("weather.tbl[",O$1,"]")),MATCH(vp.data[[#This Row],[SDate]],weather.tbl[Date],0))</f>
        <v>-1.485714285714286</v>
      </c>
      <c r="P1101" s="2">
        <f ca="1">INDEX(INDIRECT(_xlfn.CONCAT("weather.tbl[",P$1,"]")),MATCH(vp.data[[#This Row],[SDate]],weather.tbl[Date],0))</f>
        <v>7.2</v>
      </c>
      <c r="Q1101" s="2">
        <f ca="1">INDEX(INDIRECT(_xlfn.CONCAT("weather.tbl[",Q$1,"]")),MATCH(vp.data[[#This Row],[SDate]],weather.tbl[Date],0))</f>
        <v>5.8</v>
      </c>
      <c r="R1101" s="2">
        <f ca="1">INDEX(INDIRECT(_xlfn.CONCAT("weather.tbl[",R$1,"]")),MATCH(vp.data[[#This Row],[SDate]],weather.tbl[Date],0))</f>
        <v>3.3</v>
      </c>
      <c r="S1101" s="2">
        <f ca="1">INDEX(INDIRECT(_xlfn.CONCAT("weather.tbl[",S$1,"]")),MATCH(vp.data[[#This Row],[SDate]],weather.tbl[Date],0))</f>
        <v>5.3</v>
      </c>
      <c r="T1101" s="2">
        <f ca="1">INDEX(INDIRECT(_xlfn.CONCAT("weather.tbl[",T$1,"]")),MATCH(vp.data[[#This Row],[SDate]],weather.tbl[Date],0))</f>
        <v>2.6</v>
      </c>
      <c r="U1101" s="2">
        <f ca="1">INDEX(INDIRECT(_xlfn.CONCAT("weather.tbl[",U$1,"]")),MATCH(vp.data[[#This Row],[SDate]],weather.tbl[Date],0))</f>
        <v>6.8</v>
      </c>
      <c r="V1101" s="2">
        <f t="array" ref="V11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795.88900000000001</v>
      </c>
      <c r="W1101" t="s">
        <v>48</v>
      </c>
      <c r="X1101">
        <f>IF(OR(vp.data[[#This Row],[Sulf]]="",vp.data[[#This Row],[Dens]]=""),1,0)</f>
        <v>0</v>
      </c>
      <c r="Y1101">
        <f>IF(vp.data[[#This Row],[CrudeType]]="C5+",1,0)</f>
        <v>0</v>
      </c>
      <c r="Z1101">
        <f>IF(AND(vp.data[[#This Row],[CrudeType]]="Crude",vp.data[[#This Row],[Dens]]&lt;=825,vp.data[[#This Row],[Sulf]]&gt;0.5,vp.data[[#This Row],[Unknown]]=0),1,0)</f>
        <v>0</v>
      </c>
      <c r="AA1101">
        <f>IF(AND(vp.data[[#This Row],[CrudeType]]="Crude",vp.data[[#This Row],[Dens]]&lt;=825,vp.data[[#This Row],[Sulf]]&lt;=0.5,vp.data[[#This Row],[Unknown]]=0),1,0)</f>
        <v>0</v>
      </c>
      <c r="AB11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1">
        <f>IF(AND(vp.data[[#This Row],[CrudeType]]="Crude",vp.data[[#This Row],[Dens]]&gt;825,vp.data[[#This Row],[Dens]]&lt;=900,vp.data[[#This Row],[Sulf]]&lt;=0.5,vp.data[[#This Row],[Unknown]]=0),1,0)</f>
        <v>0</v>
      </c>
      <c r="AD1101">
        <f>IF(AND(vp.data[[#This Row],[CrudeType]]="Crude",vp.data[[#This Row],[Dens]]&gt;865,vp.data[[#This Row],[Dens]]&lt;=900,vp.data[[#This Row],[Sulf]]&gt;2,vp.data[[#This Row],[Unknown]]=0),1,0)</f>
        <v>1</v>
      </c>
      <c r="AE1101">
        <f>IF(AND(vp.data[[#This Row],[CrudeType]]="Crude",vp.data[[#This Row],[Dens]]&gt;900,vp.data[[#This Row],[Sulf]]&lt;=0.5,vp.data[[#This Row],[Unknown]]=0),1,0)</f>
        <v>0</v>
      </c>
      <c r="AF1101">
        <f>IF(AND(vp.data[[#This Row],[CrudeType]]="Crude",vp.data[[#This Row],[Dens]]&gt;900,vp.data[[#This Row],[Sulf]]&lt;=0.5,vp.data[[#This Row],[Unknown]]=0),1,0)</f>
        <v>0</v>
      </c>
      <c r="AG1101" t="str">
        <f>INDEX(vp.data[[#Headers],[Unknown]:[Heavy_SW]],MATCH(1,vp.data[[#This Row],[Unknown]:[Heavy_SW]],0))</f>
        <v>Midale</v>
      </c>
      <c r="AH1101">
        <f>INDEX([3]!crudeBD.lkup[Number],MATCH(vp.data[[#This Row],[Crude_Breakdown]],crudeBD.lkup[Crude Breakdown],0))</f>
        <v>5</v>
      </c>
      <c r="AI1101">
        <f>MONTH(vp.data[[#This Row],[SDate]])</f>
        <v>3</v>
      </c>
      <c r="AJ1101" s="5">
        <f>(vp.data[[#This Row],[VP]]-INDEX(crudeBD.lkup[Mean_VP],MATCH(vp.data[[#This Row],[Crude_Breakdown]],crudeBD.lkup[Crude Breakdown],0)))^2</f>
        <v>13.754922149006482</v>
      </c>
      <c r="AK1101" s="5">
        <f>(vp.data[[#This Row],[Dens]]-INDEX(crudeBD.lkup[Mean_Dens],MATCH(vp.data[[#This Row],[Crude_Breakdown]],crudeBD.lkup[Crude Breakdown],0)))^2</f>
        <v>26.863382134123718</v>
      </c>
      <c r="AL1101" s="5">
        <f>(vp.data[[#This Row],[Sulf]]-INDEX(crudeBD.lkup[Mean_Sulf],MATCH(vp.data[[#This Row],[Crude_Breakdown]],crudeBD.lkup[Crude Breakdown],0)))^2</f>
        <v>2.6844964439370932E-4</v>
      </c>
      <c r="AM1101" s="4">
        <f>IF(AND(vp.data[[#This Row],[SDate]]&gt;=DATE(YEAR(vp.data[[#This Row],[SDate]]),5,1),vp.data[[#This Row],[SDate]]&lt;=DATE(YEAR(vp.data[[#This Row],[SDate]]),9,15)),1,0)</f>
        <v>0</v>
      </c>
      <c r="AN1101" s="4">
        <f>IF(vp.data[[#This Row],[SDate]]&lt;DATE(2016,12,1),0,1)</f>
        <v>1</v>
      </c>
      <c r="AO1101" s="4">
        <f>IFERROR(vp.data[[#This Row],[Sulf]]*vp.data[[#This Row],[Net Dens]],"")</f>
        <v>1722940.5072000001</v>
      </c>
      <c r="AP1101">
        <f>IFERROR(vp.data[[#This Row],[Dens]]*vp.data[[#This Row],[VolumeM3]],"")</f>
        <v>700382.32000000007</v>
      </c>
      <c r="AQ1101" s="15">
        <f>IFERROR(vp.data[[#This Row],[VP]]*vp.data[[#This Row],[VolumeM3]],"")</f>
        <v>52289.907300000006</v>
      </c>
    </row>
    <row r="1102" spans="1:43" x14ac:dyDescent="0.25">
      <c r="A1102">
        <v>1101</v>
      </c>
      <c r="B1102" t="s">
        <v>229</v>
      </c>
      <c r="C1102" t="s">
        <v>229</v>
      </c>
      <c r="D1102" t="s">
        <v>230</v>
      </c>
      <c r="F1102" s="1">
        <v>42820</v>
      </c>
      <c r="G1102" s="2">
        <v>72.599999999999994</v>
      </c>
      <c r="H1102" s="2"/>
      <c r="I1102" s="2">
        <f t="array" ref="I1102">_xlfn.IFNA(IF(vp.data[[#This Row],[Sulf Input]]="",INDEX([1]DATA!$Q$3:$Q$9826,MATCH(1,(vp.data[[#This Row],[Battery]]=[1]DATA!$L$3:$L$9826)*(EOMONTH(vp.data[[#This Row],[SDate]],-1)+1=[1]DATA!$G$3:$G$9826),0)),vp.data[[#This Row],[Sulf Input]]),"")</f>
        <v>2.2999999999999998</v>
      </c>
      <c r="J1102" s="2">
        <v>1</v>
      </c>
      <c r="K1102" s="2">
        <v>-30</v>
      </c>
      <c r="L1102" s="2">
        <v>880</v>
      </c>
      <c r="M1102" s="2">
        <f t="array" ref="M1102">_xlfn.IFNA(IF(vp.data[[#This Row],[Dens Input]]="",INDEX([1]DATA!$O$3:$O$9826,MATCH(1,(vp.data[[#This Row],[Battery]]=[1]DATA!$L$3:$L$9826)*(EOMONTH(vp.data[[#This Row],[SDate]],-1)+1=[1]DATA!$G$3:$G$9826),0)),vp.data[[#This Row],[Dens Input]]),"")</f>
        <v>880</v>
      </c>
      <c r="N1102" s="2">
        <f ca="1">INDEX(INDIRECT(_xlfn.CONCAT("weather.tbl[",N$1,"]")),MATCH(vp.data[[#This Row],[SDate]],weather.tbl[Date],0))</f>
        <v>5.166666666666667</v>
      </c>
      <c r="O1102" s="2">
        <f ca="1">INDEX(INDIRECT(_xlfn.CONCAT("weather.tbl[",O$1,"]")),MATCH(vp.data[[#This Row],[SDate]],weather.tbl[Date],0))</f>
        <v>-1.485714285714286</v>
      </c>
      <c r="P1102" s="2">
        <f ca="1">INDEX(INDIRECT(_xlfn.CONCAT("weather.tbl[",P$1,"]")),MATCH(vp.data[[#This Row],[SDate]],weather.tbl[Date],0))</f>
        <v>7.2</v>
      </c>
      <c r="Q1102" s="2">
        <f ca="1">INDEX(INDIRECT(_xlfn.CONCAT("weather.tbl[",Q$1,"]")),MATCH(vp.data[[#This Row],[SDate]],weather.tbl[Date],0))</f>
        <v>5.8</v>
      </c>
      <c r="R1102" s="2">
        <f ca="1">INDEX(INDIRECT(_xlfn.CONCAT("weather.tbl[",R$1,"]")),MATCH(vp.data[[#This Row],[SDate]],weather.tbl[Date],0))</f>
        <v>3.3</v>
      </c>
      <c r="S1102" s="2">
        <f ca="1">INDEX(INDIRECT(_xlfn.CONCAT("weather.tbl[",S$1,"]")),MATCH(vp.data[[#This Row],[SDate]],weather.tbl[Date],0))</f>
        <v>5.3</v>
      </c>
      <c r="T1102" s="2">
        <f ca="1">INDEX(INDIRECT(_xlfn.CONCAT("weather.tbl[",T$1,"]")),MATCH(vp.data[[#This Row],[SDate]],weather.tbl[Date],0))</f>
        <v>2.6</v>
      </c>
      <c r="U1102" s="2">
        <f ca="1">INDEX(INDIRECT(_xlfn.CONCAT("weather.tbl[",U$1,"]")),MATCH(vp.data[[#This Row],[SDate]],weather.tbl[Date],0))</f>
        <v>6.8</v>
      </c>
      <c r="V1102" s="2">
        <f t="array" ref="V11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2585.989</v>
      </c>
      <c r="W1102" t="s">
        <v>48</v>
      </c>
      <c r="X1102">
        <f>IF(OR(vp.data[[#This Row],[Sulf]]="",vp.data[[#This Row],[Dens]]=""),1,0)</f>
        <v>0</v>
      </c>
      <c r="Y1102">
        <f>IF(vp.data[[#This Row],[CrudeType]]="C5+",1,0)</f>
        <v>0</v>
      </c>
      <c r="Z1102">
        <f>IF(AND(vp.data[[#This Row],[CrudeType]]="Crude",vp.data[[#This Row],[Dens]]&lt;=825,vp.data[[#This Row],[Sulf]]&gt;0.5,vp.data[[#This Row],[Unknown]]=0),1,0)</f>
        <v>0</v>
      </c>
      <c r="AA1102">
        <f>IF(AND(vp.data[[#This Row],[CrudeType]]="Crude",vp.data[[#This Row],[Dens]]&lt;=825,vp.data[[#This Row],[Sulf]]&lt;=0.5,vp.data[[#This Row],[Unknown]]=0),1,0)</f>
        <v>0</v>
      </c>
      <c r="AB11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2">
        <f>IF(AND(vp.data[[#This Row],[CrudeType]]="Crude",vp.data[[#This Row],[Dens]]&gt;825,vp.data[[#This Row],[Dens]]&lt;=900,vp.data[[#This Row],[Sulf]]&lt;=0.5,vp.data[[#This Row],[Unknown]]=0),1,0)</f>
        <v>0</v>
      </c>
      <c r="AD1102">
        <f>IF(AND(vp.data[[#This Row],[CrudeType]]="Crude",vp.data[[#This Row],[Dens]]&gt;865,vp.data[[#This Row],[Dens]]&lt;=900,vp.data[[#This Row],[Sulf]]&gt;2,vp.data[[#This Row],[Unknown]]=0),1,0)</f>
        <v>1</v>
      </c>
      <c r="AE1102">
        <f>IF(AND(vp.data[[#This Row],[CrudeType]]="Crude",vp.data[[#This Row],[Dens]]&gt;900,vp.data[[#This Row],[Sulf]]&lt;=0.5,vp.data[[#This Row],[Unknown]]=0),1,0)</f>
        <v>0</v>
      </c>
      <c r="AF1102">
        <f>IF(AND(vp.data[[#This Row],[CrudeType]]="Crude",vp.data[[#This Row],[Dens]]&gt;900,vp.data[[#This Row],[Sulf]]&lt;=0.5,vp.data[[#This Row],[Unknown]]=0),1,0)</f>
        <v>0</v>
      </c>
      <c r="AG1102" t="str">
        <f>INDEX(vp.data[[#Headers],[Unknown]:[Heavy_SW]],MATCH(1,vp.data[[#This Row],[Unknown]:[Heavy_SW]],0))</f>
        <v>Midale</v>
      </c>
      <c r="AH1102">
        <f>INDEX([3]!crudeBD.lkup[Number],MATCH(vp.data[[#This Row],[Crude_Breakdown]],crudeBD.lkup[Crude Breakdown],0))</f>
        <v>5</v>
      </c>
      <c r="AI1102">
        <f>MONTH(vp.data[[#This Row],[SDate]])</f>
        <v>3</v>
      </c>
      <c r="AJ1102" s="5">
        <f>(vp.data[[#This Row],[VP]]-INDEX(crudeBD.lkup[Mean_VP],MATCH(vp.data[[#This Row],[Crude_Breakdown]],crudeBD.lkup[Crude Breakdown],0)))^2</f>
        <v>10.183994313954488</v>
      </c>
      <c r="AK1102" s="5">
        <f>(vp.data[[#This Row],[Dens]]-INDEX(crudeBD.lkup[Mean_Dens],MATCH(vp.data[[#This Row],[Crude_Breakdown]],crudeBD.lkup[Crude Breakdown],0)))^2</f>
        <v>26.863382134123718</v>
      </c>
      <c r="AL1102" s="5">
        <f>(vp.data[[#This Row],[Sulf]]-INDEX(crudeBD.lkup[Mean_Sulf],MATCH(vp.data[[#This Row],[Crude_Breakdown]],crudeBD.lkup[Crude Breakdown],0)))^2</f>
        <v>2.0625431087692294E-2</v>
      </c>
      <c r="AM1102" s="4">
        <f>IF(AND(vp.data[[#This Row],[SDate]]&gt;=DATE(YEAR(vp.data[[#This Row],[SDate]]),5,1),vp.data[[#This Row],[SDate]]&lt;=DATE(YEAR(vp.data[[#This Row],[SDate]]),9,15)),1,0)</f>
        <v>0</v>
      </c>
      <c r="AN1102" s="4">
        <f>IF(vp.data[[#This Row],[SDate]]&lt;DATE(2016,12,1),0,1)</f>
        <v>1</v>
      </c>
      <c r="AO1102" s="4">
        <f>IFERROR(vp.data[[#This Row],[Sulf]]*vp.data[[#This Row],[Net Dens]],"")</f>
        <v>5234041.7359999996</v>
      </c>
      <c r="AP1102">
        <f>IFERROR(vp.data[[#This Row],[Dens]]*vp.data[[#This Row],[VolumeM3]],"")</f>
        <v>2275670.3199999998</v>
      </c>
      <c r="AQ1102" s="15">
        <f>IFERROR(vp.data[[#This Row],[VP]]*vp.data[[#This Row],[VolumeM3]],"")</f>
        <v>187742.8014</v>
      </c>
    </row>
    <row r="1103" spans="1:43" x14ac:dyDescent="0.25">
      <c r="A1103">
        <v>1102</v>
      </c>
      <c r="B1103" t="s">
        <v>49</v>
      </c>
      <c r="C1103" t="s">
        <v>49</v>
      </c>
      <c r="D1103" t="s">
        <v>75</v>
      </c>
      <c r="F1103" s="1">
        <v>42821</v>
      </c>
      <c r="G1103" s="2">
        <v>89.6</v>
      </c>
      <c r="H1103" s="2">
        <v>0.16500000000000001</v>
      </c>
      <c r="I1103" s="2">
        <f t="array" ref="I1103">_xlfn.IFNA(IF(vp.data[[#This Row],[Sulf Input]]="",INDEX([1]DATA!$Q$3:$Q$9826,MATCH(1,(vp.data[[#This Row],[Battery]]=[1]DATA!$L$3:$L$9826)*(EOMONTH(vp.data[[#This Row],[SDate]],-1)+1=[1]DATA!$G$3:$G$9826),0)),vp.data[[#This Row],[Sulf Input]]),"")</f>
        <v>0.16500000000000001</v>
      </c>
      <c r="J1103" s="2">
        <v>28.2</v>
      </c>
      <c r="K1103" s="2">
        <v>-12</v>
      </c>
      <c r="L1103" s="2">
        <v>801.9</v>
      </c>
      <c r="M1103" s="2">
        <f t="array" ref="M1103">_xlfn.IFNA(IF(vp.data[[#This Row],[Dens Input]]="",INDEX([1]DATA!$O$3:$O$9826,MATCH(1,(vp.data[[#This Row],[Battery]]=[1]DATA!$L$3:$L$9826)*(EOMONTH(vp.data[[#This Row],[SDate]],-1)+1=[1]DATA!$G$3:$G$9826),0)),vp.data[[#This Row],[Dens Input]]),"")</f>
        <v>801.9</v>
      </c>
      <c r="N1103" s="2">
        <f ca="1">INDEX(INDIRECT(_xlfn.CONCAT("weather.tbl[",N$1,"]")),MATCH(vp.data[[#This Row],[SDate]],weather.tbl[Date],0))</f>
        <v>1.4666666666666668</v>
      </c>
      <c r="O1103" s="2">
        <f ca="1">INDEX(INDIRECT(_xlfn.CONCAT("weather.tbl[",O$1,"]")),MATCH(vp.data[[#This Row],[SDate]],weather.tbl[Date],0))</f>
        <v>-0.90238095238095273</v>
      </c>
      <c r="P1103" s="2">
        <f ca="1">INDEX(INDIRECT(_xlfn.CONCAT("weather.tbl[",P$1,"]")),MATCH(vp.data[[#This Row],[SDate]],weather.tbl[Date],0))</f>
        <v>0.7</v>
      </c>
      <c r="Q1103" s="2">
        <f ca="1">INDEX(INDIRECT(_xlfn.CONCAT("weather.tbl[",Q$1,"]")),MATCH(vp.data[[#This Row],[SDate]],weather.tbl[Date],0))</f>
        <v>3</v>
      </c>
      <c r="R1103" s="2">
        <f ca="1">INDEX(INDIRECT(_xlfn.CONCAT("weather.tbl[",R$1,"]")),MATCH(vp.data[[#This Row],[SDate]],weather.tbl[Date],0))</f>
        <v>1.3</v>
      </c>
      <c r="S1103" s="2">
        <f ca="1">INDEX(INDIRECT(_xlfn.CONCAT("weather.tbl[",S$1,"]")),MATCH(vp.data[[#This Row],[SDate]],weather.tbl[Date],0))</f>
        <v>3.3</v>
      </c>
      <c r="T1103" s="2">
        <f ca="1">INDEX(INDIRECT(_xlfn.CONCAT("weather.tbl[",T$1,"]")),MATCH(vp.data[[#This Row],[SDate]],weather.tbl[Date],0))</f>
        <v>-0.3</v>
      </c>
      <c r="U1103" s="2">
        <f ca="1">INDEX(INDIRECT(_xlfn.CONCAT("weather.tbl[",U$1,"]")),MATCH(vp.data[[#This Row],[SDate]],weather.tbl[Date],0))</f>
        <v>0.8</v>
      </c>
      <c r="V1103" s="2">
        <f t="array" ref="V11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1638.6679999999999</v>
      </c>
      <c r="W1103" t="s">
        <v>48</v>
      </c>
      <c r="X1103">
        <f>IF(OR(vp.data[[#This Row],[Sulf]]="",vp.data[[#This Row],[Dens]]=""),1,0)</f>
        <v>0</v>
      </c>
      <c r="Y1103">
        <f>IF(vp.data[[#This Row],[CrudeType]]="C5+",1,0)</f>
        <v>0</v>
      </c>
      <c r="Z1103">
        <f>IF(AND(vp.data[[#This Row],[CrudeType]]="Crude",vp.data[[#This Row],[Dens]]&lt;=825,vp.data[[#This Row],[Sulf]]&gt;0.5,vp.data[[#This Row],[Unknown]]=0),1,0)</f>
        <v>0</v>
      </c>
      <c r="AA1103">
        <f>IF(AND(vp.data[[#This Row],[CrudeType]]="Crude",vp.data[[#This Row],[Dens]]&lt;=825,vp.data[[#This Row],[Sulf]]&lt;=0.5,vp.data[[#This Row],[Unknown]]=0),1,0)</f>
        <v>1</v>
      </c>
      <c r="AB11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3">
        <f>IF(AND(vp.data[[#This Row],[CrudeType]]="Crude",vp.data[[#This Row],[Dens]]&gt;825,vp.data[[#This Row],[Dens]]&lt;=900,vp.data[[#This Row],[Sulf]]&lt;=0.5,vp.data[[#This Row],[Unknown]]=0),1,0)</f>
        <v>0</v>
      </c>
      <c r="AD1103">
        <f>IF(AND(vp.data[[#This Row],[CrudeType]]="Crude",vp.data[[#This Row],[Dens]]&gt;865,vp.data[[#This Row],[Dens]]&lt;=900,vp.data[[#This Row],[Sulf]]&gt;2,vp.data[[#This Row],[Unknown]]=0),1,0)</f>
        <v>0</v>
      </c>
      <c r="AE1103">
        <f>IF(AND(vp.data[[#This Row],[CrudeType]]="Crude",vp.data[[#This Row],[Dens]]&gt;900,vp.data[[#This Row],[Sulf]]&lt;=0.5,vp.data[[#This Row],[Unknown]]=0),1,0)</f>
        <v>0</v>
      </c>
      <c r="AF1103">
        <f>IF(AND(vp.data[[#This Row],[CrudeType]]="Crude",vp.data[[#This Row],[Dens]]&gt;900,vp.data[[#This Row],[Sulf]]&lt;=0.5,vp.data[[#This Row],[Unknown]]=0),1,0)</f>
        <v>0</v>
      </c>
      <c r="AG1103" t="str">
        <f>INDEX(vp.data[[#Headers],[Unknown]:[Heavy_SW]],MATCH(1,vp.data[[#This Row],[Unknown]:[Heavy_SW]],0))</f>
        <v>Light_SW</v>
      </c>
      <c r="AH1103">
        <f>INDEX([3]!crudeBD.lkup[Number],MATCH(vp.data[[#This Row],[Crude_Breakdown]],crudeBD.lkup[Crude Breakdown],0))</f>
        <v>2</v>
      </c>
      <c r="AI1103">
        <f>MONTH(vp.data[[#This Row],[SDate]])</f>
        <v>3</v>
      </c>
      <c r="AJ1103" s="5">
        <f>(vp.data[[#This Row],[VP]]-INDEX(crudeBD.lkup[Mean_VP],MATCH(vp.data[[#This Row],[Crude_Breakdown]],crudeBD.lkup[Crude Breakdown],0)))^2</f>
        <v>8.7043502725538549</v>
      </c>
      <c r="AK1103" s="5">
        <f>(vp.data[[#This Row],[Dens]]-INDEX(crudeBD.lkup[Mean_Dens],MATCH(vp.data[[#This Row],[Crude_Breakdown]],crudeBD.lkup[Crude Breakdown],0)))^2</f>
        <v>41.10730991027927</v>
      </c>
      <c r="AL1103" s="5">
        <f>(vp.data[[#This Row],[Sulf]]-INDEX(crudeBD.lkup[Mean_Sulf],MATCH(vp.data[[#This Row],[Crude_Breakdown]],crudeBD.lkup[Crude Breakdown],0)))^2</f>
        <v>5.0753957551991418E-3</v>
      </c>
      <c r="AM1103" s="4">
        <f>IF(AND(vp.data[[#This Row],[SDate]]&gt;=DATE(YEAR(vp.data[[#This Row],[SDate]]),5,1),vp.data[[#This Row],[SDate]]&lt;=DATE(YEAR(vp.data[[#This Row],[SDate]]),9,15)),1,0)</f>
        <v>0</v>
      </c>
      <c r="AN1103" s="4">
        <f>IF(vp.data[[#This Row],[SDate]]&lt;DATE(2016,12,1),0,1)</f>
        <v>1</v>
      </c>
      <c r="AO1103" s="4">
        <f>IFERROR(vp.data[[#This Row],[Sulf]]*vp.data[[#This Row],[Net Dens]],"")</f>
        <v>216817.898418</v>
      </c>
      <c r="AP1103">
        <f>IFERROR(vp.data[[#This Row],[Dens]]*vp.data[[#This Row],[VolumeM3]],"")</f>
        <v>1314047.8691999998</v>
      </c>
      <c r="AQ1103" s="15">
        <f>IFERROR(vp.data[[#This Row],[VP]]*vp.data[[#This Row],[VolumeM3]],"")</f>
        <v>146824.65279999998</v>
      </c>
    </row>
    <row r="1104" spans="1:43" x14ac:dyDescent="0.25">
      <c r="A1104">
        <v>1103</v>
      </c>
      <c r="B1104" t="s">
        <v>49</v>
      </c>
      <c r="C1104" t="s">
        <v>49</v>
      </c>
      <c r="D1104" t="s">
        <v>75</v>
      </c>
      <c r="F1104" s="1">
        <v>42821</v>
      </c>
      <c r="G1104" s="2">
        <v>85.7</v>
      </c>
      <c r="H1104" s="2">
        <v>0.19600000000000001</v>
      </c>
      <c r="I1104" s="2">
        <f t="array" ref="I1104">_xlfn.IFNA(IF(vp.data[[#This Row],[Sulf Input]]="",INDEX([1]DATA!$Q$3:$Q$9826,MATCH(1,(vp.data[[#This Row],[Battery]]=[1]DATA!$L$3:$L$9826)*(EOMONTH(vp.data[[#This Row],[SDate]],-1)+1=[1]DATA!$G$3:$G$9826),0)),vp.data[[#This Row],[Sulf Input]]),"")</f>
        <v>0.19600000000000001</v>
      </c>
      <c r="J1104" s="2">
        <v>29.2</v>
      </c>
      <c r="K1104" s="2">
        <v>4</v>
      </c>
      <c r="L1104" s="2">
        <v>803.8</v>
      </c>
      <c r="M1104" s="2">
        <f t="array" ref="M1104">_xlfn.IFNA(IF(vp.data[[#This Row],[Dens Input]]="",INDEX([1]DATA!$O$3:$O$9826,MATCH(1,(vp.data[[#This Row],[Battery]]=[1]DATA!$L$3:$L$9826)*(EOMONTH(vp.data[[#This Row],[SDate]],-1)+1=[1]DATA!$G$3:$G$9826),0)),vp.data[[#This Row],[Dens Input]]),"")</f>
        <v>803.8</v>
      </c>
      <c r="N1104" s="2">
        <f ca="1">INDEX(INDIRECT(_xlfn.CONCAT("weather.tbl[",N$1,"]")),MATCH(vp.data[[#This Row],[SDate]],weather.tbl[Date],0))</f>
        <v>1.4666666666666668</v>
      </c>
      <c r="O1104" s="2">
        <f ca="1">INDEX(INDIRECT(_xlfn.CONCAT("weather.tbl[",O$1,"]")),MATCH(vp.data[[#This Row],[SDate]],weather.tbl[Date],0))</f>
        <v>-0.90238095238095273</v>
      </c>
      <c r="P1104" s="2">
        <f ca="1">INDEX(INDIRECT(_xlfn.CONCAT("weather.tbl[",P$1,"]")),MATCH(vp.data[[#This Row],[SDate]],weather.tbl[Date],0))</f>
        <v>0.7</v>
      </c>
      <c r="Q1104" s="2">
        <f ca="1">INDEX(INDIRECT(_xlfn.CONCAT("weather.tbl[",Q$1,"]")),MATCH(vp.data[[#This Row],[SDate]],weather.tbl[Date],0))</f>
        <v>3</v>
      </c>
      <c r="R1104" s="2">
        <f ca="1">INDEX(INDIRECT(_xlfn.CONCAT("weather.tbl[",R$1,"]")),MATCH(vp.data[[#This Row],[SDate]],weather.tbl[Date],0))</f>
        <v>1.3</v>
      </c>
      <c r="S1104" s="2">
        <f ca="1">INDEX(INDIRECT(_xlfn.CONCAT("weather.tbl[",S$1,"]")),MATCH(vp.data[[#This Row],[SDate]],weather.tbl[Date],0))</f>
        <v>3.3</v>
      </c>
      <c r="T1104" s="2">
        <f ca="1">INDEX(INDIRECT(_xlfn.CONCAT("weather.tbl[",T$1,"]")),MATCH(vp.data[[#This Row],[SDate]],weather.tbl[Date],0))</f>
        <v>-0.3</v>
      </c>
      <c r="U1104" s="2">
        <f ca="1">INDEX(INDIRECT(_xlfn.CONCAT("weather.tbl[",U$1,"]")),MATCH(vp.data[[#This Row],[SDate]],weather.tbl[Date],0))</f>
        <v>0.8</v>
      </c>
      <c r="V1104" s="2">
        <f t="array" ref="V11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1638.6679999999999</v>
      </c>
      <c r="W1104" t="s">
        <v>48</v>
      </c>
      <c r="X1104">
        <f>IF(OR(vp.data[[#This Row],[Sulf]]="",vp.data[[#This Row],[Dens]]=""),1,0)</f>
        <v>0</v>
      </c>
      <c r="Y1104">
        <f>IF(vp.data[[#This Row],[CrudeType]]="C5+",1,0)</f>
        <v>0</v>
      </c>
      <c r="Z1104">
        <f>IF(AND(vp.data[[#This Row],[CrudeType]]="Crude",vp.data[[#This Row],[Dens]]&lt;=825,vp.data[[#This Row],[Sulf]]&gt;0.5,vp.data[[#This Row],[Unknown]]=0),1,0)</f>
        <v>0</v>
      </c>
      <c r="AA1104">
        <f>IF(AND(vp.data[[#This Row],[CrudeType]]="Crude",vp.data[[#This Row],[Dens]]&lt;=825,vp.data[[#This Row],[Sulf]]&lt;=0.5,vp.data[[#This Row],[Unknown]]=0),1,0)</f>
        <v>1</v>
      </c>
      <c r="AB11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4">
        <f>IF(AND(vp.data[[#This Row],[CrudeType]]="Crude",vp.data[[#This Row],[Dens]]&gt;825,vp.data[[#This Row],[Dens]]&lt;=900,vp.data[[#This Row],[Sulf]]&lt;=0.5,vp.data[[#This Row],[Unknown]]=0),1,0)</f>
        <v>0</v>
      </c>
      <c r="AD1104">
        <f>IF(AND(vp.data[[#This Row],[CrudeType]]="Crude",vp.data[[#This Row],[Dens]]&gt;865,vp.data[[#This Row],[Dens]]&lt;=900,vp.data[[#This Row],[Sulf]]&gt;2,vp.data[[#This Row],[Unknown]]=0),1,0)</f>
        <v>0</v>
      </c>
      <c r="AE1104">
        <f>IF(AND(vp.data[[#This Row],[CrudeType]]="Crude",vp.data[[#This Row],[Dens]]&gt;900,vp.data[[#This Row],[Sulf]]&lt;=0.5,vp.data[[#This Row],[Unknown]]=0),1,0)</f>
        <v>0</v>
      </c>
      <c r="AF1104">
        <f>IF(AND(vp.data[[#This Row],[CrudeType]]="Crude",vp.data[[#This Row],[Dens]]&gt;900,vp.data[[#This Row],[Sulf]]&lt;=0.5,vp.data[[#This Row],[Unknown]]=0),1,0)</f>
        <v>0</v>
      </c>
      <c r="AG1104" t="str">
        <f>INDEX(vp.data[[#Headers],[Unknown]:[Heavy_SW]],MATCH(1,vp.data[[#This Row],[Unknown]:[Heavy_SW]],0))</f>
        <v>Light_SW</v>
      </c>
      <c r="AH1104">
        <f>INDEX([3]!crudeBD.lkup[Number],MATCH(vp.data[[#This Row],[Crude_Breakdown]],crudeBD.lkup[Crude Breakdown],0))</f>
        <v>2</v>
      </c>
      <c r="AI1104">
        <f>MONTH(vp.data[[#This Row],[SDate]])</f>
        <v>3</v>
      </c>
      <c r="AJ1104" s="5">
        <f>(vp.data[[#This Row],[VP]]-INDEX(crudeBD.lkup[Mean_VP],MATCH(vp.data[[#This Row],[Crude_Breakdown]],crudeBD.lkup[Crude Breakdown],0)))^2</f>
        <v>46.926796265584912</v>
      </c>
      <c r="AK1104" s="5">
        <f>(vp.data[[#This Row],[Dens]]-INDEX(crudeBD.lkup[Mean_Dens],MATCH(vp.data[[#This Row],[Crude_Breakdown]],crudeBD.lkup[Crude Breakdown],0)))^2</f>
        <v>20.35361653048928</v>
      </c>
      <c r="AL1104" s="5">
        <f>(vp.data[[#This Row],[Sulf]]-INDEX(crudeBD.lkup[Mean_Sulf],MATCH(vp.data[[#This Row],[Crude_Breakdown]],crudeBD.lkup[Crude Breakdown],0)))^2</f>
        <v>1.6194034207043782E-3</v>
      </c>
      <c r="AM1104" s="4">
        <f>IF(AND(vp.data[[#This Row],[SDate]]&gt;=DATE(YEAR(vp.data[[#This Row],[SDate]]),5,1),vp.data[[#This Row],[SDate]]&lt;=DATE(YEAR(vp.data[[#This Row],[SDate]]),9,15)),1,0)</f>
        <v>0</v>
      </c>
      <c r="AN1104" s="4">
        <f>IF(vp.data[[#This Row],[SDate]]&lt;DATE(2016,12,1),0,1)</f>
        <v>1</v>
      </c>
      <c r="AO1104" s="4">
        <f>IFERROR(vp.data[[#This Row],[Sulf]]*vp.data[[#This Row],[Net Dens]],"")</f>
        <v>258163.62232639996</v>
      </c>
      <c r="AP1104">
        <f>IFERROR(vp.data[[#This Row],[Dens]]*vp.data[[#This Row],[VolumeM3]],"")</f>
        <v>1317161.3383999998</v>
      </c>
      <c r="AQ1104" s="15">
        <f>IFERROR(vp.data[[#This Row],[VP]]*vp.data[[#This Row],[VolumeM3]],"")</f>
        <v>140433.84760000001</v>
      </c>
    </row>
    <row r="1105" spans="1:43" x14ac:dyDescent="0.25">
      <c r="A1105">
        <v>1104</v>
      </c>
      <c r="B1105" t="s">
        <v>49</v>
      </c>
      <c r="C1105" t="s">
        <v>49</v>
      </c>
      <c r="D1105" t="s">
        <v>74</v>
      </c>
      <c r="F1105" s="1">
        <v>42821</v>
      </c>
      <c r="G1105" s="2">
        <v>94.5</v>
      </c>
      <c r="H1105" s="2">
        <v>0.22700000000000001</v>
      </c>
      <c r="I1105" s="2">
        <f t="array" ref="I1105">_xlfn.IFNA(IF(vp.data[[#This Row],[Sulf Input]]="",INDEX([1]DATA!$Q$3:$Q$9826,MATCH(1,(vp.data[[#This Row],[Battery]]=[1]DATA!$L$3:$L$9826)*(EOMONTH(vp.data[[#This Row],[SDate]],-1)+1=[1]DATA!$G$3:$G$9826),0)),vp.data[[#This Row],[Sulf Input]]),"")</f>
        <v>0.22700000000000001</v>
      </c>
      <c r="J1105" s="2">
        <v>25.8</v>
      </c>
      <c r="K1105" s="2">
        <v>-12</v>
      </c>
      <c r="L1105" s="2">
        <v>805.9</v>
      </c>
      <c r="M1105" s="2">
        <f t="array" ref="M1105">_xlfn.IFNA(IF(vp.data[[#This Row],[Dens Input]]="",INDEX([1]DATA!$O$3:$O$9826,MATCH(1,(vp.data[[#This Row],[Battery]]=[1]DATA!$L$3:$L$9826)*(EOMONTH(vp.data[[#This Row],[SDate]],-1)+1=[1]DATA!$G$3:$G$9826),0)),vp.data[[#This Row],[Dens Input]]),"")</f>
        <v>805.9</v>
      </c>
      <c r="N1105" s="2">
        <f ca="1">INDEX(INDIRECT(_xlfn.CONCAT("weather.tbl[",N$1,"]")),MATCH(vp.data[[#This Row],[SDate]],weather.tbl[Date],0))</f>
        <v>1.4666666666666668</v>
      </c>
      <c r="O1105" s="2">
        <f ca="1">INDEX(INDIRECT(_xlfn.CONCAT("weather.tbl[",O$1,"]")),MATCH(vp.data[[#This Row],[SDate]],weather.tbl[Date],0))</f>
        <v>-0.90238095238095273</v>
      </c>
      <c r="P1105" s="2">
        <f ca="1">INDEX(INDIRECT(_xlfn.CONCAT("weather.tbl[",P$1,"]")),MATCH(vp.data[[#This Row],[SDate]],weather.tbl[Date],0))</f>
        <v>0.7</v>
      </c>
      <c r="Q1105" s="2">
        <f ca="1">INDEX(INDIRECT(_xlfn.CONCAT("weather.tbl[",Q$1,"]")),MATCH(vp.data[[#This Row],[SDate]],weather.tbl[Date],0))</f>
        <v>3</v>
      </c>
      <c r="R1105" s="2">
        <f ca="1">INDEX(INDIRECT(_xlfn.CONCAT("weather.tbl[",R$1,"]")),MATCH(vp.data[[#This Row],[SDate]],weather.tbl[Date],0))</f>
        <v>1.3</v>
      </c>
      <c r="S1105" s="2">
        <f ca="1">INDEX(INDIRECT(_xlfn.CONCAT("weather.tbl[",S$1,"]")),MATCH(vp.data[[#This Row],[SDate]],weather.tbl[Date],0))</f>
        <v>3.3</v>
      </c>
      <c r="T1105" s="2">
        <f ca="1">INDEX(INDIRECT(_xlfn.CONCAT("weather.tbl[",T$1,"]")),MATCH(vp.data[[#This Row],[SDate]],weather.tbl[Date],0))</f>
        <v>-0.3</v>
      </c>
      <c r="U1105" s="2">
        <f ca="1">INDEX(INDIRECT(_xlfn.CONCAT("weather.tbl[",U$1,"]")),MATCH(vp.data[[#This Row],[SDate]],weather.tbl[Date],0))</f>
        <v>0.8</v>
      </c>
      <c r="V1105" s="2">
        <f t="array" ref="V11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214.578</v>
      </c>
      <c r="W1105" t="s">
        <v>48</v>
      </c>
      <c r="X1105">
        <f>IF(OR(vp.data[[#This Row],[Sulf]]="",vp.data[[#This Row],[Dens]]=""),1,0)</f>
        <v>0</v>
      </c>
      <c r="Y1105">
        <f>IF(vp.data[[#This Row],[CrudeType]]="C5+",1,0)</f>
        <v>0</v>
      </c>
      <c r="Z1105">
        <f>IF(AND(vp.data[[#This Row],[CrudeType]]="Crude",vp.data[[#This Row],[Dens]]&lt;=825,vp.data[[#This Row],[Sulf]]&gt;0.5,vp.data[[#This Row],[Unknown]]=0),1,0)</f>
        <v>0</v>
      </c>
      <c r="AA1105">
        <f>IF(AND(vp.data[[#This Row],[CrudeType]]="Crude",vp.data[[#This Row],[Dens]]&lt;=825,vp.data[[#This Row],[Sulf]]&lt;=0.5,vp.data[[#This Row],[Unknown]]=0),1,0)</f>
        <v>1</v>
      </c>
      <c r="AB11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5">
        <f>IF(AND(vp.data[[#This Row],[CrudeType]]="Crude",vp.data[[#This Row],[Dens]]&gt;825,vp.data[[#This Row],[Dens]]&lt;=900,vp.data[[#This Row],[Sulf]]&lt;=0.5,vp.data[[#This Row],[Unknown]]=0),1,0)</f>
        <v>0</v>
      </c>
      <c r="AD1105">
        <f>IF(AND(vp.data[[#This Row],[CrudeType]]="Crude",vp.data[[#This Row],[Dens]]&gt;865,vp.data[[#This Row],[Dens]]&lt;=900,vp.data[[#This Row],[Sulf]]&gt;2,vp.data[[#This Row],[Unknown]]=0),1,0)</f>
        <v>0</v>
      </c>
      <c r="AE1105">
        <f>IF(AND(vp.data[[#This Row],[CrudeType]]="Crude",vp.data[[#This Row],[Dens]]&gt;900,vp.data[[#This Row],[Sulf]]&lt;=0.5,vp.data[[#This Row],[Unknown]]=0),1,0)</f>
        <v>0</v>
      </c>
      <c r="AF1105">
        <f>IF(AND(vp.data[[#This Row],[CrudeType]]="Crude",vp.data[[#This Row],[Dens]]&gt;900,vp.data[[#This Row],[Sulf]]&lt;=0.5,vp.data[[#This Row],[Unknown]]=0),1,0)</f>
        <v>0</v>
      </c>
      <c r="AG1105" t="str">
        <f>INDEX(vp.data[[#Headers],[Unknown]:[Heavy_SW]],MATCH(1,vp.data[[#This Row],[Unknown]:[Heavy_SW]],0))</f>
        <v>Light_SW</v>
      </c>
      <c r="AH1105">
        <f>INDEX([3]!crudeBD.lkup[Number],MATCH(vp.data[[#This Row],[Crude_Breakdown]],crudeBD.lkup[Crude Breakdown],0))</f>
        <v>2</v>
      </c>
      <c r="AI1105">
        <f>MONTH(vp.data[[#This Row],[SDate]])</f>
        <v>3</v>
      </c>
      <c r="AJ1105" s="5">
        <f>(vp.data[[#This Row],[VP]]-INDEX(crudeBD.lkup[Mean_VP],MATCH(vp.data[[#This Row],[Crude_Breakdown]],crudeBD.lkup[Crude Breakdown],0)))^2</f>
        <v>3.8012771018224027</v>
      </c>
      <c r="AK1105" s="5">
        <f>(vp.data[[#This Row],[Dens]]-INDEX(crudeBD.lkup[Mean_Dens],MATCH(vp.data[[#This Row],[Crude_Breakdown]],crudeBD.lkup[Crude Breakdown],0)))^2</f>
        <v>5.8153238475630671</v>
      </c>
      <c r="AL1105" s="5">
        <f>(vp.data[[#This Row],[Sulf]]-INDEX(crudeBD.lkup[Mean_Sulf],MATCH(vp.data[[#This Row],[Crude_Breakdown]],crudeBD.lkup[Crude Breakdown],0)))^2</f>
        <v>8.5411086209614723E-5</v>
      </c>
      <c r="AM1105" s="4">
        <f>IF(AND(vp.data[[#This Row],[SDate]]&gt;=DATE(YEAR(vp.data[[#This Row],[SDate]]),5,1),vp.data[[#This Row],[SDate]]&lt;=DATE(YEAR(vp.data[[#This Row],[SDate]]),9,15)),1,0)</f>
        <v>0</v>
      </c>
      <c r="AN1105" s="4">
        <f>IF(vp.data[[#This Row],[SDate]]&lt;DATE(2016,12,1),0,1)</f>
        <v>1</v>
      </c>
      <c r="AO1105" s="4">
        <f>IFERROR(vp.data[[#This Row],[Sulf]]*vp.data[[#This Row],[Net Dens]],"")</f>
        <v>39254.749115399994</v>
      </c>
      <c r="AP1105">
        <f>IFERROR(vp.data[[#This Row],[Dens]]*vp.data[[#This Row],[VolumeM3]],"")</f>
        <v>172928.41019999998</v>
      </c>
      <c r="AQ1105" s="15">
        <f>IFERROR(vp.data[[#This Row],[VP]]*vp.data[[#This Row],[VolumeM3]],"")</f>
        <v>20277.620999999999</v>
      </c>
    </row>
    <row r="1106" spans="1:43" x14ac:dyDescent="0.25">
      <c r="A1106">
        <v>1105</v>
      </c>
      <c r="B1106" t="s">
        <v>49</v>
      </c>
      <c r="C1106" t="s">
        <v>49</v>
      </c>
      <c r="D1106" t="s">
        <v>67</v>
      </c>
      <c r="F1106" s="1">
        <v>42821</v>
      </c>
      <c r="G1106" s="2">
        <v>93.1</v>
      </c>
      <c r="H1106" s="2">
        <v>0.32400000000000001</v>
      </c>
      <c r="I1106" s="2">
        <f t="array" ref="I1106">_xlfn.IFNA(IF(vp.data[[#This Row],[Sulf Input]]="",INDEX([1]DATA!$Q$3:$Q$9826,MATCH(1,(vp.data[[#This Row],[Battery]]=[1]DATA!$L$3:$L$9826)*(EOMONTH(vp.data[[#This Row],[SDate]],-1)+1=[1]DATA!$G$3:$G$9826),0)),vp.data[[#This Row],[Sulf Input]]),"")</f>
        <v>0.32400000000000001</v>
      </c>
      <c r="J1106" s="2">
        <v>8.1</v>
      </c>
      <c r="K1106" s="2">
        <v>4</v>
      </c>
      <c r="L1106" s="2">
        <v>810.8</v>
      </c>
      <c r="M1106" s="2">
        <f t="array" ref="M1106">_xlfn.IFNA(IF(vp.data[[#This Row],[Dens Input]]="",INDEX([1]DATA!$O$3:$O$9826,MATCH(1,(vp.data[[#This Row],[Battery]]=[1]DATA!$L$3:$L$9826)*(EOMONTH(vp.data[[#This Row],[SDate]],-1)+1=[1]DATA!$G$3:$G$9826),0)),vp.data[[#This Row],[Dens Input]]),"")</f>
        <v>810.8</v>
      </c>
      <c r="N1106" s="2">
        <f ca="1">INDEX(INDIRECT(_xlfn.CONCAT("weather.tbl[",N$1,"]")),MATCH(vp.data[[#This Row],[SDate]],weather.tbl[Date],0))</f>
        <v>1.4666666666666668</v>
      </c>
      <c r="O1106" s="2">
        <f ca="1">INDEX(INDIRECT(_xlfn.CONCAT("weather.tbl[",O$1,"]")),MATCH(vp.data[[#This Row],[SDate]],weather.tbl[Date],0))</f>
        <v>-0.90238095238095273</v>
      </c>
      <c r="P1106" s="2">
        <f ca="1">INDEX(INDIRECT(_xlfn.CONCAT("weather.tbl[",P$1,"]")),MATCH(vp.data[[#This Row],[SDate]],weather.tbl[Date],0))</f>
        <v>0.7</v>
      </c>
      <c r="Q1106" s="2">
        <f ca="1">INDEX(INDIRECT(_xlfn.CONCAT("weather.tbl[",Q$1,"]")),MATCH(vp.data[[#This Row],[SDate]],weather.tbl[Date],0))</f>
        <v>3</v>
      </c>
      <c r="R1106" s="2">
        <f ca="1">INDEX(INDIRECT(_xlfn.CONCAT("weather.tbl[",R$1,"]")),MATCH(vp.data[[#This Row],[SDate]],weather.tbl[Date],0))</f>
        <v>1.3</v>
      </c>
      <c r="S1106" s="2">
        <f ca="1">INDEX(INDIRECT(_xlfn.CONCAT("weather.tbl[",S$1,"]")),MATCH(vp.data[[#This Row],[SDate]],weather.tbl[Date],0))</f>
        <v>3.3</v>
      </c>
      <c r="T1106" s="2">
        <f ca="1">INDEX(INDIRECT(_xlfn.CONCAT("weather.tbl[",T$1,"]")),MATCH(vp.data[[#This Row],[SDate]],weather.tbl[Date],0))</f>
        <v>-0.3</v>
      </c>
      <c r="U1106" s="2">
        <f ca="1">INDEX(INDIRECT(_xlfn.CONCAT("weather.tbl[",U$1,"]")),MATCH(vp.data[[#This Row],[SDate]],weather.tbl[Date],0))</f>
        <v>0.8</v>
      </c>
      <c r="V1106" s="2">
        <f t="array" ref="V11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132627.41099999999</v>
      </c>
      <c r="W1106" t="s">
        <v>48</v>
      </c>
      <c r="X1106">
        <f>IF(OR(vp.data[[#This Row],[Sulf]]="",vp.data[[#This Row],[Dens]]=""),1,0)</f>
        <v>0</v>
      </c>
      <c r="Y1106">
        <f>IF(vp.data[[#This Row],[CrudeType]]="C5+",1,0)</f>
        <v>0</v>
      </c>
      <c r="Z1106">
        <f>IF(AND(vp.data[[#This Row],[CrudeType]]="Crude",vp.data[[#This Row],[Dens]]&lt;=825,vp.data[[#This Row],[Sulf]]&gt;0.5,vp.data[[#This Row],[Unknown]]=0),1,0)</f>
        <v>0</v>
      </c>
      <c r="AA1106">
        <f>IF(AND(vp.data[[#This Row],[CrudeType]]="Crude",vp.data[[#This Row],[Dens]]&lt;=825,vp.data[[#This Row],[Sulf]]&lt;=0.5,vp.data[[#This Row],[Unknown]]=0),1,0)</f>
        <v>1</v>
      </c>
      <c r="AB11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6">
        <f>IF(AND(vp.data[[#This Row],[CrudeType]]="Crude",vp.data[[#This Row],[Dens]]&gt;825,vp.data[[#This Row],[Dens]]&lt;=900,vp.data[[#This Row],[Sulf]]&lt;=0.5,vp.data[[#This Row],[Unknown]]=0),1,0)</f>
        <v>0</v>
      </c>
      <c r="AD1106">
        <f>IF(AND(vp.data[[#This Row],[CrudeType]]="Crude",vp.data[[#This Row],[Dens]]&gt;865,vp.data[[#This Row],[Dens]]&lt;=900,vp.data[[#This Row],[Sulf]]&gt;2,vp.data[[#This Row],[Unknown]]=0),1,0)</f>
        <v>0</v>
      </c>
      <c r="AE1106">
        <f>IF(AND(vp.data[[#This Row],[CrudeType]]="Crude",vp.data[[#This Row],[Dens]]&gt;900,vp.data[[#This Row],[Sulf]]&lt;=0.5,vp.data[[#This Row],[Unknown]]=0),1,0)</f>
        <v>0</v>
      </c>
      <c r="AF1106">
        <f>IF(AND(vp.data[[#This Row],[CrudeType]]="Crude",vp.data[[#This Row],[Dens]]&gt;900,vp.data[[#This Row],[Sulf]]&lt;=0.5,vp.data[[#This Row],[Unknown]]=0),1,0)</f>
        <v>0</v>
      </c>
      <c r="AG1106" t="str">
        <f>INDEX(vp.data[[#Headers],[Unknown]:[Heavy_SW]],MATCH(1,vp.data[[#This Row],[Unknown]:[Heavy_SW]],0))</f>
        <v>Light_SW</v>
      </c>
      <c r="AH1106">
        <f>INDEX([3]!crudeBD.lkup[Number],MATCH(vp.data[[#This Row],[Crude_Breakdown]],crudeBD.lkup[Crude Breakdown],0))</f>
        <v>2</v>
      </c>
      <c r="AI1106">
        <f>MONTH(vp.data[[#This Row],[SDate]])</f>
        <v>3</v>
      </c>
      <c r="AJ1106" s="5">
        <f>(vp.data[[#This Row],[VP]]-INDEX(crudeBD.lkup[Mean_VP],MATCH(vp.data[[#This Row],[Crude_Breakdown]],crudeBD.lkup[Crude Breakdown],0)))^2</f>
        <v>0.30215515060280151</v>
      </c>
      <c r="AK1106" s="5">
        <f>(vp.data[[#This Row],[Dens]]-INDEX(crudeBD.lkup[Mean_Dens],MATCH(vp.data[[#This Row],[Crude_Breakdown]],crudeBD.lkup[Crude Breakdown],0)))^2</f>
        <v>6.1926409207356032</v>
      </c>
      <c r="AL1106" s="5">
        <f>(vp.data[[#This Row],[Sulf]]-INDEX(crudeBD.lkup[Mean_Sulf],MATCH(vp.data[[#This Row],[Crude_Breakdown]],crudeBD.lkup[Crude Breakdown],0)))^2</f>
        <v>7.7014995879518067E-3</v>
      </c>
      <c r="AM1106" s="4">
        <f>IF(AND(vp.data[[#This Row],[SDate]]&gt;=DATE(YEAR(vp.data[[#This Row],[SDate]]),5,1),vp.data[[#This Row],[SDate]]&lt;=DATE(YEAR(vp.data[[#This Row],[SDate]]),9,15)),1,0)</f>
        <v>0</v>
      </c>
      <c r="AN1106" s="4">
        <f>IF(vp.data[[#This Row],[SDate]]&lt;DATE(2016,12,1),0,1)</f>
        <v>1</v>
      </c>
      <c r="AO1106" s="4">
        <f>IFERROR(vp.data[[#This Row],[Sulf]]*vp.data[[#This Row],[Net Dens]],"")</f>
        <v>34841114.767771199</v>
      </c>
      <c r="AP1106">
        <f>IFERROR(vp.data[[#This Row],[Dens]]*vp.data[[#This Row],[VolumeM3]],"")</f>
        <v>107534304.83879998</v>
      </c>
      <c r="AQ1106" s="15">
        <f>IFERROR(vp.data[[#This Row],[VP]]*vp.data[[#This Row],[VolumeM3]],"")</f>
        <v>12347611.964099998</v>
      </c>
    </row>
    <row r="1107" spans="1:43" x14ac:dyDescent="0.25">
      <c r="A1107">
        <v>1106</v>
      </c>
      <c r="B1107" t="s">
        <v>49</v>
      </c>
      <c r="C1107" t="s">
        <v>49</v>
      </c>
      <c r="D1107" t="s">
        <v>80</v>
      </c>
      <c r="F1107" s="1">
        <v>42821</v>
      </c>
      <c r="G1107" s="2">
        <v>92.4</v>
      </c>
      <c r="H1107" s="2">
        <v>0.53400000000000003</v>
      </c>
      <c r="I1107" s="2">
        <f t="array" ref="I1107">_xlfn.IFNA(IF(vp.data[[#This Row],[Sulf Input]]="",INDEX([1]DATA!$Q$3:$Q$9826,MATCH(1,(vp.data[[#This Row],[Battery]]=[1]DATA!$L$3:$L$9826)*(EOMONTH(vp.data[[#This Row],[SDate]],-1)+1=[1]DATA!$G$3:$G$9826),0)),vp.data[[#This Row],[Sulf Input]]),"")</f>
        <v>0.53400000000000003</v>
      </c>
      <c r="J1107" s="2">
        <v>19.399999999999999</v>
      </c>
      <c r="K1107" s="2">
        <v>4</v>
      </c>
      <c r="L1107" s="2">
        <v>814.8</v>
      </c>
      <c r="M1107" s="2">
        <f t="array" ref="M1107">_xlfn.IFNA(IF(vp.data[[#This Row],[Dens Input]]="",INDEX([1]DATA!$O$3:$O$9826,MATCH(1,(vp.data[[#This Row],[Battery]]=[1]DATA!$L$3:$L$9826)*(EOMONTH(vp.data[[#This Row],[SDate]],-1)+1=[1]DATA!$G$3:$G$9826),0)),vp.data[[#This Row],[Dens Input]]),"")</f>
        <v>814.8</v>
      </c>
      <c r="N1107" s="2">
        <f ca="1">INDEX(INDIRECT(_xlfn.CONCAT("weather.tbl[",N$1,"]")),MATCH(vp.data[[#This Row],[SDate]],weather.tbl[Date],0))</f>
        <v>1.4666666666666668</v>
      </c>
      <c r="O1107" s="2">
        <f ca="1">INDEX(INDIRECT(_xlfn.CONCAT("weather.tbl[",O$1,"]")),MATCH(vp.data[[#This Row],[SDate]],weather.tbl[Date],0))</f>
        <v>-0.90238095238095273</v>
      </c>
      <c r="P1107" s="2">
        <f ca="1">INDEX(INDIRECT(_xlfn.CONCAT("weather.tbl[",P$1,"]")),MATCH(vp.data[[#This Row],[SDate]],weather.tbl[Date],0))</f>
        <v>0.7</v>
      </c>
      <c r="Q1107" s="2">
        <f ca="1">INDEX(INDIRECT(_xlfn.CONCAT("weather.tbl[",Q$1,"]")),MATCH(vp.data[[#This Row],[SDate]],weather.tbl[Date],0))</f>
        <v>3</v>
      </c>
      <c r="R1107" s="2">
        <f ca="1">INDEX(INDIRECT(_xlfn.CONCAT("weather.tbl[",R$1,"]")),MATCH(vp.data[[#This Row],[SDate]],weather.tbl[Date],0))</f>
        <v>1.3</v>
      </c>
      <c r="S1107" s="2">
        <f ca="1">INDEX(INDIRECT(_xlfn.CONCAT("weather.tbl[",S$1,"]")),MATCH(vp.data[[#This Row],[SDate]],weather.tbl[Date],0))</f>
        <v>3.3</v>
      </c>
      <c r="T1107" s="2">
        <f ca="1">INDEX(INDIRECT(_xlfn.CONCAT("weather.tbl[",T$1,"]")),MATCH(vp.data[[#This Row],[SDate]],weather.tbl[Date],0))</f>
        <v>-0.3</v>
      </c>
      <c r="U1107" s="2">
        <f ca="1">INDEX(INDIRECT(_xlfn.CONCAT("weather.tbl[",U$1,"]")),MATCH(vp.data[[#This Row],[SDate]],weather.tbl[Date],0))</f>
        <v>0.8</v>
      </c>
      <c r="V1107" s="2">
        <f t="array" ref="V11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23623.538</v>
      </c>
      <c r="W1107" t="s">
        <v>48</v>
      </c>
      <c r="X1107">
        <f>IF(OR(vp.data[[#This Row],[Sulf]]="",vp.data[[#This Row],[Dens]]=""),1,0)</f>
        <v>0</v>
      </c>
      <c r="Y1107">
        <f>IF(vp.data[[#This Row],[CrudeType]]="C5+",1,0)</f>
        <v>0</v>
      </c>
      <c r="Z1107">
        <f>IF(AND(vp.data[[#This Row],[CrudeType]]="Crude",vp.data[[#This Row],[Dens]]&lt;=825,vp.data[[#This Row],[Sulf]]&gt;0.5,vp.data[[#This Row],[Unknown]]=0),1,0)</f>
        <v>1</v>
      </c>
      <c r="AA1107">
        <f>IF(AND(vp.data[[#This Row],[CrudeType]]="Crude",vp.data[[#This Row],[Dens]]&lt;=825,vp.data[[#This Row],[Sulf]]&lt;=0.5,vp.data[[#This Row],[Unknown]]=0),1,0)</f>
        <v>0</v>
      </c>
      <c r="AB11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7">
        <f>IF(AND(vp.data[[#This Row],[CrudeType]]="Crude",vp.data[[#This Row],[Dens]]&gt;825,vp.data[[#This Row],[Dens]]&lt;=900,vp.data[[#This Row],[Sulf]]&lt;=0.5,vp.data[[#This Row],[Unknown]]=0),1,0)</f>
        <v>0</v>
      </c>
      <c r="AD1107">
        <f>IF(AND(vp.data[[#This Row],[CrudeType]]="Crude",vp.data[[#This Row],[Dens]]&gt;865,vp.data[[#This Row],[Dens]]&lt;=900,vp.data[[#This Row],[Sulf]]&gt;2,vp.data[[#This Row],[Unknown]]=0),1,0)</f>
        <v>0</v>
      </c>
      <c r="AE1107">
        <f>IF(AND(vp.data[[#This Row],[CrudeType]]="Crude",vp.data[[#This Row],[Dens]]&gt;900,vp.data[[#This Row],[Sulf]]&lt;=0.5,vp.data[[#This Row],[Unknown]]=0),1,0)</f>
        <v>0</v>
      </c>
      <c r="AF1107">
        <f>IF(AND(vp.data[[#This Row],[CrudeType]]="Crude",vp.data[[#This Row],[Dens]]&gt;900,vp.data[[#This Row],[Sulf]]&lt;=0.5,vp.data[[#This Row],[Unknown]]=0),1,0)</f>
        <v>0</v>
      </c>
      <c r="AG1107" t="str">
        <f>INDEX(vp.data[[#Headers],[Unknown]:[Heavy_SW]],MATCH(1,vp.data[[#This Row],[Unknown]:[Heavy_SW]],0))</f>
        <v>Light_LSB</v>
      </c>
      <c r="AH1107">
        <f>INDEX([3]!crudeBD.lkup[Number],MATCH(vp.data[[#This Row],[Crude_Breakdown]],crudeBD.lkup[Crude Breakdown],0))</f>
        <v>1</v>
      </c>
      <c r="AI1107">
        <f>MONTH(vp.data[[#This Row],[SDate]])</f>
        <v>3</v>
      </c>
      <c r="AJ1107" s="5">
        <f>(vp.data[[#This Row],[VP]]-INDEX(crudeBD.lkup[Mean_VP],MATCH(vp.data[[#This Row],[Crude_Breakdown]],crudeBD.lkup[Crude Breakdown],0)))^2</f>
        <v>0.72899908598146368</v>
      </c>
      <c r="AK1107" s="5">
        <f>(vp.data[[#This Row],[Dens]]-INDEX(crudeBD.lkup[Mean_Dens],MATCH(vp.data[[#This Row],[Crude_Breakdown]],crudeBD.lkup[Crude Breakdown],0)))^2</f>
        <v>13.814377444761291</v>
      </c>
      <c r="AL1107" s="5">
        <f>(vp.data[[#This Row],[Sulf]]-INDEX(crudeBD.lkup[Mean_Sulf],MATCH(vp.data[[#This Row],[Crude_Breakdown]],crudeBD.lkup[Crude Breakdown],0)))^2</f>
        <v>0.15129856983469822</v>
      </c>
      <c r="AM1107" s="4">
        <f>IF(AND(vp.data[[#This Row],[SDate]]&gt;=DATE(YEAR(vp.data[[#This Row],[SDate]]),5,1),vp.data[[#This Row],[SDate]]&lt;=DATE(YEAR(vp.data[[#This Row],[SDate]]),9,15)),1,0)</f>
        <v>0</v>
      </c>
      <c r="AN1107" s="4">
        <f>IF(vp.data[[#This Row],[SDate]]&lt;DATE(2016,12,1),0,1)</f>
        <v>1</v>
      </c>
      <c r="AO1107" s="4">
        <f>IFERROR(vp.data[[#This Row],[Sulf]]*vp.data[[#This Row],[Net Dens]],"")</f>
        <v>10278676.979121599</v>
      </c>
      <c r="AP1107">
        <f>IFERROR(vp.data[[#This Row],[Dens]]*vp.data[[#This Row],[VolumeM3]],"")</f>
        <v>19248458.762399998</v>
      </c>
      <c r="AQ1107" s="15">
        <f>IFERROR(vp.data[[#This Row],[VP]]*vp.data[[#This Row],[VolumeM3]],"")</f>
        <v>2182814.9112</v>
      </c>
    </row>
    <row r="1108" spans="1:43" x14ac:dyDescent="0.25">
      <c r="A1108">
        <v>1107</v>
      </c>
      <c r="B1108" t="s">
        <v>49</v>
      </c>
      <c r="C1108" t="s">
        <v>49</v>
      </c>
      <c r="D1108" t="s">
        <v>100</v>
      </c>
      <c r="F1108" s="1">
        <v>42821</v>
      </c>
      <c r="G1108" s="2">
        <v>87.1</v>
      </c>
      <c r="H1108" s="2">
        <v>0.56899999999999995</v>
      </c>
      <c r="I1108" s="2">
        <f t="array" ref="I1108">_xlfn.IFNA(IF(vp.data[[#This Row],[Sulf Input]]="",INDEX([1]DATA!$Q$3:$Q$9826,MATCH(1,(vp.data[[#This Row],[Battery]]=[1]DATA!$L$3:$L$9826)*(EOMONTH(vp.data[[#This Row],[SDate]],-1)+1=[1]DATA!$G$3:$G$9826),0)),vp.data[[#This Row],[Sulf Input]]),"")</f>
        <v>0.56899999999999995</v>
      </c>
      <c r="J1108" s="2">
        <v>18.2</v>
      </c>
      <c r="K1108" s="2">
        <v>4</v>
      </c>
      <c r="L1108" s="2">
        <v>816.2</v>
      </c>
      <c r="M1108" s="2">
        <f t="array" ref="M1108">_xlfn.IFNA(IF(vp.data[[#This Row],[Dens Input]]="",INDEX([1]DATA!$O$3:$O$9826,MATCH(1,(vp.data[[#This Row],[Battery]]=[1]DATA!$L$3:$L$9826)*(EOMONTH(vp.data[[#This Row],[SDate]],-1)+1=[1]DATA!$G$3:$G$9826),0)),vp.data[[#This Row],[Dens Input]]),"")</f>
        <v>816.2</v>
      </c>
      <c r="N1108" s="2">
        <f ca="1">INDEX(INDIRECT(_xlfn.CONCAT("weather.tbl[",N$1,"]")),MATCH(vp.data[[#This Row],[SDate]],weather.tbl[Date],0))</f>
        <v>1.4666666666666668</v>
      </c>
      <c r="O1108" s="2">
        <f ca="1">INDEX(INDIRECT(_xlfn.CONCAT("weather.tbl[",O$1,"]")),MATCH(vp.data[[#This Row],[SDate]],weather.tbl[Date],0))</f>
        <v>-0.90238095238095273</v>
      </c>
      <c r="P1108" s="2">
        <f ca="1">INDEX(INDIRECT(_xlfn.CONCAT("weather.tbl[",P$1,"]")),MATCH(vp.data[[#This Row],[SDate]],weather.tbl[Date],0))</f>
        <v>0.7</v>
      </c>
      <c r="Q1108" s="2">
        <f ca="1">INDEX(INDIRECT(_xlfn.CONCAT("weather.tbl[",Q$1,"]")),MATCH(vp.data[[#This Row],[SDate]],weather.tbl[Date],0))</f>
        <v>3</v>
      </c>
      <c r="R1108" s="2">
        <f ca="1">INDEX(INDIRECT(_xlfn.CONCAT("weather.tbl[",R$1,"]")),MATCH(vp.data[[#This Row],[SDate]],weather.tbl[Date],0))</f>
        <v>1.3</v>
      </c>
      <c r="S1108" s="2">
        <f ca="1">INDEX(INDIRECT(_xlfn.CONCAT("weather.tbl[",S$1,"]")),MATCH(vp.data[[#This Row],[SDate]],weather.tbl[Date],0))</f>
        <v>3.3</v>
      </c>
      <c r="T1108" s="2">
        <f ca="1">INDEX(INDIRECT(_xlfn.CONCAT("weather.tbl[",T$1,"]")),MATCH(vp.data[[#This Row],[SDate]],weather.tbl[Date],0))</f>
        <v>-0.3</v>
      </c>
      <c r="U1108" s="2">
        <f ca="1">INDEX(INDIRECT(_xlfn.CONCAT("weather.tbl[",U$1,"]")),MATCH(vp.data[[#This Row],[SDate]],weather.tbl[Date],0))</f>
        <v>0.8</v>
      </c>
      <c r="V1108" s="2">
        <f t="array" ref="V11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10867.904</v>
      </c>
      <c r="W1108" t="s">
        <v>48</v>
      </c>
      <c r="X1108">
        <f>IF(OR(vp.data[[#This Row],[Sulf]]="",vp.data[[#This Row],[Dens]]=""),1,0)</f>
        <v>0</v>
      </c>
      <c r="Y1108">
        <f>IF(vp.data[[#This Row],[CrudeType]]="C5+",1,0)</f>
        <v>0</v>
      </c>
      <c r="Z1108">
        <f>IF(AND(vp.data[[#This Row],[CrudeType]]="Crude",vp.data[[#This Row],[Dens]]&lt;=825,vp.data[[#This Row],[Sulf]]&gt;0.5,vp.data[[#This Row],[Unknown]]=0),1,0)</f>
        <v>1</v>
      </c>
      <c r="AA1108">
        <f>IF(AND(vp.data[[#This Row],[CrudeType]]="Crude",vp.data[[#This Row],[Dens]]&lt;=825,vp.data[[#This Row],[Sulf]]&lt;=0.5,vp.data[[#This Row],[Unknown]]=0),1,0)</f>
        <v>0</v>
      </c>
      <c r="AB11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08">
        <f>IF(AND(vp.data[[#This Row],[CrudeType]]="Crude",vp.data[[#This Row],[Dens]]&gt;825,vp.data[[#This Row],[Dens]]&lt;=900,vp.data[[#This Row],[Sulf]]&lt;=0.5,vp.data[[#This Row],[Unknown]]=0),1,0)</f>
        <v>0</v>
      </c>
      <c r="AD1108">
        <f>IF(AND(vp.data[[#This Row],[CrudeType]]="Crude",vp.data[[#This Row],[Dens]]&gt;865,vp.data[[#This Row],[Dens]]&lt;=900,vp.data[[#This Row],[Sulf]]&gt;2,vp.data[[#This Row],[Unknown]]=0),1,0)</f>
        <v>0</v>
      </c>
      <c r="AE1108">
        <f>IF(AND(vp.data[[#This Row],[CrudeType]]="Crude",vp.data[[#This Row],[Dens]]&gt;900,vp.data[[#This Row],[Sulf]]&lt;=0.5,vp.data[[#This Row],[Unknown]]=0),1,0)</f>
        <v>0</v>
      </c>
      <c r="AF1108">
        <f>IF(AND(vp.data[[#This Row],[CrudeType]]="Crude",vp.data[[#This Row],[Dens]]&gt;900,vp.data[[#This Row],[Sulf]]&lt;=0.5,vp.data[[#This Row],[Unknown]]=0),1,0)</f>
        <v>0</v>
      </c>
      <c r="AG1108" t="str">
        <f>INDEX(vp.data[[#Headers],[Unknown]:[Heavy_SW]],MATCH(1,vp.data[[#This Row],[Unknown]:[Heavy_SW]],0))</f>
        <v>Light_LSB</v>
      </c>
      <c r="AH1108">
        <f>INDEX([3]!crudeBD.lkup[Number],MATCH(vp.data[[#This Row],[Crude_Breakdown]],crudeBD.lkup[Crude Breakdown],0))</f>
        <v>1</v>
      </c>
      <c r="AI1108">
        <f>MONTH(vp.data[[#This Row],[SDate]])</f>
        <v>3</v>
      </c>
      <c r="AJ1108" s="5">
        <f>(vp.data[[#This Row],[VP]]-INDEX(crudeBD.lkup[Mean_VP],MATCH(vp.data[[#This Row],[Crude_Breakdown]],crudeBD.lkup[Crude Breakdown],0)))^2</f>
        <v>19.768566096291114</v>
      </c>
      <c r="AK1108" s="5">
        <f>(vp.data[[#This Row],[Dens]]-INDEX(crudeBD.lkup[Mean_Dens],MATCH(vp.data[[#This Row],[Crude_Breakdown]],crudeBD.lkup[Crude Breakdown],0)))^2</f>
        <v>5.3674221183011408</v>
      </c>
      <c r="AL1108" s="5">
        <f>(vp.data[[#This Row],[Sulf]]-INDEX(crudeBD.lkup[Mean_Sulf],MATCH(vp.data[[#This Row],[Crude_Breakdown]],crudeBD.lkup[Crude Breakdown],0)))^2</f>
        <v>0.12529558804775673</v>
      </c>
      <c r="AM1108" s="4">
        <f>IF(AND(vp.data[[#This Row],[SDate]]&gt;=DATE(YEAR(vp.data[[#This Row],[SDate]]),5,1),vp.data[[#This Row],[SDate]]&lt;=DATE(YEAR(vp.data[[#This Row],[SDate]]),9,15)),1,0)</f>
        <v>0</v>
      </c>
      <c r="AN1108" s="4">
        <f>IF(vp.data[[#This Row],[SDate]]&lt;DATE(2016,12,1),0,1)</f>
        <v>1</v>
      </c>
      <c r="AO1108" s="4">
        <f>IFERROR(vp.data[[#This Row],[Sulf]]*vp.data[[#This Row],[Net Dens]],"")</f>
        <v>5047248.0662912</v>
      </c>
      <c r="AP1108">
        <f>IFERROR(vp.data[[#This Row],[Dens]]*vp.data[[#This Row],[VolumeM3]],"")</f>
        <v>8870383.2448000014</v>
      </c>
      <c r="AQ1108" s="15">
        <f>IFERROR(vp.data[[#This Row],[VP]]*vp.data[[#This Row],[VolumeM3]],"")</f>
        <v>946594.43839999998</v>
      </c>
    </row>
    <row r="1109" spans="1:43" x14ac:dyDescent="0.25">
      <c r="A1109">
        <v>1108</v>
      </c>
      <c r="B1109" t="s">
        <v>49</v>
      </c>
      <c r="C1109" t="s">
        <v>49</v>
      </c>
      <c r="D1109" t="s">
        <v>89</v>
      </c>
      <c r="F1109" s="1">
        <v>42821</v>
      </c>
      <c r="G1109" s="2">
        <v>89.6</v>
      </c>
      <c r="H1109" s="2">
        <v>0.98</v>
      </c>
      <c r="I1109" s="2">
        <f t="array" ref="I1109">_xlfn.IFNA(IF(vp.data[[#This Row],[Sulf Input]]="",INDEX([1]DATA!$Q$3:$Q$9826,MATCH(1,(vp.data[[#This Row],[Battery]]=[1]DATA!$L$3:$L$9826)*(EOMONTH(vp.data[[#This Row],[SDate]],-1)+1=[1]DATA!$G$3:$G$9826),0)),vp.data[[#This Row],[Sulf Input]]),"")</f>
        <v>0.98</v>
      </c>
      <c r="J1109" s="2">
        <v>5.8</v>
      </c>
      <c r="K1109" s="2">
        <v>4</v>
      </c>
      <c r="L1109" s="2">
        <v>827.4</v>
      </c>
      <c r="M1109" s="2">
        <f t="array" ref="M1109">_xlfn.IFNA(IF(vp.data[[#This Row],[Dens Input]]="",INDEX([1]DATA!$O$3:$O$9826,MATCH(1,(vp.data[[#This Row],[Battery]]=[1]DATA!$L$3:$L$9826)*(EOMONTH(vp.data[[#This Row],[SDate]],-1)+1=[1]DATA!$G$3:$G$9826),0)),vp.data[[#This Row],[Dens Input]]),"")</f>
        <v>827.4</v>
      </c>
      <c r="N1109" s="2">
        <f ca="1">INDEX(INDIRECT(_xlfn.CONCAT("weather.tbl[",N$1,"]")),MATCH(vp.data[[#This Row],[SDate]],weather.tbl[Date],0))</f>
        <v>1.4666666666666668</v>
      </c>
      <c r="O1109" s="2">
        <f ca="1">INDEX(INDIRECT(_xlfn.CONCAT("weather.tbl[",O$1,"]")),MATCH(vp.data[[#This Row],[SDate]],weather.tbl[Date],0))</f>
        <v>-0.90238095238095273</v>
      </c>
      <c r="P1109" s="2">
        <f ca="1">INDEX(INDIRECT(_xlfn.CONCAT("weather.tbl[",P$1,"]")),MATCH(vp.data[[#This Row],[SDate]],weather.tbl[Date],0))</f>
        <v>0.7</v>
      </c>
      <c r="Q1109" s="2">
        <f ca="1">INDEX(INDIRECT(_xlfn.CONCAT("weather.tbl[",Q$1,"]")),MATCH(vp.data[[#This Row],[SDate]],weather.tbl[Date],0))</f>
        <v>3</v>
      </c>
      <c r="R1109" s="2">
        <f ca="1">INDEX(INDIRECT(_xlfn.CONCAT("weather.tbl[",R$1,"]")),MATCH(vp.data[[#This Row],[SDate]],weather.tbl[Date],0))</f>
        <v>1.3</v>
      </c>
      <c r="S1109" s="2">
        <f ca="1">INDEX(INDIRECT(_xlfn.CONCAT("weather.tbl[",S$1,"]")),MATCH(vp.data[[#This Row],[SDate]],weather.tbl[Date],0))</f>
        <v>3.3</v>
      </c>
      <c r="T1109" s="2">
        <f ca="1">INDEX(INDIRECT(_xlfn.CONCAT("weather.tbl[",T$1,"]")),MATCH(vp.data[[#This Row],[SDate]],weather.tbl[Date],0))</f>
        <v>-0.3</v>
      </c>
      <c r="U1109" s="2">
        <f ca="1">INDEX(INDIRECT(_xlfn.CONCAT("weather.tbl[",U$1,"]")),MATCH(vp.data[[#This Row],[SDate]],weather.tbl[Date],0))</f>
        <v>0.8</v>
      </c>
      <c r="V1109" s="2">
        <f t="array" ref="V11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6514.0349999999999</v>
      </c>
      <c r="W1109" t="s">
        <v>48</v>
      </c>
      <c r="X1109">
        <f>IF(OR(vp.data[[#This Row],[Sulf]]="",vp.data[[#This Row],[Dens]]=""),1,0)</f>
        <v>0</v>
      </c>
      <c r="Y1109">
        <f>IF(vp.data[[#This Row],[CrudeType]]="C5+",1,0)</f>
        <v>0</v>
      </c>
      <c r="Z1109">
        <f>IF(AND(vp.data[[#This Row],[CrudeType]]="Crude",vp.data[[#This Row],[Dens]]&lt;=825,vp.data[[#This Row],[Sulf]]&gt;0.5,vp.data[[#This Row],[Unknown]]=0),1,0)</f>
        <v>0</v>
      </c>
      <c r="AA1109">
        <f>IF(AND(vp.data[[#This Row],[CrudeType]]="Crude",vp.data[[#This Row],[Dens]]&lt;=825,vp.data[[#This Row],[Sulf]]&lt;=0.5,vp.data[[#This Row],[Unknown]]=0),1,0)</f>
        <v>0</v>
      </c>
      <c r="AB11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09">
        <f>IF(AND(vp.data[[#This Row],[CrudeType]]="Crude",vp.data[[#This Row],[Dens]]&gt;825,vp.data[[#This Row],[Dens]]&lt;=900,vp.data[[#This Row],[Sulf]]&lt;=0.5,vp.data[[#This Row],[Unknown]]=0),1,0)</f>
        <v>0</v>
      </c>
      <c r="AD1109">
        <f>IF(AND(vp.data[[#This Row],[CrudeType]]="Crude",vp.data[[#This Row],[Dens]]&gt;865,vp.data[[#This Row],[Dens]]&lt;=900,vp.data[[#This Row],[Sulf]]&gt;2,vp.data[[#This Row],[Unknown]]=0),1,0)</f>
        <v>0</v>
      </c>
      <c r="AE1109">
        <f>IF(AND(vp.data[[#This Row],[CrudeType]]="Crude",vp.data[[#This Row],[Dens]]&gt;900,vp.data[[#This Row],[Sulf]]&lt;=0.5,vp.data[[#This Row],[Unknown]]=0),1,0)</f>
        <v>0</v>
      </c>
      <c r="AF1109">
        <f>IF(AND(vp.data[[#This Row],[CrudeType]]="Crude",vp.data[[#This Row],[Dens]]&gt;900,vp.data[[#This Row],[Sulf]]&lt;=0.5,vp.data[[#This Row],[Unknown]]=0),1,0)</f>
        <v>0</v>
      </c>
      <c r="AG1109" t="str">
        <f>INDEX(vp.data[[#Headers],[Unknown]:[Heavy_SW]],MATCH(1,vp.data[[#This Row],[Unknown]:[Heavy_SW]],0))</f>
        <v>Medium_LSB</v>
      </c>
      <c r="AH1109">
        <f>INDEX([3]!crudeBD.lkup[Number],MATCH(vp.data[[#This Row],[Crude_Breakdown]],crudeBD.lkup[Crude Breakdown],0))</f>
        <v>3</v>
      </c>
      <c r="AI1109">
        <f>MONTH(vp.data[[#This Row],[SDate]])</f>
        <v>3</v>
      </c>
      <c r="AJ1109" s="5">
        <f>(vp.data[[#This Row],[VP]]-INDEX(crudeBD.lkup[Mean_VP],MATCH(vp.data[[#This Row],[Crude_Breakdown]],crudeBD.lkup[Crude Breakdown],0)))^2</f>
        <v>80.287396331036263</v>
      </c>
      <c r="AK1109" s="5">
        <f>(vp.data[[#This Row],[Dens]]-INDEX(crudeBD.lkup[Mean_Dens],MATCH(vp.data[[#This Row],[Crude_Breakdown]],crudeBD.lkup[Crude Breakdown],0)))^2</f>
        <v>272.91039999998435</v>
      </c>
      <c r="AL1109" s="5">
        <f>(vp.data[[#This Row],[Sulf]]-INDEX(crudeBD.lkup[Mean_Sulf],MATCH(vp.data[[#This Row],[Crude_Breakdown]],crudeBD.lkup[Crude Breakdown],0)))^2</f>
        <v>0.16435574918194723</v>
      </c>
      <c r="AM1109" s="4">
        <f>IF(AND(vp.data[[#This Row],[SDate]]&gt;=DATE(YEAR(vp.data[[#This Row],[SDate]]),5,1),vp.data[[#This Row],[SDate]]&lt;=DATE(YEAR(vp.data[[#This Row],[SDate]]),9,15)),1,0)</f>
        <v>0</v>
      </c>
      <c r="AN1109" s="4">
        <f>IF(vp.data[[#This Row],[SDate]]&lt;DATE(2016,12,1),0,1)</f>
        <v>1</v>
      </c>
      <c r="AO1109" s="4">
        <f>IFERROR(vp.data[[#This Row],[Sulf]]*vp.data[[#This Row],[Net Dens]],"")</f>
        <v>5281918.3078199998</v>
      </c>
      <c r="AP1109">
        <f>IFERROR(vp.data[[#This Row],[Dens]]*vp.data[[#This Row],[VolumeM3]],"")</f>
        <v>5389712.5589999994</v>
      </c>
      <c r="AQ1109" s="15">
        <f>IFERROR(vp.data[[#This Row],[VP]]*vp.data[[#This Row],[VolumeM3]],"")</f>
        <v>583657.53599999996</v>
      </c>
    </row>
    <row r="1110" spans="1:43" x14ac:dyDescent="0.25">
      <c r="A1110">
        <v>1109</v>
      </c>
      <c r="B1110" t="s">
        <v>49</v>
      </c>
      <c r="C1110" t="s">
        <v>49</v>
      </c>
      <c r="D1110" t="s">
        <v>90</v>
      </c>
      <c r="F1110" s="1">
        <v>42821</v>
      </c>
      <c r="G1110" s="2">
        <v>70.7</v>
      </c>
      <c r="H1110" s="2">
        <v>1.3029999999999999</v>
      </c>
      <c r="I1110" s="2">
        <f t="array" ref="I1110">_xlfn.IFNA(IF(vp.data[[#This Row],[Sulf Input]]="",INDEX([1]DATA!$Q$3:$Q$9826,MATCH(1,(vp.data[[#This Row],[Battery]]=[1]DATA!$L$3:$L$9826)*(EOMONTH(vp.data[[#This Row],[SDate]],-1)+1=[1]DATA!$G$3:$G$9826),0)),vp.data[[#This Row],[Sulf Input]]),"")</f>
        <v>1.3029999999999999</v>
      </c>
      <c r="J1110" s="2">
        <v>34.299999999999997</v>
      </c>
      <c r="K1110" s="2">
        <v>4</v>
      </c>
      <c r="L1110" s="2">
        <v>845.5</v>
      </c>
      <c r="M1110" s="2">
        <f t="array" ref="M1110">_xlfn.IFNA(IF(vp.data[[#This Row],[Dens Input]]="",INDEX([1]DATA!$O$3:$O$9826,MATCH(1,(vp.data[[#This Row],[Battery]]=[1]DATA!$L$3:$L$9826)*(EOMONTH(vp.data[[#This Row],[SDate]],-1)+1=[1]DATA!$G$3:$G$9826),0)),vp.data[[#This Row],[Dens Input]]),"")</f>
        <v>845.5</v>
      </c>
      <c r="N1110" s="2">
        <f ca="1">INDEX(INDIRECT(_xlfn.CONCAT("weather.tbl[",N$1,"]")),MATCH(vp.data[[#This Row],[SDate]],weather.tbl[Date],0))</f>
        <v>1.4666666666666668</v>
      </c>
      <c r="O1110" s="2">
        <f ca="1">INDEX(INDIRECT(_xlfn.CONCAT("weather.tbl[",O$1,"]")),MATCH(vp.data[[#This Row],[SDate]],weather.tbl[Date],0))</f>
        <v>-0.90238095238095273</v>
      </c>
      <c r="P1110" s="2">
        <f ca="1">INDEX(INDIRECT(_xlfn.CONCAT("weather.tbl[",P$1,"]")),MATCH(vp.data[[#This Row],[SDate]],weather.tbl[Date],0))</f>
        <v>0.7</v>
      </c>
      <c r="Q1110" s="2">
        <f ca="1">INDEX(INDIRECT(_xlfn.CONCAT("weather.tbl[",Q$1,"]")),MATCH(vp.data[[#This Row],[SDate]],weather.tbl[Date],0))</f>
        <v>3</v>
      </c>
      <c r="R1110" s="2">
        <f ca="1">INDEX(INDIRECT(_xlfn.CONCAT("weather.tbl[",R$1,"]")),MATCH(vp.data[[#This Row],[SDate]],weather.tbl[Date],0))</f>
        <v>1.3</v>
      </c>
      <c r="S1110" s="2">
        <f ca="1">INDEX(INDIRECT(_xlfn.CONCAT("weather.tbl[",S$1,"]")),MATCH(vp.data[[#This Row],[SDate]],weather.tbl[Date],0))</f>
        <v>3.3</v>
      </c>
      <c r="T1110" s="2">
        <f ca="1">INDEX(INDIRECT(_xlfn.CONCAT("weather.tbl[",T$1,"]")),MATCH(vp.data[[#This Row],[SDate]],weather.tbl[Date],0))</f>
        <v>-0.3</v>
      </c>
      <c r="U1110" s="2">
        <f ca="1">INDEX(INDIRECT(_xlfn.CONCAT("weather.tbl[",U$1,"]")),MATCH(vp.data[[#This Row],[SDate]],weather.tbl[Date],0))</f>
        <v>0.8</v>
      </c>
      <c r="V1110" s="2">
        <f t="array" ref="V11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4661.3360000000002</v>
      </c>
      <c r="W1110" t="s">
        <v>48</v>
      </c>
      <c r="X1110">
        <f>IF(OR(vp.data[[#This Row],[Sulf]]="",vp.data[[#This Row],[Dens]]=""),1,0)</f>
        <v>0</v>
      </c>
      <c r="Y1110">
        <f>IF(vp.data[[#This Row],[CrudeType]]="C5+",1,0)</f>
        <v>0</v>
      </c>
      <c r="Z1110">
        <f>IF(AND(vp.data[[#This Row],[CrudeType]]="Crude",vp.data[[#This Row],[Dens]]&lt;=825,vp.data[[#This Row],[Sulf]]&gt;0.5,vp.data[[#This Row],[Unknown]]=0),1,0)</f>
        <v>0</v>
      </c>
      <c r="AA1110">
        <f>IF(AND(vp.data[[#This Row],[CrudeType]]="Crude",vp.data[[#This Row],[Dens]]&lt;=825,vp.data[[#This Row],[Sulf]]&lt;=0.5,vp.data[[#This Row],[Unknown]]=0),1,0)</f>
        <v>0</v>
      </c>
      <c r="AB11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0">
        <f>IF(AND(vp.data[[#This Row],[CrudeType]]="Crude",vp.data[[#This Row],[Dens]]&gt;825,vp.data[[#This Row],[Dens]]&lt;=900,vp.data[[#This Row],[Sulf]]&lt;=0.5,vp.data[[#This Row],[Unknown]]=0),1,0)</f>
        <v>0</v>
      </c>
      <c r="AD1110">
        <f>IF(AND(vp.data[[#This Row],[CrudeType]]="Crude",vp.data[[#This Row],[Dens]]&gt;865,vp.data[[#This Row],[Dens]]&lt;=900,vp.data[[#This Row],[Sulf]]&gt;2,vp.data[[#This Row],[Unknown]]=0),1,0)</f>
        <v>0</v>
      </c>
      <c r="AE1110">
        <f>IF(AND(vp.data[[#This Row],[CrudeType]]="Crude",vp.data[[#This Row],[Dens]]&gt;900,vp.data[[#This Row],[Sulf]]&lt;=0.5,vp.data[[#This Row],[Unknown]]=0),1,0)</f>
        <v>0</v>
      </c>
      <c r="AF1110">
        <f>IF(AND(vp.data[[#This Row],[CrudeType]]="Crude",vp.data[[#This Row],[Dens]]&gt;900,vp.data[[#This Row],[Sulf]]&lt;=0.5,vp.data[[#This Row],[Unknown]]=0),1,0)</f>
        <v>0</v>
      </c>
      <c r="AG1110" t="str">
        <f>INDEX(vp.data[[#Headers],[Unknown]:[Heavy_SW]],MATCH(1,vp.data[[#This Row],[Unknown]:[Heavy_SW]],0))</f>
        <v>Medium_LSB</v>
      </c>
      <c r="AH1110">
        <f>INDEX([3]!crudeBD.lkup[Number],MATCH(vp.data[[#This Row],[Crude_Breakdown]],crudeBD.lkup[Crude Breakdown],0))</f>
        <v>3</v>
      </c>
      <c r="AI1110">
        <f>MONTH(vp.data[[#This Row],[SDate]])</f>
        <v>3</v>
      </c>
      <c r="AJ1110" s="5">
        <f>(vp.data[[#This Row],[VP]]-INDEX(crudeBD.lkup[Mean_VP],MATCH(vp.data[[#This Row],[Crude_Breakdown]],crudeBD.lkup[Crude Breakdown],0)))^2</f>
        <v>98.797169915939264</v>
      </c>
      <c r="AK1110" s="5">
        <f>(vp.data[[#This Row],[Dens]]-INDEX(crudeBD.lkup[Mean_Dens],MATCH(vp.data[[#This Row],[Crude_Breakdown]],crudeBD.lkup[Crude Breakdown],0)))^2</f>
        <v>2.4964000000015663</v>
      </c>
      <c r="AL1110" s="5">
        <f>(vp.data[[#This Row],[Sulf]]-INDEX(crudeBD.lkup[Mean_Sulf],MATCH(vp.data[[#This Row],[Crude_Breakdown]],crudeBD.lkup[Crude Breakdown],0)))^2</f>
        <v>6.7910993436712972E-3</v>
      </c>
      <c r="AM1110" s="4">
        <f>IF(AND(vp.data[[#This Row],[SDate]]&gt;=DATE(YEAR(vp.data[[#This Row],[SDate]]),5,1),vp.data[[#This Row],[SDate]]&lt;=DATE(YEAR(vp.data[[#This Row],[SDate]]),9,15)),1,0)</f>
        <v>0</v>
      </c>
      <c r="AN1110" s="4">
        <f>IF(vp.data[[#This Row],[SDate]]&lt;DATE(2016,12,1),0,1)</f>
        <v>1</v>
      </c>
      <c r="AO1110" s="4">
        <f>IFERROR(vp.data[[#This Row],[Sulf]]*vp.data[[#This Row],[Net Dens]],"")</f>
        <v>5135330.9431639994</v>
      </c>
      <c r="AP1110">
        <f>IFERROR(vp.data[[#This Row],[Dens]]*vp.data[[#This Row],[VolumeM3]],"")</f>
        <v>3941159.588</v>
      </c>
      <c r="AQ1110" s="15">
        <f>IFERROR(vp.data[[#This Row],[VP]]*vp.data[[#This Row],[VolumeM3]],"")</f>
        <v>329556.45520000003</v>
      </c>
    </row>
    <row r="1111" spans="1:43" x14ac:dyDescent="0.25">
      <c r="A1111">
        <v>1110</v>
      </c>
      <c r="B1111" t="s">
        <v>62</v>
      </c>
      <c r="C1111" t="s">
        <v>62</v>
      </c>
      <c r="D1111" t="s">
        <v>83</v>
      </c>
      <c r="F1111" s="1">
        <v>42821</v>
      </c>
      <c r="G1111" s="2">
        <v>83.5</v>
      </c>
      <c r="H1111" s="2"/>
      <c r="I1111" s="2">
        <f t="array" ref="I111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111" s="2">
        <v>3.1</v>
      </c>
      <c r="K1111" s="2">
        <v>4</v>
      </c>
      <c r="L1111" s="2">
        <v>808.2</v>
      </c>
      <c r="M1111" s="2">
        <f t="array" ref="M1111">_xlfn.IFNA(IF(vp.data[[#This Row],[Dens Input]]="",INDEX([1]DATA!$O$3:$O$9826,MATCH(1,(vp.data[[#This Row],[Battery]]=[1]DATA!$L$3:$L$9826)*(EOMONTH(vp.data[[#This Row],[SDate]],-1)+1=[1]DATA!$G$3:$G$9826),0)),vp.data[[#This Row],[Dens Input]]),"")</f>
        <v>808.2</v>
      </c>
      <c r="N1111" s="2">
        <f ca="1">INDEX(INDIRECT(_xlfn.CONCAT("weather.tbl[",N$1,"]")),MATCH(vp.data[[#This Row],[SDate]],weather.tbl[Date],0))</f>
        <v>1.4666666666666668</v>
      </c>
      <c r="O1111" s="2">
        <f ca="1">INDEX(INDIRECT(_xlfn.CONCAT("weather.tbl[",O$1,"]")),MATCH(vp.data[[#This Row],[SDate]],weather.tbl[Date],0))</f>
        <v>-0.90238095238095273</v>
      </c>
      <c r="P1111" s="2">
        <f ca="1">INDEX(INDIRECT(_xlfn.CONCAT("weather.tbl[",P$1,"]")),MATCH(vp.data[[#This Row],[SDate]],weather.tbl[Date],0))</f>
        <v>0.7</v>
      </c>
      <c r="Q1111" s="2">
        <f ca="1">INDEX(INDIRECT(_xlfn.CONCAT("weather.tbl[",Q$1,"]")),MATCH(vp.data[[#This Row],[SDate]],weather.tbl[Date],0))</f>
        <v>3</v>
      </c>
      <c r="R1111" s="2">
        <f ca="1">INDEX(INDIRECT(_xlfn.CONCAT("weather.tbl[",R$1,"]")),MATCH(vp.data[[#This Row],[SDate]],weather.tbl[Date],0))</f>
        <v>1.3</v>
      </c>
      <c r="S1111" s="2">
        <f ca="1">INDEX(INDIRECT(_xlfn.CONCAT("weather.tbl[",S$1,"]")),MATCH(vp.data[[#This Row],[SDate]],weather.tbl[Date],0))</f>
        <v>3.3</v>
      </c>
      <c r="T1111" s="2">
        <f ca="1">INDEX(INDIRECT(_xlfn.CONCAT("weather.tbl[",T$1,"]")),MATCH(vp.data[[#This Row],[SDate]],weather.tbl[Date],0))</f>
        <v>-0.3</v>
      </c>
      <c r="U1111" s="2">
        <f ca="1">INDEX(INDIRECT(_xlfn.CONCAT("weather.tbl[",U$1,"]")),MATCH(vp.data[[#This Row],[SDate]],weather.tbl[Date],0))</f>
        <v>0.8</v>
      </c>
      <c r="V1111" s="2">
        <f t="array" ref="V11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6312.9459999999999</v>
      </c>
      <c r="W1111" t="s">
        <v>48</v>
      </c>
      <c r="X1111">
        <f>IF(OR(vp.data[[#This Row],[Sulf]]="",vp.data[[#This Row],[Dens]]=""),1,0)</f>
        <v>0</v>
      </c>
      <c r="Y1111">
        <f>IF(vp.data[[#This Row],[CrudeType]]="C5+",1,0)</f>
        <v>0</v>
      </c>
      <c r="Z1111">
        <f>IF(AND(vp.data[[#This Row],[CrudeType]]="Crude",vp.data[[#This Row],[Dens]]&lt;=825,vp.data[[#This Row],[Sulf]]&gt;0.5,vp.data[[#This Row],[Unknown]]=0),1,0)</f>
        <v>0</v>
      </c>
      <c r="AA1111">
        <f>IF(AND(vp.data[[#This Row],[CrudeType]]="Crude",vp.data[[#This Row],[Dens]]&lt;=825,vp.data[[#This Row],[Sulf]]&lt;=0.5,vp.data[[#This Row],[Unknown]]=0),1,0)</f>
        <v>1</v>
      </c>
      <c r="AB11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11">
        <f>IF(AND(vp.data[[#This Row],[CrudeType]]="Crude",vp.data[[#This Row],[Dens]]&gt;825,vp.data[[#This Row],[Dens]]&lt;=900,vp.data[[#This Row],[Sulf]]&lt;=0.5,vp.data[[#This Row],[Unknown]]=0),1,0)</f>
        <v>0</v>
      </c>
      <c r="AD1111">
        <f>IF(AND(vp.data[[#This Row],[CrudeType]]="Crude",vp.data[[#This Row],[Dens]]&gt;865,vp.data[[#This Row],[Dens]]&lt;=900,vp.data[[#This Row],[Sulf]]&gt;2,vp.data[[#This Row],[Unknown]]=0),1,0)</f>
        <v>0</v>
      </c>
      <c r="AE1111">
        <f>IF(AND(vp.data[[#This Row],[CrudeType]]="Crude",vp.data[[#This Row],[Dens]]&gt;900,vp.data[[#This Row],[Sulf]]&lt;=0.5,vp.data[[#This Row],[Unknown]]=0),1,0)</f>
        <v>0</v>
      </c>
      <c r="AF1111">
        <f>IF(AND(vp.data[[#This Row],[CrudeType]]="Crude",vp.data[[#This Row],[Dens]]&gt;900,vp.data[[#This Row],[Sulf]]&lt;=0.5,vp.data[[#This Row],[Unknown]]=0),1,0)</f>
        <v>0</v>
      </c>
      <c r="AG1111" t="str">
        <f>INDEX(vp.data[[#Headers],[Unknown]:[Heavy_SW]],MATCH(1,vp.data[[#This Row],[Unknown]:[Heavy_SW]],0))</f>
        <v>Light_SW</v>
      </c>
      <c r="AH1111">
        <f>INDEX([3]!crudeBD.lkup[Number],MATCH(vp.data[[#This Row],[Crude_Breakdown]],crudeBD.lkup[Crude Breakdown],0))</f>
        <v>2</v>
      </c>
      <c r="AI1111">
        <f>MONTH(vp.data[[#This Row],[SDate]])</f>
        <v>3</v>
      </c>
      <c r="AJ1111" s="5">
        <f>(vp.data[[#This Row],[VP]]-INDEX(crudeBD.lkup[Mean_VP],MATCH(vp.data[[#This Row],[Crude_Breakdown]],crudeBD.lkup[Crude Breakdown],0)))^2</f>
        <v>81.908176056525591</v>
      </c>
      <c r="AK1111" s="5">
        <f>(vp.data[[#This Row],[Dens]]-INDEX(crudeBD.lkup[Mean_Dens],MATCH(vp.data[[#This Row],[Crude_Breakdown]],crudeBD.lkup[Crude Breakdown],0)))^2</f>
        <v>1.2431861501234131E-2</v>
      </c>
      <c r="AL1111" s="5">
        <f>(vp.data[[#This Row],[Sulf]]-INDEX(crudeBD.lkup[Mean_Sulf],MATCH(vp.data[[#This Row],[Crude_Breakdown]],crudeBD.lkup[Crude Breakdown],0)))^2</f>
        <v>2.1383051628646554E-3</v>
      </c>
      <c r="AM1111" s="4">
        <f>IF(AND(vp.data[[#This Row],[SDate]]&gt;=DATE(YEAR(vp.data[[#This Row],[SDate]]),5,1),vp.data[[#This Row],[SDate]]&lt;=DATE(YEAR(vp.data[[#This Row],[SDate]]),9,15)),1,0)</f>
        <v>0</v>
      </c>
      <c r="AN1111" s="4">
        <f>IF(vp.data[[#This Row],[SDate]]&lt;DATE(2016,12,1),0,1)</f>
        <v>1</v>
      </c>
      <c r="AO1111" s="4">
        <f>IFERROR(vp.data[[#This Row],[Sulf]]*vp.data[[#This Row],[Net Dens]],"")</f>
        <v>969403.36186800001</v>
      </c>
      <c r="AP1111">
        <f>IFERROR(vp.data[[#This Row],[Dens]]*vp.data[[#This Row],[VolumeM3]],"")</f>
        <v>5102122.9572000001</v>
      </c>
      <c r="AQ1111" s="15">
        <f>IFERROR(vp.data[[#This Row],[VP]]*vp.data[[#This Row],[VolumeM3]],"")</f>
        <v>527130.99100000004</v>
      </c>
    </row>
    <row r="1112" spans="1:43" x14ac:dyDescent="0.25">
      <c r="A1112">
        <v>1111</v>
      </c>
      <c r="B1112" t="s">
        <v>62</v>
      </c>
      <c r="C1112" t="s">
        <v>62</v>
      </c>
      <c r="D1112" t="s">
        <v>79</v>
      </c>
      <c r="F1112" s="1">
        <v>42821</v>
      </c>
      <c r="G1112" s="2">
        <v>81.8</v>
      </c>
      <c r="H1112" s="2"/>
      <c r="I1112" s="2">
        <f t="array" ref="I1112">_xlfn.IFNA(IF(vp.data[[#This Row],[Sulf Input]]="",INDEX([1]DATA!$Q$3:$Q$9826,MATCH(1,(vp.data[[#This Row],[Battery]]=[1]DATA!$L$3:$L$9826)*(EOMONTH(vp.data[[#This Row],[SDate]],-1)+1=[1]DATA!$G$3:$G$9826),0)),vp.data[[#This Row],[Sulf Input]]),"")</f>
        <v>0.3</v>
      </c>
      <c r="J1112" s="2">
        <v>25.1</v>
      </c>
      <c r="K1112" s="2">
        <v>4</v>
      </c>
      <c r="L1112" s="2">
        <v>810.2</v>
      </c>
      <c r="M1112" s="2">
        <f t="array" ref="M1112">_xlfn.IFNA(IF(vp.data[[#This Row],[Dens Input]]="",INDEX([1]DATA!$O$3:$O$9826,MATCH(1,(vp.data[[#This Row],[Battery]]=[1]DATA!$L$3:$L$9826)*(EOMONTH(vp.data[[#This Row],[SDate]],-1)+1=[1]DATA!$G$3:$G$9826),0)),vp.data[[#This Row],[Dens Input]]),"")</f>
        <v>810.2</v>
      </c>
      <c r="N1112" s="2">
        <f ca="1">INDEX(INDIRECT(_xlfn.CONCAT("weather.tbl[",N$1,"]")),MATCH(vp.data[[#This Row],[SDate]],weather.tbl[Date],0))</f>
        <v>1.4666666666666668</v>
      </c>
      <c r="O1112" s="2">
        <f ca="1">INDEX(INDIRECT(_xlfn.CONCAT("weather.tbl[",O$1,"]")),MATCH(vp.data[[#This Row],[SDate]],weather.tbl[Date],0))</f>
        <v>-0.90238095238095273</v>
      </c>
      <c r="P1112" s="2">
        <f ca="1">INDEX(INDIRECT(_xlfn.CONCAT("weather.tbl[",P$1,"]")),MATCH(vp.data[[#This Row],[SDate]],weather.tbl[Date],0))</f>
        <v>0.7</v>
      </c>
      <c r="Q1112" s="2">
        <f ca="1">INDEX(INDIRECT(_xlfn.CONCAT("weather.tbl[",Q$1,"]")),MATCH(vp.data[[#This Row],[SDate]],weather.tbl[Date],0))</f>
        <v>3</v>
      </c>
      <c r="R1112" s="2">
        <f ca="1">INDEX(INDIRECT(_xlfn.CONCAT("weather.tbl[",R$1,"]")),MATCH(vp.data[[#This Row],[SDate]],weather.tbl[Date],0))</f>
        <v>1.3</v>
      </c>
      <c r="S1112" s="2">
        <f ca="1">INDEX(INDIRECT(_xlfn.CONCAT("weather.tbl[",S$1,"]")),MATCH(vp.data[[#This Row],[SDate]],weather.tbl[Date],0))</f>
        <v>3.3</v>
      </c>
      <c r="T1112" s="2">
        <f ca="1">INDEX(INDIRECT(_xlfn.CONCAT("weather.tbl[",T$1,"]")),MATCH(vp.data[[#This Row],[SDate]],weather.tbl[Date],0))</f>
        <v>-0.3</v>
      </c>
      <c r="U1112" s="2">
        <f ca="1">INDEX(INDIRECT(_xlfn.CONCAT("weather.tbl[",U$1,"]")),MATCH(vp.data[[#This Row],[SDate]],weather.tbl[Date],0))</f>
        <v>0.8</v>
      </c>
      <c r="V1112" s="2">
        <f t="array" ref="V11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15962.98</v>
      </c>
      <c r="W1112" t="s">
        <v>48</v>
      </c>
      <c r="X1112">
        <f>IF(OR(vp.data[[#This Row],[Sulf]]="",vp.data[[#This Row],[Dens]]=""),1,0)</f>
        <v>0</v>
      </c>
      <c r="Y1112">
        <f>IF(vp.data[[#This Row],[CrudeType]]="C5+",1,0)</f>
        <v>0</v>
      </c>
      <c r="Z1112">
        <f>IF(AND(vp.data[[#This Row],[CrudeType]]="Crude",vp.data[[#This Row],[Dens]]&lt;=825,vp.data[[#This Row],[Sulf]]&gt;0.5,vp.data[[#This Row],[Unknown]]=0),1,0)</f>
        <v>0</v>
      </c>
      <c r="AA1112">
        <f>IF(AND(vp.data[[#This Row],[CrudeType]]="Crude",vp.data[[#This Row],[Dens]]&lt;=825,vp.data[[#This Row],[Sulf]]&lt;=0.5,vp.data[[#This Row],[Unknown]]=0),1,0)</f>
        <v>1</v>
      </c>
      <c r="AB11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12">
        <f>IF(AND(vp.data[[#This Row],[CrudeType]]="Crude",vp.data[[#This Row],[Dens]]&gt;825,vp.data[[#This Row],[Dens]]&lt;=900,vp.data[[#This Row],[Sulf]]&lt;=0.5,vp.data[[#This Row],[Unknown]]=0),1,0)</f>
        <v>0</v>
      </c>
      <c r="AD1112">
        <f>IF(AND(vp.data[[#This Row],[CrudeType]]="Crude",vp.data[[#This Row],[Dens]]&gt;865,vp.data[[#This Row],[Dens]]&lt;=900,vp.data[[#This Row],[Sulf]]&gt;2,vp.data[[#This Row],[Unknown]]=0),1,0)</f>
        <v>0</v>
      </c>
      <c r="AE1112">
        <f>IF(AND(vp.data[[#This Row],[CrudeType]]="Crude",vp.data[[#This Row],[Dens]]&gt;900,vp.data[[#This Row],[Sulf]]&lt;=0.5,vp.data[[#This Row],[Unknown]]=0),1,0)</f>
        <v>0</v>
      </c>
      <c r="AF1112">
        <f>IF(AND(vp.data[[#This Row],[CrudeType]]="Crude",vp.data[[#This Row],[Dens]]&gt;900,vp.data[[#This Row],[Sulf]]&lt;=0.5,vp.data[[#This Row],[Unknown]]=0),1,0)</f>
        <v>0</v>
      </c>
      <c r="AG1112" t="str">
        <f>INDEX(vp.data[[#Headers],[Unknown]:[Heavy_SW]],MATCH(1,vp.data[[#This Row],[Unknown]:[Heavy_SW]],0))</f>
        <v>Light_SW</v>
      </c>
      <c r="AH1112">
        <f>INDEX([3]!crudeBD.lkup[Number],MATCH(vp.data[[#This Row],[Crude_Breakdown]],crudeBD.lkup[Crude Breakdown],0))</f>
        <v>2</v>
      </c>
      <c r="AI1112">
        <f>MONTH(vp.data[[#This Row],[SDate]])</f>
        <v>3</v>
      </c>
      <c r="AJ1112" s="5">
        <f>(vp.data[[#This Row],[VP]]-INDEX(crudeBD.lkup[Mean_VP],MATCH(vp.data[[#This Row],[Crude_Breakdown]],crudeBD.lkup[Crude Breakdown],0)))^2</f>
        <v>115.56924225861614</v>
      </c>
      <c r="AK1112" s="5">
        <f>(vp.data[[#This Row],[Dens]]-INDEX(crudeBD.lkup[Mean_Dens],MATCH(vp.data[[#This Row],[Crude_Breakdown]],crudeBD.lkup[Crude Breakdown],0)))^2</f>
        <v>3.5664388301434045</v>
      </c>
      <c r="AL1112" s="5">
        <f>(vp.data[[#This Row],[Sulf]]-INDEX(crudeBD.lkup[Mean_Sulf],MATCH(vp.data[[#This Row],[Crude_Breakdown]],crudeBD.lkup[Crude Breakdown],0)))^2</f>
        <v>4.0651065565929113E-3</v>
      </c>
      <c r="AM1112" s="4">
        <f>IF(AND(vp.data[[#This Row],[SDate]]&gt;=DATE(YEAR(vp.data[[#This Row],[SDate]]),5,1),vp.data[[#This Row],[SDate]]&lt;=DATE(YEAR(vp.data[[#This Row],[SDate]]),9,15)),1,0)</f>
        <v>0</v>
      </c>
      <c r="AN1112" s="4">
        <f>IF(vp.data[[#This Row],[SDate]]&lt;DATE(2016,12,1),0,1)</f>
        <v>1</v>
      </c>
      <c r="AO1112" s="4">
        <f>IFERROR(vp.data[[#This Row],[Sulf]]*vp.data[[#This Row],[Net Dens]],"")</f>
        <v>3879961.9187999996</v>
      </c>
      <c r="AP1112">
        <f>IFERROR(vp.data[[#This Row],[Dens]]*vp.data[[#This Row],[VolumeM3]],"")</f>
        <v>12933206.396</v>
      </c>
      <c r="AQ1112" s="15">
        <f>IFERROR(vp.data[[#This Row],[VP]]*vp.data[[#This Row],[VolumeM3]],"")</f>
        <v>1305771.764</v>
      </c>
    </row>
    <row r="1113" spans="1:43" x14ac:dyDescent="0.25">
      <c r="A1113">
        <v>1112</v>
      </c>
      <c r="B1113" t="s">
        <v>62</v>
      </c>
      <c r="C1113" t="s">
        <v>62</v>
      </c>
      <c r="D1113" t="s">
        <v>87</v>
      </c>
      <c r="F1113" s="1">
        <v>42821</v>
      </c>
      <c r="G1113" s="2">
        <v>74</v>
      </c>
      <c r="H1113" s="2"/>
      <c r="I1113" s="2">
        <f t="array" ref="I1113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113" s="2">
        <v>30.6</v>
      </c>
      <c r="K1113" s="2">
        <v>4</v>
      </c>
      <c r="L1113" s="2">
        <v>811.8</v>
      </c>
      <c r="M1113" s="2">
        <f t="array" ref="M1113">_xlfn.IFNA(IF(vp.data[[#This Row],[Dens Input]]="",INDEX([1]DATA!$O$3:$O$9826,MATCH(1,(vp.data[[#This Row],[Battery]]=[1]DATA!$L$3:$L$9826)*(EOMONTH(vp.data[[#This Row],[SDate]],-1)+1=[1]DATA!$G$3:$G$9826),0)),vp.data[[#This Row],[Dens Input]]),"")</f>
        <v>811.8</v>
      </c>
      <c r="N1113" s="2">
        <f ca="1">INDEX(INDIRECT(_xlfn.CONCAT("weather.tbl[",N$1,"]")),MATCH(vp.data[[#This Row],[SDate]],weather.tbl[Date],0))</f>
        <v>1.4666666666666668</v>
      </c>
      <c r="O1113" s="2">
        <f ca="1">INDEX(INDIRECT(_xlfn.CONCAT("weather.tbl[",O$1,"]")),MATCH(vp.data[[#This Row],[SDate]],weather.tbl[Date],0))</f>
        <v>-0.90238095238095273</v>
      </c>
      <c r="P1113" s="2">
        <f ca="1">INDEX(INDIRECT(_xlfn.CONCAT("weather.tbl[",P$1,"]")),MATCH(vp.data[[#This Row],[SDate]],weather.tbl[Date],0))</f>
        <v>0.7</v>
      </c>
      <c r="Q1113" s="2">
        <f ca="1">INDEX(INDIRECT(_xlfn.CONCAT("weather.tbl[",Q$1,"]")),MATCH(vp.data[[#This Row],[SDate]],weather.tbl[Date],0))</f>
        <v>3</v>
      </c>
      <c r="R1113" s="2">
        <f ca="1">INDEX(INDIRECT(_xlfn.CONCAT("weather.tbl[",R$1,"]")),MATCH(vp.data[[#This Row],[SDate]],weather.tbl[Date],0))</f>
        <v>1.3</v>
      </c>
      <c r="S1113" s="2">
        <f ca="1">INDEX(INDIRECT(_xlfn.CONCAT("weather.tbl[",S$1,"]")),MATCH(vp.data[[#This Row],[SDate]],weather.tbl[Date],0))</f>
        <v>3.3</v>
      </c>
      <c r="T1113" s="2">
        <f ca="1">INDEX(INDIRECT(_xlfn.CONCAT("weather.tbl[",T$1,"]")),MATCH(vp.data[[#This Row],[SDate]],weather.tbl[Date],0))</f>
        <v>-0.3</v>
      </c>
      <c r="U1113" s="2">
        <f ca="1">INDEX(INDIRECT(_xlfn.CONCAT("weather.tbl[",U$1,"]")),MATCH(vp.data[[#This Row],[SDate]],weather.tbl[Date],0))</f>
        <v>0.8</v>
      </c>
      <c r="V1113" s="2">
        <f t="array" ref="V11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7297.97</v>
      </c>
      <c r="W1113" t="s">
        <v>48</v>
      </c>
      <c r="X1113">
        <f>IF(OR(vp.data[[#This Row],[Sulf]]="",vp.data[[#This Row],[Dens]]=""),1,0)</f>
        <v>0</v>
      </c>
      <c r="Y1113">
        <f>IF(vp.data[[#This Row],[CrudeType]]="C5+",1,0)</f>
        <v>0</v>
      </c>
      <c r="Z1113">
        <f>IF(AND(vp.data[[#This Row],[CrudeType]]="Crude",vp.data[[#This Row],[Dens]]&lt;=825,vp.data[[#This Row],[Sulf]]&gt;0.5,vp.data[[#This Row],[Unknown]]=0),1,0)</f>
        <v>0</v>
      </c>
      <c r="AA1113">
        <f>IF(AND(vp.data[[#This Row],[CrudeType]]="Crude",vp.data[[#This Row],[Dens]]&lt;=825,vp.data[[#This Row],[Sulf]]&lt;=0.5,vp.data[[#This Row],[Unknown]]=0),1,0)</f>
        <v>1</v>
      </c>
      <c r="AB11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13">
        <f>IF(AND(vp.data[[#This Row],[CrudeType]]="Crude",vp.data[[#This Row],[Dens]]&gt;825,vp.data[[#This Row],[Dens]]&lt;=900,vp.data[[#This Row],[Sulf]]&lt;=0.5,vp.data[[#This Row],[Unknown]]=0),1,0)</f>
        <v>0</v>
      </c>
      <c r="AD1113">
        <f>IF(AND(vp.data[[#This Row],[CrudeType]]="Crude",vp.data[[#This Row],[Dens]]&gt;865,vp.data[[#This Row],[Dens]]&lt;=900,vp.data[[#This Row],[Sulf]]&gt;2,vp.data[[#This Row],[Unknown]]=0),1,0)</f>
        <v>0</v>
      </c>
      <c r="AE1113">
        <f>IF(AND(vp.data[[#This Row],[CrudeType]]="Crude",vp.data[[#This Row],[Dens]]&gt;900,vp.data[[#This Row],[Sulf]]&lt;=0.5,vp.data[[#This Row],[Unknown]]=0),1,0)</f>
        <v>0</v>
      </c>
      <c r="AF1113">
        <f>IF(AND(vp.data[[#This Row],[CrudeType]]="Crude",vp.data[[#This Row],[Dens]]&gt;900,vp.data[[#This Row],[Sulf]]&lt;=0.5,vp.data[[#This Row],[Unknown]]=0),1,0)</f>
        <v>0</v>
      </c>
      <c r="AG1113" t="str">
        <f>INDEX(vp.data[[#Headers],[Unknown]:[Heavy_SW]],MATCH(1,vp.data[[#This Row],[Unknown]:[Heavy_SW]],0))</f>
        <v>Light_SW</v>
      </c>
      <c r="AH1113">
        <f>INDEX([3]!crudeBD.lkup[Number],MATCH(vp.data[[#This Row],[Crude_Breakdown]],crudeBD.lkup[Crude Breakdown],0))</f>
        <v>2</v>
      </c>
      <c r="AI1113">
        <f>MONTH(vp.data[[#This Row],[SDate]])</f>
        <v>3</v>
      </c>
      <c r="AJ1113" s="5">
        <f>(vp.data[[#This Row],[VP]]-INDEX(crudeBD.lkup[Mean_VP],MATCH(vp.data[[#This Row],[Crude_Breakdown]],crudeBD.lkup[Crude Breakdown],0)))^2</f>
        <v>344.11413424467833</v>
      </c>
      <c r="AK1113" s="5">
        <f>(vp.data[[#This Row],[Dens]]-INDEX(crudeBD.lkup[Mean_Dens],MATCH(vp.data[[#This Row],[Crude_Breakdown]],crudeBD.lkup[Crude Breakdown],0)))^2</f>
        <v>12.169644405056506</v>
      </c>
      <c r="AL1113" s="5">
        <f>(vp.data[[#This Row],[Sulf]]-INDEX(crudeBD.lkup[Mean_Sulf],MATCH(vp.data[[#This Row],[Crude_Breakdown]],crudeBD.lkup[Crude Breakdown],0)))^2</f>
        <v>4.3879776367322437E-3</v>
      </c>
      <c r="AM1113" s="4">
        <f>IF(AND(vp.data[[#This Row],[SDate]]&gt;=DATE(YEAR(vp.data[[#This Row],[SDate]]),5,1),vp.data[[#This Row],[SDate]]&lt;=DATE(YEAR(vp.data[[#This Row],[SDate]]),9,15)),1,0)</f>
        <v>0</v>
      </c>
      <c r="AN1113" s="4">
        <f>IF(vp.data[[#This Row],[SDate]]&lt;DATE(2016,12,1),0,1)</f>
        <v>1</v>
      </c>
      <c r="AO1113" s="4">
        <f>IFERROR(vp.data[[#This Row],[Sulf]]*vp.data[[#This Row],[Net Dens]],"")</f>
        <v>1007163.6478200001</v>
      </c>
      <c r="AP1113">
        <f>IFERROR(vp.data[[#This Row],[Dens]]*vp.data[[#This Row],[VolumeM3]],"")</f>
        <v>5924492.0460000001</v>
      </c>
      <c r="AQ1113" s="15">
        <f>IFERROR(vp.data[[#This Row],[VP]]*vp.data[[#This Row],[VolumeM3]],"")</f>
        <v>540049.78</v>
      </c>
    </row>
    <row r="1114" spans="1:43" x14ac:dyDescent="0.25">
      <c r="A1114">
        <v>1113</v>
      </c>
      <c r="B1114" t="s">
        <v>62</v>
      </c>
      <c r="C1114" t="s">
        <v>62</v>
      </c>
      <c r="D1114" t="s">
        <v>63</v>
      </c>
      <c r="F1114" s="1">
        <v>42821</v>
      </c>
      <c r="G1114" s="2">
        <v>79.400000000000006</v>
      </c>
      <c r="H1114" s="2"/>
      <c r="I1114" s="2">
        <f t="array" ref="I1114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114" s="2">
        <v>20.3</v>
      </c>
      <c r="K1114" s="2">
        <v>4</v>
      </c>
      <c r="L1114" s="2">
        <v>827.9</v>
      </c>
      <c r="M1114" s="2">
        <f t="array" ref="M1114">_xlfn.IFNA(IF(vp.data[[#This Row],[Dens Input]]="",INDEX([1]DATA!$O$3:$O$9826,MATCH(1,(vp.data[[#This Row],[Battery]]=[1]DATA!$L$3:$L$9826)*(EOMONTH(vp.data[[#This Row],[SDate]],-1)+1=[1]DATA!$G$3:$G$9826),0)),vp.data[[#This Row],[Dens Input]]),"")</f>
        <v>827.9</v>
      </c>
      <c r="N1114" s="2">
        <f ca="1">INDEX(INDIRECT(_xlfn.CONCAT("weather.tbl[",N$1,"]")),MATCH(vp.data[[#This Row],[SDate]],weather.tbl[Date],0))</f>
        <v>1.4666666666666668</v>
      </c>
      <c r="O1114" s="2">
        <f ca="1">INDEX(INDIRECT(_xlfn.CONCAT("weather.tbl[",O$1,"]")),MATCH(vp.data[[#This Row],[SDate]],weather.tbl[Date],0))</f>
        <v>-0.90238095238095273</v>
      </c>
      <c r="P1114" s="2">
        <f ca="1">INDEX(INDIRECT(_xlfn.CONCAT("weather.tbl[",P$1,"]")),MATCH(vp.data[[#This Row],[SDate]],weather.tbl[Date],0))</f>
        <v>0.7</v>
      </c>
      <c r="Q1114" s="2">
        <f ca="1">INDEX(INDIRECT(_xlfn.CONCAT("weather.tbl[",Q$1,"]")),MATCH(vp.data[[#This Row],[SDate]],weather.tbl[Date],0))</f>
        <v>3</v>
      </c>
      <c r="R1114" s="2">
        <f ca="1">INDEX(INDIRECT(_xlfn.CONCAT("weather.tbl[",R$1,"]")),MATCH(vp.data[[#This Row],[SDate]],weather.tbl[Date],0))</f>
        <v>1.3</v>
      </c>
      <c r="S1114" s="2">
        <f ca="1">INDEX(INDIRECT(_xlfn.CONCAT("weather.tbl[",S$1,"]")),MATCH(vp.data[[#This Row],[SDate]],weather.tbl[Date],0))</f>
        <v>3.3</v>
      </c>
      <c r="T1114" s="2">
        <f ca="1">INDEX(INDIRECT(_xlfn.CONCAT("weather.tbl[",T$1,"]")),MATCH(vp.data[[#This Row],[SDate]],weather.tbl[Date],0))</f>
        <v>-0.3</v>
      </c>
      <c r="U1114" s="2">
        <f ca="1">INDEX(INDIRECT(_xlfn.CONCAT("weather.tbl[",U$1,"]")),MATCH(vp.data[[#This Row],[SDate]],weather.tbl[Date],0))</f>
        <v>0.8</v>
      </c>
      <c r="V1114" s="2">
        <f t="array" ref="V11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114" t="s">
        <v>48</v>
      </c>
      <c r="X1114">
        <f>IF(OR(vp.data[[#This Row],[Sulf]]="",vp.data[[#This Row],[Dens]]=""),1,0)</f>
        <v>0</v>
      </c>
      <c r="Y1114">
        <f>IF(vp.data[[#This Row],[CrudeType]]="C5+",1,0)</f>
        <v>0</v>
      </c>
      <c r="Z1114">
        <f>IF(AND(vp.data[[#This Row],[CrudeType]]="Crude",vp.data[[#This Row],[Dens]]&lt;=825,vp.data[[#This Row],[Sulf]]&gt;0.5,vp.data[[#This Row],[Unknown]]=0),1,0)</f>
        <v>0</v>
      </c>
      <c r="AA1114">
        <f>IF(AND(vp.data[[#This Row],[CrudeType]]="Crude",vp.data[[#This Row],[Dens]]&lt;=825,vp.data[[#This Row],[Sulf]]&lt;=0.5,vp.data[[#This Row],[Unknown]]=0),1,0)</f>
        <v>0</v>
      </c>
      <c r="AB11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4">
        <f>IF(AND(vp.data[[#This Row],[CrudeType]]="Crude",vp.data[[#This Row],[Dens]]&gt;825,vp.data[[#This Row],[Dens]]&lt;=900,vp.data[[#This Row],[Sulf]]&lt;=0.5,vp.data[[#This Row],[Unknown]]=0),1,0)</f>
        <v>0</v>
      </c>
      <c r="AD1114">
        <f>IF(AND(vp.data[[#This Row],[CrudeType]]="Crude",vp.data[[#This Row],[Dens]]&gt;865,vp.data[[#This Row],[Dens]]&lt;=900,vp.data[[#This Row],[Sulf]]&gt;2,vp.data[[#This Row],[Unknown]]=0),1,0)</f>
        <v>0</v>
      </c>
      <c r="AE1114">
        <f>IF(AND(vp.data[[#This Row],[CrudeType]]="Crude",vp.data[[#This Row],[Dens]]&gt;900,vp.data[[#This Row],[Sulf]]&lt;=0.5,vp.data[[#This Row],[Unknown]]=0),1,0)</f>
        <v>0</v>
      </c>
      <c r="AF1114">
        <f>IF(AND(vp.data[[#This Row],[CrudeType]]="Crude",vp.data[[#This Row],[Dens]]&gt;900,vp.data[[#This Row],[Sulf]]&lt;=0.5,vp.data[[#This Row],[Unknown]]=0),1,0)</f>
        <v>0</v>
      </c>
      <c r="AG1114" t="str">
        <f>INDEX(vp.data[[#Headers],[Unknown]:[Heavy_SW]],MATCH(1,vp.data[[#This Row],[Unknown]:[Heavy_SW]],0))</f>
        <v>Medium_LSB</v>
      </c>
      <c r="AH1114">
        <f>INDEX([3]!crudeBD.lkup[Number],MATCH(vp.data[[#This Row],[Crude_Breakdown]],crudeBD.lkup[Crude Breakdown],0))</f>
        <v>3</v>
      </c>
      <c r="AI1114">
        <f>MONTH(vp.data[[#This Row],[SDate]])</f>
        <v>3</v>
      </c>
      <c r="AJ1114" s="5">
        <f>(vp.data[[#This Row],[VP]]-INDEX(crudeBD.lkup[Mean_VP],MATCH(vp.data[[#This Row],[Crude_Breakdown]],crudeBD.lkup[Crude Breakdown],0)))^2</f>
        <v>1.5367979482855663</v>
      </c>
      <c r="AK1114" s="5">
        <f>(vp.data[[#This Row],[Dens]]-INDEX(crudeBD.lkup[Mean_Dens],MATCH(vp.data[[#This Row],[Crude_Breakdown]],crudeBD.lkup[Crude Breakdown],0)))^2</f>
        <v>256.64039999998482</v>
      </c>
      <c r="AL1114" s="5">
        <f>(vp.data[[#This Row],[Sulf]]-INDEX(crudeBD.lkup[Mean_Sulf],MATCH(vp.data[[#This Row],[Crude_Breakdown]],crudeBD.lkup[Crude Breakdown],0)))^2</f>
        <v>0.12573539662129798</v>
      </c>
      <c r="AM1114" s="4">
        <f>IF(AND(vp.data[[#This Row],[SDate]]&gt;=DATE(YEAR(vp.data[[#This Row],[SDate]]),5,1),vp.data[[#This Row],[SDate]]&lt;=DATE(YEAR(vp.data[[#This Row],[SDate]]),9,15)),1,0)</f>
        <v>0</v>
      </c>
      <c r="AN1114" s="4">
        <f>IF(vp.data[[#This Row],[SDate]]&lt;DATE(2016,12,1),0,1)</f>
        <v>1</v>
      </c>
      <c r="AO1114" s="4">
        <f>IFERROR(vp.data[[#This Row],[Sulf]]*vp.data[[#This Row],[Net Dens]],"")</f>
        <v>10025122.631592</v>
      </c>
      <c r="AP1114">
        <f>IFERROR(vp.data[[#This Row],[Dens]]*vp.data[[#This Row],[VolumeM3]],"")</f>
        <v>5761564.7308</v>
      </c>
      <c r="AQ1114" s="15">
        <f>IFERROR(vp.data[[#This Row],[VP]]*vp.data[[#This Row],[VolumeM3]],"")</f>
        <v>552564.60880000005</v>
      </c>
    </row>
    <row r="1115" spans="1:43" x14ac:dyDescent="0.25">
      <c r="A1115">
        <v>1114</v>
      </c>
      <c r="B1115" t="s">
        <v>51</v>
      </c>
      <c r="C1115" t="s">
        <v>51</v>
      </c>
      <c r="D1115" t="s">
        <v>95</v>
      </c>
      <c r="F1115" s="1">
        <v>42821</v>
      </c>
      <c r="G1115" s="2">
        <v>70.3</v>
      </c>
      <c r="H1115" s="2"/>
      <c r="I1115" s="2">
        <f t="array" ref="I1115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115" s="2">
        <v>30.1</v>
      </c>
      <c r="K1115" s="2">
        <v>4</v>
      </c>
      <c r="L1115" s="2">
        <v>841.9</v>
      </c>
      <c r="M1115" s="2">
        <f t="array" ref="M1115">_xlfn.IFNA(IF(vp.data[[#This Row],[Dens Input]]="",INDEX([1]DATA!$O$3:$O$9826,MATCH(1,(vp.data[[#This Row],[Battery]]=[1]DATA!$L$3:$L$9826)*(EOMONTH(vp.data[[#This Row],[SDate]],-1)+1=[1]DATA!$G$3:$G$9826),0)),vp.data[[#This Row],[Dens Input]]),"")</f>
        <v>841.9</v>
      </c>
      <c r="N1115" s="2">
        <f ca="1">INDEX(INDIRECT(_xlfn.CONCAT("weather.tbl[",N$1,"]")),MATCH(vp.data[[#This Row],[SDate]],weather.tbl[Date],0))</f>
        <v>1.4666666666666668</v>
      </c>
      <c r="O1115" s="2">
        <f ca="1">INDEX(INDIRECT(_xlfn.CONCAT("weather.tbl[",O$1,"]")),MATCH(vp.data[[#This Row],[SDate]],weather.tbl[Date],0))</f>
        <v>-0.90238095238095273</v>
      </c>
      <c r="P1115" s="2">
        <f ca="1">INDEX(INDIRECT(_xlfn.CONCAT("weather.tbl[",P$1,"]")),MATCH(vp.data[[#This Row],[SDate]],weather.tbl[Date],0))</f>
        <v>0.7</v>
      </c>
      <c r="Q1115" s="2">
        <f ca="1">INDEX(INDIRECT(_xlfn.CONCAT("weather.tbl[",Q$1,"]")),MATCH(vp.data[[#This Row],[SDate]],weather.tbl[Date],0))</f>
        <v>3</v>
      </c>
      <c r="R1115" s="2">
        <f ca="1">INDEX(INDIRECT(_xlfn.CONCAT("weather.tbl[",R$1,"]")),MATCH(vp.data[[#This Row],[SDate]],weather.tbl[Date],0))</f>
        <v>1.3</v>
      </c>
      <c r="S1115" s="2">
        <f ca="1">INDEX(INDIRECT(_xlfn.CONCAT("weather.tbl[",S$1,"]")),MATCH(vp.data[[#This Row],[SDate]],weather.tbl[Date],0))</f>
        <v>3.3</v>
      </c>
      <c r="T1115" s="2">
        <f ca="1">INDEX(INDIRECT(_xlfn.CONCAT("weather.tbl[",T$1,"]")),MATCH(vp.data[[#This Row],[SDate]],weather.tbl[Date],0))</f>
        <v>-0.3</v>
      </c>
      <c r="U1115" s="2">
        <f ca="1">INDEX(INDIRECT(_xlfn.CONCAT("weather.tbl[",U$1,"]")),MATCH(vp.data[[#This Row],[SDate]],weather.tbl[Date],0))</f>
        <v>0.8</v>
      </c>
      <c r="V1115" s="2">
        <f t="array" ref="V11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5390.0870000000004</v>
      </c>
      <c r="W1115" t="s">
        <v>48</v>
      </c>
      <c r="X1115">
        <f>IF(OR(vp.data[[#This Row],[Sulf]]="",vp.data[[#This Row],[Dens]]=""),1,0)</f>
        <v>0</v>
      </c>
      <c r="Y1115">
        <f>IF(vp.data[[#This Row],[CrudeType]]="C5+",1,0)</f>
        <v>0</v>
      </c>
      <c r="Z1115">
        <f>IF(AND(vp.data[[#This Row],[CrudeType]]="Crude",vp.data[[#This Row],[Dens]]&lt;=825,vp.data[[#This Row],[Sulf]]&gt;0.5,vp.data[[#This Row],[Unknown]]=0),1,0)</f>
        <v>0</v>
      </c>
      <c r="AA1115">
        <f>IF(AND(vp.data[[#This Row],[CrudeType]]="Crude",vp.data[[#This Row],[Dens]]&lt;=825,vp.data[[#This Row],[Sulf]]&lt;=0.5,vp.data[[#This Row],[Unknown]]=0),1,0)</f>
        <v>0</v>
      </c>
      <c r="AB11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5">
        <f>IF(AND(vp.data[[#This Row],[CrudeType]]="Crude",vp.data[[#This Row],[Dens]]&gt;825,vp.data[[#This Row],[Dens]]&lt;=900,vp.data[[#This Row],[Sulf]]&lt;=0.5,vp.data[[#This Row],[Unknown]]=0),1,0)</f>
        <v>0</v>
      </c>
      <c r="AD1115">
        <f>IF(AND(vp.data[[#This Row],[CrudeType]]="Crude",vp.data[[#This Row],[Dens]]&gt;865,vp.data[[#This Row],[Dens]]&lt;=900,vp.data[[#This Row],[Sulf]]&gt;2,vp.data[[#This Row],[Unknown]]=0),1,0)</f>
        <v>0</v>
      </c>
      <c r="AE1115">
        <f>IF(AND(vp.data[[#This Row],[CrudeType]]="Crude",vp.data[[#This Row],[Dens]]&gt;900,vp.data[[#This Row],[Sulf]]&lt;=0.5,vp.data[[#This Row],[Unknown]]=0),1,0)</f>
        <v>0</v>
      </c>
      <c r="AF1115">
        <f>IF(AND(vp.data[[#This Row],[CrudeType]]="Crude",vp.data[[#This Row],[Dens]]&gt;900,vp.data[[#This Row],[Sulf]]&lt;=0.5,vp.data[[#This Row],[Unknown]]=0),1,0)</f>
        <v>0</v>
      </c>
      <c r="AG1115" t="str">
        <f>INDEX(vp.data[[#Headers],[Unknown]:[Heavy_SW]],MATCH(1,vp.data[[#This Row],[Unknown]:[Heavy_SW]],0))</f>
        <v>Medium_LSB</v>
      </c>
      <c r="AH1115">
        <f>INDEX([3]!crudeBD.lkup[Number],MATCH(vp.data[[#This Row],[Crude_Breakdown]],crudeBD.lkup[Crude Breakdown],0))</f>
        <v>3</v>
      </c>
      <c r="AI1115">
        <f>MONTH(vp.data[[#This Row],[SDate]])</f>
        <v>3</v>
      </c>
      <c r="AJ1115" s="5">
        <f>(vp.data[[#This Row],[VP]]-INDEX(crudeBD.lkup[Mean_VP],MATCH(vp.data[[#This Row],[Crude_Breakdown]],crudeBD.lkup[Crude Breakdown],0)))^2</f>
        <v>106.9089111558315</v>
      </c>
      <c r="AK1115" s="5">
        <f>(vp.data[[#This Row],[Dens]]-INDEX(crudeBD.lkup[Mean_Dens],MATCH(vp.data[[#This Row],[Crude_Breakdown]],crudeBD.lkup[Crude Breakdown],0)))^2</f>
        <v>4.0803999999980896</v>
      </c>
      <c r="AL1115" s="5">
        <f>(vp.data[[#This Row],[Sulf]]-INDEX(crudeBD.lkup[Mean_Sulf],MATCH(vp.data[[#This Row],[Crude_Breakdown]],crudeBD.lkup[Crude Breakdown],0)))^2</f>
        <v>3.4376173440706655E-2</v>
      </c>
      <c r="AM1115" s="4">
        <f>IF(AND(vp.data[[#This Row],[SDate]]&gt;=DATE(YEAR(vp.data[[#This Row],[SDate]]),5,1),vp.data[[#This Row],[SDate]]&lt;=DATE(YEAR(vp.data[[#This Row],[SDate]]),9,15)),1,0)</f>
        <v>0</v>
      </c>
      <c r="AN1115" s="4">
        <f>IF(vp.data[[#This Row],[SDate]]&lt;DATE(2016,12,1),0,1)</f>
        <v>1</v>
      </c>
      <c r="AO1115" s="4">
        <f>IFERROR(vp.data[[#This Row],[Sulf]]*vp.data[[#This Row],[Net Dens]],"")</f>
        <v>5445497.0943600005</v>
      </c>
      <c r="AP1115">
        <f>IFERROR(vp.data[[#This Row],[Dens]]*vp.data[[#This Row],[VolumeM3]],"")</f>
        <v>4537914.2453000005</v>
      </c>
      <c r="AQ1115" s="15">
        <f>IFERROR(vp.data[[#This Row],[VP]]*vp.data[[#This Row],[VolumeM3]],"")</f>
        <v>378923.11610000004</v>
      </c>
    </row>
    <row r="1116" spans="1:43" x14ac:dyDescent="0.25">
      <c r="A1116">
        <v>1115</v>
      </c>
      <c r="B1116" t="s">
        <v>60</v>
      </c>
      <c r="C1116" t="s">
        <v>60</v>
      </c>
      <c r="D1116" t="s">
        <v>61</v>
      </c>
      <c r="E1116" t="s">
        <v>73</v>
      </c>
      <c r="F1116" s="1">
        <v>42821</v>
      </c>
      <c r="G1116" s="2">
        <v>79.599999999999994</v>
      </c>
      <c r="H1116" s="2">
        <v>0.98899999999999999</v>
      </c>
      <c r="I1116" s="2">
        <f t="array" ref="I1116">_xlfn.IFNA(IF(vp.data[[#This Row],[Sulf Input]]="",INDEX([1]DATA!$Q$3:$Q$9826,MATCH(1,(vp.data[[#This Row],[Battery]]=[1]DATA!$L$3:$L$9826)*(EOMONTH(vp.data[[#This Row],[SDate]],-1)+1=[1]DATA!$G$3:$G$9826),0)),vp.data[[#This Row],[Sulf Input]]),"")</f>
        <v>0.98899999999999999</v>
      </c>
      <c r="J1116" s="2">
        <v>4.3</v>
      </c>
      <c r="K1116" s="2">
        <v>4</v>
      </c>
      <c r="L1116" s="2">
        <v>845.8</v>
      </c>
      <c r="M1116" s="2">
        <f t="array" ref="M1116">_xlfn.IFNA(IF(vp.data[[#This Row],[Dens Input]]="",INDEX([1]DATA!$O$3:$O$9826,MATCH(1,(vp.data[[#This Row],[Battery]]=[1]DATA!$L$3:$L$9826)*(EOMONTH(vp.data[[#This Row],[SDate]],-1)+1=[1]DATA!$G$3:$G$9826),0)),vp.data[[#This Row],[Dens Input]]),"")</f>
        <v>845.8</v>
      </c>
      <c r="N1116" s="2">
        <f ca="1">INDEX(INDIRECT(_xlfn.CONCAT("weather.tbl[",N$1,"]")),MATCH(vp.data[[#This Row],[SDate]],weather.tbl[Date],0))</f>
        <v>1.4666666666666668</v>
      </c>
      <c r="O1116" s="2">
        <f ca="1">INDEX(INDIRECT(_xlfn.CONCAT("weather.tbl[",O$1,"]")),MATCH(vp.data[[#This Row],[SDate]],weather.tbl[Date],0))</f>
        <v>-0.90238095238095273</v>
      </c>
      <c r="P1116" s="2">
        <f ca="1">INDEX(INDIRECT(_xlfn.CONCAT("weather.tbl[",P$1,"]")),MATCH(vp.data[[#This Row],[SDate]],weather.tbl[Date],0))</f>
        <v>0.7</v>
      </c>
      <c r="Q1116" s="2">
        <f ca="1">INDEX(INDIRECT(_xlfn.CONCAT("weather.tbl[",Q$1,"]")),MATCH(vp.data[[#This Row],[SDate]],weather.tbl[Date],0))</f>
        <v>3</v>
      </c>
      <c r="R1116" s="2">
        <f ca="1">INDEX(INDIRECT(_xlfn.CONCAT("weather.tbl[",R$1,"]")),MATCH(vp.data[[#This Row],[SDate]],weather.tbl[Date],0))</f>
        <v>1.3</v>
      </c>
      <c r="S1116" s="2">
        <f ca="1">INDEX(INDIRECT(_xlfn.CONCAT("weather.tbl[",S$1,"]")),MATCH(vp.data[[#This Row],[SDate]],weather.tbl[Date],0))</f>
        <v>3.3</v>
      </c>
      <c r="T1116" s="2">
        <f ca="1">INDEX(INDIRECT(_xlfn.CONCAT("weather.tbl[",T$1,"]")),MATCH(vp.data[[#This Row],[SDate]],weather.tbl[Date],0))</f>
        <v>-0.3</v>
      </c>
      <c r="U1116" s="2">
        <f ca="1">INDEX(INDIRECT(_xlfn.CONCAT("weather.tbl[",U$1,"]")),MATCH(vp.data[[#This Row],[SDate]],weather.tbl[Date],0))</f>
        <v>0.8</v>
      </c>
      <c r="V1116" s="2">
        <f t="array" ref="V11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116" t="s">
        <v>48</v>
      </c>
      <c r="X1116">
        <f>IF(OR(vp.data[[#This Row],[Sulf]]="",vp.data[[#This Row],[Dens]]=""),1,0)</f>
        <v>0</v>
      </c>
      <c r="Y1116">
        <f>IF(vp.data[[#This Row],[CrudeType]]="C5+",1,0)</f>
        <v>0</v>
      </c>
      <c r="Z1116">
        <f>IF(AND(vp.data[[#This Row],[CrudeType]]="Crude",vp.data[[#This Row],[Dens]]&lt;=825,vp.data[[#This Row],[Sulf]]&gt;0.5,vp.data[[#This Row],[Unknown]]=0),1,0)</f>
        <v>0</v>
      </c>
      <c r="AA1116">
        <f>IF(AND(vp.data[[#This Row],[CrudeType]]="Crude",vp.data[[#This Row],[Dens]]&lt;=825,vp.data[[#This Row],[Sulf]]&lt;=0.5,vp.data[[#This Row],[Unknown]]=0),1,0)</f>
        <v>0</v>
      </c>
      <c r="AB11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6">
        <f>IF(AND(vp.data[[#This Row],[CrudeType]]="Crude",vp.data[[#This Row],[Dens]]&gt;825,vp.data[[#This Row],[Dens]]&lt;=900,vp.data[[#This Row],[Sulf]]&lt;=0.5,vp.data[[#This Row],[Unknown]]=0),1,0)</f>
        <v>0</v>
      </c>
      <c r="AD1116">
        <f>IF(AND(vp.data[[#This Row],[CrudeType]]="Crude",vp.data[[#This Row],[Dens]]&gt;865,vp.data[[#This Row],[Dens]]&lt;=900,vp.data[[#This Row],[Sulf]]&gt;2,vp.data[[#This Row],[Unknown]]=0),1,0)</f>
        <v>0</v>
      </c>
      <c r="AE1116">
        <f>IF(AND(vp.data[[#This Row],[CrudeType]]="Crude",vp.data[[#This Row],[Dens]]&gt;900,vp.data[[#This Row],[Sulf]]&lt;=0.5,vp.data[[#This Row],[Unknown]]=0),1,0)</f>
        <v>0</v>
      </c>
      <c r="AF1116">
        <f>IF(AND(vp.data[[#This Row],[CrudeType]]="Crude",vp.data[[#This Row],[Dens]]&gt;900,vp.data[[#This Row],[Sulf]]&lt;=0.5,vp.data[[#This Row],[Unknown]]=0),1,0)</f>
        <v>0</v>
      </c>
      <c r="AG1116" t="str">
        <f>INDEX(vp.data[[#Headers],[Unknown]:[Heavy_SW]],MATCH(1,vp.data[[#This Row],[Unknown]:[Heavy_SW]],0))</f>
        <v>Medium_LSB</v>
      </c>
      <c r="AH1116">
        <f>INDEX([3]!crudeBD.lkup[Number],MATCH(vp.data[[#This Row],[Crude_Breakdown]],crudeBD.lkup[Crude Breakdown],0))</f>
        <v>3</v>
      </c>
      <c r="AI1116">
        <f>MONTH(vp.data[[#This Row],[SDate]])</f>
        <v>3</v>
      </c>
      <c r="AJ1116" s="5">
        <f>(vp.data[[#This Row],[VP]]-INDEX(crudeBD.lkup[Mean_VP],MATCH(vp.data[[#This Row],[Crude_Breakdown]],crudeBD.lkup[Crude Breakdown],0)))^2</f>
        <v>1.0809273283395293</v>
      </c>
      <c r="AK1116" s="5">
        <f>(vp.data[[#This Row],[Dens]]-INDEX(crudeBD.lkup[Mean_Dens],MATCH(vp.data[[#This Row],[Crude_Breakdown]],crudeBD.lkup[Crude Breakdown],0)))^2</f>
        <v>3.5344000000016926</v>
      </c>
      <c r="AL1116" s="5">
        <f>(vp.data[[#This Row],[Sulf]]-INDEX(crudeBD.lkup[Mean_Sulf],MATCH(vp.data[[#This Row],[Crude_Breakdown]],crudeBD.lkup[Crude Breakdown],0)))^2</f>
        <v>0.15713940290162373</v>
      </c>
      <c r="AM1116" s="4">
        <f>IF(AND(vp.data[[#This Row],[SDate]]&gt;=DATE(YEAR(vp.data[[#This Row],[SDate]]),5,1),vp.data[[#This Row],[SDate]]&lt;=DATE(YEAR(vp.data[[#This Row],[SDate]]),9,15)),1,0)</f>
        <v>0</v>
      </c>
      <c r="AN1116" s="4">
        <f>IF(vp.data[[#This Row],[SDate]]&lt;DATE(2016,12,1),0,1)</f>
        <v>1</v>
      </c>
      <c r="AO1116" s="4">
        <f>IFERROR(vp.data[[#This Row],[Sulf]]*vp.data[[#This Row],[Net Dens]],"")</f>
        <v>88731209.777066186</v>
      </c>
      <c r="AP1116">
        <f>IFERROR(vp.data[[#This Row],[Dens]]*vp.data[[#This Row],[VolumeM3]],"")</f>
        <v>89718108.975799993</v>
      </c>
      <c r="AQ1116" s="15">
        <f>IFERROR(vp.data[[#This Row],[VP]]*vp.data[[#This Row],[VolumeM3]],"")</f>
        <v>8443558.1395999994</v>
      </c>
    </row>
    <row r="1117" spans="1:43" x14ac:dyDescent="0.25">
      <c r="A1117">
        <v>1116</v>
      </c>
      <c r="B1117" t="s">
        <v>60</v>
      </c>
      <c r="C1117" t="s">
        <v>60</v>
      </c>
      <c r="D1117" t="s">
        <v>61</v>
      </c>
      <c r="E1117" t="s">
        <v>55</v>
      </c>
      <c r="F1117" s="1">
        <v>42821</v>
      </c>
      <c r="G1117" s="2">
        <v>96.8</v>
      </c>
      <c r="H1117" s="2">
        <v>1.1819999999999999</v>
      </c>
      <c r="I1117" s="2">
        <f t="array" ref="I1117">_xlfn.IFNA(IF(vp.data[[#This Row],[Sulf Input]]="",INDEX([1]DATA!$Q$3:$Q$9826,MATCH(1,(vp.data[[#This Row],[Battery]]=[1]DATA!$L$3:$L$9826)*(EOMONTH(vp.data[[#This Row],[SDate]],-1)+1=[1]DATA!$G$3:$G$9826),0)),vp.data[[#This Row],[Sulf Input]]),"")</f>
        <v>1.1819999999999999</v>
      </c>
      <c r="J1117" s="2">
        <v>9.6999999999999993</v>
      </c>
      <c r="K1117" s="2">
        <v>4</v>
      </c>
      <c r="L1117" s="2">
        <v>833.4</v>
      </c>
      <c r="M1117" s="2">
        <f t="array" ref="M1117">_xlfn.IFNA(IF(vp.data[[#This Row],[Dens Input]]="",INDEX([1]DATA!$O$3:$O$9826,MATCH(1,(vp.data[[#This Row],[Battery]]=[1]DATA!$L$3:$L$9826)*(EOMONTH(vp.data[[#This Row],[SDate]],-1)+1=[1]DATA!$G$3:$G$9826),0)),vp.data[[#This Row],[Dens Input]]),"")</f>
        <v>833.4</v>
      </c>
      <c r="N1117" s="2">
        <f ca="1">INDEX(INDIRECT(_xlfn.CONCAT("weather.tbl[",N$1,"]")),MATCH(vp.data[[#This Row],[SDate]],weather.tbl[Date],0))</f>
        <v>1.4666666666666668</v>
      </c>
      <c r="O1117" s="2">
        <f ca="1">INDEX(INDIRECT(_xlfn.CONCAT("weather.tbl[",O$1,"]")),MATCH(vp.data[[#This Row],[SDate]],weather.tbl[Date],0))</f>
        <v>-0.90238095238095273</v>
      </c>
      <c r="P1117" s="2">
        <f ca="1">INDEX(INDIRECT(_xlfn.CONCAT("weather.tbl[",P$1,"]")),MATCH(vp.data[[#This Row],[SDate]],weather.tbl[Date],0))</f>
        <v>0.7</v>
      </c>
      <c r="Q1117" s="2">
        <f ca="1">INDEX(INDIRECT(_xlfn.CONCAT("weather.tbl[",Q$1,"]")),MATCH(vp.data[[#This Row],[SDate]],weather.tbl[Date],0))</f>
        <v>3</v>
      </c>
      <c r="R1117" s="2">
        <f ca="1">INDEX(INDIRECT(_xlfn.CONCAT("weather.tbl[",R$1,"]")),MATCH(vp.data[[#This Row],[SDate]],weather.tbl[Date],0))</f>
        <v>1.3</v>
      </c>
      <c r="S1117" s="2">
        <f ca="1">INDEX(INDIRECT(_xlfn.CONCAT("weather.tbl[",S$1,"]")),MATCH(vp.data[[#This Row],[SDate]],weather.tbl[Date],0))</f>
        <v>3.3</v>
      </c>
      <c r="T1117" s="2">
        <f ca="1">INDEX(INDIRECT(_xlfn.CONCAT("weather.tbl[",T$1,"]")),MATCH(vp.data[[#This Row],[SDate]],weather.tbl[Date],0))</f>
        <v>-0.3</v>
      </c>
      <c r="U1117" s="2">
        <f ca="1">INDEX(INDIRECT(_xlfn.CONCAT("weather.tbl[",U$1,"]")),MATCH(vp.data[[#This Row],[SDate]],weather.tbl[Date],0))</f>
        <v>0.8</v>
      </c>
      <c r="V1117" s="2">
        <f t="array" ref="V11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106074.851</v>
      </c>
      <c r="W1117" t="s">
        <v>48</v>
      </c>
      <c r="X1117">
        <f>IF(OR(vp.data[[#This Row],[Sulf]]="",vp.data[[#This Row],[Dens]]=""),1,0)</f>
        <v>0</v>
      </c>
      <c r="Y1117">
        <f>IF(vp.data[[#This Row],[CrudeType]]="C5+",1,0)</f>
        <v>0</v>
      </c>
      <c r="Z1117">
        <f>IF(AND(vp.data[[#This Row],[CrudeType]]="Crude",vp.data[[#This Row],[Dens]]&lt;=825,vp.data[[#This Row],[Sulf]]&gt;0.5,vp.data[[#This Row],[Unknown]]=0),1,0)</f>
        <v>0</v>
      </c>
      <c r="AA1117">
        <f>IF(AND(vp.data[[#This Row],[CrudeType]]="Crude",vp.data[[#This Row],[Dens]]&lt;=825,vp.data[[#This Row],[Sulf]]&lt;=0.5,vp.data[[#This Row],[Unknown]]=0),1,0)</f>
        <v>0</v>
      </c>
      <c r="AB11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17">
        <f>IF(AND(vp.data[[#This Row],[CrudeType]]="Crude",vp.data[[#This Row],[Dens]]&gt;825,vp.data[[#This Row],[Dens]]&lt;=900,vp.data[[#This Row],[Sulf]]&lt;=0.5,vp.data[[#This Row],[Unknown]]=0),1,0)</f>
        <v>0</v>
      </c>
      <c r="AD1117">
        <f>IF(AND(vp.data[[#This Row],[CrudeType]]="Crude",vp.data[[#This Row],[Dens]]&gt;865,vp.data[[#This Row],[Dens]]&lt;=900,vp.data[[#This Row],[Sulf]]&gt;2,vp.data[[#This Row],[Unknown]]=0),1,0)</f>
        <v>0</v>
      </c>
      <c r="AE1117">
        <f>IF(AND(vp.data[[#This Row],[CrudeType]]="Crude",vp.data[[#This Row],[Dens]]&gt;900,vp.data[[#This Row],[Sulf]]&lt;=0.5,vp.data[[#This Row],[Unknown]]=0),1,0)</f>
        <v>0</v>
      </c>
      <c r="AF1117">
        <f>IF(AND(vp.data[[#This Row],[CrudeType]]="Crude",vp.data[[#This Row],[Dens]]&gt;900,vp.data[[#This Row],[Sulf]]&lt;=0.5,vp.data[[#This Row],[Unknown]]=0),1,0)</f>
        <v>0</v>
      </c>
      <c r="AG1117" t="str">
        <f>INDEX(vp.data[[#Headers],[Unknown]:[Heavy_SW]],MATCH(1,vp.data[[#This Row],[Unknown]:[Heavy_SW]],0))</f>
        <v>Medium_LSB</v>
      </c>
      <c r="AH1117">
        <f>INDEX([3]!crudeBD.lkup[Number],MATCH(vp.data[[#This Row],[Crude_Breakdown]],crudeBD.lkup[Crude Breakdown],0))</f>
        <v>3</v>
      </c>
      <c r="AI1117">
        <f>MONTH(vp.data[[#This Row],[SDate]])</f>
        <v>3</v>
      </c>
      <c r="AJ1117" s="5">
        <f>(vp.data[[#This Row],[VP]]-INDEX(crudeBD.lkup[Mean_VP],MATCH(vp.data[[#This Row],[Crude_Breakdown]],crudeBD.lkup[Crude Breakdown],0)))^2</f>
        <v>261.15605401297802</v>
      </c>
      <c r="AK1117" s="5">
        <f>(vp.data[[#This Row],[Dens]]-INDEX(crudeBD.lkup[Mean_Dens],MATCH(vp.data[[#This Row],[Crude_Breakdown]],crudeBD.lkup[Crude Breakdown],0)))^2</f>
        <v>110.67039999999005</v>
      </c>
      <c r="AL1117" s="5">
        <f>(vp.data[[#This Row],[Sulf]]-INDEX(crudeBD.lkup[Mean_Sulf],MATCH(vp.data[[#This Row],[Crude_Breakdown]],crudeBD.lkup[Crude Breakdown],0)))^2</f>
        <v>4.1374866001353622E-2</v>
      </c>
      <c r="AM1117" s="4">
        <f>IF(AND(vp.data[[#This Row],[SDate]]&gt;=DATE(YEAR(vp.data[[#This Row],[SDate]]),5,1),vp.data[[#This Row],[SDate]]&lt;=DATE(YEAR(vp.data[[#This Row],[SDate]]),9,15)),1,0)</f>
        <v>0</v>
      </c>
      <c r="AN1117" s="4">
        <f>IF(vp.data[[#This Row],[SDate]]&lt;DATE(2016,12,1),0,1)</f>
        <v>1</v>
      </c>
      <c r="AO1117" s="4">
        <f>IFERROR(vp.data[[#This Row],[Sulf]]*vp.data[[#This Row],[Net Dens]],"")</f>
        <v>104492086.93325879</v>
      </c>
      <c r="AP1117">
        <f>IFERROR(vp.data[[#This Row],[Dens]]*vp.data[[#This Row],[VolumeM3]],"")</f>
        <v>88402780.823399991</v>
      </c>
      <c r="AQ1117" s="15">
        <f>IFERROR(vp.data[[#This Row],[VP]]*vp.data[[#This Row],[VolumeM3]],"")</f>
        <v>10268045.5768</v>
      </c>
    </row>
    <row r="1118" spans="1:43" x14ac:dyDescent="0.25">
      <c r="A1118">
        <v>1117</v>
      </c>
      <c r="B1118" t="s">
        <v>49</v>
      </c>
      <c r="C1118" t="s">
        <v>49</v>
      </c>
      <c r="D1118" t="s">
        <v>81</v>
      </c>
      <c r="F1118" s="1">
        <v>42822</v>
      </c>
      <c r="G1118" s="2">
        <v>80.099999999999994</v>
      </c>
      <c r="H1118" s="2">
        <v>0.57499999999999996</v>
      </c>
      <c r="I1118" s="2">
        <f t="array" ref="I1118">_xlfn.IFNA(IF(vp.data[[#This Row],[Sulf Input]]="",INDEX([1]DATA!$Q$3:$Q$9826,MATCH(1,(vp.data[[#This Row],[Battery]]=[1]DATA!$L$3:$L$9826)*(EOMONTH(vp.data[[#This Row],[SDate]],-1)+1=[1]DATA!$G$3:$G$9826),0)),vp.data[[#This Row],[Sulf Input]]),"")</f>
        <v>0.57499999999999996</v>
      </c>
      <c r="J1118" s="2">
        <v>3.9</v>
      </c>
      <c r="K1118" s="2">
        <v>12</v>
      </c>
      <c r="L1118" s="2">
        <v>823.2</v>
      </c>
      <c r="M1118" s="2">
        <f t="array" ref="M1118">_xlfn.IFNA(IF(vp.data[[#This Row],[Dens Input]]="",INDEX([1]DATA!$O$3:$O$9826,MATCH(1,(vp.data[[#This Row],[Battery]]=[1]DATA!$L$3:$L$9826)*(EOMONTH(vp.data[[#This Row],[SDate]],-1)+1=[1]DATA!$G$3:$G$9826),0)),vp.data[[#This Row],[Dens Input]]),"")</f>
        <v>823.2</v>
      </c>
      <c r="N1118" s="2">
        <f ca="1">INDEX(INDIRECT(_xlfn.CONCAT("weather.tbl[",N$1,"]")),MATCH(vp.data[[#This Row],[SDate]],weather.tbl[Date],0))</f>
        <v>1.5833333333333333</v>
      </c>
      <c r="O1118" s="2">
        <f ca="1">INDEX(INDIRECT(_xlfn.CONCAT("weather.tbl[",O$1,"]")),MATCH(vp.data[[#This Row],[SDate]],weather.tbl[Date],0))</f>
        <v>0.72619047619047616</v>
      </c>
      <c r="P1118" s="2">
        <f ca="1">INDEX(INDIRECT(_xlfn.CONCAT("weather.tbl[",P$1,"]")),MATCH(vp.data[[#This Row],[SDate]],weather.tbl[Date],0))</f>
        <v>2</v>
      </c>
      <c r="Q1118" s="2">
        <f ca="1">INDEX(INDIRECT(_xlfn.CONCAT("weather.tbl[",Q$1,"]")),MATCH(vp.data[[#This Row],[SDate]],weather.tbl[Date],0))</f>
        <v>2.1</v>
      </c>
      <c r="R1118" s="2">
        <f ca="1">INDEX(INDIRECT(_xlfn.CONCAT("weather.tbl[",R$1,"]")),MATCH(vp.data[[#This Row],[SDate]],weather.tbl[Date],0))</f>
        <v>1.3</v>
      </c>
      <c r="S1118" s="2">
        <f ca="1">INDEX(INDIRECT(_xlfn.CONCAT("weather.tbl[",S$1,"]")),MATCH(vp.data[[#This Row],[SDate]],weather.tbl[Date],0))</f>
        <v>1.8</v>
      </c>
      <c r="T1118" s="2">
        <f ca="1">INDEX(INDIRECT(_xlfn.CONCAT("weather.tbl[",T$1,"]")),MATCH(vp.data[[#This Row],[SDate]],weather.tbl[Date],0))</f>
        <v>1</v>
      </c>
      <c r="U1118" s="2">
        <f ca="1">INDEX(INDIRECT(_xlfn.CONCAT("weather.tbl[",U$1,"]")),MATCH(vp.data[[#This Row],[SDate]],weather.tbl[Date],0))</f>
        <v>1.3</v>
      </c>
      <c r="V1118" s="2">
        <f t="array" ref="V11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20568.135999999999</v>
      </c>
      <c r="W1118" t="s">
        <v>48</v>
      </c>
      <c r="X1118">
        <f>IF(OR(vp.data[[#This Row],[Sulf]]="",vp.data[[#This Row],[Dens]]=""),1,0)</f>
        <v>0</v>
      </c>
      <c r="Y1118">
        <f>IF(vp.data[[#This Row],[CrudeType]]="C5+",1,0)</f>
        <v>0</v>
      </c>
      <c r="Z1118">
        <f>IF(AND(vp.data[[#This Row],[CrudeType]]="Crude",vp.data[[#This Row],[Dens]]&lt;=825,vp.data[[#This Row],[Sulf]]&gt;0.5,vp.data[[#This Row],[Unknown]]=0),1,0)</f>
        <v>1</v>
      </c>
      <c r="AA1118">
        <f>IF(AND(vp.data[[#This Row],[CrudeType]]="Crude",vp.data[[#This Row],[Dens]]&lt;=825,vp.data[[#This Row],[Sulf]]&lt;=0.5,vp.data[[#This Row],[Unknown]]=0),1,0)</f>
        <v>0</v>
      </c>
      <c r="AB11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18">
        <f>IF(AND(vp.data[[#This Row],[CrudeType]]="Crude",vp.data[[#This Row],[Dens]]&gt;825,vp.data[[#This Row],[Dens]]&lt;=900,vp.data[[#This Row],[Sulf]]&lt;=0.5,vp.data[[#This Row],[Unknown]]=0),1,0)</f>
        <v>0</v>
      </c>
      <c r="AD1118">
        <f>IF(AND(vp.data[[#This Row],[CrudeType]]="Crude",vp.data[[#This Row],[Dens]]&gt;865,vp.data[[#This Row],[Dens]]&lt;=900,vp.data[[#This Row],[Sulf]]&gt;2,vp.data[[#This Row],[Unknown]]=0),1,0)</f>
        <v>0</v>
      </c>
      <c r="AE1118">
        <f>IF(AND(vp.data[[#This Row],[CrudeType]]="Crude",vp.data[[#This Row],[Dens]]&gt;900,vp.data[[#This Row],[Sulf]]&lt;=0.5,vp.data[[#This Row],[Unknown]]=0),1,0)</f>
        <v>0</v>
      </c>
      <c r="AF1118">
        <f>IF(AND(vp.data[[#This Row],[CrudeType]]="Crude",vp.data[[#This Row],[Dens]]&gt;900,vp.data[[#This Row],[Sulf]]&lt;=0.5,vp.data[[#This Row],[Unknown]]=0),1,0)</f>
        <v>0</v>
      </c>
      <c r="AG1118" t="str">
        <f>INDEX(vp.data[[#Headers],[Unknown]:[Heavy_SW]],MATCH(1,vp.data[[#This Row],[Unknown]:[Heavy_SW]],0))</f>
        <v>Light_LSB</v>
      </c>
      <c r="AH1118">
        <f>INDEX([3]!crudeBD.lkup[Number],MATCH(vp.data[[#This Row],[Crude_Breakdown]],crudeBD.lkup[Crude Breakdown],0))</f>
        <v>1</v>
      </c>
      <c r="AI1118">
        <f>MONTH(vp.data[[#This Row],[SDate]])</f>
        <v>3</v>
      </c>
      <c r="AJ1118" s="5">
        <f>(vp.data[[#This Row],[VP]]-INDEX(crudeBD.lkup[Mean_VP],MATCH(vp.data[[#This Row],[Crude_Breakdown]],crudeBD.lkup[Crude Breakdown],0)))^2</f>
        <v>131.01516403443597</v>
      </c>
      <c r="AK1118" s="5">
        <f>(vp.data[[#This Row],[Dens]]-INDEX(crudeBD.lkup[Mean_Dens],MATCH(vp.data[[#This Row],[Crude_Breakdown]],crudeBD.lkup[Crude Breakdown],0)))^2</f>
        <v>21.932645486003771</v>
      </c>
      <c r="AL1118" s="5">
        <f>(vp.data[[#This Row],[Sulf]]-INDEX(crudeBD.lkup[Mean_Sulf],MATCH(vp.data[[#This Row],[Crude_Breakdown]],crudeBD.lkup[Crude Breakdown],0)))^2</f>
        <v>0.12108393402713817</v>
      </c>
      <c r="AM1118" s="4">
        <f>IF(AND(vp.data[[#This Row],[SDate]]&gt;=DATE(YEAR(vp.data[[#This Row],[SDate]]),5,1),vp.data[[#This Row],[SDate]]&lt;=DATE(YEAR(vp.data[[#This Row],[SDate]]),9,15)),1,0)</f>
        <v>0</v>
      </c>
      <c r="AN1118" s="4">
        <f>IF(vp.data[[#This Row],[SDate]]&lt;DATE(2016,12,1),0,1)</f>
        <v>1</v>
      </c>
      <c r="AO1118" s="4">
        <f>IFERROR(vp.data[[#This Row],[Sulf]]*vp.data[[#This Row],[Net Dens]],"")</f>
        <v>9735721.494239999</v>
      </c>
      <c r="AP1118">
        <f>IFERROR(vp.data[[#This Row],[Dens]]*vp.data[[#This Row],[VolumeM3]],"")</f>
        <v>16931689.555199999</v>
      </c>
      <c r="AQ1118" s="15">
        <f>IFERROR(vp.data[[#This Row],[VP]]*vp.data[[#This Row],[VolumeM3]],"")</f>
        <v>1647507.6935999999</v>
      </c>
    </row>
    <row r="1119" spans="1:43" x14ac:dyDescent="0.25">
      <c r="A1119">
        <v>1118</v>
      </c>
      <c r="B1119" t="s">
        <v>49</v>
      </c>
      <c r="C1119" t="s">
        <v>49</v>
      </c>
      <c r="D1119" t="s">
        <v>70</v>
      </c>
      <c r="F1119" s="1">
        <v>42822</v>
      </c>
      <c r="G1119" s="2">
        <v>79.900000000000006</v>
      </c>
      <c r="H1119" s="2">
        <v>0.80700000000000005</v>
      </c>
      <c r="I1119" s="2">
        <f t="array" ref="I1119">_xlfn.IFNA(IF(vp.data[[#This Row],[Sulf Input]]="",INDEX([1]DATA!$Q$3:$Q$9826,MATCH(1,(vp.data[[#This Row],[Battery]]=[1]DATA!$L$3:$L$9826)*(EOMONTH(vp.data[[#This Row],[SDate]],-1)+1=[1]DATA!$G$3:$G$9826),0)),vp.data[[#This Row],[Sulf Input]]),"")</f>
        <v>0.80700000000000005</v>
      </c>
      <c r="J1119" s="2">
        <v>19.100000000000001</v>
      </c>
      <c r="K1119" s="2">
        <v>12</v>
      </c>
      <c r="L1119" s="2">
        <v>824.8</v>
      </c>
      <c r="M1119" s="2">
        <f t="array" ref="M1119">_xlfn.IFNA(IF(vp.data[[#This Row],[Dens Input]]="",INDEX([1]DATA!$O$3:$O$9826,MATCH(1,(vp.data[[#This Row],[Battery]]=[1]DATA!$L$3:$L$9826)*(EOMONTH(vp.data[[#This Row],[SDate]],-1)+1=[1]DATA!$G$3:$G$9826),0)),vp.data[[#This Row],[Dens Input]]),"")</f>
        <v>824.8</v>
      </c>
      <c r="N1119" s="2">
        <f ca="1">INDEX(INDIRECT(_xlfn.CONCAT("weather.tbl[",N$1,"]")),MATCH(vp.data[[#This Row],[SDate]],weather.tbl[Date],0))</f>
        <v>1.5833333333333333</v>
      </c>
      <c r="O1119" s="2">
        <f ca="1">INDEX(INDIRECT(_xlfn.CONCAT("weather.tbl[",O$1,"]")),MATCH(vp.data[[#This Row],[SDate]],weather.tbl[Date],0))</f>
        <v>0.72619047619047616</v>
      </c>
      <c r="P1119" s="2">
        <f ca="1">INDEX(INDIRECT(_xlfn.CONCAT("weather.tbl[",P$1,"]")),MATCH(vp.data[[#This Row],[SDate]],weather.tbl[Date],0))</f>
        <v>2</v>
      </c>
      <c r="Q1119" s="2">
        <f ca="1">INDEX(INDIRECT(_xlfn.CONCAT("weather.tbl[",Q$1,"]")),MATCH(vp.data[[#This Row],[SDate]],weather.tbl[Date],0))</f>
        <v>2.1</v>
      </c>
      <c r="R1119" s="2">
        <f ca="1">INDEX(INDIRECT(_xlfn.CONCAT("weather.tbl[",R$1,"]")),MATCH(vp.data[[#This Row],[SDate]],weather.tbl[Date],0))</f>
        <v>1.3</v>
      </c>
      <c r="S1119" s="2">
        <f ca="1">INDEX(INDIRECT(_xlfn.CONCAT("weather.tbl[",S$1,"]")),MATCH(vp.data[[#This Row],[SDate]],weather.tbl[Date],0))</f>
        <v>1.8</v>
      </c>
      <c r="T1119" s="2">
        <f ca="1">INDEX(INDIRECT(_xlfn.CONCAT("weather.tbl[",T$1,"]")),MATCH(vp.data[[#This Row],[SDate]],weather.tbl[Date],0))</f>
        <v>1</v>
      </c>
      <c r="U1119" s="2">
        <f ca="1">INDEX(INDIRECT(_xlfn.CONCAT("weather.tbl[",U$1,"]")),MATCH(vp.data[[#This Row],[SDate]],weather.tbl[Date],0))</f>
        <v>1.3</v>
      </c>
      <c r="V1119" s="2">
        <f t="array" ref="V11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2628.259</v>
      </c>
      <c r="W1119" t="s">
        <v>48</v>
      </c>
      <c r="X1119">
        <f>IF(OR(vp.data[[#This Row],[Sulf]]="",vp.data[[#This Row],[Dens]]=""),1,0)</f>
        <v>0</v>
      </c>
      <c r="Y1119">
        <f>IF(vp.data[[#This Row],[CrudeType]]="C5+",1,0)</f>
        <v>0</v>
      </c>
      <c r="Z1119">
        <f>IF(AND(vp.data[[#This Row],[CrudeType]]="Crude",vp.data[[#This Row],[Dens]]&lt;=825,vp.data[[#This Row],[Sulf]]&gt;0.5,vp.data[[#This Row],[Unknown]]=0),1,0)</f>
        <v>1</v>
      </c>
      <c r="AA1119">
        <f>IF(AND(vp.data[[#This Row],[CrudeType]]="Crude",vp.data[[#This Row],[Dens]]&lt;=825,vp.data[[#This Row],[Sulf]]&lt;=0.5,vp.data[[#This Row],[Unknown]]=0),1,0)</f>
        <v>0</v>
      </c>
      <c r="AB11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19">
        <f>IF(AND(vp.data[[#This Row],[CrudeType]]="Crude",vp.data[[#This Row],[Dens]]&gt;825,vp.data[[#This Row],[Dens]]&lt;=900,vp.data[[#This Row],[Sulf]]&lt;=0.5,vp.data[[#This Row],[Unknown]]=0),1,0)</f>
        <v>0</v>
      </c>
      <c r="AD1119">
        <f>IF(AND(vp.data[[#This Row],[CrudeType]]="Crude",vp.data[[#This Row],[Dens]]&gt;865,vp.data[[#This Row],[Dens]]&lt;=900,vp.data[[#This Row],[Sulf]]&gt;2,vp.data[[#This Row],[Unknown]]=0),1,0)</f>
        <v>0</v>
      </c>
      <c r="AE1119">
        <f>IF(AND(vp.data[[#This Row],[CrudeType]]="Crude",vp.data[[#This Row],[Dens]]&gt;900,vp.data[[#This Row],[Sulf]]&lt;=0.5,vp.data[[#This Row],[Unknown]]=0),1,0)</f>
        <v>0</v>
      </c>
      <c r="AF1119">
        <f>IF(AND(vp.data[[#This Row],[CrudeType]]="Crude",vp.data[[#This Row],[Dens]]&gt;900,vp.data[[#This Row],[Sulf]]&lt;=0.5,vp.data[[#This Row],[Unknown]]=0),1,0)</f>
        <v>0</v>
      </c>
      <c r="AG1119" t="str">
        <f>INDEX(vp.data[[#Headers],[Unknown]:[Heavy_SW]],MATCH(1,vp.data[[#This Row],[Unknown]:[Heavy_SW]],0))</f>
        <v>Light_LSB</v>
      </c>
      <c r="AH1119">
        <f>INDEX([3]!crudeBD.lkup[Number],MATCH(vp.data[[#This Row],[Crude_Breakdown]],crudeBD.lkup[Crude Breakdown],0))</f>
        <v>1</v>
      </c>
      <c r="AI1119">
        <f>MONTH(vp.data[[#This Row],[SDate]])</f>
        <v>3</v>
      </c>
      <c r="AJ1119" s="5">
        <f>(vp.data[[#This Row],[VP]]-INDEX(crudeBD.lkup[Mean_VP],MATCH(vp.data[[#This Row],[Crude_Breakdown]],crudeBD.lkup[Crude Breakdown],0)))^2</f>
        <v>135.63363826123984</v>
      </c>
      <c r="AK1119" s="5">
        <f>(vp.data[[#This Row],[Dens]]-INDEX(crudeBD.lkup[Mean_Dens],MATCH(vp.data[[#This Row],[Crude_Breakdown]],crudeBD.lkup[Crude Breakdown],0)))^2</f>
        <v>39.478982255763228</v>
      </c>
      <c r="AL1119" s="5">
        <f>(vp.data[[#This Row],[Sulf]]-INDEX(crudeBD.lkup[Mean_Sulf],MATCH(vp.data[[#This Row],[Crude_Breakdown]],crudeBD.lkup[Crude Breakdown],0)))^2</f>
        <v>1.3449311896554055E-2</v>
      </c>
      <c r="AM1119" s="4">
        <f>IF(AND(vp.data[[#This Row],[SDate]]&gt;=DATE(YEAR(vp.data[[#This Row],[SDate]]),5,1),vp.data[[#This Row],[SDate]]&lt;=DATE(YEAR(vp.data[[#This Row],[SDate]]),9,15)),1,0)</f>
        <v>0</v>
      </c>
      <c r="AN1119" s="4">
        <f>IF(vp.data[[#This Row],[SDate]]&lt;DATE(2016,12,1),0,1)</f>
        <v>1</v>
      </c>
      <c r="AO1119" s="4">
        <f>IFERROR(vp.data[[#This Row],[Sulf]]*vp.data[[#This Row],[Net Dens]],"")</f>
        <v>1749404.9347223998</v>
      </c>
      <c r="AP1119">
        <f>IFERROR(vp.data[[#This Row],[Dens]]*vp.data[[#This Row],[VolumeM3]],"")</f>
        <v>2167788.0231999997</v>
      </c>
      <c r="AQ1119" s="15">
        <f>IFERROR(vp.data[[#This Row],[VP]]*vp.data[[#This Row],[VolumeM3]],"")</f>
        <v>209997.8941</v>
      </c>
    </row>
    <row r="1120" spans="1:43" x14ac:dyDescent="0.25">
      <c r="A1120">
        <v>1119</v>
      </c>
      <c r="B1120" t="s">
        <v>68</v>
      </c>
      <c r="C1120" t="s">
        <v>68</v>
      </c>
      <c r="D1120" t="s">
        <v>231</v>
      </c>
      <c r="F1120" s="1">
        <v>42822</v>
      </c>
      <c r="G1120" s="2">
        <v>67.599999999999994</v>
      </c>
      <c r="H1120" s="2">
        <v>1.115</v>
      </c>
      <c r="I1120" s="2">
        <f t="array" ref="I1120">_xlfn.IFNA(IF(vp.data[[#This Row],[Sulf Input]]="",INDEX([1]DATA!$Q$3:$Q$9826,MATCH(1,(vp.data[[#This Row],[Battery]]=[1]DATA!$L$3:$L$9826)*(EOMONTH(vp.data[[#This Row],[SDate]],-1)+1=[1]DATA!$G$3:$G$9826),0)),vp.data[[#This Row],[Sulf Input]]),"")</f>
        <v>1.115</v>
      </c>
      <c r="J1120" s="2">
        <v>27.8</v>
      </c>
      <c r="K1120" s="2">
        <v>12</v>
      </c>
      <c r="L1120" s="2">
        <v>843.7</v>
      </c>
      <c r="M1120" s="2">
        <f t="array" ref="M1120">_xlfn.IFNA(IF(vp.data[[#This Row],[Dens Input]]="",INDEX([1]DATA!$O$3:$O$9826,MATCH(1,(vp.data[[#This Row],[Battery]]=[1]DATA!$L$3:$L$9826)*(EOMONTH(vp.data[[#This Row],[SDate]],-1)+1=[1]DATA!$G$3:$G$9826),0)),vp.data[[#This Row],[Dens Input]]),"")</f>
        <v>843.7</v>
      </c>
      <c r="N1120" s="2">
        <f ca="1">INDEX(INDIRECT(_xlfn.CONCAT("weather.tbl[",N$1,"]")),MATCH(vp.data[[#This Row],[SDate]],weather.tbl[Date],0))</f>
        <v>1.5833333333333333</v>
      </c>
      <c r="O1120" s="2">
        <f ca="1">INDEX(INDIRECT(_xlfn.CONCAT("weather.tbl[",O$1,"]")),MATCH(vp.data[[#This Row],[SDate]],weather.tbl[Date],0))</f>
        <v>0.72619047619047616</v>
      </c>
      <c r="P1120" s="2">
        <f ca="1">INDEX(INDIRECT(_xlfn.CONCAT("weather.tbl[",P$1,"]")),MATCH(vp.data[[#This Row],[SDate]],weather.tbl[Date],0))</f>
        <v>2</v>
      </c>
      <c r="Q1120" s="2">
        <f ca="1">INDEX(INDIRECT(_xlfn.CONCAT("weather.tbl[",Q$1,"]")),MATCH(vp.data[[#This Row],[SDate]],weather.tbl[Date],0))</f>
        <v>2.1</v>
      </c>
      <c r="R1120" s="2">
        <f ca="1">INDEX(INDIRECT(_xlfn.CONCAT("weather.tbl[",R$1,"]")),MATCH(vp.data[[#This Row],[SDate]],weather.tbl[Date],0))</f>
        <v>1.3</v>
      </c>
      <c r="S1120" s="2">
        <f ca="1">INDEX(INDIRECT(_xlfn.CONCAT("weather.tbl[",S$1,"]")),MATCH(vp.data[[#This Row],[SDate]],weather.tbl[Date],0))</f>
        <v>1.8</v>
      </c>
      <c r="T1120" s="2">
        <f ca="1">INDEX(INDIRECT(_xlfn.CONCAT("weather.tbl[",T$1,"]")),MATCH(vp.data[[#This Row],[SDate]],weather.tbl[Date],0))</f>
        <v>1</v>
      </c>
      <c r="U1120" s="2">
        <f ca="1">INDEX(INDIRECT(_xlfn.CONCAT("weather.tbl[",U$1,"]")),MATCH(vp.data[[#This Row],[SDate]],weather.tbl[Date],0))</f>
        <v>1.3</v>
      </c>
      <c r="V1120" s="2">
        <f t="array" ref="V11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1152.3340000000001</v>
      </c>
      <c r="W1120" t="s">
        <v>48</v>
      </c>
      <c r="X1120">
        <f>IF(OR(vp.data[[#This Row],[Sulf]]="",vp.data[[#This Row],[Dens]]=""),1,0)</f>
        <v>0</v>
      </c>
      <c r="Y1120">
        <f>IF(vp.data[[#This Row],[CrudeType]]="C5+",1,0)</f>
        <v>0</v>
      </c>
      <c r="Z1120">
        <f>IF(AND(vp.data[[#This Row],[CrudeType]]="Crude",vp.data[[#This Row],[Dens]]&lt;=825,vp.data[[#This Row],[Sulf]]&gt;0.5,vp.data[[#This Row],[Unknown]]=0),1,0)</f>
        <v>0</v>
      </c>
      <c r="AA1120">
        <f>IF(AND(vp.data[[#This Row],[CrudeType]]="Crude",vp.data[[#This Row],[Dens]]&lt;=825,vp.data[[#This Row],[Sulf]]&lt;=0.5,vp.data[[#This Row],[Unknown]]=0),1,0)</f>
        <v>0</v>
      </c>
      <c r="AB11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0">
        <f>IF(AND(vp.data[[#This Row],[CrudeType]]="Crude",vp.data[[#This Row],[Dens]]&gt;825,vp.data[[#This Row],[Dens]]&lt;=900,vp.data[[#This Row],[Sulf]]&lt;=0.5,vp.data[[#This Row],[Unknown]]=0),1,0)</f>
        <v>0</v>
      </c>
      <c r="AD1120">
        <f>IF(AND(vp.data[[#This Row],[CrudeType]]="Crude",vp.data[[#This Row],[Dens]]&gt;865,vp.data[[#This Row],[Dens]]&lt;=900,vp.data[[#This Row],[Sulf]]&gt;2,vp.data[[#This Row],[Unknown]]=0),1,0)</f>
        <v>0</v>
      </c>
      <c r="AE1120">
        <f>IF(AND(vp.data[[#This Row],[CrudeType]]="Crude",vp.data[[#This Row],[Dens]]&gt;900,vp.data[[#This Row],[Sulf]]&lt;=0.5,vp.data[[#This Row],[Unknown]]=0),1,0)</f>
        <v>0</v>
      </c>
      <c r="AF1120">
        <f>IF(AND(vp.data[[#This Row],[CrudeType]]="Crude",vp.data[[#This Row],[Dens]]&gt;900,vp.data[[#This Row],[Sulf]]&lt;=0.5,vp.data[[#This Row],[Unknown]]=0),1,0)</f>
        <v>0</v>
      </c>
      <c r="AG1120" t="str">
        <f>INDEX(vp.data[[#Headers],[Unknown]:[Heavy_SW]],MATCH(1,vp.data[[#This Row],[Unknown]:[Heavy_SW]],0))</f>
        <v>Medium_LSB</v>
      </c>
      <c r="AH1120">
        <f>INDEX([3]!crudeBD.lkup[Number],MATCH(vp.data[[#This Row],[Crude_Breakdown]],crudeBD.lkup[Crude Breakdown],0))</f>
        <v>3</v>
      </c>
      <c r="AI1120">
        <f>MONTH(vp.data[[#This Row],[SDate]])</f>
        <v>3</v>
      </c>
      <c r="AJ1120" s="5">
        <f>(vp.data[[#This Row],[VP]]-INDEX(crudeBD.lkup[Mean_VP],MATCH(vp.data[[#This Row],[Crude_Breakdown]],crudeBD.lkup[Crude Breakdown],0)))^2</f>
        <v>170.03316452510344</v>
      </c>
      <c r="AK1120" s="5">
        <f>(vp.data[[#This Row],[Dens]]-INDEX(crudeBD.lkup[Mean_Dens],MATCH(vp.data[[#This Row],[Crude_Breakdown]],crudeBD.lkup[Crude Breakdown],0)))^2</f>
        <v>4.8399999999761897E-2</v>
      </c>
      <c r="AL1120" s="5">
        <f>(vp.data[[#This Row],[Sulf]]-INDEX(crudeBD.lkup[Mean_Sulf],MATCH(vp.data[[#This Row],[Crude_Breakdown]],crudeBD.lkup[Crude Breakdown],0)))^2</f>
        <v>7.3120554977095048E-2</v>
      </c>
      <c r="AM1120" s="4">
        <f>IF(AND(vp.data[[#This Row],[SDate]]&gt;=DATE(YEAR(vp.data[[#This Row],[SDate]]),5,1),vp.data[[#This Row],[SDate]]&lt;=DATE(YEAR(vp.data[[#This Row],[SDate]]),9,15)),1,0)</f>
        <v>0</v>
      </c>
      <c r="AN1120" s="4">
        <f>IF(vp.data[[#This Row],[SDate]]&lt;DATE(2016,12,1),0,1)</f>
        <v>1</v>
      </c>
      <c r="AO1120" s="4">
        <f>IFERROR(vp.data[[#This Row],[Sulf]]*vp.data[[#This Row],[Net Dens]],"")</f>
        <v>1084029.9783170002</v>
      </c>
      <c r="AP1120">
        <f>IFERROR(vp.data[[#This Row],[Dens]]*vp.data[[#This Row],[VolumeM3]],"")</f>
        <v>972224.1958000001</v>
      </c>
      <c r="AQ1120" s="15">
        <f>IFERROR(vp.data[[#This Row],[VP]]*vp.data[[#This Row],[VolumeM3]],"")</f>
        <v>77897.778399999996</v>
      </c>
    </row>
    <row r="1121" spans="1:43" x14ac:dyDescent="0.25">
      <c r="A1121">
        <v>1120</v>
      </c>
      <c r="B1121" t="s">
        <v>96</v>
      </c>
      <c r="C1121" t="s">
        <v>96</v>
      </c>
      <c r="D1121" t="s">
        <v>97</v>
      </c>
      <c r="F1121" s="1">
        <v>42822</v>
      </c>
      <c r="G1121" s="2">
        <v>76.8</v>
      </c>
      <c r="H1121" s="2"/>
      <c r="I1121" s="2">
        <f t="array" ref="I1121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121" s="2">
        <v>30.3</v>
      </c>
      <c r="K1121" s="2">
        <v>12</v>
      </c>
      <c r="L1121" s="2">
        <v>819.9</v>
      </c>
      <c r="M1121" s="2">
        <f t="array" ref="M1121">_xlfn.IFNA(IF(vp.data[[#This Row],[Dens Input]]="",INDEX([1]DATA!$O$3:$O$9826,MATCH(1,(vp.data[[#This Row],[Battery]]=[1]DATA!$L$3:$L$9826)*(EOMONTH(vp.data[[#This Row],[SDate]],-1)+1=[1]DATA!$G$3:$G$9826),0)),vp.data[[#This Row],[Dens Input]]),"")</f>
        <v>819.9</v>
      </c>
      <c r="N1121" s="2">
        <f ca="1">INDEX(INDIRECT(_xlfn.CONCAT("weather.tbl[",N$1,"]")),MATCH(vp.data[[#This Row],[SDate]],weather.tbl[Date],0))</f>
        <v>1.5833333333333333</v>
      </c>
      <c r="O1121" s="2">
        <f ca="1">INDEX(INDIRECT(_xlfn.CONCAT("weather.tbl[",O$1,"]")),MATCH(vp.data[[#This Row],[SDate]],weather.tbl[Date],0))</f>
        <v>0.72619047619047616</v>
      </c>
      <c r="P1121" s="2">
        <f ca="1">INDEX(INDIRECT(_xlfn.CONCAT("weather.tbl[",P$1,"]")),MATCH(vp.data[[#This Row],[SDate]],weather.tbl[Date],0))</f>
        <v>2</v>
      </c>
      <c r="Q1121" s="2">
        <f ca="1">INDEX(INDIRECT(_xlfn.CONCAT("weather.tbl[",Q$1,"]")),MATCH(vp.data[[#This Row],[SDate]],weather.tbl[Date],0))</f>
        <v>2.1</v>
      </c>
      <c r="R1121" s="2">
        <f ca="1">INDEX(INDIRECT(_xlfn.CONCAT("weather.tbl[",R$1,"]")),MATCH(vp.data[[#This Row],[SDate]],weather.tbl[Date],0))</f>
        <v>1.3</v>
      </c>
      <c r="S1121" s="2">
        <f ca="1">INDEX(INDIRECT(_xlfn.CONCAT("weather.tbl[",S$1,"]")),MATCH(vp.data[[#This Row],[SDate]],weather.tbl[Date],0))</f>
        <v>1.8</v>
      </c>
      <c r="T1121" s="2">
        <f ca="1">INDEX(INDIRECT(_xlfn.CONCAT("weather.tbl[",T$1,"]")),MATCH(vp.data[[#This Row],[SDate]],weather.tbl[Date],0))</f>
        <v>1</v>
      </c>
      <c r="U1121" s="2">
        <f ca="1">INDEX(INDIRECT(_xlfn.CONCAT("weather.tbl[",U$1,"]")),MATCH(vp.data[[#This Row],[SDate]],weather.tbl[Date],0))</f>
        <v>1.3</v>
      </c>
      <c r="V1121" s="2">
        <f t="array" ref="V11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6750.8019999999997</v>
      </c>
      <c r="W1121" t="s">
        <v>48</v>
      </c>
      <c r="X1121">
        <f>IF(OR(vp.data[[#This Row],[Sulf]]="",vp.data[[#This Row],[Dens]]=""),1,0)</f>
        <v>0</v>
      </c>
      <c r="Y1121">
        <f>IF(vp.data[[#This Row],[CrudeType]]="C5+",1,0)</f>
        <v>0</v>
      </c>
      <c r="Z1121">
        <f>IF(AND(vp.data[[#This Row],[CrudeType]]="Crude",vp.data[[#This Row],[Dens]]&lt;=825,vp.data[[#This Row],[Sulf]]&gt;0.5,vp.data[[#This Row],[Unknown]]=0),1,0)</f>
        <v>1</v>
      </c>
      <c r="AA1121">
        <f>IF(AND(vp.data[[#This Row],[CrudeType]]="Crude",vp.data[[#This Row],[Dens]]&lt;=825,vp.data[[#This Row],[Sulf]]&lt;=0.5,vp.data[[#This Row],[Unknown]]=0),1,0)</f>
        <v>0</v>
      </c>
      <c r="AB11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21">
        <f>IF(AND(vp.data[[#This Row],[CrudeType]]="Crude",vp.data[[#This Row],[Dens]]&gt;825,vp.data[[#This Row],[Dens]]&lt;=900,vp.data[[#This Row],[Sulf]]&lt;=0.5,vp.data[[#This Row],[Unknown]]=0),1,0)</f>
        <v>0</v>
      </c>
      <c r="AD1121">
        <f>IF(AND(vp.data[[#This Row],[CrudeType]]="Crude",vp.data[[#This Row],[Dens]]&gt;865,vp.data[[#This Row],[Dens]]&lt;=900,vp.data[[#This Row],[Sulf]]&gt;2,vp.data[[#This Row],[Unknown]]=0),1,0)</f>
        <v>0</v>
      </c>
      <c r="AE1121">
        <f>IF(AND(vp.data[[#This Row],[CrudeType]]="Crude",vp.data[[#This Row],[Dens]]&gt;900,vp.data[[#This Row],[Sulf]]&lt;=0.5,vp.data[[#This Row],[Unknown]]=0),1,0)</f>
        <v>0</v>
      </c>
      <c r="AF1121">
        <f>IF(AND(vp.data[[#This Row],[CrudeType]]="Crude",vp.data[[#This Row],[Dens]]&gt;900,vp.data[[#This Row],[Sulf]]&lt;=0.5,vp.data[[#This Row],[Unknown]]=0),1,0)</f>
        <v>0</v>
      </c>
      <c r="AG1121" t="str">
        <f>INDEX(vp.data[[#Headers],[Unknown]:[Heavy_SW]],MATCH(1,vp.data[[#This Row],[Unknown]:[Heavy_SW]],0))</f>
        <v>Light_LSB</v>
      </c>
      <c r="AH1121">
        <f>INDEX([3]!crudeBD.lkup[Number],MATCH(vp.data[[#This Row],[Crude_Breakdown]],crudeBD.lkup[Crude Breakdown],0))</f>
        <v>1</v>
      </c>
      <c r="AI1121">
        <f>MONTH(vp.data[[#This Row],[SDate]])</f>
        <v>3</v>
      </c>
      <c r="AJ1121" s="5">
        <f>(vp.data[[#This Row],[VP]]-INDEX(crudeBD.lkup[Mean_VP],MATCH(vp.data[[#This Row],[Crude_Breakdown]],crudeBD.lkup[Crude Breakdown],0)))^2</f>
        <v>217.44998877670415</v>
      </c>
      <c r="AK1121" s="5">
        <f>(vp.data[[#This Row],[Dens]]-INDEX(crudeBD.lkup[Mean_Dens],MATCH(vp.data[[#This Row],[Crude_Breakdown]],crudeBD.lkup[Crude Breakdown],0)))^2</f>
        <v>1.9133258983723416</v>
      </c>
      <c r="AL1121" s="5">
        <f>(vp.data[[#This Row],[Sulf]]-INDEX(crudeBD.lkup[Mean_Sulf],MATCH(vp.data[[#This Row],[Crude_Breakdown]],crudeBD.lkup[Crude Breakdown],0)))^2</f>
        <v>0.15442633918177728</v>
      </c>
      <c r="AM1121" s="4">
        <f>IF(AND(vp.data[[#This Row],[SDate]]&gt;=DATE(YEAR(vp.data[[#This Row],[SDate]]),5,1),vp.data[[#This Row],[SDate]]&lt;=DATE(YEAR(vp.data[[#This Row],[SDate]]),9,15)),1,0)</f>
        <v>0</v>
      </c>
      <c r="AN1121" s="4">
        <f>IF(vp.data[[#This Row],[SDate]]&lt;DATE(2016,12,1),0,1)</f>
        <v>1</v>
      </c>
      <c r="AO1121" s="4">
        <f>IFERROR(vp.data[[#This Row],[Sulf]]*vp.data[[#This Row],[Net Dens]],"")</f>
        <v>2933540.7566940002</v>
      </c>
      <c r="AP1121">
        <f>IFERROR(vp.data[[#This Row],[Dens]]*vp.data[[#This Row],[VolumeM3]],"")</f>
        <v>5534982.5597999999</v>
      </c>
      <c r="AQ1121" s="15">
        <f>IFERROR(vp.data[[#This Row],[VP]]*vp.data[[#This Row],[VolumeM3]],"")</f>
        <v>518461.59359999996</v>
      </c>
    </row>
    <row r="1122" spans="1:43" x14ac:dyDescent="0.25">
      <c r="A1122">
        <v>1121</v>
      </c>
      <c r="B1122" t="s">
        <v>51</v>
      </c>
      <c r="C1122" t="s">
        <v>51</v>
      </c>
      <c r="D1122" t="s">
        <v>66</v>
      </c>
      <c r="F1122" s="1">
        <v>42822</v>
      </c>
      <c r="G1122" s="2">
        <v>74.8</v>
      </c>
      <c r="H1122" s="2"/>
      <c r="I1122" s="2">
        <f t="array" ref="I1122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1122" s="2">
        <v>5.3</v>
      </c>
      <c r="K1122" s="2">
        <v>12</v>
      </c>
      <c r="L1122" s="2">
        <v>823.5</v>
      </c>
      <c r="M1122" s="2">
        <f t="array" ref="M1122">_xlfn.IFNA(IF(vp.data[[#This Row],[Dens Input]]="",INDEX([1]DATA!$O$3:$O$9826,MATCH(1,(vp.data[[#This Row],[Battery]]=[1]DATA!$L$3:$L$9826)*(EOMONTH(vp.data[[#This Row],[SDate]],-1)+1=[1]DATA!$G$3:$G$9826),0)),vp.data[[#This Row],[Dens Input]]),"")</f>
        <v>823.5</v>
      </c>
      <c r="N1122" s="2">
        <f ca="1">INDEX(INDIRECT(_xlfn.CONCAT("weather.tbl[",N$1,"]")),MATCH(vp.data[[#This Row],[SDate]],weather.tbl[Date],0))</f>
        <v>1.5833333333333333</v>
      </c>
      <c r="O1122" s="2">
        <f ca="1">INDEX(INDIRECT(_xlfn.CONCAT("weather.tbl[",O$1,"]")),MATCH(vp.data[[#This Row],[SDate]],weather.tbl[Date],0))</f>
        <v>0.72619047619047616</v>
      </c>
      <c r="P1122" s="2">
        <f ca="1">INDEX(INDIRECT(_xlfn.CONCAT("weather.tbl[",P$1,"]")),MATCH(vp.data[[#This Row],[SDate]],weather.tbl[Date],0))</f>
        <v>2</v>
      </c>
      <c r="Q1122" s="2">
        <f ca="1">INDEX(INDIRECT(_xlfn.CONCAT("weather.tbl[",Q$1,"]")),MATCH(vp.data[[#This Row],[SDate]],weather.tbl[Date],0))</f>
        <v>2.1</v>
      </c>
      <c r="R1122" s="2">
        <f ca="1">INDEX(INDIRECT(_xlfn.CONCAT("weather.tbl[",R$1,"]")),MATCH(vp.data[[#This Row],[SDate]],weather.tbl[Date],0))</f>
        <v>1.3</v>
      </c>
      <c r="S1122" s="2">
        <f ca="1">INDEX(INDIRECT(_xlfn.CONCAT("weather.tbl[",S$1,"]")),MATCH(vp.data[[#This Row],[SDate]],weather.tbl[Date],0))</f>
        <v>1.8</v>
      </c>
      <c r="T1122" s="2">
        <f ca="1">INDEX(INDIRECT(_xlfn.CONCAT("weather.tbl[",T$1,"]")),MATCH(vp.data[[#This Row],[SDate]],weather.tbl[Date],0))</f>
        <v>1</v>
      </c>
      <c r="U1122" s="2">
        <f ca="1">INDEX(INDIRECT(_xlfn.CONCAT("weather.tbl[",U$1,"]")),MATCH(vp.data[[#This Row],[SDate]],weather.tbl[Date],0))</f>
        <v>1.3</v>
      </c>
      <c r="V1122" s="2">
        <f t="array" ref="V11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3482.7910000000002</v>
      </c>
      <c r="W1122" t="s">
        <v>48</v>
      </c>
      <c r="X1122">
        <f>IF(OR(vp.data[[#This Row],[Sulf]]="",vp.data[[#This Row],[Dens]]=""),1,0)</f>
        <v>0</v>
      </c>
      <c r="Y1122">
        <f>IF(vp.data[[#This Row],[CrudeType]]="C5+",1,0)</f>
        <v>0</v>
      </c>
      <c r="Z1122">
        <f>IF(AND(vp.data[[#This Row],[CrudeType]]="Crude",vp.data[[#This Row],[Dens]]&lt;=825,vp.data[[#This Row],[Sulf]]&gt;0.5,vp.data[[#This Row],[Unknown]]=0),1,0)</f>
        <v>1</v>
      </c>
      <c r="AA1122">
        <f>IF(AND(vp.data[[#This Row],[CrudeType]]="Crude",vp.data[[#This Row],[Dens]]&lt;=825,vp.data[[#This Row],[Sulf]]&lt;=0.5,vp.data[[#This Row],[Unknown]]=0),1,0)</f>
        <v>0</v>
      </c>
      <c r="AB11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22">
        <f>IF(AND(vp.data[[#This Row],[CrudeType]]="Crude",vp.data[[#This Row],[Dens]]&gt;825,vp.data[[#This Row],[Dens]]&lt;=900,vp.data[[#This Row],[Sulf]]&lt;=0.5,vp.data[[#This Row],[Unknown]]=0),1,0)</f>
        <v>0</v>
      </c>
      <c r="AD1122">
        <f>IF(AND(vp.data[[#This Row],[CrudeType]]="Crude",vp.data[[#This Row],[Dens]]&gt;865,vp.data[[#This Row],[Dens]]&lt;=900,vp.data[[#This Row],[Sulf]]&gt;2,vp.data[[#This Row],[Unknown]]=0),1,0)</f>
        <v>0</v>
      </c>
      <c r="AE1122">
        <f>IF(AND(vp.data[[#This Row],[CrudeType]]="Crude",vp.data[[#This Row],[Dens]]&gt;900,vp.data[[#This Row],[Sulf]]&lt;=0.5,vp.data[[#This Row],[Unknown]]=0),1,0)</f>
        <v>0</v>
      </c>
      <c r="AF1122">
        <f>IF(AND(vp.data[[#This Row],[CrudeType]]="Crude",vp.data[[#This Row],[Dens]]&gt;900,vp.data[[#This Row],[Sulf]]&lt;=0.5,vp.data[[#This Row],[Unknown]]=0),1,0)</f>
        <v>0</v>
      </c>
      <c r="AG1122" t="str">
        <f>INDEX(vp.data[[#Headers],[Unknown]:[Heavy_SW]],MATCH(1,vp.data[[#This Row],[Unknown]:[Heavy_SW]],0))</f>
        <v>Light_LSB</v>
      </c>
      <c r="AH1122">
        <f>INDEX([3]!crudeBD.lkup[Number],MATCH(vp.data[[#This Row],[Crude_Breakdown]],crudeBD.lkup[Crude Breakdown],0))</f>
        <v>1</v>
      </c>
      <c r="AI1122">
        <f>MONTH(vp.data[[#This Row],[SDate]])</f>
        <v>3</v>
      </c>
      <c r="AJ1122" s="5">
        <f>(vp.data[[#This Row],[VP]]-INDEX(crudeBD.lkup[Mean_VP],MATCH(vp.data[[#This Row],[Crude_Breakdown]],crudeBD.lkup[Crude Breakdown],0)))^2</f>
        <v>280.43473104474555</v>
      </c>
      <c r="AK1122" s="5">
        <f>(vp.data[[#This Row],[Dens]]-INDEX(crudeBD.lkup[Mean_Dens],MATCH(vp.data[[#This Row],[Crude_Breakdown]],crudeBD.lkup[Crude Breakdown],0)))^2</f>
        <v>24.832583630333428</v>
      </c>
      <c r="AL1122" s="5">
        <f>(vp.data[[#This Row],[Sulf]]-INDEX(crudeBD.lkup[Mean_Sulf],MATCH(vp.data[[#This Row],[Crude_Breakdown]],crudeBD.lkup[Crude Breakdown],0)))^2</f>
        <v>0.19099419966287745</v>
      </c>
      <c r="AM1122" s="4">
        <f>IF(AND(vp.data[[#This Row],[SDate]]&gt;=DATE(YEAR(vp.data[[#This Row],[SDate]]),5,1),vp.data[[#This Row],[SDate]]&lt;=DATE(YEAR(vp.data[[#This Row],[SDate]]),9,15)),1,0)</f>
        <v>0</v>
      </c>
      <c r="AN1122" s="4">
        <f>IF(vp.data[[#This Row],[SDate]]&lt;DATE(2016,12,1),0,1)</f>
        <v>1</v>
      </c>
      <c r="AO1122" s="4">
        <f>IFERROR(vp.data[[#This Row],[Sulf]]*vp.data[[#This Row],[Net Dens]],"")</f>
        <v>3900586.6083600009</v>
      </c>
      <c r="AP1122">
        <f>IFERROR(vp.data[[#This Row],[Dens]]*vp.data[[#This Row],[VolumeM3]],"")</f>
        <v>2868078.3885000004</v>
      </c>
      <c r="AQ1122" s="15">
        <f>IFERROR(vp.data[[#This Row],[VP]]*vp.data[[#This Row],[VolumeM3]],"")</f>
        <v>260512.76680000001</v>
      </c>
    </row>
    <row r="1123" spans="1:43" x14ac:dyDescent="0.25">
      <c r="A1123">
        <v>1122</v>
      </c>
      <c r="B1123" t="s">
        <v>51</v>
      </c>
      <c r="C1123" t="s">
        <v>51</v>
      </c>
      <c r="D1123" t="s">
        <v>72</v>
      </c>
      <c r="F1123" s="1">
        <v>42822</v>
      </c>
      <c r="G1123" s="2">
        <v>89.4</v>
      </c>
      <c r="H1123" s="2"/>
      <c r="I1123" s="2">
        <f t="array" ref="I1123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123" s="2">
        <v>29.2</v>
      </c>
      <c r="K1123" s="2">
        <v>12</v>
      </c>
      <c r="L1123" s="2">
        <v>834</v>
      </c>
      <c r="M1123" s="2">
        <f t="array" ref="M1123">_xlfn.IFNA(IF(vp.data[[#This Row],[Dens Input]]="",INDEX([1]DATA!$O$3:$O$9826,MATCH(1,(vp.data[[#This Row],[Battery]]=[1]DATA!$L$3:$L$9826)*(EOMONTH(vp.data[[#This Row],[SDate]],-1)+1=[1]DATA!$G$3:$G$9826),0)),vp.data[[#This Row],[Dens Input]]),"")</f>
        <v>834</v>
      </c>
      <c r="N1123" s="2">
        <f ca="1">INDEX(INDIRECT(_xlfn.CONCAT("weather.tbl[",N$1,"]")),MATCH(vp.data[[#This Row],[SDate]],weather.tbl[Date],0))</f>
        <v>1.5833333333333333</v>
      </c>
      <c r="O1123" s="2">
        <f ca="1">INDEX(INDIRECT(_xlfn.CONCAT("weather.tbl[",O$1,"]")),MATCH(vp.data[[#This Row],[SDate]],weather.tbl[Date],0))</f>
        <v>0.72619047619047616</v>
      </c>
      <c r="P1123" s="2">
        <f ca="1">INDEX(INDIRECT(_xlfn.CONCAT("weather.tbl[",P$1,"]")),MATCH(vp.data[[#This Row],[SDate]],weather.tbl[Date],0))</f>
        <v>2</v>
      </c>
      <c r="Q1123" s="2">
        <f ca="1">INDEX(INDIRECT(_xlfn.CONCAT("weather.tbl[",Q$1,"]")),MATCH(vp.data[[#This Row],[SDate]],weather.tbl[Date],0))</f>
        <v>2.1</v>
      </c>
      <c r="R1123" s="2">
        <f ca="1">INDEX(INDIRECT(_xlfn.CONCAT("weather.tbl[",R$1,"]")),MATCH(vp.data[[#This Row],[SDate]],weather.tbl[Date],0))</f>
        <v>1.3</v>
      </c>
      <c r="S1123" s="2">
        <f ca="1">INDEX(INDIRECT(_xlfn.CONCAT("weather.tbl[",S$1,"]")),MATCH(vp.data[[#This Row],[SDate]],weather.tbl[Date],0))</f>
        <v>1.8</v>
      </c>
      <c r="T1123" s="2">
        <f ca="1">INDEX(INDIRECT(_xlfn.CONCAT("weather.tbl[",T$1,"]")),MATCH(vp.data[[#This Row],[SDate]],weather.tbl[Date],0))</f>
        <v>1</v>
      </c>
      <c r="U1123" s="2">
        <f ca="1">INDEX(INDIRECT(_xlfn.CONCAT("weather.tbl[",U$1,"]")),MATCH(vp.data[[#This Row],[SDate]],weather.tbl[Date],0))</f>
        <v>1.3</v>
      </c>
      <c r="V1123" s="2">
        <f t="array" ref="V11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13878.534</v>
      </c>
      <c r="W1123" t="s">
        <v>48</v>
      </c>
      <c r="X1123">
        <f>IF(OR(vp.data[[#This Row],[Sulf]]="",vp.data[[#This Row],[Dens]]=""),1,0)</f>
        <v>0</v>
      </c>
      <c r="Y1123">
        <f>IF(vp.data[[#This Row],[CrudeType]]="C5+",1,0)</f>
        <v>0</v>
      </c>
      <c r="Z1123">
        <f>IF(AND(vp.data[[#This Row],[CrudeType]]="Crude",vp.data[[#This Row],[Dens]]&lt;=825,vp.data[[#This Row],[Sulf]]&gt;0.5,vp.data[[#This Row],[Unknown]]=0),1,0)</f>
        <v>0</v>
      </c>
      <c r="AA1123">
        <f>IF(AND(vp.data[[#This Row],[CrudeType]]="Crude",vp.data[[#This Row],[Dens]]&lt;=825,vp.data[[#This Row],[Sulf]]&lt;=0.5,vp.data[[#This Row],[Unknown]]=0),1,0)</f>
        <v>0</v>
      </c>
      <c r="AB11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3">
        <f>IF(AND(vp.data[[#This Row],[CrudeType]]="Crude",vp.data[[#This Row],[Dens]]&gt;825,vp.data[[#This Row],[Dens]]&lt;=900,vp.data[[#This Row],[Sulf]]&lt;=0.5,vp.data[[#This Row],[Unknown]]=0),1,0)</f>
        <v>0</v>
      </c>
      <c r="AD1123">
        <f>IF(AND(vp.data[[#This Row],[CrudeType]]="Crude",vp.data[[#This Row],[Dens]]&gt;865,vp.data[[#This Row],[Dens]]&lt;=900,vp.data[[#This Row],[Sulf]]&gt;2,vp.data[[#This Row],[Unknown]]=0),1,0)</f>
        <v>0</v>
      </c>
      <c r="AE1123">
        <f>IF(AND(vp.data[[#This Row],[CrudeType]]="Crude",vp.data[[#This Row],[Dens]]&gt;900,vp.data[[#This Row],[Sulf]]&lt;=0.5,vp.data[[#This Row],[Unknown]]=0),1,0)</f>
        <v>0</v>
      </c>
      <c r="AF1123">
        <f>IF(AND(vp.data[[#This Row],[CrudeType]]="Crude",vp.data[[#This Row],[Dens]]&gt;900,vp.data[[#This Row],[Sulf]]&lt;=0.5,vp.data[[#This Row],[Unknown]]=0),1,0)</f>
        <v>0</v>
      </c>
      <c r="AG1123" t="str">
        <f>INDEX(vp.data[[#Headers],[Unknown]:[Heavy_SW]],MATCH(1,vp.data[[#This Row],[Unknown]:[Heavy_SW]],0))</f>
        <v>Medium_LSB</v>
      </c>
      <c r="AH1123">
        <f>INDEX([3]!crudeBD.lkup[Number],MATCH(vp.data[[#This Row],[Crude_Breakdown]],crudeBD.lkup[Crude Breakdown],0))</f>
        <v>3</v>
      </c>
      <c r="AI1123">
        <f>MONTH(vp.data[[#This Row],[SDate]])</f>
        <v>3</v>
      </c>
      <c r="AJ1123" s="5">
        <f>(vp.data[[#This Row],[VP]]-INDEX(crudeBD.lkup[Mean_VP],MATCH(vp.data[[#This Row],[Crude_Breakdown]],crudeBD.lkup[Crude Breakdown],0)))^2</f>
        <v>76.74326695098253</v>
      </c>
      <c r="AK1123" s="5">
        <f>(vp.data[[#This Row],[Dens]]-INDEX(crudeBD.lkup[Mean_Dens],MATCH(vp.data[[#This Row],[Crude_Breakdown]],crudeBD.lkup[Crude Breakdown],0)))^2</f>
        <v>98.406399999990171</v>
      </c>
      <c r="AL1123" s="5">
        <f>(vp.data[[#This Row],[Sulf]]-INDEX(crudeBD.lkup[Mean_Sulf],MATCH(vp.data[[#This Row],[Crude_Breakdown]],crudeBD.lkup[Crude Breakdown],0)))^2</f>
        <v>9.3274123845019638E-2</v>
      </c>
      <c r="AM1123" s="4">
        <f>IF(AND(vp.data[[#This Row],[SDate]]&gt;=DATE(YEAR(vp.data[[#This Row],[SDate]]),5,1),vp.data[[#This Row],[SDate]]&lt;=DATE(YEAR(vp.data[[#This Row],[SDate]]),9,15)),1,0)</f>
        <v>0</v>
      </c>
      <c r="AN1123" s="4">
        <f>IF(vp.data[[#This Row],[SDate]]&lt;DATE(2016,12,1),0,1)</f>
        <v>1</v>
      </c>
      <c r="AO1123" s="4">
        <f>IFERROR(vp.data[[#This Row],[Sulf]]*vp.data[[#This Row],[Net Dens]],"")</f>
        <v>12500673.144480001</v>
      </c>
      <c r="AP1123">
        <f>IFERROR(vp.data[[#This Row],[Dens]]*vp.data[[#This Row],[VolumeM3]],"")</f>
        <v>11574697.356000001</v>
      </c>
      <c r="AQ1123" s="15">
        <f>IFERROR(vp.data[[#This Row],[VP]]*vp.data[[#This Row],[VolumeM3]],"")</f>
        <v>1240740.9396000002</v>
      </c>
    </row>
    <row r="1124" spans="1:43" x14ac:dyDescent="0.25">
      <c r="A1124">
        <v>1123</v>
      </c>
      <c r="B1124" t="s">
        <v>108</v>
      </c>
      <c r="C1124" t="s">
        <v>108</v>
      </c>
      <c r="D1124" t="s">
        <v>109</v>
      </c>
      <c r="F1124" s="1">
        <v>42822</v>
      </c>
      <c r="G1124" s="2">
        <v>87.2</v>
      </c>
      <c r="H1124" s="2"/>
      <c r="I1124" s="2">
        <f t="array" ref="I1124">_xlfn.IFNA(IF(vp.data[[#This Row],[Sulf Input]]="",INDEX([1]DATA!$Q$3:$Q$9826,MATCH(1,(vp.data[[#This Row],[Battery]]=[1]DATA!$L$3:$L$9826)*(EOMONTH(vp.data[[#This Row],[SDate]],-1)+1=[1]DATA!$G$3:$G$9826),0)),vp.data[[#This Row],[Sulf Input]]),"")</f>
        <v>0.79</v>
      </c>
      <c r="J1124" s="2">
        <v>25</v>
      </c>
      <c r="K1124" s="2">
        <v>12</v>
      </c>
      <c r="L1124" s="2">
        <v>835</v>
      </c>
      <c r="M1124" s="2">
        <f t="array" ref="M1124">_xlfn.IFNA(IF(vp.data[[#This Row],[Dens Input]]="",INDEX([1]DATA!$O$3:$O$9826,MATCH(1,(vp.data[[#This Row],[Battery]]=[1]DATA!$L$3:$L$9826)*(EOMONTH(vp.data[[#This Row],[SDate]],-1)+1=[1]DATA!$G$3:$G$9826),0)),vp.data[[#This Row],[Dens Input]]),"")</f>
        <v>835</v>
      </c>
      <c r="N1124" s="2">
        <f ca="1">INDEX(INDIRECT(_xlfn.CONCAT("weather.tbl[",N$1,"]")),MATCH(vp.data[[#This Row],[SDate]],weather.tbl[Date],0))</f>
        <v>1.5833333333333333</v>
      </c>
      <c r="O1124" s="2">
        <f ca="1">INDEX(INDIRECT(_xlfn.CONCAT("weather.tbl[",O$1,"]")),MATCH(vp.data[[#This Row],[SDate]],weather.tbl[Date],0))</f>
        <v>0.72619047619047616</v>
      </c>
      <c r="P1124" s="2">
        <f ca="1">INDEX(INDIRECT(_xlfn.CONCAT("weather.tbl[",P$1,"]")),MATCH(vp.data[[#This Row],[SDate]],weather.tbl[Date],0))</f>
        <v>2</v>
      </c>
      <c r="Q1124" s="2">
        <f ca="1">INDEX(INDIRECT(_xlfn.CONCAT("weather.tbl[",Q$1,"]")),MATCH(vp.data[[#This Row],[SDate]],weather.tbl[Date],0))</f>
        <v>2.1</v>
      </c>
      <c r="R1124" s="2">
        <f ca="1">INDEX(INDIRECT(_xlfn.CONCAT("weather.tbl[",R$1,"]")),MATCH(vp.data[[#This Row],[SDate]],weather.tbl[Date],0))</f>
        <v>1.3</v>
      </c>
      <c r="S1124" s="2">
        <f ca="1">INDEX(INDIRECT(_xlfn.CONCAT("weather.tbl[",S$1,"]")),MATCH(vp.data[[#This Row],[SDate]],weather.tbl[Date],0))</f>
        <v>1.8</v>
      </c>
      <c r="T1124" s="2">
        <f ca="1">INDEX(INDIRECT(_xlfn.CONCAT("weather.tbl[",T$1,"]")),MATCH(vp.data[[#This Row],[SDate]],weather.tbl[Date],0))</f>
        <v>1</v>
      </c>
      <c r="U1124" s="2">
        <f ca="1">INDEX(INDIRECT(_xlfn.CONCAT("weather.tbl[",U$1,"]")),MATCH(vp.data[[#This Row],[SDate]],weather.tbl[Date],0))</f>
        <v>1.3</v>
      </c>
      <c r="V1124" s="2">
        <f t="array" ref="V11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9449.0609999999997</v>
      </c>
      <c r="W1124" t="s">
        <v>48</v>
      </c>
      <c r="X1124">
        <f>IF(OR(vp.data[[#This Row],[Sulf]]="",vp.data[[#This Row],[Dens]]=""),1,0)</f>
        <v>0</v>
      </c>
      <c r="Y1124">
        <f>IF(vp.data[[#This Row],[CrudeType]]="C5+",1,0)</f>
        <v>0</v>
      </c>
      <c r="Z1124">
        <f>IF(AND(vp.data[[#This Row],[CrudeType]]="Crude",vp.data[[#This Row],[Dens]]&lt;=825,vp.data[[#This Row],[Sulf]]&gt;0.5,vp.data[[#This Row],[Unknown]]=0),1,0)</f>
        <v>0</v>
      </c>
      <c r="AA1124">
        <f>IF(AND(vp.data[[#This Row],[CrudeType]]="Crude",vp.data[[#This Row],[Dens]]&lt;=825,vp.data[[#This Row],[Sulf]]&lt;=0.5,vp.data[[#This Row],[Unknown]]=0),1,0)</f>
        <v>0</v>
      </c>
      <c r="AB11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4">
        <f>IF(AND(vp.data[[#This Row],[CrudeType]]="Crude",vp.data[[#This Row],[Dens]]&gt;825,vp.data[[#This Row],[Dens]]&lt;=900,vp.data[[#This Row],[Sulf]]&lt;=0.5,vp.data[[#This Row],[Unknown]]=0),1,0)</f>
        <v>0</v>
      </c>
      <c r="AD1124">
        <f>IF(AND(vp.data[[#This Row],[CrudeType]]="Crude",vp.data[[#This Row],[Dens]]&gt;865,vp.data[[#This Row],[Dens]]&lt;=900,vp.data[[#This Row],[Sulf]]&gt;2,vp.data[[#This Row],[Unknown]]=0),1,0)</f>
        <v>0</v>
      </c>
      <c r="AE1124">
        <f>IF(AND(vp.data[[#This Row],[CrudeType]]="Crude",vp.data[[#This Row],[Dens]]&gt;900,vp.data[[#This Row],[Sulf]]&lt;=0.5,vp.data[[#This Row],[Unknown]]=0),1,0)</f>
        <v>0</v>
      </c>
      <c r="AF1124">
        <f>IF(AND(vp.data[[#This Row],[CrudeType]]="Crude",vp.data[[#This Row],[Dens]]&gt;900,vp.data[[#This Row],[Sulf]]&lt;=0.5,vp.data[[#This Row],[Unknown]]=0),1,0)</f>
        <v>0</v>
      </c>
      <c r="AG1124" t="str">
        <f>INDEX(vp.data[[#Headers],[Unknown]:[Heavy_SW]],MATCH(1,vp.data[[#This Row],[Unknown]:[Heavy_SW]],0))</f>
        <v>Medium_LSB</v>
      </c>
      <c r="AH1124">
        <f>INDEX([3]!crudeBD.lkup[Number],MATCH(vp.data[[#This Row],[Crude_Breakdown]],crudeBD.lkup[Crude Breakdown],0))</f>
        <v>3</v>
      </c>
      <c r="AI1124">
        <f>MONTH(vp.data[[#This Row],[SDate]])</f>
        <v>3</v>
      </c>
      <c r="AJ1124" s="5">
        <f>(vp.data[[#This Row],[VP]]-INDEX(crudeBD.lkup[Mean_VP],MATCH(vp.data[[#This Row],[Crude_Breakdown]],crudeBD.lkup[Crude Breakdown],0)))^2</f>
        <v>43.037843770389159</v>
      </c>
      <c r="AK1124" s="5">
        <f>(vp.data[[#This Row],[Dens]]-INDEX(crudeBD.lkup[Mean_Dens],MATCH(vp.data[[#This Row],[Crude_Breakdown]],crudeBD.lkup[Crude Breakdown],0)))^2</f>
        <v>79.566399999991162</v>
      </c>
      <c r="AL1124" s="5">
        <f>(vp.data[[#This Row],[Sulf]]-INDEX(crudeBD.lkup[Mean_Sulf],MATCH(vp.data[[#This Row],[Crude_Breakdown]],crudeBD.lkup[Crude Breakdown],0)))^2</f>
        <v>0.35451083732210947</v>
      </c>
      <c r="AM1124" s="4">
        <f>IF(AND(vp.data[[#This Row],[SDate]]&gt;=DATE(YEAR(vp.data[[#This Row],[SDate]]),5,1),vp.data[[#This Row],[SDate]]&lt;=DATE(YEAR(vp.data[[#This Row],[SDate]]),9,15)),1,0)</f>
        <v>0</v>
      </c>
      <c r="AN1124" s="4">
        <f>IF(vp.data[[#This Row],[SDate]]&lt;DATE(2016,12,1),0,1)</f>
        <v>1</v>
      </c>
      <c r="AO1124" s="4">
        <f>IFERROR(vp.data[[#This Row],[Sulf]]*vp.data[[#This Row],[Net Dens]],"")</f>
        <v>6233073.0886500003</v>
      </c>
      <c r="AP1124">
        <f>IFERROR(vp.data[[#This Row],[Dens]]*vp.data[[#This Row],[VolumeM3]],"")</f>
        <v>7889965.9349999996</v>
      </c>
      <c r="AQ1124" s="15">
        <f>IFERROR(vp.data[[#This Row],[VP]]*vp.data[[#This Row],[VolumeM3]],"")</f>
        <v>823958.11919999996</v>
      </c>
    </row>
    <row r="1125" spans="1:43" x14ac:dyDescent="0.25">
      <c r="A1125">
        <v>1124</v>
      </c>
      <c r="B1125" t="s">
        <v>68</v>
      </c>
      <c r="C1125" t="s">
        <v>68</v>
      </c>
      <c r="D1125" t="s">
        <v>98</v>
      </c>
      <c r="F1125" s="1">
        <v>42822</v>
      </c>
      <c r="G1125" s="2">
        <v>60.2</v>
      </c>
      <c r="H1125" s="2"/>
      <c r="I1125" s="2">
        <f t="array" ref="I1125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1125" s="2">
        <v>29.3</v>
      </c>
      <c r="K1125" s="2">
        <v>12</v>
      </c>
      <c r="L1125" s="2">
        <v>852.9</v>
      </c>
      <c r="M1125" s="2">
        <f t="array" ref="M1125">_xlfn.IFNA(IF(vp.data[[#This Row],[Dens Input]]="",INDEX([1]DATA!$O$3:$O$9826,MATCH(1,(vp.data[[#This Row],[Battery]]=[1]DATA!$L$3:$L$9826)*(EOMONTH(vp.data[[#This Row],[SDate]],-1)+1=[1]DATA!$G$3:$G$9826),0)),vp.data[[#This Row],[Dens Input]]),"")</f>
        <v>852.9</v>
      </c>
      <c r="N1125" s="2">
        <f ca="1">INDEX(INDIRECT(_xlfn.CONCAT("weather.tbl[",N$1,"]")),MATCH(vp.data[[#This Row],[SDate]],weather.tbl[Date],0))</f>
        <v>1.5833333333333333</v>
      </c>
      <c r="O1125" s="2">
        <f ca="1">INDEX(INDIRECT(_xlfn.CONCAT("weather.tbl[",O$1,"]")),MATCH(vp.data[[#This Row],[SDate]],weather.tbl[Date],0))</f>
        <v>0.72619047619047616</v>
      </c>
      <c r="P1125" s="2">
        <f ca="1">INDEX(INDIRECT(_xlfn.CONCAT("weather.tbl[",P$1,"]")),MATCH(vp.data[[#This Row],[SDate]],weather.tbl[Date],0))</f>
        <v>2</v>
      </c>
      <c r="Q1125" s="2">
        <f ca="1">INDEX(INDIRECT(_xlfn.CONCAT("weather.tbl[",Q$1,"]")),MATCH(vp.data[[#This Row],[SDate]],weather.tbl[Date],0))</f>
        <v>2.1</v>
      </c>
      <c r="R1125" s="2">
        <f ca="1">INDEX(INDIRECT(_xlfn.CONCAT("weather.tbl[",R$1,"]")),MATCH(vp.data[[#This Row],[SDate]],weather.tbl[Date],0))</f>
        <v>1.3</v>
      </c>
      <c r="S1125" s="2">
        <f ca="1">INDEX(INDIRECT(_xlfn.CONCAT("weather.tbl[",S$1,"]")),MATCH(vp.data[[#This Row],[SDate]],weather.tbl[Date],0))</f>
        <v>1.8</v>
      </c>
      <c r="T1125" s="2">
        <f ca="1">INDEX(INDIRECT(_xlfn.CONCAT("weather.tbl[",T$1,"]")),MATCH(vp.data[[#This Row],[SDate]],weather.tbl[Date],0))</f>
        <v>1</v>
      </c>
      <c r="U1125" s="2">
        <f ca="1">INDEX(INDIRECT(_xlfn.CONCAT("weather.tbl[",U$1,"]")),MATCH(vp.data[[#This Row],[SDate]],weather.tbl[Date],0))</f>
        <v>1.3</v>
      </c>
      <c r="V1125" s="2">
        <f t="array" ref="V11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4943.8360000000002</v>
      </c>
      <c r="W1125" t="s">
        <v>48</v>
      </c>
      <c r="X1125">
        <f>IF(OR(vp.data[[#This Row],[Sulf]]="",vp.data[[#This Row],[Dens]]=""),1,0)</f>
        <v>0</v>
      </c>
      <c r="Y1125">
        <f>IF(vp.data[[#This Row],[CrudeType]]="C5+",1,0)</f>
        <v>0</v>
      </c>
      <c r="Z1125">
        <f>IF(AND(vp.data[[#This Row],[CrudeType]]="Crude",vp.data[[#This Row],[Dens]]&lt;=825,vp.data[[#This Row],[Sulf]]&gt;0.5,vp.data[[#This Row],[Unknown]]=0),1,0)</f>
        <v>0</v>
      </c>
      <c r="AA1125">
        <f>IF(AND(vp.data[[#This Row],[CrudeType]]="Crude",vp.data[[#This Row],[Dens]]&lt;=825,vp.data[[#This Row],[Sulf]]&lt;=0.5,vp.data[[#This Row],[Unknown]]=0),1,0)</f>
        <v>0</v>
      </c>
      <c r="AB11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5">
        <f>IF(AND(vp.data[[#This Row],[CrudeType]]="Crude",vp.data[[#This Row],[Dens]]&gt;825,vp.data[[#This Row],[Dens]]&lt;=900,vp.data[[#This Row],[Sulf]]&lt;=0.5,vp.data[[#This Row],[Unknown]]=0),1,0)</f>
        <v>0</v>
      </c>
      <c r="AD1125">
        <f>IF(AND(vp.data[[#This Row],[CrudeType]]="Crude",vp.data[[#This Row],[Dens]]&gt;865,vp.data[[#This Row],[Dens]]&lt;=900,vp.data[[#This Row],[Sulf]]&gt;2,vp.data[[#This Row],[Unknown]]=0),1,0)</f>
        <v>0</v>
      </c>
      <c r="AE1125">
        <f>IF(AND(vp.data[[#This Row],[CrudeType]]="Crude",vp.data[[#This Row],[Dens]]&gt;900,vp.data[[#This Row],[Sulf]]&lt;=0.5,vp.data[[#This Row],[Unknown]]=0),1,0)</f>
        <v>0</v>
      </c>
      <c r="AF1125">
        <f>IF(AND(vp.data[[#This Row],[CrudeType]]="Crude",vp.data[[#This Row],[Dens]]&gt;900,vp.data[[#This Row],[Sulf]]&lt;=0.5,vp.data[[#This Row],[Unknown]]=0),1,0)</f>
        <v>0</v>
      </c>
      <c r="AG1125" t="str">
        <f>INDEX(vp.data[[#Headers],[Unknown]:[Heavy_SW]],MATCH(1,vp.data[[#This Row],[Unknown]:[Heavy_SW]],0))</f>
        <v>Medium_LSB</v>
      </c>
      <c r="AH1125">
        <f>INDEX([3]!crudeBD.lkup[Number],MATCH(vp.data[[#This Row],[Crude_Breakdown]],crudeBD.lkup[Crude Breakdown],0))</f>
        <v>3</v>
      </c>
      <c r="AI1125">
        <f>MONTH(vp.data[[#This Row],[SDate]])</f>
        <v>3</v>
      </c>
      <c r="AJ1125" s="5">
        <f>(vp.data[[#This Row],[VP]]-INDEX(crudeBD.lkup[Mean_VP],MATCH(vp.data[[#This Row],[Crude_Breakdown]],crudeBD.lkup[Crude Breakdown],0)))^2</f>
        <v>417.78037746310753</v>
      </c>
      <c r="AK1125" s="5">
        <f>(vp.data[[#This Row],[Dens]]-INDEX(crudeBD.lkup[Mean_Dens],MATCH(vp.data[[#This Row],[Crude_Breakdown]],crudeBD.lkup[Crude Breakdown],0)))^2</f>
        <v>80.640400000008498</v>
      </c>
      <c r="AL1125" s="5">
        <f>(vp.data[[#This Row],[Sulf]]-INDEX(crudeBD.lkup[Mean_Sulf],MATCH(vp.data[[#This Row],[Crude_Breakdown]],crudeBD.lkup[Crude Breakdown],0)))^2</f>
        <v>3.07680109070139E-2</v>
      </c>
      <c r="AM1125" s="4">
        <f>IF(AND(vp.data[[#This Row],[SDate]]&gt;=DATE(YEAR(vp.data[[#This Row],[SDate]]),5,1),vp.data[[#This Row],[SDate]]&lt;=DATE(YEAR(vp.data[[#This Row],[SDate]]),9,15)),1,0)</f>
        <v>0</v>
      </c>
      <c r="AN1125" s="4">
        <f>IF(vp.data[[#This Row],[SDate]]&lt;DATE(2016,12,1),0,1)</f>
        <v>1</v>
      </c>
      <c r="AO1125" s="4">
        <f>IFERROR(vp.data[[#This Row],[Sulf]]*vp.data[[#This Row],[Net Dens]],"")</f>
        <v>5102083.2465239996</v>
      </c>
      <c r="AP1125">
        <f>IFERROR(vp.data[[#This Row],[Dens]]*vp.data[[#This Row],[VolumeM3]],"")</f>
        <v>4216597.7243999997</v>
      </c>
      <c r="AQ1125" s="15">
        <f>IFERROR(vp.data[[#This Row],[VP]]*vp.data[[#This Row],[VolumeM3]],"")</f>
        <v>297618.92720000003</v>
      </c>
    </row>
    <row r="1126" spans="1:43" x14ac:dyDescent="0.25">
      <c r="A1126">
        <v>1125</v>
      </c>
      <c r="B1126" t="s">
        <v>68</v>
      </c>
      <c r="C1126" t="s">
        <v>68</v>
      </c>
      <c r="D1126" t="s">
        <v>110</v>
      </c>
      <c r="F1126" s="1">
        <v>42822</v>
      </c>
      <c r="G1126" s="2">
        <v>63.3</v>
      </c>
      <c r="H1126" s="2"/>
      <c r="I1126" s="2">
        <f t="array" ref="I1126">_xlfn.IFNA(IF(vp.data[[#This Row],[Sulf Input]]="",INDEX([1]DATA!$Q$3:$Q$9826,MATCH(1,(vp.data[[#This Row],[Battery]]=[1]DATA!$L$3:$L$9826)*(EOMONTH(vp.data[[#This Row],[SDate]],-1)+1=[1]DATA!$G$3:$G$9826),0)),vp.data[[#This Row],[Sulf Input]]),"")</f>
        <v>1.41</v>
      </c>
      <c r="J1126" s="2">
        <v>23.7</v>
      </c>
      <c r="K1126" s="2">
        <v>12</v>
      </c>
      <c r="L1126" s="2">
        <v>853.4</v>
      </c>
      <c r="M1126" s="2">
        <f t="array" ref="M1126">_xlfn.IFNA(IF(vp.data[[#This Row],[Dens Input]]="",INDEX([1]DATA!$O$3:$O$9826,MATCH(1,(vp.data[[#This Row],[Battery]]=[1]DATA!$L$3:$L$9826)*(EOMONTH(vp.data[[#This Row],[SDate]],-1)+1=[1]DATA!$G$3:$G$9826),0)),vp.data[[#This Row],[Dens Input]]),"")</f>
        <v>853.4</v>
      </c>
      <c r="N1126" s="2">
        <f ca="1">INDEX(INDIRECT(_xlfn.CONCAT("weather.tbl[",N$1,"]")),MATCH(vp.data[[#This Row],[SDate]],weather.tbl[Date],0))</f>
        <v>1.5833333333333333</v>
      </c>
      <c r="O1126" s="2">
        <f ca="1">INDEX(INDIRECT(_xlfn.CONCAT("weather.tbl[",O$1,"]")),MATCH(vp.data[[#This Row],[SDate]],weather.tbl[Date],0))</f>
        <v>0.72619047619047616</v>
      </c>
      <c r="P1126" s="2">
        <f ca="1">INDEX(INDIRECT(_xlfn.CONCAT("weather.tbl[",P$1,"]")),MATCH(vp.data[[#This Row],[SDate]],weather.tbl[Date],0))</f>
        <v>2</v>
      </c>
      <c r="Q1126" s="2">
        <f ca="1">INDEX(INDIRECT(_xlfn.CONCAT("weather.tbl[",Q$1,"]")),MATCH(vp.data[[#This Row],[SDate]],weather.tbl[Date],0))</f>
        <v>2.1</v>
      </c>
      <c r="R1126" s="2">
        <f ca="1">INDEX(INDIRECT(_xlfn.CONCAT("weather.tbl[",R$1,"]")),MATCH(vp.data[[#This Row],[SDate]],weather.tbl[Date],0))</f>
        <v>1.3</v>
      </c>
      <c r="S1126" s="2">
        <f ca="1">INDEX(INDIRECT(_xlfn.CONCAT("weather.tbl[",S$1,"]")),MATCH(vp.data[[#This Row],[SDate]],weather.tbl[Date],0))</f>
        <v>1.8</v>
      </c>
      <c r="T1126" s="2">
        <f ca="1">INDEX(INDIRECT(_xlfn.CONCAT("weather.tbl[",T$1,"]")),MATCH(vp.data[[#This Row],[SDate]],weather.tbl[Date],0))</f>
        <v>1</v>
      </c>
      <c r="U1126" s="2">
        <f ca="1">INDEX(INDIRECT(_xlfn.CONCAT("weather.tbl[",U$1,"]")),MATCH(vp.data[[#This Row],[SDate]],weather.tbl[Date],0))</f>
        <v>1.3</v>
      </c>
      <c r="V1126" s="2">
        <f t="array" ref="V11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4854.1400000000003</v>
      </c>
      <c r="W1126" t="s">
        <v>48</v>
      </c>
      <c r="X1126">
        <f>IF(OR(vp.data[[#This Row],[Sulf]]="",vp.data[[#This Row],[Dens]]=""),1,0)</f>
        <v>0</v>
      </c>
      <c r="Y1126">
        <f>IF(vp.data[[#This Row],[CrudeType]]="C5+",1,0)</f>
        <v>0</v>
      </c>
      <c r="Z1126">
        <f>IF(AND(vp.data[[#This Row],[CrudeType]]="Crude",vp.data[[#This Row],[Dens]]&lt;=825,vp.data[[#This Row],[Sulf]]&gt;0.5,vp.data[[#This Row],[Unknown]]=0),1,0)</f>
        <v>0</v>
      </c>
      <c r="AA1126">
        <f>IF(AND(vp.data[[#This Row],[CrudeType]]="Crude",vp.data[[#This Row],[Dens]]&lt;=825,vp.data[[#This Row],[Sulf]]&lt;=0.5,vp.data[[#This Row],[Unknown]]=0),1,0)</f>
        <v>0</v>
      </c>
      <c r="AB11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6">
        <f>IF(AND(vp.data[[#This Row],[CrudeType]]="Crude",vp.data[[#This Row],[Dens]]&gt;825,vp.data[[#This Row],[Dens]]&lt;=900,vp.data[[#This Row],[Sulf]]&lt;=0.5,vp.data[[#This Row],[Unknown]]=0),1,0)</f>
        <v>0</v>
      </c>
      <c r="AD1126">
        <f>IF(AND(vp.data[[#This Row],[CrudeType]]="Crude",vp.data[[#This Row],[Dens]]&gt;865,vp.data[[#This Row],[Dens]]&lt;=900,vp.data[[#This Row],[Sulf]]&gt;2,vp.data[[#This Row],[Unknown]]=0),1,0)</f>
        <v>0</v>
      </c>
      <c r="AE1126">
        <f>IF(AND(vp.data[[#This Row],[CrudeType]]="Crude",vp.data[[#This Row],[Dens]]&gt;900,vp.data[[#This Row],[Sulf]]&lt;=0.5,vp.data[[#This Row],[Unknown]]=0),1,0)</f>
        <v>0</v>
      </c>
      <c r="AF1126">
        <f>IF(AND(vp.data[[#This Row],[CrudeType]]="Crude",vp.data[[#This Row],[Dens]]&gt;900,vp.data[[#This Row],[Sulf]]&lt;=0.5,vp.data[[#This Row],[Unknown]]=0),1,0)</f>
        <v>0</v>
      </c>
      <c r="AG1126" t="str">
        <f>INDEX(vp.data[[#Headers],[Unknown]:[Heavy_SW]],MATCH(1,vp.data[[#This Row],[Unknown]:[Heavy_SW]],0))</f>
        <v>Medium_LSB</v>
      </c>
      <c r="AH1126">
        <f>INDEX([3]!crudeBD.lkup[Number],MATCH(vp.data[[#This Row],[Crude_Breakdown]],crudeBD.lkup[Crude Breakdown],0))</f>
        <v>3</v>
      </c>
      <c r="AI1126">
        <f>MONTH(vp.data[[#This Row],[SDate]])</f>
        <v>3</v>
      </c>
      <c r="AJ1126" s="5">
        <f>(vp.data[[#This Row],[VP]]-INDEX(crudeBD.lkup[Mean_VP],MATCH(vp.data[[#This Row],[Crude_Breakdown]],crudeBD.lkup[Crude Breakdown],0)))^2</f>
        <v>300.66438285394378</v>
      </c>
      <c r="AK1126" s="5">
        <f>(vp.data[[#This Row],[Dens]]-INDEX(crudeBD.lkup[Mean_Dens],MATCH(vp.data[[#This Row],[Crude_Breakdown]],crudeBD.lkup[Crude Breakdown],0)))^2</f>
        <v>89.870400000008971</v>
      </c>
      <c r="AL1126" s="5">
        <f>(vp.data[[#This Row],[Sulf]]-INDEX(crudeBD.lkup[Mean_Sulf],MATCH(vp.data[[#This Row],[Crude_Breakdown]],crudeBD.lkup[Crude Breakdown],0)))^2</f>
        <v>6.0476023315882729E-4</v>
      </c>
      <c r="AM1126" s="4">
        <f>IF(AND(vp.data[[#This Row],[SDate]]&gt;=DATE(YEAR(vp.data[[#This Row],[SDate]]),5,1),vp.data[[#This Row],[SDate]]&lt;=DATE(YEAR(vp.data[[#This Row],[SDate]]),9,15)),1,0)</f>
        <v>0</v>
      </c>
      <c r="AN1126" s="4">
        <f>IF(vp.data[[#This Row],[SDate]]&lt;DATE(2016,12,1),0,1)</f>
        <v>1</v>
      </c>
      <c r="AO1126" s="4">
        <f>IFERROR(vp.data[[#This Row],[Sulf]]*vp.data[[#This Row],[Net Dens]],"")</f>
        <v>5840957.5371599998</v>
      </c>
      <c r="AP1126">
        <f>IFERROR(vp.data[[#This Row],[Dens]]*vp.data[[#This Row],[VolumeM3]],"")</f>
        <v>4142523.0760000004</v>
      </c>
      <c r="AQ1126" s="15">
        <f>IFERROR(vp.data[[#This Row],[VP]]*vp.data[[#This Row],[VolumeM3]],"")</f>
        <v>307267.06200000003</v>
      </c>
    </row>
    <row r="1127" spans="1:43" x14ac:dyDescent="0.25">
      <c r="A1127">
        <v>1126</v>
      </c>
      <c r="B1127" t="s">
        <v>68</v>
      </c>
      <c r="C1127" t="s">
        <v>68</v>
      </c>
      <c r="D1127" t="s">
        <v>69</v>
      </c>
      <c r="F1127" s="1">
        <v>42822</v>
      </c>
      <c r="G1127" s="2">
        <v>72.400000000000006</v>
      </c>
      <c r="H1127" s="2"/>
      <c r="I1127" s="2">
        <f t="array" ref="I1127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1127" s="2">
        <v>16.100000000000001</v>
      </c>
      <c r="K1127" s="2">
        <v>12</v>
      </c>
      <c r="L1127" s="2">
        <v>861.1</v>
      </c>
      <c r="M1127" s="2">
        <f t="array" ref="M1127">_xlfn.IFNA(IF(vp.data[[#This Row],[Dens Input]]="",INDEX([1]DATA!$O$3:$O$9826,MATCH(1,(vp.data[[#This Row],[Battery]]=[1]DATA!$L$3:$L$9826)*(EOMONTH(vp.data[[#This Row],[SDate]],-1)+1=[1]DATA!$G$3:$G$9826),0)),vp.data[[#This Row],[Dens Input]]),"")</f>
        <v>861.1</v>
      </c>
      <c r="N1127" s="2">
        <f ca="1">INDEX(INDIRECT(_xlfn.CONCAT("weather.tbl[",N$1,"]")),MATCH(vp.data[[#This Row],[SDate]],weather.tbl[Date],0))</f>
        <v>1.5833333333333333</v>
      </c>
      <c r="O1127" s="2">
        <f ca="1">INDEX(INDIRECT(_xlfn.CONCAT("weather.tbl[",O$1,"]")),MATCH(vp.data[[#This Row],[SDate]],weather.tbl[Date],0))</f>
        <v>0.72619047619047616</v>
      </c>
      <c r="P1127" s="2">
        <f ca="1">INDEX(INDIRECT(_xlfn.CONCAT("weather.tbl[",P$1,"]")),MATCH(vp.data[[#This Row],[SDate]],weather.tbl[Date],0))</f>
        <v>2</v>
      </c>
      <c r="Q1127" s="2">
        <f ca="1">INDEX(INDIRECT(_xlfn.CONCAT("weather.tbl[",Q$1,"]")),MATCH(vp.data[[#This Row],[SDate]],weather.tbl[Date],0))</f>
        <v>2.1</v>
      </c>
      <c r="R1127" s="2">
        <f ca="1">INDEX(INDIRECT(_xlfn.CONCAT("weather.tbl[",R$1,"]")),MATCH(vp.data[[#This Row],[SDate]],weather.tbl[Date],0))</f>
        <v>1.3</v>
      </c>
      <c r="S1127" s="2">
        <f ca="1">INDEX(INDIRECT(_xlfn.CONCAT("weather.tbl[",S$1,"]")),MATCH(vp.data[[#This Row],[SDate]],weather.tbl[Date],0))</f>
        <v>1.8</v>
      </c>
      <c r="T1127" s="2">
        <f ca="1">INDEX(INDIRECT(_xlfn.CONCAT("weather.tbl[",T$1,"]")),MATCH(vp.data[[#This Row],[SDate]],weather.tbl[Date],0))</f>
        <v>1</v>
      </c>
      <c r="U1127" s="2">
        <f ca="1">INDEX(INDIRECT(_xlfn.CONCAT("weather.tbl[",U$1,"]")),MATCH(vp.data[[#This Row],[SDate]],weather.tbl[Date],0))</f>
        <v>1.3</v>
      </c>
      <c r="V1127" s="2">
        <f t="array" ref="V11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1425.6389999999999</v>
      </c>
      <c r="W1127" t="s">
        <v>48</v>
      </c>
      <c r="X1127">
        <f>IF(OR(vp.data[[#This Row],[Sulf]]="",vp.data[[#This Row],[Dens]]=""),1,0)</f>
        <v>0</v>
      </c>
      <c r="Y1127">
        <f>IF(vp.data[[#This Row],[CrudeType]]="C5+",1,0)</f>
        <v>0</v>
      </c>
      <c r="Z1127">
        <f>IF(AND(vp.data[[#This Row],[CrudeType]]="Crude",vp.data[[#This Row],[Dens]]&lt;=825,vp.data[[#This Row],[Sulf]]&gt;0.5,vp.data[[#This Row],[Unknown]]=0),1,0)</f>
        <v>0</v>
      </c>
      <c r="AA1127">
        <f>IF(AND(vp.data[[#This Row],[CrudeType]]="Crude",vp.data[[#This Row],[Dens]]&lt;=825,vp.data[[#This Row],[Sulf]]&lt;=0.5,vp.data[[#This Row],[Unknown]]=0),1,0)</f>
        <v>0</v>
      </c>
      <c r="AB11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7">
        <f>IF(AND(vp.data[[#This Row],[CrudeType]]="Crude",vp.data[[#This Row],[Dens]]&gt;825,vp.data[[#This Row],[Dens]]&lt;=900,vp.data[[#This Row],[Sulf]]&lt;=0.5,vp.data[[#This Row],[Unknown]]=0),1,0)</f>
        <v>0</v>
      </c>
      <c r="AD1127">
        <f>IF(AND(vp.data[[#This Row],[CrudeType]]="Crude",vp.data[[#This Row],[Dens]]&gt;865,vp.data[[#This Row],[Dens]]&lt;=900,vp.data[[#This Row],[Sulf]]&gt;2,vp.data[[#This Row],[Unknown]]=0),1,0)</f>
        <v>0</v>
      </c>
      <c r="AE1127">
        <f>IF(AND(vp.data[[#This Row],[CrudeType]]="Crude",vp.data[[#This Row],[Dens]]&gt;900,vp.data[[#This Row],[Sulf]]&lt;=0.5,vp.data[[#This Row],[Unknown]]=0),1,0)</f>
        <v>0</v>
      </c>
      <c r="AF1127">
        <f>IF(AND(vp.data[[#This Row],[CrudeType]]="Crude",vp.data[[#This Row],[Dens]]&gt;900,vp.data[[#This Row],[Sulf]]&lt;=0.5,vp.data[[#This Row],[Unknown]]=0),1,0)</f>
        <v>0</v>
      </c>
      <c r="AG1127" t="str">
        <f>INDEX(vp.data[[#Headers],[Unknown]:[Heavy_SW]],MATCH(1,vp.data[[#This Row],[Unknown]:[Heavy_SW]],0))</f>
        <v>Medium_LSB</v>
      </c>
      <c r="AH1127">
        <f>INDEX([3]!crudeBD.lkup[Number],MATCH(vp.data[[#This Row],[Crude_Breakdown]],crudeBD.lkup[Crude Breakdown],0))</f>
        <v>3</v>
      </c>
      <c r="AI1127">
        <f>MONTH(vp.data[[#This Row],[SDate]])</f>
        <v>3</v>
      </c>
      <c r="AJ1127" s="5">
        <f>(vp.data[[#This Row],[VP]]-INDEX(crudeBD.lkup[Mean_VP],MATCH(vp.data[[#This Row],[Crude_Breakdown]],crudeBD.lkup[Crude Breakdown],0)))^2</f>
        <v>67.892269646397693</v>
      </c>
      <c r="AK1127" s="5">
        <f>(vp.data[[#This Row],[Dens]]-INDEX(crudeBD.lkup[Mean_Dens],MATCH(vp.data[[#This Row],[Crude_Breakdown]],crudeBD.lkup[Crude Breakdown],0)))^2</f>
        <v>295.15240000001779</v>
      </c>
      <c r="AL1127" s="5">
        <f>(vp.data[[#This Row],[Sulf]]-INDEX(crudeBD.lkup[Mean_Sulf],MATCH(vp.data[[#This Row],[Crude_Breakdown]],crudeBD.lkup[Crude Breakdown],0)))^2</f>
        <v>9.8968046756068975E-2</v>
      </c>
      <c r="AM1127" s="4">
        <f>IF(AND(vp.data[[#This Row],[SDate]]&gt;=DATE(YEAR(vp.data[[#This Row],[SDate]]),5,1),vp.data[[#This Row],[SDate]]&lt;=DATE(YEAR(vp.data[[#This Row],[SDate]]),9,15)),1,0)</f>
        <v>0</v>
      </c>
      <c r="AN1127" s="4">
        <f>IF(vp.data[[#This Row],[SDate]]&lt;DATE(2016,12,1),0,1)</f>
        <v>1</v>
      </c>
      <c r="AO1127" s="4">
        <f>IFERROR(vp.data[[#This Row],[Sulf]]*vp.data[[#This Row],[Net Dens]],"")</f>
        <v>2086950.1629299999</v>
      </c>
      <c r="AP1127">
        <f>IFERROR(vp.data[[#This Row],[Dens]]*vp.data[[#This Row],[VolumeM3]],"")</f>
        <v>1227617.7429</v>
      </c>
      <c r="AQ1127" s="15">
        <f>IFERROR(vp.data[[#This Row],[VP]]*vp.data[[#This Row],[VolumeM3]],"")</f>
        <v>103216.26360000001</v>
      </c>
    </row>
    <row r="1128" spans="1:43" x14ac:dyDescent="0.25">
      <c r="A1128">
        <v>1127</v>
      </c>
      <c r="B1128" t="s">
        <v>64</v>
      </c>
      <c r="C1128" t="s">
        <v>64</v>
      </c>
      <c r="D1128" t="s">
        <v>65</v>
      </c>
      <c r="F1128" s="1">
        <v>42822</v>
      </c>
      <c r="G1128" s="2">
        <v>50</v>
      </c>
      <c r="H1128" s="2"/>
      <c r="I1128" s="2">
        <f t="array" ref="I1128">_xlfn.IFNA(IF(vp.data[[#This Row],[Sulf Input]]="",INDEX([1]DATA!$Q$3:$Q$9826,MATCH(1,(vp.data[[#This Row],[Battery]]=[1]DATA!$L$3:$L$9826)*(EOMONTH(vp.data[[#This Row],[SDate]],-1)+1=[1]DATA!$G$3:$G$9826),0)),vp.data[[#This Row],[Sulf Input]]),"")</f>
        <v>2.09</v>
      </c>
      <c r="J1128" s="2">
        <v>30.3</v>
      </c>
      <c r="K1128" s="2">
        <v>12</v>
      </c>
      <c r="L1128" s="2">
        <v>875.7</v>
      </c>
      <c r="M1128" s="2">
        <f t="array" ref="M1128">_xlfn.IFNA(IF(vp.data[[#This Row],[Dens Input]]="",INDEX([1]DATA!$O$3:$O$9826,MATCH(1,(vp.data[[#This Row],[Battery]]=[1]DATA!$L$3:$L$9826)*(EOMONTH(vp.data[[#This Row],[SDate]],-1)+1=[1]DATA!$G$3:$G$9826),0)),vp.data[[#This Row],[Dens Input]]),"")</f>
        <v>875.7</v>
      </c>
      <c r="N1128" s="2">
        <f ca="1">INDEX(INDIRECT(_xlfn.CONCAT("weather.tbl[",N$1,"]")),MATCH(vp.data[[#This Row],[SDate]],weather.tbl[Date],0))</f>
        <v>1.5833333333333333</v>
      </c>
      <c r="O1128" s="2">
        <f ca="1">INDEX(INDIRECT(_xlfn.CONCAT("weather.tbl[",O$1,"]")),MATCH(vp.data[[#This Row],[SDate]],weather.tbl[Date],0))</f>
        <v>0.72619047619047616</v>
      </c>
      <c r="P1128" s="2">
        <f ca="1">INDEX(INDIRECT(_xlfn.CONCAT("weather.tbl[",P$1,"]")),MATCH(vp.data[[#This Row],[SDate]],weather.tbl[Date],0))</f>
        <v>2</v>
      </c>
      <c r="Q1128" s="2">
        <f ca="1">INDEX(INDIRECT(_xlfn.CONCAT("weather.tbl[",Q$1,"]")),MATCH(vp.data[[#This Row],[SDate]],weather.tbl[Date],0))</f>
        <v>2.1</v>
      </c>
      <c r="R1128" s="2">
        <f ca="1">INDEX(INDIRECT(_xlfn.CONCAT("weather.tbl[",R$1,"]")),MATCH(vp.data[[#This Row],[SDate]],weather.tbl[Date],0))</f>
        <v>1.3</v>
      </c>
      <c r="S1128" s="2">
        <f ca="1">INDEX(INDIRECT(_xlfn.CONCAT("weather.tbl[",S$1,"]")),MATCH(vp.data[[#This Row],[SDate]],weather.tbl[Date],0))</f>
        <v>1.8</v>
      </c>
      <c r="T1128" s="2">
        <f ca="1">INDEX(INDIRECT(_xlfn.CONCAT("weather.tbl[",T$1,"]")),MATCH(vp.data[[#This Row],[SDate]],weather.tbl[Date],0))</f>
        <v>1</v>
      </c>
      <c r="U1128" s="2">
        <f ca="1">INDEX(INDIRECT(_xlfn.CONCAT("weather.tbl[",U$1,"]")),MATCH(vp.data[[#This Row],[SDate]],weather.tbl[Date],0))</f>
        <v>1.3</v>
      </c>
      <c r="V1128" s="2">
        <f t="array" ref="V11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22323.207999999999</v>
      </c>
      <c r="W1128" t="s">
        <v>48</v>
      </c>
      <c r="X1128">
        <f>IF(OR(vp.data[[#This Row],[Sulf]]="",vp.data[[#This Row],[Dens]]=""),1,0)</f>
        <v>0</v>
      </c>
      <c r="Y1128">
        <f>IF(vp.data[[#This Row],[CrudeType]]="C5+",1,0)</f>
        <v>0</v>
      </c>
      <c r="Z1128">
        <f>IF(AND(vp.data[[#This Row],[CrudeType]]="Crude",vp.data[[#This Row],[Dens]]&lt;=825,vp.data[[#This Row],[Sulf]]&gt;0.5,vp.data[[#This Row],[Unknown]]=0),1,0)</f>
        <v>0</v>
      </c>
      <c r="AA1128">
        <f>IF(AND(vp.data[[#This Row],[CrudeType]]="Crude",vp.data[[#This Row],[Dens]]&lt;=825,vp.data[[#This Row],[Sulf]]&lt;=0.5,vp.data[[#This Row],[Unknown]]=0),1,0)</f>
        <v>0</v>
      </c>
      <c r="AB11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28">
        <f>IF(AND(vp.data[[#This Row],[CrudeType]]="Crude",vp.data[[#This Row],[Dens]]&gt;825,vp.data[[#This Row],[Dens]]&lt;=900,vp.data[[#This Row],[Sulf]]&lt;=0.5,vp.data[[#This Row],[Unknown]]=0),1,0)</f>
        <v>0</v>
      </c>
      <c r="AD1128">
        <f>IF(AND(vp.data[[#This Row],[CrudeType]]="Crude",vp.data[[#This Row],[Dens]]&gt;865,vp.data[[#This Row],[Dens]]&lt;=900,vp.data[[#This Row],[Sulf]]&gt;2,vp.data[[#This Row],[Unknown]]=0),1,0)</f>
        <v>1</v>
      </c>
      <c r="AE1128">
        <f>IF(AND(vp.data[[#This Row],[CrudeType]]="Crude",vp.data[[#This Row],[Dens]]&gt;900,vp.data[[#This Row],[Sulf]]&lt;=0.5,vp.data[[#This Row],[Unknown]]=0),1,0)</f>
        <v>0</v>
      </c>
      <c r="AF1128">
        <f>IF(AND(vp.data[[#This Row],[CrudeType]]="Crude",vp.data[[#This Row],[Dens]]&gt;900,vp.data[[#This Row],[Sulf]]&lt;=0.5,vp.data[[#This Row],[Unknown]]=0),1,0)</f>
        <v>0</v>
      </c>
      <c r="AG1128" t="str">
        <f>INDEX(vp.data[[#Headers],[Unknown]:[Heavy_SW]],MATCH(1,vp.data[[#This Row],[Unknown]:[Heavy_SW]],0))</f>
        <v>Midale</v>
      </c>
      <c r="AH1128">
        <f>INDEX([3]!crudeBD.lkup[Number],MATCH(vp.data[[#This Row],[Crude_Breakdown]],crudeBD.lkup[Crude Breakdown],0))</f>
        <v>5</v>
      </c>
      <c r="AI1128">
        <f>MONTH(vp.data[[#This Row],[SDate]])</f>
        <v>3</v>
      </c>
      <c r="AJ1128" s="5">
        <f>(vp.data[[#This Row],[VP]]-INDEX(crudeBD.lkup[Mean_VP],MATCH(vp.data[[#This Row],[Crude_Breakdown]],crudeBD.lkup[Crude Breakdown],0)))^2</f>
        <v>376.70007678818274</v>
      </c>
      <c r="AK1128" s="5">
        <f>(vp.data[[#This Row],[Dens]]-INDEX(crudeBD.lkup[Mean_Dens],MATCH(vp.data[[#This Row],[Crude_Breakdown]],crudeBD.lkup[Crude Breakdown],0)))^2</f>
        <v>0.77967079392025218</v>
      </c>
      <c r="AL1128" s="5">
        <f>(vp.data[[#This Row],[Sulf]]-INDEX(crudeBD.lkup[Mean_Sulf],MATCH(vp.data[[#This Row],[Crude_Breakdown]],crudeBD.lkup[Crude Breakdown],0)))^2</f>
        <v>0.12504396923202166</v>
      </c>
      <c r="AM1128" s="4">
        <f>IF(AND(vp.data[[#This Row],[SDate]]&gt;=DATE(YEAR(vp.data[[#This Row],[SDate]]),5,1),vp.data[[#This Row],[SDate]]&lt;=DATE(YEAR(vp.data[[#This Row],[SDate]]),9,15)),1,0)</f>
        <v>0</v>
      </c>
      <c r="AN1128" s="4">
        <f>IF(vp.data[[#This Row],[SDate]]&lt;DATE(2016,12,1),0,1)</f>
        <v>1</v>
      </c>
      <c r="AO1128" s="4">
        <f>IFERROR(vp.data[[#This Row],[Sulf]]*vp.data[[#This Row],[Net Dens]],"")</f>
        <v>40856225.483303994</v>
      </c>
      <c r="AP1128">
        <f>IFERROR(vp.data[[#This Row],[Dens]]*vp.data[[#This Row],[VolumeM3]],"")</f>
        <v>19548433.2456</v>
      </c>
      <c r="AQ1128" s="15">
        <f>IFERROR(vp.data[[#This Row],[VP]]*vp.data[[#This Row],[VolumeM3]],"")</f>
        <v>1116160.3999999999</v>
      </c>
    </row>
    <row r="1129" spans="1:43" x14ac:dyDescent="0.25">
      <c r="A1129">
        <v>1128</v>
      </c>
      <c r="B1129" t="s">
        <v>53</v>
      </c>
      <c r="C1129" t="s">
        <v>53</v>
      </c>
      <c r="D1129" t="s">
        <v>54</v>
      </c>
      <c r="E1129" t="s">
        <v>73</v>
      </c>
      <c r="F1129" s="1">
        <v>42823</v>
      </c>
      <c r="G1129" s="2">
        <v>80.8</v>
      </c>
      <c r="H1129" s="2"/>
      <c r="I1129" s="2">
        <f t="array" ref="I1129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129" s="2">
        <v>4.2</v>
      </c>
      <c r="K1129" s="2">
        <v>16</v>
      </c>
      <c r="L1129" s="2">
        <v>831.8</v>
      </c>
      <c r="M1129" s="2">
        <f t="array" ref="M1129">_xlfn.IFNA(IF(vp.data[[#This Row],[Dens Input]]="",INDEX([1]DATA!$O$3:$O$9826,MATCH(1,(vp.data[[#This Row],[Battery]]=[1]DATA!$L$3:$L$9826)*(EOMONTH(vp.data[[#This Row],[SDate]],-1)+1=[1]DATA!$G$3:$G$9826),0)),vp.data[[#This Row],[Dens Input]]),"")</f>
        <v>831.8</v>
      </c>
      <c r="N1129" s="2">
        <f ca="1">INDEX(INDIRECT(_xlfn.CONCAT("weather.tbl[",N$1,"]")),MATCH(vp.data[[#This Row],[SDate]],weather.tbl[Date],0))</f>
        <v>6.7666666666666666</v>
      </c>
      <c r="O1129" s="2">
        <f ca="1">INDEX(INDIRECT(_xlfn.CONCAT("weather.tbl[",O$1,"]")),MATCH(vp.data[[#This Row],[SDate]],weather.tbl[Date],0))</f>
        <v>2.3880952380952385</v>
      </c>
      <c r="P1129" s="2">
        <f ca="1">INDEX(INDIRECT(_xlfn.CONCAT("weather.tbl[",P$1,"]")),MATCH(vp.data[[#This Row],[SDate]],weather.tbl[Date],0))</f>
        <v>6.7</v>
      </c>
      <c r="Q1129" s="2">
        <f ca="1">INDEX(INDIRECT(_xlfn.CONCAT("weather.tbl[",Q$1,"]")),MATCH(vp.data[[#This Row],[SDate]],weather.tbl[Date],0))</f>
        <v>7.9</v>
      </c>
      <c r="R1129" s="2">
        <f ca="1">INDEX(INDIRECT(_xlfn.CONCAT("weather.tbl[",R$1,"]")),MATCH(vp.data[[#This Row],[SDate]],weather.tbl[Date],0))</f>
        <v>5.5</v>
      </c>
      <c r="S1129" s="2">
        <f ca="1">INDEX(INDIRECT(_xlfn.CONCAT("weather.tbl[",S$1,"]")),MATCH(vp.data[[#This Row],[SDate]],weather.tbl[Date],0))</f>
        <v>8.8000000000000007</v>
      </c>
      <c r="T1129" s="2">
        <f ca="1">INDEX(INDIRECT(_xlfn.CONCAT("weather.tbl[",T$1,"]")),MATCH(vp.data[[#This Row],[SDate]],weather.tbl[Date],0))</f>
        <v>4.7</v>
      </c>
      <c r="U1129" s="2">
        <f ca="1">INDEX(INDIRECT(_xlfn.CONCAT("weather.tbl[",U$1,"]")),MATCH(vp.data[[#This Row],[SDate]],weather.tbl[Date],0))</f>
        <v>7</v>
      </c>
      <c r="V1129" s="2">
        <f t="array" ref="V11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1129" t="s">
        <v>48</v>
      </c>
      <c r="X1129">
        <f>IF(OR(vp.data[[#This Row],[Sulf]]="",vp.data[[#This Row],[Dens]]=""),1,0)</f>
        <v>0</v>
      </c>
      <c r="Y1129">
        <f>IF(vp.data[[#This Row],[CrudeType]]="C5+",1,0)</f>
        <v>0</v>
      </c>
      <c r="Z1129">
        <f>IF(AND(vp.data[[#This Row],[CrudeType]]="Crude",vp.data[[#This Row],[Dens]]&lt;=825,vp.data[[#This Row],[Sulf]]&gt;0.5,vp.data[[#This Row],[Unknown]]=0),1,0)</f>
        <v>0</v>
      </c>
      <c r="AA1129">
        <f>IF(AND(vp.data[[#This Row],[CrudeType]]="Crude",vp.data[[#This Row],[Dens]]&lt;=825,vp.data[[#This Row],[Sulf]]&lt;=0.5,vp.data[[#This Row],[Unknown]]=0),1,0)</f>
        <v>0</v>
      </c>
      <c r="AB11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29">
        <f>IF(AND(vp.data[[#This Row],[CrudeType]]="Crude",vp.data[[#This Row],[Dens]]&gt;825,vp.data[[#This Row],[Dens]]&lt;=900,vp.data[[#This Row],[Sulf]]&lt;=0.5,vp.data[[#This Row],[Unknown]]=0),1,0)</f>
        <v>0</v>
      </c>
      <c r="AD1129">
        <f>IF(AND(vp.data[[#This Row],[CrudeType]]="Crude",vp.data[[#This Row],[Dens]]&gt;865,vp.data[[#This Row],[Dens]]&lt;=900,vp.data[[#This Row],[Sulf]]&gt;2,vp.data[[#This Row],[Unknown]]=0),1,0)</f>
        <v>0</v>
      </c>
      <c r="AE1129">
        <f>IF(AND(vp.data[[#This Row],[CrudeType]]="Crude",vp.data[[#This Row],[Dens]]&gt;900,vp.data[[#This Row],[Sulf]]&lt;=0.5,vp.data[[#This Row],[Unknown]]=0),1,0)</f>
        <v>0</v>
      </c>
      <c r="AF1129">
        <f>IF(AND(vp.data[[#This Row],[CrudeType]]="Crude",vp.data[[#This Row],[Dens]]&gt;900,vp.data[[#This Row],[Sulf]]&lt;=0.5,vp.data[[#This Row],[Unknown]]=0),1,0)</f>
        <v>0</v>
      </c>
      <c r="AG1129" t="str">
        <f>INDEX(vp.data[[#Headers],[Unknown]:[Heavy_SW]],MATCH(1,vp.data[[#This Row],[Unknown]:[Heavy_SW]],0))</f>
        <v>Medium_LSB</v>
      </c>
      <c r="AH1129">
        <f>INDEX([3]!crudeBD.lkup[Number],MATCH(vp.data[[#This Row],[Crude_Breakdown]],crudeBD.lkup[Crude Breakdown],0))</f>
        <v>3</v>
      </c>
      <c r="AI1129">
        <f>MONTH(vp.data[[#This Row],[SDate]])</f>
        <v>3</v>
      </c>
      <c r="AJ1129" s="5">
        <f>(vp.data[[#This Row],[VP]]-INDEX(crudeBD.lkup[Mean_VP],MATCH(vp.data[[#This Row],[Crude_Breakdown]],crudeBD.lkup[Crude Breakdown],0)))^2</f>
        <v>2.5703608663138405E-2</v>
      </c>
      <c r="AK1129" s="5">
        <f>(vp.data[[#This Row],[Dens]]-INDEX(crudeBD.lkup[Mean_Dens],MATCH(vp.data[[#This Row],[Crude_Breakdown]],crudeBD.lkup[Crude Breakdown],0)))^2</f>
        <v>146.89439999998908</v>
      </c>
      <c r="AL1129" s="5">
        <f>(vp.data[[#This Row],[Sulf]]-INDEX(crudeBD.lkup[Mean_Sulf],MATCH(vp.data[[#This Row],[Crude_Breakdown]],crudeBD.lkup[Crude Breakdown],0)))^2</f>
        <v>4.2782230363935985E-3</v>
      </c>
      <c r="AM1129" s="4">
        <f>IF(AND(vp.data[[#This Row],[SDate]]&gt;=DATE(YEAR(vp.data[[#This Row],[SDate]]),5,1),vp.data[[#This Row],[SDate]]&lt;=DATE(YEAR(vp.data[[#This Row],[SDate]]),9,15)),1,0)</f>
        <v>0</v>
      </c>
      <c r="AN1129" s="4">
        <f>IF(vp.data[[#This Row],[SDate]]&lt;DATE(2016,12,1),0,1)</f>
        <v>1</v>
      </c>
      <c r="AO1129" s="4">
        <f>IFERROR(vp.data[[#This Row],[Sulf]]*vp.data[[#This Row],[Net Dens]],"")</f>
        <v>9998955.6068160012</v>
      </c>
      <c r="AP1129">
        <f>IFERROR(vp.data[[#This Row],[Dens]]*vp.data[[#This Row],[VolumeM3]],"")</f>
        <v>7574966.3688000003</v>
      </c>
      <c r="AQ1129" s="15">
        <f>IFERROR(vp.data[[#This Row],[VP]]*vp.data[[#This Row],[VolumeM3]],"")</f>
        <v>735822.65280000004</v>
      </c>
    </row>
    <row r="1130" spans="1:43" x14ac:dyDescent="0.25">
      <c r="A1130">
        <v>1129</v>
      </c>
      <c r="B1130" t="s">
        <v>49</v>
      </c>
      <c r="C1130" t="s">
        <v>49</v>
      </c>
      <c r="D1130" t="s">
        <v>78</v>
      </c>
      <c r="F1130" s="1">
        <v>42823</v>
      </c>
      <c r="G1130" s="2">
        <v>91.5</v>
      </c>
      <c r="H1130" s="2">
        <v>0.22</v>
      </c>
      <c r="I1130" s="2">
        <f t="array" ref="I1130">_xlfn.IFNA(IF(vp.data[[#This Row],[Sulf Input]]="",INDEX([1]DATA!$Q$3:$Q$9826,MATCH(1,(vp.data[[#This Row],[Battery]]=[1]DATA!$L$3:$L$9826)*(EOMONTH(vp.data[[#This Row],[SDate]],-1)+1=[1]DATA!$G$3:$G$9826),0)),vp.data[[#This Row],[Sulf Input]]),"")</f>
        <v>0.22</v>
      </c>
      <c r="J1130" s="2">
        <v>14.2</v>
      </c>
      <c r="K1130" s="2">
        <v>16</v>
      </c>
      <c r="L1130" s="2">
        <v>843.7</v>
      </c>
      <c r="M1130" s="2">
        <f t="array" ref="M1130">_xlfn.IFNA(IF(vp.data[[#This Row],[Dens Input]]="",INDEX([1]DATA!$O$3:$O$9826,MATCH(1,(vp.data[[#This Row],[Battery]]=[1]DATA!$L$3:$L$9826)*(EOMONTH(vp.data[[#This Row],[SDate]],-1)+1=[1]DATA!$G$3:$G$9826),0)),vp.data[[#This Row],[Dens Input]]),"")</f>
        <v>843.7</v>
      </c>
      <c r="N1130" s="2">
        <f ca="1">INDEX(INDIRECT(_xlfn.CONCAT("weather.tbl[",N$1,"]")),MATCH(vp.data[[#This Row],[SDate]],weather.tbl[Date],0))</f>
        <v>6.7666666666666666</v>
      </c>
      <c r="O1130" s="2">
        <f ca="1">INDEX(INDIRECT(_xlfn.CONCAT("weather.tbl[",O$1,"]")),MATCH(vp.data[[#This Row],[SDate]],weather.tbl[Date],0))</f>
        <v>2.3880952380952385</v>
      </c>
      <c r="P1130" s="2">
        <f ca="1">INDEX(INDIRECT(_xlfn.CONCAT("weather.tbl[",P$1,"]")),MATCH(vp.data[[#This Row],[SDate]],weather.tbl[Date],0))</f>
        <v>6.7</v>
      </c>
      <c r="Q1130" s="2">
        <f ca="1">INDEX(INDIRECT(_xlfn.CONCAT("weather.tbl[",Q$1,"]")),MATCH(vp.data[[#This Row],[SDate]],weather.tbl[Date],0))</f>
        <v>7.9</v>
      </c>
      <c r="R1130" s="2">
        <f ca="1">INDEX(INDIRECT(_xlfn.CONCAT("weather.tbl[",R$1,"]")),MATCH(vp.data[[#This Row],[SDate]],weather.tbl[Date],0))</f>
        <v>5.5</v>
      </c>
      <c r="S1130" s="2">
        <f ca="1">INDEX(INDIRECT(_xlfn.CONCAT("weather.tbl[",S$1,"]")),MATCH(vp.data[[#This Row],[SDate]],weather.tbl[Date],0))</f>
        <v>8.8000000000000007</v>
      </c>
      <c r="T1130" s="2">
        <f ca="1">INDEX(INDIRECT(_xlfn.CONCAT("weather.tbl[",T$1,"]")),MATCH(vp.data[[#This Row],[SDate]],weather.tbl[Date],0))</f>
        <v>4.7</v>
      </c>
      <c r="U1130" s="2">
        <f ca="1">INDEX(INDIRECT(_xlfn.CONCAT("weather.tbl[",U$1,"]")),MATCH(vp.data[[#This Row],[SDate]],weather.tbl[Date],0))</f>
        <v>7</v>
      </c>
      <c r="V1130" s="2">
        <f t="array" ref="V11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19019.342000000001</v>
      </c>
      <c r="W1130" t="s">
        <v>48</v>
      </c>
      <c r="X1130">
        <f>IF(OR(vp.data[[#This Row],[Sulf]]="",vp.data[[#This Row],[Dens]]=""),1,0)</f>
        <v>0</v>
      </c>
      <c r="Y1130">
        <f>IF(vp.data[[#This Row],[CrudeType]]="C5+",1,0)</f>
        <v>0</v>
      </c>
      <c r="Z1130">
        <f>IF(AND(vp.data[[#This Row],[CrudeType]]="Crude",vp.data[[#This Row],[Dens]]&lt;=825,vp.data[[#This Row],[Sulf]]&gt;0.5,vp.data[[#This Row],[Unknown]]=0),1,0)</f>
        <v>0</v>
      </c>
      <c r="AA1130">
        <f>IF(AND(vp.data[[#This Row],[CrudeType]]="Crude",vp.data[[#This Row],[Dens]]&lt;=825,vp.data[[#This Row],[Sulf]]&lt;=0.5,vp.data[[#This Row],[Unknown]]=0),1,0)</f>
        <v>0</v>
      </c>
      <c r="AB11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0">
        <f>IF(AND(vp.data[[#This Row],[CrudeType]]="Crude",vp.data[[#This Row],[Dens]]&gt;825,vp.data[[#This Row],[Dens]]&lt;=900,vp.data[[#This Row],[Sulf]]&lt;=0.5,vp.data[[#This Row],[Unknown]]=0),1,0)</f>
        <v>1</v>
      </c>
      <c r="AD1130">
        <f>IF(AND(vp.data[[#This Row],[CrudeType]]="Crude",vp.data[[#This Row],[Dens]]&gt;865,vp.data[[#This Row],[Dens]]&lt;=900,vp.data[[#This Row],[Sulf]]&gt;2,vp.data[[#This Row],[Unknown]]=0),1,0)</f>
        <v>0</v>
      </c>
      <c r="AE1130">
        <f>IF(AND(vp.data[[#This Row],[CrudeType]]="Crude",vp.data[[#This Row],[Dens]]&gt;900,vp.data[[#This Row],[Sulf]]&lt;=0.5,vp.data[[#This Row],[Unknown]]=0),1,0)</f>
        <v>0</v>
      </c>
      <c r="AF1130">
        <f>IF(AND(vp.data[[#This Row],[CrudeType]]="Crude",vp.data[[#This Row],[Dens]]&gt;900,vp.data[[#This Row],[Sulf]]&lt;=0.5,vp.data[[#This Row],[Unknown]]=0),1,0)</f>
        <v>0</v>
      </c>
      <c r="AG1130" t="str">
        <f>INDEX(vp.data[[#Headers],[Unknown]:[Heavy_SW]],MATCH(1,vp.data[[#This Row],[Unknown]:[Heavy_SW]],0))</f>
        <v>Medium_SW</v>
      </c>
      <c r="AH1130">
        <f>INDEX([3]!crudeBD.lkup[Number],MATCH(vp.data[[#This Row],[Crude_Breakdown]],crudeBD.lkup[Crude Breakdown],0))</f>
        <v>4</v>
      </c>
      <c r="AI1130">
        <f>MONTH(vp.data[[#This Row],[SDate]])</f>
        <v>3</v>
      </c>
      <c r="AJ1130" s="5">
        <f>(vp.data[[#This Row],[VP]]-INDEX(crudeBD.lkup[Mean_VP],MATCH(vp.data[[#This Row],[Crude_Breakdown]],crudeBD.lkup[Crude Breakdown],0)))^2</f>
        <v>51.600277777777627</v>
      </c>
      <c r="AK1130" s="5">
        <f>(vp.data[[#This Row],[Dens]]-INDEX(crudeBD.lkup[Mean_Dens],MATCH(vp.data[[#This Row],[Crude_Breakdown]],crudeBD.lkup[Crude Breakdown],0)))^2</f>
        <v>184.9600000000006</v>
      </c>
      <c r="AL1130" s="5">
        <f>(vp.data[[#This Row],[Sulf]]-INDEX(crudeBD.lkup[Mean_Sulf],MATCH(vp.data[[#This Row],[Crude_Breakdown]],crudeBD.lkup[Crude Breakdown],0)))^2</f>
        <v>1.7211296822500007E-3</v>
      </c>
      <c r="AM1130" s="4">
        <f>IF(AND(vp.data[[#This Row],[SDate]]&gt;=DATE(YEAR(vp.data[[#This Row],[SDate]]),5,1),vp.data[[#This Row],[SDate]]&lt;=DATE(YEAR(vp.data[[#This Row],[SDate]]),9,15)),1,0)</f>
        <v>0</v>
      </c>
      <c r="AN1130" s="4">
        <f>IF(vp.data[[#This Row],[SDate]]&lt;DATE(2016,12,1),0,1)</f>
        <v>1</v>
      </c>
      <c r="AO1130" s="4">
        <f>IFERROR(vp.data[[#This Row],[Sulf]]*vp.data[[#This Row],[Net Dens]],"")</f>
        <v>3530256.1459880006</v>
      </c>
      <c r="AP1130">
        <f>IFERROR(vp.data[[#This Row],[Dens]]*vp.data[[#This Row],[VolumeM3]],"")</f>
        <v>16046618.845400002</v>
      </c>
      <c r="AQ1130" s="15">
        <f>IFERROR(vp.data[[#This Row],[VP]]*vp.data[[#This Row],[VolumeM3]],"")</f>
        <v>1740269.7930000001</v>
      </c>
    </row>
    <row r="1131" spans="1:43" x14ac:dyDescent="0.25">
      <c r="A1131">
        <v>1130</v>
      </c>
      <c r="B1131" t="s">
        <v>49</v>
      </c>
      <c r="C1131" t="s">
        <v>49</v>
      </c>
      <c r="D1131" t="s">
        <v>92</v>
      </c>
      <c r="F1131" s="1">
        <v>42823</v>
      </c>
      <c r="G1131" s="2">
        <v>74.599999999999994</v>
      </c>
      <c r="H1131" s="2">
        <v>0.48199999999999998</v>
      </c>
      <c r="I1131" s="2">
        <f t="array" ref="I1131">_xlfn.IFNA(IF(vp.data[[#This Row],[Sulf Input]]="",INDEX([1]DATA!$Q$3:$Q$9826,MATCH(1,(vp.data[[#This Row],[Battery]]=[1]DATA!$L$3:$L$9826)*(EOMONTH(vp.data[[#This Row],[SDate]],-1)+1=[1]DATA!$G$3:$G$9826),0)),vp.data[[#This Row],[Sulf Input]]),"")</f>
        <v>0.48199999999999998</v>
      </c>
      <c r="J1131" s="2">
        <v>27.9</v>
      </c>
      <c r="K1131" s="2">
        <v>16</v>
      </c>
      <c r="L1131" s="2">
        <v>819.9</v>
      </c>
      <c r="M1131" s="2">
        <f t="array" ref="M1131">_xlfn.IFNA(IF(vp.data[[#This Row],[Dens Input]]="",INDEX([1]DATA!$O$3:$O$9826,MATCH(1,(vp.data[[#This Row],[Battery]]=[1]DATA!$L$3:$L$9826)*(EOMONTH(vp.data[[#This Row],[SDate]],-1)+1=[1]DATA!$G$3:$G$9826),0)),vp.data[[#This Row],[Dens Input]]),"")</f>
        <v>819.9</v>
      </c>
      <c r="N1131" s="2">
        <f ca="1">INDEX(INDIRECT(_xlfn.CONCAT("weather.tbl[",N$1,"]")),MATCH(vp.data[[#This Row],[SDate]],weather.tbl[Date],0))</f>
        <v>6.7666666666666666</v>
      </c>
      <c r="O1131" s="2">
        <f ca="1">INDEX(INDIRECT(_xlfn.CONCAT("weather.tbl[",O$1,"]")),MATCH(vp.data[[#This Row],[SDate]],weather.tbl[Date],0))</f>
        <v>2.3880952380952385</v>
      </c>
      <c r="P1131" s="2">
        <f ca="1">INDEX(INDIRECT(_xlfn.CONCAT("weather.tbl[",P$1,"]")),MATCH(vp.data[[#This Row],[SDate]],weather.tbl[Date],0))</f>
        <v>6.7</v>
      </c>
      <c r="Q1131" s="2">
        <f ca="1">INDEX(INDIRECT(_xlfn.CONCAT("weather.tbl[",Q$1,"]")),MATCH(vp.data[[#This Row],[SDate]],weather.tbl[Date],0))</f>
        <v>7.9</v>
      </c>
      <c r="R1131" s="2">
        <f ca="1">INDEX(INDIRECT(_xlfn.CONCAT("weather.tbl[",R$1,"]")),MATCH(vp.data[[#This Row],[SDate]],weather.tbl[Date],0))</f>
        <v>5.5</v>
      </c>
      <c r="S1131" s="2">
        <f ca="1">INDEX(INDIRECT(_xlfn.CONCAT("weather.tbl[",S$1,"]")),MATCH(vp.data[[#This Row],[SDate]],weather.tbl[Date],0))</f>
        <v>8.8000000000000007</v>
      </c>
      <c r="T1131" s="2">
        <f ca="1">INDEX(INDIRECT(_xlfn.CONCAT("weather.tbl[",T$1,"]")),MATCH(vp.data[[#This Row],[SDate]],weather.tbl[Date],0))</f>
        <v>4.7</v>
      </c>
      <c r="U1131" s="2">
        <f ca="1">INDEX(INDIRECT(_xlfn.CONCAT("weather.tbl[",U$1,"]")),MATCH(vp.data[[#This Row],[SDate]],weather.tbl[Date],0))</f>
        <v>7</v>
      </c>
      <c r="V1131" s="2">
        <f t="array" ref="V11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21566.571</v>
      </c>
      <c r="W1131" t="s">
        <v>48</v>
      </c>
      <c r="X1131">
        <f>IF(OR(vp.data[[#This Row],[Sulf]]="",vp.data[[#This Row],[Dens]]=""),1,0)</f>
        <v>0</v>
      </c>
      <c r="Y1131">
        <f>IF(vp.data[[#This Row],[CrudeType]]="C5+",1,0)</f>
        <v>0</v>
      </c>
      <c r="Z1131">
        <f>IF(AND(vp.data[[#This Row],[CrudeType]]="Crude",vp.data[[#This Row],[Dens]]&lt;=825,vp.data[[#This Row],[Sulf]]&gt;0.5,vp.data[[#This Row],[Unknown]]=0),1,0)</f>
        <v>0</v>
      </c>
      <c r="AA1131">
        <f>IF(AND(vp.data[[#This Row],[CrudeType]]="Crude",vp.data[[#This Row],[Dens]]&lt;=825,vp.data[[#This Row],[Sulf]]&lt;=0.5,vp.data[[#This Row],[Unknown]]=0),1,0)</f>
        <v>1</v>
      </c>
      <c r="AB11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1">
        <f>IF(AND(vp.data[[#This Row],[CrudeType]]="Crude",vp.data[[#This Row],[Dens]]&gt;825,vp.data[[#This Row],[Dens]]&lt;=900,vp.data[[#This Row],[Sulf]]&lt;=0.5,vp.data[[#This Row],[Unknown]]=0),1,0)</f>
        <v>0</v>
      </c>
      <c r="AD1131">
        <f>IF(AND(vp.data[[#This Row],[CrudeType]]="Crude",vp.data[[#This Row],[Dens]]&gt;865,vp.data[[#This Row],[Dens]]&lt;=900,vp.data[[#This Row],[Sulf]]&gt;2,vp.data[[#This Row],[Unknown]]=0),1,0)</f>
        <v>0</v>
      </c>
      <c r="AE1131">
        <f>IF(AND(vp.data[[#This Row],[CrudeType]]="Crude",vp.data[[#This Row],[Dens]]&gt;900,vp.data[[#This Row],[Sulf]]&lt;=0.5,vp.data[[#This Row],[Unknown]]=0),1,0)</f>
        <v>0</v>
      </c>
      <c r="AF1131">
        <f>IF(AND(vp.data[[#This Row],[CrudeType]]="Crude",vp.data[[#This Row],[Dens]]&gt;900,vp.data[[#This Row],[Sulf]]&lt;=0.5,vp.data[[#This Row],[Unknown]]=0),1,0)</f>
        <v>0</v>
      </c>
      <c r="AG1131" t="str">
        <f>INDEX(vp.data[[#Headers],[Unknown]:[Heavy_SW]],MATCH(1,vp.data[[#This Row],[Unknown]:[Heavy_SW]],0))</f>
        <v>Light_SW</v>
      </c>
      <c r="AH1131">
        <f>INDEX([3]!crudeBD.lkup[Number],MATCH(vp.data[[#This Row],[Crude_Breakdown]],crudeBD.lkup[Crude Breakdown],0))</f>
        <v>2</v>
      </c>
      <c r="AI1131">
        <f>MONTH(vp.data[[#This Row],[SDate]])</f>
        <v>3</v>
      </c>
      <c r="AJ1131" s="5">
        <f>(vp.data[[#This Row],[VP]]-INDEX(crudeBD.lkup[Mean_VP],MATCH(vp.data[[#This Row],[Crude_Breakdown]],crudeBD.lkup[Crude Breakdown],0)))^2</f>
        <v>322.21375793805839</v>
      </c>
      <c r="AK1131" s="5">
        <f>(vp.data[[#This Row],[Dens]]-INDEX(crudeBD.lkup[Mean_Dens],MATCH(vp.data[[#This Row],[Crude_Breakdown]],crudeBD.lkup[Crude Breakdown],0)))^2</f>
        <v>134.29337262805635</v>
      </c>
      <c r="AL1131" s="5">
        <f>(vp.data[[#This Row],[Sulf]]-INDEX(crudeBD.lkup[Mean_Sulf],MATCH(vp.data[[#This Row],[Crude_Breakdown]],crudeBD.lkup[Crude Breakdown],0)))^2</f>
        <v>6.0397087044397842E-2</v>
      </c>
      <c r="AM1131" s="4">
        <f>IF(AND(vp.data[[#This Row],[SDate]]&gt;=DATE(YEAR(vp.data[[#This Row],[SDate]]),5,1),vp.data[[#This Row],[SDate]]&lt;=DATE(YEAR(vp.data[[#This Row],[SDate]]),9,15)),1,0)</f>
        <v>0</v>
      </c>
      <c r="AN1131" s="4">
        <f>IF(vp.data[[#This Row],[SDate]]&lt;DATE(2016,12,1),0,1)</f>
        <v>1</v>
      </c>
      <c r="AO1131" s="4">
        <f>IFERROR(vp.data[[#This Row],[Sulf]]*vp.data[[#This Row],[Net Dens]],"")</f>
        <v>8522932.0133177992</v>
      </c>
      <c r="AP1131">
        <f>IFERROR(vp.data[[#This Row],[Dens]]*vp.data[[#This Row],[VolumeM3]],"")</f>
        <v>17682431.562899999</v>
      </c>
      <c r="AQ1131" s="15">
        <f>IFERROR(vp.data[[#This Row],[VP]]*vp.data[[#This Row],[VolumeM3]],"")</f>
        <v>1608866.1965999999</v>
      </c>
    </row>
    <row r="1132" spans="1:43" x14ac:dyDescent="0.25">
      <c r="A1132">
        <v>1131</v>
      </c>
      <c r="B1132" t="s">
        <v>232</v>
      </c>
      <c r="C1132" t="s">
        <v>232</v>
      </c>
      <c r="D1132" t="s">
        <v>233</v>
      </c>
      <c r="F1132" s="1">
        <v>42823</v>
      </c>
      <c r="G1132" s="2">
        <v>60.1</v>
      </c>
      <c r="H1132" s="2">
        <v>1.048</v>
      </c>
      <c r="I1132" s="2">
        <f t="array" ref="I1132">_xlfn.IFNA(IF(vp.data[[#This Row],[Sulf Input]]="",INDEX([1]DATA!$Q$3:$Q$9826,MATCH(1,(vp.data[[#This Row],[Battery]]=[1]DATA!$L$3:$L$9826)*(EOMONTH(vp.data[[#This Row],[SDate]],-1)+1=[1]DATA!$G$3:$G$9826),0)),vp.data[[#This Row],[Sulf Input]]),"")</f>
        <v>1.048</v>
      </c>
      <c r="J1132" s="2">
        <v>29.1</v>
      </c>
      <c r="K1132" s="2">
        <v>16</v>
      </c>
      <c r="L1132" s="2">
        <v>843.9</v>
      </c>
      <c r="M1132" s="2">
        <f t="array" ref="M1132">_xlfn.IFNA(IF(vp.data[[#This Row],[Dens Input]]="",INDEX([1]DATA!$O$3:$O$9826,MATCH(1,(vp.data[[#This Row],[Battery]]=[1]DATA!$L$3:$L$9826)*(EOMONTH(vp.data[[#This Row],[SDate]],-1)+1=[1]DATA!$G$3:$G$9826),0)),vp.data[[#This Row],[Dens Input]]),"")</f>
        <v>843.9</v>
      </c>
      <c r="N1132" s="2">
        <f ca="1">INDEX(INDIRECT(_xlfn.CONCAT("weather.tbl[",N$1,"]")),MATCH(vp.data[[#This Row],[SDate]],weather.tbl[Date],0))</f>
        <v>6.7666666666666666</v>
      </c>
      <c r="O1132" s="2">
        <f ca="1">INDEX(INDIRECT(_xlfn.CONCAT("weather.tbl[",O$1,"]")),MATCH(vp.data[[#This Row],[SDate]],weather.tbl[Date],0))</f>
        <v>2.3880952380952385</v>
      </c>
      <c r="P1132" s="2">
        <f ca="1">INDEX(INDIRECT(_xlfn.CONCAT("weather.tbl[",P$1,"]")),MATCH(vp.data[[#This Row],[SDate]],weather.tbl[Date],0))</f>
        <v>6.7</v>
      </c>
      <c r="Q1132" s="2">
        <f ca="1">INDEX(INDIRECT(_xlfn.CONCAT("weather.tbl[",Q$1,"]")),MATCH(vp.data[[#This Row],[SDate]],weather.tbl[Date],0))</f>
        <v>7.9</v>
      </c>
      <c r="R1132" s="2">
        <f ca="1">INDEX(INDIRECT(_xlfn.CONCAT("weather.tbl[",R$1,"]")),MATCH(vp.data[[#This Row],[SDate]],weather.tbl[Date],0))</f>
        <v>5.5</v>
      </c>
      <c r="S1132" s="2">
        <f ca="1">INDEX(INDIRECT(_xlfn.CONCAT("weather.tbl[",S$1,"]")),MATCH(vp.data[[#This Row],[SDate]],weather.tbl[Date],0))</f>
        <v>8.8000000000000007</v>
      </c>
      <c r="T1132" s="2">
        <f ca="1">INDEX(INDIRECT(_xlfn.CONCAT("weather.tbl[",T$1,"]")),MATCH(vp.data[[#This Row],[SDate]],weather.tbl[Date],0))</f>
        <v>4.7</v>
      </c>
      <c r="U1132" s="2">
        <f ca="1">INDEX(INDIRECT(_xlfn.CONCAT("weather.tbl[",U$1,"]")),MATCH(vp.data[[#This Row],[SDate]],weather.tbl[Date],0))</f>
        <v>7</v>
      </c>
      <c r="V1132" s="2">
        <f t="array" ref="V11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135.16499999999999</v>
      </c>
      <c r="W1132" t="s">
        <v>48</v>
      </c>
      <c r="X1132">
        <f>IF(OR(vp.data[[#This Row],[Sulf]]="",vp.data[[#This Row],[Dens]]=""),1,0)</f>
        <v>0</v>
      </c>
      <c r="Y1132">
        <f>IF(vp.data[[#This Row],[CrudeType]]="C5+",1,0)</f>
        <v>0</v>
      </c>
      <c r="Z1132">
        <f>IF(AND(vp.data[[#This Row],[CrudeType]]="Crude",vp.data[[#This Row],[Dens]]&lt;=825,vp.data[[#This Row],[Sulf]]&gt;0.5,vp.data[[#This Row],[Unknown]]=0),1,0)</f>
        <v>0</v>
      </c>
      <c r="AA1132">
        <f>IF(AND(vp.data[[#This Row],[CrudeType]]="Crude",vp.data[[#This Row],[Dens]]&lt;=825,vp.data[[#This Row],[Sulf]]&lt;=0.5,vp.data[[#This Row],[Unknown]]=0),1,0)</f>
        <v>0</v>
      </c>
      <c r="AB11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32">
        <f>IF(AND(vp.data[[#This Row],[CrudeType]]="Crude",vp.data[[#This Row],[Dens]]&gt;825,vp.data[[#This Row],[Dens]]&lt;=900,vp.data[[#This Row],[Sulf]]&lt;=0.5,vp.data[[#This Row],[Unknown]]=0),1,0)</f>
        <v>0</v>
      </c>
      <c r="AD1132">
        <f>IF(AND(vp.data[[#This Row],[CrudeType]]="Crude",vp.data[[#This Row],[Dens]]&gt;865,vp.data[[#This Row],[Dens]]&lt;=900,vp.data[[#This Row],[Sulf]]&gt;2,vp.data[[#This Row],[Unknown]]=0),1,0)</f>
        <v>0</v>
      </c>
      <c r="AE1132">
        <f>IF(AND(vp.data[[#This Row],[CrudeType]]="Crude",vp.data[[#This Row],[Dens]]&gt;900,vp.data[[#This Row],[Sulf]]&lt;=0.5,vp.data[[#This Row],[Unknown]]=0),1,0)</f>
        <v>0</v>
      </c>
      <c r="AF1132">
        <f>IF(AND(vp.data[[#This Row],[CrudeType]]="Crude",vp.data[[#This Row],[Dens]]&gt;900,vp.data[[#This Row],[Sulf]]&lt;=0.5,vp.data[[#This Row],[Unknown]]=0),1,0)</f>
        <v>0</v>
      </c>
      <c r="AG1132" t="str">
        <f>INDEX(vp.data[[#Headers],[Unknown]:[Heavy_SW]],MATCH(1,vp.data[[#This Row],[Unknown]:[Heavy_SW]],0))</f>
        <v>Medium_LSB</v>
      </c>
      <c r="AH1132">
        <f>INDEX([3]!crudeBD.lkup[Number],MATCH(vp.data[[#This Row],[Crude_Breakdown]],crudeBD.lkup[Crude Breakdown],0))</f>
        <v>3</v>
      </c>
      <c r="AI1132">
        <f>MONTH(vp.data[[#This Row],[SDate]])</f>
        <v>3</v>
      </c>
      <c r="AJ1132" s="5">
        <f>(vp.data[[#This Row],[VP]]-INDEX(crudeBD.lkup[Mean_VP],MATCH(vp.data[[#This Row],[Crude_Breakdown]],crudeBD.lkup[Crude Breakdown],0)))^2</f>
        <v>421.87831277308061</v>
      </c>
      <c r="AK1132" s="5">
        <f>(vp.data[[#This Row],[Dens]]-INDEX(crudeBD.lkup[Mean_Dens],MATCH(vp.data[[#This Row],[Crude_Breakdown]],crudeBD.lkup[Crude Breakdown],0)))^2</f>
        <v>3.9999999998108253E-4</v>
      </c>
      <c r="AL1132" s="5">
        <f>(vp.data[[#This Row],[Sulf]]-INDEX(crudeBD.lkup[Mean_Sulf],MATCH(vp.data[[#This Row],[Crude_Breakdown]],crudeBD.lkup[Crude Breakdown],0)))^2</f>
        <v>0.11384424395283646</v>
      </c>
      <c r="AM1132" s="4">
        <f>IF(AND(vp.data[[#This Row],[SDate]]&gt;=DATE(YEAR(vp.data[[#This Row],[SDate]]),5,1),vp.data[[#This Row],[SDate]]&lt;=DATE(YEAR(vp.data[[#This Row],[SDate]]),9,15)),1,0)</f>
        <v>0</v>
      </c>
      <c r="AN1132" s="4">
        <f>IF(vp.data[[#This Row],[SDate]]&lt;DATE(2016,12,1),0,1)</f>
        <v>1</v>
      </c>
      <c r="AO1132" s="4">
        <f>IFERROR(vp.data[[#This Row],[Sulf]]*vp.data[[#This Row],[Net Dens]],"")</f>
        <v>119540.899188</v>
      </c>
      <c r="AP1132">
        <f>IFERROR(vp.data[[#This Row],[Dens]]*vp.data[[#This Row],[VolumeM3]],"")</f>
        <v>114065.7435</v>
      </c>
      <c r="AQ1132" s="15">
        <f>IFERROR(vp.data[[#This Row],[VP]]*vp.data[[#This Row],[VolumeM3]],"")</f>
        <v>8123.4164999999994</v>
      </c>
    </row>
    <row r="1133" spans="1:43" x14ac:dyDescent="0.25">
      <c r="A1133">
        <v>1132</v>
      </c>
      <c r="B1133" t="s">
        <v>49</v>
      </c>
      <c r="C1133" t="s">
        <v>49</v>
      </c>
      <c r="D1133" t="s">
        <v>50</v>
      </c>
      <c r="F1133" s="1">
        <v>42823</v>
      </c>
      <c r="G1133" s="2">
        <v>73.3</v>
      </c>
      <c r="H1133" s="2">
        <v>2.5190000000000001</v>
      </c>
      <c r="I1133" s="2">
        <f t="array" ref="I1133">_xlfn.IFNA(IF(vp.data[[#This Row],[Sulf Input]]="",INDEX([1]DATA!$Q$3:$Q$9826,MATCH(1,(vp.data[[#This Row],[Battery]]=[1]DATA!$L$3:$L$9826)*(EOMONTH(vp.data[[#This Row],[SDate]],-1)+1=[1]DATA!$G$3:$G$9826),0)),vp.data[[#This Row],[Sulf Input]]),"")</f>
        <v>2.5190000000000001</v>
      </c>
      <c r="J1133" s="2">
        <v>19</v>
      </c>
      <c r="K1133" s="2">
        <v>16</v>
      </c>
      <c r="L1133" s="2">
        <v>866.2</v>
      </c>
      <c r="M1133" s="2">
        <f t="array" ref="M1133">_xlfn.IFNA(IF(vp.data[[#This Row],[Dens Input]]="",INDEX([1]DATA!$O$3:$O$9826,MATCH(1,(vp.data[[#This Row],[Battery]]=[1]DATA!$L$3:$L$9826)*(EOMONTH(vp.data[[#This Row],[SDate]],-1)+1=[1]DATA!$G$3:$G$9826),0)),vp.data[[#This Row],[Dens Input]]),"")</f>
        <v>866.2</v>
      </c>
      <c r="N1133" s="2">
        <f ca="1">INDEX(INDIRECT(_xlfn.CONCAT("weather.tbl[",N$1,"]")),MATCH(vp.data[[#This Row],[SDate]],weather.tbl[Date],0))</f>
        <v>6.7666666666666666</v>
      </c>
      <c r="O1133" s="2">
        <f ca="1">INDEX(INDIRECT(_xlfn.CONCAT("weather.tbl[",O$1,"]")),MATCH(vp.data[[#This Row],[SDate]],weather.tbl[Date],0))</f>
        <v>2.3880952380952385</v>
      </c>
      <c r="P1133" s="2">
        <f ca="1">INDEX(INDIRECT(_xlfn.CONCAT("weather.tbl[",P$1,"]")),MATCH(vp.data[[#This Row],[SDate]],weather.tbl[Date],0))</f>
        <v>6.7</v>
      </c>
      <c r="Q1133" s="2">
        <f ca="1">INDEX(INDIRECT(_xlfn.CONCAT("weather.tbl[",Q$1,"]")),MATCH(vp.data[[#This Row],[SDate]],weather.tbl[Date],0))</f>
        <v>7.9</v>
      </c>
      <c r="R1133" s="2">
        <f ca="1">INDEX(INDIRECT(_xlfn.CONCAT("weather.tbl[",R$1,"]")),MATCH(vp.data[[#This Row],[SDate]],weather.tbl[Date],0))</f>
        <v>5.5</v>
      </c>
      <c r="S1133" s="2">
        <f ca="1">INDEX(INDIRECT(_xlfn.CONCAT("weather.tbl[",S$1,"]")),MATCH(vp.data[[#This Row],[SDate]],weather.tbl[Date],0))</f>
        <v>8.8000000000000007</v>
      </c>
      <c r="T1133" s="2">
        <f ca="1">INDEX(INDIRECT(_xlfn.CONCAT("weather.tbl[",T$1,"]")),MATCH(vp.data[[#This Row],[SDate]],weather.tbl[Date],0))</f>
        <v>4.7</v>
      </c>
      <c r="U1133" s="2">
        <f ca="1">INDEX(INDIRECT(_xlfn.CONCAT("weather.tbl[",U$1,"]")),MATCH(vp.data[[#This Row],[SDate]],weather.tbl[Date],0))</f>
        <v>7</v>
      </c>
      <c r="V1133" s="2">
        <f t="array" ref="V11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6292.7340000000004</v>
      </c>
      <c r="W1133" t="s">
        <v>48</v>
      </c>
      <c r="X1133">
        <f>IF(OR(vp.data[[#This Row],[Sulf]]="",vp.data[[#This Row],[Dens]]=""),1,0)</f>
        <v>0</v>
      </c>
      <c r="Y1133">
        <f>IF(vp.data[[#This Row],[CrudeType]]="C5+",1,0)</f>
        <v>0</v>
      </c>
      <c r="Z1133">
        <f>IF(AND(vp.data[[#This Row],[CrudeType]]="Crude",vp.data[[#This Row],[Dens]]&lt;=825,vp.data[[#This Row],[Sulf]]&gt;0.5,vp.data[[#This Row],[Unknown]]=0),1,0)</f>
        <v>0</v>
      </c>
      <c r="AA1133">
        <f>IF(AND(vp.data[[#This Row],[CrudeType]]="Crude",vp.data[[#This Row],[Dens]]&lt;=825,vp.data[[#This Row],[Sulf]]&lt;=0.5,vp.data[[#This Row],[Unknown]]=0),1,0)</f>
        <v>0</v>
      </c>
      <c r="AB11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3">
        <f>IF(AND(vp.data[[#This Row],[CrudeType]]="Crude",vp.data[[#This Row],[Dens]]&gt;825,vp.data[[#This Row],[Dens]]&lt;=900,vp.data[[#This Row],[Sulf]]&lt;=0.5,vp.data[[#This Row],[Unknown]]=0),1,0)</f>
        <v>0</v>
      </c>
      <c r="AD1133">
        <f>IF(AND(vp.data[[#This Row],[CrudeType]]="Crude",vp.data[[#This Row],[Dens]]&gt;865,vp.data[[#This Row],[Dens]]&lt;=900,vp.data[[#This Row],[Sulf]]&gt;2,vp.data[[#This Row],[Unknown]]=0),1,0)</f>
        <v>1</v>
      </c>
      <c r="AE1133">
        <f>IF(AND(vp.data[[#This Row],[CrudeType]]="Crude",vp.data[[#This Row],[Dens]]&gt;900,vp.data[[#This Row],[Sulf]]&lt;=0.5,vp.data[[#This Row],[Unknown]]=0),1,0)</f>
        <v>0</v>
      </c>
      <c r="AF1133">
        <f>IF(AND(vp.data[[#This Row],[CrudeType]]="Crude",vp.data[[#This Row],[Dens]]&gt;900,vp.data[[#This Row],[Sulf]]&lt;=0.5,vp.data[[#This Row],[Unknown]]=0),1,0)</f>
        <v>0</v>
      </c>
      <c r="AG1133" t="str">
        <f>INDEX(vp.data[[#Headers],[Unknown]:[Heavy_SW]],MATCH(1,vp.data[[#This Row],[Unknown]:[Heavy_SW]],0))</f>
        <v>Midale</v>
      </c>
      <c r="AH1133">
        <f>INDEX([3]!crudeBD.lkup[Number],MATCH(vp.data[[#This Row],[Crude_Breakdown]],crudeBD.lkup[Crude Breakdown],0))</f>
        <v>5</v>
      </c>
      <c r="AI1133">
        <f>MONTH(vp.data[[#This Row],[SDate]])</f>
        <v>3</v>
      </c>
      <c r="AJ1133" s="5">
        <f>(vp.data[[#This Row],[VP]]-INDEX(crudeBD.lkup[Mean_VP],MATCH(vp.data[[#This Row],[Crude_Breakdown]],crudeBD.lkup[Crude Breakdown],0)))^2</f>
        <v>15.141726272717344</v>
      </c>
      <c r="AK1133" s="5">
        <f>(vp.data[[#This Row],[Dens]]-INDEX(crudeBD.lkup[Mean_Dens],MATCH(vp.data[[#This Row],[Crude_Breakdown]],crudeBD.lkup[Crude Breakdown],0)))^2</f>
        <v>74.252866670213876</v>
      </c>
      <c r="AL1133" s="5">
        <f>(vp.data[[#This Row],[Sulf]]-INDEX(crudeBD.lkup[Mean_Sulf],MATCH(vp.data[[#This Row],[Crude_Breakdown]],crudeBD.lkup[Crude Breakdown],0)))^2</f>
        <v>5.6828127371773961E-3</v>
      </c>
      <c r="AM1133" s="4">
        <f>IF(AND(vp.data[[#This Row],[SDate]]&gt;=DATE(YEAR(vp.data[[#This Row],[SDate]]),5,1),vp.data[[#This Row],[SDate]]&lt;=DATE(YEAR(vp.data[[#This Row],[SDate]]),9,15)),1,0)</f>
        <v>0</v>
      </c>
      <c r="AN1133" s="4">
        <f>IF(vp.data[[#This Row],[SDate]]&lt;DATE(2016,12,1),0,1)</f>
        <v>1</v>
      </c>
      <c r="AO1133" s="4">
        <f>IFERROR(vp.data[[#This Row],[Sulf]]*vp.data[[#This Row],[Net Dens]],"")</f>
        <v>13730480.034625202</v>
      </c>
      <c r="AP1133">
        <f>IFERROR(vp.data[[#This Row],[Dens]]*vp.data[[#This Row],[VolumeM3]],"")</f>
        <v>5450766.1908000009</v>
      </c>
      <c r="AQ1133" s="15">
        <f>IFERROR(vp.data[[#This Row],[VP]]*vp.data[[#This Row],[VolumeM3]],"")</f>
        <v>461257.40220000001</v>
      </c>
    </row>
    <row r="1134" spans="1:43" x14ac:dyDescent="0.25">
      <c r="A1134">
        <v>1133</v>
      </c>
      <c r="B1134" t="s">
        <v>111</v>
      </c>
      <c r="C1134" t="s">
        <v>111</v>
      </c>
      <c r="D1134" t="s">
        <v>234</v>
      </c>
      <c r="F1134" s="1">
        <v>42823</v>
      </c>
      <c r="G1134" s="2">
        <v>67.599999999999994</v>
      </c>
      <c r="H1134" s="2">
        <v>2.7770000000000001</v>
      </c>
      <c r="I1134" s="2">
        <f t="array" ref="I1134">_xlfn.IFNA(IF(vp.data[[#This Row],[Sulf Input]]="",INDEX([1]DATA!$Q$3:$Q$9826,MATCH(1,(vp.data[[#This Row],[Battery]]=[1]DATA!$L$3:$L$9826)*(EOMONTH(vp.data[[#This Row],[SDate]],-1)+1=[1]DATA!$G$3:$G$9826),0)),vp.data[[#This Row],[Sulf Input]]),"")</f>
        <v>2.7770000000000001</v>
      </c>
      <c r="J1134" s="2">
        <v>35.4</v>
      </c>
      <c r="K1134" s="2">
        <v>16</v>
      </c>
      <c r="L1134" s="2">
        <v>887.3</v>
      </c>
      <c r="M1134" s="2">
        <f t="array" ref="M1134">_xlfn.IFNA(IF(vp.data[[#This Row],[Dens Input]]="",INDEX([1]DATA!$O$3:$O$9826,MATCH(1,(vp.data[[#This Row],[Battery]]=[1]DATA!$L$3:$L$9826)*(EOMONTH(vp.data[[#This Row],[SDate]],-1)+1=[1]DATA!$G$3:$G$9826),0)),vp.data[[#This Row],[Dens Input]]),"")</f>
        <v>887.3</v>
      </c>
      <c r="N1134" s="2">
        <f ca="1">INDEX(INDIRECT(_xlfn.CONCAT("weather.tbl[",N$1,"]")),MATCH(vp.data[[#This Row],[SDate]],weather.tbl[Date],0))</f>
        <v>6.7666666666666666</v>
      </c>
      <c r="O1134" s="2">
        <f ca="1">INDEX(INDIRECT(_xlfn.CONCAT("weather.tbl[",O$1,"]")),MATCH(vp.data[[#This Row],[SDate]],weather.tbl[Date],0))</f>
        <v>2.3880952380952385</v>
      </c>
      <c r="P1134" s="2">
        <f ca="1">INDEX(INDIRECT(_xlfn.CONCAT("weather.tbl[",P$1,"]")),MATCH(vp.data[[#This Row],[SDate]],weather.tbl[Date],0))</f>
        <v>6.7</v>
      </c>
      <c r="Q1134" s="2">
        <f ca="1">INDEX(INDIRECT(_xlfn.CONCAT("weather.tbl[",Q$1,"]")),MATCH(vp.data[[#This Row],[SDate]],weather.tbl[Date],0))</f>
        <v>7.9</v>
      </c>
      <c r="R1134" s="2">
        <f ca="1">INDEX(INDIRECT(_xlfn.CONCAT("weather.tbl[",R$1,"]")),MATCH(vp.data[[#This Row],[SDate]],weather.tbl[Date],0))</f>
        <v>5.5</v>
      </c>
      <c r="S1134" s="2">
        <f ca="1">INDEX(INDIRECT(_xlfn.CONCAT("weather.tbl[",S$1,"]")),MATCH(vp.data[[#This Row],[SDate]],weather.tbl[Date],0))</f>
        <v>8.8000000000000007</v>
      </c>
      <c r="T1134" s="2">
        <f ca="1">INDEX(INDIRECT(_xlfn.CONCAT("weather.tbl[",T$1,"]")),MATCH(vp.data[[#This Row],[SDate]],weather.tbl[Date],0))</f>
        <v>4.7</v>
      </c>
      <c r="U1134" s="2">
        <f ca="1">INDEX(INDIRECT(_xlfn.CONCAT("weather.tbl[",U$1,"]")),MATCH(vp.data[[#This Row],[SDate]],weather.tbl[Date],0))</f>
        <v>7</v>
      </c>
      <c r="V1134" s="2">
        <f t="array" ref="V11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5368.5050000000001</v>
      </c>
      <c r="W1134" t="s">
        <v>48</v>
      </c>
      <c r="X1134">
        <f>IF(OR(vp.data[[#This Row],[Sulf]]="",vp.data[[#This Row],[Dens]]=""),1,0)</f>
        <v>0</v>
      </c>
      <c r="Y1134">
        <f>IF(vp.data[[#This Row],[CrudeType]]="C5+",1,0)</f>
        <v>0</v>
      </c>
      <c r="Z1134">
        <f>IF(AND(vp.data[[#This Row],[CrudeType]]="Crude",vp.data[[#This Row],[Dens]]&lt;=825,vp.data[[#This Row],[Sulf]]&gt;0.5,vp.data[[#This Row],[Unknown]]=0),1,0)</f>
        <v>0</v>
      </c>
      <c r="AA1134">
        <f>IF(AND(vp.data[[#This Row],[CrudeType]]="Crude",vp.data[[#This Row],[Dens]]&lt;=825,vp.data[[#This Row],[Sulf]]&lt;=0.5,vp.data[[#This Row],[Unknown]]=0),1,0)</f>
        <v>0</v>
      </c>
      <c r="AB11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4">
        <f>IF(AND(vp.data[[#This Row],[CrudeType]]="Crude",vp.data[[#This Row],[Dens]]&gt;825,vp.data[[#This Row],[Dens]]&lt;=900,vp.data[[#This Row],[Sulf]]&lt;=0.5,vp.data[[#This Row],[Unknown]]=0),1,0)</f>
        <v>0</v>
      </c>
      <c r="AD1134">
        <f>IF(AND(vp.data[[#This Row],[CrudeType]]="Crude",vp.data[[#This Row],[Dens]]&gt;865,vp.data[[#This Row],[Dens]]&lt;=900,vp.data[[#This Row],[Sulf]]&gt;2,vp.data[[#This Row],[Unknown]]=0),1,0)</f>
        <v>1</v>
      </c>
      <c r="AE1134">
        <f>IF(AND(vp.data[[#This Row],[CrudeType]]="Crude",vp.data[[#This Row],[Dens]]&gt;900,vp.data[[#This Row],[Sulf]]&lt;=0.5,vp.data[[#This Row],[Unknown]]=0),1,0)</f>
        <v>0</v>
      </c>
      <c r="AF1134">
        <f>IF(AND(vp.data[[#This Row],[CrudeType]]="Crude",vp.data[[#This Row],[Dens]]&gt;900,vp.data[[#This Row],[Sulf]]&lt;=0.5,vp.data[[#This Row],[Unknown]]=0),1,0)</f>
        <v>0</v>
      </c>
      <c r="AG1134" t="str">
        <f>INDEX(vp.data[[#Headers],[Unknown]:[Heavy_SW]],MATCH(1,vp.data[[#This Row],[Unknown]:[Heavy_SW]],0))</f>
        <v>Midale</v>
      </c>
      <c r="AH1134">
        <f>INDEX([3]!crudeBD.lkup[Number],MATCH(vp.data[[#This Row],[Crude_Breakdown]],crudeBD.lkup[Crude Breakdown],0))</f>
        <v>5</v>
      </c>
      <c r="AI1134">
        <f>MONTH(vp.data[[#This Row],[SDate]])</f>
        <v>3</v>
      </c>
      <c r="AJ1134" s="5">
        <f>(vp.data[[#This Row],[VP]]-INDEX(crudeBD.lkup[Mean_VP],MATCH(vp.data[[#This Row],[Crude_Breakdown]],crudeBD.lkup[Crude Breakdown],0)))^2</f>
        <v>3.2716231799342399</v>
      </c>
      <c r="AK1134" s="5">
        <f>(vp.data[[#This Row],[Dens]]-INDEX(crudeBD.lkup[Mean_Dens],MATCH(vp.data[[#This Row],[Crude_Breakdown]],crudeBD.lkup[Crude Breakdown],0)))^2</f>
        <v>155.82503161865418</v>
      </c>
      <c r="AL1134" s="5">
        <f>(vp.data[[#This Row],[Sulf]]-INDEX(crudeBD.lkup[Mean_Sulf],MATCH(vp.data[[#This Row],[Crude_Breakdown]],crudeBD.lkup[Crude Breakdown],0)))^2</f>
        <v>0.11114518015985858</v>
      </c>
      <c r="AM1134" s="4">
        <f>IF(AND(vp.data[[#This Row],[SDate]]&gt;=DATE(YEAR(vp.data[[#This Row],[SDate]]),5,1),vp.data[[#This Row],[SDate]]&lt;=DATE(YEAR(vp.data[[#This Row],[SDate]]),9,15)),1,0)</f>
        <v>0</v>
      </c>
      <c r="AN1134" s="4">
        <f>IF(vp.data[[#This Row],[SDate]]&lt;DATE(2016,12,1),0,1)</f>
        <v>1</v>
      </c>
      <c r="AO1134" s="4">
        <f>IFERROR(vp.data[[#This Row],[Sulf]]*vp.data[[#This Row],[Net Dens]],"")</f>
        <v>13228168.6490105</v>
      </c>
      <c r="AP1134">
        <f>IFERROR(vp.data[[#This Row],[Dens]]*vp.data[[#This Row],[VolumeM3]],"")</f>
        <v>4763474.4864999996</v>
      </c>
      <c r="AQ1134" s="15">
        <f>IFERROR(vp.data[[#This Row],[VP]]*vp.data[[#This Row],[VolumeM3]],"")</f>
        <v>362910.93799999997</v>
      </c>
    </row>
    <row r="1135" spans="1:43" x14ac:dyDescent="0.25">
      <c r="A1135">
        <v>1134</v>
      </c>
      <c r="B1135" t="s">
        <v>62</v>
      </c>
      <c r="C1135" t="s">
        <v>62</v>
      </c>
      <c r="D1135" t="s">
        <v>63</v>
      </c>
      <c r="F1135" s="1">
        <v>42823</v>
      </c>
      <c r="G1135" s="2">
        <v>87.6</v>
      </c>
      <c r="H1135" s="2"/>
      <c r="I1135" s="2">
        <f t="array" ref="I1135">_xlfn.IFNA(IF(vp.data[[#This Row],[Sulf Input]]="",INDEX([1]DATA!$Q$3:$Q$9826,MATCH(1,(vp.data[[#This Row],[Battery]]=[1]DATA!$L$3:$L$9826)*(EOMONTH(vp.data[[#This Row],[SDate]],-1)+1=[1]DATA!$G$3:$G$9826),0)),vp.data[[#This Row],[Sulf Input]]),"")</f>
        <v>1.74</v>
      </c>
      <c r="J1135" s="2">
        <v>19</v>
      </c>
      <c r="K1135" s="2">
        <v>16</v>
      </c>
      <c r="L1135" s="2">
        <v>817.9</v>
      </c>
      <c r="M1135" s="2">
        <f t="array" ref="M1135">_xlfn.IFNA(IF(vp.data[[#This Row],[Dens Input]]="",INDEX([1]DATA!$O$3:$O$9826,MATCH(1,(vp.data[[#This Row],[Battery]]=[1]DATA!$L$3:$L$9826)*(EOMONTH(vp.data[[#This Row],[SDate]],-1)+1=[1]DATA!$G$3:$G$9826),0)),vp.data[[#This Row],[Dens Input]]),"")</f>
        <v>817.9</v>
      </c>
      <c r="N1135" s="2">
        <f ca="1">INDEX(INDIRECT(_xlfn.CONCAT("weather.tbl[",N$1,"]")),MATCH(vp.data[[#This Row],[SDate]],weather.tbl[Date],0))</f>
        <v>6.7666666666666666</v>
      </c>
      <c r="O1135" s="2">
        <f ca="1">INDEX(INDIRECT(_xlfn.CONCAT("weather.tbl[",O$1,"]")),MATCH(vp.data[[#This Row],[SDate]],weather.tbl[Date],0))</f>
        <v>2.3880952380952385</v>
      </c>
      <c r="P1135" s="2">
        <f ca="1">INDEX(INDIRECT(_xlfn.CONCAT("weather.tbl[",P$1,"]")),MATCH(vp.data[[#This Row],[SDate]],weather.tbl[Date],0))</f>
        <v>6.7</v>
      </c>
      <c r="Q1135" s="2">
        <f ca="1">INDEX(INDIRECT(_xlfn.CONCAT("weather.tbl[",Q$1,"]")),MATCH(vp.data[[#This Row],[SDate]],weather.tbl[Date],0))</f>
        <v>7.9</v>
      </c>
      <c r="R1135" s="2">
        <f ca="1">INDEX(INDIRECT(_xlfn.CONCAT("weather.tbl[",R$1,"]")),MATCH(vp.data[[#This Row],[SDate]],weather.tbl[Date],0))</f>
        <v>5.5</v>
      </c>
      <c r="S1135" s="2">
        <f ca="1">INDEX(INDIRECT(_xlfn.CONCAT("weather.tbl[",S$1,"]")),MATCH(vp.data[[#This Row],[SDate]],weather.tbl[Date],0))</f>
        <v>8.8000000000000007</v>
      </c>
      <c r="T1135" s="2">
        <f ca="1">INDEX(INDIRECT(_xlfn.CONCAT("weather.tbl[",T$1,"]")),MATCH(vp.data[[#This Row],[SDate]],weather.tbl[Date],0))</f>
        <v>4.7</v>
      </c>
      <c r="U1135" s="2">
        <f ca="1">INDEX(INDIRECT(_xlfn.CONCAT("weather.tbl[",U$1,"]")),MATCH(vp.data[[#This Row],[SDate]],weather.tbl[Date],0))</f>
        <v>7</v>
      </c>
      <c r="V1135" s="2">
        <f t="array" ref="V11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6959.2520000000004</v>
      </c>
      <c r="W1135" t="s">
        <v>48</v>
      </c>
      <c r="X1135">
        <f>IF(OR(vp.data[[#This Row],[Sulf]]="",vp.data[[#This Row],[Dens]]=""),1,0)</f>
        <v>0</v>
      </c>
      <c r="Y1135">
        <f>IF(vp.data[[#This Row],[CrudeType]]="C5+",1,0)</f>
        <v>0</v>
      </c>
      <c r="Z1135">
        <f>IF(AND(vp.data[[#This Row],[CrudeType]]="Crude",vp.data[[#This Row],[Dens]]&lt;=825,vp.data[[#This Row],[Sulf]]&gt;0.5,vp.data[[#This Row],[Unknown]]=0),1,0)</f>
        <v>1</v>
      </c>
      <c r="AA1135">
        <f>IF(AND(vp.data[[#This Row],[CrudeType]]="Crude",vp.data[[#This Row],[Dens]]&lt;=825,vp.data[[#This Row],[Sulf]]&lt;=0.5,vp.data[[#This Row],[Unknown]]=0),1,0)</f>
        <v>0</v>
      </c>
      <c r="AB11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5">
        <f>IF(AND(vp.data[[#This Row],[CrudeType]]="Crude",vp.data[[#This Row],[Dens]]&gt;825,vp.data[[#This Row],[Dens]]&lt;=900,vp.data[[#This Row],[Sulf]]&lt;=0.5,vp.data[[#This Row],[Unknown]]=0),1,0)</f>
        <v>0</v>
      </c>
      <c r="AD1135">
        <f>IF(AND(vp.data[[#This Row],[CrudeType]]="Crude",vp.data[[#This Row],[Dens]]&gt;865,vp.data[[#This Row],[Dens]]&lt;=900,vp.data[[#This Row],[Sulf]]&gt;2,vp.data[[#This Row],[Unknown]]=0),1,0)</f>
        <v>0</v>
      </c>
      <c r="AE1135">
        <f>IF(AND(vp.data[[#This Row],[CrudeType]]="Crude",vp.data[[#This Row],[Dens]]&gt;900,vp.data[[#This Row],[Sulf]]&lt;=0.5,vp.data[[#This Row],[Unknown]]=0),1,0)</f>
        <v>0</v>
      </c>
      <c r="AF1135">
        <f>IF(AND(vp.data[[#This Row],[CrudeType]]="Crude",vp.data[[#This Row],[Dens]]&gt;900,vp.data[[#This Row],[Sulf]]&lt;=0.5,vp.data[[#This Row],[Unknown]]=0),1,0)</f>
        <v>0</v>
      </c>
      <c r="AG1135" t="str">
        <f>INDEX(vp.data[[#Headers],[Unknown]:[Heavy_SW]],MATCH(1,vp.data[[#This Row],[Unknown]:[Heavy_SW]],0))</f>
        <v>Light_LSB</v>
      </c>
      <c r="AH1135">
        <f>INDEX([3]!crudeBD.lkup[Number],MATCH(vp.data[[#This Row],[Crude_Breakdown]],crudeBD.lkup[Crude Breakdown],0))</f>
        <v>1</v>
      </c>
      <c r="AI1135">
        <f>MONTH(vp.data[[#This Row],[SDate]])</f>
        <v>3</v>
      </c>
      <c r="AJ1135" s="5">
        <f>(vp.data[[#This Row],[VP]]-INDEX(crudeBD.lkup[Mean_VP],MATCH(vp.data[[#This Row],[Crude_Breakdown]],crudeBD.lkup[Crude Breakdown],0)))^2</f>
        <v>15.572380529280766</v>
      </c>
      <c r="AK1135" s="5">
        <f>(vp.data[[#This Row],[Dens]]-INDEX(crudeBD.lkup[Mean_Dens],MATCH(vp.data[[#This Row],[Crude_Breakdown]],crudeBD.lkup[Crude Breakdown],0)))^2</f>
        <v>0.38040493617186338</v>
      </c>
      <c r="AL1135" s="5">
        <f>(vp.data[[#This Row],[Sulf]]-INDEX(crudeBD.lkup[Mean_Sulf],MATCH(vp.data[[#This Row],[Crude_Breakdown]],crudeBD.lkup[Crude Breakdown],0)))^2</f>
        <v>0.66753611169036897</v>
      </c>
      <c r="AM1135" s="4">
        <f>IF(AND(vp.data[[#This Row],[SDate]]&gt;=DATE(YEAR(vp.data[[#This Row],[SDate]]),5,1),vp.data[[#This Row],[SDate]]&lt;=DATE(YEAR(vp.data[[#This Row],[SDate]]),9,15)),1,0)</f>
        <v>0</v>
      </c>
      <c r="AN1135" s="4">
        <f>IF(vp.data[[#This Row],[SDate]]&lt;DATE(2016,12,1),0,1)</f>
        <v>1</v>
      </c>
      <c r="AO1135" s="4">
        <f>IFERROR(vp.data[[#This Row],[Sulf]]*vp.data[[#This Row],[Net Dens]],"")</f>
        <v>9904031.6467920002</v>
      </c>
      <c r="AP1135">
        <f>IFERROR(vp.data[[#This Row],[Dens]]*vp.data[[#This Row],[VolumeM3]],"")</f>
        <v>5691972.2108000005</v>
      </c>
      <c r="AQ1135" s="15">
        <f>IFERROR(vp.data[[#This Row],[VP]]*vp.data[[#This Row],[VolumeM3]],"")</f>
        <v>609630.47519999999</v>
      </c>
    </row>
    <row r="1136" spans="1:43" x14ac:dyDescent="0.25">
      <c r="A1136">
        <v>1135</v>
      </c>
      <c r="B1136" t="s">
        <v>51</v>
      </c>
      <c r="C1136" t="s">
        <v>51</v>
      </c>
      <c r="D1136" t="s">
        <v>58</v>
      </c>
      <c r="F1136" s="1">
        <v>42823</v>
      </c>
      <c r="G1136" s="2">
        <v>95.8</v>
      </c>
      <c r="H1136" s="2"/>
      <c r="I1136" s="2">
        <f t="array" ref="I1136">_xlfn.IFNA(IF(vp.data[[#This Row],[Sulf Input]]="",INDEX([1]DATA!$Q$3:$Q$9826,MATCH(1,(vp.data[[#This Row],[Battery]]=[1]DATA!$L$3:$L$9826)*(EOMONTH(vp.data[[#This Row],[SDate]],-1)+1=[1]DATA!$G$3:$G$9826),0)),vp.data[[#This Row],[Sulf Input]]),"")</f>
        <v>1.31</v>
      </c>
      <c r="J1136" s="2">
        <v>29</v>
      </c>
      <c r="K1136" s="2">
        <v>16</v>
      </c>
      <c r="L1136" s="2">
        <v>820.9</v>
      </c>
      <c r="M1136" s="2">
        <f t="array" ref="M1136">_xlfn.IFNA(IF(vp.data[[#This Row],[Dens Input]]="",INDEX([1]DATA!$O$3:$O$9826,MATCH(1,(vp.data[[#This Row],[Battery]]=[1]DATA!$L$3:$L$9826)*(EOMONTH(vp.data[[#This Row],[SDate]],-1)+1=[1]DATA!$G$3:$G$9826),0)),vp.data[[#This Row],[Dens Input]]),"")</f>
        <v>820.9</v>
      </c>
      <c r="N1136" s="2">
        <f ca="1">INDEX(INDIRECT(_xlfn.CONCAT("weather.tbl[",N$1,"]")),MATCH(vp.data[[#This Row],[SDate]],weather.tbl[Date],0))</f>
        <v>6.7666666666666666</v>
      </c>
      <c r="O1136" s="2">
        <f ca="1">INDEX(INDIRECT(_xlfn.CONCAT("weather.tbl[",O$1,"]")),MATCH(vp.data[[#This Row],[SDate]],weather.tbl[Date],0))</f>
        <v>2.3880952380952385</v>
      </c>
      <c r="P1136" s="2">
        <f ca="1">INDEX(INDIRECT(_xlfn.CONCAT("weather.tbl[",P$1,"]")),MATCH(vp.data[[#This Row],[SDate]],weather.tbl[Date],0))</f>
        <v>6.7</v>
      </c>
      <c r="Q1136" s="2">
        <f ca="1">INDEX(INDIRECT(_xlfn.CONCAT("weather.tbl[",Q$1,"]")),MATCH(vp.data[[#This Row],[SDate]],weather.tbl[Date],0))</f>
        <v>7.9</v>
      </c>
      <c r="R1136" s="2">
        <f ca="1">INDEX(INDIRECT(_xlfn.CONCAT("weather.tbl[",R$1,"]")),MATCH(vp.data[[#This Row],[SDate]],weather.tbl[Date],0))</f>
        <v>5.5</v>
      </c>
      <c r="S1136" s="2">
        <f ca="1">INDEX(INDIRECT(_xlfn.CONCAT("weather.tbl[",S$1,"]")),MATCH(vp.data[[#This Row],[SDate]],weather.tbl[Date],0))</f>
        <v>8.8000000000000007</v>
      </c>
      <c r="T1136" s="2">
        <f ca="1">INDEX(INDIRECT(_xlfn.CONCAT("weather.tbl[",T$1,"]")),MATCH(vp.data[[#This Row],[SDate]],weather.tbl[Date],0))</f>
        <v>4.7</v>
      </c>
      <c r="U1136" s="2">
        <f ca="1">INDEX(INDIRECT(_xlfn.CONCAT("weather.tbl[",U$1,"]")),MATCH(vp.data[[#This Row],[SDate]],weather.tbl[Date],0))</f>
        <v>7</v>
      </c>
      <c r="V1136" s="2">
        <f t="array" ref="V11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6071.2709999999997</v>
      </c>
      <c r="W1136" t="s">
        <v>48</v>
      </c>
      <c r="X1136">
        <f>IF(OR(vp.data[[#This Row],[Sulf]]="",vp.data[[#This Row],[Dens]]=""),1,0)</f>
        <v>0</v>
      </c>
      <c r="Y1136">
        <f>IF(vp.data[[#This Row],[CrudeType]]="C5+",1,0)</f>
        <v>0</v>
      </c>
      <c r="Z1136">
        <f>IF(AND(vp.data[[#This Row],[CrudeType]]="Crude",vp.data[[#This Row],[Dens]]&lt;=825,vp.data[[#This Row],[Sulf]]&gt;0.5,vp.data[[#This Row],[Unknown]]=0),1,0)</f>
        <v>1</v>
      </c>
      <c r="AA1136">
        <f>IF(AND(vp.data[[#This Row],[CrudeType]]="Crude",vp.data[[#This Row],[Dens]]&lt;=825,vp.data[[#This Row],[Sulf]]&lt;=0.5,vp.data[[#This Row],[Unknown]]=0),1,0)</f>
        <v>0</v>
      </c>
      <c r="AB11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36">
        <f>IF(AND(vp.data[[#This Row],[CrudeType]]="Crude",vp.data[[#This Row],[Dens]]&gt;825,vp.data[[#This Row],[Dens]]&lt;=900,vp.data[[#This Row],[Sulf]]&lt;=0.5,vp.data[[#This Row],[Unknown]]=0),1,0)</f>
        <v>0</v>
      </c>
      <c r="AD1136">
        <f>IF(AND(vp.data[[#This Row],[CrudeType]]="Crude",vp.data[[#This Row],[Dens]]&gt;865,vp.data[[#This Row],[Dens]]&lt;=900,vp.data[[#This Row],[Sulf]]&gt;2,vp.data[[#This Row],[Unknown]]=0),1,0)</f>
        <v>0</v>
      </c>
      <c r="AE1136">
        <f>IF(AND(vp.data[[#This Row],[CrudeType]]="Crude",vp.data[[#This Row],[Dens]]&gt;900,vp.data[[#This Row],[Sulf]]&lt;=0.5,vp.data[[#This Row],[Unknown]]=0),1,0)</f>
        <v>0</v>
      </c>
      <c r="AF1136">
        <f>IF(AND(vp.data[[#This Row],[CrudeType]]="Crude",vp.data[[#This Row],[Dens]]&gt;900,vp.data[[#This Row],[Sulf]]&lt;=0.5,vp.data[[#This Row],[Unknown]]=0),1,0)</f>
        <v>0</v>
      </c>
      <c r="AG1136" t="str">
        <f>INDEX(vp.data[[#Headers],[Unknown]:[Heavy_SW]],MATCH(1,vp.data[[#This Row],[Unknown]:[Heavy_SW]],0))</f>
        <v>Light_LSB</v>
      </c>
      <c r="AH1136">
        <f>INDEX([3]!crudeBD.lkup[Number],MATCH(vp.data[[#This Row],[Crude_Breakdown]],crudeBD.lkup[Crude Breakdown],0))</f>
        <v>1</v>
      </c>
      <c r="AI1136">
        <f>MONTH(vp.data[[#This Row],[SDate]])</f>
        <v>3</v>
      </c>
      <c r="AJ1136" s="5">
        <f>(vp.data[[#This Row],[VP]]-INDEX(crudeBD.lkup[Mean_VP],MATCH(vp.data[[#This Row],[Crude_Breakdown]],crudeBD.lkup[Crude Breakdown],0)))^2</f>
        <v>18.094937230311114</v>
      </c>
      <c r="AK1136" s="5">
        <f>(vp.data[[#This Row],[Dens]]-INDEX(crudeBD.lkup[Mean_Dens],MATCH(vp.data[[#This Row],[Crude_Breakdown]],crudeBD.lkup[Crude Breakdown],0)))^2</f>
        <v>5.6797863794725805</v>
      </c>
      <c r="AL1136" s="5">
        <f>(vp.data[[#This Row],[Sulf]]-INDEX(crudeBD.lkup[Mean_Sulf],MATCH(vp.data[[#This Row],[Crude_Breakdown]],crudeBD.lkup[Crude Breakdown],0)))^2</f>
        <v>0.14979131650136537</v>
      </c>
      <c r="AM1136" s="4">
        <f>IF(AND(vp.data[[#This Row],[SDate]]&gt;=DATE(YEAR(vp.data[[#This Row],[SDate]]),5,1),vp.data[[#This Row],[SDate]]&lt;=DATE(YEAR(vp.data[[#This Row],[SDate]]),9,15)),1,0)</f>
        <v>0</v>
      </c>
      <c r="AN1136" s="4">
        <f>IF(vp.data[[#This Row],[SDate]]&lt;DATE(2016,12,1),0,1)</f>
        <v>1</v>
      </c>
      <c r="AO1136" s="4">
        <f>IFERROR(vp.data[[#This Row],[Sulf]]*vp.data[[#This Row],[Net Dens]],"")</f>
        <v>6528917.3367089992</v>
      </c>
      <c r="AP1136">
        <f>IFERROR(vp.data[[#This Row],[Dens]]*vp.data[[#This Row],[VolumeM3]],"")</f>
        <v>4983906.3638999993</v>
      </c>
      <c r="AQ1136" s="15">
        <f>IFERROR(vp.data[[#This Row],[VP]]*vp.data[[#This Row],[VolumeM3]],"")</f>
        <v>581627.76179999998</v>
      </c>
    </row>
    <row r="1137" spans="1:43" x14ac:dyDescent="0.25">
      <c r="A1137">
        <v>1136</v>
      </c>
      <c r="B1137" t="s">
        <v>56</v>
      </c>
      <c r="C1137" t="s">
        <v>56</v>
      </c>
      <c r="D1137" t="s">
        <v>57</v>
      </c>
      <c r="F1137" s="1">
        <v>42823</v>
      </c>
      <c r="G1137" s="2">
        <v>79.2</v>
      </c>
      <c r="H1137" s="2"/>
      <c r="I1137" s="2">
        <f t="array" ref="I1137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1137" s="2">
        <v>18.5</v>
      </c>
      <c r="K1137" s="2">
        <v>16</v>
      </c>
      <c r="L1137" s="2">
        <v>847.5</v>
      </c>
      <c r="M1137" s="2">
        <f t="array" ref="M1137">_xlfn.IFNA(IF(vp.data[[#This Row],[Dens Input]]="",INDEX([1]DATA!$O$3:$O$9826,MATCH(1,(vp.data[[#This Row],[Battery]]=[1]DATA!$L$3:$L$9826)*(EOMONTH(vp.data[[#This Row],[SDate]],-1)+1=[1]DATA!$G$3:$G$9826),0)),vp.data[[#This Row],[Dens Input]]),"")</f>
        <v>847.5</v>
      </c>
      <c r="N1137" s="2">
        <f ca="1">INDEX(INDIRECT(_xlfn.CONCAT("weather.tbl[",N$1,"]")),MATCH(vp.data[[#This Row],[SDate]],weather.tbl[Date],0))</f>
        <v>6.7666666666666666</v>
      </c>
      <c r="O1137" s="2">
        <f ca="1">INDEX(INDIRECT(_xlfn.CONCAT("weather.tbl[",O$1,"]")),MATCH(vp.data[[#This Row],[SDate]],weather.tbl[Date],0))</f>
        <v>2.3880952380952385</v>
      </c>
      <c r="P1137" s="2">
        <f ca="1">INDEX(INDIRECT(_xlfn.CONCAT("weather.tbl[",P$1,"]")),MATCH(vp.data[[#This Row],[SDate]],weather.tbl[Date],0))</f>
        <v>6.7</v>
      </c>
      <c r="Q1137" s="2">
        <f ca="1">INDEX(INDIRECT(_xlfn.CONCAT("weather.tbl[",Q$1,"]")),MATCH(vp.data[[#This Row],[SDate]],weather.tbl[Date],0))</f>
        <v>7.9</v>
      </c>
      <c r="R1137" s="2">
        <f ca="1">INDEX(INDIRECT(_xlfn.CONCAT("weather.tbl[",R$1,"]")),MATCH(vp.data[[#This Row],[SDate]],weather.tbl[Date],0))</f>
        <v>5.5</v>
      </c>
      <c r="S1137" s="2">
        <f ca="1">INDEX(INDIRECT(_xlfn.CONCAT("weather.tbl[",S$1,"]")),MATCH(vp.data[[#This Row],[SDate]],weather.tbl[Date],0))</f>
        <v>8.8000000000000007</v>
      </c>
      <c r="T1137" s="2">
        <f ca="1">INDEX(INDIRECT(_xlfn.CONCAT("weather.tbl[",T$1,"]")),MATCH(vp.data[[#This Row],[SDate]],weather.tbl[Date],0))</f>
        <v>4.7</v>
      </c>
      <c r="U1137" s="2">
        <f ca="1">INDEX(INDIRECT(_xlfn.CONCAT("weather.tbl[",U$1,"]")),MATCH(vp.data[[#This Row],[SDate]],weather.tbl[Date],0))</f>
        <v>7</v>
      </c>
      <c r="V1137" s="2">
        <f t="array" ref="V11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2822.4540000000002</v>
      </c>
      <c r="W1137" t="s">
        <v>48</v>
      </c>
      <c r="X1137">
        <f>IF(OR(vp.data[[#This Row],[Sulf]]="",vp.data[[#This Row],[Dens]]=""),1,0)</f>
        <v>0</v>
      </c>
      <c r="Y1137">
        <f>IF(vp.data[[#This Row],[CrudeType]]="C5+",1,0)</f>
        <v>0</v>
      </c>
      <c r="Z1137">
        <f>IF(AND(vp.data[[#This Row],[CrudeType]]="Crude",vp.data[[#This Row],[Dens]]&lt;=825,vp.data[[#This Row],[Sulf]]&gt;0.5,vp.data[[#This Row],[Unknown]]=0),1,0)</f>
        <v>0</v>
      </c>
      <c r="AA1137">
        <f>IF(AND(vp.data[[#This Row],[CrudeType]]="Crude",vp.data[[#This Row],[Dens]]&lt;=825,vp.data[[#This Row],[Sulf]]&lt;=0.5,vp.data[[#This Row],[Unknown]]=0),1,0)</f>
        <v>0</v>
      </c>
      <c r="AB11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37">
        <f>IF(AND(vp.data[[#This Row],[CrudeType]]="Crude",vp.data[[#This Row],[Dens]]&gt;825,vp.data[[#This Row],[Dens]]&lt;=900,vp.data[[#This Row],[Sulf]]&lt;=0.5,vp.data[[#This Row],[Unknown]]=0),1,0)</f>
        <v>0</v>
      </c>
      <c r="AD1137">
        <f>IF(AND(vp.data[[#This Row],[CrudeType]]="Crude",vp.data[[#This Row],[Dens]]&gt;865,vp.data[[#This Row],[Dens]]&lt;=900,vp.data[[#This Row],[Sulf]]&gt;2,vp.data[[#This Row],[Unknown]]=0),1,0)</f>
        <v>0</v>
      </c>
      <c r="AE1137">
        <f>IF(AND(vp.data[[#This Row],[CrudeType]]="Crude",vp.data[[#This Row],[Dens]]&gt;900,vp.data[[#This Row],[Sulf]]&lt;=0.5,vp.data[[#This Row],[Unknown]]=0),1,0)</f>
        <v>0</v>
      </c>
      <c r="AF1137">
        <f>IF(AND(vp.data[[#This Row],[CrudeType]]="Crude",vp.data[[#This Row],[Dens]]&gt;900,vp.data[[#This Row],[Sulf]]&lt;=0.5,vp.data[[#This Row],[Unknown]]=0),1,0)</f>
        <v>0</v>
      </c>
      <c r="AG1137" t="str">
        <f>INDEX(vp.data[[#Headers],[Unknown]:[Heavy_SW]],MATCH(1,vp.data[[#This Row],[Unknown]:[Heavy_SW]],0))</f>
        <v>Medium_LSB</v>
      </c>
      <c r="AH1137">
        <f>INDEX([3]!crudeBD.lkup[Number],MATCH(vp.data[[#This Row],[Crude_Breakdown]],crudeBD.lkup[Crude Breakdown],0))</f>
        <v>3</v>
      </c>
      <c r="AI1137">
        <f>MONTH(vp.data[[#This Row],[SDate]])</f>
        <v>3</v>
      </c>
      <c r="AJ1137" s="5">
        <f>(vp.data[[#This Row],[VP]]-INDEX(crudeBD.lkup[Mean_VP],MATCH(vp.data[[#This Row],[Crude_Breakdown]],crudeBD.lkup[Crude Breakdown],0)))^2</f>
        <v>2.0726685682316353</v>
      </c>
      <c r="AK1137" s="5">
        <f>(vp.data[[#This Row],[Dens]]-INDEX(crudeBD.lkup[Mean_Dens],MATCH(vp.data[[#This Row],[Crude_Breakdown]],crudeBD.lkup[Crude Breakdown],0)))^2</f>
        <v>12.816400000003549</v>
      </c>
      <c r="AL1137" s="5">
        <f>(vp.data[[#This Row],[Sulf]]-INDEX(crudeBD.lkup[Mean_Sulf],MATCH(vp.data[[#This Row],[Crude_Breakdown]],crudeBD.lkup[Crude Breakdown],0)))^2</f>
        <v>5.9825184491918218E-2</v>
      </c>
      <c r="AM1137" s="4">
        <f>IF(AND(vp.data[[#This Row],[SDate]]&gt;=DATE(YEAR(vp.data[[#This Row],[SDate]]),5,1),vp.data[[#This Row],[SDate]]&lt;=DATE(YEAR(vp.data[[#This Row],[SDate]]),9,15)),1,0)</f>
        <v>0</v>
      </c>
      <c r="AN1137" s="4">
        <f>IF(vp.data[[#This Row],[SDate]]&lt;DATE(2016,12,1),0,1)</f>
        <v>1</v>
      </c>
      <c r="AO1137" s="4">
        <f>IFERROR(vp.data[[#This Row],[Sulf]]*vp.data[[#This Row],[Net Dens]],"")</f>
        <v>3899008.5169500001</v>
      </c>
      <c r="AP1137">
        <f>IFERROR(vp.data[[#This Row],[Dens]]*vp.data[[#This Row],[VolumeM3]],"")</f>
        <v>2392029.7650000001</v>
      </c>
      <c r="AQ1137" s="15">
        <f>IFERROR(vp.data[[#This Row],[VP]]*vp.data[[#This Row],[VolumeM3]],"")</f>
        <v>223538.35680000001</v>
      </c>
    </row>
    <row r="1138" spans="1:43" x14ac:dyDescent="0.25">
      <c r="A1138">
        <v>1137</v>
      </c>
      <c r="B1138" t="s">
        <v>51</v>
      </c>
      <c r="C1138" t="s">
        <v>51</v>
      </c>
      <c r="D1138" t="s">
        <v>71</v>
      </c>
      <c r="F1138" s="1">
        <v>42823</v>
      </c>
      <c r="G1138" s="2">
        <v>74.099999999999994</v>
      </c>
      <c r="H1138" s="2"/>
      <c r="I1138" s="2">
        <f t="array" ref="I1138">_xlfn.IFNA(IF(vp.data[[#This Row],[Sulf Input]]="",INDEX([1]DATA!$Q$3:$Q$9826,MATCH(1,(vp.data[[#This Row],[Battery]]=[1]DATA!$L$3:$L$9826)*(EOMONTH(vp.data[[#This Row],[SDate]],-1)+1=[1]DATA!$G$3:$G$9826),0)),vp.data[[#This Row],[Sulf Input]]),"")</f>
        <v>1.62</v>
      </c>
      <c r="J1138" s="2">
        <v>18</v>
      </c>
      <c r="K1138" s="2">
        <v>16</v>
      </c>
      <c r="L1138" s="2">
        <v>856</v>
      </c>
      <c r="M1138" s="2">
        <f t="array" ref="M1138">_xlfn.IFNA(IF(vp.data[[#This Row],[Dens Input]]="",INDEX([1]DATA!$O$3:$O$9826,MATCH(1,(vp.data[[#This Row],[Battery]]=[1]DATA!$L$3:$L$9826)*(EOMONTH(vp.data[[#This Row],[SDate]],-1)+1=[1]DATA!$G$3:$G$9826),0)),vp.data[[#This Row],[Dens Input]]),"")</f>
        <v>856</v>
      </c>
      <c r="N1138" s="2">
        <f ca="1">INDEX(INDIRECT(_xlfn.CONCAT("weather.tbl[",N$1,"]")),MATCH(vp.data[[#This Row],[SDate]],weather.tbl[Date],0))</f>
        <v>6.7666666666666666</v>
      </c>
      <c r="O1138" s="2">
        <f ca="1">INDEX(INDIRECT(_xlfn.CONCAT("weather.tbl[",O$1,"]")),MATCH(vp.data[[#This Row],[SDate]],weather.tbl[Date],0))</f>
        <v>2.3880952380952385</v>
      </c>
      <c r="P1138" s="2">
        <f ca="1">INDEX(INDIRECT(_xlfn.CONCAT("weather.tbl[",P$1,"]")),MATCH(vp.data[[#This Row],[SDate]],weather.tbl[Date],0))</f>
        <v>6.7</v>
      </c>
      <c r="Q1138" s="2">
        <f ca="1">INDEX(INDIRECT(_xlfn.CONCAT("weather.tbl[",Q$1,"]")),MATCH(vp.data[[#This Row],[SDate]],weather.tbl[Date],0))</f>
        <v>7.9</v>
      </c>
      <c r="R1138" s="2">
        <f ca="1">INDEX(INDIRECT(_xlfn.CONCAT("weather.tbl[",R$1,"]")),MATCH(vp.data[[#This Row],[SDate]],weather.tbl[Date],0))</f>
        <v>5.5</v>
      </c>
      <c r="S1138" s="2">
        <f ca="1">INDEX(INDIRECT(_xlfn.CONCAT("weather.tbl[",S$1,"]")),MATCH(vp.data[[#This Row],[SDate]],weather.tbl[Date],0))</f>
        <v>8.8000000000000007</v>
      </c>
      <c r="T1138" s="2">
        <f ca="1">INDEX(INDIRECT(_xlfn.CONCAT("weather.tbl[",T$1,"]")),MATCH(vp.data[[#This Row],[SDate]],weather.tbl[Date],0))</f>
        <v>4.7</v>
      </c>
      <c r="U1138" s="2">
        <f ca="1">INDEX(INDIRECT(_xlfn.CONCAT("weather.tbl[",U$1,"]")),MATCH(vp.data[[#This Row],[SDate]],weather.tbl[Date],0))</f>
        <v>7</v>
      </c>
      <c r="V1138" s="2">
        <f t="array" ref="V11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7995.5450000000001</v>
      </c>
      <c r="W1138" t="s">
        <v>48</v>
      </c>
      <c r="X1138">
        <f>IF(OR(vp.data[[#This Row],[Sulf]]="",vp.data[[#This Row],[Dens]]=""),1,0)</f>
        <v>0</v>
      </c>
      <c r="Y1138">
        <f>IF(vp.data[[#This Row],[CrudeType]]="C5+",1,0)</f>
        <v>0</v>
      </c>
      <c r="Z1138">
        <f>IF(AND(vp.data[[#This Row],[CrudeType]]="Crude",vp.data[[#This Row],[Dens]]&lt;=825,vp.data[[#This Row],[Sulf]]&gt;0.5,vp.data[[#This Row],[Unknown]]=0),1,0)</f>
        <v>0</v>
      </c>
      <c r="AA1138">
        <f>IF(AND(vp.data[[#This Row],[CrudeType]]="Crude",vp.data[[#This Row],[Dens]]&lt;=825,vp.data[[#This Row],[Sulf]]&lt;=0.5,vp.data[[#This Row],[Unknown]]=0),1,0)</f>
        <v>0</v>
      </c>
      <c r="AB11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38">
        <f>IF(AND(vp.data[[#This Row],[CrudeType]]="Crude",vp.data[[#This Row],[Dens]]&gt;825,vp.data[[#This Row],[Dens]]&lt;=900,vp.data[[#This Row],[Sulf]]&lt;=0.5,vp.data[[#This Row],[Unknown]]=0),1,0)</f>
        <v>0</v>
      </c>
      <c r="AD1138">
        <f>IF(AND(vp.data[[#This Row],[CrudeType]]="Crude",vp.data[[#This Row],[Dens]]&gt;865,vp.data[[#This Row],[Dens]]&lt;=900,vp.data[[#This Row],[Sulf]]&gt;2,vp.data[[#This Row],[Unknown]]=0),1,0)</f>
        <v>0</v>
      </c>
      <c r="AE1138">
        <f>IF(AND(vp.data[[#This Row],[CrudeType]]="Crude",vp.data[[#This Row],[Dens]]&gt;900,vp.data[[#This Row],[Sulf]]&lt;=0.5,vp.data[[#This Row],[Unknown]]=0),1,0)</f>
        <v>0</v>
      </c>
      <c r="AF1138">
        <f>IF(AND(vp.data[[#This Row],[CrudeType]]="Crude",vp.data[[#This Row],[Dens]]&gt;900,vp.data[[#This Row],[Sulf]]&lt;=0.5,vp.data[[#This Row],[Unknown]]=0),1,0)</f>
        <v>0</v>
      </c>
      <c r="AG1138" t="str">
        <f>INDEX(vp.data[[#Headers],[Unknown]:[Heavy_SW]],MATCH(1,vp.data[[#This Row],[Unknown]:[Heavy_SW]],0))</f>
        <v>Medium_LSB</v>
      </c>
      <c r="AH1138">
        <f>INDEX([3]!crudeBD.lkup[Number],MATCH(vp.data[[#This Row],[Crude_Breakdown]],crudeBD.lkup[Crude Breakdown],0))</f>
        <v>3</v>
      </c>
      <c r="AI1138">
        <f>MONTH(vp.data[[#This Row],[SDate]])</f>
        <v>3</v>
      </c>
      <c r="AJ1138" s="5">
        <f>(vp.data[[#This Row],[VP]]-INDEX(crudeBD.lkup[Mean_VP],MATCH(vp.data[[#This Row],[Crude_Breakdown]],crudeBD.lkup[Crude Breakdown],0)))^2</f>
        <v>42.767369376856323</v>
      </c>
      <c r="AK1138" s="5">
        <f>(vp.data[[#This Row],[Dens]]-INDEX(crudeBD.lkup[Mean_Dens],MATCH(vp.data[[#This Row],[Crude_Breakdown]],crudeBD.lkup[Crude Breakdown],0)))^2</f>
        <v>145.92640000001197</v>
      </c>
      <c r="AL1138" s="5">
        <f>(vp.data[[#This Row],[Sulf]]-INDEX(crudeBD.lkup[Mean_Sulf],MATCH(vp.data[[#This Row],[Crude_Breakdown]],crudeBD.lkup[Crude Breakdown],0)))^2</f>
        <v>5.5033347025611072E-2</v>
      </c>
      <c r="AM1138" s="4">
        <f>IF(AND(vp.data[[#This Row],[SDate]]&gt;=DATE(YEAR(vp.data[[#This Row],[SDate]]),5,1),vp.data[[#This Row],[SDate]]&lt;=DATE(YEAR(vp.data[[#This Row],[SDate]]),9,15)),1,0)</f>
        <v>0</v>
      </c>
      <c r="AN1138" s="4">
        <f>IF(vp.data[[#This Row],[SDate]]&lt;DATE(2016,12,1),0,1)</f>
        <v>1</v>
      </c>
      <c r="AO1138" s="4">
        <f>IFERROR(vp.data[[#This Row],[Sulf]]*vp.data[[#This Row],[Net Dens]],"")</f>
        <v>11087582.162400002</v>
      </c>
      <c r="AP1138">
        <f>IFERROR(vp.data[[#This Row],[Dens]]*vp.data[[#This Row],[VolumeM3]],"")</f>
        <v>6844186.5200000005</v>
      </c>
      <c r="AQ1138" s="15">
        <f>IFERROR(vp.data[[#This Row],[VP]]*vp.data[[#This Row],[VolumeM3]],"")</f>
        <v>592469.88449999993</v>
      </c>
    </row>
    <row r="1139" spans="1:43" x14ac:dyDescent="0.25">
      <c r="A1139">
        <v>1138</v>
      </c>
      <c r="B1139" t="s">
        <v>111</v>
      </c>
      <c r="C1139" t="s">
        <v>111</v>
      </c>
      <c r="D1139" t="s">
        <v>112</v>
      </c>
      <c r="F1139" s="1">
        <v>42823</v>
      </c>
      <c r="G1139" s="2">
        <v>64.2</v>
      </c>
      <c r="H1139" s="2"/>
      <c r="I1139" s="2">
        <f t="array" ref="I1139">_xlfn.IFNA(IF(vp.data[[#This Row],[Sulf Input]]="",INDEX([1]DATA!$Q$3:$Q$9826,MATCH(1,(vp.data[[#This Row],[Battery]]=[1]DATA!$L$3:$L$9826)*(EOMONTH(vp.data[[#This Row],[SDate]],-1)+1=[1]DATA!$G$3:$G$9826),0)),vp.data[[#This Row],[Sulf Input]]),"")</f>
        <v>1.86</v>
      </c>
      <c r="J1139" s="2">
        <v>35.6</v>
      </c>
      <c r="K1139" s="2">
        <v>16</v>
      </c>
      <c r="L1139" s="2">
        <v>858</v>
      </c>
      <c r="M1139" s="2">
        <f t="array" ref="M1139">_xlfn.IFNA(IF(vp.data[[#This Row],[Dens Input]]="",INDEX([1]DATA!$O$3:$O$9826,MATCH(1,(vp.data[[#This Row],[Battery]]=[1]DATA!$L$3:$L$9826)*(EOMONTH(vp.data[[#This Row],[SDate]],-1)+1=[1]DATA!$G$3:$G$9826),0)),vp.data[[#This Row],[Dens Input]]),"")</f>
        <v>858</v>
      </c>
      <c r="N1139" s="2">
        <f ca="1">INDEX(INDIRECT(_xlfn.CONCAT("weather.tbl[",N$1,"]")),MATCH(vp.data[[#This Row],[SDate]],weather.tbl[Date],0))</f>
        <v>6.7666666666666666</v>
      </c>
      <c r="O1139" s="2">
        <f ca="1">INDEX(INDIRECT(_xlfn.CONCAT("weather.tbl[",O$1,"]")),MATCH(vp.data[[#This Row],[SDate]],weather.tbl[Date],0))</f>
        <v>2.3880952380952385</v>
      </c>
      <c r="P1139" s="2">
        <f ca="1">INDEX(INDIRECT(_xlfn.CONCAT("weather.tbl[",P$1,"]")),MATCH(vp.data[[#This Row],[SDate]],weather.tbl[Date],0))</f>
        <v>6.7</v>
      </c>
      <c r="Q1139" s="2">
        <f ca="1">INDEX(INDIRECT(_xlfn.CONCAT("weather.tbl[",Q$1,"]")),MATCH(vp.data[[#This Row],[SDate]],weather.tbl[Date],0))</f>
        <v>7.9</v>
      </c>
      <c r="R1139" s="2">
        <f ca="1">INDEX(INDIRECT(_xlfn.CONCAT("weather.tbl[",R$1,"]")),MATCH(vp.data[[#This Row],[SDate]],weather.tbl[Date],0))</f>
        <v>5.5</v>
      </c>
      <c r="S1139" s="2">
        <f ca="1">INDEX(INDIRECT(_xlfn.CONCAT("weather.tbl[",S$1,"]")),MATCH(vp.data[[#This Row],[SDate]],weather.tbl[Date],0))</f>
        <v>8.8000000000000007</v>
      </c>
      <c r="T1139" s="2">
        <f ca="1">INDEX(INDIRECT(_xlfn.CONCAT("weather.tbl[",T$1,"]")),MATCH(vp.data[[#This Row],[SDate]],weather.tbl[Date],0))</f>
        <v>4.7</v>
      </c>
      <c r="U1139" s="2">
        <f ca="1">INDEX(INDIRECT(_xlfn.CONCAT("weather.tbl[",U$1,"]")),MATCH(vp.data[[#This Row],[SDate]],weather.tbl[Date],0))</f>
        <v>7</v>
      </c>
      <c r="V1139" s="2">
        <f t="array" ref="V11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7909.2460000000001</v>
      </c>
      <c r="W1139" t="s">
        <v>48</v>
      </c>
      <c r="X1139">
        <f>IF(OR(vp.data[[#This Row],[Sulf]]="",vp.data[[#This Row],[Dens]]=""),1,0)</f>
        <v>0</v>
      </c>
      <c r="Y1139">
        <f>IF(vp.data[[#This Row],[CrudeType]]="C5+",1,0)</f>
        <v>0</v>
      </c>
      <c r="Z1139">
        <f>IF(AND(vp.data[[#This Row],[CrudeType]]="Crude",vp.data[[#This Row],[Dens]]&lt;=825,vp.data[[#This Row],[Sulf]]&gt;0.5,vp.data[[#This Row],[Unknown]]=0),1,0)</f>
        <v>0</v>
      </c>
      <c r="AA1139">
        <f>IF(AND(vp.data[[#This Row],[CrudeType]]="Crude",vp.data[[#This Row],[Dens]]&lt;=825,vp.data[[#This Row],[Sulf]]&lt;=0.5,vp.data[[#This Row],[Unknown]]=0),1,0)</f>
        <v>0</v>
      </c>
      <c r="AB11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39">
        <f>IF(AND(vp.data[[#This Row],[CrudeType]]="Crude",vp.data[[#This Row],[Dens]]&gt;825,vp.data[[#This Row],[Dens]]&lt;=900,vp.data[[#This Row],[Sulf]]&lt;=0.5,vp.data[[#This Row],[Unknown]]=0),1,0)</f>
        <v>0</v>
      </c>
      <c r="AD1139">
        <f>IF(AND(vp.data[[#This Row],[CrudeType]]="Crude",vp.data[[#This Row],[Dens]]&gt;865,vp.data[[#This Row],[Dens]]&lt;=900,vp.data[[#This Row],[Sulf]]&gt;2,vp.data[[#This Row],[Unknown]]=0),1,0)</f>
        <v>0</v>
      </c>
      <c r="AE1139">
        <f>IF(AND(vp.data[[#This Row],[CrudeType]]="Crude",vp.data[[#This Row],[Dens]]&gt;900,vp.data[[#This Row],[Sulf]]&lt;=0.5,vp.data[[#This Row],[Unknown]]=0),1,0)</f>
        <v>0</v>
      </c>
      <c r="AF1139">
        <f>IF(AND(vp.data[[#This Row],[CrudeType]]="Crude",vp.data[[#This Row],[Dens]]&gt;900,vp.data[[#This Row],[Sulf]]&lt;=0.5,vp.data[[#This Row],[Unknown]]=0),1,0)</f>
        <v>0</v>
      </c>
      <c r="AG1139" t="str">
        <f>INDEX(vp.data[[#Headers],[Unknown]:[Heavy_SW]],MATCH(1,vp.data[[#This Row],[Unknown]:[Heavy_SW]],0))</f>
        <v>Medium_LSB</v>
      </c>
      <c r="AH1139">
        <f>INDEX([3]!crudeBD.lkup[Number],MATCH(vp.data[[#This Row],[Crude_Breakdown]],crudeBD.lkup[Crude Breakdown],0))</f>
        <v>3</v>
      </c>
      <c r="AI1139">
        <f>MONTH(vp.data[[#This Row],[SDate]])</f>
        <v>3</v>
      </c>
      <c r="AJ1139" s="5">
        <f>(vp.data[[#This Row],[VP]]-INDEX(crudeBD.lkup[Mean_VP],MATCH(vp.data[[#This Row],[Crude_Breakdown]],crudeBD.lkup[Crude Breakdown],0)))^2</f>
        <v>270.26296506418629</v>
      </c>
      <c r="AK1139" s="5">
        <f>(vp.data[[#This Row],[Dens]]-INDEX(crudeBD.lkup[Mean_Dens],MATCH(vp.data[[#This Row],[Crude_Breakdown]],crudeBD.lkup[Crude Breakdown],0)))^2</f>
        <v>198.24640000001395</v>
      </c>
      <c r="AL1139" s="5">
        <f>(vp.data[[#This Row],[Sulf]]-INDEX(crudeBD.lkup[Mean_Sulf],MATCH(vp.data[[#This Row],[Crude_Breakdown]],crudeBD.lkup[Crude Breakdown],0)))^2</f>
        <v>0.22523744621698505</v>
      </c>
      <c r="AM1139" s="4">
        <f>IF(AND(vp.data[[#This Row],[SDate]]&gt;=DATE(YEAR(vp.data[[#This Row],[SDate]]),5,1),vp.data[[#This Row],[SDate]]&lt;=DATE(YEAR(vp.data[[#This Row],[SDate]]),9,15)),1,0)</f>
        <v>0</v>
      </c>
      <c r="AN1139" s="4">
        <f>IF(vp.data[[#This Row],[SDate]]&lt;DATE(2016,12,1),0,1)</f>
        <v>1</v>
      </c>
      <c r="AO1139" s="4">
        <f>IFERROR(vp.data[[#This Row],[Sulf]]*vp.data[[#This Row],[Net Dens]],"")</f>
        <v>12622207.506480001</v>
      </c>
      <c r="AP1139">
        <f>IFERROR(vp.data[[#This Row],[Dens]]*vp.data[[#This Row],[VolumeM3]],"")</f>
        <v>6786133.068</v>
      </c>
      <c r="AQ1139" s="15">
        <f>IFERROR(vp.data[[#This Row],[VP]]*vp.data[[#This Row],[VolumeM3]],"")</f>
        <v>507773.5932</v>
      </c>
    </row>
    <row r="1140" spans="1:43" x14ac:dyDescent="0.25">
      <c r="A1140">
        <v>1139</v>
      </c>
      <c r="B1140" t="s">
        <v>56</v>
      </c>
      <c r="C1140" t="s">
        <v>56</v>
      </c>
      <c r="D1140" t="s">
        <v>94</v>
      </c>
      <c r="F1140" s="1">
        <v>42823</v>
      </c>
      <c r="G1140" s="2">
        <v>72.900000000000006</v>
      </c>
      <c r="H1140" s="2"/>
      <c r="I1140" s="2">
        <f t="array" ref="I1140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140" s="2">
        <v>22.3</v>
      </c>
      <c r="K1140" s="2">
        <v>16</v>
      </c>
      <c r="L1140" s="2">
        <v>864.2</v>
      </c>
      <c r="M1140" s="2">
        <f t="array" ref="M1140">_xlfn.IFNA(IF(vp.data[[#This Row],[Dens Input]]="",INDEX([1]DATA!$O$3:$O$9826,MATCH(1,(vp.data[[#This Row],[Battery]]=[1]DATA!$L$3:$L$9826)*(EOMONTH(vp.data[[#This Row],[SDate]],-1)+1=[1]DATA!$G$3:$G$9826),0)),vp.data[[#This Row],[Dens Input]]),"")</f>
        <v>864.2</v>
      </c>
      <c r="N1140" s="2">
        <f ca="1">INDEX(INDIRECT(_xlfn.CONCAT("weather.tbl[",N$1,"]")),MATCH(vp.data[[#This Row],[SDate]],weather.tbl[Date],0))</f>
        <v>6.7666666666666666</v>
      </c>
      <c r="O1140" s="2">
        <f ca="1">INDEX(INDIRECT(_xlfn.CONCAT("weather.tbl[",O$1,"]")),MATCH(vp.data[[#This Row],[SDate]],weather.tbl[Date],0))</f>
        <v>2.3880952380952385</v>
      </c>
      <c r="P1140" s="2">
        <f ca="1">INDEX(INDIRECT(_xlfn.CONCAT("weather.tbl[",P$1,"]")),MATCH(vp.data[[#This Row],[SDate]],weather.tbl[Date],0))</f>
        <v>6.7</v>
      </c>
      <c r="Q1140" s="2">
        <f ca="1">INDEX(INDIRECT(_xlfn.CONCAT("weather.tbl[",Q$1,"]")),MATCH(vp.data[[#This Row],[SDate]],weather.tbl[Date],0))</f>
        <v>7.9</v>
      </c>
      <c r="R1140" s="2">
        <f ca="1">INDEX(INDIRECT(_xlfn.CONCAT("weather.tbl[",R$1,"]")),MATCH(vp.data[[#This Row],[SDate]],weather.tbl[Date],0))</f>
        <v>5.5</v>
      </c>
      <c r="S1140" s="2">
        <f ca="1">INDEX(INDIRECT(_xlfn.CONCAT("weather.tbl[",S$1,"]")),MATCH(vp.data[[#This Row],[SDate]],weather.tbl[Date],0))</f>
        <v>8.8000000000000007</v>
      </c>
      <c r="T1140" s="2">
        <f ca="1">INDEX(INDIRECT(_xlfn.CONCAT("weather.tbl[",T$1,"]")),MATCH(vp.data[[#This Row],[SDate]],weather.tbl[Date],0))</f>
        <v>4.7</v>
      </c>
      <c r="U1140" s="2">
        <f ca="1">INDEX(INDIRECT(_xlfn.CONCAT("weather.tbl[",U$1,"]")),MATCH(vp.data[[#This Row],[SDate]],weather.tbl[Date],0))</f>
        <v>7</v>
      </c>
      <c r="V1140" s="2">
        <f t="array" ref="V11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4141.4380000000001</v>
      </c>
      <c r="W1140" t="s">
        <v>48</v>
      </c>
      <c r="X1140">
        <f>IF(OR(vp.data[[#This Row],[Sulf]]="",vp.data[[#This Row],[Dens]]=""),1,0)</f>
        <v>0</v>
      </c>
      <c r="Y1140">
        <f>IF(vp.data[[#This Row],[CrudeType]]="C5+",1,0)</f>
        <v>0</v>
      </c>
      <c r="Z1140">
        <f>IF(AND(vp.data[[#This Row],[CrudeType]]="Crude",vp.data[[#This Row],[Dens]]&lt;=825,vp.data[[#This Row],[Sulf]]&gt;0.5,vp.data[[#This Row],[Unknown]]=0),1,0)</f>
        <v>0</v>
      </c>
      <c r="AA1140">
        <f>IF(AND(vp.data[[#This Row],[CrudeType]]="Crude",vp.data[[#This Row],[Dens]]&lt;=825,vp.data[[#This Row],[Sulf]]&lt;=0.5,vp.data[[#This Row],[Unknown]]=0),1,0)</f>
        <v>0</v>
      </c>
      <c r="AB11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0">
        <f>IF(AND(vp.data[[#This Row],[CrudeType]]="Crude",vp.data[[#This Row],[Dens]]&gt;825,vp.data[[#This Row],[Dens]]&lt;=900,vp.data[[#This Row],[Sulf]]&lt;=0.5,vp.data[[#This Row],[Unknown]]=0),1,0)</f>
        <v>0</v>
      </c>
      <c r="AD1140">
        <f>IF(AND(vp.data[[#This Row],[CrudeType]]="Crude",vp.data[[#This Row],[Dens]]&gt;865,vp.data[[#This Row],[Dens]]&lt;=900,vp.data[[#This Row],[Sulf]]&gt;2,vp.data[[#This Row],[Unknown]]=0),1,0)</f>
        <v>0</v>
      </c>
      <c r="AE1140">
        <f>IF(AND(vp.data[[#This Row],[CrudeType]]="Crude",vp.data[[#This Row],[Dens]]&gt;900,vp.data[[#This Row],[Sulf]]&lt;=0.5,vp.data[[#This Row],[Unknown]]=0),1,0)</f>
        <v>0</v>
      </c>
      <c r="AF1140">
        <f>IF(AND(vp.data[[#This Row],[CrudeType]]="Crude",vp.data[[#This Row],[Dens]]&gt;900,vp.data[[#This Row],[Sulf]]&lt;=0.5,vp.data[[#This Row],[Unknown]]=0),1,0)</f>
        <v>0</v>
      </c>
      <c r="AG1140" t="str">
        <f>INDEX(vp.data[[#Headers],[Unknown]:[Heavy_SW]],MATCH(1,vp.data[[#This Row],[Unknown]:[Heavy_SW]],0))</f>
        <v>Medium_LSB</v>
      </c>
      <c r="AH1140">
        <f>INDEX([3]!crudeBD.lkup[Number],MATCH(vp.data[[#This Row],[Crude_Breakdown]],crudeBD.lkup[Crude Breakdown],0))</f>
        <v>3</v>
      </c>
      <c r="AI1140">
        <f>MONTH(vp.data[[#This Row],[SDate]])</f>
        <v>3</v>
      </c>
      <c r="AJ1140" s="5">
        <f>(vp.data[[#This Row],[VP]]-INDEX(crudeBD.lkup[Mean_VP],MATCH(vp.data[[#This Row],[Crude_Breakdown]],crudeBD.lkup[Crude Breakdown],0)))^2</f>
        <v>59.902593096532541</v>
      </c>
      <c r="AK1140" s="5">
        <f>(vp.data[[#This Row],[Dens]]-INDEX(crudeBD.lkup[Mean_Dens],MATCH(vp.data[[#This Row],[Crude_Breakdown]],crudeBD.lkup[Crude Breakdown],0)))^2</f>
        <v>411.27840000002197</v>
      </c>
      <c r="AL1140" s="5">
        <f>(vp.data[[#This Row],[Sulf]]-INDEX(crudeBD.lkup[Mean_Sulf],MATCH(vp.data[[#This Row],[Crude_Breakdown]],crudeBD.lkup[Crude Breakdown],0)))^2</f>
        <v>0.26480479608221386</v>
      </c>
      <c r="AM1140" s="4">
        <f>IF(AND(vp.data[[#This Row],[SDate]]&gt;=DATE(YEAR(vp.data[[#This Row],[SDate]]),5,1),vp.data[[#This Row],[SDate]]&lt;=DATE(YEAR(vp.data[[#This Row],[SDate]]),9,15)),1,0)</f>
        <v>0</v>
      </c>
      <c r="AN1140" s="4">
        <f>IF(vp.data[[#This Row],[SDate]]&lt;DATE(2016,12,1),0,1)</f>
        <v>1</v>
      </c>
      <c r="AO1140" s="4">
        <f>IFERROR(vp.data[[#This Row],[Sulf]]*vp.data[[#This Row],[Net Dens]],"")</f>
        <v>6800158.3672400005</v>
      </c>
      <c r="AP1140">
        <f>IFERROR(vp.data[[#This Row],[Dens]]*vp.data[[#This Row],[VolumeM3]],"")</f>
        <v>3579030.7196000004</v>
      </c>
      <c r="AQ1140" s="15">
        <f>IFERROR(vp.data[[#This Row],[VP]]*vp.data[[#This Row],[VolumeM3]],"")</f>
        <v>301910.83020000003</v>
      </c>
    </row>
    <row r="1141" spans="1:43" x14ac:dyDescent="0.25">
      <c r="A1141">
        <v>1140</v>
      </c>
      <c r="B1141" t="s">
        <v>46</v>
      </c>
      <c r="C1141" t="s">
        <v>46</v>
      </c>
      <c r="D1141" t="s">
        <v>47</v>
      </c>
      <c r="F1141" s="1">
        <v>42823</v>
      </c>
      <c r="G1141" s="2">
        <v>61.4</v>
      </c>
      <c r="H1141" s="2"/>
      <c r="I1141" s="2">
        <f t="array" ref="I1141">_xlfn.IFNA(IF(vp.data[[#This Row],[Sulf Input]]="",INDEX([1]DATA!$Q$3:$Q$9826,MATCH(1,(vp.data[[#This Row],[Battery]]=[1]DATA!$L$3:$L$9826)*(EOMONTH(vp.data[[#This Row],[SDate]],-1)+1=[1]DATA!$G$3:$G$9826),0)),vp.data[[#This Row],[Sulf Input]]),"")</f>
        <v>2.38</v>
      </c>
      <c r="J1141" s="2">
        <v>28.8</v>
      </c>
      <c r="K1141" s="2">
        <v>16</v>
      </c>
      <c r="L1141" s="2">
        <v>866.4</v>
      </c>
      <c r="M1141" s="2">
        <f t="array" ref="M1141">_xlfn.IFNA(IF(vp.data[[#This Row],[Dens Input]]="",INDEX([1]DATA!$O$3:$O$9826,MATCH(1,(vp.data[[#This Row],[Battery]]=[1]DATA!$L$3:$L$9826)*(EOMONTH(vp.data[[#This Row],[SDate]],-1)+1=[1]DATA!$G$3:$G$9826),0)),vp.data[[#This Row],[Dens Input]]),"")</f>
        <v>866.4</v>
      </c>
      <c r="N1141" s="2">
        <f ca="1">INDEX(INDIRECT(_xlfn.CONCAT("weather.tbl[",N$1,"]")),MATCH(vp.data[[#This Row],[SDate]],weather.tbl[Date],0))</f>
        <v>6.7666666666666666</v>
      </c>
      <c r="O1141" s="2">
        <f ca="1">INDEX(INDIRECT(_xlfn.CONCAT("weather.tbl[",O$1,"]")),MATCH(vp.data[[#This Row],[SDate]],weather.tbl[Date],0))</f>
        <v>2.3880952380952385</v>
      </c>
      <c r="P1141" s="2">
        <f ca="1">INDEX(INDIRECT(_xlfn.CONCAT("weather.tbl[",P$1,"]")),MATCH(vp.data[[#This Row],[SDate]],weather.tbl[Date],0))</f>
        <v>6.7</v>
      </c>
      <c r="Q1141" s="2">
        <f ca="1">INDEX(INDIRECT(_xlfn.CONCAT("weather.tbl[",Q$1,"]")),MATCH(vp.data[[#This Row],[SDate]],weather.tbl[Date],0))</f>
        <v>7.9</v>
      </c>
      <c r="R1141" s="2">
        <f ca="1">INDEX(INDIRECT(_xlfn.CONCAT("weather.tbl[",R$1,"]")),MATCH(vp.data[[#This Row],[SDate]],weather.tbl[Date],0))</f>
        <v>5.5</v>
      </c>
      <c r="S1141" s="2">
        <f ca="1">INDEX(INDIRECT(_xlfn.CONCAT("weather.tbl[",S$1,"]")),MATCH(vp.data[[#This Row],[SDate]],weather.tbl[Date],0))</f>
        <v>8.8000000000000007</v>
      </c>
      <c r="T1141" s="2">
        <f ca="1">INDEX(INDIRECT(_xlfn.CONCAT("weather.tbl[",T$1,"]")),MATCH(vp.data[[#This Row],[SDate]],weather.tbl[Date],0))</f>
        <v>4.7</v>
      </c>
      <c r="U1141" s="2">
        <f ca="1">INDEX(INDIRECT(_xlfn.CONCAT("weather.tbl[",U$1,"]")),MATCH(vp.data[[#This Row],[SDate]],weather.tbl[Date],0))</f>
        <v>7</v>
      </c>
      <c r="V1141" s="2">
        <f t="array" ref="V11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118908.394</v>
      </c>
      <c r="W1141" t="s">
        <v>48</v>
      </c>
      <c r="X1141">
        <f>IF(OR(vp.data[[#This Row],[Sulf]]="",vp.data[[#This Row],[Dens]]=""),1,0)</f>
        <v>0</v>
      </c>
      <c r="Y1141">
        <f>IF(vp.data[[#This Row],[CrudeType]]="C5+",1,0)</f>
        <v>0</v>
      </c>
      <c r="Z1141">
        <f>IF(AND(vp.data[[#This Row],[CrudeType]]="Crude",vp.data[[#This Row],[Dens]]&lt;=825,vp.data[[#This Row],[Sulf]]&gt;0.5,vp.data[[#This Row],[Unknown]]=0),1,0)</f>
        <v>0</v>
      </c>
      <c r="AA1141">
        <f>IF(AND(vp.data[[#This Row],[CrudeType]]="Crude",vp.data[[#This Row],[Dens]]&lt;=825,vp.data[[#This Row],[Sulf]]&lt;=0.5,vp.data[[#This Row],[Unknown]]=0),1,0)</f>
        <v>0</v>
      </c>
      <c r="AB11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41">
        <f>IF(AND(vp.data[[#This Row],[CrudeType]]="Crude",vp.data[[#This Row],[Dens]]&gt;825,vp.data[[#This Row],[Dens]]&lt;=900,vp.data[[#This Row],[Sulf]]&lt;=0.5,vp.data[[#This Row],[Unknown]]=0),1,0)</f>
        <v>0</v>
      </c>
      <c r="AD1141">
        <f>IF(AND(vp.data[[#This Row],[CrudeType]]="Crude",vp.data[[#This Row],[Dens]]&gt;865,vp.data[[#This Row],[Dens]]&lt;=900,vp.data[[#This Row],[Sulf]]&gt;2,vp.data[[#This Row],[Unknown]]=0),1,0)</f>
        <v>1</v>
      </c>
      <c r="AE1141">
        <f>IF(AND(vp.data[[#This Row],[CrudeType]]="Crude",vp.data[[#This Row],[Dens]]&gt;900,vp.data[[#This Row],[Sulf]]&lt;=0.5,vp.data[[#This Row],[Unknown]]=0),1,0)</f>
        <v>0</v>
      </c>
      <c r="AF1141">
        <f>IF(AND(vp.data[[#This Row],[CrudeType]]="Crude",vp.data[[#This Row],[Dens]]&gt;900,vp.data[[#This Row],[Sulf]]&lt;=0.5,vp.data[[#This Row],[Unknown]]=0),1,0)</f>
        <v>0</v>
      </c>
      <c r="AG1141" t="str">
        <f>INDEX(vp.data[[#Headers],[Unknown]:[Heavy_SW]],MATCH(1,vp.data[[#This Row],[Unknown]:[Heavy_SW]],0))</f>
        <v>Midale</v>
      </c>
      <c r="AH1141">
        <f>INDEX([3]!crudeBD.lkup[Number],MATCH(vp.data[[#This Row],[Crude_Breakdown]],crudeBD.lkup[Crude Breakdown],0))</f>
        <v>5</v>
      </c>
      <c r="AI1141">
        <f>MONTH(vp.data[[#This Row],[SDate]])</f>
        <v>3</v>
      </c>
      <c r="AJ1141" s="5">
        <f>(vp.data[[#This Row],[VP]]-INDEX(crudeBD.lkup[Mean_VP],MATCH(vp.data[[#This Row],[Crude_Breakdown]],crudeBD.lkup[Crude Breakdown],0)))^2</f>
        <v>64.140282973749066</v>
      </c>
      <c r="AK1141" s="5">
        <f>(vp.data[[#This Row],[Dens]]-INDEX(crudeBD.lkup[Mean_Dens],MATCH(vp.data[[#This Row],[Crude_Breakdown]],crudeBD.lkup[Crude Breakdown],0)))^2</f>
        <v>70.846062546503589</v>
      </c>
      <c r="AL1141" s="5">
        <f>(vp.data[[#This Row],[Sulf]]-INDEX(crudeBD.lkup[Mean_Sulf],MATCH(vp.data[[#This Row],[Crude_Breakdown]],crudeBD.lkup[Crude Breakdown],0)))^2</f>
        <v>4.0469403660429899E-3</v>
      </c>
      <c r="AM1141" s="4">
        <f>IF(AND(vp.data[[#This Row],[SDate]]&gt;=DATE(YEAR(vp.data[[#This Row],[SDate]]),5,1),vp.data[[#This Row],[SDate]]&lt;=DATE(YEAR(vp.data[[#This Row],[SDate]]),9,15)),1,0)</f>
        <v>0</v>
      </c>
      <c r="AN1141" s="4">
        <f>IF(vp.data[[#This Row],[SDate]]&lt;DATE(2016,12,1),0,1)</f>
        <v>1</v>
      </c>
      <c r="AO1141" s="4">
        <f>IFERROR(vp.data[[#This Row],[Sulf]]*vp.data[[#This Row],[Net Dens]],"")</f>
        <v>245192913.49660799</v>
      </c>
      <c r="AP1141">
        <f>IFERROR(vp.data[[#This Row],[Dens]]*vp.data[[#This Row],[VolumeM3]],"")</f>
        <v>103022232.5616</v>
      </c>
      <c r="AQ1141" s="15">
        <f>IFERROR(vp.data[[#This Row],[VP]]*vp.data[[#This Row],[VolumeM3]],"")</f>
        <v>7300975.3915999997</v>
      </c>
    </row>
    <row r="1142" spans="1:43" x14ac:dyDescent="0.25">
      <c r="A1142">
        <v>1141</v>
      </c>
      <c r="B1142" t="s">
        <v>53</v>
      </c>
      <c r="C1142" t="s">
        <v>53</v>
      </c>
      <c r="D1142" t="s">
        <v>54</v>
      </c>
      <c r="E1142" t="s">
        <v>55</v>
      </c>
      <c r="F1142" s="1">
        <v>42823</v>
      </c>
      <c r="G1142" s="2">
        <v>77.8</v>
      </c>
      <c r="H1142" s="2"/>
      <c r="I1142" s="2">
        <f t="array" ref="I1142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142" s="2">
        <v>12.3</v>
      </c>
      <c r="K1142" s="2">
        <v>16</v>
      </c>
      <c r="L1142" s="2">
        <v>844.3</v>
      </c>
      <c r="M1142" s="2">
        <f t="array" ref="M1142">_xlfn.IFNA(IF(vp.data[[#This Row],[Dens Input]]="",INDEX([1]DATA!$O$3:$O$9826,MATCH(1,(vp.data[[#This Row],[Battery]]=[1]DATA!$L$3:$L$9826)*(EOMONTH(vp.data[[#This Row],[SDate]],-1)+1=[1]DATA!$G$3:$G$9826),0)),vp.data[[#This Row],[Dens Input]]),"")</f>
        <v>844.3</v>
      </c>
      <c r="N1142" s="2">
        <f ca="1">INDEX(INDIRECT(_xlfn.CONCAT("weather.tbl[",N$1,"]")),MATCH(vp.data[[#This Row],[SDate]],weather.tbl[Date],0))</f>
        <v>6.7666666666666666</v>
      </c>
      <c r="O1142" s="2">
        <f ca="1">INDEX(INDIRECT(_xlfn.CONCAT("weather.tbl[",O$1,"]")),MATCH(vp.data[[#This Row],[SDate]],weather.tbl[Date],0))</f>
        <v>2.3880952380952385</v>
      </c>
      <c r="P1142" s="2">
        <f ca="1">INDEX(INDIRECT(_xlfn.CONCAT("weather.tbl[",P$1,"]")),MATCH(vp.data[[#This Row],[SDate]],weather.tbl[Date],0))</f>
        <v>6.7</v>
      </c>
      <c r="Q1142" s="2">
        <f ca="1">INDEX(INDIRECT(_xlfn.CONCAT("weather.tbl[",Q$1,"]")),MATCH(vp.data[[#This Row],[SDate]],weather.tbl[Date],0))</f>
        <v>7.9</v>
      </c>
      <c r="R1142" s="2">
        <f ca="1">INDEX(INDIRECT(_xlfn.CONCAT("weather.tbl[",R$1,"]")),MATCH(vp.data[[#This Row],[SDate]],weather.tbl[Date],0))</f>
        <v>5.5</v>
      </c>
      <c r="S1142" s="2">
        <f ca="1">INDEX(INDIRECT(_xlfn.CONCAT("weather.tbl[",S$1,"]")),MATCH(vp.data[[#This Row],[SDate]],weather.tbl[Date],0))</f>
        <v>8.8000000000000007</v>
      </c>
      <c r="T1142" s="2">
        <f ca="1">INDEX(INDIRECT(_xlfn.CONCAT("weather.tbl[",T$1,"]")),MATCH(vp.data[[#This Row],[SDate]],weather.tbl[Date],0))</f>
        <v>4.7</v>
      </c>
      <c r="U1142" s="2">
        <f ca="1">INDEX(INDIRECT(_xlfn.CONCAT("weather.tbl[",U$1,"]")),MATCH(vp.data[[#This Row],[SDate]],weather.tbl[Date],0))</f>
        <v>7</v>
      </c>
      <c r="V1142" s="2">
        <f t="array" ref="V11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9106.7160000000003</v>
      </c>
      <c r="W1142" t="s">
        <v>48</v>
      </c>
      <c r="X1142">
        <f>IF(OR(vp.data[[#This Row],[Sulf]]="",vp.data[[#This Row],[Dens]]=""),1,0)</f>
        <v>0</v>
      </c>
      <c r="Y1142">
        <f>IF(vp.data[[#This Row],[CrudeType]]="C5+",1,0)</f>
        <v>0</v>
      </c>
      <c r="Z1142">
        <f>IF(AND(vp.data[[#This Row],[CrudeType]]="Crude",vp.data[[#This Row],[Dens]]&lt;=825,vp.data[[#This Row],[Sulf]]&gt;0.5,vp.data[[#This Row],[Unknown]]=0),1,0)</f>
        <v>0</v>
      </c>
      <c r="AA1142">
        <f>IF(AND(vp.data[[#This Row],[CrudeType]]="Crude",vp.data[[#This Row],[Dens]]&lt;=825,vp.data[[#This Row],[Sulf]]&lt;=0.5,vp.data[[#This Row],[Unknown]]=0),1,0)</f>
        <v>0</v>
      </c>
      <c r="AB11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2">
        <f>IF(AND(vp.data[[#This Row],[CrudeType]]="Crude",vp.data[[#This Row],[Dens]]&gt;825,vp.data[[#This Row],[Dens]]&lt;=900,vp.data[[#This Row],[Sulf]]&lt;=0.5,vp.data[[#This Row],[Unknown]]=0),1,0)</f>
        <v>0</v>
      </c>
      <c r="AD1142">
        <f>IF(AND(vp.data[[#This Row],[CrudeType]]="Crude",vp.data[[#This Row],[Dens]]&gt;865,vp.data[[#This Row],[Dens]]&lt;=900,vp.data[[#This Row],[Sulf]]&gt;2,vp.data[[#This Row],[Unknown]]=0),1,0)</f>
        <v>0</v>
      </c>
      <c r="AE1142">
        <f>IF(AND(vp.data[[#This Row],[CrudeType]]="Crude",vp.data[[#This Row],[Dens]]&gt;900,vp.data[[#This Row],[Sulf]]&lt;=0.5,vp.data[[#This Row],[Unknown]]=0),1,0)</f>
        <v>0</v>
      </c>
      <c r="AF1142">
        <f>IF(AND(vp.data[[#This Row],[CrudeType]]="Crude",vp.data[[#This Row],[Dens]]&gt;900,vp.data[[#This Row],[Sulf]]&lt;=0.5,vp.data[[#This Row],[Unknown]]=0),1,0)</f>
        <v>0</v>
      </c>
      <c r="AG1142" t="str">
        <f>INDEX(vp.data[[#Headers],[Unknown]:[Heavy_SW]],MATCH(1,vp.data[[#This Row],[Unknown]:[Heavy_SW]],0))</f>
        <v>Medium_LSB</v>
      </c>
      <c r="AH1142">
        <f>INDEX([3]!crudeBD.lkup[Number],MATCH(vp.data[[#This Row],[Crude_Breakdown]],crudeBD.lkup[Crude Breakdown],0))</f>
        <v>3</v>
      </c>
      <c r="AI1142">
        <f>MONTH(vp.data[[#This Row],[SDate]])</f>
        <v>3</v>
      </c>
      <c r="AJ1142" s="5">
        <f>(vp.data[[#This Row],[VP]]-INDEX(crudeBD.lkup[Mean_VP],MATCH(vp.data[[#This Row],[Crude_Breakdown]],crudeBD.lkup[Crude Breakdown],0)))^2</f>
        <v>8.0637629078541</v>
      </c>
      <c r="AK1142" s="5">
        <f>(vp.data[[#This Row],[Dens]]-INDEX(crudeBD.lkup[Mean_Dens],MATCH(vp.data[[#This Row],[Crude_Breakdown]],crudeBD.lkup[Crude Breakdown],0)))^2</f>
        <v>0.14440000000034214</v>
      </c>
      <c r="AL1142" s="5">
        <f>(vp.data[[#This Row],[Sulf]]-INDEX(crudeBD.lkup[Mean_Sulf],MATCH(vp.data[[#This Row],[Crude_Breakdown]],crudeBD.lkup[Crude Breakdown],0)))^2</f>
        <v>4.2782230363935985E-3</v>
      </c>
      <c r="AM1142" s="4">
        <f>IF(AND(vp.data[[#This Row],[SDate]]&gt;=DATE(YEAR(vp.data[[#This Row],[SDate]]),5,1),vp.data[[#This Row],[SDate]]&lt;=DATE(YEAR(vp.data[[#This Row],[SDate]]),9,15)),1,0)</f>
        <v>0</v>
      </c>
      <c r="AN1142" s="4">
        <f>IF(vp.data[[#This Row],[SDate]]&lt;DATE(2016,12,1),0,1)</f>
        <v>1</v>
      </c>
      <c r="AO1142" s="4">
        <f>IFERROR(vp.data[[#This Row],[Sulf]]*vp.data[[#This Row],[Net Dens]],"")</f>
        <v>10149216.420816001</v>
      </c>
      <c r="AP1142">
        <f>IFERROR(vp.data[[#This Row],[Dens]]*vp.data[[#This Row],[VolumeM3]],"")</f>
        <v>7688800.3187999995</v>
      </c>
      <c r="AQ1142" s="15">
        <f>IFERROR(vp.data[[#This Row],[VP]]*vp.data[[#This Row],[VolumeM3]],"")</f>
        <v>708502.5048</v>
      </c>
    </row>
    <row r="1143" spans="1:43" x14ac:dyDescent="0.25">
      <c r="A1143">
        <v>1142</v>
      </c>
      <c r="B1143" t="s">
        <v>49</v>
      </c>
      <c r="C1143" t="s">
        <v>49</v>
      </c>
      <c r="D1143" t="s">
        <v>235</v>
      </c>
      <c r="F1143" s="1">
        <v>42824</v>
      </c>
      <c r="G1143" s="2">
        <v>75.7</v>
      </c>
      <c r="H1143" s="2">
        <v>1.0589999999999999</v>
      </c>
      <c r="I1143" s="2">
        <f t="array" ref="I1143">_xlfn.IFNA(IF(vp.data[[#This Row],[Sulf Input]]="",INDEX([1]DATA!$Q$3:$Q$9826,MATCH(1,(vp.data[[#This Row],[Battery]]=[1]DATA!$L$3:$L$9826)*(EOMONTH(vp.data[[#This Row],[SDate]],-1)+1=[1]DATA!$G$3:$G$9826),0)),vp.data[[#This Row],[Sulf Input]]),"")</f>
        <v>1.0589999999999999</v>
      </c>
      <c r="J1143" s="2">
        <v>26.2</v>
      </c>
      <c r="K1143" s="2">
        <v>14</v>
      </c>
      <c r="L1143" s="2">
        <v>843.4</v>
      </c>
      <c r="M1143" s="2">
        <f t="array" ref="M1143">_xlfn.IFNA(IF(vp.data[[#This Row],[Dens Input]]="",INDEX([1]DATA!$O$3:$O$9826,MATCH(1,(vp.data[[#This Row],[Battery]]=[1]DATA!$L$3:$L$9826)*(EOMONTH(vp.data[[#This Row],[SDate]],-1)+1=[1]DATA!$G$3:$G$9826),0)),vp.data[[#This Row],[Dens Input]]),"")</f>
        <v>843.4</v>
      </c>
      <c r="N1143" s="2">
        <f ca="1">INDEX(INDIRECT(_xlfn.CONCAT("weather.tbl[",N$1,"]")),MATCH(vp.data[[#This Row],[SDate]],weather.tbl[Date],0))</f>
        <v>8.2666666666666657</v>
      </c>
      <c r="O1143" s="2">
        <f ca="1">INDEX(INDIRECT(_xlfn.CONCAT("weather.tbl[",O$1,"]")),MATCH(vp.data[[#This Row],[SDate]],weather.tbl[Date],0))</f>
        <v>3.7380952380952381</v>
      </c>
      <c r="P1143" s="2">
        <f ca="1">INDEX(INDIRECT(_xlfn.CONCAT("weather.tbl[",P$1,"]")),MATCH(vp.data[[#This Row],[SDate]],weather.tbl[Date],0))</f>
        <v>9</v>
      </c>
      <c r="Q1143" s="2">
        <f ca="1">INDEX(INDIRECT(_xlfn.CONCAT("weather.tbl[",Q$1,"]")),MATCH(vp.data[[#This Row],[SDate]],weather.tbl[Date],0))</f>
        <v>10.199999999999999</v>
      </c>
      <c r="R1143" s="2">
        <f ca="1">INDEX(INDIRECT(_xlfn.CONCAT("weather.tbl[",R$1,"]")),MATCH(vp.data[[#This Row],[SDate]],weather.tbl[Date],0))</f>
        <v>5</v>
      </c>
      <c r="S1143" s="2">
        <f ca="1">INDEX(INDIRECT(_xlfn.CONCAT("weather.tbl[",S$1,"]")),MATCH(vp.data[[#This Row],[SDate]],weather.tbl[Date],0))</f>
        <v>10.199999999999999</v>
      </c>
      <c r="T1143" s="2">
        <f ca="1">INDEX(INDIRECT(_xlfn.CONCAT("weather.tbl[",T$1,"]")),MATCH(vp.data[[#This Row],[SDate]],weather.tbl[Date],0))</f>
        <v>5.9</v>
      </c>
      <c r="U1143" s="2">
        <f ca="1">INDEX(INDIRECT(_xlfn.CONCAT("weather.tbl[",U$1,"]")),MATCH(vp.data[[#This Row],[SDate]],weather.tbl[Date],0))</f>
        <v>9.3000000000000007</v>
      </c>
      <c r="V1143" s="2">
        <f t="array" ref="V11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2331.413</v>
      </c>
      <c r="W1143" t="s">
        <v>48</v>
      </c>
      <c r="X1143">
        <f>IF(OR(vp.data[[#This Row],[Sulf]]="",vp.data[[#This Row],[Dens]]=""),1,0)</f>
        <v>0</v>
      </c>
      <c r="Y1143">
        <f>IF(vp.data[[#This Row],[CrudeType]]="C5+",1,0)</f>
        <v>0</v>
      </c>
      <c r="Z1143">
        <f>IF(AND(vp.data[[#This Row],[CrudeType]]="Crude",vp.data[[#This Row],[Dens]]&lt;=825,vp.data[[#This Row],[Sulf]]&gt;0.5,vp.data[[#This Row],[Unknown]]=0),1,0)</f>
        <v>0</v>
      </c>
      <c r="AA1143">
        <f>IF(AND(vp.data[[#This Row],[CrudeType]]="Crude",vp.data[[#This Row],[Dens]]&lt;=825,vp.data[[#This Row],[Sulf]]&lt;=0.5,vp.data[[#This Row],[Unknown]]=0),1,0)</f>
        <v>0</v>
      </c>
      <c r="AB11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3">
        <f>IF(AND(vp.data[[#This Row],[CrudeType]]="Crude",vp.data[[#This Row],[Dens]]&gt;825,vp.data[[#This Row],[Dens]]&lt;=900,vp.data[[#This Row],[Sulf]]&lt;=0.5,vp.data[[#This Row],[Unknown]]=0),1,0)</f>
        <v>0</v>
      </c>
      <c r="AD1143">
        <f>IF(AND(vp.data[[#This Row],[CrudeType]]="Crude",vp.data[[#This Row],[Dens]]&gt;865,vp.data[[#This Row],[Dens]]&lt;=900,vp.data[[#This Row],[Sulf]]&gt;2,vp.data[[#This Row],[Unknown]]=0),1,0)</f>
        <v>0</v>
      </c>
      <c r="AE1143">
        <f>IF(AND(vp.data[[#This Row],[CrudeType]]="Crude",vp.data[[#This Row],[Dens]]&gt;900,vp.data[[#This Row],[Sulf]]&lt;=0.5,vp.data[[#This Row],[Unknown]]=0),1,0)</f>
        <v>0</v>
      </c>
      <c r="AF1143">
        <f>IF(AND(vp.data[[#This Row],[CrudeType]]="Crude",vp.data[[#This Row],[Dens]]&gt;900,vp.data[[#This Row],[Sulf]]&lt;=0.5,vp.data[[#This Row],[Unknown]]=0),1,0)</f>
        <v>0</v>
      </c>
      <c r="AG1143" t="str">
        <f>INDEX(vp.data[[#Headers],[Unknown]:[Heavy_SW]],MATCH(1,vp.data[[#This Row],[Unknown]:[Heavy_SW]],0))</f>
        <v>Medium_LSB</v>
      </c>
      <c r="AH1143">
        <f>INDEX([3]!crudeBD.lkup[Number],MATCH(vp.data[[#This Row],[Crude_Breakdown]],crudeBD.lkup[Crude Breakdown],0))</f>
        <v>3</v>
      </c>
      <c r="AI1143">
        <f>MONTH(vp.data[[#This Row],[SDate]])</f>
        <v>3</v>
      </c>
      <c r="AJ1143" s="5">
        <f>(vp.data[[#This Row],[VP]]-INDEX(crudeBD.lkup[Mean_VP],MATCH(vp.data[[#This Row],[Crude_Breakdown]],crudeBD.lkup[Crude Breakdown],0)))^2</f>
        <v>24.400404417287717</v>
      </c>
      <c r="AK1143" s="5">
        <f>(vp.data[[#This Row],[Dens]]-INDEX(crudeBD.lkup[Mean_Dens],MATCH(vp.data[[#This Row],[Crude_Breakdown]],crudeBD.lkup[Crude Breakdown],0)))^2</f>
        <v>0.27039999999950814</v>
      </c>
      <c r="AL1143" s="5">
        <f>(vp.data[[#This Row],[Sulf]]-INDEX(crudeBD.lkup[Mean_Sulf],MATCH(vp.data[[#This Row],[Crude_Breakdown]],crudeBD.lkup[Crude Breakdown],0)))^2</f>
        <v>0.10654226516577449</v>
      </c>
      <c r="AM1143" s="4">
        <f>IF(AND(vp.data[[#This Row],[SDate]]&gt;=DATE(YEAR(vp.data[[#This Row],[SDate]]),5,1),vp.data[[#This Row],[SDate]]&lt;=DATE(YEAR(vp.data[[#This Row],[SDate]]),9,15)),1,0)</f>
        <v>0</v>
      </c>
      <c r="AN1143" s="4">
        <f>IF(vp.data[[#This Row],[SDate]]&lt;DATE(2016,12,1),0,1)</f>
        <v>1</v>
      </c>
      <c r="AO1143" s="4">
        <f>IFERROR(vp.data[[#This Row],[Sulf]]*vp.data[[#This Row],[Net Dens]],"")</f>
        <v>2082326.2339277999</v>
      </c>
      <c r="AP1143">
        <f>IFERROR(vp.data[[#This Row],[Dens]]*vp.data[[#This Row],[VolumeM3]],"")</f>
        <v>1966313.7242000001</v>
      </c>
      <c r="AQ1143" s="15">
        <f>IFERROR(vp.data[[#This Row],[VP]]*vp.data[[#This Row],[VolumeM3]],"")</f>
        <v>176487.96410000001</v>
      </c>
    </row>
    <row r="1144" spans="1:43" x14ac:dyDescent="0.25">
      <c r="A1144">
        <v>1143</v>
      </c>
      <c r="B1144" t="s">
        <v>49</v>
      </c>
      <c r="C1144" t="s">
        <v>49</v>
      </c>
      <c r="D1144" t="s">
        <v>236</v>
      </c>
      <c r="F1144" s="1">
        <v>42824</v>
      </c>
      <c r="G1144" s="2">
        <v>75.5</v>
      </c>
      <c r="H1144" s="2">
        <v>1.0669999999999999</v>
      </c>
      <c r="I1144" s="2">
        <f t="array" ref="I1144">_xlfn.IFNA(IF(vp.data[[#This Row],[Sulf Input]]="",INDEX([1]DATA!$Q$3:$Q$9826,MATCH(1,(vp.data[[#This Row],[Battery]]=[1]DATA!$L$3:$L$9826)*(EOMONTH(vp.data[[#This Row],[SDate]],-1)+1=[1]DATA!$G$3:$G$9826),0)),vp.data[[#This Row],[Sulf Input]]),"")</f>
        <v>1.0669999999999999</v>
      </c>
      <c r="J1144" s="2">
        <v>21.1</v>
      </c>
      <c r="K1144" s="2">
        <v>14</v>
      </c>
      <c r="L1144" s="2">
        <v>841.1</v>
      </c>
      <c r="M1144" s="2">
        <f t="array" ref="M1144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1144" s="2">
        <f ca="1">INDEX(INDIRECT(_xlfn.CONCAT("weather.tbl[",N$1,"]")),MATCH(vp.data[[#This Row],[SDate]],weather.tbl[Date],0))</f>
        <v>8.2666666666666657</v>
      </c>
      <c r="O1144" s="2">
        <f ca="1">INDEX(INDIRECT(_xlfn.CONCAT("weather.tbl[",O$1,"]")),MATCH(vp.data[[#This Row],[SDate]],weather.tbl[Date],0))</f>
        <v>3.7380952380952381</v>
      </c>
      <c r="P1144" s="2">
        <f ca="1">INDEX(INDIRECT(_xlfn.CONCAT("weather.tbl[",P$1,"]")),MATCH(vp.data[[#This Row],[SDate]],weather.tbl[Date],0))</f>
        <v>9</v>
      </c>
      <c r="Q1144" s="2">
        <f ca="1">INDEX(INDIRECT(_xlfn.CONCAT("weather.tbl[",Q$1,"]")),MATCH(vp.data[[#This Row],[SDate]],weather.tbl[Date],0))</f>
        <v>10.199999999999999</v>
      </c>
      <c r="R1144" s="2">
        <f ca="1">INDEX(INDIRECT(_xlfn.CONCAT("weather.tbl[",R$1,"]")),MATCH(vp.data[[#This Row],[SDate]],weather.tbl[Date],0))</f>
        <v>5</v>
      </c>
      <c r="S1144" s="2">
        <f ca="1">INDEX(INDIRECT(_xlfn.CONCAT("weather.tbl[",S$1,"]")),MATCH(vp.data[[#This Row],[SDate]],weather.tbl[Date],0))</f>
        <v>10.199999999999999</v>
      </c>
      <c r="T1144" s="2">
        <f ca="1">INDEX(INDIRECT(_xlfn.CONCAT("weather.tbl[",T$1,"]")),MATCH(vp.data[[#This Row],[SDate]],weather.tbl[Date],0))</f>
        <v>5.9</v>
      </c>
      <c r="U1144" s="2">
        <f ca="1">INDEX(INDIRECT(_xlfn.CONCAT("weather.tbl[",U$1,"]")),MATCH(vp.data[[#This Row],[SDate]],weather.tbl[Date],0))</f>
        <v>9.3000000000000007</v>
      </c>
      <c r="V1144" s="2">
        <f t="array" ref="V11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1421.019</v>
      </c>
      <c r="W1144" t="s">
        <v>48</v>
      </c>
      <c r="X1144">
        <f>IF(OR(vp.data[[#This Row],[Sulf]]="",vp.data[[#This Row],[Dens]]=""),1,0)</f>
        <v>0</v>
      </c>
      <c r="Y1144">
        <f>IF(vp.data[[#This Row],[CrudeType]]="C5+",1,0)</f>
        <v>0</v>
      </c>
      <c r="Z1144">
        <f>IF(AND(vp.data[[#This Row],[CrudeType]]="Crude",vp.data[[#This Row],[Dens]]&lt;=825,vp.data[[#This Row],[Sulf]]&gt;0.5,vp.data[[#This Row],[Unknown]]=0),1,0)</f>
        <v>0</v>
      </c>
      <c r="AA1144">
        <f>IF(AND(vp.data[[#This Row],[CrudeType]]="Crude",vp.data[[#This Row],[Dens]]&lt;=825,vp.data[[#This Row],[Sulf]]&lt;=0.5,vp.data[[#This Row],[Unknown]]=0),1,0)</f>
        <v>0</v>
      </c>
      <c r="AB11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4">
        <f>IF(AND(vp.data[[#This Row],[CrudeType]]="Crude",vp.data[[#This Row],[Dens]]&gt;825,vp.data[[#This Row],[Dens]]&lt;=900,vp.data[[#This Row],[Sulf]]&lt;=0.5,vp.data[[#This Row],[Unknown]]=0),1,0)</f>
        <v>0</v>
      </c>
      <c r="AD1144">
        <f>IF(AND(vp.data[[#This Row],[CrudeType]]="Crude",vp.data[[#This Row],[Dens]]&gt;865,vp.data[[#This Row],[Dens]]&lt;=900,vp.data[[#This Row],[Sulf]]&gt;2,vp.data[[#This Row],[Unknown]]=0),1,0)</f>
        <v>0</v>
      </c>
      <c r="AE1144">
        <f>IF(AND(vp.data[[#This Row],[CrudeType]]="Crude",vp.data[[#This Row],[Dens]]&gt;900,vp.data[[#This Row],[Sulf]]&lt;=0.5,vp.data[[#This Row],[Unknown]]=0),1,0)</f>
        <v>0</v>
      </c>
      <c r="AF1144">
        <f>IF(AND(vp.data[[#This Row],[CrudeType]]="Crude",vp.data[[#This Row],[Dens]]&gt;900,vp.data[[#This Row],[Sulf]]&lt;=0.5,vp.data[[#This Row],[Unknown]]=0),1,0)</f>
        <v>0</v>
      </c>
      <c r="AG1144" t="str">
        <f>INDEX(vp.data[[#Headers],[Unknown]:[Heavy_SW]],MATCH(1,vp.data[[#This Row],[Unknown]:[Heavy_SW]],0))</f>
        <v>Medium_LSB</v>
      </c>
      <c r="AH1144">
        <f>INDEX([3]!crudeBD.lkup[Number],MATCH(vp.data[[#This Row],[Crude_Breakdown]],crudeBD.lkup[Crude Breakdown],0))</f>
        <v>3</v>
      </c>
      <c r="AI1144">
        <f>MONTH(vp.data[[#This Row],[SDate]])</f>
        <v>3</v>
      </c>
      <c r="AJ1144" s="5">
        <f>(vp.data[[#This Row],[VP]]-INDEX(crudeBD.lkup[Mean_VP],MATCH(vp.data[[#This Row],[Crude_Breakdown]],crudeBD.lkup[Crude Breakdown],0)))^2</f>
        <v>26.41627503723381</v>
      </c>
      <c r="AK1144" s="5">
        <f>(vp.data[[#This Row],[Dens]]-INDEX(crudeBD.lkup[Mean_Dens],MATCH(vp.data[[#This Row],[Crude_Breakdown]],crudeBD.lkup[Crude Breakdown],0)))^2</f>
        <v>7.952399999997076</v>
      </c>
      <c r="AL1144" s="5">
        <f>(vp.data[[#This Row],[Sulf]]-INDEX(crudeBD.lkup[Mean_Sulf],MATCH(vp.data[[#This Row],[Crude_Breakdown]],crudeBD.lkup[Crude Breakdown],0)))^2</f>
        <v>0.10138373513882029</v>
      </c>
      <c r="AM1144" s="4">
        <f>IF(AND(vp.data[[#This Row],[SDate]]&gt;=DATE(YEAR(vp.data[[#This Row],[SDate]]),5,1),vp.data[[#This Row],[SDate]]&lt;=DATE(YEAR(vp.data[[#This Row],[SDate]]),9,15)),1,0)</f>
        <v>0</v>
      </c>
      <c r="AN1144" s="4">
        <f>IF(vp.data[[#This Row],[SDate]]&lt;DATE(2016,12,1),0,1)</f>
        <v>1</v>
      </c>
      <c r="AO1144" s="4">
        <f>IFERROR(vp.data[[#This Row],[Sulf]]*vp.data[[#This Row],[Net Dens]],"")</f>
        <v>1275298.7593202998</v>
      </c>
      <c r="AP1144">
        <f>IFERROR(vp.data[[#This Row],[Dens]]*vp.data[[#This Row],[VolumeM3]],"")</f>
        <v>1195219.0808999999</v>
      </c>
      <c r="AQ1144" s="15">
        <f>IFERROR(vp.data[[#This Row],[VP]]*vp.data[[#This Row],[VolumeM3]],"")</f>
        <v>107286.9345</v>
      </c>
    </row>
    <row r="1145" spans="1:43" x14ac:dyDescent="0.25">
      <c r="A1145">
        <v>1144</v>
      </c>
      <c r="B1145" t="s">
        <v>49</v>
      </c>
      <c r="C1145" t="s">
        <v>49</v>
      </c>
      <c r="D1145" t="s">
        <v>237</v>
      </c>
      <c r="F1145" s="1">
        <v>42824</v>
      </c>
      <c r="G1145" s="2">
        <v>59</v>
      </c>
      <c r="H1145" s="2">
        <v>1.157</v>
      </c>
      <c r="I1145" s="2">
        <f t="array" ref="I1145">_xlfn.IFNA(IF(vp.data[[#This Row],[Sulf Input]]="",INDEX([1]DATA!$Q$3:$Q$9826,MATCH(1,(vp.data[[#This Row],[Battery]]=[1]DATA!$L$3:$L$9826)*(EOMONTH(vp.data[[#This Row],[SDate]],-1)+1=[1]DATA!$G$3:$G$9826),0)),vp.data[[#This Row],[Sulf Input]]),"")</f>
        <v>1.157</v>
      </c>
      <c r="J1145" s="2">
        <v>18.5</v>
      </c>
      <c r="K1145" s="2">
        <v>14</v>
      </c>
      <c r="L1145" s="2">
        <v>846.6</v>
      </c>
      <c r="M1145" s="2">
        <f t="array" ref="M1145">_xlfn.IFNA(IF(vp.data[[#This Row],[Dens Input]]="",INDEX([1]DATA!$O$3:$O$9826,MATCH(1,(vp.data[[#This Row],[Battery]]=[1]DATA!$L$3:$L$9826)*(EOMONTH(vp.data[[#This Row],[SDate]],-1)+1=[1]DATA!$G$3:$G$9826),0)),vp.data[[#This Row],[Dens Input]]),"")</f>
        <v>846.6</v>
      </c>
      <c r="N1145" s="2">
        <f ca="1">INDEX(INDIRECT(_xlfn.CONCAT("weather.tbl[",N$1,"]")),MATCH(vp.data[[#This Row],[SDate]],weather.tbl[Date],0))</f>
        <v>8.2666666666666657</v>
      </c>
      <c r="O1145" s="2">
        <f ca="1">INDEX(INDIRECT(_xlfn.CONCAT("weather.tbl[",O$1,"]")),MATCH(vp.data[[#This Row],[SDate]],weather.tbl[Date],0))</f>
        <v>3.7380952380952381</v>
      </c>
      <c r="P1145" s="2">
        <f ca="1">INDEX(INDIRECT(_xlfn.CONCAT("weather.tbl[",P$1,"]")),MATCH(vp.data[[#This Row],[SDate]],weather.tbl[Date],0))</f>
        <v>9</v>
      </c>
      <c r="Q1145" s="2">
        <f ca="1">INDEX(INDIRECT(_xlfn.CONCAT("weather.tbl[",Q$1,"]")),MATCH(vp.data[[#This Row],[SDate]],weather.tbl[Date],0))</f>
        <v>10.199999999999999</v>
      </c>
      <c r="R1145" s="2">
        <f ca="1">INDEX(INDIRECT(_xlfn.CONCAT("weather.tbl[",R$1,"]")),MATCH(vp.data[[#This Row],[SDate]],weather.tbl[Date],0))</f>
        <v>5</v>
      </c>
      <c r="S1145" s="2">
        <f ca="1">INDEX(INDIRECT(_xlfn.CONCAT("weather.tbl[",S$1,"]")),MATCH(vp.data[[#This Row],[SDate]],weather.tbl[Date],0))</f>
        <v>10.199999999999999</v>
      </c>
      <c r="T1145" s="2">
        <f ca="1">INDEX(INDIRECT(_xlfn.CONCAT("weather.tbl[",T$1,"]")),MATCH(vp.data[[#This Row],[SDate]],weather.tbl[Date],0))</f>
        <v>5.9</v>
      </c>
      <c r="U1145" s="2">
        <f ca="1">INDEX(INDIRECT(_xlfn.CONCAT("weather.tbl[",U$1,"]")),MATCH(vp.data[[#This Row],[SDate]],weather.tbl[Date],0))</f>
        <v>9.3000000000000007</v>
      </c>
      <c r="V1145" s="2">
        <f t="array" ref="V11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940.25300000000004</v>
      </c>
      <c r="W1145" t="s">
        <v>48</v>
      </c>
      <c r="X1145">
        <f>IF(OR(vp.data[[#This Row],[Sulf]]="",vp.data[[#This Row],[Dens]]=""),1,0)</f>
        <v>0</v>
      </c>
      <c r="Y1145">
        <f>IF(vp.data[[#This Row],[CrudeType]]="C5+",1,0)</f>
        <v>0</v>
      </c>
      <c r="Z1145">
        <f>IF(AND(vp.data[[#This Row],[CrudeType]]="Crude",vp.data[[#This Row],[Dens]]&lt;=825,vp.data[[#This Row],[Sulf]]&gt;0.5,vp.data[[#This Row],[Unknown]]=0),1,0)</f>
        <v>0</v>
      </c>
      <c r="AA1145">
        <f>IF(AND(vp.data[[#This Row],[CrudeType]]="Crude",vp.data[[#This Row],[Dens]]&lt;=825,vp.data[[#This Row],[Sulf]]&lt;=0.5,vp.data[[#This Row],[Unknown]]=0),1,0)</f>
        <v>0</v>
      </c>
      <c r="AB11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5">
        <f>IF(AND(vp.data[[#This Row],[CrudeType]]="Crude",vp.data[[#This Row],[Dens]]&gt;825,vp.data[[#This Row],[Dens]]&lt;=900,vp.data[[#This Row],[Sulf]]&lt;=0.5,vp.data[[#This Row],[Unknown]]=0),1,0)</f>
        <v>0</v>
      </c>
      <c r="AD1145">
        <f>IF(AND(vp.data[[#This Row],[CrudeType]]="Crude",vp.data[[#This Row],[Dens]]&gt;865,vp.data[[#This Row],[Dens]]&lt;=900,vp.data[[#This Row],[Sulf]]&gt;2,vp.data[[#This Row],[Unknown]]=0),1,0)</f>
        <v>0</v>
      </c>
      <c r="AE1145">
        <f>IF(AND(vp.data[[#This Row],[CrudeType]]="Crude",vp.data[[#This Row],[Dens]]&gt;900,vp.data[[#This Row],[Sulf]]&lt;=0.5,vp.data[[#This Row],[Unknown]]=0),1,0)</f>
        <v>0</v>
      </c>
      <c r="AF1145">
        <f>IF(AND(vp.data[[#This Row],[CrudeType]]="Crude",vp.data[[#This Row],[Dens]]&gt;900,vp.data[[#This Row],[Sulf]]&lt;=0.5,vp.data[[#This Row],[Unknown]]=0),1,0)</f>
        <v>0</v>
      </c>
      <c r="AG1145" t="str">
        <f>INDEX(vp.data[[#Headers],[Unknown]:[Heavy_SW]],MATCH(1,vp.data[[#This Row],[Unknown]:[Heavy_SW]],0))</f>
        <v>Medium_LSB</v>
      </c>
      <c r="AH1145">
        <f>INDEX([3]!crudeBD.lkup[Number],MATCH(vp.data[[#This Row],[Crude_Breakdown]],crudeBD.lkup[Crude Breakdown],0))</f>
        <v>3</v>
      </c>
      <c r="AI1145">
        <f>MONTH(vp.data[[#This Row],[SDate]])</f>
        <v>3</v>
      </c>
      <c r="AJ1145" s="5">
        <f>(vp.data[[#This Row],[VP]]-INDEX(crudeBD.lkup[Mean_VP],MATCH(vp.data[[#This Row],[Crude_Breakdown]],crudeBD.lkup[Crude Breakdown],0)))^2</f>
        <v>468.27560118278399</v>
      </c>
      <c r="AK1145" s="5">
        <f>(vp.data[[#This Row],[Dens]]-INDEX(crudeBD.lkup[Mean_Dens],MATCH(vp.data[[#This Row],[Crude_Breakdown]],crudeBD.lkup[Crude Breakdown],0)))^2</f>
        <v>7.1824000000027786</v>
      </c>
      <c r="AL1145" s="5">
        <f>(vp.data[[#This Row],[Sulf]]-INDEX(crudeBD.lkup[Mean_Sulf],MATCH(vp.data[[#This Row],[Crude_Breakdown]],crudeBD.lkup[Crude Breakdown],0)))^2</f>
        <v>5.2170272335585466E-2</v>
      </c>
      <c r="AM1145" s="4">
        <f>IF(AND(vp.data[[#This Row],[SDate]]&gt;=DATE(YEAR(vp.data[[#This Row],[SDate]]),5,1),vp.data[[#This Row],[SDate]]&lt;=DATE(YEAR(vp.data[[#This Row],[SDate]]),9,15)),1,0)</f>
        <v>0</v>
      </c>
      <c r="AN1145" s="4">
        <f>IF(vp.data[[#This Row],[SDate]]&lt;DATE(2016,12,1),0,1)</f>
        <v>1</v>
      </c>
      <c r="AO1145" s="4">
        <f>IFERROR(vp.data[[#This Row],[Sulf]]*vp.data[[#This Row],[Net Dens]],"")</f>
        <v>920993.04559860006</v>
      </c>
      <c r="AP1145">
        <f>IFERROR(vp.data[[#This Row],[Dens]]*vp.data[[#This Row],[VolumeM3]],"")</f>
        <v>796018.18980000005</v>
      </c>
      <c r="AQ1145" s="15">
        <f>IFERROR(vp.data[[#This Row],[VP]]*vp.data[[#This Row],[VolumeM3]],"")</f>
        <v>55474.927000000003</v>
      </c>
    </row>
    <row r="1146" spans="1:43" x14ac:dyDescent="0.25">
      <c r="A1146">
        <v>1145</v>
      </c>
      <c r="B1146" t="s">
        <v>108</v>
      </c>
      <c r="C1146" t="s">
        <v>108</v>
      </c>
      <c r="D1146" t="s">
        <v>238</v>
      </c>
      <c r="F1146" s="1">
        <v>42824</v>
      </c>
      <c r="G1146" s="2">
        <v>85.78</v>
      </c>
      <c r="H1146" s="2"/>
      <c r="I1146" s="2">
        <f t="array" ref="I1146">_xlfn.IFNA(IF(vp.data[[#This Row],[Sulf Input]]="",INDEX([1]DATA!$Q$3:$Q$9826,MATCH(1,(vp.data[[#This Row],[Battery]]=[1]DATA!$L$3:$L$9826)*(EOMONTH(vp.data[[#This Row],[SDate]],-1)+1=[1]DATA!$G$3:$G$9826),0)),vp.data[[#This Row],[Sulf Input]]),"")</f>
        <v>1.03</v>
      </c>
      <c r="J1146" s="2">
        <v>11.8</v>
      </c>
      <c r="K1146" s="2">
        <v>14</v>
      </c>
      <c r="L1146" s="2">
        <v>839.8</v>
      </c>
      <c r="M1146" s="2">
        <f t="array" ref="M1146">_xlfn.IFNA(IF(vp.data[[#This Row],[Dens Input]]="",INDEX([1]DATA!$O$3:$O$9826,MATCH(1,(vp.data[[#This Row],[Battery]]=[1]DATA!$L$3:$L$9826)*(EOMONTH(vp.data[[#This Row],[SDate]],-1)+1=[1]DATA!$G$3:$G$9826),0)),vp.data[[#This Row],[Dens Input]]),"")</f>
        <v>839.8</v>
      </c>
      <c r="N1146" s="2">
        <f ca="1">INDEX(INDIRECT(_xlfn.CONCAT("weather.tbl[",N$1,"]")),MATCH(vp.data[[#This Row],[SDate]],weather.tbl[Date],0))</f>
        <v>8.2666666666666657</v>
      </c>
      <c r="O1146" s="2">
        <f ca="1">INDEX(INDIRECT(_xlfn.CONCAT("weather.tbl[",O$1,"]")),MATCH(vp.data[[#This Row],[SDate]],weather.tbl[Date],0))</f>
        <v>3.7380952380952381</v>
      </c>
      <c r="P1146" s="2">
        <f ca="1">INDEX(INDIRECT(_xlfn.CONCAT("weather.tbl[",P$1,"]")),MATCH(vp.data[[#This Row],[SDate]],weather.tbl[Date],0))</f>
        <v>9</v>
      </c>
      <c r="Q1146" s="2">
        <f ca="1">INDEX(INDIRECT(_xlfn.CONCAT("weather.tbl[",Q$1,"]")),MATCH(vp.data[[#This Row],[SDate]],weather.tbl[Date],0))</f>
        <v>10.199999999999999</v>
      </c>
      <c r="R1146" s="2">
        <f ca="1">INDEX(INDIRECT(_xlfn.CONCAT("weather.tbl[",R$1,"]")),MATCH(vp.data[[#This Row],[SDate]],weather.tbl[Date],0))</f>
        <v>5</v>
      </c>
      <c r="S1146" s="2">
        <f ca="1">INDEX(INDIRECT(_xlfn.CONCAT("weather.tbl[",S$1,"]")),MATCH(vp.data[[#This Row],[SDate]],weather.tbl[Date],0))</f>
        <v>10.199999999999999</v>
      </c>
      <c r="T1146" s="2">
        <f ca="1">INDEX(INDIRECT(_xlfn.CONCAT("weather.tbl[",T$1,"]")),MATCH(vp.data[[#This Row],[SDate]],weather.tbl[Date],0))</f>
        <v>5.9</v>
      </c>
      <c r="U1146" s="2">
        <f ca="1">INDEX(INDIRECT(_xlfn.CONCAT("weather.tbl[",U$1,"]")),MATCH(vp.data[[#This Row],[SDate]],weather.tbl[Date],0))</f>
        <v>9.3000000000000007</v>
      </c>
      <c r="V1146" s="2">
        <f t="array" ref="V11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282.61700000000002</v>
      </c>
      <c r="W1146" t="s">
        <v>48</v>
      </c>
      <c r="X1146">
        <f>IF(OR(vp.data[[#This Row],[Sulf]]="",vp.data[[#This Row],[Dens]]=""),1,0)</f>
        <v>0</v>
      </c>
      <c r="Y1146">
        <f>IF(vp.data[[#This Row],[CrudeType]]="C5+",1,0)</f>
        <v>0</v>
      </c>
      <c r="Z1146">
        <f>IF(AND(vp.data[[#This Row],[CrudeType]]="Crude",vp.data[[#This Row],[Dens]]&lt;=825,vp.data[[#This Row],[Sulf]]&gt;0.5,vp.data[[#This Row],[Unknown]]=0),1,0)</f>
        <v>0</v>
      </c>
      <c r="AA1146">
        <f>IF(AND(vp.data[[#This Row],[CrudeType]]="Crude",vp.data[[#This Row],[Dens]]&lt;=825,vp.data[[#This Row],[Sulf]]&lt;=0.5,vp.data[[#This Row],[Unknown]]=0),1,0)</f>
        <v>0</v>
      </c>
      <c r="AB11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6">
        <f>IF(AND(vp.data[[#This Row],[CrudeType]]="Crude",vp.data[[#This Row],[Dens]]&gt;825,vp.data[[#This Row],[Dens]]&lt;=900,vp.data[[#This Row],[Sulf]]&lt;=0.5,vp.data[[#This Row],[Unknown]]=0),1,0)</f>
        <v>0</v>
      </c>
      <c r="AD1146">
        <f>IF(AND(vp.data[[#This Row],[CrudeType]]="Crude",vp.data[[#This Row],[Dens]]&gt;865,vp.data[[#This Row],[Dens]]&lt;=900,vp.data[[#This Row],[Sulf]]&gt;2,vp.data[[#This Row],[Unknown]]=0),1,0)</f>
        <v>0</v>
      </c>
      <c r="AE1146">
        <f>IF(AND(vp.data[[#This Row],[CrudeType]]="Crude",vp.data[[#This Row],[Dens]]&gt;900,vp.data[[#This Row],[Sulf]]&lt;=0.5,vp.data[[#This Row],[Unknown]]=0),1,0)</f>
        <v>0</v>
      </c>
      <c r="AF1146">
        <f>IF(AND(vp.data[[#This Row],[CrudeType]]="Crude",vp.data[[#This Row],[Dens]]&gt;900,vp.data[[#This Row],[Sulf]]&lt;=0.5,vp.data[[#This Row],[Unknown]]=0),1,0)</f>
        <v>0</v>
      </c>
      <c r="AG1146" t="str">
        <f>INDEX(vp.data[[#Headers],[Unknown]:[Heavy_SW]],MATCH(1,vp.data[[#This Row],[Unknown]:[Heavy_SW]],0))</f>
        <v>Medium_LSB</v>
      </c>
      <c r="AH1146">
        <f>INDEX([3]!crudeBD.lkup[Number],MATCH(vp.data[[#This Row],[Crude_Breakdown]],crudeBD.lkup[Crude Breakdown],0))</f>
        <v>3</v>
      </c>
      <c r="AI1146">
        <f>MONTH(vp.data[[#This Row],[SDate]])</f>
        <v>3</v>
      </c>
      <c r="AJ1146" s="5">
        <f>(vp.data[[#This Row],[VP]]-INDEX(crudeBD.lkup[Mean_VP],MATCH(vp.data[[#This Row],[Crude_Breakdown]],crudeBD.lkup[Crude Breakdown],0)))^2</f>
        <v>26.422925172006181</v>
      </c>
      <c r="AK1146" s="5">
        <f>(vp.data[[#This Row],[Dens]]-INDEX(crudeBD.lkup[Mean_Dens],MATCH(vp.data[[#This Row],[Crude_Breakdown]],crudeBD.lkup[Crude Breakdown],0)))^2</f>
        <v>16.97439999999629</v>
      </c>
      <c r="AL1146" s="5">
        <f>(vp.data[[#This Row],[Sulf]]-INDEX(crudeBD.lkup[Mean_Sulf],MATCH(vp.data[[#This Row],[Crude_Breakdown]],crudeBD.lkup[Crude Breakdown],0)))^2</f>
        <v>0.12631493651348341</v>
      </c>
      <c r="AM1146" s="4">
        <f>IF(AND(vp.data[[#This Row],[SDate]]&gt;=DATE(YEAR(vp.data[[#This Row],[SDate]]),5,1),vp.data[[#This Row],[SDate]]&lt;=DATE(YEAR(vp.data[[#This Row],[SDate]]),9,15)),1,0)</f>
        <v>0</v>
      </c>
      <c r="AN1146" s="4">
        <f>IF(vp.data[[#This Row],[SDate]]&lt;DATE(2016,12,1),0,1)</f>
        <v>1</v>
      </c>
      <c r="AO1146" s="4">
        <f>IFERROR(vp.data[[#This Row],[Sulf]]*vp.data[[#This Row],[Net Dens]],"")</f>
        <v>244462.00929799999</v>
      </c>
      <c r="AP1146">
        <f>IFERROR(vp.data[[#This Row],[Dens]]*vp.data[[#This Row],[VolumeM3]],"")</f>
        <v>237341.75659999999</v>
      </c>
      <c r="AQ1146" s="15">
        <f>IFERROR(vp.data[[#This Row],[VP]]*vp.data[[#This Row],[VolumeM3]],"")</f>
        <v>24242.886260000003</v>
      </c>
    </row>
    <row r="1147" spans="1:43" x14ac:dyDescent="0.25">
      <c r="A1147">
        <v>1146</v>
      </c>
      <c r="B1147" t="s">
        <v>51</v>
      </c>
      <c r="C1147" t="s">
        <v>51</v>
      </c>
      <c r="D1147" t="s">
        <v>239</v>
      </c>
      <c r="F1147" s="1">
        <v>42824</v>
      </c>
      <c r="G1147" s="2">
        <v>67.5</v>
      </c>
      <c r="H1147" s="2"/>
      <c r="I1147" s="2">
        <f t="array" ref="I1147">_xlfn.IFNA(IF(vp.data[[#This Row],[Sulf Input]]="",INDEX([1]DATA!$Q$3:$Q$9826,MATCH(1,(vp.data[[#This Row],[Battery]]=[1]DATA!$L$3:$L$9826)*(EOMONTH(vp.data[[#This Row],[SDate]],-1)+1=[1]DATA!$G$3:$G$9826),0)),vp.data[[#This Row],[Sulf Input]]),"")</f>
        <v>1.1299999999999999</v>
      </c>
      <c r="J1147" s="2">
        <v>29.7</v>
      </c>
      <c r="K1147" s="2">
        <v>14</v>
      </c>
      <c r="L1147" s="2">
        <v>842.7</v>
      </c>
      <c r="M1147" s="2">
        <f t="array" ref="M1147">_xlfn.IFNA(IF(vp.data[[#This Row],[Dens Input]]="",INDEX([1]DATA!$O$3:$O$9826,MATCH(1,(vp.data[[#This Row],[Battery]]=[1]DATA!$L$3:$L$9826)*(EOMONTH(vp.data[[#This Row],[SDate]],-1)+1=[1]DATA!$G$3:$G$9826),0)),vp.data[[#This Row],[Dens Input]]),"")</f>
        <v>842.7</v>
      </c>
      <c r="N1147" s="2">
        <f ca="1">INDEX(INDIRECT(_xlfn.CONCAT("weather.tbl[",N$1,"]")),MATCH(vp.data[[#This Row],[SDate]],weather.tbl[Date],0))</f>
        <v>8.2666666666666657</v>
      </c>
      <c r="O1147" s="2">
        <f ca="1">INDEX(INDIRECT(_xlfn.CONCAT("weather.tbl[",O$1,"]")),MATCH(vp.data[[#This Row],[SDate]],weather.tbl[Date],0))</f>
        <v>3.7380952380952381</v>
      </c>
      <c r="P1147" s="2">
        <f ca="1">INDEX(INDIRECT(_xlfn.CONCAT("weather.tbl[",P$1,"]")),MATCH(vp.data[[#This Row],[SDate]],weather.tbl[Date],0))</f>
        <v>9</v>
      </c>
      <c r="Q1147" s="2">
        <f ca="1">INDEX(INDIRECT(_xlfn.CONCAT("weather.tbl[",Q$1,"]")),MATCH(vp.data[[#This Row],[SDate]],weather.tbl[Date],0))</f>
        <v>10.199999999999999</v>
      </c>
      <c r="R1147" s="2">
        <f ca="1">INDEX(INDIRECT(_xlfn.CONCAT("weather.tbl[",R$1,"]")),MATCH(vp.data[[#This Row],[SDate]],weather.tbl[Date],0))</f>
        <v>5</v>
      </c>
      <c r="S1147" s="2">
        <f ca="1">INDEX(INDIRECT(_xlfn.CONCAT("weather.tbl[",S$1,"]")),MATCH(vp.data[[#This Row],[SDate]],weather.tbl[Date],0))</f>
        <v>10.199999999999999</v>
      </c>
      <c r="T1147" s="2">
        <f ca="1">INDEX(INDIRECT(_xlfn.CONCAT("weather.tbl[",T$1,"]")),MATCH(vp.data[[#This Row],[SDate]],weather.tbl[Date],0))</f>
        <v>5.9</v>
      </c>
      <c r="U1147" s="2">
        <f ca="1">INDEX(INDIRECT(_xlfn.CONCAT("weather.tbl[",U$1,"]")),MATCH(vp.data[[#This Row],[SDate]],weather.tbl[Date],0))</f>
        <v>9.3000000000000007</v>
      </c>
      <c r="V1147" s="2">
        <f t="array" ref="V11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2689.3960000000002</v>
      </c>
      <c r="W1147" t="s">
        <v>48</v>
      </c>
      <c r="X1147">
        <f>IF(OR(vp.data[[#This Row],[Sulf]]="",vp.data[[#This Row],[Dens]]=""),1,0)</f>
        <v>0</v>
      </c>
      <c r="Y1147">
        <f>IF(vp.data[[#This Row],[CrudeType]]="C5+",1,0)</f>
        <v>0</v>
      </c>
      <c r="Z1147">
        <f>IF(AND(vp.data[[#This Row],[CrudeType]]="Crude",vp.data[[#This Row],[Dens]]&lt;=825,vp.data[[#This Row],[Sulf]]&gt;0.5,vp.data[[#This Row],[Unknown]]=0),1,0)</f>
        <v>0</v>
      </c>
      <c r="AA1147">
        <f>IF(AND(vp.data[[#This Row],[CrudeType]]="Crude",vp.data[[#This Row],[Dens]]&lt;=825,vp.data[[#This Row],[Sulf]]&lt;=0.5,vp.data[[#This Row],[Unknown]]=0),1,0)</f>
        <v>0</v>
      </c>
      <c r="AB11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7">
        <f>IF(AND(vp.data[[#This Row],[CrudeType]]="Crude",vp.data[[#This Row],[Dens]]&gt;825,vp.data[[#This Row],[Dens]]&lt;=900,vp.data[[#This Row],[Sulf]]&lt;=0.5,vp.data[[#This Row],[Unknown]]=0),1,0)</f>
        <v>0</v>
      </c>
      <c r="AD1147">
        <f>IF(AND(vp.data[[#This Row],[CrudeType]]="Crude",vp.data[[#This Row],[Dens]]&gt;865,vp.data[[#This Row],[Dens]]&lt;=900,vp.data[[#This Row],[Sulf]]&gt;2,vp.data[[#This Row],[Unknown]]=0),1,0)</f>
        <v>0</v>
      </c>
      <c r="AE1147">
        <f>IF(AND(vp.data[[#This Row],[CrudeType]]="Crude",vp.data[[#This Row],[Dens]]&gt;900,vp.data[[#This Row],[Sulf]]&lt;=0.5,vp.data[[#This Row],[Unknown]]=0),1,0)</f>
        <v>0</v>
      </c>
      <c r="AF1147">
        <f>IF(AND(vp.data[[#This Row],[CrudeType]]="Crude",vp.data[[#This Row],[Dens]]&gt;900,vp.data[[#This Row],[Sulf]]&lt;=0.5,vp.data[[#This Row],[Unknown]]=0),1,0)</f>
        <v>0</v>
      </c>
      <c r="AG1147" t="str">
        <f>INDEX(vp.data[[#Headers],[Unknown]:[Heavy_SW]],MATCH(1,vp.data[[#This Row],[Unknown]:[Heavy_SW]],0))</f>
        <v>Medium_LSB</v>
      </c>
      <c r="AH1147">
        <f>INDEX([3]!crudeBD.lkup[Number],MATCH(vp.data[[#This Row],[Crude_Breakdown]],crudeBD.lkup[Crude Breakdown],0))</f>
        <v>3</v>
      </c>
      <c r="AI1147">
        <f>MONTH(vp.data[[#This Row],[SDate]])</f>
        <v>3</v>
      </c>
      <c r="AJ1147" s="5">
        <f>(vp.data[[#This Row],[VP]]-INDEX(crudeBD.lkup[Mean_VP],MATCH(vp.data[[#This Row],[Crude_Breakdown]],crudeBD.lkup[Crude Breakdown],0)))^2</f>
        <v>172.65109983507634</v>
      </c>
      <c r="AK1147" s="5">
        <f>(vp.data[[#This Row],[Dens]]-INDEX(crudeBD.lkup[Mean_Dens],MATCH(vp.data[[#This Row],[Crude_Breakdown]],crudeBD.lkup[Crude Breakdown],0)))^2</f>
        <v>1.4883999999986797</v>
      </c>
      <c r="AL1147" s="5">
        <f>(vp.data[[#This Row],[Sulf]]-INDEX(crudeBD.lkup[Mean_Sulf],MATCH(vp.data[[#This Row],[Crude_Breakdown]],crudeBD.lkup[Crude Breakdown],0)))^2</f>
        <v>6.5233311176555966E-2</v>
      </c>
      <c r="AM1147" s="4">
        <f>IF(AND(vp.data[[#This Row],[SDate]]&gt;=DATE(YEAR(vp.data[[#This Row],[SDate]]),5,1),vp.data[[#This Row],[SDate]]&lt;=DATE(YEAR(vp.data[[#This Row],[SDate]]),9,15)),1,0)</f>
        <v>0</v>
      </c>
      <c r="AN1147" s="4">
        <f>IF(vp.data[[#This Row],[SDate]]&lt;DATE(2016,12,1),0,1)</f>
        <v>1</v>
      </c>
      <c r="AO1147" s="4">
        <f>IFERROR(vp.data[[#This Row],[Sulf]]*vp.data[[#This Row],[Net Dens]],"")</f>
        <v>2560980.030396</v>
      </c>
      <c r="AP1147">
        <f>IFERROR(vp.data[[#This Row],[Dens]]*vp.data[[#This Row],[VolumeM3]],"")</f>
        <v>2266354.0092000002</v>
      </c>
      <c r="AQ1147" s="15">
        <f>IFERROR(vp.data[[#This Row],[VP]]*vp.data[[#This Row],[VolumeM3]],"")</f>
        <v>181534.23</v>
      </c>
    </row>
    <row r="1148" spans="1:43" x14ac:dyDescent="0.25">
      <c r="A1148">
        <v>1147</v>
      </c>
      <c r="B1148" t="s">
        <v>183</v>
      </c>
      <c r="C1148" t="s">
        <v>183</v>
      </c>
      <c r="D1148" t="s">
        <v>240</v>
      </c>
      <c r="F1148" s="1">
        <v>42824</v>
      </c>
      <c r="G1148" s="2">
        <v>79</v>
      </c>
      <c r="H1148" s="2"/>
      <c r="I1148" s="2">
        <f t="array" ref="I1148">_xlfn.IFNA(IF(vp.data[[#This Row],[Sulf Input]]="",INDEX([1]DATA!$Q$3:$Q$9826,MATCH(1,(vp.data[[#This Row],[Battery]]=[1]DATA!$L$3:$L$9826)*(EOMONTH(vp.data[[#This Row],[SDate]],-1)+1=[1]DATA!$G$3:$G$9826),0)),vp.data[[#This Row],[Sulf Input]]),"")</f>
        <v>1.1599999999999999</v>
      </c>
      <c r="J1148" s="2">
        <v>14.7</v>
      </c>
      <c r="K1148" s="2">
        <v>14</v>
      </c>
      <c r="L1148" s="2">
        <v>843.8</v>
      </c>
      <c r="M1148" s="2">
        <f t="array" ref="M1148">_xlfn.IFNA(IF(vp.data[[#This Row],[Dens Input]]="",INDEX([1]DATA!$O$3:$O$9826,MATCH(1,(vp.data[[#This Row],[Battery]]=[1]DATA!$L$3:$L$9826)*(EOMONTH(vp.data[[#This Row],[SDate]],-1)+1=[1]DATA!$G$3:$G$9826),0)),vp.data[[#This Row],[Dens Input]]),"")</f>
        <v>843.8</v>
      </c>
      <c r="N1148" s="2">
        <f ca="1">INDEX(INDIRECT(_xlfn.CONCAT("weather.tbl[",N$1,"]")),MATCH(vp.data[[#This Row],[SDate]],weather.tbl[Date],0))</f>
        <v>8.2666666666666657</v>
      </c>
      <c r="O1148" s="2">
        <f ca="1">INDEX(INDIRECT(_xlfn.CONCAT("weather.tbl[",O$1,"]")),MATCH(vp.data[[#This Row],[SDate]],weather.tbl[Date],0))</f>
        <v>3.7380952380952381</v>
      </c>
      <c r="P1148" s="2">
        <f ca="1">INDEX(INDIRECT(_xlfn.CONCAT("weather.tbl[",P$1,"]")),MATCH(vp.data[[#This Row],[SDate]],weather.tbl[Date],0))</f>
        <v>9</v>
      </c>
      <c r="Q1148" s="2">
        <f ca="1">INDEX(INDIRECT(_xlfn.CONCAT("weather.tbl[",Q$1,"]")),MATCH(vp.data[[#This Row],[SDate]],weather.tbl[Date],0))</f>
        <v>10.199999999999999</v>
      </c>
      <c r="R1148" s="2">
        <f ca="1">INDEX(INDIRECT(_xlfn.CONCAT("weather.tbl[",R$1,"]")),MATCH(vp.data[[#This Row],[SDate]],weather.tbl[Date],0))</f>
        <v>5</v>
      </c>
      <c r="S1148" s="2">
        <f ca="1">INDEX(INDIRECT(_xlfn.CONCAT("weather.tbl[",S$1,"]")),MATCH(vp.data[[#This Row],[SDate]],weather.tbl[Date],0))</f>
        <v>10.199999999999999</v>
      </c>
      <c r="T1148" s="2">
        <f ca="1">INDEX(INDIRECT(_xlfn.CONCAT("weather.tbl[",T$1,"]")),MATCH(vp.data[[#This Row],[SDate]],weather.tbl[Date],0))</f>
        <v>5.9</v>
      </c>
      <c r="U1148" s="2">
        <f ca="1">INDEX(INDIRECT(_xlfn.CONCAT("weather.tbl[",U$1,"]")),MATCH(vp.data[[#This Row],[SDate]],weather.tbl[Date],0))</f>
        <v>9.3000000000000007</v>
      </c>
      <c r="V1148" s="2">
        <f t="array" ref="V11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474.92</v>
      </c>
      <c r="W1148" t="s">
        <v>48</v>
      </c>
      <c r="X1148">
        <f>IF(OR(vp.data[[#This Row],[Sulf]]="",vp.data[[#This Row],[Dens]]=""),1,0)</f>
        <v>0</v>
      </c>
      <c r="Y1148">
        <f>IF(vp.data[[#This Row],[CrudeType]]="C5+",1,0)</f>
        <v>0</v>
      </c>
      <c r="Z1148">
        <f>IF(AND(vp.data[[#This Row],[CrudeType]]="Crude",vp.data[[#This Row],[Dens]]&lt;=825,vp.data[[#This Row],[Sulf]]&gt;0.5,vp.data[[#This Row],[Unknown]]=0),1,0)</f>
        <v>0</v>
      </c>
      <c r="AA1148">
        <f>IF(AND(vp.data[[#This Row],[CrudeType]]="Crude",vp.data[[#This Row],[Dens]]&lt;=825,vp.data[[#This Row],[Sulf]]&lt;=0.5,vp.data[[#This Row],[Unknown]]=0),1,0)</f>
        <v>0</v>
      </c>
      <c r="AB11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8">
        <f>IF(AND(vp.data[[#This Row],[CrudeType]]="Crude",vp.data[[#This Row],[Dens]]&gt;825,vp.data[[#This Row],[Dens]]&lt;=900,vp.data[[#This Row],[Sulf]]&lt;=0.5,vp.data[[#This Row],[Unknown]]=0),1,0)</f>
        <v>0</v>
      </c>
      <c r="AD1148">
        <f>IF(AND(vp.data[[#This Row],[CrudeType]]="Crude",vp.data[[#This Row],[Dens]]&gt;865,vp.data[[#This Row],[Dens]]&lt;=900,vp.data[[#This Row],[Sulf]]&gt;2,vp.data[[#This Row],[Unknown]]=0),1,0)</f>
        <v>0</v>
      </c>
      <c r="AE1148">
        <f>IF(AND(vp.data[[#This Row],[CrudeType]]="Crude",vp.data[[#This Row],[Dens]]&gt;900,vp.data[[#This Row],[Sulf]]&lt;=0.5,vp.data[[#This Row],[Unknown]]=0),1,0)</f>
        <v>0</v>
      </c>
      <c r="AF1148">
        <f>IF(AND(vp.data[[#This Row],[CrudeType]]="Crude",vp.data[[#This Row],[Dens]]&gt;900,vp.data[[#This Row],[Sulf]]&lt;=0.5,vp.data[[#This Row],[Unknown]]=0),1,0)</f>
        <v>0</v>
      </c>
      <c r="AG1148" t="str">
        <f>INDEX(vp.data[[#Headers],[Unknown]:[Heavy_SW]],MATCH(1,vp.data[[#This Row],[Unknown]:[Heavy_SW]],0))</f>
        <v>Medium_LSB</v>
      </c>
      <c r="AH1148">
        <f>INDEX([3]!crudeBD.lkup[Number],MATCH(vp.data[[#This Row],[Crude_Breakdown]],crudeBD.lkup[Crude Breakdown],0))</f>
        <v>3</v>
      </c>
      <c r="AI1148">
        <f>MONTH(vp.data[[#This Row],[SDate]])</f>
        <v>3</v>
      </c>
      <c r="AJ1148" s="5">
        <f>(vp.data[[#This Row],[VP]]-INDEX(crudeBD.lkup[Mean_VP],MATCH(vp.data[[#This Row],[Crude_Breakdown]],crudeBD.lkup[Crude Breakdown],0)))^2</f>
        <v>2.6885391881777063</v>
      </c>
      <c r="AK1148" s="5">
        <f>(vp.data[[#This Row],[Dens]]-INDEX(crudeBD.lkup[Mean_Dens],MATCH(vp.data[[#This Row],[Crude_Breakdown]],crudeBD.lkup[Crude Breakdown],0)))^2</f>
        <v>1.4399999999891952E-2</v>
      </c>
      <c r="AL1148" s="5">
        <f>(vp.data[[#This Row],[Sulf]]-INDEX(crudeBD.lkup[Mean_Sulf],MATCH(vp.data[[#This Row],[Crude_Breakdown]],crudeBD.lkup[Crude Breakdown],0)))^2</f>
        <v>5.0808823575477689E-2</v>
      </c>
      <c r="AM1148" s="4">
        <f>IF(AND(vp.data[[#This Row],[SDate]]&gt;=DATE(YEAR(vp.data[[#This Row],[SDate]]),5,1),vp.data[[#This Row],[SDate]]&lt;=DATE(YEAR(vp.data[[#This Row],[SDate]]),9,15)),1,0)</f>
        <v>0</v>
      </c>
      <c r="AN1148" s="4">
        <f>IF(vp.data[[#This Row],[SDate]]&lt;DATE(2016,12,1),0,1)</f>
        <v>1</v>
      </c>
      <c r="AO1148" s="4">
        <f>IFERROR(vp.data[[#This Row],[Sulf]]*vp.data[[#This Row],[Net Dens]],"")</f>
        <v>464855.49535999994</v>
      </c>
      <c r="AP1148">
        <f>IFERROR(vp.data[[#This Row],[Dens]]*vp.data[[#This Row],[VolumeM3]],"")</f>
        <v>400737.49599999998</v>
      </c>
      <c r="AQ1148" s="15">
        <f>IFERROR(vp.data[[#This Row],[VP]]*vp.data[[#This Row],[VolumeM3]],"")</f>
        <v>37518.68</v>
      </c>
    </row>
    <row r="1149" spans="1:43" x14ac:dyDescent="0.25">
      <c r="A1149">
        <v>1148</v>
      </c>
      <c r="B1149" t="s">
        <v>51</v>
      </c>
      <c r="C1149" t="s">
        <v>51</v>
      </c>
      <c r="D1149" t="s">
        <v>156</v>
      </c>
      <c r="F1149" s="1">
        <v>42824</v>
      </c>
      <c r="G1149" s="2">
        <v>72.13</v>
      </c>
      <c r="H1149" s="2"/>
      <c r="I1149" s="2">
        <f t="array" ref="I1149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149" s="2">
        <v>17.899999999999999</v>
      </c>
      <c r="K1149" s="2">
        <v>14</v>
      </c>
      <c r="L1149" s="2">
        <v>844.2</v>
      </c>
      <c r="M1149" s="2">
        <f t="array" ref="M1149">_xlfn.IFNA(IF(vp.data[[#This Row],[Dens Input]]="",INDEX([1]DATA!$O$3:$O$9826,MATCH(1,(vp.data[[#This Row],[Battery]]=[1]DATA!$L$3:$L$9826)*(EOMONTH(vp.data[[#This Row],[SDate]],-1)+1=[1]DATA!$G$3:$G$9826),0)),vp.data[[#This Row],[Dens Input]]),"")</f>
        <v>844.2</v>
      </c>
      <c r="N1149" s="2">
        <f ca="1">INDEX(INDIRECT(_xlfn.CONCAT("weather.tbl[",N$1,"]")),MATCH(vp.data[[#This Row],[SDate]],weather.tbl[Date],0))</f>
        <v>8.2666666666666657</v>
      </c>
      <c r="O1149" s="2">
        <f ca="1">INDEX(INDIRECT(_xlfn.CONCAT("weather.tbl[",O$1,"]")),MATCH(vp.data[[#This Row],[SDate]],weather.tbl[Date],0))</f>
        <v>3.7380952380952381</v>
      </c>
      <c r="P1149" s="2">
        <f ca="1">INDEX(INDIRECT(_xlfn.CONCAT("weather.tbl[",P$1,"]")),MATCH(vp.data[[#This Row],[SDate]],weather.tbl[Date],0))</f>
        <v>9</v>
      </c>
      <c r="Q1149" s="2">
        <f ca="1">INDEX(INDIRECT(_xlfn.CONCAT("weather.tbl[",Q$1,"]")),MATCH(vp.data[[#This Row],[SDate]],weather.tbl[Date],0))</f>
        <v>10.199999999999999</v>
      </c>
      <c r="R1149" s="2">
        <f ca="1">INDEX(INDIRECT(_xlfn.CONCAT("weather.tbl[",R$1,"]")),MATCH(vp.data[[#This Row],[SDate]],weather.tbl[Date],0))</f>
        <v>5</v>
      </c>
      <c r="S1149" s="2">
        <f ca="1">INDEX(INDIRECT(_xlfn.CONCAT("weather.tbl[",S$1,"]")),MATCH(vp.data[[#This Row],[SDate]],weather.tbl[Date],0))</f>
        <v>10.199999999999999</v>
      </c>
      <c r="T1149" s="2">
        <f ca="1">INDEX(INDIRECT(_xlfn.CONCAT("weather.tbl[",T$1,"]")),MATCH(vp.data[[#This Row],[SDate]],weather.tbl[Date],0))</f>
        <v>5.9</v>
      </c>
      <c r="U1149" s="2">
        <f ca="1">INDEX(INDIRECT(_xlfn.CONCAT("weather.tbl[",U$1,"]")),MATCH(vp.data[[#This Row],[SDate]],weather.tbl[Date],0))</f>
        <v>9.3000000000000007</v>
      </c>
      <c r="V1149" s="2">
        <f t="array" ref="V11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821.39</v>
      </c>
      <c r="W1149" t="s">
        <v>48</v>
      </c>
      <c r="X1149">
        <f>IF(OR(vp.data[[#This Row],[Sulf]]="",vp.data[[#This Row],[Dens]]=""),1,0)</f>
        <v>0</v>
      </c>
      <c r="Y1149">
        <f>IF(vp.data[[#This Row],[CrudeType]]="C5+",1,0)</f>
        <v>0</v>
      </c>
      <c r="Z1149">
        <f>IF(AND(vp.data[[#This Row],[CrudeType]]="Crude",vp.data[[#This Row],[Dens]]&lt;=825,vp.data[[#This Row],[Sulf]]&gt;0.5,vp.data[[#This Row],[Unknown]]=0),1,0)</f>
        <v>0</v>
      </c>
      <c r="AA1149">
        <f>IF(AND(vp.data[[#This Row],[CrudeType]]="Crude",vp.data[[#This Row],[Dens]]&lt;=825,vp.data[[#This Row],[Sulf]]&lt;=0.5,vp.data[[#This Row],[Unknown]]=0),1,0)</f>
        <v>0</v>
      </c>
      <c r="AB11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49">
        <f>IF(AND(vp.data[[#This Row],[CrudeType]]="Crude",vp.data[[#This Row],[Dens]]&gt;825,vp.data[[#This Row],[Dens]]&lt;=900,vp.data[[#This Row],[Sulf]]&lt;=0.5,vp.data[[#This Row],[Unknown]]=0),1,0)</f>
        <v>0</v>
      </c>
      <c r="AD1149">
        <f>IF(AND(vp.data[[#This Row],[CrudeType]]="Crude",vp.data[[#This Row],[Dens]]&gt;865,vp.data[[#This Row],[Dens]]&lt;=900,vp.data[[#This Row],[Sulf]]&gt;2,vp.data[[#This Row],[Unknown]]=0),1,0)</f>
        <v>0</v>
      </c>
      <c r="AE1149">
        <f>IF(AND(vp.data[[#This Row],[CrudeType]]="Crude",vp.data[[#This Row],[Dens]]&gt;900,vp.data[[#This Row],[Sulf]]&lt;=0.5,vp.data[[#This Row],[Unknown]]=0),1,0)</f>
        <v>0</v>
      </c>
      <c r="AF1149">
        <f>IF(AND(vp.data[[#This Row],[CrudeType]]="Crude",vp.data[[#This Row],[Dens]]&gt;900,vp.data[[#This Row],[Sulf]]&lt;=0.5,vp.data[[#This Row],[Unknown]]=0),1,0)</f>
        <v>0</v>
      </c>
      <c r="AG1149" t="str">
        <f>INDEX(vp.data[[#Headers],[Unknown]:[Heavy_SW]],MATCH(1,vp.data[[#This Row],[Unknown]:[Heavy_SW]],0))</f>
        <v>Medium_LSB</v>
      </c>
      <c r="AH1149">
        <f>INDEX([3]!crudeBD.lkup[Number],MATCH(vp.data[[#This Row],[Crude_Breakdown]],crudeBD.lkup[Crude Breakdown],0))</f>
        <v>3</v>
      </c>
      <c r="AI1149">
        <f>MONTH(vp.data[[#This Row],[SDate]])</f>
        <v>3</v>
      </c>
      <c r="AJ1149" s="5">
        <f>(vp.data[[#This Row],[VP]]-INDEX(crudeBD.lkup[Mean_VP],MATCH(vp.data[[#This Row],[Crude_Breakdown]],crudeBD.lkup[Crude Breakdown],0)))^2</f>
        <v>72.414594983325046</v>
      </c>
      <c r="AK1149" s="5">
        <f>(vp.data[[#This Row],[Dens]]-INDEX(crudeBD.lkup[Mean_Dens],MATCH(vp.data[[#This Row],[Crude_Breakdown]],crudeBD.lkup[Crude Breakdown],0)))^2</f>
        <v>7.8400000000303047E-2</v>
      </c>
      <c r="AL1149" s="5">
        <f>(vp.data[[#This Row],[Sulf]]-INDEX(crudeBD.lkup[Mean_Sulf],MATCH(vp.data[[#This Row],[Crude_Breakdown]],crudeBD.lkup[Crude Breakdown],0)))^2</f>
        <v>3.8184335974399415E-2</v>
      </c>
      <c r="AM1149" s="4">
        <f>IF(AND(vp.data[[#This Row],[SDate]]&gt;=DATE(YEAR(vp.data[[#This Row],[SDate]]),5,1),vp.data[[#This Row],[SDate]]&lt;=DATE(YEAR(vp.data[[#This Row],[SDate]]),9,15)),1,0)</f>
        <v>0</v>
      </c>
      <c r="AN1149" s="4">
        <f>IF(vp.data[[#This Row],[SDate]]&lt;DATE(2016,12,1),0,1)</f>
        <v>1</v>
      </c>
      <c r="AO1149" s="4">
        <f>IFERROR(vp.data[[#This Row],[Sulf]]*vp.data[[#This Row],[Net Dens]],"")</f>
        <v>825166.75122000009</v>
      </c>
      <c r="AP1149">
        <f>IFERROR(vp.data[[#This Row],[Dens]]*vp.data[[#This Row],[VolumeM3]],"")</f>
        <v>693417.43800000008</v>
      </c>
      <c r="AQ1149" s="15">
        <f>IFERROR(vp.data[[#This Row],[VP]]*vp.data[[#This Row],[VolumeM3]],"")</f>
        <v>59246.860699999997</v>
      </c>
    </row>
    <row r="1150" spans="1:43" x14ac:dyDescent="0.25">
      <c r="A1150">
        <v>1149</v>
      </c>
      <c r="B1150" t="s">
        <v>51</v>
      </c>
      <c r="C1150" t="s">
        <v>51</v>
      </c>
      <c r="D1150" t="s">
        <v>241</v>
      </c>
      <c r="F1150" s="1">
        <v>42824</v>
      </c>
      <c r="G1150" s="2">
        <v>71.8</v>
      </c>
      <c r="H1150" s="2"/>
      <c r="I1150" s="2">
        <f t="array" ref="I1150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150" s="2">
        <v>17.5</v>
      </c>
      <c r="K1150" s="2">
        <v>14</v>
      </c>
      <c r="L1150" s="2">
        <v>845</v>
      </c>
      <c r="M1150" s="2">
        <f t="array" ref="M1150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1150" s="2">
        <f ca="1">INDEX(INDIRECT(_xlfn.CONCAT("weather.tbl[",N$1,"]")),MATCH(vp.data[[#This Row],[SDate]],weather.tbl[Date],0))</f>
        <v>8.2666666666666657</v>
      </c>
      <c r="O1150" s="2">
        <f ca="1">INDEX(INDIRECT(_xlfn.CONCAT("weather.tbl[",O$1,"]")),MATCH(vp.data[[#This Row],[SDate]],weather.tbl[Date],0))</f>
        <v>3.7380952380952381</v>
      </c>
      <c r="P1150" s="2">
        <f ca="1">INDEX(INDIRECT(_xlfn.CONCAT("weather.tbl[",P$1,"]")),MATCH(vp.data[[#This Row],[SDate]],weather.tbl[Date],0))</f>
        <v>9</v>
      </c>
      <c r="Q1150" s="2">
        <f ca="1">INDEX(INDIRECT(_xlfn.CONCAT("weather.tbl[",Q$1,"]")),MATCH(vp.data[[#This Row],[SDate]],weather.tbl[Date],0))</f>
        <v>10.199999999999999</v>
      </c>
      <c r="R1150" s="2">
        <f ca="1">INDEX(INDIRECT(_xlfn.CONCAT("weather.tbl[",R$1,"]")),MATCH(vp.data[[#This Row],[SDate]],weather.tbl[Date],0))</f>
        <v>5</v>
      </c>
      <c r="S1150" s="2">
        <f ca="1">INDEX(INDIRECT(_xlfn.CONCAT("weather.tbl[",S$1,"]")),MATCH(vp.data[[#This Row],[SDate]],weather.tbl[Date],0))</f>
        <v>10.199999999999999</v>
      </c>
      <c r="T1150" s="2">
        <f ca="1">INDEX(INDIRECT(_xlfn.CONCAT("weather.tbl[",T$1,"]")),MATCH(vp.data[[#This Row],[SDate]],weather.tbl[Date],0))</f>
        <v>5.9</v>
      </c>
      <c r="U1150" s="2">
        <f ca="1">INDEX(INDIRECT(_xlfn.CONCAT("weather.tbl[",U$1,"]")),MATCH(vp.data[[#This Row],[SDate]],weather.tbl[Date],0))</f>
        <v>9.3000000000000007</v>
      </c>
      <c r="V1150" s="2">
        <f t="array" ref="V11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287.58100000000002</v>
      </c>
      <c r="W1150" t="s">
        <v>48</v>
      </c>
      <c r="X1150">
        <f>IF(OR(vp.data[[#This Row],[Sulf]]="",vp.data[[#This Row],[Dens]]=""),1,0)</f>
        <v>0</v>
      </c>
      <c r="Y1150">
        <f>IF(vp.data[[#This Row],[CrudeType]]="C5+",1,0)</f>
        <v>0</v>
      </c>
      <c r="Z1150">
        <f>IF(AND(vp.data[[#This Row],[CrudeType]]="Crude",vp.data[[#This Row],[Dens]]&lt;=825,vp.data[[#This Row],[Sulf]]&gt;0.5,vp.data[[#This Row],[Unknown]]=0),1,0)</f>
        <v>0</v>
      </c>
      <c r="AA1150">
        <f>IF(AND(vp.data[[#This Row],[CrudeType]]="Crude",vp.data[[#This Row],[Dens]]&lt;=825,vp.data[[#This Row],[Sulf]]&lt;=0.5,vp.data[[#This Row],[Unknown]]=0),1,0)</f>
        <v>0</v>
      </c>
      <c r="AB11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0">
        <f>IF(AND(vp.data[[#This Row],[CrudeType]]="Crude",vp.data[[#This Row],[Dens]]&gt;825,vp.data[[#This Row],[Dens]]&lt;=900,vp.data[[#This Row],[Sulf]]&lt;=0.5,vp.data[[#This Row],[Unknown]]=0),1,0)</f>
        <v>0</v>
      </c>
      <c r="AD1150">
        <f>IF(AND(vp.data[[#This Row],[CrudeType]]="Crude",vp.data[[#This Row],[Dens]]&gt;865,vp.data[[#This Row],[Dens]]&lt;=900,vp.data[[#This Row],[Sulf]]&gt;2,vp.data[[#This Row],[Unknown]]=0),1,0)</f>
        <v>0</v>
      </c>
      <c r="AE1150">
        <f>IF(AND(vp.data[[#This Row],[CrudeType]]="Crude",vp.data[[#This Row],[Dens]]&gt;900,vp.data[[#This Row],[Sulf]]&lt;=0.5,vp.data[[#This Row],[Unknown]]=0),1,0)</f>
        <v>0</v>
      </c>
      <c r="AF1150">
        <f>IF(AND(vp.data[[#This Row],[CrudeType]]="Crude",vp.data[[#This Row],[Dens]]&gt;900,vp.data[[#This Row],[Sulf]]&lt;=0.5,vp.data[[#This Row],[Unknown]]=0),1,0)</f>
        <v>0</v>
      </c>
      <c r="AG1150" t="str">
        <f>INDEX(vp.data[[#Headers],[Unknown]:[Heavy_SW]],MATCH(1,vp.data[[#This Row],[Unknown]:[Heavy_SW]],0))</f>
        <v>Medium_LSB</v>
      </c>
      <c r="AH1150">
        <f>INDEX([3]!crudeBD.lkup[Number],MATCH(vp.data[[#This Row],[Crude_Breakdown]],crudeBD.lkup[Crude Breakdown],0))</f>
        <v>3</v>
      </c>
      <c r="AI1150">
        <f>MONTH(vp.data[[#This Row],[SDate]])</f>
        <v>3</v>
      </c>
      <c r="AJ1150" s="5">
        <f>(vp.data[[#This Row],[VP]]-INDEX(crudeBD.lkup[Mean_VP],MATCH(vp.data[[#This Row],[Crude_Breakdown]],crudeBD.lkup[Crude Breakdown],0)))^2</f>
        <v>78.139881506236023</v>
      </c>
      <c r="AK1150" s="5">
        <f>(vp.data[[#This Row],[Dens]]-INDEX(crudeBD.lkup[Mean_Dens],MATCH(vp.data[[#This Row],[Crude_Breakdown]],crudeBD.lkup[Crude Breakdown],0)))^2</f>
        <v>1.1664000000010706</v>
      </c>
      <c r="AL1150" s="5">
        <f>(vp.data[[#This Row],[Sulf]]-INDEX(crudeBD.lkup[Mean_Sulf],MATCH(vp.data[[#This Row],[Crude_Breakdown]],crudeBD.lkup[Crude Breakdown],0)))^2</f>
        <v>5.5416986109170445E-2</v>
      </c>
      <c r="AM1150" s="4">
        <f>IF(AND(vp.data[[#This Row],[SDate]]&gt;=DATE(YEAR(vp.data[[#This Row],[SDate]]),5,1),vp.data[[#This Row],[SDate]]&lt;=DATE(YEAR(vp.data[[#This Row],[SDate]]),9,15)),1,0)</f>
        <v>0</v>
      </c>
      <c r="AN1150" s="4">
        <f>IF(vp.data[[#This Row],[SDate]]&lt;DATE(2016,12,1),0,1)</f>
        <v>1</v>
      </c>
      <c r="AO1150" s="4">
        <f>IFERROR(vp.data[[#This Row],[Sulf]]*vp.data[[#This Row],[Net Dens]],"")</f>
        <v>279456.83674999996</v>
      </c>
      <c r="AP1150">
        <f>IFERROR(vp.data[[#This Row],[Dens]]*vp.data[[#This Row],[VolumeM3]],"")</f>
        <v>243005.94500000001</v>
      </c>
      <c r="AQ1150" s="15">
        <f>IFERROR(vp.data[[#This Row],[VP]]*vp.data[[#This Row],[VolumeM3]],"")</f>
        <v>20648.3158</v>
      </c>
    </row>
    <row r="1151" spans="1:43" x14ac:dyDescent="0.25">
      <c r="A1151">
        <v>1150</v>
      </c>
      <c r="B1151" t="s">
        <v>51</v>
      </c>
      <c r="C1151" t="s">
        <v>51</v>
      </c>
      <c r="D1151" t="s">
        <v>242</v>
      </c>
      <c r="F1151" s="1">
        <v>42824</v>
      </c>
      <c r="G1151" s="2">
        <v>73.599999999999994</v>
      </c>
      <c r="H1151" s="2"/>
      <c r="I1151" s="2">
        <f t="array" ref="I1151">_xlfn.IFNA(IF(vp.data[[#This Row],[Sulf Input]]="",INDEX([1]DATA!$Q$3:$Q$9826,MATCH(1,(vp.data[[#This Row],[Battery]]=[1]DATA!$L$3:$L$9826)*(EOMONTH(vp.data[[#This Row],[SDate]],-1)+1=[1]DATA!$G$3:$G$9826),0)),vp.data[[#This Row],[Sulf Input]]),"")</f>
        <v>1.27</v>
      </c>
      <c r="J1151" s="2">
        <v>24</v>
      </c>
      <c r="K1151" s="2">
        <v>14</v>
      </c>
      <c r="L1151" s="2">
        <v>845.7</v>
      </c>
      <c r="M1151" s="2">
        <f t="array" ref="M1151">_xlfn.IFNA(IF(vp.data[[#This Row],[Dens Input]]="",INDEX([1]DATA!$O$3:$O$9826,MATCH(1,(vp.data[[#This Row],[Battery]]=[1]DATA!$L$3:$L$9826)*(EOMONTH(vp.data[[#This Row],[SDate]],-1)+1=[1]DATA!$G$3:$G$9826),0)),vp.data[[#This Row],[Dens Input]]),"")</f>
        <v>845.7</v>
      </c>
      <c r="N1151" s="2">
        <f ca="1">INDEX(INDIRECT(_xlfn.CONCAT("weather.tbl[",N$1,"]")),MATCH(vp.data[[#This Row],[SDate]],weather.tbl[Date],0))</f>
        <v>8.2666666666666657</v>
      </c>
      <c r="O1151" s="2">
        <f ca="1">INDEX(INDIRECT(_xlfn.CONCAT("weather.tbl[",O$1,"]")),MATCH(vp.data[[#This Row],[SDate]],weather.tbl[Date],0))</f>
        <v>3.7380952380952381</v>
      </c>
      <c r="P1151" s="2">
        <f ca="1">INDEX(INDIRECT(_xlfn.CONCAT("weather.tbl[",P$1,"]")),MATCH(vp.data[[#This Row],[SDate]],weather.tbl[Date],0))</f>
        <v>9</v>
      </c>
      <c r="Q1151" s="2">
        <f ca="1">INDEX(INDIRECT(_xlfn.CONCAT("weather.tbl[",Q$1,"]")),MATCH(vp.data[[#This Row],[SDate]],weather.tbl[Date],0))</f>
        <v>10.199999999999999</v>
      </c>
      <c r="R1151" s="2">
        <f ca="1">INDEX(INDIRECT(_xlfn.CONCAT("weather.tbl[",R$1,"]")),MATCH(vp.data[[#This Row],[SDate]],weather.tbl[Date],0))</f>
        <v>5</v>
      </c>
      <c r="S1151" s="2">
        <f ca="1">INDEX(INDIRECT(_xlfn.CONCAT("weather.tbl[",S$1,"]")),MATCH(vp.data[[#This Row],[SDate]],weather.tbl[Date],0))</f>
        <v>10.199999999999999</v>
      </c>
      <c r="T1151" s="2">
        <f ca="1">INDEX(INDIRECT(_xlfn.CONCAT("weather.tbl[",T$1,"]")),MATCH(vp.data[[#This Row],[SDate]],weather.tbl[Date],0))</f>
        <v>5.9</v>
      </c>
      <c r="U1151" s="2">
        <f ca="1">INDEX(INDIRECT(_xlfn.CONCAT("weather.tbl[",U$1,"]")),MATCH(vp.data[[#This Row],[SDate]],weather.tbl[Date],0))</f>
        <v>9.3000000000000007</v>
      </c>
      <c r="V1151" s="2">
        <f t="array" ref="V11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1833.1569999999999</v>
      </c>
      <c r="W1151" t="s">
        <v>48</v>
      </c>
      <c r="X1151">
        <f>IF(OR(vp.data[[#This Row],[Sulf]]="",vp.data[[#This Row],[Dens]]=""),1,0)</f>
        <v>0</v>
      </c>
      <c r="Y1151">
        <f>IF(vp.data[[#This Row],[CrudeType]]="C5+",1,0)</f>
        <v>0</v>
      </c>
      <c r="Z1151">
        <f>IF(AND(vp.data[[#This Row],[CrudeType]]="Crude",vp.data[[#This Row],[Dens]]&lt;=825,vp.data[[#This Row],[Sulf]]&gt;0.5,vp.data[[#This Row],[Unknown]]=0),1,0)</f>
        <v>0</v>
      </c>
      <c r="AA1151">
        <f>IF(AND(vp.data[[#This Row],[CrudeType]]="Crude",vp.data[[#This Row],[Dens]]&lt;=825,vp.data[[#This Row],[Sulf]]&lt;=0.5,vp.data[[#This Row],[Unknown]]=0),1,0)</f>
        <v>0</v>
      </c>
      <c r="AB11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1">
        <f>IF(AND(vp.data[[#This Row],[CrudeType]]="Crude",vp.data[[#This Row],[Dens]]&gt;825,vp.data[[#This Row],[Dens]]&lt;=900,vp.data[[#This Row],[Sulf]]&lt;=0.5,vp.data[[#This Row],[Unknown]]=0),1,0)</f>
        <v>0</v>
      </c>
      <c r="AD1151">
        <f>IF(AND(vp.data[[#This Row],[CrudeType]]="Crude",vp.data[[#This Row],[Dens]]&gt;865,vp.data[[#This Row],[Dens]]&lt;=900,vp.data[[#This Row],[Sulf]]&gt;2,vp.data[[#This Row],[Unknown]]=0),1,0)</f>
        <v>0</v>
      </c>
      <c r="AE1151">
        <f>IF(AND(vp.data[[#This Row],[CrudeType]]="Crude",vp.data[[#This Row],[Dens]]&gt;900,vp.data[[#This Row],[Sulf]]&lt;=0.5,vp.data[[#This Row],[Unknown]]=0),1,0)</f>
        <v>0</v>
      </c>
      <c r="AF1151">
        <f>IF(AND(vp.data[[#This Row],[CrudeType]]="Crude",vp.data[[#This Row],[Dens]]&gt;900,vp.data[[#This Row],[Sulf]]&lt;=0.5,vp.data[[#This Row],[Unknown]]=0),1,0)</f>
        <v>0</v>
      </c>
      <c r="AG1151" t="str">
        <f>INDEX(vp.data[[#Headers],[Unknown]:[Heavy_SW]],MATCH(1,vp.data[[#This Row],[Unknown]:[Heavy_SW]],0))</f>
        <v>Medium_LSB</v>
      </c>
      <c r="AH1151">
        <f>INDEX([3]!crudeBD.lkup[Number],MATCH(vp.data[[#This Row],[Crude_Breakdown]],crudeBD.lkup[Crude Breakdown],0))</f>
        <v>3</v>
      </c>
      <c r="AI1151">
        <f>MONTH(vp.data[[#This Row],[SDate]])</f>
        <v>3</v>
      </c>
      <c r="AJ1151" s="5">
        <f>(vp.data[[#This Row],[VP]]-INDEX(crudeBD.lkup[Mean_VP],MATCH(vp.data[[#This Row],[Crude_Breakdown]],crudeBD.lkup[Crude Breakdown],0)))^2</f>
        <v>49.557045926721486</v>
      </c>
      <c r="AK1151" s="5">
        <f>(vp.data[[#This Row],[Dens]]-INDEX(crudeBD.lkup[Mean_Dens],MATCH(vp.data[[#This Row],[Crude_Breakdown]],crudeBD.lkup[Crude Breakdown],0)))^2</f>
        <v>3.1684000000019266</v>
      </c>
      <c r="AL1151" s="5">
        <f>(vp.data[[#This Row],[Sulf]]-INDEX(crudeBD.lkup[Mean_Sulf],MATCH(vp.data[[#This Row],[Crude_Breakdown]],crudeBD.lkup[Crude Breakdown],0)))^2</f>
        <v>1.3319035704857367E-2</v>
      </c>
      <c r="AM1151" s="4">
        <f>IF(AND(vp.data[[#This Row],[SDate]]&gt;=DATE(YEAR(vp.data[[#This Row],[SDate]]),5,1),vp.data[[#This Row],[SDate]]&lt;=DATE(YEAR(vp.data[[#This Row],[SDate]]),9,15)),1,0)</f>
        <v>0</v>
      </c>
      <c r="AN1151" s="4">
        <f>IF(vp.data[[#This Row],[SDate]]&lt;DATE(2016,12,1),0,1)</f>
        <v>1</v>
      </c>
      <c r="AO1151" s="4">
        <f>IFERROR(vp.data[[#This Row],[Sulf]]*vp.data[[#This Row],[Net Dens]],"")</f>
        <v>1968882.111123</v>
      </c>
      <c r="AP1151">
        <f>IFERROR(vp.data[[#This Row],[Dens]]*vp.data[[#This Row],[VolumeM3]],"")</f>
        <v>1550300.8748999999</v>
      </c>
      <c r="AQ1151" s="15">
        <f>IFERROR(vp.data[[#This Row],[VP]]*vp.data[[#This Row],[VolumeM3]],"")</f>
        <v>134920.35519999999</v>
      </c>
    </row>
    <row r="1152" spans="1:43" x14ac:dyDescent="0.25">
      <c r="A1152">
        <v>1151</v>
      </c>
      <c r="B1152" t="s">
        <v>108</v>
      </c>
      <c r="C1152" t="s">
        <v>108</v>
      </c>
      <c r="D1152" t="s">
        <v>243</v>
      </c>
      <c r="F1152" s="1">
        <v>42824</v>
      </c>
      <c r="G1152" s="2">
        <v>63.9</v>
      </c>
      <c r="H1152" s="2"/>
      <c r="I1152" s="2">
        <f t="array" ref="I1152">_xlfn.IFNA(IF(vp.data[[#This Row],[Sulf Input]]="",INDEX([1]DATA!$Q$3:$Q$9826,MATCH(1,(vp.data[[#This Row],[Battery]]=[1]DATA!$L$3:$L$9826)*(EOMONTH(vp.data[[#This Row],[SDate]],-1)+1=[1]DATA!$G$3:$G$9826),0)),vp.data[[#This Row],[Sulf Input]]),"")</f>
        <v>1.17</v>
      </c>
      <c r="J1152" s="2">
        <v>30.4</v>
      </c>
      <c r="K1152" s="2">
        <v>14</v>
      </c>
      <c r="L1152" s="2">
        <v>847.2</v>
      </c>
      <c r="M1152" s="2">
        <f t="array" ref="M1152">_xlfn.IFNA(IF(vp.data[[#This Row],[Dens Input]]="",INDEX([1]DATA!$O$3:$O$9826,MATCH(1,(vp.data[[#This Row],[Battery]]=[1]DATA!$L$3:$L$9826)*(EOMONTH(vp.data[[#This Row],[SDate]],-1)+1=[1]DATA!$G$3:$G$9826),0)),vp.data[[#This Row],[Dens Input]]),"")</f>
        <v>847.2</v>
      </c>
      <c r="N1152" s="2">
        <f ca="1">INDEX(INDIRECT(_xlfn.CONCAT("weather.tbl[",N$1,"]")),MATCH(vp.data[[#This Row],[SDate]],weather.tbl[Date],0))</f>
        <v>8.2666666666666657</v>
      </c>
      <c r="O1152" s="2">
        <f ca="1">INDEX(INDIRECT(_xlfn.CONCAT("weather.tbl[",O$1,"]")),MATCH(vp.data[[#This Row],[SDate]],weather.tbl[Date],0))</f>
        <v>3.7380952380952381</v>
      </c>
      <c r="P1152" s="2">
        <f ca="1">INDEX(INDIRECT(_xlfn.CONCAT("weather.tbl[",P$1,"]")),MATCH(vp.data[[#This Row],[SDate]],weather.tbl[Date],0))</f>
        <v>9</v>
      </c>
      <c r="Q1152" s="2">
        <f ca="1">INDEX(INDIRECT(_xlfn.CONCAT("weather.tbl[",Q$1,"]")),MATCH(vp.data[[#This Row],[SDate]],weather.tbl[Date],0))</f>
        <v>10.199999999999999</v>
      </c>
      <c r="R1152" s="2">
        <f ca="1">INDEX(INDIRECT(_xlfn.CONCAT("weather.tbl[",R$1,"]")),MATCH(vp.data[[#This Row],[SDate]],weather.tbl[Date],0))</f>
        <v>5</v>
      </c>
      <c r="S1152" s="2">
        <f ca="1">INDEX(INDIRECT(_xlfn.CONCAT("weather.tbl[",S$1,"]")),MATCH(vp.data[[#This Row],[SDate]],weather.tbl[Date],0))</f>
        <v>10.199999999999999</v>
      </c>
      <c r="T1152" s="2">
        <f ca="1">INDEX(INDIRECT(_xlfn.CONCAT("weather.tbl[",T$1,"]")),MATCH(vp.data[[#This Row],[SDate]],weather.tbl[Date],0))</f>
        <v>5.9</v>
      </c>
      <c r="U1152" s="2">
        <f ca="1">INDEX(INDIRECT(_xlfn.CONCAT("weather.tbl[",U$1,"]")),MATCH(vp.data[[#This Row],[SDate]],weather.tbl[Date],0))</f>
        <v>9.3000000000000007</v>
      </c>
      <c r="V1152" s="2">
        <f t="array" ref="V11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1120.9739999999999</v>
      </c>
      <c r="W1152" t="s">
        <v>48</v>
      </c>
      <c r="X1152">
        <f>IF(OR(vp.data[[#This Row],[Sulf]]="",vp.data[[#This Row],[Dens]]=""),1,0)</f>
        <v>0</v>
      </c>
      <c r="Y1152">
        <f>IF(vp.data[[#This Row],[CrudeType]]="C5+",1,0)</f>
        <v>0</v>
      </c>
      <c r="Z1152">
        <f>IF(AND(vp.data[[#This Row],[CrudeType]]="Crude",vp.data[[#This Row],[Dens]]&lt;=825,vp.data[[#This Row],[Sulf]]&gt;0.5,vp.data[[#This Row],[Unknown]]=0),1,0)</f>
        <v>0</v>
      </c>
      <c r="AA1152">
        <f>IF(AND(vp.data[[#This Row],[CrudeType]]="Crude",vp.data[[#This Row],[Dens]]&lt;=825,vp.data[[#This Row],[Sulf]]&lt;=0.5,vp.data[[#This Row],[Unknown]]=0),1,0)</f>
        <v>0</v>
      </c>
      <c r="AB11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2">
        <f>IF(AND(vp.data[[#This Row],[CrudeType]]="Crude",vp.data[[#This Row],[Dens]]&gt;825,vp.data[[#This Row],[Dens]]&lt;=900,vp.data[[#This Row],[Sulf]]&lt;=0.5,vp.data[[#This Row],[Unknown]]=0),1,0)</f>
        <v>0</v>
      </c>
      <c r="AD1152">
        <f>IF(AND(vp.data[[#This Row],[CrudeType]]="Crude",vp.data[[#This Row],[Dens]]&gt;865,vp.data[[#This Row],[Dens]]&lt;=900,vp.data[[#This Row],[Sulf]]&gt;2,vp.data[[#This Row],[Unknown]]=0),1,0)</f>
        <v>0</v>
      </c>
      <c r="AE1152">
        <f>IF(AND(vp.data[[#This Row],[CrudeType]]="Crude",vp.data[[#This Row],[Dens]]&gt;900,vp.data[[#This Row],[Sulf]]&lt;=0.5,vp.data[[#This Row],[Unknown]]=0),1,0)</f>
        <v>0</v>
      </c>
      <c r="AF1152">
        <f>IF(AND(vp.data[[#This Row],[CrudeType]]="Crude",vp.data[[#This Row],[Dens]]&gt;900,vp.data[[#This Row],[Sulf]]&lt;=0.5,vp.data[[#This Row],[Unknown]]=0),1,0)</f>
        <v>0</v>
      </c>
      <c r="AG1152" t="str">
        <f>INDEX(vp.data[[#Headers],[Unknown]:[Heavy_SW]],MATCH(1,vp.data[[#This Row],[Unknown]:[Heavy_SW]],0))</f>
        <v>Medium_LSB</v>
      </c>
      <c r="AH1152">
        <f>INDEX([3]!crudeBD.lkup[Number],MATCH(vp.data[[#This Row],[Crude_Breakdown]],crudeBD.lkup[Crude Breakdown],0))</f>
        <v>3</v>
      </c>
      <c r="AI1152">
        <f>MONTH(vp.data[[#This Row],[SDate]])</f>
        <v>3</v>
      </c>
      <c r="AJ1152" s="5">
        <f>(vp.data[[#This Row],[VP]]-INDEX(crudeBD.lkup[Mean_VP],MATCH(vp.data[[#This Row],[Crude_Breakdown]],crudeBD.lkup[Crude Breakdown],0)))^2</f>
        <v>280.2167709941055</v>
      </c>
      <c r="AK1152" s="5">
        <f>(vp.data[[#This Row],[Dens]]-INDEX(crudeBD.lkup[Mean_Dens],MATCH(vp.data[[#This Row],[Crude_Breakdown]],crudeBD.lkup[Crude Breakdown],0)))^2</f>
        <v>10.758400000003549</v>
      </c>
      <c r="AL1152" s="5">
        <f>(vp.data[[#This Row],[Sulf]]-INDEX(crudeBD.lkup[Mean_Sulf],MATCH(vp.data[[#This Row],[Crude_Breakdown]],crudeBD.lkup[Crude Breakdown],0)))^2</f>
        <v>4.6400661041784932E-2</v>
      </c>
      <c r="AM1152" s="4">
        <f>IF(AND(vp.data[[#This Row],[SDate]]&gt;=DATE(YEAR(vp.data[[#This Row],[SDate]]),5,1),vp.data[[#This Row],[SDate]]&lt;=DATE(YEAR(vp.data[[#This Row],[SDate]]),9,15)),1,0)</f>
        <v>0</v>
      </c>
      <c r="AN1152" s="4">
        <f>IF(vp.data[[#This Row],[SDate]]&lt;DATE(2016,12,1),0,1)</f>
        <v>1</v>
      </c>
      <c r="AO1152" s="4">
        <f>IFERROR(vp.data[[#This Row],[Sulf]]*vp.data[[#This Row],[Net Dens]],"")</f>
        <v>1111136.3321759999</v>
      </c>
      <c r="AP1152">
        <f>IFERROR(vp.data[[#This Row],[Dens]]*vp.data[[#This Row],[VolumeM3]],"")</f>
        <v>949689.17279999994</v>
      </c>
      <c r="AQ1152" s="15">
        <f>IFERROR(vp.data[[#This Row],[VP]]*vp.data[[#This Row],[VolumeM3]],"")</f>
        <v>71630.238599999997</v>
      </c>
    </row>
    <row r="1153" spans="1:43" x14ac:dyDescent="0.25">
      <c r="A1153">
        <v>1152</v>
      </c>
      <c r="B1153" t="s">
        <v>51</v>
      </c>
      <c r="C1153" t="s">
        <v>51</v>
      </c>
      <c r="D1153" t="s">
        <v>244</v>
      </c>
      <c r="F1153" s="1">
        <v>42824</v>
      </c>
      <c r="G1153" s="2">
        <v>89.1</v>
      </c>
      <c r="H1153" s="2"/>
      <c r="I1153" s="2">
        <f t="array" ref="I1153">_xlfn.IFNA(IF(vp.data[[#This Row],[Sulf Input]]="",INDEX([1]DATA!$Q$3:$Q$9826,MATCH(1,(vp.data[[#This Row],[Battery]]=[1]DATA!$L$3:$L$9826)*(EOMONTH(vp.data[[#This Row],[SDate]],-1)+1=[1]DATA!$G$3:$G$9826),0)),vp.data[[#This Row],[Sulf Input]]),"")</f>
        <v>1.8</v>
      </c>
      <c r="J1153" s="2">
        <v>24</v>
      </c>
      <c r="K1153" s="2">
        <v>14</v>
      </c>
      <c r="L1153" s="2">
        <v>858</v>
      </c>
      <c r="M1153" s="2">
        <f t="array" ref="M1153">_xlfn.IFNA(IF(vp.data[[#This Row],[Dens Input]]="",INDEX([1]DATA!$O$3:$O$9826,MATCH(1,(vp.data[[#This Row],[Battery]]=[1]DATA!$L$3:$L$9826)*(EOMONTH(vp.data[[#This Row],[SDate]],-1)+1=[1]DATA!$G$3:$G$9826),0)),vp.data[[#This Row],[Dens Input]]),"")</f>
        <v>858</v>
      </c>
      <c r="N1153" s="2">
        <f ca="1">INDEX(INDIRECT(_xlfn.CONCAT("weather.tbl[",N$1,"]")),MATCH(vp.data[[#This Row],[SDate]],weather.tbl[Date],0))</f>
        <v>8.2666666666666657</v>
      </c>
      <c r="O1153" s="2">
        <f ca="1">INDEX(INDIRECT(_xlfn.CONCAT("weather.tbl[",O$1,"]")),MATCH(vp.data[[#This Row],[SDate]],weather.tbl[Date],0))</f>
        <v>3.7380952380952381</v>
      </c>
      <c r="P1153" s="2">
        <f ca="1">INDEX(INDIRECT(_xlfn.CONCAT("weather.tbl[",P$1,"]")),MATCH(vp.data[[#This Row],[SDate]],weather.tbl[Date],0))</f>
        <v>9</v>
      </c>
      <c r="Q1153" s="2">
        <f ca="1">INDEX(INDIRECT(_xlfn.CONCAT("weather.tbl[",Q$1,"]")),MATCH(vp.data[[#This Row],[SDate]],weather.tbl[Date],0))</f>
        <v>10.199999999999999</v>
      </c>
      <c r="R1153" s="2">
        <f ca="1">INDEX(INDIRECT(_xlfn.CONCAT("weather.tbl[",R$1,"]")),MATCH(vp.data[[#This Row],[SDate]],weather.tbl[Date],0))</f>
        <v>5</v>
      </c>
      <c r="S1153" s="2">
        <f ca="1">INDEX(INDIRECT(_xlfn.CONCAT("weather.tbl[",S$1,"]")),MATCH(vp.data[[#This Row],[SDate]],weather.tbl[Date],0))</f>
        <v>10.199999999999999</v>
      </c>
      <c r="T1153" s="2">
        <f ca="1">INDEX(INDIRECT(_xlfn.CONCAT("weather.tbl[",T$1,"]")),MATCH(vp.data[[#This Row],[SDate]],weather.tbl[Date],0))</f>
        <v>5.9</v>
      </c>
      <c r="U1153" s="2">
        <f ca="1">INDEX(INDIRECT(_xlfn.CONCAT("weather.tbl[",U$1,"]")),MATCH(vp.data[[#This Row],[SDate]],weather.tbl[Date],0))</f>
        <v>9.3000000000000007</v>
      </c>
      <c r="V1153" s="2">
        <f t="array" ref="V11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890.14700000000005</v>
      </c>
      <c r="W1153" t="s">
        <v>48</v>
      </c>
      <c r="X1153">
        <f>IF(OR(vp.data[[#This Row],[Sulf]]="",vp.data[[#This Row],[Dens]]=""),1,0)</f>
        <v>0</v>
      </c>
      <c r="Y1153">
        <f>IF(vp.data[[#This Row],[CrudeType]]="C5+",1,0)</f>
        <v>0</v>
      </c>
      <c r="Z1153">
        <f>IF(AND(vp.data[[#This Row],[CrudeType]]="Crude",vp.data[[#This Row],[Dens]]&lt;=825,vp.data[[#This Row],[Sulf]]&gt;0.5,vp.data[[#This Row],[Unknown]]=0),1,0)</f>
        <v>0</v>
      </c>
      <c r="AA1153">
        <f>IF(AND(vp.data[[#This Row],[CrudeType]]="Crude",vp.data[[#This Row],[Dens]]&lt;=825,vp.data[[#This Row],[Sulf]]&lt;=0.5,vp.data[[#This Row],[Unknown]]=0),1,0)</f>
        <v>0</v>
      </c>
      <c r="AB11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3">
        <f>IF(AND(vp.data[[#This Row],[CrudeType]]="Crude",vp.data[[#This Row],[Dens]]&gt;825,vp.data[[#This Row],[Dens]]&lt;=900,vp.data[[#This Row],[Sulf]]&lt;=0.5,vp.data[[#This Row],[Unknown]]=0),1,0)</f>
        <v>0</v>
      </c>
      <c r="AD1153">
        <f>IF(AND(vp.data[[#This Row],[CrudeType]]="Crude",vp.data[[#This Row],[Dens]]&gt;865,vp.data[[#This Row],[Dens]]&lt;=900,vp.data[[#This Row],[Sulf]]&gt;2,vp.data[[#This Row],[Unknown]]=0),1,0)</f>
        <v>0</v>
      </c>
      <c r="AE1153">
        <f>IF(AND(vp.data[[#This Row],[CrudeType]]="Crude",vp.data[[#This Row],[Dens]]&gt;900,vp.data[[#This Row],[Sulf]]&lt;=0.5,vp.data[[#This Row],[Unknown]]=0),1,0)</f>
        <v>0</v>
      </c>
      <c r="AF1153">
        <f>IF(AND(vp.data[[#This Row],[CrudeType]]="Crude",vp.data[[#This Row],[Dens]]&gt;900,vp.data[[#This Row],[Sulf]]&lt;=0.5,vp.data[[#This Row],[Unknown]]=0),1,0)</f>
        <v>0</v>
      </c>
      <c r="AG1153" t="str">
        <f>INDEX(vp.data[[#Headers],[Unknown]:[Heavy_SW]],MATCH(1,vp.data[[#This Row],[Unknown]:[Heavy_SW]],0))</f>
        <v>Medium_LSB</v>
      </c>
      <c r="AH1153">
        <f>INDEX([3]!crudeBD.lkup[Number],MATCH(vp.data[[#This Row],[Crude_Breakdown]],crudeBD.lkup[Crude Breakdown],0))</f>
        <v>3</v>
      </c>
      <c r="AI1153">
        <f>MONTH(vp.data[[#This Row],[SDate]])</f>
        <v>3</v>
      </c>
      <c r="AJ1153" s="5">
        <f>(vp.data[[#This Row],[VP]]-INDEX(crudeBD.lkup[Mean_VP],MATCH(vp.data[[#This Row],[Crude_Breakdown]],crudeBD.lkup[Crude Breakdown],0)))^2</f>
        <v>71.577072880901426</v>
      </c>
      <c r="AK1153" s="5">
        <f>(vp.data[[#This Row],[Dens]]-INDEX(crudeBD.lkup[Mean_Dens],MATCH(vp.data[[#This Row],[Crude_Breakdown]],crudeBD.lkup[Crude Breakdown],0)))^2</f>
        <v>198.24640000001395</v>
      </c>
      <c r="AL1153" s="5">
        <f>(vp.data[[#This Row],[Sulf]]-INDEX(crudeBD.lkup[Mean_Sulf],MATCH(vp.data[[#This Row],[Crude_Breakdown]],crudeBD.lkup[Crude Breakdown],0)))^2</f>
        <v>0.17188642141914151</v>
      </c>
      <c r="AM1153" s="4">
        <f>IF(AND(vp.data[[#This Row],[SDate]]&gt;=DATE(YEAR(vp.data[[#This Row],[SDate]]),5,1),vp.data[[#This Row],[SDate]]&lt;=DATE(YEAR(vp.data[[#This Row],[SDate]]),9,15)),1,0)</f>
        <v>0</v>
      </c>
      <c r="AN1153" s="4">
        <f>IF(vp.data[[#This Row],[SDate]]&lt;DATE(2016,12,1),0,1)</f>
        <v>1</v>
      </c>
      <c r="AO1153" s="4">
        <f>IFERROR(vp.data[[#This Row],[Sulf]]*vp.data[[#This Row],[Net Dens]],"")</f>
        <v>1374743.0268000001</v>
      </c>
      <c r="AP1153">
        <f>IFERROR(vp.data[[#This Row],[Dens]]*vp.data[[#This Row],[VolumeM3]],"")</f>
        <v>763746.12600000005</v>
      </c>
      <c r="AQ1153" s="15">
        <f>IFERROR(vp.data[[#This Row],[VP]]*vp.data[[#This Row],[VolumeM3]],"")</f>
        <v>79312.097699999998</v>
      </c>
    </row>
    <row r="1154" spans="1:43" x14ac:dyDescent="0.25">
      <c r="A1154">
        <v>1153</v>
      </c>
      <c r="B1154" t="s">
        <v>68</v>
      </c>
      <c r="C1154" t="s">
        <v>68</v>
      </c>
      <c r="D1154" t="s">
        <v>69</v>
      </c>
      <c r="F1154" s="1">
        <v>42827</v>
      </c>
      <c r="G1154" s="2">
        <v>79.2</v>
      </c>
      <c r="H1154" s="2"/>
      <c r="I1154" s="2">
        <f t="array" ref="I1154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154" s="2">
        <v>9</v>
      </c>
      <c r="K1154" s="2">
        <v>-30</v>
      </c>
      <c r="L1154" s="2">
        <v>862</v>
      </c>
      <c r="M1154" s="2">
        <f t="array" ref="M1154">_xlfn.IFNA(IF(vp.data[[#This Row],[Dens Input]]="",INDEX([1]DATA!$O$3:$O$9826,MATCH(1,(vp.data[[#This Row],[Battery]]=[1]DATA!$L$3:$L$9826)*(EOMONTH(vp.data[[#This Row],[SDate]],-1)+1=[1]DATA!$G$3:$G$9826),0)),vp.data[[#This Row],[Dens Input]]),"")</f>
        <v>862</v>
      </c>
      <c r="N1154" s="2">
        <f ca="1">INDEX(INDIRECT(_xlfn.CONCAT("weather.tbl[",N$1,"]")),MATCH(vp.data[[#This Row],[SDate]],weather.tbl[Date],0))</f>
        <v>7.5833333333333348</v>
      </c>
      <c r="O1154" s="2">
        <f ca="1">INDEX(INDIRECT(_xlfn.CONCAT("weather.tbl[",O$1,"]")),MATCH(vp.data[[#This Row],[SDate]],weather.tbl[Date],0))</f>
        <v>4.8857142857142852</v>
      </c>
      <c r="P1154" s="2">
        <f ca="1">INDEX(INDIRECT(_xlfn.CONCAT("weather.tbl[",P$1,"]")),MATCH(vp.data[[#This Row],[SDate]],weather.tbl[Date],0))</f>
        <v>7.7</v>
      </c>
      <c r="Q1154" s="2">
        <f ca="1">INDEX(INDIRECT(_xlfn.CONCAT("weather.tbl[",Q$1,"]")),MATCH(vp.data[[#This Row],[SDate]],weather.tbl[Date],0))</f>
        <v>6.9</v>
      </c>
      <c r="R1154" s="2">
        <f ca="1">INDEX(INDIRECT(_xlfn.CONCAT("weather.tbl[",R$1,"]")),MATCH(vp.data[[#This Row],[SDate]],weather.tbl[Date],0))</f>
        <v>8.3000000000000007</v>
      </c>
      <c r="S1154" s="2">
        <f ca="1">INDEX(INDIRECT(_xlfn.CONCAT("weather.tbl[",S$1,"]")),MATCH(vp.data[[#This Row],[SDate]],weather.tbl[Date],0))</f>
        <v>6.9</v>
      </c>
      <c r="T1154" s="2">
        <f ca="1">INDEX(INDIRECT(_xlfn.CONCAT("weather.tbl[",T$1,"]")),MATCH(vp.data[[#This Row],[SDate]],weather.tbl[Date],0))</f>
        <v>7.7</v>
      </c>
      <c r="U1154" s="2">
        <f ca="1">INDEX(INDIRECT(_xlfn.CONCAT("weather.tbl[",U$1,"]")),MATCH(vp.data[[#This Row],[SDate]],weather.tbl[Date],0))</f>
        <v>8</v>
      </c>
      <c r="V1154" s="2">
        <f t="array" ref="V11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1529.07</v>
      </c>
      <c r="W1154" t="s">
        <v>48</v>
      </c>
      <c r="X1154">
        <f>IF(OR(vp.data[[#This Row],[Sulf]]="",vp.data[[#This Row],[Dens]]=""),1,0)</f>
        <v>0</v>
      </c>
      <c r="Y1154">
        <f>IF(vp.data[[#This Row],[CrudeType]]="C5+",1,0)</f>
        <v>0</v>
      </c>
      <c r="Z1154">
        <f>IF(AND(vp.data[[#This Row],[CrudeType]]="Crude",vp.data[[#This Row],[Dens]]&lt;=825,vp.data[[#This Row],[Sulf]]&gt;0.5,vp.data[[#This Row],[Unknown]]=0),1,0)</f>
        <v>0</v>
      </c>
      <c r="AA1154">
        <f>IF(AND(vp.data[[#This Row],[CrudeType]]="Crude",vp.data[[#This Row],[Dens]]&lt;=825,vp.data[[#This Row],[Sulf]]&lt;=0.5,vp.data[[#This Row],[Unknown]]=0),1,0)</f>
        <v>0</v>
      </c>
      <c r="AB11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4">
        <f>IF(AND(vp.data[[#This Row],[CrudeType]]="Crude",vp.data[[#This Row],[Dens]]&gt;825,vp.data[[#This Row],[Dens]]&lt;=900,vp.data[[#This Row],[Sulf]]&lt;=0.5,vp.data[[#This Row],[Unknown]]=0),1,0)</f>
        <v>0</v>
      </c>
      <c r="AD1154">
        <f>IF(AND(vp.data[[#This Row],[CrudeType]]="Crude",vp.data[[#This Row],[Dens]]&gt;865,vp.data[[#This Row],[Dens]]&lt;=900,vp.data[[#This Row],[Sulf]]&gt;2,vp.data[[#This Row],[Unknown]]=0),1,0)</f>
        <v>0</v>
      </c>
      <c r="AE1154">
        <f>IF(AND(vp.data[[#This Row],[CrudeType]]="Crude",vp.data[[#This Row],[Dens]]&gt;900,vp.data[[#This Row],[Sulf]]&lt;=0.5,vp.data[[#This Row],[Unknown]]=0),1,0)</f>
        <v>0</v>
      </c>
      <c r="AF1154">
        <f>IF(AND(vp.data[[#This Row],[CrudeType]]="Crude",vp.data[[#This Row],[Dens]]&gt;900,vp.data[[#This Row],[Sulf]]&lt;=0.5,vp.data[[#This Row],[Unknown]]=0),1,0)</f>
        <v>0</v>
      </c>
      <c r="AG1154" t="str">
        <f>INDEX(vp.data[[#Headers],[Unknown]:[Heavy_SW]],MATCH(1,vp.data[[#This Row],[Unknown]:[Heavy_SW]],0))</f>
        <v>Medium_LSB</v>
      </c>
      <c r="AH1154">
        <f>INDEX([3]!crudeBD.lkup[Number],MATCH(vp.data[[#This Row],[Crude_Breakdown]],crudeBD.lkup[Crude Breakdown],0))</f>
        <v>3</v>
      </c>
      <c r="AI1154">
        <f>MONTH(vp.data[[#This Row],[SDate]])</f>
        <v>4</v>
      </c>
      <c r="AJ1154" s="5">
        <f>(vp.data[[#This Row],[VP]]-INDEX(crudeBD.lkup[Mean_VP],MATCH(vp.data[[#This Row],[Crude_Breakdown]],crudeBD.lkup[Crude Breakdown],0)))^2</f>
        <v>2.0726685682316353</v>
      </c>
      <c r="AK1154" s="5">
        <f>(vp.data[[#This Row],[Dens]]-INDEX(crudeBD.lkup[Mean_Dens],MATCH(vp.data[[#This Row],[Crude_Breakdown]],crudeBD.lkup[Crude Breakdown],0)))^2</f>
        <v>326.88640000001794</v>
      </c>
      <c r="AL1154" s="5">
        <f>(vp.data[[#This Row],[Sulf]]-INDEX(crudeBD.lkup[Mean_Sulf],MATCH(vp.data[[#This Row],[Crude_Breakdown]],crudeBD.lkup[Crude Breakdown],0)))^2</f>
        <v>1.8114972362538555E-2</v>
      </c>
      <c r="AM1154" s="4">
        <f>IF(AND(vp.data[[#This Row],[SDate]]&gt;=DATE(YEAR(vp.data[[#This Row],[SDate]]),5,1),vp.data[[#This Row],[SDate]]&lt;=DATE(YEAR(vp.data[[#This Row],[SDate]]),9,15)),1,0)</f>
        <v>0</v>
      </c>
      <c r="AN1154" s="4">
        <f>IF(vp.data[[#This Row],[SDate]]&lt;DATE(2016,12,1),0,1)</f>
        <v>1</v>
      </c>
      <c r="AO1154" s="4">
        <f>IFERROR(vp.data[[#This Row],[Sulf]]*vp.data[[#This Row],[Net Dens]],"")</f>
        <v>2003448.6767999998</v>
      </c>
      <c r="AP1154">
        <f>IFERROR(vp.data[[#This Row],[Dens]]*vp.data[[#This Row],[VolumeM3]],"")</f>
        <v>1318058.3399999999</v>
      </c>
      <c r="AQ1154" s="15">
        <f>IFERROR(vp.data[[#This Row],[VP]]*vp.data[[#This Row],[VolumeM3]],"")</f>
        <v>121102.344</v>
      </c>
    </row>
    <row r="1155" spans="1:43" x14ac:dyDescent="0.25">
      <c r="A1155">
        <v>1154</v>
      </c>
      <c r="B1155" t="s">
        <v>49</v>
      </c>
      <c r="C1155" t="s">
        <v>49</v>
      </c>
      <c r="D1155" t="s">
        <v>80</v>
      </c>
      <c r="F1155" s="1">
        <v>42828</v>
      </c>
      <c r="G1155" s="2">
        <v>87.1</v>
      </c>
      <c r="H1155" s="2">
        <v>0.34499999999999997</v>
      </c>
      <c r="I1155" s="2">
        <f t="array" ref="I1155">_xlfn.IFNA(IF(vp.data[[#This Row],[Sulf Input]]="",INDEX([1]DATA!$Q$3:$Q$9826,MATCH(1,(vp.data[[#This Row],[Battery]]=[1]DATA!$L$3:$L$9826)*(EOMONTH(vp.data[[#This Row],[SDate]],-1)+1=[1]DATA!$G$3:$G$9826),0)),vp.data[[#This Row],[Sulf Input]]),"")</f>
        <v>0.34499999999999997</v>
      </c>
      <c r="J1155" s="2">
        <v>19.7</v>
      </c>
      <c r="K1155" s="2">
        <v>8</v>
      </c>
      <c r="L1155" s="2">
        <v>810.8</v>
      </c>
      <c r="M1155" s="2">
        <f t="array" ref="M1155">_xlfn.IFNA(IF(vp.data[[#This Row],[Dens Input]]="",INDEX([1]DATA!$O$3:$O$9826,MATCH(1,(vp.data[[#This Row],[Battery]]=[1]DATA!$L$3:$L$9826)*(EOMONTH(vp.data[[#This Row],[SDate]],-1)+1=[1]DATA!$G$3:$G$9826),0)),vp.data[[#This Row],[Dens Input]]),"")</f>
        <v>810.8</v>
      </c>
      <c r="N1155" s="2">
        <f ca="1">INDEX(INDIRECT(_xlfn.CONCAT("weather.tbl[",N$1,"]")),MATCH(vp.data[[#This Row],[SDate]],weather.tbl[Date],0))</f>
        <v>5.583333333333333</v>
      </c>
      <c r="O1155" s="2">
        <f ca="1">INDEX(INDIRECT(_xlfn.CONCAT("weather.tbl[",O$1,"]")),MATCH(vp.data[[#This Row],[SDate]],weather.tbl[Date],0))</f>
        <v>5.4738095238095239</v>
      </c>
      <c r="P1155" s="2">
        <f ca="1">INDEX(INDIRECT(_xlfn.CONCAT("weather.tbl[",P$1,"]")),MATCH(vp.data[[#This Row],[SDate]],weather.tbl[Date],0))</f>
        <v>5</v>
      </c>
      <c r="Q1155" s="2">
        <f ca="1">INDEX(INDIRECT(_xlfn.CONCAT("weather.tbl[",Q$1,"]")),MATCH(vp.data[[#This Row],[SDate]],weather.tbl[Date],0))</f>
        <v>4.9000000000000004</v>
      </c>
      <c r="R1155" s="2">
        <f ca="1">INDEX(INDIRECT(_xlfn.CONCAT("weather.tbl[",R$1,"]")),MATCH(vp.data[[#This Row],[SDate]],weather.tbl[Date],0))</f>
        <v>8.3000000000000007</v>
      </c>
      <c r="S1155" s="2">
        <f ca="1">INDEX(INDIRECT(_xlfn.CONCAT("weather.tbl[",S$1,"]")),MATCH(vp.data[[#This Row],[SDate]],weather.tbl[Date],0))</f>
        <v>4.8</v>
      </c>
      <c r="T1155" s="2">
        <f ca="1">INDEX(INDIRECT(_xlfn.CONCAT("weather.tbl[",T$1,"]")),MATCH(vp.data[[#This Row],[SDate]],weather.tbl[Date],0))</f>
        <v>5.5</v>
      </c>
      <c r="U1155" s="2">
        <f ca="1">INDEX(INDIRECT(_xlfn.CONCAT("weather.tbl[",U$1,"]")),MATCH(vp.data[[#This Row],[SDate]],weather.tbl[Date],0))</f>
        <v>5</v>
      </c>
      <c r="V1155" s="2">
        <f t="array" ref="V11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21198.933000000001</v>
      </c>
      <c r="W1155" t="s">
        <v>48</v>
      </c>
      <c r="X1155">
        <f>IF(OR(vp.data[[#This Row],[Sulf]]="",vp.data[[#This Row],[Dens]]=""),1,0)</f>
        <v>0</v>
      </c>
      <c r="Y1155">
        <f>IF(vp.data[[#This Row],[CrudeType]]="C5+",1,0)</f>
        <v>0</v>
      </c>
      <c r="Z1155">
        <f>IF(AND(vp.data[[#This Row],[CrudeType]]="Crude",vp.data[[#This Row],[Dens]]&lt;=825,vp.data[[#This Row],[Sulf]]&gt;0.5,vp.data[[#This Row],[Unknown]]=0),1,0)</f>
        <v>0</v>
      </c>
      <c r="AA1155">
        <f>IF(AND(vp.data[[#This Row],[CrudeType]]="Crude",vp.data[[#This Row],[Dens]]&lt;=825,vp.data[[#This Row],[Sulf]]&lt;=0.5,vp.data[[#This Row],[Unknown]]=0),1,0)</f>
        <v>1</v>
      </c>
      <c r="AB11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55">
        <f>IF(AND(vp.data[[#This Row],[CrudeType]]="Crude",vp.data[[#This Row],[Dens]]&gt;825,vp.data[[#This Row],[Dens]]&lt;=900,vp.data[[#This Row],[Sulf]]&lt;=0.5,vp.data[[#This Row],[Unknown]]=0),1,0)</f>
        <v>0</v>
      </c>
      <c r="AD1155">
        <f>IF(AND(vp.data[[#This Row],[CrudeType]]="Crude",vp.data[[#This Row],[Dens]]&gt;865,vp.data[[#This Row],[Dens]]&lt;=900,vp.data[[#This Row],[Sulf]]&gt;2,vp.data[[#This Row],[Unknown]]=0),1,0)</f>
        <v>0</v>
      </c>
      <c r="AE1155">
        <f>IF(AND(vp.data[[#This Row],[CrudeType]]="Crude",vp.data[[#This Row],[Dens]]&gt;900,vp.data[[#This Row],[Sulf]]&lt;=0.5,vp.data[[#This Row],[Unknown]]=0),1,0)</f>
        <v>0</v>
      </c>
      <c r="AF1155">
        <f>IF(AND(vp.data[[#This Row],[CrudeType]]="Crude",vp.data[[#This Row],[Dens]]&gt;900,vp.data[[#This Row],[Sulf]]&lt;=0.5,vp.data[[#This Row],[Unknown]]=0),1,0)</f>
        <v>0</v>
      </c>
      <c r="AG1155" t="str">
        <f>INDEX(vp.data[[#Headers],[Unknown]:[Heavy_SW]],MATCH(1,vp.data[[#This Row],[Unknown]:[Heavy_SW]],0))</f>
        <v>Light_SW</v>
      </c>
      <c r="AH1155">
        <f>INDEX([3]!crudeBD.lkup[Number],MATCH(vp.data[[#This Row],[Crude_Breakdown]],crudeBD.lkup[Crude Breakdown],0))</f>
        <v>2</v>
      </c>
      <c r="AI1155">
        <f>MONTH(vp.data[[#This Row],[SDate]])</f>
        <v>4</v>
      </c>
      <c r="AJ1155" s="5">
        <f>(vp.data[[#This Row],[VP]]-INDEX(crudeBD.lkup[Mean_VP],MATCH(vp.data[[#This Row],[Crude_Breakdown]],crudeBD.lkup[Crude Breakdown],0)))^2</f>
        <v>29.705918216804605</v>
      </c>
      <c r="AK1155" s="5">
        <f>(vp.data[[#This Row],[Dens]]-INDEX(crudeBD.lkup[Mean_Dens],MATCH(vp.data[[#This Row],[Crude_Breakdown]],crudeBD.lkup[Crude Breakdown],0)))^2</f>
        <v>6.1926409207356032</v>
      </c>
      <c r="AL1155" s="5">
        <f>(vp.data[[#This Row],[Sulf]]-INDEX(crudeBD.lkup[Mean_Sulf],MATCH(vp.data[[#This Row],[Crude_Breakdown]],crudeBD.lkup[Crude Breakdown],0)))^2</f>
        <v>1.182834349039083E-2</v>
      </c>
      <c r="AM1155" s="4">
        <f>IF(AND(vp.data[[#This Row],[SDate]]&gt;=DATE(YEAR(vp.data[[#This Row],[SDate]]),5,1),vp.data[[#This Row],[SDate]]&lt;=DATE(YEAR(vp.data[[#This Row],[SDate]]),9,15)),1,0)</f>
        <v>0</v>
      </c>
      <c r="AN1155" s="4">
        <f>IF(vp.data[[#This Row],[SDate]]&lt;DATE(2016,12,1),0,1)</f>
        <v>1</v>
      </c>
      <c r="AO1155" s="4">
        <f>IFERROR(vp.data[[#This Row],[Sulf]]*vp.data[[#This Row],[Net Dens]],"")</f>
        <v>5929892.7323580002</v>
      </c>
      <c r="AP1155">
        <f>IFERROR(vp.data[[#This Row],[Dens]]*vp.data[[#This Row],[VolumeM3]],"")</f>
        <v>17188094.876400001</v>
      </c>
      <c r="AQ1155" s="15">
        <f>IFERROR(vp.data[[#This Row],[VP]]*vp.data[[#This Row],[VolumeM3]],"")</f>
        <v>1846427.0643</v>
      </c>
    </row>
    <row r="1156" spans="1:43" x14ac:dyDescent="0.25">
      <c r="A1156">
        <v>1155</v>
      </c>
      <c r="B1156" t="s">
        <v>49</v>
      </c>
      <c r="C1156" t="s">
        <v>49</v>
      </c>
      <c r="D1156" t="s">
        <v>67</v>
      </c>
      <c r="F1156" s="1">
        <v>42828</v>
      </c>
      <c r="G1156" s="2">
        <v>91.5</v>
      </c>
      <c r="H1156" s="2">
        <v>0.373</v>
      </c>
      <c r="I1156" s="2">
        <f t="array" ref="I1156">_xlfn.IFNA(IF(vp.data[[#This Row],[Sulf Input]]="",INDEX([1]DATA!$Q$3:$Q$9826,MATCH(1,(vp.data[[#This Row],[Battery]]=[1]DATA!$L$3:$L$9826)*(EOMONTH(vp.data[[#This Row],[SDate]],-1)+1=[1]DATA!$G$3:$G$9826),0)),vp.data[[#This Row],[Sulf Input]]),"")</f>
        <v>0.373</v>
      </c>
      <c r="J1156" s="2">
        <v>9.1</v>
      </c>
      <c r="K1156" s="2">
        <v>8</v>
      </c>
      <c r="L1156" s="2">
        <v>813.3</v>
      </c>
      <c r="M1156" s="2">
        <f t="array" ref="M1156">_xlfn.IFNA(IF(vp.data[[#This Row],[Dens Input]]="",INDEX([1]DATA!$O$3:$O$9826,MATCH(1,(vp.data[[#This Row],[Battery]]=[1]DATA!$L$3:$L$9826)*(EOMONTH(vp.data[[#This Row],[SDate]],-1)+1=[1]DATA!$G$3:$G$9826),0)),vp.data[[#This Row],[Dens Input]]),"")</f>
        <v>813.3</v>
      </c>
      <c r="N1156" s="2">
        <f ca="1">INDEX(INDIRECT(_xlfn.CONCAT("weather.tbl[",N$1,"]")),MATCH(vp.data[[#This Row],[SDate]],weather.tbl[Date],0))</f>
        <v>5.583333333333333</v>
      </c>
      <c r="O1156" s="2">
        <f ca="1">INDEX(INDIRECT(_xlfn.CONCAT("weather.tbl[",O$1,"]")),MATCH(vp.data[[#This Row],[SDate]],weather.tbl[Date],0))</f>
        <v>5.4738095238095239</v>
      </c>
      <c r="P1156" s="2">
        <f ca="1">INDEX(INDIRECT(_xlfn.CONCAT("weather.tbl[",P$1,"]")),MATCH(vp.data[[#This Row],[SDate]],weather.tbl[Date],0))</f>
        <v>5</v>
      </c>
      <c r="Q1156" s="2">
        <f ca="1">INDEX(INDIRECT(_xlfn.CONCAT("weather.tbl[",Q$1,"]")),MATCH(vp.data[[#This Row],[SDate]],weather.tbl[Date],0))</f>
        <v>4.9000000000000004</v>
      </c>
      <c r="R1156" s="2">
        <f ca="1">INDEX(INDIRECT(_xlfn.CONCAT("weather.tbl[",R$1,"]")),MATCH(vp.data[[#This Row],[SDate]],weather.tbl[Date],0))</f>
        <v>8.3000000000000007</v>
      </c>
      <c r="S1156" s="2">
        <f ca="1">INDEX(INDIRECT(_xlfn.CONCAT("weather.tbl[",S$1,"]")),MATCH(vp.data[[#This Row],[SDate]],weather.tbl[Date],0))</f>
        <v>4.8</v>
      </c>
      <c r="T1156" s="2">
        <f ca="1">INDEX(INDIRECT(_xlfn.CONCAT("weather.tbl[",T$1,"]")),MATCH(vp.data[[#This Row],[SDate]],weather.tbl[Date],0))</f>
        <v>5.5</v>
      </c>
      <c r="U1156" s="2">
        <f ca="1">INDEX(INDIRECT(_xlfn.CONCAT("weather.tbl[",U$1,"]")),MATCH(vp.data[[#This Row],[SDate]],weather.tbl[Date],0))</f>
        <v>5</v>
      </c>
      <c r="V1156" s="2">
        <f t="array" ref="V11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140792.67800000001</v>
      </c>
      <c r="W1156" t="s">
        <v>48</v>
      </c>
      <c r="X1156">
        <f>IF(OR(vp.data[[#This Row],[Sulf]]="",vp.data[[#This Row],[Dens]]=""),1,0)</f>
        <v>0</v>
      </c>
      <c r="Y1156">
        <f>IF(vp.data[[#This Row],[CrudeType]]="C5+",1,0)</f>
        <v>0</v>
      </c>
      <c r="Z1156">
        <f>IF(AND(vp.data[[#This Row],[CrudeType]]="Crude",vp.data[[#This Row],[Dens]]&lt;=825,vp.data[[#This Row],[Sulf]]&gt;0.5,vp.data[[#This Row],[Unknown]]=0),1,0)</f>
        <v>0</v>
      </c>
      <c r="AA1156">
        <f>IF(AND(vp.data[[#This Row],[CrudeType]]="Crude",vp.data[[#This Row],[Dens]]&lt;=825,vp.data[[#This Row],[Sulf]]&lt;=0.5,vp.data[[#This Row],[Unknown]]=0),1,0)</f>
        <v>1</v>
      </c>
      <c r="AB11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56">
        <f>IF(AND(vp.data[[#This Row],[CrudeType]]="Crude",vp.data[[#This Row],[Dens]]&gt;825,vp.data[[#This Row],[Dens]]&lt;=900,vp.data[[#This Row],[Sulf]]&lt;=0.5,vp.data[[#This Row],[Unknown]]=0),1,0)</f>
        <v>0</v>
      </c>
      <c r="AD1156">
        <f>IF(AND(vp.data[[#This Row],[CrudeType]]="Crude",vp.data[[#This Row],[Dens]]&gt;865,vp.data[[#This Row],[Dens]]&lt;=900,vp.data[[#This Row],[Sulf]]&gt;2,vp.data[[#This Row],[Unknown]]=0),1,0)</f>
        <v>0</v>
      </c>
      <c r="AE1156">
        <f>IF(AND(vp.data[[#This Row],[CrudeType]]="Crude",vp.data[[#This Row],[Dens]]&gt;900,vp.data[[#This Row],[Sulf]]&lt;=0.5,vp.data[[#This Row],[Unknown]]=0),1,0)</f>
        <v>0</v>
      </c>
      <c r="AF1156">
        <f>IF(AND(vp.data[[#This Row],[CrudeType]]="Crude",vp.data[[#This Row],[Dens]]&gt;900,vp.data[[#This Row],[Sulf]]&lt;=0.5,vp.data[[#This Row],[Unknown]]=0),1,0)</f>
        <v>0</v>
      </c>
      <c r="AG1156" t="str">
        <f>INDEX(vp.data[[#Headers],[Unknown]:[Heavy_SW]],MATCH(1,vp.data[[#This Row],[Unknown]:[Heavy_SW]],0))</f>
        <v>Light_SW</v>
      </c>
      <c r="AH1156">
        <f>INDEX([3]!crudeBD.lkup[Number],MATCH(vp.data[[#This Row],[Crude_Breakdown]],crudeBD.lkup[Crude Breakdown],0))</f>
        <v>2</v>
      </c>
      <c r="AI1156">
        <f>MONTH(vp.data[[#This Row],[SDate]])</f>
        <v>4</v>
      </c>
      <c r="AJ1156" s="5">
        <f>(vp.data[[#This Row],[VP]]-INDEX(crudeBD.lkup[Mean_VP],MATCH(vp.data[[#This Row],[Crude_Breakdown]],crudeBD.lkup[Crude Breakdown],0)))^2</f>
        <v>1.1031586349232707</v>
      </c>
      <c r="AK1156" s="5">
        <f>(vp.data[[#This Row],[Dens]]-INDEX(crudeBD.lkup[Mean_Dens],MATCH(vp.data[[#This Row],[Crude_Breakdown]],crudeBD.lkup[Crude Breakdown],0)))^2</f>
        <v>24.88514963153786</v>
      </c>
      <c r="AL1156" s="5">
        <f>(vp.data[[#This Row],[Sulf]]-INDEX(crudeBD.lkup[Mean_Sulf],MATCH(vp.data[[#This Row],[Crude_Breakdown]],crudeBD.lkup[Crude Breakdown],0)))^2</f>
        <v>1.870280202697621E-2</v>
      </c>
      <c r="AM1156" s="4">
        <f>IF(AND(vp.data[[#This Row],[SDate]]&gt;=DATE(YEAR(vp.data[[#This Row],[SDate]]),5,1),vp.data[[#This Row],[SDate]]&lt;=DATE(YEAR(vp.data[[#This Row],[SDate]]),9,15)),1,0)</f>
        <v>0</v>
      </c>
      <c r="AN1156" s="4">
        <f>IF(vp.data[[#This Row],[SDate]]&lt;DATE(2016,12,1),0,1)</f>
        <v>1</v>
      </c>
      <c r="AO1156" s="4">
        <f>IFERROR(vp.data[[#This Row],[Sulf]]*vp.data[[#This Row],[Net Dens]],"")</f>
        <v>42710993.511490203</v>
      </c>
      <c r="AP1156">
        <f>IFERROR(vp.data[[#This Row],[Dens]]*vp.data[[#This Row],[VolumeM3]],"")</f>
        <v>114506685.01740001</v>
      </c>
      <c r="AQ1156" s="15">
        <f>IFERROR(vp.data[[#This Row],[VP]]*vp.data[[#This Row],[VolumeM3]],"")</f>
        <v>12882530.037</v>
      </c>
    </row>
    <row r="1157" spans="1:43" x14ac:dyDescent="0.25">
      <c r="A1157">
        <v>1156</v>
      </c>
      <c r="B1157" t="s">
        <v>49</v>
      </c>
      <c r="C1157" t="s">
        <v>49</v>
      </c>
      <c r="D1157" t="s">
        <v>100</v>
      </c>
      <c r="F1157" s="1">
        <v>42828</v>
      </c>
      <c r="G1157" s="2">
        <v>83.8</v>
      </c>
      <c r="H1157" s="2">
        <v>0.53300000000000003</v>
      </c>
      <c r="I1157" s="2">
        <f t="array" ref="I1157">_xlfn.IFNA(IF(vp.data[[#This Row],[Sulf Input]]="",INDEX([1]DATA!$Q$3:$Q$9826,MATCH(1,(vp.data[[#This Row],[Battery]]=[1]DATA!$L$3:$L$9826)*(EOMONTH(vp.data[[#This Row],[SDate]],-1)+1=[1]DATA!$G$3:$G$9826),0)),vp.data[[#This Row],[Sulf Input]]),"")</f>
        <v>0.53300000000000003</v>
      </c>
      <c r="J1157" s="2">
        <v>20.2</v>
      </c>
      <c r="K1157" s="2">
        <v>8</v>
      </c>
      <c r="L1157" s="2">
        <v>818.3</v>
      </c>
      <c r="M1157" s="2">
        <f t="array" ref="M1157">_xlfn.IFNA(IF(vp.data[[#This Row],[Dens Input]]="",INDEX([1]DATA!$O$3:$O$9826,MATCH(1,(vp.data[[#This Row],[Battery]]=[1]DATA!$L$3:$L$9826)*(EOMONTH(vp.data[[#This Row],[SDate]],-1)+1=[1]DATA!$G$3:$G$9826),0)),vp.data[[#This Row],[Dens Input]]),"")</f>
        <v>818.3</v>
      </c>
      <c r="N1157" s="2">
        <f ca="1">INDEX(INDIRECT(_xlfn.CONCAT("weather.tbl[",N$1,"]")),MATCH(vp.data[[#This Row],[SDate]],weather.tbl[Date],0))</f>
        <v>5.583333333333333</v>
      </c>
      <c r="O1157" s="2">
        <f ca="1">INDEX(INDIRECT(_xlfn.CONCAT("weather.tbl[",O$1,"]")),MATCH(vp.data[[#This Row],[SDate]],weather.tbl[Date],0))</f>
        <v>5.4738095238095239</v>
      </c>
      <c r="P1157" s="2">
        <f ca="1">INDEX(INDIRECT(_xlfn.CONCAT("weather.tbl[",P$1,"]")),MATCH(vp.data[[#This Row],[SDate]],weather.tbl[Date],0))</f>
        <v>5</v>
      </c>
      <c r="Q1157" s="2">
        <f ca="1">INDEX(INDIRECT(_xlfn.CONCAT("weather.tbl[",Q$1,"]")),MATCH(vp.data[[#This Row],[SDate]],weather.tbl[Date],0))</f>
        <v>4.9000000000000004</v>
      </c>
      <c r="R1157" s="2">
        <f ca="1">INDEX(INDIRECT(_xlfn.CONCAT("weather.tbl[",R$1,"]")),MATCH(vp.data[[#This Row],[SDate]],weather.tbl[Date],0))</f>
        <v>8.3000000000000007</v>
      </c>
      <c r="S1157" s="2">
        <f ca="1">INDEX(INDIRECT(_xlfn.CONCAT("weather.tbl[",S$1,"]")),MATCH(vp.data[[#This Row],[SDate]],weather.tbl[Date],0))</f>
        <v>4.8</v>
      </c>
      <c r="T1157" s="2">
        <f ca="1">INDEX(INDIRECT(_xlfn.CONCAT("weather.tbl[",T$1,"]")),MATCH(vp.data[[#This Row],[SDate]],weather.tbl[Date],0))</f>
        <v>5.5</v>
      </c>
      <c r="U1157" s="2">
        <f ca="1">INDEX(INDIRECT(_xlfn.CONCAT("weather.tbl[",U$1,"]")),MATCH(vp.data[[#This Row],[SDate]],weather.tbl[Date],0))</f>
        <v>5</v>
      </c>
      <c r="V1157" s="2">
        <f t="array" ref="V11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13068.535</v>
      </c>
      <c r="W1157" t="s">
        <v>48</v>
      </c>
      <c r="X1157">
        <f>IF(OR(vp.data[[#This Row],[Sulf]]="",vp.data[[#This Row],[Dens]]=""),1,0)</f>
        <v>0</v>
      </c>
      <c r="Y1157">
        <f>IF(vp.data[[#This Row],[CrudeType]]="C5+",1,0)</f>
        <v>0</v>
      </c>
      <c r="Z1157">
        <f>IF(AND(vp.data[[#This Row],[CrudeType]]="Crude",vp.data[[#This Row],[Dens]]&lt;=825,vp.data[[#This Row],[Sulf]]&gt;0.5,vp.data[[#This Row],[Unknown]]=0),1,0)</f>
        <v>1</v>
      </c>
      <c r="AA1157">
        <f>IF(AND(vp.data[[#This Row],[CrudeType]]="Crude",vp.data[[#This Row],[Dens]]&lt;=825,vp.data[[#This Row],[Sulf]]&lt;=0.5,vp.data[[#This Row],[Unknown]]=0),1,0)</f>
        <v>0</v>
      </c>
      <c r="AB11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57">
        <f>IF(AND(vp.data[[#This Row],[CrudeType]]="Crude",vp.data[[#This Row],[Dens]]&gt;825,vp.data[[#This Row],[Dens]]&lt;=900,vp.data[[#This Row],[Sulf]]&lt;=0.5,vp.data[[#This Row],[Unknown]]=0),1,0)</f>
        <v>0</v>
      </c>
      <c r="AD1157">
        <f>IF(AND(vp.data[[#This Row],[CrudeType]]="Crude",vp.data[[#This Row],[Dens]]&gt;865,vp.data[[#This Row],[Dens]]&lt;=900,vp.data[[#This Row],[Sulf]]&gt;2,vp.data[[#This Row],[Unknown]]=0),1,0)</f>
        <v>0</v>
      </c>
      <c r="AE1157">
        <f>IF(AND(vp.data[[#This Row],[CrudeType]]="Crude",vp.data[[#This Row],[Dens]]&gt;900,vp.data[[#This Row],[Sulf]]&lt;=0.5,vp.data[[#This Row],[Unknown]]=0),1,0)</f>
        <v>0</v>
      </c>
      <c r="AF1157">
        <f>IF(AND(vp.data[[#This Row],[CrudeType]]="Crude",vp.data[[#This Row],[Dens]]&gt;900,vp.data[[#This Row],[Sulf]]&lt;=0.5,vp.data[[#This Row],[Unknown]]=0),1,0)</f>
        <v>0</v>
      </c>
      <c r="AG1157" t="str">
        <f>INDEX(vp.data[[#Headers],[Unknown]:[Heavy_SW]],MATCH(1,vp.data[[#This Row],[Unknown]:[Heavy_SW]],0))</f>
        <v>Light_LSB</v>
      </c>
      <c r="AH1157">
        <f>INDEX([3]!crudeBD.lkup[Number],MATCH(vp.data[[#This Row],[Crude_Breakdown]],crudeBD.lkup[Crude Breakdown],0))</f>
        <v>1</v>
      </c>
      <c r="AI1157">
        <f>MONTH(vp.data[[#This Row],[SDate]])</f>
        <v>4</v>
      </c>
      <c r="AJ1157" s="5">
        <f>(vp.data[[#This Row],[VP]]-INDEX(crudeBD.lkup[Mean_VP],MATCH(vp.data[[#This Row],[Crude_Breakdown]],crudeBD.lkup[Crude Breakdown],0)))^2</f>
        <v>60.003390838559355</v>
      </c>
      <c r="AK1157" s="5">
        <f>(vp.data[[#This Row],[Dens]]-INDEX(crudeBD.lkup[Mean_Dens],MATCH(vp.data[[#This Row],[Crude_Breakdown]],crudeBD.lkup[Crude Breakdown],0)))^2</f>
        <v>4.698912861196889E-2</v>
      </c>
      <c r="AL1157" s="5">
        <f>(vp.data[[#This Row],[Sulf]]-INDEX(crudeBD.lkup[Mean_Sulf],MATCH(vp.data[[#This Row],[Crude_Breakdown]],crudeBD.lkup[Crude Breakdown],0)))^2</f>
        <v>0.152077512171468</v>
      </c>
      <c r="AM1157" s="4">
        <f>IF(AND(vp.data[[#This Row],[SDate]]&gt;=DATE(YEAR(vp.data[[#This Row],[SDate]]),5,1),vp.data[[#This Row],[SDate]]&lt;=DATE(YEAR(vp.data[[#This Row],[SDate]]),9,15)),1,0)</f>
        <v>0</v>
      </c>
      <c r="AN1157" s="4">
        <f>IF(vp.data[[#This Row],[SDate]]&lt;DATE(2016,12,1),0,1)</f>
        <v>1</v>
      </c>
      <c r="AO1157" s="4">
        <f>IFERROR(vp.data[[#This Row],[Sulf]]*vp.data[[#This Row],[Net Dens]],"")</f>
        <v>5699892.5075364998</v>
      </c>
      <c r="AP1157">
        <f>IFERROR(vp.data[[#This Row],[Dens]]*vp.data[[#This Row],[VolumeM3]],"")</f>
        <v>10693982.190499999</v>
      </c>
      <c r="AQ1157" s="15">
        <f>IFERROR(vp.data[[#This Row],[VP]]*vp.data[[#This Row],[VolumeM3]],"")</f>
        <v>1095143.233</v>
      </c>
    </row>
    <row r="1158" spans="1:43" x14ac:dyDescent="0.25">
      <c r="A1158">
        <v>1157</v>
      </c>
      <c r="B1158" t="s">
        <v>49</v>
      </c>
      <c r="C1158" t="s">
        <v>49</v>
      </c>
      <c r="D1158" t="s">
        <v>89</v>
      </c>
      <c r="F1158" s="1">
        <v>42828</v>
      </c>
      <c r="G1158" s="2">
        <v>92</v>
      </c>
      <c r="H1158" s="2">
        <v>0.73099999999999998</v>
      </c>
      <c r="I1158" s="2">
        <f t="array" ref="I1158">_xlfn.IFNA(IF(vp.data[[#This Row],[Sulf Input]]="",INDEX([1]DATA!$Q$3:$Q$9826,MATCH(1,(vp.data[[#This Row],[Battery]]=[1]DATA!$L$3:$L$9826)*(EOMONTH(vp.data[[#This Row],[SDate]],-1)+1=[1]DATA!$G$3:$G$9826),0)),vp.data[[#This Row],[Sulf Input]]),"")</f>
        <v>0.73099999999999998</v>
      </c>
      <c r="J1158" s="2">
        <v>7.4</v>
      </c>
      <c r="K1158" s="2">
        <v>8</v>
      </c>
      <c r="L1158" s="2">
        <v>819.9</v>
      </c>
      <c r="M1158" s="2">
        <f t="array" ref="M1158">_xlfn.IFNA(IF(vp.data[[#This Row],[Dens Input]]="",INDEX([1]DATA!$O$3:$O$9826,MATCH(1,(vp.data[[#This Row],[Battery]]=[1]DATA!$L$3:$L$9826)*(EOMONTH(vp.data[[#This Row],[SDate]],-1)+1=[1]DATA!$G$3:$G$9826),0)),vp.data[[#This Row],[Dens Input]]),"")</f>
        <v>819.9</v>
      </c>
      <c r="N1158" s="2">
        <f ca="1">INDEX(INDIRECT(_xlfn.CONCAT("weather.tbl[",N$1,"]")),MATCH(vp.data[[#This Row],[SDate]],weather.tbl[Date],0))</f>
        <v>5.583333333333333</v>
      </c>
      <c r="O1158" s="2">
        <f ca="1">INDEX(INDIRECT(_xlfn.CONCAT("weather.tbl[",O$1,"]")),MATCH(vp.data[[#This Row],[SDate]],weather.tbl[Date],0))</f>
        <v>5.4738095238095239</v>
      </c>
      <c r="P1158" s="2">
        <f ca="1">INDEX(INDIRECT(_xlfn.CONCAT("weather.tbl[",P$1,"]")),MATCH(vp.data[[#This Row],[SDate]],weather.tbl[Date],0))</f>
        <v>5</v>
      </c>
      <c r="Q1158" s="2">
        <f ca="1">INDEX(INDIRECT(_xlfn.CONCAT("weather.tbl[",Q$1,"]")),MATCH(vp.data[[#This Row],[SDate]],weather.tbl[Date],0))</f>
        <v>4.9000000000000004</v>
      </c>
      <c r="R1158" s="2">
        <f ca="1">INDEX(INDIRECT(_xlfn.CONCAT("weather.tbl[",R$1,"]")),MATCH(vp.data[[#This Row],[SDate]],weather.tbl[Date],0))</f>
        <v>8.3000000000000007</v>
      </c>
      <c r="S1158" s="2">
        <f ca="1">INDEX(INDIRECT(_xlfn.CONCAT("weather.tbl[",S$1,"]")),MATCH(vp.data[[#This Row],[SDate]],weather.tbl[Date],0))</f>
        <v>4.8</v>
      </c>
      <c r="T1158" s="2">
        <f ca="1">INDEX(INDIRECT(_xlfn.CONCAT("weather.tbl[",T$1,"]")),MATCH(vp.data[[#This Row],[SDate]],weather.tbl[Date],0))</f>
        <v>5.5</v>
      </c>
      <c r="U1158" s="2">
        <f ca="1">INDEX(INDIRECT(_xlfn.CONCAT("weather.tbl[",U$1,"]")),MATCH(vp.data[[#This Row],[SDate]],weather.tbl[Date],0))</f>
        <v>5</v>
      </c>
      <c r="V1158" s="2">
        <f t="array" ref="V11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6439.6459999999997</v>
      </c>
      <c r="W1158" t="s">
        <v>48</v>
      </c>
      <c r="X1158">
        <f>IF(OR(vp.data[[#This Row],[Sulf]]="",vp.data[[#This Row],[Dens]]=""),1,0)</f>
        <v>0</v>
      </c>
      <c r="Y1158">
        <f>IF(vp.data[[#This Row],[CrudeType]]="C5+",1,0)</f>
        <v>0</v>
      </c>
      <c r="Z1158">
        <f>IF(AND(vp.data[[#This Row],[CrudeType]]="Crude",vp.data[[#This Row],[Dens]]&lt;=825,vp.data[[#This Row],[Sulf]]&gt;0.5,vp.data[[#This Row],[Unknown]]=0),1,0)</f>
        <v>1</v>
      </c>
      <c r="AA1158">
        <f>IF(AND(vp.data[[#This Row],[CrudeType]]="Crude",vp.data[[#This Row],[Dens]]&lt;=825,vp.data[[#This Row],[Sulf]]&lt;=0.5,vp.data[[#This Row],[Unknown]]=0),1,0)</f>
        <v>0</v>
      </c>
      <c r="AB11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58">
        <f>IF(AND(vp.data[[#This Row],[CrudeType]]="Crude",vp.data[[#This Row],[Dens]]&gt;825,vp.data[[#This Row],[Dens]]&lt;=900,vp.data[[#This Row],[Sulf]]&lt;=0.5,vp.data[[#This Row],[Unknown]]=0),1,0)</f>
        <v>0</v>
      </c>
      <c r="AD1158">
        <f>IF(AND(vp.data[[#This Row],[CrudeType]]="Crude",vp.data[[#This Row],[Dens]]&gt;865,vp.data[[#This Row],[Dens]]&lt;=900,vp.data[[#This Row],[Sulf]]&gt;2,vp.data[[#This Row],[Unknown]]=0),1,0)</f>
        <v>0</v>
      </c>
      <c r="AE1158">
        <f>IF(AND(vp.data[[#This Row],[CrudeType]]="Crude",vp.data[[#This Row],[Dens]]&gt;900,vp.data[[#This Row],[Sulf]]&lt;=0.5,vp.data[[#This Row],[Unknown]]=0),1,0)</f>
        <v>0</v>
      </c>
      <c r="AF1158">
        <f>IF(AND(vp.data[[#This Row],[CrudeType]]="Crude",vp.data[[#This Row],[Dens]]&gt;900,vp.data[[#This Row],[Sulf]]&lt;=0.5,vp.data[[#This Row],[Unknown]]=0),1,0)</f>
        <v>0</v>
      </c>
      <c r="AG1158" t="str">
        <f>INDEX(vp.data[[#Headers],[Unknown]:[Heavy_SW]],MATCH(1,vp.data[[#This Row],[Unknown]:[Heavy_SW]],0))</f>
        <v>Light_LSB</v>
      </c>
      <c r="AH1158">
        <f>INDEX([3]!crudeBD.lkup[Number],MATCH(vp.data[[#This Row],[Crude_Breakdown]],crudeBD.lkup[Crude Breakdown],0))</f>
        <v>1</v>
      </c>
      <c r="AI1158">
        <f>MONTH(vp.data[[#This Row],[SDate]])</f>
        <v>4</v>
      </c>
      <c r="AJ1158" s="5">
        <f>(vp.data[[#This Row],[VP]]-INDEX(crudeBD.lkup[Mean_VP],MATCH(vp.data[[#This Row],[Crude_Breakdown]],crudeBD.lkup[Crude Breakdown],0)))^2</f>
        <v>0.20594753958972625</v>
      </c>
      <c r="AK1158" s="5">
        <f>(vp.data[[#This Row],[Dens]]-INDEX(crudeBD.lkup[Mean_Dens],MATCH(vp.data[[#This Row],[Crude_Breakdown]],crudeBD.lkup[Crude Breakdown],0)))^2</f>
        <v>1.9133258983723416</v>
      </c>
      <c r="AL1158" s="5">
        <f>(vp.data[[#This Row],[Sulf]]-INDEX(crudeBD.lkup[Mean_Sulf],MATCH(vp.data[[#This Row],[Crude_Breakdown]],crudeBD.lkup[Crude Breakdown],0)))^2</f>
        <v>3.6852929491055751E-2</v>
      </c>
      <c r="AM1158" s="4">
        <f>IF(AND(vp.data[[#This Row],[SDate]]&gt;=DATE(YEAR(vp.data[[#This Row],[SDate]]),5,1),vp.data[[#This Row],[SDate]]&lt;=DATE(YEAR(vp.data[[#This Row],[SDate]]),9,15)),1,0)</f>
        <v>0</v>
      </c>
      <c r="AN1158" s="4">
        <f>IF(vp.data[[#This Row],[SDate]]&lt;DATE(2016,12,1),0,1)</f>
        <v>1</v>
      </c>
      <c r="AO1158" s="4">
        <f>IFERROR(vp.data[[#This Row],[Sulf]]*vp.data[[#This Row],[Net Dens]],"")</f>
        <v>3859581.8671973995</v>
      </c>
      <c r="AP1158">
        <f>IFERROR(vp.data[[#This Row],[Dens]]*vp.data[[#This Row],[VolumeM3]],"")</f>
        <v>5279865.7553999992</v>
      </c>
      <c r="AQ1158" s="15">
        <f>IFERROR(vp.data[[#This Row],[VP]]*vp.data[[#This Row],[VolumeM3]],"")</f>
        <v>592447.43200000003</v>
      </c>
    </row>
    <row r="1159" spans="1:43" x14ac:dyDescent="0.25">
      <c r="A1159">
        <v>1158</v>
      </c>
      <c r="B1159" t="s">
        <v>49</v>
      </c>
      <c r="C1159" t="s">
        <v>49</v>
      </c>
      <c r="D1159" t="s">
        <v>90</v>
      </c>
      <c r="F1159" s="1">
        <v>42828</v>
      </c>
      <c r="G1159" s="2">
        <v>67.099999999999994</v>
      </c>
      <c r="H1159" s="2">
        <v>1.25</v>
      </c>
      <c r="I1159" s="2">
        <f t="array" ref="I1159">_xlfn.IFNA(IF(vp.data[[#This Row],[Sulf Input]]="",INDEX([1]DATA!$Q$3:$Q$9826,MATCH(1,(vp.data[[#This Row],[Battery]]=[1]DATA!$L$3:$L$9826)*(EOMONTH(vp.data[[#This Row],[SDate]],-1)+1=[1]DATA!$G$3:$G$9826),0)),vp.data[[#This Row],[Sulf Input]]),"")</f>
        <v>1.25</v>
      </c>
      <c r="J1159" s="2">
        <v>35.299999999999997</v>
      </c>
      <c r="K1159" s="2">
        <v>8</v>
      </c>
      <c r="L1159" s="2">
        <v>844.5</v>
      </c>
      <c r="M1159" s="2">
        <f t="array" ref="M1159">_xlfn.IFNA(IF(vp.data[[#This Row],[Dens Input]]="",INDEX([1]DATA!$O$3:$O$9826,MATCH(1,(vp.data[[#This Row],[Battery]]=[1]DATA!$L$3:$L$9826)*(EOMONTH(vp.data[[#This Row],[SDate]],-1)+1=[1]DATA!$G$3:$G$9826),0)),vp.data[[#This Row],[Dens Input]]),"")</f>
        <v>844.5</v>
      </c>
      <c r="N1159" s="2">
        <f ca="1">INDEX(INDIRECT(_xlfn.CONCAT("weather.tbl[",N$1,"]")),MATCH(vp.data[[#This Row],[SDate]],weather.tbl[Date],0))</f>
        <v>5.583333333333333</v>
      </c>
      <c r="O1159" s="2">
        <f ca="1">INDEX(INDIRECT(_xlfn.CONCAT("weather.tbl[",O$1,"]")),MATCH(vp.data[[#This Row],[SDate]],weather.tbl[Date],0))</f>
        <v>5.4738095238095239</v>
      </c>
      <c r="P1159" s="2">
        <f ca="1">INDEX(INDIRECT(_xlfn.CONCAT("weather.tbl[",P$1,"]")),MATCH(vp.data[[#This Row],[SDate]],weather.tbl[Date],0))</f>
        <v>5</v>
      </c>
      <c r="Q1159" s="2">
        <f ca="1">INDEX(INDIRECT(_xlfn.CONCAT("weather.tbl[",Q$1,"]")),MATCH(vp.data[[#This Row],[SDate]],weather.tbl[Date],0))</f>
        <v>4.9000000000000004</v>
      </c>
      <c r="R1159" s="2">
        <f ca="1">INDEX(INDIRECT(_xlfn.CONCAT("weather.tbl[",R$1,"]")),MATCH(vp.data[[#This Row],[SDate]],weather.tbl[Date],0))</f>
        <v>8.3000000000000007</v>
      </c>
      <c r="S1159" s="2">
        <f ca="1">INDEX(INDIRECT(_xlfn.CONCAT("weather.tbl[",S$1,"]")),MATCH(vp.data[[#This Row],[SDate]],weather.tbl[Date],0))</f>
        <v>4.8</v>
      </c>
      <c r="T1159" s="2">
        <f ca="1">INDEX(INDIRECT(_xlfn.CONCAT("weather.tbl[",T$1,"]")),MATCH(vp.data[[#This Row],[SDate]],weather.tbl[Date],0))</f>
        <v>5.5</v>
      </c>
      <c r="U1159" s="2">
        <f ca="1">INDEX(INDIRECT(_xlfn.CONCAT("weather.tbl[",U$1,"]")),MATCH(vp.data[[#This Row],[SDate]],weather.tbl[Date],0))</f>
        <v>5</v>
      </c>
      <c r="V1159" s="2">
        <f t="array" ref="V11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4080.2460000000001</v>
      </c>
      <c r="W1159" t="s">
        <v>48</v>
      </c>
      <c r="X1159">
        <f>IF(OR(vp.data[[#This Row],[Sulf]]="",vp.data[[#This Row],[Dens]]=""),1,0)</f>
        <v>0</v>
      </c>
      <c r="Y1159">
        <f>IF(vp.data[[#This Row],[CrudeType]]="C5+",1,0)</f>
        <v>0</v>
      </c>
      <c r="Z1159">
        <f>IF(AND(vp.data[[#This Row],[CrudeType]]="Crude",vp.data[[#This Row],[Dens]]&lt;=825,vp.data[[#This Row],[Sulf]]&gt;0.5,vp.data[[#This Row],[Unknown]]=0),1,0)</f>
        <v>0</v>
      </c>
      <c r="AA1159">
        <f>IF(AND(vp.data[[#This Row],[CrudeType]]="Crude",vp.data[[#This Row],[Dens]]&lt;=825,vp.data[[#This Row],[Sulf]]&lt;=0.5,vp.data[[#This Row],[Unknown]]=0),1,0)</f>
        <v>0</v>
      </c>
      <c r="AB11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59">
        <f>IF(AND(vp.data[[#This Row],[CrudeType]]="Crude",vp.data[[#This Row],[Dens]]&gt;825,vp.data[[#This Row],[Dens]]&lt;=900,vp.data[[#This Row],[Sulf]]&lt;=0.5,vp.data[[#This Row],[Unknown]]=0),1,0)</f>
        <v>0</v>
      </c>
      <c r="AD1159">
        <f>IF(AND(vp.data[[#This Row],[CrudeType]]="Crude",vp.data[[#This Row],[Dens]]&gt;865,vp.data[[#This Row],[Dens]]&lt;=900,vp.data[[#This Row],[Sulf]]&gt;2,vp.data[[#This Row],[Unknown]]=0),1,0)</f>
        <v>0</v>
      </c>
      <c r="AE1159">
        <f>IF(AND(vp.data[[#This Row],[CrudeType]]="Crude",vp.data[[#This Row],[Dens]]&gt;900,vp.data[[#This Row],[Sulf]]&lt;=0.5,vp.data[[#This Row],[Unknown]]=0),1,0)</f>
        <v>0</v>
      </c>
      <c r="AF1159">
        <f>IF(AND(vp.data[[#This Row],[CrudeType]]="Crude",vp.data[[#This Row],[Dens]]&gt;900,vp.data[[#This Row],[Sulf]]&lt;=0.5,vp.data[[#This Row],[Unknown]]=0),1,0)</f>
        <v>0</v>
      </c>
      <c r="AG1159" t="str">
        <f>INDEX(vp.data[[#Headers],[Unknown]:[Heavy_SW]],MATCH(1,vp.data[[#This Row],[Unknown]:[Heavy_SW]],0))</f>
        <v>Medium_LSB</v>
      </c>
      <c r="AH1159">
        <f>INDEX([3]!crudeBD.lkup[Number],MATCH(vp.data[[#This Row],[Crude_Breakdown]],crudeBD.lkup[Crude Breakdown],0))</f>
        <v>3</v>
      </c>
      <c r="AI1159">
        <f>MONTH(vp.data[[#This Row],[SDate]])</f>
        <v>4</v>
      </c>
      <c r="AJ1159" s="5">
        <f>(vp.data[[#This Row],[VP]]-INDEX(crudeBD.lkup[Mean_VP],MATCH(vp.data[[#This Row],[Crude_Breakdown]],crudeBD.lkup[Crude Breakdown],0)))^2</f>
        <v>183.32284107496861</v>
      </c>
      <c r="AK1159" s="5">
        <f>(vp.data[[#This Row],[Dens]]-INDEX(crudeBD.lkup[Mean_Dens],MATCH(vp.data[[#This Row],[Crude_Breakdown]],crudeBD.lkup[Crude Breakdown],0)))^2</f>
        <v>0.33640000000057496</v>
      </c>
      <c r="AL1159" s="5">
        <f>(vp.data[[#This Row],[Sulf]]-INDEX(crudeBD.lkup[Mean_Sulf],MATCH(vp.data[[#This Row],[Crude_Breakdown]],crudeBD.lkup[Crude Breakdown],0)))^2</f>
        <v>1.8335360772242876E-2</v>
      </c>
      <c r="AM1159" s="4">
        <f>IF(AND(vp.data[[#This Row],[SDate]]&gt;=DATE(YEAR(vp.data[[#This Row],[SDate]]),5,1),vp.data[[#This Row],[SDate]]&lt;=DATE(YEAR(vp.data[[#This Row],[SDate]]),9,15)),1,0)</f>
        <v>0</v>
      </c>
      <c r="AN1159" s="4">
        <f>IF(vp.data[[#This Row],[SDate]]&lt;DATE(2016,12,1),0,1)</f>
        <v>1</v>
      </c>
      <c r="AO1159" s="4">
        <f>IFERROR(vp.data[[#This Row],[Sulf]]*vp.data[[#This Row],[Net Dens]],"")</f>
        <v>4307209.6837499999</v>
      </c>
      <c r="AP1159">
        <f>IFERROR(vp.data[[#This Row],[Dens]]*vp.data[[#This Row],[VolumeM3]],"")</f>
        <v>3445767.747</v>
      </c>
      <c r="AQ1159" s="15">
        <f>IFERROR(vp.data[[#This Row],[VP]]*vp.data[[#This Row],[VolumeM3]],"")</f>
        <v>273784.50659999996</v>
      </c>
    </row>
    <row r="1160" spans="1:43" x14ac:dyDescent="0.25">
      <c r="A1160">
        <v>1159</v>
      </c>
      <c r="B1160" t="s">
        <v>62</v>
      </c>
      <c r="C1160" t="s">
        <v>62</v>
      </c>
      <c r="D1160" t="s">
        <v>79</v>
      </c>
      <c r="F1160" s="1">
        <v>42828</v>
      </c>
      <c r="G1160" s="2">
        <v>94.7</v>
      </c>
      <c r="H1160" s="2"/>
      <c r="I1160" s="2">
        <f t="array" ref="I1160">_xlfn.IFNA(IF(vp.data[[#This Row],[Sulf Input]]="",INDEX([1]DATA!$Q$3:$Q$9826,MATCH(1,(vp.data[[#This Row],[Battery]]=[1]DATA!$L$3:$L$9826)*(EOMONTH(vp.data[[#This Row],[SDate]],-1)+1=[1]DATA!$G$3:$G$9826),0)),vp.data[[#This Row],[Sulf Input]]),"")</f>
        <v>0.25</v>
      </c>
      <c r="J1160" s="2">
        <v>19.7</v>
      </c>
      <c r="K1160" s="2">
        <v>8</v>
      </c>
      <c r="L1160" s="2">
        <v>804.3</v>
      </c>
      <c r="M1160" s="2">
        <f t="array" ref="M1160">_xlfn.IFNA(IF(vp.data[[#This Row],[Dens Input]]="",INDEX([1]DATA!$O$3:$O$9826,MATCH(1,(vp.data[[#This Row],[Battery]]=[1]DATA!$L$3:$L$9826)*(EOMONTH(vp.data[[#This Row],[SDate]],-1)+1=[1]DATA!$G$3:$G$9826),0)),vp.data[[#This Row],[Dens Input]]),"")</f>
        <v>804.3</v>
      </c>
      <c r="N1160" s="2">
        <f ca="1">INDEX(INDIRECT(_xlfn.CONCAT("weather.tbl[",N$1,"]")),MATCH(vp.data[[#This Row],[SDate]],weather.tbl[Date],0))</f>
        <v>5.583333333333333</v>
      </c>
      <c r="O1160" s="2">
        <f ca="1">INDEX(INDIRECT(_xlfn.CONCAT("weather.tbl[",O$1,"]")),MATCH(vp.data[[#This Row],[SDate]],weather.tbl[Date],0))</f>
        <v>5.4738095238095239</v>
      </c>
      <c r="P1160" s="2">
        <f ca="1">INDEX(INDIRECT(_xlfn.CONCAT("weather.tbl[",P$1,"]")),MATCH(vp.data[[#This Row],[SDate]],weather.tbl[Date],0))</f>
        <v>5</v>
      </c>
      <c r="Q1160" s="2">
        <f ca="1">INDEX(INDIRECT(_xlfn.CONCAT("weather.tbl[",Q$1,"]")),MATCH(vp.data[[#This Row],[SDate]],weather.tbl[Date],0))</f>
        <v>4.9000000000000004</v>
      </c>
      <c r="R1160" s="2">
        <f ca="1">INDEX(INDIRECT(_xlfn.CONCAT("weather.tbl[",R$1,"]")),MATCH(vp.data[[#This Row],[SDate]],weather.tbl[Date],0))</f>
        <v>8.3000000000000007</v>
      </c>
      <c r="S1160" s="2">
        <f ca="1">INDEX(INDIRECT(_xlfn.CONCAT("weather.tbl[",S$1,"]")),MATCH(vp.data[[#This Row],[SDate]],weather.tbl[Date],0))</f>
        <v>4.8</v>
      </c>
      <c r="T1160" s="2">
        <f ca="1">INDEX(INDIRECT(_xlfn.CONCAT("weather.tbl[",T$1,"]")),MATCH(vp.data[[#This Row],[SDate]],weather.tbl[Date],0))</f>
        <v>5.5</v>
      </c>
      <c r="U1160" s="2">
        <f ca="1">INDEX(INDIRECT(_xlfn.CONCAT("weather.tbl[",U$1,"]")),MATCH(vp.data[[#This Row],[SDate]],weather.tbl[Date],0))</f>
        <v>5</v>
      </c>
      <c r="V1160" s="2">
        <f t="array" ref="V11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13021.991</v>
      </c>
      <c r="W1160" t="s">
        <v>48</v>
      </c>
      <c r="X1160">
        <f>IF(OR(vp.data[[#This Row],[Sulf]]="",vp.data[[#This Row],[Dens]]=""),1,0)</f>
        <v>0</v>
      </c>
      <c r="Y1160">
        <f>IF(vp.data[[#This Row],[CrudeType]]="C5+",1,0)</f>
        <v>0</v>
      </c>
      <c r="Z1160">
        <f>IF(AND(vp.data[[#This Row],[CrudeType]]="Crude",vp.data[[#This Row],[Dens]]&lt;=825,vp.data[[#This Row],[Sulf]]&gt;0.5,vp.data[[#This Row],[Unknown]]=0),1,0)</f>
        <v>0</v>
      </c>
      <c r="AA1160">
        <f>IF(AND(vp.data[[#This Row],[CrudeType]]="Crude",vp.data[[#This Row],[Dens]]&lt;=825,vp.data[[#This Row],[Sulf]]&lt;=0.5,vp.data[[#This Row],[Unknown]]=0),1,0)</f>
        <v>1</v>
      </c>
      <c r="AB11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0">
        <f>IF(AND(vp.data[[#This Row],[CrudeType]]="Crude",vp.data[[#This Row],[Dens]]&gt;825,vp.data[[#This Row],[Dens]]&lt;=900,vp.data[[#This Row],[Sulf]]&lt;=0.5,vp.data[[#This Row],[Unknown]]=0),1,0)</f>
        <v>0</v>
      </c>
      <c r="AD1160">
        <f>IF(AND(vp.data[[#This Row],[CrudeType]]="Crude",vp.data[[#This Row],[Dens]]&gt;865,vp.data[[#This Row],[Dens]]&lt;=900,vp.data[[#This Row],[Sulf]]&gt;2,vp.data[[#This Row],[Unknown]]=0),1,0)</f>
        <v>0</v>
      </c>
      <c r="AE1160">
        <f>IF(AND(vp.data[[#This Row],[CrudeType]]="Crude",vp.data[[#This Row],[Dens]]&gt;900,vp.data[[#This Row],[Sulf]]&lt;=0.5,vp.data[[#This Row],[Unknown]]=0),1,0)</f>
        <v>0</v>
      </c>
      <c r="AF1160">
        <f>IF(AND(vp.data[[#This Row],[CrudeType]]="Crude",vp.data[[#This Row],[Dens]]&gt;900,vp.data[[#This Row],[Sulf]]&lt;=0.5,vp.data[[#This Row],[Unknown]]=0),1,0)</f>
        <v>0</v>
      </c>
      <c r="AG1160" t="str">
        <f>INDEX(vp.data[[#Headers],[Unknown]:[Heavy_SW]],MATCH(1,vp.data[[#This Row],[Unknown]:[Heavy_SW]],0))</f>
        <v>Light_SW</v>
      </c>
      <c r="AH1160">
        <f>INDEX([3]!crudeBD.lkup[Number],MATCH(vp.data[[#This Row],[Crude_Breakdown]],crudeBD.lkup[Crude Breakdown],0))</f>
        <v>2</v>
      </c>
      <c r="AI1160">
        <f>MONTH(vp.data[[#This Row],[SDate]])</f>
        <v>4</v>
      </c>
      <c r="AJ1160" s="5">
        <f>(vp.data[[#This Row],[VP]]-INDEX(crudeBD.lkup[Mean_VP],MATCH(vp.data[[#This Row],[Crude_Breakdown]],crudeBD.lkup[Crude Breakdown],0)))^2</f>
        <v>4.6211516662823566</v>
      </c>
      <c r="AK1160" s="5">
        <f>(vp.data[[#This Row],[Dens]]-INDEX(crudeBD.lkup[Mean_Dens],MATCH(vp.data[[#This Row],[Crude_Breakdown]],crudeBD.lkup[Crude Breakdown],0)))^2</f>
        <v>16.092118272649731</v>
      </c>
      <c r="AL1160" s="5">
        <f>(vp.data[[#This Row],[Sulf]]-INDEX(crudeBD.lkup[Mean_Sulf],MATCH(vp.data[[#This Row],[Crude_Breakdown]],crudeBD.lkup[Crude Breakdown],0)))^2</f>
        <v>1.8928774126188673E-4</v>
      </c>
      <c r="AM1160" s="4">
        <f>IF(AND(vp.data[[#This Row],[SDate]]&gt;=DATE(YEAR(vp.data[[#This Row],[SDate]]),5,1),vp.data[[#This Row],[SDate]]&lt;=DATE(YEAR(vp.data[[#This Row],[SDate]]),9,15)),1,0)</f>
        <v>0</v>
      </c>
      <c r="AN1160" s="4">
        <f>IF(vp.data[[#This Row],[SDate]]&lt;DATE(2016,12,1),0,1)</f>
        <v>1</v>
      </c>
      <c r="AO1160" s="4">
        <f>IFERROR(vp.data[[#This Row],[Sulf]]*vp.data[[#This Row],[Net Dens]],"")</f>
        <v>2618396.8403249998</v>
      </c>
      <c r="AP1160">
        <f>IFERROR(vp.data[[#This Row],[Dens]]*vp.data[[#This Row],[VolumeM3]],"")</f>
        <v>10473587.361299999</v>
      </c>
      <c r="AQ1160" s="15">
        <f>IFERROR(vp.data[[#This Row],[VP]]*vp.data[[#This Row],[VolumeM3]],"")</f>
        <v>1233182.5477</v>
      </c>
    </row>
    <row r="1161" spans="1:43" x14ac:dyDescent="0.25">
      <c r="A1161">
        <v>1160</v>
      </c>
      <c r="B1161" t="s">
        <v>62</v>
      </c>
      <c r="C1161" t="s">
        <v>62</v>
      </c>
      <c r="D1161" t="s">
        <v>83</v>
      </c>
      <c r="F1161" s="1">
        <v>42828</v>
      </c>
      <c r="G1161" s="2">
        <v>84.6</v>
      </c>
      <c r="H1161" s="2"/>
      <c r="I1161" s="2">
        <f t="array" ref="I1161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1161" s="2">
        <v>3.6</v>
      </c>
      <c r="K1161" s="2">
        <v>8</v>
      </c>
      <c r="L1161" s="2">
        <v>808.5</v>
      </c>
      <c r="M1161" s="2">
        <f t="array" ref="M1161">_xlfn.IFNA(IF(vp.data[[#This Row],[Dens Input]]="",INDEX([1]DATA!$O$3:$O$9826,MATCH(1,(vp.data[[#This Row],[Battery]]=[1]DATA!$L$3:$L$9826)*(EOMONTH(vp.data[[#This Row],[SDate]],-1)+1=[1]DATA!$G$3:$G$9826),0)),vp.data[[#This Row],[Dens Input]]),"")</f>
        <v>808.5</v>
      </c>
      <c r="N1161" s="2">
        <f ca="1">INDEX(INDIRECT(_xlfn.CONCAT("weather.tbl[",N$1,"]")),MATCH(vp.data[[#This Row],[SDate]],weather.tbl[Date],0))</f>
        <v>5.583333333333333</v>
      </c>
      <c r="O1161" s="2">
        <f ca="1">INDEX(INDIRECT(_xlfn.CONCAT("weather.tbl[",O$1,"]")),MATCH(vp.data[[#This Row],[SDate]],weather.tbl[Date],0))</f>
        <v>5.4738095238095239</v>
      </c>
      <c r="P1161" s="2">
        <f ca="1">INDEX(INDIRECT(_xlfn.CONCAT("weather.tbl[",P$1,"]")),MATCH(vp.data[[#This Row],[SDate]],weather.tbl[Date],0))</f>
        <v>5</v>
      </c>
      <c r="Q1161" s="2">
        <f ca="1">INDEX(INDIRECT(_xlfn.CONCAT("weather.tbl[",Q$1,"]")),MATCH(vp.data[[#This Row],[SDate]],weather.tbl[Date],0))</f>
        <v>4.9000000000000004</v>
      </c>
      <c r="R1161" s="2">
        <f ca="1">INDEX(INDIRECT(_xlfn.CONCAT("weather.tbl[",R$1,"]")),MATCH(vp.data[[#This Row],[SDate]],weather.tbl[Date],0))</f>
        <v>8.3000000000000007</v>
      </c>
      <c r="S1161" s="2">
        <f ca="1">INDEX(INDIRECT(_xlfn.CONCAT("weather.tbl[",S$1,"]")),MATCH(vp.data[[#This Row],[SDate]],weather.tbl[Date],0))</f>
        <v>4.8</v>
      </c>
      <c r="T1161" s="2">
        <f ca="1">INDEX(INDIRECT(_xlfn.CONCAT("weather.tbl[",T$1,"]")),MATCH(vp.data[[#This Row],[SDate]],weather.tbl[Date],0))</f>
        <v>5.5</v>
      </c>
      <c r="U1161" s="2">
        <f ca="1">INDEX(INDIRECT(_xlfn.CONCAT("weather.tbl[",U$1,"]")),MATCH(vp.data[[#This Row],[SDate]],weather.tbl[Date],0))</f>
        <v>5</v>
      </c>
      <c r="V1161" s="2">
        <f t="array" ref="V11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8089.0709999999999</v>
      </c>
      <c r="W1161" t="s">
        <v>48</v>
      </c>
      <c r="X1161">
        <f>IF(OR(vp.data[[#This Row],[Sulf]]="",vp.data[[#This Row],[Dens]]=""),1,0)</f>
        <v>0</v>
      </c>
      <c r="Y1161">
        <f>IF(vp.data[[#This Row],[CrudeType]]="C5+",1,0)</f>
        <v>0</v>
      </c>
      <c r="Z1161">
        <f>IF(AND(vp.data[[#This Row],[CrudeType]]="Crude",vp.data[[#This Row],[Dens]]&lt;=825,vp.data[[#This Row],[Sulf]]&gt;0.5,vp.data[[#This Row],[Unknown]]=0),1,0)</f>
        <v>0</v>
      </c>
      <c r="AA1161">
        <f>IF(AND(vp.data[[#This Row],[CrudeType]]="Crude",vp.data[[#This Row],[Dens]]&lt;=825,vp.data[[#This Row],[Sulf]]&lt;=0.5,vp.data[[#This Row],[Unknown]]=0),1,0)</f>
        <v>1</v>
      </c>
      <c r="AB11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1">
        <f>IF(AND(vp.data[[#This Row],[CrudeType]]="Crude",vp.data[[#This Row],[Dens]]&gt;825,vp.data[[#This Row],[Dens]]&lt;=900,vp.data[[#This Row],[Sulf]]&lt;=0.5,vp.data[[#This Row],[Unknown]]=0),1,0)</f>
        <v>0</v>
      </c>
      <c r="AD1161">
        <f>IF(AND(vp.data[[#This Row],[CrudeType]]="Crude",vp.data[[#This Row],[Dens]]&gt;865,vp.data[[#This Row],[Dens]]&lt;=900,vp.data[[#This Row],[Sulf]]&gt;2,vp.data[[#This Row],[Unknown]]=0),1,0)</f>
        <v>0</v>
      </c>
      <c r="AE1161">
        <f>IF(AND(vp.data[[#This Row],[CrudeType]]="Crude",vp.data[[#This Row],[Dens]]&gt;900,vp.data[[#This Row],[Sulf]]&lt;=0.5,vp.data[[#This Row],[Unknown]]=0),1,0)</f>
        <v>0</v>
      </c>
      <c r="AF1161">
        <f>IF(AND(vp.data[[#This Row],[CrudeType]]="Crude",vp.data[[#This Row],[Dens]]&gt;900,vp.data[[#This Row],[Sulf]]&lt;=0.5,vp.data[[#This Row],[Unknown]]=0),1,0)</f>
        <v>0</v>
      </c>
      <c r="AG1161" t="str">
        <f>INDEX(vp.data[[#Headers],[Unknown]:[Heavy_SW]],MATCH(1,vp.data[[#This Row],[Unknown]:[Heavy_SW]],0))</f>
        <v>Light_SW</v>
      </c>
      <c r="AH1161">
        <f>INDEX([3]!crudeBD.lkup[Number],MATCH(vp.data[[#This Row],[Crude_Breakdown]],crudeBD.lkup[Crude Breakdown],0))</f>
        <v>2</v>
      </c>
      <c r="AI1161">
        <f>MONTH(vp.data[[#This Row],[SDate]])</f>
        <v>4</v>
      </c>
      <c r="AJ1161" s="5">
        <f>(vp.data[[#This Row],[VP]]-INDEX(crudeBD.lkup[Mean_VP],MATCH(vp.data[[#This Row],[Crude_Breakdown]],crudeBD.lkup[Crude Breakdown],0)))^2</f>
        <v>63.207486161055357</v>
      </c>
      <c r="AK1161" s="5">
        <f>(vp.data[[#This Row],[Dens]]-INDEX(crudeBD.lkup[Mean_Dens],MATCH(vp.data[[#This Row],[Crude_Breakdown]],crudeBD.lkup[Crude Breakdown],0)))^2</f>
        <v>3.5532906797542528E-2</v>
      </c>
      <c r="AL1161" s="5">
        <f>(vp.data[[#This Row],[Sulf]]-INDEX(crudeBD.lkup[Mean_Sulf],MATCH(vp.data[[#This Row],[Crude_Breakdown]],crudeBD.lkup[Crude Breakdown],0)))^2</f>
        <v>5.8128138736660397E-3</v>
      </c>
      <c r="AM1161" s="4">
        <f>IF(AND(vp.data[[#This Row],[SDate]]&gt;=DATE(YEAR(vp.data[[#This Row],[SDate]]),5,1),vp.data[[#This Row],[SDate]]&lt;=DATE(YEAR(vp.data[[#This Row],[SDate]]),9,15)),1,0)</f>
        <v>0</v>
      </c>
      <c r="AN1161" s="4">
        <f>IF(vp.data[[#This Row],[SDate]]&lt;DATE(2016,12,1),0,1)</f>
        <v>1</v>
      </c>
      <c r="AO1161" s="4">
        <f>IFERROR(vp.data[[#This Row],[Sulf]]*vp.data[[#This Row],[Net Dens]],"")</f>
        <v>1046402.22456</v>
      </c>
      <c r="AP1161">
        <f>IFERROR(vp.data[[#This Row],[Dens]]*vp.data[[#This Row],[VolumeM3]],"")</f>
        <v>6540013.9035</v>
      </c>
      <c r="AQ1161" s="15">
        <f>IFERROR(vp.data[[#This Row],[VP]]*vp.data[[#This Row],[VolumeM3]],"")</f>
        <v>684335.40659999999</v>
      </c>
    </row>
    <row r="1162" spans="1:43" x14ac:dyDescent="0.25">
      <c r="A1162">
        <v>1161</v>
      </c>
      <c r="B1162" t="s">
        <v>62</v>
      </c>
      <c r="C1162" t="s">
        <v>62</v>
      </c>
      <c r="D1162" t="s">
        <v>87</v>
      </c>
      <c r="F1162" s="1">
        <v>42828</v>
      </c>
      <c r="G1162" s="2">
        <v>75.099999999999994</v>
      </c>
      <c r="H1162" s="2"/>
      <c r="I1162" s="2">
        <f t="array" ref="I1162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162" s="2">
        <v>32.1</v>
      </c>
      <c r="K1162" s="2">
        <v>8</v>
      </c>
      <c r="L1162" s="2">
        <v>811.5</v>
      </c>
      <c r="M1162" s="2">
        <f t="array" ref="M1162">_xlfn.IFNA(IF(vp.data[[#This Row],[Dens Input]]="",INDEX([1]DATA!$O$3:$O$9826,MATCH(1,(vp.data[[#This Row],[Battery]]=[1]DATA!$L$3:$L$9826)*(EOMONTH(vp.data[[#This Row],[SDate]],-1)+1=[1]DATA!$G$3:$G$9826),0)),vp.data[[#This Row],[Dens Input]]),"")</f>
        <v>811.5</v>
      </c>
      <c r="N1162" s="2">
        <f ca="1">INDEX(INDIRECT(_xlfn.CONCAT("weather.tbl[",N$1,"]")),MATCH(vp.data[[#This Row],[SDate]],weather.tbl[Date],0))</f>
        <v>5.583333333333333</v>
      </c>
      <c r="O1162" s="2">
        <f ca="1">INDEX(INDIRECT(_xlfn.CONCAT("weather.tbl[",O$1,"]")),MATCH(vp.data[[#This Row],[SDate]],weather.tbl[Date],0))</f>
        <v>5.4738095238095239</v>
      </c>
      <c r="P1162" s="2">
        <f ca="1">INDEX(INDIRECT(_xlfn.CONCAT("weather.tbl[",P$1,"]")),MATCH(vp.data[[#This Row],[SDate]],weather.tbl[Date],0))</f>
        <v>5</v>
      </c>
      <c r="Q1162" s="2">
        <f ca="1">INDEX(INDIRECT(_xlfn.CONCAT("weather.tbl[",Q$1,"]")),MATCH(vp.data[[#This Row],[SDate]],weather.tbl[Date],0))</f>
        <v>4.9000000000000004</v>
      </c>
      <c r="R1162" s="2">
        <f ca="1">INDEX(INDIRECT(_xlfn.CONCAT("weather.tbl[",R$1,"]")),MATCH(vp.data[[#This Row],[SDate]],weather.tbl[Date],0))</f>
        <v>8.3000000000000007</v>
      </c>
      <c r="S1162" s="2">
        <f ca="1">INDEX(INDIRECT(_xlfn.CONCAT("weather.tbl[",S$1,"]")),MATCH(vp.data[[#This Row],[SDate]],weather.tbl[Date],0))</f>
        <v>4.8</v>
      </c>
      <c r="T1162" s="2">
        <f ca="1">INDEX(INDIRECT(_xlfn.CONCAT("weather.tbl[",T$1,"]")),MATCH(vp.data[[#This Row],[SDate]],weather.tbl[Date],0))</f>
        <v>5.5</v>
      </c>
      <c r="U1162" s="2">
        <f ca="1">INDEX(INDIRECT(_xlfn.CONCAT("weather.tbl[",U$1,"]")),MATCH(vp.data[[#This Row],[SDate]],weather.tbl[Date],0))</f>
        <v>5</v>
      </c>
      <c r="V1162" s="2">
        <f t="array" ref="V11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5250.2839999999997</v>
      </c>
      <c r="W1162" t="s">
        <v>48</v>
      </c>
      <c r="X1162">
        <f>IF(OR(vp.data[[#This Row],[Sulf]]="",vp.data[[#This Row],[Dens]]=""),1,0)</f>
        <v>0</v>
      </c>
      <c r="Y1162">
        <f>IF(vp.data[[#This Row],[CrudeType]]="C5+",1,0)</f>
        <v>0</v>
      </c>
      <c r="Z1162">
        <f>IF(AND(vp.data[[#This Row],[CrudeType]]="Crude",vp.data[[#This Row],[Dens]]&lt;=825,vp.data[[#This Row],[Sulf]]&gt;0.5,vp.data[[#This Row],[Unknown]]=0),1,0)</f>
        <v>0</v>
      </c>
      <c r="AA1162">
        <f>IF(AND(vp.data[[#This Row],[CrudeType]]="Crude",vp.data[[#This Row],[Dens]]&lt;=825,vp.data[[#This Row],[Sulf]]&lt;=0.5,vp.data[[#This Row],[Unknown]]=0),1,0)</f>
        <v>1</v>
      </c>
      <c r="AB11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2">
        <f>IF(AND(vp.data[[#This Row],[CrudeType]]="Crude",vp.data[[#This Row],[Dens]]&gt;825,vp.data[[#This Row],[Dens]]&lt;=900,vp.data[[#This Row],[Sulf]]&lt;=0.5,vp.data[[#This Row],[Unknown]]=0),1,0)</f>
        <v>0</v>
      </c>
      <c r="AD1162">
        <f>IF(AND(vp.data[[#This Row],[CrudeType]]="Crude",vp.data[[#This Row],[Dens]]&gt;865,vp.data[[#This Row],[Dens]]&lt;=900,vp.data[[#This Row],[Sulf]]&gt;2,vp.data[[#This Row],[Unknown]]=0),1,0)</f>
        <v>0</v>
      </c>
      <c r="AE1162">
        <f>IF(AND(vp.data[[#This Row],[CrudeType]]="Crude",vp.data[[#This Row],[Dens]]&gt;900,vp.data[[#This Row],[Sulf]]&lt;=0.5,vp.data[[#This Row],[Unknown]]=0),1,0)</f>
        <v>0</v>
      </c>
      <c r="AF1162">
        <f>IF(AND(vp.data[[#This Row],[CrudeType]]="Crude",vp.data[[#This Row],[Dens]]&gt;900,vp.data[[#This Row],[Sulf]]&lt;=0.5,vp.data[[#This Row],[Unknown]]=0),1,0)</f>
        <v>0</v>
      </c>
      <c r="AG1162" t="str">
        <f>INDEX(vp.data[[#Headers],[Unknown]:[Heavy_SW]],MATCH(1,vp.data[[#This Row],[Unknown]:[Heavy_SW]],0))</f>
        <v>Light_SW</v>
      </c>
      <c r="AH1162">
        <f>INDEX([3]!crudeBD.lkup[Number],MATCH(vp.data[[#This Row],[Crude_Breakdown]],crudeBD.lkup[Crude Breakdown],0))</f>
        <v>2</v>
      </c>
      <c r="AI1162">
        <f>MONTH(vp.data[[#This Row],[SDate]])</f>
        <v>4</v>
      </c>
      <c r="AJ1162" s="5">
        <f>(vp.data[[#This Row],[VP]]-INDEX(crudeBD.lkup[Mean_VP],MATCH(vp.data[[#This Row],[Crude_Breakdown]],crudeBD.lkup[Crude Breakdown],0)))^2</f>
        <v>304.51344434920821</v>
      </c>
      <c r="AK1162" s="5">
        <f>(vp.data[[#This Row],[Dens]]-INDEX(crudeBD.lkup[Mean_Dens],MATCH(vp.data[[#This Row],[Crude_Breakdown]],crudeBD.lkup[Crude Breakdown],0)))^2</f>
        <v>10.166543359760524</v>
      </c>
      <c r="AL1162" s="5">
        <f>(vp.data[[#This Row],[Sulf]]-INDEX(crudeBD.lkup[Mean_Sulf],MATCH(vp.data[[#This Row],[Crude_Breakdown]],crudeBD.lkup[Crude Breakdown],0)))^2</f>
        <v>4.3879776367322437E-3</v>
      </c>
      <c r="AM1162" s="4">
        <f>IF(AND(vp.data[[#This Row],[SDate]]&gt;=DATE(YEAR(vp.data[[#This Row],[SDate]]),5,1),vp.data[[#This Row],[SDate]]&lt;=DATE(YEAR(vp.data[[#This Row],[SDate]]),9,15)),1,0)</f>
        <v>0</v>
      </c>
      <c r="AN1162" s="4">
        <f>IF(vp.data[[#This Row],[SDate]]&lt;DATE(2016,12,1),0,1)</f>
        <v>1</v>
      </c>
      <c r="AO1162" s="4">
        <f>IFERROR(vp.data[[#This Row],[Sulf]]*vp.data[[#This Row],[Net Dens]],"")</f>
        <v>724302.92922000005</v>
      </c>
      <c r="AP1162">
        <f>IFERROR(vp.data[[#This Row],[Dens]]*vp.data[[#This Row],[VolumeM3]],"")</f>
        <v>4260605.466</v>
      </c>
      <c r="AQ1162" s="15">
        <f>IFERROR(vp.data[[#This Row],[VP]]*vp.data[[#This Row],[VolumeM3]],"")</f>
        <v>394296.32839999994</v>
      </c>
    </row>
    <row r="1163" spans="1:43" x14ac:dyDescent="0.25">
      <c r="A1163">
        <v>1162</v>
      </c>
      <c r="B1163" t="s">
        <v>62</v>
      </c>
      <c r="C1163" t="s">
        <v>62</v>
      </c>
      <c r="D1163" t="s">
        <v>63</v>
      </c>
      <c r="F1163" s="1">
        <v>42828</v>
      </c>
      <c r="G1163" s="2">
        <v>79.099999999999994</v>
      </c>
      <c r="H1163" s="2"/>
      <c r="I1163" s="2">
        <f t="array" ref="I1163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163" s="2">
        <v>18.7</v>
      </c>
      <c r="K1163" s="2">
        <v>8</v>
      </c>
      <c r="L1163" s="2">
        <v>823</v>
      </c>
      <c r="M1163" s="2">
        <f t="array" ref="M1163">_xlfn.IFNA(IF(vp.data[[#This Row],[Dens Input]]="",INDEX([1]DATA!$O$3:$O$9826,MATCH(1,(vp.data[[#This Row],[Battery]]=[1]DATA!$L$3:$L$9826)*(EOMONTH(vp.data[[#This Row],[SDate]],-1)+1=[1]DATA!$G$3:$G$9826),0)),vp.data[[#This Row],[Dens Input]]),"")</f>
        <v>823</v>
      </c>
      <c r="N1163" s="2">
        <f ca="1">INDEX(INDIRECT(_xlfn.CONCAT("weather.tbl[",N$1,"]")),MATCH(vp.data[[#This Row],[SDate]],weather.tbl[Date],0))</f>
        <v>5.583333333333333</v>
      </c>
      <c r="O1163" s="2">
        <f ca="1">INDEX(INDIRECT(_xlfn.CONCAT("weather.tbl[",O$1,"]")),MATCH(vp.data[[#This Row],[SDate]],weather.tbl[Date],0))</f>
        <v>5.4738095238095239</v>
      </c>
      <c r="P1163" s="2">
        <f ca="1">INDEX(INDIRECT(_xlfn.CONCAT("weather.tbl[",P$1,"]")),MATCH(vp.data[[#This Row],[SDate]],weather.tbl[Date],0))</f>
        <v>5</v>
      </c>
      <c r="Q1163" s="2">
        <f ca="1">INDEX(INDIRECT(_xlfn.CONCAT("weather.tbl[",Q$1,"]")),MATCH(vp.data[[#This Row],[SDate]],weather.tbl[Date],0))</f>
        <v>4.9000000000000004</v>
      </c>
      <c r="R1163" s="2">
        <f ca="1">INDEX(INDIRECT(_xlfn.CONCAT("weather.tbl[",R$1,"]")),MATCH(vp.data[[#This Row],[SDate]],weather.tbl[Date],0))</f>
        <v>8.3000000000000007</v>
      </c>
      <c r="S1163" s="2">
        <f ca="1">INDEX(INDIRECT(_xlfn.CONCAT("weather.tbl[",S$1,"]")),MATCH(vp.data[[#This Row],[SDate]],weather.tbl[Date],0))</f>
        <v>4.8</v>
      </c>
      <c r="T1163" s="2">
        <f ca="1">INDEX(INDIRECT(_xlfn.CONCAT("weather.tbl[",T$1,"]")),MATCH(vp.data[[#This Row],[SDate]],weather.tbl[Date],0))</f>
        <v>5.5</v>
      </c>
      <c r="U1163" s="2">
        <f ca="1">INDEX(INDIRECT(_xlfn.CONCAT("weather.tbl[",U$1,"]")),MATCH(vp.data[[#This Row],[SDate]],weather.tbl[Date],0))</f>
        <v>5</v>
      </c>
      <c r="V1163" s="2">
        <f t="array" ref="V11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8008.9170000000004</v>
      </c>
      <c r="W1163" t="s">
        <v>48</v>
      </c>
      <c r="X1163">
        <f>IF(OR(vp.data[[#This Row],[Sulf]]="",vp.data[[#This Row],[Dens]]=""),1,0)</f>
        <v>0</v>
      </c>
      <c r="Y1163">
        <f>IF(vp.data[[#This Row],[CrudeType]]="C5+",1,0)</f>
        <v>0</v>
      </c>
      <c r="Z1163">
        <f>IF(AND(vp.data[[#This Row],[CrudeType]]="Crude",vp.data[[#This Row],[Dens]]&lt;=825,vp.data[[#This Row],[Sulf]]&gt;0.5,vp.data[[#This Row],[Unknown]]=0),1,0)</f>
        <v>1</v>
      </c>
      <c r="AA1163">
        <f>IF(AND(vp.data[[#This Row],[CrudeType]]="Crude",vp.data[[#This Row],[Dens]]&lt;=825,vp.data[[#This Row],[Sulf]]&lt;=0.5,vp.data[[#This Row],[Unknown]]=0),1,0)</f>
        <v>0</v>
      </c>
      <c r="AB11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3">
        <f>IF(AND(vp.data[[#This Row],[CrudeType]]="Crude",vp.data[[#This Row],[Dens]]&gt;825,vp.data[[#This Row],[Dens]]&lt;=900,vp.data[[#This Row],[Sulf]]&lt;=0.5,vp.data[[#This Row],[Unknown]]=0),1,0)</f>
        <v>0</v>
      </c>
      <c r="AD1163">
        <f>IF(AND(vp.data[[#This Row],[CrudeType]]="Crude",vp.data[[#This Row],[Dens]]&gt;865,vp.data[[#This Row],[Dens]]&lt;=900,vp.data[[#This Row],[Sulf]]&gt;2,vp.data[[#This Row],[Unknown]]=0),1,0)</f>
        <v>0</v>
      </c>
      <c r="AE1163">
        <f>IF(AND(vp.data[[#This Row],[CrudeType]]="Crude",vp.data[[#This Row],[Dens]]&gt;900,vp.data[[#This Row],[Sulf]]&lt;=0.5,vp.data[[#This Row],[Unknown]]=0),1,0)</f>
        <v>0</v>
      </c>
      <c r="AF1163">
        <f>IF(AND(vp.data[[#This Row],[CrudeType]]="Crude",vp.data[[#This Row],[Dens]]&gt;900,vp.data[[#This Row],[Sulf]]&lt;=0.5,vp.data[[#This Row],[Unknown]]=0),1,0)</f>
        <v>0</v>
      </c>
      <c r="AG1163" t="str">
        <f>INDEX(vp.data[[#Headers],[Unknown]:[Heavy_SW]],MATCH(1,vp.data[[#This Row],[Unknown]:[Heavy_SW]],0))</f>
        <v>Light_LSB</v>
      </c>
      <c r="AH1163">
        <f>INDEX([3]!crudeBD.lkup[Number],MATCH(vp.data[[#This Row],[Crude_Breakdown]],crudeBD.lkup[Crude Breakdown],0))</f>
        <v>1</v>
      </c>
      <c r="AI1163">
        <f>MONTH(vp.data[[#This Row],[SDate]])</f>
        <v>4</v>
      </c>
      <c r="AJ1163" s="5">
        <f>(vp.data[[#This Row],[VP]]-INDEX(crudeBD.lkup[Mean_VP],MATCH(vp.data[[#This Row],[Crude_Breakdown]],crudeBD.lkup[Crude Breakdown],0)))^2</f>
        <v>154.90753516845666</v>
      </c>
      <c r="AK1163" s="5">
        <f>(vp.data[[#This Row],[Dens]]-INDEX(crudeBD.lkup[Mean_Dens],MATCH(vp.data[[#This Row],[Crude_Breakdown]],crudeBD.lkup[Crude Breakdown],0)))^2</f>
        <v>20.099353389783285</v>
      </c>
      <c r="AL1163" s="5">
        <f>(vp.data[[#This Row],[Sulf]]-INDEX(crudeBD.lkup[Mean_Sulf],MATCH(vp.data[[#This Row],[Crude_Breakdown]],crudeBD.lkup[Crude Breakdown],0)))^2</f>
        <v>2.8998110617612668E-4</v>
      </c>
      <c r="AM1163" s="4">
        <f>IF(AND(vp.data[[#This Row],[SDate]]&gt;=DATE(YEAR(vp.data[[#This Row],[SDate]]),5,1),vp.data[[#This Row],[SDate]]&lt;=DATE(YEAR(vp.data[[#This Row],[SDate]]),9,15)),1,0)</f>
        <v>0</v>
      </c>
      <c r="AN1163" s="4">
        <f>IF(vp.data[[#This Row],[SDate]]&lt;DATE(2016,12,1),0,1)</f>
        <v>1</v>
      </c>
      <c r="AO1163" s="4">
        <f>IFERROR(vp.data[[#This Row],[Sulf]]*vp.data[[#This Row],[Net Dens]],"")</f>
        <v>6195858.3695400003</v>
      </c>
      <c r="AP1163">
        <f>IFERROR(vp.data[[#This Row],[Dens]]*vp.data[[#This Row],[VolumeM3]],"")</f>
        <v>6591338.6910000006</v>
      </c>
      <c r="AQ1163" s="15">
        <f>IFERROR(vp.data[[#This Row],[VP]]*vp.data[[#This Row],[VolumeM3]],"")</f>
        <v>633505.33470000001</v>
      </c>
    </row>
    <row r="1164" spans="1:43" x14ac:dyDescent="0.25">
      <c r="A1164">
        <v>1163</v>
      </c>
      <c r="B1164" t="s">
        <v>51</v>
      </c>
      <c r="C1164" t="s">
        <v>51</v>
      </c>
      <c r="D1164" t="s">
        <v>95</v>
      </c>
      <c r="F1164" s="1">
        <v>42828</v>
      </c>
      <c r="G1164" s="2">
        <v>59</v>
      </c>
      <c r="H1164" s="2"/>
      <c r="I1164" s="2">
        <f t="array" ref="I1164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164" s="2">
        <v>39.5</v>
      </c>
      <c r="K1164" s="2">
        <v>8</v>
      </c>
      <c r="L1164" s="2">
        <v>844</v>
      </c>
      <c r="M1164" s="2">
        <f t="array" ref="M1164">_xlfn.IFNA(IF(vp.data[[#This Row],[Dens Input]]="",INDEX([1]DATA!$O$3:$O$9826,MATCH(1,(vp.data[[#This Row],[Battery]]=[1]DATA!$L$3:$L$9826)*(EOMONTH(vp.data[[#This Row],[SDate]],-1)+1=[1]DATA!$G$3:$G$9826),0)),vp.data[[#This Row],[Dens Input]]),"")</f>
        <v>844</v>
      </c>
      <c r="N1164" s="2">
        <f ca="1">INDEX(INDIRECT(_xlfn.CONCAT("weather.tbl[",N$1,"]")),MATCH(vp.data[[#This Row],[SDate]],weather.tbl[Date],0))</f>
        <v>5.583333333333333</v>
      </c>
      <c r="O1164" s="2">
        <f ca="1">INDEX(INDIRECT(_xlfn.CONCAT("weather.tbl[",O$1,"]")),MATCH(vp.data[[#This Row],[SDate]],weather.tbl[Date],0))</f>
        <v>5.4738095238095239</v>
      </c>
      <c r="P1164" s="2">
        <f ca="1">INDEX(INDIRECT(_xlfn.CONCAT("weather.tbl[",P$1,"]")),MATCH(vp.data[[#This Row],[SDate]],weather.tbl[Date],0))</f>
        <v>5</v>
      </c>
      <c r="Q1164" s="2">
        <f ca="1">INDEX(INDIRECT(_xlfn.CONCAT("weather.tbl[",Q$1,"]")),MATCH(vp.data[[#This Row],[SDate]],weather.tbl[Date],0))</f>
        <v>4.9000000000000004</v>
      </c>
      <c r="R1164" s="2">
        <f ca="1">INDEX(INDIRECT(_xlfn.CONCAT("weather.tbl[",R$1,"]")),MATCH(vp.data[[#This Row],[SDate]],weather.tbl[Date],0))</f>
        <v>8.3000000000000007</v>
      </c>
      <c r="S1164" s="2">
        <f ca="1">INDEX(INDIRECT(_xlfn.CONCAT("weather.tbl[",S$1,"]")),MATCH(vp.data[[#This Row],[SDate]],weather.tbl[Date],0))</f>
        <v>4.8</v>
      </c>
      <c r="T1164" s="2">
        <f ca="1">INDEX(INDIRECT(_xlfn.CONCAT("weather.tbl[",T$1,"]")),MATCH(vp.data[[#This Row],[SDate]],weather.tbl[Date],0))</f>
        <v>5.5</v>
      </c>
      <c r="U1164" s="2">
        <f ca="1">INDEX(INDIRECT(_xlfn.CONCAT("weather.tbl[",U$1,"]")),MATCH(vp.data[[#This Row],[SDate]],weather.tbl[Date],0))</f>
        <v>5</v>
      </c>
      <c r="V1164" s="2">
        <f t="array" ref="V11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6027.9970000000003</v>
      </c>
      <c r="W1164" t="s">
        <v>48</v>
      </c>
      <c r="X1164">
        <f>IF(OR(vp.data[[#This Row],[Sulf]]="",vp.data[[#This Row],[Dens]]=""),1,0)</f>
        <v>0</v>
      </c>
      <c r="Y1164">
        <f>IF(vp.data[[#This Row],[CrudeType]]="C5+",1,0)</f>
        <v>0</v>
      </c>
      <c r="Z1164">
        <f>IF(AND(vp.data[[#This Row],[CrudeType]]="Crude",vp.data[[#This Row],[Dens]]&lt;=825,vp.data[[#This Row],[Sulf]]&gt;0.5,vp.data[[#This Row],[Unknown]]=0),1,0)</f>
        <v>0</v>
      </c>
      <c r="AA1164">
        <f>IF(AND(vp.data[[#This Row],[CrudeType]]="Crude",vp.data[[#This Row],[Dens]]&lt;=825,vp.data[[#This Row],[Sulf]]&lt;=0.5,vp.data[[#This Row],[Unknown]]=0),1,0)</f>
        <v>0</v>
      </c>
      <c r="AB11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64">
        <f>IF(AND(vp.data[[#This Row],[CrudeType]]="Crude",vp.data[[#This Row],[Dens]]&gt;825,vp.data[[#This Row],[Dens]]&lt;=900,vp.data[[#This Row],[Sulf]]&lt;=0.5,vp.data[[#This Row],[Unknown]]=0),1,0)</f>
        <v>0</v>
      </c>
      <c r="AD1164">
        <f>IF(AND(vp.data[[#This Row],[CrudeType]]="Crude",vp.data[[#This Row],[Dens]]&gt;865,vp.data[[#This Row],[Dens]]&lt;=900,vp.data[[#This Row],[Sulf]]&gt;2,vp.data[[#This Row],[Unknown]]=0),1,0)</f>
        <v>0</v>
      </c>
      <c r="AE1164">
        <f>IF(AND(vp.data[[#This Row],[CrudeType]]="Crude",vp.data[[#This Row],[Dens]]&gt;900,vp.data[[#This Row],[Sulf]]&lt;=0.5,vp.data[[#This Row],[Unknown]]=0),1,0)</f>
        <v>0</v>
      </c>
      <c r="AF1164">
        <f>IF(AND(vp.data[[#This Row],[CrudeType]]="Crude",vp.data[[#This Row],[Dens]]&gt;900,vp.data[[#This Row],[Sulf]]&lt;=0.5,vp.data[[#This Row],[Unknown]]=0),1,0)</f>
        <v>0</v>
      </c>
      <c r="AG1164" t="str">
        <f>INDEX(vp.data[[#Headers],[Unknown]:[Heavy_SW]],MATCH(1,vp.data[[#This Row],[Unknown]:[Heavy_SW]],0))</f>
        <v>Medium_LSB</v>
      </c>
      <c r="AH1164">
        <f>INDEX([3]!crudeBD.lkup[Number],MATCH(vp.data[[#This Row],[Crude_Breakdown]],crudeBD.lkup[Crude Breakdown],0))</f>
        <v>3</v>
      </c>
      <c r="AI1164">
        <f>MONTH(vp.data[[#This Row],[SDate]])</f>
        <v>4</v>
      </c>
      <c r="AJ1164" s="5">
        <f>(vp.data[[#This Row],[VP]]-INDEX(crudeBD.lkup[Mean_VP],MATCH(vp.data[[#This Row],[Crude_Breakdown]],crudeBD.lkup[Crude Breakdown],0)))^2</f>
        <v>468.27560118278399</v>
      </c>
      <c r="AK1164" s="5">
        <f>(vp.data[[#This Row],[Dens]]-INDEX(crudeBD.lkup[Mean_Dens],MATCH(vp.data[[#This Row],[Crude_Breakdown]],crudeBD.lkup[Crude Breakdown],0)))^2</f>
        <v>6.4000000000793075E-3</v>
      </c>
      <c r="AL1164" s="5">
        <f>(vp.data[[#This Row],[Sulf]]-INDEX(crudeBD.lkup[Mean_Sulf],MATCH(vp.data[[#This Row],[Crude_Breakdown]],crudeBD.lkup[Crude Breakdown],0)))^2</f>
        <v>3.8184335974399415E-2</v>
      </c>
      <c r="AM1164" s="4">
        <f>IF(AND(vp.data[[#This Row],[SDate]]&gt;=DATE(YEAR(vp.data[[#This Row],[SDate]]),5,1),vp.data[[#This Row],[SDate]]&lt;=DATE(YEAR(vp.data[[#This Row],[SDate]]),9,15)),1,0)</f>
        <v>0</v>
      </c>
      <c r="AN1164" s="4">
        <f>IF(vp.data[[#This Row],[SDate]]&lt;DATE(2016,12,1),0,1)</f>
        <v>1</v>
      </c>
      <c r="AO1164" s="4">
        <f>IFERROR(vp.data[[#This Row],[Sulf]]*vp.data[[#This Row],[Net Dens]],"")</f>
        <v>6054279.0669200001</v>
      </c>
      <c r="AP1164">
        <f>IFERROR(vp.data[[#This Row],[Dens]]*vp.data[[#This Row],[VolumeM3]],"")</f>
        <v>5087629.4680000003</v>
      </c>
      <c r="AQ1164" s="15">
        <f>IFERROR(vp.data[[#This Row],[VP]]*vp.data[[#This Row],[VolumeM3]],"")</f>
        <v>355651.82300000003</v>
      </c>
    </row>
    <row r="1165" spans="1:43" x14ac:dyDescent="0.25">
      <c r="A1165">
        <v>1164</v>
      </c>
      <c r="B1165" t="s">
        <v>49</v>
      </c>
      <c r="C1165" t="s">
        <v>49</v>
      </c>
      <c r="D1165" t="s">
        <v>245</v>
      </c>
      <c r="F1165" s="1">
        <v>42828</v>
      </c>
      <c r="G1165" s="2">
        <v>80.099999999999994</v>
      </c>
      <c r="H1165" s="2"/>
      <c r="I1165" s="2">
        <f t="array" ref="I1165">_xlfn.IFNA(IF(vp.data[[#This Row],[Sulf Input]]="",INDEX([1]DATA!$Q$3:$Q$9826,MATCH(1,(vp.data[[#This Row],[Battery]]=[1]DATA!$L$3:$L$9826)*(EOMONTH(vp.data[[#This Row],[SDate]],-1)+1=[1]DATA!$G$3:$G$9826),0)),vp.data[[#This Row],[Sulf Input]]),"")</f>
        <v>1.88</v>
      </c>
      <c r="J1165" s="2">
        <v>22</v>
      </c>
      <c r="K1165" s="2">
        <v>-30</v>
      </c>
      <c r="L1165" s="2">
        <v>859.9</v>
      </c>
      <c r="M1165" s="2">
        <f t="array" ref="M1165">_xlfn.IFNA(IF(vp.data[[#This Row],[Dens Input]]="",INDEX([1]DATA!$O$3:$O$9826,MATCH(1,(vp.data[[#This Row],[Battery]]=[1]DATA!$L$3:$L$9826)*(EOMONTH(vp.data[[#This Row],[SDate]],-1)+1=[1]DATA!$G$3:$G$9826),0)),vp.data[[#This Row],[Dens Input]]),"")</f>
        <v>859.9</v>
      </c>
      <c r="N1165" s="2">
        <f ca="1">INDEX(INDIRECT(_xlfn.CONCAT("weather.tbl[",N$1,"]")),MATCH(vp.data[[#This Row],[SDate]],weather.tbl[Date],0))</f>
        <v>5.583333333333333</v>
      </c>
      <c r="O1165" s="2">
        <f ca="1">INDEX(INDIRECT(_xlfn.CONCAT("weather.tbl[",O$1,"]")),MATCH(vp.data[[#This Row],[SDate]],weather.tbl[Date],0))</f>
        <v>5.4738095238095239</v>
      </c>
      <c r="P1165" s="2">
        <f ca="1">INDEX(INDIRECT(_xlfn.CONCAT("weather.tbl[",P$1,"]")),MATCH(vp.data[[#This Row],[SDate]],weather.tbl[Date],0))</f>
        <v>5</v>
      </c>
      <c r="Q1165" s="2">
        <f ca="1">INDEX(INDIRECT(_xlfn.CONCAT("weather.tbl[",Q$1,"]")),MATCH(vp.data[[#This Row],[SDate]],weather.tbl[Date],0))</f>
        <v>4.9000000000000004</v>
      </c>
      <c r="R1165" s="2">
        <f ca="1">INDEX(INDIRECT(_xlfn.CONCAT("weather.tbl[",R$1,"]")),MATCH(vp.data[[#This Row],[SDate]],weather.tbl[Date],0))</f>
        <v>8.3000000000000007</v>
      </c>
      <c r="S1165" s="2">
        <f ca="1">INDEX(INDIRECT(_xlfn.CONCAT("weather.tbl[",S$1,"]")),MATCH(vp.data[[#This Row],[SDate]],weather.tbl[Date],0))</f>
        <v>4.8</v>
      </c>
      <c r="T1165" s="2">
        <f ca="1">INDEX(INDIRECT(_xlfn.CONCAT("weather.tbl[",T$1,"]")),MATCH(vp.data[[#This Row],[SDate]],weather.tbl[Date],0))</f>
        <v>5.5</v>
      </c>
      <c r="U1165" s="2">
        <f ca="1">INDEX(INDIRECT(_xlfn.CONCAT("weather.tbl[",U$1,"]")),MATCH(vp.data[[#This Row],[SDate]],weather.tbl[Date],0))</f>
        <v>5</v>
      </c>
      <c r="V1165" s="2">
        <f t="array" ref="V11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841.83299999999997</v>
      </c>
      <c r="W1165" t="s">
        <v>48</v>
      </c>
      <c r="X1165">
        <f>IF(OR(vp.data[[#This Row],[Sulf]]="",vp.data[[#This Row],[Dens]]=""),1,0)</f>
        <v>0</v>
      </c>
      <c r="Y1165">
        <f>IF(vp.data[[#This Row],[CrudeType]]="C5+",1,0)</f>
        <v>0</v>
      </c>
      <c r="Z1165">
        <f>IF(AND(vp.data[[#This Row],[CrudeType]]="Crude",vp.data[[#This Row],[Dens]]&lt;=825,vp.data[[#This Row],[Sulf]]&gt;0.5,vp.data[[#This Row],[Unknown]]=0),1,0)</f>
        <v>0</v>
      </c>
      <c r="AA1165">
        <f>IF(AND(vp.data[[#This Row],[CrudeType]]="Crude",vp.data[[#This Row],[Dens]]&lt;=825,vp.data[[#This Row],[Sulf]]&lt;=0.5,vp.data[[#This Row],[Unknown]]=0),1,0)</f>
        <v>0</v>
      </c>
      <c r="AB11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65">
        <f>IF(AND(vp.data[[#This Row],[CrudeType]]="Crude",vp.data[[#This Row],[Dens]]&gt;825,vp.data[[#This Row],[Dens]]&lt;=900,vp.data[[#This Row],[Sulf]]&lt;=0.5,vp.data[[#This Row],[Unknown]]=0),1,0)</f>
        <v>0</v>
      </c>
      <c r="AD1165">
        <f>IF(AND(vp.data[[#This Row],[CrudeType]]="Crude",vp.data[[#This Row],[Dens]]&gt;865,vp.data[[#This Row],[Dens]]&lt;=900,vp.data[[#This Row],[Sulf]]&gt;2,vp.data[[#This Row],[Unknown]]=0),1,0)</f>
        <v>0</v>
      </c>
      <c r="AE1165">
        <f>IF(AND(vp.data[[#This Row],[CrudeType]]="Crude",vp.data[[#This Row],[Dens]]&gt;900,vp.data[[#This Row],[Sulf]]&lt;=0.5,vp.data[[#This Row],[Unknown]]=0),1,0)</f>
        <v>0</v>
      </c>
      <c r="AF1165">
        <f>IF(AND(vp.data[[#This Row],[CrudeType]]="Crude",vp.data[[#This Row],[Dens]]&gt;900,vp.data[[#This Row],[Sulf]]&lt;=0.5,vp.data[[#This Row],[Unknown]]=0),1,0)</f>
        <v>0</v>
      </c>
      <c r="AG1165" t="str">
        <f>INDEX(vp.data[[#Headers],[Unknown]:[Heavy_SW]],MATCH(1,vp.data[[#This Row],[Unknown]:[Heavy_SW]],0))</f>
        <v>Medium_LSB</v>
      </c>
      <c r="AH1165">
        <f>INDEX([3]!crudeBD.lkup[Number],MATCH(vp.data[[#This Row],[Crude_Breakdown]],crudeBD.lkup[Crude Breakdown],0))</f>
        <v>3</v>
      </c>
      <c r="AI1165">
        <f>MONTH(vp.data[[#This Row],[SDate]])</f>
        <v>4</v>
      </c>
      <c r="AJ1165" s="5">
        <f>(vp.data[[#This Row],[VP]]-INDEX(crudeBD.lkup[Mean_VP],MATCH(vp.data[[#This Row],[Crude_Breakdown]],crudeBD.lkup[Crude Breakdown],0)))^2</f>
        <v>0.29125077847436603</v>
      </c>
      <c r="AK1165" s="5">
        <f>(vp.data[[#This Row],[Dens]]-INDEX(crudeBD.lkup[Mean_Dens],MATCH(vp.data[[#This Row],[Crude_Breakdown]],crudeBD.lkup[Crude Breakdown],0)))^2</f>
        <v>255.36040000001512</v>
      </c>
      <c r="AL1165" s="5">
        <f>(vp.data[[#This Row],[Sulf]]-INDEX(crudeBD.lkup[Mean_Sulf],MATCH(vp.data[[#This Row],[Crude_Breakdown]],crudeBD.lkup[Crude Breakdown],0)))^2</f>
        <v>0.24462112114959933</v>
      </c>
      <c r="AM1165" s="4">
        <f>IF(AND(vp.data[[#This Row],[SDate]]&gt;=DATE(YEAR(vp.data[[#This Row],[SDate]]),5,1),vp.data[[#This Row],[SDate]]&lt;=DATE(YEAR(vp.data[[#This Row],[SDate]]),9,15)),1,0)</f>
        <v>0</v>
      </c>
      <c r="AN1165" s="4">
        <f>IF(vp.data[[#This Row],[SDate]]&lt;DATE(2016,12,1),0,1)</f>
        <v>1</v>
      </c>
      <c r="AO1165" s="4">
        <f>IFERROR(vp.data[[#This Row],[Sulf]]*vp.data[[#This Row],[Net Dens]],"")</f>
        <v>1360917.3297959999</v>
      </c>
      <c r="AP1165">
        <f>IFERROR(vp.data[[#This Row],[Dens]]*vp.data[[#This Row],[VolumeM3]],"")</f>
        <v>723892.19669999997</v>
      </c>
      <c r="AQ1165" s="15">
        <f>IFERROR(vp.data[[#This Row],[VP]]*vp.data[[#This Row],[VolumeM3]],"")</f>
        <v>67430.823299999989</v>
      </c>
    </row>
    <row r="1166" spans="1:43" x14ac:dyDescent="0.25">
      <c r="A1166">
        <v>1165</v>
      </c>
      <c r="B1166" t="s">
        <v>60</v>
      </c>
      <c r="C1166" t="s">
        <v>60</v>
      </c>
      <c r="D1166" t="s">
        <v>61</v>
      </c>
      <c r="E1166" t="s">
        <v>73</v>
      </c>
      <c r="F1166" s="1">
        <v>42828</v>
      </c>
      <c r="G1166" s="2">
        <v>75</v>
      </c>
      <c r="H1166" s="2">
        <v>1.0920000000000001</v>
      </c>
      <c r="I1166" s="2">
        <f t="array" ref="I1166">_xlfn.IFNA(IF(vp.data[[#This Row],[Sulf Input]]="",INDEX([1]DATA!$Q$3:$Q$9826,MATCH(1,(vp.data[[#This Row],[Battery]]=[1]DATA!$L$3:$L$9826)*(EOMONTH(vp.data[[#This Row],[SDate]],-1)+1=[1]DATA!$G$3:$G$9826),0)),vp.data[[#This Row],[Sulf Input]]),"")</f>
        <v>1.0920000000000001</v>
      </c>
      <c r="J1166" s="2">
        <v>9.6999999999999993</v>
      </c>
      <c r="K1166" s="2">
        <v>8</v>
      </c>
      <c r="L1166" s="2">
        <v>842.8</v>
      </c>
      <c r="M1166" s="2">
        <f t="array" ref="M1166">_xlfn.IFNA(IF(vp.data[[#This Row],[Dens Input]]="",INDEX([1]DATA!$O$3:$O$9826,MATCH(1,(vp.data[[#This Row],[Battery]]=[1]DATA!$L$3:$L$9826)*(EOMONTH(vp.data[[#This Row],[SDate]],-1)+1=[1]DATA!$G$3:$G$9826),0)),vp.data[[#This Row],[Dens Input]]),"")</f>
        <v>842.8</v>
      </c>
      <c r="N1166" s="2">
        <f ca="1">INDEX(INDIRECT(_xlfn.CONCAT("weather.tbl[",N$1,"]")),MATCH(vp.data[[#This Row],[SDate]],weather.tbl[Date],0))</f>
        <v>5.583333333333333</v>
      </c>
      <c r="O1166" s="2">
        <f ca="1">INDEX(INDIRECT(_xlfn.CONCAT("weather.tbl[",O$1,"]")),MATCH(vp.data[[#This Row],[SDate]],weather.tbl[Date],0))</f>
        <v>5.4738095238095239</v>
      </c>
      <c r="P1166" s="2">
        <f ca="1">INDEX(INDIRECT(_xlfn.CONCAT("weather.tbl[",P$1,"]")),MATCH(vp.data[[#This Row],[SDate]],weather.tbl[Date],0))</f>
        <v>5</v>
      </c>
      <c r="Q1166" s="2">
        <f ca="1">INDEX(INDIRECT(_xlfn.CONCAT("weather.tbl[",Q$1,"]")),MATCH(vp.data[[#This Row],[SDate]],weather.tbl[Date],0))</f>
        <v>4.9000000000000004</v>
      </c>
      <c r="R1166" s="2">
        <f ca="1">INDEX(INDIRECT(_xlfn.CONCAT("weather.tbl[",R$1,"]")),MATCH(vp.data[[#This Row],[SDate]],weather.tbl[Date],0))</f>
        <v>8.3000000000000007</v>
      </c>
      <c r="S1166" s="2">
        <f ca="1">INDEX(INDIRECT(_xlfn.CONCAT("weather.tbl[",S$1,"]")),MATCH(vp.data[[#This Row],[SDate]],weather.tbl[Date],0))</f>
        <v>4.8</v>
      </c>
      <c r="T1166" s="2">
        <f ca="1">INDEX(INDIRECT(_xlfn.CONCAT("weather.tbl[",T$1,"]")),MATCH(vp.data[[#This Row],[SDate]],weather.tbl[Date],0))</f>
        <v>5.5</v>
      </c>
      <c r="U1166" s="2">
        <f ca="1">INDEX(INDIRECT(_xlfn.CONCAT("weather.tbl[",U$1,"]")),MATCH(vp.data[[#This Row],[SDate]],weather.tbl[Date],0))</f>
        <v>5</v>
      </c>
      <c r="V1166" s="2">
        <f t="array" ref="V11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166" t="s">
        <v>48</v>
      </c>
      <c r="X1166">
        <f>IF(OR(vp.data[[#This Row],[Sulf]]="",vp.data[[#This Row],[Dens]]=""),1,0)</f>
        <v>0</v>
      </c>
      <c r="Y1166">
        <f>IF(vp.data[[#This Row],[CrudeType]]="C5+",1,0)</f>
        <v>0</v>
      </c>
      <c r="Z1166">
        <f>IF(AND(vp.data[[#This Row],[CrudeType]]="Crude",vp.data[[#This Row],[Dens]]&lt;=825,vp.data[[#This Row],[Sulf]]&gt;0.5,vp.data[[#This Row],[Unknown]]=0),1,0)</f>
        <v>0</v>
      </c>
      <c r="AA1166">
        <f>IF(AND(vp.data[[#This Row],[CrudeType]]="Crude",vp.data[[#This Row],[Dens]]&lt;=825,vp.data[[#This Row],[Sulf]]&lt;=0.5,vp.data[[#This Row],[Unknown]]=0),1,0)</f>
        <v>0</v>
      </c>
      <c r="AB11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66">
        <f>IF(AND(vp.data[[#This Row],[CrudeType]]="Crude",vp.data[[#This Row],[Dens]]&gt;825,vp.data[[#This Row],[Dens]]&lt;=900,vp.data[[#This Row],[Sulf]]&lt;=0.5,vp.data[[#This Row],[Unknown]]=0),1,0)</f>
        <v>0</v>
      </c>
      <c r="AD1166">
        <f>IF(AND(vp.data[[#This Row],[CrudeType]]="Crude",vp.data[[#This Row],[Dens]]&gt;865,vp.data[[#This Row],[Dens]]&lt;=900,vp.data[[#This Row],[Sulf]]&gt;2,vp.data[[#This Row],[Unknown]]=0),1,0)</f>
        <v>0</v>
      </c>
      <c r="AE1166">
        <f>IF(AND(vp.data[[#This Row],[CrudeType]]="Crude",vp.data[[#This Row],[Dens]]&gt;900,vp.data[[#This Row],[Sulf]]&lt;=0.5,vp.data[[#This Row],[Unknown]]=0),1,0)</f>
        <v>0</v>
      </c>
      <c r="AF1166">
        <f>IF(AND(vp.data[[#This Row],[CrudeType]]="Crude",vp.data[[#This Row],[Dens]]&gt;900,vp.data[[#This Row],[Sulf]]&lt;=0.5,vp.data[[#This Row],[Unknown]]=0),1,0)</f>
        <v>0</v>
      </c>
      <c r="AG1166" t="str">
        <f>INDEX(vp.data[[#Headers],[Unknown]:[Heavy_SW]],MATCH(1,vp.data[[#This Row],[Unknown]:[Heavy_SW]],0))</f>
        <v>Medium_LSB</v>
      </c>
      <c r="AH1166">
        <f>INDEX([3]!crudeBD.lkup[Number],MATCH(vp.data[[#This Row],[Crude_Breakdown]],crudeBD.lkup[Crude Breakdown],0))</f>
        <v>3</v>
      </c>
      <c r="AI1166">
        <f>MONTH(vp.data[[#This Row],[SDate]])</f>
        <v>4</v>
      </c>
      <c r="AJ1166" s="5">
        <f>(vp.data[[#This Row],[VP]]-INDEX(crudeBD.lkup[Mean_VP],MATCH(vp.data[[#This Row],[Crude_Breakdown]],crudeBD.lkup[Crude Breakdown],0)))^2</f>
        <v>31.805951587098967</v>
      </c>
      <c r="AK1166" s="5">
        <f>(vp.data[[#This Row],[Dens]]-INDEX(crudeBD.lkup[Mean_Dens],MATCH(vp.data[[#This Row],[Crude_Breakdown]],crudeBD.lkup[Crude Breakdown],0)))^2</f>
        <v>1.2543999999989917</v>
      </c>
      <c r="AL1166" s="5">
        <f>(vp.data[[#This Row],[Sulf]]-INDEX(crudeBD.lkup[Mean_Sulf],MATCH(vp.data[[#This Row],[Crude_Breakdown]],crudeBD.lkup[Crude Breakdown],0)))^2</f>
        <v>8.6088328804588318E-2</v>
      </c>
      <c r="AM1166" s="4">
        <f>IF(AND(vp.data[[#This Row],[SDate]]&gt;=DATE(YEAR(vp.data[[#This Row],[SDate]]),5,1),vp.data[[#This Row],[SDate]]&lt;=DATE(YEAR(vp.data[[#This Row],[SDate]]),9,15)),1,0)</f>
        <v>0</v>
      </c>
      <c r="AN1166" s="4">
        <f>IF(vp.data[[#This Row],[SDate]]&lt;DATE(2016,12,1),0,1)</f>
        <v>1</v>
      </c>
      <c r="AO1166" s="4">
        <f>IFERROR(vp.data[[#This Row],[Sulf]]*vp.data[[#This Row],[Net Dens]],"")</f>
        <v>102957281.94722879</v>
      </c>
      <c r="AP1166">
        <f>IFERROR(vp.data[[#This Row],[Dens]]*vp.data[[#This Row],[VolumeM3]],"")</f>
        <v>94283225.226399988</v>
      </c>
      <c r="AQ1166" s="15">
        <f>IFERROR(vp.data[[#This Row],[VP]]*vp.data[[#This Row],[VolumeM3]],"")</f>
        <v>8390177.8499999996</v>
      </c>
    </row>
    <row r="1167" spans="1:43" x14ac:dyDescent="0.25">
      <c r="A1167">
        <v>1166</v>
      </c>
      <c r="B1167" t="s">
        <v>60</v>
      </c>
      <c r="C1167" t="s">
        <v>60</v>
      </c>
      <c r="D1167" t="s">
        <v>61</v>
      </c>
      <c r="E1167" t="s">
        <v>55</v>
      </c>
      <c r="F1167" s="1">
        <v>42828</v>
      </c>
      <c r="G1167" s="2">
        <v>89.5</v>
      </c>
      <c r="H1167" s="2">
        <v>1.208</v>
      </c>
      <c r="I1167" s="2">
        <f t="array" ref="I1167">_xlfn.IFNA(IF(vp.data[[#This Row],[Sulf Input]]="",INDEX([1]DATA!$Q$3:$Q$9826,MATCH(1,(vp.data[[#This Row],[Battery]]=[1]DATA!$L$3:$L$9826)*(EOMONTH(vp.data[[#This Row],[SDate]],-1)+1=[1]DATA!$G$3:$G$9826),0)),vp.data[[#This Row],[Sulf Input]]),"")</f>
        <v>1.208</v>
      </c>
      <c r="J1167" s="2">
        <v>13.2</v>
      </c>
      <c r="K1167" s="2">
        <v>8</v>
      </c>
      <c r="L1167" s="2">
        <v>838.1</v>
      </c>
      <c r="M1167" s="2">
        <f t="array" ref="M1167">_xlfn.IFNA(IF(vp.data[[#This Row],[Dens Input]]="",INDEX([1]DATA!$O$3:$O$9826,MATCH(1,(vp.data[[#This Row],[Battery]]=[1]DATA!$L$3:$L$9826)*(EOMONTH(vp.data[[#This Row],[SDate]],-1)+1=[1]DATA!$G$3:$G$9826),0)),vp.data[[#This Row],[Dens Input]]),"")</f>
        <v>838.1</v>
      </c>
      <c r="N1167" s="2">
        <f ca="1">INDEX(INDIRECT(_xlfn.CONCAT("weather.tbl[",N$1,"]")),MATCH(vp.data[[#This Row],[SDate]],weather.tbl[Date],0))</f>
        <v>5.583333333333333</v>
      </c>
      <c r="O1167" s="2">
        <f ca="1">INDEX(INDIRECT(_xlfn.CONCAT("weather.tbl[",O$1,"]")),MATCH(vp.data[[#This Row],[SDate]],weather.tbl[Date],0))</f>
        <v>5.4738095238095239</v>
      </c>
      <c r="P1167" s="2">
        <f ca="1">INDEX(INDIRECT(_xlfn.CONCAT("weather.tbl[",P$1,"]")),MATCH(vp.data[[#This Row],[SDate]],weather.tbl[Date],0))</f>
        <v>5</v>
      </c>
      <c r="Q1167" s="2">
        <f ca="1">INDEX(INDIRECT(_xlfn.CONCAT("weather.tbl[",Q$1,"]")),MATCH(vp.data[[#This Row],[SDate]],weather.tbl[Date],0))</f>
        <v>4.9000000000000004</v>
      </c>
      <c r="R1167" s="2">
        <f ca="1">INDEX(INDIRECT(_xlfn.CONCAT("weather.tbl[",R$1,"]")),MATCH(vp.data[[#This Row],[SDate]],weather.tbl[Date],0))</f>
        <v>8.3000000000000007</v>
      </c>
      <c r="S1167" s="2">
        <f ca="1">INDEX(INDIRECT(_xlfn.CONCAT("weather.tbl[",S$1,"]")),MATCH(vp.data[[#This Row],[SDate]],weather.tbl[Date],0))</f>
        <v>4.8</v>
      </c>
      <c r="T1167" s="2">
        <f ca="1">INDEX(INDIRECT(_xlfn.CONCAT("weather.tbl[",T$1,"]")),MATCH(vp.data[[#This Row],[SDate]],weather.tbl[Date],0))</f>
        <v>5.5</v>
      </c>
      <c r="U1167" s="2">
        <f ca="1">INDEX(INDIRECT(_xlfn.CONCAT("weather.tbl[",U$1,"]")),MATCH(vp.data[[#This Row],[SDate]],weather.tbl[Date],0))</f>
        <v>5</v>
      </c>
      <c r="V1167" s="2">
        <f t="array" ref="V11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167" t="s">
        <v>48</v>
      </c>
      <c r="X1167">
        <f>IF(OR(vp.data[[#This Row],[Sulf]]="",vp.data[[#This Row],[Dens]]=""),1,0)</f>
        <v>0</v>
      </c>
      <c r="Y1167">
        <f>IF(vp.data[[#This Row],[CrudeType]]="C5+",1,0)</f>
        <v>0</v>
      </c>
      <c r="Z1167">
        <f>IF(AND(vp.data[[#This Row],[CrudeType]]="Crude",vp.data[[#This Row],[Dens]]&lt;=825,vp.data[[#This Row],[Sulf]]&gt;0.5,vp.data[[#This Row],[Unknown]]=0),1,0)</f>
        <v>0</v>
      </c>
      <c r="AA1167">
        <f>IF(AND(vp.data[[#This Row],[CrudeType]]="Crude",vp.data[[#This Row],[Dens]]&lt;=825,vp.data[[#This Row],[Sulf]]&lt;=0.5,vp.data[[#This Row],[Unknown]]=0),1,0)</f>
        <v>0</v>
      </c>
      <c r="AB11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67">
        <f>IF(AND(vp.data[[#This Row],[CrudeType]]="Crude",vp.data[[#This Row],[Dens]]&gt;825,vp.data[[#This Row],[Dens]]&lt;=900,vp.data[[#This Row],[Sulf]]&lt;=0.5,vp.data[[#This Row],[Unknown]]=0),1,0)</f>
        <v>0</v>
      </c>
      <c r="AD1167">
        <f>IF(AND(vp.data[[#This Row],[CrudeType]]="Crude",vp.data[[#This Row],[Dens]]&gt;865,vp.data[[#This Row],[Dens]]&lt;=900,vp.data[[#This Row],[Sulf]]&gt;2,vp.data[[#This Row],[Unknown]]=0),1,0)</f>
        <v>0</v>
      </c>
      <c r="AE1167">
        <f>IF(AND(vp.data[[#This Row],[CrudeType]]="Crude",vp.data[[#This Row],[Dens]]&gt;900,vp.data[[#This Row],[Sulf]]&lt;=0.5,vp.data[[#This Row],[Unknown]]=0),1,0)</f>
        <v>0</v>
      </c>
      <c r="AF1167">
        <f>IF(AND(vp.data[[#This Row],[CrudeType]]="Crude",vp.data[[#This Row],[Dens]]&gt;900,vp.data[[#This Row],[Sulf]]&lt;=0.5,vp.data[[#This Row],[Unknown]]=0),1,0)</f>
        <v>0</v>
      </c>
      <c r="AG1167" t="str">
        <f>INDEX(vp.data[[#Headers],[Unknown]:[Heavy_SW]],MATCH(1,vp.data[[#This Row],[Unknown]:[Heavy_SW]],0))</f>
        <v>Medium_LSB</v>
      </c>
      <c r="AH1167">
        <f>INDEX([3]!crudeBD.lkup[Number],MATCH(vp.data[[#This Row],[Crude_Breakdown]],crudeBD.lkup[Crude Breakdown],0))</f>
        <v>3</v>
      </c>
      <c r="AI1167">
        <f>MONTH(vp.data[[#This Row],[SDate]])</f>
        <v>4</v>
      </c>
      <c r="AJ1167" s="5">
        <f>(vp.data[[#This Row],[VP]]-INDEX(crudeBD.lkup[Mean_VP],MATCH(vp.data[[#This Row],[Crude_Breakdown]],crudeBD.lkup[Crude Breakdown],0)))^2</f>
        <v>78.505331641009391</v>
      </c>
      <c r="AK1167" s="5">
        <f>(vp.data[[#This Row],[Dens]]-INDEX(crudeBD.lkup[Mean_Dens],MATCH(vp.data[[#This Row],[Crude_Breakdown]],crudeBD.lkup[Crude Breakdown],0)))^2</f>
        <v>33.872399999993966</v>
      </c>
      <c r="AL1167" s="5">
        <f>(vp.data[[#This Row],[Sulf]]-INDEX(crudeBD.lkup[Mean_Sulf],MATCH(vp.data[[#This Row],[Crude_Breakdown]],crudeBD.lkup[Crude Breakdown],0)))^2</f>
        <v>3.1473643413752452E-2</v>
      </c>
      <c r="AM1167" s="4">
        <f>IF(AND(vp.data[[#This Row],[SDate]]&gt;=DATE(YEAR(vp.data[[#This Row],[SDate]]),5,1),vp.data[[#This Row],[SDate]]&lt;=DATE(YEAR(vp.data[[#This Row],[SDate]]),9,15)),1,0)</f>
        <v>0</v>
      </c>
      <c r="AN1167" s="4">
        <f>IF(vp.data[[#This Row],[SDate]]&lt;DATE(2016,12,1),0,1)</f>
        <v>1</v>
      </c>
      <c r="AO1167" s="4">
        <f>IFERROR(vp.data[[#This Row],[Sulf]]*vp.data[[#This Row],[Net Dens]],"")</f>
        <v>113258988.42334241</v>
      </c>
      <c r="AP1167">
        <f>IFERROR(vp.data[[#This Row],[Dens]]*vp.data[[#This Row],[VolumeM3]],"")</f>
        <v>93757440.747800007</v>
      </c>
      <c r="AQ1167" s="15">
        <f>IFERROR(vp.data[[#This Row],[VP]]*vp.data[[#This Row],[VolumeM3]],"")</f>
        <v>10012278.901000001</v>
      </c>
    </row>
    <row r="1168" spans="1:43" x14ac:dyDescent="0.25">
      <c r="A1168">
        <v>1167</v>
      </c>
      <c r="B1168" t="s">
        <v>49</v>
      </c>
      <c r="C1168" t="s">
        <v>49</v>
      </c>
      <c r="D1168" t="s">
        <v>81</v>
      </c>
      <c r="F1168" s="1">
        <v>42829</v>
      </c>
      <c r="G1168" s="2">
        <v>80.599999999999994</v>
      </c>
      <c r="H1168" s="2">
        <v>0.52100000000000002</v>
      </c>
      <c r="I1168" s="2">
        <f t="array" ref="I1168">_xlfn.IFNA(IF(vp.data[[#This Row],[Sulf Input]]="",INDEX([1]DATA!$Q$3:$Q$9826,MATCH(1,(vp.data[[#This Row],[Battery]]=[1]DATA!$L$3:$L$9826)*(EOMONTH(vp.data[[#This Row],[SDate]],-1)+1=[1]DATA!$G$3:$G$9826),0)),vp.data[[#This Row],[Sulf Input]]),"")</f>
        <v>0.52100000000000002</v>
      </c>
      <c r="J1168" s="2">
        <v>6.5</v>
      </c>
      <c r="K1168" s="2">
        <v>6</v>
      </c>
      <c r="L1168" s="2">
        <v>820.9</v>
      </c>
      <c r="M1168" s="2">
        <f t="array" ref="M1168">_xlfn.IFNA(IF(vp.data[[#This Row],[Dens Input]]="",INDEX([1]DATA!$O$3:$O$9826,MATCH(1,(vp.data[[#This Row],[Battery]]=[1]DATA!$L$3:$L$9826)*(EOMONTH(vp.data[[#This Row],[SDate]],-1)+1=[1]DATA!$G$3:$G$9826),0)),vp.data[[#This Row],[Dens Input]]),"")</f>
        <v>820.9</v>
      </c>
      <c r="N1168" s="2">
        <f ca="1">INDEX(INDIRECT(_xlfn.CONCAT("weather.tbl[",N$1,"]")),MATCH(vp.data[[#This Row],[SDate]],weather.tbl[Date],0))</f>
        <v>5.166666666666667</v>
      </c>
      <c r="O1168" s="2">
        <f ca="1">INDEX(INDIRECT(_xlfn.CONCAT("weather.tbl[",O$1,"]")),MATCH(vp.data[[#This Row],[SDate]],weather.tbl[Date],0))</f>
        <v>5.9857142857142858</v>
      </c>
      <c r="P1168" s="2">
        <f ca="1">INDEX(INDIRECT(_xlfn.CONCAT("weather.tbl[",P$1,"]")),MATCH(vp.data[[#This Row],[SDate]],weather.tbl[Date],0))</f>
        <v>5.2</v>
      </c>
      <c r="Q1168" s="2">
        <f ca="1">INDEX(INDIRECT(_xlfn.CONCAT("weather.tbl[",Q$1,"]")),MATCH(vp.data[[#This Row],[SDate]],weather.tbl[Date],0))</f>
        <v>4.0999999999999996</v>
      </c>
      <c r="R1168" s="2">
        <f ca="1">INDEX(INDIRECT(_xlfn.CONCAT("weather.tbl[",R$1,"]")),MATCH(vp.data[[#This Row],[SDate]],weather.tbl[Date],0))</f>
        <v>6.5</v>
      </c>
      <c r="S1168" s="2">
        <f ca="1">INDEX(INDIRECT(_xlfn.CONCAT("weather.tbl[",S$1,"]")),MATCH(vp.data[[#This Row],[SDate]],weather.tbl[Date],0))</f>
        <v>4.4000000000000004</v>
      </c>
      <c r="T1168" s="2">
        <f ca="1">INDEX(INDIRECT(_xlfn.CONCAT("weather.tbl[",T$1,"]")),MATCH(vp.data[[#This Row],[SDate]],weather.tbl[Date],0))</f>
        <v>6</v>
      </c>
      <c r="U1168" s="2">
        <f ca="1">INDEX(INDIRECT(_xlfn.CONCAT("weather.tbl[",U$1,"]")),MATCH(vp.data[[#This Row],[SDate]],weather.tbl[Date],0))</f>
        <v>4.8</v>
      </c>
      <c r="V1168" s="2">
        <f t="array" ref="V11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19345.195</v>
      </c>
      <c r="W1168" t="s">
        <v>48</v>
      </c>
      <c r="X1168">
        <f>IF(OR(vp.data[[#This Row],[Sulf]]="",vp.data[[#This Row],[Dens]]=""),1,0)</f>
        <v>0</v>
      </c>
      <c r="Y1168">
        <f>IF(vp.data[[#This Row],[CrudeType]]="C5+",1,0)</f>
        <v>0</v>
      </c>
      <c r="Z1168">
        <f>IF(AND(vp.data[[#This Row],[CrudeType]]="Crude",vp.data[[#This Row],[Dens]]&lt;=825,vp.data[[#This Row],[Sulf]]&gt;0.5,vp.data[[#This Row],[Unknown]]=0),1,0)</f>
        <v>1</v>
      </c>
      <c r="AA1168">
        <f>IF(AND(vp.data[[#This Row],[CrudeType]]="Crude",vp.data[[#This Row],[Dens]]&lt;=825,vp.data[[#This Row],[Sulf]]&lt;=0.5,vp.data[[#This Row],[Unknown]]=0),1,0)</f>
        <v>0</v>
      </c>
      <c r="AB11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68">
        <f>IF(AND(vp.data[[#This Row],[CrudeType]]="Crude",vp.data[[#This Row],[Dens]]&gt;825,vp.data[[#This Row],[Dens]]&lt;=900,vp.data[[#This Row],[Sulf]]&lt;=0.5,vp.data[[#This Row],[Unknown]]=0),1,0)</f>
        <v>0</v>
      </c>
      <c r="AD1168">
        <f>IF(AND(vp.data[[#This Row],[CrudeType]]="Crude",vp.data[[#This Row],[Dens]]&gt;865,vp.data[[#This Row],[Dens]]&lt;=900,vp.data[[#This Row],[Sulf]]&gt;2,vp.data[[#This Row],[Unknown]]=0),1,0)</f>
        <v>0</v>
      </c>
      <c r="AE1168">
        <f>IF(AND(vp.data[[#This Row],[CrudeType]]="Crude",vp.data[[#This Row],[Dens]]&gt;900,vp.data[[#This Row],[Sulf]]&lt;=0.5,vp.data[[#This Row],[Unknown]]=0),1,0)</f>
        <v>0</v>
      </c>
      <c r="AF1168">
        <f>IF(AND(vp.data[[#This Row],[CrudeType]]="Crude",vp.data[[#This Row],[Dens]]&gt;900,vp.data[[#This Row],[Sulf]]&lt;=0.5,vp.data[[#This Row],[Unknown]]=0),1,0)</f>
        <v>0</v>
      </c>
      <c r="AG1168" t="str">
        <f>INDEX(vp.data[[#Headers],[Unknown]:[Heavy_SW]],MATCH(1,vp.data[[#This Row],[Unknown]:[Heavy_SW]],0))</f>
        <v>Light_LSB</v>
      </c>
      <c r="AH1168">
        <f>INDEX([3]!crudeBD.lkup[Number],MATCH(vp.data[[#This Row],[Crude_Breakdown]],crudeBD.lkup[Crude Breakdown],0))</f>
        <v>1</v>
      </c>
      <c r="AI1168">
        <f>MONTH(vp.data[[#This Row],[SDate]])</f>
        <v>4</v>
      </c>
      <c r="AJ1168" s="5">
        <f>(vp.data[[#This Row],[VP]]-INDEX(crudeBD.lkup[Mean_VP],MATCH(vp.data[[#This Row],[Crude_Breakdown]],crudeBD.lkup[Crude Breakdown],0)))^2</f>
        <v>119.81897846742561</v>
      </c>
      <c r="AK1168" s="5">
        <f>(vp.data[[#This Row],[Dens]]-INDEX(crudeBD.lkup[Mean_Dens],MATCH(vp.data[[#This Row],[Crude_Breakdown]],crudeBD.lkup[Crude Breakdown],0)))^2</f>
        <v>5.6797863794725805</v>
      </c>
      <c r="AL1168" s="5">
        <f>(vp.data[[#This Row],[Sulf]]-INDEX(crudeBD.lkup[Mean_Sulf],MATCH(vp.data[[#This Row],[Crude_Breakdown]],crudeBD.lkup[Crude Breakdown],0)))^2</f>
        <v>0.16158082021270512</v>
      </c>
      <c r="AM1168" s="4">
        <f>IF(AND(vp.data[[#This Row],[SDate]]&gt;=DATE(YEAR(vp.data[[#This Row],[SDate]]),5,1),vp.data[[#This Row],[SDate]]&lt;=DATE(YEAR(vp.data[[#This Row],[SDate]]),9,15)),1,0)</f>
        <v>0</v>
      </c>
      <c r="AN1168" s="4">
        <f>IF(vp.data[[#This Row],[SDate]]&lt;DATE(2016,12,1),0,1)</f>
        <v>1</v>
      </c>
      <c r="AO1168" s="4">
        <f>IFERROR(vp.data[[#This Row],[Sulf]]*vp.data[[#This Row],[Net Dens]],"")</f>
        <v>8273725.1698354995</v>
      </c>
      <c r="AP1168">
        <f>IFERROR(vp.data[[#This Row],[Dens]]*vp.data[[#This Row],[VolumeM3]],"")</f>
        <v>15880470.575499998</v>
      </c>
      <c r="AQ1168" s="15">
        <f>IFERROR(vp.data[[#This Row],[VP]]*vp.data[[#This Row],[VolumeM3]],"")</f>
        <v>1559222.7169999999</v>
      </c>
    </row>
    <row r="1169" spans="1:43" x14ac:dyDescent="0.25">
      <c r="A1169">
        <v>1168</v>
      </c>
      <c r="B1169" t="s">
        <v>49</v>
      </c>
      <c r="C1169" t="s">
        <v>49</v>
      </c>
      <c r="D1169" t="s">
        <v>70</v>
      </c>
      <c r="F1169" s="1">
        <v>42829</v>
      </c>
      <c r="G1169" s="2">
        <v>66.2</v>
      </c>
      <c r="H1169" s="2">
        <v>0.71699999999999997</v>
      </c>
      <c r="I1169" s="2">
        <f t="array" ref="I1169">_xlfn.IFNA(IF(vp.data[[#This Row],[Sulf Input]]="",INDEX([1]DATA!$Q$3:$Q$9826,MATCH(1,(vp.data[[#This Row],[Battery]]=[1]DATA!$L$3:$L$9826)*(EOMONTH(vp.data[[#This Row],[SDate]],-1)+1=[1]DATA!$G$3:$G$9826),0)),vp.data[[#This Row],[Sulf Input]]),"")</f>
        <v>0.71699999999999997</v>
      </c>
      <c r="J1169" s="2">
        <v>28.4</v>
      </c>
      <c r="K1169" s="2">
        <v>6</v>
      </c>
      <c r="L1169" s="2">
        <v>829.4</v>
      </c>
      <c r="M1169" s="2">
        <f t="array" ref="M1169">_xlfn.IFNA(IF(vp.data[[#This Row],[Dens Input]]="",INDEX([1]DATA!$O$3:$O$9826,MATCH(1,(vp.data[[#This Row],[Battery]]=[1]DATA!$L$3:$L$9826)*(EOMONTH(vp.data[[#This Row],[SDate]],-1)+1=[1]DATA!$G$3:$G$9826),0)),vp.data[[#This Row],[Dens Input]]),"")</f>
        <v>829.4</v>
      </c>
      <c r="N1169" s="2">
        <f ca="1">INDEX(INDIRECT(_xlfn.CONCAT("weather.tbl[",N$1,"]")),MATCH(vp.data[[#This Row],[SDate]],weather.tbl[Date],0))</f>
        <v>5.166666666666667</v>
      </c>
      <c r="O1169" s="2">
        <f ca="1">INDEX(INDIRECT(_xlfn.CONCAT("weather.tbl[",O$1,"]")),MATCH(vp.data[[#This Row],[SDate]],weather.tbl[Date],0))</f>
        <v>5.9857142857142858</v>
      </c>
      <c r="P1169" s="2">
        <f ca="1">INDEX(INDIRECT(_xlfn.CONCAT("weather.tbl[",P$1,"]")),MATCH(vp.data[[#This Row],[SDate]],weather.tbl[Date],0))</f>
        <v>5.2</v>
      </c>
      <c r="Q1169" s="2">
        <f ca="1">INDEX(INDIRECT(_xlfn.CONCAT("weather.tbl[",Q$1,"]")),MATCH(vp.data[[#This Row],[SDate]],weather.tbl[Date],0))</f>
        <v>4.0999999999999996</v>
      </c>
      <c r="R1169" s="2">
        <f ca="1">INDEX(INDIRECT(_xlfn.CONCAT("weather.tbl[",R$1,"]")),MATCH(vp.data[[#This Row],[SDate]],weather.tbl[Date],0))</f>
        <v>6.5</v>
      </c>
      <c r="S1169" s="2">
        <f ca="1">INDEX(INDIRECT(_xlfn.CONCAT("weather.tbl[",S$1,"]")),MATCH(vp.data[[#This Row],[SDate]],weather.tbl[Date],0))</f>
        <v>4.4000000000000004</v>
      </c>
      <c r="T1169" s="2">
        <f ca="1">INDEX(INDIRECT(_xlfn.CONCAT("weather.tbl[",T$1,"]")),MATCH(vp.data[[#This Row],[SDate]],weather.tbl[Date],0))</f>
        <v>6</v>
      </c>
      <c r="U1169" s="2">
        <f ca="1">INDEX(INDIRECT(_xlfn.CONCAT("weather.tbl[",U$1,"]")),MATCH(vp.data[[#This Row],[SDate]],weather.tbl[Date],0))</f>
        <v>4.8</v>
      </c>
      <c r="V1169" s="2">
        <f t="array" ref="V11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3029.3780000000002</v>
      </c>
      <c r="W1169" t="s">
        <v>48</v>
      </c>
      <c r="X1169">
        <f>IF(OR(vp.data[[#This Row],[Sulf]]="",vp.data[[#This Row],[Dens]]=""),1,0)</f>
        <v>0</v>
      </c>
      <c r="Y1169">
        <f>IF(vp.data[[#This Row],[CrudeType]]="C5+",1,0)</f>
        <v>0</v>
      </c>
      <c r="Z1169">
        <f>IF(AND(vp.data[[#This Row],[CrudeType]]="Crude",vp.data[[#This Row],[Dens]]&lt;=825,vp.data[[#This Row],[Sulf]]&gt;0.5,vp.data[[#This Row],[Unknown]]=0),1,0)</f>
        <v>0</v>
      </c>
      <c r="AA1169">
        <f>IF(AND(vp.data[[#This Row],[CrudeType]]="Crude",vp.data[[#This Row],[Dens]]&lt;=825,vp.data[[#This Row],[Sulf]]&lt;=0.5,vp.data[[#This Row],[Unknown]]=0),1,0)</f>
        <v>0</v>
      </c>
      <c r="AB11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69">
        <f>IF(AND(vp.data[[#This Row],[CrudeType]]="Crude",vp.data[[#This Row],[Dens]]&gt;825,vp.data[[#This Row],[Dens]]&lt;=900,vp.data[[#This Row],[Sulf]]&lt;=0.5,vp.data[[#This Row],[Unknown]]=0),1,0)</f>
        <v>0</v>
      </c>
      <c r="AD1169">
        <f>IF(AND(vp.data[[#This Row],[CrudeType]]="Crude",vp.data[[#This Row],[Dens]]&gt;865,vp.data[[#This Row],[Dens]]&lt;=900,vp.data[[#This Row],[Sulf]]&gt;2,vp.data[[#This Row],[Unknown]]=0),1,0)</f>
        <v>0</v>
      </c>
      <c r="AE1169">
        <f>IF(AND(vp.data[[#This Row],[CrudeType]]="Crude",vp.data[[#This Row],[Dens]]&gt;900,vp.data[[#This Row],[Sulf]]&lt;=0.5,vp.data[[#This Row],[Unknown]]=0),1,0)</f>
        <v>0</v>
      </c>
      <c r="AF1169">
        <f>IF(AND(vp.data[[#This Row],[CrudeType]]="Crude",vp.data[[#This Row],[Dens]]&gt;900,vp.data[[#This Row],[Sulf]]&lt;=0.5,vp.data[[#This Row],[Unknown]]=0),1,0)</f>
        <v>0</v>
      </c>
      <c r="AG1169" t="str">
        <f>INDEX(vp.data[[#Headers],[Unknown]:[Heavy_SW]],MATCH(1,vp.data[[#This Row],[Unknown]:[Heavy_SW]],0))</f>
        <v>Medium_LSB</v>
      </c>
      <c r="AH1169">
        <f>INDEX([3]!crudeBD.lkup[Number],MATCH(vp.data[[#This Row],[Crude_Breakdown]],crudeBD.lkup[Crude Breakdown],0))</f>
        <v>3</v>
      </c>
      <c r="AI1169">
        <f>MONTH(vp.data[[#This Row],[SDate]])</f>
        <v>4</v>
      </c>
      <c r="AJ1169" s="5">
        <f>(vp.data[[#This Row],[VP]]-INDEX(crudeBD.lkup[Mean_VP],MATCH(vp.data[[#This Row],[Crude_Breakdown]],crudeBD.lkup[Crude Breakdown],0)))^2</f>
        <v>208.50425886472567</v>
      </c>
      <c r="AK1169" s="5">
        <f>(vp.data[[#This Row],[Dens]]-INDEX(crudeBD.lkup[Mean_Dens],MATCH(vp.data[[#This Row],[Crude_Breakdown]],crudeBD.lkup[Crude Breakdown],0)))^2</f>
        <v>210.83039999998627</v>
      </c>
      <c r="AL1169" s="5">
        <f>(vp.data[[#This Row],[Sulf]]-INDEX(crudeBD.lkup[Mean_Sulf],MATCH(vp.data[[#This Row],[Crude_Breakdown]],crudeBD.lkup[Crude Breakdown],0)))^2</f>
        <v>0.44676942381806667</v>
      </c>
      <c r="AM1169" s="4">
        <f>IF(AND(vp.data[[#This Row],[SDate]]&gt;=DATE(YEAR(vp.data[[#This Row],[SDate]]),5,1),vp.data[[#This Row],[SDate]]&lt;=DATE(YEAR(vp.data[[#This Row],[SDate]]),9,15)),1,0)</f>
        <v>0</v>
      </c>
      <c r="AN1169" s="4">
        <f>IF(vp.data[[#This Row],[SDate]]&lt;DATE(2016,12,1),0,1)</f>
        <v>1</v>
      </c>
      <c r="AO1169" s="4">
        <f>IFERROR(vp.data[[#This Row],[Sulf]]*vp.data[[#This Row],[Net Dens]],"")</f>
        <v>1801509.9031644</v>
      </c>
      <c r="AP1169">
        <f>IFERROR(vp.data[[#This Row],[Dens]]*vp.data[[#This Row],[VolumeM3]],"")</f>
        <v>2512566.1132</v>
      </c>
      <c r="AQ1169" s="15">
        <f>IFERROR(vp.data[[#This Row],[VP]]*vp.data[[#This Row],[VolumeM3]],"")</f>
        <v>200544.82360000003</v>
      </c>
    </row>
    <row r="1170" spans="1:43" x14ac:dyDescent="0.25">
      <c r="A1170">
        <v>1169</v>
      </c>
      <c r="B1170" t="s">
        <v>96</v>
      </c>
      <c r="C1170" t="s">
        <v>96</v>
      </c>
      <c r="D1170" t="s">
        <v>97</v>
      </c>
      <c r="F1170" s="1">
        <v>42829</v>
      </c>
      <c r="G1170" s="2">
        <v>69.2</v>
      </c>
      <c r="H1170" s="2"/>
      <c r="I1170" s="2">
        <f t="array" ref="I1170">_xlfn.IFNA(IF(vp.data[[#This Row],[Sulf Input]]="",INDEX([1]DATA!$Q$3:$Q$9826,MATCH(1,(vp.data[[#This Row],[Battery]]=[1]DATA!$L$3:$L$9826)*(EOMONTH(vp.data[[#This Row],[SDate]],-1)+1=[1]DATA!$G$3:$G$9826),0)),vp.data[[#This Row],[Sulf Input]]),"")</f>
        <v>0.51</v>
      </c>
      <c r="J1170" s="2">
        <v>37.6</v>
      </c>
      <c r="K1170" s="2">
        <v>6</v>
      </c>
      <c r="L1170" s="2">
        <v>820.7</v>
      </c>
      <c r="M1170" s="2">
        <f t="array" ref="M1170">_xlfn.IFNA(IF(vp.data[[#This Row],[Dens Input]]="",INDEX([1]DATA!$O$3:$O$9826,MATCH(1,(vp.data[[#This Row],[Battery]]=[1]DATA!$L$3:$L$9826)*(EOMONTH(vp.data[[#This Row],[SDate]],-1)+1=[1]DATA!$G$3:$G$9826),0)),vp.data[[#This Row],[Dens Input]]),"")</f>
        <v>820.7</v>
      </c>
      <c r="N1170" s="2">
        <f ca="1">INDEX(INDIRECT(_xlfn.CONCAT("weather.tbl[",N$1,"]")),MATCH(vp.data[[#This Row],[SDate]],weather.tbl[Date],0))</f>
        <v>5.166666666666667</v>
      </c>
      <c r="O1170" s="2">
        <f ca="1">INDEX(INDIRECT(_xlfn.CONCAT("weather.tbl[",O$1,"]")),MATCH(vp.data[[#This Row],[SDate]],weather.tbl[Date],0))</f>
        <v>5.9857142857142858</v>
      </c>
      <c r="P1170" s="2">
        <f ca="1">INDEX(INDIRECT(_xlfn.CONCAT("weather.tbl[",P$1,"]")),MATCH(vp.data[[#This Row],[SDate]],weather.tbl[Date],0))</f>
        <v>5.2</v>
      </c>
      <c r="Q1170" s="2">
        <f ca="1">INDEX(INDIRECT(_xlfn.CONCAT("weather.tbl[",Q$1,"]")),MATCH(vp.data[[#This Row],[SDate]],weather.tbl[Date],0))</f>
        <v>4.0999999999999996</v>
      </c>
      <c r="R1170" s="2">
        <f ca="1">INDEX(INDIRECT(_xlfn.CONCAT("weather.tbl[",R$1,"]")),MATCH(vp.data[[#This Row],[SDate]],weather.tbl[Date],0))</f>
        <v>6.5</v>
      </c>
      <c r="S1170" s="2">
        <f ca="1">INDEX(INDIRECT(_xlfn.CONCAT("weather.tbl[",S$1,"]")),MATCH(vp.data[[#This Row],[SDate]],weather.tbl[Date],0))</f>
        <v>4.4000000000000004</v>
      </c>
      <c r="T1170" s="2">
        <f ca="1">INDEX(INDIRECT(_xlfn.CONCAT("weather.tbl[",T$1,"]")),MATCH(vp.data[[#This Row],[SDate]],weather.tbl[Date],0))</f>
        <v>6</v>
      </c>
      <c r="U1170" s="2">
        <f ca="1">INDEX(INDIRECT(_xlfn.CONCAT("weather.tbl[",U$1,"]")),MATCH(vp.data[[#This Row],[SDate]],weather.tbl[Date],0))</f>
        <v>4.8</v>
      </c>
      <c r="V1170" s="2">
        <f t="array" ref="V11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6210.3829999999998</v>
      </c>
      <c r="W1170" t="s">
        <v>48</v>
      </c>
      <c r="X1170">
        <f>IF(OR(vp.data[[#This Row],[Sulf]]="",vp.data[[#This Row],[Dens]]=""),1,0)</f>
        <v>0</v>
      </c>
      <c r="Y1170">
        <f>IF(vp.data[[#This Row],[CrudeType]]="C5+",1,0)</f>
        <v>0</v>
      </c>
      <c r="Z1170">
        <f>IF(AND(vp.data[[#This Row],[CrudeType]]="Crude",vp.data[[#This Row],[Dens]]&lt;=825,vp.data[[#This Row],[Sulf]]&gt;0.5,vp.data[[#This Row],[Unknown]]=0),1,0)</f>
        <v>1</v>
      </c>
      <c r="AA1170">
        <f>IF(AND(vp.data[[#This Row],[CrudeType]]="Crude",vp.data[[#This Row],[Dens]]&lt;=825,vp.data[[#This Row],[Sulf]]&lt;=0.5,vp.data[[#This Row],[Unknown]]=0),1,0)</f>
        <v>0</v>
      </c>
      <c r="AB11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0">
        <f>IF(AND(vp.data[[#This Row],[CrudeType]]="Crude",vp.data[[#This Row],[Dens]]&gt;825,vp.data[[#This Row],[Dens]]&lt;=900,vp.data[[#This Row],[Sulf]]&lt;=0.5,vp.data[[#This Row],[Unknown]]=0),1,0)</f>
        <v>0</v>
      </c>
      <c r="AD1170">
        <f>IF(AND(vp.data[[#This Row],[CrudeType]]="Crude",vp.data[[#This Row],[Dens]]&gt;865,vp.data[[#This Row],[Dens]]&lt;=900,vp.data[[#This Row],[Sulf]]&gt;2,vp.data[[#This Row],[Unknown]]=0),1,0)</f>
        <v>0</v>
      </c>
      <c r="AE1170">
        <f>IF(AND(vp.data[[#This Row],[CrudeType]]="Crude",vp.data[[#This Row],[Dens]]&gt;900,vp.data[[#This Row],[Sulf]]&lt;=0.5,vp.data[[#This Row],[Unknown]]=0),1,0)</f>
        <v>0</v>
      </c>
      <c r="AF1170">
        <f>IF(AND(vp.data[[#This Row],[CrudeType]]="Crude",vp.data[[#This Row],[Dens]]&gt;900,vp.data[[#This Row],[Sulf]]&lt;=0.5,vp.data[[#This Row],[Unknown]]=0),1,0)</f>
        <v>0</v>
      </c>
      <c r="AG1170" t="str">
        <f>INDEX(vp.data[[#Headers],[Unknown]:[Heavy_SW]],MATCH(1,vp.data[[#This Row],[Unknown]:[Heavy_SW]],0))</f>
        <v>Light_LSB</v>
      </c>
      <c r="AH1170">
        <f>INDEX([3]!crudeBD.lkup[Number],MATCH(vp.data[[#This Row],[Crude_Breakdown]],crudeBD.lkup[Crude Breakdown],0))</f>
        <v>1</v>
      </c>
      <c r="AI1170">
        <f>MONTH(vp.data[[#This Row],[SDate]])</f>
        <v>4</v>
      </c>
      <c r="AJ1170" s="5">
        <f>(vp.data[[#This Row],[VP]]-INDEX(crudeBD.lkup[Mean_VP],MATCH(vp.data[[#This Row],[Crude_Breakdown]],crudeBD.lkup[Crude Breakdown],0)))^2</f>
        <v>499.35200939526112</v>
      </c>
      <c r="AK1170" s="5">
        <f>(vp.data[[#This Row],[Dens]]-INDEX(crudeBD.lkup[Mean_Dens],MATCH(vp.data[[#This Row],[Crude_Breakdown]],crudeBD.lkup[Crude Breakdown],0)))^2</f>
        <v>4.7664942832528308</v>
      </c>
      <c r="AL1170" s="5">
        <f>(vp.data[[#This Row],[Sulf]]-INDEX(crudeBD.lkup[Mean_Sulf],MATCH(vp.data[[#This Row],[Crude_Breakdown]],crudeBD.lkup[Crude Breakdown],0)))^2</f>
        <v>0.17054518591717246</v>
      </c>
      <c r="AM1170" s="4">
        <f>IF(AND(vp.data[[#This Row],[SDate]]&gt;=DATE(YEAR(vp.data[[#This Row],[SDate]]),5,1),vp.data[[#This Row],[SDate]]&lt;=DATE(YEAR(vp.data[[#This Row],[SDate]]),9,15)),1,0)</f>
        <v>0</v>
      </c>
      <c r="AN1170" s="4">
        <f>IF(vp.data[[#This Row],[SDate]]&lt;DATE(2016,12,1),0,1)</f>
        <v>1</v>
      </c>
      <c r="AO1170" s="4">
        <f>IFERROR(vp.data[[#This Row],[Sulf]]*vp.data[[#This Row],[Net Dens]],"")</f>
        <v>2599399.2773310002</v>
      </c>
      <c r="AP1170">
        <f>IFERROR(vp.data[[#This Row],[Dens]]*vp.data[[#This Row],[VolumeM3]],"")</f>
        <v>5096861.3281000005</v>
      </c>
      <c r="AQ1170" s="15">
        <f>IFERROR(vp.data[[#This Row],[VP]]*vp.data[[#This Row],[VolumeM3]],"")</f>
        <v>429758.5036</v>
      </c>
    </row>
    <row r="1171" spans="1:43" x14ac:dyDescent="0.25">
      <c r="A1171">
        <v>1170</v>
      </c>
      <c r="B1171" t="s">
        <v>51</v>
      </c>
      <c r="C1171" t="s">
        <v>51</v>
      </c>
      <c r="D1171" t="s">
        <v>66</v>
      </c>
      <c r="F1171" s="1">
        <v>42829</v>
      </c>
      <c r="G1171" s="2">
        <v>86.2</v>
      </c>
      <c r="H1171" s="2"/>
      <c r="I1171" s="2">
        <f t="array" ref="I1171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171" s="2">
        <v>9.1</v>
      </c>
      <c r="K1171" s="2">
        <v>6</v>
      </c>
      <c r="L1171" s="2">
        <v>825.7</v>
      </c>
      <c r="M1171" s="2">
        <f t="array" ref="M1171">_xlfn.IFNA(IF(vp.data[[#This Row],[Dens Input]]="",INDEX([1]DATA!$O$3:$O$9826,MATCH(1,(vp.data[[#This Row],[Battery]]=[1]DATA!$L$3:$L$9826)*(EOMONTH(vp.data[[#This Row],[SDate]],-1)+1=[1]DATA!$G$3:$G$9826),0)),vp.data[[#This Row],[Dens Input]]),"")</f>
        <v>825.7</v>
      </c>
      <c r="N1171" s="2">
        <f ca="1">INDEX(INDIRECT(_xlfn.CONCAT("weather.tbl[",N$1,"]")),MATCH(vp.data[[#This Row],[SDate]],weather.tbl[Date],0))</f>
        <v>5.166666666666667</v>
      </c>
      <c r="O1171" s="2">
        <f ca="1">INDEX(INDIRECT(_xlfn.CONCAT("weather.tbl[",O$1,"]")),MATCH(vp.data[[#This Row],[SDate]],weather.tbl[Date],0))</f>
        <v>5.9857142857142858</v>
      </c>
      <c r="P1171" s="2">
        <f ca="1">INDEX(INDIRECT(_xlfn.CONCAT("weather.tbl[",P$1,"]")),MATCH(vp.data[[#This Row],[SDate]],weather.tbl[Date],0))</f>
        <v>5.2</v>
      </c>
      <c r="Q1171" s="2">
        <f ca="1">INDEX(INDIRECT(_xlfn.CONCAT("weather.tbl[",Q$1,"]")),MATCH(vp.data[[#This Row],[SDate]],weather.tbl[Date],0))</f>
        <v>4.0999999999999996</v>
      </c>
      <c r="R1171" s="2">
        <f ca="1">INDEX(INDIRECT(_xlfn.CONCAT("weather.tbl[",R$1,"]")),MATCH(vp.data[[#This Row],[SDate]],weather.tbl[Date],0))</f>
        <v>6.5</v>
      </c>
      <c r="S1171" s="2">
        <f ca="1">INDEX(INDIRECT(_xlfn.CONCAT("weather.tbl[",S$1,"]")),MATCH(vp.data[[#This Row],[SDate]],weather.tbl[Date],0))</f>
        <v>4.4000000000000004</v>
      </c>
      <c r="T1171" s="2">
        <f ca="1">INDEX(INDIRECT(_xlfn.CONCAT("weather.tbl[",T$1,"]")),MATCH(vp.data[[#This Row],[SDate]],weather.tbl[Date],0))</f>
        <v>6</v>
      </c>
      <c r="U1171" s="2">
        <f ca="1">INDEX(INDIRECT(_xlfn.CONCAT("weather.tbl[",U$1,"]")),MATCH(vp.data[[#This Row],[SDate]],weather.tbl[Date],0))</f>
        <v>4.8</v>
      </c>
      <c r="V1171" s="2">
        <f t="array" ref="V11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3352.8609999999999</v>
      </c>
      <c r="W1171" t="s">
        <v>48</v>
      </c>
      <c r="X1171">
        <f>IF(OR(vp.data[[#This Row],[Sulf]]="",vp.data[[#This Row],[Dens]]=""),1,0)</f>
        <v>0</v>
      </c>
      <c r="Y1171">
        <f>IF(vp.data[[#This Row],[CrudeType]]="C5+",1,0)</f>
        <v>0</v>
      </c>
      <c r="Z1171">
        <f>IF(AND(vp.data[[#This Row],[CrudeType]]="Crude",vp.data[[#This Row],[Dens]]&lt;=825,vp.data[[#This Row],[Sulf]]&gt;0.5,vp.data[[#This Row],[Unknown]]=0),1,0)</f>
        <v>0</v>
      </c>
      <c r="AA1171">
        <f>IF(AND(vp.data[[#This Row],[CrudeType]]="Crude",vp.data[[#This Row],[Dens]]&lt;=825,vp.data[[#This Row],[Sulf]]&lt;=0.5,vp.data[[#This Row],[Unknown]]=0),1,0)</f>
        <v>0</v>
      </c>
      <c r="AB11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71">
        <f>IF(AND(vp.data[[#This Row],[CrudeType]]="Crude",vp.data[[#This Row],[Dens]]&gt;825,vp.data[[#This Row],[Dens]]&lt;=900,vp.data[[#This Row],[Sulf]]&lt;=0.5,vp.data[[#This Row],[Unknown]]=0),1,0)</f>
        <v>0</v>
      </c>
      <c r="AD1171">
        <f>IF(AND(vp.data[[#This Row],[CrudeType]]="Crude",vp.data[[#This Row],[Dens]]&gt;865,vp.data[[#This Row],[Dens]]&lt;=900,vp.data[[#This Row],[Sulf]]&gt;2,vp.data[[#This Row],[Unknown]]=0),1,0)</f>
        <v>0</v>
      </c>
      <c r="AE1171">
        <f>IF(AND(vp.data[[#This Row],[CrudeType]]="Crude",vp.data[[#This Row],[Dens]]&gt;900,vp.data[[#This Row],[Sulf]]&lt;=0.5,vp.data[[#This Row],[Unknown]]=0),1,0)</f>
        <v>0</v>
      </c>
      <c r="AF1171">
        <f>IF(AND(vp.data[[#This Row],[CrudeType]]="Crude",vp.data[[#This Row],[Dens]]&gt;900,vp.data[[#This Row],[Sulf]]&lt;=0.5,vp.data[[#This Row],[Unknown]]=0),1,0)</f>
        <v>0</v>
      </c>
      <c r="AG1171" t="str">
        <f>INDEX(vp.data[[#Headers],[Unknown]:[Heavy_SW]],MATCH(1,vp.data[[#This Row],[Unknown]:[Heavy_SW]],0))</f>
        <v>Medium_LSB</v>
      </c>
      <c r="AH1171">
        <f>INDEX([3]!crudeBD.lkup[Number],MATCH(vp.data[[#This Row],[Crude_Breakdown]],crudeBD.lkup[Crude Breakdown],0))</f>
        <v>3</v>
      </c>
      <c r="AI1171">
        <f>MONTH(vp.data[[#This Row],[SDate]])</f>
        <v>4</v>
      </c>
      <c r="AJ1171" s="5">
        <f>(vp.data[[#This Row],[VP]]-INDEX(crudeBD.lkup[Mean_VP],MATCH(vp.data[[#This Row],[Crude_Breakdown]],crudeBD.lkup[Crude Breakdown],0)))^2</f>
        <v>30.917196870119469</v>
      </c>
      <c r="AK1171" s="5">
        <f>(vp.data[[#This Row],[Dens]]-INDEX(crudeBD.lkup[Mean_Dens],MATCH(vp.data[[#This Row],[Crude_Breakdown]],crudeBD.lkup[Crude Breakdown],0)))^2</f>
        <v>331.96839999998031</v>
      </c>
      <c r="AL1171" s="5">
        <f>(vp.data[[#This Row],[Sulf]]-INDEX(crudeBD.lkup[Mean_Sulf],MATCH(vp.data[[#This Row],[Crude_Breakdown]],crudeBD.lkup[Crude Breakdown],0)))^2</f>
        <v>1.8114972362538555E-2</v>
      </c>
      <c r="AM1171" s="4">
        <f>IF(AND(vp.data[[#This Row],[SDate]]&gt;=DATE(YEAR(vp.data[[#This Row],[SDate]]),5,1),vp.data[[#This Row],[SDate]]&lt;=DATE(YEAR(vp.data[[#This Row],[SDate]]),9,15)),1,0)</f>
        <v>0</v>
      </c>
      <c r="AN1171" s="4">
        <f>IF(vp.data[[#This Row],[SDate]]&lt;DATE(2016,12,1),0,1)</f>
        <v>1</v>
      </c>
      <c r="AO1171" s="4">
        <f>IFERROR(vp.data[[#This Row],[Sulf]]*vp.data[[#This Row],[Net Dens]],"")</f>
        <v>4208055.1381040001</v>
      </c>
      <c r="AP1171">
        <f>IFERROR(vp.data[[#This Row],[Dens]]*vp.data[[#This Row],[VolumeM3]],"")</f>
        <v>2768457.3277000003</v>
      </c>
      <c r="AQ1171" s="15">
        <f>IFERROR(vp.data[[#This Row],[VP]]*vp.data[[#This Row],[VolumeM3]],"")</f>
        <v>289016.61820000003</v>
      </c>
    </row>
    <row r="1172" spans="1:43" x14ac:dyDescent="0.25">
      <c r="A1172">
        <v>1171</v>
      </c>
      <c r="B1172" t="s">
        <v>51</v>
      </c>
      <c r="C1172" t="s">
        <v>51</v>
      </c>
      <c r="D1172" t="s">
        <v>72</v>
      </c>
      <c r="F1172" s="1">
        <v>42829</v>
      </c>
      <c r="G1172" s="2">
        <v>87.3</v>
      </c>
      <c r="H1172" s="2"/>
      <c r="I1172" s="2">
        <f t="array" ref="I1172">_xlfn.IFNA(IF(vp.data[[#This Row],[Sulf Input]]="",INDEX([1]DATA!$Q$3:$Q$9826,MATCH(1,(vp.data[[#This Row],[Battery]]=[1]DATA!$L$3:$L$9826)*(EOMONTH(vp.data[[#This Row],[SDate]],-1)+1=[1]DATA!$G$3:$G$9826),0)),vp.data[[#This Row],[Sulf Input]]),"")</f>
        <v>1.04</v>
      </c>
      <c r="J1172" s="2">
        <v>31.9</v>
      </c>
      <c r="K1172" s="2">
        <v>6</v>
      </c>
      <c r="L1172" s="2">
        <v>829.6</v>
      </c>
      <c r="M1172" s="2">
        <f t="array" ref="M1172">_xlfn.IFNA(IF(vp.data[[#This Row],[Dens Input]]="",INDEX([1]DATA!$O$3:$O$9826,MATCH(1,(vp.data[[#This Row],[Battery]]=[1]DATA!$L$3:$L$9826)*(EOMONTH(vp.data[[#This Row],[SDate]],-1)+1=[1]DATA!$G$3:$G$9826),0)),vp.data[[#This Row],[Dens Input]]),"")</f>
        <v>829.6</v>
      </c>
      <c r="N1172" s="2">
        <f ca="1">INDEX(INDIRECT(_xlfn.CONCAT("weather.tbl[",N$1,"]")),MATCH(vp.data[[#This Row],[SDate]],weather.tbl[Date],0))</f>
        <v>5.166666666666667</v>
      </c>
      <c r="O1172" s="2">
        <f ca="1">INDEX(INDIRECT(_xlfn.CONCAT("weather.tbl[",O$1,"]")),MATCH(vp.data[[#This Row],[SDate]],weather.tbl[Date],0))</f>
        <v>5.9857142857142858</v>
      </c>
      <c r="P1172" s="2">
        <f ca="1">INDEX(INDIRECT(_xlfn.CONCAT("weather.tbl[",P$1,"]")),MATCH(vp.data[[#This Row],[SDate]],weather.tbl[Date],0))</f>
        <v>5.2</v>
      </c>
      <c r="Q1172" s="2">
        <f ca="1">INDEX(INDIRECT(_xlfn.CONCAT("weather.tbl[",Q$1,"]")),MATCH(vp.data[[#This Row],[SDate]],weather.tbl[Date],0))</f>
        <v>4.0999999999999996</v>
      </c>
      <c r="R1172" s="2">
        <f ca="1">INDEX(INDIRECT(_xlfn.CONCAT("weather.tbl[",R$1,"]")),MATCH(vp.data[[#This Row],[SDate]],weather.tbl[Date],0))</f>
        <v>6.5</v>
      </c>
      <c r="S1172" s="2">
        <f ca="1">INDEX(INDIRECT(_xlfn.CONCAT("weather.tbl[",S$1,"]")),MATCH(vp.data[[#This Row],[SDate]],weather.tbl[Date],0))</f>
        <v>4.4000000000000004</v>
      </c>
      <c r="T1172" s="2">
        <f ca="1">INDEX(INDIRECT(_xlfn.CONCAT("weather.tbl[",T$1,"]")),MATCH(vp.data[[#This Row],[SDate]],weather.tbl[Date],0))</f>
        <v>6</v>
      </c>
      <c r="U1172" s="2">
        <f ca="1">INDEX(INDIRECT(_xlfn.CONCAT("weather.tbl[",U$1,"]")),MATCH(vp.data[[#This Row],[SDate]],weather.tbl[Date],0))</f>
        <v>4.8</v>
      </c>
      <c r="V1172" s="2">
        <f t="array" ref="V11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12874.832</v>
      </c>
      <c r="W1172" t="s">
        <v>48</v>
      </c>
      <c r="X1172">
        <f>IF(OR(vp.data[[#This Row],[Sulf]]="",vp.data[[#This Row],[Dens]]=""),1,0)</f>
        <v>0</v>
      </c>
      <c r="Y1172">
        <f>IF(vp.data[[#This Row],[CrudeType]]="C5+",1,0)</f>
        <v>0</v>
      </c>
      <c r="Z1172">
        <f>IF(AND(vp.data[[#This Row],[CrudeType]]="Crude",vp.data[[#This Row],[Dens]]&lt;=825,vp.data[[#This Row],[Sulf]]&gt;0.5,vp.data[[#This Row],[Unknown]]=0),1,0)</f>
        <v>0</v>
      </c>
      <c r="AA1172">
        <f>IF(AND(vp.data[[#This Row],[CrudeType]]="Crude",vp.data[[#This Row],[Dens]]&lt;=825,vp.data[[#This Row],[Sulf]]&lt;=0.5,vp.data[[#This Row],[Unknown]]=0),1,0)</f>
        <v>0</v>
      </c>
      <c r="AB11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72">
        <f>IF(AND(vp.data[[#This Row],[CrudeType]]="Crude",vp.data[[#This Row],[Dens]]&gt;825,vp.data[[#This Row],[Dens]]&lt;=900,vp.data[[#This Row],[Sulf]]&lt;=0.5,vp.data[[#This Row],[Unknown]]=0),1,0)</f>
        <v>0</v>
      </c>
      <c r="AD1172">
        <f>IF(AND(vp.data[[#This Row],[CrudeType]]="Crude",vp.data[[#This Row],[Dens]]&gt;865,vp.data[[#This Row],[Dens]]&lt;=900,vp.data[[#This Row],[Sulf]]&gt;2,vp.data[[#This Row],[Unknown]]=0),1,0)</f>
        <v>0</v>
      </c>
      <c r="AE1172">
        <f>IF(AND(vp.data[[#This Row],[CrudeType]]="Crude",vp.data[[#This Row],[Dens]]&gt;900,vp.data[[#This Row],[Sulf]]&lt;=0.5,vp.data[[#This Row],[Unknown]]=0),1,0)</f>
        <v>0</v>
      </c>
      <c r="AF1172">
        <f>IF(AND(vp.data[[#This Row],[CrudeType]]="Crude",vp.data[[#This Row],[Dens]]&gt;900,vp.data[[#This Row],[Sulf]]&lt;=0.5,vp.data[[#This Row],[Unknown]]=0),1,0)</f>
        <v>0</v>
      </c>
      <c r="AG1172" t="str">
        <f>INDEX(vp.data[[#Headers],[Unknown]:[Heavy_SW]],MATCH(1,vp.data[[#This Row],[Unknown]:[Heavy_SW]],0))</f>
        <v>Medium_LSB</v>
      </c>
      <c r="AH1172">
        <f>INDEX([3]!crudeBD.lkup[Number],MATCH(vp.data[[#This Row],[Crude_Breakdown]],crudeBD.lkup[Crude Breakdown],0))</f>
        <v>3</v>
      </c>
      <c r="AI1172">
        <f>MONTH(vp.data[[#This Row],[SDate]])</f>
        <v>4</v>
      </c>
      <c r="AJ1172" s="5">
        <f>(vp.data[[#This Row],[VP]]-INDEX(crudeBD.lkup[Mean_VP],MATCH(vp.data[[#This Row],[Crude_Breakdown]],crudeBD.lkup[Crude Breakdown],0)))^2</f>
        <v>44.359908460416051</v>
      </c>
      <c r="AK1172" s="5">
        <f>(vp.data[[#This Row],[Dens]]-INDEX(crudeBD.lkup[Mean_Dens],MATCH(vp.data[[#This Row],[Crude_Breakdown]],crudeBD.lkup[Crude Breakdown],0)))^2</f>
        <v>205.06239999998516</v>
      </c>
      <c r="AL1172" s="5">
        <f>(vp.data[[#This Row],[Sulf]]-INDEX(crudeBD.lkup[Mean_Sulf],MATCH(vp.data[[#This Row],[Crude_Breakdown]],crudeBD.lkup[Crude Breakdown],0)))^2</f>
        <v>0.11930677397979066</v>
      </c>
      <c r="AM1172" s="4">
        <f>IF(AND(vp.data[[#This Row],[SDate]]&gt;=DATE(YEAR(vp.data[[#This Row],[SDate]]),5,1),vp.data[[#This Row],[SDate]]&lt;=DATE(YEAR(vp.data[[#This Row],[SDate]]),9,15)),1,0)</f>
        <v>0</v>
      </c>
      <c r="AN1172" s="4">
        <f>IF(vp.data[[#This Row],[SDate]]&lt;DATE(2016,12,1),0,1)</f>
        <v>1</v>
      </c>
      <c r="AO1172" s="4">
        <f>IFERROR(vp.data[[#This Row],[Sulf]]*vp.data[[#This Row],[Net Dens]],"")</f>
        <v>11108199.052288</v>
      </c>
      <c r="AP1172">
        <f>IFERROR(vp.data[[#This Row],[Dens]]*vp.data[[#This Row],[VolumeM3]],"")</f>
        <v>10680960.6272</v>
      </c>
      <c r="AQ1172" s="15">
        <f>IFERROR(vp.data[[#This Row],[VP]]*vp.data[[#This Row],[VolumeM3]],"")</f>
        <v>1123972.8336</v>
      </c>
    </row>
    <row r="1173" spans="1:43" x14ac:dyDescent="0.25">
      <c r="A1173">
        <v>1172</v>
      </c>
      <c r="B1173" t="s">
        <v>108</v>
      </c>
      <c r="C1173" t="s">
        <v>108</v>
      </c>
      <c r="D1173" t="s">
        <v>109</v>
      </c>
      <c r="F1173" s="1">
        <v>42829</v>
      </c>
      <c r="G1173" s="2">
        <v>85.1</v>
      </c>
      <c r="H1173" s="2"/>
      <c r="I1173" s="2">
        <f t="array" ref="I1173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173" s="2">
        <v>27.2</v>
      </c>
      <c r="K1173" s="2">
        <v>6</v>
      </c>
      <c r="L1173" s="2">
        <v>834.7</v>
      </c>
      <c r="M1173" s="2">
        <f t="array" ref="M1173">_xlfn.IFNA(IF(vp.data[[#This Row],[Dens Input]]="",INDEX([1]DATA!$O$3:$O$9826,MATCH(1,(vp.data[[#This Row],[Battery]]=[1]DATA!$L$3:$L$9826)*(EOMONTH(vp.data[[#This Row],[SDate]],-1)+1=[1]DATA!$G$3:$G$9826),0)),vp.data[[#This Row],[Dens Input]]),"")</f>
        <v>834.7</v>
      </c>
      <c r="N1173" s="2">
        <f ca="1">INDEX(INDIRECT(_xlfn.CONCAT("weather.tbl[",N$1,"]")),MATCH(vp.data[[#This Row],[SDate]],weather.tbl[Date],0))</f>
        <v>5.166666666666667</v>
      </c>
      <c r="O1173" s="2">
        <f ca="1">INDEX(INDIRECT(_xlfn.CONCAT("weather.tbl[",O$1,"]")),MATCH(vp.data[[#This Row],[SDate]],weather.tbl[Date],0))</f>
        <v>5.9857142857142858</v>
      </c>
      <c r="P1173" s="2">
        <f ca="1">INDEX(INDIRECT(_xlfn.CONCAT("weather.tbl[",P$1,"]")),MATCH(vp.data[[#This Row],[SDate]],weather.tbl[Date],0))</f>
        <v>5.2</v>
      </c>
      <c r="Q1173" s="2">
        <f ca="1">INDEX(INDIRECT(_xlfn.CONCAT("weather.tbl[",Q$1,"]")),MATCH(vp.data[[#This Row],[SDate]],weather.tbl[Date],0))</f>
        <v>4.0999999999999996</v>
      </c>
      <c r="R1173" s="2">
        <f ca="1">INDEX(INDIRECT(_xlfn.CONCAT("weather.tbl[",R$1,"]")),MATCH(vp.data[[#This Row],[SDate]],weather.tbl[Date],0))</f>
        <v>6.5</v>
      </c>
      <c r="S1173" s="2">
        <f ca="1">INDEX(INDIRECT(_xlfn.CONCAT("weather.tbl[",S$1,"]")),MATCH(vp.data[[#This Row],[SDate]],weather.tbl[Date],0))</f>
        <v>4.4000000000000004</v>
      </c>
      <c r="T1173" s="2">
        <f ca="1">INDEX(INDIRECT(_xlfn.CONCAT("weather.tbl[",T$1,"]")),MATCH(vp.data[[#This Row],[SDate]],weather.tbl[Date],0))</f>
        <v>6</v>
      </c>
      <c r="U1173" s="2">
        <f ca="1">INDEX(INDIRECT(_xlfn.CONCAT("weather.tbl[",U$1,"]")),MATCH(vp.data[[#This Row],[SDate]],weather.tbl[Date],0))</f>
        <v>4.8</v>
      </c>
      <c r="V1173" s="2">
        <f t="array" ref="V11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12560.075999999999</v>
      </c>
      <c r="W1173" t="s">
        <v>48</v>
      </c>
      <c r="X1173">
        <f>IF(OR(vp.data[[#This Row],[Sulf]]="",vp.data[[#This Row],[Dens]]=""),1,0)</f>
        <v>0</v>
      </c>
      <c r="Y1173">
        <f>IF(vp.data[[#This Row],[CrudeType]]="C5+",1,0)</f>
        <v>0</v>
      </c>
      <c r="Z1173">
        <f>IF(AND(vp.data[[#This Row],[CrudeType]]="Crude",vp.data[[#This Row],[Dens]]&lt;=825,vp.data[[#This Row],[Sulf]]&gt;0.5,vp.data[[#This Row],[Unknown]]=0),1,0)</f>
        <v>0</v>
      </c>
      <c r="AA1173">
        <f>IF(AND(vp.data[[#This Row],[CrudeType]]="Crude",vp.data[[#This Row],[Dens]]&lt;=825,vp.data[[#This Row],[Sulf]]&lt;=0.5,vp.data[[#This Row],[Unknown]]=0),1,0)</f>
        <v>0</v>
      </c>
      <c r="AB11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73">
        <f>IF(AND(vp.data[[#This Row],[CrudeType]]="Crude",vp.data[[#This Row],[Dens]]&gt;825,vp.data[[#This Row],[Dens]]&lt;=900,vp.data[[#This Row],[Sulf]]&lt;=0.5,vp.data[[#This Row],[Unknown]]=0),1,0)</f>
        <v>0</v>
      </c>
      <c r="AD1173">
        <f>IF(AND(vp.data[[#This Row],[CrudeType]]="Crude",vp.data[[#This Row],[Dens]]&gt;865,vp.data[[#This Row],[Dens]]&lt;=900,vp.data[[#This Row],[Sulf]]&gt;2,vp.data[[#This Row],[Unknown]]=0),1,0)</f>
        <v>0</v>
      </c>
      <c r="AE1173">
        <f>IF(AND(vp.data[[#This Row],[CrudeType]]="Crude",vp.data[[#This Row],[Dens]]&gt;900,vp.data[[#This Row],[Sulf]]&lt;=0.5,vp.data[[#This Row],[Unknown]]=0),1,0)</f>
        <v>0</v>
      </c>
      <c r="AF1173">
        <f>IF(AND(vp.data[[#This Row],[CrudeType]]="Crude",vp.data[[#This Row],[Dens]]&gt;900,vp.data[[#This Row],[Sulf]]&lt;=0.5,vp.data[[#This Row],[Unknown]]=0),1,0)</f>
        <v>0</v>
      </c>
      <c r="AG1173" t="str">
        <f>INDEX(vp.data[[#Headers],[Unknown]:[Heavy_SW]],MATCH(1,vp.data[[#This Row],[Unknown]:[Heavy_SW]],0))</f>
        <v>Medium_LSB</v>
      </c>
      <c r="AH1173">
        <f>INDEX([3]!crudeBD.lkup[Number],MATCH(vp.data[[#This Row],[Crude_Breakdown]],crudeBD.lkup[Crude Breakdown],0))</f>
        <v>3</v>
      </c>
      <c r="AI1173">
        <f>MONTH(vp.data[[#This Row],[SDate]])</f>
        <v>4</v>
      </c>
      <c r="AJ1173" s="5">
        <f>(vp.data[[#This Row],[VP]]-INDEX(crudeBD.lkup[Mean_VP],MATCH(vp.data[[#This Row],[Crude_Breakdown]],crudeBD.lkup[Crude Breakdown],0)))^2</f>
        <v>19.894485279822735</v>
      </c>
      <c r="AK1173" s="5">
        <f>(vp.data[[#This Row],[Dens]]-INDEX(crudeBD.lkup[Mean_Dens],MATCH(vp.data[[#This Row],[Crude_Breakdown]],crudeBD.lkup[Crude Breakdown],0)))^2</f>
        <v>85.008399999990019</v>
      </c>
      <c r="AL1173" s="5">
        <f>(vp.data[[#This Row],[Sulf]]-INDEX(crudeBD.lkup[Mean_Sulf],MATCH(vp.data[[#This Row],[Crude_Breakdown]],crudeBD.lkup[Crude Breakdown],0)))^2</f>
        <v>0.39113532492318775</v>
      </c>
      <c r="AM1173" s="4">
        <f>IF(AND(vp.data[[#This Row],[SDate]]&gt;=DATE(YEAR(vp.data[[#This Row],[SDate]]),5,1),vp.data[[#This Row],[SDate]]&lt;=DATE(YEAR(vp.data[[#This Row],[SDate]]),9,15)),1,0)</f>
        <v>0</v>
      </c>
      <c r="AN1173" s="4">
        <f>IF(vp.data[[#This Row],[SDate]]&lt;DATE(2016,12,1),0,1)</f>
        <v>1</v>
      </c>
      <c r="AO1173" s="4">
        <f>IFERROR(vp.data[[#This Row],[Sulf]]*vp.data[[#This Row],[Net Dens]],"")</f>
        <v>7967760.5322720008</v>
      </c>
      <c r="AP1173">
        <f>IFERROR(vp.data[[#This Row],[Dens]]*vp.data[[#This Row],[VolumeM3]],"")</f>
        <v>10483895.437200001</v>
      </c>
      <c r="AQ1173" s="15">
        <f>IFERROR(vp.data[[#This Row],[VP]]*vp.data[[#This Row],[VolumeM3]],"")</f>
        <v>1068862.4675999999</v>
      </c>
    </row>
    <row r="1174" spans="1:43" x14ac:dyDescent="0.25">
      <c r="A1174">
        <v>1173</v>
      </c>
      <c r="B1174" t="s">
        <v>68</v>
      </c>
      <c r="C1174" t="s">
        <v>68</v>
      </c>
      <c r="D1174" t="s">
        <v>98</v>
      </c>
      <c r="F1174" s="1">
        <v>42829</v>
      </c>
      <c r="G1174" s="2">
        <v>58.3</v>
      </c>
      <c r="H1174" s="2"/>
      <c r="I1174" s="2">
        <f t="array" ref="I1174">_xlfn.IFNA(IF(vp.data[[#This Row],[Sulf Input]]="",INDEX([1]DATA!$Q$3:$Q$9826,MATCH(1,(vp.data[[#This Row],[Battery]]=[1]DATA!$L$3:$L$9826)*(EOMONTH(vp.data[[#This Row],[SDate]],-1)+1=[1]DATA!$G$3:$G$9826),0)),vp.data[[#This Row],[Sulf Input]]),"")</f>
        <v>1.35</v>
      </c>
      <c r="J1174" s="2">
        <v>36.6</v>
      </c>
      <c r="K1174" s="2">
        <v>6</v>
      </c>
      <c r="L1174" s="2">
        <v>851.7</v>
      </c>
      <c r="M1174" s="2">
        <f t="array" ref="M1174">_xlfn.IFNA(IF(vp.data[[#This Row],[Dens Input]]="",INDEX([1]DATA!$O$3:$O$9826,MATCH(1,(vp.data[[#This Row],[Battery]]=[1]DATA!$L$3:$L$9826)*(EOMONTH(vp.data[[#This Row],[SDate]],-1)+1=[1]DATA!$G$3:$G$9826),0)),vp.data[[#This Row],[Dens Input]]),"")</f>
        <v>851.7</v>
      </c>
      <c r="N1174" s="2">
        <f ca="1">INDEX(INDIRECT(_xlfn.CONCAT("weather.tbl[",N$1,"]")),MATCH(vp.data[[#This Row],[SDate]],weather.tbl[Date],0))</f>
        <v>5.166666666666667</v>
      </c>
      <c r="O1174" s="2">
        <f ca="1">INDEX(INDIRECT(_xlfn.CONCAT("weather.tbl[",O$1,"]")),MATCH(vp.data[[#This Row],[SDate]],weather.tbl[Date],0))</f>
        <v>5.9857142857142858</v>
      </c>
      <c r="P1174" s="2">
        <f ca="1">INDEX(INDIRECT(_xlfn.CONCAT("weather.tbl[",P$1,"]")),MATCH(vp.data[[#This Row],[SDate]],weather.tbl[Date],0))</f>
        <v>5.2</v>
      </c>
      <c r="Q1174" s="2">
        <f ca="1">INDEX(INDIRECT(_xlfn.CONCAT("weather.tbl[",Q$1,"]")),MATCH(vp.data[[#This Row],[SDate]],weather.tbl[Date],0))</f>
        <v>4.0999999999999996</v>
      </c>
      <c r="R1174" s="2">
        <f ca="1">INDEX(INDIRECT(_xlfn.CONCAT("weather.tbl[",R$1,"]")),MATCH(vp.data[[#This Row],[SDate]],weather.tbl[Date],0))</f>
        <v>6.5</v>
      </c>
      <c r="S1174" s="2">
        <f ca="1">INDEX(INDIRECT(_xlfn.CONCAT("weather.tbl[",S$1,"]")),MATCH(vp.data[[#This Row],[SDate]],weather.tbl[Date],0))</f>
        <v>4.4000000000000004</v>
      </c>
      <c r="T1174" s="2">
        <f ca="1">INDEX(INDIRECT(_xlfn.CONCAT("weather.tbl[",T$1,"]")),MATCH(vp.data[[#This Row],[SDate]],weather.tbl[Date],0))</f>
        <v>6</v>
      </c>
      <c r="U1174" s="2">
        <f ca="1">INDEX(INDIRECT(_xlfn.CONCAT("weather.tbl[",U$1,"]")),MATCH(vp.data[[#This Row],[SDate]],weather.tbl[Date],0))</f>
        <v>4.8</v>
      </c>
      <c r="V1174" s="2">
        <f t="array" ref="V11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4664.6729999999998</v>
      </c>
      <c r="W1174" t="s">
        <v>48</v>
      </c>
      <c r="X1174">
        <f>IF(OR(vp.data[[#This Row],[Sulf]]="",vp.data[[#This Row],[Dens]]=""),1,0)</f>
        <v>0</v>
      </c>
      <c r="Y1174">
        <f>IF(vp.data[[#This Row],[CrudeType]]="C5+",1,0)</f>
        <v>0</v>
      </c>
      <c r="Z1174">
        <f>IF(AND(vp.data[[#This Row],[CrudeType]]="Crude",vp.data[[#This Row],[Dens]]&lt;=825,vp.data[[#This Row],[Sulf]]&gt;0.5,vp.data[[#This Row],[Unknown]]=0),1,0)</f>
        <v>0</v>
      </c>
      <c r="AA1174">
        <f>IF(AND(vp.data[[#This Row],[CrudeType]]="Crude",vp.data[[#This Row],[Dens]]&lt;=825,vp.data[[#This Row],[Sulf]]&lt;=0.5,vp.data[[#This Row],[Unknown]]=0),1,0)</f>
        <v>0</v>
      </c>
      <c r="AB11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74">
        <f>IF(AND(vp.data[[#This Row],[CrudeType]]="Crude",vp.data[[#This Row],[Dens]]&gt;825,vp.data[[#This Row],[Dens]]&lt;=900,vp.data[[#This Row],[Sulf]]&lt;=0.5,vp.data[[#This Row],[Unknown]]=0),1,0)</f>
        <v>0</v>
      </c>
      <c r="AD1174">
        <f>IF(AND(vp.data[[#This Row],[CrudeType]]="Crude",vp.data[[#This Row],[Dens]]&gt;865,vp.data[[#This Row],[Dens]]&lt;=900,vp.data[[#This Row],[Sulf]]&gt;2,vp.data[[#This Row],[Unknown]]=0),1,0)</f>
        <v>0</v>
      </c>
      <c r="AE1174">
        <f>IF(AND(vp.data[[#This Row],[CrudeType]]="Crude",vp.data[[#This Row],[Dens]]&gt;900,vp.data[[#This Row],[Sulf]]&lt;=0.5,vp.data[[#This Row],[Unknown]]=0),1,0)</f>
        <v>0</v>
      </c>
      <c r="AF1174">
        <f>IF(AND(vp.data[[#This Row],[CrudeType]]="Crude",vp.data[[#This Row],[Dens]]&gt;900,vp.data[[#This Row],[Sulf]]&lt;=0.5,vp.data[[#This Row],[Unknown]]=0),1,0)</f>
        <v>0</v>
      </c>
      <c r="AG1174" t="str">
        <f>INDEX(vp.data[[#Headers],[Unknown]:[Heavy_SW]],MATCH(1,vp.data[[#This Row],[Unknown]:[Heavy_SW]],0))</f>
        <v>Medium_LSB</v>
      </c>
      <c r="AH1174">
        <f>INDEX([3]!crudeBD.lkup[Number],MATCH(vp.data[[#This Row],[Crude_Breakdown]],crudeBD.lkup[Crude Breakdown],0))</f>
        <v>3</v>
      </c>
      <c r="AI1174">
        <f>MONTH(vp.data[[#This Row],[SDate]])</f>
        <v>4</v>
      </c>
      <c r="AJ1174" s="5">
        <f>(vp.data[[#This Row],[VP]]-INDEX(crudeBD.lkup[Mean_VP],MATCH(vp.data[[#This Row],[Crude_Breakdown]],crudeBD.lkup[Crude Breakdown],0)))^2</f>
        <v>499.06114835259535</v>
      </c>
      <c r="AK1174" s="5">
        <f>(vp.data[[#This Row],[Dens]]-INDEX(crudeBD.lkup[Mean_Dens],MATCH(vp.data[[#This Row],[Crude_Breakdown]],crudeBD.lkup[Crude Breakdown],0)))^2</f>
        <v>60.528400000008418</v>
      </c>
      <c r="AL1174" s="5">
        <f>(vp.data[[#This Row],[Sulf]]-INDEX(crudeBD.lkup[Mean_Sulf],MATCH(vp.data[[#This Row],[Crude_Breakdown]],crudeBD.lkup[Crude Breakdown],0)))^2</f>
        <v>1.2537354353153419E-3</v>
      </c>
      <c r="AM1174" s="4">
        <f>IF(AND(vp.data[[#This Row],[SDate]]&gt;=DATE(YEAR(vp.data[[#This Row],[SDate]]),5,1),vp.data[[#This Row],[SDate]]&lt;=DATE(YEAR(vp.data[[#This Row],[SDate]]),9,15)),1,0)</f>
        <v>0</v>
      </c>
      <c r="AN1174" s="4">
        <f>IF(vp.data[[#This Row],[SDate]]&lt;DATE(2016,12,1),0,1)</f>
        <v>1</v>
      </c>
      <c r="AO1174" s="4">
        <f>IFERROR(vp.data[[#This Row],[Sulf]]*vp.data[[#This Row],[Net Dens]],"")</f>
        <v>5363417.6920350008</v>
      </c>
      <c r="AP1174">
        <f>IFERROR(vp.data[[#This Row],[Dens]]*vp.data[[#This Row],[VolumeM3]],"")</f>
        <v>3972901.9941000002</v>
      </c>
      <c r="AQ1174" s="15">
        <f>IFERROR(vp.data[[#This Row],[VP]]*vp.data[[#This Row],[VolumeM3]],"")</f>
        <v>271950.43589999998</v>
      </c>
    </row>
    <row r="1175" spans="1:43" x14ac:dyDescent="0.25">
      <c r="A1175">
        <v>1174</v>
      </c>
      <c r="B1175" t="s">
        <v>68</v>
      </c>
      <c r="C1175" t="s">
        <v>68</v>
      </c>
      <c r="D1175" t="s">
        <v>69</v>
      </c>
      <c r="F1175" s="1">
        <v>42829</v>
      </c>
      <c r="G1175" s="2">
        <v>74.3</v>
      </c>
      <c r="H1175" s="2"/>
      <c r="I1175" s="2">
        <f t="array" ref="I1175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175" s="2">
        <v>18.2</v>
      </c>
      <c r="K1175" s="2">
        <v>6</v>
      </c>
      <c r="L1175" s="2">
        <v>853.4</v>
      </c>
      <c r="M1175" s="2">
        <f t="array" ref="M1175">_xlfn.IFNA(IF(vp.data[[#This Row],[Dens Input]]="",INDEX([1]DATA!$O$3:$O$9826,MATCH(1,(vp.data[[#This Row],[Battery]]=[1]DATA!$L$3:$L$9826)*(EOMONTH(vp.data[[#This Row],[SDate]],-1)+1=[1]DATA!$G$3:$G$9826),0)),vp.data[[#This Row],[Dens Input]]),"")</f>
        <v>853.4</v>
      </c>
      <c r="N1175" s="2">
        <f ca="1">INDEX(INDIRECT(_xlfn.CONCAT("weather.tbl[",N$1,"]")),MATCH(vp.data[[#This Row],[SDate]],weather.tbl[Date],0))</f>
        <v>5.166666666666667</v>
      </c>
      <c r="O1175" s="2">
        <f ca="1">INDEX(INDIRECT(_xlfn.CONCAT("weather.tbl[",O$1,"]")),MATCH(vp.data[[#This Row],[SDate]],weather.tbl[Date],0))</f>
        <v>5.9857142857142858</v>
      </c>
      <c r="P1175" s="2">
        <f ca="1">INDEX(INDIRECT(_xlfn.CONCAT("weather.tbl[",P$1,"]")),MATCH(vp.data[[#This Row],[SDate]],weather.tbl[Date],0))</f>
        <v>5.2</v>
      </c>
      <c r="Q1175" s="2">
        <f ca="1">INDEX(INDIRECT(_xlfn.CONCAT("weather.tbl[",Q$1,"]")),MATCH(vp.data[[#This Row],[SDate]],weather.tbl[Date],0))</f>
        <v>4.0999999999999996</v>
      </c>
      <c r="R1175" s="2">
        <f ca="1">INDEX(INDIRECT(_xlfn.CONCAT("weather.tbl[",R$1,"]")),MATCH(vp.data[[#This Row],[SDate]],weather.tbl[Date],0))</f>
        <v>6.5</v>
      </c>
      <c r="S1175" s="2">
        <f ca="1">INDEX(INDIRECT(_xlfn.CONCAT("weather.tbl[",S$1,"]")),MATCH(vp.data[[#This Row],[SDate]],weather.tbl[Date],0))</f>
        <v>4.4000000000000004</v>
      </c>
      <c r="T1175" s="2">
        <f ca="1">INDEX(INDIRECT(_xlfn.CONCAT("weather.tbl[",T$1,"]")),MATCH(vp.data[[#This Row],[SDate]],weather.tbl[Date],0))</f>
        <v>6</v>
      </c>
      <c r="U1175" s="2">
        <f ca="1">INDEX(INDIRECT(_xlfn.CONCAT("weather.tbl[",U$1,"]")),MATCH(vp.data[[#This Row],[SDate]],weather.tbl[Date],0))</f>
        <v>4.8</v>
      </c>
      <c r="V1175" s="2">
        <f t="array" ref="V11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1529.07</v>
      </c>
      <c r="W1175" t="s">
        <v>48</v>
      </c>
      <c r="X1175">
        <f>IF(OR(vp.data[[#This Row],[Sulf]]="",vp.data[[#This Row],[Dens]]=""),1,0)</f>
        <v>0</v>
      </c>
      <c r="Y1175">
        <f>IF(vp.data[[#This Row],[CrudeType]]="C5+",1,0)</f>
        <v>0</v>
      </c>
      <c r="Z1175">
        <f>IF(AND(vp.data[[#This Row],[CrudeType]]="Crude",vp.data[[#This Row],[Dens]]&lt;=825,vp.data[[#This Row],[Sulf]]&gt;0.5,vp.data[[#This Row],[Unknown]]=0),1,0)</f>
        <v>0</v>
      </c>
      <c r="AA1175">
        <f>IF(AND(vp.data[[#This Row],[CrudeType]]="Crude",vp.data[[#This Row],[Dens]]&lt;=825,vp.data[[#This Row],[Sulf]]&lt;=0.5,vp.data[[#This Row],[Unknown]]=0),1,0)</f>
        <v>0</v>
      </c>
      <c r="AB11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75">
        <f>IF(AND(vp.data[[#This Row],[CrudeType]]="Crude",vp.data[[#This Row],[Dens]]&gt;825,vp.data[[#This Row],[Dens]]&lt;=900,vp.data[[#This Row],[Sulf]]&lt;=0.5,vp.data[[#This Row],[Unknown]]=0),1,0)</f>
        <v>0</v>
      </c>
      <c r="AD1175">
        <f>IF(AND(vp.data[[#This Row],[CrudeType]]="Crude",vp.data[[#This Row],[Dens]]&gt;865,vp.data[[#This Row],[Dens]]&lt;=900,vp.data[[#This Row],[Sulf]]&gt;2,vp.data[[#This Row],[Unknown]]=0),1,0)</f>
        <v>0</v>
      </c>
      <c r="AE1175">
        <f>IF(AND(vp.data[[#This Row],[CrudeType]]="Crude",vp.data[[#This Row],[Dens]]&gt;900,vp.data[[#This Row],[Sulf]]&lt;=0.5,vp.data[[#This Row],[Unknown]]=0),1,0)</f>
        <v>0</v>
      </c>
      <c r="AF1175">
        <f>IF(AND(vp.data[[#This Row],[CrudeType]]="Crude",vp.data[[#This Row],[Dens]]&gt;900,vp.data[[#This Row],[Sulf]]&lt;=0.5,vp.data[[#This Row],[Unknown]]=0),1,0)</f>
        <v>0</v>
      </c>
      <c r="AG1175" t="str">
        <f>INDEX(vp.data[[#Headers],[Unknown]:[Heavy_SW]],MATCH(1,vp.data[[#This Row],[Unknown]:[Heavy_SW]],0))</f>
        <v>Medium_LSB</v>
      </c>
      <c r="AH1175">
        <f>INDEX([3]!crudeBD.lkup[Number],MATCH(vp.data[[#This Row],[Crude_Breakdown]],crudeBD.lkup[Crude Breakdown],0))</f>
        <v>3</v>
      </c>
      <c r="AI1175">
        <f>MONTH(vp.data[[#This Row],[SDate]])</f>
        <v>4</v>
      </c>
      <c r="AJ1175" s="5">
        <f>(vp.data[[#This Row],[VP]]-INDEX(crudeBD.lkup[Mean_VP],MATCH(vp.data[[#This Row],[Crude_Breakdown]],crudeBD.lkup[Crude Breakdown],0)))^2</f>
        <v>40.191498756910221</v>
      </c>
      <c r="AK1175" s="5">
        <f>(vp.data[[#This Row],[Dens]]-INDEX(crudeBD.lkup[Mean_Dens],MATCH(vp.data[[#This Row],[Crude_Breakdown]],crudeBD.lkup[Crude Breakdown],0)))^2</f>
        <v>89.870400000008971</v>
      </c>
      <c r="AL1175" s="5">
        <f>(vp.data[[#This Row],[Sulf]]-INDEX(crudeBD.lkup[Mean_Sulf],MATCH(vp.data[[#This Row],[Crude_Breakdown]],crudeBD.lkup[Crude Breakdown],0)))^2</f>
        <v>1.8114972362538555E-2</v>
      </c>
      <c r="AM1175" s="4">
        <f>IF(AND(vp.data[[#This Row],[SDate]]&gt;=DATE(YEAR(vp.data[[#This Row],[SDate]]),5,1),vp.data[[#This Row],[SDate]]&lt;=DATE(YEAR(vp.data[[#This Row],[SDate]]),9,15)),1,0)</f>
        <v>0</v>
      </c>
      <c r="AN1175" s="4">
        <f>IF(vp.data[[#This Row],[SDate]]&lt;DATE(2016,12,1),0,1)</f>
        <v>1</v>
      </c>
      <c r="AO1175" s="4">
        <f>IFERROR(vp.data[[#This Row],[Sulf]]*vp.data[[#This Row],[Net Dens]],"")</f>
        <v>1983460.6737599999</v>
      </c>
      <c r="AP1175">
        <f>IFERROR(vp.data[[#This Row],[Dens]]*vp.data[[#This Row],[VolumeM3]],"")</f>
        <v>1304908.338</v>
      </c>
      <c r="AQ1175" s="15">
        <f>IFERROR(vp.data[[#This Row],[VP]]*vp.data[[#This Row],[VolumeM3]],"")</f>
        <v>113609.901</v>
      </c>
    </row>
    <row r="1176" spans="1:43" x14ac:dyDescent="0.25">
      <c r="A1176">
        <v>1175</v>
      </c>
      <c r="B1176" t="s">
        <v>64</v>
      </c>
      <c r="C1176" t="s">
        <v>64</v>
      </c>
      <c r="D1176" t="s">
        <v>65</v>
      </c>
      <c r="F1176" s="1">
        <v>42829</v>
      </c>
      <c r="G1176" s="2">
        <v>47.2</v>
      </c>
      <c r="H1176" s="2"/>
      <c r="I1176" s="2">
        <f t="array" ref="I1176">_xlfn.IFNA(IF(vp.data[[#This Row],[Sulf Input]]="",INDEX([1]DATA!$Q$3:$Q$9826,MATCH(1,(vp.data[[#This Row],[Battery]]=[1]DATA!$L$3:$L$9826)*(EOMONTH(vp.data[[#This Row],[SDate]],-1)+1=[1]DATA!$G$3:$G$9826),0)),vp.data[[#This Row],[Sulf Input]]),"")</f>
        <v>2.11</v>
      </c>
      <c r="J1176" s="2">
        <v>33.200000000000003</v>
      </c>
      <c r="K1176" s="2">
        <v>6</v>
      </c>
      <c r="L1176" s="2">
        <v>876.5</v>
      </c>
      <c r="M1176" s="2">
        <f t="array" ref="M1176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1176" s="2">
        <f ca="1">INDEX(INDIRECT(_xlfn.CONCAT("weather.tbl[",N$1,"]")),MATCH(vp.data[[#This Row],[SDate]],weather.tbl[Date],0))</f>
        <v>5.166666666666667</v>
      </c>
      <c r="O1176" s="2">
        <f ca="1">INDEX(INDIRECT(_xlfn.CONCAT("weather.tbl[",O$1,"]")),MATCH(vp.data[[#This Row],[SDate]],weather.tbl[Date],0))</f>
        <v>5.9857142857142858</v>
      </c>
      <c r="P1176" s="2">
        <f ca="1">INDEX(INDIRECT(_xlfn.CONCAT("weather.tbl[",P$1,"]")),MATCH(vp.data[[#This Row],[SDate]],weather.tbl[Date],0))</f>
        <v>5.2</v>
      </c>
      <c r="Q1176" s="2">
        <f ca="1">INDEX(INDIRECT(_xlfn.CONCAT("weather.tbl[",Q$1,"]")),MATCH(vp.data[[#This Row],[SDate]],weather.tbl[Date],0))</f>
        <v>4.0999999999999996</v>
      </c>
      <c r="R1176" s="2">
        <f ca="1">INDEX(INDIRECT(_xlfn.CONCAT("weather.tbl[",R$1,"]")),MATCH(vp.data[[#This Row],[SDate]],weather.tbl[Date],0))</f>
        <v>6.5</v>
      </c>
      <c r="S1176" s="2">
        <f ca="1">INDEX(INDIRECT(_xlfn.CONCAT("weather.tbl[",S$1,"]")),MATCH(vp.data[[#This Row],[SDate]],weather.tbl[Date],0))</f>
        <v>4.4000000000000004</v>
      </c>
      <c r="T1176" s="2">
        <f ca="1">INDEX(INDIRECT(_xlfn.CONCAT("weather.tbl[",T$1,"]")),MATCH(vp.data[[#This Row],[SDate]],weather.tbl[Date],0))</f>
        <v>6</v>
      </c>
      <c r="U1176" s="2">
        <f ca="1">INDEX(INDIRECT(_xlfn.CONCAT("weather.tbl[",U$1,"]")),MATCH(vp.data[[#This Row],[SDate]],weather.tbl[Date],0))</f>
        <v>4.8</v>
      </c>
      <c r="V1176" s="2">
        <f t="array" ref="V11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21877.668000000001</v>
      </c>
      <c r="W1176" t="s">
        <v>48</v>
      </c>
      <c r="X1176">
        <f>IF(OR(vp.data[[#This Row],[Sulf]]="",vp.data[[#This Row],[Dens]]=""),1,0)</f>
        <v>0</v>
      </c>
      <c r="Y1176">
        <f>IF(vp.data[[#This Row],[CrudeType]]="C5+",1,0)</f>
        <v>0</v>
      </c>
      <c r="Z1176">
        <f>IF(AND(vp.data[[#This Row],[CrudeType]]="Crude",vp.data[[#This Row],[Dens]]&lt;=825,vp.data[[#This Row],[Sulf]]&gt;0.5,vp.data[[#This Row],[Unknown]]=0),1,0)</f>
        <v>0</v>
      </c>
      <c r="AA1176">
        <f>IF(AND(vp.data[[#This Row],[CrudeType]]="Crude",vp.data[[#This Row],[Dens]]&lt;=825,vp.data[[#This Row],[Sulf]]&lt;=0.5,vp.data[[#This Row],[Unknown]]=0),1,0)</f>
        <v>0</v>
      </c>
      <c r="AB11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6">
        <f>IF(AND(vp.data[[#This Row],[CrudeType]]="Crude",vp.data[[#This Row],[Dens]]&gt;825,vp.data[[#This Row],[Dens]]&lt;=900,vp.data[[#This Row],[Sulf]]&lt;=0.5,vp.data[[#This Row],[Unknown]]=0),1,0)</f>
        <v>0</v>
      </c>
      <c r="AD1176">
        <f>IF(AND(vp.data[[#This Row],[CrudeType]]="Crude",vp.data[[#This Row],[Dens]]&gt;865,vp.data[[#This Row],[Dens]]&lt;=900,vp.data[[#This Row],[Sulf]]&gt;2,vp.data[[#This Row],[Unknown]]=0),1,0)</f>
        <v>1</v>
      </c>
      <c r="AE1176">
        <f>IF(AND(vp.data[[#This Row],[CrudeType]]="Crude",vp.data[[#This Row],[Dens]]&gt;900,vp.data[[#This Row],[Sulf]]&lt;=0.5,vp.data[[#This Row],[Unknown]]=0),1,0)</f>
        <v>0</v>
      </c>
      <c r="AF1176">
        <f>IF(AND(vp.data[[#This Row],[CrudeType]]="Crude",vp.data[[#This Row],[Dens]]&gt;900,vp.data[[#This Row],[Sulf]]&lt;=0.5,vp.data[[#This Row],[Unknown]]=0),1,0)</f>
        <v>0</v>
      </c>
      <c r="AG1176" t="str">
        <f>INDEX(vp.data[[#Headers],[Unknown]:[Heavy_SW]],MATCH(1,vp.data[[#This Row],[Unknown]:[Heavy_SW]],0))</f>
        <v>Midale</v>
      </c>
      <c r="AH1176">
        <f>INDEX([3]!crudeBD.lkup[Number],MATCH(vp.data[[#This Row],[Crude_Breakdown]],crudeBD.lkup[Crude Breakdown],0))</f>
        <v>5</v>
      </c>
      <c r="AI1176">
        <f>MONTH(vp.data[[#This Row],[SDate]])</f>
        <v>4</v>
      </c>
      <c r="AJ1176" s="5">
        <f>(vp.data[[#This Row],[VP]]-INDEX(crudeBD.lkup[Mean_VP],MATCH(vp.data[[#This Row],[Crude_Breakdown]],crudeBD.lkup[Crude Breakdown],0)))^2</f>
        <v>493.22914895313124</v>
      </c>
      <c r="AK1176" s="5">
        <f>(vp.data[[#This Row],[Dens]]-INDEX(crudeBD.lkup[Mean_Dens],MATCH(vp.data[[#This Row],[Crude_Breakdown]],crudeBD.lkup[Crude Breakdown],0)))^2</f>
        <v>2.8324542990743198</v>
      </c>
      <c r="AL1176" s="5">
        <f>(vp.data[[#This Row],[Sulf]]-INDEX(crudeBD.lkup[Mean_Sulf],MATCH(vp.data[[#This Row],[Crude_Breakdown]],crudeBD.lkup[Crude Breakdown],0)))^2</f>
        <v>0.11129934655160933</v>
      </c>
      <c r="AM1176" s="4">
        <f>IF(AND(vp.data[[#This Row],[SDate]]&gt;=DATE(YEAR(vp.data[[#This Row],[SDate]]),5,1),vp.data[[#This Row],[SDate]]&lt;=DATE(YEAR(vp.data[[#This Row],[SDate]]),9,15)),1,0)</f>
        <v>0</v>
      </c>
      <c r="AN1176" s="4">
        <f>IF(vp.data[[#This Row],[SDate]]&lt;DATE(2016,12,1),0,1)</f>
        <v>1</v>
      </c>
      <c r="AO1176" s="4">
        <f>IFERROR(vp.data[[#This Row],[Sulf]]*vp.data[[#This Row],[Net Dens]],"")</f>
        <v>40460887.364220001</v>
      </c>
      <c r="AP1176">
        <f>IFERROR(vp.data[[#This Row],[Dens]]*vp.data[[#This Row],[VolumeM3]],"")</f>
        <v>19175776.002</v>
      </c>
      <c r="AQ1176" s="15">
        <f>IFERROR(vp.data[[#This Row],[VP]]*vp.data[[#This Row],[VolumeM3]],"")</f>
        <v>1032625.9296000001</v>
      </c>
    </row>
    <row r="1177" spans="1:43" x14ac:dyDescent="0.25">
      <c r="A1177">
        <v>1176</v>
      </c>
      <c r="B1177" t="s">
        <v>49</v>
      </c>
      <c r="C1177" t="s">
        <v>49</v>
      </c>
      <c r="D1177" t="s">
        <v>92</v>
      </c>
      <c r="F1177" s="1">
        <v>42830</v>
      </c>
      <c r="G1177" s="2">
        <v>74.400000000000006</v>
      </c>
      <c r="H1177" s="2">
        <v>0.46500000000000002</v>
      </c>
      <c r="I1177" s="2">
        <f t="array" ref="I1177">_xlfn.IFNA(IF(vp.data[[#This Row],[Sulf Input]]="",INDEX([1]DATA!$Q$3:$Q$9826,MATCH(1,(vp.data[[#This Row],[Battery]]=[1]DATA!$L$3:$L$9826)*(EOMONTH(vp.data[[#This Row],[SDate]],-1)+1=[1]DATA!$G$3:$G$9826),0)),vp.data[[#This Row],[Sulf Input]]),"")</f>
        <v>0.46500000000000002</v>
      </c>
      <c r="J1177" s="2">
        <v>19.399999999999999</v>
      </c>
      <c r="K1177" s="2">
        <v>9</v>
      </c>
      <c r="L1177" s="2">
        <v>819.9</v>
      </c>
      <c r="M1177" s="2">
        <f t="array" ref="M1177">_xlfn.IFNA(IF(vp.data[[#This Row],[Dens Input]]="",INDEX([1]DATA!$O$3:$O$9826,MATCH(1,(vp.data[[#This Row],[Battery]]=[1]DATA!$L$3:$L$9826)*(EOMONTH(vp.data[[#This Row],[SDate]],-1)+1=[1]DATA!$G$3:$G$9826),0)),vp.data[[#This Row],[Dens Input]]),"")</f>
        <v>819.9</v>
      </c>
      <c r="N1177" s="2">
        <f ca="1">INDEX(INDIRECT(_xlfn.CONCAT("weather.tbl[",N$1,"]")),MATCH(vp.data[[#This Row],[SDate]],weather.tbl[Date],0))</f>
        <v>3.2666666666666671</v>
      </c>
      <c r="O1177" s="2">
        <f ca="1">INDEX(INDIRECT(_xlfn.CONCAT("weather.tbl[",O$1,"]")),MATCH(vp.data[[#This Row],[SDate]],weather.tbl[Date],0))</f>
        <v>5.4857142857142858</v>
      </c>
      <c r="P1177" s="2">
        <f ca="1">INDEX(INDIRECT(_xlfn.CONCAT("weather.tbl[",P$1,"]")),MATCH(vp.data[[#This Row],[SDate]],weather.tbl[Date],0))</f>
        <v>3.2</v>
      </c>
      <c r="Q1177" s="2">
        <f ca="1">INDEX(INDIRECT(_xlfn.CONCAT("weather.tbl[",Q$1,"]")),MATCH(vp.data[[#This Row],[SDate]],weather.tbl[Date],0))</f>
        <v>3.4</v>
      </c>
      <c r="R1177" s="2">
        <f ca="1">INDEX(INDIRECT(_xlfn.CONCAT("weather.tbl[",R$1,"]")),MATCH(vp.data[[#This Row],[SDate]],weather.tbl[Date],0))</f>
        <v>3.5</v>
      </c>
      <c r="S1177" s="2">
        <f ca="1">INDEX(INDIRECT(_xlfn.CONCAT("weather.tbl[",S$1,"]")),MATCH(vp.data[[#This Row],[SDate]],weather.tbl[Date],0))</f>
        <v>3</v>
      </c>
      <c r="T1177" s="2">
        <f ca="1">INDEX(INDIRECT(_xlfn.CONCAT("weather.tbl[",T$1,"]")),MATCH(vp.data[[#This Row],[SDate]],weather.tbl[Date],0))</f>
        <v>3.7</v>
      </c>
      <c r="U1177" s="2">
        <f ca="1">INDEX(INDIRECT(_xlfn.CONCAT("weather.tbl[",U$1,"]")),MATCH(vp.data[[#This Row],[SDate]],weather.tbl[Date],0))</f>
        <v>2.8</v>
      </c>
      <c r="V1177" s="2">
        <f t="array" ref="V11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23117.685000000001</v>
      </c>
      <c r="W1177" t="s">
        <v>48</v>
      </c>
      <c r="X1177">
        <f>IF(OR(vp.data[[#This Row],[Sulf]]="",vp.data[[#This Row],[Dens]]=""),1,0)</f>
        <v>0</v>
      </c>
      <c r="Y1177">
        <f>IF(vp.data[[#This Row],[CrudeType]]="C5+",1,0)</f>
        <v>0</v>
      </c>
      <c r="Z1177">
        <f>IF(AND(vp.data[[#This Row],[CrudeType]]="Crude",vp.data[[#This Row],[Dens]]&lt;=825,vp.data[[#This Row],[Sulf]]&gt;0.5,vp.data[[#This Row],[Unknown]]=0),1,0)</f>
        <v>0</v>
      </c>
      <c r="AA1177">
        <f>IF(AND(vp.data[[#This Row],[CrudeType]]="Crude",vp.data[[#This Row],[Dens]]&lt;=825,vp.data[[#This Row],[Sulf]]&lt;=0.5,vp.data[[#This Row],[Unknown]]=0),1,0)</f>
        <v>1</v>
      </c>
      <c r="AB11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7">
        <f>IF(AND(vp.data[[#This Row],[CrudeType]]="Crude",vp.data[[#This Row],[Dens]]&gt;825,vp.data[[#This Row],[Dens]]&lt;=900,vp.data[[#This Row],[Sulf]]&lt;=0.5,vp.data[[#This Row],[Unknown]]=0),1,0)</f>
        <v>0</v>
      </c>
      <c r="AD1177">
        <f>IF(AND(vp.data[[#This Row],[CrudeType]]="Crude",vp.data[[#This Row],[Dens]]&gt;865,vp.data[[#This Row],[Dens]]&lt;=900,vp.data[[#This Row],[Sulf]]&gt;2,vp.data[[#This Row],[Unknown]]=0),1,0)</f>
        <v>0</v>
      </c>
      <c r="AE1177">
        <f>IF(AND(vp.data[[#This Row],[CrudeType]]="Crude",vp.data[[#This Row],[Dens]]&gt;900,vp.data[[#This Row],[Sulf]]&lt;=0.5,vp.data[[#This Row],[Unknown]]=0),1,0)</f>
        <v>0</v>
      </c>
      <c r="AF1177">
        <f>IF(AND(vp.data[[#This Row],[CrudeType]]="Crude",vp.data[[#This Row],[Dens]]&gt;900,vp.data[[#This Row],[Sulf]]&lt;=0.5,vp.data[[#This Row],[Unknown]]=0),1,0)</f>
        <v>0</v>
      </c>
      <c r="AG1177" t="str">
        <f>INDEX(vp.data[[#Headers],[Unknown]:[Heavy_SW]],MATCH(1,vp.data[[#This Row],[Unknown]:[Heavy_SW]],0))</f>
        <v>Light_SW</v>
      </c>
      <c r="AH1177">
        <f>INDEX([3]!crudeBD.lkup[Number],MATCH(vp.data[[#This Row],[Crude_Breakdown]],crudeBD.lkup[Crude Breakdown],0))</f>
        <v>2</v>
      </c>
      <c r="AI1177">
        <f>MONTH(vp.data[[#This Row],[SDate]])</f>
        <v>4</v>
      </c>
      <c r="AJ1177" s="5">
        <f>(vp.data[[#This Row],[VP]]-INDEX(crudeBD.lkup[Mean_VP],MATCH(vp.data[[#This Row],[Crude_Breakdown]],crudeBD.lkup[Crude Breakdown],0)))^2</f>
        <v>329.43388337359801</v>
      </c>
      <c r="AK1177" s="5">
        <f>(vp.data[[#This Row],[Dens]]-INDEX(crudeBD.lkup[Mean_Dens],MATCH(vp.data[[#This Row],[Crude_Breakdown]],crudeBD.lkup[Crude Breakdown],0)))^2</f>
        <v>134.29337262805635</v>
      </c>
      <c r="AL1177" s="5">
        <f>(vp.data[[#This Row],[Sulf]]-INDEX(crudeBD.lkup[Mean_Sulf],MATCH(vp.data[[#This Row],[Crude_Breakdown]],crudeBD.lkup[Crude Breakdown],0)))^2</f>
        <v>5.2330308647185311E-2</v>
      </c>
      <c r="AM1177" s="4">
        <f>IF(AND(vp.data[[#This Row],[SDate]]&gt;=DATE(YEAR(vp.data[[#This Row],[SDate]]),5,1),vp.data[[#This Row],[SDate]]&lt;=DATE(YEAR(vp.data[[#This Row],[SDate]]),9,15)),1,0)</f>
        <v>0</v>
      </c>
      <c r="AN1177" s="4">
        <f>IF(vp.data[[#This Row],[SDate]]&lt;DATE(2016,12,1),0,1)</f>
        <v>1</v>
      </c>
      <c r="AO1177" s="4">
        <f>IFERROR(vp.data[[#This Row],[Sulf]]*vp.data[[#This Row],[Net Dens]],"")</f>
        <v>8813698.3181474991</v>
      </c>
      <c r="AP1177">
        <f>IFERROR(vp.data[[#This Row],[Dens]]*vp.data[[#This Row],[VolumeM3]],"")</f>
        <v>18954189.931499999</v>
      </c>
      <c r="AQ1177" s="15">
        <f>IFERROR(vp.data[[#This Row],[VP]]*vp.data[[#This Row],[VolumeM3]],"")</f>
        <v>1719955.7640000002</v>
      </c>
    </row>
    <row r="1178" spans="1:43" x14ac:dyDescent="0.25">
      <c r="A1178">
        <v>1177</v>
      </c>
      <c r="B1178" t="s">
        <v>49</v>
      </c>
      <c r="C1178" t="s">
        <v>49</v>
      </c>
      <c r="D1178" t="s">
        <v>50</v>
      </c>
      <c r="F1178" s="1">
        <v>42830</v>
      </c>
      <c r="G1178" s="2">
        <v>69.099999999999994</v>
      </c>
      <c r="H1178" s="2">
        <v>2.5430000000000001</v>
      </c>
      <c r="I1178" s="2">
        <f t="array" ref="I1178">_xlfn.IFNA(IF(vp.data[[#This Row],[Sulf Input]]="",INDEX([1]DATA!$Q$3:$Q$9826,MATCH(1,(vp.data[[#This Row],[Battery]]=[1]DATA!$L$3:$L$9826)*(EOMONTH(vp.data[[#This Row],[SDate]],-1)+1=[1]DATA!$G$3:$G$9826),0)),vp.data[[#This Row],[Sulf Input]]),"")</f>
        <v>2.5430000000000001</v>
      </c>
      <c r="J1178" s="2">
        <v>19.5</v>
      </c>
      <c r="K1178" s="2">
        <v>9</v>
      </c>
      <c r="L1178" s="2">
        <v>870.8</v>
      </c>
      <c r="M1178" s="2">
        <f t="array" ref="M1178">_xlfn.IFNA(IF(vp.data[[#This Row],[Dens Input]]="",INDEX([1]DATA!$O$3:$O$9826,MATCH(1,(vp.data[[#This Row],[Battery]]=[1]DATA!$L$3:$L$9826)*(EOMONTH(vp.data[[#This Row],[SDate]],-1)+1=[1]DATA!$G$3:$G$9826),0)),vp.data[[#This Row],[Dens Input]]),"")</f>
        <v>870.8</v>
      </c>
      <c r="N1178" s="2">
        <f ca="1">INDEX(INDIRECT(_xlfn.CONCAT("weather.tbl[",N$1,"]")),MATCH(vp.data[[#This Row],[SDate]],weather.tbl[Date],0))</f>
        <v>3.2666666666666671</v>
      </c>
      <c r="O1178" s="2">
        <f ca="1">INDEX(INDIRECT(_xlfn.CONCAT("weather.tbl[",O$1,"]")),MATCH(vp.data[[#This Row],[SDate]],weather.tbl[Date],0))</f>
        <v>5.4857142857142858</v>
      </c>
      <c r="P1178" s="2">
        <f ca="1">INDEX(INDIRECT(_xlfn.CONCAT("weather.tbl[",P$1,"]")),MATCH(vp.data[[#This Row],[SDate]],weather.tbl[Date],0))</f>
        <v>3.2</v>
      </c>
      <c r="Q1178" s="2">
        <f ca="1">INDEX(INDIRECT(_xlfn.CONCAT("weather.tbl[",Q$1,"]")),MATCH(vp.data[[#This Row],[SDate]],weather.tbl[Date],0))</f>
        <v>3.4</v>
      </c>
      <c r="R1178" s="2">
        <f ca="1">INDEX(INDIRECT(_xlfn.CONCAT("weather.tbl[",R$1,"]")),MATCH(vp.data[[#This Row],[SDate]],weather.tbl[Date],0))</f>
        <v>3.5</v>
      </c>
      <c r="S1178" s="2">
        <f ca="1">INDEX(INDIRECT(_xlfn.CONCAT("weather.tbl[",S$1,"]")),MATCH(vp.data[[#This Row],[SDate]],weather.tbl[Date],0))</f>
        <v>3</v>
      </c>
      <c r="T1178" s="2">
        <f ca="1">INDEX(INDIRECT(_xlfn.CONCAT("weather.tbl[",T$1,"]")),MATCH(vp.data[[#This Row],[SDate]],weather.tbl[Date],0))</f>
        <v>3.7</v>
      </c>
      <c r="U1178" s="2">
        <f ca="1">INDEX(INDIRECT(_xlfn.CONCAT("weather.tbl[",U$1,"]")),MATCH(vp.data[[#This Row],[SDate]],weather.tbl[Date],0))</f>
        <v>2.8</v>
      </c>
      <c r="V1178" s="2">
        <f t="array" ref="V11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6716.366</v>
      </c>
      <c r="W1178" t="s">
        <v>48</v>
      </c>
      <c r="X1178">
        <f>IF(OR(vp.data[[#This Row],[Sulf]]="",vp.data[[#This Row],[Dens]]=""),1,0)</f>
        <v>0</v>
      </c>
      <c r="Y1178">
        <f>IF(vp.data[[#This Row],[CrudeType]]="C5+",1,0)</f>
        <v>0</v>
      </c>
      <c r="Z1178">
        <f>IF(AND(vp.data[[#This Row],[CrudeType]]="Crude",vp.data[[#This Row],[Dens]]&lt;=825,vp.data[[#This Row],[Sulf]]&gt;0.5,vp.data[[#This Row],[Unknown]]=0),1,0)</f>
        <v>0</v>
      </c>
      <c r="AA1178">
        <f>IF(AND(vp.data[[#This Row],[CrudeType]]="Crude",vp.data[[#This Row],[Dens]]&lt;=825,vp.data[[#This Row],[Sulf]]&lt;=0.5,vp.data[[#This Row],[Unknown]]=0),1,0)</f>
        <v>0</v>
      </c>
      <c r="AB11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8">
        <f>IF(AND(vp.data[[#This Row],[CrudeType]]="Crude",vp.data[[#This Row],[Dens]]&gt;825,vp.data[[#This Row],[Dens]]&lt;=900,vp.data[[#This Row],[Sulf]]&lt;=0.5,vp.data[[#This Row],[Unknown]]=0),1,0)</f>
        <v>0</v>
      </c>
      <c r="AD1178">
        <f>IF(AND(vp.data[[#This Row],[CrudeType]]="Crude",vp.data[[#This Row],[Dens]]&gt;865,vp.data[[#This Row],[Dens]]&lt;=900,vp.data[[#This Row],[Sulf]]&gt;2,vp.data[[#This Row],[Unknown]]=0),1,0)</f>
        <v>1</v>
      </c>
      <c r="AE1178">
        <f>IF(AND(vp.data[[#This Row],[CrudeType]]="Crude",vp.data[[#This Row],[Dens]]&gt;900,vp.data[[#This Row],[Sulf]]&lt;=0.5,vp.data[[#This Row],[Unknown]]=0),1,0)</f>
        <v>0</v>
      </c>
      <c r="AF1178">
        <f>IF(AND(vp.data[[#This Row],[CrudeType]]="Crude",vp.data[[#This Row],[Dens]]&gt;900,vp.data[[#This Row],[Sulf]]&lt;=0.5,vp.data[[#This Row],[Unknown]]=0),1,0)</f>
        <v>0</v>
      </c>
      <c r="AG1178" t="str">
        <f>INDEX(vp.data[[#Headers],[Unknown]:[Heavy_SW]],MATCH(1,vp.data[[#This Row],[Unknown]:[Heavy_SW]],0))</f>
        <v>Midale</v>
      </c>
      <c r="AH1178">
        <f>INDEX([3]!crudeBD.lkup[Number],MATCH(vp.data[[#This Row],[Crude_Breakdown]],crudeBD.lkup[Crude Breakdown],0))</f>
        <v>5</v>
      </c>
      <c r="AI1178">
        <f>MONTH(vp.data[[#This Row],[SDate]])</f>
        <v>4</v>
      </c>
      <c r="AJ1178" s="5">
        <f>(vp.data[[#This Row],[VP]]-INDEX(crudeBD.lkup[Mean_VP],MATCH(vp.data[[#This Row],[Crude_Breakdown]],crudeBD.lkup[Crude Breakdown],0)))^2</f>
        <v>9.5334520140314113E-2</v>
      </c>
      <c r="AK1178" s="5">
        <f>(vp.data[[#This Row],[Dens]]-INDEX(crudeBD.lkup[Mean_Dens],MATCH(vp.data[[#This Row],[Crude_Breakdown]],crudeBD.lkup[Crude Breakdown],0)))^2</f>
        <v>16.136371824851381</v>
      </c>
      <c r="AL1178" s="5">
        <f>(vp.data[[#This Row],[Sulf]]-INDEX(crudeBD.lkup[Mean_Sulf],MATCH(vp.data[[#This Row],[Crude_Breakdown]],crudeBD.lkup[Crude Breakdown],0)))^2</f>
        <v>9.8772655206826269E-3</v>
      </c>
      <c r="AM1178" s="4">
        <f>IF(AND(vp.data[[#This Row],[SDate]]&gt;=DATE(YEAR(vp.data[[#This Row],[SDate]]),5,1),vp.data[[#This Row],[SDate]]&lt;=DATE(YEAR(vp.data[[#This Row],[SDate]]),9,15)),1,0)</f>
        <v>0</v>
      </c>
      <c r="AN1178" s="4">
        <f>IF(vp.data[[#This Row],[SDate]]&lt;DATE(2016,12,1),0,1)</f>
        <v>1</v>
      </c>
      <c r="AO1178" s="4">
        <f>IFERROR(vp.data[[#This Row],[Sulf]]*vp.data[[#This Row],[Net Dens]],"")</f>
        <v>14873019.077050401</v>
      </c>
      <c r="AP1178">
        <f>IFERROR(vp.data[[#This Row],[Dens]]*vp.data[[#This Row],[VolumeM3]],"")</f>
        <v>5848611.5127999997</v>
      </c>
      <c r="AQ1178" s="15">
        <f>IFERROR(vp.data[[#This Row],[VP]]*vp.data[[#This Row],[VolumeM3]],"")</f>
        <v>464100.89059999998</v>
      </c>
    </row>
    <row r="1179" spans="1:43" x14ac:dyDescent="0.25">
      <c r="A1179">
        <v>1178</v>
      </c>
      <c r="B1179" t="s">
        <v>51</v>
      </c>
      <c r="C1179" t="s">
        <v>51</v>
      </c>
      <c r="D1179" t="s">
        <v>58</v>
      </c>
      <c r="F1179" s="1">
        <v>42830</v>
      </c>
      <c r="G1179" s="2">
        <v>97.4</v>
      </c>
      <c r="H1179" s="2"/>
      <c r="I1179" s="2">
        <f t="array" ref="I1179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1179" s="2">
        <v>28.2</v>
      </c>
      <c r="K1179" s="2">
        <v>9</v>
      </c>
      <c r="L1179" s="2">
        <v>817.8</v>
      </c>
      <c r="M1179" s="2">
        <f t="array" ref="M1179">_xlfn.IFNA(IF(vp.data[[#This Row],[Dens Input]]="",INDEX([1]DATA!$O$3:$O$9826,MATCH(1,(vp.data[[#This Row],[Battery]]=[1]DATA!$L$3:$L$9826)*(EOMONTH(vp.data[[#This Row],[SDate]],-1)+1=[1]DATA!$G$3:$G$9826),0)),vp.data[[#This Row],[Dens Input]]),"")</f>
        <v>817.8</v>
      </c>
      <c r="N1179" s="2">
        <f ca="1">INDEX(INDIRECT(_xlfn.CONCAT("weather.tbl[",N$1,"]")),MATCH(vp.data[[#This Row],[SDate]],weather.tbl[Date],0))</f>
        <v>3.2666666666666671</v>
      </c>
      <c r="O1179" s="2">
        <f ca="1">INDEX(INDIRECT(_xlfn.CONCAT("weather.tbl[",O$1,"]")),MATCH(vp.data[[#This Row],[SDate]],weather.tbl[Date],0))</f>
        <v>5.4857142857142858</v>
      </c>
      <c r="P1179" s="2">
        <f ca="1">INDEX(INDIRECT(_xlfn.CONCAT("weather.tbl[",P$1,"]")),MATCH(vp.data[[#This Row],[SDate]],weather.tbl[Date],0))</f>
        <v>3.2</v>
      </c>
      <c r="Q1179" s="2">
        <f ca="1">INDEX(INDIRECT(_xlfn.CONCAT("weather.tbl[",Q$1,"]")),MATCH(vp.data[[#This Row],[SDate]],weather.tbl[Date],0))</f>
        <v>3.4</v>
      </c>
      <c r="R1179" s="2">
        <f ca="1">INDEX(INDIRECT(_xlfn.CONCAT("weather.tbl[",R$1,"]")),MATCH(vp.data[[#This Row],[SDate]],weather.tbl[Date],0))</f>
        <v>3.5</v>
      </c>
      <c r="S1179" s="2">
        <f ca="1">INDEX(INDIRECT(_xlfn.CONCAT("weather.tbl[",S$1,"]")),MATCH(vp.data[[#This Row],[SDate]],weather.tbl[Date],0))</f>
        <v>3</v>
      </c>
      <c r="T1179" s="2">
        <f ca="1">INDEX(INDIRECT(_xlfn.CONCAT("weather.tbl[",T$1,"]")),MATCH(vp.data[[#This Row],[SDate]],weather.tbl[Date],0))</f>
        <v>3.7</v>
      </c>
      <c r="U1179" s="2">
        <f ca="1">INDEX(INDIRECT(_xlfn.CONCAT("weather.tbl[",U$1,"]")),MATCH(vp.data[[#This Row],[SDate]],weather.tbl[Date],0))</f>
        <v>2.8</v>
      </c>
      <c r="V1179" s="2">
        <f t="array" ref="V11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5505.9059999999999</v>
      </c>
      <c r="W1179" t="s">
        <v>48</v>
      </c>
      <c r="X1179">
        <f>IF(OR(vp.data[[#This Row],[Sulf]]="",vp.data[[#This Row],[Dens]]=""),1,0)</f>
        <v>0</v>
      </c>
      <c r="Y1179">
        <f>IF(vp.data[[#This Row],[CrudeType]]="C5+",1,0)</f>
        <v>0</v>
      </c>
      <c r="Z1179">
        <f>IF(AND(vp.data[[#This Row],[CrudeType]]="Crude",vp.data[[#This Row],[Dens]]&lt;=825,vp.data[[#This Row],[Sulf]]&gt;0.5,vp.data[[#This Row],[Unknown]]=0),1,0)</f>
        <v>1</v>
      </c>
      <c r="AA1179">
        <f>IF(AND(vp.data[[#This Row],[CrudeType]]="Crude",vp.data[[#This Row],[Dens]]&lt;=825,vp.data[[#This Row],[Sulf]]&lt;=0.5,vp.data[[#This Row],[Unknown]]=0),1,0)</f>
        <v>0</v>
      </c>
      <c r="AB11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79">
        <f>IF(AND(vp.data[[#This Row],[CrudeType]]="Crude",vp.data[[#This Row],[Dens]]&gt;825,vp.data[[#This Row],[Dens]]&lt;=900,vp.data[[#This Row],[Sulf]]&lt;=0.5,vp.data[[#This Row],[Unknown]]=0),1,0)</f>
        <v>0</v>
      </c>
      <c r="AD1179">
        <f>IF(AND(vp.data[[#This Row],[CrudeType]]="Crude",vp.data[[#This Row],[Dens]]&gt;865,vp.data[[#This Row],[Dens]]&lt;=900,vp.data[[#This Row],[Sulf]]&gt;2,vp.data[[#This Row],[Unknown]]=0),1,0)</f>
        <v>0</v>
      </c>
      <c r="AE1179">
        <f>IF(AND(vp.data[[#This Row],[CrudeType]]="Crude",vp.data[[#This Row],[Dens]]&gt;900,vp.data[[#This Row],[Sulf]]&lt;=0.5,vp.data[[#This Row],[Unknown]]=0),1,0)</f>
        <v>0</v>
      </c>
      <c r="AF1179">
        <f>IF(AND(vp.data[[#This Row],[CrudeType]]="Crude",vp.data[[#This Row],[Dens]]&gt;900,vp.data[[#This Row],[Sulf]]&lt;=0.5,vp.data[[#This Row],[Unknown]]=0),1,0)</f>
        <v>0</v>
      </c>
      <c r="AG1179" t="str">
        <f>INDEX(vp.data[[#Headers],[Unknown]:[Heavy_SW]],MATCH(1,vp.data[[#This Row],[Unknown]:[Heavy_SW]],0))</f>
        <v>Light_LSB</v>
      </c>
      <c r="AH1179">
        <f>INDEX([3]!crudeBD.lkup[Number],MATCH(vp.data[[#This Row],[Crude_Breakdown]],crudeBD.lkup[Crude Breakdown],0))</f>
        <v>1</v>
      </c>
      <c r="AI1179">
        <f>MONTH(vp.data[[#This Row],[SDate]])</f>
        <v>4</v>
      </c>
      <c r="AJ1179" s="5">
        <f>(vp.data[[#This Row],[VP]]-INDEX(crudeBD.lkup[Mean_VP],MATCH(vp.data[[#This Row],[Crude_Breakdown]],crudeBD.lkup[Crude Breakdown],0)))^2</f>
        <v>34.267143415878117</v>
      </c>
      <c r="AK1179" s="5">
        <f>(vp.data[[#This Row],[Dens]]-INDEX(crudeBD.lkup[Mean_Dens],MATCH(vp.data[[#This Row],[Crude_Breakdown]],crudeBD.lkup[Crude Breakdown],0)))^2</f>
        <v>0.51375888806187209</v>
      </c>
      <c r="AL1179" s="5">
        <f>(vp.data[[#This Row],[Sulf]]-INDEX(crudeBD.lkup[Mean_Sulf],MATCH(vp.data[[#This Row],[Crude_Breakdown]],crudeBD.lkup[Crude Breakdown],0)))^2</f>
        <v>0.16567246976597019</v>
      </c>
      <c r="AM1179" s="4">
        <f>IF(AND(vp.data[[#This Row],[SDate]]&gt;=DATE(YEAR(vp.data[[#This Row],[SDate]]),5,1),vp.data[[#This Row],[SDate]]&lt;=DATE(YEAR(vp.data[[#This Row],[SDate]]),9,15)),1,0)</f>
        <v>0</v>
      </c>
      <c r="AN1179" s="4">
        <f>IF(vp.data[[#This Row],[SDate]]&lt;DATE(2016,12,1),0,1)</f>
        <v>1</v>
      </c>
      <c r="AO1179" s="4">
        <f>IFERROR(vp.data[[#This Row],[Sulf]]*vp.data[[#This Row],[Net Dens]],"")</f>
        <v>5988630.8026439995</v>
      </c>
      <c r="AP1179">
        <f>IFERROR(vp.data[[#This Row],[Dens]]*vp.data[[#This Row],[VolumeM3]],"")</f>
        <v>4502729.9267999995</v>
      </c>
      <c r="AQ1179" s="15">
        <f>IFERROR(vp.data[[#This Row],[VP]]*vp.data[[#This Row],[VolumeM3]],"")</f>
        <v>536275.24440000008</v>
      </c>
    </row>
    <row r="1180" spans="1:43" x14ac:dyDescent="0.25">
      <c r="A1180">
        <v>1179</v>
      </c>
      <c r="B1180" t="s">
        <v>51</v>
      </c>
      <c r="C1180" t="s">
        <v>51</v>
      </c>
      <c r="D1180" t="s">
        <v>71</v>
      </c>
      <c r="F1180" s="1">
        <v>42830</v>
      </c>
      <c r="G1180" s="2">
        <v>85.4</v>
      </c>
      <c r="H1180" s="2"/>
      <c r="I1180" s="2">
        <f t="array" ref="I1180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1180" s="2">
        <v>17.8</v>
      </c>
      <c r="K1180" s="2">
        <v>9</v>
      </c>
      <c r="L1180" s="2">
        <v>826.8</v>
      </c>
      <c r="M1180" s="2">
        <f t="array" ref="M1180">_xlfn.IFNA(IF(vp.data[[#This Row],[Dens Input]]="",INDEX([1]DATA!$O$3:$O$9826,MATCH(1,(vp.data[[#This Row],[Battery]]=[1]DATA!$L$3:$L$9826)*(EOMONTH(vp.data[[#This Row],[SDate]],-1)+1=[1]DATA!$G$3:$G$9826),0)),vp.data[[#This Row],[Dens Input]]),"")</f>
        <v>826.8</v>
      </c>
      <c r="N1180" s="2">
        <f ca="1">INDEX(INDIRECT(_xlfn.CONCAT("weather.tbl[",N$1,"]")),MATCH(vp.data[[#This Row],[SDate]],weather.tbl[Date],0))</f>
        <v>3.2666666666666671</v>
      </c>
      <c r="O1180" s="2">
        <f ca="1">INDEX(INDIRECT(_xlfn.CONCAT("weather.tbl[",O$1,"]")),MATCH(vp.data[[#This Row],[SDate]],weather.tbl[Date],0))</f>
        <v>5.4857142857142858</v>
      </c>
      <c r="P1180" s="2">
        <f ca="1">INDEX(INDIRECT(_xlfn.CONCAT("weather.tbl[",P$1,"]")),MATCH(vp.data[[#This Row],[SDate]],weather.tbl[Date],0))</f>
        <v>3.2</v>
      </c>
      <c r="Q1180" s="2">
        <f ca="1">INDEX(INDIRECT(_xlfn.CONCAT("weather.tbl[",Q$1,"]")),MATCH(vp.data[[#This Row],[SDate]],weather.tbl[Date],0))</f>
        <v>3.4</v>
      </c>
      <c r="R1180" s="2">
        <f ca="1">INDEX(INDIRECT(_xlfn.CONCAT("weather.tbl[",R$1,"]")),MATCH(vp.data[[#This Row],[SDate]],weather.tbl[Date],0))</f>
        <v>3.5</v>
      </c>
      <c r="S1180" s="2">
        <f ca="1">INDEX(INDIRECT(_xlfn.CONCAT("weather.tbl[",S$1,"]")),MATCH(vp.data[[#This Row],[SDate]],weather.tbl[Date],0))</f>
        <v>3</v>
      </c>
      <c r="T1180" s="2">
        <f ca="1">INDEX(INDIRECT(_xlfn.CONCAT("weather.tbl[",T$1,"]")),MATCH(vp.data[[#This Row],[SDate]],weather.tbl[Date],0))</f>
        <v>3.7</v>
      </c>
      <c r="U1180" s="2">
        <f ca="1">INDEX(INDIRECT(_xlfn.CONCAT("weather.tbl[",U$1,"]")),MATCH(vp.data[[#This Row],[SDate]],weather.tbl[Date],0))</f>
        <v>2.8</v>
      </c>
      <c r="V1180" s="2">
        <f t="array" ref="V11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8466.4830000000002</v>
      </c>
      <c r="W1180" t="s">
        <v>48</v>
      </c>
      <c r="X1180">
        <f>IF(OR(vp.data[[#This Row],[Sulf]]="",vp.data[[#This Row],[Dens]]=""),1,0)</f>
        <v>0</v>
      </c>
      <c r="Y1180">
        <f>IF(vp.data[[#This Row],[CrudeType]]="C5+",1,0)</f>
        <v>0</v>
      </c>
      <c r="Z1180">
        <f>IF(AND(vp.data[[#This Row],[CrudeType]]="Crude",vp.data[[#This Row],[Dens]]&lt;=825,vp.data[[#This Row],[Sulf]]&gt;0.5,vp.data[[#This Row],[Unknown]]=0),1,0)</f>
        <v>0</v>
      </c>
      <c r="AA1180">
        <f>IF(AND(vp.data[[#This Row],[CrudeType]]="Crude",vp.data[[#This Row],[Dens]]&lt;=825,vp.data[[#This Row],[Sulf]]&lt;=0.5,vp.data[[#This Row],[Unknown]]=0),1,0)</f>
        <v>0</v>
      </c>
      <c r="AB11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80">
        <f>IF(AND(vp.data[[#This Row],[CrudeType]]="Crude",vp.data[[#This Row],[Dens]]&gt;825,vp.data[[#This Row],[Dens]]&lt;=900,vp.data[[#This Row],[Sulf]]&lt;=0.5,vp.data[[#This Row],[Unknown]]=0),1,0)</f>
        <v>0</v>
      </c>
      <c r="AD1180">
        <f>IF(AND(vp.data[[#This Row],[CrudeType]]="Crude",vp.data[[#This Row],[Dens]]&gt;865,vp.data[[#This Row],[Dens]]&lt;=900,vp.data[[#This Row],[Sulf]]&gt;2,vp.data[[#This Row],[Unknown]]=0),1,0)</f>
        <v>0</v>
      </c>
      <c r="AE1180">
        <f>IF(AND(vp.data[[#This Row],[CrudeType]]="Crude",vp.data[[#This Row],[Dens]]&gt;900,vp.data[[#This Row],[Sulf]]&lt;=0.5,vp.data[[#This Row],[Unknown]]=0),1,0)</f>
        <v>0</v>
      </c>
      <c r="AF1180">
        <f>IF(AND(vp.data[[#This Row],[CrudeType]]="Crude",vp.data[[#This Row],[Dens]]&gt;900,vp.data[[#This Row],[Sulf]]&lt;=0.5,vp.data[[#This Row],[Unknown]]=0),1,0)</f>
        <v>0</v>
      </c>
      <c r="AG1180" t="str">
        <f>INDEX(vp.data[[#Headers],[Unknown]:[Heavy_SW]],MATCH(1,vp.data[[#This Row],[Unknown]:[Heavy_SW]],0))</f>
        <v>Medium_LSB</v>
      </c>
      <c r="AH1180">
        <f>INDEX([3]!crudeBD.lkup[Number],MATCH(vp.data[[#This Row],[Crude_Breakdown]],crudeBD.lkup[Crude Breakdown],0))</f>
        <v>3</v>
      </c>
      <c r="AI1180">
        <f>MONTH(vp.data[[#This Row],[SDate]])</f>
        <v>4</v>
      </c>
      <c r="AJ1180" s="5">
        <f>(vp.data[[#This Row],[VP]]-INDEX(crudeBD.lkup[Mean_VP],MATCH(vp.data[[#This Row],[Crude_Breakdown]],crudeBD.lkup[Crude Breakdown],0)))^2</f>
        <v>22.660679349903745</v>
      </c>
      <c r="AK1180" s="5">
        <f>(vp.data[[#This Row],[Dens]]-INDEX(crudeBD.lkup[Mean_Dens],MATCH(vp.data[[#This Row],[Crude_Breakdown]],crudeBD.lkup[Crude Breakdown],0)))^2</f>
        <v>293.0943999999846</v>
      </c>
      <c r="AL1180" s="5">
        <f>(vp.data[[#This Row],[Sulf]]-INDEX(crudeBD.lkup[Mean_Sulf],MATCH(vp.data[[#This Row],[Crude_Breakdown]],crudeBD.lkup[Crude Breakdown],0)))^2</f>
        <v>3.4074159694074811E-2</v>
      </c>
      <c r="AM1180" s="4">
        <f>IF(AND(vp.data[[#This Row],[SDate]]&gt;=DATE(YEAR(vp.data[[#This Row],[SDate]]),5,1),vp.data[[#This Row],[SDate]]&lt;=DATE(YEAR(vp.data[[#This Row],[SDate]]),9,15)),1,0)</f>
        <v>0</v>
      </c>
      <c r="AN1180" s="4">
        <f>IF(vp.data[[#This Row],[SDate]]&lt;DATE(2016,12,1),0,1)</f>
        <v>1</v>
      </c>
      <c r="AO1180" s="4">
        <f>IFERROR(vp.data[[#This Row],[Sulf]]*vp.data[[#This Row],[Net Dens]],"")</f>
        <v>10990138.386708001</v>
      </c>
      <c r="AP1180">
        <f>IFERROR(vp.data[[#This Row],[Dens]]*vp.data[[#This Row],[VolumeM3]],"")</f>
        <v>7000088.1443999996</v>
      </c>
      <c r="AQ1180" s="15">
        <f>IFERROR(vp.data[[#This Row],[VP]]*vp.data[[#This Row],[VolumeM3]],"")</f>
        <v>723037.64820000005</v>
      </c>
    </row>
    <row r="1181" spans="1:43" x14ac:dyDescent="0.25">
      <c r="A1181">
        <v>1180</v>
      </c>
      <c r="B1181" t="s">
        <v>56</v>
      </c>
      <c r="C1181" t="s">
        <v>56</v>
      </c>
      <c r="D1181" t="s">
        <v>57</v>
      </c>
      <c r="F1181" s="1">
        <v>42830</v>
      </c>
      <c r="G1181" s="2">
        <v>77.599999999999994</v>
      </c>
      <c r="H1181" s="2"/>
      <c r="I1181" s="2">
        <f t="array" ref="I1181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1181" s="2">
        <v>16.399999999999999</v>
      </c>
      <c r="K1181" s="2">
        <v>9</v>
      </c>
      <c r="L1181" s="2">
        <v>853.4</v>
      </c>
      <c r="M1181" s="2">
        <f t="array" ref="M1181">_xlfn.IFNA(IF(vp.data[[#This Row],[Dens Input]]="",INDEX([1]DATA!$O$3:$O$9826,MATCH(1,(vp.data[[#This Row],[Battery]]=[1]DATA!$L$3:$L$9826)*(EOMONTH(vp.data[[#This Row],[SDate]],-1)+1=[1]DATA!$G$3:$G$9826),0)),vp.data[[#This Row],[Dens Input]]),"")</f>
        <v>853.4</v>
      </c>
      <c r="N1181" s="2">
        <f ca="1">INDEX(INDIRECT(_xlfn.CONCAT("weather.tbl[",N$1,"]")),MATCH(vp.data[[#This Row],[SDate]],weather.tbl[Date],0))</f>
        <v>3.2666666666666671</v>
      </c>
      <c r="O1181" s="2">
        <f ca="1">INDEX(INDIRECT(_xlfn.CONCAT("weather.tbl[",O$1,"]")),MATCH(vp.data[[#This Row],[SDate]],weather.tbl[Date],0))</f>
        <v>5.4857142857142858</v>
      </c>
      <c r="P1181" s="2">
        <f ca="1">INDEX(INDIRECT(_xlfn.CONCAT("weather.tbl[",P$1,"]")),MATCH(vp.data[[#This Row],[SDate]],weather.tbl[Date],0))</f>
        <v>3.2</v>
      </c>
      <c r="Q1181" s="2">
        <f ca="1">INDEX(INDIRECT(_xlfn.CONCAT("weather.tbl[",Q$1,"]")),MATCH(vp.data[[#This Row],[SDate]],weather.tbl[Date],0))</f>
        <v>3.4</v>
      </c>
      <c r="R1181" s="2">
        <f ca="1">INDEX(INDIRECT(_xlfn.CONCAT("weather.tbl[",R$1,"]")),MATCH(vp.data[[#This Row],[SDate]],weather.tbl[Date],0))</f>
        <v>3.5</v>
      </c>
      <c r="S1181" s="2">
        <f ca="1">INDEX(INDIRECT(_xlfn.CONCAT("weather.tbl[",S$1,"]")),MATCH(vp.data[[#This Row],[SDate]],weather.tbl[Date],0))</f>
        <v>3</v>
      </c>
      <c r="T1181" s="2">
        <f ca="1">INDEX(INDIRECT(_xlfn.CONCAT("weather.tbl[",T$1,"]")),MATCH(vp.data[[#This Row],[SDate]],weather.tbl[Date],0))</f>
        <v>3.7</v>
      </c>
      <c r="U1181" s="2">
        <f ca="1">INDEX(INDIRECT(_xlfn.CONCAT("weather.tbl[",U$1,"]")),MATCH(vp.data[[#This Row],[SDate]],weather.tbl[Date],0))</f>
        <v>2.8</v>
      </c>
      <c r="V1181" s="2">
        <f t="array" ref="V11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2980.6370000000002</v>
      </c>
      <c r="W1181" t="s">
        <v>48</v>
      </c>
      <c r="X1181">
        <f>IF(OR(vp.data[[#This Row],[Sulf]]="",vp.data[[#This Row],[Dens]]=""),1,0)</f>
        <v>0</v>
      </c>
      <c r="Y1181">
        <f>IF(vp.data[[#This Row],[CrudeType]]="C5+",1,0)</f>
        <v>0</v>
      </c>
      <c r="Z1181">
        <f>IF(AND(vp.data[[#This Row],[CrudeType]]="Crude",vp.data[[#This Row],[Dens]]&lt;=825,vp.data[[#This Row],[Sulf]]&gt;0.5,vp.data[[#This Row],[Unknown]]=0),1,0)</f>
        <v>0</v>
      </c>
      <c r="AA1181">
        <f>IF(AND(vp.data[[#This Row],[CrudeType]]="Crude",vp.data[[#This Row],[Dens]]&lt;=825,vp.data[[#This Row],[Sulf]]&lt;=0.5,vp.data[[#This Row],[Unknown]]=0),1,0)</f>
        <v>0</v>
      </c>
      <c r="AB11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81">
        <f>IF(AND(vp.data[[#This Row],[CrudeType]]="Crude",vp.data[[#This Row],[Dens]]&gt;825,vp.data[[#This Row],[Dens]]&lt;=900,vp.data[[#This Row],[Sulf]]&lt;=0.5,vp.data[[#This Row],[Unknown]]=0),1,0)</f>
        <v>0</v>
      </c>
      <c r="AD1181">
        <f>IF(AND(vp.data[[#This Row],[CrudeType]]="Crude",vp.data[[#This Row],[Dens]]&gt;865,vp.data[[#This Row],[Dens]]&lt;=900,vp.data[[#This Row],[Sulf]]&gt;2,vp.data[[#This Row],[Unknown]]=0),1,0)</f>
        <v>0</v>
      </c>
      <c r="AE1181">
        <f>IF(AND(vp.data[[#This Row],[CrudeType]]="Crude",vp.data[[#This Row],[Dens]]&gt;900,vp.data[[#This Row],[Sulf]]&lt;=0.5,vp.data[[#This Row],[Unknown]]=0),1,0)</f>
        <v>0</v>
      </c>
      <c r="AF1181">
        <f>IF(AND(vp.data[[#This Row],[CrudeType]]="Crude",vp.data[[#This Row],[Dens]]&gt;900,vp.data[[#This Row],[Sulf]]&lt;=0.5,vp.data[[#This Row],[Unknown]]=0),1,0)</f>
        <v>0</v>
      </c>
      <c r="AG1181" t="str">
        <f>INDEX(vp.data[[#Headers],[Unknown]:[Heavy_SW]],MATCH(1,vp.data[[#This Row],[Unknown]:[Heavy_SW]],0))</f>
        <v>Medium_LSB</v>
      </c>
      <c r="AH1181">
        <f>INDEX([3]!crudeBD.lkup[Number],MATCH(vp.data[[#This Row],[Crude_Breakdown]],crudeBD.lkup[Crude Breakdown],0))</f>
        <v>3</v>
      </c>
      <c r="AI1181">
        <f>MONTH(vp.data[[#This Row],[SDate]])</f>
        <v>4</v>
      </c>
      <c r="AJ1181" s="5">
        <f>(vp.data[[#This Row],[VP]]-INDEX(crudeBD.lkup[Mean_VP],MATCH(vp.data[[#This Row],[Crude_Breakdown]],crudeBD.lkup[Crude Breakdown],0)))^2</f>
        <v>9.2396335278001818</v>
      </c>
      <c r="AK1181" s="5">
        <f>(vp.data[[#This Row],[Dens]]-INDEX(crudeBD.lkup[Mean_Dens],MATCH(vp.data[[#This Row],[Crude_Breakdown]],crudeBD.lkup[Crude Breakdown],0)))^2</f>
        <v>89.870400000008971</v>
      </c>
      <c r="AL1181" s="5">
        <f>(vp.data[[#This Row],[Sulf]]-INDEX(crudeBD.lkup[Mean_Sulf],MATCH(vp.data[[#This Row],[Crude_Breakdown]],crudeBD.lkup[Crude Breakdown],0)))^2</f>
        <v>8.678437182345447E-2</v>
      </c>
      <c r="AM1181" s="4">
        <f>IF(AND(vp.data[[#This Row],[SDate]]&gt;=DATE(YEAR(vp.data[[#This Row],[SDate]]),5,1),vp.data[[#This Row],[SDate]]&lt;=DATE(YEAR(vp.data[[#This Row],[SDate]]),9,15)),1,0)</f>
        <v>0</v>
      </c>
      <c r="AN1181" s="4">
        <f>IF(vp.data[[#This Row],[SDate]]&lt;DATE(2016,12,1),0,1)</f>
        <v>1</v>
      </c>
      <c r="AO1181" s="4">
        <f>IFERROR(vp.data[[#This Row],[Sulf]]*vp.data[[#This Row],[Net Dens]],"")</f>
        <v>4273375.0345440004</v>
      </c>
      <c r="AP1181">
        <f>IFERROR(vp.data[[#This Row],[Dens]]*vp.data[[#This Row],[VolumeM3]],"")</f>
        <v>2543675.6158000003</v>
      </c>
      <c r="AQ1181" s="15">
        <f>IFERROR(vp.data[[#This Row],[VP]]*vp.data[[#This Row],[VolumeM3]],"")</f>
        <v>231297.43119999999</v>
      </c>
    </row>
    <row r="1182" spans="1:43" x14ac:dyDescent="0.25">
      <c r="A1182">
        <v>1181</v>
      </c>
      <c r="B1182" t="s">
        <v>56</v>
      </c>
      <c r="C1182" t="s">
        <v>56</v>
      </c>
      <c r="D1182" t="s">
        <v>94</v>
      </c>
      <c r="F1182" s="1">
        <v>42830</v>
      </c>
      <c r="G1182" s="2">
        <v>75.8</v>
      </c>
      <c r="H1182" s="2"/>
      <c r="I1182" s="2">
        <f t="array" ref="I1182">_xlfn.IFNA(IF(vp.data[[#This Row],[Sulf Input]]="",INDEX([1]DATA!$Q$3:$Q$9826,MATCH(1,(vp.data[[#This Row],[Battery]]=[1]DATA!$L$3:$L$9826)*(EOMONTH(vp.data[[#This Row],[SDate]],-1)+1=[1]DATA!$G$3:$G$9826),0)),vp.data[[#This Row],[Sulf Input]]),"")</f>
        <v>1.97</v>
      </c>
      <c r="J1182" s="2">
        <v>26.6</v>
      </c>
      <c r="K1182" s="2">
        <v>9</v>
      </c>
      <c r="L1182" s="2">
        <v>858.3</v>
      </c>
      <c r="M1182" s="2">
        <f t="array" ref="M1182">_xlfn.IFNA(IF(vp.data[[#This Row],[Dens Input]]="",INDEX([1]DATA!$O$3:$O$9826,MATCH(1,(vp.data[[#This Row],[Battery]]=[1]DATA!$L$3:$L$9826)*(EOMONTH(vp.data[[#This Row],[SDate]],-1)+1=[1]DATA!$G$3:$G$9826),0)),vp.data[[#This Row],[Dens Input]]),"")</f>
        <v>858.3</v>
      </c>
      <c r="N1182" s="2">
        <f ca="1">INDEX(INDIRECT(_xlfn.CONCAT("weather.tbl[",N$1,"]")),MATCH(vp.data[[#This Row],[SDate]],weather.tbl[Date],0))</f>
        <v>3.2666666666666671</v>
      </c>
      <c r="O1182" s="2">
        <f ca="1">INDEX(INDIRECT(_xlfn.CONCAT("weather.tbl[",O$1,"]")),MATCH(vp.data[[#This Row],[SDate]],weather.tbl[Date],0))</f>
        <v>5.4857142857142858</v>
      </c>
      <c r="P1182" s="2">
        <f ca="1">INDEX(INDIRECT(_xlfn.CONCAT("weather.tbl[",P$1,"]")),MATCH(vp.data[[#This Row],[SDate]],weather.tbl[Date],0))</f>
        <v>3.2</v>
      </c>
      <c r="Q1182" s="2">
        <f ca="1">INDEX(INDIRECT(_xlfn.CONCAT("weather.tbl[",Q$1,"]")),MATCH(vp.data[[#This Row],[SDate]],weather.tbl[Date],0))</f>
        <v>3.4</v>
      </c>
      <c r="R1182" s="2">
        <f ca="1">INDEX(INDIRECT(_xlfn.CONCAT("weather.tbl[",R$1,"]")),MATCH(vp.data[[#This Row],[SDate]],weather.tbl[Date],0))</f>
        <v>3.5</v>
      </c>
      <c r="S1182" s="2">
        <f ca="1">INDEX(INDIRECT(_xlfn.CONCAT("weather.tbl[",S$1,"]")),MATCH(vp.data[[#This Row],[SDate]],weather.tbl[Date],0))</f>
        <v>3</v>
      </c>
      <c r="T1182" s="2">
        <f ca="1">INDEX(INDIRECT(_xlfn.CONCAT("weather.tbl[",T$1,"]")),MATCH(vp.data[[#This Row],[SDate]],weather.tbl[Date],0))</f>
        <v>3.7</v>
      </c>
      <c r="U1182" s="2">
        <f ca="1">INDEX(INDIRECT(_xlfn.CONCAT("weather.tbl[",U$1,"]")),MATCH(vp.data[[#This Row],[SDate]],weather.tbl[Date],0))</f>
        <v>2.8</v>
      </c>
      <c r="V1182" s="2">
        <f t="array" ref="V11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3705.826</v>
      </c>
      <c r="W1182" t="s">
        <v>48</v>
      </c>
      <c r="X1182">
        <f>IF(OR(vp.data[[#This Row],[Sulf]]="",vp.data[[#This Row],[Dens]]=""),1,0)</f>
        <v>0</v>
      </c>
      <c r="Y1182">
        <f>IF(vp.data[[#This Row],[CrudeType]]="C5+",1,0)</f>
        <v>0</v>
      </c>
      <c r="Z1182">
        <f>IF(AND(vp.data[[#This Row],[CrudeType]]="Crude",vp.data[[#This Row],[Dens]]&lt;=825,vp.data[[#This Row],[Sulf]]&gt;0.5,vp.data[[#This Row],[Unknown]]=0),1,0)</f>
        <v>0</v>
      </c>
      <c r="AA1182">
        <f>IF(AND(vp.data[[#This Row],[CrudeType]]="Crude",vp.data[[#This Row],[Dens]]&lt;=825,vp.data[[#This Row],[Sulf]]&lt;=0.5,vp.data[[#This Row],[Unknown]]=0),1,0)</f>
        <v>0</v>
      </c>
      <c r="AB11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82">
        <f>IF(AND(vp.data[[#This Row],[CrudeType]]="Crude",vp.data[[#This Row],[Dens]]&gt;825,vp.data[[#This Row],[Dens]]&lt;=900,vp.data[[#This Row],[Sulf]]&lt;=0.5,vp.data[[#This Row],[Unknown]]=0),1,0)</f>
        <v>0</v>
      </c>
      <c r="AD1182">
        <f>IF(AND(vp.data[[#This Row],[CrudeType]]="Crude",vp.data[[#This Row],[Dens]]&gt;865,vp.data[[#This Row],[Dens]]&lt;=900,vp.data[[#This Row],[Sulf]]&gt;2,vp.data[[#This Row],[Unknown]]=0),1,0)</f>
        <v>0</v>
      </c>
      <c r="AE1182">
        <f>IF(AND(vp.data[[#This Row],[CrudeType]]="Crude",vp.data[[#This Row],[Dens]]&gt;900,vp.data[[#This Row],[Sulf]]&lt;=0.5,vp.data[[#This Row],[Unknown]]=0),1,0)</f>
        <v>0</v>
      </c>
      <c r="AF1182">
        <f>IF(AND(vp.data[[#This Row],[CrudeType]]="Crude",vp.data[[#This Row],[Dens]]&gt;900,vp.data[[#This Row],[Sulf]]&lt;=0.5,vp.data[[#This Row],[Unknown]]=0),1,0)</f>
        <v>0</v>
      </c>
      <c r="AG1182" t="str">
        <f>INDEX(vp.data[[#Headers],[Unknown]:[Heavy_SW]],MATCH(1,vp.data[[#This Row],[Unknown]:[Heavy_SW]],0))</f>
        <v>Medium_LSB</v>
      </c>
      <c r="AH1182">
        <f>INDEX([3]!crudeBD.lkup[Number],MATCH(vp.data[[#This Row],[Crude_Breakdown]],crudeBD.lkup[Crude Breakdown],0))</f>
        <v>3</v>
      </c>
      <c r="AI1182">
        <f>MONTH(vp.data[[#This Row],[SDate]])</f>
        <v>4</v>
      </c>
      <c r="AJ1182" s="5">
        <f>(vp.data[[#This Row],[VP]]-INDEX(crudeBD.lkup[Mean_VP],MATCH(vp.data[[#This Row],[Crude_Breakdown]],crudeBD.lkup[Crude Breakdown],0)))^2</f>
        <v>23.422469107314743</v>
      </c>
      <c r="AK1182" s="5">
        <f>(vp.data[[#This Row],[Dens]]-INDEX(crudeBD.lkup[Mean_Dens],MATCH(vp.data[[#This Row],[Crude_Breakdown]],crudeBD.lkup[Crude Breakdown],0)))^2</f>
        <v>206.78440000001294</v>
      </c>
      <c r="AL1182" s="5">
        <f>(vp.data[[#This Row],[Sulf]]-INDEX(crudeBD.lkup[Mean_Sulf],MATCH(vp.data[[#This Row],[Crude_Breakdown]],crudeBD.lkup[Crude Breakdown],0)))^2</f>
        <v>0.34174765834636467</v>
      </c>
      <c r="AM1182" s="4">
        <f>IF(AND(vp.data[[#This Row],[SDate]]&gt;=DATE(YEAR(vp.data[[#This Row],[SDate]]),5,1),vp.data[[#This Row],[SDate]]&lt;=DATE(YEAR(vp.data[[#This Row],[SDate]]),9,15)),1,0)</f>
        <v>0</v>
      </c>
      <c r="AN1182" s="4">
        <f>IF(vp.data[[#This Row],[SDate]]&lt;DATE(2016,12,1),0,1)</f>
        <v>1</v>
      </c>
      <c r="AO1182" s="4">
        <f>IFERROR(vp.data[[#This Row],[Sulf]]*vp.data[[#This Row],[Net Dens]],"")</f>
        <v>6265999.5979259992</v>
      </c>
      <c r="AP1182">
        <f>IFERROR(vp.data[[#This Row],[Dens]]*vp.data[[#This Row],[VolumeM3]],"")</f>
        <v>3180710.4557999996</v>
      </c>
      <c r="AQ1182" s="15">
        <f>IFERROR(vp.data[[#This Row],[VP]]*vp.data[[#This Row],[VolumeM3]],"")</f>
        <v>280901.61079999997</v>
      </c>
    </row>
    <row r="1183" spans="1:43" x14ac:dyDescent="0.25">
      <c r="A1183">
        <v>1182</v>
      </c>
      <c r="B1183" t="s">
        <v>111</v>
      </c>
      <c r="C1183" t="s">
        <v>111</v>
      </c>
      <c r="D1183" t="s">
        <v>112</v>
      </c>
      <c r="F1183" s="1">
        <v>42830</v>
      </c>
      <c r="G1183" s="2">
        <v>63.7</v>
      </c>
      <c r="H1183" s="2"/>
      <c r="I1183" s="2">
        <f t="array" ref="I1183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1183" s="2">
        <v>37.1</v>
      </c>
      <c r="K1183" s="2">
        <v>9</v>
      </c>
      <c r="L1183" s="2">
        <v>859.6</v>
      </c>
      <c r="M1183" s="2">
        <f t="array" ref="M1183">_xlfn.IFNA(IF(vp.data[[#This Row],[Dens Input]]="",INDEX([1]DATA!$O$3:$O$9826,MATCH(1,(vp.data[[#This Row],[Battery]]=[1]DATA!$L$3:$L$9826)*(EOMONTH(vp.data[[#This Row],[SDate]],-1)+1=[1]DATA!$G$3:$G$9826),0)),vp.data[[#This Row],[Dens Input]]),"")</f>
        <v>859.6</v>
      </c>
      <c r="N1183" s="2">
        <f ca="1">INDEX(INDIRECT(_xlfn.CONCAT("weather.tbl[",N$1,"]")),MATCH(vp.data[[#This Row],[SDate]],weather.tbl[Date],0))</f>
        <v>3.2666666666666671</v>
      </c>
      <c r="O1183" s="2">
        <f ca="1">INDEX(INDIRECT(_xlfn.CONCAT("weather.tbl[",O$1,"]")),MATCH(vp.data[[#This Row],[SDate]],weather.tbl[Date],0))</f>
        <v>5.4857142857142858</v>
      </c>
      <c r="P1183" s="2">
        <f ca="1">INDEX(INDIRECT(_xlfn.CONCAT("weather.tbl[",P$1,"]")),MATCH(vp.data[[#This Row],[SDate]],weather.tbl[Date],0))</f>
        <v>3.2</v>
      </c>
      <c r="Q1183" s="2">
        <f ca="1">INDEX(INDIRECT(_xlfn.CONCAT("weather.tbl[",Q$1,"]")),MATCH(vp.data[[#This Row],[SDate]],weather.tbl[Date],0))</f>
        <v>3.4</v>
      </c>
      <c r="R1183" s="2">
        <f ca="1">INDEX(INDIRECT(_xlfn.CONCAT("weather.tbl[",R$1,"]")),MATCH(vp.data[[#This Row],[SDate]],weather.tbl[Date],0))</f>
        <v>3.5</v>
      </c>
      <c r="S1183" s="2">
        <f ca="1">INDEX(INDIRECT(_xlfn.CONCAT("weather.tbl[",S$1,"]")),MATCH(vp.data[[#This Row],[SDate]],weather.tbl[Date],0))</f>
        <v>3</v>
      </c>
      <c r="T1183" s="2">
        <f ca="1">INDEX(INDIRECT(_xlfn.CONCAT("weather.tbl[",T$1,"]")),MATCH(vp.data[[#This Row],[SDate]],weather.tbl[Date],0))</f>
        <v>3.7</v>
      </c>
      <c r="U1183" s="2">
        <f ca="1">INDEX(INDIRECT(_xlfn.CONCAT("weather.tbl[",U$1,"]")),MATCH(vp.data[[#This Row],[SDate]],weather.tbl[Date],0))</f>
        <v>2.8</v>
      </c>
      <c r="V1183" s="2">
        <f t="array" ref="V11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7693.7780000000002</v>
      </c>
      <c r="W1183" t="s">
        <v>48</v>
      </c>
      <c r="X1183">
        <f>IF(OR(vp.data[[#This Row],[Sulf]]="",vp.data[[#This Row],[Dens]]=""),1,0)</f>
        <v>0</v>
      </c>
      <c r="Y1183">
        <f>IF(vp.data[[#This Row],[CrudeType]]="C5+",1,0)</f>
        <v>0</v>
      </c>
      <c r="Z1183">
        <f>IF(AND(vp.data[[#This Row],[CrudeType]]="Crude",vp.data[[#This Row],[Dens]]&lt;=825,vp.data[[#This Row],[Sulf]]&gt;0.5,vp.data[[#This Row],[Unknown]]=0),1,0)</f>
        <v>0</v>
      </c>
      <c r="AA1183">
        <f>IF(AND(vp.data[[#This Row],[CrudeType]]="Crude",vp.data[[#This Row],[Dens]]&lt;=825,vp.data[[#This Row],[Sulf]]&lt;=0.5,vp.data[[#This Row],[Unknown]]=0),1,0)</f>
        <v>0</v>
      </c>
      <c r="AB11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83">
        <f>IF(AND(vp.data[[#This Row],[CrudeType]]="Crude",vp.data[[#This Row],[Dens]]&gt;825,vp.data[[#This Row],[Dens]]&lt;=900,vp.data[[#This Row],[Sulf]]&lt;=0.5,vp.data[[#This Row],[Unknown]]=0),1,0)</f>
        <v>0</v>
      </c>
      <c r="AD1183">
        <f>IF(AND(vp.data[[#This Row],[CrudeType]]="Crude",vp.data[[#This Row],[Dens]]&gt;865,vp.data[[#This Row],[Dens]]&lt;=900,vp.data[[#This Row],[Sulf]]&gt;2,vp.data[[#This Row],[Unknown]]=0),1,0)</f>
        <v>0</v>
      </c>
      <c r="AE1183">
        <f>IF(AND(vp.data[[#This Row],[CrudeType]]="Crude",vp.data[[#This Row],[Dens]]&gt;900,vp.data[[#This Row],[Sulf]]&lt;=0.5,vp.data[[#This Row],[Unknown]]=0),1,0)</f>
        <v>0</v>
      </c>
      <c r="AF1183">
        <f>IF(AND(vp.data[[#This Row],[CrudeType]]="Crude",vp.data[[#This Row],[Dens]]&gt;900,vp.data[[#This Row],[Sulf]]&lt;=0.5,vp.data[[#This Row],[Unknown]]=0),1,0)</f>
        <v>0</v>
      </c>
      <c r="AG1183" t="str">
        <f>INDEX(vp.data[[#Headers],[Unknown]:[Heavy_SW]],MATCH(1,vp.data[[#This Row],[Unknown]:[Heavy_SW]],0))</f>
        <v>Medium_LSB</v>
      </c>
      <c r="AH1183">
        <f>INDEX([3]!crudeBD.lkup[Number],MATCH(vp.data[[#This Row],[Crude_Breakdown]],crudeBD.lkup[Crude Breakdown],0))</f>
        <v>3</v>
      </c>
      <c r="AI1183">
        <f>MONTH(vp.data[[#This Row],[SDate]])</f>
        <v>4</v>
      </c>
      <c r="AJ1183" s="5">
        <f>(vp.data[[#This Row],[VP]]-INDEX(crudeBD.lkup[Mean_VP],MATCH(vp.data[[#This Row],[Crude_Breakdown]],crudeBD.lkup[Crude Breakdown],0)))^2</f>
        <v>286.95264161405146</v>
      </c>
      <c r="AK1183" s="5">
        <f>(vp.data[[#This Row],[Dens]]-INDEX(crudeBD.lkup[Mean_Dens],MATCH(vp.data[[#This Row],[Crude_Breakdown]],crudeBD.lkup[Crude Breakdown],0)))^2</f>
        <v>245.86240000001627</v>
      </c>
      <c r="AL1183" s="5">
        <f>(vp.data[[#This Row],[Sulf]]-INDEX(crudeBD.lkup[Mean_Sulf],MATCH(vp.data[[#This Row],[Crude_Breakdown]],crudeBD.lkup[Crude Breakdown],0)))^2</f>
        <v>0.23482928368329231</v>
      </c>
      <c r="AM1183" s="4">
        <f>IF(AND(vp.data[[#This Row],[SDate]]&gt;=DATE(YEAR(vp.data[[#This Row],[SDate]]),5,1),vp.data[[#This Row],[SDate]]&lt;=DATE(YEAR(vp.data[[#This Row],[SDate]]),9,15)),1,0)</f>
        <v>0</v>
      </c>
      <c r="AN1183" s="4">
        <f>IF(vp.data[[#This Row],[SDate]]&lt;DATE(2016,12,1),0,1)</f>
        <v>1</v>
      </c>
      <c r="AO1183" s="4">
        <f>IFERROR(vp.data[[#This Row],[Sulf]]*vp.data[[#This Row],[Net Dens]],"")</f>
        <v>12367378.833656002</v>
      </c>
      <c r="AP1183">
        <f>IFERROR(vp.data[[#This Row],[Dens]]*vp.data[[#This Row],[VolumeM3]],"")</f>
        <v>6613571.5688000005</v>
      </c>
      <c r="AQ1183" s="15">
        <f>IFERROR(vp.data[[#This Row],[VP]]*vp.data[[#This Row],[VolumeM3]],"")</f>
        <v>490093.65860000002</v>
      </c>
    </row>
    <row r="1184" spans="1:43" x14ac:dyDescent="0.25">
      <c r="A1184">
        <v>1183</v>
      </c>
      <c r="B1184" t="s">
        <v>46</v>
      </c>
      <c r="C1184" t="s">
        <v>46</v>
      </c>
      <c r="D1184" t="s">
        <v>47</v>
      </c>
      <c r="F1184" s="1">
        <v>42830</v>
      </c>
      <c r="G1184" s="2">
        <v>57</v>
      </c>
      <c r="H1184" s="2"/>
      <c r="I1184" s="2">
        <f t="array" ref="I1184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184" s="2">
        <v>30.7</v>
      </c>
      <c r="K1184" s="2">
        <v>9</v>
      </c>
      <c r="L1184" s="2">
        <v>869.1</v>
      </c>
      <c r="M1184" s="2">
        <f t="array" ref="M1184">_xlfn.IFNA(IF(vp.data[[#This Row],[Dens Input]]="",INDEX([1]DATA!$O$3:$O$9826,MATCH(1,(vp.data[[#This Row],[Battery]]=[1]DATA!$L$3:$L$9826)*(EOMONTH(vp.data[[#This Row],[SDate]],-1)+1=[1]DATA!$G$3:$G$9826),0)),vp.data[[#This Row],[Dens Input]]),"")</f>
        <v>869.1</v>
      </c>
      <c r="N1184" s="2">
        <f ca="1">INDEX(INDIRECT(_xlfn.CONCAT("weather.tbl[",N$1,"]")),MATCH(vp.data[[#This Row],[SDate]],weather.tbl[Date],0))</f>
        <v>3.2666666666666671</v>
      </c>
      <c r="O1184" s="2">
        <f ca="1">INDEX(INDIRECT(_xlfn.CONCAT("weather.tbl[",O$1,"]")),MATCH(vp.data[[#This Row],[SDate]],weather.tbl[Date],0))</f>
        <v>5.4857142857142858</v>
      </c>
      <c r="P1184" s="2">
        <f ca="1">INDEX(INDIRECT(_xlfn.CONCAT("weather.tbl[",P$1,"]")),MATCH(vp.data[[#This Row],[SDate]],weather.tbl[Date],0))</f>
        <v>3.2</v>
      </c>
      <c r="Q1184" s="2">
        <f ca="1">INDEX(INDIRECT(_xlfn.CONCAT("weather.tbl[",Q$1,"]")),MATCH(vp.data[[#This Row],[SDate]],weather.tbl[Date],0))</f>
        <v>3.4</v>
      </c>
      <c r="R1184" s="2">
        <f ca="1">INDEX(INDIRECT(_xlfn.CONCAT("weather.tbl[",R$1,"]")),MATCH(vp.data[[#This Row],[SDate]],weather.tbl[Date],0))</f>
        <v>3.5</v>
      </c>
      <c r="S1184" s="2">
        <f ca="1">INDEX(INDIRECT(_xlfn.CONCAT("weather.tbl[",S$1,"]")),MATCH(vp.data[[#This Row],[SDate]],weather.tbl[Date],0))</f>
        <v>3</v>
      </c>
      <c r="T1184" s="2">
        <f ca="1">INDEX(INDIRECT(_xlfn.CONCAT("weather.tbl[",T$1,"]")),MATCH(vp.data[[#This Row],[SDate]],weather.tbl[Date],0))</f>
        <v>3.7</v>
      </c>
      <c r="U1184" s="2">
        <f ca="1">INDEX(INDIRECT(_xlfn.CONCAT("weather.tbl[",U$1,"]")),MATCH(vp.data[[#This Row],[SDate]],weather.tbl[Date],0))</f>
        <v>2.8</v>
      </c>
      <c r="V1184" s="2">
        <f t="array" ref="V11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115537.139</v>
      </c>
      <c r="W1184" t="s">
        <v>48</v>
      </c>
      <c r="X1184">
        <f>IF(OR(vp.data[[#This Row],[Sulf]]="",vp.data[[#This Row],[Dens]]=""),1,0)</f>
        <v>0</v>
      </c>
      <c r="Y1184">
        <f>IF(vp.data[[#This Row],[CrudeType]]="C5+",1,0)</f>
        <v>0</v>
      </c>
      <c r="Z1184">
        <f>IF(AND(vp.data[[#This Row],[CrudeType]]="Crude",vp.data[[#This Row],[Dens]]&lt;=825,vp.data[[#This Row],[Sulf]]&gt;0.5,vp.data[[#This Row],[Unknown]]=0),1,0)</f>
        <v>0</v>
      </c>
      <c r="AA1184">
        <f>IF(AND(vp.data[[#This Row],[CrudeType]]="Crude",vp.data[[#This Row],[Dens]]&lt;=825,vp.data[[#This Row],[Sulf]]&lt;=0.5,vp.data[[#This Row],[Unknown]]=0),1,0)</f>
        <v>0</v>
      </c>
      <c r="AB11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4">
        <f>IF(AND(vp.data[[#This Row],[CrudeType]]="Crude",vp.data[[#This Row],[Dens]]&gt;825,vp.data[[#This Row],[Dens]]&lt;=900,vp.data[[#This Row],[Sulf]]&lt;=0.5,vp.data[[#This Row],[Unknown]]=0),1,0)</f>
        <v>0</v>
      </c>
      <c r="AD1184">
        <f>IF(AND(vp.data[[#This Row],[CrudeType]]="Crude",vp.data[[#This Row],[Dens]]&gt;865,vp.data[[#This Row],[Dens]]&lt;=900,vp.data[[#This Row],[Sulf]]&gt;2,vp.data[[#This Row],[Unknown]]=0),1,0)</f>
        <v>1</v>
      </c>
      <c r="AE1184">
        <f>IF(AND(vp.data[[#This Row],[CrudeType]]="Crude",vp.data[[#This Row],[Dens]]&gt;900,vp.data[[#This Row],[Sulf]]&lt;=0.5,vp.data[[#This Row],[Unknown]]=0),1,0)</f>
        <v>0</v>
      </c>
      <c r="AF1184">
        <f>IF(AND(vp.data[[#This Row],[CrudeType]]="Crude",vp.data[[#This Row],[Dens]]&gt;900,vp.data[[#This Row],[Sulf]]&lt;=0.5,vp.data[[#This Row],[Unknown]]=0),1,0)</f>
        <v>0</v>
      </c>
      <c r="AG1184" t="str">
        <f>INDEX(vp.data[[#Headers],[Unknown]:[Heavy_SW]],MATCH(1,vp.data[[#This Row],[Unknown]:[Heavy_SW]],0))</f>
        <v>Midale</v>
      </c>
      <c r="AH1184">
        <f>INDEX([3]!crudeBD.lkup[Number],MATCH(vp.data[[#This Row],[Crude_Breakdown]],crudeBD.lkup[Crude Breakdown],0))</f>
        <v>5</v>
      </c>
      <c r="AI1184">
        <f>MONTH(vp.data[[#This Row],[SDate]])</f>
        <v>4</v>
      </c>
      <c r="AJ1184" s="5">
        <f>(vp.data[[#This Row],[VP]]-INDEX(crudeBD.lkup[Mean_VP],MATCH(vp.data[[#This Row],[Crude_Breakdown]],crudeBD.lkup[Crude Breakdown],0)))^2</f>
        <v>153.97739637581117</v>
      </c>
      <c r="AK1184" s="5">
        <f>(vp.data[[#This Row],[Dens]]-INDEX(crudeBD.lkup[Mean_Dens],MATCH(vp.data[[#This Row],[Crude_Breakdown]],crudeBD.lkup[Crude Breakdown],0)))^2</f>
        <v>32.684206876398193</v>
      </c>
      <c r="AL1184" s="5">
        <f>(vp.data[[#This Row],[Sulf]]-INDEX(crudeBD.lkup[Mean_Sulf],MATCH(vp.data[[#This Row],[Crude_Breakdown]],crudeBD.lkup[Crude Breakdown],0)))^2</f>
        <v>1.9023176856306674E-3</v>
      </c>
      <c r="AM1184" s="4">
        <f>IF(AND(vp.data[[#This Row],[SDate]]&gt;=DATE(YEAR(vp.data[[#This Row],[SDate]]),5,1),vp.data[[#This Row],[SDate]]&lt;=DATE(YEAR(vp.data[[#This Row],[SDate]]),9,15)),1,0)</f>
        <v>0</v>
      </c>
      <c r="AN1184" s="4">
        <f>IF(vp.data[[#This Row],[SDate]]&lt;DATE(2016,12,1),0,1)</f>
        <v>1</v>
      </c>
      <c r="AO1184" s="4">
        <f>IFERROR(vp.data[[#This Row],[Sulf]]*vp.data[[#This Row],[Net Dens]],"")</f>
        <v>240991986.01175997</v>
      </c>
      <c r="AP1184">
        <f>IFERROR(vp.data[[#This Row],[Dens]]*vp.data[[#This Row],[VolumeM3]],"")</f>
        <v>100413327.50489999</v>
      </c>
      <c r="AQ1184" s="15">
        <f>IFERROR(vp.data[[#This Row],[VP]]*vp.data[[#This Row],[VolumeM3]],"")</f>
        <v>6585616.9229999995</v>
      </c>
    </row>
    <row r="1185" spans="1:43" x14ac:dyDescent="0.25">
      <c r="A1185">
        <v>1184</v>
      </c>
      <c r="B1185" t="s">
        <v>51</v>
      </c>
      <c r="C1185" t="s">
        <v>51</v>
      </c>
      <c r="D1185" t="s">
        <v>52</v>
      </c>
      <c r="F1185" s="1">
        <v>42830</v>
      </c>
      <c r="G1185" s="2">
        <v>73.900000000000006</v>
      </c>
      <c r="H1185" s="2"/>
      <c r="I1185" s="2">
        <f t="array" ref="I1185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185" s="2">
        <v>32.4</v>
      </c>
      <c r="K1185" s="2">
        <v>9</v>
      </c>
      <c r="L1185" s="2">
        <v>869.4</v>
      </c>
      <c r="M1185" s="2">
        <f t="array" ref="M1185">_xlfn.IFNA(IF(vp.data[[#This Row],[Dens Input]]="",INDEX([1]DATA!$O$3:$O$9826,MATCH(1,(vp.data[[#This Row],[Battery]]=[1]DATA!$L$3:$L$9826)*(EOMONTH(vp.data[[#This Row],[SDate]],-1)+1=[1]DATA!$G$3:$G$9826),0)),vp.data[[#This Row],[Dens Input]]),"")</f>
        <v>869.4</v>
      </c>
      <c r="N1185" s="2">
        <f ca="1">INDEX(INDIRECT(_xlfn.CONCAT("weather.tbl[",N$1,"]")),MATCH(vp.data[[#This Row],[SDate]],weather.tbl[Date],0))</f>
        <v>3.2666666666666671</v>
      </c>
      <c r="O1185" s="2">
        <f ca="1">INDEX(INDIRECT(_xlfn.CONCAT("weather.tbl[",O$1,"]")),MATCH(vp.data[[#This Row],[SDate]],weather.tbl[Date],0))</f>
        <v>5.4857142857142858</v>
      </c>
      <c r="P1185" s="2">
        <f ca="1">INDEX(INDIRECT(_xlfn.CONCAT("weather.tbl[",P$1,"]")),MATCH(vp.data[[#This Row],[SDate]],weather.tbl[Date],0))</f>
        <v>3.2</v>
      </c>
      <c r="Q1185" s="2">
        <f ca="1">INDEX(INDIRECT(_xlfn.CONCAT("weather.tbl[",Q$1,"]")),MATCH(vp.data[[#This Row],[SDate]],weather.tbl[Date],0))</f>
        <v>3.4</v>
      </c>
      <c r="R1185" s="2">
        <f ca="1">INDEX(INDIRECT(_xlfn.CONCAT("weather.tbl[",R$1,"]")),MATCH(vp.data[[#This Row],[SDate]],weather.tbl[Date],0))</f>
        <v>3.5</v>
      </c>
      <c r="S1185" s="2">
        <f ca="1">INDEX(INDIRECT(_xlfn.CONCAT("weather.tbl[",S$1,"]")),MATCH(vp.data[[#This Row],[SDate]],weather.tbl[Date],0))</f>
        <v>3</v>
      </c>
      <c r="T1185" s="2">
        <f ca="1">INDEX(INDIRECT(_xlfn.CONCAT("weather.tbl[",T$1,"]")),MATCH(vp.data[[#This Row],[SDate]],weather.tbl[Date],0))</f>
        <v>3.7</v>
      </c>
      <c r="U1185" s="2">
        <f ca="1">INDEX(INDIRECT(_xlfn.CONCAT("weather.tbl[",U$1,"]")),MATCH(vp.data[[#This Row],[SDate]],weather.tbl[Date],0))</f>
        <v>2.8</v>
      </c>
      <c r="V1185" s="2">
        <f t="array" ref="V11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7160.7740000000003</v>
      </c>
      <c r="W1185" t="s">
        <v>48</v>
      </c>
      <c r="X1185">
        <f>IF(OR(vp.data[[#This Row],[Sulf]]="",vp.data[[#This Row],[Dens]]=""),1,0)</f>
        <v>0</v>
      </c>
      <c r="Y1185">
        <f>IF(vp.data[[#This Row],[CrudeType]]="C5+",1,0)</f>
        <v>0</v>
      </c>
      <c r="Z1185">
        <f>IF(AND(vp.data[[#This Row],[CrudeType]]="Crude",vp.data[[#This Row],[Dens]]&lt;=825,vp.data[[#This Row],[Sulf]]&gt;0.5,vp.data[[#This Row],[Unknown]]=0),1,0)</f>
        <v>0</v>
      </c>
      <c r="AA1185">
        <f>IF(AND(vp.data[[#This Row],[CrudeType]]="Crude",vp.data[[#This Row],[Dens]]&lt;=825,vp.data[[#This Row],[Sulf]]&lt;=0.5,vp.data[[#This Row],[Unknown]]=0),1,0)</f>
        <v>0</v>
      </c>
      <c r="AB11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5">
        <f>IF(AND(vp.data[[#This Row],[CrudeType]]="Crude",vp.data[[#This Row],[Dens]]&gt;825,vp.data[[#This Row],[Dens]]&lt;=900,vp.data[[#This Row],[Sulf]]&lt;=0.5,vp.data[[#This Row],[Unknown]]=0),1,0)</f>
        <v>0</v>
      </c>
      <c r="AD1185">
        <f>IF(AND(vp.data[[#This Row],[CrudeType]]="Crude",vp.data[[#This Row],[Dens]]&gt;865,vp.data[[#This Row],[Dens]]&lt;=900,vp.data[[#This Row],[Sulf]]&gt;2,vp.data[[#This Row],[Unknown]]=0),1,0)</f>
        <v>1</v>
      </c>
      <c r="AE1185">
        <f>IF(AND(vp.data[[#This Row],[CrudeType]]="Crude",vp.data[[#This Row],[Dens]]&gt;900,vp.data[[#This Row],[Sulf]]&lt;=0.5,vp.data[[#This Row],[Unknown]]=0),1,0)</f>
        <v>0</v>
      </c>
      <c r="AF1185">
        <f>IF(AND(vp.data[[#This Row],[CrudeType]]="Crude",vp.data[[#This Row],[Dens]]&gt;900,vp.data[[#This Row],[Sulf]]&lt;=0.5,vp.data[[#This Row],[Unknown]]=0),1,0)</f>
        <v>0</v>
      </c>
      <c r="AG1185" t="str">
        <f>INDEX(vp.data[[#Headers],[Unknown]:[Heavy_SW]],MATCH(1,vp.data[[#This Row],[Unknown]:[Heavy_SW]],0))</f>
        <v>Midale</v>
      </c>
      <c r="AH1185">
        <f>INDEX([3]!crudeBD.lkup[Number],MATCH(vp.data[[#This Row],[Crude_Breakdown]],crudeBD.lkup[Crude Breakdown],0))</f>
        <v>5</v>
      </c>
      <c r="AI1185">
        <f>MONTH(vp.data[[#This Row],[SDate]])</f>
        <v>4</v>
      </c>
      <c r="AJ1185" s="5">
        <f>(vp.data[[#This Row],[VP]]-INDEX(crudeBD.lkup[Mean_VP],MATCH(vp.data[[#This Row],[Crude_Breakdown]],crudeBD.lkup[Crude Breakdown],0)))^2</f>
        <v>20.171210808799852</v>
      </c>
      <c r="AK1185" s="5">
        <f>(vp.data[[#This Row],[Dens]]-INDEX(crudeBD.lkup[Mean_Dens],MATCH(vp.data[[#This Row],[Crude_Breakdown]],crudeBD.lkup[Crude Breakdown],0)))^2</f>
        <v>29.344000690831503</v>
      </c>
      <c r="AL1185" s="5">
        <f>(vp.data[[#This Row],[Sulf]]-INDEX(crudeBD.lkup[Mean_Sulf],MATCH(vp.data[[#This Row],[Crude_Breakdown]],crudeBD.lkup[Crude Breakdown],0)))^2</f>
        <v>1.9023176856306674E-3</v>
      </c>
      <c r="AM1185" s="4">
        <f>IF(AND(vp.data[[#This Row],[SDate]]&gt;=DATE(YEAR(vp.data[[#This Row],[SDate]]),5,1),vp.data[[#This Row],[SDate]]&lt;=DATE(YEAR(vp.data[[#This Row],[SDate]]),9,15)),1,0)</f>
        <v>0</v>
      </c>
      <c r="AN1185" s="4">
        <f>IF(vp.data[[#This Row],[SDate]]&lt;DATE(2016,12,1),0,1)</f>
        <v>1</v>
      </c>
      <c r="AO1185" s="4">
        <f>IFERROR(vp.data[[#This Row],[Sulf]]*vp.data[[#This Row],[Net Dens]],"")</f>
        <v>14941384.597439999</v>
      </c>
      <c r="AP1185">
        <f>IFERROR(vp.data[[#This Row],[Dens]]*vp.data[[#This Row],[VolumeM3]],"")</f>
        <v>6225576.9155999999</v>
      </c>
      <c r="AQ1185" s="15">
        <f>IFERROR(vp.data[[#This Row],[VP]]*vp.data[[#This Row],[VolumeM3]],"")</f>
        <v>529181.19860000012</v>
      </c>
    </row>
    <row r="1186" spans="1:43" x14ac:dyDescent="0.25">
      <c r="A1186">
        <v>1185</v>
      </c>
      <c r="B1186" t="s">
        <v>111</v>
      </c>
      <c r="C1186" t="s">
        <v>111</v>
      </c>
      <c r="D1186" t="s">
        <v>234</v>
      </c>
      <c r="F1186" s="1">
        <v>42830</v>
      </c>
      <c r="G1186" s="2">
        <v>65.2</v>
      </c>
      <c r="H1186" s="2"/>
      <c r="I1186" s="2">
        <f t="array" ref="I1186">_xlfn.IFNA(IF(vp.data[[#This Row],[Sulf Input]]="",INDEX([1]DATA!$Q$3:$Q$9826,MATCH(1,(vp.data[[#This Row],[Battery]]=[1]DATA!$L$3:$L$9826)*(EOMONTH(vp.data[[#This Row],[SDate]],-1)+1=[1]DATA!$G$3:$G$9826),0)),vp.data[[#This Row],[Sulf Input]]),"")</f>
        <v>2.92</v>
      </c>
      <c r="J1186" s="2">
        <v>37.5</v>
      </c>
      <c r="K1186" s="2">
        <v>9</v>
      </c>
      <c r="L1186" s="2">
        <v>886.1</v>
      </c>
      <c r="M1186" s="2">
        <f t="array" ref="M1186">_xlfn.IFNA(IF(vp.data[[#This Row],[Dens Input]]="",INDEX([1]DATA!$O$3:$O$9826,MATCH(1,(vp.data[[#This Row],[Battery]]=[1]DATA!$L$3:$L$9826)*(EOMONTH(vp.data[[#This Row],[SDate]],-1)+1=[1]DATA!$G$3:$G$9826),0)),vp.data[[#This Row],[Dens Input]]),"")</f>
        <v>886.1</v>
      </c>
      <c r="N1186" s="2">
        <f ca="1">INDEX(INDIRECT(_xlfn.CONCAT("weather.tbl[",N$1,"]")),MATCH(vp.data[[#This Row],[SDate]],weather.tbl[Date],0))</f>
        <v>3.2666666666666671</v>
      </c>
      <c r="O1186" s="2">
        <f ca="1">INDEX(INDIRECT(_xlfn.CONCAT("weather.tbl[",O$1,"]")),MATCH(vp.data[[#This Row],[SDate]],weather.tbl[Date],0))</f>
        <v>5.4857142857142858</v>
      </c>
      <c r="P1186" s="2">
        <f ca="1">INDEX(INDIRECT(_xlfn.CONCAT("weather.tbl[",P$1,"]")),MATCH(vp.data[[#This Row],[SDate]],weather.tbl[Date],0))</f>
        <v>3.2</v>
      </c>
      <c r="Q1186" s="2">
        <f ca="1">INDEX(INDIRECT(_xlfn.CONCAT("weather.tbl[",Q$1,"]")),MATCH(vp.data[[#This Row],[SDate]],weather.tbl[Date],0))</f>
        <v>3.4</v>
      </c>
      <c r="R1186" s="2">
        <f ca="1">INDEX(INDIRECT(_xlfn.CONCAT("weather.tbl[",R$1,"]")),MATCH(vp.data[[#This Row],[SDate]],weather.tbl[Date],0))</f>
        <v>3.5</v>
      </c>
      <c r="S1186" s="2">
        <f ca="1">INDEX(INDIRECT(_xlfn.CONCAT("weather.tbl[",S$1,"]")),MATCH(vp.data[[#This Row],[SDate]],weather.tbl[Date],0))</f>
        <v>3</v>
      </c>
      <c r="T1186" s="2">
        <f ca="1">INDEX(INDIRECT(_xlfn.CONCAT("weather.tbl[",T$1,"]")),MATCH(vp.data[[#This Row],[SDate]],weather.tbl[Date],0))</f>
        <v>3.7</v>
      </c>
      <c r="U1186" s="2">
        <f ca="1">INDEX(INDIRECT(_xlfn.CONCAT("weather.tbl[",U$1,"]")),MATCH(vp.data[[#This Row],[SDate]],weather.tbl[Date],0))</f>
        <v>2.8</v>
      </c>
      <c r="V1186" s="2">
        <f t="array" ref="V11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6110.1149999999998</v>
      </c>
      <c r="W1186" t="s">
        <v>48</v>
      </c>
      <c r="X1186">
        <f>IF(OR(vp.data[[#This Row],[Sulf]]="",vp.data[[#This Row],[Dens]]=""),1,0)</f>
        <v>0</v>
      </c>
      <c r="Y1186">
        <f>IF(vp.data[[#This Row],[CrudeType]]="C5+",1,0)</f>
        <v>0</v>
      </c>
      <c r="Z1186">
        <f>IF(AND(vp.data[[#This Row],[CrudeType]]="Crude",vp.data[[#This Row],[Dens]]&lt;=825,vp.data[[#This Row],[Sulf]]&gt;0.5,vp.data[[#This Row],[Unknown]]=0),1,0)</f>
        <v>0</v>
      </c>
      <c r="AA1186">
        <f>IF(AND(vp.data[[#This Row],[CrudeType]]="Crude",vp.data[[#This Row],[Dens]]&lt;=825,vp.data[[#This Row],[Sulf]]&lt;=0.5,vp.data[[#This Row],[Unknown]]=0),1,0)</f>
        <v>0</v>
      </c>
      <c r="AB11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6">
        <f>IF(AND(vp.data[[#This Row],[CrudeType]]="Crude",vp.data[[#This Row],[Dens]]&gt;825,vp.data[[#This Row],[Dens]]&lt;=900,vp.data[[#This Row],[Sulf]]&lt;=0.5,vp.data[[#This Row],[Unknown]]=0),1,0)</f>
        <v>0</v>
      </c>
      <c r="AD1186">
        <f>IF(AND(vp.data[[#This Row],[CrudeType]]="Crude",vp.data[[#This Row],[Dens]]&gt;865,vp.data[[#This Row],[Dens]]&lt;=900,vp.data[[#This Row],[Sulf]]&gt;2,vp.data[[#This Row],[Unknown]]=0),1,0)</f>
        <v>1</v>
      </c>
      <c r="AE1186">
        <f>IF(AND(vp.data[[#This Row],[CrudeType]]="Crude",vp.data[[#This Row],[Dens]]&gt;900,vp.data[[#This Row],[Sulf]]&lt;=0.5,vp.data[[#This Row],[Unknown]]=0),1,0)</f>
        <v>0</v>
      </c>
      <c r="AF1186">
        <f>IF(AND(vp.data[[#This Row],[CrudeType]]="Crude",vp.data[[#This Row],[Dens]]&gt;900,vp.data[[#This Row],[Sulf]]&lt;=0.5,vp.data[[#This Row],[Unknown]]=0),1,0)</f>
        <v>0</v>
      </c>
      <c r="AG1186" t="str">
        <f>INDEX(vp.data[[#Headers],[Unknown]:[Heavy_SW]],MATCH(1,vp.data[[#This Row],[Unknown]:[Heavy_SW]],0))</f>
        <v>Midale</v>
      </c>
      <c r="AH1186">
        <f>INDEX([3]!crudeBD.lkup[Number],MATCH(vp.data[[#This Row],[Crude_Breakdown]],crudeBD.lkup[Crude Breakdown],0))</f>
        <v>5</v>
      </c>
      <c r="AI1186">
        <f>MONTH(vp.data[[#This Row],[SDate]])</f>
        <v>4</v>
      </c>
      <c r="AJ1186" s="5">
        <f>(vp.data[[#This Row],[VP]]-INDEX(crudeBD.lkup[Mean_VP],MATCH(vp.data[[#This Row],[Crude_Breakdown]],crudeBD.lkup[Crude Breakdown],0)))^2</f>
        <v>17.713685035604449</v>
      </c>
      <c r="AK1186" s="5">
        <f>(vp.data[[#This Row],[Dens]]-INDEX(crudeBD.lkup[Mean_Dens],MATCH(vp.data[[#This Row],[Crude_Breakdown]],crudeBD.lkup[Crude Breakdown],0)))^2</f>
        <v>127.30585636092461</v>
      </c>
      <c r="AL1186" s="5">
        <f>(vp.data[[#This Row],[Sulf]]-INDEX(crudeBD.lkup[Mean_Sulf],MATCH(vp.data[[#This Row],[Crude_Breakdown]],crudeBD.lkup[Crude Breakdown],0)))^2</f>
        <v>0.22694212799491037</v>
      </c>
      <c r="AM1186" s="4">
        <f>IF(AND(vp.data[[#This Row],[SDate]]&gt;=DATE(YEAR(vp.data[[#This Row],[SDate]]),5,1),vp.data[[#This Row],[SDate]]&lt;=DATE(YEAR(vp.data[[#This Row],[SDate]]),9,15)),1,0)</f>
        <v>0</v>
      </c>
      <c r="AN1186" s="4">
        <f>IF(vp.data[[#This Row],[SDate]]&lt;DATE(2016,12,1),0,1)</f>
        <v>1</v>
      </c>
      <c r="AO1186" s="4">
        <f>IFERROR(vp.data[[#This Row],[Sulf]]*vp.data[[#This Row],[Net Dens]],"")</f>
        <v>15809384.87238</v>
      </c>
      <c r="AP1186">
        <f>IFERROR(vp.data[[#This Row],[Dens]]*vp.data[[#This Row],[VolumeM3]],"")</f>
        <v>5414172.9014999997</v>
      </c>
      <c r="AQ1186" s="15">
        <f>IFERROR(vp.data[[#This Row],[VP]]*vp.data[[#This Row],[VolumeM3]],"")</f>
        <v>398379.49800000002</v>
      </c>
    </row>
    <row r="1187" spans="1:43" x14ac:dyDescent="0.25">
      <c r="A1187">
        <v>1186</v>
      </c>
      <c r="B1187" t="s">
        <v>53</v>
      </c>
      <c r="C1187" t="s">
        <v>53</v>
      </c>
      <c r="D1187" t="s">
        <v>54</v>
      </c>
      <c r="E1187" t="s">
        <v>73</v>
      </c>
      <c r="F1187" s="1">
        <v>42831</v>
      </c>
      <c r="G1187" s="2">
        <v>44.7</v>
      </c>
      <c r="H1187" s="2"/>
      <c r="I1187" s="2">
        <f t="array" ref="I1187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187" s="2">
        <v>11</v>
      </c>
      <c r="K1187" s="2">
        <v>12</v>
      </c>
      <c r="L1187" s="2">
        <v>823.7</v>
      </c>
      <c r="M1187" s="2">
        <f t="array" ref="M1187">_xlfn.IFNA(IF(vp.data[[#This Row],[Dens Input]]="",INDEX([1]DATA!$O$3:$O$9826,MATCH(1,(vp.data[[#This Row],[Battery]]=[1]DATA!$L$3:$L$9826)*(EOMONTH(vp.data[[#This Row],[SDate]],-1)+1=[1]DATA!$G$3:$G$9826),0)),vp.data[[#This Row],[Dens Input]]),"")</f>
        <v>823.7</v>
      </c>
      <c r="N1187" s="2">
        <f ca="1">INDEX(INDIRECT(_xlfn.CONCAT("weather.tbl[",N$1,"]")),MATCH(vp.data[[#This Row],[SDate]],weather.tbl[Date],0))</f>
        <v>5.8999999999999995</v>
      </c>
      <c r="O1187" s="2">
        <f ca="1">INDEX(INDIRECT(_xlfn.CONCAT("weather.tbl[",O$1,"]")),MATCH(vp.data[[#This Row],[SDate]],weather.tbl[Date],0))</f>
        <v>5.1476190476190471</v>
      </c>
      <c r="P1187" s="2">
        <f ca="1">INDEX(INDIRECT(_xlfn.CONCAT("weather.tbl[",P$1,"]")),MATCH(vp.data[[#This Row],[SDate]],weather.tbl[Date],0))</f>
        <v>6.5</v>
      </c>
      <c r="Q1187" s="2">
        <f ca="1">INDEX(INDIRECT(_xlfn.CONCAT("weather.tbl[",Q$1,"]")),MATCH(vp.data[[#This Row],[SDate]],weather.tbl[Date],0))</f>
        <v>7.6</v>
      </c>
      <c r="R1187" s="2">
        <f ca="1">INDEX(INDIRECT(_xlfn.CONCAT("weather.tbl[",R$1,"]")),MATCH(vp.data[[#This Row],[SDate]],weather.tbl[Date],0))</f>
        <v>3.5</v>
      </c>
      <c r="S1187" s="2">
        <f ca="1">INDEX(INDIRECT(_xlfn.CONCAT("weather.tbl[",S$1,"]")),MATCH(vp.data[[#This Row],[SDate]],weather.tbl[Date],0))</f>
        <v>7.7</v>
      </c>
      <c r="T1187" s="2">
        <f ca="1">INDEX(INDIRECT(_xlfn.CONCAT("weather.tbl[",T$1,"]")),MATCH(vp.data[[#This Row],[SDate]],weather.tbl[Date],0))</f>
        <v>5.3</v>
      </c>
      <c r="U1187" s="2">
        <f ca="1">INDEX(INDIRECT(_xlfn.CONCAT("weather.tbl[",U$1,"]")),MATCH(vp.data[[#This Row],[SDate]],weather.tbl[Date],0))</f>
        <v>4.8</v>
      </c>
      <c r="V1187" s="2">
        <f t="array" ref="V11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187" t="s">
        <v>48</v>
      </c>
      <c r="X1187">
        <f>IF(OR(vp.data[[#This Row],[Sulf]]="",vp.data[[#This Row],[Dens]]=""),1,0)</f>
        <v>0</v>
      </c>
      <c r="Y1187">
        <f>IF(vp.data[[#This Row],[CrudeType]]="C5+",1,0)</f>
        <v>0</v>
      </c>
      <c r="Z1187">
        <f>IF(AND(vp.data[[#This Row],[CrudeType]]="Crude",vp.data[[#This Row],[Dens]]&lt;=825,vp.data[[#This Row],[Sulf]]&gt;0.5,vp.data[[#This Row],[Unknown]]=0),1,0)</f>
        <v>1</v>
      </c>
      <c r="AA1187">
        <f>IF(AND(vp.data[[#This Row],[CrudeType]]="Crude",vp.data[[#This Row],[Dens]]&lt;=825,vp.data[[#This Row],[Sulf]]&lt;=0.5,vp.data[[#This Row],[Unknown]]=0),1,0)</f>
        <v>0</v>
      </c>
      <c r="AB11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7">
        <f>IF(AND(vp.data[[#This Row],[CrudeType]]="Crude",vp.data[[#This Row],[Dens]]&gt;825,vp.data[[#This Row],[Dens]]&lt;=900,vp.data[[#This Row],[Sulf]]&lt;=0.5,vp.data[[#This Row],[Unknown]]=0),1,0)</f>
        <v>0</v>
      </c>
      <c r="AD1187">
        <f>IF(AND(vp.data[[#This Row],[CrudeType]]="Crude",vp.data[[#This Row],[Dens]]&gt;865,vp.data[[#This Row],[Dens]]&lt;=900,vp.data[[#This Row],[Sulf]]&gt;2,vp.data[[#This Row],[Unknown]]=0),1,0)</f>
        <v>0</v>
      </c>
      <c r="AE1187">
        <f>IF(AND(vp.data[[#This Row],[CrudeType]]="Crude",vp.data[[#This Row],[Dens]]&gt;900,vp.data[[#This Row],[Sulf]]&lt;=0.5,vp.data[[#This Row],[Unknown]]=0),1,0)</f>
        <v>0</v>
      </c>
      <c r="AF1187">
        <f>IF(AND(vp.data[[#This Row],[CrudeType]]="Crude",vp.data[[#This Row],[Dens]]&gt;900,vp.data[[#This Row],[Sulf]]&lt;=0.5,vp.data[[#This Row],[Unknown]]=0),1,0)</f>
        <v>0</v>
      </c>
      <c r="AG1187" t="str">
        <f>INDEX(vp.data[[#Headers],[Unknown]:[Heavy_SW]],MATCH(1,vp.data[[#This Row],[Unknown]:[Heavy_SW]],0))</f>
        <v>Light_LSB</v>
      </c>
      <c r="AH1187">
        <f>INDEX([3]!crudeBD.lkup[Number],MATCH(vp.data[[#This Row],[Crude_Breakdown]],crudeBD.lkup[Crude Breakdown],0))</f>
        <v>1</v>
      </c>
      <c r="AI1187">
        <f>MONTH(vp.data[[#This Row],[SDate]])</f>
        <v>4</v>
      </c>
      <c r="AJ1187" s="5">
        <f>(vp.data[[#This Row],[VP]]-INDEX(crudeBD.lkup[Mean_VP],MATCH(vp.data[[#This Row],[Crude_Breakdown]],crudeBD.lkup[Crude Breakdown],0)))^2</f>
        <v>2194.5651021787676</v>
      </c>
      <c r="AK1187" s="5">
        <f>(vp.data[[#This Row],[Dens]]-INDEX(crudeBD.lkup[Mean_Dens],MATCH(vp.data[[#This Row],[Crude_Breakdown]],crudeBD.lkup[Crude Breakdown],0)))^2</f>
        <v>26.865875726553959</v>
      </c>
      <c r="AL1187" s="5">
        <f>(vp.data[[#This Row],[Sulf]]-INDEX(crudeBD.lkup[Mean_Sulf],MATCH(vp.data[[#This Row],[Crude_Breakdown]],crudeBD.lkup[Crude Breakdown],0)))^2</f>
        <v>7.6744973546038778E-2</v>
      </c>
      <c r="AM1187" s="4">
        <f>IF(AND(vp.data[[#This Row],[SDate]]&gt;=DATE(YEAR(vp.data[[#This Row],[SDate]]),5,1),vp.data[[#This Row],[SDate]]&lt;=DATE(YEAR(vp.data[[#This Row],[SDate]]),9,15)),1,0)</f>
        <v>0</v>
      </c>
      <c r="AN1187" s="4">
        <f>IF(vp.data[[#This Row],[SDate]]&lt;DATE(2016,12,1),0,1)</f>
        <v>1</v>
      </c>
      <c r="AO1187" s="4">
        <f>IFERROR(vp.data[[#This Row],[Sulf]]*vp.data[[#This Row],[Net Dens]],"")</f>
        <v>6192471.8253600001</v>
      </c>
      <c r="AP1187">
        <f>IFERROR(vp.data[[#This Row],[Dens]]*vp.data[[#This Row],[VolumeM3]],"")</f>
        <v>5160393.1878000004</v>
      </c>
      <c r="AQ1187" s="15">
        <f>IFERROR(vp.data[[#This Row],[VP]]*vp.data[[#This Row],[VolumeM3]],"")</f>
        <v>280040.76180000004</v>
      </c>
    </row>
    <row r="1188" spans="1:43" x14ac:dyDescent="0.25">
      <c r="A1188">
        <v>1187</v>
      </c>
      <c r="B1188" t="s">
        <v>49</v>
      </c>
      <c r="C1188" t="s">
        <v>49</v>
      </c>
      <c r="D1188" t="s">
        <v>246</v>
      </c>
      <c r="F1188" s="1">
        <v>42831</v>
      </c>
      <c r="G1188" s="2">
        <v>78.900000000000006</v>
      </c>
      <c r="H1188" s="2">
        <v>0.58099999999999996</v>
      </c>
      <c r="I1188" s="2">
        <f t="array" ref="I1188">_xlfn.IFNA(IF(vp.data[[#This Row],[Sulf Input]]="",INDEX([1]DATA!$Q$3:$Q$9826,MATCH(1,(vp.data[[#This Row],[Battery]]=[1]DATA!$L$3:$L$9826)*(EOMONTH(vp.data[[#This Row],[SDate]],-1)+1=[1]DATA!$G$3:$G$9826),0)),vp.data[[#This Row],[Sulf Input]]),"")</f>
        <v>0.58099999999999996</v>
      </c>
      <c r="J1188" s="2">
        <v>13.7</v>
      </c>
      <c r="K1188" s="2">
        <v>12</v>
      </c>
      <c r="L1188" s="2">
        <v>824.5</v>
      </c>
      <c r="M1188" s="2">
        <f t="array" ref="M1188">_xlfn.IFNA(IF(vp.data[[#This Row],[Dens Input]]="",INDEX([1]DATA!$O$3:$O$9826,MATCH(1,(vp.data[[#This Row],[Battery]]=[1]DATA!$L$3:$L$9826)*(EOMONTH(vp.data[[#This Row],[SDate]],-1)+1=[1]DATA!$G$3:$G$9826),0)),vp.data[[#This Row],[Dens Input]]),"")</f>
        <v>824.5</v>
      </c>
      <c r="N1188" s="2">
        <f ca="1">INDEX(INDIRECT(_xlfn.CONCAT("weather.tbl[",N$1,"]")),MATCH(vp.data[[#This Row],[SDate]],weather.tbl[Date],0))</f>
        <v>5.8999999999999995</v>
      </c>
      <c r="O1188" s="2">
        <f ca="1">INDEX(INDIRECT(_xlfn.CONCAT("weather.tbl[",O$1,"]")),MATCH(vp.data[[#This Row],[SDate]],weather.tbl[Date],0))</f>
        <v>5.1476190476190471</v>
      </c>
      <c r="P1188" s="2">
        <f ca="1">INDEX(INDIRECT(_xlfn.CONCAT("weather.tbl[",P$1,"]")),MATCH(vp.data[[#This Row],[SDate]],weather.tbl[Date],0))</f>
        <v>6.5</v>
      </c>
      <c r="Q1188" s="2">
        <f ca="1">INDEX(INDIRECT(_xlfn.CONCAT("weather.tbl[",Q$1,"]")),MATCH(vp.data[[#This Row],[SDate]],weather.tbl[Date],0))</f>
        <v>7.6</v>
      </c>
      <c r="R1188" s="2">
        <f ca="1">INDEX(INDIRECT(_xlfn.CONCAT("weather.tbl[",R$1,"]")),MATCH(vp.data[[#This Row],[SDate]],weather.tbl[Date],0))</f>
        <v>3.5</v>
      </c>
      <c r="S1188" s="2">
        <f ca="1">INDEX(INDIRECT(_xlfn.CONCAT("weather.tbl[",S$1,"]")),MATCH(vp.data[[#This Row],[SDate]],weather.tbl[Date],0))</f>
        <v>7.7</v>
      </c>
      <c r="T1188" s="2">
        <f ca="1">INDEX(INDIRECT(_xlfn.CONCAT("weather.tbl[",T$1,"]")),MATCH(vp.data[[#This Row],[SDate]],weather.tbl[Date],0))</f>
        <v>5.3</v>
      </c>
      <c r="U1188" s="2">
        <f ca="1">INDEX(INDIRECT(_xlfn.CONCAT("weather.tbl[",U$1,"]")),MATCH(vp.data[[#This Row],[SDate]],weather.tbl[Date],0))</f>
        <v>4.8</v>
      </c>
      <c r="V1188" s="2">
        <f t="array" ref="V11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112.955</v>
      </c>
      <c r="W1188" t="s">
        <v>48</v>
      </c>
      <c r="X1188">
        <f>IF(OR(vp.data[[#This Row],[Sulf]]="",vp.data[[#This Row],[Dens]]=""),1,0)</f>
        <v>0</v>
      </c>
      <c r="Y1188">
        <f>IF(vp.data[[#This Row],[CrudeType]]="C5+",1,0)</f>
        <v>0</v>
      </c>
      <c r="Z1188">
        <f>IF(AND(vp.data[[#This Row],[CrudeType]]="Crude",vp.data[[#This Row],[Dens]]&lt;=825,vp.data[[#This Row],[Sulf]]&gt;0.5,vp.data[[#This Row],[Unknown]]=0),1,0)</f>
        <v>1</v>
      </c>
      <c r="AA1188">
        <f>IF(AND(vp.data[[#This Row],[CrudeType]]="Crude",vp.data[[#This Row],[Dens]]&lt;=825,vp.data[[#This Row],[Sulf]]&lt;=0.5,vp.data[[#This Row],[Unknown]]=0),1,0)</f>
        <v>0</v>
      </c>
      <c r="AB11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88">
        <f>IF(AND(vp.data[[#This Row],[CrudeType]]="Crude",vp.data[[#This Row],[Dens]]&gt;825,vp.data[[#This Row],[Dens]]&lt;=900,vp.data[[#This Row],[Sulf]]&lt;=0.5,vp.data[[#This Row],[Unknown]]=0),1,0)</f>
        <v>0</v>
      </c>
      <c r="AD1188">
        <f>IF(AND(vp.data[[#This Row],[CrudeType]]="Crude",vp.data[[#This Row],[Dens]]&gt;865,vp.data[[#This Row],[Dens]]&lt;=900,vp.data[[#This Row],[Sulf]]&gt;2,vp.data[[#This Row],[Unknown]]=0),1,0)</f>
        <v>0</v>
      </c>
      <c r="AE1188">
        <f>IF(AND(vp.data[[#This Row],[CrudeType]]="Crude",vp.data[[#This Row],[Dens]]&gt;900,vp.data[[#This Row],[Sulf]]&lt;=0.5,vp.data[[#This Row],[Unknown]]=0),1,0)</f>
        <v>0</v>
      </c>
      <c r="AF1188">
        <f>IF(AND(vp.data[[#This Row],[CrudeType]]="Crude",vp.data[[#This Row],[Dens]]&gt;900,vp.data[[#This Row],[Sulf]]&lt;=0.5,vp.data[[#This Row],[Unknown]]=0),1,0)</f>
        <v>0</v>
      </c>
      <c r="AG1188" t="str">
        <f>INDEX(vp.data[[#Headers],[Unknown]:[Heavy_SW]],MATCH(1,vp.data[[#This Row],[Unknown]:[Heavy_SW]],0))</f>
        <v>Light_LSB</v>
      </c>
      <c r="AH1188">
        <f>INDEX([3]!crudeBD.lkup[Number],MATCH(vp.data[[#This Row],[Crude_Breakdown]],crudeBD.lkup[Crude Breakdown],0))</f>
        <v>1</v>
      </c>
      <c r="AI1188">
        <f>MONTH(vp.data[[#This Row],[SDate]])</f>
        <v>4</v>
      </c>
      <c r="AJ1188" s="5">
        <f>(vp.data[[#This Row],[VP]]-INDEX(crudeBD.lkup[Mean_VP],MATCH(vp.data[[#This Row],[Crude_Breakdown]],crudeBD.lkup[Crude Breakdown],0)))^2</f>
        <v>159.92600939526051</v>
      </c>
      <c r="AK1188" s="5">
        <f>(vp.data[[#This Row],[Dens]]-INDEX(crudeBD.lkup[Mean_Dens],MATCH(vp.data[[#This Row],[Crude_Breakdown]],crudeBD.lkup[Crude Breakdown],0)))^2</f>
        <v>35.799044111433716</v>
      </c>
      <c r="AL1188" s="5">
        <f>(vp.data[[#This Row],[Sulf]]-INDEX(crudeBD.lkup[Mean_Sulf],MATCH(vp.data[[#This Row],[Crude_Breakdown]],crudeBD.lkup[Crude Breakdown],0)))^2</f>
        <v>0.11694428000651962</v>
      </c>
      <c r="AM1188" s="4">
        <f>IF(AND(vp.data[[#This Row],[SDate]]&gt;=DATE(YEAR(vp.data[[#This Row],[SDate]]),5,1),vp.data[[#This Row],[SDate]]&lt;=DATE(YEAR(vp.data[[#This Row],[SDate]]),9,15)),1,0)</f>
        <v>0</v>
      </c>
      <c r="AN1188" s="4">
        <f>IF(vp.data[[#This Row],[SDate]]&lt;DATE(2016,12,1),0,1)</f>
        <v>1</v>
      </c>
      <c r="AO1188" s="4">
        <f>IFERROR(vp.data[[#This Row],[Sulf]]*vp.data[[#This Row],[Net Dens]],"")</f>
        <v>54109.34194749999</v>
      </c>
      <c r="AP1188">
        <f>IFERROR(vp.data[[#This Row],[Dens]]*vp.data[[#This Row],[VolumeM3]],"")</f>
        <v>93131.397499999992</v>
      </c>
      <c r="AQ1188" s="15">
        <f>IFERROR(vp.data[[#This Row],[VP]]*vp.data[[#This Row],[VolumeM3]],"")</f>
        <v>8912.1495000000014</v>
      </c>
    </row>
    <row r="1189" spans="1:43" x14ac:dyDescent="0.25">
      <c r="A1189">
        <v>1188</v>
      </c>
      <c r="B1189" t="s">
        <v>49</v>
      </c>
      <c r="C1189" t="s">
        <v>49</v>
      </c>
      <c r="D1189" t="s">
        <v>247</v>
      </c>
      <c r="F1189" s="1">
        <v>42831</v>
      </c>
      <c r="G1189" s="2">
        <v>65.599999999999994</v>
      </c>
      <c r="H1189" s="2">
        <v>0.64200000000000002</v>
      </c>
      <c r="I1189" s="2">
        <f t="array" ref="I1189">_xlfn.IFNA(IF(vp.data[[#This Row],[Sulf Input]]="",INDEX([1]DATA!$Q$3:$Q$9826,MATCH(1,(vp.data[[#This Row],[Battery]]=[1]DATA!$L$3:$L$9826)*(EOMONTH(vp.data[[#This Row],[SDate]],-1)+1=[1]DATA!$G$3:$G$9826),0)),vp.data[[#This Row],[Sulf Input]]),"")</f>
        <v>0.64200000000000002</v>
      </c>
      <c r="J1189" s="2">
        <v>26.2</v>
      </c>
      <c r="K1189" s="2">
        <v>12</v>
      </c>
      <c r="L1189" s="2">
        <v>829.6</v>
      </c>
      <c r="M1189" s="2">
        <f t="array" ref="M1189">_xlfn.IFNA(IF(vp.data[[#This Row],[Dens Input]]="",INDEX([1]DATA!$O$3:$O$9826,MATCH(1,(vp.data[[#This Row],[Battery]]=[1]DATA!$L$3:$L$9826)*(EOMONTH(vp.data[[#This Row],[SDate]],-1)+1=[1]DATA!$G$3:$G$9826),0)),vp.data[[#This Row],[Dens Input]]),"")</f>
        <v>829.6</v>
      </c>
      <c r="N1189" s="2">
        <f ca="1">INDEX(INDIRECT(_xlfn.CONCAT("weather.tbl[",N$1,"]")),MATCH(vp.data[[#This Row],[SDate]],weather.tbl[Date],0))</f>
        <v>5.8999999999999995</v>
      </c>
      <c r="O1189" s="2">
        <f ca="1">INDEX(INDIRECT(_xlfn.CONCAT("weather.tbl[",O$1,"]")),MATCH(vp.data[[#This Row],[SDate]],weather.tbl[Date],0))</f>
        <v>5.1476190476190471</v>
      </c>
      <c r="P1189" s="2">
        <f ca="1">INDEX(INDIRECT(_xlfn.CONCAT("weather.tbl[",P$1,"]")),MATCH(vp.data[[#This Row],[SDate]],weather.tbl[Date],0))</f>
        <v>6.5</v>
      </c>
      <c r="Q1189" s="2">
        <f ca="1">INDEX(INDIRECT(_xlfn.CONCAT("weather.tbl[",Q$1,"]")),MATCH(vp.data[[#This Row],[SDate]],weather.tbl[Date],0))</f>
        <v>7.6</v>
      </c>
      <c r="R1189" s="2">
        <f ca="1">INDEX(INDIRECT(_xlfn.CONCAT("weather.tbl[",R$1,"]")),MATCH(vp.data[[#This Row],[SDate]],weather.tbl[Date],0))</f>
        <v>3.5</v>
      </c>
      <c r="S1189" s="2">
        <f ca="1">INDEX(INDIRECT(_xlfn.CONCAT("weather.tbl[",S$1,"]")),MATCH(vp.data[[#This Row],[SDate]],weather.tbl[Date],0))</f>
        <v>7.7</v>
      </c>
      <c r="T1189" s="2">
        <f ca="1">INDEX(INDIRECT(_xlfn.CONCAT("weather.tbl[",T$1,"]")),MATCH(vp.data[[#This Row],[SDate]],weather.tbl[Date],0))</f>
        <v>5.3</v>
      </c>
      <c r="U1189" s="2">
        <f ca="1">INDEX(INDIRECT(_xlfn.CONCAT("weather.tbl[",U$1,"]")),MATCH(vp.data[[#This Row],[SDate]],weather.tbl[Date],0))</f>
        <v>4.8</v>
      </c>
      <c r="V1189" s="2">
        <f t="array" ref="V11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420.66800000000001</v>
      </c>
      <c r="W1189" t="s">
        <v>48</v>
      </c>
      <c r="X1189">
        <f>IF(OR(vp.data[[#This Row],[Sulf]]="",vp.data[[#This Row],[Dens]]=""),1,0)</f>
        <v>0</v>
      </c>
      <c r="Y1189">
        <f>IF(vp.data[[#This Row],[CrudeType]]="C5+",1,0)</f>
        <v>0</v>
      </c>
      <c r="Z1189">
        <f>IF(AND(vp.data[[#This Row],[CrudeType]]="Crude",vp.data[[#This Row],[Dens]]&lt;=825,vp.data[[#This Row],[Sulf]]&gt;0.5,vp.data[[#This Row],[Unknown]]=0),1,0)</f>
        <v>0</v>
      </c>
      <c r="AA1189">
        <f>IF(AND(vp.data[[#This Row],[CrudeType]]="Crude",vp.data[[#This Row],[Dens]]&lt;=825,vp.data[[#This Row],[Sulf]]&lt;=0.5,vp.data[[#This Row],[Unknown]]=0),1,0)</f>
        <v>0</v>
      </c>
      <c r="AB11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89">
        <f>IF(AND(vp.data[[#This Row],[CrudeType]]="Crude",vp.data[[#This Row],[Dens]]&gt;825,vp.data[[#This Row],[Dens]]&lt;=900,vp.data[[#This Row],[Sulf]]&lt;=0.5,vp.data[[#This Row],[Unknown]]=0),1,0)</f>
        <v>0</v>
      </c>
      <c r="AD1189">
        <f>IF(AND(vp.data[[#This Row],[CrudeType]]="Crude",vp.data[[#This Row],[Dens]]&gt;865,vp.data[[#This Row],[Dens]]&lt;=900,vp.data[[#This Row],[Sulf]]&gt;2,vp.data[[#This Row],[Unknown]]=0),1,0)</f>
        <v>0</v>
      </c>
      <c r="AE1189">
        <f>IF(AND(vp.data[[#This Row],[CrudeType]]="Crude",vp.data[[#This Row],[Dens]]&gt;900,vp.data[[#This Row],[Sulf]]&lt;=0.5,vp.data[[#This Row],[Unknown]]=0),1,0)</f>
        <v>0</v>
      </c>
      <c r="AF1189">
        <f>IF(AND(vp.data[[#This Row],[CrudeType]]="Crude",vp.data[[#This Row],[Dens]]&gt;900,vp.data[[#This Row],[Sulf]]&lt;=0.5,vp.data[[#This Row],[Unknown]]=0),1,0)</f>
        <v>0</v>
      </c>
      <c r="AG1189" t="str">
        <f>INDEX(vp.data[[#Headers],[Unknown]:[Heavy_SW]],MATCH(1,vp.data[[#This Row],[Unknown]:[Heavy_SW]],0))</f>
        <v>Medium_LSB</v>
      </c>
      <c r="AH1189">
        <f>INDEX([3]!crudeBD.lkup[Number],MATCH(vp.data[[#This Row],[Crude_Breakdown]],crudeBD.lkup[Crude Breakdown],0))</f>
        <v>3</v>
      </c>
      <c r="AI1189">
        <f>MONTH(vp.data[[#This Row],[SDate]])</f>
        <v>4</v>
      </c>
      <c r="AJ1189" s="5">
        <f>(vp.data[[#This Row],[VP]]-INDEX(crudeBD.lkup[Mean_VP],MATCH(vp.data[[#This Row],[Crude_Breakdown]],crudeBD.lkup[Crude Breakdown],0)))^2</f>
        <v>226.1918707245641</v>
      </c>
      <c r="AK1189" s="5">
        <f>(vp.data[[#This Row],[Dens]]-INDEX(crudeBD.lkup[Mean_Dens],MATCH(vp.data[[#This Row],[Crude_Breakdown]],crudeBD.lkup[Crude Breakdown],0)))^2</f>
        <v>205.06239999998516</v>
      </c>
      <c r="AL1189" s="5">
        <f>(vp.data[[#This Row],[Sulf]]-INDEX(crudeBD.lkup[Mean_Sulf],MATCH(vp.data[[#This Row],[Crude_Breakdown]],crudeBD.lkup[Crude Breakdown],0)))^2</f>
        <v>0.55265564282076218</v>
      </c>
      <c r="AM1189" s="4">
        <f>IF(AND(vp.data[[#This Row],[SDate]]&gt;=DATE(YEAR(vp.data[[#This Row],[SDate]]),5,1),vp.data[[#This Row],[SDate]]&lt;=DATE(YEAR(vp.data[[#This Row],[SDate]]),9,15)),1,0)</f>
        <v>0</v>
      </c>
      <c r="AN1189" s="4">
        <f>IF(vp.data[[#This Row],[SDate]]&lt;DATE(2016,12,1),0,1)</f>
        <v>1</v>
      </c>
      <c r="AO1189" s="4">
        <f>IFERROR(vp.data[[#This Row],[Sulf]]*vp.data[[#This Row],[Net Dens]],"")</f>
        <v>224049.12293760001</v>
      </c>
      <c r="AP1189">
        <f>IFERROR(vp.data[[#This Row],[Dens]]*vp.data[[#This Row],[VolumeM3]],"")</f>
        <v>348986.1728</v>
      </c>
      <c r="AQ1189" s="15">
        <f>IFERROR(vp.data[[#This Row],[VP]]*vp.data[[#This Row],[VolumeM3]],"")</f>
        <v>27595.820799999998</v>
      </c>
    </row>
    <row r="1190" spans="1:43" x14ac:dyDescent="0.25">
      <c r="A1190">
        <v>1189</v>
      </c>
      <c r="B1190" t="s">
        <v>49</v>
      </c>
      <c r="C1190" t="s">
        <v>49</v>
      </c>
      <c r="D1190" t="s">
        <v>248</v>
      </c>
      <c r="F1190" s="1">
        <v>42831</v>
      </c>
      <c r="G1190" s="2">
        <v>63.1</v>
      </c>
      <c r="H1190" s="2">
        <v>1.1359999999999999</v>
      </c>
      <c r="I1190" s="2">
        <f t="array" ref="I1190">_xlfn.IFNA(IF(vp.data[[#This Row],[Sulf Input]]="",INDEX([1]DATA!$Q$3:$Q$9826,MATCH(1,(vp.data[[#This Row],[Battery]]=[1]DATA!$L$3:$L$9826)*(EOMONTH(vp.data[[#This Row],[SDate]],-1)+1=[1]DATA!$G$3:$G$9826),0)),vp.data[[#This Row],[Sulf Input]]),"")</f>
        <v>1.1359999999999999</v>
      </c>
      <c r="J1190" s="2">
        <v>24.9</v>
      </c>
      <c r="K1190" s="2">
        <v>12</v>
      </c>
      <c r="L1190" s="2">
        <v>847.5</v>
      </c>
      <c r="M1190" s="2">
        <f t="array" ref="M1190">_xlfn.IFNA(IF(vp.data[[#This Row],[Dens Input]]="",INDEX([1]DATA!$O$3:$O$9826,MATCH(1,(vp.data[[#This Row],[Battery]]=[1]DATA!$L$3:$L$9826)*(EOMONTH(vp.data[[#This Row],[SDate]],-1)+1=[1]DATA!$G$3:$G$9826),0)),vp.data[[#This Row],[Dens Input]]),"")</f>
        <v>847.5</v>
      </c>
      <c r="N1190" s="2">
        <f ca="1">INDEX(INDIRECT(_xlfn.CONCAT("weather.tbl[",N$1,"]")),MATCH(vp.data[[#This Row],[SDate]],weather.tbl[Date],0))</f>
        <v>5.8999999999999995</v>
      </c>
      <c r="O1190" s="2">
        <f ca="1">INDEX(INDIRECT(_xlfn.CONCAT("weather.tbl[",O$1,"]")),MATCH(vp.data[[#This Row],[SDate]],weather.tbl[Date],0))</f>
        <v>5.1476190476190471</v>
      </c>
      <c r="P1190" s="2">
        <f ca="1">INDEX(INDIRECT(_xlfn.CONCAT("weather.tbl[",P$1,"]")),MATCH(vp.data[[#This Row],[SDate]],weather.tbl[Date],0))</f>
        <v>6.5</v>
      </c>
      <c r="Q1190" s="2">
        <f ca="1">INDEX(INDIRECT(_xlfn.CONCAT("weather.tbl[",Q$1,"]")),MATCH(vp.data[[#This Row],[SDate]],weather.tbl[Date],0))</f>
        <v>7.6</v>
      </c>
      <c r="R1190" s="2">
        <f ca="1">INDEX(INDIRECT(_xlfn.CONCAT("weather.tbl[",R$1,"]")),MATCH(vp.data[[#This Row],[SDate]],weather.tbl[Date],0))</f>
        <v>3.5</v>
      </c>
      <c r="S1190" s="2">
        <f ca="1">INDEX(INDIRECT(_xlfn.CONCAT("weather.tbl[",S$1,"]")),MATCH(vp.data[[#This Row],[SDate]],weather.tbl[Date],0))</f>
        <v>7.7</v>
      </c>
      <c r="T1190" s="2">
        <f ca="1">INDEX(INDIRECT(_xlfn.CONCAT("weather.tbl[",T$1,"]")),MATCH(vp.data[[#This Row],[SDate]],weather.tbl[Date],0))</f>
        <v>5.3</v>
      </c>
      <c r="U1190" s="2">
        <f ca="1">INDEX(INDIRECT(_xlfn.CONCAT("weather.tbl[",U$1,"]")),MATCH(vp.data[[#This Row],[SDate]],weather.tbl[Date],0))</f>
        <v>4.8</v>
      </c>
      <c r="V1190" s="2">
        <f t="array" ref="V11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3547.7240000000002</v>
      </c>
      <c r="W1190" t="s">
        <v>48</v>
      </c>
      <c r="X1190">
        <f>IF(OR(vp.data[[#This Row],[Sulf]]="",vp.data[[#This Row],[Dens]]=""),1,0)</f>
        <v>0</v>
      </c>
      <c r="Y1190">
        <f>IF(vp.data[[#This Row],[CrudeType]]="C5+",1,0)</f>
        <v>0</v>
      </c>
      <c r="Z1190">
        <f>IF(AND(vp.data[[#This Row],[CrudeType]]="Crude",vp.data[[#This Row],[Dens]]&lt;=825,vp.data[[#This Row],[Sulf]]&gt;0.5,vp.data[[#This Row],[Unknown]]=0),1,0)</f>
        <v>0</v>
      </c>
      <c r="AA1190">
        <f>IF(AND(vp.data[[#This Row],[CrudeType]]="Crude",vp.data[[#This Row],[Dens]]&lt;=825,vp.data[[#This Row],[Sulf]]&lt;=0.5,vp.data[[#This Row],[Unknown]]=0),1,0)</f>
        <v>0</v>
      </c>
      <c r="AB11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90">
        <f>IF(AND(vp.data[[#This Row],[CrudeType]]="Crude",vp.data[[#This Row],[Dens]]&gt;825,vp.data[[#This Row],[Dens]]&lt;=900,vp.data[[#This Row],[Sulf]]&lt;=0.5,vp.data[[#This Row],[Unknown]]=0),1,0)</f>
        <v>0</v>
      </c>
      <c r="AD1190">
        <f>IF(AND(vp.data[[#This Row],[CrudeType]]="Crude",vp.data[[#This Row],[Dens]]&gt;865,vp.data[[#This Row],[Dens]]&lt;=900,vp.data[[#This Row],[Sulf]]&gt;2,vp.data[[#This Row],[Unknown]]=0),1,0)</f>
        <v>0</v>
      </c>
      <c r="AE1190">
        <f>IF(AND(vp.data[[#This Row],[CrudeType]]="Crude",vp.data[[#This Row],[Dens]]&gt;900,vp.data[[#This Row],[Sulf]]&lt;=0.5,vp.data[[#This Row],[Unknown]]=0),1,0)</f>
        <v>0</v>
      </c>
      <c r="AF1190">
        <f>IF(AND(vp.data[[#This Row],[CrudeType]]="Crude",vp.data[[#This Row],[Dens]]&gt;900,vp.data[[#This Row],[Sulf]]&lt;=0.5,vp.data[[#This Row],[Unknown]]=0),1,0)</f>
        <v>0</v>
      </c>
      <c r="AG1190" t="str">
        <f>INDEX(vp.data[[#Headers],[Unknown]:[Heavy_SW]],MATCH(1,vp.data[[#This Row],[Unknown]:[Heavy_SW]],0))</f>
        <v>Medium_LSB</v>
      </c>
      <c r="AH1190">
        <f>INDEX([3]!crudeBD.lkup[Number],MATCH(vp.data[[#This Row],[Crude_Breakdown]],crudeBD.lkup[Crude Breakdown],0))</f>
        <v>3</v>
      </c>
      <c r="AI1190">
        <f>MONTH(vp.data[[#This Row],[SDate]])</f>
        <v>4</v>
      </c>
      <c r="AJ1190" s="5">
        <f>(vp.data[[#This Row],[VP]]-INDEX(crudeBD.lkup[Mean_VP],MATCH(vp.data[[#This Row],[Crude_Breakdown]],crudeBD.lkup[Crude Breakdown],0)))^2</f>
        <v>307.64025347388969</v>
      </c>
      <c r="AK1190" s="5">
        <f>(vp.data[[#This Row],[Dens]]-INDEX(crudeBD.lkup[Mean_Dens],MATCH(vp.data[[#This Row],[Crude_Breakdown]],crudeBD.lkup[Crude Breakdown],0)))^2</f>
        <v>12.816400000003549</v>
      </c>
      <c r="AL1190" s="5">
        <f>(vp.data[[#This Row],[Sulf]]-INDEX(crudeBD.lkup[Mean_Sulf],MATCH(vp.data[[#This Row],[Crude_Breakdown]],crudeBD.lkup[Crude Breakdown],0)))^2</f>
        <v>6.2204413656340309E-2</v>
      </c>
      <c r="AM1190" s="4">
        <f>IF(AND(vp.data[[#This Row],[SDate]]&gt;=DATE(YEAR(vp.data[[#This Row],[SDate]]),5,1),vp.data[[#This Row],[SDate]]&lt;=DATE(YEAR(vp.data[[#This Row],[SDate]]),9,15)),1,0)</f>
        <v>0</v>
      </c>
      <c r="AN1190" s="4">
        <f>IF(vp.data[[#This Row],[SDate]]&lt;DATE(2016,12,1),0,1)</f>
        <v>1</v>
      </c>
      <c r="AO1190" s="4">
        <f>IFERROR(vp.data[[#This Row],[Sulf]]*vp.data[[#This Row],[Net Dens]],"")</f>
        <v>3415606.7582399999</v>
      </c>
      <c r="AP1190">
        <f>IFERROR(vp.data[[#This Row],[Dens]]*vp.data[[#This Row],[VolumeM3]],"")</f>
        <v>3006696.0900000003</v>
      </c>
      <c r="AQ1190" s="15">
        <f>IFERROR(vp.data[[#This Row],[VP]]*vp.data[[#This Row],[VolumeM3]],"")</f>
        <v>223861.38440000001</v>
      </c>
    </row>
    <row r="1191" spans="1:43" x14ac:dyDescent="0.25">
      <c r="A1191">
        <v>1190</v>
      </c>
      <c r="B1191" t="s">
        <v>49</v>
      </c>
      <c r="C1191" t="s">
        <v>49</v>
      </c>
      <c r="D1191" t="s">
        <v>249</v>
      </c>
      <c r="F1191" s="1">
        <v>42831</v>
      </c>
      <c r="G1191" s="2">
        <v>53.2</v>
      </c>
      <c r="H1191" s="2">
        <v>3.69</v>
      </c>
      <c r="I1191" s="2">
        <f t="array" ref="I1191">_xlfn.IFNA(IF(vp.data[[#This Row],[Sulf Input]]="",INDEX([1]DATA!$Q$3:$Q$9826,MATCH(1,(vp.data[[#This Row],[Battery]]=[1]DATA!$L$3:$L$9826)*(EOMONTH(vp.data[[#This Row],[SDate]],-1)+1=[1]DATA!$G$3:$G$9826),0)),vp.data[[#This Row],[Sulf Input]]),"")</f>
        <v>3.69</v>
      </c>
      <c r="J1191" s="2">
        <v>26.1</v>
      </c>
      <c r="K1191" s="2">
        <v>9</v>
      </c>
      <c r="L1191" s="2">
        <v>881.1</v>
      </c>
      <c r="M1191" s="2">
        <f t="array" ref="M1191">_xlfn.IFNA(IF(vp.data[[#This Row],[Dens Input]]="",INDEX([1]DATA!$O$3:$O$9826,MATCH(1,(vp.data[[#This Row],[Battery]]=[1]DATA!$L$3:$L$9826)*(EOMONTH(vp.data[[#This Row],[SDate]],-1)+1=[1]DATA!$G$3:$G$9826),0)),vp.data[[#This Row],[Dens Input]]),"")</f>
        <v>881.1</v>
      </c>
      <c r="N1191" s="2">
        <f ca="1">INDEX(INDIRECT(_xlfn.CONCAT("weather.tbl[",N$1,"]")),MATCH(vp.data[[#This Row],[SDate]],weather.tbl[Date],0))</f>
        <v>5.8999999999999995</v>
      </c>
      <c r="O1191" s="2">
        <f ca="1">INDEX(INDIRECT(_xlfn.CONCAT("weather.tbl[",O$1,"]")),MATCH(vp.data[[#This Row],[SDate]],weather.tbl[Date],0))</f>
        <v>5.1476190476190471</v>
      </c>
      <c r="P1191" s="2">
        <f ca="1">INDEX(INDIRECT(_xlfn.CONCAT("weather.tbl[",P$1,"]")),MATCH(vp.data[[#This Row],[SDate]],weather.tbl[Date],0))</f>
        <v>6.5</v>
      </c>
      <c r="Q1191" s="2">
        <f ca="1">INDEX(INDIRECT(_xlfn.CONCAT("weather.tbl[",Q$1,"]")),MATCH(vp.data[[#This Row],[SDate]],weather.tbl[Date],0))</f>
        <v>7.6</v>
      </c>
      <c r="R1191" s="2">
        <f ca="1">INDEX(INDIRECT(_xlfn.CONCAT("weather.tbl[",R$1,"]")),MATCH(vp.data[[#This Row],[SDate]],weather.tbl[Date],0))</f>
        <v>3.5</v>
      </c>
      <c r="S1191" s="2">
        <f ca="1">INDEX(INDIRECT(_xlfn.CONCAT("weather.tbl[",S$1,"]")),MATCH(vp.data[[#This Row],[SDate]],weather.tbl[Date],0))</f>
        <v>7.7</v>
      </c>
      <c r="T1191" s="2">
        <f ca="1">INDEX(INDIRECT(_xlfn.CONCAT("weather.tbl[",T$1,"]")),MATCH(vp.data[[#This Row],[SDate]],weather.tbl[Date],0))</f>
        <v>5.3</v>
      </c>
      <c r="U1191" s="2">
        <f ca="1">INDEX(INDIRECT(_xlfn.CONCAT("weather.tbl[",U$1,"]")),MATCH(vp.data[[#This Row],[SDate]],weather.tbl[Date],0))</f>
        <v>4.8</v>
      </c>
      <c r="V1191" s="2">
        <f t="array" ref="V11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317.09399999999999</v>
      </c>
      <c r="W1191" t="s">
        <v>48</v>
      </c>
      <c r="X1191">
        <f>IF(OR(vp.data[[#This Row],[Sulf]]="",vp.data[[#This Row],[Dens]]=""),1,0)</f>
        <v>0</v>
      </c>
      <c r="Y1191">
        <f>IF(vp.data[[#This Row],[CrudeType]]="C5+",1,0)</f>
        <v>0</v>
      </c>
      <c r="Z1191">
        <f>IF(AND(vp.data[[#This Row],[CrudeType]]="Crude",vp.data[[#This Row],[Dens]]&lt;=825,vp.data[[#This Row],[Sulf]]&gt;0.5,vp.data[[#This Row],[Unknown]]=0),1,0)</f>
        <v>0</v>
      </c>
      <c r="AA1191">
        <f>IF(AND(vp.data[[#This Row],[CrudeType]]="Crude",vp.data[[#This Row],[Dens]]&lt;=825,vp.data[[#This Row],[Sulf]]&lt;=0.5,vp.data[[#This Row],[Unknown]]=0),1,0)</f>
        <v>0</v>
      </c>
      <c r="AB11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1">
        <f>IF(AND(vp.data[[#This Row],[CrudeType]]="Crude",vp.data[[#This Row],[Dens]]&gt;825,vp.data[[#This Row],[Dens]]&lt;=900,vp.data[[#This Row],[Sulf]]&lt;=0.5,vp.data[[#This Row],[Unknown]]=0),1,0)</f>
        <v>0</v>
      </c>
      <c r="AD1191">
        <f>IF(AND(vp.data[[#This Row],[CrudeType]]="Crude",vp.data[[#This Row],[Dens]]&gt;865,vp.data[[#This Row],[Dens]]&lt;=900,vp.data[[#This Row],[Sulf]]&gt;2,vp.data[[#This Row],[Unknown]]=0),1,0)</f>
        <v>1</v>
      </c>
      <c r="AE1191">
        <f>IF(AND(vp.data[[#This Row],[CrudeType]]="Crude",vp.data[[#This Row],[Dens]]&gt;900,vp.data[[#This Row],[Sulf]]&lt;=0.5,vp.data[[#This Row],[Unknown]]=0),1,0)</f>
        <v>0</v>
      </c>
      <c r="AF1191">
        <f>IF(AND(vp.data[[#This Row],[CrudeType]]="Crude",vp.data[[#This Row],[Dens]]&gt;900,vp.data[[#This Row],[Sulf]]&lt;=0.5,vp.data[[#This Row],[Unknown]]=0),1,0)</f>
        <v>0</v>
      </c>
      <c r="AG1191" t="str">
        <f>INDEX(vp.data[[#Headers],[Unknown]:[Heavy_SW]],MATCH(1,vp.data[[#This Row],[Unknown]:[Heavy_SW]],0))</f>
        <v>Midale</v>
      </c>
      <c r="AH1191">
        <f>INDEX([3]!crudeBD.lkup[Number],MATCH(vp.data[[#This Row],[Crude_Breakdown]],crudeBD.lkup[Crude Breakdown],0))</f>
        <v>5</v>
      </c>
      <c r="AI1191">
        <f>MONTH(vp.data[[#This Row],[SDate]])</f>
        <v>4</v>
      </c>
      <c r="AJ1191" s="5">
        <f>(vp.data[[#This Row],[VP]]-INDEX(crudeBD.lkup[Mean_VP],MATCH(vp.data[[#This Row],[Crude_Breakdown]],crudeBD.lkup[Crude Breakdown],0)))^2</f>
        <v>262.72399431395564</v>
      </c>
      <c r="AK1191" s="5">
        <f>(vp.data[[#This Row],[Dens]]-INDEX(crudeBD.lkup[Mean_Dens],MATCH(vp.data[[#This Row],[Crude_Breakdown]],crudeBD.lkup[Crude Breakdown],0)))^2</f>
        <v>39.475959453710956</v>
      </c>
      <c r="AL1191" s="5">
        <f>(vp.data[[#This Row],[Sulf]]-INDEX(crudeBD.lkup[Mean_Sulf],MATCH(vp.data[[#This Row],[Crude_Breakdown]],crudeBD.lkup[Crude Breakdown],0)))^2</f>
        <v>1.5534741547990361</v>
      </c>
      <c r="AM1191" s="4">
        <f>IF(AND(vp.data[[#This Row],[SDate]]&gt;=DATE(YEAR(vp.data[[#This Row],[SDate]]),5,1),vp.data[[#This Row],[SDate]]&lt;=DATE(YEAR(vp.data[[#This Row],[SDate]]),9,15)),1,0)</f>
        <v>0</v>
      </c>
      <c r="AN1191" s="4">
        <f>IF(vp.data[[#This Row],[SDate]]&lt;DATE(2016,12,1),0,1)</f>
        <v>1</v>
      </c>
      <c r="AO1191" s="4">
        <f>IFERROR(vp.data[[#This Row],[Sulf]]*vp.data[[#This Row],[Net Dens]],"")</f>
        <v>1030954.721346</v>
      </c>
      <c r="AP1191">
        <f>IFERROR(vp.data[[#This Row],[Dens]]*vp.data[[#This Row],[VolumeM3]],"")</f>
        <v>279391.52340000001</v>
      </c>
      <c r="AQ1191" s="15">
        <f>IFERROR(vp.data[[#This Row],[VP]]*vp.data[[#This Row],[VolumeM3]],"")</f>
        <v>16869.400799999999</v>
      </c>
    </row>
    <row r="1192" spans="1:43" x14ac:dyDescent="0.25">
      <c r="A1192">
        <v>1191</v>
      </c>
      <c r="B1192" t="s">
        <v>51</v>
      </c>
      <c r="C1192" t="s">
        <v>51</v>
      </c>
      <c r="D1192" t="s">
        <v>250</v>
      </c>
      <c r="F1192" s="1">
        <v>42831</v>
      </c>
      <c r="G1192" s="2">
        <v>72.099999999999994</v>
      </c>
      <c r="H1192" s="2"/>
      <c r="I1192" s="2">
        <f t="array" ref="I1192">_xlfn.IFNA(IF(vp.data[[#This Row],[Sulf Input]]="",INDEX([1]DATA!$Q$3:$Q$9826,MATCH(1,(vp.data[[#This Row],[Battery]]=[1]DATA!$L$3:$L$9826)*(EOMONTH(vp.data[[#This Row],[SDate]],-1)+1=[1]DATA!$G$3:$G$9826),0)),vp.data[[#This Row],[Sulf Input]]),"")</f>
        <v>0.69</v>
      </c>
      <c r="J1192" s="2">
        <v>22.7</v>
      </c>
      <c r="K1192" s="2">
        <v>12</v>
      </c>
      <c r="L1192" s="2">
        <v>827</v>
      </c>
      <c r="M1192" s="2">
        <f t="array" ref="M1192">_xlfn.IFNA(IF(vp.data[[#This Row],[Dens Input]]="",INDEX([1]DATA!$O$3:$O$9826,MATCH(1,(vp.data[[#This Row],[Battery]]=[1]DATA!$L$3:$L$9826)*(EOMONTH(vp.data[[#This Row],[SDate]],-1)+1=[1]DATA!$G$3:$G$9826),0)),vp.data[[#This Row],[Dens Input]]),"")</f>
        <v>827</v>
      </c>
      <c r="N1192" s="2">
        <f ca="1">INDEX(INDIRECT(_xlfn.CONCAT("weather.tbl[",N$1,"]")),MATCH(vp.data[[#This Row],[SDate]],weather.tbl[Date],0))</f>
        <v>5.8999999999999995</v>
      </c>
      <c r="O1192" s="2">
        <f ca="1">INDEX(INDIRECT(_xlfn.CONCAT("weather.tbl[",O$1,"]")),MATCH(vp.data[[#This Row],[SDate]],weather.tbl[Date],0))</f>
        <v>5.1476190476190471</v>
      </c>
      <c r="P1192" s="2">
        <f ca="1">INDEX(INDIRECT(_xlfn.CONCAT("weather.tbl[",P$1,"]")),MATCH(vp.data[[#This Row],[SDate]],weather.tbl[Date],0))</f>
        <v>6.5</v>
      </c>
      <c r="Q1192" s="2">
        <f ca="1">INDEX(INDIRECT(_xlfn.CONCAT("weather.tbl[",Q$1,"]")),MATCH(vp.data[[#This Row],[SDate]],weather.tbl[Date],0))</f>
        <v>7.6</v>
      </c>
      <c r="R1192" s="2">
        <f ca="1">INDEX(INDIRECT(_xlfn.CONCAT("weather.tbl[",R$1,"]")),MATCH(vp.data[[#This Row],[SDate]],weather.tbl[Date],0))</f>
        <v>3.5</v>
      </c>
      <c r="S1192" s="2">
        <f ca="1">INDEX(INDIRECT(_xlfn.CONCAT("weather.tbl[",S$1,"]")),MATCH(vp.data[[#This Row],[SDate]],weather.tbl[Date],0))</f>
        <v>7.7</v>
      </c>
      <c r="T1192" s="2">
        <f ca="1">INDEX(INDIRECT(_xlfn.CONCAT("weather.tbl[",T$1,"]")),MATCH(vp.data[[#This Row],[SDate]],weather.tbl[Date],0))</f>
        <v>5.3</v>
      </c>
      <c r="U1192" s="2">
        <f ca="1">INDEX(INDIRECT(_xlfn.CONCAT("weather.tbl[",U$1,"]")),MATCH(vp.data[[#This Row],[SDate]],weather.tbl[Date],0))</f>
        <v>4.8</v>
      </c>
      <c r="V1192" s="2">
        <f t="array" ref="V11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453.23099999999999</v>
      </c>
      <c r="W1192" t="s">
        <v>48</v>
      </c>
      <c r="X1192">
        <f>IF(OR(vp.data[[#This Row],[Sulf]]="",vp.data[[#This Row],[Dens]]=""),1,0)</f>
        <v>0</v>
      </c>
      <c r="Y1192">
        <f>IF(vp.data[[#This Row],[CrudeType]]="C5+",1,0)</f>
        <v>0</v>
      </c>
      <c r="Z1192">
        <f>IF(AND(vp.data[[#This Row],[CrudeType]]="Crude",vp.data[[#This Row],[Dens]]&lt;=825,vp.data[[#This Row],[Sulf]]&gt;0.5,vp.data[[#This Row],[Unknown]]=0),1,0)</f>
        <v>0</v>
      </c>
      <c r="AA1192">
        <f>IF(AND(vp.data[[#This Row],[CrudeType]]="Crude",vp.data[[#This Row],[Dens]]&lt;=825,vp.data[[#This Row],[Sulf]]&lt;=0.5,vp.data[[#This Row],[Unknown]]=0),1,0)</f>
        <v>0</v>
      </c>
      <c r="AB11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92">
        <f>IF(AND(vp.data[[#This Row],[CrudeType]]="Crude",vp.data[[#This Row],[Dens]]&gt;825,vp.data[[#This Row],[Dens]]&lt;=900,vp.data[[#This Row],[Sulf]]&lt;=0.5,vp.data[[#This Row],[Unknown]]=0),1,0)</f>
        <v>0</v>
      </c>
      <c r="AD1192">
        <f>IF(AND(vp.data[[#This Row],[CrudeType]]="Crude",vp.data[[#This Row],[Dens]]&gt;865,vp.data[[#This Row],[Dens]]&lt;=900,vp.data[[#This Row],[Sulf]]&gt;2,vp.data[[#This Row],[Unknown]]=0),1,0)</f>
        <v>0</v>
      </c>
      <c r="AE1192">
        <f>IF(AND(vp.data[[#This Row],[CrudeType]]="Crude",vp.data[[#This Row],[Dens]]&gt;900,vp.data[[#This Row],[Sulf]]&lt;=0.5,vp.data[[#This Row],[Unknown]]=0),1,0)</f>
        <v>0</v>
      </c>
      <c r="AF1192">
        <f>IF(AND(vp.data[[#This Row],[CrudeType]]="Crude",vp.data[[#This Row],[Dens]]&gt;900,vp.data[[#This Row],[Sulf]]&lt;=0.5,vp.data[[#This Row],[Unknown]]=0),1,0)</f>
        <v>0</v>
      </c>
      <c r="AG1192" t="str">
        <f>INDEX(vp.data[[#Headers],[Unknown]:[Heavy_SW]],MATCH(1,vp.data[[#This Row],[Unknown]:[Heavy_SW]],0))</f>
        <v>Medium_LSB</v>
      </c>
      <c r="AH1192">
        <f>INDEX([3]!crudeBD.lkup[Number],MATCH(vp.data[[#This Row],[Crude_Breakdown]],crudeBD.lkup[Crude Breakdown],0))</f>
        <v>3</v>
      </c>
      <c r="AI1192">
        <f>MONTH(vp.data[[#This Row],[SDate]])</f>
        <v>4</v>
      </c>
      <c r="AJ1192" s="5">
        <f>(vp.data[[#This Row],[VP]]-INDEX(crudeBD.lkup[Mean_VP],MATCH(vp.data[[#This Row],[Crude_Breakdown]],crudeBD.lkup[Crude Breakdown],0)))^2</f>
        <v>72.926075576316975</v>
      </c>
      <c r="AK1192" s="5">
        <f>(vp.data[[#This Row],[Dens]]-INDEX(crudeBD.lkup[Mean_Dens],MATCH(vp.data[[#This Row],[Crude_Breakdown]],crudeBD.lkup[Crude Breakdown],0)))^2</f>
        <v>286.28639999998325</v>
      </c>
      <c r="AL1192" s="5">
        <f>(vp.data[[#This Row],[Sulf]]-INDEX(crudeBD.lkup[Mean_Sulf],MATCH(vp.data[[#This Row],[Crude_Breakdown]],crudeBD.lkup[Crude Breakdown],0)))^2</f>
        <v>0.4835924626590371</v>
      </c>
      <c r="AM1192" s="4">
        <f>IF(AND(vp.data[[#This Row],[SDate]]&gt;=DATE(YEAR(vp.data[[#This Row],[SDate]]),5,1),vp.data[[#This Row],[SDate]]&lt;=DATE(YEAR(vp.data[[#This Row],[SDate]]),9,15)),1,0)</f>
        <v>0</v>
      </c>
      <c r="AN1192" s="4">
        <f>IF(vp.data[[#This Row],[SDate]]&lt;DATE(2016,12,1),0,1)</f>
        <v>1</v>
      </c>
      <c r="AO1192" s="4">
        <f>IFERROR(vp.data[[#This Row],[Sulf]]*vp.data[[#This Row],[Net Dens]],"")</f>
        <v>258627.20552999998</v>
      </c>
      <c r="AP1192">
        <f>IFERROR(vp.data[[#This Row],[Dens]]*vp.data[[#This Row],[VolumeM3]],"")</f>
        <v>374822.03700000001</v>
      </c>
      <c r="AQ1192" s="15">
        <f>IFERROR(vp.data[[#This Row],[VP]]*vp.data[[#This Row],[VolumeM3]],"")</f>
        <v>32677.955099999996</v>
      </c>
    </row>
    <row r="1193" spans="1:43" x14ac:dyDescent="0.25">
      <c r="A1193">
        <v>1192</v>
      </c>
      <c r="B1193" t="s">
        <v>68</v>
      </c>
      <c r="C1193" t="s">
        <v>68</v>
      </c>
      <c r="D1193" t="s">
        <v>251</v>
      </c>
      <c r="F1193" s="1">
        <v>42831</v>
      </c>
      <c r="G1193" s="2">
        <v>53.8</v>
      </c>
      <c r="H1193" s="2"/>
      <c r="I1193" s="2">
        <f t="array" ref="I1193">_xlfn.IFNA(IF(vp.data[[#This Row],[Sulf Input]]="",INDEX([1]DATA!$Q$3:$Q$9826,MATCH(1,(vp.data[[#This Row],[Battery]]=[1]DATA!$L$3:$L$9826)*(EOMONTH(vp.data[[#This Row],[SDate]],-1)+1=[1]DATA!$G$3:$G$9826),0)),vp.data[[#This Row],[Sulf Input]]),"")</f>
        <v>0.66</v>
      </c>
      <c r="J1193" s="2">
        <v>7.4</v>
      </c>
      <c r="K1193" s="2">
        <v>12</v>
      </c>
      <c r="L1193" s="2">
        <v>832.5</v>
      </c>
      <c r="M1193" s="2">
        <f t="array" ref="M1193">_xlfn.IFNA(IF(vp.data[[#This Row],[Dens Input]]="",INDEX([1]DATA!$O$3:$O$9826,MATCH(1,(vp.data[[#This Row],[Battery]]=[1]DATA!$L$3:$L$9826)*(EOMONTH(vp.data[[#This Row],[SDate]],-1)+1=[1]DATA!$G$3:$G$9826),0)),vp.data[[#This Row],[Dens Input]]),"")</f>
        <v>832.5</v>
      </c>
      <c r="N1193" s="2">
        <f ca="1">INDEX(INDIRECT(_xlfn.CONCAT("weather.tbl[",N$1,"]")),MATCH(vp.data[[#This Row],[SDate]],weather.tbl[Date],0))</f>
        <v>5.8999999999999995</v>
      </c>
      <c r="O1193" s="2">
        <f ca="1">INDEX(INDIRECT(_xlfn.CONCAT("weather.tbl[",O$1,"]")),MATCH(vp.data[[#This Row],[SDate]],weather.tbl[Date],0))</f>
        <v>5.1476190476190471</v>
      </c>
      <c r="P1193" s="2">
        <f ca="1">INDEX(INDIRECT(_xlfn.CONCAT("weather.tbl[",P$1,"]")),MATCH(vp.data[[#This Row],[SDate]],weather.tbl[Date],0))</f>
        <v>6.5</v>
      </c>
      <c r="Q1193" s="2">
        <f ca="1">INDEX(INDIRECT(_xlfn.CONCAT("weather.tbl[",Q$1,"]")),MATCH(vp.data[[#This Row],[SDate]],weather.tbl[Date],0))</f>
        <v>7.6</v>
      </c>
      <c r="R1193" s="2">
        <f ca="1">INDEX(INDIRECT(_xlfn.CONCAT("weather.tbl[",R$1,"]")),MATCH(vp.data[[#This Row],[SDate]],weather.tbl[Date],0))</f>
        <v>3.5</v>
      </c>
      <c r="S1193" s="2">
        <f ca="1">INDEX(INDIRECT(_xlfn.CONCAT("weather.tbl[",S$1,"]")),MATCH(vp.data[[#This Row],[SDate]],weather.tbl[Date],0))</f>
        <v>7.7</v>
      </c>
      <c r="T1193" s="2">
        <f ca="1">INDEX(INDIRECT(_xlfn.CONCAT("weather.tbl[",T$1,"]")),MATCH(vp.data[[#This Row],[SDate]],weather.tbl[Date],0))</f>
        <v>5.3</v>
      </c>
      <c r="U1193" s="2">
        <f ca="1">INDEX(INDIRECT(_xlfn.CONCAT("weather.tbl[",U$1,"]")),MATCH(vp.data[[#This Row],[SDate]],weather.tbl[Date],0))</f>
        <v>4.8</v>
      </c>
      <c r="V1193" s="2">
        <f t="array" ref="V11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93.527000000000001</v>
      </c>
      <c r="W1193" t="s">
        <v>48</v>
      </c>
      <c r="X1193">
        <f>IF(OR(vp.data[[#This Row],[Sulf]]="",vp.data[[#This Row],[Dens]]=""),1,0)</f>
        <v>0</v>
      </c>
      <c r="Y1193">
        <f>IF(vp.data[[#This Row],[CrudeType]]="C5+",1,0)</f>
        <v>0</v>
      </c>
      <c r="Z1193">
        <f>IF(AND(vp.data[[#This Row],[CrudeType]]="Crude",vp.data[[#This Row],[Dens]]&lt;=825,vp.data[[#This Row],[Sulf]]&gt;0.5,vp.data[[#This Row],[Unknown]]=0),1,0)</f>
        <v>0</v>
      </c>
      <c r="AA1193">
        <f>IF(AND(vp.data[[#This Row],[CrudeType]]="Crude",vp.data[[#This Row],[Dens]]&lt;=825,vp.data[[#This Row],[Sulf]]&lt;=0.5,vp.data[[#This Row],[Unknown]]=0),1,0)</f>
        <v>0</v>
      </c>
      <c r="AB11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93">
        <f>IF(AND(vp.data[[#This Row],[CrudeType]]="Crude",vp.data[[#This Row],[Dens]]&gt;825,vp.data[[#This Row],[Dens]]&lt;=900,vp.data[[#This Row],[Sulf]]&lt;=0.5,vp.data[[#This Row],[Unknown]]=0),1,0)</f>
        <v>0</v>
      </c>
      <c r="AD1193">
        <f>IF(AND(vp.data[[#This Row],[CrudeType]]="Crude",vp.data[[#This Row],[Dens]]&gt;865,vp.data[[#This Row],[Dens]]&lt;=900,vp.data[[#This Row],[Sulf]]&gt;2,vp.data[[#This Row],[Unknown]]=0),1,0)</f>
        <v>0</v>
      </c>
      <c r="AE1193">
        <f>IF(AND(vp.data[[#This Row],[CrudeType]]="Crude",vp.data[[#This Row],[Dens]]&gt;900,vp.data[[#This Row],[Sulf]]&lt;=0.5,vp.data[[#This Row],[Unknown]]=0),1,0)</f>
        <v>0</v>
      </c>
      <c r="AF1193">
        <f>IF(AND(vp.data[[#This Row],[CrudeType]]="Crude",vp.data[[#This Row],[Dens]]&gt;900,vp.data[[#This Row],[Sulf]]&lt;=0.5,vp.data[[#This Row],[Unknown]]=0),1,0)</f>
        <v>0</v>
      </c>
      <c r="AG1193" t="str">
        <f>INDEX(vp.data[[#Headers],[Unknown]:[Heavy_SW]],MATCH(1,vp.data[[#This Row],[Unknown]:[Heavy_SW]],0))</f>
        <v>Medium_LSB</v>
      </c>
      <c r="AH1193">
        <f>INDEX([3]!crudeBD.lkup[Number],MATCH(vp.data[[#This Row],[Crude_Breakdown]],crudeBD.lkup[Crude Breakdown],0))</f>
        <v>3</v>
      </c>
      <c r="AI1193">
        <f>MONTH(vp.data[[#This Row],[SDate]])</f>
        <v>4</v>
      </c>
      <c r="AJ1193" s="5">
        <f>(vp.data[[#This Row],[VP]]-INDEX(crudeBD.lkup[Mean_VP],MATCH(vp.data[[#This Row],[Crude_Breakdown]],crudeBD.lkup[Crude Breakdown],0)))^2</f>
        <v>720.36823730138178</v>
      </c>
      <c r="AK1193" s="5">
        <f>(vp.data[[#This Row],[Dens]]-INDEX(crudeBD.lkup[Mean_Dens],MATCH(vp.data[[#This Row],[Crude_Breakdown]],crudeBD.lkup[Crude Breakdown],0)))^2</f>
        <v>130.41639999998867</v>
      </c>
      <c r="AL1193" s="5">
        <f>(vp.data[[#This Row],[Sulf]]-INDEX(crudeBD.lkup[Mean_Sulf],MATCH(vp.data[[#This Row],[Crude_Breakdown]],crudeBD.lkup[Crude Breakdown],0)))^2</f>
        <v>0.52621695026011528</v>
      </c>
      <c r="AM1193" s="4">
        <f>IF(AND(vp.data[[#This Row],[SDate]]&gt;=DATE(YEAR(vp.data[[#This Row],[SDate]]),5,1),vp.data[[#This Row],[SDate]]&lt;=DATE(YEAR(vp.data[[#This Row],[SDate]]),9,15)),1,0)</f>
        <v>0</v>
      </c>
      <c r="AN1193" s="4">
        <f>IF(vp.data[[#This Row],[SDate]]&lt;DATE(2016,12,1),0,1)</f>
        <v>1</v>
      </c>
      <c r="AO1193" s="4">
        <f>IFERROR(vp.data[[#This Row],[Sulf]]*vp.data[[#This Row],[Net Dens]],"")</f>
        <v>51388.410149999996</v>
      </c>
      <c r="AP1193">
        <f>IFERROR(vp.data[[#This Row],[Dens]]*vp.data[[#This Row],[VolumeM3]],"")</f>
        <v>77861.227499999994</v>
      </c>
      <c r="AQ1193" s="15">
        <f>IFERROR(vp.data[[#This Row],[VP]]*vp.data[[#This Row],[VolumeM3]],"")</f>
        <v>5031.7525999999998</v>
      </c>
    </row>
    <row r="1194" spans="1:43" x14ac:dyDescent="0.25">
      <c r="A1194">
        <v>1193</v>
      </c>
      <c r="B1194" t="s">
        <v>53</v>
      </c>
      <c r="C1194" t="s">
        <v>53</v>
      </c>
      <c r="D1194" t="s">
        <v>54</v>
      </c>
      <c r="E1194" t="s">
        <v>55</v>
      </c>
      <c r="F1194" s="1">
        <v>42831</v>
      </c>
      <c r="G1194" s="2">
        <v>80.7</v>
      </c>
      <c r="H1194" s="2"/>
      <c r="I1194" s="2">
        <f t="array" ref="I1194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194" s="2">
        <v>12.6</v>
      </c>
      <c r="K1194" s="2">
        <v>12</v>
      </c>
      <c r="L1194" s="2">
        <v>840</v>
      </c>
      <c r="M1194" s="2">
        <f t="array" ref="M1194">_xlfn.IFNA(IF(vp.data[[#This Row],[Dens Input]]="",INDEX([1]DATA!$O$3:$O$9826,MATCH(1,(vp.data[[#This Row],[Battery]]=[1]DATA!$L$3:$L$9826)*(EOMONTH(vp.data[[#This Row],[SDate]],-1)+1=[1]DATA!$G$3:$G$9826),0)),vp.data[[#This Row],[Dens Input]]),"")</f>
        <v>840</v>
      </c>
      <c r="N1194" s="2">
        <f ca="1">INDEX(INDIRECT(_xlfn.CONCAT("weather.tbl[",N$1,"]")),MATCH(vp.data[[#This Row],[SDate]],weather.tbl[Date],0))</f>
        <v>5.8999999999999995</v>
      </c>
      <c r="O1194" s="2">
        <f ca="1">INDEX(INDIRECT(_xlfn.CONCAT("weather.tbl[",O$1,"]")),MATCH(vp.data[[#This Row],[SDate]],weather.tbl[Date],0))</f>
        <v>5.1476190476190471</v>
      </c>
      <c r="P1194" s="2">
        <f ca="1">INDEX(INDIRECT(_xlfn.CONCAT("weather.tbl[",P$1,"]")),MATCH(vp.data[[#This Row],[SDate]],weather.tbl[Date],0))</f>
        <v>6.5</v>
      </c>
      <c r="Q1194" s="2">
        <f ca="1">INDEX(INDIRECT(_xlfn.CONCAT("weather.tbl[",Q$1,"]")),MATCH(vp.data[[#This Row],[SDate]],weather.tbl[Date],0))</f>
        <v>7.6</v>
      </c>
      <c r="R1194" s="2">
        <f ca="1">INDEX(INDIRECT(_xlfn.CONCAT("weather.tbl[",R$1,"]")),MATCH(vp.data[[#This Row],[SDate]],weather.tbl[Date],0))</f>
        <v>3.5</v>
      </c>
      <c r="S1194" s="2">
        <f ca="1">INDEX(INDIRECT(_xlfn.CONCAT("weather.tbl[",S$1,"]")),MATCH(vp.data[[#This Row],[SDate]],weather.tbl[Date],0))</f>
        <v>7.7</v>
      </c>
      <c r="T1194" s="2">
        <f ca="1">INDEX(INDIRECT(_xlfn.CONCAT("weather.tbl[",T$1,"]")),MATCH(vp.data[[#This Row],[SDate]],weather.tbl[Date],0))</f>
        <v>5.3</v>
      </c>
      <c r="U1194" s="2">
        <f ca="1">INDEX(INDIRECT(_xlfn.CONCAT("weather.tbl[",U$1,"]")),MATCH(vp.data[[#This Row],[SDate]],weather.tbl[Date],0))</f>
        <v>4.8</v>
      </c>
      <c r="V1194" s="2">
        <f t="array" ref="V11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194" t="s">
        <v>48</v>
      </c>
      <c r="X1194">
        <f>IF(OR(vp.data[[#This Row],[Sulf]]="",vp.data[[#This Row],[Dens]]=""),1,0)</f>
        <v>0</v>
      </c>
      <c r="Y1194">
        <f>IF(vp.data[[#This Row],[CrudeType]]="C5+",1,0)</f>
        <v>0</v>
      </c>
      <c r="Z1194">
        <f>IF(AND(vp.data[[#This Row],[CrudeType]]="Crude",vp.data[[#This Row],[Dens]]&lt;=825,vp.data[[#This Row],[Sulf]]&gt;0.5,vp.data[[#This Row],[Unknown]]=0),1,0)</f>
        <v>0</v>
      </c>
      <c r="AA1194">
        <f>IF(AND(vp.data[[#This Row],[CrudeType]]="Crude",vp.data[[#This Row],[Dens]]&lt;=825,vp.data[[#This Row],[Sulf]]&lt;=0.5,vp.data[[#This Row],[Unknown]]=0),1,0)</f>
        <v>0</v>
      </c>
      <c r="AB11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94">
        <f>IF(AND(vp.data[[#This Row],[CrudeType]]="Crude",vp.data[[#This Row],[Dens]]&gt;825,vp.data[[#This Row],[Dens]]&lt;=900,vp.data[[#This Row],[Sulf]]&lt;=0.5,vp.data[[#This Row],[Unknown]]=0),1,0)</f>
        <v>0</v>
      </c>
      <c r="AD1194">
        <f>IF(AND(vp.data[[#This Row],[CrudeType]]="Crude",vp.data[[#This Row],[Dens]]&gt;865,vp.data[[#This Row],[Dens]]&lt;=900,vp.data[[#This Row],[Sulf]]&gt;2,vp.data[[#This Row],[Unknown]]=0),1,0)</f>
        <v>0</v>
      </c>
      <c r="AE1194">
        <f>IF(AND(vp.data[[#This Row],[CrudeType]]="Crude",vp.data[[#This Row],[Dens]]&gt;900,vp.data[[#This Row],[Sulf]]&lt;=0.5,vp.data[[#This Row],[Unknown]]=0),1,0)</f>
        <v>0</v>
      </c>
      <c r="AF1194">
        <f>IF(AND(vp.data[[#This Row],[CrudeType]]="Crude",vp.data[[#This Row],[Dens]]&gt;900,vp.data[[#This Row],[Sulf]]&lt;=0.5,vp.data[[#This Row],[Unknown]]=0),1,0)</f>
        <v>0</v>
      </c>
      <c r="AG1194" t="str">
        <f>INDEX(vp.data[[#Headers],[Unknown]:[Heavy_SW]],MATCH(1,vp.data[[#This Row],[Unknown]:[Heavy_SW]],0))</f>
        <v>Medium_LSB</v>
      </c>
      <c r="AH1194">
        <f>INDEX([3]!crudeBD.lkup[Number],MATCH(vp.data[[#This Row],[Crude_Breakdown]],crudeBD.lkup[Crude Breakdown],0))</f>
        <v>3</v>
      </c>
      <c r="AI1194">
        <f>MONTH(vp.data[[#This Row],[SDate]])</f>
        <v>4</v>
      </c>
      <c r="AJ1194" s="5">
        <f>(vp.data[[#This Row],[VP]]-INDEX(crudeBD.lkup[Mean_VP],MATCH(vp.data[[#This Row],[Crude_Breakdown]],crudeBD.lkup[Crude Breakdown],0)))^2</f>
        <v>3.6389186361711679E-3</v>
      </c>
      <c r="AK1194" s="5">
        <f>(vp.data[[#This Row],[Dens]]-INDEX(crudeBD.lkup[Mean_Dens],MATCH(vp.data[[#This Row],[Crude_Breakdown]],crudeBD.lkup[Crude Breakdown],0)))^2</f>
        <v>15.366399999996114</v>
      </c>
      <c r="AL1194" s="5">
        <f>(vp.data[[#This Row],[Sulf]]-INDEX(crudeBD.lkup[Mean_Sulf],MATCH(vp.data[[#This Row],[Crude_Breakdown]],crudeBD.lkup[Crude Breakdown],0)))^2</f>
        <v>3.4376173440706655E-2</v>
      </c>
      <c r="AM1194" s="4">
        <f>IF(AND(vp.data[[#This Row],[SDate]]&gt;=DATE(YEAR(vp.data[[#This Row],[SDate]]),5,1),vp.data[[#This Row],[SDate]]&lt;=DATE(YEAR(vp.data[[#This Row],[SDate]]),9,15)),1,0)</f>
        <v>0</v>
      </c>
      <c r="AN1194" s="4">
        <f>IF(vp.data[[#This Row],[SDate]]&lt;DATE(2016,12,1),0,1)</f>
        <v>1</v>
      </c>
      <c r="AO1194" s="4">
        <f>IFERROR(vp.data[[#This Row],[Sulf]]*vp.data[[#This Row],[Net Dens]],"")</f>
        <v>6315013.1519999998</v>
      </c>
      <c r="AP1194">
        <f>IFERROR(vp.data[[#This Row],[Dens]]*vp.data[[#This Row],[VolumeM3]],"")</f>
        <v>5262510.96</v>
      </c>
      <c r="AQ1194" s="15">
        <f>IFERROR(vp.data[[#This Row],[VP]]*vp.data[[#This Row],[VolumeM3]],"")</f>
        <v>505576.94580000004</v>
      </c>
    </row>
    <row r="1195" spans="1:43" x14ac:dyDescent="0.25">
      <c r="A1195">
        <v>1194</v>
      </c>
      <c r="B1195" t="s">
        <v>49</v>
      </c>
      <c r="C1195" t="s">
        <v>49</v>
      </c>
      <c r="D1195" t="s">
        <v>103</v>
      </c>
      <c r="F1195" s="1">
        <v>42834</v>
      </c>
      <c r="G1195" s="2">
        <v>47.9</v>
      </c>
      <c r="H1195" s="2">
        <v>2.0499999999999998</v>
      </c>
      <c r="I1195" s="2">
        <f t="array" ref="I1195">_xlfn.IFNA(IF(vp.data[[#This Row],[Sulf Input]]="",INDEX([1]DATA!$Q$3:$Q$9826,MATCH(1,(vp.data[[#This Row],[Battery]]=[1]DATA!$L$3:$L$9826)*(EOMONTH(vp.data[[#This Row],[SDate]],-1)+1=[1]DATA!$G$3:$G$9826),0)),vp.data[[#This Row],[Sulf Input]]),"")</f>
        <v>2.0499999999999998</v>
      </c>
      <c r="J1195" s="2">
        <v>32.5</v>
      </c>
      <c r="K1195" s="2">
        <v>8</v>
      </c>
      <c r="L1195" s="2">
        <v>885.2</v>
      </c>
      <c r="M1195" s="2">
        <f t="array" ref="M1195">_xlfn.IFNA(IF(vp.data[[#This Row],[Dens Input]]="",INDEX([1]DATA!$O$3:$O$9826,MATCH(1,(vp.data[[#This Row],[Battery]]=[1]DATA!$L$3:$L$9826)*(EOMONTH(vp.data[[#This Row],[SDate]],-1)+1=[1]DATA!$G$3:$G$9826),0)),vp.data[[#This Row],[Dens Input]]),"")</f>
        <v>885.2</v>
      </c>
      <c r="N1195" s="2">
        <f ca="1">INDEX(INDIRECT(_xlfn.CONCAT("weather.tbl[",N$1,"]")),MATCH(vp.data[[#This Row],[SDate]],weather.tbl[Date],0))</f>
        <v>2.6666666666666665</v>
      </c>
      <c r="O1195" s="2">
        <f ca="1">INDEX(INDIRECT(_xlfn.CONCAT("weather.tbl[",O$1,"]")),MATCH(vp.data[[#This Row],[SDate]],weather.tbl[Date],0))</f>
        <v>6.7261904761904754</v>
      </c>
      <c r="P1195" s="2">
        <f ca="1">INDEX(INDIRECT(_xlfn.CONCAT("weather.tbl[",P$1,"]")),MATCH(vp.data[[#This Row],[SDate]],weather.tbl[Date],0))</f>
        <v>2.2999999999999998</v>
      </c>
      <c r="Q1195" s="2">
        <f ca="1">INDEX(INDIRECT(_xlfn.CONCAT("weather.tbl[",Q$1,"]")),MATCH(vp.data[[#This Row],[SDate]],weather.tbl[Date],0))</f>
        <v>0.6</v>
      </c>
      <c r="R1195" s="2">
        <f ca="1">INDEX(INDIRECT(_xlfn.CONCAT("weather.tbl[",R$1,"]")),MATCH(vp.data[[#This Row],[SDate]],weather.tbl[Date],0))</f>
        <v>13</v>
      </c>
      <c r="S1195" s="2">
        <f ca="1">INDEX(INDIRECT(_xlfn.CONCAT("weather.tbl[",S$1,"]")),MATCH(vp.data[[#This Row],[SDate]],weather.tbl[Date],0))</f>
        <v>-1</v>
      </c>
      <c r="T1195" s="2">
        <f ca="1">INDEX(INDIRECT(_xlfn.CONCAT("weather.tbl[",T$1,"]")),MATCH(vp.data[[#This Row],[SDate]],weather.tbl[Date],0))</f>
        <v>1.9</v>
      </c>
      <c r="U1195" s="2">
        <f ca="1">INDEX(INDIRECT(_xlfn.CONCAT("weather.tbl[",U$1,"]")),MATCH(vp.data[[#This Row],[SDate]],weather.tbl[Date],0))</f>
        <v>-0.8</v>
      </c>
      <c r="V1195" s="2">
        <f t="array" ref="V11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797.85299999999995</v>
      </c>
      <c r="W1195" t="s">
        <v>48</v>
      </c>
      <c r="X1195">
        <f>IF(OR(vp.data[[#This Row],[Sulf]]="",vp.data[[#This Row],[Dens]]=""),1,0)</f>
        <v>0</v>
      </c>
      <c r="Y1195">
        <f>IF(vp.data[[#This Row],[CrudeType]]="C5+",1,0)</f>
        <v>0</v>
      </c>
      <c r="Z1195">
        <f>IF(AND(vp.data[[#This Row],[CrudeType]]="Crude",vp.data[[#This Row],[Dens]]&lt;=825,vp.data[[#This Row],[Sulf]]&gt;0.5,vp.data[[#This Row],[Unknown]]=0),1,0)</f>
        <v>0</v>
      </c>
      <c r="AA1195">
        <f>IF(AND(vp.data[[#This Row],[CrudeType]]="Crude",vp.data[[#This Row],[Dens]]&lt;=825,vp.data[[#This Row],[Sulf]]&lt;=0.5,vp.data[[#This Row],[Unknown]]=0),1,0)</f>
        <v>0</v>
      </c>
      <c r="AB11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5">
        <f>IF(AND(vp.data[[#This Row],[CrudeType]]="Crude",vp.data[[#This Row],[Dens]]&gt;825,vp.data[[#This Row],[Dens]]&lt;=900,vp.data[[#This Row],[Sulf]]&lt;=0.5,vp.data[[#This Row],[Unknown]]=0),1,0)</f>
        <v>0</v>
      </c>
      <c r="AD1195">
        <f>IF(AND(vp.data[[#This Row],[CrudeType]]="Crude",vp.data[[#This Row],[Dens]]&gt;865,vp.data[[#This Row],[Dens]]&lt;=900,vp.data[[#This Row],[Sulf]]&gt;2,vp.data[[#This Row],[Unknown]]=0),1,0)</f>
        <v>1</v>
      </c>
      <c r="AE1195">
        <f>IF(AND(vp.data[[#This Row],[CrudeType]]="Crude",vp.data[[#This Row],[Dens]]&gt;900,vp.data[[#This Row],[Sulf]]&lt;=0.5,vp.data[[#This Row],[Unknown]]=0),1,0)</f>
        <v>0</v>
      </c>
      <c r="AF1195">
        <f>IF(AND(vp.data[[#This Row],[CrudeType]]="Crude",vp.data[[#This Row],[Dens]]&gt;900,vp.data[[#This Row],[Sulf]]&lt;=0.5,vp.data[[#This Row],[Unknown]]=0),1,0)</f>
        <v>0</v>
      </c>
      <c r="AG1195" t="str">
        <f>INDEX(vp.data[[#Headers],[Unknown]:[Heavy_SW]],MATCH(1,vp.data[[#This Row],[Unknown]:[Heavy_SW]],0))</f>
        <v>Midale</v>
      </c>
      <c r="AH1195">
        <f>INDEX([3]!crudeBD.lkup[Number],MATCH(vp.data[[#This Row],[Crude_Breakdown]],crudeBD.lkup[Crude Breakdown],0))</f>
        <v>5</v>
      </c>
      <c r="AI1195">
        <f>MONTH(vp.data[[#This Row],[SDate]])</f>
        <v>4</v>
      </c>
      <c r="AJ1195" s="5">
        <f>(vp.data[[#This Row],[VP]]-INDEX(crudeBD.lkup[Mean_VP],MATCH(vp.data[[#This Row],[Crude_Breakdown]],crudeBD.lkup[Crude Breakdown],0)))^2</f>
        <v>462.62688091189426</v>
      </c>
      <c r="AK1195" s="5">
        <f>(vp.data[[#This Row],[Dens]]-INDEX(crudeBD.lkup[Mean_Dens],MATCH(vp.data[[#This Row],[Crude_Breakdown]],crudeBD.lkup[Crude Breakdown],0)))^2</f>
        <v>107.80647491762662</v>
      </c>
      <c r="AL1195" s="5">
        <f>(vp.data[[#This Row],[Sulf]]-INDEX(crudeBD.lkup[Mean_Sulf],MATCH(vp.data[[#This Row],[Crude_Breakdown]],crudeBD.lkup[Crude Breakdown],0)))^2</f>
        <v>0.15493321459284634</v>
      </c>
      <c r="AM1195" s="4">
        <f>IF(AND(vp.data[[#This Row],[SDate]]&gt;=DATE(YEAR(vp.data[[#This Row],[SDate]]),5,1),vp.data[[#This Row],[SDate]]&lt;=DATE(YEAR(vp.data[[#This Row],[SDate]]),9,15)),1,0)</f>
        <v>0</v>
      </c>
      <c r="AN1195" s="4">
        <f>IF(vp.data[[#This Row],[SDate]]&lt;DATE(2016,12,1),0,1)</f>
        <v>1</v>
      </c>
      <c r="AO1195" s="4">
        <f>IFERROR(vp.data[[#This Row],[Sulf]]*vp.data[[#This Row],[Net Dens]],"")</f>
        <v>1447831.9249799999</v>
      </c>
      <c r="AP1195">
        <f>IFERROR(vp.data[[#This Row],[Dens]]*vp.data[[#This Row],[VolumeM3]],"")</f>
        <v>706259.47560000001</v>
      </c>
      <c r="AQ1195" s="15">
        <f>IFERROR(vp.data[[#This Row],[VP]]*vp.data[[#This Row],[VolumeM3]],"")</f>
        <v>38217.1587</v>
      </c>
    </row>
    <row r="1196" spans="1:43" x14ac:dyDescent="0.25">
      <c r="A1196">
        <v>1195</v>
      </c>
      <c r="B1196" t="s">
        <v>49</v>
      </c>
      <c r="C1196" t="s">
        <v>49</v>
      </c>
      <c r="D1196" t="s">
        <v>104</v>
      </c>
      <c r="F1196" s="1">
        <v>42834</v>
      </c>
      <c r="G1196" s="2">
        <v>40.299999999999997</v>
      </c>
      <c r="H1196" s="2">
        <v>2.1139999999999999</v>
      </c>
      <c r="I1196" s="2">
        <f t="array" ref="I1196">_xlfn.IFNA(IF(vp.data[[#This Row],[Sulf Input]]="",INDEX([1]DATA!$Q$3:$Q$9826,MATCH(1,(vp.data[[#This Row],[Battery]]=[1]DATA!$L$3:$L$9826)*(EOMONTH(vp.data[[#This Row],[SDate]],-1)+1=[1]DATA!$G$3:$G$9826),0)),vp.data[[#This Row],[Sulf Input]]),"")</f>
        <v>2.1139999999999999</v>
      </c>
      <c r="J1196" s="2">
        <v>31.3</v>
      </c>
      <c r="K1196" s="2">
        <v>8</v>
      </c>
      <c r="L1196" s="2">
        <v>882.3</v>
      </c>
      <c r="M1196" s="2">
        <f t="array" ref="M1196">_xlfn.IFNA(IF(vp.data[[#This Row],[Dens Input]]="",INDEX([1]DATA!$O$3:$O$9826,MATCH(1,(vp.data[[#This Row],[Battery]]=[1]DATA!$L$3:$L$9826)*(EOMONTH(vp.data[[#This Row],[SDate]],-1)+1=[1]DATA!$G$3:$G$9826),0)),vp.data[[#This Row],[Dens Input]]),"")</f>
        <v>882.3</v>
      </c>
      <c r="N1196" s="2">
        <f ca="1">INDEX(INDIRECT(_xlfn.CONCAT("weather.tbl[",N$1,"]")),MATCH(vp.data[[#This Row],[SDate]],weather.tbl[Date],0))</f>
        <v>2.6666666666666665</v>
      </c>
      <c r="O1196" s="2">
        <f ca="1">INDEX(INDIRECT(_xlfn.CONCAT("weather.tbl[",O$1,"]")),MATCH(vp.data[[#This Row],[SDate]],weather.tbl[Date],0))</f>
        <v>6.7261904761904754</v>
      </c>
      <c r="P1196" s="2">
        <f ca="1">INDEX(INDIRECT(_xlfn.CONCAT("weather.tbl[",P$1,"]")),MATCH(vp.data[[#This Row],[SDate]],weather.tbl[Date],0))</f>
        <v>2.2999999999999998</v>
      </c>
      <c r="Q1196" s="2">
        <f ca="1">INDEX(INDIRECT(_xlfn.CONCAT("weather.tbl[",Q$1,"]")),MATCH(vp.data[[#This Row],[SDate]],weather.tbl[Date],0))</f>
        <v>0.6</v>
      </c>
      <c r="R1196" s="2">
        <f ca="1">INDEX(INDIRECT(_xlfn.CONCAT("weather.tbl[",R$1,"]")),MATCH(vp.data[[#This Row],[SDate]],weather.tbl[Date],0))</f>
        <v>13</v>
      </c>
      <c r="S1196" s="2">
        <f ca="1">INDEX(INDIRECT(_xlfn.CONCAT("weather.tbl[",S$1,"]")),MATCH(vp.data[[#This Row],[SDate]],weather.tbl[Date],0))</f>
        <v>-1</v>
      </c>
      <c r="T1196" s="2">
        <f ca="1">INDEX(INDIRECT(_xlfn.CONCAT("weather.tbl[",T$1,"]")),MATCH(vp.data[[#This Row],[SDate]],weather.tbl[Date],0))</f>
        <v>1.9</v>
      </c>
      <c r="U1196" s="2">
        <f ca="1">INDEX(INDIRECT(_xlfn.CONCAT("weather.tbl[",U$1,"]")),MATCH(vp.data[[#This Row],[SDate]],weather.tbl[Date],0))</f>
        <v>-0.8</v>
      </c>
      <c r="V1196" s="2">
        <f t="array" ref="V11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543.57100000000003</v>
      </c>
      <c r="W1196" t="s">
        <v>48</v>
      </c>
      <c r="X1196">
        <f>IF(OR(vp.data[[#This Row],[Sulf]]="",vp.data[[#This Row],[Dens]]=""),1,0)</f>
        <v>0</v>
      </c>
      <c r="Y1196">
        <f>IF(vp.data[[#This Row],[CrudeType]]="C5+",1,0)</f>
        <v>0</v>
      </c>
      <c r="Z1196">
        <f>IF(AND(vp.data[[#This Row],[CrudeType]]="Crude",vp.data[[#This Row],[Dens]]&lt;=825,vp.data[[#This Row],[Sulf]]&gt;0.5,vp.data[[#This Row],[Unknown]]=0),1,0)</f>
        <v>0</v>
      </c>
      <c r="AA1196">
        <f>IF(AND(vp.data[[#This Row],[CrudeType]]="Crude",vp.data[[#This Row],[Dens]]&lt;=825,vp.data[[#This Row],[Sulf]]&lt;=0.5,vp.data[[#This Row],[Unknown]]=0),1,0)</f>
        <v>0</v>
      </c>
      <c r="AB11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6">
        <f>IF(AND(vp.data[[#This Row],[CrudeType]]="Crude",vp.data[[#This Row],[Dens]]&gt;825,vp.data[[#This Row],[Dens]]&lt;=900,vp.data[[#This Row],[Sulf]]&lt;=0.5,vp.data[[#This Row],[Unknown]]=0),1,0)</f>
        <v>0</v>
      </c>
      <c r="AD1196">
        <f>IF(AND(vp.data[[#This Row],[CrudeType]]="Crude",vp.data[[#This Row],[Dens]]&gt;865,vp.data[[#This Row],[Dens]]&lt;=900,vp.data[[#This Row],[Sulf]]&gt;2,vp.data[[#This Row],[Unknown]]=0),1,0)</f>
        <v>1</v>
      </c>
      <c r="AE1196">
        <f>IF(AND(vp.data[[#This Row],[CrudeType]]="Crude",vp.data[[#This Row],[Dens]]&gt;900,vp.data[[#This Row],[Sulf]]&lt;=0.5,vp.data[[#This Row],[Unknown]]=0),1,0)</f>
        <v>0</v>
      </c>
      <c r="AF1196">
        <f>IF(AND(vp.data[[#This Row],[CrudeType]]="Crude",vp.data[[#This Row],[Dens]]&gt;900,vp.data[[#This Row],[Sulf]]&lt;=0.5,vp.data[[#This Row],[Unknown]]=0),1,0)</f>
        <v>0</v>
      </c>
      <c r="AG1196" t="str">
        <f>INDEX(vp.data[[#Headers],[Unknown]:[Heavy_SW]],MATCH(1,vp.data[[#This Row],[Unknown]:[Heavy_SW]],0))</f>
        <v>Midale</v>
      </c>
      <c r="AH1196">
        <f>INDEX([3]!crudeBD.lkup[Number],MATCH(vp.data[[#This Row],[Crude_Breakdown]],crudeBD.lkup[Crude Breakdown],0))</f>
        <v>5</v>
      </c>
      <c r="AI1196">
        <f>MONTH(vp.data[[#This Row],[SDate]])</f>
        <v>4</v>
      </c>
      <c r="AJ1196" s="5">
        <f>(vp.data[[#This Row],[VP]]-INDEX(crudeBD.lkup[Mean_VP],MATCH(vp.data[[#This Row],[Crude_Breakdown]],crudeBD.lkup[Crude Breakdown],0)))^2</f>
        <v>847.32007678818354</v>
      </c>
      <c r="AK1196" s="5">
        <f>(vp.data[[#This Row],[Dens]]-INDEX(crudeBD.lkup[Mean_Dens],MATCH(vp.data[[#This Row],[Crude_Breakdown]],crudeBD.lkup[Crude Breakdown],0)))^2</f>
        <v>55.99513471144121</v>
      </c>
      <c r="AL1196" s="5">
        <f>(vp.data[[#This Row],[Sulf]]-INDEX(crudeBD.lkup[Mean_Sulf],MATCH(vp.data[[#This Row],[Crude_Breakdown]],crudeBD.lkup[Crude Breakdown],0)))^2</f>
        <v>0.10864642201552686</v>
      </c>
      <c r="AM1196" s="4">
        <f>IF(AND(vp.data[[#This Row],[SDate]]&gt;=DATE(YEAR(vp.data[[#This Row],[SDate]]),5,1),vp.data[[#This Row],[SDate]]&lt;=DATE(YEAR(vp.data[[#This Row],[SDate]]),9,15)),1,0)</f>
        <v>0</v>
      </c>
      <c r="AN1196" s="4">
        <f>IF(vp.data[[#This Row],[SDate]]&lt;DATE(2016,12,1),0,1)</f>
        <v>1</v>
      </c>
      <c r="AO1196" s="4">
        <f>IFERROR(vp.data[[#This Row],[Sulf]]*vp.data[[#This Row],[Net Dens]],"")</f>
        <v>1013858.9536361999</v>
      </c>
      <c r="AP1196">
        <f>IFERROR(vp.data[[#This Row],[Dens]]*vp.data[[#This Row],[VolumeM3]],"")</f>
        <v>479592.69329999998</v>
      </c>
      <c r="AQ1196" s="15">
        <f>IFERROR(vp.data[[#This Row],[VP]]*vp.data[[#This Row],[VolumeM3]],"")</f>
        <v>21905.9113</v>
      </c>
    </row>
    <row r="1197" spans="1:43" x14ac:dyDescent="0.25">
      <c r="A1197">
        <v>1196</v>
      </c>
      <c r="B1197" t="s">
        <v>49</v>
      </c>
      <c r="C1197" t="s">
        <v>49</v>
      </c>
      <c r="D1197" t="s">
        <v>102</v>
      </c>
      <c r="F1197" s="1">
        <v>42834</v>
      </c>
      <c r="G1197" s="2">
        <v>49.1</v>
      </c>
      <c r="H1197" s="2">
        <v>2.2639999999999998</v>
      </c>
      <c r="I1197" s="2">
        <f t="array" ref="I1197">_xlfn.IFNA(IF(vp.data[[#This Row],[Sulf Input]]="",INDEX([1]DATA!$Q$3:$Q$9826,MATCH(1,(vp.data[[#This Row],[Battery]]=[1]DATA!$L$3:$L$9826)*(EOMONTH(vp.data[[#This Row],[SDate]],-1)+1=[1]DATA!$G$3:$G$9826),0)),vp.data[[#This Row],[Sulf Input]]),"")</f>
        <v>2.2639999999999998</v>
      </c>
      <c r="J1197" s="2">
        <v>31.4</v>
      </c>
      <c r="K1197" s="2">
        <v>8</v>
      </c>
      <c r="L1197" s="2">
        <v>887.7</v>
      </c>
      <c r="M1197" s="2">
        <f t="array" ref="M1197">_xlfn.IFNA(IF(vp.data[[#This Row],[Dens Input]]="",INDEX([1]DATA!$O$3:$O$9826,MATCH(1,(vp.data[[#This Row],[Battery]]=[1]DATA!$L$3:$L$9826)*(EOMONTH(vp.data[[#This Row],[SDate]],-1)+1=[1]DATA!$G$3:$G$9826),0)),vp.data[[#This Row],[Dens Input]]),"")</f>
        <v>887.7</v>
      </c>
      <c r="N1197" s="2">
        <f ca="1">INDEX(INDIRECT(_xlfn.CONCAT("weather.tbl[",N$1,"]")),MATCH(vp.data[[#This Row],[SDate]],weather.tbl[Date],0))</f>
        <v>2.6666666666666665</v>
      </c>
      <c r="O1197" s="2">
        <f ca="1">INDEX(INDIRECT(_xlfn.CONCAT("weather.tbl[",O$1,"]")),MATCH(vp.data[[#This Row],[SDate]],weather.tbl[Date],0))</f>
        <v>6.7261904761904754</v>
      </c>
      <c r="P1197" s="2">
        <f ca="1">INDEX(INDIRECT(_xlfn.CONCAT("weather.tbl[",P$1,"]")),MATCH(vp.data[[#This Row],[SDate]],weather.tbl[Date],0))</f>
        <v>2.2999999999999998</v>
      </c>
      <c r="Q1197" s="2">
        <f ca="1">INDEX(INDIRECT(_xlfn.CONCAT("weather.tbl[",Q$1,"]")),MATCH(vp.data[[#This Row],[SDate]],weather.tbl[Date],0))</f>
        <v>0.6</v>
      </c>
      <c r="R1197" s="2">
        <f ca="1">INDEX(INDIRECT(_xlfn.CONCAT("weather.tbl[",R$1,"]")),MATCH(vp.data[[#This Row],[SDate]],weather.tbl[Date],0))</f>
        <v>13</v>
      </c>
      <c r="S1197" s="2">
        <f ca="1">INDEX(INDIRECT(_xlfn.CONCAT("weather.tbl[",S$1,"]")),MATCH(vp.data[[#This Row],[SDate]],weather.tbl[Date],0))</f>
        <v>-1</v>
      </c>
      <c r="T1197" s="2">
        <f ca="1">INDEX(INDIRECT(_xlfn.CONCAT("weather.tbl[",T$1,"]")),MATCH(vp.data[[#This Row],[SDate]],weather.tbl[Date],0))</f>
        <v>1.9</v>
      </c>
      <c r="U1197" s="2">
        <f ca="1">INDEX(INDIRECT(_xlfn.CONCAT("weather.tbl[",U$1,"]")),MATCH(vp.data[[#This Row],[SDate]],weather.tbl[Date],0))</f>
        <v>-0.8</v>
      </c>
      <c r="V1197" s="2">
        <f t="array" ref="V11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1712.0139999999999</v>
      </c>
      <c r="W1197" t="s">
        <v>48</v>
      </c>
      <c r="X1197">
        <f>IF(OR(vp.data[[#This Row],[Sulf]]="",vp.data[[#This Row],[Dens]]=""),1,0)</f>
        <v>0</v>
      </c>
      <c r="Y1197">
        <f>IF(vp.data[[#This Row],[CrudeType]]="C5+",1,0)</f>
        <v>0</v>
      </c>
      <c r="Z1197">
        <f>IF(AND(vp.data[[#This Row],[CrudeType]]="Crude",vp.data[[#This Row],[Dens]]&lt;=825,vp.data[[#This Row],[Sulf]]&gt;0.5,vp.data[[#This Row],[Unknown]]=0),1,0)</f>
        <v>0</v>
      </c>
      <c r="AA1197">
        <f>IF(AND(vp.data[[#This Row],[CrudeType]]="Crude",vp.data[[#This Row],[Dens]]&lt;=825,vp.data[[#This Row],[Sulf]]&lt;=0.5,vp.data[[#This Row],[Unknown]]=0),1,0)</f>
        <v>0</v>
      </c>
      <c r="AB11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7">
        <f>IF(AND(vp.data[[#This Row],[CrudeType]]="Crude",vp.data[[#This Row],[Dens]]&gt;825,vp.data[[#This Row],[Dens]]&lt;=900,vp.data[[#This Row],[Sulf]]&lt;=0.5,vp.data[[#This Row],[Unknown]]=0),1,0)</f>
        <v>0</v>
      </c>
      <c r="AD1197">
        <f>IF(AND(vp.data[[#This Row],[CrudeType]]="Crude",vp.data[[#This Row],[Dens]]&gt;865,vp.data[[#This Row],[Dens]]&lt;=900,vp.data[[#This Row],[Sulf]]&gt;2,vp.data[[#This Row],[Unknown]]=0),1,0)</f>
        <v>1</v>
      </c>
      <c r="AE1197">
        <f>IF(AND(vp.data[[#This Row],[CrudeType]]="Crude",vp.data[[#This Row],[Dens]]&gt;900,vp.data[[#This Row],[Sulf]]&lt;=0.5,vp.data[[#This Row],[Unknown]]=0),1,0)</f>
        <v>0</v>
      </c>
      <c r="AF1197">
        <f>IF(AND(vp.data[[#This Row],[CrudeType]]="Crude",vp.data[[#This Row],[Dens]]&gt;900,vp.data[[#This Row],[Sulf]]&lt;=0.5,vp.data[[#This Row],[Unknown]]=0),1,0)</f>
        <v>0</v>
      </c>
      <c r="AG1197" t="str">
        <f>INDEX(vp.data[[#Headers],[Unknown]:[Heavy_SW]],MATCH(1,vp.data[[#This Row],[Unknown]:[Heavy_SW]],0))</f>
        <v>Midale</v>
      </c>
      <c r="AH1197">
        <f>INDEX([3]!crudeBD.lkup[Number],MATCH(vp.data[[#This Row],[Crude_Breakdown]],crudeBD.lkup[Crude Breakdown],0))</f>
        <v>5</v>
      </c>
      <c r="AI1197">
        <f>MONTH(vp.data[[#This Row],[SDate]])</f>
        <v>4</v>
      </c>
      <c r="AJ1197" s="5">
        <f>(vp.data[[#This Row],[VP]]-INDEX(crudeBD.lkup[Mean_VP],MATCH(vp.data[[#This Row],[Crude_Breakdown]],crudeBD.lkup[Crude Breakdown],0)))^2</f>
        <v>412.44584998405901</v>
      </c>
      <c r="AK1197" s="5">
        <f>(vp.data[[#This Row],[Dens]]-INDEX(crudeBD.lkup[Mean_Dens],MATCH(vp.data[[#This Row],[Crude_Breakdown]],crudeBD.lkup[Crude Breakdown],0)))^2</f>
        <v>165.97142337123356</v>
      </c>
      <c r="AL1197" s="5">
        <f>(vp.data[[#This Row],[Sulf]]-INDEX(crudeBD.lkup[Mean_Sulf],MATCH(vp.data[[#This Row],[Crude_Breakdown]],crudeBD.lkup[Crude Breakdown],0)))^2</f>
        <v>3.2261751912434487E-2</v>
      </c>
      <c r="AM1197" s="4">
        <f>IF(AND(vp.data[[#This Row],[SDate]]&gt;=DATE(YEAR(vp.data[[#This Row],[SDate]]),5,1),vp.data[[#This Row],[SDate]]&lt;=DATE(YEAR(vp.data[[#This Row],[SDate]]),9,15)),1,0)</f>
        <v>0</v>
      </c>
      <c r="AN1197" s="4">
        <f>IF(vp.data[[#This Row],[SDate]]&lt;DATE(2016,12,1),0,1)</f>
        <v>1</v>
      </c>
      <c r="AO1197" s="4">
        <f>IFERROR(vp.data[[#This Row],[Sulf]]*vp.data[[#This Row],[Net Dens]],"")</f>
        <v>3440724.9301391998</v>
      </c>
      <c r="AP1197">
        <f>IFERROR(vp.data[[#This Row],[Dens]]*vp.data[[#This Row],[VolumeM3]],"")</f>
        <v>1519754.8278000001</v>
      </c>
      <c r="AQ1197" s="15">
        <f>IFERROR(vp.data[[#This Row],[VP]]*vp.data[[#This Row],[VolumeM3]],"")</f>
        <v>84059.887399999992</v>
      </c>
    </row>
    <row r="1198" spans="1:43" x14ac:dyDescent="0.25">
      <c r="A1198">
        <v>1197</v>
      </c>
      <c r="B1198" t="s">
        <v>68</v>
      </c>
      <c r="C1198" t="s">
        <v>68</v>
      </c>
      <c r="D1198" t="s">
        <v>252</v>
      </c>
      <c r="F1198" s="1">
        <v>42834</v>
      </c>
      <c r="G1198" s="2">
        <v>56.2</v>
      </c>
      <c r="H1198" s="2"/>
      <c r="I1198" s="2">
        <f t="array" ref="I1198">_xlfn.IFNA(IF(vp.data[[#This Row],[Sulf Input]]="",INDEX([1]DATA!$Q$3:$Q$9826,MATCH(1,(vp.data[[#This Row],[Battery]]=[1]DATA!$L$3:$L$9826)*(EOMONTH(vp.data[[#This Row],[SDate]],-1)+1=[1]DATA!$G$3:$G$9826),0)),vp.data[[#This Row],[Sulf Input]]),"")</f>
        <v>2.1800000000000002</v>
      </c>
      <c r="J1198" s="2">
        <v>26.9</v>
      </c>
      <c r="K1198" s="2">
        <v>8</v>
      </c>
      <c r="L1198" s="2">
        <v>885.1</v>
      </c>
      <c r="M1198" s="2">
        <f t="array" ref="M1198">_xlfn.IFNA(IF(vp.data[[#This Row],[Dens Input]]="",INDEX([1]DATA!$O$3:$O$9826,MATCH(1,(vp.data[[#This Row],[Battery]]=[1]DATA!$L$3:$L$9826)*(EOMONTH(vp.data[[#This Row],[SDate]],-1)+1=[1]DATA!$G$3:$G$9826),0)),vp.data[[#This Row],[Dens Input]]),"")</f>
        <v>885.1</v>
      </c>
      <c r="N1198" s="2">
        <f ca="1">INDEX(INDIRECT(_xlfn.CONCAT("weather.tbl[",N$1,"]")),MATCH(vp.data[[#This Row],[SDate]],weather.tbl[Date],0))</f>
        <v>2.6666666666666665</v>
      </c>
      <c r="O1198" s="2">
        <f ca="1">INDEX(INDIRECT(_xlfn.CONCAT("weather.tbl[",O$1,"]")),MATCH(vp.data[[#This Row],[SDate]],weather.tbl[Date],0))</f>
        <v>6.7261904761904754</v>
      </c>
      <c r="P1198" s="2">
        <f ca="1">INDEX(INDIRECT(_xlfn.CONCAT("weather.tbl[",P$1,"]")),MATCH(vp.data[[#This Row],[SDate]],weather.tbl[Date],0))</f>
        <v>2.2999999999999998</v>
      </c>
      <c r="Q1198" s="2">
        <f ca="1">INDEX(INDIRECT(_xlfn.CONCAT("weather.tbl[",Q$1,"]")),MATCH(vp.data[[#This Row],[SDate]],weather.tbl[Date],0))</f>
        <v>0.6</v>
      </c>
      <c r="R1198" s="2">
        <f ca="1">INDEX(INDIRECT(_xlfn.CONCAT("weather.tbl[",R$1,"]")),MATCH(vp.data[[#This Row],[SDate]],weather.tbl[Date],0))</f>
        <v>13</v>
      </c>
      <c r="S1198" s="2">
        <f ca="1">INDEX(INDIRECT(_xlfn.CONCAT("weather.tbl[",S$1,"]")),MATCH(vp.data[[#This Row],[SDate]],weather.tbl[Date],0))</f>
        <v>-1</v>
      </c>
      <c r="T1198" s="2">
        <f ca="1">INDEX(INDIRECT(_xlfn.CONCAT("weather.tbl[",T$1,"]")),MATCH(vp.data[[#This Row],[SDate]],weather.tbl[Date],0))</f>
        <v>1.9</v>
      </c>
      <c r="U1198" s="2">
        <f ca="1">INDEX(INDIRECT(_xlfn.CONCAT("weather.tbl[",U$1,"]")),MATCH(vp.data[[#This Row],[SDate]],weather.tbl[Date],0))</f>
        <v>-0.8</v>
      </c>
      <c r="V1198" s="2">
        <f t="array" ref="V11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1800.854</v>
      </c>
      <c r="W1198" t="s">
        <v>48</v>
      </c>
      <c r="X1198">
        <f>IF(OR(vp.data[[#This Row],[Sulf]]="",vp.data[[#This Row],[Dens]]=""),1,0)</f>
        <v>0</v>
      </c>
      <c r="Y1198">
        <f>IF(vp.data[[#This Row],[CrudeType]]="C5+",1,0)</f>
        <v>0</v>
      </c>
      <c r="Z1198">
        <f>IF(AND(vp.data[[#This Row],[CrudeType]]="Crude",vp.data[[#This Row],[Dens]]&lt;=825,vp.data[[#This Row],[Sulf]]&gt;0.5,vp.data[[#This Row],[Unknown]]=0),1,0)</f>
        <v>0</v>
      </c>
      <c r="AA1198">
        <f>IF(AND(vp.data[[#This Row],[CrudeType]]="Crude",vp.data[[#This Row],[Dens]]&lt;=825,vp.data[[#This Row],[Sulf]]&lt;=0.5,vp.data[[#This Row],[Unknown]]=0),1,0)</f>
        <v>0</v>
      </c>
      <c r="AB11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198">
        <f>IF(AND(vp.data[[#This Row],[CrudeType]]="Crude",vp.data[[#This Row],[Dens]]&gt;825,vp.data[[#This Row],[Dens]]&lt;=900,vp.data[[#This Row],[Sulf]]&lt;=0.5,vp.data[[#This Row],[Unknown]]=0),1,0)</f>
        <v>0</v>
      </c>
      <c r="AD1198">
        <f>IF(AND(vp.data[[#This Row],[CrudeType]]="Crude",vp.data[[#This Row],[Dens]]&gt;865,vp.data[[#This Row],[Dens]]&lt;=900,vp.data[[#This Row],[Sulf]]&gt;2,vp.data[[#This Row],[Unknown]]=0),1,0)</f>
        <v>1</v>
      </c>
      <c r="AE1198">
        <f>IF(AND(vp.data[[#This Row],[CrudeType]]="Crude",vp.data[[#This Row],[Dens]]&gt;900,vp.data[[#This Row],[Sulf]]&lt;=0.5,vp.data[[#This Row],[Unknown]]=0),1,0)</f>
        <v>0</v>
      </c>
      <c r="AF1198">
        <f>IF(AND(vp.data[[#This Row],[CrudeType]]="Crude",vp.data[[#This Row],[Dens]]&gt;900,vp.data[[#This Row],[Sulf]]&lt;=0.5,vp.data[[#This Row],[Unknown]]=0),1,0)</f>
        <v>0</v>
      </c>
      <c r="AG1198" t="str">
        <f>INDEX(vp.data[[#Headers],[Unknown]:[Heavy_SW]],MATCH(1,vp.data[[#This Row],[Unknown]:[Heavy_SW]],0))</f>
        <v>Midale</v>
      </c>
      <c r="AH1198">
        <f>INDEX([3]!crudeBD.lkup[Number],MATCH(vp.data[[#This Row],[Crude_Breakdown]],crudeBD.lkup[Crude Breakdown],0))</f>
        <v>5</v>
      </c>
      <c r="AI1198">
        <f>MONTH(vp.data[[#This Row],[SDate]])</f>
        <v>4</v>
      </c>
      <c r="AJ1198" s="5">
        <f>(vp.data[[#This Row],[VP]]-INDEX(crudeBD.lkup[Mean_VP],MATCH(vp.data[[#This Row],[Crude_Breakdown]],crudeBD.lkup[Crude Breakdown],0)))^2</f>
        <v>174.47141699436784</v>
      </c>
      <c r="AK1198" s="5">
        <f>(vp.data[[#This Row],[Dens]]-INDEX(crudeBD.lkup[Mean_Dens],MATCH(vp.data[[#This Row],[Crude_Breakdown]],crudeBD.lkup[Crude Breakdown],0)))^2</f>
        <v>105.73987697948188</v>
      </c>
      <c r="AL1198" s="5">
        <f>(vp.data[[#This Row],[Sulf]]-INDEX(crudeBD.lkup[Mean_Sulf],MATCH(vp.data[[#This Row],[Crude_Breakdown]],crudeBD.lkup[Crude Breakdown],0)))^2</f>
        <v>6.9493167170166056E-2</v>
      </c>
      <c r="AM1198" s="4">
        <f>IF(AND(vp.data[[#This Row],[SDate]]&gt;=DATE(YEAR(vp.data[[#This Row],[SDate]]),5,1),vp.data[[#This Row],[SDate]]&lt;=DATE(YEAR(vp.data[[#This Row],[SDate]]),9,15)),1,0)</f>
        <v>0</v>
      </c>
      <c r="AN1198" s="4">
        <f>IF(vp.data[[#This Row],[SDate]]&lt;DATE(2016,12,1),0,1)</f>
        <v>1</v>
      </c>
      <c r="AO1198" s="4">
        <f>IFERROR(vp.data[[#This Row],[Sulf]]*vp.data[[#This Row],[Net Dens]],"")</f>
        <v>3474780.2083720001</v>
      </c>
      <c r="AP1198">
        <f>IFERROR(vp.data[[#This Row],[Dens]]*vp.data[[#This Row],[VolumeM3]],"")</f>
        <v>1593935.8754</v>
      </c>
      <c r="AQ1198" s="15">
        <f>IFERROR(vp.data[[#This Row],[VP]]*vp.data[[#This Row],[VolumeM3]],"")</f>
        <v>101207.9948</v>
      </c>
    </row>
    <row r="1199" spans="1:43" x14ac:dyDescent="0.25">
      <c r="A1199">
        <v>1198</v>
      </c>
      <c r="B1199" t="s">
        <v>68</v>
      </c>
      <c r="C1199" t="s">
        <v>68</v>
      </c>
      <c r="D1199" t="s">
        <v>253</v>
      </c>
      <c r="F1199" s="1">
        <v>42834</v>
      </c>
      <c r="G1199" s="2">
        <v>32</v>
      </c>
      <c r="H1199" s="2"/>
      <c r="I1199" s="2">
        <f t="array" ref="I1199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199" s="2">
        <v>32.6</v>
      </c>
      <c r="K1199" s="2">
        <v>8</v>
      </c>
      <c r="L1199" s="2">
        <v>885.7</v>
      </c>
      <c r="M1199" s="2">
        <f t="array" ref="M1199">_xlfn.IFNA(IF(vp.data[[#This Row],[Dens Input]]="",INDEX([1]DATA!$O$3:$O$9826,MATCH(1,(vp.data[[#This Row],[Battery]]=[1]DATA!$L$3:$L$9826)*(EOMONTH(vp.data[[#This Row],[SDate]],-1)+1=[1]DATA!$G$3:$G$9826),0)),vp.data[[#This Row],[Dens Input]]),"")</f>
        <v>885.7</v>
      </c>
      <c r="N1199" s="2">
        <f ca="1">INDEX(INDIRECT(_xlfn.CONCAT("weather.tbl[",N$1,"]")),MATCH(vp.data[[#This Row],[SDate]],weather.tbl[Date],0))</f>
        <v>2.6666666666666665</v>
      </c>
      <c r="O1199" s="2">
        <f ca="1">INDEX(INDIRECT(_xlfn.CONCAT("weather.tbl[",O$1,"]")),MATCH(vp.data[[#This Row],[SDate]],weather.tbl[Date],0))</f>
        <v>6.7261904761904754</v>
      </c>
      <c r="P1199" s="2">
        <f ca="1">INDEX(INDIRECT(_xlfn.CONCAT("weather.tbl[",P$1,"]")),MATCH(vp.data[[#This Row],[SDate]],weather.tbl[Date],0))</f>
        <v>2.2999999999999998</v>
      </c>
      <c r="Q1199" s="2">
        <f ca="1">INDEX(INDIRECT(_xlfn.CONCAT("weather.tbl[",Q$1,"]")),MATCH(vp.data[[#This Row],[SDate]],weather.tbl[Date],0))</f>
        <v>0.6</v>
      </c>
      <c r="R1199" s="2">
        <f ca="1">INDEX(INDIRECT(_xlfn.CONCAT("weather.tbl[",R$1,"]")),MATCH(vp.data[[#This Row],[SDate]],weather.tbl[Date],0))</f>
        <v>13</v>
      </c>
      <c r="S1199" s="2">
        <f ca="1">INDEX(INDIRECT(_xlfn.CONCAT("weather.tbl[",S$1,"]")),MATCH(vp.data[[#This Row],[SDate]],weather.tbl[Date],0))</f>
        <v>-1</v>
      </c>
      <c r="T1199" s="2">
        <f ca="1">INDEX(INDIRECT(_xlfn.CONCAT("weather.tbl[",T$1,"]")),MATCH(vp.data[[#This Row],[SDate]],weather.tbl[Date],0))</f>
        <v>1.9</v>
      </c>
      <c r="U1199" s="2">
        <f ca="1">INDEX(INDIRECT(_xlfn.CONCAT("weather.tbl[",U$1,"]")),MATCH(vp.data[[#This Row],[SDate]],weather.tbl[Date],0))</f>
        <v>-0.8</v>
      </c>
      <c r="V1199" s="2">
        <f t="array" ref="V11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1305.3330000000001</v>
      </c>
      <c r="W1199" t="s">
        <v>48</v>
      </c>
      <c r="X1199">
        <f>IF(OR(vp.data[[#This Row],[Sulf]]="",vp.data[[#This Row],[Dens]]=""),1,0)</f>
        <v>0</v>
      </c>
      <c r="Y1199">
        <f>IF(vp.data[[#This Row],[CrudeType]]="C5+",1,0)</f>
        <v>0</v>
      </c>
      <c r="Z1199">
        <f>IF(AND(vp.data[[#This Row],[CrudeType]]="Crude",vp.data[[#This Row],[Dens]]&lt;=825,vp.data[[#This Row],[Sulf]]&gt;0.5,vp.data[[#This Row],[Unknown]]=0),1,0)</f>
        <v>0</v>
      </c>
      <c r="AA1199">
        <f>IF(AND(vp.data[[#This Row],[CrudeType]]="Crude",vp.data[[#This Row],[Dens]]&lt;=825,vp.data[[#This Row],[Sulf]]&lt;=0.5,vp.data[[#This Row],[Unknown]]=0),1,0)</f>
        <v>0</v>
      </c>
      <c r="AB11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199">
        <f>IF(AND(vp.data[[#This Row],[CrudeType]]="Crude",vp.data[[#This Row],[Dens]]&gt;825,vp.data[[#This Row],[Dens]]&lt;=900,vp.data[[#This Row],[Sulf]]&lt;=0.5,vp.data[[#This Row],[Unknown]]=0),1,0)</f>
        <v>0</v>
      </c>
      <c r="AD1199">
        <f>IF(AND(vp.data[[#This Row],[CrudeType]]="Crude",vp.data[[#This Row],[Dens]]&gt;865,vp.data[[#This Row],[Dens]]&lt;=900,vp.data[[#This Row],[Sulf]]&gt;2,vp.data[[#This Row],[Unknown]]=0),1,0)</f>
        <v>0</v>
      </c>
      <c r="AE1199">
        <f>IF(AND(vp.data[[#This Row],[CrudeType]]="Crude",vp.data[[#This Row],[Dens]]&gt;900,vp.data[[#This Row],[Sulf]]&lt;=0.5,vp.data[[#This Row],[Unknown]]=0),1,0)</f>
        <v>0</v>
      </c>
      <c r="AF1199">
        <f>IF(AND(vp.data[[#This Row],[CrudeType]]="Crude",vp.data[[#This Row],[Dens]]&gt;900,vp.data[[#This Row],[Sulf]]&lt;=0.5,vp.data[[#This Row],[Unknown]]=0),1,0)</f>
        <v>0</v>
      </c>
      <c r="AG1199" t="str">
        <f>INDEX(vp.data[[#Headers],[Unknown]:[Heavy_SW]],MATCH(1,vp.data[[#This Row],[Unknown]:[Heavy_SW]],0))</f>
        <v>Medium_LSB</v>
      </c>
      <c r="AH1199">
        <f>INDEX([3]!crudeBD.lkup[Number],MATCH(vp.data[[#This Row],[Crude_Breakdown]],crudeBD.lkup[Crude Breakdown],0))</f>
        <v>3</v>
      </c>
      <c r="AI1199">
        <f>MONTH(vp.data[[#This Row],[SDate]])</f>
        <v>4</v>
      </c>
      <c r="AJ1199" s="5">
        <f>(vp.data[[#This Row],[VP]]-INDEX(crudeBD.lkup[Mean_VP],MATCH(vp.data[[#This Row],[Crude_Breakdown]],crudeBD.lkup[Crude Breakdown],0)))^2</f>
        <v>2365.8181348755024</v>
      </c>
      <c r="AK1199" s="5">
        <f>(vp.data[[#This Row],[Dens]]-INDEX(crudeBD.lkup[Mean_Dens],MATCH(vp.data[[#This Row],[Crude_Breakdown]],crudeBD.lkup[Crude Breakdown],0)))^2</f>
        <v>1745.5684000000451</v>
      </c>
      <c r="AL1199" s="5">
        <f>(vp.data[[#This Row],[Sulf]]-INDEX(crudeBD.lkup[Mean_Sulf],MATCH(vp.data[[#This Row],[Crude_Breakdown]],crudeBD.lkup[Crude Breakdown],0)))^2</f>
        <v>0.3301558208800574</v>
      </c>
      <c r="AM1199" s="4">
        <f>IF(AND(vp.data[[#This Row],[SDate]]&gt;=DATE(YEAR(vp.data[[#This Row],[SDate]]),5,1),vp.data[[#This Row],[SDate]]&lt;=DATE(YEAR(vp.data[[#This Row],[SDate]]),9,15)),1,0)</f>
        <v>0</v>
      </c>
      <c r="AN1199" s="4">
        <f>IF(vp.data[[#This Row],[SDate]]&lt;DATE(2016,12,1),0,1)</f>
        <v>1</v>
      </c>
      <c r="AO1199" s="4">
        <f>IFERROR(vp.data[[#This Row],[Sulf]]*vp.data[[#This Row],[Net Dens]],"")</f>
        <v>2266021.5386760002</v>
      </c>
      <c r="AP1199">
        <f>IFERROR(vp.data[[#This Row],[Dens]]*vp.data[[#This Row],[VolumeM3]],"")</f>
        <v>1156133.4381000001</v>
      </c>
      <c r="AQ1199" s="15">
        <f>IFERROR(vp.data[[#This Row],[VP]]*vp.data[[#This Row],[VolumeM3]],"")</f>
        <v>41770.656000000003</v>
      </c>
    </row>
    <row r="1200" spans="1:43" x14ac:dyDescent="0.25">
      <c r="A1200">
        <v>1199</v>
      </c>
      <c r="B1200" t="s">
        <v>49</v>
      </c>
      <c r="C1200" t="s">
        <v>49</v>
      </c>
      <c r="D1200" t="s">
        <v>101</v>
      </c>
      <c r="F1200" s="1">
        <v>42835</v>
      </c>
      <c r="G1200" s="2">
        <v>67.5</v>
      </c>
      <c r="H1200" s="2">
        <v>0.30399999999999999</v>
      </c>
      <c r="I1200" s="2">
        <f t="array" ref="I1200">_xlfn.IFNA(IF(vp.data[[#This Row],[Sulf Input]]="",INDEX([1]DATA!$Q$3:$Q$9826,MATCH(1,(vp.data[[#This Row],[Battery]]=[1]DATA!$L$3:$L$9826)*(EOMONTH(vp.data[[#This Row],[SDate]],-1)+1=[1]DATA!$G$3:$G$9826),0)),vp.data[[#This Row],[Sulf Input]]),"")</f>
        <v>0.30399999999999999</v>
      </c>
      <c r="J1200" s="2">
        <v>13.4</v>
      </c>
      <c r="K1200" s="2">
        <v>6</v>
      </c>
      <c r="L1200" s="2">
        <v>816.2</v>
      </c>
      <c r="M1200" s="2">
        <f t="array" ref="M1200">_xlfn.IFNA(IF(vp.data[[#This Row],[Dens Input]]="",INDEX([1]DATA!$O$3:$O$9826,MATCH(1,(vp.data[[#This Row],[Battery]]=[1]DATA!$L$3:$L$9826)*(EOMONTH(vp.data[[#This Row],[SDate]],-1)+1=[1]DATA!$G$3:$G$9826),0)),vp.data[[#This Row],[Dens Input]]),"")</f>
        <v>816.2</v>
      </c>
      <c r="N1200" s="2">
        <f ca="1">INDEX(INDIRECT(_xlfn.CONCAT("weather.tbl[",N$1,"]")),MATCH(vp.data[[#This Row],[SDate]],weather.tbl[Date],0))</f>
        <v>-0.3</v>
      </c>
      <c r="O1200" s="2">
        <f ca="1">INDEX(INDIRECT(_xlfn.CONCAT("weather.tbl[",O$1,"]")),MATCH(vp.data[[#This Row],[SDate]],weather.tbl[Date],0))</f>
        <v>5.8857142857142852</v>
      </c>
      <c r="P1200" s="2">
        <f ca="1">INDEX(INDIRECT(_xlfn.CONCAT("weather.tbl[",P$1,"]")),MATCH(vp.data[[#This Row],[SDate]],weather.tbl[Date],0))</f>
        <v>0.8</v>
      </c>
      <c r="Q1200" s="2">
        <f ca="1">INDEX(INDIRECT(_xlfn.CONCAT("weather.tbl[",Q$1,"]")),MATCH(vp.data[[#This Row],[SDate]],weather.tbl[Date],0))</f>
        <v>0.3</v>
      </c>
      <c r="R1200" s="2">
        <f ca="1">INDEX(INDIRECT(_xlfn.CONCAT("weather.tbl[",R$1,"]")),MATCH(vp.data[[#This Row],[SDate]],weather.tbl[Date],0))</f>
        <v>-0.3</v>
      </c>
      <c r="S1200" s="2">
        <f ca="1">INDEX(INDIRECT(_xlfn.CONCAT("weather.tbl[",S$1,"]")),MATCH(vp.data[[#This Row],[SDate]],weather.tbl[Date],0))</f>
        <v>-0.7</v>
      </c>
      <c r="T1200" s="2">
        <f ca="1">INDEX(INDIRECT(_xlfn.CONCAT("weather.tbl[",T$1,"]")),MATCH(vp.data[[#This Row],[SDate]],weather.tbl[Date],0))</f>
        <v>-0.6</v>
      </c>
      <c r="U1200" s="2">
        <f ca="1">INDEX(INDIRECT(_xlfn.CONCAT("weather.tbl[",U$1,"]")),MATCH(vp.data[[#This Row],[SDate]],weather.tbl[Date],0))</f>
        <v>-1.3</v>
      </c>
      <c r="V1200" s="2">
        <f t="array" ref="V12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498.88400000000001</v>
      </c>
      <c r="W1200" t="s">
        <v>48</v>
      </c>
      <c r="X1200">
        <f>IF(OR(vp.data[[#This Row],[Sulf]]="",vp.data[[#This Row],[Dens]]=""),1,0)</f>
        <v>0</v>
      </c>
      <c r="Y1200">
        <f>IF(vp.data[[#This Row],[CrudeType]]="C5+",1,0)</f>
        <v>0</v>
      </c>
      <c r="Z1200">
        <f>IF(AND(vp.data[[#This Row],[CrudeType]]="Crude",vp.data[[#This Row],[Dens]]&lt;=825,vp.data[[#This Row],[Sulf]]&gt;0.5,vp.data[[#This Row],[Unknown]]=0),1,0)</f>
        <v>0</v>
      </c>
      <c r="AA1200">
        <f>IF(AND(vp.data[[#This Row],[CrudeType]]="Crude",vp.data[[#This Row],[Dens]]&lt;=825,vp.data[[#This Row],[Sulf]]&lt;=0.5,vp.data[[#This Row],[Unknown]]=0),1,0)</f>
        <v>1</v>
      </c>
      <c r="AB12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0">
        <f>IF(AND(vp.data[[#This Row],[CrudeType]]="Crude",vp.data[[#This Row],[Dens]]&gt;825,vp.data[[#This Row],[Dens]]&lt;=900,vp.data[[#This Row],[Sulf]]&lt;=0.5,vp.data[[#This Row],[Unknown]]=0),1,0)</f>
        <v>0</v>
      </c>
      <c r="AD1200">
        <f>IF(AND(vp.data[[#This Row],[CrudeType]]="Crude",vp.data[[#This Row],[Dens]]&gt;865,vp.data[[#This Row],[Dens]]&lt;=900,vp.data[[#This Row],[Sulf]]&gt;2,vp.data[[#This Row],[Unknown]]=0),1,0)</f>
        <v>0</v>
      </c>
      <c r="AE1200">
        <f>IF(AND(vp.data[[#This Row],[CrudeType]]="Crude",vp.data[[#This Row],[Dens]]&gt;900,vp.data[[#This Row],[Sulf]]&lt;=0.5,vp.data[[#This Row],[Unknown]]=0),1,0)</f>
        <v>0</v>
      </c>
      <c r="AF1200">
        <f>IF(AND(vp.data[[#This Row],[CrudeType]]="Crude",vp.data[[#This Row],[Dens]]&gt;900,vp.data[[#This Row],[Sulf]]&lt;=0.5,vp.data[[#This Row],[Unknown]]=0),1,0)</f>
        <v>0</v>
      </c>
      <c r="AG1200" t="str">
        <f>INDEX(vp.data[[#Headers],[Unknown]:[Heavy_SW]],MATCH(1,vp.data[[#This Row],[Unknown]:[Heavy_SW]],0))</f>
        <v>Light_SW</v>
      </c>
      <c r="AH1200">
        <f>INDEX([3]!crudeBD.lkup[Number],MATCH(vp.data[[#This Row],[Crude_Breakdown]],crudeBD.lkup[Crude Breakdown],0))</f>
        <v>2</v>
      </c>
      <c r="AI1200">
        <f>MONTH(vp.data[[#This Row],[SDate]])</f>
        <v>4</v>
      </c>
      <c r="AJ1200" s="5">
        <f>(vp.data[[#This Row],[VP]]-INDEX(crudeBD.lkup[Mean_VP],MATCH(vp.data[[#This Row],[Crude_Breakdown]],crudeBD.lkup[Crude Breakdown],0)))^2</f>
        <v>627.51821089973021</v>
      </c>
      <c r="AK1200" s="5">
        <f>(vp.data[[#This Row],[Dens]]-INDEX(crudeBD.lkup[Mean_Dens],MATCH(vp.data[[#This Row],[Crude_Breakdown]],crudeBD.lkup[Crude Breakdown],0)))^2</f>
        <v>62.228459736069915</v>
      </c>
      <c r="AL1200" s="5">
        <f>(vp.data[[#This Row],[Sulf]]-INDEX(crudeBD.lkup[Mean_Sulf],MATCH(vp.data[[#This Row],[Crude_Breakdown]],crudeBD.lkup[Crude Breakdown],0)))^2</f>
        <v>4.5911720618193935E-3</v>
      </c>
      <c r="AM1200" s="4">
        <f>IF(AND(vp.data[[#This Row],[SDate]]&gt;=DATE(YEAR(vp.data[[#This Row],[SDate]]),5,1),vp.data[[#This Row],[SDate]]&lt;=DATE(YEAR(vp.data[[#This Row],[SDate]]),9,15)),1,0)</f>
        <v>0</v>
      </c>
      <c r="AN1200" s="4">
        <f>IF(vp.data[[#This Row],[SDate]]&lt;DATE(2016,12,1),0,1)</f>
        <v>1</v>
      </c>
      <c r="AO1200" s="4">
        <f>IFERROR(vp.data[[#This Row],[Sulf]]*vp.data[[#This Row],[Net Dens]],"")</f>
        <v>123785.4927232</v>
      </c>
      <c r="AP1200">
        <f>IFERROR(vp.data[[#This Row],[Dens]]*vp.data[[#This Row],[VolumeM3]],"")</f>
        <v>407189.12080000003</v>
      </c>
      <c r="AQ1200" s="15">
        <f>IFERROR(vp.data[[#This Row],[VP]]*vp.data[[#This Row],[VolumeM3]],"")</f>
        <v>33674.67</v>
      </c>
    </row>
    <row r="1201" spans="1:43" x14ac:dyDescent="0.25">
      <c r="A1201">
        <v>1200</v>
      </c>
      <c r="B1201" t="s">
        <v>49</v>
      </c>
      <c r="C1201" t="s">
        <v>49</v>
      </c>
      <c r="D1201" t="s">
        <v>67</v>
      </c>
      <c r="F1201" s="1">
        <v>42835</v>
      </c>
      <c r="G1201" s="2">
        <v>90.6</v>
      </c>
      <c r="H1201" s="2">
        <v>0.41499999999999998</v>
      </c>
      <c r="I1201" s="2">
        <f t="array" ref="I1201">_xlfn.IFNA(IF(vp.data[[#This Row],[Sulf Input]]="",INDEX([1]DATA!$Q$3:$Q$9826,MATCH(1,(vp.data[[#This Row],[Battery]]=[1]DATA!$L$3:$L$9826)*(EOMONTH(vp.data[[#This Row],[SDate]],-1)+1=[1]DATA!$G$3:$G$9826),0)),vp.data[[#This Row],[Sulf Input]]),"")</f>
        <v>0.41499999999999998</v>
      </c>
      <c r="J1201" s="2">
        <v>8.1999999999999993</v>
      </c>
      <c r="K1201" s="2">
        <v>6</v>
      </c>
      <c r="L1201" s="2">
        <v>812.7</v>
      </c>
      <c r="M1201" s="2">
        <f t="array" ref="M1201">_xlfn.IFNA(IF(vp.data[[#This Row],[Dens Input]]="",INDEX([1]DATA!$O$3:$O$9826,MATCH(1,(vp.data[[#This Row],[Battery]]=[1]DATA!$L$3:$L$9826)*(EOMONTH(vp.data[[#This Row],[SDate]],-1)+1=[1]DATA!$G$3:$G$9826),0)),vp.data[[#This Row],[Dens Input]]),"")</f>
        <v>812.7</v>
      </c>
      <c r="N1201" s="2">
        <f ca="1">INDEX(INDIRECT(_xlfn.CONCAT("weather.tbl[",N$1,"]")),MATCH(vp.data[[#This Row],[SDate]],weather.tbl[Date],0))</f>
        <v>-0.3</v>
      </c>
      <c r="O1201" s="2">
        <f ca="1">INDEX(INDIRECT(_xlfn.CONCAT("weather.tbl[",O$1,"]")),MATCH(vp.data[[#This Row],[SDate]],weather.tbl[Date],0))</f>
        <v>5.8857142857142852</v>
      </c>
      <c r="P1201" s="2">
        <f ca="1">INDEX(INDIRECT(_xlfn.CONCAT("weather.tbl[",P$1,"]")),MATCH(vp.data[[#This Row],[SDate]],weather.tbl[Date],0))</f>
        <v>0.8</v>
      </c>
      <c r="Q1201" s="2">
        <f ca="1">INDEX(INDIRECT(_xlfn.CONCAT("weather.tbl[",Q$1,"]")),MATCH(vp.data[[#This Row],[SDate]],weather.tbl[Date],0))</f>
        <v>0.3</v>
      </c>
      <c r="R1201" s="2">
        <f ca="1">INDEX(INDIRECT(_xlfn.CONCAT("weather.tbl[",R$1,"]")),MATCH(vp.data[[#This Row],[SDate]],weather.tbl[Date],0))</f>
        <v>-0.3</v>
      </c>
      <c r="S1201" s="2">
        <f ca="1">INDEX(INDIRECT(_xlfn.CONCAT("weather.tbl[",S$1,"]")),MATCH(vp.data[[#This Row],[SDate]],weather.tbl[Date],0))</f>
        <v>-0.7</v>
      </c>
      <c r="T1201" s="2">
        <f ca="1">INDEX(INDIRECT(_xlfn.CONCAT("weather.tbl[",T$1,"]")),MATCH(vp.data[[#This Row],[SDate]],weather.tbl[Date],0))</f>
        <v>-0.6</v>
      </c>
      <c r="U1201" s="2">
        <f ca="1">INDEX(INDIRECT(_xlfn.CONCAT("weather.tbl[",U$1,"]")),MATCH(vp.data[[#This Row],[SDate]],weather.tbl[Date],0))</f>
        <v>-1.3</v>
      </c>
      <c r="V1201" s="2">
        <f t="array" ref="V12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140792.67800000001</v>
      </c>
      <c r="W1201" t="s">
        <v>48</v>
      </c>
      <c r="X1201">
        <f>IF(OR(vp.data[[#This Row],[Sulf]]="",vp.data[[#This Row],[Dens]]=""),1,0)</f>
        <v>0</v>
      </c>
      <c r="Y1201">
        <f>IF(vp.data[[#This Row],[CrudeType]]="C5+",1,0)</f>
        <v>0</v>
      </c>
      <c r="Z1201">
        <f>IF(AND(vp.data[[#This Row],[CrudeType]]="Crude",vp.data[[#This Row],[Dens]]&lt;=825,vp.data[[#This Row],[Sulf]]&gt;0.5,vp.data[[#This Row],[Unknown]]=0),1,0)</f>
        <v>0</v>
      </c>
      <c r="AA1201">
        <f>IF(AND(vp.data[[#This Row],[CrudeType]]="Crude",vp.data[[#This Row],[Dens]]&lt;=825,vp.data[[#This Row],[Sulf]]&lt;=0.5,vp.data[[#This Row],[Unknown]]=0),1,0)</f>
        <v>1</v>
      </c>
      <c r="AB12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1">
        <f>IF(AND(vp.data[[#This Row],[CrudeType]]="Crude",vp.data[[#This Row],[Dens]]&gt;825,vp.data[[#This Row],[Dens]]&lt;=900,vp.data[[#This Row],[Sulf]]&lt;=0.5,vp.data[[#This Row],[Unknown]]=0),1,0)</f>
        <v>0</v>
      </c>
      <c r="AD1201">
        <f>IF(AND(vp.data[[#This Row],[CrudeType]]="Crude",vp.data[[#This Row],[Dens]]&gt;865,vp.data[[#This Row],[Dens]]&lt;=900,vp.data[[#This Row],[Sulf]]&gt;2,vp.data[[#This Row],[Unknown]]=0),1,0)</f>
        <v>0</v>
      </c>
      <c r="AE1201">
        <f>IF(AND(vp.data[[#This Row],[CrudeType]]="Crude",vp.data[[#This Row],[Dens]]&gt;900,vp.data[[#This Row],[Sulf]]&lt;=0.5,vp.data[[#This Row],[Unknown]]=0),1,0)</f>
        <v>0</v>
      </c>
      <c r="AF1201">
        <f>IF(AND(vp.data[[#This Row],[CrudeType]]="Crude",vp.data[[#This Row],[Dens]]&gt;900,vp.data[[#This Row],[Sulf]]&lt;=0.5,vp.data[[#This Row],[Unknown]]=0),1,0)</f>
        <v>0</v>
      </c>
      <c r="AG1201" t="str">
        <f>INDEX(vp.data[[#Headers],[Unknown]:[Heavy_SW]],MATCH(1,vp.data[[#This Row],[Unknown]:[Heavy_SW]],0))</f>
        <v>Light_SW</v>
      </c>
      <c r="AH1201">
        <f>INDEX([3]!crudeBD.lkup[Number],MATCH(vp.data[[#This Row],[Crude_Breakdown]],crudeBD.lkup[Crude Breakdown],0))</f>
        <v>2</v>
      </c>
      <c r="AI1201">
        <f>MONTH(vp.data[[#This Row],[SDate]])</f>
        <v>4</v>
      </c>
      <c r="AJ1201" s="5">
        <f>(vp.data[[#This Row],[VP]]-INDEX(crudeBD.lkup[Mean_VP],MATCH(vp.data[[#This Row],[Crude_Breakdown]],crudeBD.lkup[Crude Breakdown],0)))^2</f>
        <v>3.8037230948535536</v>
      </c>
      <c r="AK1201" s="5">
        <f>(vp.data[[#This Row],[Dens]]-INDEX(crudeBD.lkup[Mean_Dens],MATCH(vp.data[[#This Row],[Crude_Breakdown]],crudeBD.lkup[Crude Breakdown],0)))^2</f>
        <v>19.258947540946117</v>
      </c>
      <c r="AL1201" s="5">
        <f>(vp.data[[#This Row],[Sulf]]-INDEX(crudeBD.lkup[Mean_Sulf],MATCH(vp.data[[#This Row],[Crude_Breakdown]],crudeBD.lkup[Crude Breakdown],0)))^2</f>
        <v>3.1954489831854262E-2</v>
      </c>
      <c r="AM1201" s="4">
        <f>IF(AND(vp.data[[#This Row],[SDate]]&gt;=DATE(YEAR(vp.data[[#This Row],[SDate]]),5,1),vp.data[[#This Row],[SDate]]&lt;=DATE(YEAR(vp.data[[#This Row],[SDate]]),9,15)),1,0)</f>
        <v>0</v>
      </c>
      <c r="AN1201" s="4">
        <f>IF(vp.data[[#This Row],[SDate]]&lt;DATE(2016,12,1),0,1)</f>
        <v>1</v>
      </c>
      <c r="AO1201" s="4">
        <f>IFERROR(vp.data[[#This Row],[Sulf]]*vp.data[[#This Row],[Net Dens]],"")</f>
        <v>47485216.90539901</v>
      </c>
      <c r="AP1201">
        <f>IFERROR(vp.data[[#This Row],[Dens]]*vp.data[[#This Row],[VolumeM3]],"")</f>
        <v>114422209.41060002</v>
      </c>
      <c r="AQ1201" s="15">
        <f>IFERROR(vp.data[[#This Row],[VP]]*vp.data[[#This Row],[VolumeM3]],"")</f>
        <v>12755816.626800001</v>
      </c>
    </row>
    <row r="1202" spans="1:43" x14ac:dyDescent="0.25">
      <c r="A1202">
        <v>1201</v>
      </c>
      <c r="B1202" t="s">
        <v>49</v>
      </c>
      <c r="C1202" t="s">
        <v>49</v>
      </c>
      <c r="D1202" t="s">
        <v>80</v>
      </c>
      <c r="F1202" s="1">
        <v>42835</v>
      </c>
      <c r="G1202" s="2">
        <v>91.2</v>
      </c>
      <c r="H1202" s="2">
        <v>0.51600000000000001</v>
      </c>
      <c r="I1202" s="2">
        <f t="array" ref="I1202">_xlfn.IFNA(IF(vp.data[[#This Row],[Sulf Input]]="",INDEX([1]DATA!$Q$3:$Q$9826,MATCH(1,(vp.data[[#This Row],[Battery]]=[1]DATA!$L$3:$L$9826)*(EOMONTH(vp.data[[#This Row],[SDate]],-1)+1=[1]DATA!$G$3:$G$9826),0)),vp.data[[#This Row],[Sulf Input]]),"")</f>
        <v>0.51600000000000001</v>
      </c>
      <c r="J1202" s="2">
        <v>21.1</v>
      </c>
      <c r="K1202" s="2">
        <v>6</v>
      </c>
      <c r="L1202" s="2">
        <v>814.9</v>
      </c>
      <c r="M1202" s="2">
        <f t="array" ref="M1202">_xlfn.IFNA(IF(vp.data[[#This Row],[Dens Input]]="",INDEX([1]DATA!$O$3:$O$9826,MATCH(1,(vp.data[[#This Row],[Battery]]=[1]DATA!$L$3:$L$9826)*(EOMONTH(vp.data[[#This Row],[SDate]],-1)+1=[1]DATA!$G$3:$G$9826),0)),vp.data[[#This Row],[Dens Input]]),"")</f>
        <v>814.9</v>
      </c>
      <c r="N1202" s="2">
        <f ca="1">INDEX(INDIRECT(_xlfn.CONCAT("weather.tbl[",N$1,"]")),MATCH(vp.data[[#This Row],[SDate]],weather.tbl[Date],0))</f>
        <v>-0.3</v>
      </c>
      <c r="O1202" s="2">
        <f ca="1">INDEX(INDIRECT(_xlfn.CONCAT("weather.tbl[",O$1,"]")),MATCH(vp.data[[#This Row],[SDate]],weather.tbl[Date],0))</f>
        <v>5.8857142857142852</v>
      </c>
      <c r="P1202" s="2">
        <f ca="1">INDEX(INDIRECT(_xlfn.CONCAT("weather.tbl[",P$1,"]")),MATCH(vp.data[[#This Row],[SDate]],weather.tbl[Date],0))</f>
        <v>0.8</v>
      </c>
      <c r="Q1202" s="2">
        <f ca="1">INDEX(INDIRECT(_xlfn.CONCAT("weather.tbl[",Q$1,"]")),MATCH(vp.data[[#This Row],[SDate]],weather.tbl[Date],0))</f>
        <v>0.3</v>
      </c>
      <c r="R1202" s="2">
        <f ca="1">INDEX(INDIRECT(_xlfn.CONCAT("weather.tbl[",R$1,"]")),MATCH(vp.data[[#This Row],[SDate]],weather.tbl[Date],0))</f>
        <v>-0.3</v>
      </c>
      <c r="S1202" s="2">
        <f ca="1">INDEX(INDIRECT(_xlfn.CONCAT("weather.tbl[",S$1,"]")),MATCH(vp.data[[#This Row],[SDate]],weather.tbl[Date],0))</f>
        <v>-0.7</v>
      </c>
      <c r="T1202" s="2">
        <f ca="1">INDEX(INDIRECT(_xlfn.CONCAT("weather.tbl[",T$1,"]")),MATCH(vp.data[[#This Row],[SDate]],weather.tbl[Date],0))</f>
        <v>-0.6</v>
      </c>
      <c r="U1202" s="2">
        <f ca="1">INDEX(INDIRECT(_xlfn.CONCAT("weather.tbl[",U$1,"]")),MATCH(vp.data[[#This Row],[SDate]],weather.tbl[Date],0))</f>
        <v>-1.3</v>
      </c>
      <c r="V1202" s="2">
        <f t="array" ref="V12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21198.933000000001</v>
      </c>
      <c r="W1202" t="s">
        <v>48</v>
      </c>
      <c r="X1202">
        <f>IF(OR(vp.data[[#This Row],[Sulf]]="",vp.data[[#This Row],[Dens]]=""),1,0)</f>
        <v>0</v>
      </c>
      <c r="Y1202">
        <f>IF(vp.data[[#This Row],[CrudeType]]="C5+",1,0)</f>
        <v>0</v>
      </c>
      <c r="Z1202">
        <f>IF(AND(vp.data[[#This Row],[CrudeType]]="Crude",vp.data[[#This Row],[Dens]]&lt;=825,vp.data[[#This Row],[Sulf]]&gt;0.5,vp.data[[#This Row],[Unknown]]=0),1,0)</f>
        <v>1</v>
      </c>
      <c r="AA1202">
        <f>IF(AND(vp.data[[#This Row],[CrudeType]]="Crude",vp.data[[#This Row],[Dens]]&lt;=825,vp.data[[#This Row],[Sulf]]&lt;=0.5,vp.data[[#This Row],[Unknown]]=0),1,0)</f>
        <v>0</v>
      </c>
      <c r="AB12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2">
        <f>IF(AND(vp.data[[#This Row],[CrudeType]]="Crude",vp.data[[#This Row],[Dens]]&gt;825,vp.data[[#This Row],[Dens]]&lt;=900,vp.data[[#This Row],[Sulf]]&lt;=0.5,vp.data[[#This Row],[Unknown]]=0),1,0)</f>
        <v>0</v>
      </c>
      <c r="AD1202">
        <f>IF(AND(vp.data[[#This Row],[CrudeType]]="Crude",vp.data[[#This Row],[Dens]]&gt;865,vp.data[[#This Row],[Dens]]&lt;=900,vp.data[[#This Row],[Sulf]]&gt;2,vp.data[[#This Row],[Unknown]]=0),1,0)</f>
        <v>0</v>
      </c>
      <c r="AE1202">
        <f>IF(AND(vp.data[[#This Row],[CrudeType]]="Crude",vp.data[[#This Row],[Dens]]&gt;900,vp.data[[#This Row],[Sulf]]&lt;=0.5,vp.data[[#This Row],[Unknown]]=0),1,0)</f>
        <v>0</v>
      </c>
      <c r="AF1202">
        <f>IF(AND(vp.data[[#This Row],[CrudeType]]="Crude",vp.data[[#This Row],[Dens]]&gt;900,vp.data[[#This Row],[Sulf]]&lt;=0.5,vp.data[[#This Row],[Unknown]]=0),1,0)</f>
        <v>0</v>
      </c>
      <c r="AG1202" t="str">
        <f>INDEX(vp.data[[#Headers],[Unknown]:[Heavy_SW]],MATCH(1,vp.data[[#This Row],[Unknown]:[Heavy_SW]],0))</f>
        <v>Light_LSB</v>
      </c>
      <c r="AH1202">
        <f>INDEX([3]!crudeBD.lkup[Number],MATCH(vp.data[[#This Row],[Crude_Breakdown]],crudeBD.lkup[Crude Breakdown],0))</f>
        <v>1</v>
      </c>
      <c r="AI1202">
        <f>MONTH(vp.data[[#This Row],[SDate]])</f>
        <v>4</v>
      </c>
      <c r="AJ1202" s="5">
        <f>(vp.data[[#This Row],[VP]]-INDEX(crudeBD.lkup[Mean_VP],MATCH(vp.data[[#This Row],[Crude_Breakdown]],crudeBD.lkup[Crude Breakdown],0)))^2</f>
        <v>0.11984444680626891</v>
      </c>
      <c r="AK1202" s="5">
        <f>(vp.data[[#This Row],[Dens]]-INDEX(crudeBD.lkup[Mean_Dens],MATCH(vp.data[[#This Row],[Crude_Breakdown]],crudeBD.lkup[Crude Breakdown],0)))^2</f>
        <v>13.081023492871147</v>
      </c>
      <c r="AL1202" s="5">
        <f>(vp.data[[#This Row],[Sulf]]-INDEX(crudeBD.lkup[Mean_Sulf],MATCH(vp.data[[#This Row],[Crude_Breakdown]],crudeBD.lkup[Crude Breakdown],0)))^2</f>
        <v>0.16562553189655391</v>
      </c>
      <c r="AM1202" s="4">
        <f>IF(AND(vp.data[[#This Row],[SDate]]&gt;=DATE(YEAR(vp.data[[#This Row],[SDate]]),5,1),vp.data[[#This Row],[SDate]]&lt;=DATE(YEAR(vp.data[[#This Row],[SDate]]),9,15)),1,0)</f>
        <v>0</v>
      </c>
      <c r="AN1202" s="4">
        <f>IF(vp.data[[#This Row],[SDate]]&lt;DATE(2016,12,1),0,1)</f>
        <v>1</v>
      </c>
      <c r="AO1202" s="4">
        <f>IFERROR(vp.data[[#This Row],[Sulf]]*vp.data[[#This Row],[Net Dens]],"")</f>
        <v>8913905.4188771993</v>
      </c>
      <c r="AP1202">
        <f>IFERROR(vp.data[[#This Row],[Dens]]*vp.data[[#This Row],[VolumeM3]],"")</f>
        <v>17275010.501699999</v>
      </c>
      <c r="AQ1202" s="15">
        <f>IFERROR(vp.data[[#This Row],[VP]]*vp.data[[#This Row],[VolumeM3]],"")</f>
        <v>1933342.6896000002</v>
      </c>
    </row>
    <row r="1203" spans="1:43" x14ac:dyDescent="0.25">
      <c r="A1203">
        <v>1202</v>
      </c>
      <c r="B1203" t="s">
        <v>49</v>
      </c>
      <c r="C1203" t="s">
        <v>49</v>
      </c>
      <c r="D1203" t="s">
        <v>89</v>
      </c>
      <c r="F1203" s="1">
        <v>42835</v>
      </c>
      <c r="G1203" s="2">
        <v>89.9</v>
      </c>
      <c r="H1203" s="2">
        <v>0.79100000000000004</v>
      </c>
      <c r="I1203" s="2">
        <f t="array" ref="I1203">_xlfn.IFNA(IF(vp.data[[#This Row],[Sulf Input]]="",INDEX([1]DATA!$Q$3:$Q$9826,MATCH(1,(vp.data[[#This Row],[Battery]]=[1]DATA!$L$3:$L$9826)*(EOMONTH(vp.data[[#This Row],[SDate]],-1)+1=[1]DATA!$G$3:$G$9826),0)),vp.data[[#This Row],[Sulf Input]]),"")</f>
        <v>0.79100000000000004</v>
      </c>
      <c r="J1203" s="2">
        <v>7.1</v>
      </c>
      <c r="K1203" s="2">
        <v>6</v>
      </c>
      <c r="L1203" s="2">
        <v>819.7</v>
      </c>
      <c r="M1203" s="2">
        <f t="array" ref="M1203">_xlfn.IFNA(IF(vp.data[[#This Row],[Dens Input]]="",INDEX([1]DATA!$O$3:$O$9826,MATCH(1,(vp.data[[#This Row],[Battery]]=[1]DATA!$L$3:$L$9826)*(EOMONTH(vp.data[[#This Row],[SDate]],-1)+1=[1]DATA!$G$3:$G$9826),0)),vp.data[[#This Row],[Dens Input]]),"")</f>
        <v>819.7</v>
      </c>
      <c r="N1203" s="2">
        <f ca="1">INDEX(INDIRECT(_xlfn.CONCAT("weather.tbl[",N$1,"]")),MATCH(vp.data[[#This Row],[SDate]],weather.tbl[Date],0))</f>
        <v>-0.3</v>
      </c>
      <c r="O1203" s="2">
        <f ca="1">INDEX(INDIRECT(_xlfn.CONCAT("weather.tbl[",O$1,"]")),MATCH(vp.data[[#This Row],[SDate]],weather.tbl[Date],0))</f>
        <v>5.8857142857142852</v>
      </c>
      <c r="P1203" s="2">
        <f ca="1">INDEX(INDIRECT(_xlfn.CONCAT("weather.tbl[",P$1,"]")),MATCH(vp.data[[#This Row],[SDate]],weather.tbl[Date],0))</f>
        <v>0.8</v>
      </c>
      <c r="Q1203" s="2">
        <f ca="1">INDEX(INDIRECT(_xlfn.CONCAT("weather.tbl[",Q$1,"]")),MATCH(vp.data[[#This Row],[SDate]],weather.tbl[Date],0))</f>
        <v>0.3</v>
      </c>
      <c r="R1203" s="2">
        <f ca="1">INDEX(INDIRECT(_xlfn.CONCAT("weather.tbl[",R$1,"]")),MATCH(vp.data[[#This Row],[SDate]],weather.tbl[Date],0))</f>
        <v>-0.3</v>
      </c>
      <c r="S1203" s="2">
        <f ca="1">INDEX(INDIRECT(_xlfn.CONCAT("weather.tbl[",S$1,"]")),MATCH(vp.data[[#This Row],[SDate]],weather.tbl[Date],0))</f>
        <v>-0.7</v>
      </c>
      <c r="T1203" s="2">
        <f ca="1">INDEX(INDIRECT(_xlfn.CONCAT("weather.tbl[",T$1,"]")),MATCH(vp.data[[#This Row],[SDate]],weather.tbl[Date],0))</f>
        <v>-0.6</v>
      </c>
      <c r="U1203" s="2">
        <f ca="1">INDEX(INDIRECT(_xlfn.CONCAT("weather.tbl[",U$1,"]")),MATCH(vp.data[[#This Row],[SDate]],weather.tbl[Date],0))</f>
        <v>-1.3</v>
      </c>
      <c r="V1203" s="2">
        <f t="array" ref="V12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6439.6459999999997</v>
      </c>
      <c r="W1203" t="s">
        <v>48</v>
      </c>
      <c r="X1203">
        <f>IF(OR(vp.data[[#This Row],[Sulf]]="",vp.data[[#This Row],[Dens]]=""),1,0)</f>
        <v>0</v>
      </c>
      <c r="Y1203">
        <f>IF(vp.data[[#This Row],[CrudeType]]="C5+",1,0)</f>
        <v>0</v>
      </c>
      <c r="Z1203">
        <f>IF(AND(vp.data[[#This Row],[CrudeType]]="Crude",vp.data[[#This Row],[Dens]]&lt;=825,vp.data[[#This Row],[Sulf]]&gt;0.5,vp.data[[#This Row],[Unknown]]=0),1,0)</f>
        <v>1</v>
      </c>
      <c r="AA1203">
        <f>IF(AND(vp.data[[#This Row],[CrudeType]]="Crude",vp.data[[#This Row],[Dens]]&lt;=825,vp.data[[#This Row],[Sulf]]&lt;=0.5,vp.data[[#This Row],[Unknown]]=0),1,0)</f>
        <v>0</v>
      </c>
      <c r="AB12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3">
        <f>IF(AND(vp.data[[#This Row],[CrudeType]]="Crude",vp.data[[#This Row],[Dens]]&gt;825,vp.data[[#This Row],[Dens]]&lt;=900,vp.data[[#This Row],[Sulf]]&lt;=0.5,vp.data[[#This Row],[Unknown]]=0),1,0)</f>
        <v>0</v>
      </c>
      <c r="AD1203">
        <f>IF(AND(vp.data[[#This Row],[CrudeType]]="Crude",vp.data[[#This Row],[Dens]]&gt;865,vp.data[[#This Row],[Dens]]&lt;=900,vp.data[[#This Row],[Sulf]]&gt;2,vp.data[[#This Row],[Unknown]]=0),1,0)</f>
        <v>0</v>
      </c>
      <c r="AE1203">
        <f>IF(AND(vp.data[[#This Row],[CrudeType]]="Crude",vp.data[[#This Row],[Dens]]&gt;900,vp.data[[#This Row],[Sulf]]&lt;=0.5,vp.data[[#This Row],[Unknown]]=0),1,0)</f>
        <v>0</v>
      </c>
      <c r="AF1203">
        <f>IF(AND(vp.data[[#This Row],[CrudeType]]="Crude",vp.data[[#This Row],[Dens]]&gt;900,vp.data[[#This Row],[Sulf]]&lt;=0.5,vp.data[[#This Row],[Unknown]]=0),1,0)</f>
        <v>0</v>
      </c>
      <c r="AG1203" t="str">
        <f>INDEX(vp.data[[#Headers],[Unknown]:[Heavy_SW]],MATCH(1,vp.data[[#This Row],[Unknown]:[Heavy_SW]],0))</f>
        <v>Light_LSB</v>
      </c>
      <c r="AH1203">
        <f>INDEX([3]!crudeBD.lkup[Number],MATCH(vp.data[[#This Row],[Crude_Breakdown]],crudeBD.lkup[Crude Breakdown],0))</f>
        <v>1</v>
      </c>
      <c r="AI1203">
        <f>MONTH(vp.data[[#This Row],[SDate]])</f>
        <v>4</v>
      </c>
      <c r="AJ1203" s="5">
        <f>(vp.data[[#This Row],[VP]]-INDEX(crudeBD.lkup[Mean_VP],MATCH(vp.data[[#This Row],[Crude_Breakdown]],crudeBD.lkup[Crude Breakdown],0)))^2</f>
        <v>2.7099269210331371</v>
      </c>
      <c r="AK1203" s="5">
        <f>(vp.data[[#This Row],[Dens]]-INDEX(crudeBD.lkup[Mean_Dens],MATCH(vp.data[[#This Row],[Crude_Breakdown]],crudeBD.lkup[Crude Breakdown],0)))^2</f>
        <v>1.4000338021524552</v>
      </c>
      <c r="AL1203" s="5">
        <f>(vp.data[[#This Row],[Sulf]]-INDEX(crudeBD.lkup[Mean_Sulf],MATCH(vp.data[[#This Row],[Crude_Breakdown]],crudeBD.lkup[Crude Breakdown],0)))^2</f>
        <v>1.7416389284870201E-2</v>
      </c>
      <c r="AM1203" s="4">
        <f>IF(AND(vp.data[[#This Row],[SDate]]&gt;=DATE(YEAR(vp.data[[#This Row],[SDate]]),5,1),vp.data[[#This Row],[SDate]]&lt;=DATE(YEAR(vp.data[[#This Row],[SDate]]),9,15)),1,0)</f>
        <v>0</v>
      </c>
      <c r="AN1203" s="4">
        <f>IF(vp.data[[#This Row],[SDate]]&lt;DATE(2016,12,1),0,1)</f>
        <v>1</v>
      </c>
      <c r="AO1203" s="4">
        <f>IFERROR(vp.data[[#This Row],[Sulf]]*vp.data[[#This Row],[Net Dens]],"")</f>
        <v>4175355.0605242001</v>
      </c>
      <c r="AP1203">
        <f>IFERROR(vp.data[[#This Row],[Dens]]*vp.data[[#This Row],[VolumeM3]],"")</f>
        <v>5278577.8262</v>
      </c>
      <c r="AQ1203" s="15">
        <f>IFERROR(vp.data[[#This Row],[VP]]*vp.data[[#This Row],[VolumeM3]],"")</f>
        <v>578924.17540000007</v>
      </c>
    </row>
    <row r="1204" spans="1:43" x14ac:dyDescent="0.25">
      <c r="A1204">
        <v>1203</v>
      </c>
      <c r="B1204" t="s">
        <v>49</v>
      </c>
      <c r="C1204" t="s">
        <v>49</v>
      </c>
      <c r="D1204" t="s">
        <v>90</v>
      </c>
      <c r="F1204" s="1">
        <v>42835</v>
      </c>
      <c r="G1204" s="2">
        <v>68.2</v>
      </c>
      <c r="H1204" s="2">
        <v>1.278</v>
      </c>
      <c r="I1204" s="2">
        <f t="array" ref="I1204">_xlfn.IFNA(IF(vp.data[[#This Row],[Sulf Input]]="",INDEX([1]DATA!$Q$3:$Q$9826,MATCH(1,(vp.data[[#This Row],[Battery]]=[1]DATA!$L$3:$L$9826)*(EOMONTH(vp.data[[#This Row],[SDate]],-1)+1=[1]DATA!$G$3:$G$9826),0)),vp.data[[#This Row],[Sulf Input]]),"")</f>
        <v>1.278</v>
      </c>
      <c r="J1204" s="2">
        <v>34.200000000000003</v>
      </c>
      <c r="K1204" s="2">
        <v>6</v>
      </c>
      <c r="L1204" s="2">
        <v>845.7</v>
      </c>
      <c r="M1204" s="2">
        <f t="array" ref="M1204">_xlfn.IFNA(IF(vp.data[[#This Row],[Dens Input]]="",INDEX([1]DATA!$O$3:$O$9826,MATCH(1,(vp.data[[#This Row],[Battery]]=[1]DATA!$L$3:$L$9826)*(EOMONTH(vp.data[[#This Row],[SDate]],-1)+1=[1]DATA!$G$3:$G$9826),0)),vp.data[[#This Row],[Dens Input]]),"")</f>
        <v>845.7</v>
      </c>
      <c r="N1204" s="2">
        <f ca="1">INDEX(INDIRECT(_xlfn.CONCAT("weather.tbl[",N$1,"]")),MATCH(vp.data[[#This Row],[SDate]],weather.tbl[Date],0))</f>
        <v>-0.3</v>
      </c>
      <c r="O1204" s="2">
        <f ca="1">INDEX(INDIRECT(_xlfn.CONCAT("weather.tbl[",O$1,"]")),MATCH(vp.data[[#This Row],[SDate]],weather.tbl[Date],0))</f>
        <v>5.8857142857142852</v>
      </c>
      <c r="P1204" s="2">
        <f ca="1">INDEX(INDIRECT(_xlfn.CONCAT("weather.tbl[",P$1,"]")),MATCH(vp.data[[#This Row],[SDate]],weather.tbl[Date],0))</f>
        <v>0.8</v>
      </c>
      <c r="Q1204" s="2">
        <f ca="1">INDEX(INDIRECT(_xlfn.CONCAT("weather.tbl[",Q$1,"]")),MATCH(vp.data[[#This Row],[SDate]],weather.tbl[Date],0))</f>
        <v>0.3</v>
      </c>
      <c r="R1204" s="2">
        <f ca="1">INDEX(INDIRECT(_xlfn.CONCAT("weather.tbl[",R$1,"]")),MATCH(vp.data[[#This Row],[SDate]],weather.tbl[Date],0))</f>
        <v>-0.3</v>
      </c>
      <c r="S1204" s="2">
        <f ca="1">INDEX(INDIRECT(_xlfn.CONCAT("weather.tbl[",S$1,"]")),MATCH(vp.data[[#This Row],[SDate]],weather.tbl[Date],0))</f>
        <v>-0.7</v>
      </c>
      <c r="T1204" s="2">
        <f ca="1">INDEX(INDIRECT(_xlfn.CONCAT("weather.tbl[",T$1,"]")),MATCH(vp.data[[#This Row],[SDate]],weather.tbl[Date],0))</f>
        <v>-0.6</v>
      </c>
      <c r="U1204" s="2">
        <f ca="1">INDEX(INDIRECT(_xlfn.CONCAT("weather.tbl[",U$1,"]")),MATCH(vp.data[[#This Row],[SDate]],weather.tbl[Date],0))</f>
        <v>-1.3</v>
      </c>
      <c r="V1204" s="2">
        <f t="array" ref="V12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4080.2460000000001</v>
      </c>
      <c r="W1204" t="s">
        <v>48</v>
      </c>
      <c r="X1204">
        <f>IF(OR(vp.data[[#This Row],[Sulf]]="",vp.data[[#This Row],[Dens]]=""),1,0)</f>
        <v>0</v>
      </c>
      <c r="Y1204">
        <f>IF(vp.data[[#This Row],[CrudeType]]="C5+",1,0)</f>
        <v>0</v>
      </c>
      <c r="Z1204">
        <f>IF(AND(vp.data[[#This Row],[CrudeType]]="Crude",vp.data[[#This Row],[Dens]]&lt;=825,vp.data[[#This Row],[Sulf]]&gt;0.5,vp.data[[#This Row],[Unknown]]=0),1,0)</f>
        <v>0</v>
      </c>
      <c r="AA1204">
        <f>IF(AND(vp.data[[#This Row],[CrudeType]]="Crude",vp.data[[#This Row],[Dens]]&lt;=825,vp.data[[#This Row],[Sulf]]&lt;=0.5,vp.data[[#This Row],[Unknown]]=0),1,0)</f>
        <v>0</v>
      </c>
      <c r="AB12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04">
        <f>IF(AND(vp.data[[#This Row],[CrudeType]]="Crude",vp.data[[#This Row],[Dens]]&gt;825,vp.data[[#This Row],[Dens]]&lt;=900,vp.data[[#This Row],[Sulf]]&lt;=0.5,vp.data[[#This Row],[Unknown]]=0),1,0)</f>
        <v>0</v>
      </c>
      <c r="AD1204">
        <f>IF(AND(vp.data[[#This Row],[CrudeType]]="Crude",vp.data[[#This Row],[Dens]]&gt;865,vp.data[[#This Row],[Dens]]&lt;=900,vp.data[[#This Row],[Sulf]]&gt;2,vp.data[[#This Row],[Unknown]]=0),1,0)</f>
        <v>0</v>
      </c>
      <c r="AE1204">
        <f>IF(AND(vp.data[[#This Row],[CrudeType]]="Crude",vp.data[[#This Row],[Dens]]&gt;900,vp.data[[#This Row],[Sulf]]&lt;=0.5,vp.data[[#This Row],[Unknown]]=0),1,0)</f>
        <v>0</v>
      </c>
      <c r="AF1204">
        <f>IF(AND(vp.data[[#This Row],[CrudeType]]="Crude",vp.data[[#This Row],[Dens]]&gt;900,vp.data[[#This Row],[Sulf]]&lt;=0.5,vp.data[[#This Row],[Unknown]]=0),1,0)</f>
        <v>0</v>
      </c>
      <c r="AG1204" t="str">
        <f>INDEX(vp.data[[#Headers],[Unknown]:[Heavy_SW]],MATCH(1,vp.data[[#This Row],[Unknown]:[Heavy_SW]],0))</f>
        <v>Medium_LSB</v>
      </c>
      <c r="AH1204">
        <f>INDEX([3]!crudeBD.lkup[Number],MATCH(vp.data[[#This Row],[Crude_Breakdown]],crudeBD.lkup[Crude Breakdown],0))</f>
        <v>3</v>
      </c>
      <c r="AI1204">
        <f>MONTH(vp.data[[#This Row],[SDate]])</f>
        <v>4</v>
      </c>
      <c r="AJ1204" s="5">
        <f>(vp.data[[#This Row],[VP]]-INDEX(crudeBD.lkup[Mean_VP],MATCH(vp.data[[#This Row],[Crude_Breakdown]],crudeBD.lkup[Crude Breakdown],0)))^2</f>
        <v>154.74555266526505</v>
      </c>
      <c r="AK1204" s="5">
        <f>(vp.data[[#This Row],[Dens]]-INDEX(crudeBD.lkup[Mean_Dens],MATCH(vp.data[[#This Row],[Crude_Breakdown]],crudeBD.lkup[Crude Breakdown],0)))^2</f>
        <v>3.1684000000019266</v>
      </c>
      <c r="AL1204" s="5">
        <f>(vp.data[[#This Row],[Sulf]]-INDEX(crudeBD.lkup[Mean_Sulf],MATCH(vp.data[[#This Row],[Crude_Breakdown]],crudeBD.lkup[Crude Breakdown],0)))^2</f>
        <v>1.1536505677903163E-2</v>
      </c>
      <c r="AM1204" s="4">
        <f>IF(AND(vp.data[[#This Row],[SDate]]&gt;=DATE(YEAR(vp.data[[#This Row],[SDate]]),5,1),vp.data[[#This Row],[SDate]]&lt;=DATE(YEAR(vp.data[[#This Row],[SDate]]),9,15)),1,0)</f>
        <v>0</v>
      </c>
      <c r="AN1204" s="4">
        <f>IF(vp.data[[#This Row],[SDate]]&lt;DATE(2016,12,1),0,1)</f>
        <v>1</v>
      </c>
      <c r="AO1204" s="4">
        <f>IFERROR(vp.data[[#This Row],[Sulf]]*vp.data[[#This Row],[Net Dens]],"")</f>
        <v>4409948.6459316006</v>
      </c>
      <c r="AP1204">
        <f>IFERROR(vp.data[[#This Row],[Dens]]*vp.data[[#This Row],[VolumeM3]],"")</f>
        <v>3450664.0422000005</v>
      </c>
      <c r="AQ1204" s="15">
        <f>IFERROR(vp.data[[#This Row],[VP]]*vp.data[[#This Row],[VolumeM3]],"")</f>
        <v>278272.77720000001</v>
      </c>
    </row>
    <row r="1205" spans="1:43" x14ac:dyDescent="0.25">
      <c r="A1205">
        <v>1204</v>
      </c>
      <c r="B1205" t="s">
        <v>62</v>
      </c>
      <c r="C1205" t="s">
        <v>62</v>
      </c>
      <c r="D1205" t="s">
        <v>79</v>
      </c>
      <c r="F1205" s="1">
        <v>42835</v>
      </c>
      <c r="G1205" s="2">
        <v>84.5</v>
      </c>
      <c r="H1205" s="2"/>
      <c r="I1205" s="2">
        <f t="array" ref="I1205">_xlfn.IFNA(IF(vp.data[[#This Row],[Sulf Input]]="",INDEX([1]DATA!$Q$3:$Q$9826,MATCH(1,(vp.data[[#This Row],[Battery]]=[1]DATA!$L$3:$L$9826)*(EOMONTH(vp.data[[#This Row],[SDate]],-1)+1=[1]DATA!$G$3:$G$9826),0)),vp.data[[#This Row],[Sulf Input]]),"")</f>
        <v>0.25</v>
      </c>
      <c r="J1205" s="2">
        <v>28.7</v>
      </c>
      <c r="K1205" s="2">
        <v>6</v>
      </c>
      <c r="L1205" s="2">
        <v>806</v>
      </c>
      <c r="M1205" s="2">
        <f t="array" ref="M1205">_xlfn.IFNA(IF(vp.data[[#This Row],[Dens Input]]="",INDEX([1]DATA!$O$3:$O$9826,MATCH(1,(vp.data[[#This Row],[Battery]]=[1]DATA!$L$3:$L$9826)*(EOMONTH(vp.data[[#This Row],[SDate]],-1)+1=[1]DATA!$G$3:$G$9826),0)),vp.data[[#This Row],[Dens Input]]),"")</f>
        <v>806</v>
      </c>
      <c r="N1205" s="2">
        <f ca="1">INDEX(INDIRECT(_xlfn.CONCAT("weather.tbl[",N$1,"]")),MATCH(vp.data[[#This Row],[SDate]],weather.tbl[Date],0))</f>
        <v>-0.3</v>
      </c>
      <c r="O1205" s="2">
        <f ca="1">INDEX(INDIRECT(_xlfn.CONCAT("weather.tbl[",O$1,"]")),MATCH(vp.data[[#This Row],[SDate]],weather.tbl[Date],0))</f>
        <v>5.8857142857142852</v>
      </c>
      <c r="P1205" s="2">
        <f ca="1">INDEX(INDIRECT(_xlfn.CONCAT("weather.tbl[",P$1,"]")),MATCH(vp.data[[#This Row],[SDate]],weather.tbl[Date],0))</f>
        <v>0.8</v>
      </c>
      <c r="Q1205" s="2">
        <f ca="1">INDEX(INDIRECT(_xlfn.CONCAT("weather.tbl[",Q$1,"]")),MATCH(vp.data[[#This Row],[SDate]],weather.tbl[Date],0))</f>
        <v>0.3</v>
      </c>
      <c r="R1205" s="2">
        <f ca="1">INDEX(INDIRECT(_xlfn.CONCAT("weather.tbl[",R$1,"]")),MATCH(vp.data[[#This Row],[SDate]],weather.tbl[Date],0))</f>
        <v>-0.3</v>
      </c>
      <c r="S1205" s="2">
        <f ca="1">INDEX(INDIRECT(_xlfn.CONCAT("weather.tbl[",S$1,"]")),MATCH(vp.data[[#This Row],[SDate]],weather.tbl[Date],0))</f>
        <v>-0.7</v>
      </c>
      <c r="T1205" s="2">
        <f ca="1">INDEX(INDIRECT(_xlfn.CONCAT("weather.tbl[",T$1,"]")),MATCH(vp.data[[#This Row],[SDate]],weather.tbl[Date],0))</f>
        <v>-0.6</v>
      </c>
      <c r="U1205" s="2">
        <f ca="1">INDEX(INDIRECT(_xlfn.CONCAT("weather.tbl[",U$1,"]")),MATCH(vp.data[[#This Row],[SDate]],weather.tbl[Date],0))</f>
        <v>-1.3</v>
      </c>
      <c r="V1205" s="2">
        <f t="array" ref="V12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13021.991</v>
      </c>
      <c r="W1205" t="s">
        <v>48</v>
      </c>
      <c r="X1205">
        <f>IF(OR(vp.data[[#This Row],[Sulf]]="",vp.data[[#This Row],[Dens]]=""),1,0)</f>
        <v>0</v>
      </c>
      <c r="Y1205">
        <f>IF(vp.data[[#This Row],[CrudeType]]="C5+",1,0)</f>
        <v>0</v>
      </c>
      <c r="Z1205">
        <f>IF(AND(vp.data[[#This Row],[CrudeType]]="Crude",vp.data[[#This Row],[Dens]]&lt;=825,vp.data[[#This Row],[Sulf]]&gt;0.5,vp.data[[#This Row],[Unknown]]=0),1,0)</f>
        <v>0</v>
      </c>
      <c r="AA1205">
        <f>IF(AND(vp.data[[#This Row],[CrudeType]]="Crude",vp.data[[#This Row],[Dens]]&lt;=825,vp.data[[#This Row],[Sulf]]&lt;=0.5,vp.data[[#This Row],[Unknown]]=0),1,0)</f>
        <v>1</v>
      </c>
      <c r="AB12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5">
        <f>IF(AND(vp.data[[#This Row],[CrudeType]]="Crude",vp.data[[#This Row],[Dens]]&gt;825,vp.data[[#This Row],[Dens]]&lt;=900,vp.data[[#This Row],[Sulf]]&lt;=0.5,vp.data[[#This Row],[Unknown]]=0),1,0)</f>
        <v>0</v>
      </c>
      <c r="AD1205">
        <f>IF(AND(vp.data[[#This Row],[CrudeType]]="Crude",vp.data[[#This Row],[Dens]]&gt;865,vp.data[[#This Row],[Dens]]&lt;=900,vp.data[[#This Row],[Sulf]]&gt;2,vp.data[[#This Row],[Unknown]]=0),1,0)</f>
        <v>0</v>
      </c>
      <c r="AE1205">
        <f>IF(AND(vp.data[[#This Row],[CrudeType]]="Crude",vp.data[[#This Row],[Dens]]&gt;900,vp.data[[#This Row],[Sulf]]&lt;=0.5,vp.data[[#This Row],[Unknown]]=0),1,0)</f>
        <v>0</v>
      </c>
      <c r="AF1205">
        <f>IF(AND(vp.data[[#This Row],[CrudeType]]="Crude",vp.data[[#This Row],[Dens]]&gt;900,vp.data[[#This Row],[Sulf]]&lt;=0.5,vp.data[[#This Row],[Unknown]]=0),1,0)</f>
        <v>0</v>
      </c>
      <c r="AG1205" t="str">
        <f>INDEX(vp.data[[#Headers],[Unknown]:[Heavy_SW]],MATCH(1,vp.data[[#This Row],[Unknown]:[Heavy_SW]],0))</f>
        <v>Light_SW</v>
      </c>
      <c r="AH1205">
        <f>INDEX([3]!crudeBD.lkup[Number],MATCH(vp.data[[#This Row],[Crude_Breakdown]],crudeBD.lkup[Crude Breakdown],0))</f>
        <v>2</v>
      </c>
      <c r="AI1205">
        <f>MONTH(vp.data[[#This Row],[SDate]])</f>
        <v>4</v>
      </c>
      <c r="AJ1205" s="5">
        <f>(vp.data[[#This Row],[VP]]-INDEX(crudeBD.lkup[Mean_VP],MATCH(vp.data[[#This Row],[Crude_Breakdown]],crudeBD.lkup[Crude Breakdown],0)))^2</f>
        <v>64.807548878825301</v>
      </c>
      <c r="AK1205" s="5">
        <f>(vp.data[[#This Row],[Dens]]-INDEX(crudeBD.lkup[Mean_Dens],MATCH(vp.data[[#This Row],[Crude_Breakdown]],crudeBD.lkup[Crude Breakdown],0)))^2</f>
        <v>5.3430241959950573</v>
      </c>
      <c r="AL1205" s="5">
        <f>(vp.data[[#This Row],[Sulf]]-INDEX(crudeBD.lkup[Mean_Sulf],MATCH(vp.data[[#This Row],[Crude_Breakdown]],crudeBD.lkup[Crude Breakdown],0)))^2</f>
        <v>1.8928774126188673E-4</v>
      </c>
      <c r="AM1205" s="4">
        <f>IF(AND(vp.data[[#This Row],[SDate]]&gt;=DATE(YEAR(vp.data[[#This Row],[SDate]]),5,1),vp.data[[#This Row],[SDate]]&lt;=DATE(YEAR(vp.data[[#This Row],[SDate]]),9,15)),1,0)</f>
        <v>0</v>
      </c>
      <c r="AN1205" s="4">
        <f>IF(vp.data[[#This Row],[SDate]]&lt;DATE(2016,12,1),0,1)</f>
        <v>1</v>
      </c>
      <c r="AO1205" s="4">
        <f>IFERROR(vp.data[[#This Row],[Sulf]]*vp.data[[#This Row],[Net Dens]],"")</f>
        <v>2623931.1864999998</v>
      </c>
      <c r="AP1205">
        <f>IFERROR(vp.data[[#This Row],[Dens]]*vp.data[[#This Row],[VolumeM3]],"")</f>
        <v>10495724.745999999</v>
      </c>
      <c r="AQ1205" s="15">
        <f>IFERROR(vp.data[[#This Row],[VP]]*vp.data[[#This Row],[VolumeM3]],"")</f>
        <v>1100358.2394999999</v>
      </c>
    </row>
    <row r="1206" spans="1:43" x14ac:dyDescent="0.25">
      <c r="A1206">
        <v>1205</v>
      </c>
      <c r="B1206" t="s">
        <v>62</v>
      </c>
      <c r="C1206" t="s">
        <v>62</v>
      </c>
      <c r="D1206" t="s">
        <v>83</v>
      </c>
      <c r="F1206" s="1">
        <v>42835</v>
      </c>
      <c r="G1206" s="2">
        <v>81.900000000000006</v>
      </c>
      <c r="H1206" s="2"/>
      <c r="I1206" s="2">
        <f t="array" ref="I1206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1206" s="2">
        <v>2.7</v>
      </c>
      <c r="K1206" s="2">
        <v>6</v>
      </c>
      <c r="L1206" s="2">
        <v>808.4</v>
      </c>
      <c r="M1206" s="2">
        <f t="array" ref="M1206">_xlfn.IFNA(IF(vp.data[[#This Row],[Dens Input]]="",INDEX([1]DATA!$O$3:$O$9826,MATCH(1,(vp.data[[#This Row],[Battery]]=[1]DATA!$L$3:$L$9826)*(EOMONTH(vp.data[[#This Row],[SDate]],-1)+1=[1]DATA!$G$3:$G$9826),0)),vp.data[[#This Row],[Dens Input]]),"")</f>
        <v>808.4</v>
      </c>
      <c r="N1206" s="2">
        <f ca="1">INDEX(INDIRECT(_xlfn.CONCAT("weather.tbl[",N$1,"]")),MATCH(vp.data[[#This Row],[SDate]],weather.tbl[Date],0))</f>
        <v>-0.3</v>
      </c>
      <c r="O1206" s="2">
        <f ca="1">INDEX(INDIRECT(_xlfn.CONCAT("weather.tbl[",O$1,"]")),MATCH(vp.data[[#This Row],[SDate]],weather.tbl[Date],0))</f>
        <v>5.8857142857142852</v>
      </c>
      <c r="P1206" s="2">
        <f ca="1">INDEX(INDIRECT(_xlfn.CONCAT("weather.tbl[",P$1,"]")),MATCH(vp.data[[#This Row],[SDate]],weather.tbl[Date],0))</f>
        <v>0.8</v>
      </c>
      <c r="Q1206" s="2">
        <f ca="1">INDEX(INDIRECT(_xlfn.CONCAT("weather.tbl[",Q$1,"]")),MATCH(vp.data[[#This Row],[SDate]],weather.tbl[Date],0))</f>
        <v>0.3</v>
      </c>
      <c r="R1206" s="2">
        <f ca="1">INDEX(INDIRECT(_xlfn.CONCAT("weather.tbl[",R$1,"]")),MATCH(vp.data[[#This Row],[SDate]],weather.tbl[Date],0))</f>
        <v>-0.3</v>
      </c>
      <c r="S1206" s="2">
        <f ca="1">INDEX(INDIRECT(_xlfn.CONCAT("weather.tbl[",S$1,"]")),MATCH(vp.data[[#This Row],[SDate]],weather.tbl[Date],0))</f>
        <v>-0.7</v>
      </c>
      <c r="T1206" s="2">
        <f ca="1">INDEX(INDIRECT(_xlfn.CONCAT("weather.tbl[",T$1,"]")),MATCH(vp.data[[#This Row],[SDate]],weather.tbl[Date],0))</f>
        <v>-0.6</v>
      </c>
      <c r="U1206" s="2">
        <f ca="1">INDEX(INDIRECT(_xlfn.CONCAT("weather.tbl[",U$1,"]")),MATCH(vp.data[[#This Row],[SDate]],weather.tbl[Date],0))</f>
        <v>-1.3</v>
      </c>
      <c r="V1206" s="2">
        <f t="array" ref="V12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8089.0709999999999</v>
      </c>
      <c r="W1206" t="s">
        <v>48</v>
      </c>
      <c r="X1206">
        <f>IF(OR(vp.data[[#This Row],[Sulf]]="",vp.data[[#This Row],[Dens]]=""),1,0)</f>
        <v>0</v>
      </c>
      <c r="Y1206">
        <f>IF(vp.data[[#This Row],[CrudeType]]="C5+",1,0)</f>
        <v>0</v>
      </c>
      <c r="Z1206">
        <f>IF(AND(vp.data[[#This Row],[CrudeType]]="Crude",vp.data[[#This Row],[Dens]]&lt;=825,vp.data[[#This Row],[Sulf]]&gt;0.5,vp.data[[#This Row],[Unknown]]=0),1,0)</f>
        <v>0</v>
      </c>
      <c r="AA1206">
        <f>IF(AND(vp.data[[#This Row],[CrudeType]]="Crude",vp.data[[#This Row],[Dens]]&lt;=825,vp.data[[#This Row],[Sulf]]&lt;=0.5,vp.data[[#This Row],[Unknown]]=0),1,0)</f>
        <v>1</v>
      </c>
      <c r="AB12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6">
        <f>IF(AND(vp.data[[#This Row],[CrudeType]]="Crude",vp.data[[#This Row],[Dens]]&gt;825,vp.data[[#This Row],[Dens]]&lt;=900,vp.data[[#This Row],[Sulf]]&lt;=0.5,vp.data[[#This Row],[Unknown]]=0),1,0)</f>
        <v>0</v>
      </c>
      <c r="AD1206">
        <f>IF(AND(vp.data[[#This Row],[CrudeType]]="Crude",vp.data[[#This Row],[Dens]]&gt;865,vp.data[[#This Row],[Dens]]&lt;=900,vp.data[[#This Row],[Sulf]]&gt;2,vp.data[[#This Row],[Unknown]]=0),1,0)</f>
        <v>0</v>
      </c>
      <c r="AE1206">
        <f>IF(AND(vp.data[[#This Row],[CrudeType]]="Crude",vp.data[[#This Row],[Dens]]&gt;900,vp.data[[#This Row],[Sulf]]&lt;=0.5,vp.data[[#This Row],[Unknown]]=0),1,0)</f>
        <v>0</v>
      </c>
      <c r="AF1206">
        <f>IF(AND(vp.data[[#This Row],[CrudeType]]="Crude",vp.data[[#This Row],[Dens]]&gt;900,vp.data[[#This Row],[Sulf]]&lt;=0.5,vp.data[[#This Row],[Unknown]]=0),1,0)</f>
        <v>0</v>
      </c>
      <c r="AG1206" t="str">
        <f>INDEX(vp.data[[#Headers],[Unknown]:[Heavy_SW]],MATCH(1,vp.data[[#This Row],[Unknown]:[Heavy_SW]],0))</f>
        <v>Light_SW</v>
      </c>
      <c r="AH1206">
        <f>INDEX([3]!crudeBD.lkup[Number],MATCH(vp.data[[#This Row],[Crude_Breakdown]],crudeBD.lkup[Crude Breakdown],0))</f>
        <v>2</v>
      </c>
      <c r="AI1206">
        <f>MONTH(vp.data[[#This Row],[SDate]])</f>
        <v>4</v>
      </c>
      <c r="AJ1206" s="5">
        <f>(vp.data[[#This Row],[VP]]-INDEX(crudeBD.lkup[Mean_VP],MATCH(vp.data[[#This Row],[Crude_Breakdown]],crudeBD.lkup[Crude Breakdown],0)))^2</f>
        <v>113.42917954084592</v>
      </c>
      <c r="AK1206" s="5">
        <f>(vp.data[[#This Row],[Dens]]-INDEX(crudeBD.lkup[Mean_Dens],MATCH(vp.data[[#This Row],[Crude_Breakdown]],crudeBD.lkup[Crude Breakdown],0)))^2</f>
        <v>7.8325583654390834E-3</v>
      </c>
      <c r="AL1206" s="5">
        <f>(vp.data[[#This Row],[Sulf]]-INDEX(crudeBD.lkup[Mean_Sulf],MATCH(vp.data[[#This Row],[Crude_Breakdown]],crudeBD.lkup[Crude Breakdown],0)))^2</f>
        <v>5.8128138736660397E-3</v>
      </c>
      <c r="AM1206" s="4">
        <f>IF(AND(vp.data[[#This Row],[SDate]]&gt;=DATE(YEAR(vp.data[[#This Row],[SDate]]),5,1),vp.data[[#This Row],[SDate]]&lt;=DATE(YEAR(vp.data[[#This Row],[SDate]]),9,15)),1,0)</f>
        <v>0</v>
      </c>
      <c r="AN1206" s="4">
        <f>IF(vp.data[[#This Row],[SDate]]&lt;DATE(2016,12,1),0,1)</f>
        <v>1</v>
      </c>
      <c r="AO1206" s="4">
        <f>IFERROR(vp.data[[#This Row],[Sulf]]*vp.data[[#This Row],[Net Dens]],"")</f>
        <v>1046272.799424</v>
      </c>
      <c r="AP1206">
        <f>IFERROR(vp.data[[#This Row],[Dens]]*vp.data[[#This Row],[VolumeM3]],"")</f>
        <v>6539204.9963999996</v>
      </c>
      <c r="AQ1206" s="15">
        <f>IFERROR(vp.data[[#This Row],[VP]]*vp.data[[#This Row],[VolumeM3]],"")</f>
        <v>662494.91490000009</v>
      </c>
    </row>
    <row r="1207" spans="1:43" x14ac:dyDescent="0.25">
      <c r="A1207">
        <v>1206</v>
      </c>
      <c r="B1207" t="s">
        <v>62</v>
      </c>
      <c r="C1207" t="s">
        <v>62</v>
      </c>
      <c r="D1207" t="s">
        <v>87</v>
      </c>
      <c r="F1207" s="1">
        <v>42835</v>
      </c>
      <c r="G1207" s="2">
        <v>77.5</v>
      </c>
      <c r="H1207" s="2"/>
      <c r="I1207" s="2">
        <f t="array" ref="I1207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207" s="2">
        <v>28.8</v>
      </c>
      <c r="K1207" s="2">
        <v>6</v>
      </c>
      <c r="L1207" s="2">
        <v>811.3</v>
      </c>
      <c r="M1207" s="2">
        <f t="array" ref="M1207">_xlfn.IFNA(IF(vp.data[[#This Row],[Dens Input]]="",INDEX([1]DATA!$O$3:$O$9826,MATCH(1,(vp.data[[#This Row],[Battery]]=[1]DATA!$L$3:$L$9826)*(EOMONTH(vp.data[[#This Row],[SDate]],-1)+1=[1]DATA!$G$3:$G$9826),0)),vp.data[[#This Row],[Dens Input]]),"")</f>
        <v>811.3</v>
      </c>
      <c r="N1207" s="2">
        <f ca="1">INDEX(INDIRECT(_xlfn.CONCAT("weather.tbl[",N$1,"]")),MATCH(vp.data[[#This Row],[SDate]],weather.tbl[Date],0))</f>
        <v>-0.3</v>
      </c>
      <c r="O1207" s="2">
        <f ca="1">INDEX(INDIRECT(_xlfn.CONCAT("weather.tbl[",O$1,"]")),MATCH(vp.data[[#This Row],[SDate]],weather.tbl[Date],0))</f>
        <v>5.8857142857142852</v>
      </c>
      <c r="P1207" s="2">
        <f ca="1">INDEX(INDIRECT(_xlfn.CONCAT("weather.tbl[",P$1,"]")),MATCH(vp.data[[#This Row],[SDate]],weather.tbl[Date],0))</f>
        <v>0.8</v>
      </c>
      <c r="Q1207" s="2">
        <f ca="1">INDEX(INDIRECT(_xlfn.CONCAT("weather.tbl[",Q$1,"]")),MATCH(vp.data[[#This Row],[SDate]],weather.tbl[Date],0))</f>
        <v>0.3</v>
      </c>
      <c r="R1207" s="2">
        <f ca="1">INDEX(INDIRECT(_xlfn.CONCAT("weather.tbl[",R$1,"]")),MATCH(vp.data[[#This Row],[SDate]],weather.tbl[Date],0))</f>
        <v>-0.3</v>
      </c>
      <c r="S1207" s="2">
        <f ca="1">INDEX(INDIRECT(_xlfn.CONCAT("weather.tbl[",S$1,"]")),MATCH(vp.data[[#This Row],[SDate]],weather.tbl[Date],0))</f>
        <v>-0.7</v>
      </c>
      <c r="T1207" s="2">
        <f ca="1">INDEX(INDIRECT(_xlfn.CONCAT("weather.tbl[",T$1,"]")),MATCH(vp.data[[#This Row],[SDate]],weather.tbl[Date],0))</f>
        <v>-0.6</v>
      </c>
      <c r="U1207" s="2">
        <f ca="1">INDEX(INDIRECT(_xlfn.CONCAT("weather.tbl[",U$1,"]")),MATCH(vp.data[[#This Row],[SDate]],weather.tbl[Date],0))</f>
        <v>-1.3</v>
      </c>
      <c r="V1207" s="2">
        <f t="array" ref="V12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5250.2839999999997</v>
      </c>
      <c r="W1207" t="s">
        <v>48</v>
      </c>
      <c r="X1207">
        <f>IF(OR(vp.data[[#This Row],[Sulf]]="",vp.data[[#This Row],[Dens]]=""),1,0)</f>
        <v>0</v>
      </c>
      <c r="Y1207">
        <f>IF(vp.data[[#This Row],[CrudeType]]="C5+",1,0)</f>
        <v>0</v>
      </c>
      <c r="Z1207">
        <f>IF(AND(vp.data[[#This Row],[CrudeType]]="Crude",vp.data[[#This Row],[Dens]]&lt;=825,vp.data[[#This Row],[Sulf]]&gt;0.5,vp.data[[#This Row],[Unknown]]=0),1,0)</f>
        <v>0</v>
      </c>
      <c r="AA1207">
        <f>IF(AND(vp.data[[#This Row],[CrudeType]]="Crude",vp.data[[#This Row],[Dens]]&lt;=825,vp.data[[#This Row],[Sulf]]&lt;=0.5,vp.data[[#This Row],[Unknown]]=0),1,0)</f>
        <v>1</v>
      </c>
      <c r="AB12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7">
        <f>IF(AND(vp.data[[#This Row],[CrudeType]]="Crude",vp.data[[#This Row],[Dens]]&gt;825,vp.data[[#This Row],[Dens]]&lt;=900,vp.data[[#This Row],[Sulf]]&lt;=0.5,vp.data[[#This Row],[Unknown]]=0),1,0)</f>
        <v>0</v>
      </c>
      <c r="AD1207">
        <f>IF(AND(vp.data[[#This Row],[CrudeType]]="Crude",vp.data[[#This Row],[Dens]]&gt;865,vp.data[[#This Row],[Dens]]&lt;=900,vp.data[[#This Row],[Sulf]]&gt;2,vp.data[[#This Row],[Unknown]]=0),1,0)</f>
        <v>0</v>
      </c>
      <c r="AE1207">
        <f>IF(AND(vp.data[[#This Row],[CrudeType]]="Crude",vp.data[[#This Row],[Dens]]&gt;900,vp.data[[#This Row],[Sulf]]&lt;=0.5,vp.data[[#This Row],[Unknown]]=0),1,0)</f>
        <v>0</v>
      </c>
      <c r="AF1207">
        <f>IF(AND(vp.data[[#This Row],[CrudeType]]="Crude",vp.data[[#This Row],[Dens]]&gt;900,vp.data[[#This Row],[Sulf]]&lt;=0.5,vp.data[[#This Row],[Unknown]]=0),1,0)</f>
        <v>0</v>
      </c>
      <c r="AG1207" t="str">
        <f>INDEX(vp.data[[#Headers],[Unknown]:[Heavy_SW]],MATCH(1,vp.data[[#This Row],[Unknown]:[Heavy_SW]],0))</f>
        <v>Light_SW</v>
      </c>
      <c r="AH1207">
        <f>INDEX([3]!crudeBD.lkup[Number],MATCH(vp.data[[#This Row],[Crude_Breakdown]],crudeBD.lkup[Crude Breakdown],0))</f>
        <v>2</v>
      </c>
      <c r="AI1207">
        <f>MONTH(vp.data[[#This Row],[SDate]])</f>
        <v>4</v>
      </c>
      <c r="AJ1207" s="5">
        <f>(vp.data[[#This Row],[VP]]-INDEX(crudeBD.lkup[Mean_VP],MATCH(vp.data[[#This Row],[Crude_Breakdown]],crudeBD.lkup[Crude Breakdown],0)))^2</f>
        <v>226.51193912272731</v>
      </c>
      <c r="AK1207" s="5">
        <f>(vp.data[[#This Row],[Dens]]-INDEX(crudeBD.lkup[Mean_Dens],MATCH(vp.data[[#This Row],[Crude_Breakdown]],crudeBD.lkup[Crude Breakdown],0)))^2</f>
        <v>8.931142662896054</v>
      </c>
      <c r="AL1207" s="5">
        <f>(vp.data[[#This Row],[Sulf]]-INDEX(crudeBD.lkup[Mean_Sulf],MATCH(vp.data[[#This Row],[Crude_Breakdown]],crudeBD.lkup[Crude Breakdown],0)))^2</f>
        <v>4.3879776367322437E-3</v>
      </c>
      <c r="AM1207" s="4">
        <f>IF(AND(vp.data[[#This Row],[SDate]]&gt;=DATE(YEAR(vp.data[[#This Row],[SDate]]),5,1),vp.data[[#This Row],[SDate]]&lt;=DATE(YEAR(vp.data[[#This Row],[SDate]]),9,15)),1,0)</f>
        <v>0</v>
      </c>
      <c r="AN1207" s="4">
        <f>IF(vp.data[[#This Row],[SDate]]&lt;DATE(2016,12,1),0,1)</f>
        <v>1</v>
      </c>
      <c r="AO1207" s="4">
        <f>IFERROR(vp.data[[#This Row],[Sulf]]*vp.data[[#This Row],[Net Dens]],"")</f>
        <v>724124.41956399998</v>
      </c>
      <c r="AP1207">
        <f>IFERROR(vp.data[[#This Row],[Dens]]*vp.data[[#This Row],[VolumeM3]],"")</f>
        <v>4259555.4091999996</v>
      </c>
      <c r="AQ1207" s="15">
        <f>IFERROR(vp.data[[#This Row],[VP]]*vp.data[[#This Row],[VolumeM3]],"")</f>
        <v>406897.00999999995</v>
      </c>
    </row>
    <row r="1208" spans="1:43" x14ac:dyDescent="0.25">
      <c r="A1208">
        <v>1207</v>
      </c>
      <c r="B1208" t="s">
        <v>62</v>
      </c>
      <c r="C1208" t="s">
        <v>62</v>
      </c>
      <c r="D1208" t="s">
        <v>63</v>
      </c>
      <c r="F1208" s="1">
        <v>42835</v>
      </c>
      <c r="G1208" s="2">
        <v>84.2</v>
      </c>
      <c r="H1208" s="2"/>
      <c r="I1208" s="2">
        <f t="array" ref="I1208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208" s="2">
        <v>21.3</v>
      </c>
      <c r="K1208" s="2">
        <v>6</v>
      </c>
      <c r="L1208" s="2">
        <v>817.6</v>
      </c>
      <c r="M1208" s="2">
        <f t="array" ref="M1208">_xlfn.IFNA(IF(vp.data[[#This Row],[Dens Input]]="",INDEX([1]DATA!$O$3:$O$9826,MATCH(1,(vp.data[[#This Row],[Battery]]=[1]DATA!$L$3:$L$9826)*(EOMONTH(vp.data[[#This Row],[SDate]],-1)+1=[1]DATA!$G$3:$G$9826),0)),vp.data[[#This Row],[Dens Input]]),"")</f>
        <v>817.6</v>
      </c>
      <c r="N1208" s="2">
        <f ca="1">INDEX(INDIRECT(_xlfn.CONCAT("weather.tbl[",N$1,"]")),MATCH(vp.data[[#This Row],[SDate]],weather.tbl[Date],0))</f>
        <v>-0.3</v>
      </c>
      <c r="O1208" s="2">
        <f ca="1">INDEX(INDIRECT(_xlfn.CONCAT("weather.tbl[",O$1,"]")),MATCH(vp.data[[#This Row],[SDate]],weather.tbl[Date],0))</f>
        <v>5.8857142857142852</v>
      </c>
      <c r="P1208" s="2">
        <f ca="1">INDEX(INDIRECT(_xlfn.CONCAT("weather.tbl[",P$1,"]")),MATCH(vp.data[[#This Row],[SDate]],weather.tbl[Date],0))</f>
        <v>0.8</v>
      </c>
      <c r="Q1208" s="2">
        <f ca="1">INDEX(INDIRECT(_xlfn.CONCAT("weather.tbl[",Q$1,"]")),MATCH(vp.data[[#This Row],[SDate]],weather.tbl[Date],0))</f>
        <v>0.3</v>
      </c>
      <c r="R1208" s="2">
        <f ca="1">INDEX(INDIRECT(_xlfn.CONCAT("weather.tbl[",R$1,"]")),MATCH(vp.data[[#This Row],[SDate]],weather.tbl[Date],0))</f>
        <v>-0.3</v>
      </c>
      <c r="S1208" s="2">
        <f ca="1">INDEX(INDIRECT(_xlfn.CONCAT("weather.tbl[",S$1,"]")),MATCH(vp.data[[#This Row],[SDate]],weather.tbl[Date],0))</f>
        <v>-0.7</v>
      </c>
      <c r="T1208" s="2">
        <f ca="1">INDEX(INDIRECT(_xlfn.CONCAT("weather.tbl[",T$1,"]")),MATCH(vp.data[[#This Row],[SDate]],weather.tbl[Date],0))</f>
        <v>-0.6</v>
      </c>
      <c r="U1208" s="2">
        <f ca="1">INDEX(INDIRECT(_xlfn.CONCAT("weather.tbl[",U$1,"]")),MATCH(vp.data[[#This Row],[SDate]],weather.tbl[Date],0))</f>
        <v>-1.3</v>
      </c>
      <c r="V1208" s="2">
        <f t="array" ref="V12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8008.9170000000004</v>
      </c>
      <c r="W1208" t="s">
        <v>48</v>
      </c>
      <c r="X1208">
        <f>IF(OR(vp.data[[#This Row],[Sulf]]="",vp.data[[#This Row],[Dens]]=""),1,0)</f>
        <v>0</v>
      </c>
      <c r="Y1208">
        <f>IF(vp.data[[#This Row],[CrudeType]]="C5+",1,0)</f>
        <v>0</v>
      </c>
      <c r="Z1208">
        <f>IF(AND(vp.data[[#This Row],[CrudeType]]="Crude",vp.data[[#This Row],[Dens]]&lt;=825,vp.data[[#This Row],[Sulf]]&gt;0.5,vp.data[[#This Row],[Unknown]]=0),1,0)</f>
        <v>1</v>
      </c>
      <c r="AA1208">
        <f>IF(AND(vp.data[[#This Row],[CrudeType]]="Crude",vp.data[[#This Row],[Dens]]&lt;=825,vp.data[[#This Row],[Sulf]]&lt;=0.5,vp.data[[#This Row],[Unknown]]=0),1,0)</f>
        <v>0</v>
      </c>
      <c r="AB12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08">
        <f>IF(AND(vp.data[[#This Row],[CrudeType]]="Crude",vp.data[[#This Row],[Dens]]&gt;825,vp.data[[#This Row],[Dens]]&lt;=900,vp.data[[#This Row],[Sulf]]&lt;=0.5,vp.data[[#This Row],[Unknown]]=0),1,0)</f>
        <v>0</v>
      </c>
      <c r="AD1208">
        <f>IF(AND(vp.data[[#This Row],[CrudeType]]="Crude",vp.data[[#This Row],[Dens]]&gt;865,vp.data[[#This Row],[Dens]]&lt;=900,vp.data[[#This Row],[Sulf]]&gt;2,vp.data[[#This Row],[Unknown]]=0),1,0)</f>
        <v>0</v>
      </c>
      <c r="AE1208">
        <f>IF(AND(vp.data[[#This Row],[CrudeType]]="Crude",vp.data[[#This Row],[Dens]]&gt;900,vp.data[[#This Row],[Sulf]]&lt;=0.5,vp.data[[#This Row],[Unknown]]=0),1,0)</f>
        <v>0</v>
      </c>
      <c r="AF1208">
        <f>IF(AND(vp.data[[#This Row],[CrudeType]]="Crude",vp.data[[#This Row],[Dens]]&gt;900,vp.data[[#This Row],[Sulf]]&lt;=0.5,vp.data[[#This Row],[Unknown]]=0),1,0)</f>
        <v>0</v>
      </c>
      <c r="AG1208" t="str">
        <f>INDEX(vp.data[[#Headers],[Unknown]:[Heavy_SW]],MATCH(1,vp.data[[#This Row],[Unknown]:[Heavy_SW]],0))</f>
        <v>Light_LSB</v>
      </c>
      <c r="AH1208">
        <f>INDEX([3]!crudeBD.lkup[Number],MATCH(vp.data[[#This Row],[Crude_Breakdown]],crudeBD.lkup[Crude Breakdown],0))</f>
        <v>1</v>
      </c>
      <c r="AI1208">
        <f>MONTH(vp.data[[#This Row],[SDate]])</f>
        <v>4</v>
      </c>
      <c r="AJ1208" s="5">
        <f>(vp.data[[#This Row],[VP]]-INDEX(crudeBD.lkup[Mean_VP],MATCH(vp.data[[#This Row],[Crude_Breakdown]],crudeBD.lkup[Crude Breakdown],0)))^2</f>
        <v>53.966442384950994</v>
      </c>
      <c r="AK1208" s="5">
        <f>(vp.data[[#This Row],[Dens]]-INDEX(crudeBD.lkup[Mean_Dens],MATCH(vp.data[[#This Row],[Crude_Breakdown]],crudeBD.lkup[Crude Breakdown],0)))^2</f>
        <v>0.84046679184170825</v>
      </c>
      <c r="AL1208" s="5">
        <f>(vp.data[[#This Row],[Sulf]]-INDEX(crudeBD.lkup[Mean_Sulf],MATCH(vp.data[[#This Row],[Crude_Breakdown]],crudeBD.lkup[Crude Breakdown],0)))^2</f>
        <v>2.8998110617612668E-4</v>
      </c>
      <c r="AM1208" s="4">
        <f>IF(AND(vp.data[[#This Row],[SDate]]&gt;=DATE(YEAR(vp.data[[#This Row],[SDate]]),5,1),vp.data[[#This Row],[SDate]]&lt;=DATE(YEAR(vp.data[[#This Row],[SDate]]),9,15)),1,0)</f>
        <v>0</v>
      </c>
      <c r="AN1208" s="4">
        <f>IF(vp.data[[#This Row],[SDate]]&lt;DATE(2016,12,1),0,1)</f>
        <v>1</v>
      </c>
      <c r="AO1208" s="4">
        <f>IFERROR(vp.data[[#This Row],[Sulf]]*vp.data[[#This Row],[Net Dens]],"")</f>
        <v>6155205.1068480005</v>
      </c>
      <c r="AP1208">
        <f>IFERROR(vp.data[[#This Row],[Dens]]*vp.data[[#This Row],[VolumeM3]],"")</f>
        <v>6548090.5392000005</v>
      </c>
      <c r="AQ1208" s="15">
        <f>IFERROR(vp.data[[#This Row],[VP]]*vp.data[[#This Row],[VolumeM3]],"")</f>
        <v>674350.81140000001</v>
      </c>
    </row>
    <row r="1209" spans="1:43" x14ac:dyDescent="0.25">
      <c r="A1209">
        <v>1208</v>
      </c>
      <c r="B1209" t="s">
        <v>51</v>
      </c>
      <c r="C1209" t="s">
        <v>51</v>
      </c>
      <c r="D1209" t="s">
        <v>95</v>
      </c>
      <c r="F1209" s="1">
        <v>42835</v>
      </c>
      <c r="G1209" s="2">
        <v>69.099999999999994</v>
      </c>
      <c r="H1209" s="2"/>
      <c r="I1209" s="2">
        <f t="array" ref="I1209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209" s="2">
        <v>28.4</v>
      </c>
      <c r="K1209" s="2">
        <v>6</v>
      </c>
      <c r="L1209" s="2">
        <v>841.4</v>
      </c>
      <c r="M1209" s="2">
        <f t="array" ref="M1209">_xlfn.IFNA(IF(vp.data[[#This Row],[Dens Input]]="",INDEX([1]DATA!$O$3:$O$9826,MATCH(1,(vp.data[[#This Row],[Battery]]=[1]DATA!$L$3:$L$9826)*(EOMONTH(vp.data[[#This Row],[SDate]],-1)+1=[1]DATA!$G$3:$G$9826),0)),vp.data[[#This Row],[Dens Input]]),"")</f>
        <v>841.4</v>
      </c>
      <c r="N1209" s="2">
        <f ca="1">INDEX(INDIRECT(_xlfn.CONCAT("weather.tbl[",N$1,"]")),MATCH(vp.data[[#This Row],[SDate]],weather.tbl[Date],0))</f>
        <v>-0.3</v>
      </c>
      <c r="O1209" s="2">
        <f ca="1">INDEX(INDIRECT(_xlfn.CONCAT("weather.tbl[",O$1,"]")),MATCH(vp.data[[#This Row],[SDate]],weather.tbl[Date],0))</f>
        <v>5.8857142857142852</v>
      </c>
      <c r="P1209" s="2">
        <f ca="1">INDEX(INDIRECT(_xlfn.CONCAT("weather.tbl[",P$1,"]")),MATCH(vp.data[[#This Row],[SDate]],weather.tbl[Date],0))</f>
        <v>0.8</v>
      </c>
      <c r="Q1209" s="2">
        <f ca="1">INDEX(INDIRECT(_xlfn.CONCAT("weather.tbl[",Q$1,"]")),MATCH(vp.data[[#This Row],[SDate]],weather.tbl[Date],0))</f>
        <v>0.3</v>
      </c>
      <c r="R1209" s="2">
        <f ca="1">INDEX(INDIRECT(_xlfn.CONCAT("weather.tbl[",R$1,"]")),MATCH(vp.data[[#This Row],[SDate]],weather.tbl[Date],0))</f>
        <v>-0.3</v>
      </c>
      <c r="S1209" s="2">
        <f ca="1">INDEX(INDIRECT(_xlfn.CONCAT("weather.tbl[",S$1,"]")),MATCH(vp.data[[#This Row],[SDate]],weather.tbl[Date],0))</f>
        <v>-0.7</v>
      </c>
      <c r="T1209" s="2">
        <f ca="1">INDEX(INDIRECT(_xlfn.CONCAT("weather.tbl[",T$1,"]")),MATCH(vp.data[[#This Row],[SDate]],weather.tbl[Date],0))</f>
        <v>-0.6</v>
      </c>
      <c r="U1209" s="2">
        <f ca="1">INDEX(INDIRECT(_xlfn.CONCAT("weather.tbl[",U$1,"]")),MATCH(vp.data[[#This Row],[SDate]],weather.tbl[Date],0))</f>
        <v>-1.3</v>
      </c>
      <c r="V1209" s="2">
        <f t="array" ref="V12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6027.9970000000003</v>
      </c>
      <c r="W1209" t="s">
        <v>48</v>
      </c>
      <c r="X1209">
        <f>IF(OR(vp.data[[#This Row],[Sulf]]="",vp.data[[#This Row],[Dens]]=""),1,0)</f>
        <v>0</v>
      </c>
      <c r="Y1209">
        <f>IF(vp.data[[#This Row],[CrudeType]]="C5+",1,0)</f>
        <v>0</v>
      </c>
      <c r="Z1209">
        <f>IF(AND(vp.data[[#This Row],[CrudeType]]="Crude",vp.data[[#This Row],[Dens]]&lt;=825,vp.data[[#This Row],[Sulf]]&gt;0.5,vp.data[[#This Row],[Unknown]]=0),1,0)</f>
        <v>0</v>
      </c>
      <c r="AA1209">
        <f>IF(AND(vp.data[[#This Row],[CrudeType]]="Crude",vp.data[[#This Row],[Dens]]&lt;=825,vp.data[[#This Row],[Sulf]]&lt;=0.5,vp.data[[#This Row],[Unknown]]=0),1,0)</f>
        <v>0</v>
      </c>
      <c r="AB12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09">
        <f>IF(AND(vp.data[[#This Row],[CrudeType]]="Crude",vp.data[[#This Row],[Dens]]&gt;825,vp.data[[#This Row],[Dens]]&lt;=900,vp.data[[#This Row],[Sulf]]&lt;=0.5,vp.data[[#This Row],[Unknown]]=0),1,0)</f>
        <v>0</v>
      </c>
      <c r="AD1209">
        <f>IF(AND(vp.data[[#This Row],[CrudeType]]="Crude",vp.data[[#This Row],[Dens]]&gt;865,vp.data[[#This Row],[Dens]]&lt;=900,vp.data[[#This Row],[Sulf]]&gt;2,vp.data[[#This Row],[Unknown]]=0),1,0)</f>
        <v>0</v>
      </c>
      <c r="AE1209">
        <f>IF(AND(vp.data[[#This Row],[CrudeType]]="Crude",vp.data[[#This Row],[Dens]]&gt;900,vp.data[[#This Row],[Sulf]]&lt;=0.5,vp.data[[#This Row],[Unknown]]=0),1,0)</f>
        <v>0</v>
      </c>
      <c r="AF1209">
        <f>IF(AND(vp.data[[#This Row],[CrudeType]]="Crude",vp.data[[#This Row],[Dens]]&gt;900,vp.data[[#This Row],[Sulf]]&lt;=0.5,vp.data[[#This Row],[Unknown]]=0),1,0)</f>
        <v>0</v>
      </c>
      <c r="AG1209" t="str">
        <f>INDEX(vp.data[[#Headers],[Unknown]:[Heavy_SW]],MATCH(1,vp.data[[#This Row],[Unknown]:[Heavy_SW]],0))</f>
        <v>Medium_LSB</v>
      </c>
      <c r="AH1209">
        <f>INDEX([3]!crudeBD.lkup[Number],MATCH(vp.data[[#This Row],[Crude_Breakdown]],crudeBD.lkup[Crude Breakdown],0))</f>
        <v>3</v>
      </c>
      <c r="AI1209">
        <f>MONTH(vp.data[[#This Row],[SDate]])</f>
        <v>4</v>
      </c>
      <c r="AJ1209" s="5">
        <f>(vp.data[[#This Row],[VP]]-INDEX(crudeBD.lkup[Mean_VP],MATCH(vp.data[[#This Row],[Crude_Breakdown]],crudeBD.lkup[Crude Breakdown],0)))^2</f>
        <v>133.16413487550795</v>
      </c>
      <c r="AK1209" s="5">
        <f>(vp.data[[#This Row],[Dens]]-INDEX(crudeBD.lkup[Mean_Dens],MATCH(vp.data[[#This Row],[Crude_Breakdown]],crudeBD.lkup[Crude Breakdown],0)))^2</f>
        <v>6.3503999999976166</v>
      </c>
      <c r="AL1209" s="5">
        <f>(vp.data[[#This Row],[Sulf]]-INDEX(crudeBD.lkup[Mean_Sulf],MATCH(vp.data[[#This Row],[Crude_Breakdown]],crudeBD.lkup[Crude Breakdown],0)))^2</f>
        <v>3.8184335974399415E-2</v>
      </c>
      <c r="AM1209" s="4">
        <f>IF(AND(vp.data[[#This Row],[SDate]]&gt;=DATE(YEAR(vp.data[[#This Row],[SDate]]),5,1),vp.data[[#This Row],[SDate]]&lt;=DATE(YEAR(vp.data[[#This Row],[SDate]]),9,15)),1,0)</f>
        <v>0</v>
      </c>
      <c r="AN1209" s="4">
        <f>IF(vp.data[[#This Row],[SDate]]&lt;DATE(2016,12,1),0,1)</f>
        <v>1</v>
      </c>
      <c r="AO1209" s="4">
        <f>IFERROR(vp.data[[#This Row],[Sulf]]*vp.data[[#This Row],[Net Dens]],"")</f>
        <v>6035628.4442020003</v>
      </c>
      <c r="AP1209">
        <f>IFERROR(vp.data[[#This Row],[Dens]]*vp.data[[#This Row],[VolumeM3]],"")</f>
        <v>5071956.6758000003</v>
      </c>
      <c r="AQ1209" s="15">
        <f>IFERROR(vp.data[[#This Row],[VP]]*vp.data[[#This Row],[VolumeM3]],"")</f>
        <v>416534.59269999998</v>
      </c>
    </row>
    <row r="1210" spans="1:43" x14ac:dyDescent="0.25">
      <c r="A1210">
        <v>1209</v>
      </c>
      <c r="B1210" t="s">
        <v>60</v>
      </c>
      <c r="C1210" t="s">
        <v>60</v>
      </c>
      <c r="D1210" t="s">
        <v>61</v>
      </c>
      <c r="E1210" t="s">
        <v>73</v>
      </c>
      <c r="F1210" s="1">
        <v>42835</v>
      </c>
      <c r="G1210" s="2">
        <v>69.2</v>
      </c>
      <c r="H1210" s="2">
        <v>1.3320000000000001</v>
      </c>
      <c r="I1210" s="2">
        <f t="array" ref="I1210">_xlfn.IFNA(IF(vp.data[[#This Row],[Sulf Input]]="",INDEX([1]DATA!$Q$3:$Q$9826,MATCH(1,(vp.data[[#This Row],[Battery]]=[1]DATA!$L$3:$L$9826)*(EOMONTH(vp.data[[#This Row],[SDate]],-1)+1=[1]DATA!$G$3:$G$9826),0)),vp.data[[#This Row],[Sulf Input]]),"")</f>
        <v>1.3320000000000001</v>
      </c>
      <c r="J1210" s="2">
        <v>11.4</v>
      </c>
      <c r="K1210" s="2">
        <v>6</v>
      </c>
      <c r="L1210" s="2">
        <v>852.2</v>
      </c>
      <c r="M1210" s="2">
        <f t="array" ref="M1210">_xlfn.IFNA(IF(vp.data[[#This Row],[Dens Input]]="",INDEX([1]DATA!$O$3:$O$9826,MATCH(1,(vp.data[[#This Row],[Battery]]=[1]DATA!$L$3:$L$9826)*(EOMONTH(vp.data[[#This Row],[SDate]],-1)+1=[1]DATA!$G$3:$G$9826),0)),vp.data[[#This Row],[Dens Input]]),"")</f>
        <v>852.2</v>
      </c>
      <c r="N1210" s="2">
        <f ca="1">INDEX(INDIRECT(_xlfn.CONCAT("weather.tbl[",N$1,"]")),MATCH(vp.data[[#This Row],[SDate]],weather.tbl[Date],0))</f>
        <v>-0.3</v>
      </c>
      <c r="O1210" s="2">
        <f ca="1">INDEX(INDIRECT(_xlfn.CONCAT("weather.tbl[",O$1,"]")),MATCH(vp.data[[#This Row],[SDate]],weather.tbl[Date],0))</f>
        <v>5.8857142857142852</v>
      </c>
      <c r="P1210" s="2">
        <f ca="1">INDEX(INDIRECT(_xlfn.CONCAT("weather.tbl[",P$1,"]")),MATCH(vp.data[[#This Row],[SDate]],weather.tbl[Date],0))</f>
        <v>0.8</v>
      </c>
      <c r="Q1210" s="2">
        <f ca="1">INDEX(INDIRECT(_xlfn.CONCAT("weather.tbl[",Q$1,"]")),MATCH(vp.data[[#This Row],[SDate]],weather.tbl[Date],0))</f>
        <v>0.3</v>
      </c>
      <c r="R1210" s="2">
        <f ca="1">INDEX(INDIRECT(_xlfn.CONCAT("weather.tbl[",R$1,"]")),MATCH(vp.data[[#This Row],[SDate]],weather.tbl[Date],0))</f>
        <v>-0.3</v>
      </c>
      <c r="S1210" s="2">
        <f ca="1">INDEX(INDIRECT(_xlfn.CONCAT("weather.tbl[",S$1,"]")),MATCH(vp.data[[#This Row],[SDate]],weather.tbl[Date],0))</f>
        <v>-0.7</v>
      </c>
      <c r="T1210" s="2">
        <f ca="1">INDEX(INDIRECT(_xlfn.CONCAT("weather.tbl[",T$1,"]")),MATCH(vp.data[[#This Row],[SDate]],weather.tbl[Date],0))</f>
        <v>-0.6</v>
      </c>
      <c r="U1210" s="2">
        <f ca="1">INDEX(INDIRECT(_xlfn.CONCAT("weather.tbl[",U$1,"]")),MATCH(vp.data[[#This Row],[SDate]],weather.tbl[Date],0))</f>
        <v>-1.3</v>
      </c>
      <c r="V1210" s="2">
        <f t="array" ref="V12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210" t="s">
        <v>48</v>
      </c>
      <c r="X1210">
        <f>IF(OR(vp.data[[#This Row],[Sulf]]="",vp.data[[#This Row],[Dens]]=""),1,0)</f>
        <v>0</v>
      </c>
      <c r="Y1210">
        <f>IF(vp.data[[#This Row],[CrudeType]]="C5+",1,0)</f>
        <v>0</v>
      </c>
      <c r="Z1210">
        <f>IF(AND(vp.data[[#This Row],[CrudeType]]="Crude",vp.data[[#This Row],[Dens]]&lt;=825,vp.data[[#This Row],[Sulf]]&gt;0.5,vp.data[[#This Row],[Unknown]]=0),1,0)</f>
        <v>0</v>
      </c>
      <c r="AA1210">
        <f>IF(AND(vp.data[[#This Row],[CrudeType]]="Crude",vp.data[[#This Row],[Dens]]&lt;=825,vp.data[[#This Row],[Sulf]]&lt;=0.5,vp.data[[#This Row],[Unknown]]=0),1,0)</f>
        <v>0</v>
      </c>
      <c r="AB12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0">
        <f>IF(AND(vp.data[[#This Row],[CrudeType]]="Crude",vp.data[[#This Row],[Dens]]&gt;825,vp.data[[#This Row],[Dens]]&lt;=900,vp.data[[#This Row],[Sulf]]&lt;=0.5,vp.data[[#This Row],[Unknown]]=0),1,0)</f>
        <v>0</v>
      </c>
      <c r="AD1210">
        <f>IF(AND(vp.data[[#This Row],[CrudeType]]="Crude",vp.data[[#This Row],[Dens]]&gt;865,vp.data[[#This Row],[Dens]]&lt;=900,vp.data[[#This Row],[Sulf]]&gt;2,vp.data[[#This Row],[Unknown]]=0),1,0)</f>
        <v>0</v>
      </c>
      <c r="AE1210">
        <f>IF(AND(vp.data[[#This Row],[CrudeType]]="Crude",vp.data[[#This Row],[Dens]]&gt;900,vp.data[[#This Row],[Sulf]]&lt;=0.5,vp.data[[#This Row],[Unknown]]=0),1,0)</f>
        <v>0</v>
      </c>
      <c r="AF1210">
        <f>IF(AND(vp.data[[#This Row],[CrudeType]]="Crude",vp.data[[#This Row],[Dens]]&gt;900,vp.data[[#This Row],[Sulf]]&lt;=0.5,vp.data[[#This Row],[Unknown]]=0),1,0)</f>
        <v>0</v>
      </c>
      <c r="AG1210" t="str">
        <f>INDEX(vp.data[[#Headers],[Unknown]:[Heavy_SW]],MATCH(1,vp.data[[#This Row],[Unknown]:[Heavy_SW]],0))</f>
        <v>Medium_LSB</v>
      </c>
      <c r="AH1210">
        <f>INDEX([3]!crudeBD.lkup[Number],MATCH(vp.data[[#This Row],[Crude_Breakdown]],crudeBD.lkup[Crude Breakdown],0))</f>
        <v>3</v>
      </c>
      <c r="AI1210">
        <f>MONTH(vp.data[[#This Row],[SDate]])</f>
        <v>4</v>
      </c>
      <c r="AJ1210" s="5">
        <f>(vp.data[[#This Row],[VP]]-INDEX(crudeBD.lkup[Mean_VP],MATCH(vp.data[[#This Row],[Crude_Breakdown]],crudeBD.lkup[Crude Breakdown],0)))^2</f>
        <v>130.86619956553474</v>
      </c>
      <c r="AK1210" s="5">
        <f>(vp.data[[#This Row],[Dens]]-INDEX(crudeBD.lkup[Mean_Dens],MATCH(vp.data[[#This Row],[Crude_Breakdown]],crudeBD.lkup[Crude Breakdown],0)))^2</f>
        <v>68.558400000008959</v>
      </c>
      <c r="AL1210" s="5">
        <f>(vp.data[[#This Row],[Sulf]]-INDEX(crudeBD.lkup[Mean_Sulf],MATCH(vp.data[[#This Row],[Crude_Breakdown]],crudeBD.lkup[Crude Breakdown],0)))^2</f>
        <v>2.8524279959622955E-3</v>
      </c>
      <c r="AM1210" s="4">
        <f>IF(AND(vp.data[[#This Row],[SDate]]&gt;=DATE(YEAR(vp.data[[#This Row],[SDate]]),5,1),vp.data[[#This Row],[SDate]]&lt;=DATE(YEAR(vp.data[[#This Row],[SDate]]),9,15)),1,0)</f>
        <v>0</v>
      </c>
      <c r="AN1210" s="4">
        <f>IF(vp.data[[#This Row],[SDate]]&lt;DATE(2016,12,1),0,1)</f>
        <v>1</v>
      </c>
      <c r="AO1210" s="4">
        <f>IFERROR(vp.data[[#This Row],[Sulf]]*vp.data[[#This Row],[Net Dens]],"")</f>
        <v>126985945.85255522</v>
      </c>
      <c r="AP1210">
        <f>IFERROR(vp.data[[#This Row],[Dens]]*vp.data[[#This Row],[VolumeM3]],"")</f>
        <v>95334794.183600008</v>
      </c>
      <c r="AQ1210" s="15">
        <f>IFERROR(vp.data[[#This Row],[VP]]*vp.data[[#This Row],[VolumeM3]],"")</f>
        <v>7741337.4296000004</v>
      </c>
    </row>
    <row r="1211" spans="1:43" x14ac:dyDescent="0.25">
      <c r="A1211">
        <v>1210</v>
      </c>
      <c r="B1211" t="s">
        <v>60</v>
      </c>
      <c r="C1211" t="s">
        <v>60</v>
      </c>
      <c r="D1211" t="s">
        <v>61</v>
      </c>
      <c r="E1211" t="s">
        <v>55</v>
      </c>
      <c r="F1211" s="1">
        <v>42835</v>
      </c>
      <c r="G1211" s="2">
        <v>93</v>
      </c>
      <c r="H1211" s="2">
        <v>1.042</v>
      </c>
      <c r="I1211" s="2">
        <f t="array" ref="I1211">_xlfn.IFNA(IF(vp.data[[#This Row],[Sulf Input]]="",INDEX([1]DATA!$Q$3:$Q$9826,MATCH(1,(vp.data[[#This Row],[Battery]]=[1]DATA!$L$3:$L$9826)*(EOMONTH(vp.data[[#This Row],[SDate]],-1)+1=[1]DATA!$G$3:$G$9826),0)),vp.data[[#This Row],[Sulf Input]]),"")</f>
        <v>1.042</v>
      </c>
      <c r="J1211" s="2">
        <v>10.7</v>
      </c>
      <c r="K1211" s="2">
        <v>6</v>
      </c>
      <c r="L1211" s="2">
        <v>832.5</v>
      </c>
      <c r="M1211" s="2">
        <f t="array" ref="M1211">_xlfn.IFNA(IF(vp.data[[#This Row],[Dens Input]]="",INDEX([1]DATA!$O$3:$O$9826,MATCH(1,(vp.data[[#This Row],[Battery]]=[1]DATA!$L$3:$L$9826)*(EOMONTH(vp.data[[#This Row],[SDate]],-1)+1=[1]DATA!$G$3:$G$9826),0)),vp.data[[#This Row],[Dens Input]]),"")</f>
        <v>832.5</v>
      </c>
      <c r="N1211" s="2">
        <f ca="1">INDEX(INDIRECT(_xlfn.CONCAT("weather.tbl[",N$1,"]")),MATCH(vp.data[[#This Row],[SDate]],weather.tbl[Date],0))</f>
        <v>-0.3</v>
      </c>
      <c r="O1211" s="2">
        <f ca="1">INDEX(INDIRECT(_xlfn.CONCAT("weather.tbl[",O$1,"]")),MATCH(vp.data[[#This Row],[SDate]],weather.tbl[Date],0))</f>
        <v>5.8857142857142852</v>
      </c>
      <c r="P1211" s="2">
        <f ca="1">INDEX(INDIRECT(_xlfn.CONCAT("weather.tbl[",P$1,"]")),MATCH(vp.data[[#This Row],[SDate]],weather.tbl[Date],0))</f>
        <v>0.8</v>
      </c>
      <c r="Q1211" s="2">
        <f ca="1">INDEX(INDIRECT(_xlfn.CONCAT("weather.tbl[",Q$1,"]")),MATCH(vp.data[[#This Row],[SDate]],weather.tbl[Date],0))</f>
        <v>0.3</v>
      </c>
      <c r="R1211" s="2">
        <f ca="1">INDEX(INDIRECT(_xlfn.CONCAT("weather.tbl[",R$1,"]")),MATCH(vp.data[[#This Row],[SDate]],weather.tbl[Date],0))</f>
        <v>-0.3</v>
      </c>
      <c r="S1211" s="2">
        <f ca="1">INDEX(INDIRECT(_xlfn.CONCAT("weather.tbl[",S$1,"]")),MATCH(vp.data[[#This Row],[SDate]],weather.tbl[Date],0))</f>
        <v>-0.7</v>
      </c>
      <c r="T1211" s="2">
        <f ca="1">INDEX(INDIRECT(_xlfn.CONCAT("weather.tbl[",T$1,"]")),MATCH(vp.data[[#This Row],[SDate]],weather.tbl[Date],0))</f>
        <v>-0.6</v>
      </c>
      <c r="U1211" s="2">
        <f ca="1">INDEX(INDIRECT(_xlfn.CONCAT("weather.tbl[",U$1,"]")),MATCH(vp.data[[#This Row],[SDate]],weather.tbl[Date],0))</f>
        <v>-1.3</v>
      </c>
      <c r="V1211" s="2">
        <f t="array" ref="V12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211" t="s">
        <v>48</v>
      </c>
      <c r="X1211">
        <f>IF(OR(vp.data[[#This Row],[Sulf]]="",vp.data[[#This Row],[Dens]]=""),1,0)</f>
        <v>0</v>
      </c>
      <c r="Y1211">
        <f>IF(vp.data[[#This Row],[CrudeType]]="C5+",1,0)</f>
        <v>0</v>
      </c>
      <c r="Z1211">
        <f>IF(AND(vp.data[[#This Row],[CrudeType]]="Crude",vp.data[[#This Row],[Dens]]&lt;=825,vp.data[[#This Row],[Sulf]]&gt;0.5,vp.data[[#This Row],[Unknown]]=0),1,0)</f>
        <v>0</v>
      </c>
      <c r="AA1211">
        <f>IF(AND(vp.data[[#This Row],[CrudeType]]="Crude",vp.data[[#This Row],[Dens]]&lt;=825,vp.data[[#This Row],[Sulf]]&lt;=0.5,vp.data[[#This Row],[Unknown]]=0),1,0)</f>
        <v>0</v>
      </c>
      <c r="AB12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1">
        <f>IF(AND(vp.data[[#This Row],[CrudeType]]="Crude",vp.data[[#This Row],[Dens]]&gt;825,vp.data[[#This Row],[Dens]]&lt;=900,vp.data[[#This Row],[Sulf]]&lt;=0.5,vp.data[[#This Row],[Unknown]]=0),1,0)</f>
        <v>0</v>
      </c>
      <c r="AD1211">
        <f>IF(AND(vp.data[[#This Row],[CrudeType]]="Crude",vp.data[[#This Row],[Dens]]&gt;865,vp.data[[#This Row],[Dens]]&lt;=900,vp.data[[#This Row],[Sulf]]&gt;2,vp.data[[#This Row],[Unknown]]=0),1,0)</f>
        <v>0</v>
      </c>
      <c r="AE1211">
        <f>IF(AND(vp.data[[#This Row],[CrudeType]]="Crude",vp.data[[#This Row],[Dens]]&gt;900,vp.data[[#This Row],[Sulf]]&lt;=0.5,vp.data[[#This Row],[Unknown]]=0),1,0)</f>
        <v>0</v>
      </c>
      <c r="AF1211">
        <f>IF(AND(vp.data[[#This Row],[CrudeType]]="Crude",vp.data[[#This Row],[Dens]]&gt;900,vp.data[[#This Row],[Sulf]]&lt;=0.5,vp.data[[#This Row],[Unknown]]=0),1,0)</f>
        <v>0</v>
      </c>
      <c r="AG1211" t="str">
        <f>INDEX(vp.data[[#Headers],[Unknown]:[Heavy_SW]],MATCH(1,vp.data[[#This Row],[Unknown]:[Heavy_SW]],0))</f>
        <v>Medium_LSB</v>
      </c>
      <c r="AH1211">
        <f>INDEX([3]!crudeBD.lkup[Number],MATCH(vp.data[[#This Row],[Crude_Breakdown]],crudeBD.lkup[Crude Breakdown],0))</f>
        <v>3</v>
      </c>
      <c r="AI1211">
        <f>MONTH(vp.data[[#This Row],[SDate]])</f>
        <v>4</v>
      </c>
      <c r="AJ1211" s="5">
        <f>(vp.data[[#This Row],[VP]]-INDEX(crudeBD.lkup[Mean_VP],MATCH(vp.data[[#This Row],[Crude_Breakdown]],crudeBD.lkup[Crude Breakdown],0)))^2</f>
        <v>152.7775957919533</v>
      </c>
      <c r="AK1211" s="5">
        <f>(vp.data[[#This Row],[Dens]]-INDEX(crudeBD.lkup[Mean_Dens],MATCH(vp.data[[#This Row],[Crude_Breakdown]],crudeBD.lkup[Crude Breakdown],0)))^2</f>
        <v>130.41639999998867</v>
      </c>
      <c r="AL1211" s="5">
        <f>(vp.data[[#This Row],[Sulf]]-INDEX(crudeBD.lkup[Mean_Sulf],MATCH(vp.data[[#This Row],[Crude_Breakdown]],crudeBD.lkup[Crude Breakdown],0)))^2</f>
        <v>0.11792914147305211</v>
      </c>
      <c r="AM1211" s="4">
        <f>IF(AND(vp.data[[#This Row],[SDate]]&gt;=DATE(YEAR(vp.data[[#This Row],[SDate]]),5,1),vp.data[[#This Row],[SDate]]&lt;=DATE(YEAR(vp.data[[#This Row],[SDate]]),9,15)),1,0)</f>
        <v>0</v>
      </c>
      <c r="AN1211" s="4">
        <f>IF(vp.data[[#This Row],[SDate]]&lt;DATE(2016,12,1),0,1)</f>
        <v>1</v>
      </c>
      <c r="AO1211" s="4">
        <f>IFERROR(vp.data[[#This Row],[Sulf]]*vp.data[[#This Row],[Net Dens]],"")</f>
        <v>97042475.048670009</v>
      </c>
      <c r="AP1211">
        <f>IFERROR(vp.data[[#This Row],[Dens]]*vp.data[[#This Row],[VolumeM3]],"")</f>
        <v>93130974.135000005</v>
      </c>
      <c r="AQ1211" s="15">
        <f>IFERROR(vp.data[[#This Row],[VP]]*vp.data[[#This Row],[VolumeM3]],"")</f>
        <v>10403820.534</v>
      </c>
    </row>
    <row r="1212" spans="1:43" x14ac:dyDescent="0.25">
      <c r="A1212">
        <v>1211</v>
      </c>
      <c r="B1212" t="s">
        <v>49</v>
      </c>
      <c r="C1212" t="s">
        <v>49</v>
      </c>
      <c r="D1212" t="s">
        <v>81</v>
      </c>
      <c r="F1212" s="1">
        <v>42836</v>
      </c>
      <c r="G1212" s="2">
        <v>83.9</v>
      </c>
      <c r="H1212" s="2">
        <v>0.55700000000000005</v>
      </c>
      <c r="I1212" s="2">
        <f t="array" ref="I1212">_xlfn.IFNA(IF(vp.data[[#This Row],[Sulf Input]]="",INDEX([1]DATA!$Q$3:$Q$9826,MATCH(1,(vp.data[[#This Row],[Battery]]=[1]DATA!$L$3:$L$9826)*(EOMONTH(vp.data[[#This Row],[SDate]],-1)+1=[1]DATA!$G$3:$G$9826),0)),vp.data[[#This Row],[Sulf Input]]),"")</f>
        <v>0.55700000000000005</v>
      </c>
      <c r="J1212" s="2">
        <v>6.4</v>
      </c>
      <c r="K1212" s="2">
        <v>8</v>
      </c>
      <c r="L1212" s="2">
        <v>822.4</v>
      </c>
      <c r="M1212" s="2">
        <f t="array" ref="M1212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212" s="2">
        <f ca="1">INDEX(INDIRECT(_xlfn.CONCAT("weather.tbl[",N$1,"]")),MATCH(vp.data[[#This Row],[SDate]],weather.tbl[Date],0))</f>
        <v>5.2833333333333341</v>
      </c>
      <c r="O1212" s="2">
        <f ca="1">INDEX(INDIRECT(_xlfn.CONCAT("weather.tbl[",O$1,"]")),MATCH(vp.data[[#This Row],[SDate]],weather.tbl[Date],0))</f>
        <v>5.9023809523809518</v>
      </c>
      <c r="P1212" s="2">
        <f ca="1">INDEX(INDIRECT(_xlfn.CONCAT("weather.tbl[",P$1,"]")),MATCH(vp.data[[#This Row],[SDate]],weather.tbl[Date],0))</f>
        <v>6.1</v>
      </c>
      <c r="Q1212" s="2">
        <f ca="1">INDEX(INDIRECT(_xlfn.CONCAT("weather.tbl[",Q$1,"]")),MATCH(vp.data[[#This Row],[SDate]],weather.tbl[Date],0))</f>
        <v>5.5</v>
      </c>
      <c r="R1212" s="2">
        <f ca="1">INDEX(INDIRECT(_xlfn.CONCAT("weather.tbl[",R$1,"]")),MATCH(vp.data[[#This Row],[SDate]],weather.tbl[Date],0))</f>
        <v>4.5</v>
      </c>
      <c r="S1212" s="2">
        <f ca="1">INDEX(INDIRECT(_xlfn.CONCAT("weather.tbl[",S$1,"]")),MATCH(vp.data[[#This Row],[SDate]],weather.tbl[Date],0))</f>
        <v>5.5</v>
      </c>
      <c r="T1212" s="2">
        <f ca="1">INDEX(INDIRECT(_xlfn.CONCAT("weather.tbl[",T$1,"]")),MATCH(vp.data[[#This Row],[SDate]],weather.tbl[Date],0))</f>
        <v>5.0999999999999996</v>
      </c>
      <c r="U1212" s="2">
        <f ca="1">INDEX(INDIRECT(_xlfn.CONCAT("weather.tbl[",U$1,"]")),MATCH(vp.data[[#This Row],[SDate]],weather.tbl[Date],0))</f>
        <v>5</v>
      </c>
      <c r="V1212" s="2">
        <f t="array" ref="V12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19345.195</v>
      </c>
      <c r="W1212" t="s">
        <v>48</v>
      </c>
      <c r="X1212">
        <f>IF(OR(vp.data[[#This Row],[Sulf]]="",vp.data[[#This Row],[Dens]]=""),1,0)</f>
        <v>0</v>
      </c>
      <c r="Y1212">
        <f>IF(vp.data[[#This Row],[CrudeType]]="C5+",1,0)</f>
        <v>0</v>
      </c>
      <c r="Z1212">
        <f>IF(AND(vp.data[[#This Row],[CrudeType]]="Crude",vp.data[[#This Row],[Dens]]&lt;=825,vp.data[[#This Row],[Sulf]]&gt;0.5,vp.data[[#This Row],[Unknown]]=0),1,0)</f>
        <v>1</v>
      </c>
      <c r="AA1212">
        <f>IF(AND(vp.data[[#This Row],[CrudeType]]="Crude",vp.data[[#This Row],[Dens]]&lt;=825,vp.data[[#This Row],[Sulf]]&lt;=0.5,vp.data[[#This Row],[Unknown]]=0),1,0)</f>
        <v>0</v>
      </c>
      <c r="AB12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12">
        <f>IF(AND(vp.data[[#This Row],[CrudeType]]="Crude",vp.data[[#This Row],[Dens]]&gt;825,vp.data[[#This Row],[Dens]]&lt;=900,vp.data[[#This Row],[Sulf]]&lt;=0.5,vp.data[[#This Row],[Unknown]]=0),1,0)</f>
        <v>0</v>
      </c>
      <c r="AD1212">
        <f>IF(AND(vp.data[[#This Row],[CrudeType]]="Crude",vp.data[[#This Row],[Dens]]&gt;865,vp.data[[#This Row],[Dens]]&lt;=900,vp.data[[#This Row],[Sulf]]&gt;2,vp.data[[#This Row],[Unknown]]=0),1,0)</f>
        <v>0</v>
      </c>
      <c r="AE1212">
        <f>IF(AND(vp.data[[#This Row],[CrudeType]]="Crude",vp.data[[#This Row],[Dens]]&gt;900,vp.data[[#This Row],[Sulf]]&lt;=0.5,vp.data[[#This Row],[Unknown]]=0),1,0)</f>
        <v>0</v>
      </c>
      <c r="AF1212">
        <f>IF(AND(vp.data[[#This Row],[CrudeType]]="Crude",vp.data[[#This Row],[Dens]]&gt;900,vp.data[[#This Row],[Sulf]]&lt;=0.5,vp.data[[#This Row],[Unknown]]=0),1,0)</f>
        <v>0</v>
      </c>
      <c r="AG1212" t="str">
        <f>INDEX(vp.data[[#Headers],[Unknown]:[Heavy_SW]],MATCH(1,vp.data[[#This Row],[Unknown]:[Heavy_SW]],0))</f>
        <v>Light_LSB</v>
      </c>
      <c r="AH1212">
        <f>INDEX([3]!crudeBD.lkup[Number],MATCH(vp.data[[#This Row],[Crude_Breakdown]],crudeBD.lkup[Crude Breakdown],0))</f>
        <v>1</v>
      </c>
      <c r="AI1212">
        <f>MONTH(vp.data[[#This Row],[SDate]])</f>
        <v>4</v>
      </c>
      <c r="AJ1212" s="5">
        <f>(vp.data[[#This Row],[VP]]-INDEX(crudeBD.lkup[Mean_VP],MATCH(vp.data[[#This Row],[Crude_Breakdown]],crudeBD.lkup[Crude Breakdown],0)))^2</f>
        <v>58.464153725157153</v>
      </c>
      <c r="AK1212" s="5">
        <f>(vp.data[[#This Row],[Dens]]-INDEX(crudeBD.lkup[Mean_Dens],MATCH(vp.data[[#This Row],[Crude_Breakdown]],crudeBD.lkup[Crude Breakdown],0)))^2</f>
        <v>15.07947710112294</v>
      </c>
      <c r="AL1212" s="5">
        <f>(vp.data[[#This Row],[Sulf]]-INDEX(crudeBD.lkup[Mean_Sulf],MATCH(vp.data[[#This Row],[Crude_Breakdown]],crudeBD.lkup[Crude Breakdown],0)))^2</f>
        <v>0.13393489608899375</v>
      </c>
      <c r="AM1212" s="4">
        <f>IF(AND(vp.data[[#This Row],[SDate]]&gt;=DATE(YEAR(vp.data[[#This Row],[SDate]]),5,1),vp.data[[#This Row],[SDate]]&lt;=DATE(YEAR(vp.data[[#This Row],[SDate]]),9,15)),1,0)</f>
        <v>0</v>
      </c>
      <c r="AN1212" s="4">
        <f>IF(vp.data[[#This Row],[SDate]]&lt;DATE(2016,12,1),0,1)</f>
        <v>1</v>
      </c>
      <c r="AO1212" s="4">
        <f>IFERROR(vp.data[[#This Row],[Sulf]]*vp.data[[#This Row],[Net Dens]],"")</f>
        <v>8861585.0209759995</v>
      </c>
      <c r="AP1212">
        <f>IFERROR(vp.data[[#This Row],[Dens]]*vp.data[[#This Row],[VolumeM3]],"")</f>
        <v>15909488.367999999</v>
      </c>
      <c r="AQ1212" s="15">
        <f>IFERROR(vp.data[[#This Row],[VP]]*vp.data[[#This Row],[VolumeM3]],"")</f>
        <v>1623061.8605000002</v>
      </c>
    </row>
    <row r="1213" spans="1:43" x14ac:dyDescent="0.25">
      <c r="A1213">
        <v>1212</v>
      </c>
      <c r="B1213" t="s">
        <v>49</v>
      </c>
      <c r="C1213" t="s">
        <v>49</v>
      </c>
      <c r="D1213" t="s">
        <v>70</v>
      </c>
      <c r="F1213" s="1">
        <v>42836</v>
      </c>
      <c r="G1213" s="2">
        <v>69</v>
      </c>
      <c r="H1213" s="2">
        <v>0.92500000000000004</v>
      </c>
      <c r="I1213" s="2">
        <f t="array" ref="I1213">_xlfn.IFNA(IF(vp.data[[#This Row],[Sulf Input]]="",INDEX([1]DATA!$Q$3:$Q$9826,MATCH(1,(vp.data[[#This Row],[Battery]]=[1]DATA!$L$3:$L$9826)*(EOMONTH(vp.data[[#This Row],[SDate]],-1)+1=[1]DATA!$G$3:$G$9826),0)),vp.data[[#This Row],[Sulf Input]]),"")</f>
        <v>0.92500000000000004</v>
      </c>
      <c r="J1213" s="2">
        <v>22.5</v>
      </c>
      <c r="K1213" s="2">
        <v>8</v>
      </c>
      <c r="L1213" s="2">
        <v>835.4</v>
      </c>
      <c r="M1213" s="2">
        <f t="array" ref="M1213">_xlfn.IFNA(IF(vp.data[[#This Row],[Dens Input]]="",INDEX([1]DATA!$O$3:$O$9826,MATCH(1,(vp.data[[#This Row],[Battery]]=[1]DATA!$L$3:$L$9826)*(EOMONTH(vp.data[[#This Row],[SDate]],-1)+1=[1]DATA!$G$3:$G$9826),0)),vp.data[[#This Row],[Dens Input]]),"")</f>
        <v>835.4</v>
      </c>
      <c r="N1213" s="2">
        <f ca="1">INDEX(INDIRECT(_xlfn.CONCAT("weather.tbl[",N$1,"]")),MATCH(vp.data[[#This Row],[SDate]],weather.tbl[Date],0))</f>
        <v>5.2833333333333341</v>
      </c>
      <c r="O1213" s="2">
        <f ca="1">INDEX(INDIRECT(_xlfn.CONCAT("weather.tbl[",O$1,"]")),MATCH(vp.data[[#This Row],[SDate]],weather.tbl[Date],0))</f>
        <v>5.9023809523809518</v>
      </c>
      <c r="P1213" s="2">
        <f ca="1">INDEX(INDIRECT(_xlfn.CONCAT("weather.tbl[",P$1,"]")),MATCH(vp.data[[#This Row],[SDate]],weather.tbl[Date],0))</f>
        <v>6.1</v>
      </c>
      <c r="Q1213" s="2">
        <f ca="1">INDEX(INDIRECT(_xlfn.CONCAT("weather.tbl[",Q$1,"]")),MATCH(vp.data[[#This Row],[SDate]],weather.tbl[Date],0))</f>
        <v>5.5</v>
      </c>
      <c r="R1213" s="2">
        <f ca="1">INDEX(INDIRECT(_xlfn.CONCAT("weather.tbl[",R$1,"]")),MATCH(vp.data[[#This Row],[SDate]],weather.tbl[Date],0))</f>
        <v>4.5</v>
      </c>
      <c r="S1213" s="2">
        <f ca="1">INDEX(INDIRECT(_xlfn.CONCAT("weather.tbl[",S$1,"]")),MATCH(vp.data[[#This Row],[SDate]],weather.tbl[Date],0))</f>
        <v>5.5</v>
      </c>
      <c r="T1213" s="2">
        <f ca="1">INDEX(INDIRECT(_xlfn.CONCAT("weather.tbl[",T$1,"]")),MATCH(vp.data[[#This Row],[SDate]],weather.tbl[Date],0))</f>
        <v>5.0999999999999996</v>
      </c>
      <c r="U1213" s="2">
        <f ca="1">INDEX(INDIRECT(_xlfn.CONCAT("weather.tbl[",U$1,"]")),MATCH(vp.data[[#This Row],[SDate]],weather.tbl[Date],0))</f>
        <v>5</v>
      </c>
      <c r="V1213" s="2">
        <f t="array" ref="V12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3029.3780000000002</v>
      </c>
      <c r="W1213" t="s">
        <v>48</v>
      </c>
      <c r="X1213">
        <f>IF(OR(vp.data[[#This Row],[Sulf]]="",vp.data[[#This Row],[Dens]]=""),1,0)</f>
        <v>0</v>
      </c>
      <c r="Y1213">
        <f>IF(vp.data[[#This Row],[CrudeType]]="C5+",1,0)</f>
        <v>0</v>
      </c>
      <c r="Z1213">
        <f>IF(AND(vp.data[[#This Row],[CrudeType]]="Crude",vp.data[[#This Row],[Dens]]&lt;=825,vp.data[[#This Row],[Sulf]]&gt;0.5,vp.data[[#This Row],[Unknown]]=0),1,0)</f>
        <v>0</v>
      </c>
      <c r="AA1213">
        <f>IF(AND(vp.data[[#This Row],[CrudeType]]="Crude",vp.data[[#This Row],[Dens]]&lt;=825,vp.data[[#This Row],[Sulf]]&lt;=0.5,vp.data[[#This Row],[Unknown]]=0),1,0)</f>
        <v>0</v>
      </c>
      <c r="AB12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3">
        <f>IF(AND(vp.data[[#This Row],[CrudeType]]="Crude",vp.data[[#This Row],[Dens]]&gt;825,vp.data[[#This Row],[Dens]]&lt;=900,vp.data[[#This Row],[Sulf]]&lt;=0.5,vp.data[[#This Row],[Unknown]]=0),1,0)</f>
        <v>0</v>
      </c>
      <c r="AD1213">
        <f>IF(AND(vp.data[[#This Row],[CrudeType]]="Crude",vp.data[[#This Row],[Dens]]&gt;865,vp.data[[#This Row],[Dens]]&lt;=900,vp.data[[#This Row],[Sulf]]&gt;2,vp.data[[#This Row],[Unknown]]=0),1,0)</f>
        <v>0</v>
      </c>
      <c r="AE1213">
        <f>IF(AND(vp.data[[#This Row],[CrudeType]]="Crude",vp.data[[#This Row],[Dens]]&gt;900,vp.data[[#This Row],[Sulf]]&lt;=0.5,vp.data[[#This Row],[Unknown]]=0),1,0)</f>
        <v>0</v>
      </c>
      <c r="AF1213">
        <f>IF(AND(vp.data[[#This Row],[CrudeType]]="Crude",vp.data[[#This Row],[Dens]]&gt;900,vp.data[[#This Row],[Sulf]]&lt;=0.5,vp.data[[#This Row],[Unknown]]=0),1,0)</f>
        <v>0</v>
      </c>
      <c r="AG1213" t="str">
        <f>INDEX(vp.data[[#Headers],[Unknown]:[Heavy_SW]],MATCH(1,vp.data[[#This Row],[Unknown]:[Heavy_SW]],0))</f>
        <v>Medium_LSB</v>
      </c>
      <c r="AH1213">
        <f>INDEX([3]!crudeBD.lkup[Number],MATCH(vp.data[[#This Row],[Crude_Breakdown]],crudeBD.lkup[Crude Breakdown],0))</f>
        <v>3</v>
      </c>
      <c r="AI1213">
        <f>MONTH(vp.data[[#This Row],[SDate]])</f>
        <v>4</v>
      </c>
      <c r="AJ1213" s="5">
        <f>(vp.data[[#This Row],[VP]]-INDEX(crudeBD.lkup[Mean_VP],MATCH(vp.data[[#This Row],[Crude_Breakdown]],crudeBD.lkup[Crude Breakdown],0)))^2</f>
        <v>135.48207018548086</v>
      </c>
      <c r="AK1213" s="5">
        <f>(vp.data[[#This Row],[Dens]]-INDEX(crudeBD.lkup[Mean_Dens],MATCH(vp.data[[#This Row],[Crude_Breakdown]],crudeBD.lkup[Crude Breakdown],0)))^2</f>
        <v>72.590399999991945</v>
      </c>
      <c r="AL1213" s="5">
        <f>(vp.data[[#This Row],[Sulf]]-INDEX(crudeBD.lkup[Mean_Sulf],MATCH(vp.data[[#This Row],[Crude_Breakdown]],crudeBD.lkup[Crude Breakdown],0)))^2</f>
        <v>0.21197564311725731</v>
      </c>
      <c r="AM1213" s="4">
        <f>IF(AND(vp.data[[#This Row],[SDate]]&gt;=DATE(YEAR(vp.data[[#This Row],[SDate]]),5,1),vp.data[[#This Row],[SDate]]&lt;=DATE(YEAR(vp.data[[#This Row],[SDate]]),9,15)),1,0)</f>
        <v>0</v>
      </c>
      <c r="AN1213" s="4">
        <f>IF(vp.data[[#This Row],[SDate]]&lt;DATE(2016,12,1),0,1)</f>
        <v>1</v>
      </c>
      <c r="AO1213" s="4">
        <f>IFERROR(vp.data[[#This Row],[Sulf]]*vp.data[[#This Row],[Net Dens]],"")</f>
        <v>2340936.7026100005</v>
      </c>
      <c r="AP1213">
        <f>IFERROR(vp.data[[#This Row],[Dens]]*vp.data[[#This Row],[VolumeM3]],"")</f>
        <v>2530742.3812000002</v>
      </c>
      <c r="AQ1213" s="15">
        <f>IFERROR(vp.data[[#This Row],[VP]]*vp.data[[#This Row],[VolumeM3]],"")</f>
        <v>209027.08200000002</v>
      </c>
    </row>
    <row r="1214" spans="1:43" x14ac:dyDescent="0.25">
      <c r="A1214">
        <v>1213</v>
      </c>
      <c r="B1214" t="s">
        <v>49</v>
      </c>
      <c r="C1214" t="s">
        <v>49</v>
      </c>
      <c r="D1214" t="s">
        <v>88</v>
      </c>
      <c r="F1214" s="1">
        <v>42836</v>
      </c>
      <c r="G1214" s="2">
        <v>92.3</v>
      </c>
      <c r="H1214" s="2">
        <v>1.4390000000000001</v>
      </c>
      <c r="I1214" s="2">
        <f t="array" ref="I1214">_xlfn.IFNA(IF(vp.data[[#This Row],[Sulf Input]]="",INDEX([1]DATA!$Q$3:$Q$9826,MATCH(1,(vp.data[[#This Row],[Battery]]=[1]DATA!$L$3:$L$9826)*(EOMONTH(vp.data[[#This Row],[SDate]],-1)+1=[1]DATA!$G$3:$G$9826),0)),vp.data[[#This Row],[Sulf Input]]),"")</f>
        <v>1.4390000000000001</v>
      </c>
      <c r="J1214" s="2">
        <v>11.6</v>
      </c>
      <c r="K1214" s="2">
        <v>8</v>
      </c>
      <c r="L1214" s="2">
        <v>804.5</v>
      </c>
      <c r="M1214" s="2">
        <f t="array" ref="M1214">_xlfn.IFNA(IF(vp.data[[#This Row],[Dens Input]]="",INDEX([1]DATA!$O$3:$O$9826,MATCH(1,(vp.data[[#This Row],[Battery]]=[1]DATA!$L$3:$L$9826)*(EOMONTH(vp.data[[#This Row],[SDate]],-1)+1=[1]DATA!$G$3:$G$9826),0)),vp.data[[#This Row],[Dens Input]]),"")</f>
        <v>804.5</v>
      </c>
      <c r="N1214" s="2">
        <f ca="1">INDEX(INDIRECT(_xlfn.CONCAT("weather.tbl[",N$1,"]")),MATCH(vp.data[[#This Row],[SDate]],weather.tbl[Date],0))</f>
        <v>5.2833333333333341</v>
      </c>
      <c r="O1214" s="2">
        <f ca="1">INDEX(INDIRECT(_xlfn.CONCAT("weather.tbl[",O$1,"]")),MATCH(vp.data[[#This Row],[SDate]],weather.tbl[Date],0))</f>
        <v>5.9023809523809518</v>
      </c>
      <c r="P1214" s="2">
        <f ca="1">INDEX(INDIRECT(_xlfn.CONCAT("weather.tbl[",P$1,"]")),MATCH(vp.data[[#This Row],[SDate]],weather.tbl[Date],0))</f>
        <v>6.1</v>
      </c>
      <c r="Q1214" s="2">
        <f ca="1">INDEX(INDIRECT(_xlfn.CONCAT("weather.tbl[",Q$1,"]")),MATCH(vp.data[[#This Row],[SDate]],weather.tbl[Date],0))</f>
        <v>5.5</v>
      </c>
      <c r="R1214" s="2">
        <f ca="1">INDEX(INDIRECT(_xlfn.CONCAT("weather.tbl[",R$1,"]")),MATCH(vp.data[[#This Row],[SDate]],weather.tbl[Date],0))</f>
        <v>4.5</v>
      </c>
      <c r="S1214" s="2">
        <f ca="1">INDEX(INDIRECT(_xlfn.CONCAT("weather.tbl[",S$1,"]")),MATCH(vp.data[[#This Row],[SDate]],weather.tbl[Date],0))</f>
        <v>5.5</v>
      </c>
      <c r="T1214" s="2">
        <f ca="1">INDEX(INDIRECT(_xlfn.CONCAT("weather.tbl[",T$1,"]")),MATCH(vp.data[[#This Row],[SDate]],weather.tbl[Date],0))</f>
        <v>5.0999999999999996</v>
      </c>
      <c r="U1214" s="2">
        <f ca="1">INDEX(INDIRECT(_xlfn.CONCAT("weather.tbl[",U$1,"]")),MATCH(vp.data[[#This Row],[SDate]],weather.tbl[Date],0))</f>
        <v>5</v>
      </c>
      <c r="V1214" s="2">
        <f t="array" ref="V12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4145.7510000000002</v>
      </c>
      <c r="W1214" t="s">
        <v>48</v>
      </c>
      <c r="X1214">
        <f>IF(OR(vp.data[[#This Row],[Sulf]]="",vp.data[[#This Row],[Dens]]=""),1,0)</f>
        <v>0</v>
      </c>
      <c r="Y1214">
        <f>IF(vp.data[[#This Row],[CrudeType]]="C5+",1,0)</f>
        <v>0</v>
      </c>
      <c r="Z1214">
        <f>IF(AND(vp.data[[#This Row],[CrudeType]]="Crude",vp.data[[#This Row],[Dens]]&lt;=825,vp.data[[#This Row],[Sulf]]&gt;0.5,vp.data[[#This Row],[Unknown]]=0),1,0)</f>
        <v>1</v>
      </c>
      <c r="AA1214">
        <f>IF(AND(vp.data[[#This Row],[CrudeType]]="Crude",vp.data[[#This Row],[Dens]]&lt;=825,vp.data[[#This Row],[Sulf]]&lt;=0.5,vp.data[[#This Row],[Unknown]]=0),1,0)</f>
        <v>0</v>
      </c>
      <c r="AB12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14">
        <f>IF(AND(vp.data[[#This Row],[CrudeType]]="Crude",vp.data[[#This Row],[Dens]]&gt;825,vp.data[[#This Row],[Dens]]&lt;=900,vp.data[[#This Row],[Sulf]]&lt;=0.5,vp.data[[#This Row],[Unknown]]=0),1,0)</f>
        <v>0</v>
      </c>
      <c r="AD1214">
        <f>IF(AND(vp.data[[#This Row],[CrudeType]]="Crude",vp.data[[#This Row],[Dens]]&gt;865,vp.data[[#This Row],[Dens]]&lt;=900,vp.data[[#This Row],[Sulf]]&gt;2,vp.data[[#This Row],[Unknown]]=0),1,0)</f>
        <v>0</v>
      </c>
      <c r="AE1214">
        <f>IF(AND(vp.data[[#This Row],[CrudeType]]="Crude",vp.data[[#This Row],[Dens]]&gt;900,vp.data[[#This Row],[Sulf]]&lt;=0.5,vp.data[[#This Row],[Unknown]]=0),1,0)</f>
        <v>0</v>
      </c>
      <c r="AF1214">
        <f>IF(AND(vp.data[[#This Row],[CrudeType]]="Crude",vp.data[[#This Row],[Dens]]&gt;900,vp.data[[#This Row],[Sulf]]&lt;=0.5,vp.data[[#This Row],[Unknown]]=0),1,0)</f>
        <v>0</v>
      </c>
      <c r="AG1214" t="str">
        <f>INDEX(vp.data[[#Headers],[Unknown]:[Heavy_SW]],MATCH(1,vp.data[[#This Row],[Unknown]:[Heavy_SW]],0))</f>
        <v>Light_LSB</v>
      </c>
      <c r="AH1214">
        <f>INDEX([3]!crudeBD.lkup[Number],MATCH(vp.data[[#This Row],[Crude_Breakdown]],crudeBD.lkup[Crude Breakdown],0))</f>
        <v>1</v>
      </c>
      <c r="AI1214">
        <f>MONTH(vp.data[[#This Row],[SDate]])</f>
        <v>4</v>
      </c>
      <c r="AJ1214" s="5">
        <f>(vp.data[[#This Row],[VP]]-INDEX(crudeBD.lkup[Mean_VP],MATCH(vp.data[[#This Row],[Crude_Breakdown]],crudeBD.lkup[Crude Breakdown],0)))^2</f>
        <v>0.56823619938351777</v>
      </c>
      <c r="AK1214" s="5">
        <f>(vp.data[[#This Row],[Dens]]-INDEX(crudeBD.lkup[Mean_Dens],MATCH(vp.data[[#This Row],[Crude_Breakdown]],crudeBD.lkup[Crude Breakdown],0)))^2</f>
        <v>196.46983448942802</v>
      </c>
      <c r="AL1214" s="5">
        <f>(vp.data[[#This Row],[Sulf]]-INDEX(crudeBD.lkup[Mean_Sulf],MATCH(vp.data[[#This Row],[Crude_Breakdown]],crudeBD.lkup[Crude Breakdown],0)))^2</f>
        <v>0.26628575505806645</v>
      </c>
      <c r="AM1214" s="4">
        <f>IF(AND(vp.data[[#This Row],[SDate]]&gt;=DATE(YEAR(vp.data[[#This Row],[SDate]]),5,1),vp.data[[#This Row],[SDate]]&lt;=DATE(YEAR(vp.data[[#This Row],[SDate]]),9,15)),1,0)</f>
        <v>0</v>
      </c>
      <c r="AN1214" s="4">
        <f>IF(vp.data[[#This Row],[SDate]]&lt;DATE(2016,12,1),0,1)</f>
        <v>1</v>
      </c>
      <c r="AO1214" s="4">
        <f>IFERROR(vp.data[[#This Row],[Sulf]]*vp.data[[#This Row],[Net Dens]],"")</f>
        <v>4799434.3618005002</v>
      </c>
      <c r="AP1214">
        <f>IFERROR(vp.data[[#This Row],[Dens]]*vp.data[[#This Row],[VolumeM3]],"")</f>
        <v>3335256.6795000001</v>
      </c>
      <c r="AQ1214" s="15">
        <f>IFERROR(vp.data[[#This Row],[VP]]*vp.data[[#This Row],[VolumeM3]],"")</f>
        <v>382652.8173</v>
      </c>
    </row>
    <row r="1215" spans="1:43" x14ac:dyDescent="0.25">
      <c r="A1215">
        <v>1214</v>
      </c>
      <c r="B1215" t="s">
        <v>96</v>
      </c>
      <c r="C1215" t="s">
        <v>96</v>
      </c>
      <c r="D1215" t="s">
        <v>97</v>
      </c>
      <c r="F1215" s="1">
        <v>42836</v>
      </c>
      <c r="G1215" s="2">
        <v>74.5</v>
      </c>
      <c r="H1215" s="2"/>
      <c r="I1215" s="2">
        <f t="array" ref="I1215">_xlfn.IFNA(IF(vp.data[[#This Row],[Sulf Input]]="",INDEX([1]DATA!$Q$3:$Q$9826,MATCH(1,(vp.data[[#This Row],[Battery]]=[1]DATA!$L$3:$L$9826)*(EOMONTH(vp.data[[#This Row],[SDate]],-1)+1=[1]DATA!$G$3:$G$9826),0)),vp.data[[#This Row],[Sulf Input]]),"")</f>
        <v>0.51</v>
      </c>
      <c r="J1215" s="2">
        <v>35.4</v>
      </c>
      <c r="K1215" s="2">
        <v>8</v>
      </c>
      <c r="L1215" s="2">
        <v>822.4</v>
      </c>
      <c r="M1215" s="2">
        <f t="array" ref="M1215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215" s="2">
        <f ca="1">INDEX(INDIRECT(_xlfn.CONCAT("weather.tbl[",N$1,"]")),MATCH(vp.data[[#This Row],[SDate]],weather.tbl[Date],0))</f>
        <v>5.2833333333333341</v>
      </c>
      <c r="O1215" s="2">
        <f ca="1">INDEX(INDIRECT(_xlfn.CONCAT("weather.tbl[",O$1,"]")),MATCH(vp.data[[#This Row],[SDate]],weather.tbl[Date],0))</f>
        <v>5.9023809523809518</v>
      </c>
      <c r="P1215" s="2">
        <f ca="1">INDEX(INDIRECT(_xlfn.CONCAT("weather.tbl[",P$1,"]")),MATCH(vp.data[[#This Row],[SDate]],weather.tbl[Date],0))</f>
        <v>6.1</v>
      </c>
      <c r="Q1215" s="2">
        <f ca="1">INDEX(INDIRECT(_xlfn.CONCAT("weather.tbl[",Q$1,"]")),MATCH(vp.data[[#This Row],[SDate]],weather.tbl[Date],0))</f>
        <v>5.5</v>
      </c>
      <c r="R1215" s="2">
        <f ca="1">INDEX(INDIRECT(_xlfn.CONCAT("weather.tbl[",R$1,"]")),MATCH(vp.data[[#This Row],[SDate]],weather.tbl[Date],0))</f>
        <v>4.5</v>
      </c>
      <c r="S1215" s="2">
        <f ca="1">INDEX(INDIRECT(_xlfn.CONCAT("weather.tbl[",S$1,"]")),MATCH(vp.data[[#This Row],[SDate]],weather.tbl[Date],0))</f>
        <v>5.5</v>
      </c>
      <c r="T1215" s="2">
        <f ca="1">INDEX(INDIRECT(_xlfn.CONCAT("weather.tbl[",T$1,"]")),MATCH(vp.data[[#This Row],[SDate]],weather.tbl[Date],0))</f>
        <v>5.0999999999999996</v>
      </c>
      <c r="U1215" s="2">
        <f ca="1">INDEX(INDIRECT(_xlfn.CONCAT("weather.tbl[",U$1,"]")),MATCH(vp.data[[#This Row],[SDate]],weather.tbl[Date],0))</f>
        <v>5</v>
      </c>
      <c r="V1215" s="2">
        <f t="array" ref="V12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6210.3829999999998</v>
      </c>
      <c r="W1215" t="s">
        <v>48</v>
      </c>
      <c r="X1215">
        <f>IF(OR(vp.data[[#This Row],[Sulf]]="",vp.data[[#This Row],[Dens]]=""),1,0)</f>
        <v>0</v>
      </c>
      <c r="Y1215">
        <f>IF(vp.data[[#This Row],[CrudeType]]="C5+",1,0)</f>
        <v>0</v>
      </c>
      <c r="Z1215">
        <f>IF(AND(vp.data[[#This Row],[CrudeType]]="Crude",vp.data[[#This Row],[Dens]]&lt;=825,vp.data[[#This Row],[Sulf]]&gt;0.5,vp.data[[#This Row],[Unknown]]=0),1,0)</f>
        <v>1</v>
      </c>
      <c r="AA1215">
        <f>IF(AND(vp.data[[#This Row],[CrudeType]]="Crude",vp.data[[#This Row],[Dens]]&lt;=825,vp.data[[#This Row],[Sulf]]&lt;=0.5,vp.data[[#This Row],[Unknown]]=0),1,0)</f>
        <v>0</v>
      </c>
      <c r="AB12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15">
        <f>IF(AND(vp.data[[#This Row],[CrudeType]]="Crude",vp.data[[#This Row],[Dens]]&gt;825,vp.data[[#This Row],[Dens]]&lt;=900,vp.data[[#This Row],[Sulf]]&lt;=0.5,vp.data[[#This Row],[Unknown]]=0),1,0)</f>
        <v>0</v>
      </c>
      <c r="AD1215">
        <f>IF(AND(vp.data[[#This Row],[CrudeType]]="Crude",vp.data[[#This Row],[Dens]]&gt;865,vp.data[[#This Row],[Dens]]&lt;=900,vp.data[[#This Row],[Sulf]]&gt;2,vp.data[[#This Row],[Unknown]]=0),1,0)</f>
        <v>0</v>
      </c>
      <c r="AE1215">
        <f>IF(AND(vp.data[[#This Row],[CrudeType]]="Crude",vp.data[[#This Row],[Dens]]&gt;900,vp.data[[#This Row],[Sulf]]&lt;=0.5,vp.data[[#This Row],[Unknown]]=0),1,0)</f>
        <v>0</v>
      </c>
      <c r="AF1215">
        <f>IF(AND(vp.data[[#This Row],[CrudeType]]="Crude",vp.data[[#This Row],[Dens]]&gt;900,vp.data[[#This Row],[Sulf]]&lt;=0.5,vp.data[[#This Row],[Unknown]]=0),1,0)</f>
        <v>0</v>
      </c>
      <c r="AG1215" t="str">
        <f>INDEX(vp.data[[#Headers],[Unknown]:[Heavy_SW]],MATCH(1,vp.data[[#This Row],[Unknown]:[Heavy_SW]],0))</f>
        <v>Light_LSB</v>
      </c>
      <c r="AH1215">
        <f>INDEX([3]!crudeBD.lkup[Number],MATCH(vp.data[[#This Row],[Crude_Breakdown]],crudeBD.lkup[Crude Breakdown],0))</f>
        <v>1</v>
      </c>
      <c r="AI1215">
        <f>MONTH(vp.data[[#This Row],[SDate]])</f>
        <v>4</v>
      </c>
      <c r="AJ1215" s="5">
        <f>(vp.data[[#This Row],[VP]]-INDEX(crudeBD.lkup[Mean_VP],MATCH(vp.data[[#This Row],[Crude_Breakdown]],crudeBD.lkup[Crude Breakdown],0)))^2</f>
        <v>290.57244238495161</v>
      </c>
      <c r="AK1215" s="5">
        <f>(vp.data[[#This Row],[Dens]]-INDEX(crudeBD.lkup[Mean_Dens],MATCH(vp.data[[#This Row],[Crude_Breakdown]],crudeBD.lkup[Crude Breakdown],0)))^2</f>
        <v>15.07947710112294</v>
      </c>
      <c r="AL1215" s="5">
        <f>(vp.data[[#This Row],[Sulf]]-INDEX(crudeBD.lkup[Mean_Sulf],MATCH(vp.data[[#This Row],[Crude_Breakdown]],crudeBD.lkup[Crude Breakdown],0)))^2</f>
        <v>0.17054518591717246</v>
      </c>
      <c r="AM1215" s="4">
        <f>IF(AND(vp.data[[#This Row],[SDate]]&gt;=DATE(YEAR(vp.data[[#This Row],[SDate]]),5,1),vp.data[[#This Row],[SDate]]&lt;=DATE(YEAR(vp.data[[#This Row],[SDate]]),9,15)),1,0)</f>
        <v>0</v>
      </c>
      <c r="AN1215" s="4">
        <f>IF(vp.data[[#This Row],[SDate]]&lt;DATE(2016,12,1),0,1)</f>
        <v>1</v>
      </c>
      <c r="AO1215" s="4">
        <f>IFERROR(vp.data[[#This Row],[Sulf]]*vp.data[[#This Row],[Net Dens]],"")</f>
        <v>2604783.6793920002</v>
      </c>
      <c r="AP1215">
        <f>IFERROR(vp.data[[#This Row],[Dens]]*vp.data[[#This Row],[VolumeM3]],"")</f>
        <v>5107418.9791999999</v>
      </c>
      <c r="AQ1215" s="15">
        <f>IFERROR(vp.data[[#This Row],[VP]]*vp.data[[#This Row],[VolumeM3]],"")</f>
        <v>462673.53349999996</v>
      </c>
    </row>
    <row r="1216" spans="1:43" x14ac:dyDescent="0.25">
      <c r="A1216">
        <v>1215</v>
      </c>
      <c r="B1216" t="s">
        <v>51</v>
      </c>
      <c r="C1216" t="s">
        <v>51</v>
      </c>
      <c r="D1216" t="s">
        <v>66</v>
      </c>
      <c r="F1216" s="1">
        <v>42836</v>
      </c>
      <c r="G1216" s="2">
        <v>90.9</v>
      </c>
      <c r="H1216" s="2"/>
      <c r="I1216" s="2">
        <f t="array" ref="I1216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216" s="2">
        <v>7.1</v>
      </c>
      <c r="K1216" s="2">
        <v>8</v>
      </c>
      <c r="L1216" s="2">
        <v>825.6</v>
      </c>
      <c r="M1216" s="2">
        <f t="array" ref="M1216">_xlfn.IFNA(IF(vp.data[[#This Row],[Dens Input]]="",INDEX([1]DATA!$O$3:$O$9826,MATCH(1,(vp.data[[#This Row],[Battery]]=[1]DATA!$L$3:$L$9826)*(EOMONTH(vp.data[[#This Row],[SDate]],-1)+1=[1]DATA!$G$3:$G$9826),0)),vp.data[[#This Row],[Dens Input]]),"")</f>
        <v>825.6</v>
      </c>
      <c r="N1216" s="2">
        <f ca="1">INDEX(INDIRECT(_xlfn.CONCAT("weather.tbl[",N$1,"]")),MATCH(vp.data[[#This Row],[SDate]],weather.tbl[Date],0))</f>
        <v>5.2833333333333341</v>
      </c>
      <c r="O1216" s="2">
        <f ca="1">INDEX(INDIRECT(_xlfn.CONCAT("weather.tbl[",O$1,"]")),MATCH(vp.data[[#This Row],[SDate]],weather.tbl[Date],0))</f>
        <v>5.9023809523809518</v>
      </c>
      <c r="P1216" s="2">
        <f ca="1">INDEX(INDIRECT(_xlfn.CONCAT("weather.tbl[",P$1,"]")),MATCH(vp.data[[#This Row],[SDate]],weather.tbl[Date],0))</f>
        <v>6.1</v>
      </c>
      <c r="Q1216" s="2">
        <f ca="1">INDEX(INDIRECT(_xlfn.CONCAT("weather.tbl[",Q$1,"]")),MATCH(vp.data[[#This Row],[SDate]],weather.tbl[Date],0))</f>
        <v>5.5</v>
      </c>
      <c r="R1216" s="2">
        <f ca="1">INDEX(INDIRECT(_xlfn.CONCAT("weather.tbl[",R$1,"]")),MATCH(vp.data[[#This Row],[SDate]],weather.tbl[Date],0))</f>
        <v>4.5</v>
      </c>
      <c r="S1216" s="2">
        <f ca="1">INDEX(INDIRECT(_xlfn.CONCAT("weather.tbl[",S$1,"]")),MATCH(vp.data[[#This Row],[SDate]],weather.tbl[Date],0))</f>
        <v>5.5</v>
      </c>
      <c r="T1216" s="2">
        <f ca="1">INDEX(INDIRECT(_xlfn.CONCAT("weather.tbl[",T$1,"]")),MATCH(vp.data[[#This Row],[SDate]],weather.tbl[Date],0))</f>
        <v>5.0999999999999996</v>
      </c>
      <c r="U1216" s="2">
        <f ca="1">INDEX(INDIRECT(_xlfn.CONCAT("weather.tbl[",U$1,"]")),MATCH(vp.data[[#This Row],[SDate]],weather.tbl[Date],0))</f>
        <v>5</v>
      </c>
      <c r="V1216" s="2">
        <f t="array" ref="V12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3352.8609999999999</v>
      </c>
      <c r="W1216" t="s">
        <v>48</v>
      </c>
      <c r="X1216">
        <f>IF(OR(vp.data[[#This Row],[Sulf]]="",vp.data[[#This Row],[Dens]]=""),1,0)</f>
        <v>0</v>
      </c>
      <c r="Y1216">
        <f>IF(vp.data[[#This Row],[CrudeType]]="C5+",1,0)</f>
        <v>0</v>
      </c>
      <c r="Z1216">
        <f>IF(AND(vp.data[[#This Row],[CrudeType]]="Crude",vp.data[[#This Row],[Dens]]&lt;=825,vp.data[[#This Row],[Sulf]]&gt;0.5,vp.data[[#This Row],[Unknown]]=0),1,0)</f>
        <v>0</v>
      </c>
      <c r="AA1216">
        <f>IF(AND(vp.data[[#This Row],[CrudeType]]="Crude",vp.data[[#This Row],[Dens]]&lt;=825,vp.data[[#This Row],[Sulf]]&lt;=0.5,vp.data[[#This Row],[Unknown]]=0),1,0)</f>
        <v>0</v>
      </c>
      <c r="AB12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6">
        <f>IF(AND(vp.data[[#This Row],[CrudeType]]="Crude",vp.data[[#This Row],[Dens]]&gt;825,vp.data[[#This Row],[Dens]]&lt;=900,vp.data[[#This Row],[Sulf]]&lt;=0.5,vp.data[[#This Row],[Unknown]]=0),1,0)</f>
        <v>0</v>
      </c>
      <c r="AD1216">
        <f>IF(AND(vp.data[[#This Row],[CrudeType]]="Crude",vp.data[[#This Row],[Dens]]&gt;865,vp.data[[#This Row],[Dens]]&lt;=900,vp.data[[#This Row],[Sulf]]&gt;2,vp.data[[#This Row],[Unknown]]=0),1,0)</f>
        <v>0</v>
      </c>
      <c r="AE1216">
        <f>IF(AND(vp.data[[#This Row],[CrudeType]]="Crude",vp.data[[#This Row],[Dens]]&gt;900,vp.data[[#This Row],[Sulf]]&lt;=0.5,vp.data[[#This Row],[Unknown]]=0),1,0)</f>
        <v>0</v>
      </c>
      <c r="AF1216">
        <f>IF(AND(vp.data[[#This Row],[CrudeType]]="Crude",vp.data[[#This Row],[Dens]]&gt;900,vp.data[[#This Row],[Sulf]]&lt;=0.5,vp.data[[#This Row],[Unknown]]=0),1,0)</f>
        <v>0</v>
      </c>
      <c r="AG1216" t="str">
        <f>INDEX(vp.data[[#Headers],[Unknown]:[Heavy_SW]],MATCH(1,vp.data[[#This Row],[Unknown]:[Heavy_SW]],0))</f>
        <v>Medium_LSB</v>
      </c>
      <c r="AH1216">
        <f>INDEX([3]!crudeBD.lkup[Number],MATCH(vp.data[[#This Row],[Crude_Breakdown]],crudeBD.lkup[Crude Breakdown],0))</f>
        <v>3</v>
      </c>
      <c r="AI1216">
        <f>MONTH(vp.data[[#This Row],[SDate]])</f>
        <v>4</v>
      </c>
      <c r="AJ1216" s="5">
        <f>(vp.data[[#This Row],[VP]]-INDEX(crudeBD.lkup[Mean_VP],MATCH(vp.data[[#This Row],[Crude_Breakdown]],crudeBD.lkup[Crude Breakdown],0)))^2</f>
        <v>105.27423730138707</v>
      </c>
      <c r="AK1216" s="5">
        <f>(vp.data[[#This Row],[Dens]]-INDEX(crudeBD.lkup[Mean_Dens],MATCH(vp.data[[#This Row],[Crude_Breakdown]],crudeBD.lkup[Crude Breakdown],0)))^2</f>
        <v>335.62239999998098</v>
      </c>
      <c r="AL1216" s="5">
        <f>(vp.data[[#This Row],[Sulf]]-INDEX(crudeBD.lkup[Mean_Sulf],MATCH(vp.data[[#This Row],[Crude_Breakdown]],crudeBD.lkup[Crude Breakdown],0)))^2</f>
        <v>1.8114972362538555E-2</v>
      </c>
      <c r="AM1216" s="4">
        <f>IF(AND(vp.data[[#This Row],[SDate]]&gt;=DATE(YEAR(vp.data[[#This Row],[SDate]]),5,1),vp.data[[#This Row],[SDate]]&lt;=DATE(YEAR(vp.data[[#This Row],[SDate]]),9,15)),1,0)</f>
        <v>0</v>
      </c>
      <c r="AN1216" s="4">
        <f>IF(vp.data[[#This Row],[SDate]]&lt;DATE(2016,12,1),0,1)</f>
        <v>1</v>
      </c>
      <c r="AO1216" s="4">
        <f>IFERROR(vp.data[[#This Row],[Sulf]]*vp.data[[#This Row],[Net Dens]],"")</f>
        <v>4207545.5032320004</v>
      </c>
      <c r="AP1216">
        <f>IFERROR(vp.data[[#This Row],[Dens]]*vp.data[[#This Row],[VolumeM3]],"")</f>
        <v>2768122.0416000001</v>
      </c>
      <c r="AQ1216" s="15">
        <f>IFERROR(vp.data[[#This Row],[VP]]*vp.data[[#This Row],[VolumeM3]],"")</f>
        <v>304775.0649</v>
      </c>
    </row>
    <row r="1217" spans="1:43" x14ac:dyDescent="0.25">
      <c r="A1217">
        <v>1216</v>
      </c>
      <c r="B1217" t="s">
        <v>51</v>
      </c>
      <c r="C1217" t="s">
        <v>51</v>
      </c>
      <c r="D1217" t="s">
        <v>72</v>
      </c>
      <c r="F1217" s="1">
        <v>42836</v>
      </c>
      <c r="G1217" s="2">
        <v>89.1</v>
      </c>
      <c r="H1217" s="2"/>
      <c r="I1217" s="2">
        <f t="array" ref="I1217">_xlfn.IFNA(IF(vp.data[[#This Row],[Sulf Input]]="",INDEX([1]DATA!$Q$3:$Q$9826,MATCH(1,(vp.data[[#This Row],[Battery]]=[1]DATA!$L$3:$L$9826)*(EOMONTH(vp.data[[#This Row],[SDate]],-1)+1=[1]DATA!$G$3:$G$9826),0)),vp.data[[#This Row],[Sulf Input]]),"")</f>
        <v>1.04</v>
      </c>
      <c r="J1217" s="2">
        <v>32.9</v>
      </c>
      <c r="K1217" s="2">
        <v>8</v>
      </c>
      <c r="L1217" s="2">
        <v>829.8</v>
      </c>
      <c r="M1217" s="2">
        <f t="array" ref="M1217">_xlfn.IFNA(IF(vp.data[[#This Row],[Dens Input]]="",INDEX([1]DATA!$O$3:$O$9826,MATCH(1,(vp.data[[#This Row],[Battery]]=[1]DATA!$L$3:$L$9826)*(EOMONTH(vp.data[[#This Row],[SDate]],-1)+1=[1]DATA!$G$3:$G$9826),0)),vp.data[[#This Row],[Dens Input]]),"")</f>
        <v>829.8</v>
      </c>
      <c r="N1217" s="2">
        <f ca="1">INDEX(INDIRECT(_xlfn.CONCAT("weather.tbl[",N$1,"]")),MATCH(vp.data[[#This Row],[SDate]],weather.tbl[Date],0))</f>
        <v>5.2833333333333341</v>
      </c>
      <c r="O1217" s="2">
        <f ca="1">INDEX(INDIRECT(_xlfn.CONCAT("weather.tbl[",O$1,"]")),MATCH(vp.data[[#This Row],[SDate]],weather.tbl[Date],0))</f>
        <v>5.9023809523809518</v>
      </c>
      <c r="P1217" s="2">
        <f ca="1">INDEX(INDIRECT(_xlfn.CONCAT("weather.tbl[",P$1,"]")),MATCH(vp.data[[#This Row],[SDate]],weather.tbl[Date],0))</f>
        <v>6.1</v>
      </c>
      <c r="Q1217" s="2">
        <f ca="1">INDEX(INDIRECT(_xlfn.CONCAT("weather.tbl[",Q$1,"]")),MATCH(vp.data[[#This Row],[SDate]],weather.tbl[Date],0))</f>
        <v>5.5</v>
      </c>
      <c r="R1217" s="2">
        <f ca="1">INDEX(INDIRECT(_xlfn.CONCAT("weather.tbl[",R$1,"]")),MATCH(vp.data[[#This Row],[SDate]],weather.tbl[Date],0))</f>
        <v>4.5</v>
      </c>
      <c r="S1217" s="2">
        <f ca="1">INDEX(INDIRECT(_xlfn.CONCAT("weather.tbl[",S$1,"]")),MATCH(vp.data[[#This Row],[SDate]],weather.tbl[Date],0))</f>
        <v>5.5</v>
      </c>
      <c r="T1217" s="2">
        <f ca="1">INDEX(INDIRECT(_xlfn.CONCAT("weather.tbl[",T$1,"]")),MATCH(vp.data[[#This Row],[SDate]],weather.tbl[Date],0))</f>
        <v>5.0999999999999996</v>
      </c>
      <c r="U1217" s="2">
        <f ca="1">INDEX(INDIRECT(_xlfn.CONCAT("weather.tbl[",U$1,"]")),MATCH(vp.data[[#This Row],[SDate]],weather.tbl[Date],0))</f>
        <v>5</v>
      </c>
      <c r="V1217" s="2">
        <f t="array" ref="V12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12874.832</v>
      </c>
      <c r="W1217" t="s">
        <v>48</v>
      </c>
      <c r="X1217">
        <f>IF(OR(vp.data[[#This Row],[Sulf]]="",vp.data[[#This Row],[Dens]]=""),1,0)</f>
        <v>0</v>
      </c>
      <c r="Y1217">
        <f>IF(vp.data[[#This Row],[CrudeType]]="C5+",1,0)</f>
        <v>0</v>
      </c>
      <c r="Z1217">
        <f>IF(AND(vp.data[[#This Row],[CrudeType]]="Crude",vp.data[[#This Row],[Dens]]&lt;=825,vp.data[[#This Row],[Sulf]]&gt;0.5,vp.data[[#This Row],[Unknown]]=0),1,0)</f>
        <v>0</v>
      </c>
      <c r="AA1217">
        <f>IF(AND(vp.data[[#This Row],[CrudeType]]="Crude",vp.data[[#This Row],[Dens]]&lt;=825,vp.data[[#This Row],[Sulf]]&lt;=0.5,vp.data[[#This Row],[Unknown]]=0),1,0)</f>
        <v>0</v>
      </c>
      <c r="AB12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7">
        <f>IF(AND(vp.data[[#This Row],[CrudeType]]="Crude",vp.data[[#This Row],[Dens]]&gt;825,vp.data[[#This Row],[Dens]]&lt;=900,vp.data[[#This Row],[Sulf]]&lt;=0.5,vp.data[[#This Row],[Unknown]]=0),1,0)</f>
        <v>0</v>
      </c>
      <c r="AD1217">
        <f>IF(AND(vp.data[[#This Row],[CrudeType]]="Crude",vp.data[[#This Row],[Dens]]&gt;865,vp.data[[#This Row],[Dens]]&lt;=900,vp.data[[#This Row],[Sulf]]&gt;2,vp.data[[#This Row],[Unknown]]=0),1,0)</f>
        <v>0</v>
      </c>
      <c r="AE1217">
        <f>IF(AND(vp.data[[#This Row],[CrudeType]]="Crude",vp.data[[#This Row],[Dens]]&gt;900,vp.data[[#This Row],[Sulf]]&lt;=0.5,vp.data[[#This Row],[Unknown]]=0),1,0)</f>
        <v>0</v>
      </c>
      <c r="AF1217">
        <f>IF(AND(vp.data[[#This Row],[CrudeType]]="Crude",vp.data[[#This Row],[Dens]]&gt;900,vp.data[[#This Row],[Sulf]]&lt;=0.5,vp.data[[#This Row],[Unknown]]=0),1,0)</f>
        <v>0</v>
      </c>
      <c r="AG1217" t="str">
        <f>INDEX(vp.data[[#Headers],[Unknown]:[Heavy_SW]],MATCH(1,vp.data[[#This Row],[Unknown]:[Heavy_SW]],0))</f>
        <v>Medium_LSB</v>
      </c>
      <c r="AH1217">
        <f>INDEX([3]!crudeBD.lkup[Number],MATCH(vp.data[[#This Row],[Crude_Breakdown]],crudeBD.lkup[Crude Breakdown],0))</f>
        <v>3</v>
      </c>
      <c r="AI1217">
        <f>MONTH(vp.data[[#This Row],[SDate]])</f>
        <v>4</v>
      </c>
      <c r="AJ1217" s="5">
        <f>(vp.data[[#This Row],[VP]]-INDEX(crudeBD.lkup[Mean_VP],MATCH(vp.data[[#This Row],[Crude_Breakdown]],crudeBD.lkup[Crude Breakdown],0)))^2</f>
        <v>71.577072880901426</v>
      </c>
      <c r="AK1217" s="5">
        <f>(vp.data[[#This Row],[Dens]]-INDEX(crudeBD.lkup[Mean_Dens],MATCH(vp.data[[#This Row],[Crude_Breakdown]],crudeBD.lkup[Crude Breakdown],0)))^2</f>
        <v>199.37439999998728</v>
      </c>
      <c r="AL1217" s="5">
        <f>(vp.data[[#This Row],[Sulf]]-INDEX(crudeBD.lkup[Mean_Sulf],MATCH(vp.data[[#This Row],[Crude_Breakdown]],crudeBD.lkup[Crude Breakdown],0)))^2</f>
        <v>0.11930677397979066</v>
      </c>
      <c r="AM1217" s="4">
        <f>IF(AND(vp.data[[#This Row],[SDate]]&gt;=DATE(YEAR(vp.data[[#This Row],[SDate]]),5,1),vp.data[[#This Row],[SDate]]&lt;=DATE(YEAR(vp.data[[#This Row],[SDate]]),9,15)),1,0)</f>
        <v>0</v>
      </c>
      <c r="AN1217" s="4">
        <f>IF(vp.data[[#This Row],[SDate]]&lt;DATE(2016,12,1),0,1)</f>
        <v>1</v>
      </c>
      <c r="AO1217" s="4">
        <f>IFERROR(vp.data[[#This Row],[Sulf]]*vp.data[[#This Row],[Net Dens]],"")</f>
        <v>11110877.017344</v>
      </c>
      <c r="AP1217">
        <f>IFERROR(vp.data[[#This Row],[Dens]]*vp.data[[#This Row],[VolumeM3]],"")</f>
        <v>10683535.593599999</v>
      </c>
      <c r="AQ1217" s="15">
        <f>IFERROR(vp.data[[#This Row],[VP]]*vp.data[[#This Row],[VolumeM3]],"")</f>
        <v>1147147.5311999999</v>
      </c>
    </row>
    <row r="1218" spans="1:43" x14ac:dyDescent="0.25">
      <c r="A1218">
        <v>1217</v>
      </c>
      <c r="B1218" t="s">
        <v>108</v>
      </c>
      <c r="C1218" t="s">
        <v>108</v>
      </c>
      <c r="D1218" t="s">
        <v>109</v>
      </c>
      <c r="F1218" s="1">
        <v>42836</v>
      </c>
      <c r="G1218" s="2">
        <v>87.2</v>
      </c>
      <c r="H1218" s="2"/>
      <c r="I1218" s="2">
        <f t="array" ref="I1218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218" s="2">
        <v>26.5</v>
      </c>
      <c r="K1218" s="2">
        <v>8</v>
      </c>
      <c r="L1218" s="2">
        <v>833.7</v>
      </c>
      <c r="M1218" s="2">
        <f t="array" ref="M1218">_xlfn.IFNA(IF(vp.data[[#This Row],[Dens Input]]="",INDEX([1]DATA!$O$3:$O$9826,MATCH(1,(vp.data[[#This Row],[Battery]]=[1]DATA!$L$3:$L$9826)*(EOMONTH(vp.data[[#This Row],[SDate]],-1)+1=[1]DATA!$G$3:$G$9826),0)),vp.data[[#This Row],[Dens Input]]),"")</f>
        <v>833.7</v>
      </c>
      <c r="N1218" s="2">
        <f ca="1">INDEX(INDIRECT(_xlfn.CONCAT("weather.tbl[",N$1,"]")),MATCH(vp.data[[#This Row],[SDate]],weather.tbl[Date],0))</f>
        <v>5.2833333333333341</v>
      </c>
      <c r="O1218" s="2">
        <f ca="1">INDEX(INDIRECT(_xlfn.CONCAT("weather.tbl[",O$1,"]")),MATCH(vp.data[[#This Row],[SDate]],weather.tbl[Date],0))</f>
        <v>5.9023809523809518</v>
      </c>
      <c r="P1218" s="2">
        <f ca="1">INDEX(INDIRECT(_xlfn.CONCAT("weather.tbl[",P$1,"]")),MATCH(vp.data[[#This Row],[SDate]],weather.tbl[Date],0))</f>
        <v>6.1</v>
      </c>
      <c r="Q1218" s="2">
        <f ca="1">INDEX(INDIRECT(_xlfn.CONCAT("weather.tbl[",Q$1,"]")),MATCH(vp.data[[#This Row],[SDate]],weather.tbl[Date],0))</f>
        <v>5.5</v>
      </c>
      <c r="R1218" s="2">
        <f ca="1">INDEX(INDIRECT(_xlfn.CONCAT("weather.tbl[",R$1,"]")),MATCH(vp.data[[#This Row],[SDate]],weather.tbl[Date],0))</f>
        <v>4.5</v>
      </c>
      <c r="S1218" s="2">
        <f ca="1">INDEX(INDIRECT(_xlfn.CONCAT("weather.tbl[",S$1,"]")),MATCH(vp.data[[#This Row],[SDate]],weather.tbl[Date],0))</f>
        <v>5.5</v>
      </c>
      <c r="T1218" s="2">
        <f ca="1">INDEX(INDIRECT(_xlfn.CONCAT("weather.tbl[",T$1,"]")),MATCH(vp.data[[#This Row],[SDate]],weather.tbl[Date],0))</f>
        <v>5.0999999999999996</v>
      </c>
      <c r="U1218" s="2">
        <f ca="1">INDEX(INDIRECT(_xlfn.CONCAT("weather.tbl[",U$1,"]")),MATCH(vp.data[[#This Row],[SDate]],weather.tbl[Date],0))</f>
        <v>5</v>
      </c>
      <c r="V1218" s="2">
        <f t="array" ref="V12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12560.075999999999</v>
      </c>
      <c r="W1218" t="s">
        <v>48</v>
      </c>
      <c r="X1218">
        <f>IF(OR(vp.data[[#This Row],[Sulf]]="",vp.data[[#This Row],[Dens]]=""),1,0)</f>
        <v>0</v>
      </c>
      <c r="Y1218">
        <f>IF(vp.data[[#This Row],[CrudeType]]="C5+",1,0)</f>
        <v>0</v>
      </c>
      <c r="Z1218">
        <f>IF(AND(vp.data[[#This Row],[CrudeType]]="Crude",vp.data[[#This Row],[Dens]]&lt;=825,vp.data[[#This Row],[Sulf]]&gt;0.5,vp.data[[#This Row],[Unknown]]=0),1,0)</f>
        <v>0</v>
      </c>
      <c r="AA1218">
        <f>IF(AND(vp.data[[#This Row],[CrudeType]]="Crude",vp.data[[#This Row],[Dens]]&lt;=825,vp.data[[#This Row],[Sulf]]&lt;=0.5,vp.data[[#This Row],[Unknown]]=0),1,0)</f>
        <v>0</v>
      </c>
      <c r="AB12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8">
        <f>IF(AND(vp.data[[#This Row],[CrudeType]]="Crude",vp.data[[#This Row],[Dens]]&gt;825,vp.data[[#This Row],[Dens]]&lt;=900,vp.data[[#This Row],[Sulf]]&lt;=0.5,vp.data[[#This Row],[Unknown]]=0),1,0)</f>
        <v>0</v>
      </c>
      <c r="AD1218">
        <f>IF(AND(vp.data[[#This Row],[CrudeType]]="Crude",vp.data[[#This Row],[Dens]]&gt;865,vp.data[[#This Row],[Dens]]&lt;=900,vp.data[[#This Row],[Sulf]]&gt;2,vp.data[[#This Row],[Unknown]]=0),1,0)</f>
        <v>0</v>
      </c>
      <c r="AE1218">
        <f>IF(AND(vp.data[[#This Row],[CrudeType]]="Crude",vp.data[[#This Row],[Dens]]&gt;900,vp.data[[#This Row],[Sulf]]&lt;=0.5,vp.data[[#This Row],[Unknown]]=0),1,0)</f>
        <v>0</v>
      </c>
      <c r="AF1218">
        <f>IF(AND(vp.data[[#This Row],[CrudeType]]="Crude",vp.data[[#This Row],[Dens]]&gt;900,vp.data[[#This Row],[Sulf]]&lt;=0.5,vp.data[[#This Row],[Unknown]]=0),1,0)</f>
        <v>0</v>
      </c>
      <c r="AG1218" t="str">
        <f>INDEX(vp.data[[#Headers],[Unknown]:[Heavy_SW]],MATCH(1,vp.data[[#This Row],[Unknown]:[Heavy_SW]],0))</f>
        <v>Medium_LSB</v>
      </c>
      <c r="AH1218">
        <f>INDEX([3]!crudeBD.lkup[Number],MATCH(vp.data[[#This Row],[Crude_Breakdown]],crudeBD.lkup[Crude Breakdown],0))</f>
        <v>3</v>
      </c>
      <c r="AI1218">
        <f>MONTH(vp.data[[#This Row],[SDate]])</f>
        <v>4</v>
      </c>
      <c r="AJ1218" s="5">
        <f>(vp.data[[#This Row],[VP]]-INDEX(crudeBD.lkup[Mean_VP],MATCH(vp.data[[#This Row],[Crude_Breakdown]],crudeBD.lkup[Crude Breakdown],0)))^2</f>
        <v>43.037843770389159</v>
      </c>
      <c r="AK1218" s="5">
        <f>(vp.data[[#This Row],[Dens]]-INDEX(crudeBD.lkup[Mean_Dens],MATCH(vp.data[[#This Row],[Crude_Breakdown]],crudeBD.lkup[Crude Breakdown],0)))^2</f>
        <v>104.44839999998894</v>
      </c>
      <c r="AL1218" s="5">
        <f>(vp.data[[#This Row],[Sulf]]-INDEX(crudeBD.lkup[Mean_Sulf],MATCH(vp.data[[#This Row],[Crude_Breakdown]],crudeBD.lkup[Crude Breakdown],0)))^2</f>
        <v>0.39113532492318775</v>
      </c>
      <c r="AM1218" s="4">
        <f>IF(AND(vp.data[[#This Row],[SDate]]&gt;=DATE(YEAR(vp.data[[#This Row],[SDate]]),5,1),vp.data[[#This Row],[SDate]]&lt;=DATE(YEAR(vp.data[[#This Row],[SDate]]),9,15)),1,0)</f>
        <v>0</v>
      </c>
      <c r="AN1218" s="4">
        <f>IF(vp.data[[#This Row],[SDate]]&lt;DATE(2016,12,1),0,1)</f>
        <v>1</v>
      </c>
      <c r="AO1218" s="4">
        <f>IFERROR(vp.data[[#This Row],[Sulf]]*vp.data[[#This Row],[Net Dens]],"")</f>
        <v>7958214.8745119991</v>
      </c>
      <c r="AP1218">
        <f>IFERROR(vp.data[[#This Row],[Dens]]*vp.data[[#This Row],[VolumeM3]],"")</f>
        <v>10471335.361199999</v>
      </c>
      <c r="AQ1218" s="15">
        <f>IFERROR(vp.data[[#This Row],[VP]]*vp.data[[#This Row],[VolumeM3]],"")</f>
        <v>1095238.6272</v>
      </c>
    </row>
    <row r="1219" spans="1:43" x14ac:dyDescent="0.25">
      <c r="A1219">
        <v>1218</v>
      </c>
      <c r="B1219" t="s">
        <v>51</v>
      </c>
      <c r="C1219" t="s">
        <v>51</v>
      </c>
      <c r="D1219" t="s">
        <v>254</v>
      </c>
      <c r="F1219" s="1">
        <v>42836</v>
      </c>
      <c r="G1219" s="2">
        <v>56</v>
      </c>
      <c r="H1219" s="2"/>
      <c r="I1219" s="2">
        <f t="array" ref="I1219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219" s="2">
        <v>33.4</v>
      </c>
      <c r="K1219" s="2">
        <v>8</v>
      </c>
      <c r="L1219" s="2">
        <v>843.3</v>
      </c>
      <c r="M1219" s="2">
        <f t="array" ref="M1219">_xlfn.IFNA(IF(vp.data[[#This Row],[Dens Input]]="",INDEX([1]DATA!$O$3:$O$9826,MATCH(1,(vp.data[[#This Row],[Battery]]=[1]DATA!$L$3:$L$9826)*(EOMONTH(vp.data[[#This Row],[SDate]],-1)+1=[1]DATA!$G$3:$G$9826),0)),vp.data[[#This Row],[Dens Input]]),"")</f>
        <v>843.3</v>
      </c>
      <c r="N1219" s="2">
        <f ca="1">INDEX(INDIRECT(_xlfn.CONCAT("weather.tbl[",N$1,"]")),MATCH(vp.data[[#This Row],[SDate]],weather.tbl[Date],0))</f>
        <v>5.2833333333333341</v>
      </c>
      <c r="O1219" s="2">
        <f ca="1">INDEX(INDIRECT(_xlfn.CONCAT("weather.tbl[",O$1,"]")),MATCH(vp.data[[#This Row],[SDate]],weather.tbl[Date],0))</f>
        <v>5.9023809523809518</v>
      </c>
      <c r="P1219" s="2">
        <f ca="1">INDEX(INDIRECT(_xlfn.CONCAT("weather.tbl[",P$1,"]")),MATCH(vp.data[[#This Row],[SDate]],weather.tbl[Date],0))</f>
        <v>6.1</v>
      </c>
      <c r="Q1219" s="2">
        <f ca="1">INDEX(INDIRECT(_xlfn.CONCAT("weather.tbl[",Q$1,"]")),MATCH(vp.data[[#This Row],[SDate]],weather.tbl[Date],0))</f>
        <v>5.5</v>
      </c>
      <c r="R1219" s="2">
        <f ca="1">INDEX(INDIRECT(_xlfn.CONCAT("weather.tbl[",R$1,"]")),MATCH(vp.data[[#This Row],[SDate]],weather.tbl[Date],0))</f>
        <v>4.5</v>
      </c>
      <c r="S1219" s="2">
        <f ca="1">INDEX(INDIRECT(_xlfn.CONCAT("weather.tbl[",S$1,"]")),MATCH(vp.data[[#This Row],[SDate]],weather.tbl[Date],0))</f>
        <v>5.5</v>
      </c>
      <c r="T1219" s="2">
        <f ca="1">INDEX(INDIRECT(_xlfn.CONCAT("weather.tbl[",T$1,"]")),MATCH(vp.data[[#This Row],[SDate]],weather.tbl[Date],0))</f>
        <v>5.0999999999999996</v>
      </c>
      <c r="U1219" s="2">
        <f ca="1">INDEX(INDIRECT(_xlfn.CONCAT("weather.tbl[",U$1,"]")),MATCH(vp.data[[#This Row],[SDate]],weather.tbl[Date],0))</f>
        <v>5</v>
      </c>
      <c r="V1219" s="2">
        <f t="array" ref="V12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632.351</v>
      </c>
      <c r="W1219" t="s">
        <v>48</v>
      </c>
      <c r="X1219">
        <f>IF(OR(vp.data[[#This Row],[Sulf]]="",vp.data[[#This Row],[Dens]]=""),1,0)</f>
        <v>0</v>
      </c>
      <c r="Y1219">
        <f>IF(vp.data[[#This Row],[CrudeType]]="C5+",1,0)</f>
        <v>0</v>
      </c>
      <c r="Z1219">
        <f>IF(AND(vp.data[[#This Row],[CrudeType]]="Crude",vp.data[[#This Row],[Dens]]&lt;=825,vp.data[[#This Row],[Sulf]]&gt;0.5,vp.data[[#This Row],[Unknown]]=0),1,0)</f>
        <v>0</v>
      </c>
      <c r="AA1219">
        <f>IF(AND(vp.data[[#This Row],[CrudeType]]="Crude",vp.data[[#This Row],[Dens]]&lt;=825,vp.data[[#This Row],[Sulf]]&lt;=0.5,vp.data[[#This Row],[Unknown]]=0),1,0)</f>
        <v>0</v>
      </c>
      <c r="AB12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19">
        <f>IF(AND(vp.data[[#This Row],[CrudeType]]="Crude",vp.data[[#This Row],[Dens]]&gt;825,vp.data[[#This Row],[Dens]]&lt;=900,vp.data[[#This Row],[Sulf]]&lt;=0.5,vp.data[[#This Row],[Unknown]]=0),1,0)</f>
        <v>0</v>
      </c>
      <c r="AD1219">
        <f>IF(AND(vp.data[[#This Row],[CrudeType]]="Crude",vp.data[[#This Row],[Dens]]&gt;865,vp.data[[#This Row],[Dens]]&lt;=900,vp.data[[#This Row],[Sulf]]&gt;2,vp.data[[#This Row],[Unknown]]=0),1,0)</f>
        <v>0</v>
      </c>
      <c r="AE1219">
        <f>IF(AND(vp.data[[#This Row],[CrudeType]]="Crude",vp.data[[#This Row],[Dens]]&gt;900,vp.data[[#This Row],[Sulf]]&lt;=0.5,vp.data[[#This Row],[Unknown]]=0),1,0)</f>
        <v>0</v>
      </c>
      <c r="AF1219">
        <f>IF(AND(vp.data[[#This Row],[CrudeType]]="Crude",vp.data[[#This Row],[Dens]]&gt;900,vp.data[[#This Row],[Sulf]]&lt;=0.5,vp.data[[#This Row],[Unknown]]=0),1,0)</f>
        <v>0</v>
      </c>
      <c r="AG1219" t="str">
        <f>INDEX(vp.data[[#Headers],[Unknown]:[Heavy_SW]],MATCH(1,vp.data[[#This Row],[Unknown]:[Heavy_SW]],0))</f>
        <v>Medium_LSB</v>
      </c>
      <c r="AH1219">
        <f>INDEX([3]!crudeBD.lkup[Number],MATCH(vp.data[[#This Row],[Crude_Breakdown]],crudeBD.lkup[Crude Breakdown],0))</f>
        <v>3</v>
      </c>
      <c r="AI1219">
        <f>MONTH(vp.data[[#This Row],[SDate]])</f>
        <v>4</v>
      </c>
      <c r="AJ1219" s="5">
        <f>(vp.data[[#This Row],[VP]]-INDEX(crudeBD.lkup[Mean_VP],MATCH(vp.data[[#This Row],[Crude_Breakdown]],crudeBD.lkup[Crude Breakdown],0)))^2</f>
        <v>607.11366048197499</v>
      </c>
      <c r="AK1219" s="5">
        <f>(vp.data[[#This Row],[Dens]]-INDEX(crudeBD.lkup[Mean_Dens],MATCH(vp.data[[#This Row],[Crude_Breakdown]],crudeBD.lkup[Crude Breakdown],0)))^2</f>
        <v>0.38439999999944174</v>
      </c>
      <c r="AL1219" s="5">
        <f>(vp.data[[#This Row],[Sulf]]-INDEX(crudeBD.lkup[Mean_Sulf],MATCH(vp.data[[#This Row],[Crude_Breakdown]],crudeBD.lkup[Crude Breakdown],0)))^2</f>
        <v>9.3274123845019638E-2</v>
      </c>
      <c r="AM1219" s="4">
        <f>IF(AND(vp.data[[#This Row],[SDate]]&gt;=DATE(YEAR(vp.data[[#This Row],[SDate]]),5,1),vp.data[[#This Row],[SDate]]&lt;=DATE(YEAR(vp.data[[#This Row],[SDate]]),9,15)),1,0)</f>
        <v>0</v>
      </c>
      <c r="AN1219" s="4">
        <f>IF(vp.data[[#This Row],[SDate]]&lt;DATE(2016,12,1),0,1)</f>
        <v>1</v>
      </c>
      <c r="AO1219" s="4">
        <f>IFERROR(vp.data[[#This Row],[Sulf]]*vp.data[[#This Row],[Net Dens]],"")</f>
        <v>575922.52616400004</v>
      </c>
      <c r="AP1219">
        <f>IFERROR(vp.data[[#This Row],[Dens]]*vp.data[[#This Row],[VolumeM3]],"")</f>
        <v>533261.59829999995</v>
      </c>
      <c r="AQ1219" s="15">
        <f>IFERROR(vp.data[[#This Row],[VP]]*vp.data[[#This Row],[VolumeM3]],"")</f>
        <v>35411.656000000003</v>
      </c>
    </row>
    <row r="1220" spans="1:43" x14ac:dyDescent="0.25">
      <c r="A1220">
        <v>1219</v>
      </c>
      <c r="B1220" t="s">
        <v>68</v>
      </c>
      <c r="C1220" t="s">
        <v>68</v>
      </c>
      <c r="D1220" t="s">
        <v>69</v>
      </c>
      <c r="F1220" s="1">
        <v>42836</v>
      </c>
      <c r="G1220" s="2">
        <v>73.5</v>
      </c>
      <c r="H1220" s="2"/>
      <c r="I1220" s="2">
        <f t="array" ref="I1220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220" s="2">
        <v>18</v>
      </c>
      <c r="K1220" s="2">
        <v>8</v>
      </c>
      <c r="L1220" s="2">
        <v>850.2</v>
      </c>
      <c r="M1220" s="2">
        <f t="array" ref="M1220">_xlfn.IFNA(IF(vp.data[[#This Row],[Dens Input]]="",INDEX([1]DATA!$O$3:$O$9826,MATCH(1,(vp.data[[#This Row],[Battery]]=[1]DATA!$L$3:$L$9826)*(EOMONTH(vp.data[[#This Row],[SDate]],-1)+1=[1]DATA!$G$3:$G$9826),0)),vp.data[[#This Row],[Dens Input]]),"")</f>
        <v>850.2</v>
      </c>
      <c r="N1220" s="2">
        <f ca="1">INDEX(INDIRECT(_xlfn.CONCAT("weather.tbl[",N$1,"]")),MATCH(vp.data[[#This Row],[SDate]],weather.tbl[Date],0))</f>
        <v>5.2833333333333341</v>
      </c>
      <c r="O1220" s="2">
        <f ca="1">INDEX(INDIRECT(_xlfn.CONCAT("weather.tbl[",O$1,"]")),MATCH(vp.data[[#This Row],[SDate]],weather.tbl[Date],0))</f>
        <v>5.9023809523809518</v>
      </c>
      <c r="P1220" s="2">
        <f ca="1">INDEX(INDIRECT(_xlfn.CONCAT("weather.tbl[",P$1,"]")),MATCH(vp.data[[#This Row],[SDate]],weather.tbl[Date],0))</f>
        <v>6.1</v>
      </c>
      <c r="Q1220" s="2">
        <f ca="1">INDEX(INDIRECT(_xlfn.CONCAT("weather.tbl[",Q$1,"]")),MATCH(vp.data[[#This Row],[SDate]],weather.tbl[Date],0))</f>
        <v>5.5</v>
      </c>
      <c r="R1220" s="2">
        <f ca="1">INDEX(INDIRECT(_xlfn.CONCAT("weather.tbl[",R$1,"]")),MATCH(vp.data[[#This Row],[SDate]],weather.tbl[Date],0))</f>
        <v>4.5</v>
      </c>
      <c r="S1220" s="2">
        <f ca="1">INDEX(INDIRECT(_xlfn.CONCAT("weather.tbl[",S$1,"]")),MATCH(vp.data[[#This Row],[SDate]],weather.tbl[Date],0))</f>
        <v>5.5</v>
      </c>
      <c r="T1220" s="2">
        <f ca="1">INDEX(INDIRECT(_xlfn.CONCAT("weather.tbl[",T$1,"]")),MATCH(vp.data[[#This Row],[SDate]],weather.tbl[Date],0))</f>
        <v>5.0999999999999996</v>
      </c>
      <c r="U1220" s="2">
        <f ca="1">INDEX(INDIRECT(_xlfn.CONCAT("weather.tbl[",U$1,"]")),MATCH(vp.data[[#This Row],[SDate]],weather.tbl[Date],0))</f>
        <v>5</v>
      </c>
      <c r="V1220" s="2">
        <f t="array" ref="V12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1529.07</v>
      </c>
      <c r="W1220" t="s">
        <v>48</v>
      </c>
      <c r="X1220">
        <f>IF(OR(vp.data[[#This Row],[Sulf]]="",vp.data[[#This Row],[Dens]]=""),1,0)</f>
        <v>0</v>
      </c>
      <c r="Y1220">
        <f>IF(vp.data[[#This Row],[CrudeType]]="C5+",1,0)</f>
        <v>0</v>
      </c>
      <c r="Z1220">
        <f>IF(AND(vp.data[[#This Row],[CrudeType]]="Crude",vp.data[[#This Row],[Dens]]&lt;=825,vp.data[[#This Row],[Sulf]]&gt;0.5,vp.data[[#This Row],[Unknown]]=0),1,0)</f>
        <v>0</v>
      </c>
      <c r="AA1220">
        <f>IF(AND(vp.data[[#This Row],[CrudeType]]="Crude",vp.data[[#This Row],[Dens]]&lt;=825,vp.data[[#This Row],[Sulf]]&lt;=0.5,vp.data[[#This Row],[Unknown]]=0),1,0)</f>
        <v>0</v>
      </c>
      <c r="AB12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0">
        <f>IF(AND(vp.data[[#This Row],[CrudeType]]="Crude",vp.data[[#This Row],[Dens]]&gt;825,vp.data[[#This Row],[Dens]]&lt;=900,vp.data[[#This Row],[Sulf]]&lt;=0.5,vp.data[[#This Row],[Unknown]]=0),1,0)</f>
        <v>0</v>
      </c>
      <c r="AD1220">
        <f>IF(AND(vp.data[[#This Row],[CrudeType]]="Crude",vp.data[[#This Row],[Dens]]&gt;865,vp.data[[#This Row],[Dens]]&lt;=900,vp.data[[#This Row],[Sulf]]&gt;2,vp.data[[#This Row],[Unknown]]=0),1,0)</f>
        <v>0</v>
      </c>
      <c r="AE1220">
        <f>IF(AND(vp.data[[#This Row],[CrudeType]]="Crude",vp.data[[#This Row],[Dens]]&gt;900,vp.data[[#This Row],[Sulf]]&lt;=0.5,vp.data[[#This Row],[Unknown]]=0),1,0)</f>
        <v>0</v>
      </c>
      <c r="AF1220">
        <f>IF(AND(vp.data[[#This Row],[CrudeType]]="Crude",vp.data[[#This Row],[Dens]]&gt;900,vp.data[[#This Row],[Sulf]]&lt;=0.5,vp.data[[#This Row],[Unknown]]=0),1,0)</f>
        <v>0</v>
      </c>
      <c r="AG1220" t="str">
        <f>INDEX(vp.data[[#Headers],[Unknown]:[Heavy_SW]],MATCH(1,vp.data[[#This Row],[Unknown]:[Heavy_SW]],0))</f>
        <v>Medium_LSB</v>
      </c>
      <c r="AH1220">
        <f>INDEX([3]!crudeBD.lkup[Number],MATCH(vp.data[[#This Row],[Crude_Breakdown]],crudeBD.lkup[Crude Breakdown],0))</f>
        <v>3</v>
      </c>
      <c r="AI1220">
        <f>MONTH(vp.data[[#This Row],[SDate]])</f>
        <v>4</v>
      </c>
      <c r="AJ1220" s="5">
        <f>(vp.data[[#This Row],[VP]]-INDEX(crudeBD.lkup[Mean_VP],MATCH(vp.data[[#This Row],[Crude_Breakdown]],crudeBD.lkup[Crude Breakdown],0)))^2</f>
        <v>50.97498123669444</v>
      </c>
      <c r="AK1220" s="5">
        <f>(vp.data[[#This Row],[Dens]]-INDEX(crudeBD.lkup[Mean_Dens],MATCH(vp.data[[#This Row],[Crude_Breakdown]],crudeBD.lkup[Crude Breakdown],0)))^2</f>
        <v>39.438400000006794</v>
      </c>
      <c r="AL1220" s="5">
        <f>(vp.data[[#This Row],[Sulf]]-INDEX(crudeBD.lkup[Mean_Sulf],MATCH(vp.data[[#This Row],[Crude_Breakdown]],crudeBD.lkup[Crude Breakdown],0)))^2</f>
        <v>1.8114972362538555E-2</v>
      </c>
      <c r="AM1220" s="4">
        <f>IF(AND(vp.data[[#This Row],[SDate]]&gt;=DATE(YEAR(vp.data[[#This Row],[SDate]]),5,1),vp.data[[#This Row],[SDate]]&lt;=DATE(YEAR(vp.data[[#This Row],[SDate]]),9,15)),1,0)</f>
        <v>0</v>
      </c>
      <c r="AN1220" s="4">
        <f>IF(vp.data[[#This Row],[SDate]]&lt;DATE(2016,12,1),0,1)</f>
        <v>1</v>
      </c>
      <c r="AO1220" s="4">
        <f>IFERROR(vp.data[[#This Row],[Sulf]]*vp.data[[#This Row],[Net Dens]],"")</f>
        <v>1976023.27728</v>
      </c>
      <c r="AP1220">
        <f>IFERROR(vp.data[[#This Row],[Dens]]*vp.data[[#This Row],[VolumeM3]],"")</f>
        <v>1300015.314</v>
      </c>
      <c r="AQ1220" s="15">
        <f>IFERROR(vp.data[[#This Row],[VP]]*vp.data[[#This Row],[VolumeM3]],"")</f>
        <v>112386.64499999999</v>
      </c>
    </row>
    <row r="1221" spans="1:43" x14ac:dyDescent="0.25">
      <c r="A1221">
        <v>1220</v>
      </c>
      <c r="B1221" t="s">
        <v>68</v>
      </c>
      <c r="C1221" t="s">
        <v>68</v>
      </c>
      <c r="D1221" t="s">
        <v>98</v>
      </c>
      <c r="F1221" s="1">
        <v>42836</v>
      </c>
      <c r="G1221" s="2">
        <v>57.3</v>
      </c>
      <c r="H1221" s="2"/>
      <c r="I1221" s="2">
        <f t="array" ref="I1221">_xlfn.IFNA(IF(vp.data[[#This Row],[Sulf Input]]="",INDEX([1]DATA!$Q$3:$Q$9826,MATCH(1,(vp.data[[#This Row],[Battery]]=[1]DATA!$L$3:$L$9826)*(EOMONTH(vp.data[[#This Row],[SDate]],-1)+1=[1]DATA!$G$3:$G$9826),0)),vp.data[[#This Row],[Sulf Input]]),"")</f>
        <v>1.35</v>
      </c>
      <c r="J1221" s="2">
        <v>36.799999999999997</v>
      </c>
      <c r="K1221" s="2">
        <v>8</v>
      </c>
      <c r="L1221" s="2">
        <v>852.1</v>
      </c>
      <c r="M1221" s="2">
        <f t="array" ref="M1221">_xlfn.IFNA(IF(vp.data[[#This Row],[Dens Input]]="",INDEX([1]DATA!$O$3:$O$9826,MATCH(1,(vp.data[[#This Row],[Battery]]=[1]DATA!$L$3:$L$9826)*(EOMONTH(vp.data[[#This Row],[SDate]],-1)+1=[1]DATA!$G$3:$G$9826),0)),vp.data[[#This Row],[Dens Input]]),"")</f>
        <v>852.1</v>
      </c>
      <c r="N1221" s="2">
        <f ca="1">INDEX(INDIRECT(_xlfn.CONCAT("weather.tbl[",N$1,"]")),MATCH(vp.data[[#This Row],[SDate]],weather.tbl[Date],0))</f>
        <v>5.2833333333333341</v>
      </c>
      <c r="O1221" s="2">
        <f ca="1">INDEX(INDIRECT(_xlfn.CONCAT("weather.tbl[",O$1,"]")),MATCH(vp.data[[#This Row],[SDate]],weather.tbl[Date],0))</f>
        <v>5.9023809523809518</v>
      </c>
      <c r="P1221" s="2">
        <f ca="1">INDEX(INDIRECT(_xlfn.CONCAT("weather.tbl[",P$1,"]")),MATCH(vp.data[[#This Row],[SDate]],weather.tbl[Date],0))</f>
        <v>6.1</v>
      </c>
      <c r="Q1221" s="2">
        <f ca="1">INDEX(INDIRECT(_xlfn.CONCAT("weather.tbl[",Q$1,"]")),MATCH(vp.data[[#This Row],[SDate]],weather.tbl[Date],0))</f>
        <v>5.5</v>
      </c>
      <c r="R1221" s="2">
        <f ca="1">INDEX(INDIRECT(_xlfn.CONCAT("weather.tbl[",R$1,"]")),MATCH(vp.data[[#This Row],[SDate]],weather.tbl[Date],0))</f>
        <v>4.5</v>
      </c>
      <c r="S1221" s="2">
        <f ca="1">INDEX(INDIRECT(_xlfn.CONCAT("weather.tbl[",S$1,"]")),MATCH(vp.data[[#This Row],[SDate]],weather.tbl[Date],0))</f>
        <v>5.5</v>
      </c>
      <c r="T1221" s="2">
        <f ca="1">INDEX(INDIRECT(_xlfn.CONCAT("weather.tbl[",T$1,"]")),MATCH(vp.data[[#This Row],[SDate]],weather.tbl[Date],0))</f>
        <v>5.0999999999999996</v>
      </c>
      <c r="U1221" s="2">
        <f ca="1">INDEX(INDIRECT(_xlfn.CONCAT("weather.tbl[",U$1,"]")),MATCH(vp.data[[#This Row],[SDate]],weather.tbl[Date],0))</f>
        <v>5</v>
      </c>
      <c r="V1221" s="2">
        <f t="array" ref="V12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4664.6729999999998</v>
      </c>
      <c r="W1221" t="s">
        <v>48</v>
      </c>
      <c r="X1221">
        <f>IF(OR(vp.data[[#This Row],[Sulf]]="",vp.data[[#This Row],[Dens]]=""),1,0)</f>
        <v>0</v>
      </c>
      <c r="Y1221">
        <f>IF(vp.data[[#This Row],[CrudeType]]="C5+",1,0)</f>
        <v>0</v>
      </c>
      <c r="Z1221">
        <f>IF(AND(vp.data[[#This Row],[CrudeType]]="Crude",vp.data[[#This Row],[Dens]]&lt;=825,vp.data[[#This Row],[Sulf]]&gt;0.5,vp.data[[#This Row],[Unknown]]=0),1,0)</f>
        <v>0</v>
      </c>
      <c r="AA1221">
        <f>IF(AND(vp.data[[#This Row],[CrudeType]]="Crude",vp.data[[#This Row],[Dens]]&lt;=825,vp.data[[#This Row],[Sulf]]&lt;=0.5,vp.data[[#This Row],[Unknown]]=0),1,0)</f>
        <v>0</v>
      </c>
      <c r="AB12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1">
        <f>IF(AND(vp.data[[#This Row],[CrudeType]]="Crude",vp.data[[#This Row],[Dens]]&gt;825,vp.data[[#This Row],[Dens]]&lt;=900,vp.data[[#This Row],[Sulf]]&lt;=0.5,vp.data[[#This Row],[Unknown]]=0),1,0)</f>
        <v>0</v>
      </c>
      <c r="AD1221">
        <f>IF(AND(vp.data[[#This Row],[CrudeType]]="Crude",vp.data[[#This Row],[Dens]]&gt;865,vp.data[[#This Row],[Dens]]&lt;=900,vp.data[[#This Row],[Sulf]]&gt;2,vp.data[[#This Row],[Unknown]]=0),1,0)</f>
        <v>0</v>
      </c>
      <c r="AE1221">
        <f>IF(AND(vp.data[[#This Row],[CrudeType]]="Crude",vp.data[[#This Row],[Dens]]&gt;900,vp.data[[#This Row],[Sulf]]&lt;=0.5,vp.data[[#This Row],[Unknown]]=0),1,0)</f>
        <v>0</v>
      </c>
      <c r="AF1221">
        <f>IF(AND(vp.data[[#This Row],[CrudeType]]="Crude",vp.data[[#This Row],[Dens]]&gt;900,vp.data[[#This Row],[Sulf]]&lt;=0.5,vp.data[[#This Row],[Unknown]]=0),1,0)</f>
        <v>0</v>
      </c>
      <c r="AG1221" t="str">
        <f>INDEX(vp.data[[#Headers],[Unknown]:[Heavy_SW]],MATCH(1,vp.data[[#This Row],[Unknown]:[Heavy_SW]],0))</f>
        <v>Medium_LSB</v>
      </c>
      <c r="AH1221">
        <f>INDEX([3]!crudeBD.lkup[Number],MATCH(vp.data[[#This Row],[Crude_Breakdown]],crudeBD.lkup[Crude Breakdown],0))</f>
        <v>3</v>
      </c>
      <c r="AI1221">
        <f>MONTH(vp.data[[#This Row],[SDate]])</f>
        <v>4</v>
      </c>
      <c r="AJ1221" s="5">
        <f>(vp.data[[#This Row],[VP]]-INDEX(crudeBD.lkup[Mean_VP],MATCH(vp.data[[#This Row],[Crude_Breakdown]],crudeBD.lkup[Crude Breakdown],0)))^2</f>
        <v>544.7405014523257</v>
      </c>
      <c r="AK1221" s="5">
        <f>(vp.data[[#This Row],[Dens]]-INDEX(crudeBD.lkup[Mean_Dens],MATCH(vp.data[[#This Row],[Crude_Breakdown]],crudeBD.lkup[Crude Breakdown],0)))^2</f>
        <v>66.912400000008475</v>
      </c>
      <c r="AL1221" s="5">
        <f>(vp.data[[#This Row],[Sulf]]-INDEX(crudeBD.lkup[Mean_Sulf],MATCH(vp.data[[#This Row],[Crude_Breakdown]],crudeBD.lkup[Crude Breakdown],0)))^2</f>
        <v>1.2537354353153419E-3</v>
      </c>
      <c r="AM1221" s="4">
        <f>IF(AND(vp.data[[#This Row],[SDate]]&gt;=DATE(YEAR(vp.data[[#This Row],[SDate]]),5,1),vp.data[[#This Row],[SDate]]&lt;=DATE(YEAR(vp.data[[#This Row],[SDate]]),9,15)),1,0)</f>
        <v>0</v>
      </c>
      <c r="AN1221" s="4">
        <f>IF(vp.data[[#This Row],[SDate]]&lt;DATE(2016,12,1),0,1)</f>
        <v>1</v>
      </c>
      <c r="AO1221" s="4">
        <f>IFERROR(vp.data[[#This Row],[Sulf]]*vp.data[[#This Row],[Net Dens]],"")</f>
        <v>5365936.6154549997</v>
      </c>
      <c r="AP1221">
        <f>IFERROR(vp.data[[#This Row],[Dens]]*vp.data[[#This Row],[VolumeM3]],"")</f>
        <v>3974767.8632999999</v>
      </c>
      <c r="AQ1221" s="15">
        <f>IFERROR(vp.data[[#This Row],[VP]]*vp.data[[#This Row],[VolumeM3]],"")</f>
        <v>267285.76289999997</v>
      </c>
    </row>
    <row r="1222" spans="1:43" x14ac:dyDescent="0.25">
      <c r="A1222">
        <v>1221</v>
      </c>
      <c r="B1222" t="s">
        <v>68</v>
      </c>
      <c r="C1222" t="s">
        <v>68</v>
      </c>
      <c r="D1222" t="s">
        <v>110</v>
      </c>
      <c r="F1222" s="1">
        <v>42836</v>
      </c>
      <c r="G1222" s="2">
        <v>60.9</v>
      </c>
      <c r="H1222" s="2"/>
      <c r="I1222" s="2">
        <f t="array" ref="I1222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222" s="2">
        <v>37.200000000000003</v>
      </c>
      <c r="K1222" s="2">
        <v>8</v>
      </c>
      <c r="L1222" s="2">
        <v>853.3</v>
      </c>
      <c r="M1222" s="2">
        <f t="array" ref="M1222">_xlfn.IFNA(IF(vp.data[[#This Row],[Dens Input]]="",INDEX([1]DATA!$O$3:$O$9826,MATCH(1,(vp.data[[#This Row],[Battery]]=[1]DATA!$L$3:$L$9826)*(EOMONTH(vp.data[[#This Row],[SDate]],-1)+1=[1]DATA!$G$3:$G$9826),0)),vp.data[[#This Row],[Dens Input]]),"")</f>
        <v>853.3</v>
      </c>
      <c r="N1222" s="2">
        <f ca="1">INDEX(INDIRECT(_xlfn.CONCAT("weather.tbl[",N$1,"]")),MATCH(vp.data[[#This Row],[SDate]],weather.tbl[Date],0))</f>
        <v>5.2833333333333341</v>
      </c>
      <c r="O1222" s="2">
        <f ca="1">INDEX(INDIRECT(_xlfn.CONCAT("weather.tbl[",O$1,"]")),MATCH(vp.data[[#This Row],[SDate]],weather.tbl[Date],0))</f>
        <v>5.9023809523809518</v>
      </c>
      <c r="P1222" s="2">
        <f ca="1">INDEX(INDIRECT(_xlfn.CONCAT("weather.tbl[",P$1,"]")),MATCH(vp.data[[#This Row],[SDate]],weather.tbl[Date],0))</f>
        <v>6.1</v>
      </c>
      <c r="Q1222" s="2">
        <f ca="1">INDEX(INDIRECT(_xlfn.CONCAT("weather.tbl[",Q$1,"]")),MATCH(vp.data[[#This Row],[SDate]],weather.tbl[Date],0))</f>
        <v>5.5</v>
      </c>
      <c r="R1222" s="2">
        <f ca="1">INDEX(INDIRECT(_xlfn.CONCAT("weather.tbl[",R$1,"]")),MATCH(vp.data[[#This Row],[SDate]],weather.tbl[Date],0))</f>
        <v>4.5</v>
      </c>
      <c r="S1222" s="2">
        <f ca="1">INDEX(INDIRECT(_xlfn.CONCAT("weather.tbl[",S$1,"]")),MATCH(vp.data[[#This Row],[SDate]],weather.tbl[Date],0))</f>
        <v>5.5</v>
      </c>
      <c r="T1222" s="2">
        <f ca="1">INDEX(INDIRECT(_xlfn.CONCAT("weather.tbl[",T$1,"]")),MATCH(vp.data[[#This Row],[SDate]],weather.tbl[Date],0))</f>
        <v>5.0999999999999996</v>
      </c>
      <c r="U1222" s="2">
        <f ca="1">INDEX(INDIRECT(_xlfn.CONCAT("weather.tbl[",U$1,"]")),MATCH(vp.data[[#This Row],[SDate]],weather.tbl[Date],0))</f>
        <v>5</v>
      </c>
      <c r="V1222" s="2">
        <f t="array" ref="V12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4378.3119999999999</v>
      </c>
      <c r="W1222" t="s">
        <v>48</v>
      </c>
      <c r="X1222">
        <f>IF(OR(vp.data[[#This Row],[Sulf]]="",vp.data[[#This Row],[Dens]]=""),1,0)</f>
        <v>0</v>
      </c>
      <c r="Y1222">
        <f>IF(vp.data[[#This Row],[CrudeType]]="C5+",1,0)</f>
        <v>0</v>
      </c>
      <c r="Z1222">
        <f>IF(AND(vp.data[[#This Row],[CrudeType]]="Crude",vp.data[[#This Row],[Dens]]&lt;=825,vp.data[[#This Row],[Sulf]]&gt;0.5,vp.data[[#This Row],[Unknown]]=0),1,0)</f>
        <v>0</v>
      </c>
      <c r="AA1222">
        <f>IF(AND(vp.data[[#This Row],[CrudeType]]="Crude",vp.data[[#This Row],[Dens]]&lt;=825,vp.data[[#This Row],[Sulf]]&lt;=0.5,vp.data[[#This Row],[Unknown]]=0),1,0)</f>
        <v>0</v>
      </c>
      <c r="AB12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2">
        <f>IF(AND(vp.data[[#This Row],[CrudeType]]="Crude",vp.data[[#This Row],[Dens]]&gt;825,vp.data[[#This Row],[Dens]]&lt;=900,vp.data[[#This Row],[Sulf]]&lt;=0.5,vp.data[[#This Row],[Unknown]]=0),1,0)</f>
        <v>0</v>
      </c>
      <c r="AD1222">
        <f>IF(AND(vp.data[[#This Row],[CrudeType]]="Crude",vp.data[[#This Row],[Dens]]&gt;865,vp.data[[#This Row],[Dens]]&lt;=900,vp.data[[#This Row],[Sulf]]&gt;2,vp.data[[#This Row],[Unknown]]=0),1,0)</f>
        <v>0</v>
      </c>
      <c r="AE1222">
        <f>IF(AND(vp.data[[#This Row],[CrudeType]]="Crude",vp.data[[#This Row],[Dens]]&gt;900,vp.data[[#This Row],[Sulf]]&lt;=0.5,vp.data[[#This Row],[Unknown]]=0),1,0)</f>
        <v>0</v>
      </c>
      <c r="AF1222">
        <f>IF(AND(vp.data[[#This Row],[CrudeType]]="Crude",vp.data[[#This Row],[Dens]]&gt;900,vp.data[[#This Row],[Sulf]]&lt;=0.5,vp.data[[#This Row],[Unknown]]=0),1,0)</f>
        <v>0</v>
      </c>
      <c r="AG1222" t="str">
        <f>INDEX(vp.data[[#Headers],[Unknown]:[Heavy_SW]],MATCH(1,vp.data[[#This Row],[Unknown]:[Heavy_SW]],0))</f>
        <v>Medium_LSB</v>
      </c>
      <c r="AH1222">
        <f>INDEX([3]!crudeBD.lkup[Number],MATCH(vp.data[[#This Row],[Crude_Breakdown]],crudeBD.lkup[Crude Breakdown],0))</f>
        <v>3</v>
      </c>
      <c r="AI1222">
        <f>MONTH(vp.data[[#This Row],[SDate]])</f>
        <v>4</v>
      </c>
      <c r="AJ1222" s="5">
        <f>(vp.data[[#This Row],[VP]]-INDEX(crudeBD.lkup[Mean_VP],MATCH(vp.data[[#This Row],[Crude_Breakdown]],crudeBD.lkup[Crude Breakdown],0)))^2</f>
        <v>389.65483029329647</v>
      </c>
      <c r="AK1222" s="5">
        <f>(vp.data[[#This Row],[Dens]]-INDEX(crudeBD.lkup[Mean_Dens],MATCH(vp.data[[#This Row],[Crude_Breakdown]],crudeBD.lkup[Crude Breakdown],0)))^2</f>
        <v>87.984400000008449</v>
      </c>
      <c r="AL1222" s="5">
        <f>(vp.data[[#This Row],[Sulf]]-INDEX(crudeBD.lkup[Mean_Sulf],MATCH(vp.data[[#This Row],[Crude_Breakdown]],crudeBD.lkup[Crude Breakdown],0)))^2</f>
        <v>4.1721100983878141E-3</v>
      </c>
      <c r="AM1222" s="4">
        <f>IF(AND(vp.data[[#This Row],[SDate]]&gt;=DATE(YEAR(vp.data[[#This Row],[SDate]]),5,1),vp.data[[#This Row],[SDate]]&lt;=DATE(YEAR(vp.data[[#This Row],[SDate]]),9,15)),1,0)</f>
        <v>0</v>
      </c>
      <c r="AN1222" s="4">
        <f>IF(vp.data[[#This Row],[SDate]]&lt;DATE(2016,12,1),0,1)</f>
        <v>1</v>
      </c>
      <c r="AO1222" s="4">
        <f>IFERROR(vp.data[[#This Row],[Sulf]]*vp.data[[#This Row],[Net Dens]],"")</f>
        <v>5417219.7629199997</v>
      </c>
      <c r="AP1222">
        <f>IFERROR(vp.data[[#This Row],[Dens]]*vp.data[[#This Row],[VolumeM3]],"")</f>
        <v>3736013.6295999996</v>
      </c>
      <c r="AQ1222" s="15">
        <f>IFERROR(vp.data[[#This Row],[VP]]*vp.data[[#This Row],[VolumeM3]],"")</f>
        <v>266639.20079999999</v>
      </c>
    </row>
    <row r="1223" spans="1:43" x14ac:dyDescent="0.25">
      <c r="A1223">
        <v>1222</v>
      </c>
      <c r="B1223" t="s">
        <v>49</v>
      </c>
      <c r="C1223" t="s">
        <v>49</v>
      </c>
      <c r="D1223" t="s">
        <v>78</v>
      </c>
      <c r="F1223" s="1">
        <v>42837</v>
      </c>
      <c r="G1223" s="2">
        <v>80.900000000000006</v>
      </c>
      <c r="H1223" s="2">
        <v>0.17100000000000001</v>
      </c>
      <c r="I1223" s="2">
        <f t="array" ref="I1223">_xlfn.IFNA(IF(vp.data[[#This Row],[Sulf Input]]="",INDEX([1]DATA!$Q$3:$Q$9826,MATCH(1,(vp.data[[#This Row],[Battery]]=[1]DATA!$L$3:$L$9826)*(EOMONTH(vp.data[[#This Row],[SDate]],-1)+1=[1]DATA!$G$3:$G$9826),0)),vp.data[[#This Row],[Sulf Input]]),"")</f>
        <v>0.17100000000000001</v>
      </c>
      <c r="J1223" s="2">
        <v>9.3000000000000007</v>
      </c>
      <c r="K1223" s="2">
        <v>15</v>
      </c>
      <c r="L1223" s="2">
        <v>808.2</v>
      </c>
      <c r="M1223" s="2">
        <f t="array" ref="M1223">_xlfn.IFNA(IF(vp.data[[#This Row],[Dens Input]]="",INDEX([1]DATA!$O$3:$O$9826,MATCH(1,(vp.data[[#This Row],[Battery]]=[1]DATA!$L$3:$L$9826)*(EOMONTH(vp.data[[#This Row],[SDate]],-1)+1=[1]DATA!$G$3:$G$9826),0)),vp.data[[#This Row],[Dens Input]]),"")</f>
        <v>808.2</v>
      </c>
      <c r="N1223" s="2">
        <f ca="1">INDEX(INDIRECT(_xlfn.CONCAT("weather.tbl[",N$1,"]")),MATCH(vp.data[[#This Row],[SDate]],weather.tbl[Date],0))</f>
        <v>6.0166666666666666</v>
      </c>
      <c r="O1223" s="2">
        <f ca="1">INDEX(INDIRECT(_xlfn.CONCAT("weather.tbl[",O$1,"]")),MATCH(vp.data[[#This Row],[SDate]],weather.tbl[Date],0))</f>
        <v>6.2952380952380951</v>
      </c>
      <c r="P1223" s="2">
        <f ca="1">INDEX(INDIRECT(_xlfn.CONCAT("weather.tbl[",P$1,"]")),MATCH(vp.data[[#This Row],[SDate]],weather.tbl[Date],0))</f>
        <v>6.2</v>
      </c>
      <c r="Q1223" s="2">
        <f ca="1">INDEX(INDIRECT(_xlfn.CONCAT("weather.tbl[",Q$1,"]")),MATCH(vp.data[[#This Row],[SDate]],weather.tbl[Date],0))</f>
        <v>5.4</v>
      </c>
      <c r="R1223" s="2">
        <f ca="1">INDEX(INDIRECT(_xlfn.CONCAT("weather.tbl[",R$1,"]")),MATCH(vp.data[[#This Row],[SDate]],weather.tbl[Date],0))</f>
        <v>6</v>
      </c>
      <c r="S1223" s="2">
        <f ca="1">INDEX(INDIRECT(_xlfn.CONCAT("weather.tbl[",S$1,"]")),MATCH(vp.data[[#This Row],[SDate]],weather.tbl[Date],0))</f>
        <v>5.7</v>
      </c>
      <c r="T1223" s="2">
        <f ca="1">INDEX(INDIRECT(_xlfn.CONCAT("weather.tbl[",T$1,"]")),MATCH(vp.data[[#This Row],[SDate]],weather.tbl[Date],0))</f>
        <v>6.8</v>
      </c>
      <c r="U1223" s="2">
        <f ca="1">INDEX(INDIRECT(_xlfn.CONCAT("weather.tbl[",U$1,"]")),MATCH(vp.data[[#This Row],[SDate]],weather.tbl[Date],0))</f>
        <v>6</v>
      </c>
      <c r="V1223" s="2">
        <f t="array" ref="V12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19811.154999999999</v>
      </c>
      <c r="W1223" t="s">
        <v>48</v>
      </c>
      <c r="X1223">
        <f>IF(OR(vp.data[[#This Row],[Sulf]]="",vp.data[[#This Row],[Dens]]=""),1,0)</f>
        <v>0</v>
      </c>
      <c r="Y1223">
        <f>IF(vp.data[[#This Row],[CrudeType]]="C5+",1,0)</f>
        <v>0</v>
      </c>
      <c r="Z1223">
        <f>IF(AND(vp.data[[#This Row],[CrudeType]]="Crude",vp.data[[#This Row],[Dens]]&lt;=825,vp.data[[#This Row],[Sulf]]&gt;0.5,vp.data[[#This Row],[Unknown]]=0),1,0)</f>
        <v>0</v>
      </c>
      <c r="AA1223">
        <f>IF(AND(vp.data[[#This Row],[CrudeType]]="Crude",vp.data[[#This Row],[Dens]]&lt;=825,vp.data[[#This Row],[Sulf]]&lt;=0.5,vp.data[[#This Row],[Unknown]]=0),1,0)</f>
        <v>1</v>
      </c>
      <c r="AB12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23">
        <f>IF(AND(vp.data[[#This Row],[CrudeType]]="Crude",vp.data[[#This Row],[Dens]]&gt;825,vp.data[[#This Row],[Dens]]&lt;=900,vp.data[[#This Row],[Sulf]]&lt;=0.5,vp.data[[#This Row],[Unknown]]=0),1,0)</f>
        <v>0</v>
      </c>
      <c r="AD1223">
        <f>IF(AND(vp.data[[#This Row],[CrudeType]]="Crude",vp.data[[#This Row],[Dens]]&gt;865,vp.data[[#This Row],[Dens]]&lt;=900,vp.data[[#This Row],[Sulf]]&gt;2,vp.data[[#This Row],[Unknown]]=0),1,0)</f>
        <v>0</v>
      </c>
      <c r="AE1223">
        <f>IF(AND(vp.data[[#This Row],[CrudeType]]="Crude",vp.data[[#This Row],[Dens]]&gt;900,vp.data[[#This Row],[Sulf]]&lt;=0.5,vp.data[[#This Row],[Unknown]]=0),1,0)</f>
        <v>0</v>
      </c>
      <c r="AF1223">
        <f>IF(AND(vp.data[[#This Row],[CrudeType]]="Crude",vp.data[[#This Row],[Dens]]&gt;900,vp.data[[#This Row],[Sulf]]&lt;=0.5,vp.data[[#This Row],[Unknown]]=0),1,0)</f>
        <v>0</v>
      </c>
      <c r="AG1223" t="str">
        <f>INDEX(vp.data[[#Headers],[Unknown]:[Heavy_SW]],MATCH(1,vp.data[[#This Row],[Unknown]:[Heavy_SW]],0))</f>
        <v>Light_SW</v>
      </c>
      <c r="AH1223">
        <f>INDEX([3]!crudeBD.lkup[Number],MATCH(vp.data[[#This Row],[Crude_Breakdown]],crudeBD.lkup[Crude Breakdown],0))</f>
        <v>2</v>
      </c>
      <c r="AI1223">
        <f>MONTH(vp.data[[#This Row],[SDate]])</f>
        <v>4</v>
      </c>
      <c r="AJ1223" s="5">
        <f>(vp.data[[#This Row],[VP]]-INDEX(crudeBD.lkup[Mean_VP],MATCH(vp.data[[#This Row],[Crude_Breakdown]],crudeBD.lkup[Crude Breakdown],0)))^2</f>
        <v>135.7298067185462</v>
      </c>
      <c r="AK1223" s="5">
        <f>(vp.data[[#This Row],[Dens]]-INDEX(crudeBD.lkup[Mean_Dens],MATCH(vp.data[[#This Row],[Crude_Breakdown]],crudeBD.lkup[Crude Breakdown],0)))^2</f>
        <v>1.2431861501234131E-2</v>
      </c>
      <c r="AL1223" s="5">
        <f>(vp.data[[#This Row],[Sulf]]-INDEX(crudeBD.lkup[Mean_Sulf],MATCH(vp.data[[#This Row],[Crude_Breakdown]],crudeBD.lkup[Crude Breakdown],0)))^2</f>
        <v>4.2564940130388647E-3</v>
      </c>
      <c r="AM1223" s="4">
        <f>IF(AND(vp.data[[#This Row],[SDate]]&gt;=DATE(YEAR(vp.data[[#This Row],[SDate]]),5,1),vp.data[[#This Row],[SDate]]&lt;=DATE(YEAR(vp.data[[#This Row],[SDate]]),9,15)),1,0)</f>
        <v>0</v>
      </c>
      <c r="AN1223" s="4">
        <f>IF(vp.data[[#This Row],[SDate]]&lt;DATE(2016,12,1),0,1)</f>
        <v>1</v>
      </c>
      <c r="AO1223" s="4">
        <f>IFERROR(vp.data[[#This Row],[Sulf]]*vp.data[[#This Row],[Net Dens]],"")</f>
        <v>2737945.2055410002</v>
      </c>
      <c r="AP1223">
        <f>IFERROR(vp.data[[#This Row],[Dens]]*vp.data[[#This Row],[VolumeM3]],"")</f>
        <v>16011375.471000001</v>
      </c>
      <c r="AQ1223" s="15">
        <f>IFERROR(vp.data[[#This Row],[VP]]*vp.data[[#This Row],[VolumeM3]],"")</f>
        <v>1602722.4395000001</v>
      </c>
    </row>
    <row r="1224" spans="1:43" x14ac:dyDescent="0.25">
      <c r="A1224">
        <v>1223</v>
      </c>
      <c r="B1224" t="s">
        <v>49</v>
      </c>
      <c r="C1224" t="s">
        <v>49</v>
      </c>
      <c r="D1224" t="s">
        <v>92</v>
      </c>
      <c r="F1224" s="1">
        <v>42837</v>
      </c>
      <c r="G1224" s="2">
        <v>75</v>
      </c>
      <c r="H1224" s="2">
        <v>0.54500000000000004</v>
      </c>
      <c r="I1224" s="2">
        <f t="array" ref="I1224">_xlfn.IFNA(IF(vp.data[[#This Row],[Sulf Input]]="",INDEX([1]DATA!$Q$3:$Q$9826,MATCH(1,(vp.data[[#This Row],[Battery]]=[1]DATA!$L$3:$L$9826)*(EOMONTH(vp.data[[#This Row],[SDate]],-1)+1=[1]DATA!$G$3:$G$9826),0)),vp.data[[#This Row],[Sulf Input]]),"")</f>
        <v>0.54500000000000004</v>
      </c>
      <c r="J1224" s="2">
        <v>20.100000000000001</v>
      </c>
      <c r="K1224" s="2">
        <v>15</v>
      </c>
      <c r="L1224" s="2">
        <v>824.1</v>
      </c>
      <c r="M1224" s="2">
        <f t="array" ref="M1224">_xlfn.IFNA(IF(vp.data[[#This Row],[Dens Input]]="",INDEX([1]DATA!$O$3:$O$9826,MATCH(1,(vp.data[[#This Row],[Battery]]=[1]DATA!$L$3:$L$9826)*(EOMONTH(vp.data[[#This Row],[SDate]],-1)+1=[1]DATA!$G$3:$G$9826),0)),vp.data[[#This Row],[Dens Input]]),"")</f>
        <v>824.1</v>
      </c>
      <c r="N1224" s="2">
        <f ca="1">INDEX(INDIRECT(_xlfn.CONCAT("weather.tbl[",N$1,"]")),MATCH(vp.data[[#This Row],[SDate]],weather.tbl[Date],0))</f>
        <v>6.0166666666666666</v>
      </c>
      <c r="O1224" s="2">
        <f ca="1">INDEX(INDIRECT(_xlfn.CONCAT("weather.tbl[",O$1,"]")),MATCH(vp.data[[#This Row],[SDate]],weather.tbl[Date],0))</f>
        <v>6.2952380952380951</v>
      </c>
      <c r="P1224" s="2">
        <f ca="1">INDEX(INDIRECT(_xlfn.CONCAT("weather.tbl[",P$1,"]")),MATCH(vp.data[[#This Row],[SDate]],weather.tbl[Date],0))</f>
        <v>6.2</v>
      </c>
      <c r="Q1224" s="2">
        <f ca="1">INDEX(INDIRECT(_xlfn.CONCAT("weather.tbl[",Q$1,"]")),MATCH(vp.data[[#This Row],[SDate]],weather.tbl[Date],0))</f>
        <v>5.4</v>
      </c>
      <c r="R1224" s="2">
        <f ca="1">INDEX(INDIRECT(_xlfn.CONCAT("weather.tbl[",R$1,"]")),MATCH(vp.data[[#This Row],[SDate]],weather.tbl[Date],0))</f>
        <v>6</v>
      </c>
      <c r="S1224" s="2">
        <f ca="1">INDEX(INDIRECT(_xlfn.CONCAT("weather.tbl[",S$1,"]")),MATCH(vp.data[[#This Row],[SDate]],weather.tbl[Date],0))</f>
        <v>5.7</v>
      </c>
      <c r="T1224" s="2">
        <f ca="1">INDEX(INDIRECT(_xlfn.CONCAT("weather.tbl[",T$1,"]")),MATCH(vp.data[[#This Row],[SDate]],weather.tbl[Date],0))</f>
        <v>6.8</v>
      </c>
      <c r="U1224" s="2">
        <f ca="1">INDEX(INDIRECT(_xlfn.CONCAT("weather.tbl[",U$1,"]")),MATCH(vp.data[[#This Row],[SDate]],weather.tbl[Date],0))</f>
        <v>6</v>
      </c>
      <c r="V1224" s="2">
        <f t="array" ref="V12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23117.685000000001</v>
      </c>
      <c r="W1224" t="s">
        <v>48</v>
      </c>
      <c r="X1224">
        <f>IF(OR(vp.data[[#This Row],[Sulf]]="",vp.data[[#This Row],[Dens]]=""),1,0)</f>
        <v>0</v>
      </c>
      <c r="Y1224">
        <f>IF(vp.data[[#This Row],[CrudeType]]="C5+",1,0)</f>
        <v>0</v>
      </c>
      <c r="Z1224">
        <f>IF(AND(vp.data[[#This Row],[CrudeType]]="Crude",vp.data[[#This Row],[Dens]]&lt;=825,vp.data[[#This Row],[Sulf]]&gt;0.5,vp.data[[#This Row],[Unknown]]=0),1,0)</f>
        <v>1</v>
      </c>
      <c r="AA1224">
        <f>IF(AND(vp.data[[#This Row],[CrudeType]]="Crude",vp.data[[#This Row],[Dens]]&lt;=825,vp.data[[#This Row],[Sulf]]&lt;=0.5,vp.data[[#This Row],[Unknown]]=0),1,0)</f>
        <v>0</v>
      </c>
      <c r="AB12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24">
        <f>IF(AND(vp.data[[#This Row],[CrudeType]]="Crude",vp.data[[#This Row],[Dens]]&gt;825,vp.data[[#This Row],[Dens]]&lt;=900,vp.data[[#This Row],[Sulf]]&lt;=0.5,vp.data[[#This Row],[Unknown]]=0),1,0)</f>
        <v>0</v>
      </c>
      <c r="AD1224">
        <f>IF(AND(vp.data[[#This Row],[CrudeType]]="Crude",vp.data[[#This Row],[Dens]]&gt;865,vp.data[[#This Row],[Dens]]&lt;=900,vp.data[[#This Row],[Sulf]]&gt;2,vp.data[[#This Row],[Unknown]]=0),1,0)</f>
        <v>0</v>
      </c>
      <c r="AE1224">
        <f>IF(AND(vp.data[[#This Row],[CrudeType]]="Crude",vp.data[[#This Row],[Dens]]&gt;900,vp.data[[#This Row],[Sulf]]&lt;=0.5,vp.data[[#This Row],[Unknown]]=0),1,0)</f>
        <v>0</v>
      </c>
      <c r="AF1224">
        <f>IF(AND(vp.data[[#This Row],[CrudeType]]="Crude",vp.data[[#This Row],[Dens]]&gt;900,vp.data[[#This Row],[Sulf]]&lt;=0.5,vp.data[[#This Row],[Unknown]]=0),1,0)</f>
        <v>0</v>
      </c>
      <c r="AG1224" t="str">
        <f>INDEX(vp.data[[#Headers],[Unknown]:[Heavy_SW]],MATCH(1,vp.data[[#This Row],[Unknown]:[Heavy_SW]],0))</f>
        <v>Light_LSB</v>
      </c>
      <c r="AH1224">
        <f>INDEX([3]!crudeBD.lkup[Number],MATCH(vp.data[[#This Row],[Crude_Breakdown]],crudeBD.lkup[Crude Breakdown],0))</f>
        <v>1</v>
      </c>
      <c r="AI1224">
        <f>MONTH(vp.data[[#This Row],[SDate]])</f>
        <v>4</v>
      </c>
      <c r="AJ1224" s="5">
        <f>(vp.data[[#This Row],[VP]]-INDEX(crudeBD.lkup[Mean_VP],MATCH(vp.data[[#This Row],[Crude_Breakdown]],crudeBD.lkup[Crude Breakdown],0)))^2</f>
        <v>273.77625681794132</v>
      </c>
      <c r="AK1224" s="5">
        <f>(vp.data[[#This Row],[Dens]]-INDEX(crudeBD.lkup[Mean_Dens],MATCH(vp.data[[#This Row],[Crude_Breakdown]],crudeBD.lkup[Crude Breakdown],0)))^2</f>
        <v>31.172459918993855</v>
      </c>
      <c r="AL1224" s="5">
        <f>(vp.data[[#This Row],[Sulf]]-INDEX(crudeBD.lkup[Mean_Sulf],MATCH(vp.data[[#This Row],[Crude_Breakdown]],crudeBD.lkup[Crude Breakdown],0)))^2</f>
        <v>0.14286220413023087</v>
      </c>
      <c r="AM1224" s="4">
        <f>IF(AND(vp.data[[#This Row],[SDate]]&gt;=DATE(YEAR(vp.data[[#This Row],[SDate]]),5,1),vp.data[[#This Row],[SDate]]&lt;=DATE(YEAR(vp.data[[#This Row],[SDate]]),9,15)),1,0)</f>
        <v>0</v>
      </c>
      <c r="AN1224" s="4">
        <f>IF(vp.data[[#This Row],[SDate]]&lt;DATE(2016,12,1),0,1)</f>
        <v>1</v>
      </c>
      <c r="AO1224" s="4">
        <f>IFERROR(vp.data[[#This Row],[Sulf]]*vp.data[[#This Row],[Net Dens]],"")</f>
        <v>10382949.893632501</v>
      </c>
      <c r="AP1224">
        <f>IFERROR(vp.data[[#This Row],[Dens]]*vp.data[[#This Row],[VolumeM3]],"")</f>
        <v>19051284.208500002</v>
      </c>
      <c r="AQ1224" s="15">
        <f>IFERROR(vp.data[[#This Row],[VP]]*vp.data[[#This Row],[VolumeM3]],"")</f>
        <v>1733826.375</v>
      </c>
    </row>
    <row r="1225" spans="1:43" x14ac:dyDescent="0.25">
      <c r="A1225">
        <v>1224</v>
      </c>
      <c r="B1225" t="s">
        <v>49</v>
      </c>
      <c r="C1225" t="s">
        <v>49</v>
      </c>
      <c r="D1225" t="s">
        <v>50</v>
      </c>
      <c r="F1225" s="1">
        <v>42837</v>
      </c>
      <c r="G1225" s="2">
        <v>73.3</v>
      </c>
      <c r="H1225" s="2">
        <v>2.661</v>
      </c>
      <c r="I1225" s="2">
        <f t="array" ref="I1225">_xlfn.IFNA(IF(vp.data[[#This Row],[Sulf Input]]="",INDEX([1]DATA!$Q$3:$Q$9826,MATCH(1,(vp.data[[#This Row],[Battery]]=[1]DATA!$L$3:$L$9826)*(EOMONTH(vp.data[[#This Row],[SDate]],-1)+1=[1]DATA!$G$3:$G$9826),0)),vp.data[[#This Row],[Sulf Input]]),"")</f>
        <v>2.661</v>
      </c>
      <c r="J1225" s="2">
        <v>18.2</v>
      </c>
      <c r="K1225" s="2">
        <v>15</v>
      </c>
      <c r="L1225" s="2">
        <v>868.2</v>
      </c>
      <c r="M1225" s="2">
        <f t="array" ref="M1225">_xlfn.IFNA(IF(vp.data[[#This Row],[Dens Input]]="",INDEX([1]DATA!$O$3:$O$9826,MATCH(1,(vp.data[[#This Row],[Battery]]=[1]DATA!$L$3:$L$9826)*(EOMONTH(vp.data[[#This Row],[SDate]],-1)+1=[1]DATA!$G$3:$G$9826),0)),vp.data[[#This Row],[Dens Input]]),"")</f>
        <v>868.2</v>
      </c>
      <c r="N1225" s="2">
        <f ca="1">INDEX(INDIRECT(_xlfn.CONCAT("weather.tbl[",N$1,"]")),MATCH(vp.data[[#This Row],[SDate]],weather.tbl[Date],0))</f>
        <v>6.0166666666666666</v>
      </c>
      <c r="O1225" s="2">
        <f ca="1">INDEX(INDIRECT(_xlfn.CONCAT("weather.tbl[",O$1,"]")),MATCH(vp.data[[#This Row],[SDate]],weather.tbl[Date],0))</f>
        <v>6.2952380952380951</v>
      </c>
      <c r="P1225" s="2">
        <f ca="1">INDEX(INDIRECT(_xlfn.CONCAT("weather.tbl[",P$1,"]")),MATCH(vp.data[[#This Row],[SDate]],weather.tbl[Date],0))</f>
        <v>6.2</v>
      </c>
      <c r="Q1225" s="2">
        <f ca="1">INDEX(INDIRECT(_xlfn.CONCAT("weather.tbl[",Q$1,"]")),MATCH(vp.data[[#This Row],[SDate]],weather.tbl[Date],0))</f>
        <v>5.4</v>
      </c>
      <c r="R1225" s="2">
        <f ca="1">INDEX(INDIRECT(_xlfn.CONCAT("weather.tbl[",R$1,"]")),MATCH(vp.data[[#This Row],[SDate]],weather.tbl[Date],0))</f>
        <v>6</v>
      </c>
      <c r="S1225" s="2">
        <f ca="1">INDEX(INDIRECT(_xlfn.CONCAT("weather.tbl[",S$1,"]")),MATCH(vp.data[[#This Row],[SDate]],weather.tbl[Date],0))</f>
        <v>5.7</v>
      </c>
      <c r="T1225" s="2">
        <f ca="1">INDEX(INDIRECT(_xlfn.CONCAT("weather.tbl[",T$1,"]")),MATCH(vp.data[[#This Row],[SDate]],weather.tbl[Date],0))</f>
        <v>6.8</v>
      </c>
      <c r="U1225" s="2">
        <f ca="1">INDEX(INDIRECT(_xlfn.CONCAT("weather.tbl[",U$1,"]")),MATCH(vp.data[[#This Row],[SDate]],weather.tbl[Date],0))</f>
        <v>6</v>
      </c>
      <c r="V1225" s="2">
        <f t="array" ref="V12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6716.366</v>
      </c>
      <c r="W1225" t="s">
        <v>48</v>
      </c>
      <c r="X1225">
        <f>IF(OR(vp.data[[#This Row],[Sulf]]="",vp.data[[#This Row],[Dens]]=""),1,0)</f>
        <v>0</v>
      </c>
      <c r="Y1225">
        <f>IF(vp.data[[#This Row],[CrudeType]]="C5+",1,0)</f>
        <v>0</v>
      </c>
      <c r="Z1225">
        <f>IF(AND(vp.data[[#This Row],[CrudeType]]="Crude",vp.data[[#This Row],[Dens]]&lt;=825,vp.data[[#This Row],[Sulf]]&gt;0.5,vp.data[[#This Row],[Unknown]]=0),1,0)</f>
        <v>0</v>
      </c>
      <c r="AA1225">
        <f>IF(AND(vp.data[[#This Row],[CrudeType]]="Crude",vp.data[[#This Row],[Dens]]&lt;=825,vp.data[[#This Row],[Sulf]]&lt;=0.5,vp.data[[#This Row],[Unknown]]=0),1,0)</f>
        <v>0</v>
      </c>
      <c r="AB12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25">
        <f>IF(AND(vp.data[[#This Row],[CrudeType]]="Crude",vp.data[[#This Row],[Dens]]&gt;825,vp.data[[#This Row],[Dens]]&lt;=900,vp.data[[#This Row],[Sulf]]&lt;=0.5,vp.data[[#This Row],[Unknown]]=0),1,0)</f>
        <v>0</v>
      </c>
      <c r="AD1225">
        <f>IF(AND(vp.data[[#This Row],[CrudeType]]="Crude",vp.data[[#This Row],[Dens]]&gt;865,vp.data[[#This Row],[Dens]]&lt;=900,vp.data[[#This Row],[Sulf]]&gt;2,vp.data[[#This Row],[Unknown]]=0),1,0)</f>
        <v>1</v>
      </c>
      <c r="AE1225">
        <f>IF(AND(vp.data[[#This Row],[CrudeType]]="Crude",vp.data[[#This Row],[Dens]]&gt;900,vp.data[[#This Row],[Sulf]]&lt;=0.5,vp.data[[#This Row],[Unknown]]=0),1,0)</f>
        <v>0</v>
      </c>
      <c r="AF1225">
        <f>IF(AND(vp.data[[#This Row],[CrudeType]]="Crude",vp.data[[#This Row],[Dens]]&gt;900,vp.data[[#This Row],[Sulf]]&lt;=0.5,vp.data[[#This Row],[Unknown]]=0),1,0)</f>
        <v>0</v>
      </c>
      <c r="AG1225" t="str">
        <f>INDEX(vp.data[[#Headers],[Unknown]:[Heavy_SW]],MATCH(1,vp.data[[#This Row],[Unknown]:[Heavy_SW]],0))</f>
        <v>Midale</v>
      </c>
      <c r="AH1225">
        <f>INDEX([3]!crudeBD.lkup[Number],MATCH(vp.data[[#This Row],[Crude_Breakdown]],crudeBD.lkup[Crude Breakdown],0))</f>
        <v>5</v>
      </c>
      <c r="AI1225">
        <f>MONTH(vp.data[[#This Row],[SDate]])</f>
        <v>4</v>
      </c>
      <c r="AJ1225" s="5">
        <f>(vp.data[[#This Row],[VP]]-INDEX(crudeBD.lkup[Mean_VP],MATCH(vp.data[[#This Row],[Crude_Breakdown]],crudeBD.lkup[Crude Breakdown],0)))^2</f>
        <v>15.141726272717344</v>
      </c>
      <c r="AK1225" s="5">
        <f>(vp.data[[#This Row],[Dens]]-INDEX(crudeBD.lkup[Mean_Dens],MATCH(vp.data[[#This Row],[Crude_Breakdown]],crudeBD.lkup[Crude Breakdown],0)))^2</f>
        <v>43.784825433099435</v>
      </c>
      <c r="AL1225" s="5">
        <f>(vp.data[[#This Row],[Sulf]]-INDEX(crudeBD.lkup[Mean_Sulf],MATCH(vp.data[[#This Row],[Crude_Breakdown]],crudeBD.lkup[Crude Breakdown],0)))^2</f>
        <v>4.7255991706249945E-2</v>
      </c>
      <c r="AM1225" s="4">
        <f>IF(AND(vp.data[[#This Row],[SDate]]&gt;=DATE(YEAR(vp.data[[#This Row],[SDate]]),5,1),vp.data[[#This Row],[SDate]]&lt;=DATE(YEAR(vp.data[[#This Row],[SDate]]),9,15)),1,0)</f>
        <v>0</v>
      </c>
      <c r="AN1225" s="4">
        <f>IF(vp.data[[#This Row],[SDate]]&lt;DATE(2016,12,1),0,1)</f>
        <v>1</v>
      </c>
      <c r="AO1225" s="4">
        <f>IFERROR(vp.data[[#This Row],[Sulf]]*vp.data[[#This Row],[Net Dens]],"")</f>
        <v>15516687.385753201</v>
      </c>
      <c r="AP1225">
        <f>IFERROR(vp.data[[#This Row],[Dens]]*vp.data[[#This Row],[VolumeM3]],"")</f>
        <v>5831148.9612000007</v>
      </c>
      <c r="AQ1225" s="15">
        <f>IFERROR(vp.data[[#This Row],[VP]]*vp.data[[#This Row],[VolumeM3]],"")</f>
        <v>492309.62779999996</v>
      </c>
    </row>
    <row r="1226" spans="1:43" x14ac:dyDescent="0.25">
      <c r="A1226">
        <v>1225</v>
      </c>
      <c r="B1226" t="s">
        <v>51</v>
      </c>
      <c r="C1226" t="s">
        <v>51</v>
      </c>
      <c r="D1226" t="s">
        <v>58</v>
      </c>
      <c r="F1226" s="1">
        <v>42837</v>
      </c>
      <c r="G1226" s="2">
        <v>97.4</v>
      </c>
      <c r="H1226" s="2"/>
      <c r="I1226" s="2">
        <f t="array" ref="I1226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1226" s="2">
        <v>28.4</v>
      </c>
      <c r="K1226" s="2">
        <v>15</v>
      </c>
      <c r="L1226" s="2">
        <v>814.2</v>
      </c>
      <c r="M1226" s="2">
        <f t="array" ref="M1226">_xlfn.IFNA(IF(vp.data[[#This Row],[Dens Input]]="",INDEX([1]DATA!$O$3:$O$9826,MATCH(1,(vp.data[[#This Row],[Battery]]=[1]DATA!$L$3:$L$9826)*(EOMONTH(vp.data[[#This Row],[SDate]],-1)+1=[1]DATA!$G$3:$G$9826),0)),vp.data[[#This Row],[Dens Input]]),"")</f>
        <v>814.2</v>
      </c>
      <c r="N1226" s="2">
        <f ca="1">INDEX(INDIRECT(_xlfn.CONCAT("weather.tbl[",N$1,"]")),MATCH(vp.data[[#This Row],[SDate]],weather.tbl[Date],0))</f>
        <v>6.0166666666666666</v>
      </c>
      <c r="O1226" s="2">
        <f ca="1">INDEX(INDIRECT(_xlfn.CONCAT("weather.tbl[",O$1,"]")),MATCH(vp.data[[#This Row],[SDate]],weather.tbl[Date],0))</f>
        <v>6.2952380952380951</v>
      </c>
      <c r="P1226" s="2">
        <f ca="1">INDEX(INDIRECT(_xlfn.CONCAT("weather.tbl[",P$1,"]")),MATCH(vp.data[[#This Row],[SDate]],weather.tbl[Date],0))</f>
        <v>6.2</v>
      </c>
      <c r="Q1226" s="2">
        <f ca="1">INDEX(INDIRECT(_xlfn.CONCAT("weather.tbl[",Q$1,"]")),MATCH(vp.data[[#This Row],[SDate]],weather.tbl[Date],0))</f>
        <v>5.4</v>
      </c>
      <c r="R1226" s="2">
        <f ca="1">INDEX(INDIRECT(_xlfn.CONCAT("weather.tbl[",R$1,"]")),MATCH(vp.data[[#This Row],[SDate]],weather.tbl[Date],0))</f>
        <v>6</v>
      </c>
      <c r="S1226" s="2">
        <f ca="1">INDEX(INDIRECT(_xlfn.CONCAT("weather.tbl[",S$1,"]")),MATCH(vp.data[[#This Row],[SDate]],weather.tbl[Date],0))</f>
        <v>5.7</v>
      </c>
      <c r="T1226" s="2">
        <f ca="1">INDEX(INDIRECT(_xlfn.CONCAT("weather.tbl[",T$1,"]")),MATCH(vp.data[[#This Row],[SDate]],weather.tbl[Date],0))</f>
        <v>6.8</v>
      </c>
      <c r="U1226" s="2">
        <f ca="1">INDEX(INDIRECT(_xlfn.CONCAT("weather.tbl[",U$1,"]")),MATCH(vp.data[[#This Row],[SDate]],weather.tbl[Date],0))</f>
        <v>6</v>
      </c>
      <c r="V1226" s="2">
        <f t="array" ref="V12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5505.9059999999999</v>
      </c>
      <c r="W1226" t="s">
        <v>48</v>
      </c>
      <c r="X1226">
        <f>IF(OR(vp.data[[#This Row],[Sulf]]="",vp.data[[#This Row],[Dens]]=""),1,0)</f>
        <v>0</v>
      </c>
      <c r="Y1226">
        <f>IF(vp.data[[#This Row],[CrudeType]]="C5+",1,0)</f>
        <v>0</v>
      </c>
      <c r="Z1226">
        <f>IF(AND(vp.data[[#This Row],[CrudeType]]="Crude",vp.data[[#This Row],[Dens]]&lt;=825,vp.data[[#This Row],[Sulf]]&gt;0.5,vp.data[[#This Row],[Unknown]]=0),1,0)</f>
        <v>1</v>
      </c>
      <c r="AA1226">
        <f>IF(AND(vp.data[[#This Row],[CrudeType]]="Crude",vp.data[[#This Row],[Dens]]&lt;=825,vp.data[[#This Row],[Sulf]]&lt;=0.5,vp.data[[#This Row],[Unknown]]=0),1,0)</f>
        <v>0</v>
      </c>
      <c r="AB12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26">
        <f>IF(AND(vp.data[[#This Row],[CrudeType]]="Crude",vp.data[[#This Row],[Dens]]&gt;825,vp.data[[#This Row],[Dens]]&lt;=900,vp.data[[#This Row],[Sulf]]&lt;=0.5,vp.data[[#This Row],[Unknown]]=0),1,0)</f>
        <v>0</v>
      </c>
      <c r="AD1226">
        <f>IF(AND(vp.data[[#This Row],[CrudeType]]="Crude",vp.data[[#This Row],[Dens]]&gt;865,vp.data[[#This Row],[Dens]]&lt;=900,vp.data[[#This Row],[Sulf]]&gt;2,vp.data[[#This Row],[Unknown]]=0),1,0)</f>
        <v>0</v>
      </c>
      <c r="AE1226">
        <f>IF(AND(vp.data[[#This Row],[CrudeType]]="Crude",vp.data[[#This Row],[Dens]]&gt;900,vp.data[[#This Row],[Sulf]]&lt;=0.5,vp.data[[#This Row],[Unknown]]=0),1,0)</f>
        <v>0</v>
      </c>
      <c r="AF1226">
        <f>IF(AND(vp.data[[#This Row],[CrudeType]]="Crude",vp.data[[#This Row],[Dens]]&gt;900,vp.data[[#This Row],[Sulf]]&lt;=0.5,vp.data[[#This Row],[Unknown]]=0),1,0)</f>
        <v>0</v>
      </c>
      <c r="AG1226" t="str">
        <f>INDEX(vp.data[[#Headers],[Unknown]:[Heavy_SW]],MATCH(1,vp.data[[#This Row],[Unknown]:[Heavy_SW]],0))</f>
        <v>Light_LSB</v>
      </c>
      <c r="AH1226">
        <f>INDEX([3]!crudeBD.lkup[Number],MATCH(vp.data[[#This Row],[Crude_Breakdown]],crudeBD.lkup[Crude Breakdown],0))</f>
        <v>1</v>
      </c>
      <c r="AI1226">
        <f>MONTH(vp.data[[#This Row],[SDate]])</f>
        <v>4</v>
      </c>
      <c r="AJ1226" s="5">
        <f>(vp.data[[#This Row],[VP]]-INDEX(crudeBD.lkup[Mean_VP],MATCH(vp.data[[#This Row],[Crude_Breakdown]],crudeBD.lkup[Crude Breakdown],0)))^2</f>
        <v>34.267143415878117</v>
      </c>
      <c r="AK1226" s="5">
        <f>(vp.data[[#This Row],[Dens]]-INDEX(crudeBD.lkup[Mean_Dens],MATCH(vp.data[[#This Row],[Crude_Breakdown]],crudeBD.lkup[Crude Breakdown],0)))^2</f>
        <v>18.634501156100391</v>
      </c>
      <c r="AL1226" s="5">
        <f>(vp.data[[#This Row],[Sulf]]-INDEX(crudeBD.lkup[Mean_Sulf],MATCH(vp.data[[#This Row],[Crude_Breakdown]],crudeBD.lkup[Crude Breakdown],0)))^2</f>
        <v>0.16567246976597019</v>
      </c>
      <c r="AM1226" s="4">
        <f>IF(AND(vp.data[[#This Row],[SDate]]&gt;=DATE(YEAR(vp.data[[#This Row],[SDate]]),5,1),vp.data[[#This Row],[SDate]]&lt;=DATE(YEAR(vp.data[[#This Row],[SDate]]),9,15)),1,0)</f>
        <v>0</v>
      </c>
      <c r="AN1226" s="4">
        <f>IF(vp.data[[#This Row],[SDate]]&lt;DATE(2016,12,1),0,1)</f>
        <v>1</v>
      </c>
      <c r="AO1226" s="4">
        <f>IFERROR(vp.data[[#This Row],[Sulf]]*vp.data[[#This Row],[Net Dens]],"")</f>
        <v>5962268.524716001</v>
      </c>
      <c r="AP1226">
        <f>IFERROR(vp.data[[#This Row],[Dens]]*vp.data[[#This Row],[VolumeM3]],"")</f>
        <v>4482908.6652000006</v>
      </c>
      <c r="AQ1226" s="15">
        <f>IFERROR(vp.data[[#This Row],[VP]]*vp.data[[#This Row],[VolumeM3]],"")</f>
        <v>536275.24440000008</v>
      </c>
    </row>
    <row r="1227" spans="1:43" x14ac:dyDescent="0.25">
      <c r="A1227">
        <v>1226</v>
      </c>
      <c r="B1227" t="s">
        <v>51</v>
      </c>
      <c r="C1227" t="s">
        <v>51</v>
      </c>
      <c r="D1227" t="s">
        <v>71</v>
      </c>
      <c r="F1227" s="1">
        <v>42837</v>
      </c>
      <c r="G1227" s="2">
        <v>84.9</v>
      </c>
      <c r="H1227" s="2"/>
      <c r="I1227" s="2">
        <f t="array" ref="I1227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1227" s="2">
        <v>28</v>
      </c>
      <c r="K1227" s="2">
        <v>15</v>
      </c>
      <c r="L1227" s="2">
        <v>824.6</v>
      </c>
      <c r="M1227" s="2">
        <f t="array" ref="M1227">_xlfn.IFNA(IF(vp.data[[#This Row],[Dens Input]]="",INDEX([1]DATA!$O$3:$O$9826,MATCH(1,(vp.data[[#This Row],[Battery]]=[1]DATA!$L$3:$L$9826)*(EOMONTH(vp.data[[#This Row],[SDate]],-1)+1=[1]DATA!$G$3:$G$9826),0)),vp.data[[#This Row],[Dens Input]]),"")</f>
        <v>824.6</v>
      </c>
      <c r="N1227" s="2">
        <f ca="1">INDEX(INDIRECT(_xlfn.CONCAT("weather.tbl[",N$1,"]")),MATCH(vp.data[[#This Row],[SDate]],weather.tbl[Date],0))</f>
        <v>6.0166666666666666</v>
      </c>
      <c r="O1227" s="2">
        <f ca="1">INDEX(INDIRECT(_xlfn.CONCAT("weather.tbl[",O$1,"]")),MATCH(vp.data[[#This Row],[SDate]],weather.tbl[Date],0))</f>
        <v>6.2952380952380951</v>
      </c>
      <c r="P1227" s="2">
        <f ca="1">INDEX(INDIRECT(_xlfn.CONCAT("weather.tbl[",P$1,"]")),MATCH(vp.data[[#This Row],[SDate]],weather.tbl[Date],0))</f>
        <v>6.2</v>
      </c>
      <c r="Q1227" s="2">
        <f ca="1">INDEX(INDIRECT(_xlfn.CONCAT("weather.tbl[",Q$1,"]")),MATCH(vp.data[[#This Row],[SDate]],weather.tbl[Date],0))</f>
        <v>5.4</v>
      </c>
      <c r="R1227" s="2">
        <f ca="1">INDEX(INDIRECT(_xlfn.CONCAT("weather.tbl[",R$1,"]")),MATCH(vp.data[[#This Row],[SDate]],weather.tbl[Date],0))</f>
        <v>6</v>
      </c>
      <c r="S1227" s="2">
        <f ca="1">INDEX(INDIRECT(_xlfn.CONCAT("weather.tbl[",S$1,"]")),MATCH(vp.data[[#This Row],[SDate]],weather.tbl[Date],0))</f>
        <v>5.7</v>
      </c>
      <c r="T1227" s="2">
        <f ca="1">INDEX(INDIRECT(_xlfn.CONCAT("weather.tbl[",T$1,"]")),MATCH(vp.data[[#This Row],[SDate]],weather.tbl[Date],0))</f>
        <v>6.8</v>
      </c>
      <c r="U1227" s="2">
        <f ca="1">INDEX(INDIRECT(_xlfn.CONCAT("weather.tbl[",U$1,"]")),MATCH(vp.data[[#This Row],[SDate]],weather.tbl[Date],0))</f>
        <v>6</v>
      </c>
      <c r="V1227" s="2">
        <f t="array" ref="V12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8466.4830000000002</v>
      </c>
      <c r="W1227" t="s">
        <v>48</v>
      </c>
      <c r="X1227">
        <f>IF(OR(vp.data[[#This Row],[Sulf]]="",vp.data[[#This Row],[Dens]]=""),1,0)</f>
        <v>0</v>
      </c>
      <c r="Y1227">
        <f>IF(vp.data[[#This Row],[CrudeType]]="C5+",1,0)</f>
        <v>0</v>
      </c>
      <c r="Z1227">
        <f>IF(AND(vp.data[[#This Row],[CrudeType]]="Crude",vp.data[[#This Row],[Dens]]&lt;=825,vp.data[[#This Row],[Sulf]]&gt;0.5,vp.data[[#This Row],[Unknown]]=0),1,0)</f>
        <v>1</v>
      </c>
      <c r="AA1227">
        <f>IF(AND(vp.data[[#This Row],[CrudeType]]="Crude",vp.data[[#This Row],[Dens]]&lt;=825,vp.data[[#This Row],[Sulf]]&lt;=0.5,vp.data[[#This Row],[Unknown]]=0),1,0)</f>
        <v>0</v>
      </c>
      <c r="AB12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27">
        <f>IF(AND(vp.data[[#This Row],[CrudeType]]="Crude",vp.data[[#This Row],[Dens]]&gt;825,vp.data[[#This Row],[Dens]]&lt;=900,vp.data[[#This Row],[Sulf]]&lt;=0.5,vp.data[[#This Row],[Unknown]]=0),1,0)</f>
        <v>0</v>
      </c>
      <c r="AD1227">
        <f>IF(AND(vp.data[[#This Row],[CrudeType]]="Crude",vp.data[[#This Row],[Dens]]&gt;865,vp.data[[#This Row],[Dens]]&lt;=900,vp.data[[#This Row],[Sulf]]&gt;2,vp.data[[#This Row],[Unknown]]=0),1,0)</f>
        <v>0</v>
      </c>
      <c r="AE1227">
        <f>IF(AND(vp.data[[#This Row],[CrudeType]]="Crude",vp.data[[#This Row],[Dens]]&gt;900,vp.data[[#This Row],[Sulf]]&lt;=0.5,vp.data[[#This Row],[Unknown]]=0),1,0)</f>
        <v>0</v>
      </c>
      <c r="AF1227">
        <f>IF(AND(vp.data[[#This Row],[CrudeType]]="Crude",vp.data[[#This Row],[Dens]]&gt;900,vp.data[[#This Row],[Sulf]]&lt;=0.5,vp.data[[#This Row],[Unknown]]=0),1,0)</f>
        <v>0</v>
      </c>
      <c r="AG1227" t="str">
        <f>INDEX(vp.data[[#Headers],[Unknown]:[Heavy_SW]],MATCH(1,vp.data[[#This Row],[Unknown]:[Heavy_SW]],0))</f>
        <v>Light_LSB</v>
      </c>
      <c r="AH1227">
        <f>INDEX([3]!crudeBD.lkup[Number],MATCH(vp.data[[#This Row],[Crude_Breakdown]],crudeBD.lkup[Crude Breakdown],0))</f>
        <v>1</v>
      </c>
      <c r="AI1227">
        <f>MONTH(vp.data[[#This Row],[SDate]])</f>
        <v>4</v>
      </c>
      <c r="AJ1227" s="5">
        <f>(vp.data[[#This Row],[VP]]-INDEX(crudeBD.lkup[Mean_VP],MATCH(vp.data[[#This Row],[Crude_Breakdown]],crudeBD.lkup[Crude Breakdown],0)))^2</f>
        <v>44.171782591136484</v>
      </c>
      <c r="AK1227" s="5">
        <f>(vp.data[[#This Row],[Dens]]-INDEX(crudeBD.lkup[Mean_Dens],MATCH(vp.data[[#This Row],[Crude_Breakdown]],crudeBD.lkup[Crude Breakdown],0)))^2</f>
        <v>37.005690159544017</v>
      </c>
      <c r="AL1227" s="5">
        <f>(vp.data[[#This Row],[Sulf]]-INDEX(crudeBD.lkup[Mean_Sulf],MATCH(vp.data[[#This Row],[Crude_Breakdown]],crudeBD.lkup[Crude Breakdown],0)))^2</f>
        <v>0.41864630894122806</v>
      </c>
      <c r="AM1227" s="4">
        <f>IF(AND(vp.data[[#This Row],[SDate]]&gt;=DATE(YEAR(vp.data[[#This Row],[SDate]]),5,1),vp.data[[#This Row],[SDate]]&lt;=DATE(YEAR(vp.data[[#This Row],[SDate]]),9,15)),1,0)</f>
        <v>0</v>
      </c>
      <c r="AN1227" s="4">
        <f>IF(vp.data[[#This Row],[SDate]]&lt;DATE(2016,12,1),0,1)</f>
        <v>1</v>
      </c>
      <c r="AO1227" s="4">
        <f>IFERROR(vp.data[[#This Row],[Sulf]]*vp.data[[#This Row],[Net Dens]],"")</f>
        <v>10960895.154426001</v>
      </c>
      <c r="AP1227">
        <f>IFERROR(vp.data[[#This Row],[Dens]]*vp.data[[#This Row],[VolumeM3]],"")</f>
        <v>6981461.8818000006</v>
      </c>
      <c r="AQ1227" s="15">
        <f>IFERROR(vp.data[[#This Row],[VP]]*vp.data[[#This Row],[VolumeM3]],"")</f>
        <v>718804.40670000005</v>
      </c>
    </row>
    <row r="1228" spans="1:43" x14ac:dyDescent="0.25">
      <c r="A1228">
        <v>1227</v>
      </c>
      <c r="B1228" t="s">
        <v>56</v>
      </c>
      <c r="C1228" t="s">
        <v>56</v>
      </c>
      <c r="D1228" t="s">
        <v>57</v>
      </c>
      <c r="F1228" s="1">
        <v>42837</v>
      </c>
      <c r="G1228" s="2">
        <v>78.900000000000006</v>
      </c>
      <c r="H1228" s="2"/>
      <c r="I1228" s="2">
        <f t="array" ref="I1228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1228" s="2">
        <v>23.6</v>
      </c>
      <c r="K1228" s="2">
        <v>15</v>
      </c>
      <c r="L1228" s="2">
        <v>850.7</v>
      </c>
      <c r="M1228" s="2">
        <f t="array" ref="M1228">_xlfn.IFNA(IF(vp.data[[#This Row],[Dens Input]]="",INDEX([1]DATA!$O$3:$O$9826,MATCH(1,(vp.data[[#This Row],[Battery]]=[1]DATA!$L$3:$L$9826)*(EOMONTH(vp.data[[#This Row],[SDate]],-1)+1=[1]DATA!$G$3:$G$9826),0)),vp.data[[#This Row],[Dens Input]]),"")</f>
        <v>850.7</v>
      </c>
      <c r="N1228" s="2">
        <f ca="1">INDEX(INDIRECT(_xlfn.CONCAT("weather.tbl[",N$1,"]")),MATCH(vp.data[[#This Row],[SDate]],weather.tbl[Date],0))</f>
        <v>6.0166666666666666</v>
      </c>
      <c r="O1228" s="2">
        <f ca="1">INDEX(INDIRECT(_xlfn.CONCAT("weather.tbl[",O$1,"]")),MATCH(vp.data[[#This Row],[SDate]],weather.tbl[Date],0))</f>
        <v>6.2952380952380951</v>
      </c>
      <c r="P1228" s="2">
        <f ca="1">INDEX(INDIRECT(_xlfn.CONCAT("weather.tbl[",P$1,"]")),MATCH(vp.data[[#This Row],[SDate]],weather.tbl[Date],0))</f>
        <v>6.2</v>
      </c>
      <c r="Q1228" s="2">
        <f ca="1">INDEX(INDIRECT(_xlfn.CONCAT("weather.tbl[",Q$1,"]")),MATCH(vp.data[[#This Row],[SDate]],weather.tbl[Date],0))</f>
        <v>5.4</v>
      </c>
      <c r="R1228" s="2">
        <f ca="1">INDEX(INDIRECT(_xlfn.CONCAT("weather.tbl[",R$1,"]")),MATCH(vp.data[[#This Row],[SDate]],weather.tbl[Date],0))</f>
        <v>6</v>
      </c>
      <c r="S1228" s="2">
        <f ca="1">INDEX(INDIRECT(_xlfn.CONCAT("weather.tbl[",S$1,"]")),MATCH(vp.data[[#This Row],[SDate]],weather.tbl[Date],0))</f>
        <v>5.7</v>
      </c>
      <c r="T1228" s="2">
        <f ca="1">INDEX(INDIRECT(_xlfn.CONCAT("weather.tbl[",T$1,"]")),MATCH(vp.data[[#This Row],[SDate]],weather.tbl[Date],0))</f>
        <v>6.8</v>
      </c>
      <c r="U1228" s="2">
        <f ca="1">INDEX(INDIRECT(_xlfn.CONCAT("weather.tbl[",U$1,"]")),MATCH(vp.data[[#This Row],[SDate]],weather.tbl[Date],0))</f>
        <v>6</v>
      </c>
      <c r="V1228" s="2">
        <f t="array" ref="V12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2980.6370000000002</v>
      </c>
      <c r="W1228" t="s">
        <v>48</v>
      </c>
      <c r="X1228">
        <f>IF(OR(vp.data[[#This Row],[Sulf]]="",vp.data[[#This Row],[Dens]]=""),1,0)</f>
        <v>0</v>
      </c>
      <c r="Y1228">
        <f>IF(vp.data[[#This Row],[CrudeType]]="C5+",1,0)</f>
        <v>0</v>
      </c>
      <c r="Z1228">
        <f>IF(AND(vp.data[[#This Row],[CrudeType]]="Crude",vp.data[[#This Row],[Dens]]&lt;=825,vp.data[[#This Row],[Sulf]]&gt;0.5,vp.data[[#This Row],[Unknown]]=0),1,0)</f>
        <v>0</v>
      </c>
      <c r="AA1228">
        <f>IF(AND(vp.data[[#This Row],[CrudeType]]="Crude",vp.data[[#This Row],[Dens]]&lt;=825,vp.data[[#This Row],[Sulf]]&lt;=0.5,vp.data[[#This Row],[Unknown]]=0),1,0)</f>
        <v>0</v>
      </c>
      <c r="AB12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8">
        <f>IF(AND(vp.data[[#This Row],[CrudeType]]="Crude",vp.data[[#This Row],[Dens]]&gt;825,vp.data[[#This Row],[Dens]]&lt;=900,vp.data[[#This Row],[Sulf]]&lt;=0.5,vp.data[[#This Row],[Unknown]]=0),1,0)</f>
        <v>0</v>
      </c>
      <c r="AD1228">
        <f>IF(AND(vp.data[[#This Row],[CrudeType]]="Crude",vp.data[[#This Row],[Dens]]&gt;865,vp.data[[#This Row],[Dens]]&lt;=900,vp.data[[#This Row],[Sulf]]&gt;2,vp.data[[#This Row],[Unknown]]=0),1,0)</f>
        <v>0</v>
      </c>
      <c r="AE1228">
        <f>IF(AND(vp.data[[#This Row],[CrudeType]]="Crude",vp.data[[#This Row],[Dens]]&gt;900,vp.data[[#This Row],[Sulf]]&lt;=0.5,vp.data[[#This Row],[Unknown]]=0),1,0)</f>
        <v>0</v>
      </c>
      <c r="AF1228">
        <f>IF(AND(vp.data[[#This Row],[CrudeType]]="Crude",vp.data[[#This Row],[Dens]]&gt;900,vp.data[[#This Row],[Sulf]]&lt;=0.5,vp.data[[#This Row],[Unknown]]=0),1,0)</f>
        <v>0</v>
      </c>
      <c r="AG1228" t="str">
        <f>INDEX(vp.data[[#Headers],[Unknown]:[Heavy_SW]],MATCH(1,vp.data[[#This Row],[Unknown]:[Heavy_SW]],0))</f>
        <v>Medium_LSB</v>
      </c>
      <c r="AH1228">
        <f>INDEX([3]!crudeBD.lkup[Number],MATCH(vp.data[[#This Row],[Crude_Breakdown]],crudeBD.lkup[Crude Breakdown],0))</f>
        <v>3</v>
      </c>
      <c r="AI1228">
        <f>MONTH(vp.data[[#This Row],[SDate]])</f>
        <v>4</v>
      </c>
      <c r="AJ1228" s="5">
        <f>(vp.data[[#This Row],[VP]]-INDEX(crudeBD.lkup[Mean_VP],MATCH(vp.data[[#This Row],[Crude_Breakdown]],crudeBD.lkup[Crude Breakdown],0)))^2</f>
        <v>3.0264744981507183</v>
      </c>
      <c r="AK1228" s="5">
        <f>(vp.data[[#This Row],[Dens]]-INDEX(crudeBD.lkup[Mean_Dens],MATCH(vp.data[[#This Row],[Crude_Breakdown]],crudeBD.lkup[Crude Breakdown],0)))^2</f>
        <v>45.968400000007335</v>
      </c>
      <c r="AL1228" s="5">
        <f>(vp.data[[#This Row],[Sulf]]-INDEX(crudeBD.lkup[Mean_Sulf],MATCH(vp.data[[#This Row],[Crude_Breakdown]],crudeBD.lkup[Crude Breakdown],0)))^2</f>
        <v>8.678437182345447E-2</v>
      </c>
      <c r="AM1228" s="4">
        <f>IF(AND(vp.data[[#This Row],[SDate]]&gt;=DATE(YEAR(vp.data[[#This Row],[SDate]]),5,1),vp.data[[#This Row],[SDate]]&lt;=DATE(YEAR(vp.data[[#This Row],[SDate]]),9,15)),1,0)</f>
        <v>0</v>
      </c>
      <c r="AN1228" s="4">
        <f>IF(vp.data[[#This Row],[SDate]]&lt;DATE(2016,12,1),0,1)</f>
        <v>1</v>
      </c>
      <c r="AO1228" s="4">
        <f>IFERROR(vp.data[[#This Row],[Sulf]]*vp.data[[#This Row],[Net Dens]],"")</f>
        <v>4259854.8651120001</v>
      </c>
      <c r="AP1228">
        <f>IFERROR(vp.data[[#This Row],[Dens]]*vp.data[[#This Row],[VolumeM3]],"")</f>
        <v>2535627.8959000004</v>
      </c>
      <c r="AQ1228" s="15">
        <f>IFERROR(vp.data[[#This Row],[VP]]*vp.data[[#This Row],[VolumeM3]],"")</f>
        <v>235172.25930000003</v>
      </c>
    </row>
    <row r="1229" spans="1:43" x14ac:dyDescent="0.25">
      <c r="A1229">
        <v>1228</v>
      </c>
      <c r="B1229" t="s">
        <v>56</v>
      </c>
      <c r="C1229" t="s">
        <v>56</v>
      </c>
      <c r="D1229" t="s">
        <v>94</v>
      </c>
      <c r="F1229" s="1">
        <v>42837</v>
      </c>
      <c r="G1229" s="2">
        <v>75.599999999999994</v>
      </c>
      <c r="H1229" s="2"/>
      <c r="I1229" s="2">
        <f t="array" ref="I1229">_xlfn.IFNA(IF(vp.data[[#This Row],[Sulf Input]]="",INDEX([1]DATA!$Q$3:$Q$9826,MATCH(1,(vp.data[[#This Row],[Battery]]=[1]DATA!$L$3:$L$9826)*(EOMONTH(vp.data[[#This Row],[SDate]],-1)+1=[1]DATA!$G$3:$G$9826),0)),vp.data[[#This Row],[Sulf Input]]),"")</f>
        <v>1.97</v>
      </c>
      <c r="J1229" s="2">
        <v>25.8</v>
      </c>
      <c r="K1229" s="2">
        <v>15</v>
      </c>
      <c r="L1229" s="2">
        <v>857.8</v>
      </c>
      <c r="M1229" s="2">
        <f t="array" ref="M1229">_xlfn.IFNA(IF(vp.data[[#This Row],[Dens Input]]="",INDEX([1]DATA!$O$3:$O$9826,MATCH(1,(vp.data[[#This Row],[Battery]]=[1]DATA!$L$3:$L$9826)*(EOMONTH(vp.data[[#This Row],[SDate]],-1)+1=[1]DATA!$G$3:$G$9826),0)),vp.data[[#This Row],[Dens Input]]),"")</f>
        <v>857.8</v>
      </c>
      <c r="N1229" s="2">
        <f ca="1">INDEX(INDIRECT(_xlfn.CONCAT("weather.tbl[",N$1,"]")),MATCH(vp.data[[#This Row],[SDate]],weather.tbl[Date],0))</f>
        <v>6.0166666666666666</v>
      </c>
      <c r="O1229" s="2">
        <f ca="1">INDEX(INDIRECT(_xlfn.CONCAT("weather.tbl[",O$1,"]")),MATCH(vp.data[[#This Row],[SDate]],weather.tbl[Date],0))</f>
        <v>6.2952380952380951</v>
      </c>
      <c r="P1229" s="2">
        <f ca="1">INDEX(INDIRECT(_xlfn.CONCAT("weather.tbl[",P$1,"]")),MATCH(vp.data[[#This Row],[SDate]],weather.tbl[Date],0))</f>
        <v>6.2</v>
      </c>
      <c r="Q1229" s="2">
        <f ca="1">INDEX(INDIRECT(_xlfn.CONCAT("weather.tbl[",Q$1,"]")),MATCH(vp.data[[#This Row],[SDate]],weather.tbl[Date],0))</f>
        <v>5.4</v>
      </c>
      <c r="R1229" s="2">
        <f ca="1">INDEX(INDIRECT(_xlfn.CONCAT("weather.tbl[",R$1,"]")),MATCH(vp.data[[#This Row],[SDate]],weather.tbl[Date],0))</f>
        <v>6</v>
      </c>
      <c r="S1229" s="2">
        <f ca="1">INDEX(INDIRECT(_xlfn.CONCAT("weather.tbl[",S$1,"]")),MATCH(vp.data[[#This Row],[SDate]],weather.tbl[Date],0))</f>
        <v>5.7</v>
      </c>
      <c r="T1229" s="2">
        <f ca="1">INDEX(INDIRECT(_xlfn.CONCAT("weather.tbl[",T$1,"]")),MATCH(vp.data[[#This Row],[SDate]],weather.tbl[Date],0))</f>
        <v>6.8</v>
      </c>
      <c r="U1229" s="2">
        <f ca="1">INDEX(INDIRECT(_xlfn.CONCAT("weather.tbl[",U$1,"]")),MATCH(vp.data[[#This Row],[SDate]],weather.tbl[Date],0))</f>
        <v>6</v>
      </c>
      <c r="V1229" s="2">
        <f t="array" ref="V12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3705.826</v>
      </c>
      <c r="W1229" t="s">
        <v>48</v>
      </c>
      <c r="X1229">
        <f>IF(OR(vp.data[[#This Row],[Sulf]]="",vp.data[[#This Row],[Dens]]=""),1,0)</f>
        <v>0</v>
      </c>
      <c r="Y1229">
        <f>IF(vp.data[[#This Row],[CrudeType]]="C5+",1,0)</f>
        <v>0</v>
      </c>
      <c r="Z1229">
        <f>IF(AND(vp.data[[#This Row],[CrudeType]]="Crude",vp.data[[#This Row],[Dens]]&lt;=825,vp.data[[#This Row],[Sulf]]&gt;0.5,vp.data[[#This Row],[Unknown]]=0),1,0)</f>
        <v>0</v>
      </c>
      <c r="AA1229">
        <f>IF(AND(vp.data[[#This Row],[CrudeType]]="Crude",vp.data[[#This Row],[Dens]]&lt;=825,vp.data[[#This Row],[Sulf]]&lt;=0.5,vp.data[[#This Row],[Unknown]]=0),1,0)</f>
        <v>0</v>
      </c>
      <c r="AB12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29">
        <f>IF(AND(vp.data[[#This Row],[CrudeType]]="Crude",vp.data[[#This Row],[Dens]]&gt;825,vp.data[[#This Row],[Dens]]&lt;=900,vp.data[[#This Row],[Sulf]]&lt;=0.5,vp.data[[#This Row],[Unknown]]=0),1,0)</f>
        <v>0</v>
      </c>
      <c r="AD1229">
        <f>IF(AND(vp.data[[#This Row],[CrudeType]]="Crude",vp.data[[#This Row],[Dens]]&gt;865,vp.data[[#This Row],[Dens]]&lt;=900,vp.data[[#This Row],[Sulf]]&gt;2,vp.data[[#This Row],[Unknown]]=0),1,0)</f>
        <v>0</v>
      </c>
      <c r="AE1229">
        <f>IF(AND(vp.data[[#This Row],[CrudeType]]="Crude",vp.data[[#This Row],[Dens]]&gt;900,vp.data[[#This Row],[Sulf]]&lt;=0.5,vp.data[[#This Row],[Unknown]]=0),1,0)</f>
        <v>0</v>
      </c>
      <c r="AF1229">
        <f>IF(AND(vp.data[[#This Row],[CrudeType]]="Crude",vp.data[[#This Row],[Dens]]&gt;900,vp.data[[#This Row],[Sulf]]&lt;=0.5,vp.data[[#This Row],[Unknown]]=0),1,0)</f>
        <v>0</v>
      </c>
      <c r="AG1229" t="str">
        <f>INDEX(vp.data[[#Headers],[Unknown]:[Heavy_SW]],MATCH(1,vp.data[[#This Row],[Unknown]:[Heavy_SW]],0))</f>
        <v>Medium_LSB</v>
      </c>
      <c r="AH1229">
        <f>INDEX([3]!crudeBD.lkup[Number],MATCH(vp.data[[#This Row],[Crude_Breakdown]],crudeBD.lkup[Crude Breakdown],0))</f>
        <v>3</v>
      </c>
      <c r="AI1229">
        <f>MONTH(vp.data[[#This Row],[SDate]])</f>
        <v>4</v>
      </c>
      <c r="AJ1229" s="5">
        <f>(vp.data[[#This Row],[VP]]-INDEX(crudeBD.lkup[Mean_VP],MATCH(vp.data[[#This Row],[Crude_Breakdown]],crudeBD.lkup[Crude Breakdown],0)))^2</f>
        <v>25.398339727260836</v>
      </c>
      <c r="AK1229" s="5">
        <f>(vp.data[[#This Row],[Dens]]-INDEX(crudeBD.lkup[Mean_Dens],MATCH(vp.data[[#This Row],[Crude_Breakdown]],crudeBD.lkup[Crude Breakdown],0)))^2</f>
        <v>192.65440000001249</v>
      </c>
      <c r="AL1229" s="5">
        <f>(vp.data[[#This Row],[Sulf]]-INDEX(crudeBD.lkup[Mean_Sulf],MATCH(vp.data[[#This Row],[Crude_Breakdown]],crudeBD.lkup[Crude Breakdown],0)))^2</f>
        <v>0.34174765834636467</v>
      </c>
      <c r="AM1229" s="4">
        <f>IF(AND(vp.data[[#This Row],[SDate]]&gt;=DATE(YEAR(vp.data[[#This Row],[SDate]]),5,1),vp.data[[#This Row],[SDate]]&lt;=DATE(YEAR(vp.data[[#This Row],[SDate]]),9,15)),1,0)</f>
        <v>0</v>
      </c>
      <c r="AN1229" s="4">
        <f>IF(vp.data[[#This Row],[SDate]]&lt;DATE(2016,12,1),0,1)</f>
        <v>1</v>
      </c>
      <c r="AO1229" s="4">
        <f>IFERROR(vp.data[[#This Row],[Sulf]]*vp.data[[#This Row],[Net Dens]],"")</f>
        <v>6262349.3593159998</v>
      </c>
      <c r="AP1229">
        <f>IFERROR(vp.data[[#This Row],[Dens]]*vp.data[[#This Row],[VolumeM3]],"")</f>
        <v>3178857.5427999999</v>
      </c>
      <c r="AQ1229" s="15">
        <f>IFERROR(vp.data[[#This Row],[VP]]*vp.data[[#This Row],[VolumeM3]],"")</f>
        <v>280160.44559999998</v>
      </c>
    </row>
    <row r="1230" spans="1:43" x14ac:dyDescent="0.25">
      <c r="A1230">
        <v>1229</v>
      </c>
      <c r="B1230" t="s">
        <v>111</v>
      </c>
      <c r="C1230" t="s">
        <v>111</v>
      </c>
      <c r="D1230" t="s">
        <v>112</v>
      </c>
      <c r="F1230" s="1">
        <v>42837</v>
      </c>
      <c r="G1230" s="2">
        <v>66.2</v>
      </c>
      <c r="H1230" s="2"/>
      <c r="I1230" s="2">
        <f t="array" ref="I1230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1230" s="2">
        <v>38.700000000000003</v>
      </c>
      <c r="K1230" s="2">
        <v>15</v>
      </c>
      <c r="L1230" s="2">
        <v>858.8</v>
      </c>
      <c r="M1230" s="2">
        <f t="array" ref="M1230">_xlfn.IFNA(IF(vp.data[[#This Row],[Dens Input]]="",INDEX([1]DATA!$O$3:$O$9826,MATCH(1,(vp.data[[#This Row],[Battery]]=[1]DATA!$L$3:$L$9826)*(EOMONTH(vp.data[[#This Row],[SDate]],-1)+1=[1]DATA!$G$3:$G$9826),0)),vp.data[[#This Row],[Dens Input]]),"")</f>
        <v>858.8</v>
      </c>
      <c r="N1230" s="2">
        <f ca="1">INDEX(INDIRECT(_xlfn.CONCAT("weather.tbl[",N$1,"]")),MATCH(vp.data[[#This Row],[SDate]],weather.tbl[Date],0))</f>
        <v>6.0166666666666666</v>
      </c>
      <c r="O1230" s="2">
        <f ca="1">INDEX(INDIRECT(_xlfn.CONCAT("weather.tbl[",O$1,"]")),MATCH(vp.data[[#This Row],[SDate]],weather.tbl[Date],0))</f>
        <v>6.2952380952380951</v>
      </c>
      <c r="P1230" s="2">
        <f ca="1">INDEX(INDIRECT(_xlfn.CONCAT("weather.tbl[",P$1,"]")),MATCH(vp.data[[#This Row],[SDate]],weather.tbl[Date],0))</f>
        <v>6.2</v>
      </c>
      <c r="Q1230" s="2">
        <f ca="1">INDEX(INDIRECT(_xlfn.CONCAT("weather.tbl[",Q$1,"]")),MATCH(vp.data[[#This Row],[SDate]],weather.tbl[Date],0))</f>
        <v>5.4</v>
      </c>
      <c r="R1230" s="2">
        <f ca="1">INDEX(INDIRECT(_xlfn.CONCAT("weather.tbl[",R$1,"]")),MATCH(vp.data[[#This Row],[SDate]],weather.tbl[Date],0))</f>
        <v>6</v>
      </c>
      <c r="S1230" s="2">
        <f ca="1">INDEX(INDIRECT(_xlfn.CONCAT("weather.tbl[",S$1,"]")),MATCH(vp.data[[#This Row],[SDate]],weather.tbl[Date],0))</f>
        <v>5.7</v>
      </c>
      <c r="T1230" s="2">
        <f ca="1">INDEX(INDIRECT(_xlfn.CONCAT("weather.tbl[",T$1,"]")),MATCH(vp.data[[#This Row],[SDate]],weather.tbl[Date],0))</f>
        <v>6.8</v>
      </c>
      <c r="U1230" s="2">
        <f ca="1">INDEX(INDIRECT(_xlfn.CONCAT("weather.tbl[",U$1,"]")),MATCH(vp.data[[#This Row],[SDate]],weather.tbl[Date],0))</f>
        <v>6</v>
      </c>
      <c r="V1230" s="2">
        <f t="array" ref="V12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7693.7780000000002</v>
      </c>
      <c r="W1230" t="s">
        <v>48</v>
      </c>
      <c r="X1230">
        <f>IF(OR(vp.data[[#This Row],[Sulf]]="",vp.data[[#This Row],[Dens]]=""),1,0)</f>
        <v>0</v>
      </c>
      <c r="Y1230">
        <f>IF(vp.data[[#This Row],[CrudeType]]="C5+",1,0)</f>
        <v>0</v>
      </c>
      <c r="Z1230">
        <f>IF(AND(vp.data[[#This Row],[CrudeType]]="Crude",vp.data[[#This Row],[Dens]]&lt;=825,vp.data[[#This Row],[Sulf]]&gt;0.5,vp.data[[#This Row],[Unknown]]=0),1,0)</f>
        <v>0</v>
      </c>
      <c r="AA1230">
        <f>IF(AND(vp.data[[#This Row],[CrudeType]]="Crude",vp.data[[#This Row],[Dens]]&lt;=825,vp.data[[#This Row],[Sulf]]&lt;=0.5,vp.data[[#This Row],[Unknown]]=0),1,0)</f>
        <v>0</v>
      </c>
      <c r="AB12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30">
        <f>IF(AND(vp.data[[#This Row],[CrudeType]]="Crude",vp.data[[#This Row],[Dens]]&gt;825,vp.data[[#This Row],[Dens]]&lt;=900,vp.data[[#This Row],[Sulf]]&lt;=0.5,vp.data[[#This Row],[Unknown]]=0),1,0)</f>
        <v>0</v>
      </c>
      <c r="AD1230">
        <f>IF(AND(vp.data[[#This Row],[CrudeType]]="Crude",vp.data[[#This Row],[Dens]]&gt;865,vp.data[[#This Row],[Dens]]&lt;=900,vp.data[[#This Row],[Sulf]]&gt;2,vp.data[[#This Row],[Unknown]]=0),1,0)</f>
        <v>0</v>
      </c>
      <c r="AE1230">
        <f>IF(AND(vp.data[[#This Row],[CrudeType]]="Crude",vp.data[[#This Row],[Dens]]&gt;900,vp.data[[#This Row],[Sulf]]&lt;=0.5,vp.data[[#This Row],[Unknown]]=0),1,0)</f>
        <v>0</v>
      </c>
      <c r="AF1230">
        <f>IF(AND(vp.data[[#This Row],[CrudeType]]="Crude",vp.data[[#This Row],[Dens]]&gt;900,vp.data[[#This Row],[Sulf]]&lt;=0.5,vp.data[[#This Row],[Unknown]]=0),1,0)</f>
        <v>0</v>
      </c>
      <c r="AG1230" t="str">
        <f>INDEX(vp.data[[#Headers],[Unknown]:[Heavy_SW]],MATCH(1,vp.data[[#This Row],[Unknown]:[Heavy_SW]],0))</f>
        <v>Medium_LSB</v>
      </c>
      <c r="AH1230">
        <f>INDEX([3]!crudeBD.lkup[Number],MATCH(vp.data[[#This Row],[Crude_Breakdown]],crudeBD.lkup[Crude Breakdown],0))</f>
        <v>3</v>
      </c>
      <c r="AI1230">
        <f>MONTH(vp.data[[#This Row],[SDate]])</f>
        <v>4</v>
      </c>
      <c r="AJ1230" s="5">
        <f>(vp.data[[#This Row],[VP]]-INDEX(crudeBD.lkup[Mean_VP],MATCH(vp.data[[#This Row],[Crude_Breakdown]],crudeBD.lkup[Crude Breakdown],0)))^2</f>
        <v>208.50425886472567</v>
      </c>
      <c r="AK1230" s="5">
        <f>(vp.data[[#This Row],[Dens]]-INDEX(crudeBD.lkup[Mean_Dens],MATCH(vp.data[[#This Row],[Crude_Breakdown]],crudeBD.lkup[Crude Breakdown],0)))^2</f>
        <v>221.41440000001339</v>
      </c>
      <c r="AL1230" s="5">
        <f>(vp.data[[#This Row],[Sulf]]-INDEX(crudeBD.lkup[Mean_Sulf],MATCH(vp.data[[#This Row],[Crude_Breakdown]],crudeBD.lkup[Crude Breakdown],0)))^2</f>
        <v>0.23482928368329231</v>
      </c>
      <c r="AM1230" s="4">
        <f>IF(AND(vp.data[[#This Row],[SDate]]&gt;=DATE(YEAR(vp.data[[#This Row],[SDate]]),5,1),vp.data[[#This Row],[SDate]]&lt;=DATE(YEAR(vp.data[[#This Row],[SDate]]),9,15)),1,0)</f>
        <v>0</v>
      </c>
      <c r="AN1230" s="4">
        <f>IF(vp.data[[#This Row],[SDate]]&lt;DATE(2016,12,1),0,1)</f>
        <v>1</v>
      </c>
      <c r="AO1230" s="4">
        <f>IFERROR(vp.data[[#This Row],[Sulf]]*vp.data[[#This Row],[Net Dens]],"")</f>
        <v>12355868.941768</v>
      </c>
      <c r="AP1230">
        <f>IFERROR(vp.data[[#This Row],[Dens]]*vp.data[[#This Row],[VolumeM3]],"")</f>
        <v>6607416.5463999994</v>
      </c>
      <c r="AQ1230" s="15">
        <f>IFERROR(vp.data[[#This Row],[VP]]*vp.data[[#This Row],[VolumeM3]],"")</f>
        <v>509328.10360000003</v>
      </c>
    </row>
    <row r="1231" spans="1:43" x14ac:dyDescent="0.25">
      <c r="A1231">
        <v>1230</v>
      </c>
      <c r="B1231" t="s">
        <v>46</v>
      </c>
      <c r="C1231" t="s">
        <v>46</v>
      </c>
      <c r="D1231" t="s">
        <v>47</v>
      </c>
      <c r="F1231" s="1">
        <v>42837</v>
      </c>
      <c r="G1231" s="2">
        <v>57.3</v>
      </c>
      <c r="H1231" s="2"/>
      <c r="I1231" s="2">
        <f t="array" ref="I1231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231" s="2">
        <v>31.8</v>
      </c>
      <c r="K1231" s="2">
        <v>15</v>
      </c>
      <c r="L1231" s="2">
        <v>868.7</v>
      </c>
      <c r="M1231" s="2">
        <f t="array" ref="M1231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231" s="2">
        <f ca="1">INDEX(INDIRECT(_xlfn.CONCAT("weather.tbl[",N$1,"]")),MATCH(vp.data[[#This Row],[SDate]],weather.tbl[Date],0))</f>
        <v>6.0166666666666666</v>
      </c>
      <c r="O1231" s="2">
        <f ca="1">INDEX(INDIRECT(_xlfn.CONCAT("weather.tbl[",O$1,"]")),MATCH(vp.data[[#This Row],[SDate]],weather.tbl[Date],0))</f>
        <v>6.2952380952380951</v>
      </c>
      <c r="P1231" s="2">
        <f ca="1">INDEX(INDIRECT(_xlfn.CONCAT("weather.tbl[",P$1,"]")),MATCH(vp.data[[#This Row],[SDate]],weather.tbl[Date],0))</f>
        <v>6.2</v>
      </c>
      <c r="Q1231" s="2">
        <f ca="1">INDEX(INDIRECT(_xlfn.CONCAT("weather.tbl[",Q$1,"]")),MATCH(vp.data[[#This Row],[SDate]],weather.tbl[Date],0))</f>
        <v>5.4</v>
      </c>
      <c r="R1231" s="2">
        <f ca="1">INDEX(INDIRECT(_xlfn.CONCAT("weather.tbl[",R$1,"]")),MATCH(vp.data[[#This Row],[SDate]],weather.tbl[Date],0))</f>
        <v>6</v>
      </c>
      <c r="S1231" s="2">
        <f ca="1">INDEX(INDIRECT(_xlfn.CONCAT("weather.tbl[",S$1,"]")),MATCH(vp.data[[#This Row],[SDate]],weather.tbl[Date],0))</f>
        <v>5.7</v>
      </c>
      <c r="T1231" s="2">
        <f ca="1">INDEX(INDIRECT(_xlfn.CONCAT("weather.tbl[",T$1,"]")),MATCH(vp.data[[#This Row],[SDate]],weather.tbl[Date],0))</f>
        <v>6.8</v>
      </c>
      <c r="U1231" s="2">
        <f ca="1">INDEX(INDIRECT(_xlfn.CONCAT("weather.tbl[",U$1,"]")),MATCH(vp.data[[#This Row],[SDate]],weather.tbl[Date],0))</f>
        <v>6</v>
      </c>
      <c r="V1231" s="2">
        <f t="array" ref="V12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115537.139</v>
      </c>
      <c r="W1231" t="s">
        <v>48</v>
      </c>
      <c r="X1231">
        <f>IF(OR(vp.data[[#This Row],[Sulf]]="",vp.data[[#This Row],[Dens]]=""),1,0)</f>
        <v>0</v>
      </c>
      <c r="Y1231">
        <f>IF(vp.data[[#This Row],[CrudeType]]="C5+",1,0)</f>
        <v>0</v>
      </c>
      <c r="Z1231">
        <f>IF(AND(vp.data[[#This Row],[CrudeType]]="Crude",vp.data[[#This Row],[Dens]]&lt;=825,vp.data[[#This Row],[Sulf]]&gt;0.5,vp.data[[#This Row],[Unknown]]=0),1,0)</f>
        <v>0</v>
      </c>
      <c r="AA1231">
        <f>IF(AND(vp.data[[#This Row],[CrudeType]]="Crude",vp.data[[#This Row],[Dens]]&lt;=825,vp.data[[#This Row],[Sulf]]&lt;=0.5,vp.data[[#This Row],[Unknown]]=0),1,0)</f>
        <v>0</v>
      </c>
      <c r="AB12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1">
        <f>IF(AND(vp.data[[#This Row],[CrudeType]]="Crude",vp.data[[#This Row],[Dens]]&gt;825,vp.data[[#This Row],[Dens]]&lt;=900,vp.data[[#This Row],[Sulf]]&lt;=0.5,vp.data[[#This Row],[Unknown]]=0),1,0)</f>
        <v>0</v>
      </c>
      <c r="AD1231">
        <f>IF(AND(vp.data[[#This Row],[CrudeType]]="Crude",vp.data[[#This Row],[Dens]]&gt;865,vp.data[[#This Row],[Dens]]&lt;=900,vp.data[[#This Row],[Sulf]]&gt;2,vp.data[[#This Row],[Unknown]]=0),1,0)</f>
        <v>1</v>
      </c>
      <c r="AE1231">
        <f>IF(AND(vp.data[[#This Row],[CrudeType]]="Crude",vp.data[[#This Row],[Dens]]&gt;900,vp.data[[#This Row],[Sulf]]&lt;=0.5,vp.data[[#This Row],[Unknown]]=0),1,0)</f>
        <v>0</v>
      </c>
      <c r="AF1231">
        <f>IF(AND(vp.data[[#This Row],[CrudeType]]="Crude",vp.data[[#This Row],[Dens]]&gt;900,vp.data[[#This Row],[Sulf]]&lt;=0.5,vp.data[[#This Row],[Unknown]]=0),1,0)</f>
        <v>0</v>
      </c>
      <c r="AG1231" t="str">
        <f>INDEX(vp.data[[#Headers],[Unknown]:[Heavy_SW]],MATCH(1,vp.data[[#This Row],[Unknown]:[Heavy_SW]],0))</f>
        <v>Midale</v>
      </c>
      <c r="AH1231">
        <f>INDEX([3]!crudeBD.lkup[Number],MATCH(vp.data[[#This Row],[Crude_Breakdown]],crudeBD.lkup[Crude Breakdown],0))</f>
        <v>5</v>
      </c>
      <c r="AI1231">
        <f>MONTH(vp.data[[#This Row],[SDate]])</f>
        <v>4</v>
      </c>
      <c r="AJ1231" s="5">
        <f>(vp.data[[#This Row],[VP]]-INDEX(crudeBD.lkup[Mean_VP],MATCH(vp.data[[#This Row],[Crude_Breakdown]],crudeBD.lkup[Crude Breakdown],0)))^2</f>
        <v>146.62213864385245</v>
      </c>
      <c r="AK1231" s="5">
        <f>(vp.data[[#This Row],[Dens]]-INDEX(crudeBD.lkup[Mean_Dens],MATCH(vp.data[[#This Row],[Crude_Breakdown]],crudeBD.lkup[Crude Breakdown],0)))^2</f>
        <v>37.417815123820823</v>
      </c>
      <c r="AL1231" s="5">
        <f>(vp.data[[#This Row],[Sulf]]-INDEX(crudeBD.lkup[Mean_Sulf],MATCH(vp.data[[#This Row],[Crude_Breakdown]],crudeBD.lkup[Crude Breakdown],0)))^2</f>
        <v>1.9023176856306674E-3</v>
      </c>
      <c r="AM1231" s="4">
        <f>IF(AND(vp.data[[#This Row],[SDate]]&gt;=DATE(YEAR(vp.data[[#This Row],[SDate]]),5,1),vp.data[[#This Row],[SDate]]&lt;=DATE(YEAR(vp.data[[#This Row],[SDate]]),9,15)),1,0)</f>
        <v>0</v>
      </c>
      <c r="AN1231" s="4">
        <f>IF(vp.data[[#This Row],[SDate]]&lt;DATE(2016,12,1),0,1)</f>
        <v>1</v>
      </c>
      <c r="AO1231" s="4">
        <f>IFERROR(vp.data[[#This Row],[Sulf]]*vp.data[[#This Row],[Net Dens]],"")</f>
        <v>240881070.35831997</v>
      </c>
      <c r="AP1231">
        <f>IFERROR(vp.data[[#This Row],[Dens]]*vp.data[[#This Row],[VolumeM3]],"")</f>
        <v>100367112.64929999</v>
      </c>
      <c r="AQ1231" s="15">
        <f>IFERROR(vp.data[[#This Row],[VP]]*vp.data[[#This Row],[VolumeM3]],"")</f>
        <v>6620278.0646999991</v>
      </c>
    </row>
    <row r="1232" spans="1:43" x14ac:dyDescent="0.25">
      <c r="A1232">
        <v>1231</v>
      </c>
      <c r="B1232" t="s">
        <v>51</v>
      </c>
      <c r="C1232" t="s">
        <v>51</v>
      </c>
      <c r="D1232" t="s">
        <v>52</v>
      </c>
      <c r="F1232" s="1">
        <v>42837</v>
      </c>
      <c r="G1232" s="2">
        <v>71.099999999999994</v>
      </c>
      <c r="H1232" s="2"/>
      <c r="I1232" s="2">
        <f t="array" ref="I1232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232" s="2">
        <v>34.1</v>
      </c>
      <c r="K1232" s="2">
        <v>15</v>
      </c>
      <c r="L1232" s="2">
        <v>871.9</v>
      </c>
      <c r="M1232" s="2">
        <f t="array" ref="M1232">_xlfn.IFNA(IF(vp.data[[#This Row],[Dens Input]]="",INDEX([1]DATA!$O$3:$O$9826,MATCH(1,(vp.data[[#This Row],[Battery]]=[1]DATA!$L$3:$L$9826)*(EOMONTH(vp.data[[#This Row],[SDate]],-1)+1=[1]DATA!$G$3:$G$9826),0)),vp.data[[#This Row],[Dens Input]]),"")</f>
        <v>871.9</v>
      </c>
      <c r="N1232" s="2">
        <f ca="1">INDEX(INDIRECT(_xlfn.CONCAT("weather.tbl[",N$1,"]")),MATCH(vp.data[[#This Row],[SDate]],weather.tbl[Date],0))</f>
        <v>6.0166666666666666</v>
      </c>
      <c r="O1232" s="2">
        <f ca="1">INDEX(INDIRECT(_xlfn.CONCAT("weather.tbl[",O$1,"]")),MATCH(vp.data[[#This Row],[SDate]],weather.tbl[Date],0))</f>
        <v>6.2952380952380951</v>
      </c>
      <c r="P1232" s="2">
        <f ca="1">INDEX(INDIRECT(_xlfn.CONCAT("weather.tbl[",P$1,"]")),MATCH(vp.data[[#This Row],[SDate]],weather.tbl[Date],0))</f>
        <v>6.2</v>
      </c>
      <c r="Q1232" s="2">
        <f ca="1">INDEX(INDIRECT(_xlfn.CONCAT("weather.tbl[",Q$1,"]")),MATCH(vp.data[[#This Row],[SDate]],weather.tbl[Date],0))</f>
        <v>5.4</v>
      </c>
      <c r="R1232" s="2">
        <f ca="1">INDEX(INDIRECT(_xlfn.CONCAT("weather.tbl[",R$1,"]")),MATCH(vp.data[[#This Row],[SDate]],weather.tbl[Date],0))</f>
        <v>6</v>
      </c>
      <c r="S1232" s="2">
        <f ca="1">INDEX(INDIRECT(_xlfn.CONCAT("weather.tbl[",S$1,"]")),MATCH(vp.data[[#This Row],[SDate]],weather.tbl[Date],0))</f>
        <v>5.7</v>
      </c>
      <c r="T1232" s="2">
        <f ca="1">INDEX(INDIRECT(_xlfn.CONCAT("weather.tbl[",T$1,"]")),MATCH(vp.data[[#This Row],[SDate]],weather.tbl[Date],0))</f>
        <v>6.8</v>
      </c>
      <c r="U1232" s="2">
        <f ca="1">INDEX(INDIRECT(_xlfn.CONCAT("weather.tbl[",U$1,"]")),MATCH(vp.data[[#This Row],[SDate]],weather.tbl[Date],0))</f>
        <v>6</v>
      </c>
      <c r="V1232" s="2">
        <f t="array" ref="V12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7160.7740000000003</v>
      </c>
      <c r="W1232" t="s">
        <v>48</v>
      </c>
      <c r="X1232">
        <f>IF(OR(vp.data[[#This Row],[Sulf]]="",vp.data[[#This Row],[Dens]]=""),1,0)</f>
        <v>0</v>
      </c>
      <c r="Y1232">
        <f>IF(vp.data[[#This Row],[CrudeType]]="C5+",1,0)</f>
        <v>0</v>
      </c>
      <c r="Z1232">
        <f>IF(AND(vp.data[[#This Row],[CrudeType]]="Crude",vp.data[[#This Row],[Dens]]&lt;=825,vp.data[[#This Row],[Sulf]]&gt;0.5,vp.data[[#This Row],[Unknown]]=0),1,0)</f>
        <v>0</v>
      </c>
      <c r="AA1232">
        <f>IF(AND(vp.data[[#This Row],[CrudeType]]="Crude",vp.data[[#This Row],[Dens]]&lt;=825,vp.data[[#This Row],[Sulf]]&lt;=0.5,vp.data[[#This Row],[Unknown]]=0),1,0)</f>
        <v>0</v>
      </c>
      <c r="AB12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2">
        <f>IF(AND(vp.data[[#This Row],[CrudeType]]="Crude",vp.data[[#This Row],[Dens]]&gt;825,vp.data[[#This Row],[Dens]]&lt;=900,vp.data[[#This Row],[Sulf]]&lt;=0.5,vp.data[[#This Row],[Unknown]]=0),1,0)</f>
        <v>0</v>
      </c>
      <c r="AD1232">
        <f>IF(AND(vp.data[[#This Row],[CrudeType]]="Crude",vp.data[[#This Row],[Dens]]&gt;865,vp.data[[#This Row],[Dens]]&lt;=900,vp.data[[#This Row],[Sulf]]&gt;2,vp.data[[#This Row],[Unknown]]=0),1,0)</f>
        <v>1</v>
      </c>
      <c r="AE1232">
        <f>IF(AND(vp.data[[#This Row],[CrudeType]]="Crude",vp.data[[#This Row],[Dens]]&gt;900,vp.data[[#This Row],[Sulf]]&lt;=0.5,vp.data[[#This Row],[Unknown]]=0),1,0)</f>
        <v>0</v>
      </c>
      <c r="AF1232">
        <f>IF(AND(vp.data[[#This Row],[CrudeType]]="Crude",vp.data[[#This Row],[Dens]]&gt;900,vp.data[[#This Row],[Sulf]]&lt;=0.5,vp.data[[#This Row],[Unknown]]=0),1,0)</f>
        <v>0</v>
      </c>
      <c r="AG1232" t="str">
        <f>INDEX(vp.data[[#Headers],[Unknown]:[Heavy_SW]],MATCH(1,vp.data[[#This Row],[Unknown]:[Heavy_SW]],0))</f>
        <v>Midale</v>
      </c>
      <c r="AH1232">
        <f>INDEX([3]!crudeBD.lkup[Number],MATCH(vp.data[[#This Row],[Crude_Breakdown]],crudeBD.lkup[Crude Breakdown],0))</f>
        <v>5</v>
      </c>
      <c r="AI1232">
        <f>MONTH(vp.data[[#This Row],[SDate]])</f>
        <v>4</v>
      </c>
      <c r="AJ1232" s="5">
        <f>(vp.data[[#This Row],[VP]]-INDEX(crudeBD.lkup[Mean_VP],MATCH(vp.data[[#This Row],[Crude_Breakdown]],crudeBD.lkup[Crude Breakdown],0)))^2</f>
        <v>2.8602829737484132</v>
      </c>
      <c r="AK1232" s="5">
        <f>(vp.data[[#This Row],[Dens]]-INDEX(crudeBD.lkup[Mean_Dens],MATCH(vp.data[[#This Row],[Crude_Breakdown]],crudeBD.lkup[Crude Breakdown],0)))^2</f>
        <v>8.5089491444381018</v>
      </c>
      <c r="AL1232" s="5">
        <f>(vp.data[[#This Row],[Sulf]]-INDEX(crudeBD.lkup[Mean_Sulf],MATCH(vp.data[[#This Row],[Crude_Breakdown]],crudeBD.lkup[Crude Breakdown],0)))^2</f>
        <v>1.9023176856306674E-3</v>
      </c>
      <c r="AM1232" s="4">
        <f>IF(AND(vp.data[[#This Row],[SDate]]&gt;=DATE(YEAR(vp.data[[#This Row],[SDate]]),5,1),vp.data[[#This Row],[SDate]]&lt;=DATE(YEAR(vp.data[[#This Row],[SDate]]),9,15)),1,0)</f>
        <v>0</v>
      </c>
      <c r="AN1232" s="4">
        <f>IF(vp.data[[#This Row],[SDate]]&lt;DATE(2016,12,1),0,1)</f>
        <v>1</v>
      </c>
      <c r="AO1232" s="4">
        <f>IFERROR(vp.data[[#This Row],[Sulf]]*vp.data[[#This Row],[Net Dens]],"")</f>
        <v>14984349.24144</v>
      </c>
      <c r="AP1232">
        <f>IFERROR(vp.data[[#This Row],[Dens]]*vp.data[[#This Row],[VolumeM3]],"")</f>
        <v>6243478.8506000005</v>
      </c>
      <c r="AQ1232" s="15">
        <f>IFERROR(vp.data[[#This Row],[VP]]*vp.data[[#This Row],[VolumeM3]],"")</f>
        <v>509131.03139999998</v>
      </c>
    </row>
    <row r="1233" spans="1:43" x14ac:dyDescent="0.25">
      <c r="A1233">
        <v>1232</v>
      </c>
      <c r="B1233" t="s">
        <v>64</v>
      </c>
      <c r="C1233" t="s">
        <v>64</v>
      </c>
      <c r="D1233" t="s">
        <v>65</v>
      </c>
      <c r="F1233" s="1">
        <v>42837</v>
      </c>
      <c r="G1233" s="2">
        <v>48.2</v>
      </c>
      <c r="H1233" s="2"/>
      <c r="I1233" s="2">
        <f t="array" ref="I1233">_xlfn.IFNA(IF(vp.data[[#This Row],[Sulf Input]]="",INDEX([1]DATA!$Q$3:$Q$9826,MATCH(1,(vp.data[[#This Row],[Battery]]=[1]DATA!$L$3:$L$9826)*(EOMONTH(vp.data[[#This Row],[SDate]],-1)+1=[1]DATA!$G$3:$G$9826),0)),vp.data[[#This Row],[Sulf Input]]),"")</f>
        <v>2.11</v>
      </c>
      <c r="J1233" s="2">
        <v>32.1</v>
      </c>
      <c r="K1233" s="2">
        <v>15</v>
      </c>
      <c r="L1233" s="2">
        <v>875.6</v>
      </c>
      <c r="M1233" s="2">
        <f t="array" ref="M1233">_xlfn.IFNA(IF(vp.data[[#This Row],[Dens Input]]="",INDEX([1]DATA!$O$3:$O$9826,MATCH(1,(vp.data[[#This Row],[Battery]]=[1]DATA!$L$3:$L$9826)*(EOMONTH(vp.data[[#This Row],[SDate]],-1)+1=[1]DATA!$G$3:$G$9826),0)),vp.data[[#This Row],[Dens Input]]),"")</f>
        <v>875.6</v>
      </c>
      <c r="N1233" s="2">
        <f ca="1">INDEX(INDIRECT(_xlfn.CONCAT("weather.tbl[",N$1,"]")),MATCH(vp.data[[#This Row],[SDate]],weather.tbl[Date],0))</f>
        <v>6.0166666666666666</v>
      </c>
      <c r="O1233" s="2">
        <f ca="1">INDEX(INDIRECT(_xlfn.CONCAT("weather.tbl[",O$1,"]")),MATCH(vp.data[[#This Row],[SDate]],weather.tbl[Date],0))</f>
        <v>6.2952380952380951</v>
      </c>
      <c r="P1233" s="2">
        <f ca="1">INDEX(INDIRECT(_xlfn.CONCAT("weather.tbl[",P$1,"]")),MATCH(vp.data[[#This Row],[SDate]],weather.tbl[Date],0))</f>
        <v>6.2</v>
      </c>
      <c r="Q1233" s="2">
        <f ca="1">INDEX(INDIRECT(_xlfn.CONCAT("weather.tbl[",Q$1,"]")),MATCH(vp.data[[#This Row],[SDate]],weather.tbl[Date],0))</f>
        <v>5.4</v>
      </c>
      <c r="R1233" s="2">
        <f ca="1">INDEX(INDIRECT(_xlfn.CONCAT("weather.tbl[",R$1,"]")),MATCH(vp.data[[#This Row],[SDate]],weather.tbl[Date],0))</f>
        <v>6</v>
      </c>
      <c r="S1233" s="2">
        <f ca="1">INDEX(INDIRECT(_xlfn.CONCAT("weather.tbl[",S$1,"]")),MATCH(vp.data[[#This Row],[SDate]],weather.tbl[Date],0))</f>
        <v>5.7</v>
      </c>
      <c r="T1233" s="2">
        <f ca="1">INDEX(INDIRECT(_xlfn.CONCAT("weather.tbl[",T$1,"]")),MATCH(vp.data[[#This Row],[SDate]],weather.tbl[Date],0))</f>
        <v>6.8</v>
      </c>
      <c r="U1233" s="2">
        <f ca="1">INDEX(INDIRECT(_xlfn.CONCAT("weather.tbl[",U$1,"]")),MATCH(vp.data[[#This Row],[SDate]],weather.tbl[Date],0))</f>
        <v>6</v>
      </c>
      <c r="V1233" s="2">
        <f t="array" ref="V12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21877.668000000001</v>
      </c>
      <c r="W1233" t="s">
        <v>48</v>
      </c>
      <c r="X1233">
        <f>IF(OR(vp.data[[#This Row],[Sulf]]="",vp.data[[#This Row],[Dens]]=""),1,0)</f>
        <v>0</v>
      </c>
      <c r="Y1233">
        <f>IF(vp.data[[#This Row],[CrudeType]]="C5+",1,0)</f>
        <v>0</v>
      </c>
      <c r="Z1233">
        <f>IF(AND(vp.data[[#This Row],[CrudeType]]="Crude",vp.data[[#This Row],[Dens]]&lt;=825,vp.data[[#This Row],[Sulf]]&gt;0.5,vp.data[[#This Row],[Unknown]]=0),1,0)</f>
        <v>0</v>
      </c>
      <c r="AA1233">
        <f>IF(AND(vp.data[[#This Row],[CrudeType]]="Crude",vp.data[[#This Row],[Dens]]&lt;=825,vp.data[[#This Row],[Sulf]]&lt;=0.5,vp.data[[#This Row],[Unknown]]=0),1,0)</f>
        <v>0</v>
      </c>
      <c r="AB12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3">
        <f>IF(AND(vp.data[[#This Row],[CrudeType]]="Crude",vp.data[[#This Row],[Dens]]&gt;825,vp.data[[#This Row],[Dens]]&lt;=900,vp.data[[#This Row],[Sulf]]&lt;=0.5,vp.data[[#This Row],[Unknown]]=0),1,0)</f>
        <v>0</v>
      </c>
      <c r="AD1233">
        <f>IF(AND(vp.data[[#This Row],[CrudeType]]="Crude",vp.data[[#This Row],[Dens]]&gt;865,vp.data[[#This Row],[Dens]]&lt;=900,vp.data[[#This Row],[Sulf]]&gt;2,vp.data[[#This Row],[Unknown]]=0),1,0)</f>
        <v>1</v>
      </c>
      <c r="AE1233">
        <f>IF(AND(vp.data[[#This Row],[CrudeType]]="Crude",vp.data[[#This Row],[Dens]]&gt;900,vp.data[[#This Row],[Sulf]]&lt;=0.5,vp.data[[#This Row],[Unknown]]=0),1,0)</f>
        <v>0</v>
      </c>
      <c r="AF1233">
        <f>IF(AND(vp.data[[#This Row],[CrudeType]]="Crude",vp.data[[#This Row],[Dens]]&gt;900,vp.data[[#This Row],[Sulf]]&lt;=0.5,vp.data[[#This Row],[Unknown]]=0),1,0)</f>
        <v>0</v>
      </c>
      <c r="AG1233" t="str">
        <f>INDEX(vp.data[[#Headers],[Unknown]:[Heavy_SW]],MATCH(1,vp.data[[#This Row],[Unknown]:[Heavy_SW]],0))</f>
        <v>Midale</v>
      </c>
      <c r="AH1233">
        <f>INDEX([3]!crudeBD.lkup[Number],MATCH(vp.data[[#This Row],[Crude_Breakdown]],crudeBD.lkup[Crude Breakdown],0))</f>
        <v>5</v>
      </c>
      <c r="AI1233">
        <f>MONTH(vp.data[[#This Row],[SDate]])</f>
        <v>4</v>
      </c>
      <c r="AJ1233" s="5">
        <f>(vp.data[[#This Row],[VP]]-INDEX(crudeBD.lkup[Mean_VP],MATCH(vp.data[[#This Row],[Crude_Breakdown]],crudeBD.lkup[Crude Breakdown],0)))^2</f>
        <v>449.81162317993534</v>
      </c>
      <c r="AK1233" s="5">
        <f>(vp.data[[#This Row],[Dens]]-INDEX(crudeBD.lkup[Mean_Dens],MATCH(vp.data[[#This Row],[Crude_Breakdown]],crudeBD.lkup[Crude Breakdown],0)))^2</f>
        <v>0.61307285577593906</v>
      </c>
      <c r="AL1233" s="5">
        <f>(vp.data[[#This Row],[Sulf]]-INDEX(crudeBD.lkup[Mean_Sulf],MATCH(vp.data[[#This Row],[Crude_Breakdown]],crudeBD.lkup[Crude Breakdown],0)))^2</f>
        <v>0.11129934655160933</v>
      </c>
      <c r="AM1233" s="4">
        <f>IF(AND(vp.data[[#This Row],[SDate]]&gt;=DATE(YEAR(vp.data[[#This Row],[SDate]]),5,1),vp.data[[#This Row],[SDate]]&lt;=DATE(YEAR(vp.data[[#This Row],[SDate]]),9,15)),1,0)</f>
        <v>0</v>
      </c>
      <c r="AN1233" s="4">
        <f>IF(vp.data[[#This Row],[SDate]]&lt;DATE(2016,12,1),0,1)</f>
        <v>1</v>
      </c>
      <c r="AO1233" s="4">
        <f>IFERROR(vp.data[[#This Row],[Sulf]]*vp.data[[#This Row],[Net Dens]],"")</f>
        <v>40419341.672688</v>
      </c>
      <c r="AP1233">
        <f>IFERROR(vp.data[[#This Row],[Dens]]*vp.data[[#This Row],[VolumeM3]],"")</f>
        <v>19156086.1008</v>
      </c>
      <c r="AQ1233" s="15">
        <f>IFERROR(vp.data[[#This Row],[VP]]*vp.data[[#This Row],[VolumeM3]],"")</f>
        <v>1054503.5976000002</v>
      </c>
    </row>
    <row r="1234" spans="1:43" x14ac:dyDescent="0.25">
      <c r="A1234">
        <v>1233</v>
      </c>
      <c r="B1234" t="s">
        <v>111</v>
      </c>
      <c r="C1234" t="s">
        <v>111</v>
      </c>
      <c r="D1234" t="s">
        <v>234</v>
      </c>
      <c r="F1234" s="1">
        <v>42837</v>
      </c>
      <c r="G1234" s="2">
        <v>65.599999999999994</v>
      </c>
      <c r="H1234" s="2"/>
      <c r="I1234" s="2">
        <f t="array" ref="I1234">_xlfn.IFNA(IF(vp.data[[#This Row],[Sulf Input]]="",INDEX([1]DATA!$Q$3:$Q$9826,MATCH(1,(vp.data[[#This Row],[Battery]]=[1]DATA!$L$3:$L$9826)*(EOMONTH(vp.data[[#This Row],[SDate]],-1)+1=[1]DATA!$G$3:$G$9826),0)),vp.data[[#This Row],[Sulf Input]]),"")</f>
        <v>2.92</v>
      </c>
      <c r="J1234" s="2">
        <v>36</v>
      </c>
      <c r="K1234" s="2">
        <v>15</v>
      </c>
      <c r="L1234" s="2">
        <v>886.6</v>
      </c>
      <c r="M1234" s="2">
        <f t="array" ref="M1234">_xlfn.IFNA(IF(vp.data[[#This Row],[Dens Input]]="",INDEX([1]DATA!$O$3:$O$9826,MATCH(1,(vp.data[[#This Row],[Battery]]=[1]DATA!$L$3:$L$9826)*(EOMONTH(vp.data[[#This Row],[SDate]],-1)+1=[1]DATA!$G$3:$G$9826),0)),vp.data[[#This Row],[Dens Input]]),"")</f>
        <v>886.6</v>
      </c>
      <c r="N1234" s="2">
        <f ca="1">INDEX(INDIRECT(_xlfn.CONCAT("weather.tbl[",N$1,"]")),MATCH(vp.data[[#This Row],[SDate]],weather.tbl[Date],0))</f>
        <v>6.0166666666666666</v>
      </c>
      <c r="O1234" s="2">
        <f ca="1">INDEX(INDIRECT(_xlfn.CONCAT("weather.tbl[",O$1,"]")),MATCH(vp.data[[#This Row],[SDate]],weather.tbl[Date],0))</f>
        <v>6.2952380952380951</v>
      </c>
      <c r="P1234" s="2">
        <f ca="1">INDEX(INDIRECT(_xlfn.CONCAT("weather.tbl[",P$1,"]")),MATCH(vp.data[[#This Row],[SDate]],weather.tbl[Date],0))</f>
        <v>6.2</v>
      </c>
      <c r="Q1234" s="2">
        <f ca="1">INDEX(INDIRECT(_xlfn.CONCAT("weather.tbl[",Q$1,"]")),MATCH(vp.data[[#This Row],[SDate]],weather.tbl[Date],0))</f>
        <v>5.4</v>
      </c>
      <c r="R1234" s="2">
        <f ca="1">INDEX(INDIRECT(_xlfn.CONCAT("weather.tbl[",R$1,"]")),MATCH(vp.data[[#This Row],[SDate]],weather.tbl[Date],0))</f>
        <v>6</v>
      </c>
      <c r="S1234" s="2">
        <f ca="1">INDEX(INDIRECT(_xlfn.CONCAT("weather.tbl[",S$1,"]")),MATCH(vp.data[[#This Row],[SDate]],weather.tbl[Date],0))</f>
        <v>5.7</v>
      </c>
      <c r="T1234" s="2">
        <f ca="1">INDEX(INDIRECT(_xlfn.CONCAT("weather.tbl[",T$1,"]")),MATCH(vp.data[[#This Row],[SDate]],weather.tbl[Date],0))</f>
        <v>6.8</v>
      </c>
      <c r="U1234" s="2">
        <f ca="1">INDEX(INDIRECT(_xlfn.CONCAT("weather.tbl[",U$1,"]")),MATCH(vp.data[[#This Row],[SDate]],weather.tbl[Date],0))</f>
        <v>6</v>
      </c>
      <c r="V1234" s="2">
        <f t="array" ref="V12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6110.1149999999998</v>
      </c>
      <c r="W1234" t="s">
        <v>48</v>
      </c>
      <c r="X1234">
        <f>IF(OR(vp.data[[#This Row],[Sulf]]="",vp.data[[#This Row],[Dens]]=""),1,0)</f>
        <v>0</v>
      </c>
      <c r="Y1234">
        <f>IF(vp.data[[#This Row],[CrudeType]]="C5+",1,0)</f>
        <v>0</v>
      </c>
      <c r="Z1234">
        <f>IF(AND(vp.data[[#This Row],[CrudeType]]="Crude",vp.data[[#This Row],[Dens]]&lt;=825,vp.data[[#This Row],[Sulf]]&gt;0.5,vp.data[[#This Row],[Unknown]]=0),1,0)</f>
        <v>0</v>
      </c>
      <c r="AA1234">
        <f>IF(AND(vp.data[[#This Row],[CrudeType]]="Crude",vp.data[[#This Row],[Dens]]&lt;=825,vp.data[[#This Row],[Sulf]]&lt;=0.5,vp.data[[#This Row],[Unknown]]=0),1,0)</f>
        <v>0</v>
      </c>
      <c r="AB12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4">
        <f>IF(AND(vp.data[[#This Row],[CrudeType]]="Crude",vp.data[[#This Row],[Dens]]&gt;825,vp.data[[#This Row],[Dens]]&lt;=900,vp.data[[#This Row],[Sulf]]&lt;=0.5,vp.data[[#This Row],[Unknown]]=0),1,0)</f>
        <v>0</v>
      </c>
      <c r="AD1234">
        <f>IF(AND(vp.data[[#This Row],[CrudeType]]="Crude",vp.data[[#This Row],[Dens]]&gt;865,vp.data[[#This Row],[Dens]]&lt;=900,vp.data[[#This Row],[Sulf]]&gt;2,vp.data[[#This Row],[Unknown]]=0),1,0)</f>
        <v>1</v>
      </c>
      <c r="AE1234">
        <f>IF(AND(vp.data[[#This Row],[CrudeType]]="Crude",vp.data[[#This Row],[Dens]]&gt;900,vp.data[[#This Row],[Sulf]]&lt;=0.5,vp.data[[#This Row],[Unknown]]=0),1,0)</f>
        <v>0</v>
      </c>
      <c r="AF1234">
        <f>IF(AND(vp.data[[#This Row],[CrudeType]]="Crude",vp.data[[#This Row],[Dens]]&gt;900,vp.data[[#This Row],[Sulf]]&lt;=0.5,vp.data[[#This Row],[Unknown]]=0),1,0)</f>
        <v>0</v>
      </c>
      <c r="AG1234" t="str">
        <f>INDEX(vp.data[[#Headers],[Unknown]:[Heavy_SW]],MATCH(1,vp.data[[#This Row],[Unknown]:[Heavy_SW]],0))</f>
        <v>Midale</v>
      </c>
      <c r="AH1234">
        <f>INDEX([3]!crudeBD.lkup[Number],MATCH(vp.data[[#This Row],[Crude_Breakdown]],crudeBD.lkup[Crude Breakdown],0))</f>
        <v>5</v>
      </c>
      <c r="AI1234">
        <f>MONTH(vp.data[[#This Row],[SDate]])</f>
        <v>4</v>
      </c>
      <c r="AJ1234" s="5">
        <f>(vp.data[[#This Row],[VP]]-INDEX(crudeBD.lkup[Mean_VP],MATCH(vp.data[[#This Row],[Crude_Breakdown]],crudeBD.lkup[Crude Breakdown],0)))^2</f>
        <v>14.506674726326141</v>
      </c>
      <c r="AK1234" s="5">
        <f>(vp.data[[#This Row],[Dens]]-INDEX(crudeBD.lkup[Mean_Dens],MATCH(vp.data[[#This Row],[Crude_Breakdown]],crudeBD.lkup[Crude Breakdown],0)))^2</f>
        <v>138.83884605164596</v>
      </c>
      <c r="AL1234" s="5">
        <f>(vp.data[[#This Row],[Sulf]]-INDEX(crudeBD.lkup[Mean_Sulf],MATCH(vp.data[[#This Row],[Crude_Breakdown]],crudeBD.lkup[Crude Breakdown],0)))^2</f>
        <v>0.22694212799491037</v>
      </c>
      <c r="AM1234" s="4">
        <f>IF(AND(vp.data[[#This Row],[SDate]]&gt;=DATE(YEAR(vp.data[[#This Row],[SDate]]),5,1),vp.data[[#This Row],[SDate]]&lt;=DATE(YEAR(vp.data[[#This Row],[SDate]]),9,15)),1,0)</f>
        <v>0</v>
      </c>
      <c r="AN1234" s="4">
        <f>IF(vp.data[[#This Row],[SDate]]&lt;DATE(2016,12,1),0,1)</f>
        <v>1</v>
      </c>
      <c r="AO1234" s="4">
        <f>IFERROR(vp.data[[#This Row],[Sulf]]*vp.data[[#This Row],[Net Dens]],"")</f>
        <v>15818305.640279999</v>
      </c>
      <c r="AP1234">
        <f>IFERROR(vp.data[[#This Row],[Dens]]*vp.data[[#This Row],[VolumeM3]],"")</f>
        <v>5417227.9589999998</v>
      </c>
      <c r="AQ1234" s="15">
        <f>IFERROR(vp.data[[#This Row],[VP]]*vp.data[[#This Row],[VolumeM3]],"")</f>
        <v>400823.54399999994</v>
      </c>
    </row>
    <row r="1235" spans="1:43" x14ac:dyDescent="0.25">
      <c r="A1235">
        <v>1234</v>
      </c>
      <c r="B1235" t="s">
        <v>49</v>
      </c>
      <c r="C1235" t="s">
        <v>49</v>
      </c>
      <c r="D1235" t="s">
        <v>151</v>
      </c>
      <c r="F1235" s="1">
        <v>42839</v>
      </c>
      <c r="G1235" s="2">
        <v>85.7</v>
      </c>
      <c r="H1235" s="2">
        <v>0.63400000000000001</v>
      </c>
      <c r="I1235" s="2">
        <f t="array" ref="I1235">_xlfn.IFNA(IF(vp.data[[#This Row],[Sulf Input]]="",INDEX([1]DATA!$Q$3:$Q$9826,MATCH(1,(vp.data[[#This Row],[Battery]]=[1]DATA!$L$3:$L$9826)*(EOMONTH(vp.data[[#This Row],[SDate]],-1)+1=[1]DATA!$G$3:$G$9826),0)),vp.data[[#This Row],[Sulf Input]]),"")</f>
        <v>0.63400000000000001</v>
      </c>
      <c r="J1235" s="2">
        <v>13.5</v>
      </c>
      <c r="K1235" s="2">
        <v>12</v>
      </c>
      <c r="L1235" s="2">
        <v>822.3</v>
      </c>
      <c r="M1235" s="2">
        <f t="array" ref="M1235">_xlfn.IFNA(IF(vp.data[[#This Row],[Dens Input]]="",INDEX([1]DATA!$O$3:$O$9826,MATCH(1,(vp.data[[#This Row],[Battery]]=[1]DATA!$L$3:$L$9826)*(EOMONTH(vp.data[[#This Row],[SDate]],-1)+1=[1]DATA!$G$3:$G$9826),0)),vp.data[[#This Row],[Dens Input]]),"")</f>
        <v>822.3</v>
      </c>
      <c r="N1235" s="2">
        <f ca="1">INDEX(INDIRECT(_xlfn.CONCAT("weather.tbl[",N$1,"]")),MATCH(vp.data[[#This Row],[SDate]],weather.tbl[Date],0))</f>
        <v>11.866666666666667</v>
      </c>
      <c r="O1235" s="2">
        <f ca="1">INDEX(INDIRECT(_xlfn.CONCAT("weather.tbl[",O$1,"]")),MATCH(vp.data[[#This Row],[SDate]],weather.tbl[Date],0))</f>
        <v>6.6404761904761909</v>
      </c>
      <c r="P1235" s="2">
        <f ca="1">INDEX(INDIRECT(_xlfn.CONCAT("weather.tbl[",P$1,"]")),MATCH(vp.data[[#This Row],[SDate]],weather.tbl[Date],0))</f>
        <v>12.5</v>
      </c>
      <c r="Q1235" s="2">
        <f ca="1">INDEX(INDIRECT(_xlfn.CONCAT("weather.tbl[",Q$1,"]")),MATCH(vp.data[[#This Row],[SDate]],weather.tbl[Date],0))</f>
        <v>9</v>
      </c>
      <c r="R1235" s="2">
        <f ca="1">INDEX(INDIRECT(_xlfn.CONCAT("weather.tbl[",R$1,"]")),MATCH(vp.data[[#This Row],[SDate]],weather.tbl[Date],0))</f>
        <v>14.3</v>
      </c>
      <c r="S1235" s="2">
        <f ca="1">INDEX(INDIRECT(_xlfn.CONCAT("weather.tbl[",S$1,"]")),MATCH(vp.data[[#This Row],[SDate]],weather.tbl[Date],0))</f>
        <v>7.6</v>
      </c>
      <c r="T1235" s="2">
        <f ca="1">INDEX(INDIRECT(_xlfn.CONCAT("weather.tbl[",T$1,"]")),MATCH(vp.data[[#This Row],[SDate]],weather.tbl[Date],0))</f>
        <v>15</v>
      </c>
      <c r="U1235" s="2">
        <f ca="1">INDEX(INDIRECT(_xlfn.CONCAT("weather.tbl[",U$1,"]")),MATCH(vp.data[[#This Row],[SDate]],weather.tbl[Date],0))</f>
        <v>12.8</v>
      </c>
      <c r="V1235" s="2">
        <f t="array" ref="V12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158.81800000000001</v>
      </c>
      <c r="W1235" t="s">
        <v>48</v>
      </c>
      <c r="X1235">
        <f>IF(OR(vp.data[[#This Row],[Sulf]]="",vp.data[[#This Row],[Dens]]=""),1,0)</f>
        <v>0</v>
      </c>
      <c r="Y1235">
        <f>IF(vp.data[[#This Row],[CrudeType]]="C5+",1,0)</f>
        <v>0</v>
      </c>
      <c r="Z1235">
        <f>IF(AND(vp.data[[#This Row],[CrudeType]]="Crude",vp.data[[#This Row],[Dens]]&lt;=825,vp.data[[#This Row],[Sulf]]&gt;0.5,vp.data[[#This Row],[Unknown]]=0),1,0)</f>
        <v>1</v>
      </c>
      <c r="AA1235">
        <f>IF(AND(vp.data[[#This Row],[CrudeType]]="Crude",vp.data[[#This Row],[Dens]]&lt;=825,vp.data[[#This Row],[Sulf]]&lt;=0.5,vp.data[[#This Row],[Unknown]]=0),1,0)</f>
        <v>0</v>
      </c>
      <c r="AB12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5">
        <f>IF(AND(vp.data[[#This Row],[CrudeType]]="Crude",vp.data[[#This Row],[Dens]]&gt;825,vp.data[[#This Row],[Dens]]&lt;=900,vp.data[[#This Row],[Sulf]]&lt;=0.5,vp.data[[#This Row],[Unknown]]=0),1,0)</f>
        <v>0</v>
      </c>
      <c r="AD1235">
        <f>IF(AND(vp.data[[#This Row],[CrudeType]]="Crude",vp.data[[#This Row],[Dens]]&gt;865,vp.data[[#This Row],[Dens]]&lt;=900,vp.data[[#This Row],[Sulf]]&gt;2,vp.data[[#This Row],[Unknown]]=0),1,0)</f>
        <v>0</v>
      </c>
      <c r="AE1235">
        <f>IF(AND(vp.data[[#This Row],[CrudeType]]="Crude",vp.data[[#This Row],[Dens]]&gt;900,vp.data[[#This Row],[Sulf]]&lt;=0.5,vp.data[[#This Row],[Unknown]]=0),1,0)</f>
        <v>0</v>
      </c>
      <c r="AF1235">
        <f>IF(AND(vp.data[[#This Row],[CrudeType]]="Crude",vp.data[[#This Row],[Dens]]&gt;900,vp.data[[#This Row],[Sulf]]&lt;=0.5,vp.data[[#This Row],[Unknown]]=0),1,0)</f>
        <v>0</v>
      </c>
      <c r="AG1235" t="str">
        <f>INDEX(vp.data[[#Headers],[Unknown]:[Heavy_SW]],MATCH(1,vp.data[[#This Row],[Unknown]:[Heavy_SW]],0))</f>
        <v>Light_LSB</v>
      </c>
      <c r="AH1235">
        <f>INDEX([3]!crudeBD.lkup[Number],MATCH(vp.data[[#This Row],[Crude_Breakdown]],crudeBD.lkup[Crude Breakdown],0))</f>
        <v>1</v>
      </c>
      <c r="AI1235">
        <f>MONTH(vp.data[[#This Row],[SDate]])</f>
        <v>4</v>
      </c>
      <c r="AJ1235" s="5">
        <f>(vp.data[[#This Row],[VP]]-INDEX(crudeBD.lkup[Mean_VP],MATCH(vp.data[[#This Row],[Crude_Breakdown]],crudeBD.lkup[Crude Breakdown],0)))^2</f>
        <v>34.177885683919982</v>
      </c>
      <c r="AK1235" s="5">
        <f>(vp.data[[#This Row],[Dens]]-INDEX(crudeBD.lkup[Mean_Dens],MATCH(vp.data[[#This Row],[Crude_Breakdown]],crudeBD.lkup[Crude Breakdown],0)))^2</f>
        <v>14.312831053012744</v>
      </c>
      <c r="AL1235" s="5">
        <f>(vp.data[[#This Row],[Sulf]]-INDEX(crudeBD.lkup[Mean_Sulf],MATCH(vp.data[[#This Row],[Crude_Breakdown]],crudeBD.lkup[Crude Breakdown],0)))^2</f>
        <v>8.3504336157722361E-2</v>
      </c>
      <c r="AM1235" s="4">
        <f>IF(AND(vp.data[[#This Row],[SDate]]&gt;=DATE(YEAR(vp.data[[#This Row],[SDate]]),5,1),vp.data[[#This Row],[SDate]]&lt;=DATE(YEAR(vp.data[[#This Row],[SDate]]),9,15)),1,0)</f>
        <v>0</v>
      </c>
      <c r="AN1235" s="4">
        <f>IF(vp.data[[#This Row],[SDate]]&lt;DATE(2016,12,1),0,1)</f>
        <v>1</v>
      </c>
      <c r="AO1235" s="4">
        <f>IFERROR(vp.data[[#This Row],[Sulf]]*vp.data[[#This Row],[Net Dens]],"")</f>
        <v>82797.890247600008</v>
      </c>
      <c r="AP1235">
        <f>IFERROR(vp.data[[#This Row],[Dens]]*vp.data[[#This Row],[VolumeM3]],"")</f>
        <v>130596.0414</v>
      </c>
      <c r="AQ1235" s="15">
        <f>IFERROR(vp.data[[#This Row],[VP]]*vp.data[[#This Row],[VolumeM3]],"")</f>
        <v>13610.702600000002</v>
      </c>
    </row>
    <row r="1236" spans="1:43" x14ac:dyDescent="0.25">
      <c r="A1236">
        <v>1235</v>
      </c>
      <c r="B1236" t="s">
        <v>49</v>
      </c>
      <c r="C1236" t="s">
        <v>49</v>
      </c>
      <c r="D1236" t="s">
        <v>100</v>
      </c>
      <c r="F1236" s="1">
        <v>42839</v>
      </c>
      <c r="G1236" s="2">
        <v>82</v>
      </c>
      <c r="H1236" s="2">
        <v>0.76600000000000001</v>
      </c>
      <c r="I1236" s="2">
        <f t="array" ref="I1236">_xlfn.IFNA(IF(vp.data[[#This Row],[Sulf Input]]="",INDEX([1]DATA!$Q$3:$Q$9826,MATCH(1,(vp.data[[#This Row],[Battery]]=[1]DATA!$L$3:$L$9826)*(EOMONTH(vp.data[[#This Row],[SDate]],-1)+1=[1]DATA!$G$3:$G$9826),0)),vp.data[[#This Row],[Sulf Input]]),"")</f>
        <v>0.76600000000000001</v>
      </c>
      <c r="J1236" s="2">
        <v>19.5</v>
      </c>
      <c r="K1236" s="2">
        <v>12</v>
      </c>
      <c r="L1236" s="2">
        <v>824.1</v>
      </c>
      <c r="M1236" s="2">
        <f t="array" ref="M1236">_xlfn.IFNA(IF(vp.data[[#This Row],[Dens Input]]="",INDEX([1]DATA!$O$3:$O$9826,MATCH(1,(vp.data[[#This Row],[Battery]]=[1]DATA!$L$3:$L$9826)*(EOMONTH(vp.data[[#This Row],[SDate]],-1)+1=[1]DATA!$G$3:$G$9826),0)),vp.data[[#This Row],[Dens Input]]),"")</f>
        <v>824.1</v>
      </c>
      <c r="N1236" s="2">
        <f ca="1">INDEX(INDIRECT(_xlfn.CONCAT("weather.tbl[",N$1,"]")),MATCH(vp.data[[#This Row],[SDate]],weather.tbl[Date],0))</f>
        <v>11.866666666666667</v>
      </c>
      <c r="O1236" s="2">
        <f ca="1">INDEX(INDIRECT(_xlfn.CONCAT("weather.tbl[",O$1,"]")),MATCH(vp.data[[#This Row],[SDate]],weather.tbl[Date],0))</f>
        <v>6.6404761904761909</v>
      </c>
      <c r="P1236" s="2">
        <f ca="1">INDEX(INDIRECT(_xlfn.CONCAT("weather.tbl[",P$1,"]")),MATCH(vp.data[[#This Row],[SDate]],weather.tbl[Date],0))</f>
        <v>12.5</v>
      </c>
      <c r="Q1236" s="2">
        <f ca="1">INDEX(INDIRECT(_xlfn.CONCAT("weather.tbl[",Q$1,"]")),MATCH(vp.data[[#This Row],[SDate]],weather.tbl[Date],0))</f>
        <v>9</v>
      </c>
      <c r="R1236" s="2">
        <f ca="1">INDEX(INDIRECT(_xlfn.CONCAT("weather.tbl[",R$1,"]")),MATCH(vp.data[[#This Row],[SDate]],weather.tbl[Date],0))</f>
        <v>14.3</v>
      </c>
      <c r="S1236" s="2">
        <f ca="1">INDEX(INDIRECT(_xlfn.CONCAT("weather.tbl[",S$1,"]")),MATCH(vp.data[[#This Row],[SDate]],weather.tbl[Date],0))</f>
        <v>7.6</v>
      </c>
      <c r="T1236" s="2">
        <f ca="1">INDEX(INDIRECT(_xlfn.CONCAT("weather.tbl[",T$1,"]")),MATCH(vp.data[[#This Row],[SDate]],weather.tbl[Date],0))</f>
        <v>15</v>
      </c>
      <c r="U1236" s="2">
        <f ca="1">INDEX(INDIRECT(_xlfn.CONCAT("weather.tbl[",U$1,"]")),MATCH(vp.data[[#This Row],[SDate]],weather.tbl[Date],0))</f>
        <v>12.8</v>
      </c>
      <c r="V1236" s="2">
        <f t="array" ref="V12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13068.535</v>
      </c>
      <c r="W1236" t="s">
        <v>48</v>
      </c>
      <c r="X1236">
        <f>IF(OR(vp.data[[#This Row],[Sulf]]="",vp.data[[#This Row],[Dens]]=""),1,0)</f>
        <v>0</v>
      </c>
      <c r="Y1236">
        <f>IF(vp.data[[#This Row],[CrudeType]]="C5+",1,0)</f>
        <v>0</v>
      </c>
      <c r="Z1236">
        <f>IF(AND(vp.data[[#This Row],[CrudeType]]="Crude",vp.data[[#This Row],[Dens]]&lt;=825,vp.data[[#This Row],[Sulf]]&gt;0.5,vp.data[[#This Row],[Unknown]]=0),1,0)</f>
        <v>1</v>
      </c>
      <c r="AA1236">
        <f>IF(AND(vp.data[[#This Row],[CrudeType]]="Crude",vp.data[[#This Row],[Dens]]&lt;=825,vp.data[[#This Row],[Sulf]]&lt;=0.5,vp.data[[#This Row],[Unknown]]=0),1,0)</f>
        <v>0</v>
      </c>
      <c r="AB12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36">
        <f>IF(AND(vp.data[[#This Row],[CrudeType]]="Crude",vp.data[[#This Row],[Dens]]&gt;825,vp.data[[#This Row],[Dens]]&lt;=900,vp.data[[#This Row],[Sulf]]&lt;=0.5,vp.data[[#This Row],[Unknown]]=0),1,0)</f>
        <v>0</v>
      </c>
      <c r="AD1236">
        <f>IF(AND(vp.data[[#This Row],[CrudeType]]="Crude",vp.data[[#This Row],[Dens]]&gt;865,vp.data[[#This Row],[Dens]]&lt;=900,vp.data[[#This Row],[Sulf]]&gt;2,vp.data[[#This Row],[Unknown]]=0),1,0)</f>
        <v>0</v>
      </c>
      <c r="AE1236">
        <f>IF(AND(vp.data[[#This Row],[CrudeType]]="Crude",vp.data[[#This Row],[Dens]]&gt;900,vp.data[[#This Row],[Sulf]]&lt;=0.5,vp.data[[#This Row],[Unknown]]=0),1,0)</f>
        <v>0</v>
      </c>
      <c r="AF1236">
        <f>IF(AND(vp.data[[#This Row],[CrudeType]]="Crude",vp.data[[#This Row],[Dens]]&gt;900,vp.data[[#This Row],[Sulf]]&lt;=0.5,vp.data[[#This Row],[Unknown]]=0),1,0)</f>
        <v>0</v>
      </c>
      <c r="AG1236" t="str">
        <f>INDEX(vp.data[[#Headers],[Unknown]:[Heavy_SW]],MATCH(1,vp.data[[#This Row],[Unknown]:[Heavy_SW]],0))</f>
        <v>Light_LSB</v>
      </c>
      <c r="AH1236">
        <f>INDEX([3]!crudeBD.lkup[Number],MATCH(vp.data[[#This Row],[Crude_Breakdown]],crudeBD.lkup[Crude Breakdown],0))</f>
        <v>1</v>
      </c>
      <c r="AI1236">
        <f>MONTH(vp.data[[#This Row],[SDate]])</f>
        <v>4</v>
      </c>
      <c r="AJ1236" s="5">
        <f>(vp.data[[#This Row],[VP]]-INDEX(crudeBD.lkup[Mean_VP],MATCH(vp.data[[#This Row],[Crude_Breakdown]],crudeBD.lkup[Crude Breakdown],0)))^2</f>
        <v>91.129658879796537</v>
      </c>
      <c r="AK1236" s="5">
        <f>(vp.data[[#This Row],[Dens]]-INDEX(crudeBD.lkup[Mean_Dens],MATCH(vp.data[[#This Row],[Crude_Breakdown]],crudeBD.lkup[Crude Breakdown],0)))^2</f>
        <v>31.172459918993855</v>
      </c>
      <c r="AL1236" s="5">
        <f>(vp.data[[#This Row],[Sulf]]-INDEX(crudeBD.lkup[Mean_Sulf],MATCH(vp.data[[#This Row],[Crude_Breakdown]],crudeBD.lkup[Crude Breakdown],0)))^2</f>
        <v>2.4639947704114179E-2</v>
      </c>
      <c r="AM1236" s="4">
        <f>IF(AND(vp.data[[#This Row],[SDate]]&gt;=DATE(YEAR(vp.data[[#This Row],[SDate]]),5,1),vp.data[[#This Row],[SDate]]&lt;=DATE(YEAR(vp.data[[#This Row],[SDate]]),9,15)),1,0)</f>
        <v>0</v>
      </c>
      <c r="AN1236" s="4">
        <f>IF(vp.data[[#This Row],[SDate]]&lt;DATE(2016,12,1),0,1)</f>
        <v>1</v>
      </c>
      <c r="AO1236" s="4">
        <f>IFERROR(vp.data[[#This Row],[Sulf]]*vp.data[[#This Row],[Net Dens]],"")</f>
        <v>8249651.2452210011</v>
      </c>
      <c r="AP1236">
        <f>IFERROR(vp.data[[#This Row],[Dens]]*vp.data[[#This Row],[VolumeM3]],"")</f>
        <v>10769779.693500001</v>
      </c>
      <c r="AQ1236" s="15">
        <f>IFERROR(vp.data[[#This Row],[VP]]*vp.data[[#This Row],[VolumeM3]],"")</f>
        <v>1071619.8699999999</v>
      </c>
    </row>
    <row r="1237" spans="1:43" x14ac:dyDescent="0.25">
      <c r="A1237">
        <v>1236</v>
      </c>
      <c r="B1237" t="s">
        <v>49</v>
      </c>
      <c r="C1237" t="s">
        <v>49</v>
      </c>
      <c r="D1237" t="s">
        <v>255</v>
      </c>
      <c r="F1237" s="1">
        <v>42839</v>
      </c>
      <c r="G1237" s="2">
        <v>61.2</v>
      </c>
      <c r="H1237" s="2">
        <v>1.3520000000000001</v>
      </c>
      <c r="I1237" s="2">
        <f t="array" ref="I1237">_xlfn.IFNA(IF(vp.data[[#This Row],[Sulf Input]]="",INDEX([1]DATA!$Q$3:$Q$9826,MATCH(1,(vp.data[[#This Row],[Battery]]=[1]DATA!$L$3:$L$9826)*(EOMONTH(vp.data[[#This Row],[SDate]],-1)+1=[1]DATA!$G$3:$G$9826),0)),vp.data[[#This Row],[Sulf Input]]),"")</f>
        <v>1.3520000000000001</v>
      </c>
      <c r="J1237" s="2">
        <v>29.9</v>
      </c>
      <c r="K1237" s="2">
        <v>12</v>
      </c>
      <c r="L1237" s="2">
        <v>850.6</v>
      </c>
      <c r="M1237" s="2">
        <f t="array" ref="M1237">_xlfn.IFNA(IF(vp.data[[#This Row],[Dens Input]]="",INDEX([1]DATA!$O$3:$O$9826,MATCH(1,(vp.data[[#This Row],[Battery]]=[1]DATA!$L$3:$L$9826)*(EOMONTH(vp.data[[#This Row],[SDate]],-1)+1=[1]DATA!$G$3:$G$9826),0)),vp.data[[#This Row],[Dens Input]]),"")</f>
        <v>850.6</v>
      </c>
      <c r="N1237" s="2">
        <f ca="1">INDEX(INDIRECT(_xlfn.CONCAT("weather.tbl[",N$1,"]")),MATCH(vp.data[[#This Row],[SDate]],weather.tbl[Date],0))</f>
        <v>11.866666666666667</v>
      </c>
      <c r="O1237" s="2">
        <f ca="1">INDEX(INDIRECT(_xlfn.CONCAT("weather.tbl[",O$1,"]")),MATCH(vp.data[[#This Row],[SDate]],weather.tbl[Date],0))</f>
        <v>6.6404761904761909</v>
      </c>
      <c r="P1237" s="2">
        <f ca="1">INDEX(INDIRECT(_xlfn.CONCAT("weather.tbl[",P$1,"]")),MATCH(vp.data[[#This Row],[SDate]],weather.tbl[Date],0))</f>
        <v>12.5</v>
      </c>
      <c r="Q1237" s="2">
        <f ca="1">INDEX(INDIRECT(_xlfn.CONCAT("weather.tbl[",Q$1,"]")),MATCH(vp.data[[#This Row],[SDate]],weather.tbl[Date],0))</f>
        <v>9</v>
      </c>
      <c r="R1237" s="2">
        <f ca="1">INDEX(INDIRECT(_xlfn.CONCAT("weather.tbl[",R$1,"]")),MATCH(vp.data[[#This Row],[SDate]],weather.tbl[Date],0))</f>
        <v>14.3</v>
      </c>
      <c r="S1237" s="2">
        <f ca="1">INDEX(INDIRECT(_xlfn.CONCAT("weather.tbl[",S$1,"]")),MATCH(vp.data[[#This Row],[SDate]],weather.tbl[Date],0))</f>
        <v>7.6</v>
      </c>
      <c r="T1237" s="2">
        <f ca="1">INDEX(INDIRECT(_xlfn.CONCAT("weather.tbl[",T$1,"]")),MATCH(vp.data[[#This Row],[SDate]],weather.tbl[Date],0))</f>
        <v>15</v>
      </c>
      <c r="U1237" s="2">
        <f ca="1">INDEX(INDIRECT(_xlfn.CONCAT("weather.tbl[",U$1,"]")),MATCH(vp.data[[#This Row],[SDate]],weather.tbl[Date],0))</f>
        <v>12.8</v>
      </c>
      <c r="V1237" s="2">
        <f t="array" ref="V12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3019.7249999999999</v>
      </c>
      <c r="W1237" t="s">
        <v>48</v>
      </c>
      <c r="X1237">
        <f>IF(OR(vp.data[[#This Row],[Sulf]]="",vp.data[[#This Row],[Dens]]=""),1,0)</f>
        <v>0</v>
      </c>
      <c r="Y1237">
        <f>IF(vp.data[[#This Row],[CrudeType]]="C5+",1,0)</f>
        <v>0</v>
      </c>
      <c r="Z1237">
        <f>IF(AND(vp.data[[#This Row],[CrudeType]]="Crude",vp.data[[#This Row],[Dens]]&lt;=825,vp.data[[#This Row],[Sulf]]&gt;0.5,vp.data[[#This Row],[Unknown]]=0),1,0)</f>
        <v>0</v>
      </c>
      <c r="AA1237">
        <f>IF(AND(vp.data[[#This Row],[CrudeType]]="Crude",vp.data[[#This Row],[Dens]]&lt;=825,vp.data[[#This Row],[Sulf]]&lt;=0.5,vp.data[[#This Row],[Unknown]]=0),1,0)</f>
        <v>0</v>
      </c>
      <c r="AB12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37">
        <f>IF(AND(vp.data[[#This Row],[CrudeType]]="Crude",vp.data[[#This Row],[Dens]]&gt;825,vp.data[[#This Row],[Dens]]&lt;=900,vp.data[[#This Row],[Sulf]]&lt;=0.5,vp.data[[#This Row],[Unknown]]=0),1,0)</f>
        <v>0</v>
      </c>
      <c r="AD1237">
        <f>IF(AND(vp.data[[#This Row],[CrudeType]]="Crude",vp.data[[#This Row],[Dens]]&gt;865,vp.data[[#This Row],[Dens]]&lt;=900,vp.data[[#This Row],[Sulf]]&gt;2,vp.data[[#This Row],[Unknown]]=0),1,0)</f>
        <v>0</v>
      </c>
      <c r="AE1237">
        <f>IF(AND(vp.data[[#This Row],[CrudeType]]="Crude",vp.data[[#This Row],[Dens]]&gt;900,vp.data[[#This Row],[Sulf]]&lt;=0.5,vp.data[[#This Row],[Unknown]]=0),1,0)</f>
        <v>0</v>
      </c>
      <c r="AF1237">
        <f>IF(AND(vp.data[[#This Row],[CrudeType]]="Crude",vp.data[[#This Row],[Dens]]&gt;900,vp.data[[#This Row],[Sulf]]&lt;=0.5,vp.data[[#This Row],[Unknown]]=0),1,0)</f>
        <v>0</v>
      </c>
      <c r="AG1237" t="str">
        <f>INDEX(vp.data[[#Headers],[Unknown]:[Heavy_SW]],MATCH(1,vp.data[[#This Row],[Unknown]:[Heavy_SW]],0))</f>
        <v>Medium_LSB</v>
      </c>
      <c r="AH1237">
        <f>INDEX([3]!crudeBD.lkup[Number],MATCH(vp.data[[#This Row],[Crude_Breakdown]],crudeBD.lkup[Crude Breakdown],0))</f>
        <v>3</v>
      </c>
      <c r="AI1237">
        <f>MONTH(vp.data[[#This Row],[SDate]])</f>
        <v>4</v>
      </c>
      <c r="AJ1237" s="5">
        <f>(vp.data[[#This Row],[VP]]-INDEX(crudeBD.lkup[Mean_VP],MATCH(vp.data[[#This Row],[Crude_Breakdown]],crudeBD.lkup[Crude Breakdown],0)))^2</f>
        <v>377.90102436337719</v>
      </c>
      <c r="AK1237" s="5">
        <f>(vp.data[[#This Row],[Dens]]-INDEX(crudeBD.lkup[Mean_Dens],MATCH(vp.data[[#This Row],[Crude_Breakdown]],crudeBD.lkup[Crude Breakdown],0)))^2</f>
        <v>44.622400000006927</v>
      </c>
      <c r="AL1237" s="5">
        <f>(vp.data[[#This Row],[Sulf]]-INDEX(crudeBD.lkup[Mean_Sulf],MATCH(vp.data[[#This Row],[Crude_Breakdown]],crudeBD.lkup[Crude Breakdown],0)))^2</f>
        <v>1.1161029285767915E-3</v>
      </c>
      <c r="AM1237" s="4">
        <f>IF(AND(vp.data[[#This Row],[SDate]]&gt;=DATE(YEAR(vp.data[[#This Row],[SDate]]),5,1),vp.data[[#This Row],[SDate]]&lt;=DATE(YEAR(vp.data[[#This Row],[SDate]]),9,15)),1,0)</f>
        <v>0</v>
      </c>
      <c r="AN1237" s="4">
        <f>IF(vp.data[[#This Row],[SDate]]&lt;DATE(2016,12,1),0,1)</f>
        <v>1</v>
      </c>
      <c r="AO1237" s="4">
        <f>IFERROR(vp.data[[#This Row],[Sulf]]*vp.data[[#This Row],[Net Dens]],"")</f>
        <v>3472717.5709200003</v>
      </c>
      <c r="AP1237">
        <f>IFERROR(vp.data[[#This Row],[Dens]]*vp.data[[#This Row],[VolumeM3]],"")</f>
        <v>2568578.085</v>
      </c>
      <c r="AQ1237" s="15">
        <f>IFERROR(vp.data[[#This Row],[VP]]*vp.data[[#This Row],[VolumeM3]],"")</f>
        <v>184807.17</v>
      </c>
    </row>
    <row r="1238" spans="1:43" x14ac:dyDescent="0.25">
      <c r="A1238">
        <v>1237</v>
      </c>
      <c r="B1238" t="s">
        <v>49</v>
      </c>
      <c r="C1238" t="s">
        <v>49</v>
      </c>
      <c r="D1238" t="s">
        <v>256</v>
      </c>
      <c r="F1238" s="1">
        <v>42839</v>
      </c>
      <c r="G1238" s="2">
        <v>53.4</v>
      </c>
      <c r="H1238" s="2">
        <v>1.522</v>
      </c>
      <c r="I1238" s="2">
        <f t="array" ref="I1238">_xlfn.IFNA(IF(vp.data[[#This Row],[Sulf Input]]="",INDEX([1]DATA!$Q$3:$Q$9826,MATCH(1,(vp.data[[#This Row],[Battery]]=[1]DATA!$L$3:$L$9826)*(EOMONTH(vp.data[[#This Row],[SDate]],-1)+1=[1]DATA!$G$3:$G$9826),0)),vp.data[[#This Row],[Sulf Input]]),"")</f>
        <v>1.522</v>
      </c>
      <c r="J1238" s="2">
        <v>34.6</v>
      </c>
      <c r="K1238" s="2">
        <v>12</v>
      </c>
      <c r="L1238" s="2">
        <v>866.4</v>
      </c>
      <c r="M1238" s="2">
        <f t="array" ref="M1238">_xlfn.IFNA(IF(vp.data[[#This Row],[Dens Input]]="",INDEX([1]DATA!$O$3:$O$9826,MATCH(1,(vp.data[[#This Row],[Battery]]=[1]DATA!$L$3:$L$9826)*(EOMONTH(vp.data[[#This Row],[SDate]],-1)+1=[1]DATA!$G$3:$G$9826),0)),vp.data[[#This Row],[Dens Input]]),"")</f>
        <v>866.4</v>
      </c>
      <c r="N1238" s="2">
        <f ca="1">INDEX(INDIRECT(_xlfn.CONCAT("weather.tbl[",N$1,"]")),MATCH(vp.data[[#This Row],[SDate]],weather.tbl[Date],0))</f>
        <v>11.866666666666667</v>
      </c>
      <c r="O1238" s="2">
        <f ca="1">INDEX(INDIRECT(_xlfn.CONCAT("weather.tbl[",O$1,"]")),MATCH(vp.data[[#This Row],[SDate]],weather.tbl[Date],0))</f>
        <v>6.6404761904761909</v>
      </c>
      <c r="P1238" s="2">
        <f ca="1">INDEX(INDIRECT(_xlfn.CONCAT("weather.tbl[",P$1,"]")),MATCH(vp.data[[#This Row],[SDate]],weather.tbl[Date],0))</f>
        <v>12.5</v>
      </c>
      <c r="Q1238" s="2">
        <f ca="1">INDEX(INDIRECT(_xlfn.CONCAT("weather.tbl[",Q$1,"]")),MATCH(vp.data[[#This Row],[SDate]],weather.tbl[Date],0))</f>
        <v>9</v>
      </c>
      <c r="R1238" s="2">
        <f ca="1">INDEX(INDIRECT(_xlfn.CONCAT("weather.tbl[",R$1,"]")),MATCH(vp.data[[#This Row],[SDate]],weather.tbl[Date],0))</f>
        <v>14.3</v>
      </c>
      <c r="S1238" s="2">
        <f ca="1">INDEX(INDIRECT(_xlfn.CONCAT("weather.tbl[",S$1,"]")),MATCH(vp.data[[#This Row],[SDate]],weather.tbl[Date],0))</f>
        <v>7.6</v>
      </c>
      <c r="T1238" s="2">
        <f ca="1">INDEX(INDIRECT(_xlfn.CONCAT("weather.tbl[",T$1,"]")),MATCH(vp.data[[#This Row],[SDate]],weather.tbl[Date],0))</f>
        <v>15</v>
      </c>
      <c r="U1238" s="2">
        <f ca="1">INDEX(INDIRECT(_xlfn.CONCAT("weather.tbl[",U$1,"]")),MATCH(vp.data[[#This Row],[SDate]],weather.tbl[Date],0))</f>
        <v>12.8</v>
      </c>
      <c r="V1238" s="2">
        <f t="array" ref="V12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909.47799999999995</v>
      </c>
      <c r="W1238" t="s">
        <v>48</v>
      </c>
      <c r="X1238">
        <f>IF(OR(vp.data[[#This Row],[Sulf]]="",vp.data[[#This Row],[Dens]]=""),1,0)</f>
        <v>0</v>
      </c>
      <c r="Y1238">
        <f>IF(vp.data[[#This Row],[CrudeType]]="C5+",1,0)</f>
        <v>0</v>
      </c>
      <c r="Z1238">
        <f>IF(AND(vp.data[[#This Row],[CrudeType]]="Crude",vp.data[[#This Row],[Dens]]&lt;=825,vp.data[[#This Row],[Sulf]]&gt;0.5,vp.data[[#This Row],[Unknown]]=0),1,0)</f>
        <v>0</v>
      </c>
      <c r="AA1238">
        <f>IF(AND(vp.data[[#This Row],[CrudeType]]="Crude",vp.data[[#This Row],[Dens]]&lt;=825,vp.data[[#This Row],[Sulf]]&lt;=0.5,vp.data[[#This Row],[Unknown]]=0),1,0)</f>
        <v>0</v>
      </c>
      <c r="AB12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38">
        <f>IF(AND(vp.data[[#This Row],[CrudeType]]="Crude",vp.data[[#This Row],[Dens]]&gt;825,vp.data[[#This Row],[Dens]]&lt;=900,vp.data[[#This Row],[Sulf]]&lt;=0.5,vp.data[[#This Row],[Unknown]]=0),1,0)</f>
        <v>0</v>
      </c>
      <c r="AD1238">
        <f>IF(AND(vp.data[[#This Row],[CrudeType]]="Crude",vp.data[[#This Row],[Dens]]&gt;865,vp.data[[#This Row],[Dens]]&lt;=900,vp.data[[#This Row],[Sulf]]&gt;2,vp.data[[#This Row],[Unknown]]=0),1,0)</f>
        <v>0</v>
      </c>
      <c r="AE1238">
        <f>IF(AND(vp.data[[#This Row],[CrudeType]]="Crude",vp.data[[#This Row],[Dens]]&gt;900,vp.data[[#This Row],[Sulf]]&lt;=0.5,vp.data[[#This Row],[Unknown]]=0),1,0)</f>
        <v>0</v>
      </c>
      <c r="AF1238">
        <f>IF(AND(vp.data[[#This Row],[CrudeType]]="Crude",vp.data[[#This Row],[Dens]]&gt;900,vp.data[[#This Row],[Sulf]]&lt;=0.5,vp.data[[#This Row],[Unknown]]=0),1,0)</f>
        <v>0</v>
      </c>
      <c r="AG1238" t="str">
        <f>INDEX(vp.data[[#Headers],[Unknown]:[Heavy_SW]],MATCH(1,vp.data[[#This Row],[Unknown]:[Heavy_SW]],0))</f>
        <v>Medium_LSB</v>
      </c>
      <c r="AH1238">
        <f>INDEX([3]!crudeBD.lkup[Number],MATCH(vp.data[[#This Row],[Crude_Breakdown]],crudeBD.lkup[Crude Breakdown],0))</f>
        <v>3</v>
      </c>
      <c r="AI1238">
        <f>MONTH(vp.data[[#This Row],[SDate]])</f>
        <v>4</v>
      </c>
      <c r="AJ1238" s="5">
        <f>(vp.data[[#This Row],[VP]]-INDEX(crudeBD.lkup[Mean_VP],MATCH(vp.data[[#This Row],[Crude_Breakdown]],crudeBD.lkup[Crude Breakdown],0)))^2</f>
        <v>741.99997854127389</v>
      </c>
      <c r="AK1238" s="5">
        <f>(vp.data[[#This Row],[Dens]]-INDEX(crudeBD.lkup[Mean_Dens],MATCH(vp.data[[#This Row],[Crude_Breakdown]],crudeBD.lkup[Crude Breakdown],0)))^2</f>
        <v>505.35040000002124</v>
      </c>
      <c r="AL1238" s="5">
        <f>(vp.data[[#This Row],[Sulf]]-INDEX(crudeBD.lkup[Mean_Sulf],MATCH(vp.data[[#This Row],[Crude_Breakdown]],crudeBD.lkup[Crude Breakdown],0)))^2</f>
        <v>1.8657339855800006E-2</v>
      </c>
      <c r="AM1238" s="4">
        <f>IF(AND(vp.data[[#This Row],[SDate]]&gt;=DATE(YEAR(vp.data[[#This Row],[SDate]]),5,1),vp.data[[#This Row],[SDate]]&lt;=DATE(YEAR(vp.data[[#This Row],[SDate]]),9,15)),1,0)</f>
        <v>0</v>
      </c>
      <c r="AN1238" s="4">
        <f>IF(vp.data[[#This Row],[SDate]]&lt;DATE(2016,12,1),0,1)</f>
        <v>1</v>
      </c>
      <c r="AO1238" s="4">
        <f>IFERROR(vp.data[[#This Row],[Sulf]]*vp.data[[#This Row],[Net Dens]],"")</f>
        <v>1199292.9870624</v>
      </c>
      <c r="AP1238">
        <f>IFERROR(vp.data[[#This Row],[Dens]]*vp.data[[#This Row],[VolumeM3]],"")</f>
        <v>787971.73919999995</v>
      </c>
      <c r="AQ1238" s="15">
        <f>IFERROR(vp.data[[#This Row],[VP]]*vp.data[[#This Row],[VolumeM3]],"")</f>
        <v>48566.125199999995</v>
      </c>
    </row>
    <row r="1239" spans="1:43" x14ac:dyDescent="0.25">
      <c r="A1239">
        <v>1238</v>
      </c>
      <c r="B1239" t="s">
        <v>51</v>
      </c>
      <c r="C1239" t="s">
        <v>51</v>
      </c>
      <c r="D1239" t="s">
        <v>173</v>
      </c>
      <c r="F1239" s="1">
        <v>42839</v>
      </c>
      <c r="G1239" s="2">
        <v>81.7</v>
      </c>
      <c r="H1239" s="2"/>
      <c r="I1239" s="2">
        <f t="array" ref="I1239">_xlfn.IFNA(IF(vp.data[[#This Row],[Sulf Input]]="",INDEX([1]DATA!$Q$3:$Q$9826,MATCH(1,(vp.data[[#This Row],[Battery]]=[1]DATA!$L$3:$L$9826)*(EOMONTH(vp.data[[#This Row],[SDate]],-1)+1=[1]DATA!$G$3:$G$9826),0)),vp.data[[#This Row],[Sulf Input]]),"")</f>
        <v>0.71</v>
      </c>
      <c r="J1239" s="2">
        <v>23.2</v>
      </c>
      <c r="K1239" s="2">
        <v>12</v>
      </c>
      <c r="L1239" s="2">
        <v>825.8</v>
      </c>
      <c r="M1239" s="2">
        <f t="array" ref="M1239">_xlfn.IFNA(IF(vp.data[[#This Row],[Dens Input]]="",INDEX([1]DATA!$O$3:$O$9826,MATCH(1,(vp.data[[#This Row],[Battery]]=[1]DATA!$L$3:$L$9826)*(EOMONTH(vp.data[[#This Row],[SDate]],-1)+1=[1]DATA!$G$3:$G$9826),0)),vp.data[[#This Row],[Dens Input]]),"")</f>
        <v>825.8</v>
      </c>
      <c r="N1239" s="2">
        <f ca="1">INDEX(INDIRECT(_xlfn.CONCAT("weather.tbl[",N$1,"]")),MATCH(vp.data[[#This Row],[SDate]],weather.tbl[Date],0))</f>
        <v>11.866666666666667</v>
      </c>
      <c r="O1239" s="2">
        <f ca="1">INDEX(INDIRECT(_xlfn.CONCAT("weather.tbl[",O$1,"]")),MATCH(vp.data[[#This Row],[SDate]],weather.tbl[Date],0))</f>
        <v>6.6404761904761909</v>
      </c>
      <c r="P1239" s="2">
        <f ca="1">INDEX(INDIRECT(_xlfn.CONCAT("weather.tbl[",P$1,"]")),MATCH(vp.data[[#This Row],[SDate]],weather.tbl[Date],0))</f>
        <v>12.5</v>
      </c>
      <c r="Q1239" s="2">
        <f ca="1">INDEX(INDIRECT(_xlfn.CONCAT("weather.tbl[",Q$1,"]")),MATCH(vp.data[[#This Row],[SDate]],weather.tbl[Date],0))</f>
        <v>9</v>
      </c>
      <c r="R1239" s="2">
        <f ca="1">INDEX(INDIRECT(_xlfn.CONCAT("weather.tbl[",R$1,"]")),MATCH(vp.data[[#This Row],[SDate]],weather.tbl[Date],0))</f>
        <v>14.3</v>
      </c>
      <c r="S1239" s="2">
        <f ca="1">INDEX(INDIRECT(_xlfn.CONCAT("weather.tbl[",S$1,"]")),MATCH(vp.data[[#This Row],[SDate]],weather.tbl[Date],0))</f>
        <v>7.6</v>
      </c>
      <c r="T1239" s="2">
        <f ca="1">INDEX(INDIRECT(_xlfn.CONCAT("weather.tbl[",T$1,"]")),MATCH(vp.data[[#This Row],[SDate]],weather.tbl[Date],0))</f>
        <v>15</v>
      </c>
      <c r="U1239" s="2">
        <f ca="1">INDEX(INDIRECT(_xlfn.CONCAT("weather.tbl[",U$1,"]")),MATCH(vp.data[[#This Row],[SDate]],weather.tbl[Date],0))</f>
        <v>12.8</v>
      </c>
      <c r="V1239" s="2">
        <f t="array" ref="V12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1165.7460000000001</v>
      </c>
      <c r="W1239" t="s">
        <v>48</v>
      </c>
      <c r="X1239">
        <f>IF(OR(vp.data[[#This Row],[Sulf]]="",vp.data[[#This Row],[Dens]]=""),1,0)</f>
        <v>0</v>
      </c>
      <c r="Y1239">
        <f>IF(vp.data[[#This Row],[CrudeType]]="C5+",1,0)</f>
        <v>0</v>
      </c>
      <c r="Z1239">
        <f>IF(AND(vp.data[[#This Row],[CrudeType]]="Crude",vp.data[[#This Row],[Dens]]&lt;=825,vp.data[[#This Row],[Sulf]]&gt;0.5,vp.data[[#This Row],[Unknown]]=0),1,0)</f>
        <v>0</v>
      </c>
      <c r="AA1239">
        <f>IF(AND(vp.data[[#This Row],[CrudeType]]="Crude",vp.data[[#This Row],[Dens]]&lt;=825,vp.data[[#This Row],[Sulf]]&lt;=0.5,vp.data[[#This Row],[Unknown]]=0),1,0)</f>
        <v>0</v>
      </c>
      <c r="AB12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39">
        <f>IF(AND(vp.data[[#This Row],[CrudeType]]="Crude",vp.data[[#This Row],[Dens]]&gt;825,vp.data[[#This Row],[Dens]]&lt;=900,vp.data[[#This Row],[Sulf]]&lt;=0.5,vp.data[[#This Row],[Unknown]]=0),1,0)</f>
        <v>0</v>
      </c>
      <c r="AD1239">
        <f>IF(AND(vp.data[[#This Row],[CrudeType]]="Crude",vp.data[[#This Row],[Dens]]&gt;865,vp.data[[#This Row],[Dens]]&lt;=900,vp.data[[#This Row],[Sulf]]&gt;2,vp.data[[#This Row],[Unknown]]=0),1,0)</f>
        <v>0</v>
      </c>
      <c r="AE1239">
        <f>IF(AND(vp.data[[#This Row],[CrudeType]]="Crude",vp.data[[#This Row],[Dens]]&gt;900,vp.data[[#This Row],[Sulf]]&lt;=0.5,vp.data[[#This Row],[Unknown]]=0),1,0)</f>
        <v>0</v>
      </c>
      <c r="AF1239">
        <f>IF(AND(vp.data[[#This Row],[CrudeType]]="Crude",vp.data[[#This Row],[Dens]]&gt;900,vp.data[[#This Row],[Sulf]]&lt;=0.5,vp.data[[#This Row],[Unknown]]=0),1,0)</f>
        <v>0</v>
      </c>
      <c r="AG1239" t="str">
        <f>INDEX(vp.data[[#Headers],[Unknown]:[Heavy_SW]],MATCH(1,vp.data[[#This Row],[Unknown]:[Heavy_SW]],0))</f>
        <v>Medium_LSB</v>
      </c>
      <c r="AH1239">
        <f>INDEX([3]!crudeBD.lkup[Number],MATCH(vp.data[[#This Row],[Crude_Breakdown]],crudeBD.lkup[Crude Breakdown],0))</f>
        <v>3</v>
      </c>
      <c r="AI1239">
        <f>MONTH(vp.data[[#This Row],[SDate]])</f>
        <v>4</v>
      </c>
      <c r="AJ1239" s="5">
        <f>(vp.data[[#This Row],[VP]]-INDEX(crudeBD.lkup[Mean_VP],MATCH(vp.data[[#This Row],[Crude_Breakdown]],crudeBD.lkup[Crude Breakdown],0)))^2</f>
        <v>1.1242858189058618</v>
      </c>
      <c r="AK1239" s="5">
        <f>(vp.data[[#This Row],[Dens]]-INDEX(crudeBD.lkup[Mean_Dens],MATCH(vp.data[[#This Row],[Crude_Breakdown]],crudeBD.lkup[Crude Breakdown],0)))^2</f>
        <v>328.3343999999837</v>
      </c>
      <c r="AL1239" s="5">
        <f>(vp.data[[#This Row],[Sulf]]-INDEX(crudeBD.lkup[Mean_Sulf],MATCH(vp.data[[#This Row],[Crude_Breakdown]],crudeBD.lkup[Crude Breakdown],0)))^2</f>
        <v>0.4561761375916516</v>
      </c>
      <c r="AM1239" s="4">
        <f>IF(AND(vp.data[[#This Row],[SDate]]&gt;=DATE(YEAR(vp.data[[#This Row],[SDate]]),5,1),vp.data[[#This Row],[SDate]]&lt;=DATE(YEAR(vp.data[[#This Row],[SDate]]),9,15)),1,0)</f>
        <v>0</v>
      </c>
      <c r="AN1239" s="4">
        <f>IF(vp.data[[#This Row],[SDate]]&lt;DATE(2016,12,1),0,1)</f>
        <v>1</v>
      </c>
      <c r="AO1239" s="4">
        <f>IFERROR(vp.data[[#This Row],[Sulf]]*vp.data[[#This Row],[Net Dens]],"")</f>
        <v>683497.863228</v>
      </c>
      <c r="AP1239">
        <f>IFERROR(vp.data[[#This Row],[Dens]]*vp.data[[#This Row],[VolumeM3]],"")</f>
        <v>962673.04680000001</v>
      </c>
      <c r="AQ1239" s="15">
        <f>IFERROR(vp.data[[#This Row],[VP]]*vp.data[[#This Row],[VolumeM3]],"")</f>
        <v>95241.448200000013</v>
      </c>
    </row>
    <row r="1240" spans="1:43" x14ac:dyDescent="0.25">
      <c r="A1240">
        <v>1239</v>
      </c>
      <c r="B1240" t="s">
        <v>108</v>
      </c>
      <c r="C1240" t="s">
        <v>108</v>
      </c>
      <c r="D1240" t="s">
        <v>257</v>
      </c>
      <c r="F1240" s="1">
        <v>42839</v>
      </c>
      <c r="G1240" s="2">
        <v>69.099999999999994</v>
      </c>
      <c r="H1240" s="2"/>
      <c r="I1240" s="2">
        <f t="array" ref="I1240">_xlfn.IFNA(IF(vp.data[[#This Row],[Sulf Input]]="",INDEX([1]DATA!$Q$3:$Q$9826,MATCH(1,(vp.data[[#This Row],[Battery]]=[1]DATA!$L$3:$L$9826)*(EOMONTH(vp.data[[#This Row],[SDate]],-1)+1=[1]DATA!$G$3:$G$9826),0)),vp.data[[#This Row],[Sulf Input]]),"")</f>
        <v>0.89</v>
      </c>
      <c r="J1240" s="2">
        <v>30.4</v>
      </c>
      <c r="K1240" s="2">
        <v>12</v>
      </c>
      <c r="L1240" s="2">
        <v>838.2</v>
      </c>
      <c r="M1240" s="2">
        <f t="array" ref="M1240">_xlfn.IFNA(IF(vp.data[[#This Row],[Dens Input]]="",INDEX([1]DATA!$O$3:$O$9826,MATCH(1,(vp.data[[#This Row],[Battery]]=[1]DATA!$L$3:$L$9826)*(EOMONTH(vp.data[[#This Row],[SDate]],-1)+1=[1]DATA!$G$3:$G$9826),0)),vp.data[[#This Row],[Dens Input]]),"")</f>
        <v>838.2</v>
      </c>
      <c r="N1240" s="2">
        <f ca="1">INDEX(INDIRECT(_xlfn.CONCAT("weather.tbl[",N$1,"]")),MATCH(vp.data[[#This Row],[SDate]],weather.tbl[Date],0))</f>
        <v>11.866666666666667</v>
      </c>
      <c r="O1240" s="2">
        <f ca="1">INDEX(INDIRECT(_xlfn.CONCAT("weather.tbl[",O$1,"]")),MATCH(vp.data[[#This Row],[SDate]],weather.tbl[Date],0))</f>
        <v>6.6404761904761909</v>
      </c>
      <c r="P1240" s="2">
        <f ca="1">INDEX(INDIRECT(_xlfn.CONCAT("weather.tbl[",P$1,"]")),MATCH(vp.data[[#This Row],[SDate]],weather.tbl[Date],0))</f>
        <v>12.5</v>
      </c>
      <c r="Q1240" s="2">
        <f ca="1">INDEX(INDIRECT(_xlfn.CONCAT("weather.tbl[",Q$1,"]")),MATCH(vp.data[[#This Row],[SDate]],weather.tbl[Date],0))</f>
        <v>9</v>
      </c>
      <c r="R1240" s="2">
        <f ca="1">INDEX(INDIRECT(_xlfn.CONCAT("weather.tbl[",R$1,"]")),MATCH(vp.data[[#This Row],[SDate]],weather.tbl[Date],0))</f>
        <v>14.3</v>
      </c>
      <c r="S1240" s="2">
        <f ca="1">INDEX(INDIRECT(_xlfn.CONCAT("weather.tbl[",S$1,"]")),MATCH(vp.data[[#This Row],[SDate]],weather.tbl[Date],0))</f>
        <v>7.6</v>
      </c>
      <c r="T1240" s="2">
        <f ca="1">INDEX(INDIRECT(_xlfn.CONCAT("weather.tbl[",T$1,"]")),MATCH(vp.data[[#This Row],[SDate]],weather.tbl[Date],0))</f>
        <v>15</v>
      </c>
      <c r="U1240" s="2">
        <f ca="1">INDEX(INDIRECT(_xlfn.CONCAT("weather.tbl[",U$1,"]")),MATCH(vp.data[[#This Row],[SDate]],weather.tbl[Date],0))</f>
        <v>12.8</v>
      </c>
      <c r="V1240" s="2">
        <f t="array" ref="V12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1939.77</v>
      </c>
      <c r="W1240" t="s">
        <v>48</v>
      </c>
      <c r="X1240">
        <f>IF(OR(vp.data[[#This Row],[Sulf]]="",vp.data[[#This Row],[Dens]]=""),1,0)</f>
        <v>0</v>
      </c>
      <c r="Y1240">
        <f>IF(vp.data[[#This Row],[CrudeType]]="C5+",1,0)</f>
        <v>0</v>
      </c>
      <c r="Z1240">
        <f>IF(AND(vp.data[[#This Row],[CrudeType]]="Crude",vp.data[[#This Row],[Dens]]&lt;=825,vp.data[[#This Row],[Sulf]]&gt;0.5,vp.data[[#This Row],[Unknown]]=0),1,0)</f>
        <v>0</v>
      </c>
      <c r="AA1240">
        <f>IF(AND(vp.data[[#This Row],[CrudeType]]="Crude",vp.data[[#This Row],[Dens]]&lt;=825,vp.data[[#This Row],[Sulf]]&lt;=0.5,vp.data[[#This Row],[Unknown]]=0),1,0)</f>
        <v>0</v>
      </c>
      <c r="AB12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40">
        <f>IF(AND(vp.data[[#This Row],[CrudeType]]="Crude",vp.data[[#This Row],[Dens]]&gt;825,vp.data[[#This Row],[Dens]]&lt;=900,vp.data[[#This Row],[Sulf]]&lt;=0.5,vp.data[[#This Row],[Unknown]]=0),1,0)</f>
        <v>0</v>
      </c>
      <c r="AD1240">
        <f>IF(AND(vp.data[[#This Row],[CrudeType]]="Crude",vp.data[[#This Row],[Dens]]&gt;865,vp.data[[#This Row],[Dens]]&lt;=900,vp.data[[#This Row],[Sulf]]&gt;2,vp.data[[#This Row],[Unknown]]=0),1,0)</f>
        <v>0</v>
      </c>
      <c r="AE1240">
        <f>IF(AND(vp.data[[#This Row],[CrudeType]]="Crude",vp.data[[#This Row],[Dens]]&gt;900,vp.data[[#This Row],[Sulf]]&lt;=0.5,vp.data[[#This Row],[Unknown]]=0),1,0)</f>
        <v>0</v>
      </c>
      <c r="AF1240">
        <f>IF(AND(vp.data[[#This Row],[CrudeType]]="Crude",vp.data[[#This Row],[Dens]]&gt;900,vp.data[[#This Row],[Sulf]]&lt;=0.5,vp.data[[#This Row],[Unknown]]=0),1,0)</f>
        <v>0</v>
      </c>
      <c r="AG1240" t="str">
        <f>INDEX(vp.data[[#Headers],[Unknown]:[Heavy_SW]],MATCH(1,vp.data[[#This Row],[Unknown]:[Heavy_SW]],0))</f>
        <v>Medium_LSB</v>
      </c>
      <c r="AH1240">
        <f>INDEX([3]!crudeBD.lkup[Number],MATCH(vp.data[[#This Row],[Crude_Breakdown]],crudeBD.lkup[Crude Breakdown],0))</f>
        <v>3</v>
      </c>
      <c r="AI1240">
        <f>MONTH(vp.data[[#This Row],[SDate]])</f>
        <v>4</v>
      </c>
      <c r="AJ1240" s="5">
        <f>(vp.data[[#This Row],[VP]]-INDEX(crudeBD.lkup[Mean_VP],MATCH(vp.data[[#This Row],[Crude_Breakdown]],crudeBD.lkup[Crude Breakdown],0)))^2</f>
        <v>133.16413487550795</v>
      </c>
      <c r="AK1240" s="5">
        <f>(vp.data[[#This Row],[Dens]]-INDEX(crudeBD.lkup[Mean_Dens],MATCH(vp.data[[#This Row],[Crude_Breakdown]],crudeBD.lkup[Crude Breakdown],0)))^2</f>
        <v>32.718399999993807</v>
      </c>
      <c r="AL1240" s="5">
        <f>(vp.data[[#This Row],[Sulf]]-INDEX(crudeBD.lkup[Mean_Sulf],MATCH(vp.data[[#This Row],[Crude_Breakdown]],crudeBD.lkup[Crude Breakdown],0)))^2</f>
        <v>0.24542921198518197</v>
      </c>
      <c r="AM1240" s="4">
        <f>IF(AND(vp.data[[#This Row],[SDate]]&gt;=DATE(YEAR(vp.data[[#This Row],[SDate]]),5,1),vp.data[[#This Row],[SDate]]&lt;=DATE(YEAR(vp.data[[#This Row],[SDate]]),9,15)),1,0)</f>
        <v>0</v>
      </c>
      <c r="AN1240" s="4">
        <f>IF(vp.data[[#This Row],[SDate]]&lt;DATE(2016,12,1),0,1)</f>
        <v>1</v>
      </c>
      <c r="AO1240" s="4">
        <f>IFERROR(vp.data[[#This Row],[Sulf]]*vp.data[[#This Row],[Net Dens]],"")</f>
        <v>1447064.54046</v>
      </c>
      <c r="AP1240">
        <f>IFERROR(vp.data[[#This Row],[Dens]]*vp.data[[#This Row],[VolumeM3]],"")</f>
        <v>1625915.2140000002</v>
      </c>
      <c r="AQ1240" s="15">
        <f>IFERROR(vp.data[[#This Row],[VP]]*vp.data[[#This Row],[VolumeM3]],"")</f>
        <v>134038.10699999999</v>
      </c>
    </row>
    <row r="1241" spans="1:43" x14ac:dyDescent="0.25">
      <c r="A1241">
        <v>1240</v>
      </c>
      <c r="B1241" t="s">
        <v>68</v>
      </c>
      <c r="C1241" t="s">
        <v>68</v>
      </c>
      <c r="D1241" t="s">
        <v>258</v>
      </c>
      <c r="F1241" s="1">
        <v>42839</v>
      </c>
      <c r="G1241" s="2">
        <v>59.8</v>
      </c>
      <c r="H1241" s="2"/>
      <c r="I1241" s="2">
        <f t="array" ref="I1241">_xlfn.IFNA(IF(vp.data[[#This Row],[Sulf Input]]="",INDEX([1]DATA!$Q$3:$Q$9826,MATCH(1,(vp.data[[#This Row],[Battery]]=[1]DATA!$L$3:$L$9826)*(EOMONTH(vp.data[[#This Row],[SDate]],-1)+1=[1]DATA!$G$3:$G$9826),0)),vp.data[[#This Row],[Sulf Input]]),"")</f>
        <v>1.53</v>
      </c>
      <c r="J1241" s="2">
        <v>22.5</v>
      </c>
      <c r="K1241" s="2">
        <v>12</v>
      </c>
      <c r="L1241" s="2">
        <v>845.6</v>
      </c>
      <c r="M1241" s="2">
        <f t="array" ref="M1241">_xlfn.IFNA(IF(vp.data[[#This Row],[Dens Input]]="",INDEX([1]DATA!$O$3:$O$9826,MATCH(1,(vp.data[[#This Row],[Battery]]=[1]DATA!$L$3:$L$9826)*(EOMONTH(vp.data[[#This Row],[SDate]],-1)+1=[1]DATA!$G$3:$G$9826),0)),vp.data[[#This Row],[Dens Input]]),"")</f>
        <v>845.6</v>
      </c>
      <c r="N1241" s="2">
        <f ca="1">INDEX(INDIRECT(_xlfn.CONCAT("weather.tbl[",N$1,"]")),MATCH(vp.data[[#This Row],[SDate]],weather.tbl[Date],0))</f>
        <v>11.866666666666667</v>
      </c>
      <c r="O1241" s="2">
        <f ca="1">INDEX(INDIRECT(_xlfn.CONCAT("weather.tbl[",O$1,"]")),MATCH(vp.data[[#This Row],[SDate]],weather.tbl[Date],0))</f>
        <v>6.6404761904761909</v>
      </c>
      <c r="P1241" s="2">
        <f ca="1">INDEX(INDIRECT(_xlfn.CONCAT("weather.tbl[",P$1,"]")),MATCH(vp.data[[#This Row],[SDate]],weather.tbl[Date],0))</f>
        <v>12.5</v>
      </c>
      <c r="Q1241" s="2">
        <f ca="1">INDEX(INDIRECT(_xlfn.CONCAT("weather.tbl[",Q$1,"]")),MATCH(vp.data[[#This Row],[SDate]],weather.tbl[Date],0))</f>
        <v>9</v>
      </c>
      <c r="R1241" s="2">
        <f ca="1">INDEX(INDIRECT(_xlfn.CONCAT("weather.tbl[",R$1,"]")),MATCH(vp.data[[#This Row],[SDate]],weather.tbl[Date],0))</f>
        <v>14.3</v>
      </c>
      <c r="S1241" s="2">
        <f ca="1">INDEX(INDIRECT(_xlfn.CONCAT("weather.tbl[",S$1,"]")),MATCH(vp.data[[#This Row],[SDate]],weather.tbl[Date],0))</f>
        <v>7.6</v>
      </c>
      <c r="T1241" s="2">
        <f ca="1">INDEX(INDIRECT(_xlfn.CONCAT("weather.tbl[",T$1,"]")),MATCH(vp.data[[#This Row],[SDate]],weather.tbl[Date],0))</f>
        <v>15</v>
      </c>
      <c r="U1241" s="2">
        <f ca="1">INDEX(INDIRECT(_xlfn.CONCAT("weather.tbl[",U$1,"]")),MATCH(vp.data[[#This Row],[SDate]],weather.tbl[Date],0))</f>
        <v>12.8</v>
      </c>
      <c r="V1241" s="2">
        <f t="array" ref="V12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470.54399999999998</v>
      </c>
      <c r="W1241" t="s">
        <v>48</v>
      </c>
      <c r="X1241">
        <f>IF(OR(vp.data[[#This Row],[Sulf]]="",vp.data[[#This Row],[Dens]]=""),1,0)</f>
        <v>0</v>
      </c>
      <c r="Y1241">
        <f>IF(vp.data[[#This Row],[CrudeType]]="C5+",1,0)</f>
        <v>0</v>
      </c>
      <c r="Z1241">
        <f>IF(AND(vp.data[[#This Row],[CrudeType]]="Crude",vp.data[[#This Row],[Dens]]&lt;=825,vp.data[[#This Row],[Sulf]]&gt;0.5,vp.data[[#This Row],[Unknown]]=0),1,0)</f>
        <v>0</v>
      </c>
      <c r="AA1241">
        <f>IF(AND(vp.data[[#This Row],[CrudeType]]="Crude",vp.data[[#This Row],[Dens]]&lt;=825,vp.data[[#This Row],[Sulf]]&lt;=0.5,vp.data[[#This Row],[Unknown]]=0),1,0)</f>
        <v>0</v>
      </c>
      <c r="AB12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41">
        <f>IF(AND(vp.data[[#This Row],[CrudeType]]="Crude",vp.data[[#This Row],[Dens]]&gt;825,vp.data[[#This Row],[Dens]]&lt;=900,vp.data[[#This Row],[Sulf]]&lt;=0.5,vp.data[[#This Row],[Unknown]]=0),1,0)</f>
        <v>0</v>
      </c>
      <c r="AD1241">
        <f>IF(AND(vp.data[[#This Row],[CrudeType]]="Crude",vp.data[[#This Row],[Dens]]&gt;865,vp.data[[#This Row],[Dens]]&lt;=900,vp.data[[#This Row],[Sulf]]&gt;2,vp.data[[#This Row],[Unknown]]=0),1,0)</f>
        <v>0</v>
      </c>
      <c r="AE1241">
        <f>IF(AND(vp.data[[#This Row],[CrudeType]]="Crude",vp.data[[#This Row],[Dens]]&gt;900,vp.data[[#This Row],[Sulf]]&lt;=0.5,vp.data[[#This Row],[Unknown]]=0),1,0)</f>
        <v>0</v>
      </c>
      <c r="AF1241">
        <f>IF(AND(vp.data[[#This Row],[CrudeType]]="Crude",vp.data[[#This Row],[Dens]]&gt;900,vp.data[[#This Row],[Sulf]]&lt;=0.5,vp.data[[#This Row],[Unknown]]=0),1,0)</f>
        <v>0</v>
      </c>
      <c r="AG1241" t="str">
        <f>INDEX(vp.data[[#Headers],[Unknown]:[Heavy_SW]],MATCH(1,vp.data[[#This Row],[Unknown]:[Heavy_SW]],0))</f>
        <v>Medium_LSB</v>
      </c>
      <c r="AH1241">
        <f>INDEX([3]!crudeBD.lkup[Number],MATCH(vp.data[[#This Row],[Crude_Breakdown]],crudeBD.lkup[Crude Breakdown],0))</f>
        <v>3</v>
      </c>
      <c r="AI1241">
        <f>MONTH(vp.data[[#This Row],[SDate]])</f>
        <v>4</v>
      </c>
      <c r="AJ1241" s="5">
        <f>(vp.data[[#This Row],[VP]]-INDEX(crudeBD.lkup[Mean_VP],MATCH(vp.data[[#This Row],[Crude_Breakdown]],crudeBD.lkup[Crude Breakdown],0)))^2</f>
        <v>434.29211870299986</v>
      </c>
      <c r="AK1241" s="5">
        <f>(vp.data[[#This Row],[Dens]]-INDEX(crudeBD.lkup[Mean_Dens],MATCH(vp.data[[#This Row],[Crude_Breakdown]],crudeBD.lkup[Crude Breakdown],0)))^2</f>
        <v>2.8224000000017417</v>
      </c>
      <c r="AL1241" s="5">
        <f>(vp.data[[#This Row],[Sulf]]-INDEX(crudeBD.lkup[Mean_Sulf],MATCH(vp.data[[#This Row],[Crude_Breakdown]],crudeBD.lkup[Crude Breakdown],0)))^2</f>
        <v>2.0906809828845806E-2</v>
      </c>
      <c r="AM1241" s="4">
        <f>IF(AND(vp.data[[#This Row],[SDate]]&gt;=DATE(YEAR(vp.data[[#This Row],[SDate]]),5,1),vp.data[[#This Row],[SDate]]&lt;=DATE(YEAR(vp.data[[#This Row],[SDate]]),9,15)),1,0)</f>
        <v>0</v>
      </c>
      <c r="AN1241" s="4">
        <f>IF(vp.data[[#This Row],[SDate]]&lt;DATE(2016,12,1),0,1)</f>
        <v>1</v>
      </c>
      <c r="AO1241" s="4">
        <f>IFERROR(vp.data[[#This Row],[Sulf]]*vp.data[[#This Row],[Net Dens]],"")</f>
        <v>608774.76979200006</v>
      </c>
      <c r="AP1241">
        <f>IFERROR(vp.data[[#This Row],[Dens]]*vp.data[[#This Row],[VolumeM3]],"")</f>
        <v>397892.00640000001</v>
      </c>
      <c r="AQ1241" s="15">
        <f>IFERROR(vp.data[[#This Row],[VP]]*vp.data[[#This Row],[VolumeM3]],"")</f>
        <v>28138.531199999998</v>
      </c>
    </row>
    <row r="1242" spans="1:43" x14ac:dyDescent="0.25">
      <c r="A1242">
        <v>1241</v>
      </c>
      <c r="B1242" t="s">
        <v>259</v>
      </c>
      <c r="C1242" t="s">
        <v>259</v>
      </c>
      <c r="D1242" t="s">
        <v>260</v>
      </c>
      <c r="F1242" s="1">
        <v>42839</v>
      </c>
      <c r="G1242" s="2">
        <v>52.2</v>
      </c>
      <c r="H1242" s="2"/>
      <c r="I1242" s="2">
        <f t="array" ref="I1242">_xlfn.IFNA(IF(vp.data[[#This Row],[Sulf Input]]="",INDEX([1]DATA!$Q$3:$Q$9826,MATCH(1,(vp.data[[#This Row],[Battery]]=[1]DATA!$L$3:$L$9826)*(EOMONTH(vp.data[[#This Row],[SDate]],-1)+1=[1]DATA!$G$3:$G$9826),0)),vp.data[[#This Row],[Sulf Input]]),"")</f>
        <v>2.1</v>
      </c>
      <c r="J1242" s="2">
        <v>27.6</v>
      </c>
      <c r="K1242" s="2">
        <v>12</v>
      </c>
      <c r="L1242" s="2">
        <v>882.5</v>
      </c>
      <c r="M1242" s="2">
        <f t="array" ref="M1242">_xlfn.IFNA(IF(vp.data[[#This Row],[Dens Input]]="",INDEX([1]DATA!$O$3:$O$9826,MATCH(1,(vp.data[[#This Row],[Battery]]=[1]DATA!$L$3:$L$9826)*(EOMONTH(vp.data[[#This Row],[SDate]],-1)+1=[1]DATA!$G$3:$G$9826),0)),vp.data[[#This Row],[Dens Input]]),"")</f>
        <v>882.5</v>
      </c>
      <c r="N1242" s="2">
        <f ca="1">INDEX(INDIRECT(_xlfn.CONCAT("weather.tbl[",N$1,"]")),MATCH(vp.data[[#This Row],[SDate]],weather.tbl[Date],0))</f>
        <v>11.866666666666667</v>
      </c>
      <c r="O1242" s="2">
        <f ca="1">INDEX(INDIRECT(_xlfn.CONCAT("weather.tbl[",O$1,"]")),MATCH(vp.data[[#This Row],[SDate]],weather.tbl[Date],0))</f>
        <v>6.6404761904761909</v>
      </c>
      <c r="P1242" s="2">
        <f ca="1">INDEX(INDIRECT(_xlfn.CONCAT("weather.tbl[",P$1,"]")),MATCH(vp.data[[#This Row],[SDate]],weather.tbl[Date],0))</f>
        <v>12.5</v>
      </c>
      <c r="Q1242" s="2">
        <f ca="1">INDEX(INDIRECT(_xlfn.CONCAT("weather.tbl[",Q$1,"]")),MATCH(vp.data[[#This Row],[SDate]],weather.tbl[Date],0))</f>
        <v>9</v>
      </c>
      <c r="R1242" s="2">
        <f ca="1">INDEX(INDIRECT(_xlfn.CONCAT("weather.tbl[",R$1,"]")),MATCH(vp.data[[#This Row],[SDate]],weather.tbl[Date],0))</f>
        <v>14.3</v>
      </c>
      <c r="S1242" s="2">
        <f ca="1">INDEX(INDIRECT(_xlfn.CONCAT("weather.tbl[",S$1,"]")),MATCH(vp.data[[#This Row],[SDate]],weather.tbl[Date],0))</f>
        <v>7.6</v>
      </c>
      <c r="T1242" s="2">
        <f ca="1">INDEX(INDIRECT(_xlfn.CONCAT("weather.tbl[",T$1,"]")),MATCH(vp.data[[#This Row],[SDate]],weather.tbl[Date],0))</f>
        <v>15</v>
      </c>
      <c r="U1242" s="2">
        <f ca="1">INDEX(INDIRECT(_xlfn.CONCAT("weather.tbl[",U$1,"]")),MATCH(vp.data[[#This Row],[SDate]],weather.tbl[Date],0))</f>
        <v>12.8</v>
      </c>
      <c r="V1242" s="2">
        <f t="array" ref="V12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1251.0029999999999</v>
      </c>
      <c r="W1242" t="s">
        <v>48</v>
      </c>
      <c r="X1242">
        <f>IF(OR(vp.data[[#This Row],[Sulf]]="",vp.data[[#This Row],[Dens]]=""),1,0)</f>
        <v>0</v>
      </c>
      <c r="Y1242">
        <f>IF(vp.data[[#This Row],[CrudeType]]="C5+",1,0)</f>
        <v>0</v>
      </c>
      <c r="Z1242">
        <f>IF(AND(vp.data[[#This Row],[CrudeType]]="Crude",vp.data[[#This Row],[Dens]]&lt;=825,vp.data[[#This Row],[Sulf]]&gt;0.5,vp.data[[#This Row],[Unknown]]=0),1,0)</f>
        <v>0</v>
      </c>
      <c r="AA1242">
        <f>IF(AND(vp.data[[#This Row],[CrudeType]]="Crude",vp.data[[#This Row],[Dens]]&lt;=825,vp.data[[#This Row],[Sulf]]&lt;=0.5,vp.data[[#This Row],[Unknown]]=0),1,0)</f>
        <v>0</v>
      </c>
      <c r="AB12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2">
        <f>IF(AND(vp.data[[#This Row],[CrudeType]]="Crude",vp.data[[#This Row],[Dens]]&gt;825,vp.data[[#This Row],[Dens]]&lt;=900,vp.data[[#This Row],[Sulf]]&lt;=0.5,vp.data[[#This Row],[Unknown]]=0),1,0)</f>
        <v>0</v>
      </c>
      <c r="AD1242">
        <f>IF(AND(vp.data[[#This Row],[CrudeType]]="Crude",vp.data[[#This Row],[Dens]]&gt;865,vp.data[[#This Row],[Dens]]&lt;=900,vp.data[[#This Row],[Sulf]]&gt;2,vp.data[[#This Row],[Unknown]]=0),1,0)</f>
        <v>1</v>
      </c>
      <c r="AE1242">
        <f>IF(AND(vp.data[[#This Row],[CrudeType]]="Crude",vp.data[[#This Row],[Dens]]&gt;900,vp.data[[#This Row],[Sulf]]&lt;=0.5,vp.data[[#This Row],[Unknown]]=0),1,0)</f>
        <v>0</v>
      </c>
      <c r="AF1242">
        <f>IF(AND(vp.data[[#This Row],[CrudeType]]="Crude",vp.data[[#This Row],[Dens]]&gt;900,vp.data[[#This Row],[Sulf]]&lt;=0.5,vp.data[[#This Row],[Unknown]]=0),1,0)</f>
        <v>0</v>
      </c>
      <c r="AG1242" t="str">
        <f>INDEX(vp.data[[#Headers],[Unknown]:[Heavy_SW]],MATCH(1,vp.data[[#This Row],[Unknown]:[Heavy_SW]],0))</f>
        <v>Midale</v>
      </c>
      <c r="AH1242">
        <f>INDEX([3]!crudeBD.lkup[Number],MATCH(vp.data[[#This Row],[Crude_Breakdown]],crudeBD.lkup[Crude Breakdown],0))</f>
        <v>5</v>
      </c>
      <c r="AI1242">
        <f>MONTH(vp.data[[#This Row],[SDate]])</f>
        <v>4</v>
      </c>
      <c r="AJ1242" s="5">
        <f>(vp.data[[#This Row],[VP]]-INDEX(crudeBD.lkup[Mean_VP],MATCH(vp.data[[#This Row],[Crude_Breakdown]],crudeBD.lkup[Crude Breakdown],0)))^2</f>
        <v>296.1415200871516</v>
      </c>
      <c r="AK1242" s="5">
        <f>(vp.data[[#This Row],[Dens]]-INDEX(crudeBD.lkup[Mean_Dens],MATCH(vp.data[[#This Row],[Crude_Breakdown]],crudeBD.lkup[Crude Breakdown],0)))^2</f>
        <v>59.02833058773043</v>
      </c>
      <c r="AL1242" s="5">
        <f>(vp.data[[#This Row],[Sulf]]-INDEX(crudeBD.lkup[Mean_Sulf],MATCH(vp.data[[#This Row],[Crude_Breakdown]],crudeBD.lkup[Crude Breakdown],0)))^2</f>
        <v>0.11807165789181534</v>
      </c>
      <c r="AM1242" s="4">
        <f>IF(AND(vp.data[[#This Row],[SDate]]&gt;=DATE(YEAR(vp.data[[#This Row],[SDate]]),5,1),vp.data[[#This Row],[SDate]]&lt;=DATE(YEAR(vp.data[[#This Row],[SDate]]),9,15)),1,0)</f>
        <v>0</v>
      </c>
      <c r="AN1242" s="4">
        <f>IF(vp.data[[#This Row],[SDate]]&lt;DATE(2016,12,1),0,1)</f>
        <v>1</v>
      </c>
      <c r="AO1242" s="4">
        <f>IFERROR(vp.data[[#This Row],[Sulf]]*vp.data[[#This Row],[Net Dens]],"")</f>
        <v>2318421.30975</v>
      </c>
      <c r="AP1242">
        <f>IFERROR(vp.data[[#This Row],[Dens]]*vp.data[[#This Row],[VolumeM3]],"")</f>
        <v>1104010.1475</v>
      </c>
      <c r="AQ1242" s="15">
        <f>IFERROR(vp.data[[#This Row],[VP]]*vp.data[[#This Row],[VolumeM3]],"")</f>
        <v>65302.356599999999</v>
      </c>
    </row>
    <row r="1243" spans="1:43" x14ac:dyDescent="0.25">
      <c r="A1243">
        <v>1242</v>
      </c>
      <c r="B1243" t="s">
        <v>119</v>
      </c>
      <c r="C1243" t="s">
        <v>119</v>
      </c>
      <c r="D1243" t="s">
        <v>261</v>
      </c>
      <c r="F1243" s="1">
        <v>42840</v>
      </c>
      <c r="G1243" s="2">
        <v>92.8</v>
      </c>
      <c r="H1243" s="2"/>
      <c r="I1243" s="2">
        <f t="array" ref="I1243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1243" s="2">
        <v>10</v>
      </c>
      <c r="K1243" s="2">
        <v>-30</v>
      </c>
      <c r="L1243" s="2">
        <v>845.1</v>
      </c>
      <c r="M1243" s="2">
        <f t="array" ref="M1243">_xlfn.IFNA(IF(vp.data[[#This Row],[Dens Input]]="",INDEX([1]DATA!$O$3:$O$9826,MATCH(1,(vp.data[[#This Row],[Battery]]=[1]DATA!$L$3:$L$9826)*(EOMONTH(vp.data[[#This Row],[SDate]],-1)+1=[1]DATA!$G$3:$G$9826),0)),vp.data[[#This Row],[Dens Input]]),"")</f>
        <v>845.1</v>
      </c>
      <c r="N1243" s="2">
        <f ca="1">INDEX(INDIRECT(_xlfn.CONCAT("weather.tbl[",N$1,"]")),MATCH(vp.data[[#This Row],[SDate]],weather.tbl[Date],0))</f>
        <v>6.4499999999999993</v>
      </c>
      <c r="O1243" s="2">
        <f ca="1">INDEX(INDIRECT(_xlfn.CONCAT("weather.tbl[",O$1,"]")),MATCH(vp.data[[#This Row],[SDate]],weather.tbl[Date],0))</f>
        <v>5.9380952380952374</v>
      </c>
      <c r="P1243" s="2">
        <f ca="1">INDEX(INDIRECT(_xlfn.CONCAT("weather.tbl[",P$1,"]")),MATCH(vp.data[[#This Row],[SDate]],weather.tbl[Date],0))</f>
        <v>6.7</v>
      </c>
      <c r="Q1243" s="2">
        <f ca="1">INDEX(INDIRECT(_xlfn.CONCAT("weather.tbl[",Q$1,"]")),MATCH(vp.data[[#This Row],[SDate]],weather.tbl[Date],0))</f>
        <v>4.8</v>
      </c>
      <c r="R1243" s="2">
        <f ca="1">INDEX(INDIRECT(_xlfn.CONCAT("weather.tbl[",R$1,"]")),MATCH(vp.data[[#This Row],[SDate]],weather.tbl[Date],0))</f>
        <v>6</v>
      </c>
      <c r="S1243" s="2">
        <f ca="1">INDEX(INDIRECT(_xlfn.CONCAT("weather.tbl[",S$1,"]")),MATCH(vp.data[[#This Row],[SDate]],weather.tbl[Date],0))</f>
        <v>6.4</v>
      </c>
      <c r="T1243" s="2">
        <f ca="1">INDEX(INDIRECT(_xlfn.CONCAT("weather.tbl[",T$1,"]")),MATCH(vp.data[[#This Row],[SDate]],weather.tbl[Date],0))</f>
        <v>8.5</v>
      </c>
      <c r="U1243" s="2">
        <f ca="1">INDEX(INDIRECT(_xlfn.CONCAT("weather.tbl[",U$1,"]")),MATCH(vp.data[[#This Row],[SDate]],weather.tbl[Date],0))</f>
        <v>6.3</v>
      </c>
      <c r="V1243" s="2">
        <f t="array" ref="V12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1568.2629999999999</v>
      </c>
      <c r="W1243" t="s">
        <v>48</v>
      </c>
      <c r="X1243">
        <f>IF(OR(vp.data[[#This Row],[Sulf]]="",vp.data[[#This Row],[Dens]]=""),1,0)</f>
        <v>0</v>
      </c>
      <c r="Y1243">
        <f>IF(vp.data[[#This Row],[CrudeType]]="C5+",1,0)</f>
        <v>0</v>
      </c>
      <c r="Z1243">
        <f>IF(AND(vp.data[[#This Row],[CrudeType]]="Crude",vp.data[[#This Row],[Dens]]&lt;=825,vp.data[[#This Row],[Sulf]]&gt;0.5,vp.data[[#This Row],[Unknown]]=0),1,0)</f>
        <v>0</v>
      </c>
      <c r="AA1243">
        <f>IF(AND(vp.data[[#This Row],[CrudeType]]="Crude",vp.data[[#This Row],[Dens]]&lt;=825,vp.data[[#This Row],[Sulf]]&lt;=0.5,vp.data[[#This Row],[Unknown]]=0),1,0)</f>
        <v>0</v>
      </c>
      <c r="AB12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43">
        <f>IF(AND(vp.data[[#This Row],[CrudeType]]="Crude",vp.data[[#This Row],[Dens]]&gt;825,vp.data[[#This Row],[Dens]]&lt;=900,vp.data[[#This Row],[Sulf]]&lt;=0.5,vp.data[[#This Row],[Unknown]]=0),1,0)</f>
        <v>0</v>
      </c>
      <c r="AD1243">
        <f>IF(AND(vp.data[[#This Row],[CrudeType]]="Crude",vp.data[[#This Row],[Dens]]&gt;865,vp.data[[#This Row],[Dens]]&lt;=900,vp.data[[#This Row],[Sulf]]&gt;2,vp.data[[#This Row],[Unknown]]=0),1,0)</f>
        <v>0</v>
      </c>
      <c r="AE1243">
        <f>IF(AND(vp.data[[#This Row],[CrudeType]]="Crude",vp.data[[#This Row],[Dens]]&gt;900,vp.data[[#This Row],[Sulf]]&lt;=0.5,vp.data[[#This Row],[Unknown]]=0),1,0)</f>
        <v>0</v>
      </c>
      <c r="AF1243">
        <f>IF(AND(vp.data[[#This Row],[CrudeType]]="Crude",vp.data[[#This Row],[Dens]]&gt;900,vp.data[[#This Row],[Sulf]]&lt;=0.5,vp.data[[#This Row],[Unknown]]=0),1,0)</f>
        <v>0</v>
      </c>
      <c r="AG1243" t="str">
        <f>INDEX(vp.data[[#Headers],[Unknown]:[Heavy_SW]],MATCH(1,vp.data[[#This Row],[Unknown]:[Heavy_SW]],0))</f>
        <v>Medium_LSB</v>
      </c>
      <c r="AH1243">
        <f>INDEX([3]!crudeBD.lkup[Number],MATCH(vp.data[[#This Row],[Crude_Breakdown]],crudeBD.lkup[Crude Breakdown],0))</f>
        <v>3</v>
      </c>
      <c r="AI1243">
        <f>MONTH(vp.data[[#This Row],[SDate]])</f>
        <v>4</v>
      </c>
      <c r="AJ1243" s="5">
        <f>(vp.data[[#This Row],[VP]]-INDEX(crudeBD.lkup[Mean_VP],MATCH(vp.data[[#This Row],[Crude_Breakdown]],crudeBD.lkup[Crude Breakdown],0)))^2</f>
        <v>147.8734664118993</v>
      </c>
      <c r="AK1243" s="5">
        <f>(vp.data[[#This Row],[Dens]]-INDEX(crudeBD.lkup[Mean_Dens],MATCH(vp.data[[#This Row],[Crude_Breakdown]],crudeBD.lkup[Crude Breakdown],0)))^2</f>
        <v>1.3924000000012235</v>
      </c>
      <c r="AL1243" s="5">
        <f>(vp.data[[#This Row],[Sulf]]-INDEX(crudeBD.lkup[Mean_Sulf],MATCH(vp.data[[#This Row],[Crude_Breakdown]],crudeBD.lkup[Crude Breakdown],0)))^2</f>
        <v>4.1857834626689315E-2</v>
      </c>
      <c r="AM1243" s="4">
        <f>IF(AND(vp.data[[#This Row],[SDate]]&gt;=DATE(YEAR(vp.data[[#This Row],[SDate]]),5,1),vp.data[[#This Row],[SDate]]&lt;=DATE(YEAR(vp.data[[#This Row],[SDate]]),9,15)),1,0)</f>
        <v>0</v>
      </c>
      <c r="AN1243" s="4">
        <f>IF(vp.data[[#This Row],[SDate]]&lt;DATE(2016,12,1),0,1)</f>
        <v>1</v>
      </c>
      <c r="AO1243" s="4">
        <f>IFERROR(vp.data[[#This Row],[Sulf]]*vp.data[[#This Row],[Net Dens]],"")</f>
        <v>2107289.1074669999</v>
      </c>
      <c r="AP1243">
        <f>IFERROR(vp.data[[#This Row],[Dens]]*vp.data[[#This Row],[VolumeM3]],"")</f>
        <v>1325339.0612999999</v>
      </c>
      <c r="AQ1243" s="15">
        <f>IFERROR(vp.data[[#This Row],[VP]]*vp.data[[#This Row],[VolumeM3]],"")</f>
        <v>145534.8064</v>
      </c>
    </row>
    <row r="1244" spans="1:43" x14ac:dyDescent="0.25">
      <c r="A1244">
        <v>1243</v>
      </c>
      <c r="B1244" t="s">
        <v>108</v>
      </c>
      <c r="C1244" t="s">
        <v>108</v>
      </c>
      <c r="D1244" t="s">
        <v>109</v>
      </c>
      <c r="F1244" s="1">
        <v>42841</v>
      </c>
      <c r="G1244" s="2">
        <v>93.9</v>
      </c>
      <c r="H1244" s="2"/>
      <c r="I1244" s="2">
        <f t="array" ref="I1244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244" s="2">
        <v>22</v>
      </c>
      <c r="K1244" s="2">
        <v>-30</v>
      </c>
      <c r="L1244" s="2">
        <v>832.7</v>
      </c>
      <c r="M1244" s="2">
        <f t="array" ref="M1244">_xlfn.IFNA(IF(vp.data[[#This Row],[Dens Input]]="",INDEX([1]DATA!$O$3:$O$9826,MATCH(1,(vp.data[[#This Row],[Battery]]=[1]DATA!$L$3:$L$9826)*(EOMONTH(vp.data[[#This Row],[SDate]],-1)+1=[1]DATA!$G$3:$G$9826),0)),vp.data[[#This Row],[Dens Input]]),"")</f>
        <v>832.7</v>
      </c>
      <c r="N1244" s="2">
        <f ca="1">INDEX(INDIRECT(_xlfn.CONCAT("weather.tbl[",N$1,"]")),MATCH(vp.data[[#This Row],[SDate]],weather.tbl[Date],0))</f>
        <v>-2.0500000000000003</v>
      </c>
      <c r="O1244" s="2">
        <f ca="1">INDEX(INDIRECT(_xlfn.CONCAT("weather.tbl[",O$1,"]")),MATCH(vp.data[[#This Row],[SDate]],weather.tbl[Date],0))</f>
        <v>5.2642857142857151</v>
      </c>
      <c r="P1244" s="2">
        <f ca="1">INDEX(INDIRECT(_xlfn.CONCAT("weather.tbl[",P$1,"]")),MATCH(vp.data[[#This Row],[SDate]],weather.tbl[Date],0))</f>
        <v>-1.4</v>
      </c>
      <c r="Q1244" s="2">
        <f ca="1">INDEX(INDIRECT(_xlfn.CONCAT("weather.tbl[",Q$1,"]")),MATCH(vp.data[[#This Row],[SDate]],weather.tbl[Date],0))</f>
        <v>-2.9</v>
      </c>
      <c r="R1244" s="2">
        <f ca="1">INDEX(INDIRECT(_xlfn.CONCAT("weather.tbl[",R$1,"]")),MATCH(vp.data[[#This Row],[SDate]],weather.tbl[Date],0))</f>
        <v>-0.8</v>
      </c>
      <c r="S1244" s="2">
        <f ca="1">INDEX(INDIRECT(_xlfn.CONCAT("weather.tbl[",S$1,"]")),MATCH(vp.data[[#This Row],[SDate]],weather.tbl[Date],0))</f>
        <v>-4.5</v>
      </c>
      <c r="T1244" s="2">
        <f ca="1">INDEX(INDIRECT(_xlfn.CONCAT("weather.tbl[",T$1,"]")),MATCH(vp.data[[#This Row],[SDate]],weather.tbl[Date],0))</f>
        <v>1.1000000000000001</v>
      </c>
      <c r="U1244" s="2">
        <f ca="1">INDEX(INDIRECT(_xlfn.CONCAT("weather.tbl[",U$1,"]")),MATCH(vp.data[[#This Row],[SDate]],weather.tbl[Date],0))</f>
        <v>-3.8</v>
      </c>
      <c r="V1244" s="2">
        <f t="array" ref="V12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12560.075999999999</v>
      </c>
      <c r="W1244" t="s">
        <v>48</v>
      </c>
      <c r="X1244">
        <f>IF(OR(vp.data[[#This Row],[Sulf]]="",vp.data[[#This Row],[Dens]]=""),1,0)</f>
        <v>0</v>
      </c>
      <c r="Y1244">
        <f>IF(vp.data[[#This Row],[CrudeType]]="C5+",1,0)</f>
        <v>0</v>
      </c>
      <c r="Z1244">
        <f>IF(AND(vp.data[[#This Row],[CrudeType]]="Crude",vp.data[[#This Row],[Dens]]&lt;=825,vp.data[[#This Row],[Sulf]]&gt;0.5,vp.data[[#This Row],[Unknown]]=0),1,0)</f>
        <v>0</v>
      </c>
      <c r="AA1244">
        <f>IF(AND(vp.data[[#This Row],[CrudeType]]="Crude",vp.data[[#This Row],[Dens]]&lt;=825,vp.data[[#This Row],[Sulf]]&lt;=0.5,vp.data[[#This Row],[Unknown]]=0),1,0)</f>
        <v>0</v>
      </c>
      <c r="AB12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44">
        <f>IF(AND(vp.data[[#This Row],[CrudeType]]="Crude",vp.data[[#This Row],[Dens]]&gt;825,vp.data[[#This Row],[Dens]]&lt;=900,vp.data[[#This Row],[Sulf]]&lt;=0.5,vp.data[[#This Row],[Unknown]]=0),1,0)</f>
        <v>0</v>
      </c>
      <c r="AD1244">
        <f>IF(AND(vp.data[[#This Row],[CrudeType]]="Crude",vp.data[[#This Row],[Dens]]&gt;865,vp.data[[#This Row],[Dens]]&lt;=900,vp.data[[#This Row],[Sulf]]&gt;2,vp.data[[#This Row],[Unknown]]=0),1,0)</f>
        <v>0</v>
      </c>
      <c r="AE1244">
        <f>IF(AND(vp.data[[#This Row],[CrudeType]]="Crude",vp.data[[#This Row],[Dens]]&gt;900,vp.data[[#This Row],[Sulf]]&lt;=0.5,vp.data[[#This Row],[Unknown]]=0),1,0)</f>
        <v>0</v>
      </c>
      <c r="AF1244">
        <f>IF(AND(vp.data[[#This Row],[CrudeType]]="Crude",vp.data[[#This Row],[Dens]]&gt;900,vp.data[[#This Row],[Sulf]]&lt;=0.5,vp.data[[#This Row],[Unknown]]=0),1,0)</f>
        <v>0</v>
      </c>
      <c r="AG1244" t="str">
        <f>INDEX(vp.data[[#Headers],[Unknown]:[Heavy_SW]],MATCH(1,vp.data[[#This Row],[Unknown]:[Heavy_SW]],0))</f>
        <v>Medium_LSB</v>
      </c>
      <c r="AH1244">
        <f>INDEX([3]!crudeBD.lkup[Number],MATCH(vp.data[[#This Row],[Crude_Breakdown]],crudeBD.lkup[Crude Breakdown],0))</f>
        <v>3</v>
      </c>
      <c r="AI1244">
        <f>MONTH(vp.data[[#This Row],[SDate]])</f>
        <v>4</v>
      </c>
      <c r="AJ1244" s="5">
        <f>(vp.data[[#This Row],[VP]]-INDEX(crudeBD.lkup[Mean_VP],MATCH(vp.data[[#This Row],[Crude_Breakdown]],crudeBD.lkup[Crude Breakdown],0)))^2</f>
        <v>175.83617800219616</v>
      </c>
      <c r="AK1244" s="5">
        <f>(vp.data[[#This Row],[Dens]]-INDEX(crudeBD.lkup[Mean_Dens],MATCH(vp.data[[#This Row],[Crude_Breakdown]],crudeBD.lkup[Crude Breakdown],0)))^2</f>
        <v>125.88839999998785</v>
      </c>
      <c r="AL1244" s="5">
        <f>(vp.data[[#This Row],[Sulf]]-INDEX(crudeBD.lkup[Mean_Sulf],MATCH(vp.data[[#This Row],[Crude_Breakdown]],crudeBD.lkup[Crude Breakdown],0)))^2</f>
        <v>0.39113532492318775</v>
      </c>
      <c r="AM1244" s="4">
        <f>IF(AND(vp.data[[#This Row],[SDate]]&gt;=DATE(YEAR(vp.data[[#This Row],[SDate]]),5,1),vp.data[[#This Row],[SDate]]&lt;=DATE(YEAR(vp.data[[#This Row],[SDate]]),9,15)),1,0)</f>
        <v>0</v>
      </c>
      <c r="AN1244" s="4">
        <f>IF(vp.data[[#This Row],[SDate]]&lt;DATE(2016,12,1),0,1)</f>
        <v>1</v>
      </c>
      <c r="AO1244" s="4">
        <f>IFERROR(vp.data[[#This Row],[Sulf]]*vp.data[[#This Row],[Net Dens]],"")</f>
        <v>7948669.2167520002</v>
      </c>
      <c r="AP1244">
        <f>IFERROR(vp.data[[#This Row],[Dens]]*vp.data[[#This Row],[VolumeM3]],"")</f>
        <v>10458775.2852</v>
      </c>
      <c r="AQ1244" s="15">
        <f>IFERROR(vp.data[[#This Row],[VP]]*vp.data[[#This Row],[VolumeM3]],"")</f>
        <v>1179391.1364</v>
      </c>
    </row>
    <row r="1245" spans="1:43" x14ac:dyDescent="0.25">
      <c r="A1245">
        <v>1244</v>
      </c>
      <c r="B1245" t="s">
        <v>60</v>
      </c>
      <c r="C1245" t="s">
        <v>60</v>
      </c>
      <c r="D1245" t="s">
        <v>61</v>
      </c>
      <c r="E1245" t="s">
        <v>73</v>
      </c>
      <c r="F1245" s="1">
        <v>42843</v>
      </c>
      <c r="G1245" s="2">
        <v>74.7</v>
      </c>
      <c r="H1245" s="2">
        <v>1.218</v>
      </c>
      <c r="I1245" s="2">
        <f t="array" ref="I1245">_xlfn.IFNA(IF(vp.data[[#This Row],[Sulf Input]]="",INDEX([1]DATA!$Q$3:$Q$9826,MATCH(1,(vp.data[[#This Row],[Battery]]=[1]DATA!$L$3:$L$9826)*(EOMONTH(vp.data[[#This Row],[SDate]],-1)+1=[1]DATA!$G$3:$G$9826),0)),vp.data[[#This Row],[Sulf Input]]),"")</f>
        <v>1.218</v>
      </c>
      <c r="J1245" s="2">
        <v>8.9</v>
      </c>
      <c r="K1245" s="2">
        <v>7</v>
      </c>
      <c r="L1245" s="2">
        <v>842.6</v>
      </c>
      <c r="M1245" s="2">
        <f t="array" ref="M1245">_xlfn.IFNA(IF(vp.data[[#This Row],[Dens Input]]="",INDEX([1]DATA!$O$3:$O$9826,MATCH(1,(vp.data[[#This Row],[Battery]]=[1]DATA!$L$3:$L$9826)*(EOMONTH(vp.data[[#This Row],[SDate]],-1)+1=[1]DATA!$G$3:$G$9826),0)),vp.data[[#This Row],[Dens Input]]),"")</f>
        <v>842.6</v>
      </c>
      <c r="N1245" s="2">
        <f ca="1">INDEX(INDIRECT(_xlfn.CONCAT("weather.tbl[",N$1,"]")),MATCH(vp.data[[#This Row],[SDate]],weather.tbl[Date],0))</f>
        <v>5.3500000000000005</v>
      </c>
      <c r="O1245" s="2">
        <f ca="1">INDEX(INDIRECT(_xlfn.CONCAT("weather.tbl[",O$1,"]")),MATCH(vp.data[[#This Row],[SDate]],weather.tbl[Date],0))</f>
        <v>5.1357142857142861</v>
      </c>
      <c r="P1245" s="2">
        <f ca="1">INDEX(INDIRECT(_xlfn.CONCAT("weather.tbl[",P$1,"]")),MATCH(vp.data[[#This Row],[SDate]],weather.tbl[Date],0))</f>
        <v>5.7</v>
      </c>
      <c r="Q1245" s="2">
        <f ca="1">INDEX(INDIRECT(_xlfn.CONCAT("weather.tbl[",Q$1,"]")),MATCH(vp.data[[#This Row],[SDate]],weather.tbl[Date],0))</f>
        <v>5.8</v>
      </c>
      <c r="R1245" s="2">
        <f ca="1">INDEX(INDIRECT(_xlfn.CONCAT("weather.tbl[",R$1,"]")),MATCH(vp.data[[#This Row],[SDate]],weather.tbl[Date],0))</f>
        <v>4.3</v>
      </c>
      <c r="S1245" s="2">
        <f ca="1">INDEX(INDIRECT(_xlfn.CONCAT("weather.tbl[",S$1,"]")),MATCH(vp.data[[#This Row],[SDate]],weather.tbl[Date],0))</f>
        <v>5.5</v>
      </c>
      <c r="T1245" s="2">
        <f ca="1">INDEX(INDIRECT(_xlfn.CONCAT("weather.tbl[",T$1,"]")),MATCH(vp.data[[#This Row],[SDate]],weather.tbl[Date],0))</f>
        <v>5</v>
      </c>
      <c r="U1245" s="2">
        <f ca="1">INDEX(INDIRECT(_xlfn.CONCAT("weather.tbl[",U$1,"]")),MATCH(vp.data[[#This Row],[SDate]],weather.tbl[Date],0))</f>
        <v>5.8</v>
      </c>
      <c r="V1245" s="2">
        <f t="array" ref="V12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245" t="s">
        <v>48</v>
      </c>
      <c r="X1245">
        <f>IF(OR(vp.data[[#This Row],[Sulf]]="",vp.data[[#This Row],[Dens]]=""),1,0)</f>
        <v>0</v>
      </c>
      <c r="Y1245">
        <f>IF(vp.data[[#This Row],[CrudeType]]="C5+",1,0)</f>
        <v>0</v>
      </c>
      <c r="Z1245">
        <f>IF(AND(vp.data[[#This Row],[CrudeType]]="Crude",vp.data[[#This Row],[Dens]]&lt;=825,vp.data[[#This Row],[Sulf]]&gt;0.5,vp.data[[#This Row],[Unknown]]=0),1,0)</f>
        <v>0</v>
      </c>
      <c r="AA1245">
        <f>IF(AND(vp.data[[#This Row],[CrudeType]]="Crude",vp.data[[#This Row],[Dens]]&lt;=825,vp.data[[#This Row],[Sulf]]&lt;=0.5,vp.data[[#This Row],[Unknown]]=0),1,0)</f>
        <v>0</v>
      </c>
      <c r="AB12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45">
        <f>IF(AND(vp.data[[#This Row],[CrudeType]]="Crude",vp.data[[#This Row],[Dens]]&gt;825,vp.data[[#This Row],[Dens]]&lt;=900,vp.data[[#This Row],[Sulf]]&lt;=0.5,vp.data[[#This Row],[Unknown]]=0),1,0)</f>
        <v>0</v>
      </c>
      <c r="AD1245">
        <f>IF(AND(vp.data[[#This Row],[CrudeType]]="Crude",vp.data[[#This Row],[Dens]]&gt;865,vp.data[[#This Row],[Dens]]&lt;=900,vp.data[[#This Row],[Sulf]]&gt;2,vp.data[[#This Row],[Unknown]]=0),1,0)</f>
        <v>0</v>
      </c>
      <c r="AE1245">
        <f>IF(AND(vp.data[[#This Row],[CrudeType]]="Crude",vp.data[[#This Row],[Dens]]&gt;900,vp.data[[#This Row],[Sulf]]&lt;=0.5,vp.data[[#This Row],[Unknown]]=0),1,0)</f>
        <v>0</v>
      </c>
      <c r="AF1245">
        <f>IF(AND(vp.data[[#This Row],[CrudeType]]="Crude",vp.data[[#This Row],[Dens]]&gt;900,vp.data[[#This Row],[Sulf]]&lt;=0.5,vp.data[[#This Row],[Unknown]]=0),1,0)</f>
        <v>0</v>
      </c>
      <c r="AG1245" t="str">
        <f>INDEX(vp.data[[#Headers],[Unknown]:[Heavy_SW]],MATCH(1,vp.data[[#This Row],[Unknown]:[Heavy_SW]],0))</f>
        <v>Medium_LSB</v>
      </c>
      <c r="AH1245">
        <f>INDEX([3]!crudeBD.lkup[Number],MATCH(vp.data[[#This Row],[Crude_Breakdown]],crudeBD.lkup[Crude Breakdown],0))</f>
        <v>3</v>
      </c>
      <c r="AI1245">
        <f>MONTH(vp.data[[#This Row],[SDate]])</f>
        <v>4</v>
      </c>
      <c r="AJ1245" s="5">
        <f>(vp.data[[#This Row],[VP]]-INDEX(crudeBD.lkup[Mean_VP],MATCH(vp.data[[#This Row],[Crude_Breakdown]],crudeBD.lkup[Crude Breakdown],0)))^2</f>
        <v>35.279757517018027</v>
      </c>
      <c r="AK1245" s="5">
        <f>(vp.data[[#This Row],[Dens]]-INDEX(crudeBD.lkup[Mean_Dens],MATCH(vp.data[[#This Row],[Crude_Breakdown]],crudeBD.lkup[Crude Breakdown],0)))^2</f>
        <v>1.7423999999986315</v>
      </c>
      <c r="AL1245" s="5">
        <f>(vp.data[[#This Row],[Sulf]]-INDEX(crudeBD.lkup[Mean_Sulf],MATCH(vp.data[[#This Row],[Crude_Breakdown]],crudeBD.lkup[Crude Breakdown],0)))^2</f>
        <v>2.8025480880059694E-2</v>
      </c>
      <c r="AM1245" s="4">
        <f>IF(AND(vp.data[[#This Row],[SDate]]&gt;=DATE(YEAR(vp.data[[#This Row],[SDate]]),5,1),vp.data[[#This Row],[SDate]]&lt;=DATE(YEAR(vp.data[[#This Row],[SDate]]),9,15)),1,0)</f>
        <v>0</v>
      </c>
      <c r="AN1245" s="4">
        <f>IF(vp.data[[#This Row],[SDate]]&lt;DATE(2016,12,1),0,1)</f>
        <v>1</v>
      </c>
      <c r="AO1245" s="4">
        <f>IFERROR(vp.data[[#This Row],[Sulf]]*vp.data[[#This Row],[Net Dens]],"")</f>
        <v>114809717.02809839</v>
      </c>
      <c r="AP1245">
        <f>IFERROR(vp.data[[#This Row],[Dens]]*vp.data[[#This Row],[VolumeM3]],"")</f>
        <v>94260851.418799996</v>
      </c>
      <c r="AQ1245" s="15">
        <f>IFERROR(vp.data[[#This Row],[VP]]*vp.data[[#This Row],[VolumeM3]],"")</f>
        <v>8356617.1386000002</v>
      </c>
    </row>
    <row r="1246" spans="1:43" x14ac:dyDescent="0.25">
      <c r="A1246">
        <v>1245</v>
      </c>
      <c r="B1246" t="s">
        <v>60</v>
      </c>
      <c r="C1246" t="s">
        <v>60</v>
      </c>
      <c r="D1246" t="s">
        <v>61</v>
      </c>
      <c r="E1246" t="s">
        <v>55</v>
      </c>
      <c r="F1246" s="1">
        <v>42843</v>
      </c>
      <c r="G1246" s="2">
        <v>99.6</v>
      </c>
      <c r="H1246" s="2">
        <v>0.95799999999999996</v>
      </c>
      <c r="I1246" s="2">
        <f t="array" ref="I1246">_xlfn.IFNA(IF(vp.data[[#This Row],[Sulf Input]]="",INDEX([1]DATA!$Q$3:$Q$9826,MATCH(1,(vp.data[[#This Row],[Battery]]=[1]DATA!$L$3:$L$9826)*(EOMONTH(vp.data[[#This Row],[SDate]],-1)+1=[1]DATA!$G$3:$G$9826),0)),vp.data[[#This Row],[Sulf Input]]),"")</f>
        <v>0.95799999999999996</v>
      </c>
      <c r="J1246" s="2">
        <v>11.8</v>
      </c>
      <c r="K1246" s="2">
        <v>7</v>
      </c>
      <c r="L1246" s="2">
        <v>823.4</v>
      </c>
      <c r="M1246" s="2">
        <f t="array" ref="M1246">_xlfn.IFNA(IF(vp.data[[#This Row],[Dens Input]]="",INDEX([1]DATA!$O$3:$O$9826,MATCH(1,(vp.data[[#This Row],[Battery]]=[1]DATA!$L$3:$L$9826)*(EOMONTH(vp.data[[#This Row],[SDate]],-1)+1=[1]DATA!$G$3:$G$9826),0)),vp.data[[#This Row],[Dens Input]]),"")</f>
        <v>823.4</v>
      </c>
      <c r="N1246" s="2">
        <f ca="1">INDEX(INDIRECT(_xlfn.CONCAT("weather.tbl[",N$1,"]")),MATCH(vp.data[[#This Row],[SDate]],weather.tbl[Date],0))</f>
        <v>5.3500000000000005</v>
      </c>
      <c r="O1246" s="2">
        <f ca="1">INDEX(INDIRECT(_xlfn.CONCAT("weather.tbl[",O$1,"]")),MATCH(vp.data[[#This Row],[SDate]],weather.tbl[Date],0))</f>
        <v>5.1357142857142861</v>
      </c>
      <c r="P1246" s="2">
        <f ca="1">INDEX(INDIRECT(_xlfn.CONCAT("weather.tbl[",P$1,"]")),MATCH(vp.data[[#This Row],[SDate]],weather.tbl[Date],0))</f>
        <v>5.7</v>
      </c>
      <c r="Q1246" s="2">
        <f ca="1">INDEX(INDIRECT(_xlfn.CONCAT("weather.tbl[",Q$1,"]")),MATCH(vp.data[[#This Row],[SDate]],weather.tbl[Date],0))</f>
        <v>5.8</v>
      </c>
      <c r="R1246" s="2">
        <f ca="1">INDEX(INDIRECT(_xlfn.CONCAT("weather.tbl[",R$1,"]")),MATCH(vp.data[[#This Row],[SDate]],weather.tbl[Date],0))</f>
        <v>4.3</v>
      </c>
      <c r="S1246" s="2">
        <f ca="1">INDEX(INDIRECT(_xlfn.CONCAT("weather.tbl[",S$1,"]")),MATCH(vp.data[[#This Row],[SDate]],weather.tbl[Date],0))</f>
        <v>5.5</v>
      </c>
      <c r="T1246" s="2">
        <f ca="1">INDEX(INDIRECT(_xlfn.CONCAT("weather.tbl[",T$1,"]")),MATCH(vp.data[[#This Row],[SDate]],weather.tbl[Date],0))</f>
        <v>5</v>
      </c>
      <c r="U1246" s="2">
        <f ca="1">INDEX(INDIRECT(_xlfn.CONCAT("weather.tbl[",U$1,"]")),MATCH(vp.data[[#This Row],[SDate]],weather.tbl[Date],0))</f>
        <v>5.8</v>
      </c>
      <c r="V1246" s="2">
        <f t="array" ref="V12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111869.038</v>
      </c>
      <c r="W1246" t="s">
        <v>48</v>
      </c>
      <c r="X1246">
        <f>IF(OR(vp.data[[#This Row],[Sulf]]="",vp.data[[#This Row],[Dens]]=""),1,0)</f>
        <v>0</v>
      </c>
      <c r="Y1246">
        <f>IF(vp.data[[#This Row],[CrudeType]]="C5+",1,0)</f>
        <v>0</v>
      </c>
      <c r="Z1246">
        <f>IF(AND(vp.data[[#This Row],[CrudeType]]="Crude",vp.data[[#This Row],[Dens]]&lt;=825,vp.data[[#This Row],[Sulf]]&gt;0.5,vp.data[[#This Row],[Unknown]]=0),1,0)</f>
        <v>1</v>
      </c>
      <c r="AA1246">
        <f>IF(AND(vp.data[[#This Row],[CrudeType]]="Crude",vp.data[[#This Row],[Dens]]&lt;=825,vp.data[[#This Row],[Sulf]]&lt;=0.5,vp.data[[#This Row],[Unknown]]=0),1,0)</f>
        <v>0</v>
      </c>
      <c r="AB12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6">
        <f>IF(AND(vp.data[[#This Row],[CrudeType]]="Crude",vp.data[[#This Row],[Dens]]&gt;825,vp.data[[#This Row],[Dens]]&lt;=900,vp.data[[#This Row],[Sulf]]&lt;=0.5,vp.data[[#This Row],[Unknown]]=0),1,0)</f>
        <v>0</v>
      </c>
      <c r="AD1246">
        <f>IF(AND(vp.data[[#This Row],[CrudeType]]="Crude",vp.data[[#This Row],[Dens]]&gt;865,vp.data[[#This Row],[Dens]]&lt;=900,vp.data[[#This Row],[Sulf]]&gt;2,vp.data[[#This Row],[Unknown]]=0),1,0)</f>
        <v>0</v>
      </c>
      <c r="AE1246">
        <f>IF(AND(vp.data[[#This Row],[CrudeType]]="Crude",vp.data[[#This Row],[Dens]]&gt;900,vp.data[[#This Row],[Sulf]]&lt;=0.5,vp.data[[#This Row],[Unknown]]=0),1,0)</f>
        <v>0</v>
      </c>
      <c r="AF1246">
        <f>IF(AND(vp.data[[#This Row],[CrudeType]]="Crude",vp.data[[#This Row],[Dens]]&gt;900,vp.data[[#This Row],[Sulf]]&lt;=0.5,vp.data[[#This Row],[Unknown]]=0),1,0)</f>
        <v>0</v>
      </c>
      <c r="AG1246" t="str">
        <f>INDEX(vp.data[[#Headers],[Unknown]:[Heavy_SW]],MATCH(1,vp.data[[#This Row],[Unknown]:[Heavy_SW]],0))</f>
        <v>Light_LSB</v>
      </c>
      <c r="AH1246">
        <f>INDEX([3]!crudeBD.lkup[Number],MATCH(vp.data[[#This Row],[Crude_Breakdown]],crudeBD.lkup[Crude Breakdown],0))</f>
        <v>1</v>
      </c>
      <c r="AI1246">
        <f>MONTH(vp.data[[#This Row],[SDate]])</f>
        <v>4</v>
      </c>
      <c r="AJ1246" s="5">
        <f>(vp.data[[#This Row],[VP]]-INDEX(crudeBD.lkup[Mean_VP],MATCH(vp.data[[#This Row],[Crude_Breakdown]],crudeBD.lkup[Crude Breakdown],0)))^2</f>
        <v>64.863926921032458</v>
      </c>
      <c r="AK1246" s="5">
        <f>(vp.data[[#This Row],[Dens]]-INDEX(crudeBD.lkup[Mean_Dens],MATCH(vp.data[[#This Row],[Crude_Breakdown]],crudeBD.lkup[Crude Breakdown],0)))^2</f>
        <v>23.845937582223179</v>
      </c>
      <c r="AL1246" s="5">
        <f>(vp.data[[#This Row],[Sulf]]-INDEX(crudeBD.lkup[Mean_Sulf],MATCH(vp.data[[#This Row],[Crude_Breakdown]],crudeBD.lkup[Crude Breakdown],0)))^2</f>
        <v>1.227019044320465E-3</v>
      </c>
      <c r="AM1246" s="4">
        <f>IF(AND(vp.data[[#This Row],[SDate]]&gt;=DATE(YEAR(vp.data[[#This Row],[SDate]]),5,1),vp.data[[#This Row],[SDate]]&lt;=DATE(YEAR(vp.data[[#This Row],[SDate]]),9,15)),1,0)</f>
        <v>0</v>
      </c>
      <c r="AN1246" s="4">
        <f>IF(vp.data[[#This Row],[SDate]]&lt;DATE(2016,12,1),0,1)</f>
        <v>1</v>
      </c>
      <c r="AO1246" s="4">
        <f>IFERROR(vp.data[[#This Row],[Sulf]]*vp.data[[#This Row],[Net Dens]],"")</f>
        <v>88244221.321853593</v>
      </c>
      <c r="AP1246">
        <f>IFERROR(vp.data[[#This Row],[Dens]]*vp.data[[#This Row],[VolumeM3]],"")</f>
        <v>92112965.889200002</v>
      </c>
      <c r="AQ1246" s="15">
        <f>IFERROR(vp.data[[#This Row],[VP]]*vp.data[[#This Row],[VolumeM3]],"")</f>
        <v>11142156.184799999</v>
      </c>
    </row>
    <row r="1247" spans="1:43" x14ac:dyDescent="0.25">
      <c r="A1247">
        <v>1246</v>
      </c>
      <c r="B1247" t="s">
        <v>49</v>
      </c>
      <c r="C1247" t="s">
        <v>49</v>
      </c>
      <c r="D1247" t="s">
        <v>78</v>
      </c>
      <c r="F1247" s="1">
        <v>42844</v>
      </c>
      <c r="G1247" s="2">
        <v>85.3</v>
      </c>
      <c r="H1247" s="2">
        <v>0.35799999999999998</v>
      </c>
      <c r="I1247" s="2">
        <f t="array" ref="I1247">_xlfn.IFNA(IF(vp.data[[#This Row],[Sulf Input]]="",INDEX([1]DATA!$Q$3:$Q$9826,MATCH(1,(vp.data[[#This Row],[Battery]]=[1]DATA!$L$3:$L$9826)*(EOMONTH(vp.data[[#This Row],[SDate]],-1)+1=[1]DATA!$G$3:$G$9826),0)),vp.data[[#This Row],[Sulf Input]]),"")</f>
        <v>0.35799999999999998</v>
      </c>
      <c r="J1247" s="2">
        <v>15.3</v>
      </c>
      <c r="K1247" s="2">
        <v>8</v>
      </c>
      <c r="L1247" s="2">
        <v>808.8</v>
      </c>
      <c r="M1247" s="2">
        <f t="array" ref="M1247">_xlfn.IFNA(IF(vp.data[[#This Row],[Dens Input]]="",INDEX([1]DATA!$O$3:$O$9826,MATCH(1,(vp.data[[#This Row],[Battery]]=[1]DATA!$L$3:$L$9826)*(EOMONTH(vp.data[[#This Row],[SDate]],-1)+1=[1]DATA!$G$3:$G$9826),0)),vp.data[[#This Row],[Dens Input]]),"")</f>
        <v>808.8</v>
      </c>
      <c r="N1247" s="2">
        <f ca="1">INDEX(INDIRECT(_xlfn.CONCAT("weather.tbl[",N$1,"]")),MATCH(vp.data[[#This Row],[SDate]],weather.tbl[Date],0))</f>
        <v>6.75</v>
      </c>
      <c r="O1247" s="2">
        <f ca="1">INDEX(INDIRECT(_xlfn.CONCAT("weather.tbl[",O$1,"]")),MATCH(vp.data[[#This Row],[SDate]],weather.tbl[Date],0))</f>
        <v>5.2404761904761914</v>
      </c>
      <c r="P1247" s="2">
        <f ca="1">INDEX(INDIRECT(_xlfn.CONCAT("weather.tbl[",P$1,"]")),MATCH(vp.data[[#This Row],[SDate]],weather.tbl[Date],0))</f>
        <v>6.7</v>
      </c>
      <c r="Q1247" s="2">
        <f ca="1">INDEX(INDIRECT(_xlfn.CONCAT("weather.tbl[",Q$1,"]")),MATCH(vp.data[[#This Row],[SDate]],weather.tbl[Date],0))</f>
        <v>8.1999999999999993</v>
      </c>
      <c r="R1247" s="2">
        <f ca="1">INDEX(INDIRECT(_xlfn.CONCAT("weather.tbl[",R$1,"]")),MATCH(vp.data[[#This Row],[SDate]],weather.tbl[Date],0))</f>
        <v>6</v>
      </c>
      <c r="S1247" s="2">
        <f ca="1">INDEX(INDIRECT(_xlfn.CONCAT("weather.tbl[",S$1,"]")),MATCH(vp.data[[#This Row],[SDate]],weather.tbl[Date],0))</f>
        <v>7.2</v>
      </c>
      <c r="T1247" s="2">
        <f ca="1">INDEX(INDIRECT(_xlfn.CONCAT("weather.tbl[",T$1,"]")),MATCH(vp.data[[#This Row],[SDate]],weather.tbl[Date],0))</f>
        <v>5.4</v>
      </c>
      <c r="U1247" s="2">
        <f ca="1">INDEX(INDIRECT(_xlfn.CONCAT("weather.tbl[",U$1,"]")),MATCH(vp.data[[#This Row],[SDate]],weather.tbl[Date],0))</f>
        <v>7</v>
      </c>
      <c r="V1247" s="2">
        <f t="array" ref="V12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19811.154999999999</v>
      </c>
      <c r="W1247" t="s">
        <v>48</v>
      </c>
      <c r="X1247">
        <f>IF(OR(vp.data[[#This Row],[Sulf]]="",vp.data[[#This Row],[Dens]]=""),1,0)</f>
        <v>0</v>
      </c>
      <c r="Y1247">
        <f>IF(vp.data[[#This Row],[CrudeType]]="C5+",1,0)</f>
        <v>0</v>
      </c>
      <c r="Z1247">
        <f>IF(AND(vp.data[[#This Row],[CrudeType]]="Crude",vp.data[[#This Row],[Dens]]&lt;=825,vp.data[[#This Row],[Sulf]]&gt;0.5,vp.data[[#This Row],[Unknown]]=0),1,0)</f>
        <v>0</v>
      </c>
      <c r="AA1247">
        <f>IF(AND(vp.data[[#This Row],[CrudeType]]="Crude",vp.data[[#This Row],[Dens]]&lt;=825,vp.data[[#This Row],[Sulf]]&lt;=0.5,vp.data[[#This Row],[Unknown]]=0),1,0)</f>
        <v>1</v>
      </c>
      <c r="AB12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7">
        <f>IF(AND(vp.data[[#This Row],[CrudeType]]="Crude",vp.data[[#This Row],[Dens]]&gt;825,vp.data[[#This Row],[Dens]]&lt;=900,vp.data[[#This Row],[Sulf]]&lt;=0.5,vp.data[[#This Row],[Unknown]]=0),1,0)</f>
        <v>0</v>
      </c>
      <c r="AD1247">
        <f>IF(AND(vp.data[[#This Row],[CrudeType]]="Crude",vp.data[[#This Row],[Dens]]&gt;865,vp.data[[#This Row],[Dens]]&lt;=900,vp.data[[#This Row],[Sulf]]&gt;2,vp.data[[#This Row],[Unknown]]=0),1,0)</f>
        <v>0</v>
      </c>
      <c r="AE1247">
        <f>IF(AND(vp.data[[#This Row],[CrudeType]]="Crude",vp.data[[#This Row],[Dens]]&gt;900,vp.data[[#This Row],[Sulf]]&lt;=0.5,vp.data[[#This Row],[Unknown]]=0),1,0)</f>
        <v>0</v>
      </c>
      <c r="AF1247">
        <f>IF(AND(vp.data[[#This Row],[CrudeType]]="Crude",vp.data[[#This Row],[Dens]]&gt;900,vp.data[[#This Row],[Sulf]]&lt;=0.5,vp.data[[#This Row],[Unknown]]=0),1,0)</f>
        <v>0</v>
      </c>
      <c r="AG1247" t="str">
        <f>INDEX(vp.data[[#Headers],[Unknown]:[Heavy_SW]],MATCH(1,vp.data[[#This Row],[Unknown]:[Heavy_SW]],0))</f>
        <v>Light_SW</v>
      </c>
      <c r="AH1247">
        <f>INDEX([3]!crudeBD.lkup[Number],MATCH(vp.data[[#This Row],[Crude_Breakdown]],crudeBD.lkup[Crude Breakdown],0))</f>
        <v>2</v>
      </c>
      <c r="AI1247">
        <f>MONTH(vp.data[[#This Row],[SDate]])</f>
        <v>4</v>
      </c>
      <c r="AJ1247" s="5">
        <f>(vp.data[[#This Row],[VP]]-INDEX(crudeBD.lkup[Mean_VP],MATCH(vp.data[[#This Row],[Crude_Breakdown]],crudeBD.lkup[Crude Breakdown],0)))^2</f>
        <v>52.567047136665103</v>
      </c>
      <c r="AK1247" s="5">
        <f>(vp.data[[#This Row],[Dens]]-INDEX(crudeBD.lkup[Mean_Dens],MATCH(vp.data[[#This Row],[Crude_Breakdown]],crudeBD.lkup[Crude Breakdown],0)))^2</f>
        <v>0.23863395209379634</v>
      </c>
      <c r="AL1247" s="5">
        <f>(vp.data[[#This Row],[Sulf]]-INDEX(crudeBD.lkup[Mean_Sulf],MATCH(vp.data[[#This Row],[Crude_Breakdown]],crudeBD.lkup[Crude Breakdown],0)))^2</f>
        <v>1.4825056382376899E-2</v>
      </c>
      <c r="AM1247" s="4">
        <f>IF(AND(vp.data[[#This Row],[SDate]]&gt;=DATE(YEAR(vp.data[[#This Row],[SDate]]),5,1),vp.data[[#This Row],[SDate]]&lt;=DATE(YEAR(vp.data[[#This Row],[SDate]]),9,15)),1,0)</f>
        <v>0</v>
      </c>
      <c r="AN1247" s="4">
        <f>IF(vp.data[[#This Row],[SDate]]&lt;DATE(2016,12,1),0,1)</f>
        <v>1</v>
      </c>
      <c r="AO1247" s="4">
        <f>IFERROR(vp.data[[#This Row],[Sulf]]*vp.data[[#This Row],[Net Dens]],"")</f>
        <v>5736327.8547119992</v>
      </c>
      <c r="AP1247">
        <f>IFERROR(vp.data[[#This Row],[Dens]]*vp.data[[#This Row],[VolumeM3]],"")</f>
        <v>16023262.163999999</v>
      </c>
      <c r="AQ1247" s="15">
        <f>IFERROR(vp.data[[#This Row],[VP]]*vp.data[[#This Row],[VolumeM3]],"")</f>
        <v>1689891.5214999998</v>
      </c>
    </row>
    <row r="1248" spans="1:43" x14ac:dyDescent="0.25">
      <c r="A1248">
        <v>1247</v>
      </c>
      <c r="B1248" t="s">
        <v>49</v>
      </c>
      <c r="C1248" t="s">
        <v>49</v>
      </c>
      <c r="D1248" t="s">
        <v>67</v>
      </c>
      <c r="F1248" s="1">
        <v>42844</v>
      </c>
      <c r="G1248" s="2">
        <v>89.9</v>
      </c>
      <c r="H1248" s="2">
        <v>0.38700000000000001</v>
      </c>
      <c r="I1248" s="2">
        <f t="array" ref="I1248">_xlfn.IFNA(IF(vp.data[[#This Row],[Sulf Input]]="",INDEX([1]DATA!$Q$3:$Q$9826,MATCH(1,(vp.data[[#This Row],[Battery]]=[1]DATA!$L$3:$L$9826)*(EOMONTH(vp.data[[#This Row],[SDate]],-1)+1=[1]DATA!$G$3:$G$9826),0)),vp.data[[#This Row],[Sulf Input]]),"")</f>
        <v>0.38700000000000001</v>
      </c>
      <c r="J1248" s="2">
        <v>10</v>
      </c>
      <c r="K1248" s="2">
        <v>8</v>
      </c>
      <c r="L1248" s="2">
        <v>814.1</v>
      </c>
      <c r="M1248" s="2">
        <f t="array" ref="M1248">_xlfn.IFNA(IF(vp.data[[#This Row],[Dens Input]]="",INDEX([1]DATA!$O$3:$O$9826,MATCH(1,(vp.data[[#This Row],[Battery]]=[1]DATA!$L$3:$L$9826)*(EOMONTH(vp.data[[#This Row],[SDate]],-1)+1=[1]DATA!$G$3:$G$9826),0)),vp.data[[#This Row],[Dens Input]]),"")</f>
        <v>814.1</v>
      </c>
      <c r="N1248" s="2">
        <f ca="1">INDEX(INDIRECT(_xlfn.CONCAT("weather.tbl[",N$1,"]")),MATCH(vp.data[[#This Row],[SDate]],weather.tbl[Date],0))</f>
        <v>6.75</v>
      </c>
      <c r="O1248" s="2">
        <f ca="1">INDEX(INDIRECT(_xlfn.CONCAT("weather.tbl[",O$1,"]")),MATCH(vp.data[[#This Row],[SDate]],weather.tbl[Date],0))</f>
        <v>5.2404761904761914</v>
      </c>
      <c r="P1248" s="2">
        <f ca="1">INDEX(INDIRECT(_xlfn.CONCAT("weather.tbl[",P$1,"]")),MATCH(vp.data[[#This Row],[SDate]],weather.tbl[Date],0))</f>
        <v>6.7</v>
      </c>
      <c r="Q1248" s="2">
        <f ca="1">INDEX(INDIRECT(_xlfn.CONCAT("weather.tbl[",Q$1,"]")),MATCH(vp.data[[#This Row],[SDate]],weather.tbl[Date],0))</f>
        <v>8.1999999999999993</v>
      </c>
      <c r="R1248" s="2">
        <f ca="1">INDEX(INDIRECT(_xlfn.CONCAT("weather.tbl[",R$1,"]")),MATCH(vp.data[[#This Row],[SDate]],weather.tbl[Date],0))</f>
        <v>6</v>
      </c>
      <c r="S1248" s="2">
        <f ca="1">INDEX(INDIRECT(_xlfn.CONCAT("weather.tbl[",S$1,"]")),MATCH(vp.data[[#This Row],[SDate]],weather.tbl[Date],0))</f>
        <v>7.2</v>
      </c>
      <c r="T1248" s="2">
        <f ca="1">INDEX(INDIRECT(_xlfn.CONCAT("weather.tbl[",T$1,"]")),MATCH(vp.data[[#This Row],[SDate]],weather.tbl[Date],0))</f>
        <v>5.4</v>
      </c>
      <c r="U1248" s="2">
        <f ca="1">INDEX(INDIRECT(_xlfn.CONCAT("weather.tbl[",U$1,"]")),MATCH(vp.data[[#This Row],[SDate]],weather.tbl[Date],0))</f>
        <v>7</v>
      </c>
      <c r="V1248" s="2">
        <f t="array" ref="V12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140792.67800000001</v>
      </c>
      <c r="W1248" t="s">
        <v>48</v>
      </c>
      <c r="X1248">
        <f>IF(OR(vp.data[[#This Row],[Sulf]]="",vp.data[[#This Row],[Dens]]=""),1,0)</f>
        <v>0</v>
      </c>
      <c r="Y1248">
        <f>IF(vp.data[[#This Row],[CrudeType]]="C5+",1,0)</f>
        <v>0</v>
      </c>
      <c r="Z1248">
        <f>IF(AND(vp.data[[#This Row],[CrudeType]]="Crude",vp.data[[#This Row],[Dens]]&lt;=825,vp.data[[#This Row],[Sulf]]&gt;0.5,vp.data[[#This Row],[Unknown]]=0),1,0)</f>
        <v>0</v>
      </c>
      <c r="AA1248">
        <f>IF(AND(vp.data[[#This Row],[CrudeType]]="Crude",vp.data[[#This Row],[Dens]]&lt;=825,vp.data[[#This Row],[Sulf]]&lt;=0.5,vp.data[[#This Row],[Unknown]]=0),1,0)</f>
        <v>1</v>
      </c>
      <c r="AB12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8">
        <f>IF(AND(vp.data[[#This Row],[CrudeType]]="Crude",vp.data[[#This Row],[Dens]]&gt;825,vp.data[[#This Row],[Dens]]&lt;=900,vp.data[[#This Row],[Sulf]]&lt;=0.5,vp.data[[#This Row],[Unknown]]=0),1,0)</f>
        <v>0</v>
      </c>
      <c r="AD1248">
        <f>IF(AND(vp.data[[#This Row],[CrudeType]]="Crude",vp.data[[#This Row],[Dens]]&gt;865,vp.data[[#This Row],[Dens]]&lt;=900,vp.data[[#This Row],[Sulf]]&gt;2,vp.data[[#This Row],[Unknown]]=0),1,0)</f>
        <v>0</v>
      </c>
      <c r="AE1248">
        <f>IF(AND(vp.data[[#This Row],[CrudeType]]="Crude",vp.data[[#This Row],[Dens]]&gt;900,vp.data[[#This Row],[Sulf]]&lt;=0.5,vp.data[[#This Row],[Unknown]]=0),1,0)</f>
        <v>0</v>
      </c>
      <c r="AF1248">
        <f>IF(AND(vp.data[[#This Row],[CrudeType]]="Crude",vp.data[[#This Row],[Dens]]&gt;900,vp.data[[#This Row],[Sulf]]&lt;=0.5,vp.data[[#This Row],[Unknown]]=0),1,0)</f>
        <v>0</v>
      </c>
      <c r="AG1248" t="str">
        <f>INDEX(vp.data[[#Headers],[Unknown]:[Heavy_SW]],MATCH(1,vp.data[[#This Row],[Unknown]:[Heavy_SW]],0))</f>
        <v>Light_SW</v>
      </c>
      <c r="AH1248">
        <f>INDEX([3]!crudeBD.lkup[Number],MATCH(vp.data[[#This Row],[Crude_Breakdown]],crudeBD.lkup[Crude Breakdown],0))</f>
        <v>2</v>
      </c>
      <c r="AI1248">
        <f>MONTH(vp.data[[#This Row],[SDate]])</f>
        <v>4</v>
      </c>
      <c r="AJ1248" s="5">
        <f>(vp.data[[#This Row],[VP]]-INDEX(crudeBD.lkup[Mean_VP],MATCH(vp.data[[#This Row],[Crude_Breakdown]],crudeBD.lkup[Crude Breakdown],0)))^2</f>
        <v>7.0241621192437034</v>
      </c>
      <c r="AK1248" s="5">
        <f>(vp.data[[#This Row],[Dens]]-INDEX(crudeBD.lkup[Mean_Dens],MATCH(vp.data[[#This Row],[Crude_Breakdown]],crudeBD.lkup[Crude Breakdown],0)))^2</f>
        <v>33.506752418995376</v>
      </c>
      <c r="AL1248" s="5">
        <f>(vp.data[[#This Row],[Sulf]]-INDEX(crudeBD.lkup[Mean_Sulf],MATCH(vp.data[[#This Row],[Crude_Breakdown]],crudeBD.lkup[Crude Breakdown],0)))^2</f>
        <v>2.2728031295268902E-2</v>
      </c>
      <c r="AM1248" s="4">
        <f>IF(AND(vp.data[[#This Row],[SDate]]&gt;=DATE(YEAR(vp.data[[#This Row],[SDate]]),5,1),vp.data[[#This Row],[SDate]]&lt;=DATE(YEAR(vp.data[[#This Row],[SDate]]),9,15)),1,0)</f>
        <v>0</v>
      </c>
      <c r="AN1248" s="4">
        <f>IF(vp.data[[#This Row],[SDate]]&lt;DATE(2016,12,1),0,1)</f>
        <v>1</v>
      </c>
      <c r="AO1248" s="4">
        <f>IFERROR(vp.data[[#This Row],[Sulf]]*vp.data[[#This Row],[Net Dens]],"")</f>
        <v>44357676.514842607</v>
      </c>
      <c r="AP1248">
        <f>IFERROR(vp.data[[#This Row],[Dens]]*vp.data[[#This Row],[VolumeM3]],"")</f>
        <v>114619319.15980001</v>
      </c>
      <c r="AQ1248" s="15">
        <f>IFERROR(vp.data[[#This Row],[VP]]*vp.data[[#This Row],[VolumeM3]],"")</f>
        <v>12657261.752200002</v>
      </c>
    </row>
    <row r="1249" spans="1:43" x14ac:dyDescent="0.25">
      <c r="A1249">
        <v>1248</v>
      </c>
      <c r="B1249" t="s">
        <v>49</v>
      </c>
      <c r="C1249" t="s">
        <v>49</v>
      </c>
      <c r="D1249" t="s">
        <v>80</v>
      </c>
      <c r="F1249" s="1">
        <v>42844</v>
      </c>
      <c r="G1249" s="2">
        <v>88.7</v>
      </c>
      <c r="H1249" s="2">
        <v>0.495</v>
      </c>
      <c r="I1249" s="2">
        <f t="array" ref="I1249">_xlfn.IFNA(IF(vp.data[[#This Row],[Sulf Input]]="",INDEX([1]DATA!$Q$3:$Q$9826,MATCH(1,(vp.data[[#This Row],[Battery]]=[1]DATA!$L$3:$L$9826)*(EOMONTH(vp.data[[#This Row],[SDate]],-1)+1=[1]DATA!$G$3:$G$9826),0)),vp.data[[#This Row],[Sulf Input]]),"")</f>
        <v>0.495</v>
      </c>
      <c r="J1249" s="2">
        <v>19.2</v>
      </c>
      <c r="K1249" s="2">
        <v>8</v>
      </c>
      <c r="L1249" s="2">
        <v>814.5</v>
      </c>
      <c r="M1249" s="2">
        <f t="array" ref="M1249">_xlfn.IFNA(IF(vp.data[[#This Row],[Dens Input]]="",INDEX([1]DATA!$O$3:$O$9826,MATCH(1,(vp.data[[#This Row],[Battery]]=[1]DATA!$L$3:$L$9826)*(EOMONTH(vp.data[[#This Row],[SDate]],-1)+1=[1]DATA!$G$3:$G$9826),0)),vp.data[[#This Row],[Dens Input]]),"")</f>
        <v>814.5</v>
      </c>
      <c r="N1249" s="2">
        <f ca="1">INDEX(INDIRECT(_xlfn.CONCAT("weather.tbl[",N$1,"]")),MATCH(vp.data[[#This Row],[SDate]],weather.tbl[Date],0))</f>
        <v>6.75</v>
      </c>
      <c r="O1249" s="2">
        <f ca="1">INDEX(INDIRECT(_xlfn.CONCAT("weather.tbl[",O$1,"]")),MATCH(vp.data[[#This Row],[SDate]],weather.tbl[Date],0))</f>
        <v>5.2404761904761914</v>
      </c>
      <c r="P1249" s="2">
        <f ca="1">INDEX(INDIRECT(_xlfn.CONCAT("weather.tbl[",P$1,"]")),MATCH(vp.data[[#This Row],[SDate]],weather.tbl[Date],0))</f>
        <v>6.7</v>
      </c>
      <c r="Q1249" s="2">
        <f ca="1">INDEX(INDIRECT(_xlfn.CONCAT("weather.tbl[",Q$1,"]")),MATCH(vp.data[[#This Row],[SDate]],weather.tbl[Date],0))</f>
        <v>8.1999999999999993</v>
      </c>
      <c r="R1249" s="2">
        <f ca="1">INDEX(INDIRECT(_xlfn.CONCAT("weather.tbl[",R$1,"]")),MATCH(vp.data[[#This Row],[SDate]],weather.tbl[Date],0))</f>
        <v>6</v>
      </c>
      <c r="S1249" s="2">
        <f ca="1">INDEX(INDIRECT(_xlfn.CONCAT("weather.tbl[",S$1,"]")),MATCH(vp.data[[#This Row],[SDate]],weather.tbl[Date],0))</f>
        <v>7.2</v>
      </c>
      <c r="T1249" s="2">
        <f ca="1">INDEX(INDIRECT(_xlfn.CONCAT("weather.tbl[",T$1,"]")),MATCH(vp.data[[#This Row],[SDate]],weather.tbl[Date],0))</f>
        <v>5.4</v>
      </c>
      <c r="U1249" s="2">
        <f ca="1">INDEX(INDIRECT(_xlfn.CONCAT("weather.tbl[",U$1,"]")),MATCH(vp.data[[#This Row],[SDate]],weather.tbl[Date],0))</f>
        <v>7</v>
      </c>
      <c r="V1249" s="2">
        <f t="array" ref="V12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21198.933000000001</v>
      </c>
      <c r="W1249" t="s">
        <v>48</v>
      </c>
      <c r="X1249">
        <f>IF(OR(vp.data[[#This Row],[Sulf]]="",vp.data[[#This Row],[Dens]]=""),1,0)</f>
        <v>0</v>
      </c>
      <c r="Y1249">
        <f>IF(vp.data[[#This Row],[CrudeType]]="C5+",1,0)</f>
        <v>0</v>
      </c>
      <c r="Z1249">
        <f>IF(AND(vp.data[[#This Row],[CrudeType]]="Crude",vp.data[[#This Row],[Dens]]&lt;=825,vp.data[[#This Row],[Sulf]]&gt;0.5,vp.data[[#This Row],[Unknown]]=0),1,0)</f>
        <v>0</v>
      </c>
      <c r="AA1249">
        <f>IF(AND(vp.data[[#This Row],[CrudeType]]="Crude",vp.data[[#This Row],[Dens]]&lt;=825,vp.data[[#This Row],[Sulf]]&lt;=0.5,vp.data[[#This Row],[Unknown]]=0),1,0)</f>
        <v>1</v>
      </c>
      <c r="AB12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49">
        <f>IF(AND(vp.data[[#This Row],[CrudeType]]="Crude",vp.data[[#This Row],[Dens]]&gt;825,vp.data[[#This Row],[Dens]]&lt;=900,vp.data[[#This Row],[Sulf]]&lt;=0.5,vp.data[[#This Row],[Unknown]]=0),1,0)</f>
        <v>0</v>
      </c>
      <c r="AD1249">
        <f>IF(AND(vp.data[[#This Row],[CrudeType]]="Crude",vp.data[[#This Row],[Dens]]&gt;865,vp.data[[#This Row],[Dens]]&lt;=900,vp.data[[#This Row],[Sulf]]&gt;2,vp.data[[#This Row],[Unknown]]=0),1,0)</f>
        <v>0</v>
      </c>
      <c r="AE1249">
        <f>IF(AND(vp.data[[#This Row],[CrudeType]]="Crude",vp.data[[#This Row],[Dens]]&gt;900,vp.data[[#This Row],[Sulf]]&lt;=0.5,vp.data[[#This Row],[Unknown]]=0),1,0)</f>
        <v>0</v>
      </c>
      <c r="AF1249">
        <f>IF(AND(vp.data[[#This Row],[CrudeType]]="Crude",vp.data[[#This Row],[Dens]]&gt;900,vp.data[[#This Row],[Sulf]]&lt;=0.5,vp.data[[#This Row],[Unknown]]=0),1,0)</f>
        <v>0</v>
      </c>
      <c r="AG1249" t="str">
        <f>INDEX(vp.data[[#Headers],[Unknown]:[Heavy_SW]],MATCH(1,vp.data[[#This Row],[Unknown]:[Heavy_SW]],0))</f>
        <v>Light_SW</v>
      </c>
      <c r="AH1249">
        <f>INDEX([3]!crudeBD.lkup[Number],MATCH(vp.data[[#This Row],[Crude_Breakdown]],crudeBD.lkup[Crude Breakdown],0))</f>
        <v>2</v>
      </c>
      <c r="AI1249">
        <f>MONTH(vp.data[[#This Row],[SDate]])</f>
        <v>4</v>
      </c>
      <c r="AJ1249" s="5">
        <f>(vp.data[[#This Row],[VP]]-INDEX(crudeBD.lkup[Mean_VP],MATCH(vp.data[[#This Row],[Crude_Breakdown]],crudeBD.lkup[Crude Breakdown],0)))^2</f>
        <v>14.824914732484059</v>
      </c>
      <c r="AK1249" s="5">
        <f>(vp.data[[#This Row],[Dens]]-INDEX(crudeBD.lkup[Mean_Dens],MATCH(vp.data[[#This Row],[Crude_Breakdown]],crudeBD.lkup[Crude Breakdown],0)))^2</f>
        <v>38.297553812723507</v>
      </c>
      <c r="AL1249" s="5">
        <f>(vp.data[[#This Row],[Sulf]]-INDEX(crudeBD.lkup[Mean_Sulf],MATCH(vp.data[[#This Row],[Crude_Breakdown]],crudeBD.lkup[Crude Breakdown],0)))^2</f>
        <v>6.6955799936383911E-2</v>
      </c>
      <c r="AM1249" s="4">
        <f>IF(AND(vp.data[[#This Row],[SDate]]&gt;=DATE(YEAR(vp.data[[#This Row],[SDate]]),5,1),vp.data[[#This Row],[SDate]]&lt;=DATE(YEAR(vp.data[[#This Row],[SDate]]),9,15)),1,0)</f>
        <v>0</v>
      </c>
      <c r="AN1249" s="4">
        <f>IF(vp.data[[#This Row],[SDate]]&lt;DATE(2016,12,1),0,1)</f>
        <v>1</v>
      </c>
      <c r="AO1249" s="4">
        <f>IFERROR(vp.data[[#This Row],[Sulf]]*vp.data[[#This Row],[Net Dens]],"")</f>
        <v>8546932.8096075002</v>
      </c>
      <c r="AP1249">
        <f>IFERROR(vp.data[[#This Row],[Dens]]*vp.data[[#This Row],[VolumeM3]],"")</f>
        <v>17266530.9285</v>
      </c>
      <c r="AQ1249" s="15">
        <f>IFERROR(vp.data[[#This Row],[VP]]*vp.data[[#This Row],[VolumeM3]],"")</f>
        <v>1880345.3571000001</v>
      </c>
    </row>
    <row r="1250" spans="1:43" x14ac:dyDescent="0.25">
      <c r="A1250">
        <v>1249</v>
      </c>
      <c r="B1250" t="s">
        <v>49</v>
      </c>
      <c r="C1250" t="s">
        <v>49</v>
      </c>
      <c r="D1250" t="s">
        <v>89</v>
      </c>
      <c r="F1250" s="1">
        <v>42844</v>
      </c>
      <c r="G1250" s="2">
        <v>92.1</v>
      </c>
      <c r="H1250" s="2">
        <v>0.59699999999999998</v>
      </c>
      <c r="I1250" s="2">
        <f t="array" ref="I1250">_xlfn.IFNA(IF(vp.data[[#This Row],[Sulf Input]]="",INDEX([1]DATA!$Q$3:$Q$9826,MATCH(1,(vp.data[[#This Row],[Battery]]=[1]DATA!$L$3:$L$9826)*(EOMONTH(vp.data[[#This Row],[SDate]],-1)+1=[1]DATA!$G$3:$G$9826),0)),vp.data[[#This Row],[Sulf Input]]),"")</f>
        <v>0.59699999999999998</v>
      </c>
      <c r="J1250" s="2">
        <v>10.199999999999999</v>
      </c>
      <c r="K1250" s="2">
        <v>8</v>
      </c>
      <c r="L1250" s="2">
        <v>813.4</v>
      </c>
      <c r="M1250" s="2">
        <f t="array" ref="M1250">_xlfn.IFNA(IF(vp.data[[#This Row],[Dens Input]]="",INDEX([1]DATA!$O$3:$O$9826,MATCH(1,(vp.data[[#This Row],[Battery]]=[1]DATA!$L$3:$L$9826)*(EOMONTH(vp.data[[#This Row],[SDate]],-1)+1=[1]DATA!$G$3:$G$9826),0)),vp.data[[#This Row],[Dens Input]]),"")</f>
        <v>813.4</v>
      </c>
      <c r="N1250" s="2">
        <f ca="1">INDEX(INDIRECT(_xlfn.CONCAT("weather.tbl[",N$1,"]")),MATCH(vp.data[[#This Row],[SDate]],weather.tbl[Date],0))</f>
        <v>6.75</v>
      </c>
      <c r="O1250" s="2">
        <f ca="1">INDEX(INDIRECT(_xlfn.CONCAT("weather.tbl[",O$1,"]")),MATCH(vp.data[[#This Row],[SDate]],weather.tbl[Date],0))</f>
        <v>5.2404761904761914</v>
      </c>
      <c r="P1250" s="2">
        <f ca="1">INDEX(INDIRECT(_xlfn.CONCAT("weather.tbl[",P$1,"]")),MATCH(vp.data[[#This Row],[SDate]],weather.tbl[Date],0))</f>
        <v>6.7</v>
      </c>
      <c r="Q1250" s="2">
        <f ca="1">INDEX(INDIRECT(_xlfn.CONCAT("weather.tbl[",Q$1,"]")),MATCH(vp.data[[#This Row],[SDate]],weather.tbl[Date],0))</f>
        <v>8.1999999999999993</v>
      </c>
      <c r="R1250" s="2">
        <f ca="1">INDEX(INDIRECT(_xlfn.CONCAT("weather.tbl[",R$1,"]")),MATCH(vp.data[[#This Row],[SDate]],weather.tbl[Date],0))</f>
        <v>6</v>
      </c>
      <c r="S1250" s="2">
        <f ca="1">INDEX(INDIRECT(_xlfn.CONCAT("weather.tbl[",S$1,"]")),MATCH(vp.data[[#This Row],[SDate]],weather.tbl[Date],0))</f>
        <v>7.2</v>
      </c>
      <c r="T1250" s="2">
        <f ca="1">INDEX(INDIRECT(_xlfn.CONCAT("weather.tbl[",T$1,"]")),MATCH(vp.data[[#This Row],[SDate]],weather.tbl[Date],0))</f>
        <v>5.4</v>
      </c>
      <c r="U1250" s="2">
        <f ca="1">INDEX(INDIRECT(_xlfn.CONCAT("weather.tbl[",U$1,"]")),MATCH(vp.data[[#This Row],[SDate]],weather.tbl[Date],0))</f>
        <v>7</v>
      </c>
      <c r="V1250" s="2">
        <f t="array" ref="V12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6439.6459999999997</v>
      </c>
      <c r="W1250" t="s">
        <v>48</v>
      </c>
      <c r="X1250">
        <f>IF(OR(vp.data[[#This Row],[Sulf]]="",vp.data[[#This Row],[Dens]]=""),1,0)</f>
        <v>0</v>
      </c>
      <c r="Y1250">
        <f>IF(vp.data[[#This Row],[CrudeType]]="C5+",1,0)</f>
        <v>0</v>
      </c>
      <c r="Z1250">
        <f>IF(AND(vp.data[[#This Row],[CrudeType]]="Crude",vp.data[[#This Row],[Dens]]&lt;=825,vp.data[[#This Row],[Sulf]]&gt;0.5,vp.data[[#This Row],[Unknown]]=0),1,0)</f>
        <v>1</v>
      </c>
      <c r="AA1250">
        <f>IF(AND(vp.data[[#This Row],[CrudeType]]="Crude",vp.data[[#This Row],[Dens]]&lt;=825,vp.data[[#This Row],[Sulf]]&lt;=0.5,vp.data[[#This Row],[Unknown]]=0),1,0)</f>
        <v>0</v>
      </c>
      <c r="AB12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0">
        <f>IF(AND(vp.data[[#This Row],[CrudeType]]="Crude",vp.data[[#This Row],[Dens]]&gt;825,vp.data[[#This Row],[Dens]]&lt;=900,vp.data[[#This Row],[Sulf]]&lt;=0.5,vp.data[[#This Row],[Unknown]]=0),1,0)</f>
        <v>0</v>
      </c>
      <c r="AD1250">
        <f>IF(AND(vp.data[[#This Row],[CrudeType]]="Crude",vp.data[[#This Row],[Dens]]&gt;865,vp.data[[#This Row],[Dens]]&lt;=900,vp.data[[#This Row],[Sulf]]&gt;2,vp.data[[#This Row],[Unknown]]=0),1,0)</f>
        <v>0</v>
      </c>
      <c r="AE1250">
        <f>IF(AND(vp.data[[#This Row],[CrudeType]]="Crude",vp.data[[#This Row],[Dens]]&gt;900,vp.data[[#This Row],[Sulf]]&lt;=0.5,vp.data[[#This Row],[Unknown]]=0),1,0)</f>
        <v>0</v>
      </c>
      <c r="AF1250">
        <f>IF(AND(vp.data[[#This Row],[CrudeType]]="Crude",vp.data[[#This Row],[Dens]]&gt;900,vp.data[[#This Row],[Sulf]]&lt;=0.5,vp.data[[#This Row],[Unknown]]=0),1,0)</f>
        <v>0</v>
      </c>
      <c r="AG1250" t="str">
        <f>INDEX(vp.data[[#Headers],[Unknown]:[Heavy_SW]],MATCH(1,vp.data[[#This Row],[Unknown]:[Heavy_SW]],0))</f>
        <v>Light_LSB</v>
      </c>
      <c r="AH1250">
        <f>INDEX([3]!crudeBD.lkup[Number],MATCH(vp.data[[#This Row],[Crude_Breakdown]],crudeBD.lkup[Crude Breakdown],0))</f>
        <v>1</v>
      </c>
      <c r="AI1250">
        <f>MONTH(vp.data[[#This Row],[SDate]])</f>
        <v>4</v>
      </c>
      <c r="AJ1250" s="5">
        <f>(vp.data[[#This Row],[VP]]-INDEX(crudeBD.lkup[Mean_VP],MATCH(vp.data[[#This Row],[Crude_Breakdown]],crudeBD.lkup[Crude Breakdown],0)))^2</f>
        <v>0.30671042618765187</v>
      </c>
      <c r="AK1250" s="5">
        <f>(vp.data[[#This Row],[Dens]]-INDEX(crudeBD.lkup[Mean_Dens],MATCH(vp.data[[#This Row],[Crude_Breakdown]],crudeBD.lkup[Crude Breakdown],0)))^2</f>
        <v>26.181332771220788</v>
      </c>
      <c r="AL1250" s="5">
        <f>(vp.data[[#This Row],[Sulf]]-INDEX(crudeBD.lkup[Mean_Sulf],MATCH(vp.data[[#This Row],[Crude_Breakdown]],crudeBD.lkup[Crude Breakdown],0)))^2</f>
        <v>0.10625720261820346</v>
      </c>
      <c r="AM1250" s="4">
        <f>IF(AND(vp.data[[#This Row],[SDate]]&gt;=DATE(YEAR(vp.data[[#This Row],[SDate]]),5,1),vp.data[[#This Row],[SDate]]&lt;=DATE(YEAR(vp.data[[#This Row],[SDate]]),9,15)),1,0)</f>
        <v>0</v>
      </c>
      <c r="AN1250" s="4">
        <f>IF(vp.data[[#This Row],[SDate]]&lt;DATE(2016,12,1),0,1)</f>
        <v>1</v>
      </c>
      <c r="AO1250" s="4">
        <f>IFERROR(vp.data[[#This Row],[Sulf]]*vp.data[[#This Row],[Net Dens]],"")</f>
        <v>3127090.8096707994</v>
      </c>
      <c r="AP1250">
        <f>IFERROR(vp.data[[#This Row],[Dens]]*vp.data[[#This Row],[VolumeM3]],"")</f>
        <v>5238008.0563999992</v>
      </c>
      <c r="AQ1250" s="15">
        <f>IFERROR(vp.data[[#This Row],[VP]]*vp.data[[#This Row],[VolumeM3]],"")</f>
        <v>593091.39659999998</v>
      </c>
    </row>
    <row r="1251" spans="1:43" x14ac:dyDescent="0.25">
      <c r="A1251">
        <v>1250</v>
      </c>
      <c r="B1251" t="s">
        <v>49</v>
      </c>
      <c r="C1251" t="s">
        <v>49</v>
      </c>
      <c r="D1251" t="s">
        <v>100</v>
      </c>
      <c r="F1251" s="1">
        <v>42844</v>
      </c>
      <c r="G1251" s="2">
        <v>85</v>
      </c>
      <c r="H1251" s="2">
        <v>0.74399999999999999</v>
      </c>
      <c r="I1251" s="2">
        <f t="array" ref="I1251">_xlfn.IFNA(IF(vp.data[[#This Row],[Sulf Input]]="",INDEX([1]DATA!$Q$3:$Q$9826,MATCH(1,(vp.data[[#This Row],[Battery]]=[1]DATA!$L$3:$L$9826)*(EOMONTH(vp.data[[#This Row],[SDate]],-1)+1=[1]DATA!$G$3:$G$9826),0)),vp.data[[#This Row],[Sulf Input]]),"")</f>
        <v>0.74399999999999999</v>
      </c>
      <c r="J1251" s="2">
        <v>19.899999999999999</v>
      </c>
      <c r="K1251" s="2">
        <v>8</v>
      </c>
      <c r="L1251" s="2">
        <v>824</v>
      </c>
      <c r="M1251" s="2">
        <f t="array" ref="M1251">_xlfn.IFNA(IF(vp.data[[#This Row],[Dens Input]]="",INDEX([1]DATA!$O$3:$O$9826,MATCH(1,(vp.data[[#This Row],[Battery]]=[1]DATA!$L$3:$L$9826)*(EOMONTH(vp.data[[#This Row],[SDate]],-1)+1=[1]DATA!$G$3:$G$9826),0)),vp.data[[#This Row],[Dens Input]]),"")</f>
        <v>824</v>
      </c>
      <c r="N1251" s="2">
        <f ca="1">INDEX(INDIRECT(_xlfn.CONCAT("weather.tbl[",N$1,"]")),MATCH(vp.data[[#This Row],[SDate]],weather.tbl[Date],0))</f>
        <v>6.75</v>
      </c>
      <c r="O1251" s="2">
        <f ca="1">INDEX(INDIRECT(_xlfn.CONCAT("weather.tbl[",O$1,"]")),MATCH(vp.data[[#This Row],[SDate]],weather.tbl[Date],0))</f>
        <v>5.2404761904761914</v>
      </c>
      <c r="P1251" s="2">
        <f ca="1">INDEX(INDIRECT(_xlfn.CONCAT("weather.tbl[",P$1,"]")),MATCH(vp.data[[#This Row],[SDate]],weather.tbl[Date],0))</f>
        <v>6.7</v>
      </c>
      <c r="Q1251" s="2">
        <f ca="1">INDEX(INDIRECT(_xlfn.CONCAT("weather.tbl[",Q$1,"]")),MATCH(vp.data[[#This Row],[SDate]],weather.tbl[Date],0))</f>
        <v>8.1999999999999993</v>
      </c>
      <c r="R1251" s="2">
        <f ca="1">INDEX(INDIRECT(_xlfn.CONCAT("weather.tbl[",R$1,"]")),MATCH(vp.data[[#This Row],[SDate]],weather.tbl[Date],0))</f>
        <v>6</v>
      </c>
      <c r="S1251" s="2">
        <f ca="1">INDEX(INDIRECT(_xlfn.CONCAT("weather.tbl[",S$1,"]")),MATCH(vp.data[[#This Row],[SDate]],weather.tbl[Date],0))</f>
        <v>7.2</v>
      </c>
      <c r="T1251" s="2">
        <f ca="1">INDEX(INDIRECT(_xlfn.CONCAT("weather.tbl[",T$1,"]")),MATCH(vp.data[[#This Row],[SDate]],weather.tbl[Date],0))</f>
        <v>5.4</v>
      </c>
      <c r="U1251" s="2">
        <f ca="1">INDEX(INDIRECT(_xlfn.CONCAT("weather.tbl[",U$1,"]")),MATCH(vp.data[[#This Row],[SDate]],weather.tbl[Date],0))</f>
        <v>7</v>
      </c>
      <c r="V1251" s="2">
        <f t="array" ref="V12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13068.535</v>
      </c>
      <c r="W1251" t="s">
        <v>48</v>
      </c>
      <c r="X1251">
        <f>IF(OR(vp.data[[#This Row],[Sulf]]="",vp.data[[#This Row],[Dens]]=""),1,0)</f>
        <v>0</v>
      </c>
      <c r="Y1251">
        <f>IF(vp.data[[#This Row],[CrudeType]]="C5+",1,0)</f>
        <v>0</v>
      </c>
      <c r="Z1251">
        <f>IF(AND(vp.data[[#This Row],[CrudeType]]="Crude",vp.data[[#This Row],[Dens]]&lt;=825,vp.data[[#This Row],[Sulf]]&gt;0.5,vp.data[[#This Row],[Unknown]]=0),1,0)</f>
        <v>1</v>
      </c>
      <c r="AA1251">
        <f>IF(AND(vp.data[[#This Row],[CrudeType]]="Crude",vp.data[[#This Row],[Dens]]&lt;=825,vp.data[[#This Row],[Sulf]]&lt;=0.5,vp.data[[#This Row],[Unknown]]=0),1,0)</f>
        <v>0</v>
      </c>
      <c r="AB12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1">
        <f>IF(AND(vp.data[[#This Row],[CrudeType]]="Crude",vp.data[[#This Row],[Dens]]&gt;825,vp.data[[#This Row],[Dens]]&lt;=900,vp.data[[#This Row],[Sulf]]&lt;=0.5,vp.data[[#This Row],[Unknown]]=0),1,0)</f>
        <v>0</v>
      </c>
      <c r="AD1251">
        <f>IF(AND(vp.data[[#This Row],[CrudeType]]="Crude",vp.data[[#This Row],[Dens]]&gt;865,vp.data[[#This Row],[Dens]]&lt;=900,vp.data[[#This Row],[Sulf]]&gt;2,vp.data[[#This Row],[Unknown]]=0),1,0)</f>
        <v>0</v>
      </c>
      <c r="AE1251">
        <f>IF(AND(vp.data[[#This Row],[CrudeType]]="Crude",vp.data[[#This Row],[Dens]]&gt;900,vp.data[[#This Row],[Sulf]]&lt;=0.5,vp.data[[#This Row],[Unknown]]=0),1,0)</f>
        <v>0</v>
      </c>
      <c r="AF1251">
        <f>IF(AND(vp.data[[#This Row],[CrudeType]]="Crude",vp.data[[#This Row],[Dens]]&gt;900,vp.data[[#This Row],[Sulf]]&lt;=0.5,vp.data[[#This Row],[Unknown]]=0),1,0)</f>
        <v>0</v>
      </c>
      <c r="AG1251" t="str">
        <f>INDEX(vp.data[[#Headers],[Unknown]:[Heavy_SW]],MATCH(1,vp.data[[#This Row],[Unknown]:[Heavy_SW]],0))</f>
        <v>Light_LSB</v>
      </c>
      <c r="AH1251">
        <f>INDEX([3]!crudeBD.lkup[Number],MATCH(vp.data[[#This Row],[Crude_Breakdown]],crudeBD.lkup[Crude Breakdown],0))</f>
        <v>1</v>
      </c>
      <c r="AI1251">
        <f>MONTH(vp.data[[#This Row],[SDate]])</f>
        <v>4</v>
      </c>
      <c r="AJ1251" s="5">
        <f>(vp.data[[#This Row],[VP]]-INDEX(crudeBD.lkup[Mean_VP],MATCH(vp.data[[#This Row],[Crude_Breakdown]],crudeBD.lkup[Crude Breakdown],0)))^2</f>
        <v>42.852545477734495</v>
      </c>
      <c r="AK1251" s="5">
        <f>(vp.data[[#This Row],[Dens]]-INDEX(crudeBD.lkup[Mean_Dens],MATCH(vp.data[[#This Row],[Crude_Breakdown]],crudeBD.lkup[Crude Breakdown],0)))^2</f>
        <v>30.06581387088357</v>
      </c>
      <c r="AL1251" s="5">
        <f>(vp.data[[#This Row],[Sulf]]-INDEX(crudeBD.lkup[Mean_Sulf],MATCH(vp.data[[#This Row],[Crude_Breakdown]],crudeBD.lkup[Crude Breakdown],0)))^2</f>
        <v>3.2030679113048882E-2</v>
      </c>
      <c r="AM1251" s="4">
        <f>IF(AND(vp.data[[#This Row],[SDate]]&gt;=DATE(YEAR(vp.data[[#This Row],[SDate]]),5,1),vp.data[[#This Row],[SDate]]&lt;=DATE(YEAR(vp.data[[#This Row],[SDate]]),9,15)),1,0)</f>
        <v>0</v>
      </c>
      <c r="AN1251" s="4">
        <f>IF(vp.data[[#This Row],[SDate]]&lt;DATE(2016,12,1),0,1)</f>
        <v>1</v>
      </c>
      <c r="AO1251" s="4">
        <f>IFERROR(vp.data[[#This Row],[Sulf]]*vp.data[[#This Row],[Net Dens]],"")</f>
        <v>8011743.7929600002</v>
      </c>
      <c r="AP1251">
        <f>IFERROR(vp.data[[#This Row],[Dens]]*vp.data[[#This Row],[VolumeM3]],"")</f>
        <v>10768472.84</v>
      </c>
      <c r="AQ1251" s="15">
        <f>IFERROR(vp.data[[#This Row],[VP]]*vp.data[[#This Row],[VolumeM3]],"")</f>
        <v>1110825.4750000001</v>
      </c>
    </row>
    <row r="1252" spans="1:43" x14ac:dyDescent="0.25">
      <c r="A1252">
        <v>1251</v>
      </c>
      <c r="B1252" t="s">
        <v>49</v>
      </c>
      <c r="C1252" t="s">
        <v>49</v>
      </c>
      <c r="D1252" t="s">
        <v>90</v>
      </c>
      <c r="F1252" s="1">
        <v>42844</v>
      </c>
      <c r="G1252" s="2">
        <v>67.3</v>
      </c>
      <c r="H1252" s="2">
        <v>1.1919999999999999</v>
      </c>
      <c r="I1252" s="2">
        <f t="array" ref="I1252">_xlfn.IFNA(IF(vp.data[[#This Row],[Sulf Input]]="",INDEX([1]DATA!$Q$3:$Q$9826,MATCH(1,(vp.data[[#This Row],[Battery]]=[1]DATA!$L$3:$L$9826)*(EOMONTH(vp.data[[#This Row],[SDate]],-1)+1=[1]DATA!$G$3:$G$9826),0)),vp.data[[#This Row],[Sulf Input]]),"")</f>
        <v>1.1919999999999999</v>
      </c>
      <c r="J1252" s="2">
        <v>34</v>
      </c>
      <c r="K1252" s="2">
        <v>8</v>
      </c>
      <c r="L1252" s="2">
        <v>843.5</v>
      </c>
      <c r="M1252" s="2">
        <f t="array" ref="M1252">_xlfn.IFNA(IF(vp.data[[#This Row],[Dens Input]]="",INDEX([1]DATA!$O$3:$O$9826,MATCH(1,(vp.data[[#This Row],[Battery]]=[1]DATA!$L$3:$L$9826)*(EOMONTH(vp.data[[#This Row],[SDate]],-1)+1=[1]DATA!$G$3:$G$9826),0)),vp.data[[#This Row],[Dens Input]]),"")</f>
        <v>843.5</v>
      </c>
      <c r="N1252" s="2">
        <f ca="1">INDEX(INDIRECT(_xlfn.CONCAT("weather.tbl[",N$1,"]")),MATCH(vp.data[[#This Row],[SDate]],weather.tbl[Date],0))</f>
        <v>6.75</v>
      </c>
      <c r="O1252" s="2">
        <f ca="1">INDEX(INDIRECT(_xlfn.CONCAT("weather.tbl[",O$1,"]")),MATCH(vp.data[[#This Row],[SDate]],weather.tbl[Date],0))</f>
        <v>5.2404761904761914</v>
      </c>
      <c r="P1252" s="2">
        <f ca="1">INDEX(INDIRECT(_xlfn.CONCAT("weather.tbl[",P$1,"]")),MATCH(vp.data[[#This Row],[SDate]],weather.tbl[Date],0))</f>
        <v>6.7</v>
      </c>
      <c r="Q1252" s="2">
        <f ca="1">INDEX(INDIRECT(_xlfn.CONCAT("weather.tbl[",Q$1,"]")),MATCH(vp.data[[#This Row],[SDate]],weather.tbl[Date],0))</f>
        <v>8.1999999999999993</v>
      </c>
      <c r="R1252" s="2">
        <f ca="1">INDEX(INDIRECT(_xlfn.CONCAT("weather.tbl[",R$1,"]")),MATCH(vp.data[[#This Row],[SDate]],weather.tbl[Date],0))</f>
        <v>6</v>
      </c>
      <c r="S1252" s="2">
        <f ca="1">INDEX(INDIRECT(_xlfn.CONCAT("weather.tbl[",S$1,"]")),MATCH(vp.data[[#This Row],[SDate]],weather.tbl[Date],0))</f>
        <v>7.2</v>
      </c>
      <c r="T1252" s="2">
        <f ca="1">INDEX(INDIRECT(_xlfn.CONCAT("weather.tbl[",T$1,"]")),MATCH(vp.data[[#This Row],[SDate]],weather.tbl[Date],0))</f>
        <v>5.4</v>
      </c>
      <c r="U1252" s="2">
        <f ca="1">INDEX(INDIRECT(_xlfn.CONCAT("weather.tbl[",U$1,"]")),MATCH(vp.data[[#This Row],[SDate]],weather.tbl[Date],0))</f>
        <v>7</v>
      </c>
      <c r="V1252" s="2">
        <f t="array" ref="V12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4080.2460000000001</v>
      </c>
      <c r="W1252" t="s">
        <v>48</v>
      </c>
      <c r="X1252">
        <f>IF(OR(vp.data[[#This Row],[Sulf]]="",vp.data[[#This Row],[Dens]]=""),1,0)</f>
        <v>0</v>
      </c>
      <c r="Y1252">
        <f>IF(vp.data[[#This Row],[CrudeType]]="C5+",1,0)</f>
        <v>0</v>
      </c>
      <c r="Z1252">
        <f>IF(AND(vp.data[[#This Row],[CrudeType]]="Crude",vp.data[[#This Row],[Dens]]&lt;=825,vp.data[[#This Row],[Sulf]]&gt;0.5,vp.data[[#This Row],[Unknown]]=0),1,0)</f>
        <v>0</v>
      </c>
      <c r="AA1252">
        <f>IF(AND(vp.data[[#This Row],[CrudeType]]="Crude",vp.data[[#This Row],[Dens]]&lt;=825,vp.data[[#This Row],[Sulf]]&lt;=0.5,vp.data[[#This Row],[Unknown]]=0),1,0)</f>
        <v>0</v>
      </c>
      <c r="AB12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52">
        <f>IF(AND(vp.data[[#This Row],[CrudeType]]="Crude",vp.data[[#This Row],[Dens]]&gt;825,vp.data[[#This Row],[Dens]]&lt;=900,vp.data[[#This Row],[Sulf]]&lt;=0.5,vp.data[[#This Row],[Unknown]]=0),1,0)</f>
        <v>0</v>
      </c>
      <c r="AD1252">
        <f>IF(AND(vp.data[[#This Row],[CrudeType]]="Crude",vp.data[[#This Row],[Dens]]&gt;865,vp.data[[#This Row],[Dens]]&lt;=900,vp.data[[#This Row],[Sulf]]&gt;2,vp.data[[#This Row],[Unknown]]=0),1,0)</f>
        <v>0</v>
      </c>
      <c r="AE1252">
        <f>IF(AND(vp.data[[#This Row],[CrudeType]]="Crude",vp.data[[#This Row],[Dens]]&gt;900,vp.data[[#This Row],[Sulf]]&lt;=0.5,vp.data[[#This Row],[Unknown]]=0),1,0)</f>
        <v>0</v>
      </c>
      <c r="AF1252">
        <f>IF(AND(vp.data[[#This Row],[CrudeType]]="Crude",vp.data[[#This Row],[Dens]]&gt;900,vp.data[[#This Row],[Sulf]]&lt;=0.5,vp.data[[#This Row],[Unknown]]=0),1,0)</f>
        <v>0</v>
      </c>
      <c r="AG1252" t="str">
        <f>INDEX(vp.data[[#Headers],[Unknown]:[Heavy_SW]],MATCH(1,vp.data[[#This Row],[Unknown]:[Heavy_SW]],0))</f>
        <v>Medium_LSB</v>
      </c>
      <c r="AH1252">
        <f>INDEX([3]!crudeBD.lkup[Number],MATCH(vp.data[[#This Row],[Crude_Breakdown]],crudeBD.lkup[Crude Breakdown],0))</f>
        <v>3</v>
      </c>
      <c r="AI1252">
        <f>MONTH(vp.data[[#This Row],[SDate]])</f>
        <v>4</v>
      </c>
      <c r="AJ1252" s="5">
        <f>(vp.data[[#This Row],[VP]]-INDEX(crudeBD.lkup[Mean_VP],MATCH(vp.data[[#This Row],[Crude_Breakdown]],crudeBD.lkup[Crude Breakdown],0)))^2</f>
        <v>177.94697045502247</v>
      </c>
      <c r="AK1252" s="5">
        <f>(vp.data[[#This Row],[Dens]]-INDEX(crudeBD.lkup[Mean_Dens],MATCH(vp.data[[#This Row],[Crude_Breakdown]],crudeBD.lkup[Crude Breakdown],0)))^2</f>
        <v>0.17639999999958364</v>
      </c>
      <c r="AL1252" s="5">
        <f>(vp.data[[#This Row],[Sulf]]-INDEX(crudeBD.lkup[Mean_Sulf],MATCH(vp.data[[#This Row],[Crude_Breakdown]],crudeBD.lkup[Crude Breakdown],0)))^2</f>
        <v>3.7406703467660861E-2</v>
      </c>
      <c r="AM1252" s="4">
        <f>IF(AND(vp.data[[#This Row],[SDate]]&gt;=DATE(YEAR(vp.data[[#This Row],[SDate]]),5,1),vp.data[[#This Row],[SDate]]&lt;=DATE(YEAR(vp.data[[#This Row],[SDate]]),9,15)),1,0)</f>
        <v>0</v>
      </c>
      <c r="AN1252" s="4">
        <f>IF(vp.data[[#This Row],[SDate]]&lt;DATE(2016,12,1),0,1)</f>
        <v>1</v>
      </c>
      <c r="AO1252" s="4">
        <f>IFERROR(vp.data[[#This Row],[Sulf]]*vp.data[[#This Row],[Net Dens]],"")</f>
        <v>4102491.5011920002</v>
      </c>
      <c r="AP1252">
        <f>IFERROR(vp.data[[#This Row],[Dens]]*vp.data[[#This Row],[VolumeM3]],"")</f>
        <v>3441687.5010000002</v>
      </c>
      <c r="AQ1252" s="15">
        <f>IFERROR(vp.data[[#This Row],[VP]]*vp.data[[#This Row],[VolumeM3]],"")</f>
        <v>274600.55579999997</v>
      </c>
    </row>
    <row r="1253" spans="1:43" x14ac:dyDescent="0.25">
      <c r="A1253">
        <v>1252</v>
      </c>
      <c r="B1253" t="s">
        <v>51</v>
      </c>
      <c r="C1253" t="s">
        <v>51</v>
      </c>
      <c r="D1253" t="s">
        <v>52</v>
      </c>
      <c r="F1253" s="1">
        <v>42844</v>
      </c>
      <c r="G1253" s="2">
        <v>73.099999999999994</v>
      </c>
      <c r="H1253" s="2">
        <v>2.3559999999999999</v>
      </c>
      <c r="I1253" s="2">
        <f t="array" ref="I1253">_xlfn.IFNA(IF(vp.data[[#This Row],[Sulf Input]]="",INDEX([1]DATA!$Q$3:$Q$9826,MATCH(1,(vp.data[[#This Row],[Battery]]=[1]DATA!$L$3:$L$9826)*(EOMONTH(vp.data[[#This Row],[SDate]],-1)+1=[1]DATA!$G$3:$G$9826),0)),vp.data[[#This Row],[Sulf Input]]),"")</f>
        <v>2.3559999999999999</v>
      </c>
      <c r="J1253" s="2">
        <v>33.700000000000003</v>
      </c>
      <c r="K1253" s="2">
        <v>8</v>
      </c>
      <c r="L1253" s="2">
        <v>871.5</v>
      </c>
      <c r="M1253" s="2">
        <f t="array" ref="M1253">_xlfn.IFNA(IF(vp.data[[#This Row],[Dens Input]]="",INDEX([1]DATA!$O$3:$O$9826,MATCH(1,(vp.data[[#This Row],[Battery]]=[1]DATA!$L$3:$L$9826)*(EOMONTH(vp.data[[#This Row],[SDate]],-1)+1=[1]DATA!$G$3:$G$9826),0)),vp.data[[#This Row],[Dens Input]]),"")</f>
        <v>871.5</v>
      </c>
      <c r="N1253" s="2">
        <f ca="1">INDEX(INDIRECT(_xlfn.CONCAT("weather.tbl[",N$1,"]")),MATCH(vp.data[[#This Row],[SDate]],weather.tbl[Date],0))</f>
        <v>6.75</v>
      </c>
      <c r="O1253" s="2">
        <f ca="1">INDEX(INDIRECT(_xlfn.CONCAT("weather.tbl[",O$1,"]")),MATCH(vp.data[[#This Row],[SDate]],weather.tbl[Date],0))</f>
        <v>5.2404761904761914</v>
      </c>
      <c r="P1253" s="2">
        <f ca="1">INDEX(INDIRECT(_xlfn.CONCAT("weather.tbl[",P$1,"]")),MATCH(vp.data[[#This Row],[SDate]],weather.tbl[Date],0))</f>
        <v>6.7</v>
      </c>
      <c r="Q1253" s="2">
        <f ca="1">INDEX(INDIRECT(_xlfn.CONCAT("weather.tbl[",Q$1,"]")),MATCH(vp.data[[#This Row],[SDate]],weather.tbl[Date],0))</f>
        <v>8.1999999999999993</v>
      </c>
      <c r="R1253" s="2">
        <f ca="1">INDEX(INDIRECT(_xlfn.CONCAT("weather.tbl[",R$1,"]")),MATCH(vp.data[[#This Row],[SDate]],weather.tbl[Date],0))</f>
        <v>6</v>
      </c>
      <c r="S1253" s="2">
        <f ca="1">INDEX(INDIRECT(_xlfn.CONCAT("weather.tbl[",S$1,"]")),MATCH(vp.data[[#This Row],[SDate]],weather.tbl[Date],0))</f>
        <v>7.2</v>
      </c>
      <c r="T1253" s="2">
        <f ca="1">INDEX(INDIRECT(_xlfn.CONCAT("weather.tbl[",T$1,"]")),MATCH(vp.data[[#This Row],[SDate]],weather.tbl[Date],0))</f>
        <v>5.4</v>
      </c>
      <c r="U1253" s="2">
        <f ca="1">INDEX(INDIRECT(_xlfn.CONCAT("weather.tbl[",U$1,"]")),MATCH(vp.data[[#This Row],[SDate]],weather.tbl[Date],0))</f>
        <v>7</v>
      </c>
      <c r="V1253" s="2">
        <f t="array" ref="V12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7160.7740000000003</v>
      </c>
      <c r="W1253" t="s">
        <v>48</v>
      </c>
      <c r="X1253">
        <f>IF(OR(vp.data[[#This Row],[Sulf]]="",vp.data[[#This Row],[Dens]]=""),1,0)</f>
        <v>0</v>
      </c>
      <c r="Y1253">
        <f>IF(vp.data[[#This Row],[CrudeType]]="C5+",1,0)</f>
        <v>0</v>
      </c>
      <c r="Z1253">
        <f>IF(AND(vp.data[[#This Row],[CrudeType]]="Crude",vp.data[[#This Row],[Dens]]&lt;=825,vp.data[[#This Row],[Sulf]]&gt;0.5,vp.data[[#This Row],[Unknown]]=0),1,0)</f>
        <v>0</v>
      </c>
      <c r="AA1253">
        <f>IF(AND(vp.data[[#This Row],[CrudeType]]="Crude",vp.data[[#This Row],[Dens]]&lt;=825,vp.data[[#This Row],[Sulf]]&lt;=0.5,vp.data[[#This Row],[Unknown]]=0),1,0)</f>
        <v>0</v>
      </c>
      <c r="AB12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3">
        <f>IF(AND(vp.data[[#This Row],[CrudeType]]="Crude",vp.data[[#This Row],[Dens]]&gt;825,vp.data[[#This Row],[Dens]]&lt;=900,vp.data[[#This Row],[Sulf]]&lt;=0.5,vp.data[[#This Row],[Unknown]]=0),1,0)</f>
        <v>0</v>
      </c>
      <c r="AD1253">
        <f>IF(AND(vp.data[[#This Row],[CrudeType]]="Crude",vp.data[[#This Row],[Dens]]&gt;865,vp.data[[#This Row],[Dens]]&lt;=900,vp.data[[#This Row],[Sulf]]&gt;2,vp.data[[#This Row],[Unknown]]=0),1,0)</f>
        <v>1</v>
      </c>
      <c r="AE1253">
        <f>IF(AND(vp.data[[#This Row],[CrudeType]]="Crude",vp.data[[#This Row],[Dens]]&gt;900,vp.data[[#This Row],[Sulf]]&lt;=0.5,vp.data[[#This Row],[Unknown]]=0),1,0)</f>
        <v>0</v>
      </c>
      <c r="AF1253">
        <f>IF(AND(vp.data[[#This Row],[CrudeType]]="Crude",vp.data[[#This Row],[Dens]]&gt;900,vp.data[[#This Row],[Sulf]]&lt;=0.5,vp.data[[#This Row],[Unknown]]=0),1,0)</f>
        <v>0</v>
      </c>
      <c r="AG1253" t="str">
        <f>INDEX(vp.data[[#Headers],[Unknown]:[Heavy_SW]],MATCH(1,vp.data[[#This Row],[Unknown]:[Heavy_SW]],0))</f>
        <v>Midale</v>
      </c>
      <c r="AH1253">
        <f>INDEX([3]!crudeBD.lkup[Number],MATCH(vp.data[[#This Row],[Crude_Breakdown]],crudeBD.lkup[Crude Breakdown],0))</f>
        <v>5</v>
      </c>
      <c r="AI1253">
        <f>MONTH(vp.data[[#This Row],[SDate]])</f>
        <v>4</v>
      </c>
      <c r="AJ1253" s="5">
        <f>(vp.data[[#This Row],[VP]]-INDEX(crudeBD.lkup[Mean_VP],MATCH(vp.data[[#This Row],[Crude_Breakdown]],crudeBD.lkup[Crude Breakdown],0)))^2</f>
        <v>13.625231427356512</v>
      </c>
      <c r="AK1253" s="5">
        <f>(vp.data[[#This Row],[Dens]]-INDEX(crudeBD.lkup[Mean_Dens],MATCH(vp.data[[#This Row],[Crude_Breakdown]],crudeBD.lkup[Crude Breakdown],0)))^2</f>
        <v>11.002557391860895</v>
      </c>
      <c r="AL1253" s="5">
        <f>(vp.data[[#This Row],[Sulf]]-INDEX(crudeBD.lkup[Mean_Sulf],MATCH(vp.data[[#This Row],[Crude_Breakdown]],crudeBD.lkup[Crude Breakdown],0)))^2</f>
        <v>7.6764875825377785E-3</v>
      </c>
      <c r="AM1253" s="4">
        <f>IF(AND(vp.data[[#This Row],[SDate]]&gt;=DATE(YEAR(vp.data[[#This Row],[SDate]]),5,1),vp.data[[#This Row],[SDate]]&lt;=DATE(YEAR(vp.data[[#This Row],[SDate]]),9,15)),1,0)</f>
        <v>0</v>
      </c>
      <c r="AN1253" s="4">
        <f>IF(vp.data[[#This Row],[SDate]]&lt;DATE(2016,12,1),0,1)</f>
        <v>1</v>
      </c>
      <c r="AO1253" s="4">
        <f>IFERROR(vp.data[[#This Row],[Sulf]]*vp.data[[#This Row],[Net Dens]],"")</f>
        <v>14702887.858595999</v>
      </c>
      <c r="AP1253">
        <f>IFERROR(vp.data[[#This Row],[Dens]]*vp.data[[#This Row],[VolumeM3]],"")</f>
        <v>6240614.5410000002</v>
      </c>
      <c r="AQ1253" s="15">
        <f>IFERROR(vp.data[[#This Row],[VP]]*vp.data[[#This Row],[VolumeM3]],"")</f>
        <v>523452.57939999999</v>
      </c>
    </row>
    <row r="1254" spans="1:43" x14ac:dyDescent="0.25">
      <c r="A1254">
        <v>1253</v>
      </c>
      <c r="B1254" t="s">
        <v>49</v>
      </c>
      <c r="C1254" t="s">
        <v>49</v>
      </c>
      <c r="D1254" t="s">
        <v>50</v>
      </c>
      <c r="F1254" s="1">
        <v>42844</v>
      </c>
      <c r="G1254" s="2">
        <v>68.599999999999994</v>
      </c>
      <c r="H1254" s="2">
        <v>2.5070000000000001</v>
      </c>
      <c r="I1254" s="2">
        <f t="array" ref="I1254">_xlfn.IFNA(IF(vp.data[[#This Row],[Sulf Input]]="",INDEX([1]DATA!$Q$3:$Q$9826,MATCH(1,(vp.data[[#This Row],[Battery]]=[1]DATA!$L$3:$L$9826)*(EOMONTH(vp.data[[#This Row],[SDate]],-1)+1=[1]DATA!$G$3:$G$9826),0)),vp.data[[#This Row],[Sulf Input]]),"")</f>
        <v>2.5070000000000001</v>
      </c>
      <c r="J1254" s="2">
        <v>20.2</v>
      </c>
      <c r="K1254" s="2">
        <v>8</v>
      </c>
      <c r="L1254" s="2">
        <v>869</v>
      </c>
      <c r="M1254" s="2">
        <f t="array" ref="M1254">_xlfn.IFNA(IF(vp.data[[#This Row],[Dens Input]]="",INDEX([1]DATA!$O$3:$O$9826,MATCH(1,(vp.data[[#This Row],[Battery]]=[1]DATA!$L$3:$L$9826)*(EOMONTH(vp.data[[#This Row],[SDate]],-1)+1=[1]DATA!$G$3:$G$9826),0)),vp.data[[#This Row],[Dens Input]]),"")</f>
        <v>869</v>
      </c>
      <c r="N1254" s="2">
        <f ca="1">INDEX(INDIRECT(_xlfn.CONCAT("weather.tbl[",N$1,"]")),MATCH(vp.data[[#This Row],[SDate]],weather.tbl[Date],0))</f>
        <v>6.75</v>
      </c>
      <c r="O1254" s="2">
        <f ca="1">INDEX(INDIRECT(_xlfn.CONCAT("weather.tbl[",O$1,"]")),MATCH(vp.data[[#This Row],[SDate]],weather.tbl[Date],0))</f>
        <v>5.2404761904761914</v>
      </c>
      <c r="P1254" s="2">
        <f ca="1">INDEX(INDIRECT(_xlfn.CONCAT("weather.tbl[",P$1,"]")),MATCH(vp.data[[#This Row],[SDate]],weather.tbl[Date],0))</f>
        <v>6.7</v>
      </c>
      <c r="Q1254" s="2">
        <f ca="1">INDEX(INDIRECT(_xlfn.CONCAT("weather.tbl[",Q$1,"]")),MATCH(vp.data[[#This Row],[SDate]],weather.tbl[Date],0))</f>
        <v>8.1999999999999993</v>
      </c>
      <c r="R1254" s="2">
        <f ca="1">INDEX(INDIRECT(_xlfn.CONCAT("weather.tbl[",R$1,"]")),MATCH(vp.data[[#This Row],[SDate]],weather.tbl[Date],0))</f>
        <v>6</v>
      </c>
      <c r="S1254" s="2">
        <f ca="1">INDEX(INDIRECT(_xlfn.CONCAT("weather.tbl[",S$1,"]")),MATCH(vp.data[[#This Row],[SDate]],weather.tbl[Date],0))</f>
        <v>7.2</v>
      </c>
      <c r="T1254" s="2">
        <f ca="1">INDEX(INDIRECT(_xlfn.CONCAT("weather.tbl[",T$1,"]")),MATCH(vp.data[[#This Row],[SDate]],weather.tbl[Date],0))</f>
        <v>5.4</v>
      </c>
      <c r="U1254" s="2">
        <f ca="1">INDEX(INDIRECT(_xlfn.CONCAT("weather.tbl[",U$1,"]")),MATCH(vp.data[[#This Row],[SDate]],weather.tbl[Date],0))</f>
        <v>7</v>
      </c>
      <c r="V1254" s="2">
        <f t="array" ref="V12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6716.366</v>
      </c>
      <c r="W1254" t="s">
        <v>48</v>
      </c>
      <c r="X1254">
        <f>IF(OR(vp.data[[#This Row],[Sulf]]="",vp.data[[#This Row],[Dens]]=""),1,0)</f>
        <v>0</v>
      </c>
      <c r="Y1254">
        <f>IF(vp.data[[#This Row],[CrudeType]]="C5+",1,0)</f>
        <v>0</v>
      </c>
      <c r="Z1254">
        <f>IF(AND(vp.data[[#This Row],[CrudeType]]="Crude",vp.data[[#This Row],[Dens]]&lt;=825,vp.data[[#This Row],[Sulf]]&gt;0.5,vp.data[[#This Row],[Unknown]]=0),1,0)</f>
        <v>0</v>
      </c>
      <c r="AA1254">
        <f>IF(AND(vp.data[[#This Row],[CrudeType]]="Crude",vp.data[[#This Row],[Dens]]&lt;=825,vp.data[[#This Row],[Sulf]]&lt;=0.5,vp.data[[#This Row],[Unknown]]=0),1,0)</f>
        <v>0</v>
      </c>
      <c r="AB12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4">
        <f>IF(AND(vp.data[[#This Row],[CrudeType]]="Crude",vp.data[[#This Row],[Dens]]&gt;825,vp.data[[#This Row],[Dens]]&lt;=900,vp.data[[#This Row],[Sulf]]&lt;=0.5,vp.data[[#This Row],[Unknown]]=0),1,0)</f>
        <v>0</v>
      </c>
      <c r="AD1254">
        <f>IF(AND(vp.data[[#This Row],[CrudeType]]="Crude",vp.data[[#This Row],[Dens]]&gt;865,vp.data[[#This Row],[Dens]]&lt;=900,vp.data[[#This Row],[Sulf]]&gt;2,vp.data[[#This Row],[Unknown]]=0),1,0)</f>
        <v>1</v>
      </c>
      <c r="AE1254">
        <f>IF(AND(vp.data[[#This Row],[CrudeType]]="Crude",vp.data[[#This Row],[Dens]]&gt;900,vp.data[[#This Row],[Sulf]]&lt;=0.5,vp.data[[#This Row],[Unknown]]=0),1,0)</f>
        <v>0</v>
      </c>
      <c r="AF1254">
        <f>IF(AND(vp.data[[#This Row],[CrudeType]]="Crude",vp.data[[#This Row],[Dens]]&gt;900,vp.data[[#This Row],[Sulf]]&lt;=0.5,vp.data[[#This Row],[Unknown]]=0),1,0)</f>
        <v>0</v>
      </c>
      <c r="AG1254" t="str">
        <f>INDEX(vp.data[[#Headers],[Unknown]:[Heavy_SW]],MATCH(1,vp.data[[#This Row],[Unknown]:[Heavy_SW]],0))</f>
        <v>Midale</v>
      </c>
      <c r="AH1254">
        <f>INDEX([3]!crudeBD.lkup[Number],MATCH(vp.data[[#This Row],[Crude_Breakdown]],crudeBD.lkup[Crude Breakdown],0))</f>
        <v>5</v>
      </c>
      <c r="AI1254">
        <f>MONTH(vp.data[[#This Row],[SDate]])</f>
        <v>4</v>
      </c>
      <c r="AJ1254" s="5">
        <f>(vp.data[[#This Row],[VP]]-INDEX(crudeBD.lkup[Mean_VP],MATCH(vp.data[[#This Row],[Crude_Breakdown]],crudeBD.lkup[Crude Breakdown],0)))^2</f>
        <v>0.65409740673828931</v>
      </c>
      <c r="AK1254" s="5">
        <f>(vp.data[[#This Row],[Dens]]-INDEX(crudeBD.lkup[Mean_Dens],MATCH(vp.data[[#This Row],[Crude_Breakdown]],crudeBD.lkup[Crude Breakdown],0)))^2</f>
        <v>33.837608938254185</v>
      </c>
      <c r="AL1254" s="5">
        <f>(vp.data[[#This Row],[Sulf]]-INDEX(crudeBD.lkup[Mean_Sulf],MATCH(vp.data[[#This Row],[Crude_Breakdown]],crudeBD.lkup[Crude Breakdown],0)))^2</f>
        <v>4.0175863454247817E-3</v>
      </c>
      <c r="AM1254" s="4">
        <f>IF(AND(vp.data[[#This Row],[SDate]]&gt;=DATE(YEAR(vp.data[[#This Row],[SDate]]),5,1),vp.data[[#This Row],[SDate]]&lt;=DATE(YEAR(vp.data[[#This Row],[SDate]]),9,15)),1,0)</f>
        <v>0</v>
      </c>
      <c r="AN1254" s="4">
        <f>IF(vp.data[[#This Row],[SDate]]&lt;DATE(2016,12,1),0,1)</f>
        <v>1</v>
      </c>
      <c r="AO1254" s="4">
        <f>IFERROR(vp.data[[#This Row],[Sulf]]*vp.data[[#This Row],[Net Dens]],"")</f>
        <v>14632160.789378</v>
      </c>
      <c r="AP1254">
        <f>IFERROR(vp.data[[#This Row],[Dens]]*vp.data[[#This Row],[VolumeM3]],"")</f>
        <v>5836522.0539999995</v>
      </c>
      <c r="AQ1254" s="15">
        <f>IFERROR(vp.data[[#This Row],[VP]]*vp.data[[#This Row],[VolumeM3]],"")</f>
        <v>460742.70759999997</v>
      </c>
    </row>
    <row r="1255" spans="1:43" x14ac:dyDescent="0.25">
      <c r="A1255">
        <v>1254</v>
      </c>
      <c r="B1255" t="s">
        <v>111</v>
      </c>
      <c r="C1255" t="s">
        <v>111</v>
      </c>
      <c r="D1255" t="s">
        <v>262</v>
      </c>
      <c r="F1255" s="1">
        <v>42844</v>
      </c>
      <c r="G1255" s="2">
        <v>62</v>
      </c>
      <c r="H1255" s="2">
        <v>2.7679999999999998</v>
      </c>
      <c r="I1255" s="2">
        <f t="array" ref="I1255">_xlfn.IFNA(IF(vp.data[[#This Row],[Sulf Input]]="",INDEX([1]DATA!$Q$3:$Q$9826,MATCH(1,(vp.data[[#This Row],[Battery]]=[1]DATA!$L$3:$L$9826)*(EOMONTH(vp.data[[#This Row],[SDate]],-1)+1=[1]DATA!$G$3:$G$9826),0)),vp.data[[#This Row],[Sulf Input]]),"")</f>
        <v>2.7679999999999998</v>
      </c>
      <c r="J1255" s="2">
        <v>25.9</v>
      </c>
      <c r="K1255" s="2">
        <v>8</v>
      </c>
      <c r="L1255" s="2">
        <v>893.9</v>
      </c>
      <c r="M1255" s="2">
        <f t="array" ref="M1255">_xlfn.IFNA(IF(vp.data[[#This Row],[Dens Input]]="",INDEX([1]DATA!$O$3:$O$9826,MATCH(1,(vp.data[[#This Row],[Battery]]=[1]DATA!$L$3:$L$9826)*(EOMONTH(vp.data[[#This Row],[SDate]],-1)+1=[1]DATA!$G$3:$G$9826),0)),vp.data[[#This Row],[Dens Input]]),"")</f>
        <v>893.9</v>
      </c>
      <c r="N1255" s="2">
        <f ca="1">INDEX(INDIRECT(_xlfn.CONCAT("weather.tbl[",N$1,"]")),MATCH(vp.data[[#This Row],[SDate]],weather.tbl[Date],0))</f>
        <v>6.75</v>
      </c>
      <c r="O1255" s="2">
        <f ca="1">INDEX(INDIRECT(_xlfn.CONCAT("weather.tbl[",O$1,"]")),MATCH(vp.data[[#This Row],[SDate]],weather.tbl[Date],0))</f>
        <v>5.2404761904761914</v>
      </c>
      <c r="P1255" s="2">
        <f ca="1">INDEX(INDIRECT(_xlfn.CONCAT("weather.tbl[",P$1,"]")),MATCH(vp.data[[#This Row],[SDate]],weather.tbl[Date],0))</f>
        <v>6.7</v>
      </c>
      <c r="Q1255" s="2">
        <f ca="1">INDEX(INDIRECT(_xlfn.CONCAT("weather.tbl[",Q$1,"]")),MATCH(vp.data[[#This Row],[SDate]],weather.tbl[Date],0))</f>
        <v>8.1999999999999993</v>
      </c>
      <c r="R1255" s="2">
        <f ca="1">INDEX(INDIRECT(_xlfn.CONCAT("weather.tbl[",R$1,"]")),MATCH(vp.data[[#This Row],[SDate]],weather.tbl[Date],0))</f>
        <v>6</v>
      </c>
      <c r="S1255" s="2">
        <f ca="1">INDEX(INDIRECT(_xlfn.CONCAT("weather.tbl[",S$1,"]")),MATCH(vp.data[[#This Row],[SDate]],weather.tbl[Date],0))</f>
        <v>7.2</v>
      </c>
      <c r="T1255" s="2">
        <f ca="1">INDEX(INDIRECT(_xlfn.CONCAT("weather.tbl[",T$1,"]")),MATCH(vp.data[[#This Row],[SDate]],weather.tbl[Date],0))</f>
        <v>5.4</v>
      </c>
      <c r="U1255" s="2">
        <f ca="1">INDEX(INDIRECT(_xlfn.CONCAT("weather.tbl[",U$1,"]")),MATCH(vp.data[[#This Row],[SDate]],weather.tbl[Date],0))</f>
        <v>7</v>
      </c>
      <c r="V1255" s="2">
        <f t="array" ref="V12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1179.1980000000001</v>
      </c>
      <c r="W1255" t="s">
        <v>48</v>
      </c>
      <c r="X1255">
        <f>IF(OR(vp.data[[#This Row],[Sulf]]="",vp.data[[#This Row],[Dens]]=""),1,0)</f>
        <v>0</v>
      </c>
      <c r="Y1255">
        <f>IF(vp.data[[#This Row],[CrudeType]]="C5+",1,0)</f>
        <v>0</v>
      </c>
      <c r="Z1255">
        <f>IF(AND(vp.data[[#This Row],[CrudeType]]="Crude",vp.data[[#This Row],[Dens]]&lt;=825,vp.data[[#This Row],[Sulf]]&gt;0.5,vp.data[[#This Row],[Unknown]]=0),1,0)</f>
        <v>0</v>
      </c>
      <c r="AA1255">
        <f>IF(AND(vp.data[[#This Row],[CrudeType]]="Crude",vp.data[[#This Row],[Dens]]&lt;=825,vp.data[[#This Row],[Sulf]]&lt;=0.5,vp.data[[#This Row],[Unknown]]=0),1,0)</f>
        <v>0</v>
      </c>
      <c r="AB12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5">
        <f>IF(AND(vp.data[[#This Row],[CrudeType]]="Crude",vp.data[[#This Row],[Dens]]&gt;825,vp.data[[#This Row],[Dens]]&lt;=900,vp.data[[#This Row],[Sulf]]&lt;=0.5,vp.data[[#This Row],[Unknown]]=0),1,0)</f>
        <v>0</v>
      </c>
      <c r="AD1255">
        <f>IF(AND(vp.data[[#This Row],[CrudeType]]="Crude",vp.data[[#This Row],[Dens]]&gt;865,vp.data[[#This Row],[Dens]]&lt;=900,vp.data[[#This Row],[Sulf]]&gt;2,vp.data[[#This Row],[Unknown]]=0),1,0)</f>
        <v>1</v>
      </c>
      <c r="AE1255">
        <f>IF(AND(vp.data[[#This Row],[CrudeType]]="Crude",vp.data[[#This Row],[Dens]]&gt;900,vp.data[[#This Row],[Sulf]]&lt;=0.5,vp.data[[#This Row],[Unknown]]=0),1,0)</f>
        <v>0</v>
      </c>
      <c r="AF1255">
        <f>IF(AND(vp.data[[#This Row],[CrudeType]]="Crude",vp.data[[#This Row],[Dens]]&gt;900,vp.data[[#This Row],[Sulf]]&lt;=0.5,vp.data[[#This Row],[Unknown]]=0),1,0)</f>
        <v>0</v>
      </c>
      <c r="AG1255" t="str">
        <f>INDEX(vp.data[[#Headers],[Unknown]:[Heavy_SW]],MATCH(1,vp.data[[#This Row],[Unknown]:[Heavy_SW]],0))</f>
        <v>Midale</v>
      </c>
      <c r="AH1255">
        <f>INDEX([3]!crudeBD.lkup[Number],MATCH(vp.data[[#This Row],[Crude_Breakdown]],crudeBD.lkup[Crude Breakdown],0))</f>
        <v>5</v>
      </c>
      <c r="AI1255">
        <f>MONTH(vp.data[[#This Row],[SDate]])</f>
        <v>4</v>
      </c>
      <c r="AJ1255" s="5">
        <f>(vp.data[[#This Row],[VP]]-INDEX(crudeBD.lkup[Mean_VP],MATCH(vp.data[[#This Row],[Crude_Breakdown]],crudeBD.lkup[Crude Breakdown],0)))^2</f>
        <v>54.889767509831479</v>
      </c>
      <c r="AK1255" s="5">
        <f>(vp.data[[#This Row],[Dens]]-INDEX(crudeBD.lkup[Mean_Dens],MATCH(vp.data[[#This Row],[Crude_Breakdown]],crudeBD.lkup[Crude Breakdown],0)))^2</f>
        <v>364.16049553617614</v>
      </c>
      <c r="AL1255" s="5">
        <f>(vp.data[[#This Row],[Sulf]]-INDEX(crudeBD.lkup[Mean_Sulf],MATCH(vp.data[[#This Row],[Crude_Breakdown]],crudeBD.lkup[Crude Breakdown],0)))^2</f>
        <v>0.1052252603660439</v>
      </c>
      <c r="AM1255" s="4">
        <f>IF(AND(vp.data[[#This Row],[SDate]]&gt;=DATE(YEAR(vp.data[[#This Row],[SDate]]),5,1),vp.data[[#This Row],[SDate]]&lt;=DATE(YEAR(vp.data[[#This Row],[SDate]]),9,15)),1,0)</f>
        <v>0</v>
      </c>
      <c r="AN1255" s="4">
        <f>IF(vp.data[[#This Row],[SDate]]&lt;DATE(2016,12,1),0,1)</f>
        <v>1</v>
      </c>
      <c r="AO1255" s="4">
        <f>IFERROR(vp.data[[#This Row],[Sulf]]*vp.data[[#This Row],[Net Dens]],"")</f>
        <v>2917707.5352095999</v>
      </c>
      <c r="AP1255">
        <f>IFERROR(vp.data[[#This Row],[Dens]]*vp.data[[#This Row],[VolumeM3]],"")</f>
        <v>1054085.0922000001</v>
      </c>
      <c r="AQ1255" s="15">
        <f>IFERROR(vp.data[[#This Row],[VP]]*vp.data[[#This Row],[VolumeM3]],"")</f>
        <v>73110.276000000013</v>
      </c>
    </row>
    <row r="1256" spans="1:43" x14ac:dyDescent="0.25">
      <c r="A1256">
        <v>1255</v>
      </c>
      <c r="B1256" t="s">
        <v>62</v>
      </c>
      <c r="C1256" t="s">
        <v>62</v>
      </c>
      <c r="D1256" t="s">
        <v>79</v>
      </c>
      <c r="F1256" s="1">
        <v>42844</v>
      </c>
      <c r="G1256" s="2">
        <v>83.9</v>
      </c>
      <c r="H1256" s="2"/>
      <c r="I1256" s="2">
        <f t="array" ref="I1256">_xlfn.IFNA(IF(vp.data[[#This Row],[Sulf Input]]="",INDEX([1]DATA!$Q$3:$Q$9826,MATCH(1,(vp.data[[#This Row],[Battery]]=[1]DATA!$L$3:$L$9826)*(EOMONTH(vp.data[[#This Row],[SDate]],-1)+1=[1]DATA!$G$3:$G$9826),0)),vp.data[[#This Row],[Sulf Input]]),"")</f>
        <v>0.25</v>
      </c>
      <c r="J1256" s="2">
        <v>23.3</v>
      </c>
      <c r="K1256" s="2">
        <v>8</v>
      </c>
      <c r="L1256" s="2">
        <v>810.6</v>
      </c>
      <c r="M1256" s="2">
        <f t="array" ref="M1256">_xlfn.IFNA(IF(vp.data[[#This Row],[Dens Input]]="",INDEX([1]DATA!$O$3:$O$9826,MATCH(1,(vp.data[[#This Row],[Battery]]=[1]DATA!$L$3:$L$9826)*(EOMONTH(vp.data[[#This Row],[SDate]],-1)+1=[1]DATA!$G$3:$G$9826),0)),vp.data[[#This Row],[Dens Input]]),"")</f>
        <v>810.6</v>
      </c>
      <c r="N1256" s="2">
        <f ca="1">INDEX(INDIRECT(_xlfn.CONCAT("weather.tbl[",N$1,"]")),MATCH(vp.data[[#This Row],[SDate]],weather.tbl[Date],0))</f>
        <v>6.75</v>
      </c>
      <c r="O1256" s="2">
        <f ca="1">INDEX(INDIRECT(_xlfn.CONCAT("weather.tbl[",O$1,"]")),MATCH(vp.data[[#This Row],[SDate]],weather.tbl[Date],0))</f>
        <v>5.2404761904761914</v>
      </c>
      <c r="P1256" s="2">
        <f ca="1">INDEX(INDIRECT(_xlfn.CONCAT("weather.tbl[",P$1,"]")),MATCH(vp.data[[#This Row],[SDate]],weather.tbl[Date],0))</f>
        <v>6.7</v>
      </c>
      <c r="Q1256" s="2">
        <f ca="1">INDEX(INDIRECT(_xlfn.CONCAT("weather.tbl[",Q$1,"]")),MATCH(vp.data[[#This Row],[SDate]],weather.tbl[Date],0))</f>
        <v>8.1999999999999993</v>
      </c>
      <c r="R1256" s="2">
        <f ca="1">INDEX(INDIRECT(_xlfn.CONCAT("weather.tbl[",R$1,"]")),MATCH(vp.data[[#This Row],[SDate]],weather.tbl[Date],0))</f>
        <v>6</v>
      </c>
      <c r="S1256" s="2">
        <f ca="1">INDEX(INDIRECT(_xlfn.CONCAT("weather.tbl[",S$1,"]")),MATCH(vp.data[[#This Row],[SDate]],weather.tbl[Date],0))</f>
        <v>7.2</v>
      </c>
      <c r="T1256" s="2">
        <f ca="1">INDEX(INDIRECT(_xlfn.CONCAT("weather.tbl[",T$1,"]")),MATCH(vp.data[[#This Row],[SDate]],weather.tbl[Date],0))</f>
        <v>5.4</v>
      </c>
      <c r="U1256" s="2">
        <f ca="1">INDEX(INDIRECT(_xlfn.CONCAT("weather.tbl[",U$1,"]")),MATCH(vp.data[[#This Row],[SDate]],weather.tbl[Date],0))</f>
        <v>7</v>
      </c>
      <c r="V1256" s="2">
        <f t="array" ref="V12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13021.991</v>
      </c>
      <c r="W1256" t="s">
        <v>48</v>
      </c>
      <c r="X1256">
        <f>IF(OR(vp.data[[#This Row],[Sulf]]="",vp.data[[#This Row],[Dens]]=""),1,0)</f>
        <v>0</v>
      </c>
      <c r="Y1256">
        <f>IF(vp.data[[#This Row],[CrudeType]]="C5+",1,0)</f>
        <v>0</v>
      </c>
      <c r="Z1256">
        <f>IF(AND(vp.data[[#This Row],[CrudeType]]="Crude",vp.data[[#This Row],[Dens]]&lt;=825,vp.data[[#This Row],[Sulf]]&gt;0.5,vp.data[[#This Row],[Unknown]]=0),1,0)</f>
        <v>0</v>
      </c>
      <c r="AA1256">
        <f>IF(AND(vp.data[[#This Row],[CrudeType]]="Crude",vp.data[[#This Row],[Dens]]&lt;=825,vp.data[[#This Row],[Sulf]]&lt;=0.5,vp.data[[#This Row],[Unknown]]=0),1,0)</f>
        <v>1</v>
      </c>
      <c r="AB12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56">
        <f>IF(AND(vp.data[[#This Row],[CrudeType]]="Crude",vp.data[[#This Row],[Dens]]&gt;825,vp.data[[#This Row],[Dens]]&lt;=900,vp.data[[#This Row],[Sulf]]&lt;=0.5,vp.data[[#This Row],[Unknown]]=0),1,0)</f>
        <v>0</v>
      </c>
      <c r="AD1256">
        <f>IF(AND(vp.data[[#This Row],[CrudeType]]="Crude",vp.data[[#This Row],[Dens]]&gt;865,vp.data[[#This Row],[Dens]]&lt;=900,vp.data[[#This Row],[Sulf]]&gt;2,vp.data[[#This Row],[Unknown]]=0),1,0)</f>
        <v>0</v>
      </c>
      <c r="AE1256">
        <f>IF(AND(vp.data[[#This Row],[CrudeType]]="Crude",vp.data[[#This Row],[Dens]]&gt;900,vp.data[[#This Row],[Sulf]]&lt;=0.5,vp.data[[#This Row],[Unknown]]=0),1,0)</f>
        <v>0</v>
      </c>
      <c r="AF1256">
        <f>IF(AND(vp.data[[#This Row],[CrudeType]]="Crude",vp.data[[#This Row],[Dens]]&gt;900,vp.data[[#This Row],[Sulf]]&lt;=0.5,vp.data[[#This Row],[Unknown]]=0),1,0)</f>
        <v>0</v>
      </c>
      <c r="AG1256" t="str">
        <f>INDEX(vp.data[[#Headers],[Unknown]:[Heavy_SW]],MATCH(1,vp.data[[#This Row],[Unknown]:[Heavy_SW]],0))</f>
        <v>Light_SW</v>
      </c>
      <c r="AH1256">
        <f>INDEX([3]!crudeBD.lkup[Number],MATCH(vp.data[[#This Row],[Crude_Breakdown]],crudeBD.lkup[Crude Breakdown],0))</f>
        <v>2</v>
      </c>
      <c r="AI1256">
        <f>MONTH(vp.data[[#This Row],[SDate]])</f>
        <v>4</v>
      </c>
      <c r="AJ1256" s="5">
        <f>(vp.data[[#This Row],[VP]]-INDEX(crudeBD.lkup[Mean_VP],MATCH(vp.data[[#This Row],[Crude_Breakdown]],crudeBD.lkup[Crude Breakdown],0)))^2</f>
        <v>74.827925185445366</v>
      </c>
      <c r="AK1256" s="5">
        <f>(vp.data[[#This Row],[Dens]]-INDEX(crudeBD.lkup[Mean_Dens],MATCH(vp.data[[#This Row],[Crude_Breakdown]],crudeBD.lkup[Crude Breakdown],0)))^2</f>
        <v>5.2372402238717344</v>
      </c>
      <c r="AL1256" s="5">
        <f>(vp.data[[#This Row],[Sulf]]-INDEX(crudeBD.lkup[Mean_Sulf],MATCH(vp.data[[#This Row],[Crude_Breakdown]],crudeBD.lkup[Crude Breakdown],0)))^2</f>
        <v>1.8928774126188673E-4</v>
      </c>
      <c r="AM1256" s="4">
        <f>IF(AND(vp.data[[#This Row],[SDate]]&gt;=DATE(YEAR(vp.data[[#This Row],[SDate]]),5,1),vp.data[[#This Row],[SDate]]&lt;=DATE(YEAR(vp.data[[#This Row],[SDate]]),9,15)),1,0)</f>
        <v>0</v>
      </c>
      <c r="AN1256" s="4">
        <f>IF(vp.data[[#This Row],[SDate]]&lt;DATE(2016,12,1),0,1)</f>
        <v>1</v>
      </c>
      <c r="AO1256" s="4">
        <f>IFERROR(vp.data[[#This Row],[Sulf]]*vp.data[[#This Row],[Net Dens]],"")</f>
        <v>2638906.47615</v>
      </c>
      <c r="AP1256">
        <f>IFERROR(vp.data[[#This Row],[Dens]]*vp.data[[#This Row],[VolumeM3]],"")</f>
        <v>10555625.9046</v>
      </c>
      <c r="AQ1256" s="15">
        <f>IFERROR(vp.data[[#This Row],[VP]]*vp.data[[#This Row],[VolumeM3]],"")</f>
        <v>1092545.0449000001</v>
      </c>
    </row>
    <row r="1257" spans="1:43" x14ac:dyDescent="0.25">
      <c r="A1257">
        <v>1256</v>
      </c>
      <c r="B1257" t="s">
        <v>51</v>
      </c>
      <c r="C1257" t="s">
        <v>51</v>
      </c>
      <c r="D1257" t="s">
        <v>58</v>
      </c>
      <c r="F1257" s="1">
        <v>42844</v>
      </c>
      <c r="G1257" s="2">
        <v>84.3</v>
      </c>
      <c r="H1257" s="2"/>
      <c r="I1257" s="2">
        <f t="array" ref="I1257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1257" s="2">
        <v>32.4</v>
      </c>
      <c r="K1257" s="2">
        <v>8</v>
      </c>
      <c r="L1257" s="2">
        <v>832.4</v>
      </c>
      <c r="M1257" s="2">
        <f t="array" ref="M1257">_xlfn.IFNA(IF(vp.data[[#This Row],[Dens Input]]="",INDEX([1]DATA!$O$3:$O$9826,MATCH(1,(vp.data[[#This Row],[Battery]]=[1]DATA!$L$3:$L$9826)*(EOMONTH(vp.data[[#This Row],[SDate]],-1)+1=[1]DATA!$G$3:$G$9826),0)),vp.data[[#This Row],[Dens Input]]),"")</f>
        <v>832.4</v>
      </c>
      <c r="N1257" s="2">
        <f ca="1">INDEX(INDIRECT(_xlfn.CONCAT("weather.tbl[",N$1,"]")),MATCH(vp.data[[#This Row],[SDate]],weather.tbl[Date],0))</f>
        <v>6.75</v>
      </c>
      <c r="O1257" s="2">
        <f ca="1">INDEX(INDIRECT(_xlfn.CONCAT("weather.tbl[",O$1,"]")),MATCH(vp.data[[#This Row],[SDate]],weather.tbl[Date],0))</f>
        <v>5.2404761904761914</v>
      </c>
      <c r="P1257" s="2">
        <f ca="1">INDEX(INDIRECT(_xlfn.CONCAT("weather.tbl[",P$1,"]")),MATCH(vp.data[[#This Row],[SDate]],weather.tbl[Date],0))</f>
        <v>6.7</v>
      </c>
      <c r="Q1257" s="2">
        <f ca="1">INDEX(INDIRECT(_xlfn.CONCAT("weather.tbl[",Q$1,"]")),MATCH(vp.data[[#This Row],[SDate]],weather.tbl[Date],0))</f>
        <v>8.1999999999999993</v>
      </c>
      <c r="R1257" s="2">
        <f ca="1">INDEX(INDIRECT(_xlfn.CONCAT("weather.tbl[",R$1,"]")),MATCH(vp.data[[#This Row],[SDate]],weather.tbl[Date],0))</f>
        <v>6</v>
      </c>
      <c r="S1257" s="2">
        <f ca="1">INDEX(INDIRECT(_xlfn.CONCAT("weather.tbl[",S$1,"]")),MATCH(vp.data[[#This Row],[SDate]],weather.tbl[Date],0))</f>
        <v>7.2</v>
      </c>
      <c r="T1257" s="2">
        <f ca="1">INDEX(INDIRECT(_xlfn.CONCAT("weather.tbl[",T$1,"]")),MATCH(vp.data[[#This Row],[SDate]],weather.tbl[Date],0))</f>
        <v>5.4</v>
      </c>
      <c r="U1257" s="2">
        <f ca="1">INDEX(INDIRECT(_xlfn.CONCAT("weather.tbl[",U$1,"]")),MATCH(vp.data[[#This Row],[SDate]],weather.tbl[Date],0))</f>
        <v>7</v>
      </c>
      <c r="V1257" s="2">
        <f t="array" ref="V12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5505.9059999999999</v>
      </c>
      <c r="W1257" t="s">
        <v>48</v>
      </c>
      <c r="X1257">
        <f>IF(OR(vp.data[[#This Row],[Sulf]]="",vp.data[[#This Row],[Dens]]=""),1,0)</f>
        <v>0</v>
      </c>
      <c r="Y1257">
        <f>IF(vp.data[[#This Row],[CrudeType]]="C5+",1,0)</f>
        <v>0</v>
      </c>
      <c r="Z1257">
        <f>IF(AND(vp.data[[#This Row],[CrudeType]]="Crude",vp.data[[#This Row],[Dens]]&lt;=825,vp.data[[#This Row],[Sulf]]&gt;0.5,vp.data[[#This Row],[Unknown]]=0),1,0)</f>
        <v>0</v>
      </c>
      <c r="AA1257">
        <f>IF(AND(vp.data[[#This Row],[CrudeType]]="Crude",vp.data[[#This Row],[Dens]]&lt;=825,vp.data[[#This Row],[Sulf]]&lt;=0.5,vp.data[[#This Row],[Unknown]]=0),1,0)</f>
        <v>0</v>
      </c>
      <c r="AB12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57">
        <f>IF(AND(vp.data[[#This Row],[CrudeType]]="Crude",vp.data[[#This Row],[Dens]]&gt;825,vp.data[[#This Row],[Dens]]&lt;=900,vp.data[[#This Row],[Sulf]]&lt;=0.5,vp.data[[#This Row],[Unknown]]=0),1,0)</f>
        <v>0</v>
      </c>
      <c r="AD1257">
        <f>IF(AND(vp.data[[#This Row],[CrudeType]]="Crude",vp.data[[#This Row],[Dens]]&gt;865,vp.data[[#This Row],[Dens]]&lt;=900,vp.data[[#This Row],[Sulf]]&gt;2,vp.data[[#This Row],[Unknown]]=0),1,0)</f>
        <v>0</v>
      </c>
      <c r="AE1257">
        <f>IF(AND(vp.data[[#This Row],[CrudeType]]="Crude",vp.data[[#This Row],[Dens]]&gt;900,vp.data[[#This Row],[Sulf]]&lt;=0.5,vp.data[[#This Row],[Unknown]]=0),1,0)</f>
        <v>0</v>
      </c>
      <c r="AF1257">
        <f>IF(AND(vp.data[[#This Row],[CrudeType]]="Crude",vp.data[[#This Row],[Dens]]&gt;900,vp.data[[#This Row],[Sulf]]&lt;=0.5,vp.data[[#This Row],[Unknown]]=0),1,0)</f>
        <v>0</v>
      </c>
      <c r="AG1257" t="str">
        <f>INDEX(vp.data[[#Headers],[Unknown]:[Heavy_SW]],MATCH(1,vp.data[[#This Row],[Unknown]:[Heavy_SW]],0))</f>
        <v>Medium_LSB</v>
      </c>
      <c r="AH1257">
        <f>INDEX([3]!crudeBD.lkup[Number],MATCH(vp.data[[#This Row],[Crude_Breakdown]],crudeBD.lkup[Crude Breakdown],0))</f>
        <v>3</v>
      </c>
      <c r="AI1257">
        <f>MONTH(vp.data[[#This Row],[SDate]])</f>
        <v>4</v>
      </c>
      <c r="AJ1257" s="5">
        <f>(vp.data[[#This Row],[VP]]-INDEX(crudeBD.lkup[Mean_VP],MATCH(vp.data[[#This Row],[Crude_Breakdown]],crudeBD.lkup[Crude Breakdown],0)))^2</f>
        <v>13.397967759607015</v>
      </c>
      <c r="AK1257" s="5">
        <f>(vp.data[[#This Row],[Dens]]-INDEX(crudeBD.lkup[Mean_Dens],MATCH(vp.data[[#This Row],[Crude_Breakdown]],crudeBD.lkup[Crude Breakdown],0)))^2</f>
        <v>132.71039999998911</v>
      </c>
      <c r="AL1257" s="5">
        <f>(vp.data[[#This Row],[Sulf]]-INDEX(crudeBD.lkup[Mean_Sulf],MATCH(vp.data[[#This Row],[Crude_Breakdown]],crudeBD.lkup[Crude Breakdown],0)))^2</f>
        <v>3.0700605027008461E-3</v>
      </c>
      <c r="AM1257" s="4">
        <f>IF(AND(vp.data[[#This Row],[SDate]]&gt;=DATE(YEAR(vp.data[[#This Row],[SDate]]),5,1),vp.data[[#This Row],[SDate]]&lt;=DATE(YEAR(vp.data[[#This Row],[SDate]]),9,15)),1,0)</f>
        <v>0</v>
      </c>
      <c r="AN1257" s="4">
        <f>IF(vp.data[[#This Row],[SDate]]&lt;DATE(2016,12,1),0,1)</f>
        <v>1</v>
      </c>
      <c r="AO1257" s="4">
        <f>IFERROR(vp.data[[#This Row],[Sulf]]*vp.data[[#This Row],[Net Dens]],"")</f>
        <v>6095544.4853519993</v>
      </c>
      <c r="AP1257">
        <f>IFERROR(vp.data[[#This Row],[Dens]]*vp.data[[#This Row],[VolumeM3]],"")</f>
        <v>4583116.1543999994</v>
      </c>
      <c r="AQ1257" s="15">
        <f>IFERROR(vp.data[[#This Row],[VP]]*vp.data[[#This Row],[VolumeM3]],"")</f>
        <v>464147.87579999998</v>
      </c>
    </row>
    <row r="1258" spans="1:43" x14ac:dyDescent="0.25">
      <c r="A1258">
        <v>1257</v>
      </c>
      <c r="B1258" t="s">
        <v>56</v>
      </c>
      <c r="C1258" t="s">
        <v>56</v>
      </c>
      <c r="D1258" t="s">
        <v>94</v>
      </c>
      <c r="F1258" s="1">
        <v>42844</v>
      </c>
      <c r="G1258" s="2">
        <v>83</v>
      </c>
      <c r="H1258" s="2"/>
      <c r="I1258" s="2">
        <f t="array" ref="I1258">_xlfn.IFNA(IF(vp.data[[#This Row],[Sulf Input]]="",INDEX([1]DATA!$Q$3:$Q$9826,MATCH(1,(vp.data[[#This Row],[Battery]]=[1]DATA!$L$3:$L$9826)*(EOMONTH(vp.data[[#This Row],[SDate]],-1)+1=[1]DATA!$G$3:$G$9826),0)),vp.data[[#This Row],[Sulf Input]]),"")</f>
        <v>1.97</v>
      </c>
      <c r="J1258" s="2">
        <v>24.9</v>
      </c>
      <c r="K1258" s="2">
        <v>8</v>
      </c>
      <c r="L1258" s="2">
        <v>848.2</v>
      </c>
      <c r="M1258" s="2">
        <f t="array" ref="M1258">_xlfn.IFNA(IF(vp.data[[#This Row],[Dens Input]]="",INDEX([1]DATA!$O$3:$O$9826,MATCH(1,(vp.data[[#This Row],[Battery]]=[1]DATA!$L$3:$L$9826)*(EOMONTH(vp.data[[#This Row],[SDate]],-1)+1=[1]DATA!$G$3:$G$9826),0)),vp.data[[#This Row],[Dens Input]]),"")</f>
        <v>848.2</v>
      </c>
      <c r="N1258" s="2">
        <f ca="1">INDEX(INDIRECT(_xlfn.CONCAT("weather.tbl[",N$1,"]")),MATCH(vp.data[[#This Row],[SDate]],weather.tbl[Date],0))</f>
        <v>6.75</v>
      </c>
      <c r="O1258" s="2">
        <f ca="1">INDEX(INDIRECT(_xlfn.CONCAT("weather.tbl[",O$1,"]")),MATCH(vp.data[[#This Row],[SDate]],weather.tbl[Date],0))</f>
        <v>5.2404761904761914</v>
      </c>
      <c r="P1258" s="2">
        <f ca="1">INDEX(INDIRECT(_xlfn.CONCAT("weather.tbl[",P$1,"]")),MATCH(vp.data[[#This Row],[SDate]],weather.tbl[Date],0))</f>
        <v>6.7</v>
      </c>
      <c r="Q1258" s="2">
        <f ca="1">INDEX(INDIRECT(_xlfn.CONCAT("weather.tbl[",Q$1,"]")),MATCH(vp.data[[#This Row],[SDate]],weather.tbl[Date],0))</f>
        <v>8.1999999999999993</v>
      </c>
      <c r="R1258" s="2">
        <f ca="1">INDEX(INDIRECT(_xlfn.CONCAT("weather.tbl[",R$1,"]")),MATCH(vp.data[[#This Row],[SDate]],weather.tbl[Date],0))</f>
        <v>6</v>
      </c>
      <c r="S1258" s="2">
        <f ca="1">INDEX(INDIRECT(_xlfn.CONCAT("weather.tbl[",S$1,"]")),MATCH(vp.data[[#This Row],[SDate]],weather.tbl[Date],0))</f>
        <v>7.2</v>
      </c>
      <c r="T1258" s="2">
        <f ca="1">INDEX(INDIRECT(_xlfn.CONCAT("weather.tbl[",T$1,"]")),MATCH(vp.data[[#This Row],[SDate]],weather.tbl[Date],0))</f>
        <v>5.4</v>
      </c>
      <c r="U1258" s="2">
        <f ca="1">INDEX(INDIRECT(_xlfn.CONCAT("weather.tbl[",U$1,"]")),MATCH(vp.data[[#This Row],[SDate]],weather.tbl[Date],0))</f>
        <v>7</v>
      </c>
      <c r="V1258" s="2">
        <f t="array" ref="V12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3705.826</v>
      </c>
      <c r="W1258" t="s">
        <v>48</v>
      </c>
      <c r="X1258">
        <f>IF(OR(vp.data[[#This Row],[Sulf]]="",vp.data[[#This Row],[Dens]]=""),1,0)</f>
        <v>0</v>
      </c>
      <c r="Y1258">
        <f>IF(vp.data[[#This Row],[CrudeType]]="C5+",1,0)</f>
        <v>0</v>
      </c>
      <c r="Z1258">
        <f>IF(AND(vp.data[[#This Row],[CrudeType]]="Crude",vp.data[[#This Row],[Dens]]&lt;=825,vp.data[[#This Row],[Sulf]]&gt;0.5,vp.data[[#This Row],[Unknown]]=0),1,0)</f>
        <v>0</v>
      </c>
      <c r="AA1258">
        <f>IF(AND(vp.data[[#This Row],[CrudeType]]="Crude",vp.data[[#This Row],[Dens]]&lt;=825,vp.data[[#This Row],[Sulf]]&lt;=0.5,vp.data[[#This Row],[Unknown]]=0),1,0)</f>
        <v>0</v>
      </c>
      <c r="AB12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58">
        <f>IF(AND(vp.data[[#This Row],[CrudeType]]="Crude",vp.data[[#This Row],[Dens]]&gt;825,vp.data[[#This Row],[Dens]]&lt;=900,vp.data[[#This Row],[Sulf]]&lt;=0.5,vp.data[[#This Row],[Unknown]]=0),1,0)</f>
        <v>0</v>
      </c>
      <c r="AD1258">
        <f>IF(AND(vp.data[[#This Row],[CrudeType]]="Crude",vp.data[[#This Row],[Dens]]&gt;865,vp.data[[#This Row],[Dens]]&lt;=900,vp.data[[#This Row],[Sulf]]&gt;2,vp.data[[#This Row],[Unknown]]=0),1,0)</f>
        <v>0</v>
      </c>
      <c r="AE1258">
        <f>IF(AND(vp.data[[#This Row],[CrudeType]]="Crude",vp.data[[#This Row],[Dens]]&gt;900,vp.data[[#This Row],[Sulf]]&lt;=0.5,vp.data[[#This Row],[Unknown]]=0),1,0)</f>
        <v>0</v>
      </c>
      <c r="AF1258">
        <f>IF(AND(vp.data[[#This Row],[CrudeType]]="Crude",vp.data[[#This Row],[Dens]]&gt;900,vp.data[[#This Row],[Sulf]]&lt;=0.5,vp.data[[#This Row],[Unknown]]=0),1,0)</f>
        <v>0</v>
      </c>
      <c r="AG1258" t="str">
        <f>INDEX(vp.data[[#Headers],[Unknown]:[Heavy_SW]],MATCH(1,vp.data[[#This Row],[Unknown]:[Heavy_SW]],0))</f>
        <v>Medium_LSB</v>
      </c>
      <c r="AH1258">
        <f>INDEX([3]!crudeBD.lkup[Number],MATCH(vp.data[[#This Row],[Crude_Breakdown]],crudeBD.lkup[Crude Breakdown],0))</f>
        <v>3</v>
      </c>
      <c r="AI1258">
        <f>MONTH(vp.data[[#This Row],[SDate]])</f>
        <v>4</v>
      </c>
      <c r="AJ1258" s="5">
        <f>(vp.data[[#This Row],[VP]]-INDEX(crudeBD.lkup[Mean_VP],MATCH(vp.data[[#This Row],[Crude_Breakdown]],crudeBD.lkup[Crude Breakdown],0)))^2</f>
        <v>5.5711267892564464</v>
      </c>
      <c r="AK1258" s="5">
        <f>(vp.data[[#This Row],[Dens]]-INDEX(crudeBD.lkup[Mean_Dens],MATCH(vp.data[[#This Row],[Crude_Breakdown]],crudeBD.lkup[Crude Breakdown],0)))^2</f>
        <v>18.318400000004633</v>
      </c>
      <c r="AL1258" s="5">
        <f>(vp.data[[#This Row],[Sulf]]-INDEX(crudeBD.lkup[Mean_Sulf],MATCH(vp.data[[#This Row],[Crude_Breakdown]],crudeBD.lkup[Crude Breakdown],0)))^2</f>
        <v>0.34174765834636467</v>
      </c>
      <c r="AM1258" s="4">
        <f>IF(AND(vp.data[[#This Row],[SDate]]&gt;=DATE(YEAR(vp.data[[#This Row],[SDate]]),5,1),vp.data[[#This Row],[SDate]]&lt;=DATE(YEAR(vp.data[[#This Row],[SDate]]),9,15)),1,0)</f>
        <v>0</v>
      </c>
      <c r="AN1258" s="4">
        <f>IF(vp.data[[#This Row],[SDate]]&lt;DATE(2016,12,1),0,1)</f>
        <v>1</v>
      </c>
      <c r="AO1258" s="4">
        <f>IFERROR(vp.data[[#This Row],[Sulf]]*vp.data[[#This Row],[Net Dens]],"")</f>
        <v>6192264.778004</v>
      </c>
      <c r="AP1258">
        <f>IFERROR(vp.data[[#This Row],[Dens]]*vp.data[[#This Row],[VolumeM3]],"")</f>
        <v>3143281.6132</v>
      </c>
      <c r="AQ1258" s="15">
        <f>IFERROR(vp.data[[#This Row],[VP]]*vp.data[[#This Row],[VolumeM3]],"")</f>
        <v>307583.55800000002</v>
      </c>
    </row>
    <row r="1259" spans="1:43" x14ac:dyDescent="0.25">
      <c r="A1259">
        <v>1258</v>
      </c>
      <c r="B1259" t="s">
        <v>56</v>
      </c>
      <c r="C1259" t="s">
        <v>56</v>
      </c>
      <c r="D1259" t="s">
        <v>57</v>
      </c>
      <c r="F1259" s="1">
        <v>42844</v>
      </c>
      <c r="G1259" s="2">
        <v>82.2</v>
      </c>
      <c r="H1259" s="2"/>
      <c r="I1259" s="2">
        <f t="array" ref="I1259">_xlfn.IFNA(IF(vp.data[[#This Row],[Sulf Input]]="",INDEX([1]DATA!$Q$3:$Q$9826,MATCH(1,(vp.data[[#This Row],[Battery]]=[1]DATA!$L$3:$L$9826)*(EOMONTH(vp.data[[#This Row],[SDate]],-1)+1=[1]DATA!$G$3:$G$9826),0)),vp.data[[#This Row],[Sulf Input]]),"")</f>
        <v>1.68</v>
      </c>
      <c r="J1259" s="2">
        <v>23.8</v>
      </c>
      <c r="K1259" s="2">
        <v>8</v>
      </c>
      <c r="L1259" s="2">
        <v>848.7</v>
      </c>
      <c r="M1259" s="2">
        <f t="array" ref="M1259">_xlfn.IFNA(IF(vp.data[[#This Row],[Dens Input]]="",INDEX([1]DATA!$O$3:$O$9826,MATCH(1,(vp.data[[#This Row],[Battery]]=[1]DATA!$L$3:$L$9826)*(EOMONTH(vp.data[[#This Row],[SDate]],-1)+1=[1]DATA!$G$3:$G$9826),0)),vp.data[[#This Row],[Dens Input]]),"")</f>
        <v>848.7</v>
      </c>
      <c r="N1259" s="2">
        <f ca="1">INDEX(INDIRECT(_xlfn.CONCAT("weather.tbl[",N$1,"]")),MATCH(vp.data[[#This Row],[SDate]],weather.tbl[Date],0))</f>
        <v>6.75</v>
      </c>
      <c r="O1259" s="2">
        <f ca="1">INDEX(INDIRECT(_xlfn.CONCAT("weather.tbl[",O$1,"]")),MATCH(vp.data[[#This Row],[SDate]],weather.tbl[Date],0))</f>
        <v>5.2404761904761914</v>
      </c>
      <c r="P1259" s="2">
        <f ca="1">INDEX(INDIRECT(_xlfn.CONCAT("weather.tbl[",P$1,"]")),MATCH(vp.data[[#This Row],[SDate]],weather.tbl[Date],0))</f>
        <v>6.7</v>
      </c>
      <c r="Q1259" s="2">
        <f ca="1">INDEX(INDIRECT(_xlfn.CONCAT("weather.tbl[",Q$1,"]")),MATCH(vp.data[[#This Row],[SDate]],weather.tbl[Date],0))</f>
        <v>8.1999999999999993</v>
      </c>
      <c r="R1259" s="2">
        <f ca="1">INDEX(INDIRECT(_xlfn.CONCAT("weather.tbl[",R$1,"]")),MATCH(vp.data[[#This Row],[SDate]],weather.tbl[Date],0))</f>
        <v>6</v>
      </c>
      <c r="S1259" s="2">
        <f ca="1">INDEX(INDIRECT(_xlfn.CONCAT("weather.tbl[",S$1,"]")),MATCH(vp.data[[#This Row],[SDate]],weather.tbl[Date],0))</f>
        <v>7.2</v>
      </c>
      <c r="T1259" s="2">
        <f ca="1">INDEX(INDIRECT(_xlfn.CONCAT("weather.tbl[",T$1,"]")),MATCH(vp.data[[#This Row],[SDate]],weather.tbl[Date],0))</f>
        <v>5.4</v>
      </c>
      <c r="U1259" s="2">
        <f ca="1">INDEX(INDIRECT(_xlfn.CONCAT("weather.tbl[",U$1,"]")),MATCH(vp.data[[#This Row],[SDate]],weather.tbl[Date],0))</f>
        <v>7</v>
      </c>
      <c r="V1259" s="2">
        <f t="array" ref="V12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2980.6370000000002</v>
      </c>
      <c r="W1259" t="s">
        <v>48</v>
      </c>
      <c r="X1259">
        <f>IF(OR(vp.data[[#This Row],[Sulf]]="",vp.data[[#This Row],[Dens]]=""),1,0)</f>
        <v>0</v>
      </c>
      <c r="Y1259">
        <f>IF(vp.data[[#This Row],[CrudeType]]="C5+",1,0)</f>
        <v>0</v>
      </c>
      <c r="Z1259">
        <f>IF(AND(vp.data[[#This Row],[CrudeType]]="Crude",vp.data[[#This Row],[Dens]]&lt;=825,vp.data[[#This Row],[Sulf]]&gt;0.5,vp.data[[#This Row],[Unknown]]=0),1,0)</f>
        <v>0</v>
      </c>
      <c r="AA1259">
        <f>IF(AND(vp.data[[#This Row],[CrudeType]]="Crude",vp.data[[#This Row],[Dens]]&lt;=825,vp.data[[#This Row],[Sulf]]&lt;=0.5,vp.data[[#This Row],[Unknown]]=0),1,0)</f>
        <v>0</v>
      </c>
      <c r="AB12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59">
        <f>IF(AND(vp.data[[#This Row],[CrudeType]]="Crude",vp.data[[#This Row],[Dens]]&gt;825,vp.data[[#This Row],[Dens]]&lt;=900,vp.data[[#This Row],[Sulf]]&lt;=0.5,vp.data[[#This Row],[Unknown]]=0),1,0)</f>
        <v>0</v>
      </c>
      <c r="AD1259">
        <f>IF(AND(vp.data[[#This Row],[CrudeType]]="Crude",vp.data[[#This Row],[Dens]]&gt;865,vp.data[[#This Row],[Dens]]&lt;=900,vp.data[[#This Row],[Sulf]]&gt;2,vp.data[[#This Row],[Unknown]]=0),1,0)</f>
        <v>0</v>
      </c>
      <c r="AE1259">
        <f>IF(AND(vp.data[[#This Row],[CrudeType]]="Crude",vp.data[[#This Row],[Dens]]&gt;900,vp.data[[#This Row],[Sulf]]&lt;=0.5,vp.data[[#This Row],[Unknown]]=0),1,0)</f>
        <v>0</v>
      </c>
      <c r="AF1259">
        <f>IF(AND(vp.data[[#This Row],[CrudeType]]="Crude",vp.data[[#This Row],[Dens]]&gt;900,vp.data[[#This Row],[Sulf]]&lt;=0.5,vp.data[[#This Row],[Unknown]]=0),1,0)</f>
        <v>0</v>
      </c>
      <c r="AG1259" t="str">
        <f>INDEX(vp.data[[#Headers],[Unknown]:[Heavy_SW]],MATCH(1,vp.data[[#This Row],[Unknown]:[Heavy_SW]],0))</f>
        <v>Medium_LSB</v>
      </c>
      <c r="AH1259">
        <f>INDEX([3]!crudeBD.lkup[Number],MATCH(vp.data[[#This Row],[Crude_Breakdown]],crudeBD.lkup[Crude Breakdown],0))</f>
        <v>3</v>
      </c>
      <c r="AI1259">
        <f>MONTH(vp.data[[#This Row],[SDate]])</f>
        <v>4</v>
      </c>
      <c r="AJ1259" s="5">
        <f>(vp.data[[#This Row],[VP]]-INDEX(crudeBD.lkup[Mean_VP],MATCH(vp.data[[#This Row],[Crude_Breakdown]],crudeBD.lkup[Crude Breakdown],0)))^2</f>
        <v>2.4346092690407071</v>
      </c>
      <c r="AK1259" s="5">
        <f>(vp.data[[#This Row],[Dens]]-INDEX(crudeBD.lkup[Mean_Dens],MATCH(vp.data[[#This Row],[Crude_Breakdown]],crudeBD.lkup[Crude Breakdown],0)))^2</f>
        <v>22.848400000005174</v>
      </c>
      <c r="AL1259" s="5">
        <f>(vp.data[[#This Row],[Sulf]]-INDEX(crudeBD.lkup[Mean_Sulf],MATCH(vp.data[[#This Row],[Crude_Breakdown]],crudeBD.lkup[Crude Breakdown],0)))^2</f>
        <v>8.678437182345447E-2</v>
      </c>
      <c r="AM1259" s="4">
        <f>IF(AND(vp.data[[#This Row],[SDate]]&gt;=DATE(YEAR(vp.data[[#This Row],[SDate]]),5,1),vp.data[[#This Row],[SDate]]&lt;=DATE(YEAR(vp.data[[#This Row],[SDate]]),9,15)),1,0)</f>
        <v>0</v>
      </c>
      <c r="AN1259" s="4">
        <f>IF(vp.data[[#This Row],[SDate]]&lt;DATE(2016,12,1),0,1)</f>
        <v>1</v>
      </c>
      <c r="AO1259" s="4">
        <f>IFERROR(vp.data[[#This Row],[Sulf]]*vp.data[[#This Row],[Net Dens]],"")</f>
        <v>4249839.9247920001</v>
      </c>
      <c r="AP1259">
        <f>IFERROR(vp.data[[#This Row],[Dens]]*vp.data[[#This Row],[VolumeM3]],"")</f>
        <v>2529666.6219000001</v>
      </c>
      <c r="AQ1259" s="15">
        <f>IFERROR(vp.data[[#This Row],[VP]]*vp.data[[#This Row],[VolumeM3]],"")</f>
        <v>245008.36140000002</v>
      </c>
    </row>
    <row r="1260" spans="1:43" x14ac:dyDescent="0.25">
      <c r="A1260">
        <v>1259</v>
      </c>
      <c r="B1260" t="s">
        <v>111</v>
      </c>
      <c r="C1260" t="s">
        <v>111</v>
      </c>
      <c r="D1260" t="s">
        <v>112</v>
      </c>
      <c r="F1260" s="1">
        <v>42844</v>
      </c>
      <c r="G1260" s="2">
        <v>74.5</v>
      </c>
      <c r="H1260" s="2"/>
      <c r="I1260" s="2">
        <f t="array" ref="I1260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1260" s="2">
        <v>25.8</v>
      </c>
      <c r="K1260" s="2">
        <v>8</v>
      </c>
      <c r="L1260" s="2">
        <v>856.5</v>
      </c>
      <c r="M1260" s="2">
        <f t="array" ref="M1260">_xlfn.IFNA(IF(vp.data[[#This Row],[Dens Input]]="",INDEX([1]DATA!$O$3:$O$9826,MATCH(1,(vp.data[[#This Row],[Battery]]=[1]DATA!$L$3:$L$9826)*(EOMONTH(vp.data[[#This Row],[SDate]],-1)+1=[1]DATA!$G$3:$G$9826),0)),vp.data[[#This Row],[Dens Input]]),"")</f>
        <v>856.5</v>
      </c>
      <c r="N1260" s="2">
        <f ca="1">INDEX(INDIRECT(_xlfn.CONCAT("weather.tbl[",N$1,"]")),MATCH(vp.data[[#This Row],[SDate]],weather.tbl[Date],0))</f>
        <v>6.75</v>
      </c>
      <c r="O1260" s="2">
        <f ca="1">INDEX(INDIRECT(_xlfn.CONCAT("weather.tbl[",O$1,"]")),MATCH(vp.data[[#This Row],[SDate]],weather.tbl[Date],0))</f>
        <v>5.2404761904761914</v>
      </c>
      <c r="P1260" s="2">
        <f ca="1">INDEX(INDIRECT(_xlfn.CONCAT("weather.tbl[",P$1,"]")),MATCH(vp.data[[#This Row],[SDate]],weather.tbl[Date],0))</f>
        <v>6.7</v>
      </c>
      <c r="Q1260" s="2">
        <f ca="1">INDEX(INDIRECT(_xlfn.CONCAT("weather.tbl[",Q$1,"]")),MATCH(vp.data[[#This Row],[SDate]],weather.tbl[Date],0))</f>
        <v>8.1999999999999993</v>
      </c>
      <c r="R1260" s="2">
        <f ca="1">INDEX(INDIRECT(_xlfn.CONCAT("weather.tbl[",R$1,"]")),MATCH(vp.data[[#This Row],[SDate]],weather.tbl[Date],0))</f>
        <v>6</v>
      </c>
      <c r="S1260" s="2">
        <f ca="1">INDEX(INDIRECT(_xlfn.CONCAT("weather.tbl[",S$1,"]")),MATCH(vp.data[[#This Row],[SDate]],weather.tbl[Date],0))</f>
        <v>7.2</v>
      </c>
      <c r="T1260" s="2">
        <f ca="1">INDEX(INDIRECT(_xlfn.CONCAT("weather.tbl[",T$1,"]")),MATCH(vp.data[[#This Row],[SDate]],weather.tbl[Date],0))</f>
        <v>5.4</v>
      </c>
      <c r="U1260" s="2">
        <f ca="1">INDEX(INDIRECT(_xlfn.CONCAT("weather.tbl[",U$1,"]")),MATCH(vp.data[[#This Row],[SDate]],weather.tbl[Date],0))</f>
        <v>7</v>
      </c>
      <c r="V1260" s="2">
        <f t="array" ref="V12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7693.7780000000002</v>
      </c>
      <c r="W1260" t="s">
        <v>48</v>
      </c>
      <c r="X1260">
        <f>IF(OR(vp.data[[#This Row],[Sulf]]="",vp.data[[#This Row],[Dens]]=""),1,0)</f>
        <v>0</v>
      </c>
      <c r="Y1260">
        <f>IF(vp.data[[#This Row],[CrudeType]]="C5+",1,0)</f>
        <v>0</v>
      </c>
      <c r="Z1260">
        <f>IF(AND(vp.data[[#This Row],[CrudeType]]="Crude",vp.data[[#This Row],[Dens]]&lt;=825,vp.data[[#This Row],[Sulf]]&gt;0.5,vp.data[[#This Row],[Unknown]]=0),1,0)</f>
        <v>0</v>
      </c>
      <c r="AA1260">
        <f>IF(AND(vp.data[[#This Row],[CrudeType]]="Crude",vp.data[[#This Row],[Dens]]&lt;=825,vp.data[[#This Row],[Sulf]]&lt;=0.5,vp.data[[#This Row],[Unknown]]=0),1,0)</f>
        <v>0</v>
      </c>
      <c r="AB12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60">
        <f>IF(AND(vp.data[[#This Row],[CrudeType]]="Crude",vp.data[[#This Row],[Dens]]&gt;825,vp.data[[#This Row],[Dens]]&lt;=900,vp.data[[#This Row],[Sulf]]&lt;=0.5,vp.data[[#This Row],[Unknown]]=0),1,0)</f>
        <v>0</v>
      </c>
      <c r="AD1260">
        <f>IF(AND(vp.data[[#This Row],[CrudeType]]="Crude",vp.data[[#This Row],[Dens]]&gt;865,vp.data[[#This Row],[Dens]]&lt;=900,vp.data[[#This Row],[Sulf]]&gt;2,vp.data[[#This Row],[Unknown]]=0),1,0)</f>
        <v>0</v>
      </c>
      <c r="AE1260">
        <f>IF(AND(vp.data[[#This Row],[CrudeType]]="Crude",vp.data[[#This Row],[Dens]]&gt;900,vp.data[[#This Row],[Sulf]]&lt;=0.5,vp.data[[#This Row],[Unknown]]=0),1,0)</f>
        <v>0</v>
      </c>
      <c r="AF1260">
        <f>IF(AND(vp.data[[#This Row],[CrudeType]]="Crude",vp.data[[#This Row],[Dens]]&gt;900,vp.data[[#This Row],[Sulf]]&lt;=0.5,vp.data[[#This Row],[Unknown]]=0),1,0)</f>
        <v>0</v>
      </c>
      <c r="AG1260" t="str">
        <f>INDEX(vp.data[[#Headers],[Unknown]:[Heavy_SW]],MATCH(1,vp.data[[#This Row],[Unknown]:[Heavy_SW]],0))</f>
        <v>Medium_LSB</v>
      </c>
      <c r="AH1260">
        <f>INDEX([3]!crudeBD.lkup[Number],MATCH(vp.data[[#This Row],[Crude_Breakdown]],crudeBD.lkup[Crude Breakdown],0))</f>
        <v>3</v>
      </c>
      <c r="AI1260">
        <f>MONTH(vp.data[[#This Row],[SDate]])</f>
        <v>4</v>
      </c>
      <c r="AJ1260" s="5">
        <f>(vp.data[[#This Row],[VP]]-INDEX(crudeBD.lkup[Mean_VP],MATCH(vp.data[[#This Row],[Crude_Breakdown]],crudeBD.lkup[Crude Breakdown],0)))^2</f>
        <v>37.695628136964125</v>
      </c>
      <c r="AK1260" s="5">
        <f>(vp.data[[#This Row],[Dens]]-INDEX(crudeBD.lkup[Mean_Dens],MATCH(vp.data[[#This Row],[Crude_Breakdown]],crudeBD.lkup[Crude Breakdown],0)))^2</f>
        <v>158.25640000001246</v>
      </c>
      <c r="AL1260" s="5">
        <f>(vp.data[[#This Row],[Sulf]]-INDEX(crudeBD.lkup[Mean_Sulf],MATCH(vp.data[[#This Row],[Crude_Breakdown]],crudeBD.lkup[Crude Breakdown],0)))^2</f>
        <v>0.23482928368329231</v>
      </c>
      <c r="AM1260" s="4">
        <f>IF(AND(vp.data[[#This Row],[SDate]]&gt;=DATE(YEAR(vp.data[[#This Row],[SDate]]),5,1),vp.data[[#This Row],[SDate]]&lt;=DATE(YEAR(vp.data[[#This Row],[SDate]]),9,15)),1,0)</f>
        <v>0</v>
      </c>
      <c r="AN1260" s="4">
        <f>IF(vp.data[[#This Row],[SDate]]&lt;DATE(2016,12,1),0,1)</f>
        <v>1</v>
      </c>
      <c r="AO1260" s="4">
        <f>IFERROR(vp.data[[#This Row],[Sulf]]*vp.data[[#This Row],[Net Dens]],"")</f>
        <v>12322778.002590001</v>
      </c>
      <c r="AP1260">
        <f>IFERROR(vp.data[[#This Row],[Dens]]*vp.data[[#This Row],[VolumeM3]],"")</f>
        <v>6589720.8569999998</v>
      </c>
      <c r="AQ1260" s="15">
        <f>IFERROR(vp.data[[#This Row],[VP]]*vp.data[[#This Row],[VolumeM3]],"")</f>
        <v>573186.46100000001</v>
      </c>
    </row>
    <row r="1261" spans="1:43" x14ac:dyDescent="0.25">
      <c r="A1261">
        <v>1260</v>
      </c>
      <c r="B1261" t="s">
        <v>46</v>
      </c>
      <c r="C1261" t="s">
        <v>46</v>
      </c>
      <c r="D1261" t="s">
        <v>47</v>
      </c>
      <c r="F1261" s="1">
        <v>42844</v>
      </c>
      <c r="G1261" s="2">
        <v>57.9</v>
      </c>
      <c r="H1261" s="2"/>
      <c r="I1261" s="2">
        <f t="array" ref="I1261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261" s="2">
        <v>31</v>
      </c>
      <c r="K1261" s="2">
        <v>8</v>
      </c>
      <c r="L1261" s="2">
        <v>869.2</v>
      </c>
      <c r="M1261" s="2">
        <f t="array" ref="M1261">_xlfn.IFNA(IF(vp.data[[#This Row],[Dens Input]]="",INDEX([1]DATA!$O$3:$O$9826,MATCH(1,(vp.data[[#This Row],[Battery]]=[1]DATA!$L$3:$L$9826)*(EOMONTH(vp.data[[#This Row],[SDate]],-1)+1=[1]DATA!$G$3:$G$9826),0)),vp.data[[#This Row],[Dens Input]]),"")</f>
        <v>869.2</v>
      </c>
      <c r="N1261" s="2">
        <f ca="1">INDEX(INDIRECT(_xlfn.CONCAT("weather.tbl[",N$1,"]")),MATCH(vp.data[[#This Row],[SDate]],weather.tbl[Date],0))</f>
        <v>6.75</v>
      </c>
      <c r="O1261" s="2">
        <f ca="1">INDEX(INDIRECT(_xlfn.CONCAT("weather.tbl[",O$1,"]")),MATCH(vp.data[[#This Row],[SDate]],weather.tbl[Date],0))</f>
        <v>5.2404761904761914</v>
      </c>
      <c r="P1261" s="2">
        <f ca="1">INDEX(INDIRECT(_xlfn.CONCAT("weather.tbl[",P$1,"]")),MATCH(vp.data[[#This Row],[SDate]],weather.tbl[Date],0))</f>
        <v>6.7</v>
      </c>
      <c r="Q1261" s="2">
        <f ca="1">INDEX(INDIRECT(_xlfn.CONCAT("weather.tbl[",Q$1,"]")),MATCH(vp.data[[#This Row],[SDate]],weather.tbl[Date],0))</f>
        <v>8.1999999999999993</v>
      </c>
      <c r="R1261" s="2">
        <f ca="1">INDEX(INDIRECT(_xlfn.CONCAT("weather.tbl[",R$1,"]")),MATCH(vp.data[[#This Row],[SDate]],weather.tbl[Date],0))</f>
        <v>6</v>
      </c>
      <c r="S1261" s="2">
        <f ca="1">INDEX(INDIRECT(_xlfn.CONCAT("weather.tbl[",S$1,"]")),MATCH(vp.data[[#This Row],[SDate]],weather.tbl[Date],0))</f>
        <v>7.2</v>
      </c>
      <c r="T1261" s="2">
        <f ca="1">INDEX(INDIRECT(_xlfn.CONCAT("weather.tbl[",T$1,"]")),MATCH(vp.data[[#This Row],[SDate]],weather.tbl[Date],0))</f>
        <v>5.4</v>
      </c>
      <c r="U1261" s="2">
        <f ca="1">INDEX(INDIRECT(_xlfn.CONCAT("weather.tbl[",U$1,"]")),MATCH(vp.data[[#This Row],[SDate]],weather.tbl[Date],0))</f>
        <v>7</v>
      </c>
      <c r="V1261" s="2">
        <f t="array" ref="V12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115537.139</v>
      </c>
      <c r="W1261" t="s">
        <v>48</v>
      </c>
      <c r="X1261">
        <f>IF(OR(vp.data[[#This Row],[Sulf]]="",vp.data[[#This Row],[Dens]]=""),1,0)</f>
        <v>0</v>
      </c>
      <c r="Y1261">
        <f>IF(vp.data[[#This Row],[CrudeType]]="C5+",1,0)</f>
        <v>0</v>
      </c>
      <c r="Z1261">
        <f>IF(AND(vp.data[[#This Row],[CrudeType]]="Crude",vp.data[[#This Row],[Dens]]&lt;=825,vp.data[[#This Row],[Sulf]]&gt;0.5,vp.data[[#This Row],[Unknown]]=0),1,0)</f>
        <v>0</v>
      </c>
      <c r="AA1261">
        <f>IF(AND(vp.data[[#This Row],[CrudeType]]="Crude",vp.data[[#This Row],[Dens]]&lt;=825,vp.data[[#This Row],[Sulf]]&lt;=0.5,vp.data[[#This Row],[Unknown]]=0),1,0)</f>
        <v>0</v>
      </c>
      <c r="AB12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1">
        <f>IF(AND(vp.data[[#This Row],[CrudeType]]="Crude",vp.data[[#This Row],[Dens]]&gt;825,vp.data[[#This Row],[Dens]]&lt;=900,vp.data[[#This Row],[Sulf]]&lt;=0.5,vp.data[[#This Row],[Unknown]]=0),1,0)</f>
        <v>0</v>
      </c>
      <c r="AD1261">
        <f>IF(AND(vp.data[[#This Row],[CrudeType]]="Crude",vp.data[[#This Row],[Dens]]&gt;865,vp.data[[#This Row],[Dens]]&lt;=900,vp.data[[#This Row],[Sulf]]&gt;2,vp.data[[#This Row],[Unknown]]=0),1,0)</f>
        <v>1</v>
      </c>
      <c r="AE1261">
        <f>IF(AND(vp.data[[#This Row],[CrudeType]]="Crude",vp.data[[#This Row],[Dens]]&gt;900,vp.data[[#This Row],[Sulf]]&lt;=0.5,vp.data[[#This Row],[Unknown]]=0),1,0)</f>
        <v>0</v>
      </c>
      <c r="AF1261">
        <f>IF(AND(vp.data[[#This Row],[CrudeType]]="Crude",vp.data[[#This Row],[Dens]]&gt;900,vp.data[[#This Row],[Sulf]]&lt;=0.5,vp.data[[#This Row],[Unknown]]=0),1,0)</f>
        <v>0</v>
      </c>
      <c r="AG1261" t="str">
        <f>INDEX(vp.data[[#Headers],[Unknown]:[Heavy_SW]],MATCH(1,vp.data[[#This Row],[Unknown]:[Heavy_SW]],0))</f>
        <v>Midale</v>
      </c>
      <c r="AH1261">
        <f>INDEX([3]!crudeBD.lkup[Number],MATCH(vp.data[[#This Row],[Crude_Breakdown]],crudeBD.lkup[Crude Breakdown],0))</f>
        <v>5</v>
      </c>
      <c r="AI1261">
        <f>MONTH(vp.data[[#This Row],[SDate]])</f>
        <v>4</v>
      </c>
      <c r="AJ1261" s="5">
        <f>(vp.data[[#This Row],[VP]]-INDEX(crudeBD.lkup[Mean_VP],MATCH(vp.data[[#This Row],[Crude_Breakdown]],crudeBD.lkup[Crude Breakdown],0)))^2</f>
        <v>132.45162317993487</v>
      </c>
      <c r="AK1261" s="5">
        <f>(vp.data[[#This Row],[Dens]]-INDEX(crudeBD.lkup[Mean_Dens],MATCH(vp.data[[#This Row],[Crude_Breakdown]],crudeBD.lkup[Crude Breakdown],0)))^2</f>
        <v>31.550804814542211</v>
      </c>
      <c r="AL1261" s="5">
        <f>(vp.data[[#This Row],[Sulf]]-INDEX(crudeBD.lkup[Mean_Sulf],MATCH(vp.data[[#This Row],[Crude_Breakdown]],crudeBD.lkup[Crude Breakdown],0)))^2</f>
        <v>1.9023176856306674E-3</v>
      </c>
      <c r="AM1261" s="4">
        <f>IF(AND(vp.data[[#This Row],[SDate]]&gt;=DATE(YEAR(vp.data[[#This Row],[SDate]]),5,1),vp.data[[#This Row],[SDate]]&lt;=DATE(YEAR(vp.data[[#This Row],[SDate]]),9,15)),1,0)</f>
        <v>0</v>
      </c>
      <c r="AN1261" s="4">
        <f>IF(vp.data[[#This Row],[SDate]]&lt;DATE(2016,12,1),0,1)</f>
        <v>1</v>
      </c>
      <c r="AO1261" s="4">
        <f>IFERROR(vp.data[[#This Row],[Sulf]]*vp.data[[#This Row],[Net Dens]],"")</f>
        <v>241019714.92512003</v>
      </c>
      <c r="AP1261">
        <f>IFERROR(vp.data[[#This Row],[Dens]]*vp.data[[#This Row],[VolumeM3]],"")</f>
        <v>100424881.21880001</v>
      </c>
      <c r="AQ1261" s="15">
        <f>IFERROR(vp.data[[#This Row],[VP]]*vp.data[[#This Row],[VolumeM3]],"")</f>
        <v>6689600.3480999991</v>
      </c>
    </row>
    <row r="1262" spans="1:43" x14ac:dyDescent="0.25">
      <c r="A1262">
        <v>1261</v>
      </c>
      <c r="B1262" t="s">
        <v>64</v>
      </c>
      <c r="C1262" t="s">
        <v>64</v>
      </c>
      <c r="D1262" t="s">
        <v>65</v>
      </c>
      <c r="F1262" s="1">
        <v>42844</v>
      </c>
      <c r="G1262" s="2">
        <v>47.7</v>
      </c>
      <c r="H1262" s="2"/>
      <c r="I1262" s="2">
        <f t="array" ref="I1262">_xlfn.IFNA(IF(vp.data[[#This Row],[Sulf Input]]="",INDEX([1]DATA!$Q$3:$Q$9826,MATCH(1,(vp.data[[#This Row],[Battery]]=[1]DATA!$L$3:$L$9826)*(EOMONTH(vp.data[[#This Row],[SDate]],-1)+1=[1]DATA!$G$3:$G$9826),0)),vp.data[[#This Row],[Sulf Input]]),"")</f>
        <v>2.11</v>
      </c>
      <c r="J1262" s="2">
        <v>33.1</v>
      </c>
      <c r="K1262" s="2">
        <v>8</v>
      </c>
      <c r="L1262" s="2">
        <v>876.1</v>
      </c>
      <c r="M1262" s="2">
        <f t="array" ref="M1262">_xlfn.IFNA(IF(vp.data[[#This Row],[Dens Input]]="",INDEX([1]DATA!$O$3:$O$9826,MATCH(1,(vp.data[[#This Row],[Battery]]=[1]DATA!$L$3:$L$9826)*(EOMONTH(vp.data[[#This Row],[SDate]],-1)+1=[1]DATA!$G$3:$G$9826),0)),vp.data[[#This Row],[Dens Input]]),"")</f>
        <v>876.1</v>
      </c>
      <c r="N1262" s="2">
        <f ca="1">INDEX(INDIRECT(_xlfn.CONCAT("weather.tbl[",N$1,"]")),MATCH(vp.data[[#This Row],[SDate]],weather.tbl[Date],0))</f>
        <v>6.75</v>
      </c>
      <c r="O1262" s="2">
        <f ca="1">INDEX(INDIRECT(_xlfn.CONCAT("weather.tbl[",O$1,"]")),MATCH(vp.data[[#This Row],[SDate]],weather.tbl[Date],0))</f>
        <v>5.2404761904761914</v>
      </c>
      <c r="P1262" s="2">
        <f ca="1">INDEX(INDIRECT(_xlfn.CONCAT("weather.tbl[",P$1,"]")),MATCH(vp.data[[#This Row],[SDate]],weather.tbl[Date],0))</f>
        <v>6.7</v>
      </c>
      <c r="Q1262" s="2">
        <f ca="1">INDEX(INDIRECT(_xlfn.CONCAT("weather.tbl[",Q$1,"]")),MATCH(vp.data[[#This Row],[SDate]],weather.tbl[Date],0))</f>
        <v>8.1999999999999993</v>
      </c>
      <c r="R1262" s="2">
        <f ca="1">INDEX(INDIRECT(_xlfn.CONCAT("weather.tbl[",R$1,"]")),MATCH(vp.data[[#This Row],[SDate]],weather.tbl[Date],0))</f>
        <v>6</v>
      </c>
      <c r="S1262" s="2">
        <f ca="1">INDEX(INDIRECT(_xlfn.CONCAT("weather.tbl[",S$1,"]")),MATCH(vp.data[[#This Row],[SDate]],weather.tbl[Date],0))</f>
        <v>7.2</v>
      </c>
      <c r="T1262" s="2">
        <f ca="1">INDEX(INDIRECT(_xlfn.CONCAT("weather.tbl[",T$1,"]")),MATCH(vp.data[[#This Row],[SDate]],weather.tbl[Date],0))</f>
        <v>5.4</v>
      </c>
      <c r="U1262" s="2">
        <f ca="1">INDEX(INDIRECT(_xlfn.CONCAT("weather.tbl[",U$1,"]")),MATCH(vp.data[[#This Row],[SDate]],weather.tbl[Date],0))</f>
        <v>7</v>
      </c>
      <c r="V1262" s="2">
        <f t="array" ref="V12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21877.668000000001</v>
      </c>
      <c r="W1262" t="s">
        <v>48</v>
      </c>
      <c r="X1262">
        <f>IF(OR(vp.data[[#This Row],[Sulf]]="",vp.data[[#This Row],[Dens]]=""),1,0)</f>
        <v>0</v>
      </c>
      <c r="Y1262">
        <f>IF(vp.data[[#This Row],[CrudeType]]="C5+",1,0)</f>
        <v>0</v>
      </c>
      <c r="Z1262">
        <f>IF(AND(vp.data[[#This Row],[CrudeType]]="Crude",vp.data[[#This Row],[Dens]]&lt;=825,vp.data[[#This Row],[Sulf]]&gt;0.5,vp.data[[#This Row],[Unknown]]=0),1,0)</f>
        <v>0</v>
      </c>
      <c r="AA1262">
        <f>IF(AND(vp.data[[#This Row],[CrudeType]]="Crude",vp.data[[#This Row],[Dens]]&lt;=825,vp.data[[#This Row],[Sulf]]&lt;=0.5,vp.data[[#This Row],[Unknown]]=0),1,0)</f>
        <v>0</v>
      </c>
      <c r="AB12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2">
        <f>IF(AND(vp.data[[#This Row],[CrudeType]]="Crude",vp.data[[#This Row],[Dens]]&gt;825,vp.data[[#This Row],[Dens]]&lt;=900,vp.data[[#This Row],[Sulf]]&lt;=0.5,vp.data[[#This Row],[Unknown]]=0),1,0)</f>
        <v>0</v>
      </c>
      <c r="AD1262">
        <f>IF(AND(vp.data[[#This Row],[CrudeType]]="Crude",vp.data[[#This Row],[Dens]]&gt;865,vp.data[[#This Row],[Dens]]&lt;=900,vp.data[[#This Row],[Sulf]]&gt;2,vp.data[[#This Row],[Unknown]]=0),1,0)</f>
        <v>1</v>
      </c>
      <c r="AE1262">
        <f>IF(AND(vp.data[[#This Row],[CrudeType]]="Crude",vp.data[[#This Row],[Dens]]&gt;900,vp.data[[#This Row],[Sulf]]&lt;=0.5,vp.data[[#This Row],[Unknown]]=0),1,0)</f>
        <v>0</v>
      </c>
      <c r="AF1262">
        <f>IF(AND(vp.data[[#This Row],[CrudeType]]="Crude",vp.data[[#This Row],[Dens]]&gt;900,vp.data[[#This Row],[Sulf]]&lt;=0.5,vp.data[[#This Row],[Unknown]]=0),1,0)</f>
        <v>0</v>
      </c>
      <c r="AG1262" t="str">
        <f>INDEX(vp.data[[#Headers],[Unknown]:[Heavy_SW]],MATCH(1,vp.data[[#This Row],[Unknown]:[Heavy_SW]],0))</f>
        <v>Midale</v>
      </c>
      <c r="AH1262">
        <f>INDEX([3]!crudeBD.lkup[Number],MATCH(vp.data[[#This Row],[Crude_Breakdown]],crudeBD.lkup[Crude Breakdown],0))</f>
        <v>5</v>
      </c>
      <c r="AI1262">
        <f>MONTH(vp.data[[#This Row],[SDate]])</f>
        <v>4</v>
      </c>
      <c r="AJ1262" s="5">
        <f>(vp.data[[#This Row],[VP]]-INDEX(crudeBD.lkup[Mean_VP],MATCH(vp.data[[#This Row],[Crude_Breakdown]],crudeBD.lkup[Crude Breakdown],0)))^2</f>
        <v>471.27038606653326</v>
      </c>
      <c r="AK1262" s="5">
        <f>(vp.data[[#This Row],[Dens]]-INDEX(crudeBD.lkup[Mean_Dens],MATCH(vp.data[[#This Row],[Crude_Breakdown]],crudeBD.lkup[Crude Breakdown],0)))^2</f>
        <v>1.6460625464973042</v>
      </c>
      <c r="AL1262" s="5">
        <f>(vp.data[[#This Row],[Sulf]]-INDEX(crudeBD.lkup[Mean_Sulf],MATCH(vp.data[[#This Row],[Crude_Breakdown]],crudeBD.lkup[Crude Breakdown],0)))^2</f>
        <v>0.11129934655160933</v>
      </c>
      <c r="AM1262" s="4">
        <f>IF(AND(vp.data[[#This Row],[SDate]]&gt;=DATE(YEAR(vp.data[[#This Row],[SDate]]),5,1),vp.data[[#This Row],[SDate]]&lt;=DATE(YEAR(vp.data[[#This Row],[SDate]]),9,15)),1,0)</f>
        <v>0</v>
      </c>
      <c r="AN1262" s="4">
        <f>IF(vp.data[[#This Row],[SDate]]&lt;DATE(2016,12,1),0,1)</f>
        <v>1</v>
      </c>
      <c r="AO1262" s="4">
        <f>IFERROR(vp.data[[#This Row],[Sulf]]*vp.data[[#This Row],[Net Dens]],"")</f>
        <v>40442422.612428002</v>
      </c>
      <c r="AP1262">
        <f>IFERROR(vp.data[[#This Row],[Dens]]*vp.data[[#This Row],[VolumeM3]],"")</f>
        <v>19167024.934800003</v>
      </c>
      <c r="AQ1262" s="15">
        <f>IFERROR(vp.data[[#This Row],[VP]]*vp.data[[#This Row],[VolumeM3]],"")</f>
        <v>1043564.7636000002</v>
      </c>
    </row>
    <row r="1263" spans="1:43" x14ac:dyDescent="0.25">
      <c r="A1263">
        <v>1262</v>
      </c>
      <c r="B1263" t="s">
        <v>111</v>
      </c>
      <c r="C1263" t="s">
        <v>111</v>
      </c>
      <c r="D1263" t="s">
        <v>234</v>
      </c>
      <c r="F1263" s="1">
        <v>42844</v>
      </c>
      <c r="G1263" s="2">
        <v>66.400000000000006</v>
      </c>
      <c r="H1263" s="2"/>
      <c r="I1263" s="2">
        <f t="array" ref="I1263">_xlfn.IFNA(IF(vp.data[[#This Row],[Sulf Input]]="",INDEX([1]DATA!$Q$3:$Q$9826,MATCH(1,(vp.data[[#This Row],[Battery]]=[1]DATA!$L$3:$L$9826)*(EOMONTH(vp.data[[#This Row],[SDate]],-1)+1=[1]DATA!$G$3:$G$9826),0)),vp.data[[#This Row],[Sulf Input]]),"")</f>
        <v>2.92</v>
      </c>
      <c r="J1263" s="2">
        <v>34.700000000000003</v>
      </c>
      <c r="K1263" s="2">
        <v>8</v>
      </c>
      <c r="L1263" s="2">
        <v>886.7</v>
      </c>
      <c r="M1263" s="2">
        <f t="array" ref="M1263">_xlfn.IFNA(IF(vp.data[[#This Row],[Dens Input]]="",INDEX([1]DATA!$O$3:$O$9826,MATCH(1,(vp.data[[#This Row],[Battery]]=[1]DATA!$L$3:$L$9826)*(EOMONTH(vp.data[[#This Row],[SDate]],-1)+1=[1]DATA!$G$3:$G$9826),0)),vp.data[[#This Row],[Dens Input]]),"")</f>
        <v>886.7</v>
      </c>
      <c r="N1263" s="2">
        <f ca="1">INDEX(INDIRECT(_xlfn.CONCAT("weather.tbl[",N$1,"]")),MATCH(vp.data[[#This Row],[SDate]],weather.tbl[Date],0))</f>
        <v>6.75</v>
      </c>
      <c r="O1263" s="2">
        <f ca="1">INDEX(INDIRECT(_xlfn.CONCAT("weather.tbl[",O$1,"]")),MATCH(vp.data[[#This Row],[SDate]],weather.tbl[Date],0))</f>
        <v>5.2404761904761914</v>
      </c>
      <c r="P1263" s="2">
        <f ca="1">INDEX(INDIRECT(_xlfn.CONCAT("weather.tbl[",P$1,"]")),MATCH(vp.data[[#This Row],[SDate]],weather.tbl[Date],0))</f>
        <v>6.7</v>
      </c>
      <c r="Q1263" s="2">
        <f ca="1">INDEX(INDIRECT(_xlfn.CONCAT("weather.tbl[",Q$1,"]")),MATCH(vp.data[[#This Row],[SDate]],weather.tbl[Date],0))</f>
        <v>8.1999999999999993</v>
      </c>
      <c r="R1263" s="2">
        <f ca="1">INDEX(INDIRECT(_xlfn.CONCAT("weather.tbl[",R$1,"]")),MATCH(vp.data[[#This Row],[SDate]],weather.tbl[Date],0))</f>
        <v>6</v>
      </c>
      <c r="S1263" s="2">
        <f ca="1">INDEX(INDIRECT(_xlfn.CONCAT("weather.tbl[",S$1,"]")),MATCH(vp.data[[#This Row],[SDate]],weather.tbl[Date],0))</f>
        <v>7.2</v>
      </c>
      <c r="T1263" s="2">
        <f ca="1">INDEX(INDIRECT(_xlfn.CONCAT("weather.tbl[",T$1,"]")),MATCH(vp.data[[#This Row],[SDate]],weather.tbl[Date],0))</f>
        <v>5.4</v>
      </c>
      <c r="U1263" s="2">
        <f ca="1">INDEX(INDIRECT(_xlfn.CONCAT("weather.tbl[",U$1,"]")),MATCH(vp.data[[#This Row],[SDate]],weather.tbl[Date],0))</f>
        <v>7</v>
      </c>
      <c r="V1263" s="2">
        <f t="array" ref="V12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6110.1149999999998</v>
      </c>
      <c r="W1263" t="s">
        <v>48</v>
      </c>
      <c r="X1263">
        <f>IF(OR(vp.data[[#This Row],[Sulf]]="",vp.data[[#This Row],[Dens]]=""),1,0)</f>
        <v>0</v>
      </c>
      <c r="Y1263">
        <f>IF(vp.data[[#This Row],[CrudeType]]="C5+",1,0)</f>
        <v>0</v>
      </c>
      <c r="Z1263">
        <f>IF(AND(vp.data[[#This Row],[CrudeType]]="Crude",vp.data[[#This Row],[Dens]]&lt;=825,vp.data[[#This Row],[Sulf]]&gt;0.5,vp.data[[#This Row],[Unknown]]=0),1,0)</f>
        <v>0</v>
      </c>
      <c r="AA1263">
        <f>IF(AND(vp.data[[#This Row],[CrudeType]]="Crude",vp.data[[#This Row],[Dens]]&lt;=825,vp.data[[#This Row],[Sulf]]&lt;=0.5,vp.data[[#This Row],[Unknown]]=0),1,0)</f>
        <v>0</v>
      </c>
      <c r="AB12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3">
        <f>IF(AND(vp.data[[#This Row],[CrudeType]]="Crude",vp.data[[#This Row],[Dens]]&gt;825,vp.data[[#This Row],[Dens]]&lt;=900,vp.data[[#This Row],[Sulf]]&lt;=0.5,vp.data[[#This Row],[Unknown]]=0),1,0)</f>
        <v>0</v>
      </c>
      <c r="AD1263">
        <f>IF(AND(vp.data[[#This Row],[CrudeType]]="Crude",vp.data[[#This Row],[Dens]]&gt;865,vp.data[[#This Row],[Dens]]&lt;=900,vp.data[[#This Row],[Sulf]]&gt;2,vp.data[[#This Row],[Unknown]]=0),1,0)</f>
        <v>1</v>
      </c>
      <c r="AE1263">
        <f>IF(AND(vp.data[[#This Row],[CrudeType]]="Crude",vp.data[[#This Row],[Dens]]&gt;900,vp.data[[#This Row],[Sulf]]&lt;=0.5,vp.data[[#This Row],[Unknown]]=0),1,0)</f>
        <v>0</v>
      </c>
      <c r="AF1263">
        <f>IF(AND(vp.data[[#This Row],[CrudeType]]="Crude",vp.data[[#This Row],[Dens]]&gt;900,vp.data[[#This Row],[Sulf]]&lt;=0.5,vp.data[[#This Row],[Unknown]]=0),1,0)</f>
        <v>0</v>
      </c>
      <c r="AG1263" t="str">
        <f>INDEX(vp.data[[#Headers],[Unknown]:[Heavy_SW]],MATCH(1,vp.data[[#This Row],[Unknown]:[Heavy_SW]],0))</f>
        <v>Midale</v>
      </c>
      <c r="AH1263">
        <f>INDEX([3]!crudeBD.lkup[Number],MATCH(vp.data[[#This Row],[Crude_Breakdown]],crudeBD.lkup[Crude Breakdown],0))</f>
        <v>5</v>
      </c>
      <c r="AI1263">
        <f>MONTH(vp.data[[#This Row],[SDate]])</f>
        <v>4</v>
      </c>
      <c r="AJ1263" s="5">
        <f>(vp.data[[#This Row],[VP]]-INDEX(crudeBD.lkup[Mean_VP],MATCH(vp.data[[#This Row],[Crude_Breakdown]],crudeBD.lkup[Crude Breakdown],0)))^2</f>
        <v>9.0526541077693121</v>
      </c>
      <c r="AK1263" s="5">
        <f>(vp.data[[#This Row],[Dens]]-INDEX(crudeBD.lkup[Mean_Dens],MATCH(vp.data[[#This Row],[Crude_Breakdown]],crudeBD.lkup[Crude Breakdown],0)))^2</f>
        <v>141.20544398979078</v>
      </c>
      <c r="AL1263" s="5">
        <f>(vp.data[[#This Row],[Sulf]]-INDEX(crudeBD.lkup[Mean_Sulf],MATCH(vp.data[[#This Row],[Crude_Breakdown]],crudeBD.lkup[Crude Breakdown],0)))^2</f>
        <v>0.22694212799491037</v>
      </c>
      <c r="AM1263" s="4">
        <f>IF(AND(vp.data[[#This Row],[SDate]]&gt;=DATE(YEAR(vp.data[[#This Row],[SDate]]),5,1),vp.data[[#This Row],[SDate]]&lt;=DATE(YEAR(vp.data[[#This Row],[SDate]]),9,15)),1,0)</f>
        <v>0</v>
      </c>
      <c r="AN1263" s="4">
        <f>IF(vp.data[[#This Row],[SDate]]&lt;DATE(2016,12,1),0,1)</f>
        <v>1</v>
      </c>
      <c r="AO1263" s="4">
        <f>IFERROR(vp.data[[#This Row],[Sulf]]*vp.data[[#This Row],[Net Dens]],"")</f>
        <v>15820089.79386</v>
      </c>
      <c r="AP1263">
        <f>IFERROR(vp.data[[#This Row],[Dens]]*vp.data[[#This Row],[VolumeM3]],"")</f>
        <v>5417838.9704999998</v>
      </c>
      <c r="AQ1263" s="15">
        <f>IFERROR(vp.data[[#This Row],[VP]]*vp.data[[#This Row],[VolumeM3]],"")</f>
        <v>405711.636</v>
      </c>
    </row>
    <row r="1264" spans="1:43" x14ac:dyDescent="0.25">
      <c r="A1264">
        <v>1263</v>
      </c>
      <c r="B1264" t="s">
        <v>49</v>
      </c>
      <c r="C1264" t="s">
        <v>49</v>
      </c>
      <c r="D1264" t="s">
        <v>81</v>
      </c>
      <c r="F1264" s="1">
        <v>42845</v>
      </c>
      <c r="G1264" s="2">
        <v>82</v>
      </c>
      <c r="H1264" s="2">
        <v>0.52500000000000002</v>
      </c>
      <c r="I1264" s="2">
        <f t="array" ref="I1264">_xlfn.IFNA(IF(vp.data[[#This Row],[Sulf Input]]="",INDEX([1]DATA!$Q$3:$Q$9826,MATCH(1,(vp.data[[#This Row],[Battery]]=[1]DATA!$L$3:$L$9826)*(EOMONTH(vp.data[[#This Row],[SDate]],-1)+1=[1]DATA!$G$3:$G$9826),0)),vp.data[[#This Row],[Sulf Input]]),"")</f>
        <v>0.52500000000000002</v>
      </c>
      <c r="J1264" s="2">
        <v>7.3</v>
      </c>
      <c r="K1264" s="2">
        <v>16</v>
      </c>
      <c r="L1264" s="2">
        <v>822.4</v>
      </c>
      <c r="M1264" s="2">
        <f t="array" ref="M1264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264" s="2">
        <f ca="1">INDEX(INDIRECT(_xlfn.CONCAT("weather.tbl[",N$1,"]")),MATCH(vp.data[[#This Row],[SDate]],weather.tbl[Date],0))</f>
        <v>8.9500000000000011</v>
      </c>
      <c r="O1264" s="2">
        <f ca="1">INDEX(INDIRECT(_xlfn.CONCAT("weather.tbl[",O$1,"]")),MATCH(vp.data[[#This Row],[SDate]],weather.tbl[Date],0))</f>
        <v>5.15</v>
      </c>
      <c r="P1264" s="2">
        <f ca="1">INDEX(INDIRECT(_xlfn.CONCAT("weather.tbl[",P$1,"]")),MATCH(vp.data[[#This Row],[SDate]],weather.tbl[Date],0))</f>
        <v>9.6</v>
      </c>
      <c r="Q1264" s="2">
        <f ca="1">INDEX(INDIRECT(_xlfn.CONCAT("weather.tbl[",Q$1,"]")),MATCH(vp.data[[#This Row],[SDate]],weather.tbl[Date],0))</f>
        <v>9.1</v>
      </c>
      <c r="R1264" s="2">
        <f ca="1">INDEX(INDIRECT(_xlfn.CONCAT("weather.tbl[",R$1,"]")),MATCH(vp.data[[#This Row],[SDate]],weather.tbl[Date],0))</f>
        <v>9.3000000000000007</v>
      </c>
      <c r="S1264" s="2">
        <f ca="1">INDEX(INDIRECT(_xlfn.CONCAT("weather.tbl[",S$1,"]")),MATCH(vp.data[[#This Row],[SDate]],weather.tbl[Date],0))</f>
        <v>8.8000000000000007</v>
      </c>
      <c r="T1264" s="2">
        <f ca="1">INDEX(INDIRECT(_xlfn.CONCAT("weather.tbl[",T$1,"]")),MATCH(vp.data[[#This Row],[SDate]],weather.tbl[Date],0))</f>
        <v>8.1</v>
      </c>
      <c r="U1264" s="2">
        <f ca="1">INDEX(INDIRECT(_xlfn.CONCAT("weather.tbl[",U$1,"]")),MATCH(vp.data[[#This Row],[SDate]],weather.tbl[Date],0))</f>
        <v>8.8000000000000007</v>
      </c>
      <c r="V1264" s="2">
        <f t="array" ref="V12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19345.195</v>
      </c>
      <c r="W1264" t="s">
        <v>48</v>
      </c>
      <c r="X1264">
        <f>IF(OR(vp.data[[#This Row],[Sulf]]="",vp.data[[#This Row],[Dens]]=""),1,0)</f>
        <v>0</v>
      </c>
      <c r="Y1264">
        <f>IF(vp.data[[#This Row],[CrudeType]]="C5+",1,0)</f>
        <v>0</v>
      </c>
      <c r="Z1264">
        <f>IF(AND(vp.data[[#This Row],[CrudeType]]="Crude",vp.data[[#This Row],[Dens]]&lt;=825,vp.data[[#This Row],[Sulf]]&gt;0.5,vp.data[[#This Row],[Unknown]]=0),1,0)</f>
        <v>1</v>
      </c>
      <c r="AA1264">
        <f>IF(AND(vp.data[[#This Row],[CrudeType]]="Crude",vp.data[[#This Row],[Dens]]&lt;=825,vp.data[[#This Row],[Sulf]]&lt;=0.5,vp.data[[#This Row],[Unknown]]=0),1,0)</f>
        <v>0</v>
      </c>
      <c r="AB12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4">
        <f>IF(AND(vp.data[[#This Row],[CrudeType]]="Crude",vp.data[[#This Row],[Dens]]&gt;825,vp.data[[#This Row],[Dens]]&lt;=900,vp.data[[#This Row],[Sulf]]&lt;=0.5,vp.data[[#This Row],[Unknown]]=0),1,0)</f>
        <v>0</v>
      </c>
      <c r="AD1264">
        <f>IF(AND(vp.data[[#This Row],[CrudeType]]="Crude",vp.data[[#This Row],[Dens]]&gt;865,vp.data[[#This Row],[Dens]]&lt;=900,vp.data[[#This Row],[Sulf]]&gt;2,vp.data[[#This Row],[Unknown]]=0),1,0)</f>
        <v>0</v>
      </c>
      <c r="AE1264">
        <f>IF(AND(vp.data[[#This Row],[CrudeType]]="Crude",vp.data[[#This Row],[Dens]]&gt;900,vp.data[[#This Row],[Sulf]]&lt;=0.5,vp.data[[#This Row],[Unknown]]=0),1,0)</f>
        <v>0</v>
      </c>
      <c r="AF1264">
        <f>IF(AND(vp.data[[#This Row],[CrudeType]]="Crude",vp.data[[#This Row],[Dens]]&gt;900,vp.data[[#This Row],[Sulf]]&lt;=0.5,vp.data[[#This Row],[Unknown]]=0),1,0)</f>
        <v>0</v>
      </c>
      <c r="AG1264" t="str">
        <f>INDEX(vp.data[[#Headers],[Unknown]:[Heavy_SW]],MATCH(1,vp.data[[#This Row],[Unknown]:[Heavy_SW]],0))</f>
        <v>Light_LSB</v>
      </c>
      <c r="AH1264">
        <f>INDEX([3]!crudeBD.lkup[Number],MATCH(vp.data[[#This Row],[Crude_Breakdown]],crudeBD.lkup[Crude Breakdown],0))</f>
        <v>1</v>
      </c>
      <c r="AI1264">
        <f>MONTH(vp.data[[#This Row],[SDate]])</f>
        <v>4</v>
      </c>
      <c r="AJ1264" s="5">
        <f>(vp.data[[#This Row],[VP]]-INDEX(crudeBD.lkup[Mean_VP],MATCH(vp.data[[#This Row],[Crude_Breakdown]],crudeBD.lkup[Crude Breakdown],0)))^2</f>
        <v>91.129658879796537</v>
      </c>
      <c r="AK1264" s="5">
        <f>(vp.data[[#This Row],[Dens]]-INDEX(crudeBD.lkup[Mean_Dens],MATCH(vp.data[[#This Row],[Crude_Breakdown]],crudeBD.lkup[Crude Breakdown],0)))^2</f>
        <v>15.07947710112294</v>
      </c>
      <c r="AL1264" s="5">
        <f>(vp.data[[#This Row],[Sulf]]-INDEX(crudeBD.lkup[Mean_Sulf],MATCH(vp.data[[#This Row],[Crude_Breakdown]],crudeBD.lkup[Crude Breakdown],0)))^2</f>
        <v>0.15838105086562607</v>
      </c>
      <c r="AM1264" s="4">
        <f>IF(AND(vp.data[[#This Row],[SDate]]&gt;=DATE(YEAR(vp.data[[#This Row],[SDate]]),5,1),vp.data[[#This Row],[SDate]]&lt;=DATE(YEAR(vp.data[[#This Row],[SDate]]),9,15)),1,0)</f>
        <v>0</v>
      </c>
      <c r="AN1264" s="4">
        <f>IF(vp.data[[#This Row],[SDate]]&lt;DATE(2016,12,1),0,1)</f>
        <v>1</v>
      </c>
      <c r="AO1264" s="4">
        <f>IFERROR(vp.data[[#This Row],[Sulf]]*vp.data[[#This Row],[Net Dens]],"")</f>
        <v>8352481.3931999998</v>
      </c>
      <c r="AP1264">
        <f>IFERROR(vp.data[[#This Row],[Dens]]*vp.data[[#This Row],[VolumeM3]],"")</f>
        <v>15909488.367999999</v>
      </c>
      <c r="AQ1264" s="15">
        <f>IFERROR(vp.data[[#This Row],[VP]]*vp.data[[#This Row],[VolumeM3]],"")</f>
        <v>1586305.99</v>
      </c>
    </row>
    <row r="1265" spans="1:43" x14ac:dyDescent="0.25">
      <c r="A1265">
        <v>1264</v>
      </c>
      <c r="B1265" t="s">
        <v>49</v>
      </c>
      <c r="C1265" t="s">
        <v>49</v>
      </c>
      <c r="D1265" t="s">
        <v>70</v>
      </c>
      <c r="F1265" s="1">
        <v>42845</v>
      </c>
      <c r="G1265" s="2">
        <v>89.4</v>
      </c>
      <c r="H1265" s="2">
        <v>0.85399999999999998</v>
      </c>
      <c r="I1265" s="2">
        <f t="array" ref="I1265">_xlfn.IFNA(IF(vp.data[[#This Row],[Sulf Input]]="",INDEX([1]DATA!$Q$3:$Q$9826,MATCH(1,(vp.data[[#This Row],[Battery]]=[1]DATA!$L$3:$L$9826)*(EOMONTH(vp.data[[#This Row],[SDate]],-1)+1=[1]DATA!$G$3:$G$9826),0)),vp.data[[#This Row],[Sulf Input]]),"")</f>
        <v>0.85399999999999998</v>
      </c>
      <c r="J1265" s="2">
        <v>19.5</v>
      </c>
      <c r="K1265" s="2">
        <v>16</v>
      </c>
      <c r="L1265" s="2">
        <v>813.5</v>
      </c>
      <c r="M1265" s="2">
        <f t="array" ref="M1265">_xlfn.IFNA(IF(vp.data[[#This Row],[Dens Input]]="",INDEX([1]DATA!$O$3:$O$9826,MATCH(1,(vp.data[[#This Row],[Battery]]=[1]DATA!$L$3:$L$9826)*(EOMONTH(vp.data[[#This Row],[SDate]],-1)+1=[1]DATA!$G$3:$G$9826),0)),vp.data[[#This Row],[Dens Input]]),"")</f>
        <v>813.5</v>
      </c>
      <c r="N1265" s="2">
        <f ca="1">INDEX(INDIRECT(_xlfn.CONCAT("weather.tbl[",N$1,"]")),MATCH(vp.data[[#This Row],[SDate]],weather.tbl[Date],0))</f>
        <v>8.9500000000000011</v>
      </c>
      <c r="O1265" s="2">
        <f ca="1">INDEX(INDIRECT(_xlfn.CONCAT("weather.tbl[",O$1,"]")),MATCH(vp.data[[#This Row],[SDate]],weather.tbl[Date],0))</f>
        <v>5.15</v>
      </c>
      <c r="P1265" s="2">
        <f ca="1">INDEX(INDIRECT(_xlfn.CONCAT("weather.tbl[",P$1,"]")),MATCH(vp.data[[#This Row],[SDate]],weather.tbl[Date],0))</f>
        <v>9.6</v>
      </c>
      <c r="Q1265" s="2">
        <f ca="1">INDEX(INDIRECT(_xlfn.CONCAT("weather.tbl[",Q$1,"]")),MATCH(vp.data[[#This Row],[SDate]],weather.tbl[Date],0))</f>
        <v>9.1</v>
      </c>
      <c r="R1265" s="2">
        <f ca="1">INDEX(INDIRECT(_xlfn.CONCAT("weather.tbl[",R$1,"]")),MATCH(vp.data[[#This Row],[SDate]],weather.tbl[Date],0))</f>
        <v>9.3000000000000007</v>
      </c>
      <c r="S1265" s="2">
        <f ca="1">INDEX(INDIRECT(_xlfn.CONCAT("weather.tbl[",S$1,"]")),MATCH(vp.data[[#This Row],[SDate]],weather.tbl[Date],0))</f>
        <v>8.8000000000000007</v>
      </c>
      <c r="T1265" s="2">
        <f ca="1">INDEX(INDIRECT(_xlfn.CONCAT("weather.tbl[",T$1,"]")),MATCH(vp.data[[#This Row],[SDate]],weather.tbl[Date],0))</f>
        <v>8.1</v>
      </c>
      <c r="U1265" s="2">
        <f ca="1">INDEX(INDIRECT(_xlfn.CONCAT("weather.tbl[",U$1,"]")),MATCH(vp.data[[#This Row],[SDate]],weather.tbl[Date],0))</f>
        <v>8.8000000000000007</v>
      </c>
      <c r="V1265" s="2">
        <f t="array" ref="V12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3029.3780000000002</v>
      </c>
      <c r="W1265" t="s">
        <v>48</v>
      </c>
      <c r="X1265">
        <f>IF(OR(vp.data[[#This Row],[Sulf]]="",vp.data[[#This Row],[Dens]]=""),1,0)</f>
        <v>0</v>
      </c>
      <c r="Y1265">
        <f>IF(vp.data[[#This Row],[CrudeType]]="C5+",1,0)</f>
        <v>0</v>
      </c>
      <c r="Z1265">
        <f>IF(AND(vp.data[[#This Row],[CrudeType]]="Crude",vp.data[[#This Row],[Dens]]&lt;=825,vp.data[[#This Row],[Sulf]]&gt;0.5,vp.data[[#This Row],[Unknown]]=0),1,0)</f>
        <v>1</v>
      </c>
      <c r="AA1265">
        <f>IF(AND(vp.data[[#This Row],[CrudeType]]="Crude",vp.data[[#This Row],[Dens]]&lt;=825,vp.data[[#This Row],[Sulf]]&lt;=0.5,vp.data[[#This Row],[Unknown]]=0),1,0)</f>
        <v>0</v>
      </c>
      <c r="AB12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5">
        <f>IF(AND(vp.data[[#This Row],[CrudeType]]="Crude",vp.data[[#This Row],[Dens]]&gt;825,vp.data[[#This Row],[Dens]]&lt;=900,vp.data[[#This Row],[Sulf]]&lt;=0.5,vp.data[[#This Row],[Unknown]]=0),1,0)</f>
        <v>0</v>
      </c>
      <c r="AD1265">
        <f>IF(AND(vp.data[[#This Row],[CrudeType]]="Crude",vp.data[[#This Row],[Dens]]&gt;865,vp.data[[#This Row],[Dens]]&lt;=900,vp.data[[#This Row],[Sulf]]&gt;2,vp.data[[#This Row],[Unknown]]=0),1,0)</f>
        <v>0</v>
      </c>
      <c r="AE1265">
        <f>IF(AND(vp.data[[#This Row],[CrudeType]]="Crude",vp.data[[#This Row],[Dens]]&gt;900,vp.data[[#This Row],[Sulf]]&lt;=0.5,vp.data[[#This Row],[Unknown]]=0),1,0)</f>
        <v>0</v>
      </c>
      <c r="AF1265">
        <f>IF(AND(vp.data[[#This Row],[CrudeType]]="Crude",vp.data[[#This Row],[Dens]]&gt;900,vp.data[[#This Row],[Sulf]]&lt;=0.5,vp.data[[#This Row],[Unknown]]=0),1,0)</f>
        <v>0</v>
      </c>
      <c r="AG1265" t="str">
        <f>INDEX(vp.data[[#Headers],[Unknown]:[Heavy_SW]],MATCH(1,vp.data[[#This Row],[Unknown]:[Heavy_SW]],0))</f>
        <v>Light_LSB</v>
      </c>
      <c r="AH1265">
        <f>INDEX([3]!crudeBD.lkup[Number],MATCH(vp.data[[#This Row],[Crude_Breakdown]],crudeBD.lkup[Crude Breakdown],0))</f>
        <v>1</v>
      </c>
      <c r="AI1265">
        <f>MONTH(vp.data[[#This Row],[SDate]])</f>
        <v>4</v>
      </c>
      <c r="AJ1265" s="5">
        <f>(vp.data[[#This Row],[VP]]-INDEX(crudeBD.lkup[Mean_VP],MATCH(vp.data[[#This Row],[Crude_Breakdown]],crudeBD.lkup[Crude Breakdown],0)))^2</f>
        <v>4.6061124880434718</v>
      </c>
      <c r="AK1265" s="5">
        <f>(vp.data[[#This Row],[Dens]]-INDEX(crudeBD.lkup[Mean_Dens],MATCH(vp.data[[#This Row],[Crude_Breakdown]],crudeBD.lkup[Crude Breakdown],0)))^2</f>
        <v>25.167978819330582</v>
      </c>
      <c r="AL1265" s="5">
        <f>(vp.data[[#This Row],[Sulf]]-INDEX(crudeBD.lkup[Mean_Sulf],MATCH(vp.data[[#This Row],[Crude_Breakdown]],crudeBD.lkup[Crude Breakdown],0)))^2</f>
        <v>4.7570220683753996E-3</v>
      </c>
      <c r="AM1265" s="4">
        <f>IF(AND(vp.data[[#This Row],[SDate]]&gt;=DATE(YEAR(vp.data[[#This Row],[SDate]]),5,1),vp.data[[#This Row],[SDate]]&lt;=DATE(YEAR(vp.data[[#This Row],[SDate]]),9,15)),1,0)</f>
        <v>0</v>
      </c>
      <c r="AN1265" s="4">
        <f>IF(vp.data[[#This Row],[SDate]]&lt;DATE(2016,12,1),0,1)</f>
        <v>1</v>
      </c>
      <c r="AO1265" s="4">
        <f>IFERROR(vp.data[[#This Row],[Sulf]]*vp.data[[#This Row],[Net Dens]],"")</f>
        <v>2104596.7485619998</v>
      </c>
      <c r="AP1265">
        <f>IFERROR(vp.data[[#This Row],[Dens]]*vp.data[[#This Row],[VolumeM3]],"")</f>
        <v>2464399.003</v>
      </c>
      <c r="AQ1265" s="15">
        <f>IFERROR(vp.data[[#This Row],[VP]]*vp.data[[#This Row],[VolumeM3]],"")</f>
        <v>270826.39320000005</v>
      </c>
    </row>
    <row r="1266" spans="1:43" x14ac:dyDescent="0.25">
      <c r="A1266">
        <v>1265</v>
      </c>
      <c r="B1266" t="s">
        <v>49</v>
      </c>
      <c r="C1266" t="s">
        <v>49</v>
      </c>
      <c r="D1266" t="s">
        <v>88</v>
      </c>
      <c r="F1266" s="1">
        <v>42845</v>
      </c>
      <c r="G1266" s="2">
        <v>69.099999999999994</v>
      </c>
      <c r="H1266" s="2">
        <v>1.8169999999999999</v>
      </c>
      <c r="I1266" s="2">
        <f t="array" ref="I1266">_xlfn.IFNA(IF(vp.data[[#This Row],[Sulf Input]]="",INDEX([1]DATA!$Q$3:$Q$9826,MATCH(1,(vp.data[[#This Row],[Battery]]=[1]DATA!$L$3:$L$9826)*(EOMONTH(vp.data[[#This Row],[SDate]],-1)+1=[1]DATA!$G$3:$G$9826),0)),vp.data[[#This Row],[Sulf Input]]),"")</f>
        <v>1.8169999999999999</v>
      </c>
      <c r="J1266" s="2">
        <v>7.9</v>
      </c>
      <c r="K1266" s="2">
        <v>16</v>
      </c>
      <c r="L1266" s="2">
        <v>844.7</v>
      </c>
      <c r="M1266" s="2">
        <f t="array" ref="M1266">_xlfn.IFNA(IF(vp.data[[#This Row],[Dens Input]]="",INDEX([1]DATA!$O$3:$O$9826,MATCH(1,(vp.data[[#This Row],[Battery]]=[1]DATA!$L$3:$L$9826)*(EOMONTH(vp.data[[#This Row],[SDate]],-1)+1=[1]DATA!$G$3:$G$9826),0)),vp.data[[#This Row],[Dens Input]]),"")</f>
        <v>844.7</v>
      </c>
      <c r="N1266" s="2">
        <f ca="1">INDEX(INDIRECT(_xlfn.CONCAT("weather.tbl[",N$1,"]")),MATCH(vp.data[[#This Row],[SDate]],weather.tbl[Date],0))</f>
        <v>8.9500000000000011</v>
      </c>
      <c r="O1266" s="2">
        <f ca="1">INDEX(INDIRECT(_xlfn.CONCAT("weather.tbl[",O$1,"]")),MATCH(vp.data[[#This Row],[SDate]],weather.tbl[Date],0))</f>
        <v>5.15</v>
      </c>
      <c r="P1266" s="2">
        <f ca="1">INDEX(INDIRECT(_xlfn.CONCAT("weather.tbl[",P$1,"]")),MATCH(vp.data[[#This Row],[SDate]],weather.tbl[Date],0))</f>
        <v>9.6</v>
      </c>
      <c r="Q1266" s="2">
        <f ca="1">INDEX(INDIRECT(_xlfn.CONCAT("weather.tbl[",Q$1,"]")),MATCH(vp.data[[#This Row],[SDate]],weather.tbl[Date],0))</f>
        <v>9.1</v>
      </c>
      <c r="R1266" s="2">
        <f ca="1">INDEX(INDIRECT(_xlfn.CONCAT("weather.tbl[",R$1,"]")),MATCH(vp.data[[#This Row],[SDate]],weather.tbl[Date],0))</f>
        <v>9.3000000000000007</v>
      </c>
      <c r="S1266" s="2">
        <f ca="1">INDEX(INDIRECT(_xlfn.CONCAT("weather.tbl[",S$1,"]")),MATCH(vp.data[[#This Row],[SDate]],weather.tbl[Date],0))</f>
        <v>8.8000000000000007</v>
      </c>
      <c r="T1266" s="2">
        <f ca="1">INDEX(INDIRECT(_xlfn.CONCAT("weather.tbl[",T$1,"]")),MATCH(vp.data[[#This Row],[SDate]],weather.tbl[Date],0))</f>
        <v>8.1</v>
      </c>
      <c r="U1266" s="2">
        <f ca="1">INDEX(INDIRECT(_xlfn.CONCAT("weather.tbl[",U$1,"]")),MATCH(vp.data[[#This Row],[SDate]],weather.tbl[Date],0))</f>
        <v>8.8000000000000007</v>
      </c>
      <c r="V1266" s="2">
        <f t="array" ref="V12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4145.7510000000002</v>
      </c>
      <c r="W1266" t="s">
        <v>48</v>
      </c>
      <c r="X1266">
        <f>IF(OR(vp.data[[#This Row],[Sulf]]="",vp.data[[#This Row],[Dens]]=""),1,0)</f>
        <v>0</v>
      </c>
      <c r="Y1266">
        <f>IF(vp.data[[#This Row],[CrudeType]]="C5+",1,0)</f>
        <v>0</v>
      </c>
      <c r="Z1266">
        <f>IF(AND(vp.data[[#This Row],[CrudeType]]="Crude",vp.data[[#This Row],[Dens]]&lt;=825,vp.data[[#This Row],[Sulf]]&gt;0.5,vp.data[[#This Row],[Unknown]]=0),1,0)</f>
        <v>0</v>
      </c>
      <c r="AA1266">
        <f>IF(AND(vp.data[[#This Row],[CrudeType]]="Crude",vp.data[[#This Row],[Dens]]&lt;=825,vp.data[[#This Row],[Sulf]]&lt;=0.5,vp.data[[#This Row],[Unknown]]=0),1,0)</f>
        <v>0</v>
      </c>
      <c r="AB12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66">
        <f>IF(AND(vp.data[[#This Row],[CrudeType]]="Crude",vp.data[[#This Row],[Dens]]&gt;825,vp.data[[#This Row],[Dens]]&lt;=900,vp.data[[#This Row],[Sulf]]&lt;=0.5,vp.data[[#This Row],[Unknown]]=0),1,0)</f>
        <v>0</v>
      </c>
      <c r="AD1266">
        <f>IF(AND(vp.data[[#This Row],[CrudeType]]="Crude",vp.data[[#This Row],[Dens]]&gt;865,vp.data[[#This Row],[Dens]]&lt;=900,vp.data[[#This Row],[Sulf]]&gt;2,vp.data[[#This Row],[Unknown]]=0),1,0)</f>
        <v>0</v>
      </c>
      <c r="AE1266">
        <f>IF(AND(vp.data[[#This Row],[CrudeType]]="Crude",vp.data[[#This Row],[Dens]]&gt;900,vp.data[[#This Row],[Sulf]]&lt;=0.5,vp.data[[#This Row],[Unknown]]=0),1,0)</f>
        <v>0</v>
      </c>
      <c r="AF1266">
        <f>IF(AND(vp.data[[#This Row],[CrudeType]]="Crude",vp.data[[#This Row],[Dens]]&gt;900,vp.data[[#This Row],[Sulf]]&lt;=0.5,vp.data[[#This Row],[Unknown]]=0),1,0)</f>
        <v>0</v>
      </c>
      <c r="AG1266" t="str">
        <f>INDEX(vp.data[[#Headers],[Unknown]:[Heavy_SW]],MATCH(1,vp.data[[#This Row],[Unknown]:[Heavy_SW]],0))</f>
        <v>Medium_LSB</v>
      </c>
      <c r="AH1266">
        <f>INDEX([3]!crudeBD.lkup[Number],MATCH(vp.data[[#This Row],[Crude_Breakdown]],crudeBD.lkup[Crude Breakdown],0))</f>
        <v>3</v>
      </c>
      <c r="AI1266">
        <f>MONTH(vp.data[[#This Row],[SDate]])</f>
        <v>4</v>
      </c>
      <c r="AJ1266" s="5">
        <f>(vp.data[[#This Row],[VP]]-INDEX(crudeBD.lkup[Mean_VP],MATCH(vp.data[[#This Row],[Crude_Breakdown]],crudeBD.lkup[Crude Breakdown],0)))^2</f>
        <v>133.16413487550795</v>
      </c>
      <c r="AK1266" s="5">
        <f>(vp.data[[#This Row],[Dens]]-INDEX(crudeBD.lkup[Mean_Dens],MATCH(vp.data[[#This Row],[Crude_Breakdown]],crudeBD.lkup[Crude Breakdown],0)))^2</f>
        <v>0.60840000000084415</v>
      </c>
      <c r="AL1266" s="5">
        <f>(vp.data[[#This Row],[Sulf]]-INDEX(crudeBD.lkup[Mean_Sulf],MATCH(vp.data[[#This Row],[Crude_Breakdown]],crudeBD.lkup[Crude Breakdown],0)))^2</f>
        <v>0.18627154511186375</v>
      </c>
      <c r="AM1266" s="4">
        <f>IF(AND(vp.data[[#This Row],[SDate]]&gt;=DATE(YEAR(vp.data[[#This Row],[SDate]]),5,1),vp.data[[#This Row],[SDate]]&lt;=DATE(YEAR(vp.data[[#This Row],[SDate]]),9,15)),1,0)</f>
        <v>0</v>
      </c>
      <c r="AN1266" s="4">
        <f>IF(vp.data[[#This Row],[SDate]]&lt;DATE(2016,12,1),0,1)</f>
        <v>1</v>
      </c>
      <c r="AO1266" s="4">
        <f>IFERROR(vp.data[[#This Row],[Sulf]]*vp.data[[#This Row],[Net Dens]],"")</f>
        <v>6362981.1352449004</v>
      </c>
      <c r="AP1266">
        <f>IFERROR(vp.data[[#This Row],[Dens]]*vp.data[[#This Row],[VolumeM3]],"")</f>
        <v>3501915.8697000002</v>
      </c>
      <c r="AQ1266" s="15">
        <f>IFERROR(vp.data[[#This Row],[VP]]*vp.data[[#This Row],[VolumeM3]],"")</f>
        <v>286471.39409999998</v>
      </c>
    </row>
    <row r="1267" spans="1:43" x14ac:dyDescent="0.25">
      <c r="A1267">
        <v>1266</v>
      </c>
      <c r="B1267" t="s">
        <v>96</v>
      </c>
      <c r="C1267" t="s">
        <v>96</v>
      </c>
      <c r="D1267" t="s">
        <v>97</v>
      </c>
      <c r="F1267" s="1">
        <v>42845</v>
      </c>
      <c r="G1267" s="2">
        <v>71.099999999999994</v>
      </c>
      <c r="H1267" s="2"/>
      <c r="I1267" s="2">
        <f t="array" ref="I1267">_xlfn.IFNA(IF(vp.data[[#This Row],[Sulf Input]]="",INDEX([1]DATA!$Q$3:$Q$9826,MATCH(1,(vp.data[[#This Row],[Battery]]=[1]DATA!$L$3:$L$9826)*(EOMONTH(vp.data[[#This Row],[SDate]],-1)+1=[1]DATA!$G$3:$G$9826),0)),vp.data[[#This Row],[Sulf Input]]),"")</f>
        <v>0.51</v>
      </c>
      <c r="J1267" s="2">
        <v>33.1</v>
      </c>
      <c r="K1267" s="2">
        <v>16</v>
      </c>
      <c r="L1267" s="2">
        <v>820.1</v>
      </c>
      <c r="M1267" s="2">
        <f t="array" ref="M1267">_xlfn.IFNA(IF(vp.data[[#This Row],[Dens Input]]="",INDEX([1]DATA!$O$3:$O$9826,MATCH(1,(vp.data[[#This Row],[Battery]]=[1]DATA!$L$3:$L$9826)*(EOMONTH(vp.data[[#This Row],[SDate]],-1)+1=[1]DATA!$G$3:$G$9826),0)),vp.data[[#This Row],[Dens Input]]),"")</f>
        <v>820.1</v>
      </c>
      <c r="N1267" s="2">
        <f ca="1">INDEX(INDIRECT(_xlfn.CONCAT("weather.tbl[",N$1,"]")),MATCH(vp.data[[#This Row],[SDate]],weather.tbl[Date],0))</f>
        <v>8.9500000000000011</v>
      </c>
      <c r="O1267" s="2">
        <f ca="1">INDEX(INDIRECT(_xlfn.CONCAT("weather.tbl[",O$1,"]")),MATCH(vp.data[[#This Row],[SDate]],weather.tbl[Date],0))</f>
        <v>5.15</v>
      </c>
      <c r="P1267" s="2">
        <f ca="1">INDEX(INDIRECT(_xlfn.CONCAT("weather.tbl[",P$1,"]")),MATCH(vp.data[[#This Row],[SDate]],weather.tbl[Date],0))</f>
        <v>9.6</v>
      </c>
      <c r="Q1267" s="2">
        <f ca="1">INDEX(INDIRECT(_xlfn.CONCAT("weather.tbl[",Q$1,"]")),MATCH(vp.data[[#This Row],[SDate]],weather.tbl[Date],0))</f>
        <v>9.1</v>
      </c>
      <c r="R1267" s="2">
        <f ca="1">INDEX(INDIRECT(_xlfn.CONCAT("weather.tbl[",R$1,"]")),MATCH(vp.data[[#This Row],[SDate]],weather.tbl[Date],0))</f>
        <v>9.3000000000000007</v>
      </c>
      <c r="S1267" s="2">
        <f ca="1">INDEX(INDIRECT(_xlfn.CONCAT("weather.tbl[",S$1,"]")),MATCH(vp.data[[#This Row],[SDate]],weather.tbl[Date],0))</f>
        <v>8.8000000000000007</v>
      </c>
      <c r="T1267" s="2">
        <f ca="1">INDEX(INDIRECT(_xlfn.CONCAT("weather.tbl[",T$1,"]")),MATCH(vp.data[[#This Row],[SDate]],weather.tbl[Date],0))</f>
        <v>8.1</v>
      </c>
      <c r="U1267" s="2">
        <f ca="1">INDEX(INDIRECT(_xlfn.CONCAT("weather.tbl[",U$1,"]")),MATCH(vp.data[[#This Row],[SDate]],weather.tbl[Date],0))</f>
        <v>8.8000000000000007</v>
      </c>
      <c r="V1267" s="2">
        <f t="array" ref="V12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6210.3829999999998</v>
      </c>
      <c r="W1267" t="s">
        <v>48</v>
      </c>
      <c r="X1267">
        <f>IF(OR(vp.data[[#This Row],[Sulf]]="",vp.data[[#This Row],[Dens]]=""),1,0)</f>
        <v>0</v>
      </c>
      <c r="Y1267">
        <f>IF(vp.data[[#This Row],[CrudeType]]="C5+",1,0)</f>
        <v>0</v>
      </c>
      <c r="Z1267">
        <f>IF(AND(vp.data[[#This Row],[CrudeType]]="Crude",vp.data[[#This Row],[Dens]]&lt;=825,vp.data[[#This Row],[Sulf]]&gt;0.5,vp.data[[#This Row],[Unknown]]=0),1,0)</f>
        <v>1</v>
      </c>
      <c r="AA1267">
        <f>IF(AND(vp.data[[#This Row],[CrudeType]]="Crude",vp.data[[#This Row],[Dens]]&lt;=825,vp.data[[#This Row],[Sulf]]&lt;=0.5,vp.data[[#This Row],[Unknown]]=0),1,0)</f>
        <v>0</v>
      </c>
      <c r="AB12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7">
        <f>IF(AND(vp.data[[#This Row],[CrudeType]]="Crude",vp.data[[#This Row],[Dens]]&gt;825,vp.data[[#This Row],[Dens]]&lt;=900,vp.data[[#This Row],[Sulf]]&lt;=0.5,vp.data[[#This Row],[Unknown]]=0),1,0)</f>
        <v>0</v>
      </c>
      <c r="AD1267">
        <f>IF(AND(vp.data[[#This Row],[CrudeType]]="Crude",vp.data[[#This Row],[Dens]]&gt;865,vp.data[[#This Row],[Dens]]&lt;=900,vp.data[[#This Row],[Sulf]]&gt;2,vp.data[[#This Row],[Unknown]]=0),1,0)</f>
        <v>0</v>
      </c>
      <c r="AE1267">
        <f>IF(AND(vp.data[[#This Row],[CrudeType]]="Crude",vp.data[[#This Row],[Dens]]&gt;900,vp.data[[#This Row],[Sulf]]&lt;=0.5,vp.data[[#This Row],[Unknown]]=0),1,0)</f>
        <v>0</v>
      </c>
      <c r="AF1267">
        <f>IF(AND(vp.data[[#This Row],[CrudeType]]="Crude",vp.data[[#This Row],[Dens]]&gt;900,vp.data[[#This Row],[Sulf]]&lt;=0.5,vp.data[[#This Row],[Unknown]]=0),1,0)</f>
        <v>0</v>
      </c>
      <c r="AG1267" t="str">
        <f>INDEX(vp.data[[#Headers],[Unknown]:[Heavy_SW]],MATCH(1,vp.data[[#This Row],[Unknown]:[Heavy_SW]],0))</f>
        <v>Light_LSB</v>
      </c>
      <c r="AH1267">
        <f>INDEX([3]!crudeBD.lkup[Number],MATCH(vp.data[[#This Row],[Crude_Breakdown]],crudeBD.lkup[Crude Breakdown],0))</f>
        <v>1</v>
      </c>
      <c r="AI1267">
        <f>MONTH(vp.data[[#This Row],[SDate]])</f>
        <v>4</v>
      </c>
      <c r="AJ1267" s="5">
        <f>(vp.data[[#This Row],[VP]]-INDEX(crudeBD.lkup[Mean_VP],MATCH(vp.data[[#This Row],[Crude_Breakdown]],crudeBD.lkup[Crude Breakdown],0)))^2</f>
        <v>418.0465042406222</v>
      </c>
      <c r="AK1267" s="5">
        <f>(vp.data[[#This Row],[Dens]]-INDEX(crudeBD.lkup[Mean_Dens],MATCH(vp.data[[#This Row],[Crude_Breakdown]],crudeBD.lkup[Crude Breakdown],0)))^2</f>
        <v>2.5066179945925335</v>
      </c>
      <c r="AL1267" s="5">
        <f>(vp.data[[#This Row],[Sulf]]-INDEX(crudeBD.lkup[Mean_Sulf],MATCH(vp.data[[#This Row],[Crude_Breakdown]],crudeBD.lkup[Crude Breakdown],0)))^2</f>
        <v>0.17054518591717246</v>
      </c>
      <c r="AM1267" s="4">
        <f>IF(AND(vp.data[[#This Row],[SDate]]&gt;=DATE(YEAR(vp.data[[#This Row],[SDate]]),5,1),vp.data[[#This Row],[SDate]]&lt;=DATE(YEAR(vp.data[[#This Row],[SDate]]),9,15)),1,0)</f>
        <v>0</v>
      </c>
      <c r="AN1267" s="4">
        <f>IF(vp.data[[#This Row],[SDate]]&lt;DATE(2016,12,1),0,1)</f>
        <v>1</v>
      </c>
      <c r="AO1267" s="4">
        <f>IFERROR(vp.data[[#This Row],[Sulf]]*vp.data[[#This Row],[Net Dens]],"")</f>
        <v>2597498.9001329998</v>
      </c>
      <c r="AP1267">
        <f>IFERROR(vp.data[[#This Row],[Dens]]*vp.data[[#This Row],[VolumeM3]],"")</f>
        <v>5093135.0982999997</v>
      </c>
      <c r="AQ1267" s="15">
        <f>IFERROR(vp.data[[#This Row],[VP]]*vp.data[[#This Row],[VolumeM3]],"")</f>
        <v>441558.23129999993</v>
      </c>
    </row>
    <row r="1268" spans="1:43" x14ac:dyDescent="0.25">
      <c r="A1268">
        <v>1267</v>
      </c>
      <c r="B1268" t="s">
        <v>51</v>
      </c>
      <c r="C1268" t="s">
        <v>51</v>
      </c>
      <c r="D1268" t="s">
        <v>72</v>
      </c>
      <c r="F1268" s="1">
        <v>42845</v>
      </c>
      <c r="G1268" s="2">
        <v>95.5</v>
      </c>
      <c r="H1268" s="2"/>
      <c r="I1268" s="2">
        <f t="array" ref="I1268">_xlfn.IFNA(IF(vp.data[[#This Row],[Sulf Input]]="",INDEX([1]DATA!$Q$3:$Q$9826,MATCH(1,(vp.data[[#This Row],[Battery]]=[1]DATA!$L$3:$L$9826)*(EOMONTH(vp.data[[#This Row],[SDate]],-1)+1=[1]DATA!$G$3:$G$9826),0)),vp.data[[#This Row],[Sulf Input]]),"")</f>
        <v>1.04</v>
      </c>
      <c r="J1268" s="2">
        <v>26.1</v>
      </c>
      <c r="K1268" s="2">
        <v>16</v>
      </c>
      <c r="L1268" s="2">
        <v>823.4</v>
      </c>
      <c r="M1268" s="2">
        <f t="array" ref="M1268">_xlfn.IFNA(IF(vp.data[[#This Row],[Dens Input]]="",INDEX([1]DATA!$O$3:$O$9826,MATCH(1,(vp.data[[#This Row],[Battery]]=[1]DATA!$L$3:$L$9826)*(EOMONTH(vp.data[[#This Row],[SDate]],-1)+1=[1]DATA!$G$3:$G$9826),0)),vp.data[[#This Row],[Dens Input]]),"")</f>
        <v>823.4</v>
      </c>
      <c r="N1268" s="2">
        <f ca="1">INDEX(INDIRECT(_xlfn.CONCAT("weather.tbl[",N$1,"]")),MATCH(vp.data[[#This Row],[SDate]],weather.tbl[Date],0))</f>
        <v>8.9500000000000011</v>
      </c>
      <c r="O1268" s="2">
        <f ca="1">INDEX(INDIRECT(_xlfn.CONCAT("weather.tbl[",O$1,"]")),MATCH(vp.data[[#This Row],[SDate]],weather.tbl[Date],0))</f>
        <v>5.15</v>
      </c>
      <c r="P1268" s="2">
        <f ca="1">INDEX(INDIRECT(_xlfn.CONCAT("weather.tbl[",P$1,"]")),MATCH(vp.data[[#This Row],[SDate]],weather.tbl[Date],0))</f>
        <v>9.6</v>
      </c>
      <c r="Q1268" s="2">
        <f ca="1">INDEX(INDIRECT(_xlfn.CONCAT("weather.tbl[",Q$1,"]")),MATCH(vp.data[[#This Row],[SDate]],weather.tbl[Date],0))</f>
        <v>9.1</v>
      </c>
      <c r="R1268" s="2">
        <f ca="1">INDEX(INDIRECT(_xlfn.CONCAT("weather.tbl[",R$1,"]")),MATCH(vp.data[[#This Row],[SDate]],weather.tbl[Date],0))</f>
        <v>9.3000000000000007</v>
      </c>
      <c r="S1268" s="2">
        <f ca="1">INDEX(INDIRECT(_xlfn.CONCAT("weather.tbl[",S$1,"]")),MATCH(vp.data[[#This Row],[SDate]],weather.tbl[Date],0))</f>
        <v>8.8000000000000007</v>
      </c>
      <c r="T1268" s="2">
        <f ca="1">INDEX(INDIRECT(_xlfn.CONCAT("weather.tbl[",T$1,"]")),MATCH(vp.data[[#This Row],[SDate]],weather.tbl[Date],0))</f>
        <v>8.1</v>
      </c>
      <c r="U1268" s="2">
        <f ca="1">INDEX(INDIRECT(_xlfn.CONCAT("weather.tbl[",U$1,"]")),MATCH(vp.data[[#This Row],[SDate]],weather.tbl[Date],0))</f>
        <v>8.8000000000000007</v>
      </c>
      <c r="V1268" s="2">
        <f t="array" ref="V12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12874.832</v>
      </c>
      <c r="W1268" t="s">
        <v>48</v>
      </c>
      <c r="X1268">
        <f>IF(OR(vp.data[[#This Row],[Sulf]]="",vp.data[[#This Row],[Dens]]=""),1,0)</f>
        <v>0</v>
      </c>
      <c r="Y1268">
        <f>IF(vp.data[[#This Row],[CrudeType]]="C5+",1,0)</f>
        <v>0</v>
      </c>
      <c r="Z1268">
        <f>IF(AND(vp.data[[#This Row],[CrudeType]]="Crude",vp.data[[#This Row],[Dens]]&lt;=825,vp.data[[#This Row],[Sulf]]&gt;0.5,vp.data[[#This Row],[Unknown]]=0),1,0)</f>
        <v>1</v>
      </c>
      <c r="AA1268">
        <f>IF(AND(vp.data[[#This Row],[CrudeType]]="Crude",vp.data[[#This Row],[Dens]]&lt;=825,vp.data[[#This Row],[Sulf]]&lt;=0.5,vp.data[[#This Row],[Unknown]]=0),1,0)</f>
        <v>0</v>
      </c>
      <c r="AB12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8">
        <f>IF(AND(vp.data[[#This Row],[CrudeType]]="Crude",vp.data[[#This Row],[Dens]]&gt;825,vp.data[[#This Row],[Dens]]&lt;=900,vp.data[[#This Row],[Sulf]]&lt;=0.5,vp.data[[#This Row],[Unknown]]=0),1,0)</f>
        <v>0</v>
      </c>
      <c r="AD1268">
        <f>IF(AND(vp.data[[#This Row],[CrudeType]]="Crude",vp.data[[#This Row],[Dens]]&gt;865,vp.data[[#This Row],[Dens]]&lt;=900,vp.data[[#This Row],[Sulf]]&gt;2,vp.data[[#This Row],[Unknown]]=0),1,0)</f>
        <v>0</v>
      </c>
      <c r="AE1268">
        <f>IF(AND(vp.data[[#This Row],[CrudeType]]="Crude",vp.data[[#This Row],[Dens]]&gt;900,vp.data[[#This Row],[Sulf]]&lt;=0.5,vp.data[[#This Row],[Unknown]]=0),1,0)</f>
        <v>0</v>
      </c>
      <c r="AF1268">
        <f>IF(AND(vp.data[[#This Row],[CrudeType]]="Crude",vp.data[[#This Row],[Dens]]&gt;900,vp.data[[#This Row],[Sulf]]&lt;=0.5,vp.data[[#This Row],[Unknown]]=0),1,0)</f>
        <v>0</v>
      </c>
      <c r="AG1268" t="str">
        <f>INDEX(vp.data[[#Headers],[Unknown]:[Heavy_SW]],MATCH(1,vp.data[[#This Row],[Unknown]:[Heavy_SW]],0))</f>
        <v>Light_LSB</v>
      </c>
      <c r="AH1268">
        <f>INDEX([3]!crudeBD.lkup[Number],MATCH(vp.data[[#This Row],[Crude_Breakdown]],crudeBD.lkup[Crude Breakdown],0))</f>
        <v>1</v>
      </c>
      <c r="AI1268">
        <f>MONTH(vp.data[[#This Row],[SDate]])</f>
        <v>4</v>
      </c>
      <c r="AJ1268" s="5">
        <f>(vp.data[[#This Row],[VP]]-INDEX(crudeBD.lkup[Mean_VP],MATCH(vp.data[[#This Row],[Crude_Breakdown]],crudeBD.lkup[Crude Breakdown],0)))^2</f>
        <v>15.632648570517343</v>
      </c>
      <c r="AK1268" s="5">
        <f>(vp.data[[#This Row],[Dens]]-INDEX(crudeBD.lkup[Mean_Dens],MATCH(vp.data[[#This Row],[Crude_Breakdown]],crudeBD.lkup[Crude Breakdown],0)))^2</f>
        <v>23.845937582223179</v>
      </c>
      <c r="AL1268" s="5">
        <f>(vp.data[[#This Row],[Sulf]]-INDEX(crudeBD.lkup[Mean_Sulf],MATCH(vp.data[[#This Row],[Crude_Breakdown]],crudeBD.lkup[Crude Breakdown],0)))^2</f>
        <v>1.3695747429200242E-2</v>
      </c>
      <c r="AM1268" s="4">
        <f>IF(AND(vp.data[[#This Row],[SDate]]&gt;=DATE(YEAR(vp.data[[#This Row],[SDate]]),5,1),vp.data[[#This Row],[SDate]]&lt;=DATE(YEAR(vp.data[[#This Row],[SDate]]),9,15)),1,0)</f>
        <v>0</v>
      </c>
      <c r="AN1268" s="4">
        <f>IF(vp.data[[#This Row],[SDate]]&lt;DATE(2016,12,1),0,1)</f>
        <v>1</v>
      </c>
      <c r="AO1268" s="4">
        <f>IFERROR(vp.data[[#This Row],[Sulf]]*vp.data[[#This Row],[Net Dens]],"")</f>
        <v>11025182.135552</v>
      </c>
      <c r="AP1268">
        <f>IFERROR(vp.data[[#This Row],[Dens]]*vp.data[[#This Row],[VolumeM3]],"")</f>
        <v>10601136.6688</v>
      </c>
      <c r="AQ1268" s="15">
        <f>IFERROR(vp.data[[#This Row],[VP]]*vp.data[[#This Row],[VolumeM3]],"")</f>
        <v>1229546.456</v>
      </c>
    </row>
    <row r="1269" spans="1:43" x14ac:dyDescent="0.25">
      <c r="A1269">
        <v>1268</v>
      </c>
      <c r="B1269" t="s">
        <v>51</v>
      </c>
      <c r="C1269" t="s">
        <v>51</v>
      </c>
      <c r="D1269" t="s">
        <v>66</v>
      </c>
      <c r="F1269" s="1">
        <v>42845</v>
      </c>
      <c r="G1269" s="2">
        <v>84.4</v>
      </c>
      <c r="H1269" s="2"/>
      <c r="I1269" s="2">
        <f t="array" ref="I1269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269" s="2">
        <v>9.1999999999999993</v>
      </c>
      <c r="K1269" s="2">
        <v>16</v>
      </c>
      <c r="L1269" s="2">
        <v>824.4</v>
      </c>
      <c r="M1269" s="2">
        <f t="array" ref="M1269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269" s="2">
        <f ca="1">INDEX(INDIRECT(_xlfn.CONCAT("weather.tbl[",N$1,"]")),MATCH(vp.data[[#This Row],[SDate]],weather.tbl[Date],0))</f>
        <v>8.9500000000000011</v>
      </c>
      <c r="O1269" s="2">
        <f ca="1">INDEX(INDIRECT(_xlfn.CONCAT("weather.tbl[",O$1,"]")),MATCH(vp.data[[#This Row],[SDate]],weather.tbl[Date],0))</f>
        <v>5.15</v>
      </c>
      <c r="P1269" s="2">
        <f ca="1">INDEX(INDIRECT(_xlfn.CONCAT("weather.tbl[",P$1,"]")),MATCH(vp.data[[#This Row],[SDate]],weather.tbl[Date],0))</f>
        <v>9.6</v>
      </c>
      <c r="Q1269" s="2">
        <f ca="1">INDEX(INDIRECT(_xlfn.CONCAT("weather.tbl[",Q$1,"]")),MATCH(vp.data[[#This Row],[SDate]],weather.tbl[Date],0))</f>
        <v>9.1</v>
      </c>
      <c r="R1269" s="2">
        <f ca="1">INDEX(INDIRECT(_xlfn.CONCAT("weather.tbl[",R$1,"]")),MATCH(vp.data[[#This Row],[SDate]],weather.tbl[Date],0))</f>
        <v>9.3000000000000007</v>
      </c>
      <c r="S1269" s="2">
        <f ca="1">INDEX(INDIRECT(_xlfn.CONCAT("weather.tbl[",S$1,"]")),MATCH(vp.data[[#This Row],[SDate]],weather.tbl[Date],0))</f>
        <v>8.8000000000000007</v>
      </c>
      <c r="T1269" s="2">
        <f ca="1">INDEX(INDIRECT(_xlfn.CONCAT("weather.tbl[",T$1,"]")),MATCH(vp.data[[#This Row],[SDate]],weather.tbl[Date],0))</f>
        <v>8.1</v>
      </c>
      <c r="U1269" s="2">
        <f ca="1">INDEX(INDIRECT(_xlfn.CONCAT("weather.tbl[",U$1,"]")),MATCH(vp.data[[#This Row],[SDate]],weather.tbl[Date],0))</f>
        <v>8.8000000000000007</v>
      </c>
      <c r="V1269" s="2">
        <f t="array" ref="V12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3352.8609999999999</v>
      </c>
      <c r="W1269" t="s">
        <v>48</v>
      </c>
      <c r="X1269">
        <f>IF(OR(vp.data[[#This Row],[Sulf]]="",vp.data[[#This Row],[Dens]]=""),1,0)</f>
        <v>0</v>
      </c>
      <c r="Y1269">
        <f>IF(vp.data[[#This Row],[CrudeType]]="C5+",1,0)</f>
        <v>0</v>
      </c>
      <c r="Z1269">
        <f>IF(AND(vp.data[[#This Row],[CrudeType]]="Crude",vp.data[[#This Row],[Dens]]&lt;=825,vp.data[[#This Row],[Sulf]]&gt;0.5,vp.data[[#This Row],[Unknown]]=0),1,0)</f>
        <v>1</v>
      </c>
      <c r="AA1269">
        <f>IF(AND(vp.data[[#This Row],[CrudeType]]="Crude",vp.data[[#This Row],[Dens]]&lt;=825,vp.data[[#This Row],[Sulf]]&lt;=0.5,vp.data[[#This Row],[Unknown]]=0),1,0)</f>
        <v>0</v>
      </c>
      <c r="AB12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69">
        <f>IF(AND(vp.data[[#This Row],[CrudeType]]="Crude",vp.data[[#This Row],[Dens]]&gt;825,vp.data[[#This Row],[Dens]]&lt;=900,vp.data[[#This Row],[Sulf]]&lt;=0.5,vp.data[[#This Row],[Unknown]]=0),1,0)</f>
        <v>0</v>
      </c>
      <c r="AD1269">
        <f>IF(AND(vp.data[[#This Row],[CrudeType]]="Crude",vp.data[[#This Row],[Dens]]&gt;865,vp.data[[#This Row],[Dens]]&lt;=900,vp.data[[#This Row],[Sulf]]&gt;2,vp.data[[#This Row],[Unknown]]=0),1,0)</f>
        <v>0</v>
      </c>
      <c r="AE1269">
        <f>IF(AND(vp.data[[#This Row],[CrudeType]]="Crude",vp.data[[#This Row],[Dens]]&gt;900,vp.data[[#This Row],[Sulf]]&lt;=0.5,vp.data[[#This Row],[Unknown]]=0),1,0)</f>
        <v>0</v>
      </c>
      <c r="AF1269">
        <f>IF(AND(vp.data[[#This Row],[CrudeType]]="Crude",vp.data[[#This Row],[Dens]]&gt;900,vp.data[[#This Row],[Sulf]]&lt;=0.5,vp.data[[#This Row],[Unknown]]=0),1,0)</f>
        <v>0</v>
      </c>
      <c r="AG1269" t="str">
        <f>INDEX(vp.data[[#Headers],[Unknown]:[Heavy_SW]],MATCH(1,vp.data[[#This Row],[Unknown]:[Heavy_SW]],0))</f>
        <v>Light_LSB</v>
      </c>
      <c r="AH1269">
        <f>INDEX([3]!crudeBD.lkup[Number],MATCH(vp.data[[#This Row],[Crude_Breakdown]],crudeBD.lkup[Crude Breakdown],0))</f>
        <v>1</v>
      </c>
      <c r="AI1269">
        <f>MONTH(vp.data[[#This Row],[SDate]])</f>
        <v>4</v>
      </c>
      <c r="AJ1269" s="5">
        <f>(vp.data[[#This Row],[VP]]-INDEX(crudeBD.lkup[Mean_VP],MATCH(vp.data[[#This Row],[Crude_Breakdown]],crudeBD.lkup[Crude Breakdown],0)))^2</f>
        <v>51.067968158146819</v>
      </c>
      <c r="AK1269" s="5">
        <f>(vp.data[[#This Row],[Dens]]-INDEX(crudeBD.lkup[Mean_Dens],MATCH(vp.data[[#This Row],[Crude_Breakdown]],crudeBD.lkup[Crude Breakdown],0)))^2</f>
        <v>34.612398063323418</v>
      </c>
      <c r="AL1269" s="5">
        <f>(vp.data[[#This Row],[Sulf]]-INDEX(crudeBD.lkup[Mean_Sulf],MATCH(vp.data[[#This Row],[Crude_Breakdown]],crudeBD.lkup[Crude Breakdown],0)))^2</f>
        <v>0.35644342577971594</v>
      </c>
      <c r="AM1269" s="4">
        <f>IF(AND(vp.data[[#This Row],[SDate]]&gt;=DATE(YEAR(vp.data[[#This Row],[SDate]]),5,1),vp.data[[#This Row],[SDate]]&lt;=DATE(YEAR(vp.data[[#This Row],[SDate]]),9,15)),1,0)</f>
        <v>0</v>
      </c>
      <c r="AN1269" s="4">
        <f>IF(vp.data[[#This Row],[SDate]]&lt;DATE(2016,12,1),0,1)</f>
        <v>1</v>
      </c>
      <c r="AO1269" s="4">
        <f>IFERROR(vp.data[[#This Row],[Sulf]]*vp.data[[#This Row],[Net Dens]],"")</f>
        <v>4201429.8847679999</v>
      </c>
      <c r="AP1269">
        <f>IFERROR(vp.data[[#This Row],[Dens]]*vp.data[[#This Row],[VolumeM3]],"")</f>
        <v>2764098.6083999998</v>
      </c>
      <c r="AQ1269" s="15">
        <f>IFERROR(vp.data[[#This Row],[VP]]*vp.data[[#This Row],[VolumeM3]],"")</f>
        <v>282981.46840000001</v>
      </c>
    </row>
    <row r="1270" spans="1:43" x14ac:dyDescent="0.25">
      <c r="A1270">
        <v>1269</v>
      </c>
      <c r="B1270" t="s">
        <v>51</v>
      </c>
      <c r="C1270" t="s">
        <v>51</v>
      </c>
      <c r="D1270" t="s">
        <v>71</v>
      </c>
      <c r="F1270" s="1">
        <v>42845</v>
      </c>
      <c r="G1270" s="2">
        <v>79.900000000000006</v>
      </c>
      <c r="H1270" s="2"/>
      <c r="I1270" s="2">
        <f t="array" ref="I1270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1270" s="2">
        <v>18.100000000000001</v>
      </c>
      <c r="K1270" s="2">
        <v>16</v>
      </c>
      <c r="L1270" s="2">
        <v>829.6</v>
      </c>
      <c r="M1270" s="2">
        <f t="array" ref="M1270">_xlfn.IFNA(IF(vp.data[[#This Row],[Dens Input]]="",INDEX([1]DATA!$O$3:$O$9826,MATCH(1,(vp.data[[#This Row],[Battery]]=[1]DATA!$L$3:$L$9826)*(EOMONTH(vp.data[[#This Row],[SDate]],-1)+1=[1]DATA!$G$3:$G$9826),0)),vp.data[[#This Row],[Dens Input]]),"")</f>
        <v>829.6</v>
      </c>
      <c r="N1270" s="2">
        <f ca="1">INDEX(INDIRECT(_xlfn.CONCAT("weather.tbl[",N$1,"]")),MATCH(vp.data[[#This Row],[SDate]],weather.tbl[Date],0))</f>
        <v>8.9500000000000011</v>
      </c>
      <c r="O1270" s="2">
        <f ca="1">INDEX(INDIRECT(_xlfn.CONCAT("weather.tbl[",O$1,"]")),MATCH(vp.data[[#This Row],[SDate]],weather.tbl[Date],0))</f>
        <v>5.15</v>
      </c>
      <c r="P1270" s="2">
        <f ca="1">INDEX(INDIRECT(_xlfn.CONCAT("weather.tbl[",P$1,"]")),MATCH(vp.data[[#This Row],[SDate]],weather.tbl[Date],0))</f>
        <v>9.6</v>
      </c>
      <c r="Q1270" s="2">
        <f ca="1">INDEX(INDIRECT(_xlfn.CONCAT("weather.tbl[",Q$1,"]")),MATCH(vp.data[[#This Row],[SDate]],weather.tbl[Date],0))</f>
        <v>9.1</v>
      </c>
      <c r="R1270" s="2">
        <f ca="1">INDEX(INDIRECT(_xlfn.CONCAT("weather.tbl[",R$1,"]")),MATCH(vp.data[[#This Row],[SDate]],weather.tbl[Date],0))</f>
        <v>9.3000000000000007</v>
      </c>
      <c r="S1270" s="2">
        <f ca="1">INDEX(INDIRECT(_xlfn.CONCAT("weather.tbl[",S$1,"]")),MATCH(vp.data[[#This Row],[SDate]],weather.tbl[Date],0))</f>
        <v>8.8000000000000007</v>
      </c>
      <c r="T1270" s="2">
        <f ca="1">INDEX(INDIRECT(_xlfn.CONCAT("weather.tbl[",T$1,"]")),MATCH(vp.data[[#This Row],[SDate]],weather.tbl[Date],0))</f>
        <v>8.1</v>
      </c>
      <c r="U1270" s="2">
        <f ca="1">INDEX(INDIRECT(_xlfn.CONCAT("weather.tbl[",U$1,"]")),MATCH(vp.data[[#This Row],[SDate]],weather.tbl[Date],0))</f>
        <v>8.8000000000000007</v>
      </c>
      <c r="V1270" s="2">
        <f t="array" ref="V12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8466.4830000000002</v>
      </c>
      <c r="W1270" t="s">
        <v>48</v>
      </c>
      <c r="X1270">
        <f>IF(OR(vp.data[[#This Row],[Sulf]]="",vp.data[[#This Row],[Dens]]=""),1,0)</f>
        <v>0</v>
      </c>
      <c r="Y1270">
        <f>IF(vp.data[[#This Row],[CrudeType]]="C5+",1,0)</f>
        <v>0</v>
      </c>
      <c r="Z1270">
        <f>IF(AND(vp.data[[#This Row],[CrudeType]]="Crude",vp.data[[#This Row],[Dens]]&lt;=825,vp.data[[#This Row],[Sulf]]&gt;0.5,vp.data[[#This Row],[Unknown]]=0),1,0)</f>
        <v>0</v>
      </c>
      <c r="AA1270">
        <f>IF(AND(vp.data[[#This Row],[CrudeType]]="Crude",vp.data[[#This Row],[Dens]]&lt;=825,vp.data[[#This Row],[Sulf]]&lt;=0.5,vp.data[[#This Row],[Unknown]]=0),1,0)</f>
        <v>0</v>
      </c>
      <c r="AB12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0">
        <f>IF(AND(vp.data[[#This Row],[CrudeType]]="Crude",vp.data[[#This Row],[Dens]]&gt;825,vp.data[[#This Row],[Dens]]&lt;=900,vp.data[[#This Row],[Sulf]]&lt;=0.5,vp.data[[#This Row],[Unknown]]=0),1,0)</f>
        <v>0</v>
      </c>
      <c r="AD1270">
        <f>IF(AND(vp.data[[#This Row],[CrudeType]]="Crude",vp.data[[#This Row],[Dens]]&gt;865,vp.data[[#This Row],[Dens]]&lt;=900,vp.data[[#This Row],[Sulf]]&gt;2,vp.data[[#This Row],[Unknown]]=0),1,0)</f>
        <v>0</v>
      </c>
      <c r="AE1270">
        <f>IF(AND(vp.data[[#This Row],[CrudeType]]="Crude",vp.data[[#This Row],[Dens]]&gt;900,vp.data[[#This Row],[Sulf]]&lt;=0.5,vp.data[[#This Row],[Unknown]]=0),1,0)</f>
        <v>0</v>
      </c>
      <c r="AF1270">
        <f>IF(AND(vp.data[[#This Row],[CrudeType]]="Crude",vp.data[[#This Row],[Dens]]&gt;900,vp.data[[#This Row],[Sulf]]&lt;=0.5,vp.data[[#This Row],[Unknown]]=0),1,0)</f>
        <v>0</v>
      </c>
      <c r="AG1270" t="str">
        <f>INDEX(vp.data[[#Headers],[Unknown]:[Heavy_SW]],MATCH(1,vp.data[[#This Row],[Unknown]:[Heavy_SW]],0))</f>
        <v>Medium_LSB</v>
      </c>
      <c r="AH1270">
        <f>INDEX([3]!crudeBD.lkup[Number],MATCH(vp.data[[#This Row],[Crude_Breakdown]],crudeBD.lkup[Crude Breakdown],0))</f>
        <v>3</v>
      </c>
      <c r="AI1270">
        <f>MONTH(vp.data[[#This Row],[SDate]])</f>
        <v>4</v>
      </c>
      <c r="AJ1270" s="5">
        <f>(vp.data[[#This Row],[VP]]-INDEX(crudeBD.lkup[Mean_VP],MATCH(vp.data[[#This Row],[Crude_Breakdown]],crudeBD.lkup[Crude Breakdown],0)))^2</f>
        <v>0.54712139842041452</v>
      </c>
      <c r="AK1270" s="5">
        <f>(vp.data[[#This Row],[Dens]]-INDEX(crudeBD.lkup[Mean_Dens],MATCH(vp.data[[#This Row],[Crude_Breakdown]],crudeBD.lkup[Crude Breakdown],0)))^2</f>
        <v>205.06239999998516</v>
      </c>
      <c r="AL1270" s="5">
        <f>(vp.data[[#This Row],[Sulf]]-INDEX(crudeBD.lkup[Mean_Sulf],MATCH(vp.data[[#This Row],[Crude_Breakdown]],crudeBD.lkup[Crude Breakdown],0)))^2</f>
        <v>3.4074159694074811E-2</v>
      </c>
      <c r="AM1270" s="4">
        <f>IF(AND(vp.data[[#This Row],[SDate]]&gt;=DATE(YEAR(vp.data[[#This Row],[SDate]]),5,1),vp.data[[#This Row],[SDate]]&lt;=DATE(YEAR(vp.data[[#This Row],[SDate]]),9,15)),1,0)</f>
        <v>0</v>
      </c>
      <c r="AN1270" s="4">
        <f>IF(vp.data[[#This Row],[SDate]]&lt;DATE(2016,12,1),0,1)</f>
        <v>1</v>
      </c>
      <c r="AO1270" s="4">
        <f>IFERROR(vp.data[[#This Row],[Sulf]]*vp.data[[#This Row],[Net Dens]],"")</f>
        <v>11027357.045976002</v>
      </c>
      <c r="AP1270">
        <f>IFERROR(vp.data[[#This Row],[Dens]]*vp.data[[#This Row],[VolumeM3]],"")</f>
        <v>7023794.2968000006</v>
      </c>
      <c r="AQ1270" s="15">
        <f>IFERROR(vp.data[[#This Row],[VP]]*vp.data[[#This Row],[VolumeM3]],"")</f>
        <v>676471.99170000001</v>
      </c>
    </row>
    <row r="1271" spans="1:43" x14ac:dyDescent="0.25">
      <c r="A1271">
        <v>1270</v>
      </c>
      <c r="B1271" t="s">
        <v>108</v>
      </c>
      <c r="C1271" t="s">
        <v>108</v>
      </c>
      <c r="D1271" t="s">
        <v>109</v>
      </c>
      <c r="F1271" s="1">
        <v>42845</v>
      </c>
      <c r="G1271" s="2">
        <v>86.1</v>
      </c>
      <c r="H1271" s="2"/>
      <c r="I1271" s="2">
        <f t="array" ref="I1271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271" s="2">
        <v>26.8</v>
      </c>
      <c r="K1271" s="2">
        <v>16</v>
      </c>
      <c r="L1271" s="2">
        <v>833</v>
      </c>
      <c r="M1271" s="2">
        <f t="array" ref="M1271">_xlfn.IFNA(IF(vp.data[[#This Row],[Dens Input]]="",INDEX([1]DATA!$O$3:$O$9826,MATCH(1,(vp.data[[#This Row],[Battery]]=[1]DATA!$L$3:$L$9826)*(EOMONTH(vp.data[[#This Row],[SDate]],-1)+1=[1]DATA!$G$3:$G$9826),0)),vp.data[[#This Row],[Dens Input]]),"")</f>
        <v>833</v>
      </c>
      <c r="N1271" s="2">
        <f ca="1">INDEX(INDIRECT(_xlfn.CONCAT("weather.tbl[",N$1,"]")),MATCH(vp.data[[#This Row],[SDate]],weather.tbl[Date],0))</f>
        <v>8.9500000000000011</v>
      </c>
      <c r="O1271" s="2">
        <f ca="1">INDEX(INDIRECT(_xlfn.CONCAT("weather.tbl[",O$1,"]")),MATCH(vp.data[[#This Row],[SDate]],weather.tbl[Date],0))</f>
        <v>5.15</v>
      </c>
      <c r="P1271" s="2">
        <f ca="1">INDEX(INDIRECT(_xlfn.CONCAT("weather.tbl[",P$1,"]")),MATCH(vp.data[[#This Row],[SDate]],weather.tbl[Date],0))</f>
        <v>9.6</v>
      </c>
      <c r="Q1271" s="2">
        <f ca="1">INDEX(INDIRECT(_xlfn.CONCAT("weather.tbl[",Q$1,"]")),MATCH(vp.data[[#This Row],[SDate]],weather.tbl[Date],0))</f>
        <v>9.1</v>
      </c>
      <c r="R1271" s="2">
        <f ca="1">INDEX(INDIRECT(_xlfn.CONCAT("weather.tbl[",R$1,"]")),MATCH(vp.data[[#This Row],[SDate]],weather.tbl[Date],0))</f>
        <v>9.3000000000000007</v>
      </c>
      <c r="S1271" s="2">
        <f ca="1">INDEX(INDIRECT(_xlfn.CONCAT("weather.tbl[",S$1,"]")),MATCH(vp.data[[#This Row],[SDate]],weather.tbl[Date],0))</f>
        <v>8.8000000000000007</v>
      </c>
      <c r="T1271" s="2">
        <f ca="1">INDEX(INDIRECT(_xlfn.CONCAT("weather.tbl[",T$1,"]")),MATCH(vp.data[[#This Row],[SDate]],weather.tbl[Date],0))</f>
        <v>8.1</v>
      </c>
      <c r="U1271" s="2">
        <f ca="1">INDEX(INDIRECT(_xlfn.CONCAT("weather.tbl[",U$1,"]")),MATCH(vp.data[[#This Row],[SDate]],weather.tbl[Date],0))</f>
        <v>8.8000000000000007</v>
      </c>
      <c r="V1271" s="2">
        <f t="array" ref="V12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12560.075999999999</v>
      </c>
      <c r="W1271" t="s">
        <v>48</v>
      </c>
      <c r="X1271">
        <f>IF(OR(vp.data[[#This Row],[Sulf]]="",vp.data[[#This Row],[Dens]]=""),1,0)</f>
        <v>0</v>
      </c>
      <c r="Y1271">
        <f>IF(vp.data[[#This Row],[CrudeType]]="C5+",1,0)</f>
        <v>0</v>
      </c>
      <c r="Z1271">
        <f>IF(AND(vp.data[[#This Row],[CrudeType]]="Crude",vp.data[[#This Row],[Dens]]&lt;=825,vp.data[[#This Row],[Sulf]]&gt;0.5,vp.data[[#This Row],[Unknown]]=0),1,0)</f>
        <v>0</v>
      </c>
      <c r="AA1271">
        <f>IF(AND(vp.data[[#This Row],[CrudeType]]="Crude",vp.data[[#This Row],[Dens]]&lt;=825,vp.data[[#This Row],[Sulf]]&lt;=0.5,vp.data[[#This Row],[Unknown]]=0),1,0)</f>
        <v>0</v>
      </c>
      <c r="AB12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1">
        <f>IF(AND(vp.data[[#This Row],[CrudeType]]="Crude",vp.data[[#This Row],[Dens]]&gt;825,vp.data[[#This Row],[Dens]]&lt;=900,vp.data[[#This Row],[Sulf]]&lt;=0.5,vp.data[[#This Row],[Unknown]]=0),1,0)</f>
        <v>0</v>
      </c>
      <c r="AD1271">
        <f>IF(AND(vp.data[[#This Row],[CrudeType]]="Crude",vp.data[[#This Row],[Dens]]&gt;865,vp.data[[#This Row],[Dens]]&lt;=900,vp.data[[#This Row],[Sulf]]&gt;2,vp.data[[#This Row],[Unknown]]=0),1,0)</f>
        <v>0</v>
      </c>
      <c r="AE1271">
        <f>IF(AND(vp.data[[#This Row],[CrudeType]]="Crude",vp.data[[#This Row],[Dens]]&gt;900,vp.data[[#This Row],[Sulf]]&lt;=0.5,vp.data[[#This Row],[Unknown]]=0),1,0)</f>
        <v>0</v>
      </c>
      <c r="AF1271">
        <f>IF(AND(vp.data[[#This Row],[CrudeType]]="Crude",vp.data[[#This Row],[Dens]]&gt;900,vp.data[[#This Row],[Sulf]]&lt;=0.5,vp.data[[#This Row],[Unknown]]=0),1,0)</f>
        <v>0</v>
      </c>
      <c r="AG1271" t="str">
        <f>INDEX(vp.data[[#Headers],[Unknown]:[Heavy_SW]],MATCH(1,vp.data[[#This Row],[Unknown]:[Heavy_SW]],0))</f>
        <v>Medium_LSB</v>
      </c>
      <c r="AH1271">
        <f>INDEX([3]!crudeBD.lkup[Number],MATCH(vp.data[[#This Row],[Crude_Breakdown]],crudeBD.lkup[Crude Breakdown],0))</f>
        <v>3</v>
      </c>
      <c r="AI1271">
        <f>MONTH(vp.data[[#This Row],[SDate]])</f>
        <v>4</v>
      </c>
      <c r="AJ1271" s="5">
        <f>(vp.data[[#This Row],[VP]]-INDEX(crudeBD.lkup[Mean_VP],MATCH(vp.data[[#This Row],[Crude_Breakdown]],crudeBD.lkup[Crude Breakdown],0)))^2</f>
        <v>29.815132180092409</v>
      </c>
      <c r="AK1271" s="5">
        <f>(vp.data[[#This Row],[Dens]]-INDEX(crudeBD.lkup[Mean_Dens],MATCH(vp.data[[#This Row],[Crude_Breakdown]],crudeBD.lkup[Crude Breakdown],0)))^2</f>
        <v>119.24639999998918</v>
      </c>
      <c r="AL1271" s="5">
        <f>(vp.data[[#This Row],[Sulf]]-INDEX(crudeBD.lkup[Mean_Sulf],MATCH(vp.data[[#This Row],[Crude_Breakdown]],crudeBD.lkup[Crude Breakdown],0)))^2</f>
        <v>0.39113532492318775</v>
      </c>
      <c r="AM1271" s="4">
        <f>IF(AND(vp.data[[#This Row],[SDate]]&gt;=DATE(YEAR(vp.data[[#This Row],[SDate]]),5,1),vp.data[[#This Row],[SDate]]&lt;=DATE(YEAR(vp.data[[#This Row],[SDate]]),9,15)),1,0)</f>
        <v>0</v>
      </c>
      <c r="AN1271" s="4">
        <f>IF(vp.data[[#This Row],[SDate]]&lt;DATE(2016,12,1),0,1)</f>
        <v>1</v>
      </c>
      <c r="AO1271" s="4">
        <f>IFERROR(vp.data[[#This Row],[Sulf]]*vp.data[[#This Row],[Net Dens]],"")</f>
        <v>7951532.9140799986</v>
      </c>
      <c r="AP1271">
        <f>IFERROR(vp.data[[#This Row],[Dens]]*vp.data[[#This Row],[VolumeM3]],"")</f>
        <v>10462543.307999998</v>
      </c>
      <c r="AQ1271" s="15">
        <f>IFERROR(vp.data[[#This Row],[VP]]*vp.data[[#This Row],[VolumeM3]],"")</f>
        <v>1081422.5435999997</v>
      </c>
    </row>
    <row r="1272" spans="1:43" x14ac:dyDescent="0.25">
      <c r="A1272">
        <v>1271</v>
      </c>
      <c r="B1272" t="s">
        <v>51</v>
      </c>
      <c r="C1272" t="s">
        <v>51</v>
      </c>
      <c r="D1272" t="s">
        <v>95</v>
      </c>
      <c r="F1272" s="1">
        <v>42845</v>
      </c>
      <c r="G1272" s="2">
        <v>70.400000000000006</v>
      </c>
      <c r="H1272" s="2"/>
      <c r="I1272" s="2">
        <f t="array" ref="I1272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272" s="2">
        <v>28.6</v>
      </c>
      <c r="K1272" s="2">
        <v>16</v>
      </c>
      <c r="L1272" s="2">
        <v>841.2</v>
      </c>
      <c r="M1272" s="2">
        <f t="array" ref="M1272">_xlfn.IFNA(IF(vp.data[[#This Row],[Dens Input]]="",INDEX([1]DATA!$O$3:$O$9826,MATCH(1,(vp.data[[#This Row],[Battery]]=[1]DATA!$L$3:$L$9826)*(EOMONTH(vp.data[[#This Row],[SDate]],-1)+1=[1]DATA!$G$3:$G$9826),0)),vp.data[[#This Row],[Dens Input]]),"")</f>
        <v>841.2</v>
      </c>
      <c r="N1272" s="2">
        <f ca="1">INDEX(INDIRECT(_xlfn.CONCAT("weather.tbl[",N$1,"]")),MATCH(vp.data[[#This Row],[SDate]],weather.tbl[Date],0))</f>
        <v>8.9500000000000011</v>
      </c>
      <c r="O1272" s="2">
        <f ca="1">INDEX(INDIRECT(_xlfn.CONCAT("weather.tbl[",O$1,"]")),MATCH(vp.data[[#This Row],[SDate]],weather.tbl[Date],0))</f>
        <v>5.15</v>
      </c>
      <c r="P1272" s="2">
        <f ca="1">INDEX(INDIRECT(_xlfn.CONCAT("weather.tbl[",P$1,"]")),MATCH(vp.data[[#This Row],[SDate]],weather.tbl[Date],0))</f>
        <v>9.6</v>
      </c>
      <c r="Q1272" s="2">
        <f ca="1">INDEX(INDIRECT(_xlfn.CONCAT("weather.tbl[",Q$1,"]")),MATCH(vp.data[[#This Row],[SDate]],weather.tbl[Date],0))</f>
        <v>9.1</v>
      </c>
      <c r="R1272" s="2">
        <f ca="1">INDEX(INDIRECT(_xlfn.CONCAT("weather.tbl[",R$1,"]")),MATCH(vp.data[[#This Row],[SDate]],weather.tbl[Date],0))</f>
        <v>9.3000000000000007</v>
      </c>
      <c r="S1272" s="2">
        <f ca="1">INDEX(INDIRECT(_xlfn.CONCAT("weather.tbl[",S$1,"]")),MATCH(vp.data[[#This Row],[SDate]],weather.tbl[Date],0))</f>
        <v>8.8000000000000007</v>
      </c>
      <c r="T1272" s="2">
        <f ca="1">INDEX(INDIRECT(_xlfn.CONCAT("weather.tbl[",T$1,"]")),MATCH(vp.data[[#This Row],[SDate]],weather.tbl[Date],0))</f>
        <v>8.1</v>
      </c>
      <c r="U1272" s="2">
        <f ca="1">INDEX(INDIRECT(_xlfn.CONCAT("weather.tbl[",U$1,"]")),MATCH(vp.data[[#This Row],[SDate]],weather.tbl[Date],0))</f>
        <v>8.8000000000000007</v>
      </c>
      <c r="V1272" s="2">
        <f t="array" ref="V12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6027.9970000000003</v>
      </c>
      <c r="W1272" t="s">
        <v>48</v>
      </c>
      <c r="X1272">
        <f>IF(OR(vp.data[[#This Row],[Sulf]]="",vp.data[[#This Row],[Dens]]=""),1,0)</f>
        <v>0</v>
      </c>
      <c r="Y1272">
        <f>IF(vp.data[[#This Row],[CrudeType]]="C5+",1,0)</f>
        <v>0</v>
      </c>
      <c r="Z1272">
        <f>IF(AND(vp.data[[#This Row],[CrudeType]]="Crude",vp.data[[#This Row],[Dens]]&lt;=825,vp.data[[#This Row],[Sulf]]&gt;0.5,vp.data[[#This Row],[Unknown]]=0),1,0)</f>
        <v>0</v>
      </c>
      <c r="AA1272">
        <f>IF(AND(vp.data[[#This Row],[CrudeType]]="Crude",vp.data[[#This Row],[Dens]]&lt;=825,vp.data[[#This Row],[Sulf]]&lt;=0.5,vp.data[[#This Row],[Unknown]]=0),1,0)</f>
        <v>0</v>
      </c>
      <c r="AB12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2">
        <f>IF(AND(vp.data[[#This Row],[CrudeType]]="Crude",vp.data[[#This Row],[Dens]]&gt;825,vp.data[[#This Row],[Dens]]&lt;=900,vp.data[[#This Row],[Sulf]]&lt;=0.5,vp.data[[#This Row],[Unknown]]=0),1,0)</f>
        <v>0</v>
      </c>
      <c r="AD1272">
        <f>IF(AND(vp.data[[#This Row],[CrudeType]]="Crude",vp.data[[#This Row],[Dens]]&gt;865,vp.data[[#This Row],[Dens]]&lt;=900,vp.data[[#This Row],[Sulf]]&gt;2,vp.data[[#This Row],[Unknown]]=0),1,0)</f>
        <v>0</v>
      </c>
      <c r="AE1272">
        <f>IF(AND(vp.data[[#This Row],[CrudeType]]="Crude",vp.data[[#This Row],[Dens]]&gt;900,vp.data[[#This Row],[Sulf]]&lt;=0.5,vp.data[[#This Row],[Unknown]]=0),1,0)</f>
        <v>0</v>
      </c>
      <c r="AF1272">
        <f>IF(AND(vp.data[[#This Row],[CrudeType]]="Crude",vp.data[[#This Row],[Dens]]&gt;900,vp.data[[#This Row],[Sulf]]&lt;=0.5,vp.data[[#This Row],[Unknown]]=0),1,0)</f>
        <v>0</v>
      </c>
      <c r="AG1272" t="str">
        <f>INDEX(vp.data[[#Headers],[Unknown]:[Heavy_SW]],MATCH(1,vp.data[[#This Row],[Unknown]:[Heavy_SW]],0))</f>
        <v>Medium_LSB</v>
      </c>
      <c r="AH1272">
        <f>INDEX([3]!crudeBD.lkup[Number],MATCH(vp.data[[#This Row],[Crude_Breakdown]],crudeBD.lkup[Crude Breakdown],0))</f>
        <v>3</v>
      </c>
      <c r="AI1272">
        <f>MONTH(vp.data[[#This Row],[SDate]])</f>
        <v>4</v>
      </c>
      <c r="AJ1272" s="5">
        <f>(vp.data[[#This Row],[VP]]-INDEX(crudeBD.lkup[Mean_VP],MATCH(vp.data[[#This Row],[Crude_Breakdown]],crudeBD.lkup[Crude Breakdown],0)))^2</f>
        <v>104.8509758458583</v>
      </c>
      <c r="AK1272" s="5">
        <f>(vp.data[[#This Row],[Dens]]-INDEX(crudeBD.lkup[Mean_Dens],MATCH(vp.data[[#This Row],[Crude_Breakdown]],crudeBD.lkup[Crude Breakdown],0)))^2</f>
        <v>7.3983999999970562</v>
      </c>
      <c r="AL1272" s="5">
        <f>(vp.data[[#This Row],[Sulf]]-INDEX(crudeBD.lkup[Mean_Sulf],MATCH(vp.data[[#This Row],[Crude_Breakdown]],crudeBD.lkup[Crude Breakdown],0)))^2</f>
        <v>3.8184335974399415E-2</v>
      </c>
      <c r="AM1272" s="4">
        <f>IF(AND(vp.data[[#This Row],[SDate]]&gt;=DATE(YEAR(vp.data[[#This Row],[SDate]]),5,1),vp.data[[#This Row],[SDate]]&lt;=DATE(YEAR(vp.data[[#This Row],[SDate]]),9,15)),1,0)</f>
        <v>0</v>
      </c>
      <c r="AN1272" s="4">
        <f>IF(vp.data[[#This Row],[SDate]]&lt;DATE(2016,12,1),0,1)</f>
        <v>1</v>
      </c>
      <c r="AO1272" s="4">
        <f>IFERROR(vp.data[[#This Row],[Sulf]]*vp.data[[#This Row],[Net Dens]],"")</f>
        <v>6034193.7809160007</v>
      </c>
      <c r="AP1272">
        <f>IFERROR(vp.data[[#This Row],[Dens]]*vp.data[[#This Row],[VolumeM3]],"")</f>
        <v>5070751.0764000006</v>
      </c>
      <c r="AQ1272" s="15">
        <f>IFERROR(vp.data[[#This Row],[VP]]*vp.data[[#This Row],[VolumeM3]],"")</f>
        <v>424370.98880000005</v>
      </c>
    </row>
    <row r="1273" spans="1:43" x14ac:dyDescent="0.25">
      <c r="A1273">
        <v>1272</v>
      </c>
      <c r="B1273" t="s">
        <v>68</v>
      </c>
      <c r="C1273" t="s">
        <v>68</v>
      </c>
      <c r="D1273" t="s">
        <v>98</v>
      </c>
      <c r="F1273" s="1">
        <v>42845</v>
      </c>
      <c r="G1273" s="2">
        <v>57.2</v>
      </c>
      <c r="H1273" s="2"/>
      <c r="I1273" s="2">
        <f t="array" ref="I1273">_xlfn.IFNA(IF(vp.data[[#This Row],[Sulf Input]]="",INDEX([1]DATA!$Q$3:$Q$9826,MATCH(1,(vp.data[[#This Row],[Battery]]=[1]DATA!$L$3:$L$9826)*(EOMONTH(vp.data[[#This Row],[SDate]],-1)+1=[1]DATA!$G$3:$G$9826),0)),vp.data[[#This Row],[Sulf Input]]),"")</f>
        <v>1.35</v>
      </c>
      <c r="J1273" s="2">
        <v>36</v>
      </c>
      <c r="K1273" s="2">
        <v>16</v>
      </c>
      <c r="L1273" s="2">
        <v>852.3</v>
      </c>
      <c r="M1273" s="2">
        <f t="array" ref="M1273">_xlfn.IFNA(IF(vp.data[[#This Row],[Dens Input]]="",INDEX([1]DATA!$O$3:$O$9826,MATCH(1,(vp.data[[#This Row],[Battery]]=[1]DATA!$L$3:$L$9826)*(EOMONTH(vp.data[[#This Row],[SDate]],-1)+1=[1]DATA!$G$3:$G$9826),0)),vp.data[[#This Row],[Dens Input]]),"")</f>
        <v>852.3</v>
      </c>
      <c r="N1273" s="2">
        <f ca="1">INDEX(INDIRECT(_xlfn.CONCAT("weather.tbl[",N$1,"]")),MATCH(vp.data[[#This Row],[SDate]],weather.tbl[Date],0))</f>
        <v>8.9500000000000011</v>
      </c>
      <c r="O1273" s="2">
        <f ca="1">INDEX(INDIRECT(_xlfn.CONCAT("weather.tbl[",O$1,"]")),MATCH(vp.data[[#This Row],[SDate]],weather.tbl[Date],0))</f>
        <v>5.15</v>
      </c>
      <c r="P1273" s="2">
        <f ca="1">INDEX(INDIRECT(_xlfn.CONCAT("weather.tbl[",P$1,"]")),MATCH(vp.data[[#This Row],[SDate]],weather.tbl[Date],0))</f>
        <v>9.6</v>
      </c>
      <c r="Q1273" s="2">
        <f ca="1">INDEX(INDIRECT(_xlfn.CONCAT("weather.tbl[",Q$1,"]")),MATCH(vp.data[[#This Row],[SDate]],weather.tbl[Date],0))</f>
        <v>9.1</v>
      </c>
      <c r="R1273" s="2">
        <f ca="1">INDEX(INDIRECT(_xlfn.CONCAT("weather.tbl[",R$1,"]")),MATCH(vp.data[[#This Row],[SDate]],weather.tbl[Date],0))</f>
        <v>9.3000000000000007</v>
      </c>
      <c r="S1273" s="2">
        <f ca="1">INDEX(INDIRECT(_xlfn.CONCAT("weather.tbl[",S$1,"]")),MATCH(vp.data[[#This Row],[SDate]],weather.tbl[Date],0))</f>
        <v>8.8000000000000007</v>
      </c>
      <c r="T1273" s="2">
        <f ca="1">INDEX(INDIRECT(_xlfn.CONCAT("weather.tbl[",T$1,"]")),MATCH(vp.data[[#This Row],[SDate]],weather.tbl[Date],0))</f>
        <v>8.1</v>
      </c>
      <c r="U1273" s="2">
        <f ca="1">INDEX(INDIRECT(_xlfn.CONCAT("weather.tbl[",U$1,"]")),MATCH(vp.data[[#This Row],[SDate]],weather.tbl[Date],0))</f>
        <v>8.8000000000000007</v>
      </c>
      <c r="V1273" s="2">
        <f t="array" ref="V12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4664.6729999999998</v>
      </c>
      <c r="W1273" t="s">
        <v>48</v>
      </c>
      <c r="X1273">
        <f>IF(OR(vp.data[[#This Row],[Sulf]]="",vp.data[[#This Row],[Dens]]=""),1,0)</f>
        <v>0</v>
      </c>
      <c r="Y1273">
        <f>IF(vp.data[[#This Row],[CrudeType]]="C5+",1,0)</f>
        <v>0</v>
      </c>
      <c r="Z1273">
        <f>IF(AND(vp.data[[#This Row],[CrudeType]]="Crude",vp.data[[#This Row],[Dens]]&lt;=825,vp.data[[#This Row],[Sulf]]&gt;0.5,vp.data[[#This Row],[Unknown]]=0),1,0)</f>
        <v>0</v>
      </c>
      <c r="AA1273">
        <f>IF(AND(vp.data[[#This Row],[CrudeType]]="Crude",vp.data[[#This Row],[Dens]]&lt;=825,vp.data[[#This Row],[Sulf]]&lt;=0.5,vp.data[[#This Row],[Unknown]]=0),1,0)</f>
        <v>0</v>
      </c>
      <c r="AB12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3">
        <f>IF(AND(vp.data[[#This Row],[CrudeType]]="Crude",vp.data[[#This Row],[Dens]]&gt;825,vp.data[[#This Row],[Dens]]&lt;=900,vp.data[[#This Row],[Sulf]]&lt;=0.5,vp.data[[#This Row],[Unknown]]=0),1,0)</f>
        <v>0</v>
      </c>
      <c r="AD1273">
        <f>IF(AND(vp.data[[#This Row],[CrudeType]]="Crude",vp.data[[#This Row],[Dens]]&gt;865,vp.data[[#This Row],[Dens]]&lt;=900,vp.data[[#This Row],[Sulf]]&gt;2,vp.data[[#This Row],[Unknown]]=0),1,0)</f>
        <v>0</v>
      </c>
      <c r="AE1273">
        <f>IF(AND(vp.data[[#This Row],[CrudeType]]="Crude",vp.data[[#This Row],[Dens]]&gt;900,vp.data[[#This Row],[Sulf]]&lt;=0.5,vp.data[[#This Row],[Unknown]]=0),1,0)</f>
        <v>0</v>
      </c>
      <c r="AF1273">
        <f>IF(AND(vp.data[[#This Row],[CrudeType]]="Crude",vp.data[[#This Row],[Dens]]&gt;900,vp.data[[#This Row],[Sulf]]&lt;=0.5,vp.data[[#This Row],[Unknown]]=0),1,0)</f>
        <v>0</v>
      </c>
      <c r="AG1273" t="str">
        <f>INDEX(vp.data[[#Headers],[Unknown]:[Heavy_SW]],MATCH(1,vp.data[[#This Row],[Unknown]:[Heavy_SW]],0))</f>
        <v>Medium_LSB</v>
      </c>
      <c r="AH1273">
        <f>INDEX([3]!crudeBD.lkup[Number],MATCH(vp.data[[#This Row],[Crude_Breakdown]],crudeBD.lkup[Crude Breakdown],0))</f>
        <v>3</v>
      </c>
      <c r="AI1273">
        <f>MONTH(vp.data[[#This Row],[SDate]])</f>
        <v>4</v>
      </c>
      <c r="AJ1273" s="5">
        <f>(vp.data[[#This Row],[VP]]-INDEX(crudeBD.lkup[Mean_VP],MATCH(vp.data[[#This Row],[Crude_Breakdown]],crudeBD.lkup[Crude Breakdown],0)))^2</f>
        <v>549.41843676229848</v>
      </c>
      <c r="AK1273" s="5">
        <f>(vp.data[[#This Row],[Dens]]-INDEX(crudeBD.lkup[Mean_Dens],MATCH(vp.data[[#This Row],[Crude_Breakdown]],crudeBD.lkup[Crude Breakdown],0)))^2</f>
        <v>70.224400000007549</v>
      </c>
      <c r="AL1273" s="5">
        <f>(vp.data[[#This Row],[Sulf]]-INDEX(crudeBD.lkup[Mean_Sulf],MATCH(vp.data[[#This Row],[Crude_Breakdown]],crudeBD.lkup[Crude Breakdown],0)))^2</f>
        <v>1.2537354353153419E-3</v>
      </c>
      <c r="AM1273" s="4">
        <f>IF(AND(vp.data[[#This Row],[SDate]]&gt;=DATE(YEAR(vp.data[[#This Row],[SDate]]),5,1),vp.data[[#This Row],[SDate]]&lt;=DATE(YEAR(vp.data[[#This Row],[SDate]]),9,15)),1,0)</f>
        <v>0</v>
      </c>
      <c r="AN1273" s="4">
        <f>IF(vp.data[[#This Row],[SDate]]&lt;DATE(2016,12,1),0,1)</f>
        <v>1</v>
      </c>
      <c r="AO1273" s="4">
        <f>IFERROR(vp.data[[#This Row],[Sulf]]*vp.data[[#This Row],[Net Dens]],"")</f>
        <v>5367196.0771650001</v>
      </c>
      <c r="AP1273">
        <f>IFERROR(vp.data[[#This Row],[Dens]]*vp.data[[#This Row],[VolumeM3]],"")</f>
        <v>3975700.7978999997</v>
      </c>
      <c r="AQ1273" s="15">
        <f>IFERROR(vp.data[[#This Row],[VP]]*vp.data[[#This Row],[VolumeM3]],"")</f>
        <v>266819.29560000001</v>
      </c>
    </row>
    <row r="1274" spans="1:43" x14ac:dyDescent="0.25">
      <c r="A1274">
        <v>1273</v>
      </c>
      <c r="B1274" t="s">
        <v>68</v>
      </c>
      <c r="C1274" t="s">
        <v>68</v>
      </c>
      <c r="D1274" t="s">
        <v>69</v>
      </c>
      <c r="F1274" s="1">
        <v>42845</v>
      </c>
      <c r="G1274" s="2">
        <v>69.2</v>
      </c>
      <c r="H1274" s="2"/>
      <c r="I1274" s="2">
        <f t="array" ref="I1274">_xlfn.IFNA(IF(vp.data[[#This Row],[Sulf Input]]="",INDEX([1]DATA!$Q$3:$Q$9826,MATCH(1,(vp.data[[#This Row],[Battery]]=[1]DATA!$L$3:$L$9826)*(EOMONTH(vp.data[[#This Row],[SDate]],-1)+1=[1]DATA!$G$3:$G$9826),0)),vp.data[[#This Row],[Sulf Input]]),"")</f>
        <v>1.52</v>
      </c>
      <c r="J1274" s="2">
        <v>23.2</v>
      </c>
      <c r="K1274" s="2">
        <v>16</v>
      </c>
      <c r="L1274" s="2">
        <v>852.7</v>
      </c>
      <c r="M1274" s="2">
        <f t="array" ref="M1274">_xlfn.IFNA(IF(vp.data[[#This Row],[Dens Input]]="",INDEX([1]DATA!$O$3:$O$9826,MATCH(1,(vp.data[[#This Row],[Battery]]=[1]DATA!$L$3:$L$9826)*(EOMONTH(vp.data[[#This Row],[SDate]],-1)+1=[1]DATA!$G$3:$G$9826),0)),vp.data[[#This Row],[Dens Input]]),"")</f>
        <v>852.7</v>
      </c>
      <c r="N1274" s="2">
        <f ca="1">INDEX(INDIRECT(_xlfn.CONCAT("weather.tbl[",N$1,"]")),MATCH(vp.data[[#This Row],[SDate]],weather.tbl[Date],0))</f>
        <v>8.9500000000000011</v>
      </c>
      <c r="O1274" s="2">
        <f ca="1">INDEX(INDIRECT(_xlfn.CONCAT("weather.tbl[",O$1,"]")),MATCH(vp.data[[#This Row],[SDate]],weather.tbl[Date],0))</f>
        <v>5.15</v>
      </c>
      <c r="P1274" s="2">
        <f ca="1">INDEX(INDIRECT(_xlfn.CONCAT("weather.tbl[",P$1,"]")),MATCH(vp.data[[#This Row],[SDate]],weather.tbl[Date],0))</f>
        <v>9.6</v>
      </c>
      <c r="Q1274" s="2">
        <f ca="1">INDEX(INDIRECT(_xlfn.CONCAT("weather.tbl[",Q$1,"]")),MATCH(vp.data[[#This Row],[SDate]],weather.tbl[Date],0))</f>
        <v>9.1</v>
      </c>
      <c r="R1274" s="2">
        <f ca="1">INDEX(INDIRECT(_xlfn.CONCAT("weather.tbl[",R$1,"]")),MATCH(vp.data[[#This Row],[SDate]],weather.tbl[Date],0))</f>
        <v>9.3000000000000007</v>
      </c>
      <c r="S1274" s="2">
        <f ca="1">INDEX(INDIRECT(_xlfn.CONCAT("weather.tbl[",S$1,"]")),MATCH(vp.data[[#This Row],[SDate]],weather.tbl[Date],0))</f>
        <v>8.8000000000000007</v>
      </c>
      <c r="T1274" s="2">
        <f ca="1">INDEX(INDIRECT(_xlfn.CONCAT("weather.tbl[",T$1,"]")),MATCH(vp.data[[#This Row],[SDate]],weather.tbl[Date],0))</f>
        <v>8.1</v>
      </c>
      <c r="U1274" s="2">
        <f ca="1">INDEX(INDIRECT(_xlfn.CONCAT("weather.tbl[",U$1,"]")),MATCH(vp.data[[#This Row],[SDate]],weather.tbl[Date],0))</f>
        <v>8.8000000000000007</v>
      </c>
      <c r="V1274" s="2">
        <f t="array" ref="V12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1529.07</v>
      </c>
      <c r="W1274" t="s">
        <v>48</v>
      </c>
      <c r="X1274">
        <f>IF(OR(vp.data[[#This Row],[Sulf]]="",vp.data[[#This Row],[Dens]]=""),1,0)</f>
        <v>0</v>
      </c>
      <c r="Y1274">
        <f>IF(vp.data[[#This Row],[CrudeType]]="C5+",1,0)</f>
        <v>0</v>
      </c>
      <c r="Z1274">
        <f>IF(AND(vp.data[[#This Row],[CrudeType]]="Crude",vp.data[[#This Row],[Dens]]&lt;=825,vp.data[[#This Row],[Sulf]]&gt;0.5,vp.data[[#This Row],[Unknown]]=0),1,0)</f>
        <v>0</v>
      </c>
      <c r="AA1274">
        <f>IF(AND(vp.data[[#This Row],[CrudeType]]="Crude",vp.data[[#This Row],[Dens]]&lt;=825,vp.data[[#This Row],[Sulf]]&lt;=0.5,vp.data[[#This Row],[Unknown]]=0),1,0)</f>
        <v>0</v>
      </c>
      <c r="AB12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4">
        <f>IF(AND(vp.data[[#This Row],[CrudeType]]="Crude",vp.data[[#This Row],[Dens]]&gt;825,vp.data[[#This Row],[Dens]]&lt;=900,vp.data[[#This Row],[Sulf]]&lt;=0.5,vp.data[[#This Row],[Unknown]]=0),1,0)</f>
        <v>0</v>
      </c>
      <c r="AD1274">
        <f>IF(AND(vp.data[[#This Row],[CrudeType]]="Crude",vp.data[[#This Row],[Dens]]&gt;865,vp.data[[#This Row],[Dens]]&lt;=900,vp.data[[#This Row],[Sulf]]&gt;2,vp.data[[#This Row],[Unknown]]=0),1,0)</f>
        <v>0</v>
      </c>
      <c r="AE1274">
        <f>IF(AND(vp.data[[#This Row],[CrudeType]]="Crude",vp.data[[#This Row],[Dens]]&gt;900,vp.data[[#This Row],[Sulf]]&lt;=0.5,vp.data[[#This Row],[Unknown]]=0),1,0)</f>
        <v>0</v>
      </c>
      <c r="AF1274">
        <f>IF(AND(vp.data[[#This Row],[CrudeType]]="Crude",vp.data[[#This Row],[Dens]]&gt;900,vp.data[[#This Row],[Sulf]]&lt;=0.5,vp.data[[#This Row],[Unknown]]=0),1,0)</f>
        <v>0</v>
      </c>
      <c r="AG1274" t="str">
        <f>INDEX(vp.data[[#Headers],[Unknown]:[Heavy_SW]],MATCH(1,vp.data[[#This Row],[Unknown]:[Heavy_SW]],0))</f>
        <v>Medium_LSB</v>
      </c>
      <c r="AH1274">
        <f>INDEX([3]!crudeBD.lkup[Number],MATCH(vp.data[[#This Row],[Crude_Breakdown]],crudeBD.lkup[Crude Breakdown],0))</f>
        <v>3</v>
      </c>
      <c r="AI1274">
        <f>MONTH(vp.data[[#This Row],[SDate]])</f>
        <v>4</v>
      </c>
      <c r="AJ1274" s="5">
        <f>(vp.data[[#This Row],[VP]]-INDEX(crudeBD.lkup[Mean_VP],MATCH(vp.data[[#This Row],[Crude_Breakdown]],crudeBD.lkup[Crude Breakdown],0)))^2</f>
        <v>130.86619956553474</v>
      </c>
      <c r="AK1274" s="5">
        <f>(vp.data[[#This Row],[Dens]]-INDEX(crudeBD.lkup[Mean_Dens],MATCH(vp.data[[#This Row],[Crude_Breakdown]],crudeBD.lkup[Crude Breakdown],0)))^2</f>
        <v>77.0884000000095</v>
      </c>
      <c r="AL1274" s="5">
        <f>(vp.data[[#This Row],[Sulf]]-INDEX(crudeBD.lkup[Mean_Sulf],MATCH(vp.data[[#This Row],[Crude_Breakdown]],crudeBD.lkup[Crude Breakdown],0)))^2</f>
        <v>1.8114972362538555E-2</v>
      </c>
      <c r="AM1274" s="4">
        <f>IF(AND(vp.data[[#This Row],[SDate]]&gt;=DATE(YEAR(vp.data[[#This Row],[SDate]]),5,1),vp.data[[#This Row],[SDate]]&lt;=DATE(YEAR(vp.data[[#This Row],[SDate]]),9,15)),1,0)</f>
        <v>0</v>
      </c>
      <c r="AN1274" s="4">
        <f>IF(vp.data[[#This Row],[SDate]]&lt;DATE(2016,12,1),0,1)</f>
        <v>1</v>
      </c>
      <c r="AO1274" s="4">
        <f>IFERROR(vp.data[[#This Row],[Sulf]]*vp.data[[#This Row],[Net Dens]],"")</f>
        <v>1981833.7432800001</v>
      </c>
      <c r="AP1274">
        <f>IFERROR(vp.data[[#This Row],[Dens]]*vp.data[[#This Row],[VolumeM3]],"")</f>
        <v>1303837.9890000001</v>
      </c>
      <c r="AQ1274" s="15">
        <f>IFERROR(vp.data[[#This Row],[VP]]*vp.data[[#This Row],[VolumeM3]],"")</f>
        <v>105811.644</v>
      </c>
    </row>
    <row r="1275" spans="1:43" x14ac:dyDescent="0.25">
      <c r="A1275">
        <v>1274</v>
      </c>
      <c r="B1275" t="s">
        <v>68</v>
      </c>
      <c r="C1275" t="s">
        <v>68</v>
      </c>
      <c r="D1275" t="s">
        <v>110</v>
      </c>
      <c r="F1275" s="1">
        <v>42845</v>
      </c>
      <c r="G1275" s="2">
        <v>59.9</v>
      </c>
      <c r="H1275" s="2"/>
      <c r="I1275" s="2">
        <f t="array" ref="I1275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275" s="2">
        <v>37.700000000000003</v>
      </c>
      <c r="K1275" s="2">
        <v>16</v>
      </c>
      <c r="L1275" s="2">
        <v>855</v>
      </c>
      <c r="M1275" s="2">
        <f t="array" ref="M1275">_xlfn.IFNA(IF(vp.data[[#This Row],[Dens Input]]="",INDEX([1]DATA!$O$3:$O$9826,MATCH(1,(vp.data[[#This Row],[Battery]]=[1]DATA!$L$3:$L$9826)*(EOMONTH(vp.data[[#This Row],[SDate]],-1)+1=[1]DATA!$G$3:$G$9826),0)),vp.data[[#This Row],[Dens Input]]),"")</f>
        <v>855</v>
      </c>
      <c r="N1275" s="2">
        <f ca="1">INDEX(INDIRECT(_xlfn.CONCAT("weather.tbl[",N$1,"]")),MATCH(vp.data[[#This Row],[SDate]],weather.tbl[Date],0))</f>
        <v>8.9500000000000011</v>
      </c>
      <c r="O1275" s="2">
        <f ca="1">INDEX(INDIRECT(_xlfn.CONCAT("weather.tbl[",O$1,"]")),MATCH(vp.data[[#This Row],[SDate]],weather.tbl[Date],0))</f>
        <v>5.15</v>
      </c>
      <c r="P1275" s="2">
        <f ca="1">INDEX(INDIRECT(_xlfn.CONCAT("weather.tbl[",P$1,"]")),MATCH(vp.data[[#This Row],[SDate]],weather.tbl[Date],0))</f>
        <v>9.6</v>
      </c>
      <c r="Q1275" s="2">
        <f ca="1">INDEX(INDIRECT(_xlfn.CONCAT("weather.tbl[",Q$1,"]")),MATCH(vp.data[[#This Row],[SDate]],weather.tbl[Date],0))</f>
        <v>9.1</v>
      </c>
      <c r="R1275" s="2">
        <f ca="1">INDEX(INDIRECT(_xlfn.CONCAT("weather.tbl[",R$1,"]")),MATCH(vp.data[[#This Row],[SDate]],weather.tbl[Date],0))</f>
        <v>9.3000000000000007</v>
      </c>
      <c r="S1275" s="2">
        <f ca="1">INDEX(INDIRECT(_xlfn.CONCAT("weather.tbl[",S$1,"]")),MATCH(vp.data[[#This Row],[SDate]],weather.tbl[Date],0))</f>
        <v>8.8000000000000007</v>
      </c>
      <c r="T1275" s="2">
        <f ca="1">INDEX(INDIRECT(_xlfn.CONCAT("weather.tbl[",T$1,"]")),MATCH(vp.data[[#This Row],[SDate]],weather.tbl[Date],0))</f>
        <v>8.1</v>
      </c>
      <c r="U1275" s="2">
        <f ca="1">INDEX(INDIRECT(_xlfn.CONCAT("weather.tbl[",U$1,"]")),MATCH(vp.data[[#This Row],[SDate]],weather.tbl[Date],0))</f>
        <v>8.8000000000000007</v>
      </c>
      <c r="V1275" s="2">
        <f t="array" ref="V12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4378.3119999999999</v>
      </c>
      <c r="W1275" t="s">
        <v>48</v>
      </c>
      <c r="X1275">
        <f>IF(OR(vp.data[[#This Row],[Sulf]]="",vp.data[[#This Row],[Dens]]=""),1,0)</f>
        <v>0</v>
      </c>
      <c r="Y1275">
        <f>IF(vp.data[[#This Row],[CrudeType]]="C5+",1,0)</f>
        <v>0</v>
      </c>
      <c r="Z1275">
        <f>IF(AND(vp.data[[#This Row],[CrudeType]]="Crude",vp.data[[#This Row],[Dens]]&lt;=825,vp.data[[#This Row],[Sulf]]&gt;0.5,vp.data[[#This Row],[Unknown]]=0),1,0)</f>
        <v>0</v>
      </c>
      <c r="AA1275">
        <f>IF(AND(vp.data[[#This Row],[CrudeType]]="Crude",vp.data[[#This Row],[Dens]]&lt;=825,vp.data[[#This Row],[Sulf]]&lt;=0.5,vp.data[[#This Row],[Unknown]]=0),1,0)</f>
        <v>0</v>
      </c>
      <c r="AB12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5">
        <f>IF(AND(vp.data[[#This Row],[CrudeType]]="Crude",vp.data[[#This Row],[Dens]]&gt;825,vp.data[[#This Row],[Dens]]&lt;=900,vp.data[[#This Row],[Sulf]]&lt;=0.5,vp.data[[#This Row],[Unknown]]=0),1,0)</f>
        <v>0</v>
      </c>
      <c r="AD1275">
        <f>IF(AND(vp.data[[#This Row],[CrudeType]]="Crude",vp.data[[#This Row],[Dens]]&gt;865,vp.data[[#This Row],[Dens]]&lt;=900,vp.data[[#This Row],[Sulf]]&gt;2,vp.data[[#This Row],[Unknown]]=0),1,0)</f>
        <v>0</v>
      </c>
      <c r="AE1275">
        <f>IF(AND(vp.data[[#This Row],[CrudeType]]="Crude",vp.data[[#This Row],[Dens]]&gt;900,vp.data[[#This Row],[Sulf]]&lt;=0.5,vp.data[[#This Row],[Unknown]]=0),1,0)</f>
        <v>0</v>
      </c>
      <c r="AF1275">
        <f>IF(AND(vp.data[[#This Row],[CrudeType]]="Crude",vp.data[[#This Row],[Dens]]&gt;900,vp.data[[#This Row],[Sulf]]&lt;=0.5,vp.data[[#This Row],[Unknown]]=0),1,0)</f>
        <v>0</v>
      </c>
      <c r="AG1275" t="str">
        <f>INDEX(vp.data[[#Headers],[Unknown]:[Heavy_SW]],MATCH(1,vp.data[[#This Row],[Unknown]:[Heavy_SW]],0))</f>
        <v>Medium_LSB</v>
      </c>
      <c r="AH1275">
        <f>INDEX([3]!crudeBD.lkup[Number],MATCH(vp.data[[#This Row],[Crude_Breakdown]],crudeBD.lkup[Crude Breakdown],0))</f>
        <v>3</v>
      </c>
      <c r="AI1275">
        <f>MONTH(vp.data[[#This Row],[SDate]])</f>
        <v>4</v>
      </c>
      <c r="AJ1275" s="5">
        <f>(vp.data[[#This Row],[VP]]-INDEX(crudeBD.lkup[Mean_VP],MATCH(vp.data[[#This Row],[Crude_Breakdown]],crudeBD.lkup[Crude Breakdown],0)))^2</f>
        <v>430.13418339302677</v>
      </c>
      <c r="AK1275" s="5">
        <f>(vp.data[[#This Row],[Dens]]-INDEX(crudeBD.lkup[Mean_Dens],MATCH(vp.data[[#This Row],[Crude_Breakdown]],crudeBD.lkup[Crude Breakdown],0)))^2</f>
        <v>122.76640000001099</v>
      </c>
      <c r="AL1275" s="5">
        <f>(vp.data[[#This Row],[Sulf]]-INDEX(crudeBD.lkup[Mean_Sulf],MATCH(vp.data[[#This Row],[Crude_Breakdown]],crudeBD.lkup[Crude Breakdown],0)))^2</f>
        <v>4.1721100983878141E-3</v>
      </c>
      <c r="AM1275" s="4">
        <f>IF(AND(vp.data[[#This Row],[SDate]]&gt;=DATE(YEAR(vp.data[[#This Row],[SDate]]),5,1),vp.data[[#This Row],[SDate]]&lt;=DATE(YEAR(vp.data[[#This Row],[SDate]]),9,15)),1,0)</f>
        <v>0</v>
      </c>
      <c r="AN1275" s="4">
        <f>IF(vp.data[[#This Row],[SDate]]&lt;DATE(2016,12,1),0,1)</f>
        <v>1</v>
      </c>
      <c r="AO1275" s="4">
        <f>IFERROR(vp.data[[#This Row],[Sulf]]*vp.data[[#This Row],[Net Dens]],"")</f>
        <v>5428012.3019999992</v>
      </c>
      <c r="AP1275">
        <f>IFERROR(vp.data[[#This Row],[Dens]]*vp.data[[#This Row],[VolumeM3]],"")</f>
        <v>3743456.76</v>
      </c>
      <c r="AQ1275" s="15">
        <f>IFERROR(vp.data[[#This Row],[VP]]*vp.data[[#This Row],[VolumeM3]],"")</f>
        <v>262260.88880000002</v>
      </c>
    </row>
    <row r="1276" spans="1:43" x14ac:dyDescent="0.25">
      <c r="A1276">
        <v>1275</v>
      </c>
      <c r="B1276" t="s">
        <v>53</v>
      </c>
      <c r="C1276" t="s">
        <v>53</v>
      </c>
      <c r="D1276" t="s">
        <v>54</v>
      </c>
      <c r="E1276" t="s">
        <v>73</v>
      </c>
      <c r="F1276" s="1">
        <v>42846</v>
      </c>
      <c r="G1276" s="2">
        <v>75.599999999999994</v>
      </c>
      <c r="H1276" s="2"/>
      <c r="I1276" s="2">
        <f t="array" ref="I1276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276" s="2">
        <v>7.2</v>
      </c>
      <c r="K1276" s="2">
        <v>15</v>
      </c>
      <c r="L1276" s="2">
        <v>835.6</v>
      </c>
      <c r="M1276" s="2">
        <f t="array" ref="M1276">_xlfn.IFNA(IF(vp.data[[#This Row],[Dens Input]]="",INDEX([1]DATA!$O$3:$O$9826,MATCH(1,(vp.data[[#This Row],[Battery]]=[1]DATA!$L$3:$L$9826)*(EOMONTH(vp.data[[#This Row],[SDate]],-1)+1=[1]DATA!$G$3:$G$9826),0)),vp.data[[#This Row],[Dens Input]]),"")</f>
        <v>835.6</v>
      </c>
      <c r="N1276" s="2">
        <f ca="1">INDEX(INDIRECT(_xlfn.CONCAT("weather.tbl[",N$1,"]")),MATCH(vp.data[[#This Row],[SDate]],weather.tbl[Date],0))</f>
        <v>9.3166666666666664</v>
      </c>
      <c r="O1276" s="2">
        <f ca="1">INDEX(INDIRECT(_xlfn.CONCAT("weather.tbl[",O$1,"]")),MATCH(vp.data[[#This Row],[SDate]],weather.tbl[Date],0))</f>
        <v>4.7857142857142856</v>
      </c>
      <c r="P1276" s="2">
        <f ca="1">INDEX(INDIRECT(_xlfn.CONCAT("weather.tbl[",P$1,"]")),MATCH(vp.data[[#This Row],[SDate]],weather.tbl[Date],0))</f>
        <v>9.9</v>
      </c>
      <c r="Q1276" s="2">
        <f ca="1">INDEX(INDIRECT(_xlfn.CONCAT("weather.tbl[",Q$1,"]")),MATCH(vp.data[[#This Row],[SDate]],weather.tbl[Date],0))</f>
        <v>9</v>
      </c>
      <c r="R1276" s="2">
        <f ca="1">INDEX(INDIRECT(_xlfn.CONCAT("weather.tbl[",R$1,"]")),MATCH(vp.data[[#This Row],[SDate]],weather.tbl[Date],0))</f>
        <v>9.3000000000000007</v>
      </c>
      <c r="S1276" s="2">
        <f ca="1">INDEX(INDIRECT(_xlfn.CONCAT("weather.tbl[",S$1,"]")),MATCH(vp.data[[#This Row],[SDate]],weather.tbl[Date],0))</f>
        <v>9.1</v>
      </c>
      <c r="T1276" s="2">
        <f ca="1">INDEX(INDIRECT(_xlfn.CONCAT("weather.tbl[",T$1,"]")),MATCH(vp.data[[#This Row],[SDate]],weather.tbl[Date],0))</f>
        <v>9.1</v>
      </c>
      <c r="U1276" s="2">
        <f ca="1">INDEX(INDIRECT(_xlfn.CONCAT("weather.tbl[",U$1,"]")),MATCH(vp.data[[#This Row],[SDate]],weather.tbl[Date],0))</f>
        <v>9.5</v>
      </c>
      <c r="V1276" s="2">
        <f t="array" ref="V12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276" t="s">
        <v>48</v>
      </c>
      <c r="X1276">
        <f>IF(OR(vp.data[[#This Row],[Sulf]]="",vp.data[[#This Row],[Dens]]=""),1,0)</f>
        <v>0</v>
      </c>
      <c r="Y1276">
        <f>IF(vp.data[[#This Row],[CrudeType]]="C5+",1,0)</f>
        <v>0</v>
      </c>
      <c r="Z1276">
        <f>IF(AND(vp.data[[#This Row],[CrudeType]]="Crude",vp.data[[#This Row],[Dens]]&lt;=825,vp.data[[#This Row],[Sulf]]&gt;0.5,vp.data[[#This Row],[Unknown]]=0),1,0)</f>
        <v>0</v>
      </c>
      <c r="AA1276">
        <f>IF(AND(vp.data[[#This Row],[CrudeType]]="Crude",vp.data[[#This Row],[Dens]]&lt;=825,vp.data[[#This Row],[Sulf]]&lt;=0.5,vp.data[[#This Row],[Unknown]]=0),1,0)</f>
        <v>0</v>
      </c>
      <c r="AB12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76">
        <f>IF(AND(vp.data[[#This Row],[CrudeType]]="Crude",vp.data[[#This Row],[Dens]]&gt;825,vp.data[[#This Row],[Dens]]&lt;=900,vp.data[[#This Row],[Sulf]]&lt;=0.5,vp.data[[#This Row],[Unknown]]=0),1,0)</f>
        <v>0</v>
      </c>
      <c r="AD1276">
        <f>IF(AND(vp.data[[#This Row],[CrudeType]]="Crude",vp.data[[#This Row],[Dens]]&gt;865,vp.data[[#This Row],[Dens]]&lt;=900,vp.data[[#This Row],[Sulf]]&gt;2,vp.data[[#This Row],[Unknown]]=0),1,0)</f>
        <v>0</v>
      </c>
      <c r="AE1276">
        <f>IF(AND(vp.data[[#This Row],[CrudeType]]="Crude",vp.data[[#This Row],[Dens]]&gt;900,vp.data[[#This Row],[Sulf]]&lt;=0.5,vp.data[[#This Row],[Unknown]]=0),1,0)</f>
        <v>0</v>
      </c>
      <c r="AF1276">
        <f>IF(AND(vp.data[[#This Row],[CrudeType]]="Crude",vp.data[[#This Row],[Dens]]&gt;900,vp.data[[#This Row],[Sulf]]&lt;=0.5,vp.data[[#This Row],[Unknown]]=0),1,0)</f>
        <v>0</v>
      </c>
      <c r="AG1276" t="str">
        <f>INDEX(vp.data[[#Headers],[Unknown]:[Heavy_SW]],MATCH(1,vp.data[[#This Row],[Unknown]:[Heavy_SW]],0))</f>
        <v>Medium_LSB</v>
      </c>
      <c r="AH1276">
        <f>INDEX([3]!crudeBD.lkup[Number],MATCH(vp.data[[#This Row],[Crude_Breakdown]],crudeBD.lkup[Crude Breakdown],0))</f>
        <v>3</v>
      </c>
      <c r="AI1276">
        <f>MONTH(vp.data[[#This Row],[SDate]])</f>
        <v>4</v>
      </c>
      <c r="AJ1276" s="5">
        <f>(vp.data[[#This Row],[VP]]-INDEX(crudeBD.lkup[Mean_VP],MATCH(vp.data[[#This Row],[Crude_Breakdown]],crudeBD.lkup[Crude Breakdown],0)))^2</f>
        <v>25.398339727260836</v>
      </c>
      <c r="AK1276" s="5">
        <f>(vp.data[[#This Row],[Dens]]-INDEX(crudeBD.lkup[Mean_Dens],MATCH(vp.data[[#This Row],[Crude_Breakdown]],crudeBD.lkup[Crude Breakdown],0)))^2</f>
        <v>69.222399999991367</v>
      </c>
      <c r="AL1276" s="5">
        <f>(vp.data[[#This Row],[Sulf]]-INDEX(crudeBD.lkup[Mean_Sulf],MATCH(vp.data[[#This Row],[Crude_Breakdown]],crudeBD.lkup[Crude Breakdown],0)))^2</f>
        <v>3.4376173440706655E-2</v>
      </c>
      <c r="AM1276" s="4">
        <f>IF(AND(vp.data[[#This Row],[SDate]]&gt;=DATE(YEAR(vp.data[[#This Row],[SDate]]),5,1),vp.data[[#This Row],[SDate]]&lt;=DATE(YEAR(vp.data[[#This Row],[SDate]]),9,15)),1,0)</f>
        <v>0</v>
      </c>
      <c r="AN1276" s="4">
        <f>IF(vp.data[[#This Row],[SDate]]&lt;DATE(2016,12,1),0,1)</f>
        <v>1</v>
      </c>
      <c r="AO1276" s="4">
        <f>IFERROR(vp.data[[#This Row],[Sulf]]*vp.data[[#This Row],[Net Dens]],"")</f>
        <v>6281934.5116800005</v>
      </c>
      <c r="AP1276">
        <f>IFERROR(vp.data[[#This Row],[Dens]]*vp.data[[#This Row],[VolumeM3]],"")</f>
        <v>5234945.4264000002</v>
      </c>
      <c r="AQ1276" s="15">
        <f>IFERROR(vp.data[[#This Row],[VP]]*vp.data[[#This Row],[VolumeM3]],"")</f>
        <v>473625.98639999999</v>
      </c>
    </row>
    <row r="1277" spans="1:43" x14ac:dyDescent="0.25">
      <c r="A1277">
        <v>1276</v>
      </c>
      <c r="B1277" t="s">
        <v>49</v>
      </c>
      <c r="C1277" t="s">
        <v>49</v>
      </c>
      <c r="D1277" t="s">
        <v>157</v>
      </c>
      <c r="F1277" s="1">
        <v>42846</v>
      </c>
      <c r="G1277" s="2">
        <v>78.599999999999994</v>
      </c>
      <c r="H1277" s="2">
        <v>2.177</v>
      </c>
      <c r="I1277" s="2">
        <f t="array" ref="I1277">_xlfn.IFNA(IF(vp.data[[#This Row],[Sulf Input]]="",INDEX([1]DATA!$Q$3:$Q$9826,MATCH(1,(vp.data[[#This Row],[Battery]]=[1]DATA!$L$3:$L$9826)*(EOMONTH(vp.data[[#This Row],[SDate]],-1)+1=[1]DATA!$G$3:$G$9826),0)),vp.data[[#This Row],[Sulf Input]]),"")</f>
        <v>2.177</v>
      </c>
      <c r="J1277" s="2">
        <v>29.5</v>
      </c>
      <c r="K1277" s="2">
        <v>15</v>
      </c>
      <c r="L1277" s="2">
        <v>869.9</v>
      </c>
      <c r="M1277" s="2">
        <f t="array" ref="M1277">_xlfn.IFNA(IF(vp.data[[#This Row],[Dens Input]]="",INDEX([1]DATA!$O$3:$O$9826,MATCH(1,(vp.data[[#This Row],[Battery]]=[1]DATA!$L$3:$L$9826)*(EOMONTH(vp.data[[#This Row],[SDate]],-1)+1=[1]DATA!$G$3:$G$9826),0)),vp.data[[#This Row],[Dens Input]]),"")</f>
        <v>869.9</v>
      </c>
      <c r="N1277" s="2">
        <f ca="1">INDEX(INDIRECT(_xlfn.CONCAT("weather.tbl[",N$1,"]")),MATCH(vp.data[[#This Row],[SDate]],weather.tbl[Date],0))</f>
        <v>9.3166666666666664</v>
      </c>
      <c r="O1277" s="2">
        <f ca="1">INDEX(INDIRECT(_xlfn.CONCAT("weather.tbl[",O$1,"]")),MATCH(vp.data[[#This Row],[SDate]],weather.tbl[Date],0))</f>
        <v>4.7857142857142856</v>
      </c>
      <c r="P1277" s="2">
        <f ca="1">INDEX(INDIRECT(_xlfn.CONCAT("weather.tbl[",P$1,"]")),MATCH(vp.data[[#This Row],[SDate]],weather.tbl[Date],0))</f>
        <v>9.9</v>
      </c>
      <c r="Q1277" s="2">
        <f ca="1">INDEX(INDIRECT(_xlfn.CONCAT("weather.tbl[",Q$1,"]")),MATCH(vp.data[[#This Row],[SDate]],weather.tbl[Date],0))</f>
        <v>9</v>
      </c>
      <c r="R1277" s="2">
        <f ca="1">INDEX(INDIRECT(_xlfn.CONCAT("weather.tbl[",R$1,"]")),MATCH(vp.data[[#This Row],[SDate]],weather.tbl[Date],0))</f>
        <v>9.3000000000000007</v>
      </c>
      <c r="S1277" s="2">
        <f ca="1">INDEX(INDIRECT(_xlfn.CONCAT("weather.tbl[",S$1,"]")),MATCH(vp.data[[#This Row],[SDate]],weather.tbl[Date],0))</f>
        <v>9.1</v>
      </c>
      <c r="T1277" s="2">
        <f ca="1">INDEX(INDIRECT(_xlfn.CONCAT("weather.tbl[",T$1,"]")),MATCH(vp.data[[#This Row],[SDate]],weather.tbl[Date],0))</f>
        <v>9.1</v>
      </c>
      <c r="U1277" s="2">
        <f ca="1">INDEX(INDIRECT(_xlfn.CONCAT("weather.tbl[",U$1,"]")),MATCH(vp.data[[#This Row],[SDate]],weather.tbl[Date],0))</f>
        <v>9.5</v>
      </c>
      <c r="V1277" s="2">
        <f t="array" ref="V12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1635.163</v>
      </c>
      <c r="W1277" t="s">
        <v>48</v>
      </c>
      <c r="X1277">
        <f>IF(OR(vp.data[[#This Row],[Sulf]]="",vp.data[[#This Row],[Dens]]=""),1,0)</f>
        <v>0</v>
      </c>
      <c r="Y1277">
        <f>IF(vp.data[[#This Row],[CrudeType]]="C5+",1,0)</f>
        <v>0</v>
      </c>
      <c r="Z1277">
        <f>IF(AND(vp.data[[#This Row],[CrudeType]]="Crude",vp.data[[#This Row],[Dens]]&lt;=825,vp.data[[#This Row],[Sulf]]&gt;0.5,vp.data[[#This Row],[Unknown]]=0),1,0)</f>
        <v>0</v>
      </c>
      <c r="AA1277">
        <f>IF(AND(vp.data[[#This Row],[CrudeType]]="Crude",vp.data[[#This Row],[Dens]]&lt;=825,vp.data[[#This Row],[Sulf]]&lt;=0.5,vp.data[[#This Row],[Unknown]]=0),1,0)</f>
        <v>0</v>
      </c>
      <c r="AB12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77">
        <f>IF(AND(vp.data[[#This Row],[CrudeType]]="Crude",vp.data[[#This Row],[Dens]]&gt;825,vp.data[[#This Row],[Dens]]&lt;=900,vp.data[[#This Row],[Sulf]]&lt;=0.5,vp.data[[#This Row],[Unknown]]=0),1,0)</f>
        <v>0</v>
      </c>
      <c r="AD1277">
        <f>IF(AND(vp.data[[#This Row],[CrudeType]]="Crude",vp.data[[#This Row],[Dens]]&gt;865,vp.data[[#This Row],[Dens]]&lt;=900,vp.data[[#This Row],[Sulf]]&gt;2,vp.data[[#This Row],[Unknown]]=0),1,0)</f>
        <v>1</v>
      </c>
      <c r="AE1277">
        <f>IF(AND(vp.data[[#This Row],[CrudeType]]="Crude",vp.data[[#This Row],[Dens]]&gt;900,vp.data[[#This Row],[Sulf]]&lt;=0.5,vp.data[[#This Row],[Unknown]]=0),1,0)</f>
        <v>0</v>
      </c>
      <c r="AF1277">
        <f>IF(AND(vp.data[[#This Row],[CrudeType]]="Crude",vp.data[[#This Row],[Dens]]&gt;900,vp.data[[#This Row],[Sulf]]&lt;=0.5,vp.data[[#This Row],[Unknown]]=0),1,0)</f>
        <v>0</v>
      </c>
      <c r="AG1277" t="str">
        <f>INDEX(vp.data[[#Headers],[Unknown]:[Heavy_SW]],MATCH(1,vp.data[[#This Row],[Unknown]:[Heavy_SW]],0))</f>
        <v>Midale</v>
      </c>
      <c r="AH1277">
        <f>INDEX([3]!crudeBD.lkup[Number],MATCH(vp.data[[#This Row],[Crude_Breakdown]],crudeBD.lkup[Crude Breakdown],0))</f>
        <v>5</v>
      </c>
      <c r="AI1277">
        <f>MONTH(vp.data[[#This Row],[SDate]])</f>
        <v>4</v>
      </c>
      <c r="AJ1277" s="5">
        <f>(vp.data[[#This Row],[VP]]-INDEX(crudeBD.lkup[Mean_VP],MATCH(vp.data[[#This Row],[Crude_Breakdown]],crudeBD.lkup[Crude Breakdown],0)))^2</f>
        <v>84.478839674778783</v>
      </c>
      <c r="AK1277" s="5">
        <f>(vp.data[[#This Row],[Dens]]-INDEX(crudeBD.lkup[Mean_Dens],MATCH(vp.data[[#This Row],[Crude_Breakdown]],crudeBD.lkup[Crude Breakdown],0)))^2</f>
        <v>24.176990381552823</v>
      </c>
      <c r="AL1277" s="5">
        <f>(vp.data[[#This Row],[Sulf]]-INDEX(crudeBD.lkup[Mean_Sulf],MATCH(vp.data[[#This Row],[Crude_Breakdown]],crudeBD.lkup[Crude Breakdown],0)))^2</f>
        <v>7.1083860572227958E-2</v>
      </c>
      <c r="AM1277" s="4">
        <f>IF(AND(vp.data[[#This Row],[SDate]]&gt;=DATE(YEAR(vp.data[[#This Row],[SDate]]),5,1),vp.data[[#This Row],[SDate]]&lt;=DATE(YEAR(vp.data[[#This Row],[SDate]]),9,15)),1,0)</f>
        <v>0</v>
      </c>
      <c r="AN1277" s="4">
        <f>IF(vp.data[[#This Row],[SDate]]&lt;DATE(2016,12,1),0,1)</f>
        <v>1</v>
      </c>
      <c r="AO1277" s="4">
        <f>IFERROR(vp.data[[#This Row],[Sulf]]*vp.data[[#This Row],[Net Dens]],"")</f>
        <v>3096626.3953849003</v>
      </c>
      <c r="AP1277">
        <f>IFERROR(vp.data[[#This Row],[Dens]]*vp.data[[#This Row],[VolumeM3]],"")</f>
        <v>1422428.2937</v>
      </c>
      <c r="AQ1277" s="15">
        <f>IFERROR(vp.data[[#This Row],[VP]]*vp.data[[#This Row],[VolumeM3]],"")</f>
        <v>128523.8118</v>
      </c>
    </row>
    <row r="1278" spans="1:43" x14ac:dyDescent="0.25">
      <c r="A1278">
        <v>1277</v>
      </c>
      <c r="B1278" t="s">
        <v>49</v>
      </c>
      <c r="C1278" t="s">
        <v>49</v>
      </c>
      <c r="D1278" t="s">
        <v>160</v>
      </c>
      <c r="F1278" s="1">
        <v>42846</v>
      </c>
      <c r="G1278" s="2">
        <v>70.8</v>
      </c>
      <c r="H1278" s="2">
        <v>2.2229999999999999</v>
      </c>
      <c r="I1278" s="2">
        <f t="array" ref="I1278">_xlfn.IFNA(IF(vp.data[[#This Row],[Sulf Input]]="",INDEX([1]DATA!$Q$3:$Q$9826,MATCH(1,(vp.data[[#This Row],[Battery]]=[1]DATA!$L$3:$L$9826)*(EOMONTH(vp.data[[#This Row],[SDate]],-1)+1=[1]DATA!$G$3:$G$9826),0)),vp.data[[#This Row],[Sulf Input]]),"")</f>
        <v>2.2229999999999999</v>
      </c>
      <c r="J1278" s="2">
        <v>33.799999999999997</v>
      </c>
      <c r="K1278" s="2">
        <v>15</v>
      </c>
      <c r="L1278" s="2">
        <v>876.9</v>
      </c>
      <c r="M1278" s="2">
        <f t="array" ref="M1278">_xlfn.IFNA(IF(vp.data[[#This Row],[Dens Input]]="",INDEX([1]DATA!$O$3:$O$9826,MATCH(1,(vp.data[[#This Row],[Battery]]=[1]DATA!$L$3:$L$9826)*(EOMONTH(vp.data[[#This Row],[SDate]],-1)+1=[1]DATA!$G$3:$G$9826),0)),vp.data[[#This Row],[Dens Input]]),"")</f>
        <v>876.9</v>
      </c>
      <c r="N1278" s="2">
        <f ca="1">INDEX(INDIRECT(_xlfn.CONCAT("weather.tbl[",N$1,"]")),MATCH(vp.data[[#This Row],[SDate]],weather.tbl[Date],0))</f>
        <v>9.3166666666666664</v>
      </c>
      <c r="O1278" s="2">
        <f ca="1">INDEX(INDIRECT(_xlfn.CONCAT("weather.tbl[",O$1,"]")),MATCH(vp.data[[#This Row],[SDate]],weather.tbl[Date],0))</f>
        <v>4.7857142857142856</v>
      </c>
      <c r="P1278" s="2">
        <f ca="1">INDEX(INDIRECT(_xlfn.CONCAT("weather.tbl[",P$1,"]")),MATCH(vp.data[[#This Row],[SDate]],weather.tbl[Date],0))</f>
        <v>9.9</v>
      </c>
      <c r="Q1278" s="2">
        <f ca="1">INDEX(INDIRECT(_xlfn.CONCAT("weather.tbl[",Q$1,"]")),MATCH(vp.data[[#This Row],[SDate]],weather.tbl[Date],0))</f>
        <v>9</v>
      </c>
      <c r="R1278" s="2">
        <f ca="1">INDEX(INDIRECT(_xlfn.CONCAT("weather.tbl[",R$1,"]")),MATCH(vp.data[[#This Row],[SDate]],weather.tbl[Date],0))</f>
        <v>9.3000000000000007</v>
      </c>
      <c r="S1278" s="2">
        <f ca="1">INDEX(INDIRECT(_xlfn.CONCAT("weather.tbl[",S$1,"]")),MATCH(vp.data[[#This Row],[SDate]],weather.tbl[Date],0))</f>
        <v>9.1</v>
      </c>
      <c r="T1278" s="2">
        <f ca="1">INDEX(INDIRECT(_xlfn.CONCAT("weather.tbl[",T$1,"]")),MATCH(vp.data[[#This Row],[SDate]],weather.tbl[Date],0))</f>
        <v>9.1</v>
      </c>
      <c r="U1278" s="2">
        <f ca="1">INDEX(INDIRECT(_xlfn.CONCAT("weather.tbl[",U$1,"]")),MATCH(vp.data[[#This Row],[SDate]],weather.tbl[Date],0))</f>
        <v>9.5</v>
      </c>
      <c r="V1278" s="2">
        <f t="array" ref="V12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1109.4580000000001</v>
      </c>
      <c r="W1278" t="s">
        <v>48</v>
      </c>
      <c r="X1278">
        <f>IF(OR(vp.data[[#This Row],[Sulf]]="",vp.data[[#This Row],[Dens]]=""),1,0)</f>
        <v>0</v>
      </c>
      <c r="Y1278">
        <f>IF(vp.data[[#This Row],[CrudeType]]="C5+",1,0)</f>
        <v>0</v>
      </c>
      <c r="Z1278">
        <f>IF(AND(vp.data[[#This Row],[CrudeType]]="Crude",vp.data[[#This Row],[Dens]]&lt;=825,vp.data[[#This Row],[Sulf]]&gt;0.5,vp.data[[#This Row],[Unknown]]=0),1,0)</f>
        <v>0</v>
      </c>
      <c r="AA1278">
        <f>IF(AND(vp.data[[#This Row],[CrudeType]]="Crude",vp.data[[#This Row],[Dens]]&lt;=825,vp.data[[#This Row],[Sulf]]&lt;=0.5,vp.data[[#This Row],[Unknown]]=0),1,0)</f>
        <v>0</v>
      </c>
      <c r="AB12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78">
        <f>IF(AND(vp.data[[#This Row],[CrudeType]]="Crude",vp.data[[#This Row],[Dens]]&gt;825,vp.data[[#This Row],[Dens]]&lt;=900,vp.data[[#This Row],[Sulf]]&lt;=0.5,vp.data[[#This Row],[Unknown]]=0),1,0)</f>
        <v>0</v>
      </c>
      <c r="AD1278">
        <f>IF(AND(vp.data[[#This Row],[CrudeType]]="Crude",vp.data[[#This Row],[Dens]]&gt;865,vp.data[[#This Row],[Dens]]&lt;=900,vp.data[[#This Row],[Sulf]]&gt;2,vp.data[[#This Row],[Unknown]]=0),1,0)</f>
        <v>1</v>
      </c>
      <c r="AE1278">
        <f>IF(AND(vp.data[[#This Row],[CrudeType]]="Crude",vp.data[[#This Row],[Dens]]&gt;900,vp.data[[#This Row],[Sulf]]&lt;=0.5,vp.data[[#This Row],[Unknown]]=0),1,0)</f>
        <v>0</v>
      </c>
      <c r="AF1278">
        <f>IF(AND(vp.data[[#This Row],[CrudeType]]="Crude",vp.data[[#This Row],[Dens]]&gt;900,vp.data[[#This Row],[Sulf]]&lt;=0.5,vp.data[[#This Row],[Unknown]]=0),1,0)</f>
        <v>0</v>
      </c>
      <c r="AG1278" t="str">
        <f>INDEX(vp.data[[#Headers],[Unknown]:[Heavy_SW]],MATCH(1,vp.data[[#This Row],[Unknown]:[Heavy_SW]],0))</f>
        <v>Midale</v>
      </c>
      <c r="AH1278">
        <f>INDEX([3]!crudeBD.lkup[Number],MATCH(vp.data[[#This Row],[Crude_Breakdown]],crudeBD.lkup[Crude Breakdown],0))</f>
        <v>5</v>
      </c>
      <c r="AI1278">
        <f>MONTH(vp.data[[#This Row],[SDate]])</f>
        <v>4</v>
      </c>
      <c r="AJ1278" s="5">
        <f>(vp.data[[#This Row],[VP]]-INDEX(crudeBD.lkup[Mean_VP],MATCH(vp.data[[#This Row],[Crude_Breakdown]],crudeBD.lkup[Crude Breakdown],0)))^2</f>
        <v>1.9355407057072063</v>
      </c>
      <c r="AK1278" s="5">
        <f>(vp.data[[#This Row],[Dens]]-INDEX(crudeBD.lkup[Mean_Dens],MATCH(vp.data[[#This Row],[Crude_Breakdown]],crudeBD.lkup[Crude Breakdown],0)))^2</f>
        <v>4.3388460516512986</v>
      </c>
      <c r="AL1278" s="5">
        <f>(vp.data[[#This Row],[Sulf]]-INDEX(crudeBD.lkup[Mean_Sulf],MATCH(vp.data[[#This Row],[Crude_Breakdown]],crudeBD.lkup[Crude Breakdown],0)))^2</f>
        <v>4.8671228407279721E-2</v>
      </c>
      <c r="AM1278" s="4">
        <f>IF(AND(vp.data[[#This Row],[SDate]]&gt;=DATE(YEAR(vp.data[[#This Row],[SDate]]),5,1),vp.data[[#This Row],[SDate]]&lt;=DATE(YEAR(vp.data[[#This Row],[SDate]]),9,15)),1,0)</f>
        <v>0</v>
      </c>
      <c r="AN1278" s="4">
        <f>IF(vp.data[[#This Row],[SDate]]&lt;DATE(2016,12,1),0,1)</f>
        <v>1</v>
      </c>
      <c r="AO1278" s="4">
        <f>IFERROR(vp.data[[#This Row],[Sulf]]*vp.data[[#This Row],[Net Dens]],"")</f>
        <v>2162720.5100046</v>
      </c>
      <c r="AP1278">
        <f>IFERROR(vp.data[[#This Row],[Dens]]*vp.data[[#This Row],[VolumeM3]],"")</f>
        <v>972883.7202000001</v>
      </c>
      <c r="AQ1278" s="15">
        <f>IFERROR(vp.data[[#This Row],[VP]]*vp.data[[#This Row],[VolumeM3]],"")</f>
        <v>78549.626400000008</v>
      </c>
    </row>
    <row r="1279" spans="1:43" x14ac:dyDescent="0.25">
      <c r="A1279">
        <v>1278</v>
      </c>
      <c r="B1279" t="s">
        <v>49</v>
      </c>
      <c r="C1279" t="s">
        <v>49</v>
      </c>
      <c r="D1279" t="s">
        <v>86</v>
      </c>
      <c r="F1279" s="1">
        <v>42846</v>
      </c>
      <c r="G1279" s="2">
        <v>67.400000000000006</v>
      </c>
      <c r="H1279" s="2">
        <v>2.8450000000000002</v>
      </c>
      <c r="I1279" s="2">
        <f t="array" ref="I1279">_xlfn.IFNA(IF(vp.data[[#This Row],[Sulf Input]]="",INDEX([1]DATA!$Q$3:$Q$9826,MATCH(1,(vp.data[[#This Row],[Battery]]=[1]DATA!$L$3:$L$9826)*(EOMONTH(vp.data[[#This Row],[SDate]],-1)+1=[1]DATA!$G$3:$G$9826),0)),vp.data[[#This Row],[Sulf Input]]),"")</f>
        <v>2.8450000000000002</v>
      </c>
      <c r="J1279" s="2">
        <v>34.4</v>
      </c>
      <c r="K1279" s="2">
        <v>15</v>
      </c>
      <c r="L1279" s="2">
        <v>886.2</v>
      </c>
      <c r="M1279" s="2">
        <f t="array" ref="M1279">_xlfn.IFNA(IF(vp.data[[#This Row],[Dens Input]]="",INDEX([1]DATA!$O$3:$O$9826,MATCH(1,(vp.data[[#This Row],[Battery]]=[1]DATA!$L$3:$L$9826)*(EOMONTH(vp.data[[#This Row],[SDate]],-1)+1=[1]DATA!$G$3:$G$9826),0)),vp.data[[#This Row],[Dens Input]]),"")</f>
        <v>886.2</v>
      </c>
      <c r="N1279" s="2">
        <f ca="1">INDEX(INDIRECT(_xlfn.CONCAT("weather.tbl[",N$1,"]")),MATCH(vp.data[[#This Row],[SDate]],weather.tbl[Date],0))</f>
        <v>9.3166666666666664</v>
      </c>
      <c r="O1279" s="2">
        <f ca="1">INDEX(INDIRECT(_xlfn.CONCAT("weather.tbl[",O$1,"]")),MATCH(vp.data[[#This Row],[SDate]],weather.tbl[Date],0))</f>
        <v>4.7857142857142856</v>
      </c>
      <c r="P1279" s="2">
        <f ca="1">INDEX(INDIRECT(_xlfn.CONCAT("weather.tbl[",P$1,"]")),MATCH(vp.data[[#This Row],[SDate]],weather.tbl[Date],0))</f>
        <v>9.9</v>
      </c>
      <c r="Q1279" s="2">
        <f ca="1">INDEX(INDIRECT(_xlfn.CONCAT("weather.tbl[",Q$1,"]")),MATCH(vp.data[[#This Row],[SDate]],weather.tbl[Date],0))</f>
        <v>9</v>
      </c>
      <c r="R1279" s="2">
        <f ca="1">INDEX(INDIRECT(_xlfn.CONCAT("weather.tbl[",R$1,"]")),MATCH(vp.data[[#This Row],[SDate]],weather.tbl[Date],0))</f>
        <v>9.3000000000000007</v>
      </c>
      <c r="S1279" s="2">
        <f ca="1">INDEX(INDIRECT(_xlfn.CONCAT("weather.tbl[",S$1,"]")),MATCH(vp.data[[#This Row],[SDate]],weather.tbl[Date],0))</f>
        <v>9.1</v>
      </c>
      <c r="T1279" s="2">
        <f ca="1">INDEX(INDIRECT(_xlfn.CONCAT("weather.tbl[",T$1,"]")),MATCH(vp.data[[#This Row],[SDate]],weather.tbl[Date],0))</f>
        <v>9.1</v>
      </c>
      <c r="U1279" s="2">
        <f ca="1">INDEX(INDIRECT(_xlfn.CONCAT("weather.tbl[",U$1,"]")),MATCH(vp.data[[#This Row],[SDate]],weather.tbl[Date],0))</f>
        <v>9.5</v>
      </c>
      <c r="V1279" s="2">
        <f t="array" ref="V12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4754.5860000000002</v>
      </c>
      <c r="W1279" t="s">
        <v>48</v>
      </c>
      <c r="X1279">
        <f>IF(OR(vp.data[[#This Row],[Sulf]]="",vp.data[[#This Row],[Dens]]=""),1,0)</f>
        <v>0</v>
      </c>
      <c r="Y1279">
        <f>IF(vp.data[[#This Row],[CrudeType]]="C5+",1,0)</f>
        <v>0</v>
      </c>
      <c r="Z1279">
        <f>IF(AND(vp.data[[#This Row],[CrudeType]]="Crude",vp.data[[#This Row],[Dens]]&lt;=825,vp.data[[#This Row],[Sulf]]&gt;0.5,vp.data[[#This Row],[Unknown]]=0),1,0)</f>
        <v>0</v>
      </c>
      <c r="AA1279">
        <f>IF(AND(vp.data[[#This Row],[CrudeType]]="Crude",vp.data[[#This Row],[Dens]]&lt;=825,vp.data[[#This Row],[Sulf]]&lt;=0.5,vp.data[[#This Row],[Unknown]]=0),1,0)</f>
        <v>0</v>
      </c>
      <c r="AB12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79">
        <f>IF(AND(vp.data[[#This Row],[CrudeType]]="Crude",vp.data[[#This Row],[Dens]]&gt;825,vp.data[[#This Row],[Dens]]&lt;=900,vp.data[[#This Row],[Sulf]]&lt;=0.5,vp.data[[#This Row],[Unknown]]=0),1,0)</f>
        <v>0</v>
      </c>
      <c r="AD1279">
        <f>IF(AND(vp.data[[#This Row],[CrudeType]]="Crude",vp.data[[#This Row],[Dens]]&gt;865,vp.data[[#This Row],[Dens]]&lt;=900,vp.data[[#This Row],[Sulf]]&gt;2,vp.data[[#This Row],[Unknown]]=0),1,0)</f>
        <v>1</v>
      </c>
      <c r="AE1279">
        <f>IF(AND(vp.data[[#This Row],[CrudeType]]="Crude",vp.data[[#This Row],[Dens]]&gt;900,vp.data[[#This Row],[Sulf]]&lt;=0.5,vp.data[[#This Row],[Unknown]]=0),1,0)</f>
        <v>0</v>
      </c>
      <c r="AF1279">
        <f>IF(AND(vp.data[[#This Row],[CrudeType]]="Crude",vp.data[[#This Row],[Dens]]&gt;900,vp.data[[#This Row],[Sulf]]&lt;=0.5,vp.data[[#This Row],[Unknown]]=0),1,0)</f>
        <v>0</v>
      </c>
      <c r="AG1279" t="str">
        <f>INDEX(vp.data[[#Headers],[Unknown]:[Heavy_SW]],MATCH(1,vp.data[[#This Row],[Unknown]:[Heavy_SW]],0))</f>
        <v>Midale</v>
      </c>
      <c r="AH1279">
        <f>INDEX([3]!crudeBD.lkup[Number],MATCH(vp.data[[#This Row],[Crude_Breakdown]],crudeBD.lkup[Crude Breakdown],0))</f>
        <v>5</v>
      </c>
      <c r="AI1279">
        <f>MONTH(vp.data[[#This Row],[SDate]])</f>
        <v>4</v>
      </c>
      <c r="AJ1279" s="5">
        <f>(vp.data[[#This Row],[VP]]-INDEX(crudeBD.lkup[Mean_VP],MATCH(vp.data[[#This Row],[Crude_Breakdown]],crudeBD.lkup[Crude Breakdown],0)))^2</f>
        <v>4.0351283345733844</v>
      </c>
      <c r="AK1279" s="5">
        <f>(vp.data[[#This Row],[Dens]]-INDEX(crudeBD.lkup[Mean_Dens],MATCH(vp.data[[#This Row],[Crude_Breakdown]],crudeBD.lkup[Crude Breakdown],0)))^2</f>
        <v>129.57245429906939</v>
      </c>
      <c r="AL1279" s="5">
        <f>(vp.data[[#This Row],[Sulf]]-INDEX(crudeBD.lkup[Mean_Sulf],MATCH(vp.data[[#This Row],[Crude_Breakdown]],crudeBD.lkup[Crude Breakdown],0)))^2</f>
        <v>0.16110946304645676</v>
      </c>
      <c r="AM1279" s="4">
        <f>IF(AND(vp.data[[#This Row],[SDate]]&gt;=DATE(YEAR(vp.data[[#This Row],[SDate]]),5,1),vp.data[[#This Row],[SDate]]&lt;=DATE(YEAR(vp.data[[#This Row],[SDate]]),9,15)),1,0)</f>
        <v>0</v>
      </c>
      <c r="AN1279" s="4">
        <f>IF(vp.data[[#This Row],[SDate]]&lt;DATE(2016,12,1),0,1)</f>
        <v>1</v>
      </c>
      <c r="AO1279" s="4">
        <f>IFERROR(vp.data[[#This Row],[Sulf]]*vp.data[[#This Row],[Net Dens]],"")</f>
        <v>11987447.652054003</v>
      </c>
      <c r="AP1279">
        <f>IFERROR(vp.data[[#This Row],[Dens]]*vp.data[[#This Row],[VolumeM3]],"")</f>
        <v>4213514.1132000005</v>
      </c>
      <c r="AQ1279" s="15">
        <f>IFERROR(vp.data[[#This Row],[VP]]*vp.data[[#This Row],[VolumeM3]],"")</f>
        <v>320459.09640000004</v>
      </c>
    </row>
    <row r="1280" spans="1:43" x14ac:dyDescent="0.25">
      <c r="A1280">
        <v>1279</v>
      </c>
      <c r="B1280" t="s">
        <v>62</v>
      </c>
      <c r="C1280" t="s">
        <v>62</v>
      </c>
      <c r="D1280" t="s">
        <v>83</v>
      </c>
      <c r="F1280" s="1">
        <v>42846</v>
      </c>
      <c r="G1280" s="2">
        <v>81.3</v>
      </c>
      <c r="H1280" s="2"/>
      <c r="I1280" s="2">
        <f t="array" ref="I1280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1280" s="2">
        <v>6.1</v>
      </c>
      <c r="K1280" s="2">
        <v>8</v>
      </c>
      <c r="L1280" s="2">
        <v>809</v>
      </c>
      <c r="M1280" s="2">
        <f t="array" ref="M1280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1280" s="2">
        <f ca="1">INDEX(INDIRECT(_xlfn.CONCAT("weather.tbl[",N$1,"]")),MATCH(vp.data[[#This Row],[SDate]],weather.tbl[Date],0))</f>
        <v>9.3166666666666664</v>
      </c>
      <c r="O1280" s="2">
        <f ca="1">INDEX(INDIRECT(_xlfn.CONCAT("weather.tbl[",O$1,"]")),MATCH(vp.data[[#This Row],[SDate]],weather.tbl[Date],0))</f>
        <v>4.7857142857142856</v>
      </c>
      <c r="P1280" s="2">
        <f ca="1">INDEX(INDIRECT(_xlfn.CONCAT("weather.tbl[",P$1,"]")),MATCH(vp.data[[#This Row],[SDate]],weather.tbl[Date],0))</f>
        <v>9.9</v>
      </c>
      <c r="Q1280" s="2">
        <f ca="1">INDEX(INDIRECT(_xlfn.CONCAT("weather.tbl[",Q$1,"]")),MATCH(vp.data[[#This Row],[SDate]],weather.tbl[Date],0))</f>
        <v>9</v>
      </c>
      <c r="R1280" s="2">
        <f ca="1">INDEX(INDIRECT(_xlfn.CONCAT("weather.tbl[",R$1,"]")),MATCH(vp.data[[#This Row],[SDate]],weather.tbl[Date],0))</f>
        <v>9.3000000000000007</v>
      </c>
      <c r="S1280" s="2">
        <f ca="1">INDEX(INDIRECT(_xlfn.CONCAT("weather.tbl[",S$1,"]")),MATCH(vp.data[[#This Row],[SDate]],weather.tbl[Date],0))</f>
        <v>9.1</v>
      </c>
      <c r="T1280" s="2">
        <f ca="1">INDEX(INDIRECT(_xlfn.CONCAT("weather.tbl[",T$1,"]")),MATCH(vp.data[[#This Row],[SDate]],weather.tbl[Date],0))</f>
        <v>9.1</v>
      </c>
      <c r="U1280" s="2">
        <f ca="1">INDEX(INDIRECT(_xlfn.CONCAT("weather.tbl[",U$1,"]")),MATCH(vp.data[[#This Row],[SDate]],weather.tbl[Date],0))</f>
        <v>9.5</v>
      </c>
      <c r="V1280" s="2">
        <f t="array" ref="V12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8089.0709999999999</v>
      </c>
      <c r="W1280" t="s">
        <v>48</v>
      </c>
      <c r="X1280">
        <f>IF(OR(vp.data[[#This Row],[Sulf]]="",vp.data[[#This Row],[Dens]]=""),1,0)</f>
        <v>0</v>
      </c>
      <c r="Y1280">
        <f>IF(vp.data[[#This Row],[CrudeType]]="C5+",1,0)</f>
        <v>0</v>
      </c>
      <c r="Z1280">
        <f>IF(AND(vp.data[[#This Row],[CrudeType]]="Crude",vp.data[[#This Row],[Dens]]&lt;=825,vp.data[[#This Row],[Sulf]]&gt;0.5,vp.data[[#This Row],[Unknown]]=0),1,0)</f>
        <v>0</v>
      </c>
      <c r="AA1280">
        <f>IF(AND(vp.data[[#This Row],[CrudeType]]="Crude",vp.data[[#This Row],[Dens]]&lt;=825,vp.data[[#This Row],[Sulf]]&lt;=0.5,vp.data[[#This Row],[Unknown]]=0),1,0)</f>
        <v>1</v>
      </c>
      <c r="AB12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0">
        <f>IF(AND(vp.data[[#This Row],[CrudeType]]="Crude",vp.data[[#This Row],[Dens]]&gt;825,vp.data[[#This Row],[Dens]]&lt;=900,vp.data[[#This Row],[Sulf]]&lt;=0.5,vp.data[[#This Row],[Unknown]]=0),1,0)</f>
        <v>0</v>
      </c>
      <c r="AD1280">
        <f>IF(AND(vp.data[[#This Row],[CrudeType]]="Crude",vp.data[[#This Row],[Dens]]&gt;865,vp.data[[#This Row],[Dens]]&lt;=900,vp.data[[#This Row],[Sulf]]&gt;2,vp.data[[#This Row],[Unknown]]=0),1,0)</f>
        <v>0</v>
      </c>
      <c r="AE1280">
        <f>IF(AND(vp.data[[#This Row],[CrudeType]]="Crude",vp.data[[#This Row],[Dens]]&gt;900,vp.data[[#This Row],[Sulf]]&lt;=0.5,vp.data[[#This Row],[Unknown]]=0),1,0)</f>
        <v>0</v>
      </c>
      <c r="AF1280">
        <f>IF(AND(vp.data[[#This Row],[CrudeType]]="Crude",vp.data[[#This Row],[Dens]]&gt;900,vp.data[[#This Row],[Sulf]]&lt;=0.5,vp.data[[#This Row],[Unknown]]=0),1,0)</f>
        <v>0</v>
      </c>
      <c r="AG1280" t="str">
        <f>INDEX(vp.data[[#Headers],[Unknown]:[Heavy_SW]],MATCH(1,vp.data[[#This Row],[Unknown]:[Heavy_SW]],0))</f>
        <v>Light_SW</v>
      </c>
      <c r="AH1280">
        <f>INDEX([3]!crudeBD.lkup[Number],MATCH(vp.data[[#This Row],[Crude_Breakdown]],crudeBD.lkup[Crude Breakdown],0))</f>
        <v>2</v>
      </c>
      <c r="AI1280">
        <f>MONTH(vp.data[[#This Row],[SDate]])</f>
        <v>4</v>
      </c>
      <c r="AJ1280" s="5">
        <f>(vp.data[[#This Row],[VP]]-INDEX(crudeBD.lkup[Mean_VP],MATCH(vp.data[[#This Row],[Crude_Breakdown]],crudeBD.lkup[Crude Breakdown],0)))^2</f>
        <v>126.56955584746629</v>
      </c>
      <c r="AK1280" s="5">
        <f>(vp.data[[#This Row],[Dens]]-INDEX(crudeBD.lkup[Mean_Dens],MATCH(vp.data[[#This Row],[Crude_Breakdown]],crudeBD.lkup[Crude Breakdown],0)))^2</f>
        <v>0.4740346489580396</v>
      </c>
      <c r="AL1280" s="5">
        <f>(vp.data[[#This Row],[Sulf]]-INDEX(crudeBD.lkup[Mean_Sulf],MATCH(vp.data[[#This Row],[Crude_Breakdown]],crudeBD.lkup[Crude Breakdown],0)))^2</f>
        <v>5.8128138736660397E-3</v>
      </c>
      <c r="AM1280" s="4">
        <f>IF(AND(vp.data[[#This Row],[SDate]]&gt;=DATE(YEAR(vp.data[[#This Row],[SDate]]),5,1),vp.data[[#This Row],[SDate]]&lt;=DATE(YEAR(vp.data[[#This Row],[SDate]]),9,15)),1,0)</f>
        <v>0</v>
      </c>
      <c r="AN1280" s="4">
        <f>IF(vp.data[[#This Row],[SDate]]&lt;DATE(2016,12,1),0,1)</f>
        <v>1</v>
      </c>
      <c r="AO1280" s="4">
        <f>IFERROR(vp.data[[#This Row],[Sulf]]*vp.data[[#This Row],[Net Dens]],"")</f>
        <v>1047049.3502400001</v>
      </c>
      <c r="AP1280">
        <f>IFERROR(vp.data[[#This Row],[Dens]]*vp.data[[#This Row],[VolumeM3]],"")</f>
        <v>6544058.4390000002</v>
      </c>
      <c r="AQ1280" s="15">
        <f>IFERROR(vp.data[[#This Row],[VP]]*vp.data[[#This Row],[VolumeM3]],"")</f>
        <v>657641.47230000002</v>
      </c>
    </row>
    <row r="1281" spans="1:43" x14ac:dyDescent="0.25">
      <c r="A1281">
        <v>1280</v>
      </c>
      <c r="B1281" t="s">
        <v>134</v>
      </c>
      <c r="C1281" t="s">
        <v>134</v>
      </c>
      <c r="D1281" t="s">
        <v>263</v>
      </c>
      <c r="F1281" s="1">
        <v>42846</v>
      </c>
      <c r="G1281" s="2">
        <v>56.1</v>
      </c>
      <c r="H1281" s="2"/>
      <c r="I1281" s="2">
        <f t="array" ref="I1281">_xlfn.IFNA(IF(vp.data[[#This Row],[Sulf Input]]="",INDEX([1]DATA!$Q$3:$Q$9826,MATCH(1,(vp.data[[#This Row],[Battery]]=[1]DATA!$L$3:$L$9826)*(EOMONTH(vp.data[[#This Row],[SDate]],-1)+1=[1]DATA!$G$3:$G$9826),0)),vp.data[[#This Row],[Sulf Input]]),"")</f>
        <v>2.1800000000000002</v>
      </c>
      <c r="J1281" s="2">
        <v>15.8</v>
      </c>
      <c r="K1281" s="2">
        <v>15</v>
      </c>
      <c r="L1281" s="2">
        <v>867.8</v>
      </c>
      <c r="M1281" s="2">
        <f t="array" ref="M1281">_xlfn.IFNA(IF(vp.data[[#This Row],[Dens Input]]="",INDEX([1]DATA!$O$3:$O$9826,MATCH(1,(vp.data[[#This Row],[Battery]]=[1]DATA!$L$3:$L$9826)*(EOMONTH(vp.data[[#This Row],[SDate]],-1)+1=[1]DATA!$G$3:$G$9826),0)),vp.data[[#This Row],[Dens Input]]),"")</f>
        <v>867.8</v>
      </c>
      <c r="N1281" s="2">
        <f ca="1">INDEX(INDIRECT(_xlfn.CONCAT("weather.tbl[",N$1,"]")),MATCH(vp.data[[#This Row],[SDate]],weather.tbl[Date],0))</f>
        <v>9.3166666666666664</v>
      </c>
      <c r="O1281" s="2">
        <f ca="1">INDEX(INDIRECT(_xlfn.CONCAT("weather.tbl[",O$1,"]")),MATCH(vp.data[[#This Row],[SDate]],weather.tbl[Date],0))</f>
        <v>4.7857142857142856</v>
      </c>
      <c r="P1281" s="2">
        <f ca="1">INDEX(INDIRECT(_xlfn.CONCAT("weather.tbl[",P$1,"]")),MATCH(vp.data[[#This Row],[SDate]],weather.tbl[Date],0))</f>
        <v>9.9</v>
      </c>
      <c r="Q1281" s="2">
        <f ca="1">INDEX(INDIRECT(_xlfn.CONCAT("weather.tbl[",Q$1,"]")),MATCH(vp.data[[#This Row],[SDate]],weather.tbl[Date],0))</f>
        <v>9</v>
      </c>
      <c r="R1281" s="2">
        <f ca="1">INDEX(INDIRECT(_xlfn.CONCAT("weather.tbl[",R$1,"]")),MATCH(vp.data[[#This Row],[SDate]],weather.tbl[Date],0))</f>
        <v>9.3000000000000007</v>
      </c>
      <c r="S1281" s="2">
        <f ca="1">INDEX(INDIRECT(_xlfn.CONCAT("weather.tbl[",S$1,"]")),MATCH(vp.data[[#This Row],[SDate]],weather.tbl[Date],0))</f>
        <v>9.1</v>
      </c>
      <c r="T1281" s="2">
        <f ca="1">INDEX(INDIRECT(_xlfn.CONCAT("weather.tbl[",T$1,"]")),MATCH(vp.data[[#This Row],[SDate]],weather.tbl[Date],0))</f>
        <v>9.1</v>
      </c>
      <c r="U1281" s="2">
        <f ca="1">INDEX(INDIRECT(_xlfn.CONCAT("weather.tbl[",U$1,"]")),MATCH(vp.data[[#This Row],[SDate]],weather.tbl[Date],0))</f>
        <v>9.5</v>
      </c>
      <c r="V1281" s="2">
        <f t="array" ref="V12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141.066</v>
      </c>
      <c r="W1281" t="s">
        <v>48</v>
      </c>
      <c r="X1281">
        <f>IF(OR(vp.data[[#This Row],[Sulf]]="",vp.data[[#This Row],[Dens]]=""),1,0)</f>
        <v>0</v>
      </c>
      <c r="Y1281">
        <f>IF(vp.data[[#This Row],[CrudeType]]="C5+",1,0)</f>
        <v>0</v>
      </c>
      <c r="Z1281">
        <f>IF(AND(vp.data[[#This Row],[CrudeType]]="Crude",vp.data[[#This Row],[Dens]]&lt;=825,vp.data[[#This Row],[Sulf]]&gt;0.5,vp.data[[#This Row],[Unknown]]=0),1,0)</f>
        <v>0</v>
      </c>
      <c r="AA1281">
        <f>IF(AND(vp.data[[#This Row],[CrudeType]]="Crude",vp.data[[#This Row],[Dens]]&lt;=825,vp.data[[#This Row],[Sulf]]&lt;=0.5,vp.data[[#This Row],[Unknown]]=0),1,0)</f>
        <v>0</v>
      </c>
      <c r="AB12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1">
        <f>IF(AND(vp.data[[#This Row],[CrudeType]]="Crude",vp.data[[#This Row],[Dens]]&gt;825,vp.data[[#This Row],[Dens]]&lt;=900,vp.data[[#This Row],[Sulf]]&lt;=0.5,vp.data[[#This Row],[Unknown]]=0),1,0)</f>
        <v>0</v>
      </c>
      <c r="AD1281">
        <f>IF(AND(vp.data[[#This Row],[CrudeType]]="Crude",vp.data[[#This Row],[Dens]]&gt;865,vp.data[[#This Row],[Dens]]&lt;=900,vp.data[[#This Row],[Sulf]]&gt;2,vp.data[[#This Row],[Unknown]]=0),1,0)</f>
        <v>1</v>
      </c>
      <c r="AE1281">
        <f>IF(AND(vp.data[[#This Row],[CrudeType]]="Crude",vp.data[[#This Row],[Dens]]&gt;900,vp.data[[#This Row],[Sulf]]&lt;=0.5,vp.data[[#This Row],[Unknown]]=0),1,0)</f>
        <v>0</v>
      </c>
      <c r="AF1281">
        <f>IF(AND(vp.data[[#This Row],[CrudeType]]="Crude",vp.data[[#This Row],[Dens]]&gt;900,vp.data[[#This Row],[Sulf]]&lt;=0.5,vp.data[[#This Row],[Unknown]]=0),1,0)</f>
        <v>0</v>
      </c>
      <c r="AG1281" t="str">
        <f>INDEX(vp.data[[#Headers],[Unknown]:[Heavy_SW]],MATCH(1,vp.data[[#This Row],[Unknown]:[Heavy_SW]],0))</f>
        <v>Midale</v>
      </c>
      <c r="AH1281">
        <f>INDEX([3]!crudeBD.lkup[Number],MATCH(vp.data[[#This Row],[Crude_Breakdown]],crudeBD.lkup[Crude Breakdown],0))</f>
        <v>5</v>
      </c>
      <c r="AI1281">
        <f>MONTH(vp.data[[#This Row],[SDate]])</f>
        <v>4</v>
      </c>
      <c r="AJ1281" s="5">
        <f>(vp.data[[#This Row],[VP]]-INDEX(crudeBD.lkup[Mean_VP],MATCH(vp.data[[#This Row],[Crude_Breakdown]],crudeBD.lkup[Crude Breakdown],0)))^2</f>
        <v>177.12316957168747</v>
      </c>
      <c r="AK1281" s="5">
        <f>(vp.data[[#This Row],[Dens]]-INDEX(crudeBD.lkup[Mean_Dens],MATCH(vp.data[[#This Row],[Crude_Breakdown]],crudeBD.lkup[Crude Breakdown],0)))^2</f>
        <v>49.238433680523599</v>
      </c>
      <c r="AL1281" s="5">
        <f>(vp.data[[#This Row],[Sulf]]-INDEX(crudeBD.lkup[Mean_Sulf],MATCH(vp.data[[#This Row],[Crude_Breakdown]],crudeBD.lkup[Crude Breakdown],0)))^2</f>
        <v>6.9493167170166056E-2</v>
      </c>
      <c r="AM1281" s="4">
        <f>IF(AND(vp.data[[#This Row],[SDate]]&gt;=DATE(YEAR(vp.data[[#This Row],[SDate]]),5,1),vp.data[[#This Row],[SDate]]&lt;=DATE(YEAR(vp.data[[#This Row],[SDate]]),9,15)),1,0)</f>
        <v>0</v>
      </c>
      <c r="AN1281" s="4">
        <f>IF(vp.data[[#This Row],[SDate]]&lt;DATE(2016,12,1),0,1)</f>
        <v>1</v>
      </c>
      <c r="AO1281" s="4">
        <f>IFERROR(vp.data[[#This Row],[Sulf]]*vp.data[[#This Row],[Net Dens]],"")</f>
        <v>266869.22306400002</v>
      </c>
      <c r="AP1281">
        <f>IFERROR(vp.data[[#This Row],[Dens]]*vp.data[[#This Row],[VolumeM3]],"")</f>
        <v>122417.0748</v>
      </c>
      <c r="AQ1281" s="15">
        <f>IFERROR(vp.data[[#This Row],[VP]]*vp.data[[#This Row],[VolumeM3]],"")</f>
        <v>7913.8026</v>
      </c>
    </row>
    <row r="1282" spans="1:43" x14ac:dyDescent="0.25">
      <c r="A1282">
        <v>1281</v>
      </c>
      <c r="B1282" t="s">
        <v>111</v>
      </c>
      <c r="C1282" t="s">
        <v>111</v>
      </c>
      <c r="D1282" t="s">
        <v>264</v>
      </c>
      <c r="F1282" s="1">
        <v>42846</v>
      </c>
      <c r="G1282" s="2">
        <v>69.900000000000006</v>
      </c>
      <c r="H1282" s="2"/>
      <c r="I1282" s="2">
        <f t="array" ref="I1282">_xlfn.IFNA(IF(vp.data[[#This Row],[Sulf Input]]="",INDEX([1]DATA!$Q$3:$Q$9826,MATCH(1,(vp.data[[#This Row],[Battery]]=[1]DATA!$L$3:$L$9826)*(EOMONTH(vp.data[[#This Row],[SDate]],-1)+1=[1]DATA!$G$3:$G$9826),0)),vp.data[[#This Row],[Sulf Input]]),"")</f>
        <v>2.85</v>
      </c>
      <c r="J1282" s="2">
        <v>30.7</v>
      </c>
      <c r="K1282" s="2">
        <v>15</v>
      </c>
      <c r="L1282" s="2">
        <v>886.5</v>
      </c>
      <c r="M1282" s="2">
        <f t="array" ref="M1282">_xlfn.IFNA(IF(vp.data[[#This Row],[Dens Input]]="",INDEX([1]DATA!$O$3:$O$9826,MATCH(1,(vp.data[[#This Row],[Battery]]=[1]DATA!$L$3:$L$9826)*(EOMONTH(vp.data[[#This Row],[SDate]],-1)+1=[1]DATA!$G$3:$G$9826),0)),vp.data[[#This Row],[Dens Input]]),"")</f>
        <v>886.5</v>
      </c>
      <c r="N1282" s="2">
        <f ca="1">INDEX(INDIRECT(_xlfn.CONCAT("weather.tbl[",N$1,"]")),MATCH(vp.data[[#This Row],[SDate]],weather.tbl[Date],0))</f>
        <v>9.3166666666666664</v>
      </c>
      <c r="O1282" s="2">
        <f ca="1">INDEX(INDIRECT(_xlfn.CONCAT("weather.tbl[",O$1,"]")),MATCH(vp.data[[#This Row],[SDate]],weather.tbl[Date],0))</f>
        <v>4.7857142857142856</v>
      </c>
      <c r="P1282" s="2">
        <f ca="1">INDEX(INDIRECT(_xlfn.CONCAT("weather.tbl[",P$1,"]")),MATCH(vp.data[[#This Row],[SDate]],weather.tbl[Date],0))</f>
        <v>9.9</v>
      </c>
      <c r="Q1282" s="2">
        <f ca="1">INDEX(INDIRECT(_xlfn.CONCAT("weather.tbl[",Q$1,"]")),MATCH(vp.data[[#This Row],[SDate]],weather.tbl[Date],0))</f>
        <v>9</v>
      </c>
      <c r="R1282" s="2">
        <f ca="1">INDEX(INDIRECT(_xlfn.CONCAT("weather.tbl[",R$1,"]")),MATCH(vp.data[[#This Row],[SDate]],weather.tbl[Date],0))</f>
        <v>9.3000000000000007</v>
      </c>
      <c r="S1282" s="2">
        <f ca="1">INDEX(INDIRECT(_xlfn.CONCAT("weather.tbl[",S$1,"]")),MATCH(vp.data[[#This Row],[SDate]],weather.tbl[Date],0))</f>
        <v>9.1</v>
      </c>
      <c r="T1282" s="2">
        <f ca="1">INDEX(INDIRECT(_xlfn.CONCAT("weather.tbl[",T$1,"]")),MATCH(vp.data[[#This Row],[SDate]],weather.tbl[Date],0))</f>
        <v>9.1</v>
      </c>
      <c r="U1282" s="2">
        <f ca="1">INDEX(INDIRECT(_xlfn.CONCAT("weather.tbl[",U$1,"]")),MATCH(vp.data[[#This Row],[SDate]],weather.tbl[Date],0))</f>
        <v>9.5</v>
      </c>
      <c r="V1282" s="2">
        <f t="array" ref="V12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3401.2339999999999</v>
      </c>
      <c r="W1282" t="s">
        <v>48</v>
      </c>
      <c r="X1282">
        <f>IF(OR(vp.data[[#This Row],[Sulf]]="",vp.data[[#This Row],[Dens]]=""),1,0)</f>
        <v>0</v>
      </c>
      <c r="Y1282">
        <f>IF(vp.data[[#This Row],[CrudeType]]="C5+",1,0)</f>
        <v>0</v>
      </c>
      <c r="Z1282">
        <f>IF(AND(vp.data[[#This Row],[CrudeType]]="Crude",vp.data[[#This Row],[Dens]]&lt;=825,vp.data[[#This Row],[Sulf]]&gt;0.5,vp.data[[#This Row],[Unknown]]=0),1,0)</f>
        <v>0</v>
      </c>
      <c r="AA1282">
        <f>IF(AND(vp.data[[#This Row],[CrudeType]]="Crude",vp.data[[#This Row],[Dens]]&lt;=825,vp.data[[#This Row],[Sulf]]&lt;=0.5,vp.data[[#This Row],[Unknown]]=0),1,0)</f>
        <v>0</v>
      </c>
      <c r="AB12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2">
        <f>IF(AND(vp.data[[#This Row],[CrudeType]]="Crude",vp.data[[#This Row],[Dens]]&gt;825,vp.data[[#This Row],[Dens]]&lt;=900,vp.data[[#This Row],[Sulf]]&lt;=0.5,vp.data[[#This Row],[Unknown]]=0),1,0)</f>
        <v>0</v>
      </c>
      <c r="AD1282">
        <f>IF(AND(vp.data[[#This Row],[CrudeType]]="Crude",vp.data[[#This Row],[Dens]]&gt;865,vp.data[[#This Row],[Dens]]&lt;=900,vp.data[[#This Row],[Sulf]]&gt;2,vp.data[[#This Row],[Unknown]]=0),1,0)</f>
        <v>1</v>
      </c>
      <c r="AE1282">
        <f>IF(AND(vp.data[[#This Row],[CrudeType]]="Crude",vp.data[[#This Row],[Dens]]&gt;900,vp.data[[#This Row],[Sulf]]&lt;=0.5,vp.data[[#This Row],[Unknown]]=0),1,0)</f>
        <v>0</v>
      </c>
      <c r="AF1282">
        <f>IF(AND(vp.data[[#This Row],[CrudeType]]="Crude",vp.data[[#This Row],[Dens]]&gt;900,vp.data[[#This Row],[Sulf]]&lt;=0.5,vp.data[[#This Row],[Unknown]]=0),1,0)</f>
        <v>0</v>
      </c>
      <c r="AG1282" t="str">
        <f>INDEX(vp.data[[#Headers],[Unknown]:[Heavy_SW]],MATCH(1,vp.data[[#This Row],[Unknown]:[Heavy_SW]],0))</f>
        <v>Midale</v>
      </c>
      <c r="AH1282">
        <f>INDEX([3]!crudeBD.lkup[Number],MATCH(vp.data[[#This Row],[Crude_Breakdown]],crudeBD.lkup[Crude Breakdown],0))</f>
        <v>5</v>
      </c>
      <c r="AI1282">
        <f>MONTH(vp.data[[#This Row],[SDate]])</f>
        <v>4</v>
      </c>
      <c r="AJ1282" s="5">
        <f>(vp.data[[#This Row],[VP]]-INDEX(crudeBD.lkup[Mean_VP],MATCH(vp.data[[#This Row],[Crude_Breakdown]],crudeBD.lkup[Crude Breakdown],0)))^2</f>
        <v>0.24131390158356492</v>
      </c>
      <c r="AK1282" s="5">
        <f>(vp.data[[#This Row],[Dens]]-INDEX(crudeBD.lkup[Mean_Dens],MATCH(vp.data[[#This Row],[Crude_Breakdown]],crudeBD.lkup[Crude Breakdown],0)))^2</f>
        <v>136.49224811350118</v>
      </c>
      <c r="AL1282" s="5">
        <f>(vp.data[[#This Row],[Sulf]]-INDEX(crudeBD.lkup[Mean_Sulf],MATCH(vp.data[[#This Row],[Crude_Breakdown]],crudeBD.lkup[Crude Breakdown],0)))^2</f>
        <v>0.16514830737635361</v>
      </c>
      <c r="AM1282" s="4">
        <f>IF(AND(vp.data[[#This Row],[SDate]]&gt;=DATE(YEAR(vp.data[[#This Row],[SDate]]),5,1),vp.data[[#This Row],[SDate]]&lt;=DATE(YEAR(vp.data[[#This Row],[SDate]]),9,15)),1,0)</f>
        <v>0</v>
      </c>
      <c r="AN1282" s="4">
        <f>IF(vp.data[[#This Row],[SDate]]&lt;DATE(2016,12,1),0,1)</f>
        <v>1</v>
      </c>
      <c r="AO1282" s="4">
        <f>IFERROR(vp.data[[#This Row],[Sulf]]*vp.data[[#This Row],[Net Dens]],"")</f>
        <v>8593302.7318500001</v>
      </c>
      <c r="AP1282">
        <f>IFERROR(vp.data[[#This Row],[Dens]]*vp.data[[#This Row],[VolumeM3]],"")</f>
        <v>3015193.9410000001</v>
      </c>
      <c r="AQ1282" s="15">
        <f>IFERROR(vp.data[[#This Row],[VP]]*vp.data[[#This Row],[VolumeM3]],"")</f>
        <v>237746.25660000002</v>
      </c>
    </row>
    <row r="1283" spans="1:43" x14ac:dyDescent="0.25">
      <c r="A1283">
        <v>1282</v>
      </c>
      <c r="B1283" t="s">
        <v>53</v>
      </c>
      <c r="C1283" t="s">
        <v>53</v>
      </c>
      <c r="D1283" t="s">
        <v>54</v>
      </c>
      <c r="E1283" t="s">
        <v>55</v>
      </c>
      <c r="F1283" s="1">
        <v>42846</v>
      </c>
      <c r="G1283" s="2">
        <v>77.2</v>
      </c>
      <c r="H1283" s="2"/>
      <c r="I1283" s="2">
        <f t="array" ref="I1283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283" s="2">
        <v>14.8</v>
      </c>
      <c r="K1283" s="2">
        <v>15</v>
      </c>
      <c r="L1283" s="2">
        <v>840.5</v>
      </c>
      <c r="M1283" s="2">
        <f t="array" ref="M1283">_xlfn.IFNA(IF(vp.data[[#This Row],[Dens Input]]="",INDEX([1]DATA!$O$3:$O$9826,MATCH(1,(vp.data[[#This Row],[Battery]]=[1]DATA!$L$3:$L$9826)*(EOMONTH(vp.data[[#This Row],[SDate]],-1)+1=[1]DATA!$G$3:$G$9826),0)),vp.data[[#This Row],[Dens Input]]),"")</f>
        <v>840.5</v>
      </c>
      <c r="N1283" s="2">
        <f ca="1">INDEX(INDIRECT(_xlfn.CONCAT("weather.tbl[",N$1,"]")),MATCH(vp.data[[#This Row],[SDate]],weather.tbl[Date],0))</f>
        <v>9.3166666666666664</v>
      </c>
      <c r="O1283" s="2">
        <f ca="1">INDEX(INDIRECT(_xlfn.CONCAT("weather.tbl[",O$1,"]")),MATCH(vp.data[[#This Row],[SDate]],weather.tbl[Date],0))</f>
        <v>4.7857142857142856</v>
      </c>
      <c r="P1283" s="2">
        <f ca="1">INDEX(INDIRECT(_xlfn.CONCAT("weather.tbl[",P$1,"]")),MATCH(vp.data[[#This Row],[SDate]],weather.tbl[Date],0))</f>
        <v>9.9</v>
      </c>
      <c r="Q1283" s="2">
        <f ca="1">INDEX(INDIRECT(_xlfn.CONCAT("weather.tbl[",Q$1,"]")),MATCH(vp.data[[#This Row],[SDate]],weather.tbl[Date],0))</f>
        <v>9</v>
      </c>
      <c r="R1283" s="2">
        <f ca="1">INDEX(INDIRECT(_xlfn.CONCAT("weather.tbl[",R$1,"]")),MATCH(vp.data[[#This Row],[SDate]],weather.tbl[Date],0))</f>
        <v>9.3000000000000007</v>
      </c>
      <c r="S1283" s="2">
        <f ca="1">INDEX(INDIRECT(_xlfn.CONCAT("weather.tbl[",S$1,"]")),MATCH(vp.data[[#This Row],[SDate]],weather.tbl[Date],0))</f>
        <v>9.1</v>
      </c>
      <c r="T1283" s="2">
        <f ca="1">INDEX(INDIRECT(_xlfn.CONCAT("weather.tbl[",T$1,"]")),MATCH(vp.data[[#This Row],[SDate]],weather.tbl[Date],0))</f>
        <v>9.1</v>
      </c>
      <c r="U1283" s="2">
        <f ca="1">INDEX(INDIRECT(_xlfn.CONCAT("weather.tbl[",U$1,"]")),MATCH(vp.data[[#This Row],[SDate]],weather.tbl[Date],0))</f>
        <v>9.5</v>
      </c>
      <c r="V1283" s="2">
        <f t="array" ref="V12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283" t="s">
        <v>48</v>
      </c>
      <c r="X1283">
        <f>IF(OR(vp.data[[#This Row],[Sulf]]="",vp.data[[#This Row],[Dens]]=""),1,0)</f>
        <v>0</v>
      </c>
      <c r="Y1283">
        <f>IF(vp.data[[#This Row],[CrudeType]]="C5+",1,0)</f>
        <v>0</v>
      </c>
      <c r="Z1283">
        <f>IF(AND(vp.data[[#This Row],[CrudeType]]="Crude",vp.data[[#This Row],[Dens]]&lt;=825,vp.data[[#This Row],[Sulf]]&gt;0.5,vp.data[[#This Row],[Unknown]]=0),1,0)</f>
        <v>0</v>
      </c>
      <c r="AA1283">
        <f>IF(AND(vp.data[[#This Row],[CrudeType]]="Crude",vp.data[[#This Row],[Dens]]&lt;=825,vp.data[[#This Row],[Sulf]]&lt;=0.5,vp.data[[#This Row],[Unknown]]=0),1,0)</f>
        <v>0</v>
      </c>
      <c r="AB12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83">
        <f>IF(AND(vp.data[[#This Row],[CrudeType]]="Crude",vp.data[[#This Row],[Dens]]&gt;825,vp.data[[#This Row],[Dens]]&lt;=900,vp.data[[#This Row],[Sulf]]&lt;=0.5,vp.data[[#This Row],[Unknown]]=0),1,0)</f>
        <v>0</v>
      </c>
      <c r="AD1283">
        <f>IF(AND(vp.data[[#This Row],[CrudeType]]="Crude",vp.data[[#This Row],[Dens]]&gt;865,vp.data[[#This Row],[Dens]]&lt;=900,vp.data[[#This Row],[Sulf]]&gt;2,vp.data[[#This Row],[Unknown]]=0),1,0)</f>
        <v>0</v>
      </c>
      <c r="AE1283">
        <f>IF(AND(vp.data[[#This Row],[CrudeType]]="Crude",vp.data[[#This Row],[Dens]]&gt;900,vp.data[[#This Row],[Sulf]]&lt;=0.5,vp.data[[#This Row],[Unknown]]=0),1,0)</f>
        <v>0</v>
      </c>
      <c r="AF1283">
        <f>IF(AND(vp.data[[#This Row],[CrudeType]]="Crude",vp.data[[#This Row],[Dens]]&gt;900,vp.data[[#This Row],[Sulf]]&lt;=0.5,vp.data[[#This Row],[Unknown]]=0),1,0)</f>
        <v>0</v>
      </c>
      <c r="AG1283" t="str">
        <f>INDEX(vp.data[[#Headers],[Unknown]:[Heavy_SW]],MATCH(1,vp.data[[#This Row],[Unknown]:[Heavy_SW]],0))</f>
        <v>Medium_LSB</v>
      </c>
      <c r="AH1283">
        <f>INDEX([3]!crudeBD.lkup[Number],MATCH(vp.data[[#This Row],[Crude_Breakdown]],crudeBD.lkup[Crude Breakdown],0))</f>
        <v>3</v>
      </c>
      <c r="AI1283">
        <f>MONTH(vp.data[[#This Row],[SDate]])</f>
        <v>4</v>
      </c>
      <c r="AJ1283" s="5">
        <f>(vp.data[[#This Row],[VP]]-INDEX(crudeBD.lkup[Mean_VP],MATCH(vp.data[[#This Row],[Crude_Breakdown]],crudeBD.lkup[Crude Breakdown],0)))^2</f>
        <v>11.831374767692255</v>
      </c>
      <c r="AK1283" s="5">
        <f>(vp.data[[#This Row],[Dens]]-INDEX(crudeBD.lkup[Mean_Dens],MATCH(vp.data[[#This Row],[Crude_Breakdown]],crudeBD.lkup[Crude Breakdown],0)))^2</f>
        <v>11.69639999999661</v>
      </c>
      <c r="AL1283" s="5">
        <f>(vp.data[[#This Row],[Sulf]]-INDEX(crudeBD.lkup[Mean_Sulf],MATCH(vp.data[[#This Row],[Crude_Breakdown]],crudeBD.lkup[Crude Breakdown],0)))^2</f>
        <v>3.4376173440706655E-2</v>
      </c>
      <c r="AM1283" s="4">
        <f>IF(AND(vp.data[[#This Row],[SDate]]&gt;=DATE(YEAR(vp.data[[#This Row],[SDate]]),5,1),vp.data[[#This Row],[SDate]]&lt;=DATE(YEAR(vp.data[[#This Row],[SDate]]),9,15)),1,0)</f>
        <v>0</v>
      </c>
      <c r="AN1283" s="4">
        <f>IF(vp.data[[#This Row],[SDate]]&lt;DATE(2016,12,1),0,1)</f>
        <v>1</v>
      </c>
      <c r="AO1283" s="4">
        <f>IFERROR(vp.data[[#This Row],[Sulf]]*vp.data[[#This Row],[Net Dens]],"")</f>
        <v>6318772.0884000007</v>
      </c>
      <c r="AP1283">
        <f>IFERROR(vp.data[[#This Row],[Dens]]*vp.data[[#This Row],[VolumeM3]],"")</f>
        <v>5265643.4070000006</v>
      </c>
      <c r="AQ1283" s="15">
        <f>IFERROR(vp.data[[#This Row],[VP]]*vp.data[[#This Row],[VolumeM3]],"")</f>
        <v>483649.81680000003</v>
      </c>
    </row>
    <row r="1284" spans="1:43" x14ac:dyDescent="0.25">
      <c r="A1284">
        <v>1283</v>
      </c>
      <c r="B1284" t="s">
        <v>49</v>
      </c>
      <c r="C1284" t="s">
        <v>49</v>
      </c>
      <c r="D1284" t="s">
        <v>80</v>
      </c>
      <c r="F1284" s="1">
        <v>42849</v>
      </c>
      <c r="G1284" s="2">
        <v>87.9</v>
      </c>
      <c r="H1284" s="2">
        <v>0.54600000000000004</v>
      </c>
      <c r="I1284" s="2">
        <f t="array" ref="I1284">_xlfn.IFNA(IF(vp.data[[#This Row],[Sulf Input]]="",INDEX([1]DATA!$Q$3:$Q$9826,MATCH(1,(vp.data[[#This Row],[Battery]]=[1]DATA!$L$3:$L$9826)*(EOMONTH(vp.data[[#This Row],[SDate]],-1)+1=[1]DATA!$G$3:$G$9826),0)),vp.data[[#This Row],[Sulf Input]]),"")</f>
        <v>0.54600000000000004</v>
      </c>
      <c r="J1284" s="2">
        <v>16</v>
      </c>
      <c r="K1284" s="2">
        <v>-1</v>
      </c>
      <c r="L1284" s="2">
        <v>815.7</v>
      </c>
      <c r="M1284" s="2">
        <f t="array" ref="M1284">_xlfn.IFNA(IF(vp.data[[#This Row],[Dens Input]]="",INDEX([1]DATA!$O$3:$O$9826,MATCH(1,(vp.data[[#This Row],[Battery]]=[1]DATA!$L$3:$L$9826)*(EOMONTH(vp.data[[#This Row],[SDate]],-1)+1=[1]DATA!$G$3:$G$9826),0)),vp.data[[#This Row],[Dens Input]]),"")</f>
        <v>815.7</v>
      </c>
      <c r="N1284" s="2">
        <f ca="1">INDEX(INDIRECT(_xlfn.CONCAT("weather.tbl[",N$1,"]")),MATCH(vp.data[[#This Row],[SDate]],weather.tbl[Date],0))</f>
        <v>-1.6166666666666665</v>
      </c>
      <c r="O1284" s="2">
        <f ca="1">INDEX(INDIRECT(_xlfn.CONCAT("weather.tbl[",O$1,"]")),MATCH(vp.data[[#This Row],[SDate]],weather.tbl[Date],0))</f>
        <v>5.2714285714285722</v>
      </c>
      <c r="P1284" s="2">
        <f ca="1">INDEX(INDIRECT(_xlfn.CONCAT("weather.tbl[",P$1,"]")),MATCH(vp.data[[#This Row],[SDate]],weather.tbl[Date],0))</f>
        <v>-1.5</v>
      </c>
      <c r="Q1284" s="2">
        <f ca="1">INDEX(INDIRECT(_xlfn.CONCAT("weather.tbl[",Q$1,"]")),MATCH(vp.data[[#This Row],[SDate]],weather.tbl[Date],0))</f>
        <v>-1.5</v>
      </c>
      <c r="R1284" s="2">
        <f ca="1">INDEX(INDIRECT(_xlfn.CONCAT("weather.tbl[",R$1,"]")),MATCH(vp.data[[#This Row],[SDate]],weather.tbl[Date],0))</f>
        <v>-2.2999999999999998</v>
      </c>
      <c r="S1284" s="2">
        <f ca="1">INDEX(INDIRECT(_xlfn.CONCAT("weather.tbl[",S$1,"]")),MATCH(vp.data[[#This Row],[SDate]],weather.tbl[Date],0))</f>
        <v>-1.3</v>
      </c>
      <c r="T1284" s="2">
        <f ca="1">INDEX(INDIRECT(_xlfn.CONCAT("weather.tbl[",T$1,"]")),MATCH(vp.data[[#This Row],[SDate]],weather.tbl[Date],0))</f>
        <v>-0.8</v>
      </c>
      <c r="U1284" s="2">
        <f ca="1">INDEX(INDIRECT(_xlfn.CONCAT("weather.tbl[",U$1,"]")),MATCH(vp.data[[#This Row],[SDate]],weather.tbl[Date],0))</f>
        <v>-2.2999999999999998</v>
      </c>
      <c r="V1284" s="2">
        <f t="array" ref="V12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21198.933000000001</v>
      </c>
      <c r="W1284" t="s">
        <v>48</v>
      </c>
      <c r="X1284">
        <f>IF(OR(vp.data[[#This Row],[Sulf]]="",vp.data[[#This Row],[Dens]]=""),1,0)</f>
        <v>0</v>
      </c>
      <c r="Y1284">
        <f>IF(vp.data[[#This Row],[CrudeType]]="C5+",1,0)</f>
        <v>0</v>
      </c>
      <c r="Z1284">
        <f>IF(AND(vp.data[[#This Row],[CrudeType]]="Crude",vp.data[[#This Row],[Dens]]&lt;=825,vp.data[[#This Row],[Sulf]]&gt;0.5,vp.data[[#This Row],[Unknown]]=0),1,0)</f>
        <v>1</v>
      </c>
      <c r="AA1284">
        <f>IF(AND(vp.data[[#This Row],[CrudeType]]="Crude",vp.data[[#This Row],[Dens]]&lt;=825,vp.data[[#This Row],[Sulf]]&lt;=0.5,vp.data[[#This Row],[Unknown]]=0),1,0)</f>
        <v>0</v>
      </c>
      <c r="AB12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4">
        <f>IF(AND(vp.data[[#This Row],[CrudeType]]="Crude",vp.data[[#This Row],[Dens]]&gt;825,vp.data[[#This Row],[Dens]]&lt;=900,vp.data[[#This Row],[Sulf]]&lt;=0.5,vp.data[[#This Row],[Unknown]]=0),1,0)</f>
        <v>0</v>
      </c>
      <c r="AD1284">
        <f>IF(AND(vp.data[[#This Row],[CrudeType]]="Crude",vp.data[[#This Row],[Dens]]&gt;865,vp.data[[#This Row],[Dens]]&lt;=900,vp.data[[#This Row],[Sulf]]&gt;2,vp.data[[#This Row],[Unknown]]=0),1,0)</f>
        <v>0</v>
      </c>
      <c r="AE1284">
        <f>IF(AND(vp.data[[#This Row],[CrudeType]]="Crude",vp.data[[#This Row],[Dens]]&gt;900,vp.data[[#This Row],[Sulf]]&lt;=0.5,vp.data[[#This Row],[Unknown]]=0),1,0)</f>
        <v>0</v>
      </c>
      <c r="AF1284">
        <f>IF(AND(vp.data[[#This Row],[CrudeType]]="Crude",vp.data[[#This Row],[Dens]]&gt;900,vp.data[[#This Row],[Sulf]]&lt;=0.5,vp.data[[#This Row],[Unknown]]=0),1,0)</f>
        <v>0</v>
      </c>
      <c r="AG1284" t="str">
        <f>INDEX(vp.data[[#Headers],[Unknown]:[Heavy_SW]],MATCH(1,vp.data[[#This Row],[Unknown]:[Heavy_SW]],0))</f>
        <v>Light_LSB</v>
      </c>
      <c r="AH1284">
        <f>INDEX([3]!crudeBD.lkup[Number],MATCH(vp.data[[#This Row],[Crude_Breakdown]],crudeBD.lkup[Crude Breakdown],0))</f>
        <v>1</v>
      </c>
      <c r="AI1284">
        <f>MONTH(vp.data[[#This Row],[SDate]])</f>
        <v>4</v>
      </c>
      <c r="AJ1284" s="5">
        <f>(vp.data[[#This Row],[VP]]-INDEX(crudeBD.lkup[Mean_VP],MATCH(vp.data[[#This Row],[Crude_Breakdown]],crudeBD.lkup[Crude Breakdown],0)))^2</f>
        <v>13.294669189074476</v>
      </c>
      <c r="AK1284" s="5">
        <f>(vp.data[[#This Row],[Dens]]-INDEX(crudeBD.lkup[Mean_Dens],MATCH(vp.data[[#This Row],[Crude_Breakdown]],crudeBD.lkup[Crude Breakdown],0)))^2</f>
        <v>7.934191877750953</v>
      </c>
      <c r="AL1284" s="5">
        <f>(vp.data[[#This Row],[Sulf]]-INDEX(crudeBD.lkup[Mean_Sulf],MATCH(vp.data[[#This Row],[Crude_Breakdown]],crudeBD.lkup[Crude Breakdown],0)))^2</f>
        <v>0.14210726179346111</v>
      </c>
      <c r="AM1284" s="4">
        <f>IF(AND(vp.data[[#This Row],[SDate]]&gt;=DATE(YEAR(vp.data[[#This Row],[SDate]]),5,1),vp.data[[#This Row],[SDate]]&lt;=DATE(YEAR(vp.data[[#This Row],[SDate]]),9,15)),1,0)</f>
        <v>0</v>
      </c>
      <c r="AN1284" s="4">
        <f>IF(vp.data[[#This Row],[SDate]]&lt;DATE(2016,12,1),0,1)</f>
        <v>1</v>
      </c>
      <c r="AO1284" s="4">
        <f>IFERROR(vp.data[[#This Row],[Sulf]]*vp.data[[#This Row],[Net Dens]],"")</f>
        <v>9441415.4278626014</v>
      </c>
      <c r="AP1284">
        <f>IFERROR(vp.data[[#This Row],[Dens]]*vp.data[[#This Row],[VolumeM3]],"")</f>
        <v>17291969.6481</v>
      </c>
      <c r="AQ1284" s="15">
        <f>IFERROR(vp.data[[#This Row],[VP]]*vp.data[[#This Row],[VolumeM3]],"")</f>
        <v>1863386.2107000002</v>
      </c>
    </row>
    <row r="1285" spans="1:43" x14ac:dyDescent="0.25">
      <c r="A1285">
        <v>1284</v>
      </c>
      <c r="B1285" t="s">
        <v>49</v>
      </c>
      <c r="C1285" t="s">
        <v>49</v>
      </c>
      <c r="D1285" t="s">
        <v>67</v>
      </c>
      <c r="F1285" s="1">
        <v>42849</v>
      </c>
      <c r="G1285" s="2">
        <v>90.6</v>
      </c>
      <c r="H1285" s="2">
        <v>0.622</v>
      </c>
      <c r="I1285" s="2">
        <f t="array" ref="I1285">_xlfn.IFNA(IF(vp.data[[#This Row],[Sulf Input]]="",INDEX([1]DATA!$Q$3:$Q$9826,MATCH(1,(vp.data[[#This Row],[Battery]]=[1]DATA!$L$3:$L$9826)*(EOMONTH(vp.data[[#This Row],[SDate]],-1)+1=[1]DATA!$G$3:$G$9826),0)),vp.data[[#This Row],[Sulf Input]]),"")</f>
        <v>0.622</v>
      </c>
      <c r="J1285" s="2">
        <v>8</v>
      </c>
      <c r="K1285" s="2">
        <v>-1</v>
      </c>
      <c r="L1285" s="2">
        <v>821.6</v>
      </c>
      <c r="M1285" s="2">
        <f t="array" ref="M1285">_xlfn.IFNA(IF(vp.data[[#This Row],[Dens Input]]="",INDEX([1]DATA!$O$3:$O$9826,MATCH(1,(vp.data[[#This Row],[Battery]]=[1]DATA!$L$3:$L$9826)*(EOMONTH(vp.data[[#This Row],[SDate]],-1)+1=[1]DATA!$G$3:$G$9826),0)),vp.data[[#This Row],[Dens Input]]),"")</f>
        <v>821.6</v>
      </c>
      <c r="N1285" s="2">
        <f ca="1">INDEX(INDIRECT(_xlfn.CONCAT("weather.tbl[",N$1,"]")),MATCH(vp.data[[#This Row],[SDate]],weather.tbl[Date],0))</f>
        <v>-1.6166666666666665</v>
      </c>
      <c r="O1285" s="2">
        <f ca="1">INDEX(INDIRECT(_xlfn.CONCAT("weather.tbl[",O$1,"]")),MATCH(vp.data[[#This Row],[SDate]],weather.tbl[Date],0))</f>
        <v>5.2714285714285722</v>
      </c>
      <c r="P1285" s="2">
        <f ca="1">INDEX(INDIRECT(_xlfn.CONCAT("weather.tbl[",P$1,"]")),MATCH(vp.data[[#This Row],[SDate]],weather.tbl[Date],0))</f>
        <v>-1.5</v>
      </c>
      <c r="Q1285" s="2">
        <f ca="1">INDEX(INDIRECT(_xlfn.CONCAT("weather.tbl[",Q$1,"]")),MATCH(vp.data[[#This Row],[SDate]],weather.tbl[Date],0))</f>
        <v>-1.5</v>
      </c>
      <c r="R1285" s="2">
        <f ca="1">INDEX(INDIRECT(_xlfn.CONCAT("weather.tbl[",R$1,"]")),MATCH(vp.data[[#This Row],[SDate]],weather.tbl[Date],0))</f>
        <v>-2.2999999999999998</v>
      </c>
      <c r="S1285" s="2">
        <f ca="1">INDEX(INDIRECT(_xlfn.CONCAT("weather.tbl[",S$1,"]")),MATCH(vp.data[[#This Row],[SDate]],weather.tbl[Date],0))</f>
        <v>-1.3</v>
      </c>
      <c r="T1285" s="2">
        <f ca="1">INDEX(INDIRECT(_xlfn.CONCAT("weather.tbl[",T$1,"]")),MATCH(vp.data[[#This Row],[SDate]],weather.tbl[Date],0))</f>
        <v>-0.8</v>
      </c>
      <c r="U1285" s="2">
        <f ca="1">INDEX(INDIRECT(_xlfn.CONCAT("weather.tbl[",U$1,"]")),MATCH(vp.data[[#This Row],[SDate]],weather.tbl[Date],0))</f>
        <v>-2.2999999999999998</v>
      </c>
      <c r="V1285" s="2">
        <f t="array" ref="V12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140792.67800000001</v>
      </c>
      <c r="W1285" t="s">
        <v>48</v>
      </c>
      <c r="X1285">
        <f>IF(OR(vp.data[[#This Row],[Sulf]]="",vp.data[[#This Row],[Dens]]=""),1,0)</f>
        <v>0</v>
      </c>
      <c r="Y1285">
        <f>IF(vp.data[[#This Row],[CrudeType]]="C5+",1,0)</f>
        <v>0</v>
      </c>
      <c r="Z1285">
        <f>IF(AND(vp.data[[#This Row],[CrudeType]]="Crude",vp.data[[#This Row],[Dens]]&lt;=825,vp.data[[#This Row],[Sulf]]&gt;0.5,vp.data[[#This Row],[Unknown]]=0),1,0)</f>
        <v>1</v>
      </c>
      <c r="AA1285">
        <f>IF(AND(vp.data[[#This Row],[CrudeType]]="Crude",vp.data[[#This Row],[Dens]]&lt;=825,vp.data[[#This Row],[Sulf]]&lt;=0.5,vp.data[[#This Row],[Unknown]]=0),1,0)</f>
        <v>0</v>
      </c>
      <c r="AB12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5">
        <f>IF(AND(vp.data[[#This Row],[CrudeType]]="Crude",vp.data[[#This Row],[Dens]]&gt;825,vp.data[[#This Row],[Dens]]&lt;=900,vp.data[[#This Row],[Sulf]]&lt;=0.5,vp.data[[#This Row],[Unknown]]=0),1,0)</f>
        <v>0</v>
      </c>
      <c r="AD1285">
        <f>IF(AND(vp.data[[#This Row],[CrudeType]]="Crude",vp.data[[#This Row],[Dens]]&gt;865,vp.data[[#This Row],[Dens]]&lt;=900,vp.data[[#This Row],[Sulf]]&gt;2,vp.data[[#This Row],[Unknown]]=0),1,0)</f>
        <v>0</v>
      </c>
      <c r="AE1285">
        <f>IF(AND(vp.data[[#This Row],[CrudeType]]="Crude",vp.data[[#This Row],[Dens]]&gt;900,vp.data[[#This Row],[Sulf]]&lt;=0.5,vp.data[[#This Row],[Unknown]]=0),1,0)</f>
        <v>0</v>
      </c>
      <c r="AF1285">
        <f>IF(AND(vp.data[[#This Row],[CrudeType]]="Crude",vp.data[[#This Row],[Dens]]&gt;900,vp.data[[#This Row],[Sulf]]&lt;=0.5,vp.data[[#This Row],[Unknown]]=0),1,0)</f>
        <v>0</v>
      </c>
      <c r="AG1285" t="str">
        <f>INDEX(vp.data[[#Headers],[Unknown]:[Heavy_SW]],MATCH(1,vp.data[[#This Row],[Unknown]:[Heavy_SW]],0))</f>
        <v>Light_LSB</v>
      </c>
      <c r="AH1285">
        <f>INDEX([3]!crudeBD.lkup[Number],MATCH(vp.data[[#This Row],[Crude_Breakdown]],crudeBD.lkup[Crude Breakdown],0))</f>
        <v>1</v>
      </c>
      <c r="AI1285">
        <f>MONTH(vp.data[[#This Row],[SDate]])</f>
        <v>4</v>
      </c>
      <c r="AJ1285" s="5">
        <f>(vp.data[[#This Row],[VP]]-INDEX(crudeBD.lkup[Mean_VP],MATCH(vp.data[[#This Row],[Crude_Breakdown]],crudeBD.lkup[Crude Breakdown],0)))^2</f>
        <v>0.89526712721869006</v>
      </c>
      <c r="AK1285" s="5">
        <f>(vp.data[[#This Row],[Dens]]-INDEX(crudeBD.lkup[Mean_Dens],MATCH(vp.data[[#This Row],[Crude_Breakdown]],crudeBD.lkup[Crude Breakdown],0)))^2</f>
        <v>9.5063087162430282</v>
      </c>
      <c r="AL1285" s="5">
        <f>(vp.data[[#This Row],[Sulf]]-INDEX(crudeBD.lkup[Mean_Sulf],MATCH(vp.data[[#This Row],[Crude_Breakdown]],crudeBD.lkup[Crude Breakdown],0)))^2</f>
        <v>9.0583644198959479E-2</v>
      </c>
      <c r="AM1285" s="4">
        <f>IF(AND(vp.data[[#This Row],[SDate]]&gt;=DATE(YEAR(vp.data[[#This Row],[SDate]]),5,1),vp.data[[#This Row],[SDate]]&lt;=DATE(YEAR(vp.data[[#This Row],[SDate]]),9,15)),1,0)</f>
        <v>0</v>
      </c>
      <c r="AN1285" s="4">
        <f>IF(vp.data[[#This Row],[SDate]]&lt;DATE(2016,12,1),0,1)</f>
        <v>1</v>
      </c>
      <c r="AO1285" s="4">
        <f>IFERROR(vp.data[[#This Row],[Sulf]]*vp.data[[#This Row],[Net Dens]],"")</f>
        <v>71950014.360265613</v>
      </c>
      <c r="AP1285">
        <f>IFERROR(vp.data[[#This Row],[Dens]]*vp.data[[#This Row],[VolumeM3]],"")</f>
        <v>115675264.24480002</v>
      </c>
      <c r="AQ1285" s="15">
        <f>IFERROR(vp.data[[#This Row],[VP]]*vp.data[[#This Row],[VolumeM3]],"")</f>
        <v>12755816.626800001</v>
      </c>
    </row>
    <row r="1286" spans="1:43" x14ac:dyDescent="0.25">
      <c r="A1286">
        <v>1285</v>
      </c>
      <c r="B1286" t="s">
        <v>49</v>
      </c>
      <c r="C1286" t="s">
        <v>49</v>
      </c>
      <c r="D1286" t="s">
        <v>89</v>
      </c>
      <c r="F1286" s="1">
        <v>42849</v>
      </c>
      <c r="G1286" s="2">
        <v>93.2</v>
      </c>
      <c r="H1286" s="2">
        <v>0.73399999999999999</v>
      </c>
      <c r="I1286" s="2">
        <f t="array" ref="I1286">_xlfn.IFNA(IF(vp.data[[#This Row],[Sulf Input]]="",INDEX([1]DATA!$Q$3:$Q$9826,MATCH(1,(vp.data[[#This Row],[Battery]]=[1]DATA!$L$3:$L$9826)*(EOMONTH(vp.data[[#This Row],[SDate]],-1)+1=[1]DATA!$G$3:$G$9826),0)),vp.data[[#This Row],[Sulf Input]]),"")</f>
        <v>0.73399999999999999</v>
      </c>
      <c r="J1286" s="2">
        <v>5.6</v>
      </c>
      <c r="K1286" s="2">
        <v>-1</v>
      </c>
      <c r="L1286" s="2">
        <v>820.5</v>
      </c>
      <c r="M1286" s="2">
        <f t="array" ref="M1286">_xlfn.IFNA(IF(vp.data[[#This Row],[Dens Input]]="",INDEX([1]DATA!$O$3:$O$9826,MATCH(1,(vp.data[[#This Row],[Battery]]=[1]DATA!$L$3:$L$9826)*(EOMONTH(vp.data[[#This Row],[SDate]],-1)+1=[1]DATA!$G$3:$G$9826),0)),vp.data[[#This Row],[Dens Input]]),"")</f>
        <v>820.5</v>
      </c>
      <c r="N1286" s="2">
        <f ca="1">INDEX(INDIRECT(_xlfn.CONCAT("weather.tbl[",N$1,"]")),MATCH(vp.data[[#This Row],[SDate]],weather.tbl[Date],0))</f>
        <v>-1.6166666666666665</v>
      </c>
      <c r="O1286" s="2">
        <f ca="1">INDEX(INDIRECT(_xlfn.CONCAT("weather.tbl[",O$1,"]")),MATCH(vp.data[[#This Row],[SDate]],weather.tbl[Date],0))</f>
        <v>5.2714285714285722</v>
      </c>
      <c r="P1286" s="2">
        <f ca="1">INDEX(INDIRECT(_xlfn.CONCAT("weather.tbl[",P$1,"]")),MATCH(vp.data[[#This Row],[SDate]],weather.tbl[Date],0))</f>
        <v>-1.5</v>
      </c>
      <c r="Q1286" s="2">
        <f ca="1">INDEX(INDIRECT(_xlfn.CONCAT("weather.tbl[",Q$1,"]")),MATCH(vp.data[[#This Row],[SDate]],weather.tbl[Date],0))</f>
        <v>-1.5</v>
      </c>
      <c r="R1286" s="2">
        <f ca="1">INDEX(INDIRECT(_xlfn.CONCAT("weather.tbl[",R$1,"]")),MATCH(vp.data[[#This Row],[SDate]],weather.tbl[Date],0))</f>
        <v>-2.2999999999999998</v>
      </c>
      <c r="S1286" s="2">
        <f ca="1">INDEX(INDIRECT(_xlfn.CONCAT("weather.tbl[",S$1,"]")),MATCH(vp.data[[#This Row],[SDate]],weather.tbl[Date],0))</f>
        <v>-1.3</v>
      </c>
      <c r="T1286" s="2">
        <f ca="1">INDEX(INDIRECT(_xlfn.CONCAT("weather.tbl[",T$1,"]")),MATCH(vp.data[[#This Row],[SDate]],weather.tbl[Date],0))</f>
        <v>-0.8</v>
      </c>
      <c r="U1286" s="2">
        <f ca="1">INDEX(INDIRECT(_xlfn.CONCAT("weather.tbl[",U$1,"]")),MATCH(vp.data[[#This Row],[SDate]],weather.tbl[Date],0))</f>
        <v>-2.2999999999999998</v>
      </c>
      <c r="V1286" s="2">
        <f t="array" ref="V12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6439.6459999999997</v>
      </c>
      <c r="W1286" t="s">
        <v>48</v>
      </c>
      <c r="X1286">
        <f>IF(OR(vp.data[[#This Row],[Sulf]]="",vp.data[[#This Row],[Dens]]=""),1,0)</f>
        <v>0</v>
      </c>
      <c r="Y1286">
        <f>IF(vp.data[[#This Row],[CrudeType]]="C5+",1,0)</f>
        <v>0</v>
      </c>
      <c r="Z1286">
        <f>IF(AND(vp.data[[#This Row],[CrudeType]]="Crude",vp.data[[#This Row],[Dens]]&lt;=825,vp.data[[#This Row],[Sulf]]&gt;0.5,vp.data[[#This Row],[Unknown]]=0),1,0)</f>
        <v>1</v>
      </c>
      <c r="AA1286">
        <f>IF(AND(vp.data[[#This Row],[CrudeType]]="Crude",vp.data[[#This Row],[Dens]]&lt;=825,vp.data[[#This Row],[Sulf]]&lt;=0.5,vp.data[[#This Row],[Unknown]]=0),1,0)</f>
        <v>0</v>
      </c>
      <c r="AB12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6">
        <f>IF(AND(vp.data[[#This Row],[CrudeType]]="Crude",vp.data[[#This Row],[Dens]]&gt;825,vp.data[[#This Row],[Dens]]&lt;=900,vp.data[[#This Row],[Sulf]]&lt;=0.5,vp.data[[#This Row],[Unknown]]=0),1,0)</f>
        <v>0</v>
      </c>
      <c r="AD1286">
        <f>IF(AND(vp.data[[#This Row],[CrudeType]]="Crude",vp.data[[#This Row],[Dens]]&gt;865,vp.data[[#This Row],[Dens]]&lt;=900,vp.data[[#This Row],[Sulf]]&gt;2,vp.data[[#This Row],[Unknown]]=0),1,0)</f>
        <v>0</v>
      </c>
      <c r="AE1286">
        <f>IF(AND(vp.data[[#This Row],[CrudeType]]="Crude",vp.data[[#This Row],[Dens]]&gt;900,vp.data[[#This Row],[Sulf]]&lt;=0.5,vp.data[[#This Row],[Unknown]]=0),1,0)</f>
        <v>0</v>
      </c>
      <c r="AF1286">
        <f>IF(AND(vp.data[[#This Row],[CrudeType]]="Crude",vp.data[[#This Row],[Dens]]&gt;900,vp.data[[#This Row],[Sulf]]&lt;=0.5,vp.data[[#This Row],[Unknown]]=0),1,0)</f>
        <v>0</v>
      </c>
      <c r="AG1286" t="str">
        <f>INDEX(vp.data[[#Headers],[Unknown]:[Heavy_SW]],MATCH(1,vp.data[[#This Row],[Unknown]:[Heavy_SW]],0))</f>
        <v>Light_LSB</v>
      </c>
      <c r="AH1286">
        <f>INDEX([3]!crudeBD.lkup[Number],MATCH(vp.data[[#This Row],[Crude_Breakdown]],crudeBD.lkup[Crude Breakdown],0))</f>
        <v>1</v>
      </c>
      <c r="AI1286">
        <f>MONTH(vp.data[[#This Row],[SDate]])</f>
        <v>4</v>
      </c>
      <c r="AJ1286" s="5">
        <f>(vp.data[[#This Row],[VP]]-INDEX(crudeBD.lkup[Mean_VP],MATCH(vp.data[[#This Row],[Crude_Breakdown]],crudeBD.lkup[Crude Breakdown],0)))^2</f>
        <v>2.7351021787649188</v>
      </c>
      <c r="AK1286" s="5">
        <f>(vp.data[[#This Row],[Dens]]-INDEX(crudeBD.lkup[Mean_Dens],MATCH(vp.data[[#This Row],[Crude_Breakdown]],crudeBD.lkup[Crude Breakdown],0)))^2</f>
        <v>3.9332021870325753</v>
      </c>
      <c r="AL1286" s="5">
        <f>(vp.data[[#This Row],[Sulf]]-INDEX(crudeBD.lkup[Mean_Sulf],MATCH(vp.data[[#This Row],[Crude_Breakdown]],crudeBD.lkup[Crude Breakdown],0)))^2</f>
        <v>3.5710102480746478E-2</v>
      </c>
      <c r="AM1286" s="4">
        <f>IF(AND(vp.data[[#This Row],[SDate]]&gt;=DATE(YEAR(vp.data[[#This Row],[SDate]]),5,1),vp.data[[#This Row],[SDate]]&lt;=DATE(YEAR(vp.data[[#This Row],[SDate]]),9,15)),1,0)</f>
        <v>0</v>
      </c>
      <c r="AN1286" s="4">
        <f>IF(vp.data[[#This Row],[SDate]]&lt;DATE(2016,12,1),0,1)</f>
        <v>1</v>
      </c>
      <c r="AO1286" s="4">
        <f>IFERROR(vp.data[[#This Row],[Sulf]]*vp.data[[#This Row],[Net Dens]],"")</f>
        <v>3878257.4845619998</v>
      </c>
      <c r="AP1286">
        <f>IFERROR(vp.data[[#This Row],[Dens]]*vp.data[[#This Row],[VolumeM3]],"")</f>
        <v>5283729.5429999996</v>
      </c>
      <c r="AQ1286" s="15">
        <f>IFERROR(vp.data[[#This Row],[VP]]*vp.data[[#This Row],[VolumeM3]],"")</f>
        <v>600175.00719999999</v>
      </c>
    </row>
    <row r="1287" spans="1:43" x14ac:dyDescent="0.25">
      <c r="A1287">
        <v>1286</v>
      </c>
      <c r="B1287" t="s">
        <v>49</v>
      </c>
      <c r="C1287" t="s">
        <v>49</v>
      </c>
      <c r="D1287" t="s">
        <v>100</v>
      </c>
      <c r="F1287" s="1">
        <v>42849</v>
      </c>
      <c r="G1287" s="2">
        <v>89.5</v>
      </c>
      <c r="H1287" s="2">
        <v>0.752</v>
      </c>
      <c r="I1287" s="2">
        <f t="array" ref="I1287">_xlfn.IFNA(IF(vp.data[[#This Row],[Sulf Input]]="",INDEX([1]DATA!$Q$3:$Q$9826,MATCH(1,(vp.data[[#This Row],[Battery]]=[1]DATA!$L$3:$L$9826)*(EOMONTH(vp.data[[#This Row],[SDate]],-1)+1=[1]DATA!$G$3:$G$9826),0)),vp.data[[#This Row],[Sulf Input]]),"")</f>
        <v>0.752</v>
      </c>
      <c r="J1287" s="2">
        <v>17</v>
      </c>
      <c r="K1287" s="2">
        <v>-1</v>
      </c>
      <c r="L1287" s="2">
        <v>823.4</v>
      </c>
      <c r="M1287" s="2">
        <f t="array" ref="M1287">_xlfn.IFNA(IF(vp.data[[#This Row],[Dens Input]]="",INDEX([1]DATA!$O$3:$O$9826,MATCH(1,(vp.data[[#This Row],[Battery]]=[1]DATA!$L$3:$L$9826)*(EOMONTH(vp.data[[#This Row],[SDate]],-1)+1=[1]DATA!$G$3:$G$9826),0)),vp.data[[#This Row],[Dens Input]]),"")</f>
        <v>823.4</v>
      </c>
      <c r="N1287" s="2">
        <f ca="1">INDEX(INDIRECT(_xlfn.CONCAT("weather.tbl[",N$1,"]")),MATCH(vp.data[[#This Row],[SDate]],weather.tbl[Date],0))</f>
        <v>-1.6166666666666665</v>
      </c>
      <c r="O1287" s="2">
        <f ca="1">INDEX(INDIRECT(_xlfn.CONCAT("weather.tbl[",O$1,"]")),MATCH(vp.data[[#This Row],[SDate]],weather.tbl[Date],0))</f>
        <v>5.2714285714285722</v>
      </c>
      <c r="P1287" s="2">
        <f ca="1">INDEX(INDIRECT(_xlfn.CONCAT("weather.tbl[",P$1,"]")),MATCH(vp.data[[#This Row],[SDate]],weather.tbl[Date],0))</f>
        <v>-1.5</v>
      </c>
      <c r="Q1287" s="2">
        <f ca="1">INDEX(INDIRECT(_xlfn.CONCAT("weather.tbl[",Q$1,"]")),MATCH(vp.data[[#This Row],[SDate]],weather.tbl[Date],0))</f>
        <v>-1.5</v>
      </c>
      <c r="R1287" s="2">
        <f ca="1">INDEX(INDIRECT(_xlfn.CONCAT("weather.tbl[",R$1,"]")),MATCH(vp.data[[#This Row],[SDate]],weather.tbl[Date],0))</f>
        <v>-2.2999999999999998</v>
      </c>
      <c r="S1287" s="2">
        <f ca="1">INDEX(INDIRECT(_xlfn.CONCAT("weather.tbl[",S$1,"]")),MATCH(vp.data[[#This Row],[SDate]],weather.tbl[Date],0))</f>
        <v>-1.3</v>
      </c>
      <c r="T1287" s="2">
        <f ca="1">INDEX(INDIRECT(_xlfn.CONCAT("weather.tbl[",T$1,"]")),MATCH(vp.data[[#This Row],[SDate]],weather.tbl[Date],0))</f>
        <v>-0.8</v>
      </c>
      <c r="U1287" s="2">
        <f ca="1">INDEX(INDIRECT(_xlfn.CONCAT("weather.tbl[",U$1,"]")),MATCH(vp.data[[#This Row],[SDate]],weather.tbl[Date],0))</f>
        <v>-2.2999999999999998</v>
      </c>
      <c r="V1287" s="2">
        <f t="array" ref="V12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13068.535</v>
      </c>
      <c r="W1287" t="s">
        <v>48</v>
      </c>
      <c r="X1287">
        <f>IF(OR(vp.data[[#This Row],[Sulf]]="",vp.data[[#This Row],[Dens]]=""),1,0)</f>
        <v>0</v>
      </c>
      <c r="Y1287">
        <f>IF(vp.data[[#This Row],[CrudeType]]="C5+",1,0)</f>
        <v>0</v>
      </c>
      <c r="Z1287">
        <f>IF(AND(vp.data[[#This Row],[CrudeType]]="Crude",vp.data[[#This Row],[Dens]]&lt;=825,vp.data[[#This Row],[Sulf]]&gt;0.5,vp.data[[#This Row],[Unknown]]=0),1,0)</f>
        <v>1</v>
      </c>
      <c r="AA1287">
        <f>IF(AND(vp.data[[#This Row],[CrudeType]]="Crude",vp.data[[#This Row],[Dens]]&lt;=825,vp.data[[#This Row],[Sulf]]&lt;=0.5,vp.data[[#This Row],[Unknown]]=0),1,0)</f>
        <v>0</v>
      </c>
      <c r="AB12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7">
        <f>IF(AND(vp.data[[#This Row],[CrudeType]]="Crude",vp.data[[#This Row],[Dens]]&gt;825,vp.data[[#This Row],[Dens]]&lt;=900,vp.data[[#This Row],[Sulf]]&lt;=0.5,vp.data[[#This Row],[Unknown]]=0),1,0)</f>
        <v>0</v>
      </c>
      <c r="AD1287">
        <f>IF(AND(vp.data[[#This Row],[CrudeType]]="Crude",vp.data[[#This Row],[Dens]]&gt;865,vp.data[[#This Row],[Dens]]&lt;=900,vp.data[[#This Row],[Sulf]]&gt;2,vp.data[[#This Row],[Unknown]]=0),1,0)</f>
        <v>0</v>
      </c>
      <c r="AE1287">
        <f>IF(AND(vp.data[[#This Row],[CrudeType]]="Crude",vp.data[[#This Row],[Dens]]&gt;900,vp.data[[#This Row],[Sulf]]&lt;=0.5,vp.data[[#This Row],[Unknown]]=0),1,0)</f>
        <v>0</v>
      </c>
      <c r="AF1287">
        <f>IF(AND(vp.data[[#This Row],[CrudeType]]="Crude",vp.data[[#This Row],[Dens]]&gt;900,vp.data[[#This Row],[Sulf]]&lt;=0.5,vp.data[[#This Row],[Unknown]]=0),1,0)</f>
        <v>0</v>
      </c>
      <c r="AG1287" t="str">
        <f>INDEX(vp.data[[#Headers],[Unknown]:[Heavy_SW]],MATCH(1,vp.data[[#This Row],[Unknown]:[Heavy_SW]],0))</f>
        <v>Light_LSB</v>
      </c>
      <c r="AH1287">
        <f>INDEX([3]!crudeBD.lkup[Number],MATCH(vp.data[[#This Row],[Crude_Breakdown]],crudeBD.lkup[Crude Breakdown],0))</f>
        <v>1</v>
      </c>
      <c r="AI1287">
        <f>MONTH(vp.data[[#This Row],[SDate]])</f>
        <v>4</v>
      </c>
      <c r="AJ1287" s="5">
        <f>(vp.data[[#This Row],[VP]]-INDEX(crudeBD.lkup[Mean_VP],MATCH(vp.data[[#This Row],[Crude_Breakdown]],crudeBD.lkup[Crude Breakdown],0)))^2</f>
        <v>4.1868753746414278</v>
      </c>
      <c r="AK1287" s="5">
        <f>(vp.data[[#This Row],[Dens]]-INDEX(crudeBD.lkup[Mean_Dens],MATCH(vp.data[[#This Row],[Crude_Breakdown]],crudeBD.lkup[Crude Breakdown],0)))^2</f>
        <v>23.845937582223179</v>
      </c>
      <c r="AL1287" s="5">
        <f>(vp.data[[#This Row],[Sulf]]-INDEX(crudeBD.lkup[Mean_Sulf],MATCH(vp.data[[#This Row],[Crude_Breakdown]],crudeBD.lkup[Crude Breakdown],0)))^2</f>
        <v>2.923114041889081E-2</v>
      </c>
      <c r="AM1287" s="4">
        <f>IF(AND(vp.data[[#This Row],[SDate]]&gt;=DATE(YEAR(vp.data[[#This Row],[SDate]]),5,1),vp.data[[#This Row],[SDate]]&lt;=DATE(YEAR(vp.data[[#This Row],[SDate]]),9,15)),1,0)</f>
        <v>0</v>
      </c>
      <c r="AN1287" s="4">
        <f>IF(vp.data[[#This Row],[SDate]]&lt;DATE(2016,12,1),0,1)</f>
        <v>1</v>
      </c>
      <c r="AO1287" s="4">
        <f>IFERROR(vp.data[[#This Row],[Sulf]]*vp.data[[#This Row],[Net Dens]],"")</f>
        <v>8091995.0526880007</v>
      </c>
      <c r="AP1287">
        <f>IFERROR(vp.data[[#This Row],[Dens]]*vp.data[[#This Row],[VolumeM3]],"")</f>
        <v>10760631.719000001</v>
      </c>
      <c r="AQ1287" s="15">
        <f>IFERROR(vp.data[[#This Row],[VP]]*vp.data[[#This Row],[VolumeM3]],"")</f>
        <v>1169633.8825000001</v>
      </c>
    </row>
    <row r="1288" spans="1:43" x14ac:dyDescent="0.25">
      <c r="A1288">
        <v>1287</v>
      </c>
      <c r="B1288" t="s">
        <v>62</v>
      </c>
      <c r="C1288" t="s">
        <v>62</v>
      </c>
      <c r="D1288" t="s">
        <v>79</v>
      </c>
      <c r="F1288" s="1">
        <v>42849</v>
      </c>
      <c r="G1288" s="2">
        <v>86.9</v>
      </c>
      <c r="H1288" s="2"/>
      <c r="I1288" s="2">
        <f t="array" ref="I1288">_xlfn.IFNA(IF(vp.data[[#This Row],[Sulf Input]]="",INDEX([1]DATA!$Q$3:$Q$9826,MATCH(1,(vp.data[[#This Row],[Battery]]=[1]DATA!$L$3:$L$9826)*(EOMONTH(vp.data[[#This Row],[SDate]],-1)+1=[1]DATA!$G$3:$G$9826),0)),vp.data[[#This Row],[Sulf Input]]),"")</f>
        <v>0.25</v>
      </c>
      <c r="J1288" s="2">
        <v>18.399999999999999</v>
      </c>
      <c r="K1288" s="2">
        <v>-1</v>
      </c>
      <c r="L1288" s="2">
        <v>806.2</v>
      </c>
      <c r="M1288" s="2">
        <f t="array" ref="M1288">_xlfn.IFNA(IF(vp.data[[#This Row],[Dens Input]]="",INDEX([1]DATA!$O$3:$O$9826,MATCH(1,(vp.data[[#This Row],[Battery]]=[1]DATA!$L$3:$L$9826)*(EOMONTH(vp.data[[#This Row],[SDate]],-1)+1=[1]DATA!$G$3:$G$9826),0)),vp.data[[#This Row],[Dens Input]]),"")</f>
        <v>806.2</v>
      </c>
      <c r="N1288" s="2">
        <f ca="1">INDEX(INDIRECT(_xlfn.CONCAT("weather.tbl[",N$1,"]")),MATCH(vp.data[[#This Row],[SDate]],weather.tbl[Date],0))</f>
        <v>-1.6166666666666665</v>
      </c>
      <c r="O1288" s="2">
        <f ca="1">INDEX(INDIRECT(_xlfn.CONCAT("weather.tbl[",O$1,"]")),MATCH(vp.data[[#This Row],[SDate]],weather.tbl[Date],0))</f>
        <v>5.2714285714285722</v>
      </c>
      <c r="P1288" s="2">
        <f ca="1">INDEX(INDIRECT(_xlfn.CONCAT("weather.tbl[",P$1,"]")),MATCH(vp.data[[#This Row],[SDate]],weather.tbl[Date],0))</f>
        <v>-1.5</v>
      </c>
      <c r="Q1288" s="2">
        <f ca="1">INDEX(INDIRECT(_xlfn.CONCAT("weather.tbl[",Q$1,"]")),MATCH(vp.data[[#This Row],[SDate]],weather.tbl[Date],0))</f>
        <v>-1.5</v>
      </c>
      <c r="R1288" s="2">
        <f ca="1">INDEX(INDIRECT(_xlfn.CONCAT("weather.tbl[",R$1,"]")),MATCH(vp.data[[#This Row],[SDate]],weather.tbl[Date],0))</f>
        <v>-2.2999999999999998</v>
      </c>
      <c r="S1288" s="2">
        <f ca="1">INDEX(INDIRECT(_xlfn.CONCAT("weather.tbl[",S$1,"]")),MATCH(vp.data[[#This Row],[SDate]],weather.tbl[Date],0))</f>
        <v>-1.3</v>
      </c>
      <c r="T1288" s="2">
        <f ca="1">INDEX(INDIRECT(_xlfn.CONCAT("weather.tbl[",T$1,"]")),MATCH(vp.data[[#This Row],[SDate]],weather.tbl[Date],0))</f>
        <v>-0.8</v>
      </c>
      <c r="U1288" s="2">
        <f ca="1">INDEX(INDIRECT(_xlfn.CONCAT("weather.tbl[",U$1,"]")),MATCH(vp.data[[#This Row],[SDate]],weather.tbl[Date],0))</f>
        <v>-2.2999999999999998</v>
      </c>
      <c r="V1288" s="2">
        <f t="array" ref="V12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13021.991</v>
      </c>
      <c r="W1288" t="s">
        <v>48</v>
      </c>
      <c r="X1288">
        <f>IF(OR(vp.data[[#This Row],[Sulf]]="",vp.data[[#This Row],[Dens]]=""),1,0)</f>
        <v>0</v>
      </c>
      <c r="Y1288">
        <f>IF(vp.data[[#This Row],[CrudeType]]="C5+",1,0)</f>
        <v>0</v>
      </c>
      <c r="Z1288">
        <f>IF(AND(vp.data[[#This Row],[CrudeType]]="Crude",vp.data[[#This Row],[Dens]]&lt;=825,vp.data[[#This Row],[Sulf]]&gt;0.5,vp.data[[#This Row],[Unknown]]=0),1,0)</f>
        <v>0</v>
      </c>
      <c r="AA1288">
        <f>IF(AND(vp.data[[#This Row],[CrudeType]]="Crude",vp.data[[#This Row],[Dens]]&lt;=825,vp.data[[#This Row],[Sulf]]&lt;=0.5,vp.data[[#This Row],[Unknown]]=0),1,0)</f>
        <v>1</v>
      </c>
      <c r="AB12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8">
        <f>IF(AND(vp.data[[#This Row],[CrudeType]]="Crude",vp.data[[#This Row],[Dens]]&gt;825,vp.data[[#This Row],[Dens]]&lt;=900,vp.data[[#This Row],[Sulf]]&lt;=0.5,vp.data[[#This Row],[Unknown]]=0),1,0)</f>
        <v>0</v>
      </c>
      <c r="AD1288">
        <f>IF(AND(vp.data[[#This Row],[CrudeType]]="Crude",vp.data[[#This Row],[Dens]]&gt;865,vp.data[[#This Row],[Dens]]&lt;=900,vp.data[[#This Row],[Sulf]]&gt;2,vp.data[[#This Row],[Unknown]]=0),1,0)</f>
        <v>0</v>
      </c>
      <c r="AE1288">
        <f>IF(AND(vp.data[[#This Row],[CrudeType]]="Crude",vp.data[[#This Row],[Dens]]&gt;900,vp.data[[#This Row],[Sulf]]&lt;=0.5,vp.data[[#This Row],[Unknown]]=0),1,0)</f>
        <v>0</v>
      </c>
      <c r="AF1288">
        <f>IF(AND(vp.data[[#This Row],[CrudeType]]="Crude",vp.data[[#This Row],[Dens]]&gt;900,vp.data[[#This Row],[Sulf]]&lt;=0.5,vp.data[[#This Row],[Unknown]]=0),1,0)</f>
        <v>0</v>
      </c>
      <c r="AG1288" t="str">
        <f>INDEX(vp.data[[#Headers],[Unknown]:[Heavy_SW]],MATCH(1,vp.data[[#This Row],[Unknown]:[Heavy_SW]],0))</f>
        <v>Light_SW</v>
      </c>
      <c r="AH1288">
        <f>INDEX([3]!crudeBD.lkup[Number],MATCH(vp.data[[#This Row],[Crude_Breakdown]],crudeBD.lkup[Crude Breakdown],0))</f>
        <v>2</v>
      </c>
      <c r="AI1288">
        <f>MONTH(vp.data[[#This Row],[SDate]])</f>
        <v>4</v>
      </c>
      <c r="AJ1288" s="5">
        <f>(vp.data[[#This Row],[VP]]-INDEX(crudeBD.lkup[Mean_VP],MATCH(vp.data[[#This Row],[Crude_Breakdown]],crudeBD.lkup[Crude Breakdown],0)))^2</f>
        <v>31.926043652344539</v>
      </c>
      <c r="AK1288" s="5">
        <f>(vp.data[[#This Row],[Dens]]-INDEX(crudeBD.lkup[Mean_Dens],MATCH(vp.data[[#This Row],[Crude_Breakdown]],crudeBD.lkup[Crude Breakdown],0)))^2</f>
        <v>4.458424892859064</v>
      </c>
      <c r="AL1288" s="5">
        <f>(vp.data[[#This Row],[Sulf]]-INDEX(crudeBD.lkup[Mean_Sulf],MATCH(vp.data[[#This Row],[Crude_Breakdown]],crudeBD.lkup[Crude Breakdown],0)))^2</f>
        <v>1.8928774126188673E-4</v>
      </c>
      <c r="AM1288" s="4">
        <f>IF(AND(vp.data[[#This Row],[SDate]]&gt;=DATE(YEAR(vp.data[[#This Row],[SDate]]),5,1),vp.data[[#This Row],[SDate]]&lt;=DATE(YEAR(vp.data[[#This Row],[SDate]]),9,15)),1,0)</f>
        <v>0</v>
      </c>
      <c r="AN1288" s="4">
        <f>IF(vp.data[[#This Row],[SDate]]&lt;DATE(2016,12,1),0,1)</f>
        <v>1</v>
      </c>
      <c r="AO1288" s="4">
        <f>IFERROR(vp.data[[#This Row],[Sulf]]*vp.data[[#This Row],[Net Dens]],"")</f>
        <v>2624582.2860500002</v>
      </c>
      <c r="AP1288">
        <f>IFERROR(vp.data[[#This Row],[Dens]]*vp.data[[#This Row],[VolumeM3]],"")</f>
        <v>10498329.144200001</v>
      </c>
      <c r="AQ1288" s="15">
        <f>IFERROR(vp.data[[#This Row],[VP]]*vp.data[[#This Row],[VolumeM3]],"")</f>
        <v>1131611.0179000001</v>
      </c>
    </row>
    <row r="1289" spans="1:43" x14ac:dyDescent="0.25">
      <c r="A1289">
        <v>1288</v>
      </c>
      <c r="B1289" t="s">
        <v>62</v>
      </c>
      <c r="C1289" t="s">
        <v>62</v>
      </c>
      <c r="D1289" t="s">
        <v>83</v>
      </c>
      <c r="F1289" s="1">
        <v>42849</v>
      </c>
      <c r="G1289" s="2">
        <v>84.2</v>
      </c>
      <c r="H1289" s="2"/>
      <c r="I1289" s="2">
        <f t="array" ref="I1289">_xlfn.IFNA(IF(vp.data[[#This Row],[Sulf Input]]="",INDEX([1]DATA!$Q$3:$Q$9826,MATCH(1,(vp.data[[#This Row],[Battery]]=[1]DATA!$L$3:$L$9826)*(EOMONTH(vp.data[[#This Row],[SDate]],-1)+1=[1]DATA!$G$3:$G$9826),0)),vp.data[[#This Row],[Sulf Input]]),"")</f>
        <v>0.16</v>
      </c>
      <c r="J1289" s="2">
        <v>2.7</v>
      </c>
      <c r="K1289" s="2">
        <v>-1</v>
      </c>
      <c r="L1289" s="2">
        <v>808</v>
      </c>
      <c r="M1289" s="2">
        <f t="array" ref="M1289">_xlfn.IFNA(IF(vp.data[[#This Row],[Dens Input]]="",INDEX([1]DATA!$O$3:$O$9826,MATCH(1,(vp.data[[#This Row],[Battery]]=[1]DATA!$L$3:$L$9826)*(EOMONTH(vp.data[[#This Row],[SDate]],-1)+1=[1]DATA!$G$3:$G$9826),0)),vp.data[[#This Row],[Dens Input]]),"")</f>
        <v>808</v>
      </c>
      <c r="N1289" s="2">
        <f ca="1">INDEX(INDIRECT(_xlfn.CONCAT("weather.tbl[",N$1,"]")),MATCH(vp.data[[#This Row],[SDate]],weather.tbl[Date],0))</f>
        <v>-1.6166666666666665</v>
      </c>
      <c r="O1289" s="2">
        <f ca="1">INDEX(INDIRECT(_xlfn.CONCAT("weather.tbl[",O$1,"]")),MATCH(vp.data[[#This Row],[SDate]],weather.tbl[Date],0))</f>
        <v>5.2714285714285722</v>
      </c>
      <c r="P1289" s="2">
        <f ca="1">INDEX(INDIRECT(_xlfn.CONCAT("weather.tbl[",P$1,"]")),MATCH(vp.data[[#This Row],[SDate]],weather.tbl[Date],0))</f>
        <v>-1.5</v>
      </c>
      <c r="Q1289" s="2">
        <f ca="1">INDEX(INDIRECT(_xlfn.CONCAT("weather.tbl[",Q$1,"]")),MATCH(vp.data[[#This Row],[SDate]],weather.tbl[Date],0))</f>
        <v>-1.5</v>
      </c>
      <c r="R1289" s="2">
        <f ca="1">INDEX(INDIRECT(_xlfn.CONCAT("weather.tbl[",R$1,"]")),MATCH(vp.data[[#This Row],[SDate]],weather.tbl[Date],0))</f>
        <v>-2.2999999999999998</v>
      </c>
      <c r="S1289" s="2">
        <f ca="1">INDEX(INDIRECT(_xlfn.CONCAT("weather.tbl[",S$1,"]")),MATCH(vp.data[[#This Row],[SDate]],weather.tbl[Date],0))</f>
        <v>-1.3</v>
      </c>
      <c r="T1289" s="2">
        <f ca="1">INDEX(INDIRECT(_xlfn.CONCAT("weather.tbl[",T$1,"]")),MATCH(vp.data[[#This Row],[SDate]],weather.tbl[Date],0))</f>
        <v>-0.8</v>
      </c>
      <c r="U1289" s="2">
        <f ca="1">INDEX(INDIRECT(_xlfn.CONCAT("weather.tbl[",U$1,"]")),MATCH(vp.data[[#This Row],[SDate]],weather.tbl[Date],0))</f>
        <v>-2.2999999999999998</v>
      </c>
      <c r="V1289" s="2">
        <f t="array" ref="V12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8089.0709999999999</v>
      </c>
      <c r="W1289" t="s">
        <v>48</v>
      </c>
      <c r="X1289">
        <f>IF(OR(vp.data[[#This Row],[Sulf]]="",vp.data[[#This Row],[Dens]]=""),1,0)</f>
        <v>0</v>
      </c>
      <c r="Y1289">
        <f>IF(vp.data[[#This Row],[CrudeType]]="C5+",1,0)</f>
        <v>0</v>
      </c>
      <c r="Z1289">
        <f>IF(AND(vp.data[[#This Row],[CrudeType]]="Crude",vp.data[[#This Row],[Dens]]&lt;=825,vp.data[[#This Row],[Sulf]]&gt;0.5,vp.data[[#This Row],[Unknown]]=0),1,0)</f>
        <v>0</v>
      </c>
      <c r="AA1289">
        <f>IF(AND(vp.data[[#This Row],[CrudeType]]="Crude",vp.data[[#This Row],[Dens]]&lt;=825,vp.data[[#This Row],[Sulf]]&lt;=0.5,vp.data[[#This Row],[Unknown]]=0),1,0)</f>
        <v>1</v>
      </c>
      <c r="AB12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89">
        <f>IF(AND(vp.data[[#This Row],[CrudeType]]="Crude",vp.data[[#This Row],[Dens]]&gt;825,vp.data[[#This Row],[Dens]]&lt;=900,vp.data[[#This Row],[Sulf]]&lt;=0.5,vp.data[[#This Row],[Unknown]]=0),1,0)</f>
        <v>0</v>
      </c>
      <c r="AD1289">
        <f>IF(AND(vp.data[[#This Row],[CrudeType]]="Crude",vp.data[[#This Row],[Dens]]&gt;865,vp.data[[#This Row],[Dens]]&lt;=900,vp.data[[#This Row],[Sulf]]&gt;2,vp.data[[#This Row],[Unknown]]=0),1,0)</f>
        <v>0</v>
      </c>
      <c r="AE1289">
        <f>IF(AND(vp.data[[#This Row],[CrudeType]]="Crude",vp.data[[#This Row],[Dens]]&gt;900,vp.data[[#This Row],[Sulf]]&lt;=0.5,vp.data[[#This Row],[Unknown]]=0),1,0)</f>
        <v>0</v>
      </c>
      <c r="AF1289">
        <f>IF(AND(vp.data[[#This Row],[CrudeType]]="Crude",vp.data[[#This Row],[Dens]]&gt;900,vp.data[[#This Row],[Sulf]]&lt;=0.5,vp.data[[#This Row],[Unknown]]=0),1,0)</f>
        <v>0</v>
      </c>
      <c r="AG1289" t="str">
        <f>INDEX(vp.data[[#Headers],[Unknown]:[Heavy_SW]],MATCH(1,vp.data[[#This Row],[Unknown]:[Heavy_SW]],0))</f>
        <v>Light_SW</v>
      </c>
      <c r="AH1289">
        <f>INDEX([3]!crudeBD.lkup[Number],MATCH(vp.data[[#This Row],[Crude_Breakdown]],crudeBD.lkup[Crude Breakdown],0))</f>
        <v>2</v>
      </c>
      <c r="AI1289">
        <f>MONTH(vp.data[[#This Row],[SDate]])</f>
        <v>4</v>
      </c>
      <c r="AJ1289" s="5">
        <f>(vp.data[[#This Row],[VP]]-INDEX(crudeBD.lkup[Mean_VP],MATCH(vp.data[[#This Row],[Crude_Breakdown]],crudeBD.lkup[Crude Breakdown],0)))^2</f>
        <v>69.727737032135337</v>
      </c>
      <c r="AK1289" s="5">
        <f>(vp.data[[#This Row],[Dens]]-INDEX(crudeBD.lkup[Mean_Dens],MATCH(vp.data[[#This Row],[Crude_Breakdown]],crudeBD.lkup[Crude Breakdown],0)))^2</f>
        <v>9.7031164637045433E-2</v>
      </c>
      <c r="AL1289" s="5">
        <f>(vp.data[[#This Row],[Sulf]]-INDEX(crudeBD.lkup[Mean_Sulf],MATCH(vp.data[[#This Row],[Crude_Breakdown]],crudeBD.lkup[Crude Breakdown],0)))^2</f>
        <v>5.8128138736660397E-3</v>
      </c>
      <c r="AM1289" s="4">
        <f>IF(AND(vp.data[[#This Row],[SDate]]&gt;=DATE(YEAR(vp.data[[#This Row],[SDate]]),5,1),vp.data[[#This Row],[SDate]]&lt;=DATE(YEAR(vp.data[[#This Row],[SDate]]),9,15)),1,0)</f>
        <v>0</v>
      </c>
      <c r="AN1289" s="4">
        <f>IF(vp.data[[#This Row],[SDate]]&lt;DATE(2016,12,1),0,1)</f>
        <v>1</v>
      </c>
      <c r="AO1289" s="4">
        <f>IFERROR(vp.data[[#This Row],[Sulf]]*vp.data[[#This Row],[Net Dens]],"")</f>
        <v>1045755.0988799999</v>
      </c>
      <c r="AP1289">
        <f>IFERROR(vp.data[[#This Row],[Dens]]*vp.data[[#This Row],[VolumeM3]],"")</f>
        <v>6535969.3679999998</v>
      </c>
      <c r="AQ1289" s="15">
        <f>IFERROR(vp.data[[#This Row],[VP]]*vp.data[[#This Row],[VolumeM3]],"")</f>
        <v>681099.77820000006</v>
      </c>
    </row>
    <row r="1290" spans="1:43" x14ac:dyDescent="0.25">
      <c r="A1290">
        <v>1289</v>
      </c>
      <c r="B1290" t="s">
        <v>62</v>
      </c>
      <c r="C1290" t="s">
        <v>62</v>
      </c>
      <c r="D1290" t="s">
        <v>87</v>
      </c>
      <c r="F1290" s="1">
        <v>42849</v>
      </c>
      <c r="G1290" s="2">
        <v>74</v>
      </c>
      <c r="H1290" s="2"/>
      <c r="I1290" s="2">
        <f t="array" ref="I1290">_xlfn.IFNA(IF(vp.data[[#This Row],[Sulf Input]]="",INDEX([1]DATA!$Q$3:$Q$9826,MATCH(1,(vp.data[[#This Row],[Battery]]=[1]DATA!$L$3:$L$9826)*(EOMONTH(vp.data[[#This Row],[SDate]],-1)+1=[1]DATA!$G$3:$G$9826),0)),vp.data[[#This Row],[Sulf Input]]),"")</f>
        <v>0.17</v>
      </c>
      <c r="J1290" s="2">
        <v>17.3</v>
      </c>
      <c r="K1290" s="2">
        <v>-1</v>
      </c>
      <c r="L1290" s="2">
        <v>812.4</v>
      </c>
      <c r="M1290" s="2">
        <f t="array" ref="M1290">_xlfn.IFNA(IF(vp.data[[#This Row],[Dens Input]]="",INDEX([1]DATA!$O$3:$O$9826,MATCH(1,(vp.data[[#This Row],[Battery]]=[1]DATA!$L$3:$L$9826)*(EOMONTH(vp.data[[#This Row],[SDate]],-1)+1=[1]DATA!$G$3:$G$9826),0)),vp.data[[#This Row],[Dens Input]]),"")</f>
        <v>812.4</v>
      </c>
      <c r="N1290" s="2">
        <f ca="1">INDEX(INDIRECT(_xlfn.CONCAT("weather.tbl[",N$1,"]")),MATCH(vp.data[[#This Row],[SDate]],weather.tbl[Date],0))</f>
        <v>-1.6166666666666665</v>
      </c>
      <c r="O1290" s="2">
        <f ca="1">INDEX(INDIRECT(_xlfn.CONCAT("weather.tbl[",O$1,"]")),MATCH(vp.data[[#This Row],[SDate]],weather.tbl[Date],0))</f>
        <v>5.2714285714285722</v>
      </c>
      <c r="P1290" s="2">
        <f ca="1">INDEX(INDIRECT(_xlfn.CONCAT("weather.tbl[",P$1,"]")),MATCH(vp.data[[#This Row],[SDate]],weather.tbl[Date],0))</f>
        <v>-1.5</v>
      </c>
      <c r="Q1290" s="2">
        <f ca="1">INDEX(INDIRECT(_xlfn.CONCAT("weather.tbl[",Q$1,"]")),MATCH(vp.data[[#This Row],[SDate]],weather.tbl[Date],0))</f>
        <v>-1.5</v>
      </c>
      <c r="R1290" s="2">
        <f ca="1">INDEX(INDIRECT(_xlfn.CONCAT("weather.tbl[",R$1,"]")),MATCH(vp.data[[#This Row],[SDate]],weather.tbl[Date],0))</f>
        <v>-2.2999999999999998</v>
      </c>
      <c r="S1290" s="2">
        <f ca="1">INDEX(INDIRECT(_xlfn.CONCAT("weather.tbl[",S$1,"]")),MATCH(vp.data[[#This Row],[SDate]],weather.tbl[Date],0))</f>
        <v>-1.3</v>
      </c>
      <c r="T1290" s="2">
        <f ca="1">INDEX(INDIRECT(_xlfn.CONCAT("weather.tbl[",T$1,"]")),MATCH(vp.data[[#This Row],[SDate]],weather.tbl[Date],0))</f>
        <v>-0.8</v>
      </c>
      <c r="U1290" s="2">
        <f ca="1">INDEX(INDIRECT(_xlfn.CONCAT("weather.tbl[",U$1,"]")),MATCH(vp.data[[#This Row],[SDate]],weather.tbl[Date],0))</f>
        <v>-2.2999999999999998</v>
      </c>
      <c r="V1290" s="2">
        <f t="array" ref="V12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5250.2839999999997</v>
      </c>
      <c r="W1290" t="s">
        <v>48</v>
      </c>
      <c r="X1290">
        <f>IF(OR(vp.data[[#This Row],[Sulf]]="",vp.data[[#This Row],[Dens]]=""),1,0)</f>
        <v>0</v>
      </c>
      <c r="Y1290">
        <f>IF(vp.data[[#This Row],[CrudeType]]="C5+",1,0)</f>
        <v>0</v>
      </c>
      <c r="Z1290">
        <f>IF(AND(vp.data[[#This Row],[CrudeType]]="Crude",vp.data[[#This Row],[Dens]]&lt;=825,vp.data[[#This Row],[Sulf]]&gt;0.5,vp.data[[#This Row],[Unknown]]=0),1,0)</f>
        <v>0</v>
      </c>
      <c r="AA1290">
        <f>IF(AND(vp.data[[#This Row],[CrudeType]]="Crude",vp.data[[#This Row],[Dens]]&lt;=825,vp.data[[#This Row],[Sulf]]&lt;=0.5,vp.data[[#This Row],[Unknown]]=0),1,0)</f>
        <v>1</v>
      </c>
      <c r="AB12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0">
        <f>IF(AND(vp.data[[#This Row],[CrudeType]]="Crude",vp.data[[#This Row],[Dens]]&gt;825,vp.data[[#This Row],[Dens]]&lt;=900,vp.data[[#This Row],[Sulf]]&lt;=0.5,vp.data[[#This Row],[Unknown]]=0),1,0)</f>
        <v>0</v>
      </c>
      <c r="AD1290">
        <f>IF(AND(vp.data[[#This Row],[CrudeType]]="Crude",vp.data[[#This Row],[Dens]]&gt;865,vp.data[[#This Row],[Dens]]&lt;=900,vp.data[[#This Row],[Sulf]]&gt;2,vp.data[[#This Row],[Unknown]]=0),1,0)</f>
        <v>0</v>
      </c>
      <c r="AE1290">
        <f>IF(AND(vp.data[[#This Row],[CrudeType]]="Crude",vp.data[[#This Row],[Dens]]&gt;900,vp.data[[#This Row],[Sulf]]&lt;=0.5,vp.data[[#This Row],[Unknown]]=0),1,0)</f>
        <v>0</v>
      </c>
      <c r="AF1290">
        <f>IF(AND(vp.data[[#This Row],[CrudeType]]="Crude",vp.data[[#This Row],[Dens]]&gt;900,vp.data[[#This Row],[Sulf]]&lt;=0.5,vp.data[[#This Row],[Unknown]]=0),1,0)</f>
        <v>0</v>
      </c>
      <c r="AG1290" t="str">
        <f>INDEX(vp.data[[#Headers],[Unknown]:[Heavy_SW]],MATCH(1,vp.data[[#This Row],[Unknown]:[Heavy_SW]],0))</f>
        <v>Light_SW</v>
      </c>
      <c r="AH1290">
        <f>INDEX([3]!crudeBD.lkup[Number],MATCH(vp.data[[#This Row],[Crude_Breakdown]],crudeBD.lkup[Crude Breakdown],0))</f>
        <v>2</v>
      </c>
      <c r="AI1290">
        <f>MONTH(vp.data[[#This Row],[SDate]])</f>
        <v>4</v>
      </c>
      <c r="AJ1290" s="5">
        <f>(vp.data[[#This Row],[VP]]-INDEX(crudeBD.lkup[Mean_VP],MATCH(vp.data[[#This Row],[Crude_Breakdown]],crudeBD.lkup[Crude Breakdown],0)))^2</f>
        <v>344.11413424467833</v>
      </c>
      <c r="AK1290" s="5">
        <f>(vp.data[[#This Row],[Dens]]-INDEX(crudeBD.lkup[Mean_Dens],MATCH(vp.data[[#This Row],[Crude_Breakdown]],crudeBD.lkup[Crude Breakdown],0)))^2</f>
        <v>16.715846495649235</v>
      </c>
      <c r="AL1290" s="5">
        <f>(vp.data[[#This Row],[Sulf]]-INDEX(crudeBD.lkup[Mean_Sulf],MATCH(vp.data[[#This Row],[Crude_Breakdown]],crudeBD.lkup[Crude Breakdown],0)))^2</f>
        <v>4.3879776367322437E-3</v>
      </c>
      <c r="AM1290" s="4">
        <f>IF(AND(vp.data[[#This Row],[SDate]]&gt;=DATE(YEAR(vp.data[[#This Row],[SDate]]),5,1),vp.data[[#This Row],[SDate]]&lt;=DATE(YEAR(vp.data[[#This Row],[SDate]]),9,15)),1,0)</f>
        <v>0</v>
      </c>
      <c r="AN1290" s="4">
        <f>IF(vp.data[[#This Row],[SDate]]&lt;DATE(2016,12,1),0,1)</f>
        <v>1</v>
      </c>
      <c r="AO1290" s="4">
        <f>IFERROR(vp.data[[#This Row],[Sulf]]*vp.data[[#This Row],[Net Dens]],"")</f>
        <v>725106.22267200006</v>
      </c>
      <c r="AP1290">
        <f>IFERROR(vp.data[[#This Row],[Dens]]*vp.data[[#This Row],[VolumeM3]],"")</f>
        <v>4265330.7215999998</v>
      </c>
      <c r="AQ1290" s="15">
        <f>IFERROR(vp.data[[#This Row],[VP]]*vp.data[[#This Row],[VolumeM3]],"")</f>
        <v>388521.01599999995</v>
      </c>
    </row>
    <row r="1291" spans="1:43" x14ac:dyDescent="0.25">
      <c r="A1291">
        <v>1290</v>
      </c>
      <c r="B1291" t="s">
        <v>62</v>
      </c>
      <c r="C1291" t="s">
        <v>62</v>
      </c>
      <c r="D1291" t="s">
        <v>63</v>
      </c>
      <c r="F1291" s="1">
        <v>42849</v>
      </c>
      <c r="G1291" s="2">
        <v>84.7</v>
      </c>
      <c r="H1291" s="2"/>
      <c r="I1291" s="2">
        <f t="array" ref="I1291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291" s="2">
        <v>22.6</v>
      </c>
      <c r="K1291" s="2">
        <v>-1</v>
      </c>
      <c r="L1291" s="2">
        <v>815.6</v>
      </c>
      <c r="M1291" s="2">
        <f t="array" ref="M1291">_xlfn.IFNA(IF(vp.data[[#This Row],[Dens Input]]="",INDEX([1]DATA!$O$3:$O$9826,MATCH(1,(vp.data[[#This Row],[Battery]]=[1]DATA!$L$3:$L$9826)*(EOMONTH(vp.data[[#This Row],[SDate]],-1)+1=[1]DATA!$G$3:$G$9826),0)),vp.data[[#This Row],[Dens Input]]),"")</f>
        <v>815.6</v>
      </c>
      <c r="N1291" s="2">
        <f ca="1">INDEX(INDIRECT(_xlfn.CONCAT("weather.tbl[",N$1,"]")),MATCH(vp.data[[#This Row],[SDate]],weather.tbl[Date],0))</f>
        <v>-1.6166666666666665</v>
      </c>
      <c r="O1291" s="2">
        <f ca="1">INDEX(INDIRECT(_xlfn.CONCAT("weather.tbl[",O$1,"]")),MATCH(vp.data[[#This Row],[SDate]],weather.tbl[Date],0))</f>
        <v>5.2714285714285722</v>
      </c>
      <c r="P1291" s="2">
        <f ca="1">INDEX(INDIRECT(_xlfn.CONCAT("weather.tbl[",P$1,"]")),MATCH(vp.data[[#This Row],[SDate]],weather.tbl[Date],0))</f>
        <v>-1.5</v>
      </c>
      <c r="Q1291" s="2">
        <f ca="1">INDEX(INDIRECT(_xlfn.CONCAT("weather.tbl[",Q$1,"]")),MATCH(vp.data[[#This Row],[SDate]],weather.tbl[Date],0))</f>
        <v>-1.5</v>
      </c>
      <c r="R1291" s="2">
        <f ca="1">INDEX(INDIRECT(_xlfn.CONCAT("weather.tbl[",R$1,"]")),MATCH(vp.data[[#This Row],[SDate]],weather.tbl[Date],0))</f>
        <v>-2.2999999999999998</v>
      </c>
      <c r="S1291" s="2">
        <f ca="1">INDEX(INDIRECT(_xlfn.CONCAT("weather.tbl[",S$1,"]")),MATCH(vp.data[[#This Row],[SDate]],weather.tbl[Date],0))</f>
        <v>-1.3</v>
      </c>
      <c r="T1291" s="2">
        <f ca="1">INDEX(INDIRECT(_xlfn.CONCAT("weather.tbl[",T$1,"]")),MATCH(vp.data[[#This Row],[SDate]],weather.tbl[Date],0))</f>
        <v>-0.8</v>
      </c>
      <c r="U1291" s="2">
        <f ca="1">INDEX(INDIRECT(_xlfn.CONCAT("weather.tbl[",U$1,"]")),MATCH(vp.data[[#This Row],[SDate]],weather.tbl[Date],0))</f>
        <v>-2.2999999999999998</v>
      </c>
      <c r="V1291" s="2">
        <f t="array" ref="V12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8008.9170000000004</v>
      </c>
      <c r="W1291" t="s">
        <v>48</v>
      </c>
      <c r="X1291">
        <f>IF(OR(vp.data[[#This Row],[Sulf]]="",vp.data[[#This Row],[Dens]]=""),1,0)</f>
        <v>0</v>
      </c>
      <c r="Y1291">
        <f>IF(vp.data[[#This Row],[CrudeType]]="C5+",1,0)</f>
        <v>0</v>
      </c>
      <c r="Z1291">
        <f>IF(AND(vp.data[[#This Row],[CrudeType]]="Crude",vp.data[[#This Row],[Dens]]&lt;=825,vp.data[[#This Row],[Sulf]]&gt;0.5,vp.data[[#This Row],[Unknown]]=0),1,0)</f>
        <v>1</v>
      </c>
      <c r="AA1291">
        <f>IF(AND(vp.data[[#This Row],[CrudeType]]="Crude",vp.data[[#This Row],[Dens]]&lt;=825,vp.data[[#This Row],[Sulf]]&lt;=0.5,vp.data[[#This Row],[Unknown]]=0),1,0)</f>
        <v>0</v>
      </c>
      <c r="AB12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1">
        <f>IF(AND(vp.data[[#This Row],[CrudeType]]="Crude",vp.data[[#This Row],[Dens]]&gt;825,vp.data[[#This Row],[Dens]]&lt;=900,vp.data[[#This Row],[Sulf]]&lt;=0.5,vp.data[[#This Row],[Unknown]]=0),1,0)</f>
        <v>0</v>
      </c>
      <c r="AD1291">
        <f>IF(AND(vp.data[[#This Row],[CrudeType]]="Crude",vp.data[[#This Row],[Dens]]&gt;865,vp.data[[#This Row],[Dens]]&lt;=900,vp.data[[#This Row],[Sulf]]&gt;2,vp.data[[#This Row],[Unknown]]=0),1,0)</f>
        <v>0</v>
      </c>
      <c r="AE1291">
        <f>IF(AND(vp.data[[#This Row],[CrudeType]]="Crude",vp.data[[#This Row],[Dens]]&gt;900,vp.data[[#This Row],[Sulf]]&lt;=0.5,vp.data[[#This Row],[Unknown]]=0),1,0)</f>
        <v>0</v>
      </c>
      <c r="AF1291">
        <f>IF(AND(vp.data[[#This Row],[CrudeType]]="Crude",vp.data[[#This Row],[Dens]]&gt;900,vp.data[[#This Row],[Sulf]]&lt;=0.5,vp.data[[#This Row],[Unknown]]=0),1,0)</f>
        <v>0</v>
      </c>
      <c r="AG1291" t="str">
        <f>INDEX(vp.data[[#Headers],[Unknown]:[Heavy_SW]],MATCH(1,vp.data[[#This Row],[Unknown]:[Heavy_SW]],0))</f>
        <v>Light_LSB</v>
      </c>
      <c r="AH1291">
        <f>INDEX([3]!crudeBD.lkup[Number],MATCH(vp.data[[#This Row],[Crude_Breakdown]],crudeBD.lkup[Crude Breakdown],0))</f>
        <v>1</v>
      </c>
      <c r="AI1291">
        <f>MONTH(vp.data[[#This Row],[SDate]])</f>
        <v>4</v>
      </c>
      <c r="AJ1291" s="5">
        <f>(vp.data[[#This Row],[VP]]-INDEX(crudeBD.lkup[Mean_VP],MATCH(vp.data[[#This Row],[Crude_Breakdown]],crudeBD.lkup[Crude Breakdown],0)))^2</f>
        <v>46.870256817940657</v>
      </c>
      <c r="AK1291" s="5">
        <f>(vp.data[[#This Row],[Dens]]-INDEX(crudeBD.lkup[Mean_Dens],MATCH(vp.data[[#This Row],[Crude_Breakdown]],crudeBD.lkup[Crude Breakdown],0)))^2</f>
        <v>8.5075458296410478</v>
      </c>
      <c r="AL1291" s="5">
        <f>(vp.data[[#This Row],[Sulf]]-INDEX(crudeBD.lkup[Mean_Sulf],MATCH(vp.data[[#This Row],[Crude_Breakdown]],crudeBD.lkup[Crude Breakdown],0)))^2</f>
        <v>2.8998110617612668E-4</v>
      </c>
      <c r="AM1291" s="4">
        <f>IF(AND(vp.data[[#This Row],[SDate]]&gt;=DATE(YEAR(vp.data[[#This Row],[SDate]]),5,1),vp.data[[#This Row],[SDate]]&lt;=DATE(YEAR(vp.data[[#This Row],[SDate]]),9,15)),1,0)</f>
        <v>0</v>
      </c>
      <c r="AN1291" s="4">
        <f>IF(vp.data[[#This Row],[SDate]]&lt;DATE(2016,12,1),0,1)</f>
        <v>1</v>
      </c>
      <c r="AO1291" s="4">
        <f>IFERROR(vp.data[[#This Row],[Sulf]]*vp.data[[#This Row],[Net Dens]],"")</f>
        <v>6140148.3428880004</v>
      </c>
      <c r="AP1291">
        <f>IFERROR(vp.data[[#This Row],[Dens]]*vp.data[[#This Row],[VolumeM3]],"")</f>
        <v>6532072.7052000007</v>
      </c>
      <c r="AQ1291" s="15">
        <f>IFERROR(vp.data[[#This Row],[VP]]*vp.data[[#This Row],[VolumeM3]],"")</f>
        <v>678355.26990000007</v>
      </c>
    </row>
    <row r="1292" spans="1:43" x14ac:dyDescent="0.25">
      <c r="A1292">
        <v>1291</v>
      </c>
      <c r="B1292" t="s">
        <v>62</v>
      </c>
      <c r="C1292" t="s">
        <v>62</v>
      </c>
      <c r="D1292" t="s">
        <v>93</v>
      </c>
      <c r="F1292" s="1">
        <v>42849</v>
      </c>
      <c r="G1292" s="2">
        <v>104.5</v>
      </c>
      <c r="H1292" s="2"/>
      <c r="I1292" s="2">
        <f t="array" ref="I1292">_xlfn.IFNA(IF(vp.data[[#This Row],[Sulf Input]]="",INDEX([1]DATA!$Q$3:$Q$9826,MATCH(1,(vp.data[[#This Row],[Battery]]=[1]DATA!$L$3:$L$9826)*(EOMONTH(vp.data[[#This Row],[SDate]],-1)+1=[1]DATA!$G$3:$G$9826),0)),vp.data[[#This Row],[Sulf Input]]),"")</f>
        <v>1.1000000000000001</v>
      </c>
      <c r="J1292" s="2">
        <v>7.8</v>
      </c>
      <c r="K1292" s="2">
        <v>-1</v>
      </c>
      <c r="L1292" s="2">
        <v>819.6</v>
      </c>
      <c r="M1292" s="2">
        <f t="array" ref="M1292">_xlfn.IFNA(IF(vp.data[[#This Row],[Dens Input]]="",INDEX([1]DATA!$O$3:$O$9826,MATCH(1,(vp.data[[#This Row],[Battery]]=[1]DATA!$L$3:$L$9826)*(EOMONTH(vp.data[[#This Row],[SDate]],-1)+1=[1]DATA!$G$3:$G$9826),0)),vp.data[[#This Row],[Dens Input]]),"")</f>
        <v>819.6</v>
      </c>
      <c r="N1292" s="2">
        <f ca="1">INDEX(INDIRECT(_xlfn.CONCAT("weather.tbl[",N$1,"]")),MATCH(vp.data[[#This Row],[SDate]],weather.tbl[Date],0))</f>
        <v>-1.6166666666666665</v>
      </c>
      <c r="O1292" s="2">
        <f ca="1">INDEX(INDIRECT(_xlfn.CONCAT("weather.tbl[",O$1,"]")),MATCH(vp.data[[#This Row],[SDate]],weather.tbl[Date],0))</f>
        <v>5.2714285714285722</v>
      </c>
      <c r="P1292" s="2">
        <f ca="1">INDEX(INDIRECT(_xlfn.CONCAT("weather.tbl[",P$1,"]")),MATCH(vp.data[[#This Row],[SDate]],weather.tbl[Date],0))</f>
        <v>-1.5</v>
      </c>
      <c r="Q1292" s="2">
        <f ca="1">INDEX(INDIRECT(_xlfn.CONCAT("weather.tbl[",Q$1,"]")),MATCH(vp.data[[#This Row],[SDate]],weather.tbl[Date],0))</f>
        <v>-1.5</v>
      </c>
      <c r="R1292" s="2">
        <f ca="1">INDEX(INDIRECT(_xlfn.CONCAT("weather.tbl[",R$1,"]")),MATCH(vp.data[[#This Row],[SDate]],weather.tbl[Date],0))</f>
        <v>-2.2999999999999998</v>
      </c>
      <c r="S1292" s="2">
        <f ca="1">INDEX(INDIRECT(_xlfn.CONCAT("weather.tbl[",S$1,"]")),MATCH(vp.data[[#This Row],[SDate]],weather.tbl[Date],0))</f>
        <v>-1.3</v>
      </c>
      <c r="T1292" s="2">
        <f ca="1">INDEX(INDIRECT(_xlfn.CONCAT("weather.tbl[",T$1,"]")),MATCH(vp.data[[#This Row],[SDate]],weather.tbl[Date],0))</f>
        <v>-0.8</v>
      </c>
      <c r="U1292" s="2">
        <f ca="1">INDEX(INDIRECT(_xlfn.CONCAT("weather.tbl[",U$1,"]")),MATCH(vp.data[[#This Row],[SDate]],weather.tbl[Date],0))</f>
        <v>-2.2999999999999998</v>
      </c>
      <c r="V1292" s="2">
        <f t="array" ref="V12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668.01199999999994</v>
      </c>
      <c r="W1292" t="s">
        <v>48</v>
      </c>
      <c r="X1292">
        <f>IF(OR(vp.data[[#This Row],[Sulf]]="",vp.data[[#This Row],[Dens]]=""),1,0)</f>
        <v>0</v>
      </c>
      <c r="Y1292">
        <f>IF(vp.data[[#This Row],[CrudeType]]="C5+",1,0)</f>
        <v>0</v>
      </c>
      <c r="Z1292">
        <f>IF(AND(vp.data[[#This Row],[CrudeType]]="Crude",vp.data[[#This Row],[Dens]]&lt;=825,vp.data[[#This Row],[Sulf]]&gt;0.5,vp.data[[#This Row],[Unknown]]=0),1,0)</f>
        <v>1</v>
      </c>
      <c r="AA1292">
        <f>IF(AND(vp.data[[#This Row],[CrudeType]]="Crude",vp.data[[#This Row],[Dens]]&lt;=825,vp.data[[#This Row],[Sulf]]&lt;=0.5,vp.data[[#This Row],[Unknown]]=0),1,0)</f>
        <v>0</v>
      </c>
      <c r="AB12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2">
        <f>IF(AND(vp.data[[#This Row],[CrudeType]]="Crude",vp.data[[#This Row],[Dens]]&gt;825,vp.data[[#This Row],[Dens]]&lt;=900,vp.data[[#This Row],[Sulf]]&lt;=0.5,vp.data[[#This Row],[Unknown]]=0),1,0)</f>
        <v>0</v>
      </c>
      <c r="AD1292">
        <f>IF(AND(vp.data[[#This Row],[CrudeType]]="Crude",vp.data[[#This Row],[Dens]]&gt;865,vp.data[[#This Row],[Dens]]&lt;=900,vp.data[[#This Row],[Sulf]]&gt;2,vp.data[[#This Row],[Unknown]]=0),1,0)</f>
        <v>0</v>
      </c>
      <c r="AE1292">
        <f>IF(AND(vp.data[[#This Row],[CrudeType]]="Crude",vp.data[[#This Row],[Dens]]&gt;900,vp.data[[#This Row],[Sulf]]&lt;=0.5,vp.data[[#This Row],[Unknown]]=0),1,0)</f>
        <v>0</v>
      </c>
      <c r="AF1292">
        <f>IF(AND(vp.data[[#This Row],[CrudeType]]="Crude",vp.data[[#This Row],[Dens]]&gt;900,vp.data[[#This Row],[Sulf]]&lt;=0.5,vp.data[[#This Row],[Unknown]]=0),1,0)</f>
        <v>0</v>
      </c>
      <c r="AG1292" t="str">
        <f>INDEX(vp.data[[#Headers],[Unknown]:[Heavy_SW]],MATCH(1,vp.data[[#This Row],[Unknown]:[Heavy_SW]],0))</f>
        <v>Light_LSB</v>
      </c>
      <c r="AH1292">
        <f>INDEX([3]!crudeBD.lkup[Number],MATCH(vp.data[[#This Row],[Crude_Breakdown]],crudeBD.lkup[Crude Breakdown],0))</f>
        <v>1</v>
      </c>
      <c r="AI1292">
        <f>MONTH(vp.data[[#This Row],[SDate]])</f>
        <v>4</v>
      </c>
      <c r="AJ1292" s="5">
        <f>(vp.data[[#This Row],[VP]]-INDEX(crudeBD.lkup[Mean_VP],MATCH(vp.data[[#This Row],[Crude_Breakdown]],crudeBD.lkup[Crude Breakdown],0)))^2</f>
        <v>167.80130836433122</v>
      </c>
      <c r="AK1292" s="5">
        <f>(vp.data[[#This Row],[Dens]]-INDEX(crudeBD.lkup[Mean_Dens],MATCH(vp.data[[#This Row],[Crude_Breakdown]],crudeBD.lkup[Crude Breakdown],0)))^2</f>
        <v>1.1733877540423685</v>
      </c>
      <c r="AL1292" s="5">
        <f>(vp.data[[#This Row],[Sulf]]-INDEX(crudeBD.lkup[Mean_Sulf],MATCH(vp.data[[#This Row],[Crude_Breakdown]],crudeBD.lkup[Crude Breakdown],0)))^2</f>
        <v>3.1339207223014733E-2</v>
      </c>
      <c r="AM1292" s="4">
        <f>IF(AND(vp.data[[#This Row],[SDate]]&gt;=DATE(YEAR(vp.data[[#This Row],[SDate]]),5,1),vp.data[[#This Row],[SDate]]&lt;=DATE(YEAR(vp.data[[#This Row],[SDate]]),9,15)),1,0)</f>
        <v>0</v>
      </c>
      <c r="AN1292" s="4">
        <f>IF(vp.data[[#This Row],[SDate]]&lt;DATE(2016,12,1),0,1)</f>
        <v>1</v>
      </c>
      <c r="AO1292" s="4">
        <f>IFERROR(vp.data[[#This Row],[Sulf]]*vp.data[[#This Row],[Net Dens]],"")</f>
        <v>602252.89872000006</v>
      </c>
      <c r="AP1292">
        <f>IFERROR(vp.data[[#This Row],[Dens]]*vp.data[[#This Row],[VolumeM3]],"")</f>
        <v>547502.63520000002</v>
      </c>
      <c r="AQ1292" s="15">
        <f>IFERROR(vp.data[[#This Row],[VP]]*vp.data[[#This Row],[VolumeM3]],"")</f>
        <v>69807.254000000001</v>
      </c>
    </row>
    <row r="1293" spans="1:43" x14ac:dyDescent="0.25">
      <c r="A1293">
        <v>1292</v>
      </c>
      <c r="B1293" t="s">
        <v>51</v>
      </c>
      <c r="C1293" t="s">
        <v>51</v>
      </c>
      <c r="D1293" t="s">
        <v>95</v>
      </c>
      <c r="F1293" s="1">
        <v>42849</v>
      </c>
      <c r="G1293" s="2">
        <v>74.900000000000006</v>
      </c>
      <c r="H1293" s="2"/>
      <c r="I1293" s="2">
        <f t="array" ref="I1293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293" s="2">
        <v>23.8</v>
      </c>
      <c r="K1293" s="2">
        <v>-1</v>
      </c>
      <c r="L1293" s="2">
        <v>840.8</v>
      </c>
      <c r="M1293" s="2">
        <f t="array" ref="M1293">_xlfn.IFNA(IF(vp.data[[#This Row],[Dens Input]]="",INDEX([1]DATA!$O$3:$O$9826,MATCH(1,(vp.data[[#This Row],[Battery]]=[1]DATA!$L$3:$L$9826)*(EOMONTH(vp.data[[#This Row],[SDate]],-1)+1=[1]DATA!$G$3:$G$9826),0)),vp.data[[#This Row],[Dens Input]]),"")</f>
        <v>840.8</v>
      </c>
      <c r="N1293" s="2">
        <f ca="1">INDEX(INDIRECT(_xlfn.CONCAT("weather.tbl[",N$1,"]")),MATCH(vp.data[[#This Row],[SDate]],weather.tbl[Date],0))</f>
        <v>-1.6166666666666665</v>
      </c>
      <c r="O1293" s="2">
        <f ca="1">INDEX(INDIRECT(_xlfn.CONCAT("weather.tbl[",O$1,"]")),MATCH(vp.data[[#This Row],[SDate]],weather.tbl[Date],0))</f>
        <v>5.2714285714285722</v>
      </c>
      <c r="P1293" s="2">
        <f ca="1">INDEX(INDIRECT(_xlfn.CONCAT("weather.tbl[",P$1,"]")),MATCH(vp.data[[#This Row],[SDate]],weather.tbl[Date],0))</f>
        <v>-1.5</v>
      </c>
      <c r="Q1293" s="2">
        <f ca="1">INDEX(INDIRECT(_xlfn.CONCAT("weather.tbl[",Q$1,"]")),MATCH(vp.data[[#This Row],[SDate]],weather.tbl[Date],0))</f>
        <v>-1.5</v>
      </c>
      <c r="R1293" s="2">
        <f ca="1">INDEX(INDIRECT(_xlfn.CONCAT("weather.tbl[",R$1,"]")),MATCH(vp.data[[#This Row],[SDate]],weather.tbl[Date],0))</f>
        <v>-2.2999999999999998</v>
      </c>
      <c r="S1293" s="2">
        <f ca="1">INDEX(INDIRECT(_xlfn.CONCAT("weather.tbl[",S$1,"]")),MATCH(vp.data[[#This Row],[SDate]],weather.tbl[Date],0))</f>
        <v>-1.3</v>
      </c>
      <c r="T1293" s="2">
        <f ca="1">INDEX(INDIRECT(_xlfn.CONCAT("weather.tbl[",T$1,"]")),MATCH(vp.data[[#This Row],[SDate]],weather.tbl[Date],0))</f>
        <v>-0.8</v>
      </c>
      <c r="U1293" s="2">
        <f ca="1">INDEX(INDIRECT(_xlfn.CONCAT("weather.tbl[",U$1,"]")),MATCH(vp.data[[#This Row],[SDate]],weather.tbl[Date],0))</f>
        <v>-2.2999999999999998</v>
      </c>
      <c r="V1293" s="2">
        <f t="array" ref="V12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6027.9970000000003</v>
      </c>
      <c r="W1293" t="s">
        <v>48</v>
      </c>
      <c r="X1293">
        <f>IF(OR(vp.data[[#This Row],[Sulf]]="",vp.data[[#This Row],[Dens]]=""),1,0)</f>
        <v>0</v>
      </c>
      <c r="Y1293">
        <f>IF(vp.data[[#This Row],[CrudeType]]="C5+",1,0)</f>
        <v>0</v>
      </c>
      <c r="Z1293">
        <f>IF(AND(vp.data[[#This Row],[CrudeType]]="Crude",vp.data[[#This Row],[Dens]]&lt;=825,vp.data[[#This Row],[Sulf]]&gt;0.5,vp.data[[#This Row],[Unknown]]=0),1,0)</f>
        <v>0</v>
      </c>
      <c r="AA1293">
        <f>IF(AND(vp.data[[#This Row],[CrudeType]]="Crude",vp.data[[#This Row],[Dens]]&lt;=825,vp.data[[#This Row],[Sulf]]&lt;=0.5,vp.data[[#This Row],[Unknown]]=0),1,0)</f>
        <v>0</v>
      </c>
      <c r="AB12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93">
        <f>IF(AND(vp.data[[#This Row],[CrudeType]]="Crude",vp.data[[#This Row],[Dens]]&gt;825,vp.data[[#This Row],[Dens]]&lt;=900,vp.data[[#This Row],[Sulf]]&lt;=0.5,vp.data[[#This Row],[Unknown]]=0),1,0)</f>
        <v>0</v>
      </c>
      <c r="AD1293">
        <f>IF(AND(vp.data[[#This Row],[CrudeType]]="Crude",vp.data[[#This Row],[Dens]]&gt;865,vp.data[[#This Row],[Dens]]&lt;=900,vp.data[[#This Row],[Sulf]]&gt;2,vp.data[[#This Row],[Unknown]]=0),1,0)</f>
        <v>0</v>
      </c>
      <c r="AE1293">
        <f>IF(AND(vp.data[[#This Row],[CrudeType]]="Crude",vp.data[[#This Row],[Dens]]&gt;900,vp.data[[#This Row],[Sulf]]&lt;=0.5,vp.data[[#This Row],[Unknown]]=0),1,0)</f>
        <v>0</v>
      </c>
      <c r="AF1293">
        <f>IF(AND(vp.data[[#This Row],[CrudeType]]="Crude",vp.data[[#This Row],[Dens]]&gt;900,vp.data[[#This Row],[Sulf]]&lt;=0.5,vp.data[[#This Row],[Unknown]]=0),1,0)</f>
        <v>0</v>
      </c>
      <c r="AG1293" t="str">
        <f>INDEX(vp.data[[#Headers],[Unknown]:[Heavy_SW]],MATCH(1,vp.data[[#This Row],[Unknown]:[Heavy_SW]],0))</f>
        <v>Medium_LSB</v>
      </c>
      <c r="AH1293">
        <f>INDEX([3]!crudeBD.lkup[Number],MATCH(vp.data[[#This Row],[Crude_Breakdown]],crudeBD.lkup[Crude Breakdown],0))</f>
        <v>3</v>
      </c>
      <c r="AI1293">
        <f>MONTH(vp.data[[#This Row],[SDate]])</f>
        <v>4</v>
      </c>
      <c r="AJ1293" s="5">
        <f>(vp.data[[#This Row],[VP]]-INDEX(crudeBD.lkup[Mean_VP],MATCH(vp.data[[#This Row],[Crude_Breakdown]],crudeBD.lkup[Crude Breakdown],0)))^2</f>
        <v>32.943886897071934</v>
      </c>
      <c r="AK1293" s="5">
        <f>(vp.data[[#This Row],[Dens]]-INDEX(crudeBD.lkup[Mean_Dens],MATCH(vp.data[[#This Row],[Crude_Breakdown]],crudeBD.lkup[Crude Breakdown],0)))^2</f>
        <v>9.7343999999971906</v>
      </c>
      <c r="AL1293" s="5">
        <f>(vp.data[[#This Row],[Sulf]]-INDEX(crudeBD.lkup[Mean_Sulf],MATCH(vp.data[[#This Row],[Crude_Breakdown]],crudeBD.lkup[Crude Breakdown],0)))^2</f>
        <v>3.8184335974399415E-2</v>
      </c>
      <c r="AM1293" s="4">
        <f>IF(AND(vp.data[[#This Row],[SDate]]&gt;=DATE(YEAR(vp.data[[#This Row],[SDate]]),5,1),vp.data[[#This Row],[SDate]]&lt;=DATE(YEAR(vp.data[[#This Row],[SDate]]),9,15)),1,0)</f>
        <v>0</v>
      </c>
      <c r="AN1293" s="4">
        <f>IF(vp.data[[#This Row],[SDate]]&lt;DATE(2016,12,1),0,1)</f>
        <v>1</v>
      </c>
      <c r="AO1293" s="4">
        <f>IFERROR(vp.data[[#This Row],[Sulf]]*vp.data[[#This Row],[Net Dens]],"")</f>
        <v>6031324.4543439997</v>
      </c>
      <c r="AP1293">
        <f>IFERROR(vp.data[[#This Row],[Dens]]*vp.data[[#This Row],[VolumeM3]],"")</f>
        <v>5068339.8776000002</v>
      </c>
      <c r="AQ1293" s="15">
        <f>IFERROR(vp.data[[#This Row],[VP]]*vp.data[[#This Row],[VolumeM3]],"")</f>
        <v>451496.97530000005</v>
      </c>
    </row>
    <row r="1294" spans="1:43" x14ac:dyDescent="0.25">
      <c r="A1294">
        <v>1293</v>
      </c>
      <c r="B1294" t="s">
        <v>53</v>
      </c>
      <c r="C1294" t="s">
        <v>53</v>
      </c>
      <c r="D1294" t="s">
        <v>54</v>
      </c>
      <c r="E1294" t="s">
        <v>73</v>
      </c>
      <c r="F1294" s="1">
        <v>42849</v>
      </c>
      <c r="G1294" s="2">
        <v>79.3</v>
      </c>
      <c r="H1294" s="2"/>
      <c r="I1294" s="2">
        <f t="array" ref="I1294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294" s="2">
        <v>13.5</v>
      </c>
      <c r="K1294" s="2">
        <v>-1</v>
      </c>
      <c r="L1294" s="2">
        <v>863</v>
      </c>
      <c r="M1294" s="2">
        <f t="array" ref="M1294">_xlfn.IFNA(IF(vp.data[[#This Row],[Dens Input]]="",INDEX([1]DATA!$O$3:$O$9826,MATCH(1,(vp.data[[#This Row],[Battery]]=[1]DATA!$L$3:$L$9826)*(EOMONTH(vp.data[[#This Row],[SDate]],-1)+1=[1]DATA!$G$3:$G$9826),0)),vp.data[[#This Row],[Dens Input]]),"")</f>
        <v>863</v>
      </c>
      <c r="N1294" s="2">
        <f ca="1">INDEX(INDIRECT(_xlfn.CONCAT("weather.tbl[",N$1,"]")),MATCH(vp.data[[#This Row],[SDate]],weather.tbl[Date],0))</f>
        <v>-1.6166666666666665</v>
      </c>
      <c r="O1294" s="2">
        <f ca="1">INDEX(INDIRECT(_xlfn.CONCAT("weather.tbl[",O$1,"]")),MATCH(vp.data[[#This Row],[SDate]],weather.tbl[Date],0))</f>
        <v>5.2714285714285722</v>
      </c>
      <c r="P1294" s="2">
        <f ca="1">INDEX(INDIRECT(_xlfn.CONCAT("weather.tbl[",P$1,"]")),MATCH(vp.data[[#This Row],[SDate]],weather.tbl[Date],0))</f>
        <v>-1.5</v>
      </c>
      <c r="Q1294" s="2">
        <f ca="1">INDEX(INDIRECT(_xlfn.CONCAT("weather.tbl[",Q$1,"]")),MATCH(vp.data[[#This Row],[SDate]],weather.tbl[Date],0))</f>
        <v>-1.5</v>
      </c>
      <c r="R1294" s="2">
        <f ca="1">INDEX(INDIRECT(_xlfn.CONCAT("weather.tbl[",R$1,"]")),MATCH(vp.data[[#This Row],[SDate]],weather.tbl[Date],0))</f>
        <v>-2.2999999999999998</v>
      </c>
      <c r="S1294" s="2">
        <f ca="1">INDEX(INDIRECT(_xlfn.CONCAT("weather.tbl[",S$1,"]")),MATCH(vp.data[[#This Row],[SDate]],weather.tbl[Date],0))</f>
        <v>-1.3</v>
      </c>
      <c r="T1294" s="2">
        <f ca="1">INDEX(INDIRECT(_xlfn.CONCAT("weather.tbl[",T$1,"]")),MATCH(vp.data[[#This Row],[SDate]],weather.tbl[Date],0))</f>
        <v>-0.8</v>
      </c>
      <c r="U1294" s="2">
        <f ca="1">INDEX(INDIRECT(_xlfn.CONCAT("weather.tbl[",U$1,"]")),MATCH(vp.data[[#This Row],[SDate]],weather.tbl[Date],0))</f>
        <v>-2.2999999999999998</v>
      </c>
      <c r="V1294" s="2">
        <f t="array" ref="V12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294" t="s">
        <v>48</v>
      </c>
      <c r="X1294">
        <f>IF(OR(vp.data[[#This Row],[Sulf]]="",vp.data[[#This Row],[Dens]]=""),1,0)</f>
        <v>0</v>
      </c>
      <c r="Y1294">
        <f>IF(vp.data[[#This Row],[CrudeType]]="C5+",1,0)</f>
        <v>0</v>
      </c>
      <c r="Z1294">
        <f>IF(AND(vp.data[[#This Row],[CrudeType]]="Crude",vp.data[[#This Row],[Dens]]&lt;=825,vp.data[[#This Row],[Sulf]]&gt;0.5,vp.data[[#This Row],[Unknown]]=0),1,0)</f>
        <v>0</v>
      </c>
      <c r="AA1294">
        <f>IF(AND(vp.data[[#This Row],[CrudeType]]="Crude",vp.data[[#This Row],[Dens]]&lt;=825,vp.data[[#This Row],[Sulf]]&lt;=0.5,vp.data[[#This Row],[Unknown]]=0),1,0)</f>
        <v>0</v>
      </c>
      <c r="AB12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94">
        <f>IF(AND(vp.data[[#This Row],[CrudeType]]="Crude",vp.data[[#This Row],[Dens]]&gt;825,vp.data[[#This Row],[Dens]]&lt;=900,vp.data[[#This Row],[Sulf]]&lt;=0.5,vp.data[[#This Row],[Unknown]]=0),1,0)</f>
        <v>0</v>
      </c>
      <c r="AD1294">
        <f>IF(AND(vp.data[[#This Row],[CrudeType]]="Crude",vp.data[[#This Row],[Dens]]&gt;865,vp.data[[#This Row],[Dens]]&lt;=900,vp.data[[#This Row],[Sulf]]&gt;2,vp.data[[#This Row],[Unknown]]=0),1,0)</f>
        <v>0</v>
      </c>
      <c r="AE1294">
        <f>IF(AND(vp.data[[#This Row],[CrudeType]]="Crude",vp.data[[#This Row],[Dens]]&gt;900,vp.data[[#This Row],[Sulf]]&lt;=0.5,vp.data[[#This Row],[Unknown]]=0),1,0)</f>
        <v>0</v>
      </c>
      <c r="AF1294">
        <f>IF(AND(vp.data[[#This Row],[CrudeType]]="Crude",vp.data[[#This Row],[Dens]]&gt;900,vp.data[[#This Row],[Sulf]]&lt;=0.5,vp.data[[#This Row],[Unknown]]=0),1,0)</f>
        <v>0</v>
      </c>
      <c r="AG1294" t="str">
        <f>INDEX(vp.data[[#Headers],[Unknown]:[Heavy_SW]],MATCH(1,vp.data[[#This Row],[Unknown]:[Heavy_SW]],0))</f>
        <v>Medium_LSB</v>
      </c>
      <c r="AH1294">
        <f>INDEX([3]!crudeBD.lkup[Number],MATCH(vp.data[[#This Row],[Crude_Breakdown]],crudeBD.lkup[Crude Breakdown],0))</f>
        <v>3</v>
      </c>
      <c r="AI1294">
        <f>MONTH(vp.data[[#This Row],[SDate]])</f>
        <v>4</v>
      </c>
      <c r="AJ1294" s="5">
        <f>(vp.data[[#This Row],[VP]]-INDEX(crudeBD.lkup[Mean_VP],MATCH(vp.data[[#This Row],[Crude_Breakdown]],crudeBD.lkup[Crude Breakdown],0)))^2</f>
        <v>1.7947332582586195</v>
      </c>
      <c r="AK1294" s="5">
        <f>(vp.data[[#This Row],[Dens]]-INDEX(crudeBD.lkup[Mean_Dens],MATCH(vp.data[[#This Row],[Crude_Breakdown]],crudeBD.lkup[Crude Breakdown],0)))^2</f>
        <v>364.04640000001893</v>
      </c>
      <c r="AL1294" s="5">
        <f>(vp.data[[#This Row],[Sulf]]-INDEX(crudeBD.lkup[Mean_Sulf],MATCH(vp.data[[#This Row],[Crude_Breakdown]],crudeBD.lkup[Crude Breakdown],0)))^2</f>
        <v>3.4376173440706655E-2</v>
      </c>
      <c r="AM1294" s="4">
        <f>IF(AND(vp.data[[#This Row],[SDate]]&gt;=DATE(YEAR(vp.data[[#This Row],[SDate]]),5,1),vp.data[[#This Row],[SDate]]&lt;=DATE(YEAR(vp.data[[#This Row],[SDate]]),9,15)),1,0)</f>
        <v>0</v>
      </c>
      <c r="AN1294" s="4">
        <f>IF(vp.data[[#This Row],[SDate]]&lt;DATE(2016,12,1),0,1)</f>
        <v>1</v>
      </c>
      <c r="AO1294" s="4">
        <f>IFERROR(vp.data[[#This Row],[Sulf]]*vp.data[[#This Row],[Net Dens]],"")</f>
        <v>6487924.2264</v>
      </c>
      <c r="AP1294">
        <f>IFERROR(vp.data[[#This Row],[Dens]]*vp.data[[#This Row],[VolumeM3]],"")</f>
        <v>5406603.5219999999</v>
      </c>
      <c r="AQ1294" s="15">
        <f>IFERROR(vp.data[[#This Row],[VP]]*vp.data[[#This Row],[VolumeM3]],"")</f>
        <v>496806.09419999999</v>
      </c>
    </row>
    <row r="1295" spans="1:43" x14ac:dyDescent="0.25">
      <c r="A1295">
        <v>1294</v>
      </c>
      <c r="B1295" t="s">
        <v>53</v>
      </c>
      <c r="C1295" t="s">
        <v>53</v>
      </c>
      <c r="D1295" t="s">
        <v>54</v>
      </c>
      <c r="E1295" t="s">
        <v>55</v>
      </c>
      <c r="F1295" s="1">
        <v>42849</v>
      </c>
      <c r="G1295" s="2">
        <v>76.599999999999994</v>
      </c>
      <c r="H1295" s="2"/>
      <c r="I1295" s="2">
        <f t="array" ref="I1295">_xlfn.IFNA(IF(vp.data[[#This Row],[Sulf Input]]="",INDEX([1]DATA!$Q$3:$Q$9826,MATCH(1,(vp.data[[#This Row],[Battery]]=[1]DATA!$L$3:$L$9826)*(EOMONTH(vp.data[[#This Row],[SDate]],-1)+1=[1]DATA!$G$3:$G$9826),0)),vp.data[[#This Row],[Sulf Input]]),"")</f>
        <v>1.2</v>
      </c>
      <c r="J1295" s="2">
        <v>10.199999999999999</v>
      </c>
      <c r="K1295" s="2">
        <v>-1</v>
      </c>
      <c r="L1295" s="2">
        <v>841.1</v>
      </c>
      <c r="M1295" s="2">
        <f t="array" ref="M1295">_xlfn.IFNA(IF(vp.data[[#This Row],[Dens Input]]="",INDEX([1]DATA!$O$3:$O$9826,MATCH(1,(vp.data[[#This Row],[Battery]]=[1]DATA!$L$3:$L$9826)*(EOMONTH(vp.data[[#This Row],[SDate]],-1)+1=[1]DATA!$G$3:$G$9826),0)),vp.data[[#This Row],[Dens Input]]),"")</f>
        <v>841.1</v>
      </c>
      <c r="N1295" s="2">
        <f ca="1">INDEX(INDIRECT(_xlfn.CONCAT("weather.tbl[",N$1,"]")),MATCH(vp.data[[#This Row],[SDate]],weather.tbl[Date],0))</f>
        <v>-1.6166666666666665</v>
      </c>
      <c r="O1295" s="2">
        <f ca="1">INDEX(INDIRECT(_xlfn.CONCAT("weather.tbl[",O$1,"]")),MATCH(vp.data[[#This Row],[SDate]],weather.tbl[Date],0))</f>
        <v>5.2714285714285722</v>
      </c>
      <c r="P1295" s="2">
        <f ca="1">INDEX(INDIRECT(_xlfn.CONCAT("weather.tbl[",P$1,"]")),MATCH(vp.data[[#This Row],[SDate]],weather.tbl[Date],0))</f>
        <v>-1.5</v>
      </c>
      <c r="Q1295" s="2">
        <f ca="1">INDEX(INDIRECT(_xlfn.CONCAT("weather.tbl[",Q$1,"]")),MATCH(vp.data[[#This Row],[SDate]],weather.tbl[Date],0))</f>
        <v>-1.5</v>
      </c>
      <c r="R1295" s="2">
        <f ca="1">INDEX(INDIRECT(_xlfn.CONCAT("weather.tbl[",R$1,"]")),MATCH(vp.data[[#This Row],[SDate]],weather.tbl[Date],0))</f>
        <v>-2.2999999999999998</v>
      </c>
      <c r="S1295" s="2">
        <f ca="1">INDEX(INDIRECT(_xlfn.CONCAT("weather.tbl[",S$1,"]")),MATCH(vp.data[[#This Row],[SDate]],weather.tbl[Date],0))</f>
        <v>-1.3</v>
      </c>
      <c r="T1295" s="2">
        <f ca="1">INDEX(INDIRECT(_xlfn.CONCAT("weather.tbl[",T$1,"]")),MATCH(vp.data[[#This Row],[SDate]],weather.tbl[Date],0))</f>
        <v>-0.8</v>
      </c>
      <c r="U1295" s="2">
        <f ca="1">INDEX(INDIRECT(_xlfn.CONCAT("weather.tbl[",U$1,"]")),MATCH(vp.data[[#This Row],[SDate]],weather.tbl[Date],0))</f>
        <v>-2.2999999999999998</v>
      </c>
      <c r="V1295" s="2">
        <f t="array" ref="V12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6264.8940000000002</v>
      </c>
      <c r="W1295" t="s">
        <v>48</v>
      </c>
      <c r="X1295">
        <f>IF(OR(vp.data[[#This Row],[Sulf]]="",vp.data[[#This Row],[Dens]]=""),1,0)</f>
        <v>0</v>
      </c>
      <c r="Y1295">
        <f>IF(vp.data[[#This Row],[CrudeType]]="C5+",1,0)</f>
        <v>0</v>
      </c>
      <c r="Z1295">
        <f>IF(AND(vp.data[[#This Row],[CrudeType]]="Crude",vp.data[[#This Row],[Dens]]&lt;=825,vp.data[[#This Row],[Sulf]]&gt;0.5,vp.data[[#This Row],[Unknown]]=0),1,0)</f>
        <v>0</v>
      </c>
      <c r="AA1295">
        <f>IF(AND(vp.data[[#This Row],[CrudeType]]="Crude",vp.data[[#This Row],[Dens]]&lt;=825,vp.data[[#This Row],[Sulf]]&lt;=0.5,vp.data[[#This Row],[Unknown]]=0),1,0)</f>
        <v>0</v>
      </c>
      <c r="AB12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295">
        <f>IF(AND(vp.data[[#This Row],[CrudeType]]="Crude",vp.data[[#This Row],[Dens]]&gt;825,vp.data[[#This Row],[Dens]]&lt;=900,vp.data[[#This Row],[Sulf]]&lt;=0.5,vp.data[[#This Row],[Unknown]]=0),1,0)</f>
        <v>0</v>
      </c>
      <c r="AD1295">
        <f>IF(AND(vp.data[[#This Row],[CrudeType]]="Crude",vp.data[[#This Row],[Dens]]&gt;865,vp.data[[#This Row],[Dens]]&lt;=900,vp.data[[#This Row],[Sulf]]&gt;2,vp.data[[#This Row],[Unknown]]=0),1,0)</f>
        <v>0</v>
      </c>
      <c r="AE1295">
        <f>IF(AND(vp.data[[#This Row],[CrudeType]]="Crude",vp.data[[#This Row],[Dens]]&gt;900,vp.data[[#This Row],[Sulf]]&lt;=0.5,vp.data[[#This Row],[Unknown]]=0),1,0)</f>
        <v>0</v>
      </c>
      <c r="AF1295">
        <f>IF(AND(vp.data[[#This Row],[CrudeType]]="Crude",vp.data[[#This Row],[Dens]]&gt;900,vp.data[[#This Row],[Sulf]]&lt;=0.5,vp.data[[#This Row],[Unknown]]=0),1,0)</f>
        <v>0</v>
      </c>
      <c r="AG1295" t="str">
        <f>INDEX(vp.data[[#Headers],[Unknown]:[Heavy_SW]],MATCH(1,vp.data[[#This Row],[Unknown]:[Heavy_SW]],0))</f>
        <v>Medium_LSB</v>
      </c>
      <c r="AH1295">
        <f>INDEX([3]!crudeBD.lkup[Number],MATCH(vp.data[[#This Row],[Crude_Breakdown]],crudeBD.lkup[Crude Breakdown],0))</f>
        <v>3</v>
      </c>
      <c r="AI1295">
        <f>MONTH(vp.data[[#This Row],[SDate]])</f>
        <v>4</v>
      </c>
      <c r="AJ1295" s="5">
        <f>(vp.data[[#This Row],[VP]]-INDEX(crudeBD.lkup[Mean_VP],MATCH(vp.data[[#This Row],[Crude_Breakdown]],crudeBD.lkup[Crude Breakdown],0)))^2</f>
        <v>16.31898662753051</v>
      </c>
      <c r="AK1295" s="5">
        <f>(vp.data[[#This Row],[Dens]]-INDEX(crudeBD.lkup[Mean_Dens],MATCH(vp.data[[#This Row],[Crude_Breakdown]],crudeBD.lkup[Crude Breakdown],0)))^2</f>
        <v>7.952399999997076</v>
      </c>
      <c r="AL1295" s="5">
        <f>(vp.data[[#This Row],[Sulf]]-INDEX(crudeBD.lkup[Mean_Sulf],MATCH(vp.data[[#This Row],[Crude_Breakdown]],crudeBD.lkup[Crude Breakdown],0)))^2</f>
        <v>3.4376173440706655E-2</v>
      </c>
      <c r="AM1295" s="4">
        <f>IF(AND(vp.data[[#This Row],[SDate]]&gt;=DATE(YEAR(vp.data[[#This Row],[SDate]]),5,1),vp.data[[#This Row],[SDate]]&lt;=DATE(YEAR(vp.data[[#This Row],[SDate]]),9,15)),1,0)</f>
        <v>0</v>
      </c>
      <c r="AN1295" s="4">
        <f>IF(vp.data[[#This Row],[SDate]]&lt;DATE(2016,12,1),0,1)</f>
        <v>1</v>
      </c>
      <c r="AO1295" s="4">
        <f>IFERROR(vp.data[[#This Row],[Sulf]]*vp.data[[#This Row],[Net Dens]],"")</f>
        <v>6323282.8120800005</v>
      </c>
      <c r="AP1295">
        <f>IFERROR(vp.data[[#This Row],[Dens]]*vp.data[[#This Row],[VolumeM3]],"")</f>
        <v>5269402.3434000006</v>
      </c>
      <c r="AQ1295" s="15">
        <f>IFERROR(vp.data[[#This Row],[VP]]*vp.data[[#This Row],[VolumeM3]],"")</f>
        <v>479890.88039999997</v>
      </c>
    </row>
    <row r="1296" spans="1:43" x14ac:dyDescent="0.25">
      <c r="A1296">
        <v>1295</v>
      </c>
      <c r="B1296" t="s">
        <v>265</v>
      </c>
      <c r="C1296" t="s">
        <v>266</v>
      </c>
      <c r="D1296" t="s">
        <v>267</v>
      </c>
      <c r="E1296">
        <v>317181</v>
      </c>
      <c r="F1296" s="1">
        <v>42784</v>
      </c>
      <c r="G1296" s="2">
        <v>106.7</v>
      </c>
      <c r="H1296" s="2">
        <v>0</v>
      </c>
      <c r="I1296" s="2">
        <f t="array" ref="I129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296" s="2">
        <v>5</v>
      </c>
      <c r="K1296" s="2">
        <v>3</v>
      </c>
      <c r="L1296" s="2">
        <v>657.8</v>
      </c>
      <c r="M1296" s="2">
        <f t="array" ref="M1296">_xlfn.IFNA(IF(vp.data[[#This Row],[Dens Input]]="",INDEX([1]DATA!$O$3:$O$9826,MATCH(1,(vp.data[[#This Row],[Battery]]=[1]DATA!$L$3:$L$9826)*(EOMONTH(vp.data[[#This Row],[SDate]],-1)+1=[1]DATA!$G$3:$G$9826),0)),vp.data[[#This Row],[Dens Input]]),"")</f>
        <v>657.8</v>
      </c>
      <c r="N1296" s="2">
        <f ca="1">INDEX(INDIRECT(_xlfn.CONCAT("weather.tbl[",N$1,"]")),MATCH(vp.data[[#This Row],[SDate]],weather.tbl[Date],0))</f>
        <v>-0.54999999999999993</v>
      </c>
      <c r="O1296" s="2">
        <f ca="1">INDEX(INDIRECT(_xlfn.CONCAT("weather.tbl[",O$1,"]")),MATCH(vp.data[[#This Row],[SDate]],weather.tbl[Date],0))</f>
        <v>-1.0261904761904761</v>
      </c>
      <c r="P1296" s="2">
        <f ca="1">INDEX(INDIRECT(_xlfn.CONCAT("weather.tbl[",P$1,"]")),MATCH(vp.data[[#This Row],[SDate]],weather.tbl[Date],0))</f>
        <v>-1.9</v>
      </c>
      <c r="Q1296" s="2">
        <f ca="1">INDEX(INDIRECT(_xlfn.CONCAT("weather.tbl[",Q$1,"]")),MATCH(vp.data[[#This Row],[SDate]],weather.tbl[Date],0))</f>
        <v>-1.6</v>
      </c>
      <c r="R1296" s="2">
        <f ca="1">INDEX(INDIRECT(_xlfn.CONCAT("weather.tbl[",R$1,"]")),MATCH(vp.data[[#This Row],[SDate]],weather.tbl[Date],0))</f>
        <v>-1</v>
      </c>
      <c r="S1296" s="2">
        <f ca="1">INDEX(INDIRECT(_xlfn.CONCAT("weather.tbl[",S$1,"]")),MATCH(vp.data[[#This Row],[SDate]],weather.tbl[Date],0))</f>
        <v>-0.6</v>
      </c>
      <c r="T1296" s="2">
        <f ca="1">INDEX(INDIRECT(_xlfn.CONCAT("weather.tbl[",T$1,"]")),MATCH(vp.data[[#This Row],[SDate]],weather.tbl[Date],0))</f>
        <v>-0.2</v>
      </c>
      <c r="U1296" s="2">
        <f ca="1">INDEX(INDIRECT(_xlfn.CONCAT("weather.tbl[",U$1,"]")),MATCH(vp.data[[#This Row],[SDate]],weather.tbl[Date],0))</f>
        <v>2</v>
      </c>
      <c r="V1296" s="2">
        <f t="array" ref="V12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38.880000000000003</v>
      </c>
      <c r="W1296" t="s">
        <v>268</v>
      </c>
      <c r="X1296">
        <f>IF(OR(vp.data[[#This Row],[Sulf]]="",vp.data[[#This Row],[Dens]]=""),1,0)</f>
        <v>0</v>
      </c>
      <c r="Y1296">
        <f>IF(vp.data[[#This Row],[CrudeType]]="C5+",1,0)</f>
        <v>1</v>
      </c>
      <c r="Z1296">
        <f>IF(AND(vp.data[[#This Row],[CrudeType]]="Crude",vp.data[[#This Row],[Dens]]&lt;=825,vp.data[[#This Row],[Sulf]]&gt;0.5,vp.data[[#This Row],[Unknown]]=0),1,0)</f>
        <v>0</v>
      </c>
      <c r="AA1296">
        <f>IF(AND(vp.data[[#This Row],[CrudeType]]="Crude",vp.data[[#This Row],[Dens]]&lt;=825,vp.data[[#This Row],[Sulf]]&lt;=0.5,vp.data[[#This Row],[Unknown]]=0),1,0)</f>
        <v>0</v>
      </c>
      <c r="AB12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6">
        <f>IF(AND(vp.data[[#This Row],[CrudeType]]="Crude",vp.data[[#This Row],[Dens]]&gt;825,vp.data[[#This Row],[Dens]]&lt;=900,vp.data[[#This Row],[Sulf]]&lt;=0.5,vp.data[[#This Row],[Unknown]]=0),1,0)</f>
        <v>0</v>
      </c>
      <c r="AD1296">
        <f>IF(AND(vp.data[[#This Row],[CrudeType]]="Crude",vp.data[[#This Row],[Dens]]&gt;865,vp.data[[#This Row],[Dens]]&lt;=900,vp.data[[#This Row],[Sulf]]&gt;2,vp.data[[#This Row],[Unknown]]=0),1,0)</f>
        <v>0</v>
      </c>
      <c r="AE1296">
        <f>IF(AND(vp.data[[#This Row],[CrudeType]]="Crude",vp.data[[#This Row],[Dens]]&gt;900,vp.data[[#This Row],[Sulf]]&lt;=0.5,vp.data[[#This Row],[Unknown]]=0),1,0)</f>
        <v>0</v>
      </c>
      <c r="AF1296">
        <f>IF(AND(vp.data[[#This Row],[CrudeType]]="Crude",vp.data[[#This Row],[Dens]]&gt;900,vp.data[[#This Row],[Sulf]]&lt;=0.5,vp.data[[#This Row],[Unknown]]=0),1,0)</f>
        <v>0</v>
      </c>
      <c r="AG1296" t="str">
        <f>INDEX(vp.data[[#Headers],[Unknown]:[Heavy_SW]],MATCH(1,vp.data[[#This Row],[Unknown]:[Heavy_SW]],0))</f>
        <v>C5</v>
      </c>
      <c r="AH1296">
        <f>INDEX([3]!crudeBD.lkup[Number],MATCH(vp.data[[#This Row],[Crude_Breakdown]],crudeBD.lkup[Crude Breakdown],0))</f>
        <v>0</v>
      </c>
      <c r="AI1296">
        <f>MONTH(vp.data[[#This Row],[SDate]])</f>
        <v>2</v>
      </c>
      <c r="AJ1296" s="5">
        <f>(vp.data[[#This Row],[VP]]-INDEX(crudeBD.lkup[Mean_VP],MATCH(vp.data[[#This Row],[Crude_Breakdown]],crudeBD.lkup[Crude Breakdown],0)))^2</f>
        <v>12.395733907254629</v>
      </c>
      <c r="AK1296" s="5">
        <f>(vp.data[[#This Row],[Dens]]-INDEX(crudeBD.lkup[Mean_Dens],MATCH(vp.data[[#This Row],[Crude_Breakdown]],crudeBD.lkup[Crude Breakdown],0)))^2</f>
        <v>7.629313590454917E-2</v>
      </c>
      <c r="AL1296" s="5">
        <f>(vp.data[[#This Row],[Sulf]]-INDEX(crudeBD.lkup[Mean_Sulf],MATCH(vp.data[[#This Row],[Crude_Breakdown]],crudeBD.lkup[Crude Breakdown],0)))^2</f>
        <v>0</v>
      </c>
      <c r="AM1296" s="4">
        <f>IF(AND(vp.data[[#This Row],[SDate]]&gt;=DATE(YEAR(vp.data[[#This Row],[SDate]]),5,1),vp.data[[#This Row],[SDate]]&lt;=DATE(YEAR(vp.data[[#This Row],[SDate]]),9,15)),1,0)</f>
        <v>0</v>
      </c>
      <c r="AN1296" s="4">
        <f>IF(vp.data[[#This Row],[SDate]]&lt;DATE(2016,12,1),0,1)</f>
        <v>1</v>
      </c>
      <c r="AO1296" s="4">
        <f>IFERROR(vp.data[[#This Row],[Sulf]]*vp.data[[#This Row],[Net Dens]],"")</f>
        <v>0</v>
      </c>
      <c r="AP1296">
        <f>IFERROR(vp.data[[#This Row],[Dens]]*vp.data[[#This Row],[VolumeM3]],"")</f>
        <v>25575.263999999999</v>
      </c>
      <c r="AQ1296" s="15">
        <f>IFERROR(vp.data[[#This Row],[VP]]*vp.data[[#This Row],[VolumeM3]],"")</f>
        <v>4148.4960000000001</v>
      </c>
    </row>
    <row r="1297" spans="1:43" x14ac:dyDescent="0.25">
      <c r="A1297">
        <v>1296</v>
      </c>
      <c r="B1297" t="s">
        <v>269</v>
      </c>
      <c r="C1297" t="s">
        <v>270</v>
      </c>
      <c r="D1297" t="s">
        <v>271</v>
      </c>
      <c r="E1297">
        <v>317190</v>
      </c>
      <c r="F1297" s="1">
        <v>42784</v>
      </c>
      <c r="G1297" s="2">
        <v>107.8</v>
      </c>
      <c r="H1297" s="2">
        <v>0</v>
      </c>
      <c r="I1297" s="2">
        <f t="array" ref="I129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297" s="2">
        <v>7</v>
      </c>
      <c r="K1297" s="2">
        <v>3</v>
      </c>
      <c r="L1297" s="2">
        <v>662.7</v>
      </c>
      <c r="M1297" s="2">
        <f t="array" ref="M1297">_xlfn.IFNA(IF(vp.data[[#This Row],[Dens Input]]="",INDEX([1]DATA!$O$3:$O$9826,MATCH(1,(vp.data[[#This Row],[Battery]]=[1]DATA!$L$3:$L$9826)*(EOMONTH(vp.data[[#This Row],[SDate]],-1)+1=[1]DATA!$G$3:$G$9826),0)),vp.data[[#This Row],[Dens Input]]),"")</f>
        <v>662.7</v>
      </c>
      <c r="N1297" s="2">
        <f ca="1">INDEX(INDIRECT(_xlfn.CONCAT("weather.tbl[",N$1,"]")),MATCH(vp.data[[#This Row],[SDate]],weather.tbl[Date],0))</f>
        <v>-0.54999999999999993</v>
      </c>
      <c r="O1297" s="2">
        <f ca="1">INDEX(INDIRECT(_xlfn.CONCAT("weather.tbl[",O$1,"]")),MATCH(vp.data[[#This Row],[SDate]],weather.tbl[Date],0))</f>
        <v>-1.0261904761904761</v>
      </c>
      <c r="P1297" s="2">
        <f ca="1">INDEX(INDIRECT(_xlfn.CONCAT("weather.tbl[",P$1,"]")),MATCH(vp.data[[#This Row],[SDate]],weather.tbl[Date],0))</f>
        <v>-1.9</v>
      </c>
      <c r="Q1297" s="2">
        <f ca="1">INDEX(INDIRECT(_xlfn.CONCAT("weather.tbl[",Q$1,"]")),MATCH(vp.data[[#This Row],[SDate]],weather.tbl[Date],0))</f>
        <v>-1.6</v>
      </c>
      <c r="R1297" s="2">
        <f ca="1">INDEX(INDIRECT(_xlfn.CONCAT("weather.tbl[",R$1,"]")),MATCH(vp.data[[#This Row],[SDate]],weather.tbl[Date],0))</f>
        <v>-1</v>
      </c>
      <c r="S1297" s="2">
        <f ca="1">INDEX(INDIRECT(_xlfn.CONCAT("weather.tbl[",S$1,"]")),MATCH(vp.data[[#This Row],[SDate]],weather.tbl[Date],0))</f>
        <v>-0.6</v>
      </c>
      <c r="T1297" s="2">
        <f ca="1">INDEX(INDIRECT(_xlfn.CONCAT("weather.tbl[",T$1,"]")),MATCH(vp.data[[#This Row],[SDate]],weather.tbl[Date],0))</f>
        <v>-0.2</v>
      </c>
      <c r="U1297" s="2">
        <f ca="1">INDEX(INDIRECT(_xlfn.CONCAT("weather.tbl[",U$1,"]")),MATCH(vp.data[[#This Row],[SDate]],weather.tbl[Date],0))</f>
        <v>2</v>
      </c>
      <c r="V1297" s="2">
        <f t="array" ref="V12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37.74</v>
      </c>
      <c r="W1297" t="s">
        <v>268</v>
      </c>
      <c r="X1297">
        <f>IF(OR(vp.data[[#This Row],[Sulf]]="",vp.data[[#This Row],[Dens]]=""),1,0)</f>
        <v>0</v>
      </c>
      <c r="Y1297">
        <f>IF(vp.data[[#This Row],[CrudeType]]="C5+",1,0)</f>
        <v>1</v>
      </c>
      <c r="Z1297">
        <f>IF(AND(vp.data[[#This Row],[CrudeType]]="Crude",vp.data[[#This Row],[Dens]]&lt;=825,vp.data[[#This Row],[Sulf]]&gt;0.5,vp.data[[#This Row],[Unknown]]=0),1,0)</f>
        <v>0</v>
      </c>
      <c r="AA1297">
        <f>IF(AND(vp.data[[#This Row],[CrudeType]]="Crude",vp.data[[#This Row],[Dens]]&lt;=825,vp.data[[#This Row],[Sulf]]&lt;=0.5,vp.data[[#This Row],[Unknown]]=0),1,0)</f>
        <v>0</v>
      </c>
      <c r="AB12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7">
        <f>IF(AND(vp.data[[#This Row],[CrudeType]]="Crude",vp.data[[#This Row],[Dens]]&gt;825,vp.data[[#This Row],[Dens]]&lt;=900,vp.data[[#This Row],[Sulf]]&lt;=0.5,vp.data[[#This Row],[Unknown]]=0),1,0)</f>
        <v>0</v>
      </c>
      <c r="AD1297">
        <f>IF(AND(vp.data[[#This Row],[CrudeType]]="Crude",vp.data[[#This Row],[Dens]]&gt;865,vp.data[[#This Row],[Dens]]&lt;=900,vp.data[[#This Row],[Sulf]]&gt;2,vp.data[[#This Row],[Unknown]]=0),1,0)</f>
        <v>0</v>
      </c>
      <c r="AE1297">
        <f>IF(AND(vp.data[[#This Row],[CrudeType]]="Crude",vp.data[[#This Row],[Dens]]&gt;900,vp.data[[#This Row],[Sulf]]&lt;=0.5,vp.data[[#This Row],[Unknown]]=0),1,0)</f>
        <v>0</v>
      </c>
      <c r="AF1297">
        <f>IF(AND(vp.data[[#This Row],[CrudeType]]="Crude",vp.data[[#This Row],[Dens]]&gt;900,vp.data[[#This Row],[Sulf]]&lt;=0.5,vp.data[[#This Row],[Unknown]]=0),1,0)</f>
        <v>0</v>
      </c>
      <c r="AG1297" t="str">
        <f>INDEX(vp.data[[#Headers],[Unknown]:[Heavy_SW]],MATCH(1,vp.data[[#This Row],[Unknown]:[Heavy_SW]],0))</f>
        <v>C5</v>
      </c>
      <c r="AH1297">
        <f>INDEX([3]!crudeBD.lkup[Number],MATCH(vp.data[[#This Row],[Crude_Breakdown]],crudeBD.lkup[Crude Breakdown],0))</f>
        <v>0</v>
      </c>
      <c r="AI1297">
        <f>MONTH(vp.data[[#This Row],[SDate]])</f>
        <v>2</v>
      </c>
      <c r="AJ1297" s="5">
        <f>(vp.data[[#This Row],[VP]]-INDEX(crudeBD.lkup[Mean_VP],MATCH(vp.data[[#This Row],[Crude_Breakdown]],crudeBD.lkup[Crude Breakdown],0)))^2</f>
        <v>21.351400573921328</v>
      </c>
      <c r="AK1297" s="5">
        <f>(vp.data[[#This Row],[Dens]]-INDEX(crudeBD.lkup[Mean_Dens],MATCH(vp.data[[#This Row],[Crude_Breakdown]],crudeBD.lkup[Crude Breakdown],0)))^2</f>
        <v>21.379414348025723</v>
      </c>
      <c r="AL1297" s="5">
        <f>(vp.data[[#This Row],[Sulf]]-INDEX(crudeBD.lkup[Mean_Sulf],MATCH(vp.data[[#This Row],[Crude_Breakdown]],crudeBD.lkup[Crude Breakdown],0)))^2</f>
        <v>0</v>
      </c>
      <c r="AM1297" s="4">
        <f>IF(AND(vp.data[[#This Row],[SDate]]&gt;=DATE(YEAR(vp.data[[#This Row],[SDate]]),5,1),vp.data[[#This Row],[SDate]]&lt;=DATE(YEAR(vp.data[[#This Row],[SDate]]),9,15)),1,0)</f>
        <v>0</v>
      </c>
      <c r="AN1297" s="4">
        <f>IF(vp.data[[#This Row],[SDate]]&lt;DATE(2016,12,1),0,1)</f>
        <v>1</v>
      </c>
      <c r="AO1297" s="4">
        <f>IFERROR(vp.data[[#This Row],[Sulf]]*vp.data[[#This Row],[Net Dens]],"")</f>
        <v>0</v>
      </c>
      <c r="AP1297">
        <f>IFERROR(vp.data[[#This Row],[Dens]]*vp.data[[#This Row],[VolumeM3]],"")</f>
        <v>25010.298000000003</v>
      </c>
      <c r="AQ1297" s="15">
        <f>IFERROR(vp.data[[#This Row],[VP]]*vp.data[[#This Row],[VolumeM3]],"")</f>
        <v>4068.3720000000003</v>
      </c>
    </row>
    <row r="1298" spans="1:43" x14ac:dyDescent="0.25">
      <c r="A1298">
        <v>1297</v>
      </c>
      <c r="B1298" t="s">
        <v>272</v>
      </c>
      <c r="C1298" t="s">
        <v>273</v>
      </c>
      <c r="D1298" t="s">
        <v>274</v>
      </c>
      <c r="E1298">
        <v>317176</v>
      </c>
      <c r="F1298" s="1">
        <v>42784</v>
      </c>
      <c r="G1298" s="2">
        <v>107.7</v>
      </c>
      <c r="H1298" s="2">
        <v>0</v>
      </c>
      <c r="I1298" s="2">
        <f t="array" ref="I129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298" s="2">
        <v>11</v>
      </c>
      <c r="K1298" s="2">
        <v>3</v>
      </c>
      <c r="L1298" s="2">
        <v>656</v>
      </c>
      <c r="M1298" s="2">
        <f t="array" ref="M1298">_xlfn.IFNA(IF(vp.data[[#This Row],[Dens Input]]="",INDEX([1]DATA!$O$3:$O$9826,MATCH(1,(vp.data[[#This Row],[Battery]]=[1]DATA!$L$3:$L$9826)*(EOMONTH(vp.data[[#This Row],[SDate]],-1)+1=[1]DATA!$G$3:$G$9826),0)),vp.data[[#This Row],[Dens Input]]),"")</f>
        <v>656</v>
      </c>
      <c r="N1298" s="2">
        <f ca="1">INDEX(INDIRECT(_xlfn.CONCAT("weather.tbl[",N$1,"]")),MATCH(vp.data[[#This Row],[SDate]],weather.tbl[Date],0))</f>
        <v>-0.54999999999999993</v>
      </c>
      <c r="O1298" s="2">
        <f ca="1">INDEX(INDIRECT(_xlfn.CONCAT("weather.tbl[",O$1,"]")),MATCH(vp.data[[#This Row],[SDate]],weather.tbl[Date],0))</f>
        <v>-1.0261904761904761</v>
      </c>
      <c r="P1298" s="2">
        <f ca="1">INDEX(INDIRECT(_xlfn.CONCAT("weather.tbl[",P$1,"]")),MATCH(vp.data[[#This Row],[SDate]],weather.tbl[Date],0))</f>
        <v>-1.9</v>
      </c>
      <c r="Q1298" s="2">
        <f ca="1">INDEX(INDIRECT(_xlfn.CONCAT("weather.tbl[",Q$1,"]")),MATCH(vp.data[[#This Row],[SDate]],weather.tbl[Date],0))</f>
        <v>-1.6</v>
      </c>
      <c r="R1298" s="2">
        <f ca="1">INDEX(INDIRECT(_xlfn.CONCAT("weather.tbl[",R$1,"]")),MATCH(vp.data[[#This Row],[SDate]],weather.tbl[Date],0))</f>
        <v>-1</v>
      </c>
      <c r="S1298" s="2">
        <f ca="1">INDEX(INDIRECT(_xlfn.CONCAT("weather.tbl[",S$1,"]")),MATCH(vp.data[[#This Row],[SDate]],weather.tbl[Date],0))</f>
        <v>-0.6</v>
      </c>
      <c r="T1298" s="2">
        <f ca="1">INDEX(INDIRECT(_xlfn.CONCAT("weather.tbl[",T$1,"]")),MATCH(vp.data[[#This Row],[SDate]],weather.tbl[Date],0))</f>
        <v>-0.2</v>
      </c>
      <c r="U1298" s="2">
        <f ca="1">INDEX(INDIRECT(_xlfn.CONCAT("weather.tbl[",U$1,"]")),MATCH(vp.data[[#This Row],[SDate]],weather.tbl[Date],0))</f>
        <v>2</v>
      </c>
      <c r="V1298" s="2">
        <f t="array" ref="V12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</v>
      </c>
      <c r="W1298" t="s">
        <v>268</v>
      </c>
      <c r="X1298">
        <f>IF(OR(vp.data[[#This Row],[Sulf]]="",vp.data[[#This Row],[Dens]]=""),1,0)</f>
        <v>0</v>
      </c>
      <c r="Y1298">
        <f>IF(vp.data[[#This Row],[CrudeType]]="C5+",1,0)</f>
        <v>1</v>
      </c>
      <c r="Z1298">
        <f>IF(AND(vp.data[[#This Row],[CrudeType]]="Crude",vp.data[[#This Row],[Dens]]&lt;=825,vp.data[[#This Row],[Sulf]]&gt;0.5,vp.data[[#This Row],[Unknown]]=0),1,0)</f>
        <v>0</v>
      </c>
      <c r="AA1298">
        <f>IF(AND(vp.data[[#This Row],[CrudeType]]="Crude",vp.data[[#This Row],[Dens]]&lt;=825,vp.data[[#This Row],[Sulf]]&lt;=0.5,vp.data[[#This Row],[Unknown]]=0),1,0)</f>
        <v>0</v>
      </c>
      <c r="AB12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8">
        <f>IF(AND(vp.data[[#This Row],[CrudeType]]="Crude",vp.data[[#This Row],[Dens]]&gt;825,vp.data[[#This Row],[Dens]]&lt;=900,vp.data[[#This Row],[Sulf]]&lt;=0.5,vp.data[[#This Row],[Unknown]]=0),1,0)</f>
        <v>0</v>
      </c>
      <c r="AD1298">
        <f>IF(AND(vp.data[[#This Row],[CrudeType]]="Crude",vp.data[[#This Row],[Dens]]&gt;865,vp.data[[#This Row],[Dens]]&lt;=900,vp.data[[#This Row],[Sulf]]&gt;2,vp.data[[#This Row],[Unknown]]=0),1,0)</f>
        <v>0</v>
      </c>
      <c r="AE1298">
        <f>IF(AND(vp.data[[#This Row],[CrudeType]]="Crude",vp.data[[#This Row],[Dens]]&gt;900,vp.data[[#This Row],[Sulf]]&lt;=0.5,vp.data[[#This Row],[Unknown]]=0),1,0)</f>
        <v>0</v>
      </c>
      <c r="AF1298">
        <f>IF(AND(vp.data[[#This Row],[CrudeType]]="Crude",vp.data[[#This Row],[Dens]]&gt;900,vp.data[[#This Row],[Sulf]]&lt;=0.5,vp.data[[#This Row],[Unknown]]=0),1,0)</f>
        <v>0</v>
      </c>
      <c r="AG1298" t="str">
        <f>INDEX(vp.data[[#Headers],[Unknown]:[Heavy_SW]],MATCH(1,vp.data[[#This Row],[Unknown]:[Heavy_SW]],0))</f>
        <v>C5</v>
      </c>
      <c r="AH1298">
        <f>INDEX([3]!crudeBD.lkup[Number],MATCH(vp.data[[#This Row],[Crude_Breakdown]],crudeBD.lkup[Crude Breakdown],0))</f>
        <v>0</v>
      </c>
      <c r="AI1298">
        <f>MONTH(vp.data[[#This Row],[SDate]])</f>
        <v>2</v>
      </c>
      <c r="AJ1298" s="5">
        <f>(vp.data[[#This Row],[VP]]-INDEX(crudeBD.lkup[Mean_VP],MATCH(vp.data[[#This Row],[Crude_Breakdown]],crudeBD.lkup[Crude Breakdown],0)))^2</f>
        <v>20.437249058769858</v>
      </c>
      <c r="AK1298" s="5">
        <f>(vp.data[[#This Row],[Dens]]-INDEX(crudeBD.lkup[Mean_Dens],MATCH(vp.data[[#This Row],[Crude_Breakdown]],crudeBD.lkup[Crude Breakdown],0)))^2</f>
        <v>4.3106567722683202</v>
      </c>
      <c r="AL1298" s="5">
        <f>(vp.data[[#This Row],[Sulf]]-INDEX(crudeBD.lkup[Mean_Sulf],MATCH(vp.data[[#This Row],[Crude_Breakdown]],crudeBD.lkup[Crude Breakdown],0)))^2</f>
        <v>0</v>
      </c>
      <c r="AM1298" s="4">
        <f>IF(AND(vp.data[[#This Row],[SDate]]&gt;=DATE(YEAR(vp.data[[#This Row],[SDate]]),5,1),vp.data[[#This Row],[SDate]]&lt;=DATE(YEAR(vp.data[[#This Row],[SDate]]),9,15)),1,0)</f>
        <v>0</v>
      </c>
      <c r="AN1298" s="4">
        <f>IF(vp.data[[#This Row],[SDate]]&lt;DATE(2016,12,1),0,1)</f>
        <v>1</v>
      </c>
      <c r="AO1298" s="4">
        <f>IFERROR(vp.data[[#This Row],[Sulf]]*vp.data[[#This Row],[Net Dens]],"")</f>
        <v>0</v>
      </c>
      <c r="AP1298">
        <f>IFERROR(vp.data[[#This Row],[Dens]]*vp.data[[#This Row],[VolumeM3]],"")</f>
        <v>21648</v>
      </c>
      <c r="AQ1298" s="15">
        <f>IFERROR(vp.data[[#This Row],[VP]]*vp.data[[#This Row],[VolumeM3]],"")</f>
        <v>3554.1</v>
      </c>
    </row>
    <row r="1299" spans="1:43" x14ac:dyDescent="0.25">
      <c r="A1299">
        <v>1298</v>
      </c>
      <c r="B1299" t="s">
        <v>272</v>
      </c>
      <c r="C1299" t="s">
        <v>273</v>
      </c>
      <c r="D1299" t="s">
        <v>274</v>
      </c>
      <c r="E1299">
        <v>317332</v>
      </c>
      <c r="F1299" s="1">
        <v>42785</v>
      </c>
      <c r="G1299" s="2">
        <v>108.7</v>
      </c>
      <c r="H1299" s="2">
        <v>0</v>
      </c>
      <c r="I1299" s="2">
        <f t="array" ref="I129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299" s="2">
        <v>8</v>
      </c>
      <c r="K1299" s="2">
        <v>2</v>
      </c>
      <c r="L1299" s="2">
        <v>658</v>
      </c>
      <c r="M1299" s="2">
        <f t="array" ref="M1299">_xlfn.IFNA(IF(vp.data[[#This Row],[Dens Input]]="",INDEX([1]DATA!$O$3:$O$9826,MATCH(1,(vp.data[[#This Row],[Battery]]=[1]DATA!$L$3:$L$9826)*(EOMONTH(vp.data[[#This Row],[SDate]],-1)+1=[1]DATA!$G$3:$G$9826),0)),vp.data[[#This Row],[Dens Input]]),"")</f>
        <v>658</v>
      </c>
      <c r="N1299" s="2">
        <f ca="1">INDEX(INDIRECT(_xlfn.CONCAT("weather.tbl[",N$1,"]")),MATCH(vp.data[[#This Row],[SDate]],weather.tbl[Date],0))</f>
        <v>-0.19999999999999998</v>
      </c>
      <c r="O1299" s="2">
        <f ca="1">INDEX(INDIRECT(_xlfn.CONCAT("weather.tbl[",O$1,"]")),MATCH(vp.data[[#This Row],[SDate]],weather.tbl[Date],0))</f>
        <v>-0.29047619047619061</v>
      </c>
      <c r="P1299" s="2">
        <f ca="1">INDEX(INDIRECT(_xlfn.CONCAT("weather.tbl[",P$1,"]")),MATCH(vp.data[[#This Row],[SDate]],weather.tbl[Date],0))</f>
        <v>-0.1</v>
      </c>
      <c r="Q1299" s="2">
        <f ca="1">INDEX(INDIRECT(_xlfn.CONCAT("weather.tbl[",Q$1,"]")),MATCH(vp.data[[#This Row],[SDate]],weather.tbl[Date],0))</f>
        <v>-0.1</v>
      </c>
      <c r="R1299" s="2">
        <f ca="1">INDEX(INDIRECT(_xlfn.CONCAT("weather.tbl[",R$1,"]")),MATCH(vp.data[[#This Row],[SDate]],weather.tbl[Date],0))</f>
        <v>-0.8</v>
      </c>
      <c r="S1299" s="2">
        <f ca="1">INDEX(INDIRECT(_xlfn.CONCAT("weather.tbl[",S$1,"]")),MATCH(vp.data[[#This Row],[SDate]],weather.tbl[Date],0))</f>
        <v>-0.4</v>
      </c>
      <c r="T1299" s="2">
        <f ca="1">INDEX(INDIRECT(_xlfn.CONCAT("weather.tbl[",T$1,"]")),MATCH(vp.data[[#This Row],[SDate]],weather.tbl[Date],0))</f>
        <v>0.2</v>
      </c>
      <c r="U1299" s="2">
        <f ca="1">INDEX(INDIRECT(_xlfn.CONCAT("weather.tbl[",U$1,"]")),MATCH(vp.data[[#This Row],[SDate]],weather.tbl[Date],0))</f>
        <v>0</v>
      </c>
      <c r="V1299" s="2">
        <f t="array" ref="V12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37.96</v>
      </c>
      <c r="W1299" t="s">
        <v>268</v>
      </c>
      <c r="X1299">
        <f>IF(OR(vp.data[[#This Row],[Sulf]]="",vp.data[[#This Row],[Dens]]=""),1,0)</f>
        <v>0</v>
      </c>
      <c r="Y1299">
        <f>IF(vp.data[[#This Row],[CrudeType]]="C5+",1,0)</f>
        <v>1</v>
      </c>
      <c r="Z1299">
        <f>IF(AND(vp.data[[#This Row],[CrudeType]]="Crude",vp.data[[#This Row],[Dens]]&lt;=825,vp.data[[#This Row],[Sulf]]&gt;0.5,vp.data[[#This Row],[Unknown]]=0),1,0)</f>
        <v>0</v>
      </c>
      <c r="AA1299">
        <f>IF(AND(vp.data[[#This Row],[CrudeType]]="Crude",vp.data[[#This Row],[Dens]]&lt;=825,vp.data[[#This Row],[Sulf]]&lt;=0.5,vp.data[[#This Row],[Unknown]]=0),1,0)</f>
        <v>0</v>
      </c>
      <c r="AB12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299">
        <f>IF(AND(vp.data[[#This Row],[CrudeType]]="Crude",vp.data[[#This Row],[Dens]]&gt;825,vp.data[[#This Row],[Dens]]&lt;=900,vp.data[[#This Row],[Sulf]]&lt;=0.5,vp.data[[#This Row],[Unknown]]=0),1,0)</f>
        <v>0</v>
      </c>
      <c r="AD1299">
        <f>IF(AND(vp.data[[#This Row],[CrudeType]]="Crude",vp.data[[#This Row],[Dens]]&gt;865,vp.data[[#This Row],[Dens]]&lt;=900,vp.data[[#This Row],[Sulf]]&gt;2,vp.data[[#This Row],[Unknown]]=0),1,0)</f>
        <v>0</v>
      </c>
      <c r="AE1299">
        <f>IF(AND(vp.data[[#This Row],[CrudeType]]="Crude",vp.data[[#This Row],[Dens]]&gt;900,vp.data[[#This Row],[Sulf]]&lt;=0.5,vp.data[[#This Row],[Unknown]]=0),1,0)</f>
        <v>0</v>
      </c>
      <c r="AF1299">
        <f>IF(AND(vp.data[[#This Row],[CrudeType]]="Crude",vp.data[[#This Row],[Dens]]&gt;900,vp.data[[#This Row],[Sulf]]&lt;=0.5,vp.data[[#This Row],[Unknown]]=0),1,0)</f>
        <v>0</v>
      </c>
      <c r="AG1299" t="str">
        <f>INDEX(vp.data[[#Headers],[Unknown]:[Heavy_SW]],MATCH(1,vp.data[[#This Row],[Unknown]:[Heavy_SW]],0))</f>
        <v>C5</v>
      </c>
      <c r="AH1299">
        <f>INDEX([3]!crudeBD.lkup[Number],MATCH(vp.data[[#This Row],[Crude_Breakdown]],crudeBD.lkup[Crude Breakdown],0))</f>
        <v>0</v>
      </c>
      <c r="AI1299">
        <f>MONTH(vp.data[[#This Row],[SDate]])</f>
        <v>2</v>
      </c>
      <c r="AJ1299" s="5">
        <f>(vp.data[[#This Row],[VP]]-INDEX(crudeBD.lkup[Mean_VP],MATCH(vp.data[[#This Row],[Crude_Breakdown]],crudeBD.lkup[Crude Breakdown],0)))^2</f>
        <v>30.478764210285085</v>
      </c>
      <c r="AK1299" s="5">
        <f>(vp.data[[#This Row],[Dens]]-INDEX(crudeBD.lkup[Mean_Dens],MATCH(vp.data[[#This Row],[Crude_Breakdown]],crudeBD.lkup[Crude Breakdown],0)))^2</f>
        <v>5.8082874196578194E-3</v>
      </c>
      <c r="AL1299" s="5">
        <f>(vp.data[[#This Row],[Sulf]]-INDEX(crudeBD.lkup[Mean_Sulf],MATCH(vp.data[[#This Row],[Crude_Breakdown]],crudeBD.lkup[Crude Breakdown],0)))^2</f>
        <v>0</v>
      </c>
      <c r="AM1299" s="4">
        <f>IF(AND(vp.data[[#This Row],[SDate]]&gt;=DATE(YEAR(vp.data[[#This Row],[SDate]]),5,1),vp.data[[#This Row],[SDate]]&lt;=DATE(YEAR(vp.data[[#This Row],[SDate]]),9,15)),1,0)</f>
        <v>0</v>
      </c>
      <c r="AN1299" s="4">
        <f>IF(vp.data[[#This Row],[SDate]]&lt;DATE(2016,12,1),0,1)</f>
        <v>1</v>
      </c>
      <c r="AO1299" s="4">
        <f>IFERROR(vp.data[[#This Row],[Sulf]]*vp.data[[#This Row],[Net Dens]],"")</f>
        <v>0</v>
      </c>
      <c r="AP1299">
        <f>IFERROR(vp.data[[#This Row],[Dens]]*vp.data[[#This Row],[VolumeM3]],"")</f>
        <v>24977.68</v>
      </c>
      <c r="AQ1299" s="15">
        <f>IFERROR(vp.data[[#This Row],[VP]]*vp.data[[#This Row],[VolumeM3]],"")</f>
        <v>4126.2520000000004</v>
      </c>
    </row>
    <row r="1300" spans="1:43" x14ac:dyDescent="0.25">
      <c r="A1300">
        <v>1299</v>
      </c>
      <c r="B1300" t="s">
        <v>275</v>
      </c>
      <c r="C1300" t="s">
        <v>276</v>
      </c>
      <c r="D1300" t="s">
        <v>277</v>
      </c>
      <c r="E1300">
        <v>317326</v>
      </c>
      <c r="F1300" s="1">
        <v>42785</v>
      </c>
      <c r="G1300" s="2">
        <v>93</v>
      </c>
      <c r="H1300" s="2">
        <v>0</v>
      </c>
      <c r="I1300" s="2">
        <f t="array" ref="I130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0" s="2">
        <v>7</v>
      </c>
      <c r="K1300" s="2">
        <v>3</v>
      </c>
      <c r="L1300" s="2">
        <v>663.5</v>
      </c>
      <c r="M1300" s="2">
        <f t="array" ref="M1300">_xlfn.IFNA(IF(vp.data[[#This Row],[Dens Input]]="",INDEX([1]DATA!$O$3:$O$9826,MATCH(1,(vp.data[[#This Row],[Battery]]=[1]DATA!$L$3:$L$9826)*(EOMONTH(vp.data[[#This Row],[SDate]],-1)+1=[1]DATA!$G$3:$G$9826),0)),vp.data[[#This Row],[Dens Input]]),"")</f>
        <v>663.5</v>
      </c>
      <c r="N1300" s="2">
        <f ca="1">INDEX(INDIRECT(_xlfn.CONCAT("weather.tbl[",N$1,"]")),MATCH(vp.data[[#This Row],[SDate]],weather.tbl[Date],0))</f>
        <v>-0.19999999999999998</v>
      </c>
      <c r="O1300" s="2">
        <f ca="1">INDEX(INDIRECT(_xlfn.CONCAT("weather.tbl[",O$1,"]")),MATCH(vp.data[[#This Row],[SDate]],weather.tbl[Date],0))</f>
        <v>-0.29047619047619061</v>
      </c>
      <c r="P1300" s="2">
        <f ca="1">INDEX(INDIRECT(_xlfn.CONCAT("weather.tbl[",P$1,"]")),MATCH(vp.data[[#This Row],[SDate]],weather.tbl[Date],0))</f>
        <v>-0.1</v>
      </c>
      <c r="Q1300" s="2">
        <f ca="1">INDEX(INDIRECT(_xlfn.CONCAT("weather.tbl[",Q$1,"]")),MATCH(vp.data[[#This Row],[SDate]],weather.tbl[Date],0))</f>
        <v>-0.1</v>
      </c>
      <c r="R1300" s="2">
        <f ca="1">INDEX(INDIRECT(_xlfn.CONCAT("weather.tbl[",R$1,"]")),MATCH(vp.data[[#This Row],[SDate]],weather.tbl[Date],0))</f>
        <v>-0.8</v>
      </c>
      <c r="S1300" s="2">
        <f ca="1">INDEX(INDIRECT(_xlfn.CONCAT("weather.tbl[",S$1,"]")),MATCH(vp.data[[#This Row],[SDate]],weather.tbl[Date],0))</f>
        <v>-0.4</v>
      </c>
      <c r="T1300" s="2">
        <f ca="1">INDEX(INDIRECT(_xlfn.CONCAT("weather.tbl[",T$1,"]")),MATCH(vp.data[[#This Row],[SDate]],weather.tbl[Date],0))</f>
        <v>0.2</v>
      </c>
      <c r="U1300" s="2">
        <f ca="1">INDEX(INDIRECT(_xlfn.CONCAT("weather.tbl[",U$1,"]")),MATCH(vp.data[[#This Row],[SDate]],weather.tbl[Date],0))</f>
        <v>0</v>
      </c>
      <c r="V1300" s="2">
        <f t="array" ref="V13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42.05</v>
      </c>
      <c r="W1300" t="s">
        <v>268</v>
      </c>
      <c r="X1300">
        <f>IF(OR(vp.data[[#This Row],[Sulf]]="",vp.data[[#This Row],[Dens]]=""),1,0)</f>
        <v>0</v>
      </c>
      <c r="Y1300">
        <f>IF(vp.data[[#This Row],[CrudeType]]="C5+",1,0)</f>
        <v>1</v>
      </c>
      <c r="Z1300">
        <f>IF(AND(vp.data[[#This Row],[CrudeType]]="Crude",vp.data[[#This Row],[Dens]]&lt;=825,vp.data[[#This Row],[Sulf]]&gt;0.5,vp.data[[#This Row],[Unknown]]=0),1,0)</f>
        <v>0</v>
      </c>
      <c r="AA1300">
        <f>IF(AND(vp.data[[#This Row],[CrudeType]]="Crude",vp.data[[#This Row],[Dens]]&lt;=825,vp.data[[#This Row],[Sulf]]&lt;=0.5,vp.data[[#This Row],[Unknown]]=0),1,0)</f>
        <v>0</v>
      </c>
      <c r="AB13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0">
        <f>IF(AND(vp.data[[#This Row],[CrudeType]]="Crude",vp.data[[#This Row],[Dens]]&gt;825,vp.data[[#This Row],[Dens]]&lt;=900,vp.data[[#This Row],[Sulf]]&lt;=0.5,vp.data[[#This Row],[Unknown]]=0),1,0)</f>
        <v>0</v>
      </c>
      <c r="AD1300">
        <f>IF(AND(vp.data[[#This Row],[CrudeType]]="Crude",vp.data[[#This Row],[Dens]]&gt;865,vp.data[[#This Row],[Dens]]&lt;=900,vp.data[[#This Row],[Sulf]]&gt;2,vp.data[[#This Row],[Unknown]]=0),1,0)</f>
        <v>0</v>
      </c>
      <c r="AE1300">
        <f>IF(AND(vp.data[[#This Row],[CrudeType]]="Crude",vp.data[[#This Row],[Dens]]&gt;900,vp.data[[#This Row],[Sulf]]&lt;=0.5,vp.data[[#This Row],[Unknown]]=0),1,0)</f>
        <v>0</v>
      </c>
      <c r="AF1300">
        <f>IF(AND(vp.data[[#This Row],[CrudeType]]="Crude",vp.data[[#This Row],[Dens]]&gt;900,vp.data[[#This Row],[Sulf]]&lt;=0.5,vp.data[[#This Row],[Unknown]]=0),1,0)</f>
        <v>0</v>
      </c>
      <c r="AG1300" t="str">
        <f>INDEX(vp.data[[#Headers],[Unknown]:[Heavy_SW]],MATCH(1,vp.data[[#This Row],[Unknown]:[Heavy_SW]],0))</f>
        <v>C5</v>
      </c>
      <c r="AH1300">
        <f>INDEX([3]!crudeBD.lkup[Number],MATCH(vp.data[[#This Row],[Crude_Breakdown]],crudeBD.lkup[Crude Breakdown],0))</f>
        <v>0</v>
      </c>
      <c r="AI1300">
        <f>MONTH(vp.data[[#This Row],[SDate]])</f>
        <v>2</v>
      </c>
      <c r="AJ1300" s="5">
        <f>(vp.data[[#This Row],[VP]]-INDEX(crudeBD.lkup[Mean_VP],MATCH(vp.data[[#This Row],[Crude_Breakdown]],crudeBD.lkup[Crude Breakdown],0)))^2</f>
        <v>103.61697633149608</v>
      </c>
      <c r="AK1300" s="5">
        <f>(vp.data[[#This Row],[Dens]]-INDEX(crudeBD.lkup[Mean_Dens],MATCH(vp.data[[#This Row],[Crude_Breakdown]],crudeBD.lkup[Crude Breakdown],0)))^2</f>
        <v>29.417474954085836</v>
      </c>
      <c r="AL1300" s="5">
        <f>(vp.data[[#This Row],[Sulf]]-INDEX(crudeBD.lkup[Mean_Sulf],MATCH(vp.data[[#This Row],[Crude_Breakdown]],crudeBD.lkup[Crude Breakdown],0)))^2</f>
        <v>0</v>
      </c>
      <c r="AM1300" s="4">
        <f>IF(AND(vp.data[[#This Row],[SDate]]&gt;=DATE(YEAR(vp.data[[#This Row],[SDate]]),5,1),vp.data[[#This Row],[SDate]]&lt;=DATE(YEAR(vp.data[[#This Row],[SDate]]),9,15)),1,0)</f>
        <v>0</v>
      </c>
      <c r="AN1300" s="4">
        <f>IF(vp.data[[#This Row],[SDate]]&lt;DATE(2016,12,1),0,1)</f>
        <v>1</v>
      </c>
      <c r="AO1300" s="4">
        <f>IFERROR(vp.data[[#This Row],[Sulf]]*vp.data[[#This Row],[Net Dens]],"")</f>
        <v>0</v>
      </c>
      <c r="AP1300">
        <f>IFERROR(vp.data[[#This Row],[Dens]]*vp.data[[#This Row],[VolumeM3]],"")</f>
        <v>27900.174999999999</v>
      </c>
      <c r="AQ1300" s="15">
        <f>IFERROR(vp.data[[#This Row],[VP]]*vp.data[[#This Row],[VolumeM3]],"")</f>
        <v>3910.6499999999996</v>
      </c>
    </row>
    <row r="1301" spans="1:43" x14ac:dyDescent="0.25">
      <c r="A1301">
        <v>1300</v>
      </c>
      <c r="B1301" t="s">
        <v>265</v>
      </c>
      <c r="C1301" t="s">
        <v>266</v>
      </c>
      <c r="D1301" t="s">
        <v>267</v>
      </c>
      <c r="E1301">
        <v>317900</v>
      </c>
      <c r="F1301" s="1">
        <v>42789</v>
      </c>
      <c r="G1301" s="2">
        <v>110.5</v>
      </c>
      <c r="H1301" s="2">
        <v>0</v>
      </c>
      <c r="I1301" s="2">
        <f t="array" ref="I130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1" s="2">
        <v>1</v>
      </c>
      <c r="K1301" s="2">
        <v>-8</v>
      </c>
      <c r="L1301" s="2">
        <v>657.13</v>
      </c>
      <c r="M1301" s="2">
        <f t="array" ref="M1301">_xlfn.IFNA(IF(vp.data[[#This Row],[Dens Input]]="",INDEX([1]DATA!$O$3:$O$9826,MATCH(1,(vp.data[[#This Row],[Battery]]=[1]DATA!$L$3:$L$9826)*(EOMONTH(vp.data[[#This Row],[SDate]],-1)+1=[1]DATA!$G$3:$G$9826),0)),vp.data[[#This Row],[Dens Input]]),"")</f>
        <v>657.13</v>
      </c>
      <c r="N1301" s="2">
        <f ca="1">INDEX(INDIRECT(_xlfn.CONCAT("weather.tbl[",N$1,"]")),MATCH(vp.data[[#This Row],[SDate]],weather.tbl[Date],0))</f>
        <v>-4.083333333333333</v>
      </c>
      <c r="O1301" s="2">
        <f ca="1">INDEX(INDIRECT(_xlfn.CONCAT("weather.tbl[",O$1,"]")),MATCH(vp.data[[#This Row],[SDate]],weather.tbl[Date],0))</f>
        <v>-1.1904761904761862E-2</v>
      </c>
      <c r="P1301" s="2">
        <f ca="1">INDEX(INDIRECT(_xlfn.CONCAT("weather.tbl[",P$1,"]")),MATCH(vp.data[[#This Row],[SDate]],weather.tbl[Date],0))</f>
        <v>-3.5</v>
      </c>
      <c r="Q1301" s="2">
        <f ca="1">INDEX(INDIRECT(_xlfn.CONCAT("weather.tbl[",Q$1,"]")),MATCH(vp.data[[#This Row],[SDate]],weather.tbl[Date],0))</f>
        <v>-3.5</v>
      </c>
      <c r="R1301" s="2">
        <f ca="1">INDEX(INDIRECT(_xlfn.CONCAT("weather.tbl[",R$1,"]")),MATCH(vp.data[[#This Row],[SDate]],weather.tbl[Date],0))</f>
        <v>-4.5</v>
      </c>
      <c r="S1301" s="2">
        <f ca="1">INDEX(INDIRECT(_xlfn.CONCAT("weather.tbl[",S$1,"]")),MATCH(vp.data[[#This Row],[SDate]],weather.tbl[Date],0))</f>
        <v>-3.4</v>
      </c>
      <c r="T1301" s="2">
        <f ca="1">INDEX(INDIRECT(_xlfn.CONCAT("weather.tbl[",T$1,"]")),MATCH(vp.data[[#This Row],[SDate]],weather.tbl[Date],0))</f>
        <v>-3.6</v>
      </c>
      <c r="U1301" s="2">
        <f ca="1">INDEX(INDIRECT(_xlfn.CONCAT("weather.tbl[",U$1,"]")),MATCH(vp.data[[#This Row],[SDate]],weather.tbl[Date],0))</f>
        <v>-6</v>
      </c>
      <c r="V1301" s="2">
        <f t="array" ref="V13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35.22</v>
      </c>
      <c r="W1301" t="s">
        <v>268</v>
      </c>
      <c r="X1301">
        <f>IF(OR(vp.data[[#This Row],[Sulf]]="",vp.data[[#This Row],[Dens]]=""),1,0)</f>
        <v>0</v>
      </c>
      <c r="Y1301">
        <f>IF(vp.data[[#This Row],[CrudeType]]="C5+",1,0)</f>
        <v>1</v>
      </c>
      <c r="Z1301">
        <f>IF(AND(vp.data[[#This Row],[CrudeType]]="Crude",vp.data[[#This Row],[Dens]]&lt;=825,vp.data[[#This Row],[Sulf]]&gt;0.5,vp.data[[#This Row],[Unknown]]=0),1,0)</f>
        <v>0</v>
      </c>
      <c r="AA1301">
        <f>IF(AND(vp.data[[#This Row],[CrudeType]]="Crude",vp.data[[#This Row],[Dens]]&lt;=825,vp.data[[#This Row],[Sulf]]&lt;=0.5,vp.data[[#This Row],[Unknown]]=0),1,0)</f>
        <v>0</v>
      </c>
      <c r="AB13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1">
        <f>IF(AND(vp.data[[#This Row],[CrudeType]]="Crude",vp.data[[#This Row],[Dens]]&gt;825,vp.data[[#This Row],[Dens]]&lt;=900,vp.data[[#This Row],[Sulf]]&lt;=0.5,vp.data[[#This Row],[Unknown]]=0),1,0)</f>
        <v>0</v>
      </c>
      <c r="AD1301">
        <f>IF(AND(vp.data[[#This Row],[CrudeType]]="Crude",vp.data[[#This Row],[Dens]]&gt;865,vp.data[[#This Row],[Dens]]&lt;=900,vp.data[[#This Row],[Sulf]]&gt;2,vp.data[[#This Row],[Unknown]]=0),1,0)</f>
        <v>0</v>
      </c>
      <c r="AE1301">
        <f>IF(AND(vp.data[[#This Row],[CrudeType]]="Crude",vp.data[[#This Row],[Dens]]&gt;900,vp.data[[#This Row],[Sulf]]&lt;=0.5,vp.data[[#This Row],[Unknown]]=0),1,0)</f>
        <v>0</v>
      </c>
      <c r="AF1301">
        <f>IF(AND(vp.data[[#This Row],[CrudeType]]="Crude",vp.data[[#This Row],[Dens]]&gt;900,vp.data[[#This Row],[Sulf]]&lt;=0.5,vp.data[[#This Row],[Unknown]]=0),1,0)</f>
        <v>0</v>
      </c>
      <c r="AG1301" t="str">
        <f>INDEX(vp.data[[#Headers],[Unknown]:[Heavy_SW]],MATCH(1,vp.data[[#This Row],[Unknown]:[Heavy_SW]],0))</f>
        <v>C5</v>
      </c>
      <c r="AH1301">
        <f>INDEX([3]!crudeBD.lkup[Number],MATCH(vp.data[[#This Row],[Crude_Breakdown]],crudeBD.lkup[Crude Breakdown],0))</f>
        <v>0</v>
      </c>
      <c r="AI1301">
        <f>MONTH(vp.data[[#This Row],[SDate]])</f>
        <v>2</v>
      </c>
      <c r="AJ1301" s="5">
        <f>(vp.data[[#This Row],[VP]]-INDEX(crudeBD.lkup[Mean_VP],MATCH(vp.data[[#This Row],[Crude_Breakdown]],crudeBD.lkup[Crude Breakdown],0)))^2</f>
        <v>53.59349148301245</v>
      </c>
      <c r="AK1301" s="5">
        <f>(vp.data[[#This Row],[Dens]]-INDEX(crudeBD.lkup[Mean_Dens],MATCH(vp.data[[#This Row],[Crude_Breakdown]],crudeBD.lkup[Crude Breakdown],0)))^2</f>
        <v>0.89531737832883451</v>
      </c>
      <c r="AL1301" s="5">
        <f>(vp.data[[#This Row],[Sulf]]-INDEX(crudeBD.lkup[Mean_Sulf],MATCH(vp.data[[#This Row],[Crude_Breakdown]],crudeBD.lkup[Crude Breakdown],0)))^2</f>
        <v>0</v>
      </c>
      <c r="AM1301" s="4">
        <f>IF(AND(vp.data[[#This Row],[SDate]]&gt;=DATE(YEAR(vp.data[[#This Row],[SDate]]),5,1),vp.data[[#This Row],[SDate]]&lt;=DATE(YEAR(vp.data[[#This Row],[SDate]]),9,15)),1,0)</f>
        <v>0</v>
      </c>
      <c r="AN1301" s="4">
        <f>IF(vp.data[[#This Row],[SDate]]&lt;DATE(2016,12,1),0,1)</f>
        <v>1</v>
      </c>
      <c r="AO1301" s="4">
        <f>IFERROR(vp.data[[#This Row],[Sulf]]*vp.data[[#This Row],[Net Dens]],"")</f>
        <v>0</v>
      </c>
      <c r="AP1301">
        <f>IFERROR(vp.data[[#This Row],[Dens]]*vp.data[[#This Row],[VolumeM3]],"")</f>
        <v>23144.118599999998</v>
      </c>
      <c r="AQ1301" s="15">
        <f>IFERROR(vp.data[[#This Row],[VP]]*vp.data[[#This Row],[VolumeM3]],"")</f>
        <v>3891.81</v>
      </c>
    </row>
    <row r="1302" spans="1:43" x14ac:dyDescent="0.25">
      <c r="A1302">
        <v>1301</v>
      </c>
      <c r="B1302" t="s">
        <v>275</v>
      </c>
      <c r="C1302" t="s">
        <v>278</v>
      </c>
      <c r="D1302" t="s">
        <v>279</v>
      </c>
      <c r="E1302">
        <v>317887</v>
      </c>
      <c r="F1302" s="1">
        <v>42789</v>
      </c>
      <c r="G1302" s="2">
        <v>94.6</v>
      </c>
      <c r="H1302" s="2">
        <v>0</v>
      </c>
      <c r="I1302" s="2">
        <f t="array" ref="I130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2" s="2">
        <v>1</v>
      </c>
      <c r="K1302" s="2">
        <v>-8</v>
      </c>
      <c r="L1302" s="2">
        <v>672.3</v>
      </c>
      <c r="M1302" s="2">
        <f t="array" ref="M1302">_xlfn.IFNA(IF(vp.data[[#This Row],[Dens Input]]="",INDEX([1]DATA!$O$3:$O$9826,MATCH(1,(vp.data[[#This Row],[Battery]]=[1]DATA!$L$3:$L$9826)*(EOMONTH(vp.data[[#This Row],[SDate]],-1)+1=[1]DATA!$G$3:$G$9826),0)),vp.data[[#This Row],[Dens Input]]),"")</f>
        <v>672.3</v>
      </c>
      <c r="N1302" s="2">
        <f ca="1">INDEX(INDIRECT(_xlfn.CONCAT("weather.tbl[",N$1,"]")),MATCH(vp.data[[#This Row],[SDate]],weather.tbl[Date],0))</f>
        <v>-4.083333333333333</v>
      </c>
      <c r="O1302" s="2">
        <f ca="1">INDEX(INDIRECT(_xlfn.CONCAT("weather.tbl[",O$1,"]")),MATCH(vp.data[[#This Row],[SDate]],weather.tbl[Date],0))</f>
        <v>-1.1904761904761862E-2</v>
      </c>
      <c r="P1302" s="2">
        <f ca="1">INDEX(INDIRECT(_xlfn.CONCAT("weather.tbl[",P$1,"]")),MATCH(vp.data[[#This Row],[SDate]],weather.tbl[Date],0))</f>
        <v>-3.5</v>
      </c>
      <c r="Q1302" s="2">
        <f ca="1">INDEX(INDIRECT(_xlfn.CONCAT("weather.tbl[",Q$1,"]")),MATCH(vp.data[[#This Row],[SDate]],weather.tbl[Date],0))</f>
        <v>-3.5</v>
      </c>
      <c r="R1302" s="2">
        <f ca="1">INDEX(INDIRECT(_xlfn.CONCAT("weather.tbl[",R$1,"]")),MATCH(vp.data[[#This Row],[SDate]],weather.tbl[Date],0))</f>
        <v>-4.5</v>
      </c>
      <c r="S1302" s="2">
        <f ca="1">INDEX(INDIRECT(_xlfn.CONCAT("weather.tbl[",S$1,"]")),MATCH(vp.data[[#This Row],[SDate]],weather.tbl[Date],0))</f>
        <v>-3.4</v>
      </c>
      <c r="T1302" s="2">
        <f ca="1">INDEX(INDIRECT(_xlfn.CONCAT("weather.tbl[",T$1,"]")),MATCH(vp.data[[#This Row],[SDate]],weather.tbl[Date],0))</f>
        <v>-3.6</v>
      </c>
      <c r="U1302" s="2">
        <f ca="1">INDEX(INDIRECT(_xlfn.CONCAT("weather.tbl[",U$1,"]")),MATCH(vp.data[[#This Row],[SDate]],weather.tbl[Date],0))</f>
        <v>-6</v>
      </c>
      <c r="V1302" s="2">
        <f t="array" ref="V13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41.76</v>
      </c>
      <c r="W1302" t="s">
        <v>268</v>
      </c>
      <c r="X1302">
        <f>IF(OR(vp.data[[#This Row],[Sulf]]="",vp.data[[#This Row],[Dens]]=""),1,0)</f>
        <v>0</v>
      </c>
      <c r="Y1302">
        <f>IF(vp.data[[#This Row],[CrudeType]]="C5+",1,0)</f>
        <v>1</v>
      </c>
      <c r="Z1302">
        <f>IF(AND(vp.data[[#This Row],[CrudeType]]="Crude",vp.data[[#This Row],[Dens]]&lt;=825,vp.data[[#This Row],[Sulf]]&gt;0.5,vp.data[[#This Row],[Unknown]]=0),1,0)</f>
        <v>0</v>
      </c>
      <c r="AA1302">
        <f>IF(AND(vp.data[[#This Row],[CrudeType]]="Crude",vp.data[[#This Row],[Dens]]&lt;=825,vp.data[[#This Row],[Sulf]]&lt;=0.5,vp.data[[#This Row],[Unknown]]=0),1,0)</f>
        <v>0</v>
      </c>
      <c r="AB13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2">
        <f>IF(AND(vp.data[[#This Row],[CrudeType]]="Crude",vp.data[[#This Row],[Dens]]&gt;825,vp.data[[#This Row],[Dens]]&lt;=900,vp.data[[#This Row],[Sulf]]&lt;=0.5,vp.data[[#This Row],[Unknown]]=0),1,0)</f>
        <v>0</v>
      </c>
      <c r="AD1302">
        <f>IF(AND(vp.data[[#This Row],[CrudeType]]="Crude",vp.data[[#This Row],[Dens]]&gt;865,vp.data[[#This Row],[Dens]]&lt;=900,vp.data[[#This Row],[Sulf]]&gt;2,vp.data[[#This Row],[Unknown]]=0),1,0)</f>
        <v>0</v>
      </c>
      <c r="AE1302">
        <f>IF(AND(vp.data[[#This Row],[CrudeType]]="Crude",vp.data[[#This Row],[Dens]]&gt;900,vp.data[[#This Row],[Sulf]]&lt;=0.5,vp.data[[#This Row],[Unknown]]=0),1,0)</f>
        <v>0</v>
      </c>
      <c r="AF1302">
        <f>IF(AND(vp.data[[#This Row],[CrudeType]]="Crude",vp.data[[#This Row],[Dens]]&gt;900,vp.data[[#This Row],[Sulf]]&lt;=0.5,vp.data[[#This Row],[Unknown]]=0),1,0)</f>
        <v>0</v>
      </c>
      <c r="AG1302" t="str">
        <f>INDEX(vp.data[[#Headers],[Unknown]:[Heavy_SW]],MATCH(1,vp.data[[#This Row],[Unknown]:[Heavy_SW]],0))</f>
        <v>C5</v>
      </c>
      <c r="AH1302">
        <f>INDEX([3]!crudeBD.lkup[Number],MATCH(vp.data[[#This Row],[Crude_Breakdown]],crudeBD.lkup[Crude Breakdown],0))</f>
        <v>0</v>
      </c>
      <c r="AI1302">
        <f>MONTH(vp.data[[#This Row],[SDate]])</f>
        <v>2</v>
      </c>
      <c r="AJ1302" s="5">
        <f>(vp.data[[#This Row],[VP]]-INDEX(crudeBD.lkup[Mean_VP],MATCH(vp.data[[#This Row],[Crude_Breakdown]],crudeBD.lkup[Crude Breakdown],0)))^2</f>
        <v>73.603400573920524</v>
      </c>
      <c r="AK1302" s="5">
        <f>(vp.data[[#This Row],[Dens]]-INDEX(crudeBD.lkup[Mean_Dens],MATCH(vp.data[[#This Row],[Crude_Breakdown]],crudeBD.lkup[Crude Breakdown],0)))^2</f>
        <v>202.31614162075041</v>
      </c>
      <c r="AL1302" s="5">
        <f>(vp.data[[#This Row],[Sulf]]-INDEX(crudeBD.lkup[Mean_Sulf],MATCH(vp.data[[#This Row],[Crude_Breakdown]],crudeBD.lkup[Crude Breakdown],0)))^2</f>
        <v>0</v>
      </c>
      <c r="AM1302" s="4">
        <f>IF(AND(vp.data[[#This Row],[SDate]]&gt;=DATE(YEAR(vp.data[[#This Row],[SDate]]),5,1),vp.data[[#This Row],[SDate]]&lt;=DATE(YEAR(vp.data[[#This Row],[SDate]]),9,15)),1,0)</f>
        <v>0</v>
      </c>
      <c r="AN1302" s="4">
        <f>IF(vp.data[[#This Row],[SDate]]&lt;DATE(2016,12,1),0,1)</f>
        <v>1</v>
      </c>
      <c r="AO1302" s="4">
        <f>IFERROR(vp.data[[#This Row],[Sulf]]*vp.data[[#This Row],[Net Dens]],"")</f>
        <v>0</v>
      </c>
      <c r="AP1302">
        <f>IFERROR(vp.data[[#This Row],[Dens]]*vp.data[[#This Row],[VolumeM3]],"")</f>
        <v>28075.247999999996</v>
      </c>
      <c r="AQ1302" s="15">
        <f>IFERROR(vp.data[[#This Row],[VP]]*vp.data[[#This Row],[VolumeM3]],"")</f>
        <v>3950.4959999999996</v>
      </c>
    </row>
    <row r="1303" spans="1:43" x14ac:dyDescent="0.25">
      <c r="A1303">
        <v>1302</v>
      </c>
      <c r="B1303" t="s">
        <v>272</v>
      </c>
      <c r="C1303" t="s">
        <v>273</v>
      </c>
      <c r="D1303" t="s">
        <v>274</v>
      </c>
      <c r="E1303">
        <v>317891</v>
      </c>
      <c r="F1303" s="1">
        <v>42789</v>
      </c>
      <c r="G1303" s="2">
        <v>109.2</v>
      </c>
      <c r="H1303" s="2">
        <v>0</v>
      </c>
      <c r="I1303" s="2">
        <f t="array" ref="I130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3" s="2">
        <v>5.6</v>
      </c>
      <c r="K1303" s="2">
        <v>-8</v>
      </c>
      <c r="L1303" s="2">
        <v>656.7</v>
      </c>
      <c r="M1303" s="2">
        <f t="array" ref="M1303">_xlfn.IFNA(IF(vp.data[[#This Row],[Dens Input]]="",INDEX([1]DATA!$O$3:$O$9826,MATCH(1,(vp.data[[#This Row],[Battery]]=[1]DATA!$L$3:$L$9826)*(EOMONTH(vp.data[[#This Row],[SDate]],-1)+1=[1]DATA!$G$3:$G$9826),0)),vp.data[[#This Row],[Dens Input]]),"")</f>
        <v>656.7</v>
      </c>
      <c r="N1303" s="2">
        <f ca="1">INDEX(INDIRECT(_xlfn.CONCAT("weather.tbl[",N$1,"]")),MATCH(vp.data[[#This Row],[SDate]],weather.tbl[Date],0))</f>
        <v>-4.083333333333333</v>
      </c>
      <c r="O1303" s="2">
        <f ca="1">INDEX(INDIRECT(_xlfn.CONCAT("weather.tbl[",O$1,"]")),MATCH(vp.data[[#This Row],[SDate]],weather.tbl[Date],0))</f>
        <v>-1.1904761904761862E-2</v>
      </c>
      <c r="P1303" s="2">
        <f ca="1">INDEX(INDIRECT(_xlfn.CONCAT("weather.tbl[",P$1,"]")),MATCH(vp.data[[#This Row],[SDate]],weather.tbl[Date],0))</f>
        <v>-3.5</v>
      </c>
      <c r="Q1303" s="2">
        <f ca="1">INDEX(INDIRECT(_xlfn.CONCAT("weather.tbl[",Q$1,"]")),MATCH(vp.data[[#This Row],[SDate]],weather.tbl[Date],0))</f>
        <v>-3.5</v>
      </c>
      <c r="R1303" s="2">
        <f ca="1">INDEX(INDIRECT(_xlfn.CONCAT("weather.tbl[",R$1,"]")),MATCH(vp.data[[#This Row],[SDate]],weather.tbl[Date],0))</f>
        <v>-4.5</v>
      </c>
      <c r="S1303" s="2">
        <f ca="1">INDEX(INDIRECT(_xlfn.CONCAT("weather.tbl[",S$1,"]")),MATCH(vp.data[[#This Row],[SDate]],weather.tbl[Date],0))</f>
        <v>-3.4</v>
      </c>
      <c r="T1303" s="2">
        <f ca="1">INDEX(INDIRECT(_xlfn.CONCAT("weather.tbl[",T$1,"]")),MATCH(vp.data[[#This Row],[SDate]],weather.tbl[Date],0))</f>
        <v>-3.6</v>
      </c>
      <c r="U1303" s="2">
        <f ca="1">INDEX(INDIRECT(_xlfn.CONCAT("weather.tbl[",U$1,"]")),MATCH(vp.data[[#This Row],[SDate]],weather.tbl[Date],0))</f>
        <v>-6</v>
      </c>
      <c r="V1303" s="2">
        <f t="array" ref="V13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33.840000000000003</v>
      </c>
      <c r="W1303" t="s">
        <v>268</v>
      </c>
      <c r="X1303">
        <f>IF(OR(vp.data[[#This Row],[Sulf]]="",vp.data[[#This Row],[Dens]]=""),1,0)</f>
        <v>0</v>
      </c>
      <c r="Y1303">
        <f>IF(vp.data[[#This Row],[CrudeType]]="C5+",1,0)</f>
        <v>1</v>
      </c>
      <c r="Z1303">
        <f>IF(AND(vp.data[[#This Row],[CrudeType]]="Crude",vp.data[[#This Row],[Dens]]&lt;=825,vp.data[[#This Row],[Sulf]]&gt;0.5,vp.data[[#This Row],[Unknown]]=0),1,0)</f>
        <v>0</v>
      </c>
      <c r="AA1303">
        <f>IF(AND(vp.data[[#This Row],[CrudeType]]="Crude",vp.data[[#This Row],[Dens]]&lt;=825,vp.data[[#This Row],[Sulf]]&lt;=0.5,vp.data[[#This Row],[Unknown]]=0),1,0)</f>
        <v>0</v>
      </c>
      <c r="AB13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3">
        <f>IF(AND(vp.data[[#This Row],[CrudeType]]="Crude",vp.data[[#This Row],[Dens]]&gt;825,vp.data[[#This Row],[Dens]]&lt;=900,vp.data[[#This Row],[Sulf]]&lt;=0.5,vp.data[[#This Row],[Unknown]]=0),1,0)</f>
        <v>0</v>
      </c>
      <c r="AD1303">
        <f>IF(AND(vp.data[[#This Row],[CrudeType]]="Crude",vp.data[[#This Row],[Dens]]&gt;865,vp.data[[#This Row],[Dens]]&lt;=900,vp.data[[#This Row],[Sulf]]&gt;2,vp.data[[#This Row],[Unknown]]=0),1,0)</f>
        <v>0</v>
      </c>
      <c r="AE1303">
        <f>IF(AND(vp.data[[#This Row],[CrudeType]]="Crude",vp.data[[#This Row],[Dens]]&gt;900,vp.data[[#This Row],[Sulf]]&lt;=0.5,vp.data[[#This Row],[Unknown]]=0),1,0)</f>
        <v>0</v>
      </c>
      <c r="AF1303">
        <f>IF(AND(vp.data[[#This Row],[CrudeType]]="Crude",vp.data[[#This Row],[Dens]]&gt;900,vp.data[[#This Row],[Sulf]]&lt;=0.5,vp.data[[#This Row],[Unknown]]=0),1,0)</f>
        <v>0</v>
      </c>
      <c r="AG1303" t="str">
        <f>INDEX(vp.data[[#Headers],[Unknown]:[Heavy_SW]],MATCH(1,vp.data[[#This Row],[Unknown]:[Heavy_SW]],0))</f>
        <v>C5</v>
      </c>
      <c r="AH1303">
        <f>INDEX([3]!crudeBD.lkup[Number],MATCH(vp.data[[#This Row],[Crude_Breakdown]],crudeBD.lkup[Crude Breakdown],0))</f>
        <v>0</v>
      </c>
      <c r="AI1303">
        <f>MONTH(vp.data[[#This Row],[SDate]])</f>
        <v>2</v>
      </c>
      <c r="AJ1303" s="5">
        <f>(vp.data[[#This Row],[VP]]-INDEX(crudeBD.lkup[Mean_VP],MATCH(vp.data[[#This Row],[Crude_Breakdown]],crudeBD.lkup[Crude Breakdown],0)))^2</f>
        <v>36.249521786042699</v>
      </c>
      <c r="AK1303" s="5">
        <f>(vp.data[[#This Row],[Dens]]-INDEX(crudeBD.lkup[Mean_Dens],MATCH(vp.data[[#This Row],[Crude_Breakdown]],crudeBD.lkup[Crude Breakdown],0)))^2</f>
        <v>1.8939598025711633</v>
      </c>
      <c r="AL1303" s="5">
        <f>(vp.data[[#This Row],[Sulf]]-INDEX(crudeBD.lkup[Mean_Sulf],MATCH(vp.data[[#This Row],[Crude_Breakdown]],crudeBD.lkup[Crude Breakdown],0)))^2</f>
        <v>0</v>
      </c>
      <c r="AM1303" s="4">
        <f>IF(AND(vp.data[[#This Row],[SDate]]&gt;=DATE(YEAR(vp.data[[#This Row],[SDate]]),5,1),vp.data[[#This Row],[SDate]]&lt;=DATE(YEAR(vp.data[[#This Row],[SDate]]),9,15)),1,0)</f>
        <v>0</v>
      </c>
      <c r="AN1303" s="4">
        <f>IF(vp.data[[#This Row],[SDate]]&lt;DATE(2016,12,1),0,1)</f>
        <v>1</v>
      </c>
      <c r="AO1303" s="4">
        <f>IFERROR(vp.data[[#This Row],[Sulf]]*vp.data[[#This Row],[Net Dens]],"")</f>
        <v>0</v>
      </c>
      <c r="AP1303">
        <f>IFERROR(vp.data[[#This Row],[Dens]]*vp.data[[#This Row],[VolumeM3]],"")</f>
        <v>22222.728000000003</v>
      </c>
      <c r="AQ1303" s="15">
        <f>IFERROR(vp.data[[#This Row],[VP]]*vp.data[[#This Row],[VolumeM3]],"")</f>
        <v>3695.3280000000004</v>
      </c>
    </row>
    <row r="1304" spans="1:43" x14ac:dyDescent="0.25">
      <c r="A1304">
        <v>1303</v>
      </c>
      <c r="B1304" t="s">
        <v>275</v>
      </c>
      <c r="C1304" t="s">
        <v>276</v>
      </c>
      <c r="D1304" t="s">
        <v>277</v>
      </c>
      <c r="E1304">
        <v>318117</v>
      </c>
      <c r="F1304" s="1">
        <v>42791</v>
      </c>
      <c r="G1304" s="2">
        <v>94.8</v>
      </c>
      <c r="H1304" s="2">
        <v>0</v>
      </c>
      <c r="I1304" s="2">
        <f t="array" ref="I130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4" s="2">
        <v>-1.8</v>
      </c>
      <c r="K1304" s="2">
        <v>-13</v>
      </c>
      <c r="L1304" s="2">
        <v>666.84</v>
      </c>
      <c r="M1304" s="2">
        <f t="array" ref="M1304">_xlfn.IFNA(IF(vp.data[[#This Row],[Dens Input]]="",INDEX([1]DATA!$O$3:$O$9826,MATCH(1,(vp.data[[#This Row],[Battery]]=[1]DATA!$L$3:$L$9826)*(EOMONTH(vp.data[[#This Row],[SDate]],-1)+1=[1]DATA!$G$3:$G$9826),0)),vp.data[[#This Row],[Dens Input]]),"")</f>
        <v>666.84</v>
      </c>
      <c r="N1304" s="2">
        <f ca="1">INDEX(INDIRECT(_xlfn.CONCAT("weather.tbl[",N$1,"]")),MATCH(vp.data[[#This Row],[SDate]],weather.tbl[Date],0))</f>
        <v>-11.833333333333334</v>
      </c>
      <c r="O1304" s="2">
        <f ca="1">INDEX(INDIRECT(_xlfn.CONCAT("weather.tbl[",O$1,"]")),MATCH(vp.data[[#This Row],[SDate]],weather.tbl[Date],0))</f>
        <v>-3.1214285714285714</v>
      </c>
      <c r="P1304" s="2">
        <f ca="1">INDEX(INDIRECT(_xlfn.CONCAT("weather.tbl[",P$1,"]")),MATCH(vp.data[[#This Row],[SDate]],weather.tbl[Date],0))</f>
        <v>-12.3</v>
      </c>
      <c r="Q1304" s="2">
        <f ca="1">INDEX(INDIRECT(_xlfn.CONCAT("weather.tbl[",Q$1,"]")),MATCH(vp.data[[#This Row],[SDate]],weather.tbl[Date],0))</f>
        <v>-11.9</v>
      </c>
      <c r="R1304" s="2">
        <f ca="1">INDEX(INDIRECT(_xlfn.CONCAT("weather.tbl[",R$1,"]")),MATCH(vp.data[[#This Row],[SDate]],weather.tbl[Date],0))</f>
        <v>-10</v>
      </c>
      <c r="S1304" s="2">
        <f ca="1">INDEX(INDIRECT(_xlfn.CONCAT("weather.tbl[",S$1,"]")),MATCH(vp.data[[#This Row],[SDate]],weather.tbl[Date],0))</f>
        <v>-11.3</v>
      </c>
      <c r="T1304" s="2">
        <f ca="1">INDEX(INDIRECT(_xlfn.CONCAT("weather.tbl[",T$1,"]")),MATCH(vp.data[[#This Row],[SDate]],weather.tbl[Date],0))</f>
        <v>-13.5</v>
      </c>
      <c r="U1304" s="2">
        <f ca="1">INDEX(INDIRECT(_xlfn.CONCAT("weather.tbl[",U$1,"]")),MATCH(vp.data[[#This Row],[SDate]],weather.tbl[Date],0))</f>
        <v>-12</v>
      </c>
      <c r="V1304" s="2">
        <f t="array" ref="V13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41.87</v>
      </c>
      <c r="W1304" t="s">
        <v>268</v>
      </c>
      <c r="X1304">
        <f>IF(OR(vp.data[[#This Row],[Sulf]]="",vp.data[[#This Row],[Dens]]=""),1,0)</f>
        <v>0</v>
      </c>
      <c r="Y1304">
        <f>IF(vp.data[[#This Row],[CrudeType]]="C5+",1,0)</f>
        <v>1</v>
      </c>
      <c r="Z1304">
        <f>IF(AND(vp.data[[#This Row],[CrudeType]]="Crude",vp.data[[#This Row],[Dens]]&lt;=825,vp.data[[#This Row],[Sulf]]&gt;0.5,vp.data[[#This Row],[Unknown]]=0),1,0)</f>
        <v>0</v>
      </c>
      <c r="AA1304">
        <f>IF(AND(vp.data[[#This Row],[CrudeType]]="Crude",vp.data[[#This Row],[Dens]]&lt;=825,vp.data[[#This Row],[Sulf]]&lt;=0.5,vp.data[[#This Row],[Unknown]]=0),1,0)</f>
        <v>0</v>
      </c>
      <c r="AB13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4">
        <f>IF(AND(vp.data[[#This Row],[CrudeType]]="Crude",vp.data[[#This Row],[Dens]]&gt;825,vp.data[[#This Row],[Dens]]&lt;=900,vp.data[[#This Row],[Sulf]]&lt;=0.5,vp.data[[#This Row],[Unknown]]=0),1,0)</f>
        <v>0</v>
      </c>
      <c r="AD1304">
        <f>IF(AND(vp.data[[#This Row],[CrudeType]]="Crude",vp.data[[#This Row],[Dens]]&gt;865,vp.data[[#This Row],[Dens]]&lt;=900,vp.data[[#This Row],[Sulf]]&gt;2,vp.data[[#This Row],[Unknown]]=0),1,0)</f>
        <v>0</v>
      </c>
      <c r="AE1304">
        <f>IF(AND(vp.data[[#This Row],[CrudeType]]="Crude",vp.data[[#This Row],[Dens]]&gt;900,vp.data[[#This Row],[Sulf]]&lt;=0.5,vp.data[[#This Row],[Unknown]]=0),1,0)</f>
        <v>0</v>
      </c>
      <c r="AF1304">
        <f>IF(AND(vp.data[[#This Row],[CrudeType]]="Crude",vp.data[[#This Row],[Dens]]&gt;900,vp.data[[#This Row],[Sulf]]&lt;=0.5,vp.data[[#This Row],[Unknown]]=0),1,0)</f>
        <v>0</v>
      </c>
      <c r="AG1304" t="str">
        <f>INDEX(vp.data[[#Headers],[Unknown]:[Heavy_SW]],MATCH(1,vp.data[[#This Row],[Unknown]:[Heavy_SW]],0))</f>
        <v>C5</v>
      </c>
      <c r="AH1304">
        <f>INDEX([3]!crudeBD.lkup[Number],MATCH(vp.data[[#This Row],[Crude_Breakdown]],crudeBD.lkup[Crude Breakdown],0))</f>
        <v>0</v>
      </c>
      <c r="AI1304">
        <f>MONTH(vp.data[[#This Row],[SDate]])</f>
        <v>2</v>
      </c>
      <c r="AJ1304" s="5">
        <f>(vp.data[[#This Row],[VP]]-INDEX(crudeBD.lkup[Mean_VP],MATCH(vp.data[[#This Row],[Crude_Breakdown]],crudeBD.lkup[Crude Breakdown],0)))^2</f>
        <v>70.211703604223516</v>
      </c>
      <c r="AK1304" s="5">
        <f>(vp.data[[#This Row],[Dens]]-INDEX(crudeBD.lkup[Mean_Dens],MATCH(vp.data[[#This Row],[Crude_Breakdown]],crudeBD.lkup[Crude Breakdown],0)))^2</f>
        <v>76.803977984389135</v>
      </c>
      <c r="AL1304" s="5">
        <f>(vp.data[[#This Row],[Sulf]]-INDEX(crudeBD.lkup[Mean_Sulf],MATCH(vp.data[[#This Row],[Crude_Breakdown]],crudeBD.lkup[Crude Breakdown],0)))^2</f>
        <v>0</v>
      </c>
      <c r="AM1304" s="4">
        <f>IF(AND(vp.data[[#This Row],[SDate]]&gt;=DATE(YEAR(vp.data[[#This Row],[SDate]]),5,1),vp.data[[#This Row],[SDate]]&lt;=DATE(YEAR(vp.data[[#This Row],[SDate]]),9,15)),1,0)</f>
        <v>0</v>
      </c>
      <c r="AN1304" s="4">
        <f>IF(vp.data[[#This Row],[SDate]]&lt;DATE(2016,12,1),0,1)</f>
        <v>1</v>
      </c>
      <c r="AO1304" s="4">
        <f>IFERROR(vp.data[[#This Row],[Sulf]]*vp.data[[#This Row],[Net Dens]],"")</f>
        <v>0</v>
      </c>
      <c r="AP1304">
        <f>IFERROR(vp.data[[#This Row],[Dens]]*vp.data[[#This Row],[VolumeM3]],"")</f>
        <v>27920.590799999998</v>
      </c>
      <c r="AQ1304" s="15">
        <f>IFERROR(vp.data[[#This Row],[VP]]*vp.data[[#This Row],[VolumeM3]],"")</f>
        <v>3969.2759999999998</v>
      </c>
    </row>
    <row r="1305" spans="1:43" x14ac:dyDescent="0.25">
      <c r="A1305">
        <v>1304</v>
      </c>
      <c r="B1305" t="s">
        <v>275</v>
      </c>
      <c r="C1305" t="s">
        <v>270</v>
      </c>
      <c r="D1305" t="s">
        <v>271</v>
      </c>
      <c r="E1305">
        <v>318309</v>
      </c>
      <c r="F1305" s="1">
        <v>42792</v>
      </c>
      <c r="G1305" s="2">
        <v>104.1</v>
      </c>
      <c r="H1305" s="2">
        <v>0</v>
      </c>
      <c r="I1305" s="2">
        <f t="array" ref="I130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5" s="2">
        <v>-2.2999999999999998</v>
      </c>
      <c r="K1305" s="2">
        <v>-15</v>
      </c>
      <c r="L1305" s="2">
        <v>667</v>
      </c>
      <c r="M1305" s="2">
        <f t="array" ref="M1305">_xlfn.IFNA(IF(vp.data[[#This Row],[Dens Input]]="",INDEX([1]DATA!$O$3:$O$9826,MATCH(1,(vp.data[[#This Row],[Battery]]=[1]DATA!$L$3:$L$9826)*(EOMONTH(vp.data[[#This Row],[SDate]],-1)+1=[1]DATA!$G$3:$G$9826),0)),vp.data[[#This Row],[Dens Input]]),"")</f>
        <v>667</v>
      </c>
      <c r="N1305" s="2">
        <f ca="1">INDEX(INDIRECT(_xlfn.CONCAT("weather.tbl[",N$1,"]")),MATCH(vp.data[[#This Row],[SDate]],weather.tbl[Date],0))</f>
        <v>-11.916666666666666</v>
      </c>
      <c r="O1305" s="2">
        <f ca="1">INDEX(INDIRECT(_xlfn.CONCAT("weather.tbl[",O$1,"]")),MATCH(vp.data[[#This Row],[SDate]],weather.tbl[Date],0))</f>
        <v>-4.7952380952380951</v>
      </c>
      <c r="P1305" s="2">
        <f ca="1">INDEX(INDIRECT(_xlfn.CONCAT("weather.tbl[",P$1,"]")),MATCH(vp.data[[#This Row],[SDate]],weather.tbl[Date],0))</f>
        <v>-12.6</v>
      </c>
      <c r="Q1305" s="2">
        <f ca="1">INDEX(INDIRECT(_xlfn.CONCAT("weather.tbl[",Q$1,"]")),MATCH(vp.data[[#This Row],[SDate]],weather.tbl[Date],0))</f>
        <v>-10.4</v>
      </c>
      <c r="R1305" s="2">
        <f ca="1">INDEX(INDIRECT(_xlfn.CONCAT("weather.tbl[",R$1,"]")),MATCH(vp.data[[#This Row],[SDate]],weather.tbl[Date],0))</f>
        <v>-12.3</v>
      </c>
      <c r="S1305" s="2">
        <f ca="1">INDEX(INDIRECT(_xlfn.CONCAT("weather.tbl[",S$1,"]")),MATCH(vp.data[[#This Row],[SDate]],weather.tbl[Date],0))</f>
        <v>-9.4</v>
      </c>
      <c r="T1305" s="2">
        <f ca="1">INDEX(INDIRECT(_xlfn.CONCAT("weather.tbl[",T$1,"]")),MATCH(vp.data[[#This Row],[SDate]],weather.tbl[Date],0))</f>
        <v>-14.5</v>
      </c>
      <c r="U1305" s="2">
        <f ca="1">INDEX(INDIRECT(_xlfn.CONCAT("weather.tbl[",U$1,"]")),MATCH(vp.data[[#This Row],[SDate]],weather.tbl[Date],0))</f>
        <v>-12.3</v>
      </c>
      <c r="V1305" s="2">
        <f t="array" ref="V13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37.159999999999997</v>
      </c>
      <c r="W1305" t="s">
        <v>268</v>
      </c>
      <c r="X1305">
        <f>IF(OR(vp.data[[#This Row],[Sulf]]="",vp.data[[#This Row],[Dens]]=""),1,0)</f>
        <v>0</v>
      </c>
      <c r="Y1305">
        <f>IF(vp.data[[#This Row],[CrudeType]]="C5+",1,0)</f>
        <v>1</v>
      </c>
      <c r="Z1305">
        <f>IF(AND(vp.data[[#This Row],[CrudeType]]="Crude",vp.data[[#This Row],[Dens]]&lt;=825,vp.data[[#This Row],[Sulf]]&gt;0.5,vp.data[[#This Row],[Unknown]]=0),1,0)</f>
        <v>0</v>
      </c>
      <c r="AA1305">
        <f>IF(AND(vp.data[[#This Row],[CrudeType]]="Crude",vp.data[[#This Row],[Dens]]&lt;=825,vp.data[[#This Row],[Sulf]]&lt;=0.5,vp.data[[#This Row],[Unknown]]=0),1,0)</f>
        <v>0</v>
      </c>
      <c r="AB13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5">
        <f>IF(AND(vp.data[[#This Row],[CrudeType]]="Crude",vp.data[[#This Row],[Dens]]&gt;825,vp.data[[#This Row],[Dens]]&lt;=900,vp.data[[#This Row],[Sulf]]&lt;=0.5,vp.data[[#This Row],[Unknown]]=0),1,0)</f>
        <v>0</v>
      </c>
      <c r="AD1305">
        <f>IF(AND(vp.data[[#This Row],[CrudeType]]="Crude",vp.data[[#This Row],[Dens]]&gt;865,vp.data[[#This Row],[Dens]]&lt;=900,vp.data[[#This Row],[Sulf]]&gt;2,vp.data[[#This Row],[Unknown]]=0),1,0)</f>
        <v>0</v>
      </c>
      <c r="AE1305">
        <f>IF(AND(vp.data[[#This Row],[CrudeType]]="Crude",vp.data[[#This Row],[Dens]]&gt;900,vp.data[[#This Row],[Sulf]]&lt;=0.5,vp.data[[#This Row],[Unknown]]=0),1,0)</f>
        <v>0</v>
      </c>
      <c r="AF1305">
        <f>IF(AND(vp.data[[#This Row],[CrudeType]]="Crude",vp.data[[#This Row],[Dens]]&gt;900,vp.data[[#This Row],[Sulf]]&lt;=0.5,vp.data[[#This Row],[Unknown]]=0),1,0)</f>
        <v>0</v>
      </c>
      <c r="AG1305" t="str">
        <f>INDEX(vp.data[[#Headers],[Unknown]:[Heavy_SW]],MATCH(1,vp.data[[#This Row],[Unknown]:[Heavy_SW]],0))</f>
        <v>C5</v>
      </c>
      <c r="AH1305">
        <f>INDEX([3]!crudeBD.lkup[Number],MATCH(vp.data[[#This Row],[Crude_Breakdown]],crudeBD.lkup[Crude Breakdown],0))</f>
        <v>0</v>
      </c>
      <c r="AI1305">
        <f>MONTH(vp.data[[#This Row],[SDate]])</f>
        <v>2</v>
      </c>
      <c r="AJ1305" s="5">
        <f>(vp.data[[#This Row],[VP]]-INDEX(crudeBD.lkup[Mean_VP],MATCH(vp.data[[#This Row],[Crude_Breakdown]],crudeBD.lkup[Crude Breakdown],0)))^2</f>
        <v>0.84779451331502209</v>
      </c>
      <c r="AK1305" s="5">
        <f>(vp.data[[#This Row],[Dens]]-INDEX(crudeBD.lkup[Mean_Dens],MATCH(vp.data[[#This Row],[Crude_Breakdown]],crudeBD.lkup[Crude Breakdown],0)))^2</f>
        <v>79.633990105600674</v>
      </c>
      <c r="AL1305" s="5">
        <f>(vp.data[[#This Row],[Sulf]]-INDEX(crudeBD.lkup[Mean_Sulf],MATCH(vp.data[[#This Row],[Crude_Breakdown]],crudeBD.lkup[Crude Breakdown],0)))^2</f>
        <v>0</v>
      </c>
      <c r="AM1305" s="4">
        <f>IF(AND(vp.data[[#This Row],[SDate]]&gt;=DATE(YEAR(vp.data[[#This Row],[SDate]]),5,1),vp.data[[#This Row],[SDate]]&lt;=DATE(YEAR(vp.data[[#This Row],[SDate]]),9,15)),1,0)</f>
        <v>0</v>
      </c>
      <c r="AN1305" s="4">
        <f>IF(vp.data[[#This Row],[SDate]]&lt;DATE(2016,12,1),0,1)</f>
        <v>1</v>
      </c>
      <c r="AO1305" s="4">
        <f>IFERROR(vp.data[[#This Row],[Sulf]]*vp.data[[#This Row],[Net Dens]],"")</f>
        <v>0</v>
      </c>
      <c r="AP1305">
        <f>IFERROR(vp.data[[#This Row],[Dens]]*vp.data[[#This Row],[VolumeM3]],"")</f>
        <v>24785.719999999998</v>
      </c>
      <c r="AQ1305" s="15">
        <f>IFERROR(vp.data[[#This Row],[VP]]*vp.data[[#This Row],[VolumeM3]],"")</f>
        <v>3868.3559999999993</v>
      </c>
    </row>
    <row r="1306" spans="1:43" x14ac:dyDescent="0.25">
      <c r="A1306">
        <v>1305</v>
      </c>
      <c r="B1306" t="s">
        <v>265</v>
      </c>
      <c r="C1306" t="s">
        <v>266</v>
      </c>
      <c r="D1306" t="s">
        <v>267</v>
      </c>
      <c r="E1306">
        <v>319320</v>
      </c>
      <c r="F1306" s="1">
        <v>42799</v>
      </c>
      <c r="G1306" s="2">
        <v>107.2</v>
      </c>
      <c r="H1306" s="2">
        <v>0</v>
      </c>
      <c r="I1306" s="2">
        <f t="array" ref="I130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6" s="2">
        <v>6.9</v>
      </c>
      <c r="K1306" s="2">
        <v>4</v>
      </c>
      <c r="L1306" s="2">
        <v>657.4</v>
      </c>
      <c r="M1306" s="2">
        <f t="array" ref="M1306">_xlfn.IFNA(IF(vp.data[[#This Row],[Dens Input]]="",INDEX([1]DATA!$O$3:$O$9826,MATCH(1,(vp.data[[#This Row],[Battery]]=[1]DATA!$L$3:$L$9826)*(EOMONTH(vp.data[[#This Row],[SDate]],-1)+1=[1]DATA!$G$3:$G$9826),0)),vp.data[[#This Row],[Dens Input]]),"")</f>
        <v>657.4</v>
      </c>
      <c r="N1306" s="2">
        <f ca="1">INDEX(INDIRECT(_xlfn.CONCAT("weather.tbl[",N$1,"]")),MATCH(vp.data[[#This Row],[SDate]],weather.tbl[Date],0))</f>
        <v>-4.9999999999999968E-2</v>
      </c>
      <c r="O1306" s="2">
        <f ca="1">INDEX(INDIRECT(_xlfn.CONCAT("weather.tbl[",O$1,"]")),MATCH(vp.data[[#This Row],[SDate]],weather.tbl[Date],0))</f>
        <v>-9.1476190476190471</v>
      </c>
      <c r="P1306" s="2">
        <f ca="1">INDEX(INDIRECT(_xlfn.CONCAT("weather.tbl[",P$1,"]")),MATCH(vp.data[[#This Row],[SDate]],weather.tbl[Date],0))</f>
        <v>0.8</v>
      </c>
      <c r="Q1306" s="2">
        <f ca="1">INDEX(INDIRECT(_xlfn.CONCAT("weather.tbl[",Q$1,"]")),MATCH(vp.data[[#This Row],[SDate]],weather.tbl[Date],0))</f>
        <v>-0.5</v>
      </c>
      <c r="R1306" s="2">
        <f ca="1">INDEX(INDIRECT(_xlfn.CONCAT("weather.tbl[",R$1,"]")),MATCH(vp.data[[#This Row],[SDate]],weather.tbl[Date],0))</f>
        <v>-1.8</v>
      </c>
      <c r="S1306" s="2">
        <f ca="1">INDEX(INDIRECT(_xlfn.CONCAT("weather.tbl[",S$1,"]")),MATCH(vp.data[[#This Row],[SDate]],weather.tbl[Date],0))</f>
        <v>1.1000000000000001</v>
      </c>
      <c r="T1306" s="2">
        <f ca="1">INDEX(INDIRECT(_xlfn.CONCAT("weather.tbl[",T$1,"]")),MATCH(vp.data[[#This Row],[SDate]],weather.tbl[Date],0))</f>
        <v>-0.7</v>
      </c>
      <c r="U1306" s="2">
        <f ca="1">INDEX(INDIRECT(_xlfn.CONCAT("weather.tbl[",U$1,"]")),MATCH(vp.data[[#This Row],[SDate]],weather.tbl[Date],0))</f>
        <v>0.8</v>
      </c>
      <c r="V1306" s="2">
        <f t="array" ref="V13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35.33</v>
      </c>
      <c r="W1306" t="s">
        <v>268</v>
      </c>
      <c r="X1306">
        <f>IF(OR(vp.data[[#This Row],[Sulf]]="",vp.data[[#This Row],[Dens]]=""),1,0)</f>
        <v>0</v>
      </c>
      <c r="Y1306">
        <f>IF(vp.data[[#This Row],[CrudeType]]="C5+",1,0)</f>
        <v>1</v>
      </c>
      <c r="Z1306">
        <f>IF(AND(vp.data[[#This Row],[CrudeType]]="Crude",vp.data[[#This Row],[Dens]]&lt;=825,vp.data[[#This Row],[Sulf]]&gt;0.5,vp.data[[#This Row],[Unknown]]=0),1,0)</f>
        <v>0</v>
      </c>
      <c r="AA1306">
        <f>IF(AND(vp.data[[#This Row],[CrudeType]]="Crude",vp.data[[#This Row],[Dens]]&lt;=825,vp.data[[#This Row],[Sulf]]&lt;=0.5,vp.data[[#This Row],[Unknown]]=0),1,0)</f>
        <v>0</v>
      </c>
      <c r="AB13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6">
        <f>IF(AND(vp.data[[#This Row],[CrudeType]]="Crude",vp.data[[#This Row],[Dens]]&gt;825,vp.data[[#This Row],[Dens]]&lt;=900,vp.data[[#This Row],[Sulf]]&lt;=0.5,vp.data[[#This Row],[Unknown]]=0),1,0)</f>
        <v>0</v>
      </c>
      <c r="AD1306">
        <f>IF(AND(vp.data[[#This Row],[CrudeType]]="Crude",vp.data[[#This Row],[Dens]]&gt;865,vp.data[[#This Row],[Dens]]&lt;=900,vp.data[[#This Row],[Sulf]]&gt;2,vp.data[[#This Row],[Unknown]]=0),1,0)</f>
        <v>0</v>
      </c>
      <c r="AE1306">
        <f>IF(AND(vp.data[[#This Row],[CrudeType]]="Crude",vp.data[[#This Row],[Dens]]&gt;900,vp.data[[#This Row],[Sulf]]&lt;=0.5,vp.data[[#This Row],[Unknown]]=0),1,0)</f>
        <v>0</v>
      </c>
      <c r="AF1306">
        <f>IF(AND(vp.data[[#This Row],[CrudeType]]="Crude",vp.data[[#This Row],[Dens]]&gt;900,vp.data[[#This Row],[Sulf]]&lt;=0.5,vp.data[[#This Row],[Unknown]]=0),1,0)</f>
        <v>0</v>
      </c>
      <c r="AG1306" t="str">
        <f>INDEX(vp.data[[#Headers],[Unknown]:[Heavy_SW]],MATCH(1,vp.data[[#This Row],[Unknown]:[Heavy_SW]],0))</f>
        <v>C5</v>
      </c>
      <c r="AH1306">
        <f>INDEX([3]!crudeBD.lkup[Number],MATCH(vp.data[[#This Row],[Crude_Breakdown]],crudeBD.lkup[Crude Breakdown],0))</f>
        <v>0</v>
      </c>
      <c r="AI1306">
        <f>MONTH(vp.data[[#This Row],[SDate]])</f>
        <v>3</v>
      </c>
      <c r="AJ1306" s="5">
        <f>(vp.data[[#This Row],[VP]]-INDEX(crudeBD.lkup[Mean_VP],MATCH(vp.data[[#This Row],[Crude_Breakdown]],crudeBD.lkup[Crude Breakdown],0)))^2</f>
        <v>16.166491483012244</v>
      </c>
      <c r="AK1306" s="5">
        <f>(vp.data[[#This Row],[Dens]]-INDEX(crudeBD.lkup[Mean_Dens],MATCH(vp.data[[#This Row],[Crude_Breakdown]],crudeBD.lkup[Crude Breakdown],0)))^2</f>
        <v>0.45726283287428726</v>
      </c>
      <c r="AL1306" s="5">
        <f>(vp.data[[#This Row],[Sulf]]-INDEX(crudeBD.lkup[Mean_Sulf],MATCH(vp.data[[#This Row],[Crude_Breakdown]],crudeBD.lkup[Crude Breakdown],0)))^2</f>
        <v>0</v>
      </c>
      <c r="AM1306" s="4">
        <f>IF(AND(vp.data[[#This Row],[SDate]]&gt;=DATE(YEAR(vp.data[[#This Row],[SDate]]),5,1),vp.data[[#This Row],[SDate]]&lt;=DATE(YEAR(vp.data[[#This Row],[SDate]]),9,15)),1,0)</f>
        <v>0</v>
      </c>
      <c r="AN1306" s="4">
        <f>IF(vp.data[[#This Row],[SDate]]&lt;DATE(2016,12,1),0,1)</f>
        <v>1</v>
      </c>
      <c r="AO1306" s="4">
        <f>IFERROR(vp.data[[#This Row],[Sulf]]*vp.data[[#This Row],[Net Dens]],"")</f>
        <v>0</v>
      </c>
      <c r="AP1306">
        <f>IFERROR(vp.data[[#This Row],[Dens]]*vp.data[[#This Row],[VolumeM3]],"")</f>
        <v>23225.941999999999</v>
      </c>
      <c r="AQ1306" s="15">
        <f>IFERROR(vp.data[[#This Row],[VP]]*vp.data[[#This Row],[VolumeM3]],"")</f>
        <v>3787.3759999999997</v>
      </c>
    </row>
    <row r="1307" spans="1:43" x14ac:dyDescent="0.25">
      <c r="A1307">
        <v>1306</v>
      </c>
      <c r="B1307" t="s">
        <v>272</v>
      </c>
      <c r="C1307" t="s">
        <v>273</v>
      </c>
      <c r="D1307" t="s">
        <v>274</v>
      </c>
      <c r="E1307">
        <v>319340</v>
      </c>
      <c r="F1307" s="1">
        <v>42799</v>
      </c>
      <c r="G1307" s="2">
        <v>106.3</v>
      </c>
      <c r="H1307" s="2">
        <v>0</v>
      </c>
      <c r="I1307" s="2">
        <f t="array" ref="I130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7" s="2">
        <v>13.9</v>
      </c>
      <c r="K1307" s="2">
        <v>4</v>
      </c>
      <c r="L1307" s="2">
        <v>654.29999999999995</v>
      </c>
      <c r="M1307" s="2">
        <f t="array" ref="M1307">_xlfn.IFNA(IF(vp.data[[#This Row],[Dens Input]]="",INDEX([1]DATA!$O$3:$O$9826,MATCH(1,(vp.data[[#This Row],[Battery]]=[1]DATA!$L$3:$L$9826)*(EOMONTH(vp.data[[#This Row],[SDate]],-1)+1=[1]DATA!$G$3:$G$9826),0)),vp.data[[#This Row],[Dens Input]]),"")</f>
        <v>654.29999999999995</v>
      </c>
      <c r="N1307" s="2">
        <f ca="1">INDEX(INDIRECT(_xlfn.CONCAT("weather.tbl[",N$1,"]")),MATCH(vp.data[[#This Row],[SDate]],weather.tbl[Date],0))</f>
        <v>-4.9999999999999968E-2</v>
      </c>
      <c r="O1307" s="2">
        <f ca="1">INDEX(INDIRECT(_xlfn.CONCAT("weather.tbl[",O$1,"]")),MATCH(vp.data[[#This Row],[SDate]],weather.tbl[Date],0))</f>
        <v>-9.1476190476190471</v>
      </c>
      <c r="P1307" s="2">
        <f ca="1">INDEX(INDIRECT(_xlfn.CONCAT("weather.tbl[",P$1,"]")),MATCH(vp.data[[#This Row],[SDate]],weather.tbl[Date],0))</f>
        <v>0.8</v>
      </c>
      <c r="Q1307" s="2">
        <f ca="1">INDEX(INDIRECT(_xlfn.CONCAT("weather.tbl[",Q$1,"]")),MATCH(vp.data[[#This Row],[SDate]],weather.tbl[Date],0))</f>
        <v>-0.5</v>
      </c>
      <c r="R1307" s="2">
        <f ca="1">INDEX(INDIRECT(_xlfn.CONCAT("weather.tbl[",R$1,"]")),MATCH(vp.data[[#This Row],[SDate]],weather.tbl[Date],0))</f>
        <v>-1.8</v>
      </c>
      <c r="S1307" s="2">
        <f ca="1">INDEX(INDIRECT(_xlfn.CONCAT("weather.tbl[",S$1,"]")),MATCH(vp.data[[#This Row],[SDate]],weather.tbl[Date],0))</f>
        <v>1.1000000000000001</v>
      </c>
      <c r="T1307" s="2">
        <f ca="1">INDEX(INDIRECT(_xlfn.CONCAT("weather.tbl[",T$1,"]")),MATCH(vp.data[[#This Row],[SDate]],weather.tbl[Date],0))</f>
        <v>-0.7</v>
      </c>
      <c r="U1307" s="2">
        <f ca="1">INDEX(INDIRECT(_xlfn.CONCAT("weather.tbl[",U$1,"]")),MATCH(vp.data[[#This Row],[SDate]],weather.tbl[Date],0))</f>
        <v>0.8</v>
      </c>
      <c r="V1307" s="2">
        <f t="array" ref="V13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35.090000000000003</v>
      </c>
      <c r="W1307" t="s">
        <v>268</v>
      </c>
      <c r="X1307">
        <f>IF(OR(vp.data[[#This Row],[Sulf]]="",vp.data[[#This Row],[Dens]]=""),1,0)</f>
        <v>0</v>
      </c>
      <c r="Y1307">
        <f>IF(vp.data[[#This Row],[CrudeType]]="C5+",1,0)</f>
        <v>1</v>
      </c>
      <c r="Z1307">
        <f>IF(AND(vp.data[[#This Row],[CrudeType]]="Crude",vp.data[[#This Row],[Dens]]&lt;=825,vp.data[[#This Row],[Sulf]]&gt;0.5,vp.data[[#This Row],[Unknown]]=0),1,0)</f>
        <v>0</v>
      </c>
      <c r="AA1307">
        <f>IF(AND(vp.data[[#This Row],[CrudeType]]="Crude",vp.data[[#This Row],[Dens]]&lt;=825,vp.data[[#This Row],[Sulf]]&lt;=0.5,vp.data[[#This Row],[Unknown]]=0),1,0)</f>
        <v>0</v>
      </c>
      <c r="AB13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7">
        <f>IF(AND(vp.data[[#This Row],[CrudeType]]="Crude",vp.data[[#This Row],[Dens]]&gt;825,vp.data[[#This Row],[Dens]]&lt;=900,vp.data[[#This Row],[Sulf]]&lt;=0.5,vp.data[[#This Row],[Unknown]]=0),1,0)</f>
        <v>0</v>
      </c>
      <c r="AD1307">
        <f>IF(AND(vp.data[[#This Row],[CrudeType]]="Crude",vp.data[[#This Row],[Dens]]&gt;865,vp.data[[#This Row],[Dens]]&lt;=900,vp.data[[#This Row],[Sulf]]&gt;2,vp.data[[#This Row],[Unknown]]=0),1,0)</f>
        <v>0</v>
      </c>
      <c r="AE1307">
        <f>IF(AND(vp.data[[#This Row],[CrudeType]]="Crude",vp.data[[#This Row],[Dens]]&gt;900,vp.data[[#This Row],[Sulf]]&lt;=0.5,vp.data[[#This Row],[Unknown]]=0),1,0)</f>
        <v>0</v>
      </c>
      <c r="AF1307">
        <f>IF(AND(vp.data[[#This Row],[CrudeType]]="Crude",vp.data[[#This Row],[Dens]]&gt;900,vp.data[[#This Row],[Sulf]]&lt;=0.5,vp.data[[#This Row],[Unknown]]=0),1,0)</f>
        <v>0</v>
      </c>
      <c r="AG1307" t="str">
        <f>INDEX(vp.data[[#Headers],[Unknown]:[Heavy_SW]],MATCH(1,vp.data[[#This Row],[Unknown]:[Heavy_SW]],0))</f>
        <v>C5</v>
      </c>
      <c r="AH1307">
        <f>INDEX([3]!crudeBD.lkup[Number],MATCH(vp.data[[#This Row],[Crude_Breakdown]],crudeBD.lkup[Crude Breakdown],0))</f>
        <v>0</v>
      </c>
      <c r="AI1307">
        <f>MONTH(vp.data[[#This Row],[SDate]])</f>
        <v>3</v>
      </c>
      <c r="AJ1307" s="5">
        <f>(vp.data[[#This Row],[VP]]-INDEX(crudeBD.lkup[Mean_VP],MATCH(vp.data[[#This Row],[Crude_Breakdown]],crudeBD.lkup[Crude Breakdown],0)))^2</f>
        <v>9.7391278466485023</v>
      </c>
      <c r="AK1307" s="5">
        <f>(vp.data[[#This Row],[Dens]]-INDEX(crudeBD.lkup[Mean_Dens],MATCH(vp.data[[#This Row],[Crude_Breakdown]],crudeBD.lkup[Crude Breakdown],0)))^2</f>
        <v>14.259777984390027</v>
      </c>
      <c r="AL1307" s="5">
        <f>(vp.data[[#This Row],[Sulf]]-INDEX(crudeBD.lkup[Mean_Sulf],MATCH(vp.data[[#This Row],[Crude_Breakdown]],crudeBD.lkup[Crude Breakdown],0)))^2</f>
        <v>0</v>
      </c>
      <c r="AM1307" s="4">
        <f>IF(AND(vp.data[[#This Row],[SDate]]&gt;=DATE(YEAR(vp.data[[#This Row],[SDate]]),5,1),vp.data[[#This Row],[SDate]]&lt;=DATE(YEAR(vp.data[[#This Row],[SDate]]),9,15)),1,0)</f>
        <v>0</v>
      </c>
      <c r="AN1307" s="4">
        <f>IF(vp.data[[#This Row],[SDate]]&lt;DATE(2016,12,1),0,1)</f>
        <v>1</v>
      </c>
      <c r="AO1307" s="4">
        <f>IFERROR(vp.data[[#This Row],[Sulf]]*vp.data[[#This Row],[Net Dens]],"")</f>
        <v>0</v>
      </c>
      <c r="AP1307">
        <f>IFERROR(vp.data[[#This Row],[Dens]]*vp.data[[#This Row],[VolumeM3]],"")</f>
        <v>22959.387000000002</v>
      </c>
      <c r="AQ1307" s="15">
        <f>IFERROR(vp.data[[#This Row],[VP]]*vp.data[[#This Row],[VolumeM3]],"")</f>
        <v>3730.0670000000005</v>
      </c>
    </row>
    <row r="1308" spans="1:43" x14ac:dyDescent="0.25">
      <c r="A1308">
        <v>1307</v>
      </c>
      <c r="B1308" t="s">
        <v>275</v>
      </c>
      <c r="C1308" t="s">
        <v>276</v>
      </c>
      <c r="D1308" t="s">
        <v>277</v>
      </c>
      <c r="E1308">
        <v>319308</v>
      </c>
      <c r="F1308" s="1">
        <v>42799</v>
      </c>
      <c r="G1308" s="2">
        <v>94.3</v>
      </c>
      <c r="H1308" s="2">
        <v>0</v>
      </c>
      <c r="I1308" s="2">
        <f t="array" ref="I130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8" s="2">
        <v>12.7</v>
      </c>
      <c r="K1308" s="2">
        <v>4</v>
      </c>
      <c r="L1308" s="2">
        <v>659.1</v>
      </c>
      <c r="M1308" s="2">
        <f t="array" ref="M1308">_xlfn.IFNA(IF(vp.data[[#This Row],[Dens Input]]="",INDEX([1]DATA!$O$3:$O$9826,MATCH(1,(vp.data[[#This Row],[Battery]]=[1]DATA!$L$3:$L$9826)*(EOMONTH(vp.data[[#This Row],[SDate]],-1)+1=[1]DATA!$G$3:$G$9826),0)),vp.data[[#This Row],[Dens Input]]),"")</f>
        <v>659.1</v>
      </c>
      <c r="N1308" s="2">
        <f ca="1">INDEX(INDIRECT(_xlfn.CONCAT("weather.tbl[",N$1,"]")),MATCH(vp.data[[#This Row],[SDate]],weather.tbl[Date],0))</f>
        <v>-4.9999999999999968E-2</v>
      </c>
      <c r="O1308" s="2">
        <f ca="1">INDEX(INDIRECT(_xlfn.CONCAT("weather.tbl[",O$1,"]")),MATCH(vp.data[[#This Row],[SDate]],weather.tbl[Date],0))</f>
        <v>-9.1476190476190471</v>
      </c>
      <c r="P1308" s="2">
        <f ca="1">INDEX(INDIRECT(_xlfn.CONCAT("weather.tbl[",P$1,"]")),MATCH(vp.data[[#This Row],[SDate]],weather.tbl[Date],0))</f>
        <v>0.8</v>
      </c>
      <c r="Q1308" s="2">
        <f ca="1">INDEX(INDIRECT(_xlfn.CONCAT("weather.tbl[",Q$1,"]")),MATCH(vp.data[[#This Row],[SDate]],weather.tbl[Date],0))</f>
        <v>-0.5</v>
      </c>
      <c r="R1308" s="2">
        <f ca="1">INDEX(INDIRECT(_xlfn.CONCAT("weather.tbl[",R$1,"]")),MATCH(vp.data[[#This Row],[SDate]],weather.tbl[Date],0))</f>
        <v>-1.8</v>
      </c>
      <c r="S1308" s="2">
        <f ca="1">INDEX(INDIRECT(_xlfn.CONCAT("weather.tbl[",S$1,"]")),MATCH(vp.data[[#This Row],[SDate]],weather.tbl[Date],0))</f>
        <v>1.1000000000000001</v>
      </c>
      <c r="T1308" s="2">
        <f ca="1">INDEX(INDIRECT(_xlfn.CONCAT("weather.tbl[",T$1,"]")),MATCH(vp.data[[#This Row],[SDate]],weather.tbl[Date],0))</f>
        <v>-0.7</v>
      </c>
      <c r="U1308" s="2">
        <f ca="1">INDEX(INDIRECT(_xlfn.CONCAT("weather.tbl[",U$1,"]")),MATCH(vp.data[[#This Row],[SDate]],weather.tbl[Date],0))</f>
        <v>0.8</v>
      </c>
      <c r="V1308" s="2">
        <f t="array" ref="V13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33.130000000000003</v>
      </c>
      <c r="W1308" t="s">
        <v>268</v>
      </c>
      <c r="X1308">
        <f>IF(OR(vp.data[[#This Row],[Sulf]]="",vp.data[[#This Row],[Dens]]=""),1,0)</f>
        <v>0</v>
      </c>
      <c r="Y1308">
        <f>IF(vp.data[[#This Row],[CrudeType]]="C5+",1,0)</f>
        <v>1</v>
      </c>
      <c r="Z1308">
        <f>IF(AND(vp.data[[#This Row],[CrudeType]]="Crude",vp.data[[#This Row],[Dens]]&lt;=825,vp.data[[#This Row],[Sulf]]&gt;0.5,vp.data[[#This Row],[Unknown]]=0),1,0)</f>
        <v>0</v>
      </c>
      <c r="AA1308">
        <f>IF(AND(vp.data[[#This Row],[CrudeType]]="Crude",vp.data[[#This Row],[Dens]]&lt;=825,vp.data[[#This Row],[Sulf]]&lt;=0.5,vp.data[[#This Row],[Unknown]]=0),1,0)</f>
        <v>0</v>
      </c>
      <c r="AB13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8">
        <f>IF(AND(vp.data[[#This Row],[CrudeType]]="Crude",vp.data[[#This Row],[Dens]]&gt;825,vp.data[[#This Row],[Dens]]&lt;=900,vp.data[[#This Row],[Sulf]]&lt;=0.5,vp.data[[#This Row],[Unknown]]=0),1,0)</f>
        <v>0</v>
      </c>
      <c r="AD1308">
        <f>IF(AND(vp.data[[#This Row],[CrudeType]]="Crude",vp.data[[#This Row],[Dens]]&gt;865,vp.data[[#This Row],[Dens]]&lt;=900,vp.data[[#This Row],[Sulf]]&gt;2,vp.data[[#This Row],[Unknown]]=0),1,0)</f>
        <v>0</v>
      </c>
      <c r="AE1308">
        <f>IF(AND(vp.data[[#This Row],[CrudeType]]="Crude",vp.data[[#This Row],[Dens]]&gt;900,vp.data[[#This Row],[Sulf]]&lt;=0.5,vp.data[[#This Row],[Unknown]]=0),1,0)</f>
        <v>0</v>
      </c>
      <c r="AF1308">
        <f>IF(AND(vp.data[[#This Row],[CrudeType]]="Crude",vp.data[[#This Row],[Dens]]&gt;900,vp.data[[#This Row],[Sulf]]&lt;=0.5,vp.data[[#This Row],[Unknown]]=0),1,0)</f>
        <v>0</v>
      </c>
      <c r="AG1308" t="str">
        <f>INDEX(vp.data[[#Headers],[Unknown]:[Heavy_SW]],MATCH(1,vp.data[[#This Row],[Unknown]:[Heavy_SW]],0))</f>
        <v>C5</v>
      </c>
      <c r="AH1308">
        <f>INDEX([3]!crudeBD.lkup[Number],MATCH(vp.data[[#This Row],[Crude_Breakdown]],crudeBD.lkup[Crude Breakdown],0))</f>
        <v>0</v>
      </c>
      <c r="AI1308">
        <f>MONTH(vp.data[[#This Row],[SDate]])</f>
        <v>3</v>
      </c>
      <c r="AJ1308" s="5">
        <f>(vp.data[[#This Row],[VP]]-INDEX(crudeBD.lkup[Mean_VP],MATCH(vp.data[[#This Row],[Crude_Breakdown]],crudeBD.lkup[Crude Breakdown],0)))^2</f>
        <v>78.840946028465908</v>
      </c>
      <c r="AK1308" s="5">
        <f>(vp.data[[#This Row],[Dens]]-INDEX(crudeBD.lkup[Mean_Dens],MATCH(vp.data[[#This Row],[Crude_Breakdown]],crudeBD.lkup[Crude Breakdown],0)))^2</f>
        <v>1.0481416207529402</v>
      </c>
      <c r="AL1308" s="5">
        <f>(vp.data[[#This Row],[Sulf]]-INDEX(crudeBD.lkup[Mean_Sulf],MATCH(vp.data[[#This Row],[Crude_Breakdown]],crudeBD.lkup[Crude Breakdown],0)))^2</f>
        <v>0</v>
      </c>
      <c r="AM1308" s="4">
        <f>IF(AND(vp.data[[#This Row],[SDate]]&gt;=DATE(YEAR(vp.data[[#This Row],[SDate]]),5,1),vp.data[[#This Row],[SDate]]&lt;=DATE(YEAR(vp.data[[#This Row],[SDate]]),9,15)),1,0)</f>
        <v>0</v>
      </c>
      <c r="AN1308" s="4">
        <f>IF(vp.data[[#This Row],[SDate]]&lt;DATE(2016,12,1),0,1)</f>
        <v>1</v>
      </c>
      <c r="AO1308" s="4">
        <f>IFERROR(vp.data[[#This Row],[Sulf]]*vp.data[[#This Row],[Net Dens]],"")</f>
        <v>0</v>
      </c>
      <c r="AP1308">
        <f>IFERROR(vp.data[[#This Row],[Dens]]*vp.data[[#This Row],[VolumeM3]],"")</f>
        <v>21835.983000000004</v>
      </c>
      <c r="AQ1308" s="15">
        <f>IFERROR(vp.data[[#This Row],[VP]]*vp.data[[#This Row],[VolumeM3]],"")</f>
        <v>3124.1590000000001</v>
      </c>
    </row>
    <row r="1309" spans="1:43" x14ac:dyDescent="0.25">
      <c r="A1309">
        <v>1308</v>
      </c>
      <c r="B1309" t="s">
        <v>265</v>
      </c>
      <c r="C1309" t="s">
        <v>266</v>
      </c>
      <c r="D1309" t="s">
        <v>267</v>
      </c>
      <c r="E1309">
        <v>320008</v>
      </c>
      <c r="F1309" s="1">
        <v>42805</v>
      </c>
      <c r="G1309" s="2">
        <v>104.1</v>
      </c>
      <c r="H1309" s="2">
        <v>0</v>
      </c>
      <c r="I1309" s="2">
        <f t="array" ref="I130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09" s="2"/>
      <c r="K1309" s="2">
        <v>-17</v>
      </c>
      <c r="L1309" s="2">
        <v>660.9</v>
      </c>
      <c r="M1309" s="2">
        <f t="array" ref="M1309">_xlfn.IFNA(IF(vp.data[[#This Row],[Dens Input]]="",INDEX([1]DATA!$O$3:$O$9826,MATCH(1,(vp.data[[#This Row],[Battery]]=[1]DATA!$L$3:$L$9826)*(EOMONTH(vp.data[[#This Row],[SDate]],-1)+1=[1]DATA!$G$3:$G$9826),0)),vp.data[[#This Row],[Dens Input]]),"")</f>
        <v>660.9</v>
      </c>
      <c r="N1309" s="2">
        <f ca="1">INDEX(INDIRECT(_xlfn.CONCAT("weather.tbl[",N$1,"]")),MATCH(vp.data[[#This Row],[SDate]],weather.tbl[Date],0))</f>
        <v>-18</v>
      </c>
      <c r="O1309" s="2">
        <f ca="1">INDEX(INDIRECT(_xlfn.CONCAT("weather.tbl[",O$1,"]")),MATCH(vp.data[[#This Row],[SDate]],weather.tbl[Date],0))</f>
        <v>-13.185714285714285</v>
      </c>
      <c r="P1309" s="2">
        <f ca="1">INDEX(INDIRECT(_xlfn.CONCAT("weather.tbl[",P$1,"]")),MATCH(vp.data[[#This Row],[SDate]],weather.tbl[Date],0))</f>
        <v>-17.7</v>
      </c>
      <c r="Q1309" s="2">
        <f ca="1">INDEX(INDIRECT(_xlfn.CONCAT("weather.tbl[",Q$1,"]")),MATCH(vp.data[[#This Row],[SDate]],weather.tbl[Date],0))</f>
        <v>-18.100000000000001</v>
      </c>
      <c r="R1309" s="2">
        <f ca="1">INDEX(INDIRECT(_xlfn.CONCAT("weather.tbl[",R$1,"]")),MATCH(vp.data[[#This Row],[SDate]],weather.tbl[Date],0))</f>
        <v>-18.5</v>
      </c>
      <c r="S1309" s="2">
        <f ca="1">INDEX(INDIRECT(_xlfn.CONCAT("weather.tbl[",S$1,"]")),MATCH(vp.data[[#This Row],[SDate]],weather.tbl[Date],0))</f>
        <v>-17.600000000000001</v>
      </c>
      <c r="T1309" s="2">
        <f ca="1">INDEX(INDIRECT(_xlfn.CONCAT("weather.tbl[",T$1,"]")),MATCH(vp.data[[#This Row],[SDate]],weather.tbl[Date],0))</f>
        <v>-18.100000000000001</v>
      </c>
      <c r="U1309" s="2">
        <f ca="1">INDEX(INDIRECT(_xlfn.CONCAT("weather.tbl[",U$1,"]")),MATCH(vp.data[[#This Row],[SDate]],weather.tbl[Date],0))</f>
        <v>-18</v>
      </c>
      <c r="V1309" s="2">
        <f t="array" ref="V13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42.53</v>
      </c>
      <c r="W1309" t="s">
        <v>268</v>
      </c>
      <c r="X1309">
        <f>IF(OR(vp.data[[#This Row],[Sulf]]="",vp.data[[#This Row],[Dens]]=""),1,0)</f>
        <v>0</v>
      </c>
      <c r="Y1309">
        <f>IF(vp.data[[#This Row],[CrudeType]]="C5+",1,0)</f>
        <v>1</v>
      </c>
      <c r="Z1309">
        <f>IF(AND(vp.data[[#This Row],[CrudeType]]="Crude",vp.data[[#This Row],[Dens]]&lt;=825,vp.data[[#This Row],[Sulf]]&gt;0.5,vp.data[[#This Row],[Unknown]]=0),1,0)</f>
        <v>0</v>
      </c>
      <c r="AA1309">
        <f>IF(AND(vp.data[[#This Row],[CrudeType]]="Crude",vp.data[[#This Row],[Dens]]&lt;=825,vp.data[[#This Row],[Sulf]]&lt;=0.5,vp.data[[#This Row],[Unknown]]=0),1,0)</f>
        <v>0</v>
      </c>
      <c r="AB13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09">
        <f>IF(AND(vp.data[[#This Row],[CrudeType]]="Crude",vp.data[[#This Row],[Dens]]&gt;825,vp.data[[#This Row],[Dens]]&lt;=900,vp.data[[#This Row],[Sulf]]&lt;=0.5,vp.data[[#This Row],[Unknown]]=0),1,0)</f>
        <v>0</v>
      </c>
      <c r="AD1309">
        <f>IF(AND(vp.data[[#This Row],[CrudeType]]="Crude",vp.data[[#This Row],[Dens]]&gt;865,vp.data[[#This Row],[Dens]]&lt;=900,vp.data[[#This Row],[Sulf]]&gt;2,vp.data[[#This Row],[Unknown]]=0),1,0)</f>
        <v>0</v>
      </c>
      <c r="AE1309">
        <f>IF(AND(vp.data[[#This Row],[CrudeType]]="Crude",vp.data[[#This Row],[Dens]]&gt;900,vp.data[[#This Row],[Sulf]]&lt;=0.5,vp.data[[#This Row],[Unknown]]=0),1,0)</f>
        <v>0</v>
      </c>
      <c r="AF1309">
        <f>IF(AND(vp.data[[#This Row],[CrudeType]]="Crude",vp.data[[#This Row],[Dens]]&gt;900,vp.data[[#This Row],[Sulf]]&lt;=0.5,vp.data[[#This Row],[Unknown]]=0),1,0)</f>
        <v>0</v>
      </c>
      <c r="AG1309" t="str">
        <f>INDEX(vp.data[[#Headers],[Unknown]:[Heavy_SW]],MATCH(1,vp.data[[#This Row],[Unknown]:[Heavy_SW]],0))</f>
        <v>C5</v>
      </c>
      <c r="AH1309">
        <f>INDEX([3]!crudeBD.lkup[Number],MATCH(vp.data[[#This Row],[Crude_Breakdown]],crudeBD.lkup[Crude Breakdown],0))</f>
        <v>0</v>
      </c>
      <c r="AI1309">
        <f>MONTH(vp.data[[#This Row],[SDate]])</f>
        <v>3</v>
      </c>
      <c r="AJ1309" s="5">
        <f>(vp.data[[#This Row],[VP]]-INDEX(crudeBD.lkup[Mean_VP],MATCH(vp.data[[#This Row],[Crude_Breakdown]],crudeBD.lkup[Crude Breakdown],0)))^2</f>
        <v>0.84779451331502209</v>
      </c>
      <c r="AK1309" s="5">
        <f>(vp.data[[#This Row],[Dens]]-INDEX(crudeBD.lkup[Mean_Dens],MATCH(vp.data[[#This Row],[Crude_Breakdown]],crudeBD.lkup[Crude Breakdown],0)))^2</f>
        <v>7.9737779843889687</v>
      </c>
      <c r="AL1309" s="5">
        <f>(vp.data[[#This Row],[Sulf]]-INDEX(crudeBD.lkup[Mean_Sulf],MATCH(vp.data[[#This Row],[Crude_Breakdown]],crudeBD.lkup[Crude Breakdown],0)))^2</f>
        <v>0</v>
      </c>
      <c r="AM1309" s="4">
        <f>IF(AND(vp.data[[#This Row],[SDate]]&gt;=DATE(YEAR(vp.data[[#This Row],[SDate]]),5,1),vp.data[[#This Row],[SDate]]&lt;=DATE(YEAR(vp.data[[#This Row],[SDate]]),9,15)),1,0)</f>
        <v>0</v>
      </c>
      <c r="AN1309" s="4">
        <f>IF(vp.data[[#This Row],[SDate]]&lt;DATE(2016,12,1),0,1)</f>
        <v>1</v>
      </c>
      <c r="AO1309" s="4">
        <f>IFERROR(vp.data[[#This Row],[Sulf]]*vp.data[[#This Row],[Net Dens]],"")</f>
        <v>0</v>
      </c>
      <c r="AP1309">
        <f>IFERROR(vp.data[[#This Row],[Dens]]*vp.data[[#This Row],[VolumeM3]],"")</f>
        <v>28108.077000000001</v>
      </c>
      <c r="AQ1309" s="15">
        <f>IFERROR(vp.data[[#This Row],[VP]]*vp.data[[#This Row],[VolumeM3]],"")</f>
        <v>4427.3729999999996</v>
      </c>
    </row>
    <row r="1310" spans="1:43" x14ac:dyDescent="0.25">
      <c r="A1310">
        <v>1309</v>
      </c>
      <c r="B1310" t="s">
        <v>272</v>
      </c>
      <c r="C1310" t="s">
        <v>273</v>
      </c>
      <c r="D1310" t="s">
        <v>274</v>
      </c>
      <c r="E1310">
        <v>320034</v>
      </c>
      <c r="F1310" s="1">
        <v>42805</v>
      </c>
      <c r="G1310" s="2">
        <v>119.5</v>
      </c>
      <c r="H1310" s="2">
        <v>0</v>
      </c>
      <c r="I1310" s="2">
        <f t="array" ref="I131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0" s="2">
        <v>6.65</v>
      </c>
      <c r="K1310" s="2">
        <v>-17</v>
      </c>
      <c r="L1310" s="2">
        <v>661.94</v>
      </c>
      <c r="M1310" s="2">
        <f t="array" ref="M1310">_xlfn.IFNA(IF(vp.data[[#This Row],[Dens Input]]="",INDEX([1]DATA!$O$3:$O$9826,MATCH(1,(vp.data[[#This Row],[Battery]]=[1]DATA!$L$3:$L$9826)*(EOMONTH(vp.data[[#This Row],[SDate]],-1)+1=[1]DATA!$G$3:$G$9826),0)),vp.data[[#This Row],[Dens Input]]),"")</f>
        <v>661.94</v>
      </c>
      <c r="N1310" s="2">
        <f ca="1">INDEX(INDIRECT(_xlfn.CONCAT("weather.tbl[",N$1,"]")),MATCH(vp.data[[#This Row],[SDate]],weather.tbl[Date],0))</f>
        <v>-18</v>
      </c>
      <c r="O1310" s="2">
        <f ca="1">INDEX(INDIRECT(_xlfn.CONCAT("weather.tbl[",O$1,"]")),MATCH(vp.data[[#This Row],[SDate]],weather.tbl[Date],0))</f>
        <v>-13.185714285714285</v>
      </c>
      <c r="P1310" s="2">
        <f ca="1">INDEX(INDIRECT(_xlfn.CONCAT("weather.tbl[",P$1,"]")),MATCH(vp.data[[#This Row],[SDate]],weather.tbl[Date],0))</f>
        <v>-17.7</v>
      </c>
      <c r="Q1310" s="2">
        <f ca="1">INDEX(INDIRECT(_xlfn.CONCAT("weather.tbl[",Q$1,"]")),MATCH(vp.data[[#This Row],[SDate]],weather.tbl[Date],0))</f>
        <v>-18.100000000000001</v>
      </c>
      <c r="R1310" s="2">
        <f ca="1">INDEX(INDIRECT(_xlfn.CONCAT("weather.tbl[",R$1,"]")),MATCH(vp.data[[#This Row],[SDate]],weather.tbl[Date],0))</f>
        <v>-18.5</v>
      </c>
      <c r="S1310" s="2">
        <f ca="1">INDEX(INDIRECT(_xlfn.CONCAT("weather.tbl[",S$1,"]")),MATCH(vp.data[[#This Row],[SDate]],weather.tbl[Date],0))</f>
        <v>-17.600000000000001</v>
      </c>
      <c r="T1310" s="2">
        <f ca="1">INDEX(INDIRECT(_xlfn.CONCAT("weather.tbl[",T$1,"]")),MATCH(vp.data[[#This Row],[SDate]],weather.tbl[Date],0))</f>
        <v>-18.100000000000001</v>
      </c>
      <c r="U1310" s="2">
        <f ca="1">INDEX(INDIRECT(_xlfn.CONCAT("weather.tbl[",U$1,"]")),MATCH(vp.data[[#This Row],[SDate]],weather.tbl[Date],0))</f>
        <v>-18</v>
      </c>
      <c r="V1310" s="2">
        <f t="array" ref="V13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38.380000000000003</v>
      </c>
      <c r="W1310" t="s">
        <v>268</v>
      </c>
      <c r="X1310">
        <f>IF(OR(vp.data[[#This Row],[Sulf]]="",vp.data[[#This Row],[Dens]]=""),1,0)</f>
        <v>0</v>
      </c>
      <c r="Y1310">
        <f>IF(vp.data[[#This Row],[CrudeType]]="C5+",1,0)</f>
        <v>1</v>
      </c>
      <c r="Z1310">
        <f>IF(AND(vp.data[[#This Row],[CrudeType]]="Crude",vp.data[[#This Row],[Dens]]&lt;=825,vp.data[[#This Row],[Sulf]]&gt;0.5,vp.data[[#This Row],[Unknown]]=0),1,0)</f>
        <v>0</v>
      </c>
      <c r="AA1310">
        <f>IF(AND(vp.data[[#This Row],[CrudeType]]="Crude",vp.data[[#This Row],[Dens]]&lt;=825,vp.data[[#This Row],[Sulf]]&lt;=0.5,vp.data[[#This Row],[Unknown]]=0),1,0)</f>
        <v>0</v>
      </c>
      <c r="AB13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0">
        <f>IF(AND(vp.data[[#This Row],[CrudeType]]="Crude",vp.data[[#This Row],[Dens]]&gt;825,vp.data[[#This Row],[Dens]]&lt;=900,vp.data[[#This Row],[Sulf]]&lt;=0.5,vp.data[[#This Row],[Unknown]]=0),1,0)</f>
        <v>0</v>
      </c>
      <c r="AD1310">
        <f>IF(AND(vp.data[[#This Row],[CrudeType]]="Crude",vp.data[[#This Row],[Dens]]&gt;865,vp.data[[#This Row],[Dens]]&lt;=900,vp.data[[#This Row],[Sulf]]&gt;2,vp.data[[#This Row],[Unknown]]=0),1,0)</f>
        <v>0</v>
      </c>
      <c r="AE1310">
        <f>IF(AND(vp.data[[#This Row],[CrudeType]]="Crude",vp.data[[#This Row],[Dens]]&gt;900,vp.data[[#This Row],[Sulf]]&lt;=0.5,vp.data[[#This Row],[Unknown]]=0),1,0)</f>
        <v>0</v>
      </c>
      <c r="AF1310">
        <f>IF(AND(vp.data[[#This Row],[CrudeType]]="Crude",vp.data[[#This Row],[Dens]]&gt;900,vp.data[[#This Row],[Sulf]]&lt;=0.5,vp.data[[#This Row],[Unknown]]=0),1,0)</f>
        <v>0</v>
      </c>
      <c r="AG1310" t="str">
        <f>INDEX(vp.data[[#Headers],[Unknown]:[Heavy_SW]],MATCH(1,vp.data[[#This Row],[Unknown]:[Heavy_SW]],0))</f>
        <v>C5</v>
      </c>
      <c r="AH1310">
        <f>INDEX([3]!crudeBD.lkup[Number],MATCH(vp.data[[#This Row],[Crude_Breakdown]],crudeBD.lkup[Crude Breakdown],0))</f>
        <v>0</v>
      </c>
      <c r="AI1310">
        <f>MONTH(vp.data[[#This Row],[SDate]])</f>
        <v>3</v>
      </c>
      <c r="AJ1310" s="5">
        <f>(vp.data[[#This Row],[VP]]-INDEX(crudeBD.lkup[Mean_VP],MATCH(vp.data[[#This Row],[Crude_Breakdown]],crudeBD.lkup[Crude Breakdown],0)))^2</f>
        <v>266.36712784664945</v>
      </c>
      <c r="AK1310" s="5">
        <f>(vp.data[[#This Row],[Dens]]-INDEX(crudeBD.lkup[Mean_Dens],MATCH(vp.data[[#This Row],[Crude_Breakdown]],crudeBD.lkup[Crude Breakdown],0)))^2</f>
        <v>14.928856772268215</v>
      </c>
      <c r="AL1310" s="5">
        <f>(vp.data[[#This Row],[Sulf]]-INDEX(crudeBD.lkup[Mean_Sulf],MATCH(vp.data[[#This Row],[Crude_Breakdown]],crudeBD.lkup[Crude Breakdown],0)))^2</f>
        <v>0</v>
      </c>
      <c r="AM1310" s="4">
        <f>IF(AND(vp.data[[#This Row],[SDate]]&gt;=DATE(YEAR(vp.data[[#This Row],[SDate]]),5,1),vp.data[[#This Row],[SDate]]&lt;=DATE(YEAR(vp.data[[#This Row],[SDate]]),9,15)),1,0)</f>
        <v>0</v>
      </c>
      <c r="AN1310" s="4">
        <f>IF(vp.data[[#This Row],[SDate]]&lt;DATE(2016,12,1),0,1)</f>
        <v>1</v>
      </c>
      <c r="AO1310" s="4">
        <f>IFERROR(vp.data[[#This Row],[Sulf]]*vp.data[[#This Row],[Net Dens]],"")</f>
        <v>0</v>
      </c>
      <c r="AP1310">
        <f>IFERROR(vp.data[[#This Row],[Dens]]*vp.data[[#This Row],[VolumeM3]],"")</f>
        <v>25405.257200000004</v>
      </c>
      <c r="AQ1310" s="15">
        <f>IFERROR(vp.data[[#This Row],[VP]]*vp.data[[#This Row],[VolumeM3]],"")</f>
        <v>4586.41</v>
      </c>
    </row>
    <row r="1311" spans="1:43" x14ac:dyDescent="0.25">
      <c r="A1311">
        <v>1310</v>
      </c>
      <c r="B1311" t="s">
        <v>275</v>
      </c>
      <c r="C1311" t="s">
        <v>276</v>
      </c>
      <c r="D1311" t="s">
        <v>277</v>
      </c>
      <c r="E1311">
        <v>320005</v>
      </c>
      <c r="F1311" s="1">
        <v>42805</v>
      </c>
      <c r="G1311" s="2">
        <v>96.5</v>
      </c>
      <c r="H1311" s="2">
        <v>0</v>
      </c>
      <c r="I1311" s="2">
        <f t="array" ref="I131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1" s="2">
        <v>6.2</v>
      </c>
      <c r="K1311" s="2">
        <v>-17</v>
      </c>
      <c r="L1311" s="2">
        <v>666.59</v>
      </c>
      <c r="M1311" s="2">
        <f t="array" ref="M1311">_xlfn.IFNA(IF(vp.data[[#This Row],[Dens Input]]="",INDEX([1]DATA!$O$3:$O$9826,MATCH(1,(vp.data[[#This Row],[Battery]]=[1]DATA!$L$3:$L$9826)*(EOMONTH(vp.data[[#This Row],[SDate]],-1)+1=[1]DATA!$G$3:$G$9826),0)),vp.data[[#This Row],[Dens Input]]),"")</f>
        <v>666.59</v>
      </c>
      <c r="N1311" s="2">
        <f ca="1">INDEX(INDIRECT(_xlfn.CONCAT("weather.tbl[",N$1,"]")),MATCH(vp.data[[#This Row],[SDate]],weather.tbl[Date],0))</f>
        <v>-18</v>
      </c>
      <c r="O1311" s="2">
        <f ca="1">INDEX(INDIRECT(_xlfn.CONCAT("weather.tbl[",O$1,"]")),MATCH(vp.data[[#This Row],[SDate]],weather.tbl[Date],0))</f>
        <v>-13.185714285714285</v>
      </c>
      <c r="P1311" s="2">
        <f ca="1">INDEX(INDIRECT(_xlfn.CONCAT("weather.tbl[",P$1,"]")),MATCH(vp.data[[#This Row],[SDate]],weather.tbl[Date],0))</f>
        <v>-17.7</v>
      </c>
      <c r="Q1311" s="2">
        <f ca="1">INDEX(INDIRECT(_xlfn.CONCAT("weather.tbl[",Q$1,"]")),MATCH(vp.data[[#This Row],[SDate]],weather.tbl[Date],0))</f>
        <v>-18.100000000000001</v>
      </c>
      <c r="R1311" s="2">
        <f ca="1">INDEX(INDIRECT(_xlfn.CONCAT("weather.tbl[",R$1,"]")),MATCH(vp.data[[#This Row],[SDate]],weather.tbl[Date],0))</f>
        <v>-18.5</v>
      </c>
      <c r="S1311" s="2">
        <f ca="1">INDEX(INDIRECT(_xlfn.CONCAT("weather.tbl[",S$1,"]")),MATCH(vp.data[[#This Row],[SDate]],weather.tbl[Date],0))</f>
        <v>-17.600000000000001</v>
      </c>
      <c r="T1311" s="2">
        <f ca="1">INDEX(INDIRECT(_xlfn.CONCAT("weather.tbl[",T$1,"]")),MATCH(vp.data[[#This Row],[SDate]],weather.tbl[Date],0))</f>
        <v>-18.100000000000001</v>
      </c>
      <c r="U1311" s="2">
        <f ca="1">INDEX(INDIRECT(_xlfn.CONCAT("weather.tbl[",U$1,"]")),MATCH(vp.data[[#This Row],[SDate]],weather.tbl[Date],0))</f>
        <v>-18</v>
      </c>
      <c r="V1311" s="2">
        <f t="array" ref="V13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36.549999999999997</v>
      </c>
      <c r="W1311" t="s">
        <v>268</v>
      </c>
      <c r="X1311">
        <f>IF(OR(vp.data[[#This Row],[Sulf]]="",vp.data[[#This Row],[Dens]]=""),1,0)</f>
        <v>0</v>
      </c>
      <c r="Y1311">
        <f>IF(vp.data[[#This Row],[CrudeType]]="C5+",1,0)</f>
        <v>1</v>
      </c>
      <c r="Z1311">
        <f>IF(AND(vp.data[[#This Row],[CrudeType]]="Crude",vp.data[[#This Row],[Dens]]&lt;=825,vp.data[[#This Row],[Sulf]]&gt;0.5,vp.data[[#This Row],[Unknown]]=0),1,0)</f>
        <v>0</v>
      </c>
      <c r="AA1311">
        <f>IF(AND(vp.data[[#This Row],[CrudeType]]="Crude",vp.data[[#This Row],[Dens]]&lt;=825,vp.data[[#This Row],[Sulf]]&lt;=0.5,vp.data[[#This Row],[Unknown]]=0),1,0)</f>
        <v>0</v>
      </c>
      <c r="AB13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1">
        <f>IF(AND(vp.data[[#This Row],[CrudeType]]="Crude",vp.data[[#This Row],[Dens]]&gt;825,vp.data[[#This Row],[Dens]]&lt;=900,vp.data[[#This Row],[Sulf]]&lt;=0.5,vp.data[[#This Row],[Unknown]]=0),1,0)</f>
        <v>0</v>
      </c>
      <c r="AD1311">
        <f>IF(AND(vp.data[[#This Row],[CrudeType]]="Crude",vp.data[[#This Row],[Dens]]&gt;865,vp.data[[#This Row],[Dens]]&lt;=900,vp.data[[#This Row],[Sulf]]&gt;2,vp.data[[#This Row],[Unknown]]=0),1,0)</f>
        <v>0</v>
      </c>
      <c r="AE1311">
        <f>IF(AND(vp.data[[#This Row],[CrudeType]]="Crude",vp.data[[#This Row],[Dens]]&gt;900,vp.data[[#This Row],[Sulf]]&lt;=0.5,vp.data[[#This Row],[Unknown]]=0),1,0)</f>
        <v>0</v>
      </c>
      <c r="AF1311">
        <f>IF(AND(vp.data[[#This Row],[CrudeType]]="Crude",vp.data[[#This Row],[Dens]]&gt;900,vp.data[[#This Row],[Sulf]]&lt;=0.5,vp.data[[#This Row],[Unknown]]=0),1,0)</f>
        <v>0</v>
      </c>
      <c r="AG1311" t="str">
        <f>INDEX(vp.data[[#Headers],[Unknown]:[Heavy_SW]],MATCH(1,vp.data[[#This Row],[Unknown]:[Heavy_SW]],0))</f>
        <v>C5</v>
      </c>
      <c r="AH1311">
        <f>INDEX([3]!crudeBD.lkup[Number],MATCH(vp.data[[#This Row],[Crude_Breakdown]],crudeBD.lkup[Crude Breakdown],0))</f>
        <v>0</v>
      </c>
      <c r="AI1311">
        <f>MONTH(vp.data[[#This Row],[SDate]])</f>
        <v>3</v>
      </c>
      <c r="AJ1311" s="5">
        <f>(vp.data[[#This Row],[VP]]-INDEX(crudeBD.lkup[Mean_VP],MATCH(vp.data[[#This Row],[Crude_Breakdown]],crudeBD.lkup[Crude Breakdown],0)))^2</f>
        <v>44.612279361799345</v>
      </c>
      <c r="AK1311" s="5">
        <f>(vp.data[[#This Row],[Dens]]-INDEX(crudeBD.lkup[Mean_Dens],MATCH(vp.data[[#This Row],[Crude_Breakdown]],crudeBD.lkup[Crude Breakdown],0)))^2</f>
        <v>72.484584044995202</v>
      </c>
      <c r="AL1311" s="5">
        <f>(vp.data[[#This Row],[Sulf]]-INDEX(crudeBD.lkup[Mean_Sulf],MATCH(vp.data[[#This Row],[Crude_Breakdown]],crudeBD.lkup[Crude Breakdown],0)))^2</f>
        <v>0</v>
      </c>
      <c r="AM1311" s="4">
        <f>IF(AND(vp.data[[#This Row],[SDate]]&gt;=DATE(YEAR(vp.data[[#This Row],[SDate]]),5,1),vp.data[[#This Row],[SDate]]&lt;=DATE(YEAR(vp.data[[#This Row],[SDate]]),9,15)),1,0)</f>
        <v>0</v>
      </c>
      <c r="AN1311" s="4">
        <f>IF(vp.data[[#This Row],[SDate]]&lt;DATE(2016,12,1),0,1)</f>
        <v>1</v>
      </c>
      <c r="AO1311" s="4">
        <f>IFERROR(vp.data[[#This Row],[Sulf]]*vp.data[[#This Row],[Net Dens]],"")</f>
        <v>0</v>
      </c>
      <c r="AP1311">
        <f>IFERROR(vp.data[[#This Row],[Dens]]*vp.data[[#This Row],[VolumeM3]],"")</f>
        <v>24363.8645</v>
      </c>
      <c r="AQ1311" s="15">
        <f>IFERROR(vp.data[[#This Row],[VP]]*vp.data[[#This Row],[VolumeM3]],"")</f>
        <v>3527.0749999999998</v>
      </c>
    </row>
    <row r="1312" spans="1:43" x14ac:dyDescent="0.25">
      <c r="A1312">
        <v>1311</v>
      </c>
      <c r="B1312" t="s">
        <v>269</v>
      </c>
      <c r="C1312" t="s">
        <v>278</v>
      </c>
      <c r="D1312" t="s">
        <v>279</v>
      </c>
      <c r="E1312">
        <v>320013</v>
      </c>
      <c r="F1312" s="1">
        <v>42805</v>
      </c>
      <c r="G1312" s="2">
        <v>96.7</v>
      </c>
      <c r="H1312" s="2">
        <v>0</v>
      </c>
      <c r="I1312" s="2">
        <f t="array" ref="I131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2" s="2">
        <v>12.17</v>
      </c>
      <c r="K1312" s="2">
        <v>-17</v>
      </c>
      <c r="L1312" s="2">
        <v>673.33</v>
      </c>
      <c r="M1312" s="2">
        <f t="array" ref="M1312">_xlfn.IFNA(IF(vp.data[[#This Row],[Dens Input]]="",INDEX([1]DATA!$O$3:$O$9826,MATCH(1,(vp.data[[#This Row],[Battery]]=[1]DATA!$L$3:$L$9826)*(EOMONTH(vp.data[[#This Row],[SDate]],-1)+1=[1]DATA!$G$3:$G$9826),0)),vp.data[[#This Row],[Dens Input]]),"")</f>
        <v>673.33</v>
      </c>
      <c r="N1312" s="2">
        <f ca="1">INDEX(INDIRECT(_xlfn.CONCAT("weather.tbl[",N$1,"]")),MATCH(vp.data[[#This Row],[SDate]],weather.tbl[Date],0))</f>
        <v>-18</v>
      </c>
      <c r="O1312" s="2">
        <f ca="1">INDEX(INDIRECT(_xlfn.CONCAT("weather.tbl[",O$1,"]")),MATCH(vp.data[[#This Row],[SDate]],weather.tbl[Date],0))</f>
        <v>-13.185714285714285</v>
      </c>
      <c r="P1312" s="2">
        <f ca="1">INDEX(INDIRECT(_xlfn.CONCAT("weather.tbl[",P$1,"]")),MATCH(vp.data[[#This Row],[SDate]],weather.tbl[Date],0))</f>
        <v>-17.7</v>
      </c>
      <c r="Q1312" s="2">
        <f ca="1">INDEX(INDIRECT(_xlfn.CONCAT("weather.tbl[",Q$1,"]")),MATCH(vp.data[[#This Row],[SDate]],weather.tbl[Date],0))</f>
        <v>-18.100000000000001</v>
      </c>
      <c r="R1312" s="2">
        <f ca="1">INDEX(INDIRECT(_xlfn.CONCAT("weather.tbl[",R$1,"]")),MATCH(vp.data[[#This Row],[SDate]],weather.tbl[Date],0))</f>
        <v>-18.5</v>
      </c>
      <c r="S1312" s="2">
        <f ca="1">INDEX(INDIRECT(_xlfn.CONCAT("weather.tbl[",S$1,"]")),MATCH(vp.data[[#This Row],[SDate]],weather.tbl[Date],0))</f>
        <v>-17.600000000000001</v>
      </c>
      <c r="T1312" s="2">
        <f ca="1">INDEX(INDIRECT(_xlfn.CONCAT("weather.tbl[",T$1,"]")),MATCH(vp.data[[#This Row],[SDate]],weather.tbl[Date],0))</f>
        <v>-18.100000000000001</v>
      </c>
      <c r="U1312" s="2">
        <f ca="1">INDEX(INDIRECT(_xlfn.CONCAT("weather.tbl[",U$1,"]")),MATCH(vp.data[[#This Row],[SDate]],weather.tbl[Date],0))</f>
        <v>-18</v>
      </c>
      <c r="V1312" s="2">
        <f t="array" ref="V13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41.55</v>
      </c>
      <c r="W1312" t="s">
        <v>268</v>
      </c>
      <c r="X1312">
        <f>IF(OR(vp.data[[#This Row],[Sulf]]="",vp.data[[#This Row],[Dens]]=""),1,0)</f>
        <v>0</v>
      </c>
      <c r="Y1312">
        <f>IF(vp.data[[#This Row],[CrudeType]]="C5+",1,0)</f>
        <v>1</v>
      </c>
      <c r="Z1312">
        <f>IF(AND(vp.data[[#This Row],[CrudeType]]="Crude",vp.data[[#This Row],[Dens]]&lt;=825,vp.data[[#This Row],[Sulf]]&gt;0.5,vp.data[[#This Row],[Unknown]]=0),1,0)</f>
        <v>0</v>
      </c>
      <c r="AA1312">
        <f>IF(AND(vp.data[[#This Row],[CrudeType]]="Crude",vp.data[[#This Row],[Dens]]&lt;=825,vp.data[[#This Row],[Sulf]]&lt;=0.5,vp.data[[#This Row],[Unknown]]=0),1,0)</f>
        <v>0</v>
      </c>
      <c r="AB13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2">
        <f>IF(AND(vp.data[[#This Row],[CrudeType]]="Crude",vp.data[[#This Row],[Dens]]&gt;825,vp.data[[#This Row],[Dens]]&lt;=900,vp.data[[#This Row],[Sulf]]&lt;=0.5,vp.data[[#This Row],[Unknown]]=0),1,0)</f>
        <v>0</v>
      </c>
      <c r="AD1312">
        <f>IF(AND(vp.data[[#This Row],[CrudeType]]="Crude",vp.data[[#This Row],[Dens]]&gt;865,vp.data[[#This Row],[Dens]]&lt;=900,vp.data[[#This Row],[Sulf]]&gt;2,vp.data[[#This Row],[Unknown]]=0),1,0)</f>
        <v>0</v>
      </c>
      <c r="AE1312">
        <f>IF(AND(vp.data[[#This Row],[CrudeType]]="Crude",vp.data[[#This Row],[Dens]]&gt;900,vp.data[[#This Row],[Sulf]]&lt;=0.5,vp.data[[#This Row],[Unknown]]=0),1,0)</f>
        <v>0</v>
      </c>
      <c r="AF1312">
        <f>IF(AND(vp.data[[#This Row],[CrudeType]]="Crude",vp.data[[#This Row],[Dens]]&gt;900,vp.data[[#This Row],[Sulf]]&lt;=0.5,vp.data[[#This Row],[Unknown]]=0),1,0)</f>
        <v>0</v>
      </c>
      <c r="AG1312" t="str">
        <f>INDEX(vp.data[[#Headers],[Unknown]:[Heavy_SW]],MATCH(1,vp.data[[#This Row],[Unknown]:[Heavy_SW]],0))</f>
        <v>C5</v>
      </c>
      <c r="AH1312">
        <f>INDEX([3]!crudeBD.lkup[Number],MATCH(vp.data[[#This Row],[Crude_Breakdown]],crudeBD.lkup[Crude Breakdown],0))</f>
        <v>0</v>
      </c>
      <c r="AI1312">
        <f>MONTH(vp.data[[#This Row],[SDate]])</f>
        <v>3</v>
      </c>
      <c r="AJ1312" s="5">
        <f>(vp.data[[#This Row],[VP]]-INDEX(crudeBD.lkup[Mean_VP],MATCH(vp.data[[#This Row],[Crude_Breakdown]],crudeBD.lkup[Crude Breakdown],0)))^2</f>
        <v>41.980582392102356</v>
      </c>
      <c r="AK1312" s="5">
        <f>(vp.data[[#This Row],[Dens]]-INDEX(crudeBD.lkup[Mean_Dens],MATCH(vp.data[[#This Row],[Crude_Breakdown]],crudeBD.lkup[Crude Breakdown],0)))^2</f>
        <v>232.6780446510559</v>
      </c>
      <c r="AL1312" s="5">
        <f>(vp.data[[#This Row],[Sulf]]-INDEX(crudeBD.lkup[Mean_Sulf],MATCH(vp.data[[#This Row],[Crude_Breakdown]],crudeBD.lkup[Crude Breakdown],0)))^2</f>
        <v>0</v>
      </c>
      <c r="AM1312" s="4">
        <f>IF(AND(vp.data[[#This Row],[SDate]]&gt;=DATE(YEAR(vp.data[[#This Row],[SDate]]),5,1),vp.data[[#This Row],[SDate]]&lt;=DATE(YEAR(vp.data[[#This Row],[SDate]]),9,15)),1,0)</f>
        <v>0</v>
      </c>
      <c r="AN1312" s="4">
        <f>IF(vp.data[[#This Row],[SDate]]&lt;DATE(2016,12,1),0,1)</f>
        <v>1</v>
      </c>
      <c r="AO1312" s="4">
        <f>IFERROR(vp.data[[#This Row],[Sulf]]*vp.data[[#This Row],[Net Dens]],"")</f>
        <v>0</v>
      </c>
      <c r="AP1312">
        <f>IFERROR(vp.data[[#This Row],[Dens]]*vp.data[[#This Row],[VolumeM3]],"")</f>
        <v>27976.861499999999</v>
      </c>
      <c r="AQ1312" s="15">
        <f>IFERROR(vp.data[[#This Row],[VP]]*vp.data[[#This Row],[VolumeM3]],"")</f>
        <v>4017.8849999999998</v>
      </c>
    </row>
    <row r="1313" spans="1:43" x14ac:dyDescent="0.25">
      <c r="A1313">
        <v>1312</v>
      </c>
      <c r="B1313" t="s">
        <v>265</v>
      </c>
      <c r="C1313" t="s">
        <v>266</v>
      </c>
      <c r="D1313" t="s">
        <v>267</v>
      </c>
      <c r="E1313">
        <v>321043</v>
      </c>
      <c r="F1313" s="1">
        <v>42812</v>
      </c>
      <c r="G1313" s="2">
        <v>105.9</v>
      </c>
      <c r="H1313" s="2">
        <v>0</v>
      </c>
      <c r="I1313" s="2">
        <f t="array" ref="I131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3" s="2">
        <v>3.7</v>
      </c>
      <c r="K1313" s="2">
        <v>-4</v>
      </c>
      <c r="L1313" s="2">
        <v>666</v>
      </c>
      <c r="M1313" s="2">
        <f t="array" ref="M1313">_xlfn.IFNA(IF(vp.data[[#This Row],[Dens Input]]="",INDEX([1]DATA!$O$3:$O$9826,MATCH(1,(vp.data[[#This Row],[Battery]]=[1]DATA!$L$3:$L$9826)*(EOMONTH(vp.data[[#This Row],[SDate]],-1)+1=[1]DATA!$G$3:$G$9826),0)),vp.data[[#This Row],[Dens Input]]),"")</f>
        <v>666</v>
      </c>
      <c r="N1313" s="2">
        <f ca="1">INDEX(INDIRECT(_xlfn.CONCAT("weather.tbl[",N$1,"]")),MATCH(vp.data[[#This Row],[SDate]],weather.tbl[Date],0))</f>
        <v>-1.05</v>
      </c>
      <c r="O1313" s="2">
        <f ca="1">INDEX(INDIRECT(_xlfn.CONCAT("weather.tbl[",O$1,"]")),MATCH(vp.data[[#This Row],[SDate]],weather.tbl[Date],0))</f>
        <v>-6.9571428571428573</v>
      </c>
      <c r="P1313" s="2">
        <f ca="1">INDEX(INDIRECT(_xlfn.CONCAT("weather.tbl[",P$1,"]")),MATCH(vp.data[[#This Row],[SDate]],weather.tbl[Date],0))</f>
        <v>-0.7</v>
      </c>
      <c r="Q1313" s="2">
        <f ca="1">INDEX(INDIRECT(_xlfn.CONCAT("weather.tbl[",Q$1,"]")),MATCH(vp.data[[#This Row],[SDate]],weather.tbl[Date],0))</f>
        <v>-0.3</v>
      </c>
      <c r="R1313" s="2">
        <f ca="1">INDEX(INDIRECT(_xlfn.CONCAT("weather.tbl[",R$1,"]")),MATCH(vp.data[[#This Row],[SDate]],weather.tbl[Date],0))</f>
        <v>-2.8</v>
      </c>
      <c r="S1313" s="2">
        <f ca="1">INDEX(INDIRECT(_xlfn.CONCAT("weather.tbl[",S$1,"]")),MATCH(vp.data[[#This Row],[SDate]],weather.tbl[Date],0))</f>
        <v>2.2000000000000002</v>
      </c>
      <c r="T1313" s="2">
        <f ca="1">INDEX(INDIRECT(_xlfn.CONCAT("weather.tbl[",T$1,"]")),MATCH(vp.data[[#This Row],[SDate]],weather.tbl[Date],0))</f>
        <v>-4.7</v>
      </c>
      <c r="U1313" s="2">
        <f ca="1">INDEX(INDIRECT(_xlfn.CONCAT("weather.tbl[",U$1,"]")),MATCH(vp.data[[#This Row],[SDate]],weather.tbl[Date],0))</f>
        <v>0</v>
      </c>
      <c r="V1313" s="2">
        <f t="array" ref="V13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33.43</v>
      </c>
      <c r="W1313" t="s">
        <v>268</v>
      </c>
      <c r="X1313">
        <f>IF(OR(vp.data[[#This Row],[Sulf]]="",vp.data[[#This Row],[Dens]]=""),1,0)</f>
        <v>0</v>
      </c>
      <c r="Y1313">
        <f>IF(vp.data[[#This Row],[CrudeType]]="C5+",1,0)</f>
        <v>1</v>
      </c>
      <c r="Z1313">
        <f>IF(AND(vp.data[[#This Row],[CrudeType]]="Crude",vp.data[[#This Row],[Dens]]&lt;=825,vp.data[[#This Row],[Sulf]]&gt;0.5,vp.data[[#This Row],[Unknown]]=0),1,0)</f>
        <v>0</v>
      </c>
      <c r="AA1313">
        <f>IF(AND(vp.data[[#This Row],[CrudeType]]="Crude",vp.data[[#This Row],[Dens]]&lt;=825,vp.data[[#This Row],[Sulf]]&lt;=0.5,vp.data[[#This Row],[Unknown]]=0),1,0)</f>
        <v>0</v>
      </c>
      <c r="AB13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3">
        <f>IF(AND(vp.data[[#This Row],[CrudeType]]="Crude",vp.data[[#This Row],[Dens]]&gt;825,vp.data[[#This Row],[Dens]]&lt;=900,vp.data[[#This Row],[Sulf]]&lt;=0.5,vp.data[[#This Row],[Unknown]]=0),1,0)</f>
        <v>0</v>
      </c>
      <c r="AD1313">
        <f>IF(AND(vp.data[[#This Row],[CrudeType]]="Crude",vp.data[[#This Row],[Dens]]&gt;865,vp.data[[#This Row],[Dens]]&lt;=900,vp.data[[#This Row],[Sulf]]&gt;2,vp.data[[#This Row],[Unknown]]=0),1,0)</f>
        <v>0</v>
      </c>
      <c r="AE1313">
        <f>IF(AND(vp.data[[#This Row],[CrudeType]]="Crude",vp.data[[#This Row],[Dens]]&gt;900,vp.data[[#This Row],[Sulf]]&lt;=0.5,vp.data[[#This Row],[Unknown]]=0),1,0)</f>
        <v>0</v>
      </c>
      <c r="AF1313">
        <f>IF(AND(vp.data[[#This Row],[CrudeType]]="Crude",vp.data[[#This Row],[Dens]]&gt;900,vp.data[[#This Row],[Sulf]]&lt;=0.5,vp.data[[#This Row],[Unknown]]=0),1,0)</f>
        <v>0</v>
      </c>
      <c r="AG1313" t="str">
        <f>INDEX(vp.data[[#Headers],[Unknown]:[Heavy_SW]],MATCH(1,vp.data[[#This Row],[Unknown]:[Heavy_SW]],0))</f>
        <v>C5</v>
      </c>
      <c r="AH1313">
        <f>INDEX([3]!crudeBD.lkup[Number],MATCH(vp.data[[#This Row],[Crude_Breakdown]],crudeBD.lkup[Crude Breakdown],0))</f>
        <v>0</v>
      </c>
      <c r="AI1313">
        <f>MONTH(vp.data[[#This Row],[SDate]])</f>
        <v>3</v>
      </c>
      <c r="AJ1313" s="5">
        <f>(vp.data[[#This Row],[VP]]-INDEX(crudeBD.lkup[Mean_VP],MATCH(vp.data[[#This Row],[Crude_Breakdown]],crudeBD.lkup[Crude Breakdown],0)))^2</f>
        <v>7.4025217860424624</v>
      </c>
      <c r="AK1313" s="5">
        <f>(vp.data[[#This Row],[Dens]]-INDEX(crudeBD.lkup[Mean_Dens],MATCH(vp.data[[#This Row],[Crude_Breakdown]],crudeBD.lkup[Crude Breakdown],0)))^2</f>
        <v>62.786414348025005</v>
      </c>
      <c r="AL1313" s="5">
        <f>(vp.data[[#This Row],[Sulf]]-INDEX(crudeBD.lkup[Mean_Sulf],MATCH(vp.data[[#This Row],[Crude_Breakdown]],crudeBD.lkup[Crude Breakdown],0)))^2</f>
        <v>0</v>
      </c>
      <c r="AM1313" s="4">
        <f>IF(AND(vp.data[[#This Row],[SDate]]&gt;=DATE(YEAR(vp.data[[#This Row],[SDate]]),5,1),vp.data[[#This Row],[SDate]]&lt;=DATE(YEAR(vp.data[[#This Row],[SDate]]),9,15)),1,0)</f>
        <v>0</v>
      </c>
      <c r="AN1313" s="4">
        <f>IF(vp.data[[#This Row],[SDate]]&lt;DATE(2016,12,1),0,1)</f>
        <v>1</v>
      </c>
      <c r="AO1313" s="4">
        <f>IFERROR(vp.data[[#This Row],[Sulf]]*vp.data[[#This Row],[Net Dens]],"")</f>
        <v>0</v>
      </c>
      <c r="AP1313">
        <f>IFERROR(vp.data[[#This Row],[Dens]]*vp.data[[#This Row],[VolumeM3]],"")</f>
        <v>22264.38</v>
      </c>
      <c r="AQ1313" s="15">
        <f>IFERROR(vp.data[[#This Row],[VP]]*vp.data[[#This Row],[VolumeM3]],"")</f>
        <v>3540.2370000000001</v>
      </c>
    </row>
    <row r="1314" spans="1:43" x14ac:dyDescent="0.25">
      <c r="A1314">
        <v>1313</v>
      </c>
      <c r="B1314" t="s">
        <v>272</v>
      </c>
      <c r="C1314" t="s">
        <v>273</v>
      </c>
      <c r="D1314" t="s">
        <v>274</v>
      </c>
      <c r="E1314">
        <v>321006</v>
      </c>
      <c r="F1314" s="1">
        <v>42812</v>
      </c>
      <c r="G1314" s="2">
        <v>109.3</v>
      </c>
      <c r="H1314" s="2">
        <v>0</v>
      </c>
      <c r="I1314" s="2">
        <f t="array" ref="I131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4" s="2">
        <v>7</v>
      </c>
      <c r="K1314" s="2">
        <v>-4</v>
      </c>
      <c r="L1314" s="2">
        <v>657.01</v>
      </c>
      <c r="M1314" s="2">
        <f t="array" ref="M1314">_xlfn.IFNA(IF(vp.data[[#This Row],[Dens Input]]="",INDEX([1]DATA!$O$3:$O$9826,MATCH(1,(vp.data[[#This Row],[Battery]]=[1]DATA!$L$3:$L$9826)*(EOMONTH(vp.data[[#This Row],[SDate]],-1)+1=[1]DATA!$G$3:$G$9826),0)),vp.data[[#This Row],[Dens Input]]),"")</f>
        <v>657.01</v>
      </c>
      <c r="N1314" s="2">
        <f ca="1">INDEX(INDIRECT(_xlfn.CONCAT("weather.tbl[",N$1,"]")),MATCH(vp.data[[#This Row],[SDate]],weather.tbl[Date],0))</f>
        <v>-1.05</v>
      </c>
      <c r="O1314" s="2">
        <f ca="1">INDEX(INDIRECT(_xlfn.CONCAT("weather.tbl[",O$1,"]")),MATCH(vp.data[[#This Row],[SDate]],weather.tbl[Date],0))</f>
        <v>-6.9571428571428573</v>
      </c>
      <c r="P1314" s="2">
        <f ca="1">INDEX(INDIRECT(_xlfn.CONCAT("weather.tbl[",P$1,"]")),MATCH(vp.data[[#This Row],[SDate]],weather.tbl[Date],0))</f>
        <v>-0.7</v>
      </c>
      <c r="Q1314" s="2">
        <f ca="1">INDEX(INDIRECT(_xlfn.CONCAT("weather.tbl[",Q$1,"]")),MATCH(vp.data[[#This Row],[SDate]],weather.tbl[Date],0))</f>
        <v>-0.3</v>
      </c>
      <c r="R1314" s="2">
        <f ca="1">INDEX(INDIRECT(_xlfn.CONCAT("weather.tbl[",R$1,"]")),MATCH(vp.data[[#This Row],[SDate]],weather.tbl[Date],0))</f>
        <v>-2.8</v>
      </c>
      <c r="S1314" s="2">
        <f ca="1">INDEX(INDIRECT(_xlfn.CONCAT("weather.tbl[",S$1,"]")),MATCH(vp.data[[#This Row],[SDate]],weather.tbl[Date],0))</f>
        <v>2.2000000000000002</v>
      </c>
      <c r="T1314" s="2">
        <f ca="1">INDEX(INDIRECT(_xlfn.CONCAT("weather.tbl[",T$1,"]")),MATCH(vp.data[[#This Row],[SDate]],weather.tbl[Date],0))</f>
        <v>-4.7</v>
      </c>
      <c r="U1314" s="2">
        <f ca="1">INDEX(INDIRECT(_xlfn.CONCAT("weather.tbl[",U$1,"]")),MATCH(vp.data[[#This Row],[SDate]],weather.tbl[Date],0))</f>
        <v>0</v>
      </c>
      <c r="V1314" s="2">
        <f t="array" ref="V13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34.71</v>
      </c>
      <c r="W1314" t="s">
        <v>268</v>
      </c>
      <c r="X1314">
        <f>IF(OR(vp.data[[#This Row],[Sulf]]="",vp.data[[#This Row],[Dens]]=""),1,0)</f>
        <v>0</v>
      </c>
      <c r="Y1314">
        <f>IF(vp.data[[#This Row],[CrudeType]]="C5+",1,0)</f>
        <v>1</v>
      </c>
      <c r="Z1314">
        <f>IF(AND(vp.data[[#This Row],[CrudeType]]="Crude",vp.data[[#This Row],[Dens]]&lt;=825,vp.data[[#This Row],[Sulf]]&gt;0.5,vp.data[[#This Row],[Unknown]]=0),1,0)</f>
        <v>0</v>
      </c>
      <c r="AA1314">
        <f>IF(AND(vp.data[[#This Row],[CrudeType]]="Crude",vp.data[[#This Row],[Dens]]&lt;=825,vp.data[[#This Row],[Sulf]]&lt;=0.5,vp.data[[#This Row],[Unknown]]=0),1,0)</f>
        <v>0</v>
      </c>
      <c r="AB13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4">
        <f>IF(AND(vp.data[[#This Row],[CrudeType]]="Crude",vp.data[[#This Row],[Dens]]&gt;825,vp.data[[#This Row],[Dens]]&lt;=900,vp.data[[#This Row],[Sulf]]&lt;=0.5,vp.data[[#This Row],[Unknown]]=0),1,0)</f>
        <v>0</v>
      </c>
      <c r="AD1314">
        <f>IF(AND(vp.data[[#This Row],[CrudeType]]="Crude",vp.data[[#This Row],[Dens]]&gt;865,vp.data[[#This Row],[Dens]]&lt;=900,vp.data[[#This Row],[Sulf]]&gt;2,vp.data[[#This Row],[Unknown]]=0),1,0)</f>
        <v>0</v>
      </c>
      <c r="AE1314">
        <f>IF(AND(vp.data[[#This Row],[CrudeType]]="Crude",vp.data[[#This Row],[Dens]]&gt;900,vp.data[[#This Row],[Sulf]]&lt;=0.5,vp.data[[#This Row],[Unknown]]=0),1,0)</f>
        <v>0</v>
      </c>
      <c r="AF1314">
        <f>IF(AND(vp.data[[#This Row],[CrudeType]]="Crude",vp.data[[#This Row],[Dens]]&gt;900,vp.data[[#This Row],[Sulf]]&lt;=0.5,vp.data[[#This Row],[Unknown]]=0),1,0)</f>
        <v>0</v>
      </c>
      <c r="AG1314" t="str">
        <f>INDEX(vp.data[[#Headers],[Unknown]:[Heavy_SW]],MATCH(1,vp.data[[#This Row],[Unknown]:[Heavy_SW]],0))</f>
        <v>C5</v>
      </c>
      <c r="AH1314">
        <f>INDEX([3]!crudeBD.lkup[Number],MATCH(vp.data[[#This Row],[Crude_Breakdown]],crudeBD.lkup[Crude Breakdown],0))</f>
        <v>0</v>
      </c>
      <c r="AI1314">
        <f>MONTH(vp.data[[#This Row],[SDate]])</f>
        <v>3</v>
      </c>
      <c r="AJ1314" s="5">
        <f>(vp.data[[#This Row],[VP]]-INDEX(crudeBD.lkup[Mean_VP],MATCH(vp.data[[#This Row],[Crude_Breakdown]],crudeBD.lkup[Crude Breakdown],0)))^2</f>
        <v>37.463673301194149</v>
      </c>
      <c r="AK1314" s="5">
        <f>(vp.data[[#This Row],[Dens]]-INDEX(crudeBD.lkup[Mean_Dens],MATCH(vp.data[[#This Row],[Crude_Breakdown]],crudeBD.lkup[Crude Breakdown],0)))^2</f>
        <v>1.1368082874197651</v>
      </c>
      <c r="AL1314" s="5">
        <f>(vp.data[[#This Row],[Sulf]]-INDEX(crudeBD.lkup[Mean_Sulf],MATCH(vp.data[[#This Row],[Crude_Breakdown]],crudeBD.lkup[Crude Breakdown],0)))^2</f>
        <v>0</v>
      </c>
      <c r="AM1314" s="4">
        <f>IF(AND(vp.data[[#This Row],[SDate]]&gt;=DATE(YEAR(vp.data[[#This Row],[SDate]]),5,1),vp.data[[#This Row],[SDate]]&lt;=DATE(YEAR(vp.data[[#This Row],[SDate]]),9,15)),1,0)</f>
        <v>0</v>
      </c>
      <c r="AN1314" s="4">
        <f>IF(vp.data[[#This Row],[SDate]]&lt;DATE(2016,12,1),0,1)</f>
        <v>1</v>
      </c>
      <c r="AO1314" s="4">
        <f>IFERROR(vp.data[[#This Row],[Sulf]]*vp.data[[#This Row],[Net Dens]],"")</f>
        <v>0</v>
      </c>
      <c r="AP1314">
        <f>IFERROR(vp.data[[#This Row],[Dens]]*vp.data[[#This Row],[VolumeM3]],"")</f>
        <v>22804.8171</v>
      </c>
      <c r="AQ1314" s="15">
        <f>IFERROR(vp.data[[#This Row],[VP]]*vp.data[[#This Row],[VolumeM3]],"")</f>
        <v>3793.8029999999999</v>
      </c>
    </row>
    <row r="1315" spans="1:43" x14ac:dyDescent="0.25">
      <c r="A1315">
        <v>1314</v>
      </c>
      <c r="B1315" t="s">
        <v>275</v>
      </c>
      <c r="C1315" t="s">
        <v>276</v>
      </c>
      <c r="D1315" t="s">
        <v>277</v>
      </c>
      <c r="E1315">
        <v>321041</v>
      </c>
      <c r="F1315" s="1">
        <v>42812</v>
      </c>
      <c r="G1315" s="2">
        <v>93.73</v>
      </c>
      <c r="H1315" s="2">
        <v>0</v>
      </c>
      <c r="I1315" s="2">
        <f t="array" ref="I131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5" s="2">
        <v>9.1</v>
      </c>
      <c r="K1315" s="2">
        <v>-4</v>
      </c>
      <c r="L1315" s="2">
        <v>662.3</v>
      </c>
      <c r="M1315" s="2">
        <f t="array" ref="M1315">_xlfn.IFNA(IF(vp.data[[#This Row],[Dens Input]]="",INDEX([1]DATA!$O$3:$O$9826,MATCH(1,(vp.data[[#This Row],[Battery]]=[1]DATA!$L$3:$L$9826)*(EOMONTH(vp.data[[#This Row],[SDate]],-1)+1=[1]DATA!$G$3:$G$9826),0)),vp.data[[#This Row],[Dens Input]]),"")</f>
        <v>662.3</v>
      </c>
      <c r="N1315" s="2">
        <f ca="1">INDEX(INDIRECT(_xlfn.CONCAT("weather.tbl[",N$1,"]")),MATCH(vp.data[[#This Row],[SDate]],weather.tbl[Date],0))</f>
        <v>-1.05</v>
      </c>
      <c r="O1315" s="2">
        <f ca="1">INDEX(INDIRECT(_xlfn.CONCAT("weather.tbl[",O$1,"]")),MATCH(vp.data[[#This Row],[SDate]],weather.tbl[Date],0))</f>
        <v>-6.9571428571428573</v>
      </c>
      <c r="P1315" s="2">
        <f ca="1">INDEX(INDIRECT(_xlfn.CONCAT("weather.tbl[",P$1,"]")),MATCH(vp.data[[#This Row],[SDate]],weather.tbl[Date],0))</f>
        <v>-0.7</v>
      </c>
      <c r="Q1315" s="2">
        <f ca="1">INDEX(INDIRECT(_xlfn.CONCAT("weather.tbl[",Q$1,"]")),MATCH(vp.data[[#This Row],[SDate]],weather.tbl[Date],0))</f>
        <v>-0.3</v>
      </c>
      <c r="R1315" s="2">
        <f ca="1">INDEX(INDIRECT(_xlfn.CONCAT("weather.tbl[",R$1,"]")),MATCH(vp.data[[#This Row],[SDate]],weather.tbl[Date],0))</f>
        <v>-2.8</v>
      </c>
      <c r="S1315" s="2">
        <f ca="1">INDEX(INDIRECT(_xlfn.CONCAT("weather.tbl[",S$1,"]")),MATCH(vp.data[[#This Row],[SDate]],weather.tbl[Date],0))</f>
        <v>2.2000000000000002</v>
      </c>
      <c r="T1315" s="2">
        <f ca="1">INDEX(INDIRECT(_xlfn.CONCAT("weather.tbl[",T$1,"]")),MATCH(vp.data[[#This Row],[SDate]],weather.tbl[Date],0))</f>
        <v>-4.7</v>
      </c>
      <c r="U1315" s="2">
        <f ca="1">INDEX(INDIRECT(_xlfn.CONCAT("weather.tbl[",U$1,"]")),MATCH(vp.data[[#This Row],[SDate]],weather.tbl[Date],0))</f>
        <v>0</v>
      </c>
      <c r="V1315" s="2">
        <f t="array" ref="V13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37.85</v>
      </c>
      <c r="W1315" t="s">
        <v>268</v>
      </c>
      <c r="X1315">
        <f>IF(OR(vp.data[[#This Row],[Sulf]]="",vp.data[[#This Row],[Dens]]=""),1,0)</f>
        <v>0</v>
      </c>
      <c r="Y1315">
        <f>IF(vp.data[[#This Row],[CrudeType]]="C5+",1,0)</f>
        <v>1</v>
      </c>
      <c r="Z1315">
        <f>IF(AND(vp.data[[#This Row],[CrudeType]]="Crude",vp.data[[#This Row],[Dens]]&lt;=825,vp.data[[#This Row],[Sulf]]&gt;0.5,vp.data[[#This Row],[Unknown]]=0),1,0)</f>
        <v>0</v>
      </c>
      <c r="AA1315">
        <f>IF(AND(vp.data[[#This Row],[CrudeType]]="Crude",vp.data[[#This Row],[Dens]]&lt;=825,vp.data[[#This Row],[Sulf]]&lt;=0.5,vp.data[[#This Row],[Unknown]]=0),1,0)</f>
        <v>0</v>
      </c>
      <c r="AB13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5">
        <f>IF(AND(vp.data[[#This Row],[CrudeType]]="Crude",vp.data[[#This Row],[Dens]]&gt;825,vp.data[[#This Row],[Dens]]&lt;=900,vp.data[[#This Row],[Sulf]]&lt;=0.5,vp.data[[#This Row],[Unknown]]=0),1,0)</f>
        <v>0</v>
      </c>
      <c r="AD1315">
        <f>IF(AND(vp.data[[#This Row],[CrudeType]]="Crude",vp.data[[#This Row],[Dens]]&gt;865,vp.data[[#This Row],[Dens]]&lt;=900,vp.data[[#This Row],[Sulf]]&gt;2,vp.data[[#This Row],[Unknown]]=0),1,0)</f>
        <v>0</v>
      </c>
      <c r="AE1315">
        <f>IF(AND(vp.data[[#This Row],[CrudeType]]="Crude",vp.data[[#This Row],[Dens]]&gt;900,vp.data[[#This Row],[Sulf]]&lt;=0.5,vp.data[[#This Row],[Unknown]]=0),1,0)</f>
        <v>0</v>
      </c>
      <c r="AF1315">
        <f>IF(AND(vp.data[[#This Row],[CrudeType]]="Crude",vp.data[[#This Row],[Dens]]&gt;900,vp.data[[#This Row],[Sulf]]&lt;=0.5,vp.data[[#This Row],[Unknown]]=0),1,0)</f>
        <v>0</v>
      </c>
      <c r="AG1315" t="str">
        <f>INDEX(vp.data[[#Headers],[Unknown]:[Heavy_SW]],MATCH(1,vp.data[[#This Row],[Unknown]:[Heavy_SW]],0))</f>
        <v>C5</v>
      </c>
      <c r="AH1315">
        <f>INDEX([3]!crudeBD.lkup[Number],MATCH(vp.data[[#This Row],[Crude_Breakdown]],crudeBD.lkup[Crude Breakdown],0))</f>
        <v>0</v>
      </c>
      <c r="AI1315">
        <f>MONTH(vp.data[[#This Row],[SDate]])</f>
        <v>3</v>
      </c>
      <c r="AJ1315" s="5">
        <f>(vp.data[[#This Row],[VP]]-INDEX(crudeBD.lkup[Mean_VP],MATCH(vp.data[[#This Row],[Crude_Breakdown]],crudeBD.lkup[Crude Breakdown],0)))^2</f>
        <v>89.288182392102101</v>
      </c>
      <c r="AK1315" s="5">
        <f>(vp.data[[#This Row],[Dens]]-INDEX(crudeBD.lkup[Mean_Dens],MATCH(vp.data[[#This Row],[Crude_Breakdown]],crudeBD.lkup[Crude Breakdown],0)))^2</f>
        <v>17.84038404499465</v>
      </c>
      <c r="AL1315" s="5">
        <f>(vp.data[[#This Row],[Sulf]]-INDEX(crudeBD.lkup[Mean_Sulf],MATCH(vp.data[[#This Row],[Crude_Breakdown]],crudeBD.lkup[Crude Breakdown],0)))^2</f>
        <v>0</v>
      </c>
      <c r="AM1315" s="4">
        <f>IF(AND(vp.data[[#This Row],[SDate]]&gt;=DATE(YEAR(vp.data[[#This Row],[SDate]]),5,1),vp.data[[#This Row],[SDate]]&lt;=DATE(YEAR(vp.data[[#This Row],[SDate]]),9,15)),1,0)</f>
        <v>0</v>
      </c>
      <c r="AN1315" s="4">
        <f>IF(vp.data[[#This Row],[SDate]]&lt;DATE(2016,12,1),0,1)</f>
        <v>1</v>
      </c>
      <c r="AO1315" s="4">
        <f>IFERROR(vp.data[[#This Row],[Sulf]]*vp.data[[#This Row],[Net Dens]],"")</f>
        <v>0</v>
      </c>
      <c r="AP1315">
        <f>IFERROR(vp.data[[#This Row],[Dens]]*vp.data[[#This Row],[VolumeM3]],"")</f>
        <v>25068.055</v>
      </c>
      <c r="AQ1315" s="15">
        <f>IFERROR(vp.data[[#This Row],[VP]]*vp.data[[#This Row],[VolumeM3]],"")</f>
        <v>3547.6805000000004</v>
      </c>
    </row>
    <row r="1316" spans="1:43" x14ac:dyDescent="0.25">
      <c r="A1316">
        <v>1315</v>
      </c>
      <c r="B1316" t="s">
        <v>269</v>
      </c>
      <c r="C1316" t="s">
        <v>270</v>
      </c>
      <c r="D1316" t="s">
        <v>271</v>
      </c>
      <c r="E1316">
        <v>321128</v>
      </c>
      <c r="F1316" s="1">
        <v>42813</v>
      </c>
      <c r="G1316" s="2">
        <v>99.25</v>
      </c>
      <c r="H1316" s="2">
        <v>0</v>
      </c>
      <c r="I1316" s="2">
        <f t="array" ref="I131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6" s="2">
        <v>5.9</v>
      </c>
      <c r="K1316" s="2">
        <v>4</v>
      </c>
      <c r="L1316" s="2">
        <v>665.2</v>
      </c>
      <c r="M1316" s="2">
        <f t="array" ref="M1316">_xlfn.IFNA(IF(vp.data[[#This Row],[Dens Input]]="",INDEX([1]DATA!$O$3:$O$9826,MATCH(1,(vp.data[[#This Row],[Battery]]=[1]DATA!$L$3:$L$9826)*(EOMONTH(vp.data[[#This Row],[SDate]],-1)+1=[1]DATA!$G$3:$G$9826),0)),vp.data[[#This Row],[Dens Input]]),"")</f>
        <v>665.2</v>
      </c>
      <c r="N1316" s="2">
        <f ca="1">INDEX(INDIRECT(_xlfn.CONCAT("weather.tbl[",N$1,"]")),MATCH(vp.data[[#This Row],[SDate]],weather.tbl[Date],0))</f>
        <v>2.8499999999999996</v>
      </c>
      <c r="O1316" s="2">
        <f ca="1">INDEX(INDIRECT(_xlfn.CONCAT("weather.tbl[",O$1,"]")),MATCH(vp.data[[#This Row],[SDate]],weather.tbl[Date],0))</f>
        <v>-4.0904761904761902</v>
      </c>
      <c r="P1316" s="2">
        <f ca="1">INDEX(INDIRECT(_xlfn.CONCAT("weather.tbl[",P$1,"]")),MATCH(vp.data[[#This Row],[SDate]],weather.tbl[Date],0))</f>
        <v>1.8</v>
      </c>
      <c r="Q1316" s="2">
        <f ca="1">INDEX(INDIRECT(_xlfn.CONCAT("weather.tbl[",Q$1,"]")),MATCH(vp.data[[#This Row],[SDate]],weather.tbl[Date],0))</f>
        <v>4.0999999999999996</v>
      </c>
      <c r="R1316" s="2">
        <f ca="1">INDEX(INDIRECT(_xlfn.CONCAT("weather.tbl[",R$1,"]")),MATCH(vp.data[[#This Row],[SDate]],weather.tbl[Date],0))</f>
        <v>2</v>
      </c>
      <c r="S1316" s="2">
        <f ca="1">INDEX(INDIRECT(_xlfn.CONCAT("weather.tbl[",S$1,"]")),MATCH(vp.data[[#This Row],[SDate]],weather.tbl[Date],0))</f>
        <v>3.7</v>
      </c>
      <c r="T1316" s="2">
        <f ca="1">INDEX(INDIRECT(_xlfn.CONCAT("weather.tbl[",T$1,"]")),MATCH(vp.data[[#This Row],[SDate]],weather.tbl[Date],0))</f>
        <v>1.7</v>
      </c>
      <c r="U1316" s="2">
        <f ca="1">INDEX(INDIRECT(_xlfn.CONCAT("weather.tbl[",U$1,"]")),MATCH(vp.data[[#This Row],[SDate]],weather.tbl[Date],0))</f>
        <v>3.8</v>
      </c>
      <c r="V1316" s="2">
        <f t="array" ref="V13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34.15</v>
      </c>
      <c r="W1316" t="s">
        <v>268</v>
      </c>
      <c r="X1316">
        <f>IF(OR(vp.data[[#This Row],[Sulf]]="",vp.data[[#This Row],[Dens]]=""),1,0)</f>
        <v>0</v>
      </c>
      <c r="Y1316">
        <f>IF(vp.data[[#This Row],[CrudeType]]="C5+",1,0)</f>
        <v>1</v>
      </c>
      <c r="Z1316">
        <f>IF(AND(vp.data[[#This Row],[CrudeType]]="Crude",vp.data[[#This Row],[Dens]]&lt;=825,vp.data[[#This Row],[Sulf]]&gt;0.5,vp.data[[#This Row],[Unknown]]=0),1,0)</f>
        <v>0</v>
      </c>
      <c r="AA1316">
        <f>IF(AND(vp.data[[#This Row],[CrudeType]]="Crude",vp.data[[#This Row],[Dens]]&lt;=825,vp.data[[#This Row],[Sulf]]&lt;=0.5,vp.data[[#This Row],[Unknown]]=0),1,0)</f>
        <v>0</v>
      </c>
      <c r="AB13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6">
        <f>IF(AND(vp.data[[#This Row],[CrudeType]]="Crude",vp.data[[#This Row],[Dens]]&gt;825,vp.data[[#This Row],[Dens]]&lt;=900,vp.data[[#This Row],[Sulf]]&lt;=0.5,vp.data[[#This Row],[Unknown]]=0),1,0)</f>
        <v>0</v>
      </c>
      <c r="AD1316">
        <f>IF(AND(vp.data[[#This Row],[CrudeType]]="Crude",vp.data[[#This Row],[Dens]]&gt;865,vp.data[[#This Row],[Dens]]&lt;=900,vp.data[[#This Row],[Sulf]]&gt;2,vp.data[[#This Row],[Unknown]]=0),1,0)</f>
        <v>0</v>
      </c>
      <c r="AE1316">
        <f>IF(AND(vp.data[[#This Row],[CrudeType]]="Crude",vp.data[[#This Row],[Dens]]&gt;900,vp.data[[#This Row],[Sulf]]&lt;=0.5,vp.data[[#This Row],[Unknown]]=0),1,0)</f>
        <v>0</v>
      </c>
      <c r="AF1316">
        <f>IF(AND(vp.data[[#This Row],[CrudeType]]="Crude",vp.data[[#This Row],[Dens]]&gt;900,vp.data[[#This Row],[Sulf]]&lt;=0.5,vp.data[[#This Row],[Unknown]]=0),1,0)</f>
        <v>0</v>
      </c>
      <c r="AG1316" t="str">
        <f>INDEX(vp.data[[#Headers],[Unknown]:[Heavy_SW]],MATCH(1,vp.data[[#This Row],[Unknown]:[Heavy_SW]],0))</f>
        <v>C5</v>
      </c>
      <c r="AH1316">
        <f>INDEX([3]!crudeBD.lkup[Number],MATCH(vp.data[[#This Row],[Crude_Breakdown]],crudeBD.lkup[Crude Breakdown],0))</f>
        <v>0</v>
      </c>
      <c r="AI1316">
        <f>MONTH(vp.data[[#This Row],[SDate]])</f>
        <v>3</v>
      </c>
      <c r="AJ1316" s="5">
        <f>(vp.data[[#This Row],[VP]]-INDEX(crudeBD.lkup[Mean_VP],MATCH(vp.data[[#This Row],[Crude_Breakdown]],crudeBD.lkup[Crude Breakdown],0)))^2</f>
        <v>15.438946028466207</v>
      </c>
      <c r="AK1316" s="5">
        <f>(vp.data[[#This Row],[Dens]]-INDEX(crudeBD.lkup[Mean_Dens],MATCH(vp.data[[#This Row],[Crude_Breakdown]],crudeBD.lkup[Crude Breakdown],0)))^2</f>
        <v>50.748353741965119</v>
      </c>
      <c r="AL1316" s="5">
        <f>(vp.data[[#This Row],[Sulf]]-INDEX(crudeBD.lkup[Mean_Sulf],MATCH(vp.data[[#This Row],[Crude_Breakdown]],crudeBD.lkup[Crude Breakdown],0)))^2</f>
        <v>0</v>
      </c>
      <c r="AM1316" s="4">
        <f>IF(AND(vp.data[[#This Row],[SDate]]&gt;=DATE(YEAR(vp.data[[#This Row],[SDate]]),5,1),vp.data[[#This Row],[SDate]]&lt;=DATE(YEAR(vp.data[[#This Row],[SDate]]),9,15)),1,0)</f>
        <v>0</v>
      </c>
      <c r="AN1316" s="4">
        <f>IF(vp.data[[#This Row],[SDate]]&lt;DATE(2016,12,1),0,1)</f>
        <v>1</v>
      </c>
      <c r="AO1316" s="4">
        <f>IFERROR(vp.data[[#This Row],[Sulf]]*vp.data[[#This Row],[Net Dens]],"")</f>
        <v>0</v>
      </c>
      <c r="AP1316">
        <f>IFERROR(vp.data[[#This Row],[Dens]]*vp.data[[#This Row],[VolumeM3]],"")</f>
        <v>22716.58</v>
      </c>
      <c r="AQ1316" s="15">
        <f>IFERROR(vp.data[[#This Row],[VP]]*vp.data[[#This Row],[VolumeM3]],"")</f>
        <v>3389.3874999999998</v>
      </c>
    </row>
    <row r="1317" spans="1:43" x14ac:dyDescent="0.25">
      <c r="A1317">
        <v>1316</v>
      </c>
      <c r="B1317" t="s">
        <v>269</v>
      </c>
      <c r="C1317" t="s">
        <v>278</v>
      </c>
      <c r="D1317" t="s">
        <v>279</v>
      </c>
      <c r="E1317">
        <v>321137</v>
      </c>
      <c r="F1317" s="1">
        <v>42813</v>
      </c>
      <c r="G1317" s="2">
        <v>92.8</v>
      </c>
      <c r="H1317" s="2">
        <v>0</v>
      </c>
      <c r="I1317" s="2">
        <f t="array" ref="I131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7" s="2">
        <v>4.8</v>
      </c>
      <c r="K1317" s="2">
        <v>4</v>
      </c>
      <c r="L1317" s="2">
        <v>658</v>
      </c>
      <c r="M1317" s="2">
        <f t="array" ref="M1317">_xlfn.IFNA(IF(vp.data[[#This Row],[Dens Input]]="",INDEX([1]DATA!$O$3:$O$9826,MATCH(1,(vp.data[[#This Row],[Battery]]=[1]DATA!$L$3:$L$9826)*(EOMONTH(vp.data[[#This Row],[SDate]],-1)+1=[1]DATA!$G$3:$G$9826),0)),vp.data[[#This Row],[Dens Input]]),"")</f>
        <v>658</v>
      </c>
      <c r="N1317" s="2">
        <f ca="1">INDEX(INDIRECT(_xlfn.CONCAT("weather.tbl[",N$1,"]")),MATCH(vp.data[[#This Row],[SDate]],weather.tbl[Date],0))</f>
        <v>2.8499999999999996</v>
      </c>
      <c r="O1317" s="2">
        <f ca="1">INDEX(INDIRECT(_xlfn.CONCAT("weather.tbl[",O$1,"]")),MATCH(vp.data[[#This Row],[SDate]],weather.tbl[Date],0))</f>
        <v>-4.0904761904761902</v>
      </c>
      <c r="P1317" s="2">
        <f ca="1">INDEX(INDIRECT(_xlfn.CONCAT("weather.tbl[",P$1,"]")),MATCH(vp.data[[#This Row],[SDate]],weather.tbl[Date],0))</f>
        <v>1.8</v>
      </c>
      <c r="Q1317" s="2">
        <f ca="1">INDEX(INDIRECT(_xlfn.CONCAT("weather.tbl[",Q$1,"]")),MATCH(vp.data[[#This Row],[SDate]],weather.tbl[Date],0))</f>
        <v>4.0999999999999996</v>
      </c>
      <c r="R1317" s="2">
        <f ca="1">INDEX(INDIRECT(_xlfn.CONCAT("weather.tbl[",R$1,"]")),MATCH(vp.data[[#This Row],[SDate]],weather.tbl[Date],0))</f>
        <v>2</v>
      </c>
      <c r="S1317" s="2">
        <f ca="1">INDEX(INDIRECT(_xlfn.CONCAT("weather.tbl[",S$1,"]")),MATCH(vp.data[[#This Row],[SDate]],weather.tbl[Date],0))</f>
        <v>3.7</v>
      </c>
      <c r="T1317" s="2">
        <f ca="1">INDEX(INDIRECT(_xlfn.CONCAT("weather.tbl[",T$1,"]")),MATCH(vp.data[[#This Row],[SDate]],weather.tbl[Date],0))</f>
        <v>1.7</v>
      </c>
      <c r="U1317" s="2">
        <f ca="1">INDEX(INDIRECT(_xlfn.CONCAT("weather.tbl[",U$1,"]")),MATCH(vp.data[[#This Row],[SDate]],weather.tbl[Date],0))</f>
        <v>3.8</v>
      </c>
      <c r="V1317" s="2">
        <f t="array" ref="V13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34.700000000000003</v>
      </c>
      <c r="W1317" t="s">
        <v>268</v>
      </c>
      <c r="X1317">
        <f>IF(OR(vp.data[[#This Row],[Sulf]]="",vp.data[[#This Row],[Dens]]=""),1,0)</f>
        <v>0</v>
      </c>
      <c r="Y1317">
        <f>IF(vp.data[[#This Row],[CrudeType]]="C5+",1,0)</f>
        <v>1</v>
      </c>
      <c r="Z1317">
        <f>IF(AND(vp.data[[#This Row],[CrudeType]]="Crude",vp.data[[#This Row],[Dens]]&lt;=825,vp.data[[#This Row],[Sulf]]&gt;0.5,vp.data[[#This Row],[Unknown]]=0),1,0)</f>
        <v>0</v>
      </c>
      <c r="AA1317">
        <f>IF(AND(vp.data[[#This Row],[CrudeType]]="Crude",vp.data[[#This Row],[Dens]]&lt;=825,vp.data[[#This Row],[Sulf]]&lt;=0.5,vp.data[[#This Row],[Unknown]]=0),1,0)</f>
        <v>0</v>
      </c>
      <c r="AB13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7">
        <f>IF(AND(vp.data[[#This Row],[CrudeType]]="Crude",vp.data[[#This Row],[Dens]]&gt;825,vp.data[[#This Row],[Dens]]&lt;=900,vp.data[[#This Row],[Sulf]]&lt;=0.5,vp.data[[#This Row],[Unknown]]=0),1,0)</f>
        <v>0</v>
      </c>
      <c r="AD1317">
        <f>IF(AND(vp.data[[#This Row],[CrudeType]]="Crude",vp.data[[#This Row],[Dens]]&gt;865,vp.data[[#This Row],[Dens]]&lt;=900,vp.data[[#This Row],[Sulf]]&gt;2,vp.data[[#This Row],[Unknown]]=0),1,0)</f>
        <v>0</v>
      </c>
      <c r="AE1317">
        <f>IF(AND(vp.data[[#This Row],[CrudeType]]="Crude",vp.data[[#This Row],[Dens]]&gt;900,vp.data[[#This Row],[Sulf]]&lt;=0.5,vp.data[[#This Row],[Unknown]]=0),1,0)</f>
        <v>0</v>
      </c>
      <c r="AF1317">
        <f>IF(AND(vp.data[[#This Row],[CrudeType]]="Crude",vp.data[[#This Row],[Dens]]&gt;900,vp.data[[#This Row],[Sulf]]&lt;=0.5,vp.data[[#This Row],[Unknown]]=0),1,0)</f>
        <v>0</v>
      </c>
      <c r="AG1317" t="str">
        <f>INDEX(vp.data[[#Headers],[Unknown]:[Heavy_SW]],MATCH(1,vp.data[[#This Row],[Unknown]:[Heavy_SW]],0))</f>
        <v>C5</v>
      </c>
      <c r="AH1317">
        <f>INDEX([3]!crudeBD.lkup[Number],MATCH(vp.data[[#This Row],[Crude_Breakdown]],crudeBD.lkup[Crude Breakdown],0))</f>
        <v>0</v>
      </c>
      <c r="AI1317">
        <f>MONTH(vp.data[[#This Row],[SDate]])</f>
        <v>3</v>
      </c>
      <c r="AJ1317" s="5">
        <f>(vp.data[[#This Row],[VP]]-INDEX(crudeBD.lkup[Mean_VP],MATCH(vp.data[[#This Row],[Crude_Breakdown]],crudeBD.lkup[Crude Breakdown],0)))^2</f>
        <v>107.72867330119308</v>
      </c>
      <c r="AK1317" s="5">
        <f>(vp.data[[#This Row],[Dens]]-INDEX(crudeBD.lkup[Mean_Dens],MATCH(vp.data[[#This Row],[Crude_Breakdown]],crudeBD.lkup[Crude Breakdown],0)))^2</f>
        <v>5.8082874196578194E-3</v>
      </c>
      <c r="AL1317" s="5">
        <f>(vp.data[[#This Row],[Sulf]]-INDEX(crudeBD.lkup[Mean_Sulf],MATCH(vp.data[[#This Row],[Crude_Breakdown]],crudeBD.lkup[Crude Breakdown],0)))^2</f>
        <v>0</v>
      </c>
      <c r="AM1317" s="4">
        <f>IF(AND(vp.data[[#This Row],[SDate]]&gt;=DATE(YEAR(vp.data[[#This Row],[SDate]]),5,1),vp.data[[#This Row],[SDate]]&lt;=DATE(YEAR(vp.data[[#This Row],[SDate]]),9,15)),1,0)</f>
        <v>0</v>
      </c>
      <c r="AN1317" s="4">
        <f>IF(vp.data[[#This Row],[SDate]]&lt;DATE(2016,12,1),0,1)</f>
        <v>1</v>
      </c>
      <c r="AO1317" s="4">
        <f>IFERROR(vp.data[[#This Row],[Sulf]]*vp.data[[#This Row],[Net Dens]],"")</f>
        <v>0</v>
      </c>
      <c r="AP1317">
        <f>IFERROR(vp.data[[#This Row],[Dens]]*vp.data[[#This Row],[VolumeM3]],"")</f>
        <v>22832.600000000002</v>
      </c>
      <c r="AQ1317" s="15">
        <f>IFERROR(vp.data[[#This Row],[VP]]*vp.data[[#This Row],[VolumeM3]],"")</f>
        <v>3220.1600000000003</v>
      </c>
    </row>
    <row r="1318" spans="1:43" x14ac:dyDescent="0.25">
      <c r="A1318">
        <v>1317</v>
      </c>
      <c r="B1318" t="s">
        <v>265</v>
      </c>
      <c r="C1318" t="s">
        <v>266</v>
      </c>
      <c r="D1318" t="s">
        <v>267</v>
      </c>
      <c r="E1318">
        <v>321941</v>
      </c>
      <c r="F1318" s="1">
        <v>42818</v>
      </c>
      <c r="G1318" s="2">
        <v>108.9</v>
      </c>
      <c r="H1318" s="2">
        <v>0</v>
      </c>
      <c r="I1318" s="2">
        <f t="array" ref="I131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8" s="2">
        <v>4</v>
      </c>
      <c r="K1318" s="2">
        <v>3</v>
      </c>
      <c r="L1318" s="2">
        <v>653.70000000000005</v>
      </c>
      <c r="M1318" s="2">
        <f t="array" ref="M1318">_xlfn.IFNA(IF(vp.data[[#This Row],[Dens Input]]="",INDEX([1]DATA!$O$3:$O$9826,MATCH(1,(vp.data[[#This Row],[Battery]]=[1]DATA!$L$3:$L$9826)*(EOMONTH(vp.data[[#This Row],[SDate]],-1)+1=[1]DATA!$G$3:$G$9826),0)),vp.data[[#This Row],[Dens Input]]),"")</f>
        <v>653.70000000000005</v>
      </c>
      <c r="N1318" s="2">
        <f ca="1">INDEX(INDIRECT(_xlfn.CONCAT("weather.tbl[",N$1,"]")),MATCH(vp.data[[#This Row],[SDate]],weather.tbl[Date],0))</f>
        <v>-2.2833333333333337</v>
      </c>
      <c r="O1318" s="2">
        <f ca="1">INDEX(INDIRECT(_xlfn.CONCAT("weather.tbl[",O$1,"]")),MATCH(vp.data[[#This Row],[SDate]],weather.tbl[Date],0))</f>
        <v>-2.7095238095238097</v>
      </c>
      <c r="P1318" s="2">
        <f ca="1">INDEX(INDIRECT(_xlfn.CONCAT("weather.tbl[",P$1,"]")),MATCH(vp.data[[#This Row],[SDate]],weather.tbl[Date],0))</f>
        <v>-0.1</v>
      </c>
      <c r="Q1318" s="2">
        <f ca="1">INDEX(INDIRECT(_xlfn.CONCAT("weather.tbl[",Q$1,"]")),MATCH(vp.data[[#This Row],[SDate]],weather.tbl[Date],0))</f>
        <v>0.3</v>
      </c>
      <c r="R1318" s="2">
        <f ca="1">INDEX(INDIRECT(_xlfn.CONCAT("weather.tbl[",R$1,"]")),MATCH(vp.data[[#This Row],[SDate]],weather.tbl[Date],0))</f>
        <v>-11.8</v>
      </c>
      <c r="S1318" s="2">
        <f ca="1">INDEX(INDIRECT(_xlfn.CONCAT("weather.tbl[",S$1,"]")),MATCH(vp.data[[#This Row],[SDate]],weather.tbl[Date],0))</f>
        <v>1.1000000000000001</v>
      </c>
      <c r="T1318" s="2">
        <f ca="1">INDEX(INDIRECT(_xlfn.CONCAT("weather.tbl[",T$1,"]")),MATCH(vp.data[[#This Row],[SDate]],weather.tbl[Date],0))</f>
        <v>-2.7</v>
      </c>
      <c r="U1318" s="2">
        <f ca="1">INDEX(INDIRECT(_xlfn.CONCAT("weather.tbl[",U$1,"]")),MATCH(vp.data[[#This Row],[SDate]],weather.tbl[Date],0))</f>
        <v>-0.5</v>
      </c>
      <c r="V1318" s="2">
        <f t="array" ref="V13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33.24</v>
      </c>
      <c r="W1318" t="s">
        <v>268</v>
      </c>
      <c r="X1318">
        <f>IF(OR(vp.data[[#This Row],[Sulf]]="",vp.data[[#This Row],[Dens]]=""),1,0)</f>
        <v>0</v>
      </c>
      <c r="Y1318">
        <f>IF(vp.data[[#This Row],[CrudeType]]="C5+",1,0)</f>
        <v>1</v>
      </c>
      <c r="Z1318">
        <f>IF(AND(vp.data[[#This Row],[CrudeType]]="Crude",vp.data[[#This Row],[Dens]]&lt;=825,vp.data[[#This Row],[Sulf]]&gt;0.5,vp.data[[#This Row],[Unknown]]=0),1,0)</f>
        <v>0</v>
      </c>
      <c r="AA1318">
        <f>IF(AND(vp.data[[#This Row],[CrudeType]]="Crude",vp.data[[#This Row],[Dens]]&lt;=825,vp.data[[#This Row],[Sulf]]&lt;=0.5,vp.data[[#This Row],[Unknown]]=0),1,0)</f>
        <v>0</v>
      </c>
      <c r="AB13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8">
        <f>IF(AND(vp.data[[#This Row],[CrudeType]]="Crude",vp.data[[#This Row],[Dens]]&gt;825,vp.data[[#This Row],[Dens]]&lt;=900,vp.data[[#This Row],[Sulf]]&lt;=0.5,vp.data[[#This Row],[Unknown]]=0),1,0)</f>
        <v>0</v>
      </c>
      <c r="AD1318">
        <f>IF(AND(vp.data[[#This Row],[CrudeType]]="Crude",vp.data[[#This Row],[Dens]]&gt;865,vp.data[[#This Row],[Dens]]&lt;=900,vp.data[[#This Row],[Sulf]]&gt;2,vp.data[[#This Row],[Unknown]]=0),1,0)</f>
        <v>0</v>
      </c>
      <c r="AE1318">
        <f>IF(AND(vp.data[[#This Row],[CrudeType]]="Crude",vp.data[[#This Row],[Dens]]&gt;900,vp.data[[#This Row],[Sulf]]&lt;=0.5,vp.data[[#This Row],[Unknown]]=0),1,0)</f>
        <v>0</v>
      </c>
      <c r="AF1318">
        <f>IF(AND(vp.data[[#This Row],[CrudeType]]="Crude",vp.data[[#This Row],[Dens]]&gt;900,vp.data[[#This Row],[Sulf]]&lt;=0.5,vp.data[[#This Row],[Unknown]]=0),1,0)</f>
        <v>0</v>
      </c>
      <c r="AG1318" t="str">
        <f>INDEX(vp.data[[#Headers],[Unknown]:[Heavy_SW]],MATCH(1,vp.data[[#This Row],[Unknown]:[Heavy_SW]],0))</f>
        <v>C5</v>
      </c>
      <c r="AH1318">
        <f>INDEX([3]!crudeBD.lkup[Number],MATCH(vp.data[[#This Row],[Crude_Breakdown]],crudeBD.lkup[Crude Breakdown],0))</f>
        <v>0</v>
      </c>
      <c r="AI1318">
        <f>MONTH(vp.data[[#This Row],[SDate]])</f>
        <v>3</v>
      </c>
      <c r="AJ1318" s="5">
        <f>(vp.data[[#This Row],[VP]]-INDEX(crudeBD.lkup[Mean_VP],MATCH(vp.data[[#This Row],[Crude_Breakdown]],crudeBD.lkup[Crude Breakdown],0)))^2</f>
        <v>32.727067240588163</v>
      </c>
      <c r="AK1318" s="5">
        <f>(vp.data[[#This Row],[Dens]]-INDEX(crudeBD.lkup[Mean_Dens],MATCH(vp.data[[#This Row],[Crude_Breakdown]],crudeBD.lkup[Crude Breakdown],0)))^2</f>
        <v>19.151232529843885</v>
      </c>
      <c r="AL1318" s="5">
        <f>(vp.data[[#This Row],[Sulf]]-INDEX(crudeBD.lkup[Mean_Sulf],MATCH(vp.data[[#This Row],[Crude_Breakdown]],crudeBD.lkup[Crude Breakdown],0)))^2</f>
        <v>0</v>
      </c>
      <c r="AM1318" s="4">
        <f>IF(AND(vp.data[[#This Row],[SDate]]&gt;=DATE(YEAR(vp.data[[#This Row],[SDate]]),5,1),vp.data[[#This Row],[SDate]]&lt;=DATE(YEAR(vp.data[[#This Row],[SDate]]),9,15)),1,0)</f>
        <v>0</v>
      </c>
      <c r="AN1318" s="4">
        <f>IF(vp.data[[#This Row],[SDate]]&lt;DATE(2016,12,1),0,1)</f>
        <v>1</v>
      </c>
      <c r="AO1318" s="4">
        <f>IFERROR(vp.data[[#This Row],[Sulf]]*vp.data[[#This Row],[Net Dens]],"")</f>
        <v>0</v>
      </c>
      <c r="AP1318">
        <f>IFERROR(vp.data[[#This Row],[Dens]]*vp.data[[#This Row],[VolumeM3]],"")</f>
        <v>21728.988000000001</v>
      </c>
      <c r="AQ1318" s="15">
        <f>IFERROR(vp.data[[#This Row],[VP]]*vp.data[[#This Row],[VolumeM3]],"")</f>
        <v>3619.8360000000002</v>
      </c>
    </row>
    <row r="1319" spans="1:43" x14ac:dyDescent="0.25">
      <c r="A1319">
        <v>1318</v>
      </c>
      <c r="B1319" t="s">
        <v>272</v>
      </c>
      <c r="C1319" t="s">
        <v>273</v>
      </c>
      <c r="D1319" t="s">
        <v>274</v>
      </c>
      <c r="E1319">
        <v>321948</v>
      </c>
      <c r="F1319" s="1">
        <v>42818</v>
      </c>
      <c r="G1319" s="2">
        <v>110.5</v>
      </c>
      <c r="H1319" s="2">
        <v>0</v>
      </c>
      <c r="I1319" s="2">
        <f t="array" ref="I131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19" s="2">
        <v>6</v>
      </c>
      <c r="K1319" s="2">
        <v>3</v>
      </c>
      <c r="L1319" s="2">
        <v>655.9</v>
      </c>
      <c r="M1319" s="2">
        <f t="array" ref="M1319">_xlfn.IFNA(IF(vp.data[[#This Row],[Dens Input]]="",INDEX([1]DATA!$O$3:$O$9826,MATCH(1,(vp.data[[#This Row],[Battery]]=[1]DATA!$L$3:$L$9826)*(EOMONTH(vp.data[[#This Row],[SDate]],-1)+1=[1]DATA!$G$3:$G$9826),0)),vp.data[[#This Row],[Dens Input]]),"")</f>
        <v>655.9</v>
      </c>
      <c r="N1319" s="2">
        <f ca="1">INDEX(INDIRECT(_xlfn.CONCAT("weather.tbl[",N$1,"]")),MATCH(vp.data[[#This Row],[SDate]],weather.tbl[Date],0))</f>
        <v>-2.2833333333333337</v>
      </c>
      <c r="O1319" s="2">
        <f ca="1">INDEX(INDIRECT(_xlfn.CONCAT("weather.tbl[",O$1,"]")),MATCH(vp.data[[#This Row],[SDate]],weather.tbl[Date],0))</f>
        <v>-2.7095238095238097</v>
      </c>
      <c r="P1319" s="2">
        <f ca="1">INDEX(INDIRECT(_xlfn.CONCAT("weather.tbl[",P$1,"]")),MATCH(vp.data[[#This Row],[SDate]],weather.tbl[Date],0))</f>
        <v>-0.1</v>
      </c>
      <c r="Q1319" s="2">
        <f ca="1">INDEX(INDIRECT(_xlfn.CONCAT("weather.tbl[",Q$1,"]")),MATCH(vp.data[[#This Row],[SDate]],weather.tbl[Date],0))</f>
        <v>0.3</v>
      </c>
      <c r="R1319" s="2">
        <f ca="1">INDEX(INDIRECT(_xlfn.CONCAT("weather.tbl[",R$1,"]")),MATCH(vp.data[[#This Row],[SDate]],weather.tbl[Date],0))</f>
        <v>-11.8</v>
      </c>
      <c r="S1319" s="2">
        <f ca="1">INDEX(INDIRECT(_xlfn.CONCAT("weather.tbl[",S$1,"]")),MATCH(vp.data[[#This Row],[SDate]],weather.tbl[Date],0))</f>
        <v>1.1000000000000001</v>
      </c>
      <c r="T1319" s="2">
        <f ca="1">INDEX(INDIRECT(_xlfn.CONCAT("weather.tbl[",T$1,"]")),MATCH(vp.data[[#This Row],[SDate]],weather.tbl[Date],0))</f>
        <v>-2.7</v>
      </c>
      <c r="U1319" s="2">
        <f ca="1">INDEX(INDIRECT(_xlfn.CONCAT("weather.tbl[",U$1,"]")),MATCH(vp.data[[#This Row],[SDate]],weather.tbl[Date],0))</f>
        <v>-0.5</v>
      </c>
      <c r="V1319" s="2">
        <f t="array" ref="V13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36.049999999999997</v>
      </c>
      <c r="W1319" t="s">
        <v>268</v>
      </c>
      <c r="X1319">
        <f>IF(OR(vp.data[[#This Row],[Sulf]]="",vp.data[[#This Row],[Dens]]=""),1,0)</f>
        <v>0</v>
      </c>
      <c r="Y1319">
        <f>IF(vp.data[[#This Row],[CrudeType]]="C5+",1,0)</f>
        <v>1</v>
      </c>
      <c r="Z1319">
        <f>IF(AND(vp.data[[#This Row],[CrudeType]]="Crude",vp.data[[#This Row],[Dens]]&lt;=825,vp.data[[#This Row],[Sulf]]&gt;0.5,vp.data[[#This Row],[Unknown]]=0),1,0)</f>
        <v>0</v>
      </c>
      <c r="AA1319">
        <f>IF(AND(vp.data[[#This Row],[CrudeType]]="Crude",vp.data[[#This Row],[Dens]]&lt;=825,vp.data[[#This Row],[Sulf]]&lt;=0.5,vp.data[[#This Row],[Unknown]]=0),1,0)</f>
        <v>0</v>
      </c>
      <c r="AB13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19">
        <f>IF(AND(vp.data[[#This Row],[CrudeType]]="Crude",vp.data[[#This Row],[Dens]]&gt;825,vp.data[[#This Row],[Dens]]&lt;=900,vp.data[[#This Row],[Sulf]]&lt;=0.5,vp.data[[#This Row],[Unknown]]=0),1,0)</f>
        <v>0</v>
      </c>
      <c r="AD1319">
        <f>IF(AND(vp.data[[#This Row],[CrudeType]]="Crude",vp.data[[#This Row],[Dens]]&gt;865,vp.data[[#This Row],[Dens]]&lt;=900,vp.data[[#This Row],[Sulf]]&gt;2,vp.data[[#This Row],[Unknown]]=0),1,0)</f>
        <v>0</v>
      </c>
      <c r="AE1319">
        <f>IF(AND(vp.data[[#This Row],[CrudeType]]="Crude",vp.data[[#This Row],[Dens]]&gt;900,vp.data[[#This Row],[Sulf]]&lt;=0.5,vp.data[[#This Row],[Unknown]]=0),1,0)</f>
        <v>0</v>
      </c>
      <c r="AF1319">
        <f>IF(AND(vp.data[[#This Row],[CrudeType]]="Crude",vp.data[[#This Row],[Dens]]&gt;900,vp.data[[#This Row],[Sulf]]&lt;=0.5,vp.data[[#This Row],[Unknown]]=0),1,0)</f>
        <v>0</v>
      </c>
      <c r="AG1319" t="str">
        <f>INDEX(vp.data[[#Headers],[Unknown]:[Heavy_SW]],MATCH(1,vp.data[[#This Row],[Unknown]:[Heavy_SW]],0))</f>
        <v>C5</v>
      </c>
      <c r="AH1319">
        <f>INDEX([3]!crudeBD.lkup[Number],MATCH(vp.data[[#This Row],[Crude_Breakdown]],crudeBD.lkup[Crude Breakdown],0))</f>
        <v>0</v>
      </c>
      <c r="AI1319">
        <f>MONTH(vp.data[[#This Row],[SDate]])</f>
        <v>3</v>
      </c>
      <c r="AJ1319" s="5">
        <f>(vp.data[[#This Row],[VP]]-INDEX(crudeBD.lkup[Mean_VP],MATCH(vp.data[[#This Row],[Crude_Breakdown]],crudeBD.lkup[Crude Breakdown],0)))^2</f>
        <v>53.59349148301245</v>
      </c>
      <c r="AK1319" s="5">
        <f>(vp.data[[#This Row],[Dens]]-INDEX(crudeBD.lkup[Mean_Dens],MATCH(vp.data[[#This Row],[Crude_Breakdown]],crudeBD.lkup[Crude Breakdown],0)))^2</f>
        <v>4.7358991965108519</v>
      </c>
      <c r="AL1319" s="5">
        <f>(vp.data[[#This Row],[Sulf]]-INDEX(crudeBD.lkup[Mean_Sulf],MATCH(vp.data[[#This Row],[Crude_Breakdown]],crudeBD.lkup[Crude Breakdown],0)))^2</f>
        <v>0</v>
      </c>
      <c r="AM1319" s="4">
        <f>IF(AND(vp.data[[#This Row],[SDate]]&gt;=DATE(YEAR(vp.data[[#This Row],[SDate]]),5,1),vp.data[[#This Row],[SDate]]&lt;=DATE(YEAR(vp.data[[#This Row],[SDate]]),9,15)),1,0)</f>
        <v>0</v>
      </c>
      <c r="AN1319" s="4">
        <f>IF(vp.data[[#This Row],[SDate]]&lt;DATE(2016,12,1),0,1)</f>
        <v>1</v>
      </c>
      <c r="AO1319" s="4">
        <f>IFERROR(vp.data[[#This Row],[Sulf]]*vp.data[[#This Row],[Net Dens]],"")</f>
        <v>0</v>
      </c>
      <c r="AP1319">
        <f>IFERROR(vp.data[[#This Row],[Dens]]*vp.data[[#This Row],[VolumeM3]],"")</f>
        <v>23645.194999999996</v>
      </c>
      <c r="AQ1319" s="15">
        <f>IFERROR(vp.data[[#This Row],[VP]]*vp.data[[#This Row],[VolumeM3]],"")</f>
        <v>3983.5249999999996</v>
      </c>
    </row>
    <row r="1320" spans="1:43" x14ac:dyDescent="0.25">
      <c r="A1320">
        <v>1319</v>
      </c>
      <c r="B1320" t="s">
        <v>275</v>
      </c>
      <c r="C1320" t="s">
        <v>276</v>
      </c>
      <c r="D1320" t="s">
        <v>277</v>
      </c>
      <c r="E1320">
        <v>321940</v>
      </c>
      <c r="F1320" s="1">
        <v>42818</v>
      </c>
      <c r="G1320" s="2">
        <v>94.2</v>
      </c>
      <c r="H1320" s="2">
        <v>0</v>
      </c>
      <c r="I1320" s="2">
        <f t="array" ref="I132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0" s="2">
        <v>7</v>
      </c>
      <c r="K1320" s="2">
        <v>3</v>
      </c>
      <c r="L1320" s="2">
        <v>663.6</v>
      </c>
      <c r="M1320" s="2">
        <f t="array" ref="M1320">_xlfn.IFNA(IF(vp.data[[#This Row],[Dens Input]]="",INDEX([1]DATA!$O$3:$O$9826,MATCH(1,(vp.data[[#This Row],[Battery]]=[1]DATA!$L$3:$L$9826)*(EOMONTH(vp.data[[#This Row],[SDate]],-1)+1=[1]DATA!$G$3:$G$9826),0)),vp.data[[#This Row],[Dens Input]]),"")</f>
        <v>663.6</v>
      </c>
      <c r="N1320" s="2">
        <f ca="1">INDEX(INDIRECT(_xlfn.CONCAT("weather.tbl[",N$1,"]")),MATCH(vp.data[[#This Row],[SDate]],weather.tbl[Date],0))</f>
        <v>-2.2833333333333337</v>
      </c>
      <c r="O1320" s="2">
        <f ca="1">INDEX(INDIRECT(_xlfn.CONCAT("weather.tbl[",O$1,"]")),MATCH(vp.data[[#This Row],[SDate]],weather.tbl[Date],0))</f>
        <v>-2.7095238095238097</v>
      </c>
      <c r="P1320" s="2">
        <f ca="1">INDEX(INDIRECT(_xlfn.CONCAT("weather.tbl[",P$1,"]")),MATCH(vp.data[[#This Row],[SDate]],weather.tbl[Date],0))</f>
        <v>-0.1</v>
      </c>
      <c r="Q1320" s="2">
        <f ca="1">INDEX(INDIRECT(_xlfn.CONCAT("weather.tbl[",Q$1,"]")),MATCH(vp.data[[#This Row],[SDate]],weather.tbl[Date],0))</f>
        <v>0.3</v>
      </c>
      <c r="R1320" s="2">
        <f ca="1">INDEX(INDIRECT(_xlfn.CONCAT("weather.tbl[",R$1,"]")),MATCH(vp.data[[#This Row],[SDate]],weather.tbl[Date],0))</f>
        <v>-11.8</v>
      </c>
      <c r="S1320" s="2">
        <f ca="1">INDEX(INDIRECT(_xlfn.CONCAT("weather.tbl[",S$1,"]")),MATCH(vp.data[[#This Row],[SDate]],weather.tbl[Date],0))</f>
        <v>1.1000000000000001</v>
      </c>
      <c r="T1320" s="2">
        <f ca="1">INDEX(INDIRECT(_xlfn.CONCAT("weather.tbl[",T$1,"]")),MATCH(vp.data[[#This Row],[SDate]],weather.tbl[Date],0))</f>
        <v>-2.7</v>
      </c>
      <c r="U1320" s="2">
        <f ca="1">INDEX(INDIRECT(_xlfn.CONCAT("weather.tbl[",U$1,"]")),MATCH(vp.data[[#This Row],[SDate]],weather.tbl[Date],0))</f>
        <v>-0.5</v>
      </c>
      <c r="V1320" s="2">
        <f t="array" ref="V13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34.82</v>
      </c>
      <c r="W1320" t="s">
        <v>268</v>
      </c>
      <c r="X1320">
        <f>IF(OR(vp.data[[#This Row],[Sulf]]="",vp.data[[#This Row],[Dens]]=""),1,0)</f>
        <v>0</v>
      </c>
      <c r="Y1320">
        <f>IF(vp.data[[#This Row],[CrudeType]]="C5+",1,0)</f>
        <v>1</v>
      </c>
      <c r="Z1320">
        <f>IF(AND(vp.data[[#This Row],[CrudeType]]="Crude",vp.data[[#This Row],[Dens]]&lt;=825,vp.data[[#This Row],[Sulf]]&gt;0.5,vp.data[[#This Row],[Unknown]]=0),1,0)</f>
        <v>0</v>
      </c>
      <c r="AA1320">
        <f>IF(AND(vp.data[[#This Row],[CrudeType]]="Crude",vp.data[[#This Row],[Dens]]&lt;=825,vp.data[[#This Row],[Sulf]]&lt;=0.5,vp.data[[#This Row],[Unknown]]=0),1,0)</f>
        <v>0</v>
      </c>
      <c r="AB13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0">
        <f>IF(AND(vp.data[[#This Row],[CrudeType]]="Crude",vp.data[[#This Row],[Dens]]&gt;825,vp.data[[#This Row],[Dens]]&lt;=900,vp.data[[#This Row],[Sulf]]&lt;=0.5,vp.data[[#This Row],[Unknown]]=0),1,0)</f>
        <v>0</v>
      </c>
      <c r="AD1320">
        <f>IF(AND(vp.data[[#This Row],[CrudeType]]="Crude",vp.data[[#This Row],[Dens]]&gt;865,vp.data[[#This Row],[Dens]]&lt;=900,vp.data[[#This Row],[Sulf]]&gt;2,vp.data[[#This Row],[Unknown]]=0),1,0)</f>
        <v>0</v>
      </c>
      <c r="AE1320">
        <f>IF(AND(vp.data[[#This Row],[CrudeType]]="Crude",vp.data[[#This Row],[Dens]]&gt;900,vp.data[[#This Row],[Sulf]]&lt;=0.5,vp.data[[#This Row],[Unknown]]=0),1,0)</f>
        <v>0</v>
      </c>
      <c r="AF1320">
        <f>IF(AND(vp.data[[#This Row],[CrudeType]]="Crude",vp.data[[#This Row],[Dens]]&gt;900,vp.data[[#This Row],[Sulf]]&lt;=0.5,vp.data[[#This Row],[Unknown]]=0),1,0)</f>
        <v>0</v>
      </c>
      <c r="AG1320" t="str">
        <f>INDEX(vp.data[[#Headers],[Unknown]:[Heavy_SW]],MATCH(1,vp.data[[#This Row],[Unknown]:[Heavy_SW]],0))</f>
        <v>C5</v>
      </c>
      <c r="AH1320">
        <f>INDEX([3]!crudeBD.lkup[Number],MATCH(vp.data[[#This Row],[Crude_Breakdown]],crudeBD.lkup[Crude Breakdown],0))</f>
        <v>0</v>
      </c>
      <c r="AI1320">
        <f>MONTH(vp.data[[#This Row],[SDate]])</f>
        <v>3</v>
      </c>
      <c r="AJ1320" s="5">
        <f>(vp.data[[#This Row],[VP]]-INDEX(crudeBD.lkup[Mean_VP],MATCH(vp.data[[#This Row],[Crude_Breakdown]],crudeBD.lkup[Crude Breakdown],0)))^2</f>
        <v>80.62679451331428</v>
      </c>
      <c r="AK1320" s="5">
        <f>(vp.data[[#This Row],[Dens]]-INDEX(crudeBD.lkup[Mean_Dens],MATCH(vp.data[[#This Row],[Crude_Breakdown]],crudeBD.lkup[Crude Breakdown],0)))^2</f>
        <v>30.512232529843654</v>
      </c>
      <c r="AL1320" s="5">
        <f>(vp.data[[#This Row],[Sulf]]-INDEX(crudeBD.lkup[Mean_Sulf],MATCH(vp.data[[#This Row],[Crude_Breakdown]],crudeBD.lkup[Crude Breakdown],0)))^2</f>
        <v>0</v>
      </c>
      <c r="AM1320" s="4">
        <f>IF(AND(vp.data[[#This Row],[SDate]]&gt;=DATE(YEAR(vp.data[[#This Row],[SDate]]),5,1),vp.data[[#This Row],[SDate]]&lt;=DATE(YEAR(vp.data[[#This Row],[SDate]]),9,15)),1,0)</f>
        <v>0</v>
      </c>
      <c r="AN1320" s="4">
        <f>IF(vp.data[[#This Row],[SDate]]&lt;DATE(2016,12,1),0,1)</f>
        <v>1</v>
      </c>
      <c r="AO1320" s="4">
        <f>IFERROR(vp.data[[#This Row],[Sulf]]*vp.data[[#This Row],[Net Dens]],"")</f>
        <v>0</v>
      </c>
      <c r="AP1320">
        <f>IFERROR(vp.data[[#This Row],[Dens]]*vp.data[[#This Row],[VolumeM3]],"")</f>
        <v>23106.552</v>
      </c>
      <c r="AQ1320" s="15">
        <f>IFERROR(vp.data[[#This Row],[VP]]*vp.data[[#This Row],[VolumeM3]],"")</f>
        <v>3280.0440000000003</v>
      </c>
    </row>
    <row r="1321" spans="1:43" x14ac:dyDescent="0.25">
      <c r="A1321">
        <v>1320</v>
      </c>
      <c r="B1321" t="s">
        <v>269</v>
      </c>
      <c r="C1321" t="s">
        <v>278</v>
      </c>
      <c r="D1321" t="s">
        <v>279</v>
      </c>
      <c r="E1321">
        <v>322028</v>
      </c>
      <c r="F1321" s="1">
        <v>42819</v>
      </c>
      <c r="G1321" s="2">
        <v>94.7</v>
      </c>
      <c r="H1321" s="2">
        <v>0</v>
      </c>
      <c r="I1321" s="2">
        <f t="array" ref="I132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1" s="2">
        <v>5</v>
      </c>
      <c r="K1321" s="2">
        <v>2</v>
      </c>
      <c r="L1321" s="2">
        <v>655.7</v>
      </c>
      <c r="M1321" s="2">
        <f t="array" ref="M1321">_xlfn.IFNA(IF(vp.data[[#This Row],[Dens Input]]="",INDEX([1]DATA!$O$3:$O$9826,MATCH(1,(vp.data[[#This Row],[Battery]]=[1]DATA!$L$3:$L$9826)*(EOMONTH(vp.data[[#This Row],[SDate]],-1)+1=[1]DATA!$G$3:$G$9826),0)),vp.data[[#This Row],[Dens Input]]),"")</f>
        <v>655.7</v>
      </c>
      <c r="N1321" s="2">
        <f ca="1">INDEX(INDIRECT(_xlfn.CONCAT("weather.tbl[",N$1,"]")),MATCH(vp.data[[#This Row],[SDate]],weather.tbl[Date],0))</f>
        <v>5.2</v>
      </c>
      <c r="O1321" s="2">
        <f ca="1">INDEX(INDIRECT(_xlfn.CONCAT("weather.tbl[",O$1,"]")),MATCH(vp.data[[#This Row],[SDate]],weather.tbl[Date],0))</f>
        <v>-1.8166666666666675</v>
      </c>
      <c r="P1321" s="2">
        <f ca="1">INDEX(INDIRECT(_xlfn.CONCAT("weather.tbl[",P$1,"]")),MATCH(vp.data[[#This Row],[SDate]],weather.tbl[Date],0))</f>
        <v>6.4</v>
      </c>
      <c r="Q1321" s="2">
        <f ca="1">INDEX(INDIRECT(_xlfn.CONCAT("weather.tbl[",Q$1,"]")),MATCH(vp.data[[#This Row],[SDate]],weather.tbl[Date],0))</f>
        <v>7.7</v>
      </c>
      <c r="R1321" s="2">
        <f ca="1">INDEX(INDIRECT(_xlfn.CONCAT("weather.tbl[",R$1,"]")),MATCH(vp.data[[#This Row],[SDate]],weather.tbl[Date],0))</f>
        <v>3</v>
      </c>
      <c r="S1321" s="2">
        <f ca="1">INDEX(INDIRECT(_xlfn.CONCAT("weather.tbl[",S$1,"]")),MATCH(vp.data[[#This Row],[SDate]],weather.tbl[Date],0))</f>
        <v>8.1</v>
      </c>
      <c r="T1321" s="2">
        <f ca="1">INDEX(INDIRECT(_xlfn.CONCAT("weather.tbl[",T$1,"]")),MATCH(vp.data[[#This Row],[SDate]],weather.tbl[Date],0))</f>
        <v>0.7</v>
      </c>
      <c r="U1321" s="2">
        <f ca="1">INDEX(INDIRECT(_xlfn.CONCAT("weather.tbl[",U$1,"]")),MATCH(vp.data[[#This Row],[SDate]],weather.tbl[Date],0))</f>
        <v>5.3</v>
      </c>
      <c r="V1321" s="2">
        <f t="array" ref="V13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38.700000000000003</v>
      </c>
      <c r="W1321" t="s">
        <v>268</v>
      </c>
      <c r="X1321">
        <f>IF(OR(vp.data[[#This Row],[Sulf]]="",vp.data[[#This Row],[Dens]]=""),1,0)</f>
        <v>0</v>
      </c>
      <c r="Y1321">
        <f>IF(vp.data[[#This Row],[CrudeType]]="C5+",1,0)</f>
        <v>1</v>
      </c>
      <c r="Z1321">
        <f>IF(AND(vp.data[[#This Row],[CrudeType]]="Crude",vp.data[[#This Row],[Dens]]&lt;=825,vp.data[[#This Row],[Sulf]]&gt;0.5,vp.data[[#This Row],[Unknown]]=0),1,0)</f>
        <v>0</v>
      </c>
      <c r="AA1321">
        <f>IF(AND(vp.data[[#This Row],[CrudeType]]="Crude",vp.data[[#This Row],[Dens]]&lt;=825,vp.data[[#This Row],[Sulf]]&lt;=0.5,vp.data[[#This Row],[Unknown]]=0),1,0)</f>
        <v>0</v>
      </c>
      <c r="AB13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1">
        <f>IF(AND(vp.data[[#This Row],[CrudeType]]="Crude",vp.data[[#This Row],[Dens]]&gt;825,vp.data[[#This Row],[Dens]]&lt;=900,vp.data[[#This Row],[Sulf]]&lt;=0.5,vp.data[[#This Row],[Unknown]]=0),1,0)</f>
        <v>0</v>
      </c>
      <c r="AD1321">
        <f>IF(AND(vp.data[[#This Row],[CrudeType]]="Crude",vp.data[[#This Row],[Dens]]&gt;865,vp.data[[#This Row],[Dens]]&lt;=900,vp.data[[#This Row],[Sulf]]&gt;2,vp.data[[#This Row],[Unknown]]=0),1,0)</f>
        <v>0</v>
      </c>
      <c r="AE1321">
        <f>IF(AND(vp.data[[#This Row],[CrudeType]]="Crude",vp.data[[#This Row],[Dens]]&gt;900,vp.data[[#This Row],[Sulf]]&lt;=0.5,vp.data[[#This Row],[Unknown]]=0),1,0)</f>
        <v>0</v>
      </c>
      <c r="AF1321">
        <f>IF(AND(vp.data[[#This Row],[CrudeType]]="Crude",vp.data[[#This Row],[Dens]]&gt;900,vp.data[[#This Row],[Sulf]]&lt;=0.5,vp.data[[#This Row],[Unknown]]=0),1,0)</f>
        <v>0</v>
      </c>
      <c r="AG1321" t="str">
        <f>INDEX(vp.data[[#Headers],[Unknown]:[Heavy_SW]],MATCH(1,vp.data[[#This Row],[Unknown]:[Heavy_SW]],0))</f>
        <v>C5</v>
      </c>
      <c r="AH1321">
        <f>INDEX([3]!crudeBD.lkup[Number],MATCH(vp.data[[#This Row],[Crude_Breakdown]],crudeBD.lkup[Crude Breakdown],0))</f>
        <v>0</v>
      </c>
      <c r="AI1321">
        <f>MONTH(vp.data[[#This Row],[SDate]])</f>
        <v>3</v>
      </c>
      <c r="AJ1321" s="5">
        <f>(vp.data[[#This Row],[VP]]-INDEX(crudeBD.lkup[Mean_VP],MATCH(vp.data[[#This Row],[Crude_Breakdown]],crudeBD.lkup[Crude Breakdown],0)))^2</f>
        <v>71.897552089071894</v>
      </c>
      <c r="AK1321" s="5">
        <f>(vp.data[[#This Row],[Dens]]-INDEX(crudeBD.lkup[Mean_Dens],MATCH(vp.data[[#This Row],[Crude_Breakdown]],crudeBD.lkup[Crude Breakdown],0)))^2</f>
        <v>5.6463840449954033</v>
      </c>
      <c r="AL1321" s="5">
        <f>(vp.data[[#This Row],[Sulf]]-INDEX(crudeBD.lkup[Mean_Sulf],MATCH(vp.data[[#This Row],[Crude_Breakdown]],crudeBD.lkup[Crude Breakdown],0)))^2</f>
        <v>0</v>
      </c>
      <c r="AM1321" s="4">
        <f>IF(AND(vp.data[[#This Row],[SDate]]&gt;=DATE(YEAR(vp.data[[#This Row],[SDate]]),5,1),vp.data[[#This Row],[SDate]]&lt;=DATE(YEAR(vp.data[[#This Row],[SDate]]),9,15)),1,0)</f>
        <v>0</v>
      </c>
      <c r="AN1321" s="4">
        <f>IF(vp.data[[#This Row],[SDate]]&lt;DATE(2016,12,1),0,1)</f>
        <v>1</v>
      </c>
      <c r="AO1321" s="4">
        <f>IFERROR(vp.data[[#This Row],[Sulf]]*vp.data[[#This Row],[Net Dens]],"")</f>
        <v>0</v>
      </c>
      <c r="AP1321">
        <f>IFERROR(vp.data[[#This Row],[Dens]]*vp.data[[#This Row],[VolumeM3]],"")</f>
        <v>25375.590000000004</v>
      </c>
      <c r="AQ1321" s="15">
        <f>IFERROR(vp.data[[#This Row],[VP]]*vp.data[[#This Row],[VolumeM3]],"")</f>
        <v>3664.8900000000003</v>
      </c>
    </row>
    <row r="1322" spans="1:43" x14ac:dyDescent="0.25">
      <c r="A1322">
        <v>1321</v>
      </c>
      <c r="B1322" t="s">
        <v>265</v>
      </c>
      <c r="C1322" t="s">
        <v>266</v>
      </c>
      <c r="D1322" t="s">
        <v>267</v>
      </c>
      <c r="E1322">
        <v>322428</v>
      </c>
      <c r="F1322" s="1">
        <v>42821</v>
      </c>
      <c r="G1322" s="2">
        <v>106</v>
      </c>
      <c r="H1322" s="2">
        <v>0</v>
      </c>
      <c r="I1322" s="2">
        <f t="array" ref="I132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2" s="2">
        <v>10</v>
      </c>
      <c r="K1322" s="2">
        <v>4</v>
      </c>
      <c r="L1322" s="2">
        <v>657.5</v>
      </c>
      <c r="M1322" s="2">
        <f t="array" ref="M1322">_xlfn.IFNA(IF(vp.data[[#This Row],[Dens Input]]="",INDEX([1]DATA!$O$3:$O$9826,MATCH(1,(vp.data[[#This Row],[Battery]]=[1]DATA!$L$3:$L$9826)*(EOMONTH(vp.data[[#This Row],[SDate]],-1)+1=[1]DATA!$G$3:$G$9826),0)),vp.data[[#This Row],[Dens Input]]),"")</f>
        <v>657.5</v>
      </c>
      <c r="N1322" s="2">
        <f ca="1">INDEX(INDIRECT(_xlfn.CONCAT("weather.tbl[",N$1,"]")),MATCH(vp.data[[#This Row],[SDate]],weather.tbl[Date],0))</f>
        <v>1.4666666666666668</v>
      </c>
      <c r="O1322" s="2">
        <f ca="1">INDEX(INDIRECT(_xlfn.CONCAT("weather.tbl[",O$1,"]")),MATCH(vp.data[[#This Row],[SDate]],weather.tbl[Date],0))</f>
        <v>-0.90238095238095273</v>
      </c>
      <c r="P1322" s="2">
        <f ca="1">INDEX(INDIRECT(_xlfn.CONCAT("weather.tbl[",P$1,"]")),MATCH(vp.data[[#This Row],[SDate]],weather.tbl[Date],0))</f>
        <v>0.7</v>
      </c>
      <c r="Q1322" s="2">
        <f ca="1">INDEX(INDIRECT(_xlfn.CONCAT("weather.tbl[",Q$1,"]")),MATCH(vp.data[[#This Row],[SDate]],weather.tbl[Date],0))</f>
        <v>3</v>
      </c>
      <c r="R1322" s="2">
        <f ca="1">INDEX(INDIRECT(_xlfn.CONCAT("weather.tbl[",R$1,"]")),MATCH(vp.data[[#This Row],[SDate]],weather.tbl[Date],0))</f>
        <v>1.3</v>
      </c>
      <c r="S1322" s="2">
        <f ca="1">INDEX(INDIRECT(_xlfn.CONCAT("weather.tbl[",S$1,"]")),MATCH(vp.data[[#This Row],[SDate]],weather.tbl[Date],0))</f>
        <v>3.3</v>
      </c>
      <c r="T1322" s="2">
        <f ca="1">INDEX(INDIRECT(_xlfn.CONCAT("weather.tbl[",T$1,"]")),MATCH(vp.data[[#This Row],[SDate]],weather.tbl[Date],0))</f>
        <v>-0.3</v>
      </c>
      <c r="U1322" s="2">
        <f ca="1">INDEX(INDIRECT(_xlfn.CONCAT("weather.tbl[",U$1,"]")),MATCH(vp.data[[#This Row],[SDate]],weather.tbl[Date],0))</f>
        <v>0.8</v>
      </c>
      <c r="V1322" s="2">
        <f t="array" ref="V13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32.630000000000003</v>
      </c>
      <c r="W1322" t="s">
        <v>268</v>
      </c>
      <c r="X1322">
        <f>IF(OR(vp.data[[#This Row],[Sulf]]="",vp.data[[#This Row],[Dens]]=""),1,0)</f>
        <v>0</v>
      </c>
      <c r="Y1322">
        <f>IF(vp.data[[#This Row],[CrudeType]]="C5+",1,0)</f>
        <v>1</v>
      </c>
      <c r="Z1322">
        <f>IF(AND(vp.data[[#This Row],[CrudeType]]="Crude",vp.data[[#This Row],[Dens]]&lt;=825,vp.data[[#This Row],[Sulf]]&gt;0.5,vp.data[[#This Row],[Unknown]]=0),1,0)</f>
        <v>0</v>
      </c>
      <c r="AA1322">
        <f>IF(AND(vp.data[[#This Row],[CrudeType]]="Crude",vp.data[[#This Row],[Dens]]&lt;=825,vp.data[[#This Row],[Sulf]]&lt;=0.5,vp.data[[#This Row],[Unknown]]=0),1,0)</f>
        <v>0</v>
      </c>
      <c r="AB13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2">
        <f>IF(AND(vp.data[[#This Row],[CrudeType]]="Crude",vp.data[[#This Row],[Dens]]&gt;825,vp.data[[#This Row],[Dens]]&lt;=900,vp.data[[#This Row],[Sulf]]&lt;=0.5,vp.data[[#This Row],[Unknown]]=0),1,0)</f>
        <v>0</v>
      </c>
      <c r="AD1322">
        <f>IF(AND(vp.data[[#This Row],[CrudeType]]="Crude",vp.data[[#This Row],[Dens]]&gt;865,vp.data[[#This Row],[Dens]]&lt;=900,vp.data[[#This Row],[Sulf]]&gt;2,vp.data[[#This Row],[Unknown]]=0),1,0)</f>
        <v>0</v>
      </c>
      <c r="AE1322">
        <f>IF(AND(vp.data[[#This Row],[CrudeType]]="Crude",vp.data[[#This Row],[Dens]]&gt;900,vp.data[[#This Row],[Sulf]]&lt;=0.5,vp.data[[#This Row],[Unknown]]=0),1,0)</f>
        <v>0</v>
      </c>
      <c r="AF1322">
        <f>IF(AND(vp.data[[#This Row],[CrudeType]]="Crude",vp.data[[#This Row],[Dens]]&gt;900,vp.data[[#This Row],[Sulf]]&lt;=0.5,vp.data[[#This Row],[Unknown]]=0),1,0)</f>
        <v>0</v>
      </c>
      <c r="AG1322" t="str">
        <f>INDEX(vp.data[[#Headers],[Unknown]:[Heavy_SW]],MATCH(1,vp.data[[#This Row],[Unknown]:[Heavy_SW]],0))</f>
        <v>C5</v>
      </c>
      <c r="AH1322">
        <f>INDEX([3]!crudeBD.lkup[Number],MATCH(vp.data[[#This Row],[Crude_Breakdown]],crudeBD.lkup[Crude Breakdown],0))</f>
        <v>0</v>
      </c>
      <c r="AI1322">
        <f>MONTH(vp.data[[#This Row],[SDate]])</f>
        <v>3</v>
      </c>
      <c r="AJ1322" s="5">
        <f>(vp.data[[#This Row],[VP]]-INDEX(crudeBD.lkup[Mean_VP],MATCH(vp.data[[#This Row],[Crude_Breakdown]],crudeBD.lkup[Crude Breakdown],0)))^2</f>
        <v>7.9566733011939537</v>
      </c>
      <c r="AK1322" s="5">
        <f>(vp.data[[#This Row],[Dens]]-INDEX(crudeBD.lkup[Mean_Dens],MATCH(vp.data[[#This Row],[Crude_Breakdown]],crudeBD.lkup[Crude Breakdown],0)))^2</f>
        <v>0.33202040863182342</v>
      </c>
      <c r="AL1322" s="5">
        <f>(vp.data[[#This Row],[Sulf]]-INDEX(crudeBD.lkup[Mean_Sulf],MATCH(vp.data[[#This Row],[Crude_Breakdown]],crudeBD.lkup[Crude Breakdown],0)))^2</f>
        <v>0</v>
      </c>
      <c r="AM1322" s="4">
        <f>IF(AND(vp.data[[#This Row],[SDate]]&gt;=DATE(YEAR(vp.data[[#This Row],[SDate]]),5,1),vp.data[[#This Row],[SDate]]&lt;=DATE(YEAR(vp.data[[#This Row],[SDate]]),9,15)),1,0)</f>
        <v>0</v>
      </c>
      <c r="AN1322" s="4">
        <f>IF(vp.data[[#This Row],[SDate]]&lt;DATE(2016,12,1),0,1)</f>
        <v>1</v>
      </c>
      <c r="AO1322" s="4">
        <f>IFERROR(vp.data[[#This Row],[Sulf]]*vp.data[[#This Row],[Net Dens]],"")</f>
        <v>0</v>
      </c>
      <c r="AP1322">
        <f>IFERROR(vp.data[[#This Row],[Dens]]*vp.data[[#This Row],[VolumeM3]],"")</f>
        <v>21454.225000000002</v>
      </c>
      <c r="AQ1322" s="15">
        <f>IFERROR(vp.data[[#This Row],[VP]]*vp.data[[#This Row],[VolumeM3]],"")</f>
        <v>3458.78</v>
      </c>
    </row>
    <row r="1323" spans="1:43" x14ac:dyDescent="0.25">
      <c r="A1323">
        <v>1322</v>
      </c>
      <c r="B1323" t="s">
        <v>275</v>
      </c>
      <c r="C1323" t="s">
        <v>276</v>
      </c>
      <c r="D1323" t="s">
        <v>277</v>
      </c>
      <c r="E1323">
        <v>322423</v>
      </c>
      <c r="F1323" s="1">
        <v>42821</v>
      </c>
      <c r="G1323" s="2">
        <v>95</v>
      </c>
      <c r="H1323" s="2">
        <v>0</v>
      </c>
      <c r="I1323" s="2">
        <f t="array" ref="I132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3" s="2">
        <v>13.4</v>
      </c>
      <c r="K1323" s="2">
        <v>4</v>
      </c>
      <c r="L1323" s="2">
        <v>660.8</v>
      </c>
      <c r="M1323" s="2">
        <f t="array" ref="M1323">_xlfn.IFNA(IF(vp.data[[#This Row],[Dens Input]]="",INDEX([1]DATA!$O$3:$O$9826,MATCH(1,(vp.data[[#This Row],[Battery]]=[1]DATA!$L$3:$L$9826)*(EOMONTH(vp.data[[#This Row],[SDate]],-1)+1=[1]DATA!$G$3:$G$9826),0)),vp.data[[#This Row],[Dens Input]]),"")</f>
        <v>660.8</v>
      </c>
      <c r="N1323" s="2">
        <f ca="1">INDEX(INDIRECT(_xlfn.CONCAT("weather.tbl[",N$1,"]")),MATCH(vp.data[[#This Row],[SDate]],weather.tbl[Date],0))</f>
        <v>1.4666666666666668</v>
      </c>
      <c r="O1323" s="2">
        <f ca="1">INDEX(INDIRECT(_xlfn.CONCAT("weather.tbl[",O$1,"]")),MATCH(vp.data[[#This Row],[SDate]],weather.tbl[Date],0))</f>
        <v>-0.90238095238095273</v>
      </c>
      <c r="P1323" s="2">
        <f ca="1">INDEX(INDIRECT(_xlfn.CONCAT("weather.tbl[",P$1,"]")),MATCH(vp.data[[#This Row],[SDate]],weather.tbl[Date],0))</f>
        <v>0.7</v>
      </c>
      <c r="Q1323" s="2">
        <f ca="1">INDEX(INDIRECT(_xlfn.CONCAT("weather.tbl[",Q$1,"]")),MATCH(vp.data[[#This Row],[SDate]],weather.tbl[Date],0))</f>
        <v>3</v>
      </c>
      <c r="R1323" s="2">
        <f ca="1">INDEX(INDIRECT(_xlfn.CONCAT("weather.tbl[",R$1,"]")),MATCH(vp.data[[#This Row],[SDate]],weather.tbl[Date],0))</f>
        <v>1.3</v>
      </c>
      <c r="S1323" s="2">
        <f ca="1">INDEX(INDIRECT(_xlfn.CONCAT("weather.tbl[",S$1,"]")),MATCH(vp.data[[#This Row],[SDate]],weather.tbl[Date],0))</f>
        <v>3.3</v>
      </c>
      <c r="T1323" s="2">
        <f ca="1">INDEX(INDIRECT(_xlfn.CONCAT("weather.tbl[",T$1,"]")),MATCH(vp.data[[#This Row],[SDate]],weather.tbl[Date],0))</f>
        <v>-0.3</v>
      </c>
      <c r="U1323" s="2">
        <f ca="1">INDEX(INDIRECT(_xlfn.CONCAT("weather.tbl[",U$1,"]")),MATCH(vp.data[[#This Row],[SDate]],weather.tbl[Date],0))</f>
        <v>0.8</v>
      </c>
      <c r="V1323" s="2">
        <f t="array" ref="V13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38.44</v>
      </c>
      <c r="W1323" t="s">
        <v>268</v>
      </c>
      <c r="X1323">
        <f>IF(OR(vp.data[[#This Row],[Sulf]]="",vp.data[[#This Row],[Dens]]=""),1,0)</f>
        <v>0</v>
      </c>
      <c r="Y1323">
        <f>IF(vp.data[[#This Row],[CrudeType]]="C5+",1,0)</f>
        <v>1</v>
      </c>
      <c r="Z1323">
        <f>IF(AND(vp.data[[#This Row],[CrudeType]]="Crude",vp.data[[#This Row],[Dens]]&lt;=825,vp.data[[#This Row],[Sulf]]&gt;0.5,vp.data[[#This Row],[Unknown]]=0),1,0)</f>
        <v>0</v>
      </c>
      <c r="AA1323">
        <f>IF(AND(vp.data[[#This Row],[CrudeType]]="Crude",vp.data[[#This Row],[Dens]]&lt;=825,vp.data[[#This Row],[Sulf]]&lt;=0.5,vp.data[[#This Row],[Unknown]]=0),1,0)</f>
        <v>0</v>
      </c>
      <c r="AB13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3">
        <f>IF(AND(vp.data[[#This Row],[CrudeType]]="Crude",vp.data[[#This Row],[Dens]]&gt;825,vp.data[[#This Row],[Dens]]&lt;=900,vp.data[[#This Row],[Sulf]]&lt;=0.5,vp.data[[#This Row],[Unknown]]=0),1,0)</f>
        <v>0</v>
      </c>
      <c r="AD1323">
        <f>IF(AND(vp.data[[#This Row],[CrudeType]]="Crude",vp.data[[#This Row],[Dens]]&gt;865,vp.data[[#This Row],[Dens]]&lt;=900,vp.data[[#This Row],[Sulf]]&gt;2,vp.data[[#This Row],[Unknown]]=0),1,0)</f>
        <v>0</v>
      </c>
      <c r="AE1323">
        <f>IF(AND(vp.data[[#This Row],[CrudeType]]="Crude",vp.data[[#This Row],[Dens]]&gt;900,vp.data[[#This Row],[Sulf]]&lt;=0.5,vp.data[[#This Row],[Unknown]]=0),1,0)</f>
        <v>0</v>
      </c>
      <c r="AF1323">
        <f>IF(AND(vp.data[[#This Row],[CrudeType]]="Crude",vp.data[[#This Row],[Dens]]&gt;900,vp.data[[#This Row],[Sulf]]&lt;=0.5,vp.data[[#This Row],[Unknown]]=0),1,0)</f>
        <v>0</v>
      </c>
      <c r="AG1323" t="str">
        <f>INDEX(vp.data[[#Headers],[Unknown]:[Heavy_SW]],MATCH(1,vp.data[[#This Row],[Unknown]:[Heavy_SW]],0))</f>
        <v>C5</v>
      </c>
      <c r="AH1323">
        <f>INDEX([3]!crudeBD.lkup[Number],MATCH(vp.data[[#This Row],[Crude_Breakdown]],crudeBD.lkup[Crude Breakdown],0))</f>
        <v>0</v>
      </c>
      <c r="AI1323">
        <f>MONTH(vp.data[[#This Row],[SDate]])</f>
        <v>3</v>
      </c>
      <c r="AJ1323" s="5">
        <f>(vp.data[[#This Row],[VP]]-INDEX(crudeBD.lkup[Mean_VP],MATCH(vp.data[[#This Row],[Crude_Breakdown]],crudeBD.lkup[Crude Breakdown],0)))^2</f>
        <v>66.90000663452652</v>
      </c>
      <c r="AK1323" s="5">
        <f>(vp.data[[#This Row],[Dens]]-INDEX(crudeBD.lkup[Mean_Dens],MATCH(vp.data[[#This Row],[Crude_Breakdown]],crudeBD.lkup[Crude Breakdown],0)))^2</f>
        <v>7.4190204086312832</v>
      </c>
      <c r="AL1323" s="5">
        <f>(vp.data[[#This Row],[Sulf]]-INDEX(crudeBD.lkup[Mean_Sulf],MATCH(vp.data[[#This Row],[Crude_Breakdown]],crudeBD.lkup[Crude Breakdown],0)))^2</f>
        <v>0</v>
      </c>
      <c r="AM1323" s="4">
        <f>IF(AND(vp.data[[#This Row],[SDate]]&gt;=DATE(YEAR(vp.data[[#This Row],[SDate]]),5,1),vp.data[[#This Row],[SDate]]&lt;=DATE(YEAR(vp.data[[#This Row],[SDate]]),9,15)),1,0)</f>
        <v>0</v>
      </c>
      <c r="AN1323" s="4">
        <f>IF(vp.data[[#This Row],[SDate]]&lt;DATE(2016,12,1),0,1)</f>
        <v>1</v>
      </c>
      <c r="AO1323" s="4">
        <f>IFERROR(vp.data[[#This Row],[Sulf]]*vp.data[[#This Row],[Net Dens]],"")</f>
        <v>0</v>
      </c>
      <c r="AP1323">
        <f>IFERROR(vp.data[[#This Row],[Dens]]*vp.data[[#This Row],[VolumeM3]],"")</f>
        <v>25401.151999999998</v>
      </c>
      <c r="AQ1323" s="15">
        <f>IFERROR(vp.data[[#This Row],[VP]]*vp.data[[#This Row],[VolumeM3]],"")</f>
        <v>3651.7999999999997</v>
      </c>
    </row>
    <row r="1324" spans="1:43" x14ac:dyDescent="0.25">
      <c r="A1324">
        <v>1323</v>
      </c>
      <c r="B1324" t="s">
        <v>272</v>
      </c>
      <c r="C1324" t="s">
        <v>280</v>
      </c>
      <c r="D1324" t="s">
        <v>281</v>
      </c>
      <c r="E1324">
        <v>322565</v>
      </c>
      <c r="F1324" s="1">
        <v>42821</v>
      </c>
      <c r="G1324" s="2">
        <v>103.8</v>
      </c>
      <c r="H1324" s="2">
        <v>0</v>
      </c>
      <c r="I1324" s="2">
        <f t="array" ref="I132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4" s="2"/>
      <c r="K1324" s="2">
        <v>4</v>
      </c>
      <c r="L1324" s="2">
        <v>646.4</v>
      </c>
      <c r="M1324" s="2">
        <f t="array" ref="M1324">_xlfn.IFNA(IF(vp.data[[#This Row],[Dens Input]]="",INDEX([1]DATA!$O$3:$O$9826,MATCH(1,(vp.data[[#This Row],[Battery]]=[1]DATA!$L$3:$L$9826)*(EOMONTH(vp.data[[#This Row],[SDate]],-1)+1=[1]DATA!$G$3:$G$9826),0)),vp.data[[#This Row],[Dens Input]]),"")</f>
        <v>646.4</v>
      </c>
      <c r="N1324" s="2">
        <f ca="1">INDEX(INDIRECT(_xlfn.CONCAT("weather.tbl[",N$1,"]")),MATCH(vp.data[[#This Row],[SDate]],weather.tbl[Date],0))</f>
        <v>1.4666666666666668</v>
      </c>
      <c r="O1324" s="2">
        <f ca="1">INDEX(INDIRECT(_xlfn.CONCAT("weather.tbl[",O$1,"]")),MATCH(vp.data[[#This Row],[SDate]],weather.tbl[Date],0))</f>
        <v>-0.90238095238095273</v>
      </c>
      <c r="P1324" s="2">
        <f ca="1">INDEX(INDIRECT(_xlfn.CONCAT("weather.tbl[",P$1,"]")),MATCH(vp.data[[#This Row],[SDate]],weather.tbl[Date],0))</f>
        <v>0.7</v>
      </c>
      <c r="Q1324" s="2">
        <f ca="1">INDEX(INDIRECT(_xlfn.CONCAT("weather.tbl[",Q$1,"]")),MATCH(vp.data[[#This Row],[SDate]],weather.tbl[Date],0))</f>
        <v>3</v>
      </c>
      <c r="R1324" s="2">
        <f ca="1">INDEX(INDIRECT(_xlfn.CONCAT("weather.tbl[",R$1,"]")),MATCH(vp.data[[#This Row],[SDate]],weather.tbl[Date],0))</f>
        <v>1.3</v>
      </c>
      <c r="S1324" s="2">
        <f ca="1">INDEX(INDIRECT(_xlfn.CONCAT("weather.tbl[",S$1,"]")),MATCH(vp.data[[#This Row],[SDate]],weather.tbl[Date],0))</f>
        <v>3.3</v>
      </c>
      <c r="T1324" s="2">
        <f ca="1">INDEX(INDIRECT(_xlfn.CONCAT("weather.tbl[",T$1,"]")),MATCH(vp.data[[#This Row],[SDate]],weather.tbl[Date],0))</f>
        <v>-0.3</v>
      </c>
      <c r="U1324" s="2">
        <f ca="1">INDEX(INDIRECT(_xlfn.CONCAT("weather.tbl[",U$1,"]")),MATCH(vp.data[[#This Row],[SDate]],weather.tbl[Date],0))</f>
        <v>0.8</v>
      </c>
      <c r="V1324" s="2">
        <f t="array" ref="V13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33.880000000000003</v>
      </c>
      <c r="W1324" t="s">
        <v>268</v>
      </c>
      <c r="X1324">
        <f>IF(OR(vp.data[[#This Row],[Sulf]]="",vp.data[[#This Row],[Dens]]=""),1,0)</f>
        <v>0</v>
      </c>
      <c r="Y1324">
        <f>IF(vp.data[[#This Row],[CrudeType]]="C5+",1,0)</f>
        <v>1</v>
      </c>
      <c r="Z1324">
        <f>IF(AND(vp.data[[#This Row],[CrudeType]]="Crude",vp.data[[#This Row],[Dens]]&lt;=825,vp.data[[#This Row],[Sulf]]&gt;0.5,vp.data[[#This Row],[Unknown]]=0),1,0)</f>
        <v>0</v>
      </c>
      <c r="AA1324">
        <f>IF(AND(vp.data[[#This Row],[CrudeType]]="Crude",vp.data[[#This Row],[Dens]]&lt;=825,vp.data[[#This Row],[Sulf]]&lt;=0.5,vp.data[[#This Row],[Unknown]]=0),1,0)</f>
        <v>0</v>
      </c>
      <c r="AB13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4">
        <f>IF(AND(vp.data[[#This Row],[CrudeType]]="Crude",vp.data[[#This Row],[Dens]]&gt;825,vp.data[[#This Row],[Dens]]&lt;=900,vp.data[[#This Row],[Sulf]]&lt;=0.5,vp.data[[#This Row],[Unknown]]=0),1,0)</f>
        <v>0</v>
      </c>
      <c r="AD1324">
        <f>IF(AND(vp.data[[#This Row],[CrudeType]]="Crude",vp.data[[#This Row],[Dens]]&gt;865,vp.data[[#This Row],[Dens]]&lt;=900,vp.data[[#This Row],[Sulf]]&gt;2,vp.data[[#This Row],[Unknown]]=0),1,0)</f>
        <v>0</v>
      </c>
      <c r="AE1324">
        <f>IF(AND(vp.data[[#This Row],[CrudeType]]="Crude",vp.data[[#This Row],[Dens]]&gt;900,vp.data[[#This Row],[Sulf]]&lt;=0.5,vp.data[[#This Row],[Unknown]]=0),1,0)</f>
        <v>0</v>
      </c>
      <c r="AF1324">
        <f>IF(AND(vp.data[[#This Row],[CrudeType]]="Crude",vp.data[[#This Row],[Dens]]&gt;900,vp.data[[#This Row],[Sulf]]&lt;=0.5,vp.data[[#This Row],[Unknown]]=0),1,0)</f>
        <v>0</v>
      </c>
      <c r="AG1324" t="str">
        <f>INDEX(vp.data[[#Headers],[Unknown]:[Heavy_SW]],MATCH(1,vp.data[[#This Row],[Unknown]:[Heavy_SW]],0))</f>
        <v>C5</v>
      </c>
      <c r="AH1324">
        <f>INDEX([3]!crudeBD.lkup[Number],MATCH(vp.data[[#This Row],[Crude_Breakdown]],crudeBD.lkup[Crude Breakdown],0))</f>
        <v>0</v>
      </c>
      <c r="AI1324">
        <f>MONTH(vp.data[[#This Row],[SDate]])</f>
        <v>3</v>
      </c>
      <c r="AJ1324" s="5">
        <f>(vp.data[[#This Row],[VP]]-INDEX(crudeBD.lkup[Mean_VP],MATCH(vp.data[[#This Row],[Crude_Breakdown]],crudeBD.lkup[Crude Breakdown],0)))^2</f>
        <v>0.38533996786046248</v>
      </c>
      <c r="AK1324" s="5">
        <f>(vp.data[[#This Row],[Dens]]-INDEX(crudeBD.lkup[Mean_Dens],MATCH(vp.data[[#This Row],[Crude_Breakdown]],crudeBD.lkup[Crude Breakdown],0)))^2</f>
        <v>136.33392949954242</v>
      </c>
      <c r="AL1324" s="5">
        <f>(vp.data[[#This Row],[Sulf]]-INDEX(crudeBD.lkup[Mean_Sulf],MATCH(vp.data[[#This Row],[Crude_Breakdown]],crudeBD.lkup[Crude Breakdown],0)))^2</f>
        <v>0</v>
      </c>
      <c r="AM1324" s="4">
        <f>IF(AND(vp.data[[#This Row],[SDate]]&gt;=DATE(YEAR(vp.data[[#This Row],[SDate]]),5,1),vp.data[[#This Row],[SDate]]&lt;=DATE(YEAR(vp.data[[#This Row],[SDate]]),9,15)),1,0)</f>
        <v>0</v>
      </c>
      <c r="AN1324" s="4">
        <f>IF(vp.data[[#This Row],[SDate]]&lt;DATE(2016,12,1),0,1)</f>
        <v>1</v>
      </c>
      <c r="AO1324" s="4">
        <f>IFERROR(vp.data[[#This Row],[Sulf]]*vp.data[[#This Row],[Net Dens]],"")</f>
        <v>0</v>
      </c>
      <c r="AP1324">
        <f>IFERROR(vp.data[[#This Row],[Dens]]*vp.data[[#This Row],[VolumeM3]],"")</f>
        <v>21900.031999999999</v>
      </c>
      <c r="AQ1324" s="15">
        <f>IFERROR(vp.data[[#This Row],[VP]]*vp.data[[#This Row],[VolumeM3]],"")</f>
        <v>3516.7440000000001</v>
      </c>
    </row>
    <row r="1325" spans="1:43" x14ac:dyDescent="0.25">
      <c r="A1325">
        <v>1324</v>
      </c>
      <c r="B1325" t="s">
        <v>272</v>
      </c>
      <c r="C1325" t="s">
        <v>273</v>
      </c>
      <c r="D1325" t="s">
        <v>274</v>
      </c>
      <c r="E1325">
        <v>322561</v>
      </c>
      <c r="F1325" s="1">
        <v>42822</v>
      </c>
      <c r="G1325" s="2">
        <v>106.2</v>
      </c>
      <c r="H1325" s="2">
        <v>0</v>
      </c>
      <c r="I1325" s="2">
        <f t="array" ref="I132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5" s="2">
        <v>10.07</v>
      </c>
      <c r="K1325" s="2">
        <v>12</v>
      </c>
      <c r="L1325" s="2">
        <v>659.05</v>
      </c>
      <c r="M1325" s="2">
        <f t="array" ref="M1325">_xlfn.IFNA(IF(vp.data[[#This Row],[Dens Input]]="",INDEX([1]DATA!$O$3:$O$9826,MATCH(1,(vp.data[[#This Row],[Battery]]=[1]DATA!$L$3:$L$9826)*(EOMONTH(vp.data[[#This Row],[SDate]],-1)+1=[1]DATA!$G$3:$G$9826),0)),vp.data[[#This Row],[Dens Input]]),"")</f>
        <v>659.05</v>
      </c>
      <c r="N1325" s="2">
        <f ca="1">INDEX(INDIRECT(_xlfn.CONCAT("weather.tbl[",N$1,"]")),MATCH(vp.data[[#This Row],[SDate]],weather.tbl[Date],0))</f>
        <v>1.5833333333333333</v>
      </c>
      <c r="O1325" s="2">
        <f ca="1">INDEX(INDIRECT(_xlfn.CONCAT("weather.tbl[",O$1,"]")),MATCH(vp.data[[#This Row],[SDate]],weather.tbl[Date],0))</f>
        <v>0.72619047619047616</v>
      </c>
      <c r="P1325" s="2">
        <f ca="1">INDEX(INDIRECT(_xlfn.CONCAT("weather.tbl[",P$1,"]")),MATCH(vp.data[[#This Row],[SDate]],weather.tbl[Date],0))</f>
        <v>2</v>
      </c>
      <c r="Q1325" s="2">
        <f ca="1">INDEX(INDIRECT(_xlfn.CONCAT("weather.tbl[",Q$1,"]")),MATCH(vp.data[[#This Row],[SDate]],weather.tbl[Date],0))</f>
        <v>2.1</v>
      </c>
      <c r="R1325" s="2">
        <f ca="1">INDEX(INDIRECT(_xlfn.CONCAT("weather.tbl[",R$1,"]")),MATCH(vp.data[[#This Row],[SDate]],weather.tbl[Date],0))</f>
        <v>1.3</v>
      </c>
      <c r="S1325" s="2">
        <f ca="1">INDEX(INDIRECT(_xlfn.CONCAT("weather.tbl[",S$1,"]")),MATCH(vp.data[[#This Row],[SDate]],weather.tbl[Date],0))</f>
        <v>1.8</v>
      </c>
      <c r="T1325" s="2">
        <f ca="1">INDEX(INDIRECT(_xlfn.CONCAT("weather.tbl[",T$1,"]")),MATCH(vp.data[[#This Row],[SDate]],weather.tbl[Date],0))</f>
        <v>1</v>
      </c>
      <c r="U1325" s="2">
        <f ca="1">INDEX(INDIRECT(_xlfn.CONCAT("weather.tbl[",U$1,"]")),MATCH(vp.data[[#This Row],[SDate]],weather.tbl[Date],0))</f>
        <v>1.3</v>
      </c>
      <c r="V1325" s="2">
        <f t="array" ref="V13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31.85</v>
      </c>
      <c r="W1325" t="s">
        <v>268</v>
      </c>
      <c r="X1325">
        <f>IF(OR(vp.data[[#This Row],[Sulf]]="",vp.data[[#This Row],[Dens]]=""),1,0)</f>
        <v>0</v>
      </c>
      <c r="Y1325">
        <f>IF(vp.data[[#This Row],[CrudeType]]="C5+",1,0)</f>
        <v>1</v>
      </c>
      <c r="Z1325">
        <f>IF(AND(vp.data[[#This Row],[CrudeType]]="Crude",vp.data[[#This Row],[Dens]]&lt;=825,vp.data[[#This Row],[Sulf]]&gt;0.5,vp.data[[#This Row],[Unknown]]=0),1,0)</f>
        <v>0</v>
      </c>
      <c r="AA1325">
        <f>IF(AND(vp.data[[#This Row],[CrudeType]]="Crude",vp.data[[#This Row],[Dens]]&lt;=825,vp.data[[#This Row],[Sulf]]&lt;=0.5,vp.data[[#This Row],[Unknown]]=0),1,0)</f>
        <v>0</v>
      </c>
      <c r="AB13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5">
        <f>IF(AND(vp.data[[#This Row],[CrudeType]]="Crude",vp.data[[#This Row],[Dens]]&gt;825,vp.data[[#This Row],[Dens]]&lt;=900,vp.data[[#This Row],[Sulf]]&lt;=0.5,vp.data[[#This Row],[Unknown]]=0),1,0)</f>
        <v>0</v>
      </c>
      <c r="AD1325">
        <f>IF(AND(vp.data[[#This Row],[CrudeType]]="Crude",vp.data[[#This Row],[Dens]]&gt;865,vp.data[[#This Row],[Dens]]&lt;=900,vp.data[[#This Row],[Sulf]]&gt;2,vp.data[[#This Row],[Unknown]]=0),1,0)</f>
        <v>0</v>
      </c>
      <c r="AE1325">
        <f>IF(AND(vp.data[[#This Row],[CrudeType]]="Crude",vp.data[[#This Row],[Dens]]&gt;900,vp.data[[#This Row],[Sulf]]&lt;=0.5,vp.data[[#This Row],[Unknown]]=0),1,0)</f>
        <v>0</v>
      </c>
      <c r="AF1325">
        <f>IF(AND(vp.data[[#This Row],[CrudeType]]="Crude",vp.data[[#This Row],[Dens]]&gt;900,vp.data[[#This Row],[Sulf]]&lt;=0.5,vp.data[[#This Row],[Unknown]]=0),1,0)</f>
        <v>0</v>
      </c>
      <c r="AG1325" t="str">
        <f>INDEX(vp.data[[#Headers],[Unknown]:[Heavy_SW]],MATCH(1,vp.data[[#This Row],[Unknown]:[Heavy_SW]],0))</f>
        <v>C5</v>
      </c>
      <c r="AH1325">
        <f>INDEX([3]!crudeBD.lkup[Number],MATCH(vp.data[[#This Row],[Crude_Breakdown]],crudeBD.lkup[Crude Breakdown],0))</f>
        <v>0</v>
      </c>
      <c r="AI1325">
        <f>MONTH(vp.data[[#This Row],[SDate]])</f>
        <v>3</v>
      </c>
      <c r="AJ1325" s="5">
        <f>(vp.data[[#This Row],[VP]]-INDEX(crudeBD.lkup[Mean_VP],MATCH(vp.data[[#This Row],[Crude_Breakdown]],crudeBD.lkup[Crude Breakdown],0)))^2</f>
        <v>9.1249763314970149</v>
      </c>
      <c r="AK1325" s="5">
        <f>(vp.data[[#This Row],[Dens]]-INDEX(crudeBD.lkup[Mean_Dens],MATCH(vp.data[[#This Row],[Crude_Breakdown]],crudeBD.lkup[Crude Breakdown],0)))^2</f>
        <v>0.94826283287402158</v>
      </c>
      <c r="AL1325" s="5">
        <f>(vp.data[[#This Row],[Sulf]]-INDEX(crudeBD.lkup[Mean_Sulf],MATCH(vp.data[[#This Row],[Crude_Breakdown]],crudeBD.lkup[Crude Breakdown],0)))^2</f>
        <v>0</v>
      </c>
      <c r="AM1325" s="4">
        <f>IF(AND(vp.data[[#This Row],[SDate]]&gt;=DATE(YEAR(vp.data[[#This Row],[SDate]]),5,1),vp.data[[#This Row],[SDate]]&lt;=DATE(YEAR(vp.data[[#This Row],[SDate]]),9,15)),1,0)</f>
        <v>0</v>
      </c>
      <c r="AN1325" s="4">
        <f>IF(vp.data[[#This Row],[SDate]]&lt;DATE(2016,12,1),0,1)</f>
        <v>1</v>
      </c>
      <c r="AO1325" s="4">
        <f>IFERROR(vp.data[[#This Row],[Sulf]]*vp.data[[#This Row],[Net Dens]],"")</f>
        <v>0</v>
      </c>
      <c r="AP1325">
        <f>IFERROR(vp.data[[#This Row],[Dens]]*vp.data[[#This Row],[VolumeM3]],"")</f>
        <v>20990.7425</v>
      </c>
      <c r="AQ1325" s="15">
        <f>IFERROR(vp.data[[#This Row],[VP]]*vp.data[[#This Row],[VolumeM3]],"")</f>
        <v>3382.4700000000003</v>
      </c>
    </row>
    <row r="1326" spans="1:43" x14ac:dyDescent="0.25">
      <c r="A1326">
        <v>1325</v>
      </c>
      <c r="B1326" t="s">
        <v>269</v>
      </c>
      <c r="C1326" t="s">
        <v>270</v>
      </c>
      <c r="D1326" t="s">
        <v>271</v>
      </c>
      <c r="E1326">
        <v>322567</v>
      </c>
      <c r="F1326" s="1">
        <v>42822</v>
      </c>
      <c r="G1326" s="2">
        <v>98.2</v>
      </c>
      <c r="H1326" s="2">
        <v>0</v>
      </c>
      <c r="I1326" s="2">
        <f t="array" ref="I132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6" s="2">
        <v>3.05</v>
      </c>
      <c r="K1326" s="2">
        <v>12</v>
      </c>
      <c r="L1326" s="2">
        <v>664.31</v>
      </c>
      <c r="M1326" s="2">
        <f t="array" ref="M1326">_xlfn.IFNA(IF(vp.data[[#This Row],[Dens Input]]="",INDEX([1]DATA!$O$3:$O$9826,MATCH(1,(vp.data[[#This Row],[Battery]]=[1]DATA!$L$3:$L$9826)*(EOMONTH(vp.data[[#This Row],[SDate]],-1)+1=[1]DATA!$G$3:$G$9826),0)),vp.data[[#This Row],[Dens Input]]),"")</f>
        <v>664.31</v>
      </c>
      <c r="N1326" s="2">
        <f ca="1">INDEX(INDIRECT(_xlfn.CONCAT("weather.tbl[",N$1,"]")),MATCH(vp.data[[#This Row],[SDate]],weather.tbl[Date],0))</f>
        <v>1.5833333333333333</v>
      </c>
      <c r="O1326" s="2">
        <f ca="1">INDEX(INDIRECT(_xlfn.CONCAT("weather.tbl[",O$1,"]")),MATCH(vp.data[[#This Row],[SDate]],weather.tbl[Date],0))</f>
        <v>0.72619047619047616</v>
      </c>
      <c r="P1326" s="2">
        <f ca="1">INDEX(INDIRECT(_xlfn.CONCAT("weather.tbl[",P$1,"]")),MATCH(vp.data[[#This Row],[SDate]],weather.tbl[Date],0))</f>
        <v>2</v>
      </c>
      <c r="Q1326" s="2">
        <f ca="1">INDEX(INDIRECT(_xlfn.CONCAT("weather.tbl[",Q$1,"]")),MATCH(vp.data[[#This Row],[SDate]],weather.tbl[Date],0))</f>
        <v>2.1</v>
      </c>
      <c r="R1326" s="2">
        <f ca="1">INDEX(INDIRECT(_xlfn.CONCAT("weather.tbl[",R$1,"]")),MATCH(vp.data[[#This Row],[SDate]],weather.tbl[Date],0))</f>
        <v>1.3</v>
      </c>
      <c r="S1326" s="2">
        <f ca="1">INDEX(INDIRECT(_xlfn.CONCAT("weather.tbl[",S$1,"]")),MATCH(vp.data[[#This Row],[SDate]],weather.tbl[Date],0))</f>
        <v>1.8</v>
      </c>
      <c r="T1326" s="2">
        <f ca="1">INDEX(INDIRECT(_xlfn.CONCAT("weather.tbl[",T$1,"]")),MATCH(vp.data[[#This Row],[SDate]],weather.tbl[Date],0))</f>
        <v>1</v>
      </c>
      <c r="U1326" s="2">
        <f ca="1">INDEX(INDIRECT(_xlfn.CONCAT("weather.tbl[",U$1,"]")),MATCH(vp.data[[#This Row],[SDate]],weather.tbl[Date],0))</f>
        <v>1.3</v>
      </c>
      <c r="V1326" s="2">
        <f t="array" ref="V13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38.29</v>
      </c>
      <c r="W1326" t="s">
        <v>268</v>
      </c>
      <c r="X1326">
        <f>IF(OR(vp.data[[#This Row],[Sulf]]="",vp.data[[#This Row],[Dens]]=""),1,0)</f>
        <v>0</v>
      </c>
      <c r="Y1326">
        <f>IF(vp.data[[#This Row],[CrudeType]]="C5+",1,0)</f>
        <v>1</v>
      </c>
      <c r="Z1326">
        <f>IF(AND(vp.data[[#This Row],[CrudeType]]="Crude",vp.data[[#This Row],[Dens]]&lt;=825,vp.data[[#This Row],[Sulf]]&gt;0.5,vp.data[[#This Row],[Unknown]]=0),1,0)</f>
        <v>0</v>
      </c>
      <c r="AA1326">
        <f>IF(AND(vp.data[[#This Row],[CrudeType]]="Crude",vp.data[[#This Row],[Dens]]&lt;=825,vp.data[[#This Row],[Sulf]]&lt;=0.5,vp.data[[#This Row],[Unknown]]=0),1,0)</f>
        <v>0</v>
      </c>
      <c r="AB13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6">
        <f>IF(AND(vp.data[[#This Row],[CrudeType]]="Crude",vp.data[[#This Row],[Dens]]&gt;825,vp.data[[#This Row],[Dens]]&lt;=900,vp.data[[#This Row],[Sulf]]&lt;=0.5,vp.data[[#This Row],[Unknown]]=0),1,0)</f>
        <v>0</v>
      </c>
      <c r="AD1326">
        <f>IF(AND(vp.data[[#This Row],[CrudeType]]="Crude",vp.data[[#This Row],[Dens]]&gt;865,vp.data[[#This Row],[Dens]]&lt;=900,vp.data[[#This Row],[Sulf]]&gt;2,vp.data[[#This Row],[Unknown]]=0),1,0)</f>
        <v>0</v>
      </c>
      <c r="AE1326">
        <f>IF(AND(vp.data[[#This Row],[CrudeType]]="Crude",vp.data[[#This Row],[Dens]]&gt;900,vp.data[[#This Row],[Sulf]]&lt;=0.5,vp.data[[#This Row],[Unknown]]=0),1,0)</f>
        <v>0</v>
      </c>
      <c r="AF1326">
        <f>IF(AND(vp.data[[#This Row],[CrudeType]]="Crude",vp.data[[#This Row],[Dens]]&gt;900,vp.data[[#This Row],[Sulf]]&lt;=0.5,vp.data[[#This Row],[Unknown]]=0),1,0)</f>
        <v>0</v>
      </c>
      <c r="AG1326" t="str">
        <f>INDEX(vp.data[[#Headers],[Unknown]:[Heavy_SW]],MATCH(1,vp.data[[#This Row],[Unknown]:[Heavy_SW]],0))</f>
        <v>C5</v>
      </c>
      <c r="AH1326">
        <f>INDEX([3]!crudeBD.lkup[Number],MATCH(vp.data[[#This Row],[Crude_Breakdown]],crudeBD.lkup[Crude Breakdown],0))</f>
        <v>0</v>
      </c>
      <c r="AI1326">
        <f>MONTH(vp.data[[#This Row],[SDate]])</f>
        <v>3</v>
      </c>
      <c r="AJ1326" s="5">
        <f>(vp.data[[#This Row],[VP]]-INDEX(crudeBD.lkup[Mean_VP],MATCH(vp.data[[#This Row],[Crude_Breakdown]],crudeBD.lkup[Crude Breakdown],0)))^2</f>
        <v>24.792855119375197</v>
      </c>
      <c r="AK1326" s="5">
        <f>(vp.data[[#This Row],[Dens]]-INDEX(crudeBD.lkup[Mean_Dens],MATCH(vp.data[[#This Row],[Crude_Breakdown]],crudeBD.lkup[Crude Breakdown],0)))^2</f>
        <v>38.860111317721447</v>
      </c>
      <c r="AL1326" s="5">
        <f>(vp.data[[#This Row],[Sulf]]-INDEX(crudeBD.lkup[Mean_Sulf],MATCH(vp.data[[#This Row],[Crude_Breakdown]],crudeBD.lkup[Crude Breakdown],0)))^2</f>
        <v>0</v>
      </c>
      <c r="AM1326" s="4">
        <f>IF(AND(vp.data[[#This Row],[SDate]]&gt;=DATE(YEAR(vp.data[[#This Row],[SDate]]),5,1),vp.data[[#This Row],[SDate]]&lt;=DATE(YEAR(vp.data[[#This Row],[SDate]]),9,15)),1,0)</f>
        <v>0</v>
      </c>
      <c r="AN1326" s="4">
        <f>IF(vp.data[[#This Row],[SDate]]&lt;DATE(2016,12,1),0,1)</f>
        <v>1</v>
      </c>
      <c r="AO1326" s="4">
        <f>IFERROR(vp.data[[#This Row],[Sulf]]*vp.data[[#This Row],[Net Dens]],"")</f>
        <v>0</v>
      </c>
      <c r="AP1326">
        <f>IFERROR(vp.data[[#This Row],[Dens]]*vp.data[[#This Row],[VolumeM3]],"")</f>
        <v>25436.429899999996</v>
      </c>
      <c r="AQ1326" s="15">
        <f>IFERROR(vp.data[[#This Row],[VP]]*vp.data[[#This Row],[VolumeM3]],"")</f>
        <v>3760.078</v>
      </c>
    </row>
    <row r="1327" spans="1:43" x14ac:dyDescent="0.25">
      <c r="A1327">
        <v>1326</v>
      </c>
      <c r="B1327" t="s">
        <v>272</v>
      </c>
      <c r="C1327" t="s">
        <v>282</v>
      </c>
      <c r="D1327" t="s">
        <v>283</v>
      </c>
      <c r="E1327">
        <v>323322</v>
      </c>
      <c r="F1327" s="1">
        <v>42827</v>
      </c>
      <c r="G1327" s="2">
        <v>106.1</v>
      </c>
      <c r="H1327" s="2">
        <v>0</v>
      </c>
      <c r="I1327" s="2">
        <f t="array" ref="I132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7" s="2">
        <v>10.5</v>
      </c>
      <c r="K1327" s="2">
        <v>14</v>
      </c>
      <c r="L1327" s="2">
        <v>650.5</v>
      </c>
      <c r="M1327" s="2">
        <f t="array" ref="M1327">_xlfn.IFNA(IF(vp.data[[#This Row],[Dens Input]]="",INDEX([1]DATA!$O$3:$O$9826,MATCH(1,(vp.data[[#This Row],[Battery]]=[1]DATA!$L$3:$L$9826)*(EOMONTH(vp.data[[#This Row],[SDate]],-1)+1=[1]DATA!$G$3:$G$9826),0)),vp.data[[#This Row],[Dens Input]]),"")</f>
        <v>650.5</v>
      </c>
      <c r="N1327" s="2">
        <f ca="1">INDEX(INDIRECT(_xlfn.CONCAT("weather.tbl[",N$1,"]")),MATCH(vp.data[[#This Row],[SDate]],weather.tbl[Date],0))</f>
        <v>7.5833333333333348</v>
      </c>
      <c r="O1327" s="2">
        <f ca="1">INDEX(INDIRECT(_xlfn.CONCAT("weather.tbl[",O$1,"]")),MATCH(vp.data[[#This Row],[SDate]],weather.tbl[Date],0))</f>
        <v>4.8857142857142852</v>
      </c>
      <c r="P1327" s="2">
        <f ca="1">INDEX(INDIRECT(_xlfn.CONCAT("weather.tbl[",P$1,"]")),MATCH(vp.data[[#This Row],[SDate]],weather.tbl[Date],0))</f>
        <v>7.7</v>
      </c>
      <c r="Q1327" s="2">
        <f ca="1">INDEX(INDIRECT(_xlfn.CONCAT("weather.tbl[",Q$1,"]")),MATCH(vp.data[[#This Row],[SDate]],weather.tbl[Date],0))</f>
        <v>6.9</v>
      </c>
      <c r="R1327" s="2">
        <f ca="1">INDEX(INDIRECT(_xlfn.CONCAT("weather.tbl[",R$1,"]")),MATCH(vp.data[[#This Row],[SDate]],weather.tbl[Date],0))</f>
        <v>8.3000000000000007</v>
      </c>
      <c r="S1327" s="2">
        <f ca="1">INDEX(INDIRECT(_xlfn.CONCAT("weather.tbl[",S$1,"]")),MATCH(vp.data[[#This Row],[SDate]],weather.tbl[Date],0))</f>
        <v>6.9</v>
      </c>
      <c r="T1327" s="2">
        <f ca="1">INDEX(INDIRECT(_xlfn.CONCAT("weather.tbl[",T$1,"]")),MATCH(vp.data[[#This Row],[SDate]],weather.tbl[Date],0))</f>
        <v>7.7</v>
      </c>
      <c r="U1327" s="2">
        <f ca="1">INDEX(INDIRECT(_xlfn.CONCAT("weather.tbl[",U$1,"]")),MATCH(vp.data[[#This Row],[SDate]],weather.tbl[Date],0))</f>
        <v>8</v>
      </c>
      <c r="V1327" s="2">
        <f t="array" ref="V13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39.9</v>
      </c>
      <c r="W1327" t="s">
        <v>268</v>
      </c>
      <c r="X1327">
        <f>IF(OR(vp.data[[#This Row],[Sulf]]="",vp.data[[#This Row],[Dens]]=""),1,0)</f>
        <v>0</v>
      </c>
      <c r="Y1327">
        <f>IF(vp.data[[#This Row],[CrudeType]]="C5+",1,0)</f>
        <v>1</v>
      </c>
      <c r="Z1327">
        <f>IF(AND(vp.data[[#This Row],[CrudeType]]="Crude",vp.data[[#This Row],[Dens]]&lt;=825,vp.data[[#This Row],[Sulf]]&gt;0.5,vp.data[[#This Row],[Unknown]]=0),1,0)</f>
        <v>0</v>
      </c>
      <c r="AA1327">
        <f>IF(AND(vp.data[[#This Row],[CrudeType]]="Crude",vp.data[[#This Row],[Dens]]&lt;=825,vp.data[[#This Row],[Sulf]]&lt;=0.5,vp.data[[#This Row],[Unknown]]=0),1,0)</f>
        <v>0</v>
      </c>
      <c r="AB13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7">
        <f>IF(AND(vp.data[[#This Row],[CrudeType]]="Crude",vp.data[[#This Row],[Dens]]&gt;825,vp.data[[#This Row],[Dens]]&lt;=900,vp.data[[#This Row],[Sulf]]&lt;=0.5,vp.data[[#This Row],[Unknown]]=0),1,0)</f>
        <v>0</v>
      </c>
      <c r="AD1327">
        <f>IF(AND(vp.data[[#This Row],[CrudeType]]="Crude",vp.data[[#This Row],[Dens]]&gt;865,vp.data[[#This Row],[Dens]]&lt;=900,vp.data[[#This Row],[Sulf]]&gt;2,vp.data[[#This Row],[Unknown]]=0),1,0)</f>
        <v>0</v>
      </c>
      <c r="AE1327">
        <f>IF(AND(vp.data[[#This Row],[CrudeType]]="Crude",vp.data[[#This Row],[Dens]]&gt;900,vp.data[[#This Row],[Sulf]]&lt;=0.5,vp.data[[#This Row],[Unknown]]=0),1,0)</f>
        <v>0</v>
      </c>
      <c r="AF1327">
        <f>IF(AND(vp.data[[#This Row],[CrudeType]]="Crude",vp.data[[#This Row],[Dens]]&gt;900,vp.data[[#This Row],[Sulf]]&lt;=0.5,vp.data[[#This Row],[Unknown]]=0),1,0)</f>
        <v>0</v>
      </c>
      <c r="AG1327" t="str">
        <f>INDEX(vp.data[[#Headers],[Unknown]:[Heavy_SW]],MATCH(1,vp.data[[#This Row],[Unknown]:[Heavy_SW]],0))</f>
        <v>C5</v>
      </c>
      <c r="AH1327">
        <f>INDEX([3]!crudeBD.lkup[Number],MATCH(vp.data[[#This Row],[Crude_Breakdown]],crudeBD.lkup[Crude Breakdown],0))</f>
        <v>0</v>
      </c>
      <c r="AI1327">
        <f>MONTH(vp.data[[#This Row],[SDate]])</f>
        <v>4</v>
      </c>
      <c r="AJ1327" s="5">
        <f>(vp.data[[#This Row],[VP]]-INDEX(crudeBD.lkup[Mean_VP],MATCH(vp.data[[#This Row],[Crude_Breakdown]],crudeBD.lkup[Crude Breakdown],0)))^2</f>
        <v>8.5308248163454437</v>
      </c>
      <c r="AK1327" s="5">
        <f>(vp.data[[#This Row],[Dens]]-INDEX(crudeBD.lkup[Mean_Dens],MATCH(vp.data[[#This Row],[Crude_Breakdown]],crudeBD.lkup[Crude Breakdown],0)))^2</f>
        <v>57.398990105602138</v>
      </c>
      <c r="AL1327" s="5">
        <f>(vp.data[[#This Row],[Sulf]]-INDEX(crudeBD.lkup[Mean_Sulf],MATCH(vp.data[[#This Row],[Crude_Breakdown]],crudeBD.lkup[Crude Breakdown],0)))^2</f>
        <v>0</v>
      </c>
      <c r="AM1327" s="4">
        <f>IF(AND(vp.data[[#This Row],[SDate]]&gt;=DATE(YEAR(vp.data[[#This Row],[SDate]]),5,1),vp.data[[#This Row],[SDate]]&lt;=DATE(YEAR(vp.data[[#This Row],[SDate]]),9,15)),1,0)</f>
        <v>0</v>
      </c>
      <c r="AN1327" s="4">
        <f>IF(vp.data[[#This Row],[SDate]]&lt;DATE(2016,12,1),0,1)</f>
        <v>1</v>
      </c>
      <c r="AO1327" s="4">
        <f>IFERROR(vp.data[[#This Row],[Sulf]]*vp.data[[#This Row],[Net Dens]],"")</f>
        <v>0</v>
      </c>
      <c r="AP1327">
        <f>IFERROR(vp.data[[#This Row],[Dens]]*vp.data[[#This Row],[VolumeM3]],"")</f>
        <v>25954.95</v>
      </c>
      <c r="AQ1327" s="15">
        <f>IFERROR(vp.data[[#This Row],[VP]]*vp.data[[#This Row],[VolumeM3]],"")</f>
        <v>4233.3899999999994</v>
      </c>
    </row>
    <row r="1328" spans="1:43" x14ac:dyDescent="0.25">
      <c r="A1328">
        <v>1327</v>
      </c>
      <c r="B1328" t="s">
        <v>272</v>
      </c>
      <c r="C1328" t="s">
        <v>273</v>
      </c>
      <c r="D1328" t="s">
        <v>274</v>
      </c>
      <c r="E1328">
        <v>323833</v>
      </c>
      <c r="F1328" s="1">
        <v>42830</v>
      </c>
      <c r="G1328" s="2">
        <v>107.8</v>
      </c>
      <c r="H1328" s="2">
        <v>0</v>
      </c>
      <c r="I1328" s="2">
        <f t="array" ref="I132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8" s="2">
        <v>13</v>
      </c>
      <c r="K1328" s="2">
        <v>12</v>
      </c>
      <c r="L1328" s="2">
        <v>653.6</v>
      </c>
      <c r="M1328" s="2">
        <f t="array" ref="M1328">_xlfn.IFNA(IF(vp.data[[#This Row],[Dens Input]]="",INDEX([1]DATA!$O$3:$O$9826,MATCH(1,(vp.data[[#This Row],[Battery]]=[1]DATA!$L$3:$L$9826)*(EOMONTH(vp.data[[#This Row],[SDate]],-1)+1=[1]DATA!$G$3:$G$9826),0)),vp.data[[#This Row],[Dens Input]]),"")</f>
        <v>653.6</v>
      </c>
      <c r="N1328" s="2">
        <f ca="1">INDEX(INDIRECT(_xlfn.CONCAT("weather.tbl[",N$1,"]")),MATCH(vp.data[[#This Row],[SDate]],weather.tbl[Date],0))</f>
        <v>3.2666666666666671</v>
      </c>
      <c r="O1328" s="2">
        <f ca="1">INDEX(INDIRECT(_xlfn.CONCAT("weather.tbl[",O$1,"]")),MATCH(vp.data[[#This Row],[SDate]],weather.tbl[Date],0))</f>
        <v>5.4857142857142858</v>
      </c>
      <c r="P1328" s="2">
        <f ca="1">INDEX(INDIRECT(_xlfn.CONCAT("weather.tbl[",P$1,"]")),MATCH(vp.data[[#This Row],[SDate]],weather.tbl[Date],0))</f>
        <v>3.2</v>
      </c>
      <c r="Q1328" s="2">
        <f ca="1">INDEX(INDIRECT(_xlfn.CONCAT("weather.tbl[",Q$1,"]")),MATCH(vp.data[[#This Row],[SDate]],weather.tbl[Date],0))</f>
        <v>3.4</v>
      </c>
      <c r="R1328" s="2">
        <f ca="1">INDEX(INDIRECT(_xlfn.CONCAT("weather.tbl[",R$1,"]")),MATCH(vp.data[[#This Row],[SDate]],weather.tbl[Date],0))</f>
        <v>3.5</v>
      </c>
      <c r="S1328" s="2">
        <f ca="1">INDEX(INDIRECT(_xlfn.CONCAT("weather.tbl[",S$1,"]")),MATCH(vp.data[[#This Row],[SDate]],weather.tbl[Date],0))</f>
        <v>3</v>
      </c>
      <c r="T1328" s="2">
        <f ca="1">INDEX(INDIRECT(_xlfn.CONCAT("weather.tbl[",T$1,"]")),MATCH(vp.data[[#This Row],[SDate]],weather.tbl[Date],0))</f>
        <v>3.7</v>
      </c>
      <c r="U1328" s="2">
        <f ca="1">INDEX(INDIRECT(_xlfn.CONCAT("weather.tbl[",U$1,"]")),MATCH(vp.data[[#This Row],[SDate]],weather.tbl[Date],0))</f>
        <v>2.8</v>
      </c>
      <c r="V1328" s="2">
        <f t="array" ref="V13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31.54</v>
      </c>
      <c r="W1328" t="s">
        <v>268</v>
      </c>
      <c r="X1328">
        <f>IF(OR(vp.data[[#This Row],[Sulf]]="",vp.data[[#This Row],[Dens]]=""),1,0)</f>
        <v>0</v>
      </c>
      <c r="Y1328">
        <f>IF(vp.data[[#This Row],[CrudeType]]="C5+",1,0)</f>
        <v>1</v>
      </c>
      <c r="Z1328">
        <f>IF(AND(vp.data[[#This Row],[CrudeType]]="Crude",vp.data[[#This Row],[Dens]]&lt;=825,vp.data[[#This Row],[Sulf]]&gt;0.5,vp.data[[#This Row],[Unknown]]=0),1,0)</f>
        <v>0</v>
      </c>
      <c r="AA1328">
        <f>IF(AND(vp.data[[#This Row],[CrudeType]]="Crude",vp.data[[#This Row],[Dens]]&lt;=825,vp.data[[#This Row],[Sulf]]&lt;=0.5,vp.data[[#This Row],[Unknown]]=0),1,0)</f>
        <v>0</v>
      </c>
      <c r="AB13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8">
        <f>IF(AND(vp.data[[#This Row],[CrudeType]]="Crude",vp.data[[#This Row],[Dens]]&gt;825,vp.data[[#This Row],[Dens]]&lt;=900,vp.data[[#This Row],[Sulf]]&lt;=0.5,vp.data[[#This Row],[Unknown]]=0),1,0)</f>
        <v>0</v>
      </c>
      <c r="AD1328">
        <f>IF(AND(vp.data[[#This Row],[CrudeType]]="Crude",vp.data[[#This Row],[Dens]]&gt;865,vp.data[[#This Row],[Dens]]&lt;=900,vp.data[[#This Row],[Sulf]]&gt;2,vp.data[[#This Row],[Unknown]]=0),1,0)</f>
        <v>0</v>
      </c>
      <c r="AE1328">
        <f>IF(AND(vp.data[[#This Row],[CrudeType]]="Crude",vp.data[[#This Row],[Dens]]&gt;900,vp.data[[#This Row],[Sulf]]&lt;=0.5,vp.data[[#This Row],[Unknown]]=0),1,0)</f>
        <v>0</v>
      </c>
      <c r="AF1328">
        <f>IF(AND(vp.data[[#This Row],[CrudeType]]="Crude",vp.data[[#This Row],[Dens]]&gt;900,vp.data[[#This Row],[Sulf]]&lt;=0.5,vp.data[[#This Row],[Unknown]]=0),1,0)</f>
        <v>0</v>
      </c>
      <c r="AG1328" t="str">
        <f>INDEX(vp.data[[#Headers],[Unknown]:[Heavy_SW]],MATCH(1,vp.data[[#This Row],[Unknown]:[Heavy_SW]],0))</f>
        <v>C5</v>
      </c>
      <c r="AH1328">
        <f>INDEX([3]!crudeBD.lkup[Number],MATCH(vp.data[[#This Row],[Crude_Breakdown]],crudeBD.lkup[Crude Breakdown],0))</f>
        <v>0</v>
      </c>
      <c r="AI1328">
        <f>MONTH(vp.data[[#This Row],[SDate]])</f>
        <v>4</v>
      </c>
      <c r="AJ1328" s="5">
        <f>(vp.data[[#This Row],[VP]]-INDEX(crudeBD.lkup[Mean_VP],MATCH(vp.data[[#This Row],[Crude_Breakdown]],crudeBD.lkup[Crude Breakdown],0)))^2</f>
        <v>21.351400573921328</v>
      </c>
      <c r="AK1328" s="5">
        <f>(vp.data[[#This Row],[Dens]]-INDEX(crudeBD.lkup[Mean_Dens],MATCH(vp.data[[#This Row],[Crude_Breakdown]],crudeBD.lkup[Crude Breakdown],0)))^2</f>
        <v>20.036474954086511</v>
      </c>
      <c r="AL1328" s="5">
        <f>(vp.data[[#This Row],[Sulf]]-INDEX(crudeBD.lkup[Mean_Sulf],MATCH(vp.data[[#This Row],[Crude_Breakdown]],crudeBD.lkup[Crude Breakdown],0)))^2</f>
        <v>0</v>
      </c>
      <c r="AM1328" s="4">
        <f>IF(AND(vp.data[[#This Row],[SDate]]&gt;=DATE(YEAR(vp.data[[#This Row],[SDate]]),5,1),vp.data[[#This Row],[SDate]]&lt;=DATE(YEAR(vp.data[[#This Row],[SDate]]),9,15)),1,0)</f>
        <v>0</v>
      </c>
      <c r="AN1328" s="4">
        <f>IF(vp.data[[#This Row],[SDate]]&lt;DATE(2016,12,1),0,1)</f>
        <v>1</v>
      </c>
      <c r="AO1328" s="4">
        <f>IFERROR(vp.data[[#This Row],[Sulf]]*vp.data[[#This Row],[Net Dens]],"")</f>
        <v>0</v>
      </c>
      <c r="AP1328">
        <f>IFERROR(vp.data[[#This Row],[Dens]]*vp.data[[#This Row],[VolumeM3]],"")</f>
        <v>20614.544000000002</v>
      </c>
      <c r="AQ1328" s="15">
        <f>IFERROR(vp.data[[#This Row],[VP]]*vp.data[[#This Row],[VolumeM3]],"")</f>
        <v>3400.0119999999997</v>
      </c>
    </row>
    <row r="1329" spans="1:43" x14ac:dyDescent="0.25">
      <c r="A1329">
        <v>1328</v>
      </c>
      <c r="B1329" t="s">
        <v>265</v>
      </c>
      <c r="C1329" t="s">
        <v>266</v>
      </c>
      <c r="D1329" t="s">
        <v>267</v>
      </c>
      <c r="E1329">
        <v>324139</v>
      </c>
      <c r="F1329" s="1">
        <v>42832</v>
      </c>
      <c r="G1329" s="2">
        <v>104.5</v>
      </c>
      <c r="H1329" s="2">
        <v>0</v>
      </c>
      <c r="I1329" s="2">
        <f t="array" ref="I132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29" s="2">
        <v>16</v>
      </c>
      <c r="K1329" s="2">
        <v>12</v>
      </c>
      <c r="L1329" s="2">
        <v>661.2</v>
      </c>
      <c r="M1329" s="2">
        <f t="array" ref="M1329">_xlfn.IFNA(IF(vp.data[[#This Row],[Dens Input]]="",INDEX([1]DATA!$O$3:$O$9826,MATCH(1,(vp.data[[#This Row],[Battery]]=[1]DATA!$L$3:$L$9826)*(EOMONTH(vp.data[[#This Row],[SDate]],-1)+1=[1]DATA!$G$3:$G$9826),0)),vp.data[[#This Row],[Dens Input]]),"")</f>
        <v>661.2</v>
      </c>
      <c r="N1329" s="2">
        <f ca="1">INDEX(INDIRECT(_xlfn.CONCAT("weather.tbl[",N$1,"]")),MATCH(vp.data[[#This Row],[SDate]],weather.tbl[Date],0))</f>
        <v>13.133333333333333</v>
      </c>
      <c r="O1329" s="2">
        <f ca="1">INDEX(INDIRECT(_xlfn.CONCAT("weather.tbl[",O$1,"]")),MATCH(vp.data[[#This Row],[SDate]],weather.tbl[Date],0))</f>
        <v>6.6547619047619051</v>
      </c>
      <c r="P1329" s="2">
        <f ca="1">INDEX(INDIRECT(_xlfn.CONCAT("weather.tbl[",P$1,"]")),MATCH(vp.data[[#This Row],[SDate]],weather.tbl[Date],0))</f>
        <v>13.3</v>
      </c>
      <c r="Q1329" s="2">
        <f ca="1">INDEX(INDIRECT(_xlfn.CONCAT("weather.tbl[",Q$1,"]")),MATCH(vp.data[[#This Row],[SDate]],weather.tbl[Date],0))</f>
        <v>14.7</v>
      </c>
      <c r="R1329" s="2">
        <f ca="1">INDEX(INDIRECT(_xlfn.CONCAT("weather.tbl[",R$1,"]")),MATCH(vp.data[[#This Row],[SDate]],weather.tbl[Date],0))</f>
        <v>11.3</v>
      </c>
      <c r="S1329" s="2">
        <f ca="1">INDEX(INDIRECT(_xlfn.CONCAT("weather.tbl[",S$1,"]")),MATCH(vp.data[[#This Row],[SDate]],weather.tbl[Date],0))</f>
        <v>15.2</v>
      </c>
      <c r="T1329" s="2">
        <f ca="1">INDEX(INDIRECT(_xlfn.CONCAT("weather.tbl[",T$1,"]")),MATCH(vp.data[[#This Row],[SDate]],weather.tbl[Date],0))</f>
        <v>11</v>
      </c>
      <c r="U1329" s="2">
        <f ca="1">INDEX(INDIRECT(_xlfn.CONCAT("weather.tbl[",U$1,"]")),MATCH(vp.data[[#This Row],[SDate]],weather.tbl[Date],0))</f>
        <v>13.3</v>
      </c>
      <c r="V1329" s="2">
        <f t="array" ref="V13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30.01</v>
      </c>
      <c r="W1329" t="s">
        <v>268</v>
      </c>
      <c r="X1329">
        <f>IF(OR(vp.data[[#This Row],[Sulf]]="",vp.data[[#This Row],[Dens]]=""),1,0)</f>
        <v>0</v>
      </c>
      <c r="Y1329">
        <f>IF(vp.data[[#This Row],[CrudeType]]="C5+",1,0)</f>
        <v>1</v>
      </c>
      <c r="Z1329">
        <f>IF(AND(vp.data[[#This Row],[CrudeType]]="Crude",vp.data[[#This Row],[Dens]]&lt;=825,vp.data[[#This Row],[Sulf]]&gt;0.5,vp.data[[#This Row],[Unknown]]=0),1,0)</f>
        <v>0</v>
      </c>
      <c r="AA1329">
        <f>IF(AND(vp.data[[#This Row],[CrudeType]]="Crude",vp.data[[#This Row],[Dens]]&lt;=825,vp.data[[#This Row],[Sulf]]&lt;=0.5,vp.data[[#This Row],[Unknown]]=0),1,0)</f>
        <v>0</v>
      </c>
      <c r="AB13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29">
        <f>IF(AND(vp.data[[#This Row],[CrudeType]]="Crude",vp.data[[#This Row],[Dens]]&gt;825,vp.data[[#This Row],[Dens]]&lt;=900,vp.data[[#This Row],[Sulf]]&lt;=0.5,vp.data[[#This Row],[Unknown]]=0),1,0)</f>
        <v>0</v>
      </c>
      <c r="AD1329">
        <f>IF(AND(vp.data[[#This Row],[CrudeType]]="Crude",vp.data[[#This Row],[Dens]]&gt;865,vp.data[[#This Row],[Dens]]&lt;=900,vp.data[[#This Row],[Sulf]]&gt;2,vp.data[[#This Row],[Unknown]]=0),1,0)</f>
        <v>0</v>
      </c>
      <c r="AE1329">
        <f>IF(AND(vp.data[[#This Row],[CrudeType]]="Crude",vp.data[[#This Row],[Dens]]&gt;900,vp.data[[#This Row],[Sulf]]&lt;=0.5,vp.data[[#This Row],[Unknown]]=0),1,0)</f>
        <v>0</v>
      </c>
      <c r="AF1329">
        <f>IF(AND(vp.data[[#This Row],[CrudeType]]="Crude",vp.data[[#This Row],[Dens]]&gt;900,vp.data[[#This Row],[Sulf]]&lt;=0.5,vp.data[[#This Row],[Unknown]]=0),1,0)</f>
        <v>0</v>
      </c>
      <c r="AG1329" t="str">
        <f>INDEX(vp.data[[#Headers],[Unknown]:[Heavy_SW]],MATCH(1,vp.data[[#This Row],[Unknown]:[Heavy_SW]],0))</f>
        <v>C5</v>
      </c>
      <c r="AH1329">
        <f>INDEX([3]!crudeBD.lkup[Number],MATCH(vp.data[[#This Row],[Crude_Breakdown]],crudeBD.lkup[Crude Breakdown],0))</f>
        <v>0</v>
      </c>
      <c r="AI1329">
        <f>MONTH(vp.data[[#This Row],[SDate]])</f>
        <v>4</v>
      </c>
      <c r="AJ1329" s="5">
        <f>(vp.data[[#This Row],[VP]]-INDEX(crudeBD.lkup[Mean_VP],MATCH(vp.data[[#This Row],[Crude_Breakdown]],crudeBD.lkup[Crude Breakdown],0)))^2</f>
        <v>1.7444005739211212</v>
      </c>
      <c r="AK1329" s="5">
        <f>(vp.data[[#This Row],[Dens]]-INDEX(crudeBD.lkup[Mean_Dens],MATCH(vp.data[[#This Row],[Crude_Breakdown]],crudeBD.lkup[Crude Breakdown],0)))^2</f>
        <v>9.7580507116620829</v>
      </c>
      <c r="AL1329" s="5">
        <f>(vp.data[[#This Row],[Sulf]]-INDEX(crudeBD.lkup[Mean_Sulf],MATCH(vp.data[[#This Row],[Crude_Breakdown]],crudeBD.lkup[Crude Breakdown],0)))^2</f>
        <v>0</v>
      </c>
      <c r="AM1329" s="4">
        <f>IF(AND(vp.data[[#This Row],[SDate]]&gt;=DATE(YEAR(vp.data[[#This Row],[SDate]]),5,1),vp.data[[#This Row],[SDate]]&lt;=DATE(YEAR(vp.data[[#This Row],[SDate]]),9,15)),1,0)</f>
        <v>0</v>
      </c>
      <c r="AN1329" s="4">
        <f>IF(vp.data[[#This Row],[SDate]]&lt;DATE(2016,12,1),0,1)</f>
        <v>1</v>
      </c>
      <c r="AO1329" s="4">
        <f>IFERROR(vp.data[[#This Row],[Sulf]]*vp.data[[#This Row],[Net Dens]],"")</f>
        <v>0</v>
      </c>
      <c r="AP1329">
        <f>IFERROR(vp.data[[#This Row],[Dens]]*vp.data[[#This Row],[VolumeM3]],"")</f>
        <v>19842.612000000001</v>
      </c>
      <c r="AQ1329" s="15">
        <f>IFERROR(vp.data[[#This Row],[VP]]*vp.data[[#This Row],[VolumeM3]],"")</f>
        <v>3136.0450000000001</v>
      </c>
    </row>
    <row r="1330" spans="1:43" x14ac:dyDescent="0.25">
      <c r="A1330">
        <v>1329</v>
      </c>
      <c r="B1330" t="s">
        <v>269</v>
      </c>
      <c r="C1330" t="s">
        <v>270</v>
      </c>
      <c r="D1330" t="s">
        <v>271</v>
      </c>
      <c r="E1330">
        <v>324145</v>
      </c>
      <c r="F1330" s="1">
        <v>42832</v>
      </c>
      <c r="G1330" s="2">
        <v>100.7</v>
      </c>
      <c r="H1330" s="2">
        <v>0</v>
      </c>
      <c r="I1330" s="2">
        <f t="array" ref="I133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0" s="2">
        <v>17</v>
      </c>
      <c r="K1330" s="2">
        <v>12</v>
      </c>
      <c r="L1330" s="2">
        <v>659.5</v>
      </c>
      <c r="M1330" s="2">
        <f t="array" ref="M1330">_xlfn.IFNA(IF(vp.data[[#This Row],[Dens Input]]="",INDEX([1]DATA!$O$3:$O$9826,MATCH(1,(vp.data[[#This Row],[Battery]]=[1]DATA!$L$3:$L$9826)*(EOMONTH(vp.data[[#This Row],[SDate]],-1)+1=[1]DATA!$G$3:$G$9826),0)),vp.data[[#This Row],[Dens Input]]),"")</f>
        <v>659.5</v>
      </c>
      <c r="N1330" s="2">
        <f ca="1">INDEX(INDIRECT(_xlfn.CONCAT("weather.tbl[",N$1,"]")),MATCH(vp.data[[#This Row],[SDate]],weather.tbl[Date],0))</f>
        <v>13.133333333333333</v>
      </c>
      <c r="O1330" s="2">
        <f ca="1">INDEX(INDIRECT(_xlfn.CONCAT("weather.tbl[",O$1,"]")),MATCH(vp.data[[#This Row],[SDate]],weather.tbl[Date],0))</f>
        <v>6.6547619047619051</v>
      </c>
      <c r="P1330" s="2">
        <f ca="1">INDEX(INDIRECT(_xlfn.CONCAT("weather.tbl[",P$1,"]")),MATCH(vp.data[[#This Row],[SDate]],weather.tbl[Date],0))</f>
        <v>13.3</v>
      </c>
      <c r="Q1330" s="2">
        <f ca="1">INDEX(INDIRECT(_xlfn.CONCAT("weather.tbl[",Q$1,"]")),MATCH(vp.data[[#This Row],[SDate]],weather.tbl[Date],0))</f>
        <v>14.7</v>
      </c>
      <c r="R1330" s="2">
        <f ca="1">INDEX(INDIRECT(_xlfn.CONCAT("weather.tbl[",R$1,"]")),MATCH(vp.data[[#This Row],[SDate]],weather.tbl[Date],0))</f>
        <v>11.3</v>
      </c>
      <c r="S1330" s="2">
        <f ca="1">INDEX(INDIRECT(_xlfn.CONCAT("weather.tbl[",S$1,"]")),MATCH(vp.data[[#This Row],[SDate]],weather.tbl[Date],0))</f>
        <v>15.2</v>
      </c>
      <c r="T1330" s="2">
        <f ca="1">INDEX(INDIRECT(_xlfn.CONCAT("weather.tbl[",T$1,"]")),MATCH(vp.data[[#This Row],[SDate]],weather.tbl[Date],0))</f>
        <v>11</v>
      </c>
      <c r="U1330" s="2">
        <f ca="1">INDEX(INDIRECT(_xlfn.CONCAT("weather.tbl[",U$1,"]")),MATCH(vp.data[[#This Row],[SDate]],weather.tbl[Date],0))</f>
        <v>13.3</v>
      </c>
      <c r="V1330" s="2">
        <f t="array" ref="V13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38.29</v>
      </c>
      <c r="W1330" t="s">
        <v>268</v>
      </c>
      <c r="X1330">
        <f>IF(OR(vp.data[[#This Row],[Sulf]]="",vp.data[[#This Row],[Dens]]=""),1,0)</f>
        <v>0</v>
      </c>
      <c r="Y1330">
        <f>IF(vp.data[[#This Row],[CrudeType]]="C5+",1,0)</f>
        <v>1</v>
      </c>
      <c r="Z1330">
        <f>IF(AND(vp.data[[#This Row],[CrudeType]]="Crude",vp.data[[#This Row],[Dens]]&lt;=825,vp.data[[#This Row],[Sulf]]&gt;0.5,vp.data[[#This Row],[Unknown]]=0),1,0)</f>
        <v>0</v>
      </c>
      <c r="AA1330">
        <f>IF(AND(vp.data[[#This Row],[CrudeType]]="Crude",vp.data[[#This Row],[Dens]]&lt;=825,vp.data[[#This Row],[Sulf]]&lt;=0.5,vp.data[[#This Row],[Unknown]]=0),1,0)</f>
        <v>0</v>
      </c>
      <c r="AB13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0">
        <f>IF(AND(vp.data[[#This Row],[CrudeType]]="Crude",vp.data[[#This Row],[Dens]]&gt;825,vp.data[[#This Row],[Dens]]&lt;=900,vp.data[[#This Row],[Sulf]]&lt;=0.5,vp.data[[#This Row],[Unknown]]=0),1,0)</f>
        <v>0</v>
      </c>
      <c r="AD1330">
        <f>IF(AND(vp.data[[#This Row],[CrudeType]]="Crude",vp.data[[#This Row],[Dens]]&gt;865,vp.data[[#This Row],[Dens]]&lt;=900,vp.data[[#This Row],[Sulf]]&gt;2,vp.data[[#This Row],[Unknown]]=0),1,0)</f>
        <v>0</v>
      </c>
      <c r="AE1330">
        <f>IF(AND(vp.data[[#This Row],[CrudeType]]="Crude",vp.data[[#This Row],[Dens]]&gt;900,vp.data[[#This Row],[Sulf]]&lt;=0.5,vp.data[[#This Row],[Unknown]]=0),1,0)</f>
        <v>0</v>
      </c>
      <c r="AF1330">
        <f>IF(AND(vp.data[[#This Row],[CrudeType]]="Crude",vp.data[[#This Row],[Dens]]&gt;900,vp.data[[#This Row],[Sulf]]&lt;=0.5,vp.data[[#This Row],[Unknown]]=0),1,0)</f>
        <v>0</v>
      </c>
      <c r="AG1330" t="str">
        <f>INDEX(vp.data[[#Headers],[Unknown]:[Heavy_SW]],MATCH(1,vp.data[[#This Row],[Unknown]:[Heavy_SW]],0))</f>
        <v>C5</v>
      </c>
      <c r="AH1330">
        <f>INDEX([3]!crudeBD.lkup[Number],MATCH(vp.data[[#This Row],[Crude_Breakdown]],crudeBD.lkup[Crude Breakdown],0))</f>
        <v>0</v>
      </c>
      <c r="AI1330">
        <f>MONTH(vp.data[[#This Row],[SDate]])</f>
        <v>4</v>
      </c>
      <c r="AJ1330" s="5">
        <f>(vp.data[[#This Row],[VP]]-INDEX(crudeBD.lkup[Mean_VP],MATCH(vp.data[[#This Row],[Crude_Breakdown]],crudeBD.lkup[Crude Breakdown],0)))^2</f>
        <v>6.1466429981632649</v>
      </c>
      <c r="AK1330" s="5">
        <f>(vp.data[[#This Row],[Dens]]-INDEX(crudeBD.lkup[Mean_Dens],MATCH(vp.data[[#This Row],[Crude_Breakdown]],crudeBD.lkup[Crude Breakdown],0)))^2</f>
        <v>2.0271719237831611</v>
      </c>
      <c r="AL1330" s="5">
        <f>(vp.data[[#This Row],[Sulf]]-INDEX(crudeBD.lkup[Mean_Sulf],MATCH(vp.data[[#This Row],[Crude_Breakdown]],crudeBD.lkup[Crude Breakdown],0)))^2</f>
        <v>0</v>
      </c>
      <c r="AM1330" s="4">
        <f>IF(AND(vp.data[[#This Row],[SDate]]&gt;=DATE(YEAR(vp.data[[#This Row],[SDate]]),5,1),vp.data[[#This Row],[SDate]]&lt;=DATE(YEAR(vp.data[[#This Row],[SDate]]),9,15)),1,0)</f>
        <v>0</v>
      </c>
      <c r="AN1330" s="4">
        <f>IF(vp.data[[#This Row],[SDate]]&lt;DATE(2016,12,1),0,1)</f>
        <v>1</v>
      </c>
      <c r="AO1330" s="4">
        <f>IFERROR(vp.data[[#This Row],[Sulf]]*vp.data[[#This Row],[Net Dens]],"")</f>
        <v>0</v>
      </c>
      <c r="AP1330">
        <f>IFERROR(vp.data[[#This Row],[Dens]]*vp.data[[#This Row],[VolumeM3]],"")</f>
        <v>25252.255000000001</v>
      </c>
      <c r="AQ1330" s="15">
        <f>IFERROR(vp.data[[#This Row],[VP]]*vp.data[[#This Row],[VolumeM3]],"")</f>
        <v>3855.8029999999999</v>
      </c>
    </row>
    <row r="1331" spans="1:43" x14ac:dyDescent="0.25">
      <c r="A1331">
        <v>1330</v>
      </c>
      <c r="B1331" t="s">
        <v>275</v>
      </c>
      <c r="C1331" t="s">
        <v>276</v>
      </c>
      <c r="D1331" t="s">
        <v>277</v>
      </c>
      <c r="E1331">
        <v>324135</v>
      </c>
      <c r="F1331" s="1">
        <v>42832</v>
      </c>
      <c r="G1331" s="2">
        <v>94</v>
      </c>
      <c r="H1331" s="2">
        <v>0</v>
      </c>
      <c r="I1331" s="2">
        <f t="array" ref="I133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1" s="2">
        <v>18</v>
      </c>
      <c r="K1331" s="2">
        <v>12</v>
      </c>
      <c r="L1331" s="2">
        <v>658.7</v>
      </c>
      <c r="M1331" s="2">
        <f t="array" ref="M1331">_xlfn.IFNA(IF(vp.data[[#This Row],[Dens Input]]="",INDEX([1]DATA!$O$3:$O$9826,MATCH(1,(vp.data[[#This Row],[Battery]]=[1]DATA!$L$3:$L$9826)*(EOMONTH(vp.data[[#This Row],[SDate]],-1)+1=[1]DATA!$G$3:$G$9826),0)),vp.data[[#This Row],[Dens Input]]),"")</f>
        <v>658.7</v>
      </c>
      <c r="N1331" s="2">
        <f ca="1">INDEX(INDIRECT(_xlfn.CONCAT("weather.tbl[",N$1,"]")),MATCH(vp.data[[#This Row],[SDate]],weather.tbl[Date],0))</f>
        <v>13.133333333333333</v>
      </c>
      <c r="O1331" s="2">
        <f ca="1">INDEX(INDIRECT(_xlfn.CONCAT("weather.tbl[",O$1,"]")),MATCH(vp.data[[#This Row],[SDate]],weather.tbl[Date],0))</f>
        <v>6.6547619047619051</v>
      </c>
      <c r="P1331" s="2">
        <f ca="1">INDEX(INDIRECT(_xlfn.CONCAT("weather.tbl[",P$1,"]")),MATCH(vp.data[[#This Row],[SDate]],weather.tbl[Date],0))</f>
        <v>13.3</v>
      </c>
      <c r="Q1331" s="2">
        <f ca="1">INDEX(INDIRECT(_xlfn.CONCAT("weather.tbl[",Q$1,"]")),MATCH(vp.data[[#This Row],[SDate]],weather.tbl[Date],0))</f>
        <v>14.7</v>
      </c>
      <c r="R1331" s="2">
        <f ca="1">INDEX(INDIRECT(_xlfn.CONCAT("weather.tbl[",R$1,"]")),MATCH(vp.data[[#This Row],[SDate]],weather.tbl[Date],0))</f>
        <v>11.3</v>
      </c>
      <c r="S1331" s="2">
        <f ca="1">INDEX(INDIRECT(_xlfn.CONCAT("weather.tbl[",S$1,"]")),MATCH(vp.data[[#This Row],[SDate]],weather.tbl[Date],0))</f>
        <v>15.2</v>
      </c>
      <c r="T1331" s="2">
        <f ca="1">INDEX(INDIRECT(_xlfn.CONCAT("weather.tbl[",T$1,"]")),MATCH(vp.data[[#This Row],[SDate]],weather.tbl[Date],0))</f>
        <v>11</v>
      </c>
      <c r="U1331" s="2">
        <f ca="1">INDEX(INDIRECT(_xlfn.CONCAT("weather.tbl[",U$1,"]")),MATCH(vp.data[[#This Row],[SDate]],weather.tbl[Date],0))</f>
        <v>13.3</v>
      </c>
      <c r="V1331" s="2">
        <f t="array" ref="V13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35.799999999999997</v>
      </c>
      <c r="W1331" t="s">
        <v>268</v>
      </c>
      <c r="X1331">
        <f>IF(OR(vp.data[[#This Row],[Sulf]]="",vp.data[[#This Row],[Dens]]=""),1,0)</f>
        <v>0</v>
      </c>
      <c r="Y1331">
        <f>IF(vp.data[[#This Row],[CrudeType]]="C5+",1,0)</f>
        <v>1</v>
      </c>
      <c r="Z1331">
        <f>IF(AND(vp.data[[#This Row],[CrudeType]]="Crude",vp.data[[#This Row],[Dens]]&lt;=825,vp.data[[#This Row],[Sulf]]&gt;0.5,vp.data[[#This Row],[Unknown]]=0),1,0)</f>
        <v>0</v>
      </c>
      <c r="AA1331">
        <f>IF(AND(vp.data[[#This Row],[CrudeType]]="Crude",vp.data[[#This Row],[Dens]]&lt;=825,vp.data[[#This Row],[Sulf]]&lt;=0.5,vp.data[[#This Row],[Unknown]]=0),1,0)</f>
        <v>0</v>
      </c>
      <c r="AB13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1">
        <f>IF(AND(vp.data[[#This Row],[CrudeType]]="Crude",vp.data[[#This Row],[Dens]]&gt;825,vp.data[[#This Row],[Dens]]&lt;=900,vp.data[[#This Row],[Sulf]]&lt;=0.5,vp.data[[#This Row],[Unknown]]=0),1,0)</f>
        <v>0</v>
      </c>
      <c r="AD1331">
        <f>IF(AND(vp.data[[#This Row],[CrudeType]]="Crude",vp.data[[#This Row],[Dens]]&gt;865,vp.data[[#This Row],[Dens]]&lt;=900,vp.data[[#This Row],[Sulf]]&gt;2,vp.data[[#This Row],[Unknown]]=0),1,0)</f>
        <v>0</v>
      </c>
      <c r="AE1331">
        <f>IF(AND(vp.data[[#This Row],[CrudeType]]="Crude",vp.data[[#This Row],[Dens]]&gt;900,vp.data[[#This Row],[Sulf]]&lt;=0.5,vp.data[[#This Row],[Unknown]]=0),1,0)</f>
        <v>0</v>
      </c>
      <c r="AF1331">
        <f>IF(AND(vp.data[[#This Row],[CrudeType]]="Crude",vp.data[[#This Row],[Dens]]&gt;900,vp.data[[#This Row],[Sulf]]&lt;=0.5,vp.data[[#This Row],[Unknown]]=0),1,0)</f>
        <v>0</v>
      </c>
      <c r="AG1331" t="str">
        <f>INDEX(vp.data[[#Headers],[Unknown]:[Heavy_SW]],MATCH(1,vp.data[[#This Row],[Unknown]:[Heavy_SW]],0))</f>
        <v>C5</v>
      </c>
      <c r="AH1331">
        <f>INDEX([3]!crudeBD.lkup[Number],MATCH(vp.data[[#This Row],[Crude_Breakdown]],crudeBD.lkup[Crude Breakdown],0))</f>
        <v>0</v>
      </c>
      <c r="AI1331">
        <f>MONTH(vp.data[[#This Row],[SDate]])</f>
        <v>4</v>
      </c>
      <c r="AJ1331" s="5">
        <f>(vp.data[[#This Row],[VP]]-INDEX(crudeBD.lkup[Mean_VP],MATCH(vp.data[[#This Row],[Crude_Breakdown]],crudeBD.lkup[Crude Breakdown],0)))^2</f>
        <v>84.258491483011298</v>
      </c>
      <c r="AK1331" s="5">
        <f>(vp.data[[#This Row],[Dens]]-INDEX(crudeBD.lkup[Mean_Dens],MATCH(vp.data[[#This Row],[Crude_Breakdown]],crudeBD.lkup[Crude Breakdown],0)))^2</f>
        <v>0.38911131772268276</v>
      </c>
      <c r="AL1331" s="5">
        <f>(vp.data[[#This Row],[Sulf]]-INDEX(crudeBD.lkup[Mean_Sulf],MATCH(vp.data[[#This Row],[Crude_Breakdown]],crudeBD.lkup[Crude Breakdown],0)))^2</f>
        <v>0</v>
      </c>
      <c r="AM1331" s="4">
        <f>IF(AND(vp.data[[#This Row],[SDate]]&gt;=DATE(YEAR(vp.data[[#This Row],[SDate]]),5,1),vp.data[[#This Row],[SDate]]&lt;=DATE(YEAR(vp.data[[#This Row],[SDate]]),9,15)),1,0)</f>
        <v>0</v>
      </c>
      <c r="AN1331" s="4">
        <f>IF(vp.data[[#This Row],[SDate]]&lt;DATE(2016,12,1),0,1)</f>
        <v>1</v>
      </c>
      <c r="AO1331" s="4">
        <f>IFERROR(vp.data[[#This Row],[Sulf]]*vp.data[[#This Row],[Net Dens]],"")</f>
        <v>0</v>
      </c>
      <c r="AP1331">
        <f>IFERROR(vp.data[[#This Row],[Dens]]*vp.data[[#This Row],[VolumeM3]],"")</f>
        <v>23581.46</v>
      </c>
      <c r="AQ1331" s="15">
        <f>IFERROR(vp.data[[#This Row],[VP]]*vp.data[[#This Row],[VolumeM3]],"")</f>
        <v>3365.2</v>
      </c>
    </row>
    <row r="1332" spans="1:43" x14ac:dyDescent="0.25">
      <c r="A1332">
        <v>1331</v>
      </c>
      <c r="B1332" t="s">
        <v>272</v>
      </c>
      <c r="C1332" t="s">
        <v>280</v>
      </c>
      <c r="D1332" t="s">
        <v>281</v>
      </c>
      <c r="E1332">
        <v>324274</v>
      </c>
      <c r="F1332" s="1">
        <v>42833</v>
      </c>
      <c r="G1332" s="2">
        <v>108.4</v>
      </c>
      <c r="H1332" s="2">
        <v>0</v>
      </c>
      <c r="I1332" s="2">
        <f t="array" ref="I133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2" s="2">
        <v>20</v>
      </c>
      <c r="K1332" s="2">
        <v>16</v>
      </c>
      <c r="L1332" s="2">
        <v>665.9</v>
      </c>
      <c r="M1332" s="2">
        <f t="array" ref="M1332">_xlfn.IFNA(IF(vp.data[[#This Row],[Dens Input]]="",INDEX([1]DATA!$O$3:$O$9826,MATCH(1,(vp.data[[#This Row],[Battery]]=[1]DATA!$L$3:$L$9826)*(EOMONTH(vp.data[[#This Row],[SDate]],-1)+1=[1]DATA!$G$3:$G$9826),0)),vp.data[[#This Row],[Dens Input]]),"")</f>
        <v>665.9</v>
      </c>
      <c r="N1332" s="2">
        <f ca="1">INDEX(INDIRECT(_xlfn.CONCAT("weather.tbl[",N$1,"]")),MATCH(vp.data[[#This Row],[SDate]],weather.tbl[Date],0))</f>
        <v>11.366666666666667</v>
      </c>
      <c r="O1332" s="2">
        <f ca="1">INDEX(INDIRECT(_xlfn.CONCAT("weather.tbl[",O$1,"]")),MATCH(vp.data[[#This Row],[SDate]],weather.tbl[Date],0))</f>
        <v>7.4285714285714288</v>
      </c>
      <c r="P1332" s="2">
        <f ca="1">INDEX(INDIRECT(_xlfn.CONCAT("weather.tbl[",P$1,"]")),MATCH(vp.data[[#This Row],[SDate]],weather.tbl[Date],0))</f>
        <v>11.6</v>
      </c>
      <c r="Q1332" s="2">
        <f ca="1">INDEX(INDIRECT(_xlfn.CONCAT("weather.tbl[",Q$1,"]")),MATCH(vp.data[[#This Row],[SDate]],weather.tbl[Date],0))</f>
        <v>9.1999999999999993</v>
      </c>
      <c r="R1332" s="2">
        <f ca="1">INDEX(INDIRECT(_xlfn.CONCAT("weather.tbl[",R$1,"]")),MATCH(vp.data[[#This Row],[SDate]],weather.tbl[Date],0))</f>
        <v>13</v>
      </c>
      <c r="S1332" s="2">
        <f ca="1">INDEX(INDIRECT(_xlfn.CONCAT("weather.tbl[",S$1,"]")),MATCH(vp.data[[#This Row],[SDate]],weather.tbl[Date],0))</f>
        <v>9.6999999999999993</v>
      </c>
      <c r="T1332" s="2">
        <f ca="1">INDEX(INDIRECT(_xlfn.CONCAT("weather.tbl[",T$1,"]")),MATCH(vp.data[[#This Row],[SDate]],weather.tbl[Date],0))</f>
        <v>12.2</v>
      </c>
      <c r="U1332" s="2">
        <f ca="1">INDEX(INDIRECT(_xlfn.CONCAT("weather.tbl[",U$1,"]")),MATCH(vp.data[[#This Row],[SDate]],weather.tbl[Date],0))</f>
        <v>12.5</v>
      </c>
      <c r="V1332" s="2">
        <f t="array" ref="V13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41.7</v>
      </c>
      <c r="W1332" t="s">
        <v>268</v>
      </c>
      <c r="X1332">
        <f>IF(OR(vp.data[[#This Row],[Sulf]]="",vp.data[[#This Row],[Dens]]=""),1,0)</f>
        <v>0</v>
      </c>
      <c r="Y1332">
        <f>IF(vp.data[[#This Row],[CrudeType]]="C5+",1,0)</f>
        <v>1</v>
      </c>
      <c r="Z1332">
        <f>IF(AND(vp.data[[#This Row],[CrudeType]]="Crude",vp.data[[#This Row],[Dens]]&lt;=825,vp.data[[#This Row],[Sulf]]&gt;0.5,vp.data[[#This Row],[Unknown]]=0),1,0)</f>
        <v>0</v>
      </c>
      <c r="AA1332">
        <f>IF(AND(vp.data[[#This Row],[CrudeType]]="Crude",vp.data[[#This Row],[Dens]]&lt;=825,vp.data[[#This Row],[Sulf]]&lt;=0.5,vp.data[[#This Row],[Unknown]]=0),1,0)</f>
        <v>0</v>
      </c>
      <c r="AB13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2">
        <f>IF(AND(vp.data[[#This Row],[CrudeType]]="Crude",vp.data[[#This Row],[Dens]]&gt;825,vp.data[[#This Row],[Dens]]&lt;=900,vp.data[[#This Row],[Sulf]]&lt;=0.5,vp.data[[#This Row],[Unknown]]=0),1,0)</f>
        <v>0</v>
      </c>
      <c r="AD1332">
        <f>IF(AND(vp.data[[#This Row],[CrudeType]]="Crude",vp.data[[#This Row],[Dens]]&gt;865,vp.data[[#This Row],[Dens]]&lt;=900,vp.data[[#This Row],[Sulf]]&gt;2,vp.data[[#This Row],[Unknown]]=0),1,0)</f>
        <v>0</v>
      </c>
      <c r="AE1332">
        <f>IF(AND(vp.data[[#This Row],[CrudeType]]="Crude",vp.data[[#This Row],[Dens]]&gt;900,vp.data[[#This Row],[Sulf]]&lt;=0.5,vp.data[[#This Row],[Unknown]]=0),1,0)</f>
        <v>0</v>
      </c>
      <c r="AF1332">
        <f>IF(AND(vp.data[[#This Row],[CrudeType]]="Crude",vp.data[[#This Row],[Dens]]&gt;900,vp.data[[#This Row],[Sulf]]&lt;=0.5,vp.data[[#This Row],[Unknown]]=0),1,0)</f>
        <v>0</v>
      </c>
      <c r="AG1332" t="str">
        <f>INDEX(vp.data[[#Headers],[Unknown]:[Heavy_SW]],MATCH(1,vp.data[[#This Row],[Unknown]:[Heavy_SW]],0))</f>
        <v>C5</v>
      </c>
      <c r="AH1332">
        <f>INDEX([3]!crudeBD.lkup[Number],MATCH(vp.data[[#This Row],[Crude_Breakdown]],crudeBD.lkup[Crude Breakdown],0))</f>
        <v>0</v>
      </c>
      <c r="AI1332">
        <f>MONTH(vp.data[[#This Row],[SDate]])</f>
        <v>4</v>
      </c>
      <c r="AJ1332" s="5">
        <f>(vp.data[[#This Row],[VP]]-INDEX(crudeBD.lkup[Mean_VP],MATCH(vp.data[[#This Row],[Crude_Breakdown]],crudeBD.lkup[Crude Breakdown],0)))^2</f>
        <v>27.256309664830546</v>
      </c>
      <c r="AK1332" s="5">
        <f>(vp.data[[#This Row],[Dens]]-INDEX(crudeBD.lkup[Mean_Dens],MATCH(vp.data[[#This Row],[Crude_Breakdown]],crudeBD.lkup[Crude Breakdown],0)))^2</f>
        <v>61.211656772267084</v>
      </c>
      <c r="AL1332" s="5">
        <f>(vp.data[[#This Row],[Sulf]]-INDEX(crudeBD.lkup[Mean_Sulf],MATCH(vp.data[[#This Row],[Crude_Breakdown]],crudeBD.lkup[Crude Breakdown],0)))^2</f>
        <v>0</v>
      </c>
      <c r="AM1332" s="4">
        <f>IF(AND(vp.data[[#This Row],[SDate]]&gt;=DATE(YEAR(vp.data[[#This Row],[SDate]]),5,1),vp.data[[#This Row],[SDate]]&lt;=DATE(YEAR(vp.data[[#This Row],[SDate]]),9,15)),1,0)</f>
        <v>0</v>
      </c>
      <c r="AN1332" s="4">
        <f>IF(vp.data[[#This Row],[SDate]]&lt;DATE(2016,12,1),0,1)</f>
        <v>1</v>
      </c>
      <c r="AO1332" s="4">
        <f>IFERROR(vp.data[[#This Row],[Sulf]]*vp.data[[#This Row],[Net Dens]],"")</f>
        <v>0</v>
      </c>
      <c r="AP1332">
        <f>IFERROR(vp.data[[#This Row],[Dens]]*vp.data[[#This Row],[VolumeM3]],"")</f>
        <v>27768.030000000002</v>
      </c>
      <c r="AQ1332" s="15">
        <f>IFERROR(vp.data[[#This Row],[VP]]*vp.data[[#This Row],[VolumeM3]],"")</f>
        <v>4520.2800000000007</v>
      </c>
    </row>
    <row r="1333" spans="1:43" x14ac:dyDescent="0.25">
      <c r="A1333">
        <v>1332</v>
      </c>
      <c r="B1333" t="s">
        <v>272</v>
      </c>
      <c r="C1333" t="s">
        <v>282</v>
      </c>
      <c r="D1333" t="s">
        <v>283</v>
      </c>
      <c r="E1333">
        <v>324437</v>
      </c>
      <c r="F1333" s="1">
        <v>42834</v>
      </c>
      <c r="G1333" s="2">
        <v>108.4</v>
      </c>
      <c r="H1333" s="2">
        <v>0</v>
      </c>
      <c r="I1333" s="2">
        <f t="array" ref="I133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3" s="2">
        <v>10</v>
      </c>
      <c r="K1333" s="2">
        <v>3</v>
      </c>
      <c r="L1333" s="2">
        <v>656.7</v>
      </c>
      <c r="M1333" s="2">
        <f t="array" ref="M1333">_xlfn.IFNA(IF(vp.data[[#This Row],[Dens Input]]="",INDEX([1]DATA!$O$3:$O$9826,MATCH(1,(vp.data[[#This Row],[Battery]]=[1]DATA!$L$3:$L$9826)*(EOMONTH(vp.data[[#This Row],[SDate]],-1)+1=[1]DATA!$G$3:$G$9826),0)),vp.data[[#This Row],[Dens Input]]),"")</f>
        <v>656.7</v>
      </c>
      <c r="N1333" s="2">
        <f ca="1">INDEX(INDIRECT(_xlfn.CONCAT("weather.tbl[",N$1,"]")),MATCH(vp.data[[#This Row],[SDate]],weather.tbl[Date],0))</f>
        <v>2.6666666666666665</v>
      </c>
      <c r="O1333" s="2">
        <f ca="1">INDEX(INDIRECT(_xlfn.CONCAT("weather.tbl[",O$1,"]")),MATCH(vp.data[[#This Row],[SDate]],weather.tbl[Date],0))</f>
        <v>6.7261904761904754</v>
      </c>
      <c r="P1333" s="2">
        <f ca="1">INDEX(INDIRECT(_xlfn.CONCAT("weather.tbl[",P$1,"]")),MATCH(vp.data[[#This Row],[SDate]],weather.tbl[Date],0))</f>
        <v>2.2999999999999998</v>
      </c>
      <c r="Q1333" s="2">
        <f ca="1">INDEX(INDIRECT(_xlfn.CONCAT("weather.tbl[",Q$1,"]")),MATCH(vp.data[[#This Row],[SDate]],weather.tbl[Date],0))</f>
        <v>0.6</v>
      </c>
      <c r="R1333" s="2">
        <f ca="1">INDEX(INDIRECT(_xlfn.CONCAT("weather.tbl[",R$1,"]")),MATCH(vp.data[[#This Row],[SDate]],weather.tbl[Date],0))</f>
        <v>13</v>
      </c>
      <c r="S1333" s="2">
        <f ca="1">INDEX(INDIRECT(_xlfn.CONCAT("weather.tbl[",S$1,"]")),MATCH(vp.data[[#This Row],[SDate]],weather.tbl[Date],0))</f>
        <v>-1</v>
      </c>
      <c r="T1333" s="2">
        <f ca="1">INDEX(INDIRECT(_xlfn.CONCAT("weather.tbl[",T$1,"]")),MATCH(vp.data[[#This Row],[SDate]],weather.tbl[Date],0))</f>
        <v>1.9</v>
      </c>
      <c r="U1333" s="2">
        <f ca="1">INDEX(INDIRECT(_xlfn.CONCAT("weather.tbl[",U$1,"]")),MATCH(vp.data[[#This Row],[SDate]],weather.tbl[Date],0))</f>
        <v>-0.8</v>
      </c>
      <c r="V1333" s="2">
        <f t="array" ref="V13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32.549999999999997</v>
      </c>
      <c r="W1333" t="s">
        <v>268</v>
      </c>
      <c r="X1333">
        <f>IF(OR(vp.data[[#This Row],[Sulf]]="",vp.data[[#This Row],[Dens]]=""),1,0)</f>
        <v>0</v>
      </c>
      <c r="Y1333">
        <f>IF(vp.data[[#This Row],[CrudeType]]="C5+",1,0)</f>
        <v>1</v>
      </c>
      <c r="Z1333">
        <f>IF(AND(vp.data[[#This Row],[CrudeType]]="Crude",vp.data[[#This Row],[Dens]]&lt;=825,vp.data[[#This Row],[Sulf]]&gt;0.5,vp.data[[#This Row],[Unknown]]=0),1,0)</f>
        <v>0</v>
      </c>
      <c r="AA1333">
        <f>IF(AND(vp.data[[#This Row],[CrudeType]]="Crude",vp.data[[#This Row],[Dens]]&lt;=825,vp.data[[#This Row],[Sulf]]&lt;=0.5,vp.data[[#This Row],[Unknown]]=0),1,0)</f>
        <v>0</v>
      </c>
      <c r="AB13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3">
        <f>IF(AND(vp.data[[#This Row],[CrudeType]]="Crude",vp.data[[#This Row],[Dens]]&gt;825,vp.data[[#This Row],[Dens]]&lt;=900,vp.data[[#This Row],[Sulf]]&lt;=0.5,vp.data[[#This Row],[Unknown]]=0),1,0)</f>
        <v>0</v>
      </c>
      <c r="AD1333">
        <f>IF(AND(vp.data[[#This Row],[CrudeType]]="Crude",vp.data[[#This Row],[Dens]]&gt;865,vp.data[[#This Row],[Dens]]&lt;=900,vp.data[[#This Row],[Sulf]]&gt;2,vp.data[[#This Row],[Unknown]]=0),1,0)</f>
        <v>0</v>
      </c>
      <c r="AE1333">
        <f>IF(AND(vp.data[[#This Row],[CrudeType]]="Crude",vp.data[[#This Row],[Dens]]&gt;900,vp.data[[#This Row],[Sulf]]&lt;=0.5,vp.data[[#This Row],[Unknown]]=0),1,0)</f>
        <v>0</v>
      </c>
      <c r="AF1333">
        <f>IF(AND(vp.data[[#This Row],[CrudeType]]="Crude",vp.data[[#This Row],[Dens]]&gt;900,vp.data[[#This Row],[Sulf]]&lt;=0.5,vp.data[[#This Row],[Unknown]]=0),1,0)</f>
        <v>0</v>
      </c>
      <c r="AG1333" t="str">
        <f>INDEX(vp.data[[#Headers],[Unknown]:[Heavy_SW]],MATCH(1,vp.data[[#This Row],[Unknown]:[Heavy_SW]],0))</f>
        <v>C5</v>
      </c>
      <c r="AH1333">
        <f>INDEX([3]!crudeBD.lkup[Number],MATCH(vp.data[[#This Row],[Crude_Breakdown]],crudeBD.lkup[Crude Breakdown],0))</f>
        <v>0</v>
      </c>
      <c r="AI1333">
        <f>MONTH(vp.data[[#This Row],[SDate]])</f>
        <v>4</v>
      </c>
      <c r="AJ1333" s="5">
        <f>(vp.data[[#This Row],[VP]]-INDEX(crudeBD.lkup[Mean_VP],MATCH(vp.data[[#This Row],[Crude_Breakdown]],crudeBD.lkup[Crude Breakdown],0)))^2</f>
        <v>27.256309664830546</v>
      </c>
      <c r="AK1333" s="5">
        <f>(vp.data[[#This Row],[Dens]]-INDEX(crudeBD.lkup[Mean_Dens],MATCH(vp.data[[#This Row],[Crude_Breakdown]],crudeBD.lkup[Crude Breakdown],0)))^2</f>
        <v>1.8939598025711633</v>
      </c>
      <c r="AL1333" s="5">
        <f>(vp.data[[#This Row],[Sulf]]-INDEX(crudeBD.lkup[Mean_Sulf],MATCH(vp.data[[#This Row],[Crude_Breakdown]],crudeBD.lkup[Crude Breakdown],0)))^2</f>
        <v>0</v>
      </c>
      <c r="AM1333" s="4">
        <f>IF(AND(vp.data[[#This Row],[SDate]]&gt;=DATE(YEAR(vp.data[[#This Row],[SDate]]),5,1),vp.data[[#This Row],[SDate]]&lt;=DATE(YEAR(vp.data[[#This Row],[SDate]]),9,15)),1,0)</f>
        <v>0</v>
      </c>
      <c r="AN1333" s="4">
        <f>IF(vp.data[[#This Row],[SDate]]&lt;DATE(2016,12,1),0,1)</f>
        <v>1</v>
      </c>
      <c r="AO1333" s="4">
        <f>IFERROR(vp.data[[#This Row],[Sulf]]*vp.data[[#This Row],[Net Dens]],"")</f>
        <v>0</v>
      </c>
      <c r="AP1333">
        <f>IFERROR(vp.data[[#This Row],[Dens]]*vp.data[[#This Row],[VolumeM3]],"")</f>
        <v>21375.584999999999</v>
      </c>
      <c r="AQ1333" s="15">
        <f>IFERROR(vp.data[[#This Row],[VP]]*vp.data[[#This Row],[VolumeM3]],"")</f>
        <v>3528.42</v>
      </c>
    </row>
    <row r="1334" spans="1:43" x14ac:dyDescent="0.25">
      <c r="A1334">
        <v>1333</v>
      </c>
      <c r="B1334" t="s">
        <v>272</v>
      </c>
      <c r="C1334" t="s">
        <v>282</v>
      </c>
      <c r="D1334" t="s">
        <v>283</v>
      </c>
      <c r="E1334">
        <v>324725</v>
      </c>
      <c r="F1334" s="1">
        <v>42836</v>
      </c>
      <c r="G1334" s="2">
        <v>110.5</v>
      </c>
      <c r="H1334" s="2">
        <v>0</v>
      </c>
      <c r="I1334" s="2">
        <f t="array" ref="I133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4" s="2">
        <v>5.9</v>
      </c>
      <c r="K1334" s="2">
        <v>5</v>
      </c>
      <c r="L1334" s="2">
        <v>658.8</v>
      </c>
      <c r="M1334" s="2">
        <f t="array" ref="M1334">_xlfn.IFNA(IF(vp.data[[#This Row],[Dens Input]]="",INDEX([1]DATA!$O$3:$O$9826,MATCH(1,(vp.data[[#This Row],[Battery]]=[1]DATA!$L$3:$L$9826)*(EOMONTH(vp.data[[#This Row],[SDate]],-1)+1=[1]DATA!$G$3:$G$9826),0)),vp.data[[#This Row],[Dens Input]]),"")</f>
        <v>658.8</v>
      </c>
      <c r="N1334" s="2">
        <f ca="1">INDEX(INDIRECT(_xlfn.CONCAT("weather.tbl[",N$1,"]")),MATCH(vp.data[[#This Row],[SDate]],weather.tbl[Date],0))</f>
        <v>5.2833333333333341</v>
      </c>
      <c r="O1334" s="2">
        <f ca="1">INDEX(INDIRECT(_xlfn.CONCAT("weather.tbl[",O$1,"]")),MATCH(vp.data[[#This Row],[SDate]],weather.tbl[Date],0))</f>
        <v>5.9023809523809518</v>
      </c>
      <c r="P1334" s="2">
        <f ca="1">INDEX(INDIRECT(_xlfn.CONCAT("weather.tbl[",P$1,"]")),MATCH(vp.data[[#This Row],[SDate]],weather.tbl[Date],0))</f>
        <v>6.1</v>
      </c>
      <c r="Q1334" s="2">
        <f ca="1">INDEX(INDIRECT(_xlfn.CONCAT("weather.tbl[",Q$1,"]")),MATCH(vp.data[[#This Row],[SDate]],weather.tbl[Date],0))</f>
        <v>5.5</v>
      </c>
      <c r="R1334" s="2">
        <f ca="1">INDEX(INDIRECT(_xlfn.CONCAT("weather.tbl[",R$1,"]")),MATCH(vp.data[[#This Row],[SDate]],weather.tbl[Date],0))</f>
        <v>4.5</v>
      </c>
      <c r="S1334" s="2">
        <f ca="1">INDEX(INDIRECT(_xlfn.CONCAT("weather.tbl[",S$1,"]")),MATCH(vp.data[[#This Row],[SDate]],weather.tbl[Date],0))</f>
        <v>5.5</v>
      </c>
      <c r="T1334" s="2">
        <f ca="1">INDEX(INDIRECT(_xlfn.CONCAT("weather.tbl[",T$1,"]")),MATCH(vp.data[[#This Row],[SDate]],weather.tbl[Date],0))</f>
        <v>5.0999999999999996</v>
      </c>
      <c r="U1334" s="2">
        <f ca="1">INDEX(INDIRECT(_xlfn.CONCAT("weather.tbl[",U$1,"]")),MATCH(vp.data[[#This Row],[SDate]],weather.tbl[Date],0))</f>
        <v>5</v>
      </c>
      <c r="V1334" s="2">
        <f t="array" ref="V13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38.17</v>
      </c>
      <c r="W1334" t="s">
        <v>268</v>
      </c>
      <c r="X1334">
        <f>IF(OR(vp.data[[#This Row],[Sulf]]="",vp.data[[#This Row],[Dens]]=""),1,0)</f>
        <v>0</v>
      </c>
      <c r="Y1334">
        <f>IF(vp.data[[#This Row],[CrudeType]]="C5+",1,0)</f>
        <v>1</v>
      </c>
      <c r="Z1334">
        <f>IF(AND(vp.data[[#This Row],[CrudeType]]="Crude",vp.data[[#This Row],[Dens]]&lt;=825,vp.data[[#This Row],[Sulf]]&gt;0.5,vp.data[[#This Row],[Unknown]]=0),1,0)</f>
        <v>0</v>
      </c>
      <c r="AA1334">
        <f>IF(AND(vp.data[[#This Row],[CrudeType]]="Crude",vp.data[[#This Row],[Dens]]&lt;=825,vp.data[[#This Row],[Sulf]]&lt;=0.5,vp.data[[#This Row],[Unknown]]=0),1,0)</f>
        <v>0</v>
      </c>
      <c r="AB13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4">
        <f>IF(AND(vp.data[[#This Row],[CrudeType]]="Crude",vp.data[[#This Row],[Dens]]&gt;825,vp.data[[#This Row],[Dens]]&lt;=900,vp.data[[#This Row],[Sulf]]&lt;=0.5,vp.data[[#This Row],[Unknown]]=0),1,0)</f>
        <v>0</v>
      </c>
      <c r="AD1334">
        <f>IF(AND(vp.data[[#This Row],[CrudeType]]="Crude",vp.data[[#This Row],[Dens]]&gt;865,vp.data[[#This Row],[Dens]]&lt;=900,vp.data[[#This Row],[Sulf]]&gt;2,vp.data[[#This Row],[Unknown]]=0),1,0)</f>
        <v>0</v>
      </c>
      <c r="AE1334">
        <f>IF(AND(vp.data[[#This Row],[CrudeType]]="Crude",vp.data[[#This Row],[Dens]]&gt;900,vp.data[[#This Row],[Sulf]]&lt;=0.5,vp.data[[#This Row],[Unknown]]=0),1,0)</f>
        <v>0</v>
      </c>
      <c r="AF1334">
        <f>IF(AND(vp.data[[#This Row],[CrudeType]]="Crude",vp.data[[#This Row],[Dens]]&gt;900,vp.data[[#This Row],[Sulf]]&lt;=0.5,vp.data[[#This Row],[Unknown]]=0),1,0)</f>
        <v>0</v>
      </c>
      <c r="AG1334" t="str">
        <f>INDEX(vp.data[[#Headers],[Unknown]:[Heavy_SW]],MATCH(1,vp.data[[#This Row],[Unknown]:[Heavy_SW]],0))</f>
        <v>C5</v>
      </c>
      <c r="AH1334">
        <f>INDEX([3]!crudeBD.lkup[Number],MATCH(vp.data[[#This Row],[Crude_Breakdown]],crudeBD.lkup[Crude Breakdown],0))</f>
        <v>0</v>
      </c>
      <c r="AI1334">
        <f>MONTH(vp.data[[#This Row],[SDate]])</f>
        <v>4</v>
      </c>
      <c r="AJ1334" s="5">
        <f>(vp.data[[#This Row],[VP]]-INDEX(crudeBD.lkup[Mean_VP],MATCH(vp.data[[#This Row],[Crude_Breakdown]],crudeBD.lkup[Crude Breakdown],0)))^2</f>
        <v>53.59349148301245</v>
      </c>
      <c r="AK1334" s="5">
        <f>(vp.data[[#This Row],[Dens]]-INDEX(crudeBD.lkup[Mean_Dens],MATCH(vp.data[[#This Row],[Crude_Breakdown]],crudeBD.lkup[Crude Breakdown],0)))^2</f>
        <v>0.52386889348012711</v>
      </c>
      <c r="AL1334" s="5">
        <f>(vp.data[[#This Row],[Sulf]]-INDEX(crudeBD.lkup[Mean_Sulf],MATCH(vp.data[[#This Row],[Crude_Breakdown]],crudeBD.lkup[Crude Breakdown],0)))^2</f>
        <v>0</v>
      </c>
      <c r="AM1334" s="4">
        <f>IF(AND(vp.data[[#This Row],[SDate]]&gt;=DATE(YEAR(vp.data[[#This Row],[SDate]]),5,1),vp.data[[#This Row],[SDate]]&lt;=DATE(YEAR(vp.data[[#This Row],[SDate]]),9,15)),1,0)</f>
        <v>0</v>
      </c>
      <c r="AN1334" s="4">
        <f>IF(vp.data[[#This Row],[SDate]]&lt;DATE(2016,12,1),0,1)</f>
        <v>1</v>
      </c>
      <c r="AO1334" s="4">
        <f>IFERROR(vp.data[[#This Row],[Sulf]]*vp.data[[#This Row],[Net Dens]],"")</f>
        <v>0</v>
      </c>
      <c r="AP1334">
        <f>IFERROR(vp.data[[#This Row],[Dens]]*vp.data[[#This Row],[VolumeM3]],"")</f>
        <v>25146.396000000001</v>
      </c>
      <c r="AQ1334" s="15">
        <f>IFERROR(vp.data[[#This Row],[VP]]*vp.data[[#This Row],[VolumeM3]],"")</f>
        <v>4217.7849999999999</v>
      </c>
    </row>
    <row r="1335" spans="1:43" x14ac:dyDescent="0.25">
      <c r="A1335">
        <v>1334</v>
      </c>
      <c r="B1335" t="s">
        <v>272</v>
      </c>
      <c r="C1335" t="s">
        <v>273</v>
      </c>
      <c r="D1335" t="s">
        <v>274</v>
      </c>
      <c r="E1335">
        <v>324829</v>
      </c>
      <c r="F1335" s="1">
        <v>42837</v>
      </c>
      <c r="G1335" s="2">
        <v>104.4</v>
      </c>
      <c r="H1335" s="2">
        <v>0</v>
      </c>
      <c r="I1335" s="2">
        <f t="array" ref="I133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5" s="2"/>
      <c r="K1335" s="2">
        <v>15</v>
      </c>
      <c r="L1335" s="2">
        <v>641.5</v>
      </c>
      <c r="M1335" s="2">
        <f t="array" ref="M1335">_xlfn.IFNA(IF(vp.data[[#This Row],[Dens Input]]="",INDEX([1]DATA!$O$3:$O$9826,MATCH(1,(vp.data[[#This Row],[Battery]]=[1]DATA!$L$3:$L$9826)*(EOMONTH(vp.data[[#This Row],[SDate]],-1)+1=[1]DATA!$G$3:$G$9826),0)),vp.data[[#This Row],[Dens Input]]),"")</f>
        <v>641.5</v>
      </c>
      <c r="N1335" s="2">
        <f ca="1">INDEX(INDIRECT(_xlfn.CONCAT("weather.tbl[",N$1,"]")),MATCH(vp.data[[#This Row],[SDate]],weather.tbl[Date],0))</f>
        <v>6.0166666666666666</v>
      </c>
      <c r="O1335" s="2">
        <f ca="1">INDEX(INDIRECT(_xlfn.CONCAT("weather.tbl[",O$1,"]")),MATCH(vp.data[[#This Row],[SDate]],weather.tbl[Date],0))</f>
        <v>6.2952380952380951</v>
      </c>
      <c r="P1335" s="2">
        <f ca="1">INDEX(INDIRECT(_xlfn.CONCAT("weather.tbl[",P$1,"]")),MATCH(vp.data[[#This Row],[SDate]],weather.tbl[Date],0))</f>
        <v>6.2</v>
      </c>
      <c r="Q1335" s="2">
        <f ca="1">INDEX(INDIRECT(_xlfn.CONCAT("weather.tbl[",Q$1,"]")),MATCH(vp.data[[#This Row],[SDate]],weather.tbl[Date],0))</f>
        <v>5.4</v>
      </c>
      <c r="R1335" s="2">
        <f ca="1">INDEX(INDIRECT(_xlfn.CONCAT("weather.tbl[",R$1,"]")),MATCH(vp.data[[#This Row],[SDate]],weather.tbl[Date],0))</f>
        <v>6</v>
      </c>
      <c r="S1335" s="2">
        <f ca="1">INDEX(INDIRECT(_xlfn.CONCAT("weather.tbl[",S$1,"]")),MATCH(vp.data[[#This Row],[SDate]],weather.tbl[Date],0))</f>
        <v>5.7</v>
      </c>
      <c r="T1335" s="2">
        <f ca="1">INDEX(INDIRECT(_xlfn.CONCAT("weather.tbl[",T$1,"]")),MATCH(vp.data[[#This Row],[SDate]],weather.tbl[Date],0))</f>
        <v>6.8</v>
      </c>
      <c r="U1335" s="2">
        <f ca="1">INDEX(INDIRECT(_xlfn.CONCAT("weather.tbl[",U$1,"]")),MATCH(vp.data[[#This Row],[SDate]],weather.tbl[Date],0))</f>
        <v>6</v>
      </c>
      <c r="V1335" s="2">
        <f t="array" ref="V13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33.49</v>
      </c>
      <c r="W1335" t="s">
        <v>268</v>
      </c>
      <c r="X1335">
        <f>IF(OR(vp.data[[#This Row],[Sulf]]="",vp.data[[#This Row],[Dens]]=""),1,0)</f>
        <v>0</v>
      </c>
      <c r="Y1335">
        <f>IF(vp.data[[#This Row],[CrudeType]]="C5+",1,0)</f>
        <v>1</v>
      </c>
      <c r="Z1335">
        <f>IF(AND(vp.data[[#This Row],[CrudeType]]="Crude",vp.data[[#This Row],[Dens]]&lt;=825,vp.data[[#This Row],[Sulf]]&gt;0.5,vp.data[[#This Row],[Unknown]]=0),1,0)</f>
        <v>0</v>
      </c>
      <c r="AA1335">
        <f>IF(AND(vp.data[[#This Row],[CrudeType]]="Crude",vp.data[[#This Row],[Dens]]&lt;=825,vp.data[[#This Row],[Sulf]]&lt;=0.5,vp.data[[#This Row],[Unknown]]=0),1,0)</f>
        <v>0</v>
      </c>
      <c r="AB13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5">
        <f>IF(AND(vp.data[[#This Row],[CrudeType]]="Crude",vp.data[[#This Row],[Dens]]&gt;825,vp.data[[#This Row],[Dens]]&lt;=900,vp.data[[#This Row],[Sulf]]&lt;=0.5,vp.data[[#This Row],[Unknown]]=0),1,0)</f>
        <v>0</v>
      </c>
      <c r="AD1335">
        <f>IF(AND(vp.data[[#This Row],[CrudeType]]="Crude",vp.data[[#This Row],[Dens]]&gt;865,vp.data[[#This Row],[Dens]]&lt;=900,vp.data[[#This Row],[Sulf]]&gt;2,vp.data[[#This Row],[Unknown]]=0),1,0)</f>
        <v>0</v>
      </c>
      <c r="AE1335">
        <f>IF(AND(vp.data[[#This Row],[CrudeType]]="Crude",vp.data[[#This Row],[Dens]]&gt;900,vp.data[[#This Row],[Sulf]]&lt;=0.5,vp.data[[#This Row],[Unknown]]=0),1,0)</f>
        <v>0</v>
      </c>
      <c r="AF1335">
        <f>IF(AND(vp.data[[#This Row],[CrudeType]]="Crude",vp.data[[#This Row],[Dens]]&gt;900,vp.data[[#This Row],[Sulf]]&lt;=0.5,vp.data[[#This Row],[Unknown]]=0),1,0)</f>
        <v>0</v>
      </c>
      <c r="AG1335" t="str">
        <f>INDEX(vp.data[[#Headers],[Unknown]:[Heavy_SW]],MATCH(1,vp.data[[#This Row],[Unknown]:[Heavy_SW]],0))</f>
        <v>C5</v>
      </c>
      <c r="AH1335">
        <f>INDEX([3]!crudeBD.lkup[Number],MATCH(vp.data[[#This Row],[Crude_Breakdown]],crudeBD.lkup[Crude Breakdown],0))</f>
        <v>0</v>
      </c>
      <c r="AI1335">
        <f>MONTH(vp.data[[#This Row],[SDate]])</f>
        <v>4</v>
      </c>
      <c r="AJ1335" s="5">
        <f>(vp.data[[#This Row],[VP]]-INDEX(crudeBD.lkup[Mean_VP],MATCH(vp.data[[#This Row],[Crude_Breakdown]],crudeBD.lkup[Crude Breakdown],0)))^2</f>
        <v>1.4902490587696129</v>
      </c>
      <c r="AK1335" s="5">
        <f>(vp.data[[#This Row],[Dens]]-INDEX(crudeBD.lkup[Mean_Dens],MATCH(vp.data[[#This Row],[Crude_Breakdown]],crudeBD.lkup[Crude Breakdown],0)))^2</f>
        <v>274.77080828742112</v>
      </c>
      <c r="AL1335" s="5">
        <f>(vp.data[[#This Row],[Sulf]]-INDEX(crudeBD.lkup[Mean_Sulf],MATCH(vp.data[[#This Row],[Crude_Breakdown]],crudeBD.lkup[Crude Breakdown],0)))^2</f>
        <v>0</v>
      </c>
      <c r="AM1335" s="4">
        <f>IF(AND(vp.data[[#This Row],[SDate]]&gt;=DATE(YEAR(vp.data[[#This Row],[SDate]]),5,1),vp.data[[#This Row],[SDate]]&lt;=DATE(YEAR(vp.data[[#This Row],[SDate]]),9,15)),1,0)</f>
        <v>0</v>
      </c>
      <c r="AN1335" s="4">
        <f>IF(vp.data[[#This Row],[SDate]]&lt;DATE(2016,12,1),0,1)</f>
        <v>1</v>
      </c>
      <c r="AO1335" s="4">
        <f>IFERROR(vp.data[[#This Row],[Sulf]]*vp.data[[#This Row],[Net Dens]],"")</f>
        <v>0</v>
      </c>
      <c r="AP1335">
        <f>IFERROR(vp.data[[#This Row],[Dens]]*vp.data[[#This Row],[VolumeM3]],"")</f>
        <v>21483.835000000003</v>
      </c>
      <c r="AQ1335" s="15">
        <f>IFERROR(vp.data[[#This Row],[VP]]*vp.data[[#This Row],[VolumeM3]],"")</f>
        <v>3496.3560000000002</v>
      </c>
    </row>
    <row r="1336" spans="1:43" x14ac:dyDescent="0.25">
      <c r="A1336">
        <v>1335</v>
      </c>
      <c r="B1336" t="s">
        <v>275</v>
      </c>
      <c r="C1336" t="s">
        <v>276</v>
      </c>
      <c r="D1336" t="s">
        <v>277</v>
      </c>
      <c r="E1336">
        <v>324933</v>
      </c>
      <c r="F1336" s="1">
        <v>42837</v>
      </c>
      <c r="G1336" s="2">
        <v>95.2</v>
      </c>
      <c r="H1336" s="2">
        <v>0</v>
      </c>
      <c r="I1336" s="2">
        <f t="array" ref="I133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6" s="2">
        <v>16.3</v>
      </c>
      <c r="K1336" s="2">
        <v>15</v>
      </c>
      <c r="L1336" s="2">
        <v>661.6</v>
      </c>
      <c r="M1336" s="2">
        <f t="array" ref="M1336">_xlfn.IFNA(IF(vp.data[[#This Row],[Dens Input]]="",INDEX([1]DATA!$O$3:$O$9826,MATCH(1,(vp.data[[#This Row],[Battery]]=[1]DATA!$L$3:$L$9826)*(EOMONTH(vp.data[[#This Row],[SDate]],-1)+1=[1]DATA!$G$3:$G$9826),0)),vp.data[[#This Row],[Dens Input]]),"")</f>
        <v>661.6</v>
      </c>
      <c r="N1336" s="2">
        <f ca="1">INDEX(INDIRECT(_xlfn.CONCAT("weather.tbl[",N$1,"]")),MATCH(vp.data[[#This Row],[SDate]],weather.tbl[Date],0))</f>
        <v>6.0166666666666666</v>
      </c>
      <c r="O1336" s="2">
        <f ca="1">INDEX(INDIRECT(_xlfn.CONCAT("weather.tbl[",O$1,"]")),MATCH(vp.data[[#This Row],[SDate]],weather.tbl[Date],0))</f>
        <v>6.2952380952380951</v>
      </c>
      <c r="P1336" s="2">
        <f ca="1">INDEX(INDIRECT(_xlfn.CONCAT("weather.tbl[",P$1,"]")),MATCH(vp.data[[#This Row],[SDate]],weather.tbl[Date],0))</f>
        <v>6.2</v>
      </c>
      <c r="Q1336" s="2">
        <f ca="1">INDEX(INDIRECT(_xlfn.CONCAT("weather.tbl[",Q$1,"]")),MATCH(vp.data[[#This Row],[SDate]],weather.tbl[Date],0))</f>
        <v>5.4</v>
      </c>
      <c r="R1336" s="2">
        <f ca="1">INDEX(INDIRECT(_xlfn.CONCAT("weather.tbl[",R$1,"]")),MATCH(vp.data[[#This Row],[SDate]],weather.tbl[Date],0))</f>
        <v>6</v>
      </c>
      <c r="S1336" s="2">
        <f ca="1">INDEX(INDIRECT(_xlfn.CONCAT("weather.tbl[",S$1,"]")),MATCH(vp.data[[#This Row],[SDate]],weather.tbl[Date],0))</f>
        <v>5.7</v>
      </c>
      <c r="T1336" s="2">
        <f ca="1">INDEX(INDIRECT(_xlfn.CONCAT("weather.tbl[",T$1,"]")),MATCH(vp.data[[#This Row],[SDate]],weather.tbl[Date],0))</f>
        <v>6.8</v>
      </c>
      <c r="U1336" s="2">
        <f ca="1">INDEX(INDIRECT(_xlfn.CONCAT("weather.tbl[",U$1,"]")),MATCH(vp.data[[#This Row],[SDate]],weather.tbl[Date],0))</f>
        <v>6</v>
      </c>
      <c r="V1336" s="2">
        <f t="array" ref="V13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34.020000000000003</v>
      </c>
      <c r="W1336" t="s">
        <v>268</v>
      </c>
      <c r="X1336">
        <f>IF(OR(vp.data[[#This Row],[Sulf]]="",vp.data[[#This Row],[Dens]]=""),1,0)</f>
        <v>0</v>
      </c>
      <c r="Y1336">
        <f>IF(vp.data[[#This Row],[CrudeType]]="C5+",1,0)</f>
        <v>1</v>
      </c>
      <c r="Z1336">
        <f>IF(AND(vp.data[[#This Row],[CrudeType]]="Crude",vp.data[[#This Row],[Dens]]&lt;=825,vp.data[[#This Row],[Sulf]]&gt;0.5,vp.data[[#This Row],[Unknown]]=0),1,0)</f>
        <v>0</v>
      </c>
      <c r="AA1336">
        <f>IF(AND(vp.data[[#This Row],[CrudeType]]="Crude",vp.data[[#This Row],[Dens]]&lt;=825,vp.data[[#This Row],[Sulf]]&lt;=0.5,vp.data[[#This Row],[Unknown]]=0),1,0)</f>
        <v>0</v>
      </c>
      <c r="AB13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6">
        <f>IF(AND(vp.data[[#This Row],[CrudeType]]="Crude",vp.data[[#This Row],[Dens]]&gt;825,vp.data[[#This Row],[Dens]]&lt;=900,vp.data[[#This Row],[Sulf]]&lt;=0.5,vp.data[[#This Row],[Unknown]]=0),1,0)</f>
        <v>0</v>
      </c>
      <c r="AD1336">
        <f>IF(AND(vp.data[[#This Row],[CrudeType]]="Crude",vp.data[[#This Row],[Dens]]&gt;865,vp.data[[#This Row],[Dens]]&lt;=900,vp.data[[#This Row],[Sulf]]&gt;2,vp.data[[#This Row],[Unknown]]=0),1,0)</f>
        <v>0</v>
      </c>
      <c r="AE1336">
        <f>IF(AND(vp.data[[#This Row],[CrudeType]]="Crude",vp.data[[#This Row],[Dens]]&gt;900,vp.data[[#This Row],[Sulf]]&lt;=0.5,vp.data[[#This Row],[Unknown]]=0),1,0)</f>
        <v>0</v>
      </c>
      <c r="AF1336">
        <f>IF(AND(vp.data[[#This Row],[CrudeType]]="Crude",vp.data[[#This Row],[Dens]]&gt;900,vp.data[[#This Row],[Sulf]]&lt;=0.5,vp.data[[#This Row],[Unknown]]=0),1,0)</f>
        <v>0</v>
      </c>
      <c r="AG1336" t="str">
        <f>INDEX(vp.data[[#Headers],[Unknown]:[Heavy_SW]],MATCH(1,vp.data[[#This Row],[Unknown]:[Heavy_SW]],0))</f>
        <v>C5</v>
      </c>
      <c r="AH1336">
        <f>INDEX([3]!crudeBD.lkup[Number],MATCH(vp.data[[#This Row],[Crude_Breakdown]],crudeBD.lkup[Crude Breakdown],0))</f>
        <v>0</v>
      </c>
      <c r="AI1336">
        <f>MONTH(vp.data[[#This Row],[SDate]])</f>
        <v>4</v>
      </c>
      <c r="AJ1336" s="5">
        <f>(vp.data[[#This Row],[VP]]-INDEX(crudeBD.lkup[Mean_VP],MATCH(vp.data[[#This Row],[Crude_Breakdown]],crudeBD.lkup[Crude Breakdown],0)))^2</f>
        <v>63.668309664829515</v>
      </c>
      <c r="AK1336" s="5">
        <f>(vp.data[[#This Row],[Dens]]-INDEX(crudeBD.lkup[Mean_Dens],MATCH(vp.data[[#This Row],[Crude_Breakdown]],crudeBD.lkup[Crude Breakdown],0)))^2</f>
        <v>12.417081014692226</v>
      </c>
      <c r="AL1336" s="5">
        <f>(vp.data[[#This Row],[Sulf]]-INDEX(crudeBD.lkup[Mean_Sulf],MATCH(vp.data[[#This Row],[Crude_Breakdown]],crudeBD.lkup[Crude Breakdown],0)))^2</f>
        <v>0</v>
      </c>
      <c r="AM1336" s="4">
        <f>IF(AND(vp.data[[#This Row],[SDate]]&gt;=DATE(YEAR(vp.data[[#This Row],[SDate]]),5,1),vp.data[[#This Row],[SDate]]&lt;=DATE(YEAR(vp.data[[#This Row],[SDate]]),9,15)),1,0)</f>
        <v>0</v>
      </c>
      <c r="AN1336" s="4">
        <f>IF(vp.data[[#This Row],[SDate]]&lt;DATE(2016,12,1),0,1)</f>
        <v>1</v>
      </c>
      <c r="AO1336" s="4">
        <f>IFERROR(vp.data[[#This Row],[Sulf]]*vp.data[[#This Row],[Net Dens]],"")</f>
        <v>0</v>
      </c>
      <c r="AP1336">
        <f>IFERROR(vp.data[[#This Row],[Dens]]*vp.data[[#This Row],[VolumeM3]],"")</f>
        <v>22507.632000000001</v>
      </c>
      <c r="AQ1336" s="15">
        <f>IFERROR(vp.data[[#This Row],[VP]]*vp.data[[#This Row],[VolumeM3]],"")</f>
        <v>3238.7040000000002</v>
      </c>
    </row>
    <row r="1337" spans="1:43" x14ac:dyDescent="0.25">
      <c r="A1337">
        <v>1336</v>
      </c>
      <c r="B1337" t="s">
        <v>269</v>
      </c>
      <c r="C1337" t="s">
        <v>270</v>
      </c>
      <c r="D1337" t="s">
        <v>271</v>
      </c>
      <c r="E1337">
        <v>324930</v>
      </c>
      <c r="F1337" s="1">
        <v>42837</v>
      </c>
      <c r="G1337" s="2">
        <v>101.2</v>
      </c>
      <c r="H1337" s="2">
        <v>0</v>
      </c>
      <c r="I1337" s="2">
        <f t="array" ref="I133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7" s="2">
        <v>12.9</v>
      </c>
      <c r="K1337" s="2">
        <v>15</v>
      </c>
      <c r="L1337" s="2">
        <v>657</v>
      </c>
      <c r="M1337" s="2">
        <f t="array" ref="M1337">_xlfn.IFNA(IF(vp.data[[#This Row],[Dens Input]]="",INDEX([1]DATA!$O$3:$O$9826,MATCH(1,(vp.data[[#This Row],[Battery]]=[1]DATA!$L$3:$L$9826)*(EOMONTH(vp.data[[#This Row],[SDate]],-1)+1=[1]DATA!$G$3:$G$9826),0)),vp.data[[#This Row],[Dens Input]]),"")</f>
        <v>657</v>
      </c>
      <c r="N1337" s="2">
        <f ca="1">INDEX(INDIRECT(_xlfn.CONCAT("weather.tbl[",N$1,"]")),MATCH(vp.data[[#This Row],[SDate]],weather.tbl[Date],0))</f>
        <v>6.0166666666666666</v>
      </c>
      <c r="O1337" s="2">
        <f ca="1">INDEX(INDIRECT(_xlfn.CONCAT("weather.tbl[",O$1,"]")),MATCH(vp.data[[#This Row],[SDate]],weather.tbl[Date],0))</f>
        <v>6.2952380952380951</v>
      </c>
      <c r="P1337" s="2">
        <f ca="1">INDEX(INDIRECT(_xlfn.CONCAT("weather.tbl[",P$1,"]")),MATCH(vp.data[[#This Row],[SDate]],weather.tbl[Date],0))</f>
        <v>6.2</v>
      </c>
      <c r="Q1337" s="2">
        <f ca="1">INDEX(INDIRECT(_xlfn.CONCAT("weather.tbl[",Q$1,"]")),MATCH(vp.data[[#This Row],[SDate]],weather.tbl[Date],0))</f>
        <v>5.4</v>
      </c>
      <c r="R1337" s="2">
        <f ca="1">INDEX(INDIRECT(_xlfn.CONCAT("weather.tbl[",R$1,"]")),MATCH(vp.data[[#This Row],[SDate]],weather.tbl[Date],0))</f>
        <v>6</v>
      </c>
      <c r="S1337" s="2">
        <f ca="1">INDEX(INDIRECT(_xlfn.CONCAT("weather.tbl[",S$1,"]")),MATCH(vp.data[[#This Row],[SDate]],weather.tbl[Date],0))</f>
        <v>5.7</v>
      </c>
      <c r="T1337" s="2">
        <f ca="1">INDEX(INDIRECT(_xlfn.CONCAT("weather.tbl[",T$1,"]")),MATCH(vp.data[[#This Row],[SDate]],weather.tbl[Date],0))</f>
        <v>6.8</v>
      </c>
      <c r="U1337" s="2">
        <f ca="1">INDEX(INDIRECT(_xlfn.CONCAT("weather.tbl[",U$1,"]")),MATCH(vp.data[[#This Row],[SDate]],weather.tbl[Date],0))</f>
        <v>6</v>
      </c>
      <c r="V1337" s="2">
        <f t="array" ref="V13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41.77</v>
      </c>
      <c r="W1337" t="s">
        <v>268</v>
      </c>
      <c r="X1337">
        <f>IF(OR(vp.data[[#This Row],[Sulf]]="",vp.data[[#This Row],[Dens]]=""),1,0)</f>
        <v>0</v>
      </c>
      <c r="Y1337">
        <f>IF(vp.data[[#This Row],[CrudeType]]="C5+",1,0)</f>
        <v>1</v>
      </c>
      <c r="Z1337">
        <f>IF(AND(vp.data[[#This Row],[CrudeType]]="Crude",vp.data[[#This Row],[Dens]]&lt;=825,vp.data[[#This Row],[Sulf]]&gt;0.5,vp.data[[#This Row],[Unknown]]=0),1,0)</f>
        <v>0</v>
      </c>
      <c r="AA1337">
        <f>IF(AND(vp.data[[#This Row],[CrudeType]]="Crude",vp.data[[#This Row],[Dens]]&lt;=825,vp.data[[#This Row],[Sulf]]&lt;=0.5,vp.data[[#This Row],[Unknown]]=0),1,0)</f>
        <v>0</v>
      </c>
      <c r="AB13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7">
        <f>IF(AND(vp.data[[#This Row],[CrudeType]]="Crude",vp.data[[#This Row],[Dens]]&gt;825,vp.data[[#This Row],[Dens]]&lt;=900,vp.data[[#This Row],[Sulf]]&lt;=0.5,vp.data[[#This Row],[Unknown]]=0),1,0)</f>
        <v>0</v>
      </c>
      <c r="AD1337">
        <f>IF(AND(vp.data[[#This Row],[CrudeType]]="Crude",vp.data[[#This Row],[Dens]]&gt;865,vp.data[[#This Row],[Dens]]&lt;=900,vp.data[[#This Row],[Sulf]]&gt;2,vp.data[[#This Row],[Unknown]]=0),1,0)</f>
        <v>0</v>
      </c>
      <c r="AE1337">
        <f>IF(AND(vp.data[[#This Row],[CrudeType]]="Crude",vp.data[[#This Row],[Dens]]&gt;900,vp.data[[#This Row],[Sulf]]&lt;=0.5,vp.data[[#This Row],[Unknown]]=0),1,0)</f>
        <v>0</v>
      </c>
      <c r="AF1337">
        <f>IF(AND(vp.data[[#This Row],[CrudeType]]="Crude",vp.data[[#This Row],[Dens]]&gt;900,vp.data[[#This Row],[Sulf]]&lt;=0.5,vp.data[[#This Row],[Unknown]]=0),1,0)</f>
        <v>0</v>
      </c>
      <c r="AG1337" t="str">
        <f>INDEX(vp.data[[#Headers],[Unknown]:[Heavy_SW]],MATCH(1,vp.data[[#This Row],[Unknown]:[Heavy_SW]],0))</f>
        <v>C5</v>
      </c>
      <c r="AH1337">
        <f>INDEX([3]!crudeBD.lkup[Number],MATCH(vp.data[[#This Row],[Crude_Breakdown]],crudeBD.lkup[Crude Breakdown],0))</f>
        <v>0</v>
      </c>
      <c r="AI1337">
        <f>MONTH(vp.data[[#This Row],[SDate]])</f>
        <v>4</v>
      </c>
      <c r="AJ1337" s="5">
        <f>(vp.data[[#This Row],[VP]]-INDEX(crudeBD.lkup[Mean_VP],MATCH(vp.data[[#This Row],[Crude_Breakdown]],crudeBD.lkup[Crude Breakdown],0)))^2</f>
        <v>3.9174005739208781</v>
      </c>
      <c r="AK1337" s="5">
        <f>(vp.data[[#This Row],[Dens]]-INDEX(crudeBD.lkup[Mean_Dens],MATCH(vp.data[[#This Row],[Crude_Breakdown]],crudeBD.lkup[Crude Breakdown],0)))^2</f>
        <v>1.1582325298439891</v>
      </c>
      <c r="AL1337" s="5">
        <f>(vp.data[[#This Row],[Sulf]]-INDEX(crudeBD.lkup[Mean_Sulf],MATCH(vp.data[[#This Row],[Crude_Breakdown]],crudeBD.lkup[Crude Breakdown],0)))^2</f>
        <v>0</v>
      </c>
      <c r="AM1337" s="4">
        <f>IF(AND(vp.data[[#This Row],[SDate]]&gt;=DATE(YEAR(vp.data[[#This Row],[SDate]]),5,1),vp.data[[#This Row],[SDate]]&lt;=DATE(YEAR(vp.data[[#This Row],[SDate]]),9,15)),1,0)</f>
        <v>0</v>
      </c>
      <c r="AN1337" s="4">
        <f>IF(vp.data[[#This Row],[SDate]]&lt;DATE(2016,12,1),0,1)</f>
        <v>1</v>
      </c>
      <c r="AO1337" s="4">
        <f>IFERROR(vp.data[[#This Row],[Sulf]]*vp.data[[#This Row],[Net Dens]],"")</f>
        <v>0</v>
      </c>
      <c r="AP1337">
        <f>IFERROR(vp.data[[#This Row],[Dens]]*vp.data[[#This Row],[VolumeM3]],"")</f>
        <v>27442.890000000003</v>
      </c>
      <c r="AQ1337" s="15">
        <f>IFERROR(vp.data[[#This Row],[VP]]*vp.data[[#This Row],[VolumeM3]],"")</f>
        <v>4227.1240000000007</v>
      </c>
    </row>
    <row r="1338" spans="1:43" x14ac:dyDescent="0.25">
      <c r="A1338">
        <v>1337</v>
      </c>
      <c r="B1338" t="s">
        <v>284</v>
      </c>
      <c r="C1338" t="s">
        <v>266</v>
      </c>
      <c r="D1338" t="s">
        <v>267</v>
      </c>
      <c r="E1338">
        <v>324923</v>
      </c>
      <c r="F1338" s="1">
        <v>42837</v>
      </c>
      <c r="G1338" s="2">
        <v>95.9</v>
      </c>
      <c r="H1338" s="2">
        <v>0</v>
      </c>
      <c r="I1338" s="2">
        <f t="array" ref="I133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8" s="2">
        <v>10.210000000000001</v>
      </c>
      <c r="K1338" s="2">
        <v>15</v>
      </c>
      <c r="L1338" s="2">
        <v>665.93</v>
      </c>
      <c r="M1338" s="2">
        <f t="array" ref="M1338">_xlfn.IFNA(IF(vp.data[[#This Row],[Dens Input]]="",INDEX([1]DATA!$O$3:$O$9826,MATCH(1,(vp.data[[#This Row],[Battery]]=[1]DATA!$L$3:$L$9826)*(EOMONTH(vp.data[[#This Row],[SDate]],-1)+1=[1]DATA!$G$3:$G$9826),0)),vp.data[[#This Row],[Dens Input]]),"")</f>
        <v>665.93</v>
      </c>
      <c r="N1338" s="2">
        <f ca="1">INDEX(INDIRECT(_xlfn.CONCAT("weather.tbl[",N$1,"]")),MATCH(vp.data[[#This Row],[SDate]],weather.tbl[Date],0))</f>
        <v>6.0166666666666666</v>
      </c>
      <c r="O1338" s="2">
        <f ca="1">INDEX(INDIRECT(_xlfn.CONCAT("weather.tbl[",O$1,"]")),MATCH(vp.data[[#This Row],[SDate]],weather.tbl[Date],0))</f>
        <v>6.2952380952380951</v>
      </c>
      <c r="P1338" s="2">
        <f ca="1">INDEX(INDIRECT(_xlfn.CONCAT("weather.tbl[",P$1,"]")),MATCH(vp.data[[#This Row],[SDate]],weather.tbl[Date],0))</f>
        <v>6.2</v>
      </c>
      <c r="Q1338" s="2">
        <f ca="1">INDEX(INDIRECT(_xlfn.CONCAT("weather.tbl[",Q$1,"]")),MATCH(vp.data[[#This Row],[SDate]],weather.tbl[Date],0))</f>
        <v>5.4</v>
      </c>
      <c r="R1338" s="2">
        <f ca="1">INDEX(INDIRECT(_xlfn.CONCAT("weather.tbl[",R$1,"]")),MATCH(vp.data[[#This Row],[SDate]],weather.tbl[Date],0))</f>
        <v>6</v>
      </c>
      <c r="S1338" s="2">
        <f ca="1">INDEX(INDIRECT(_xlfn.CONCAT("weather.tbl[",S$1,"]")),MATCH(vp.data[[#This Row],[SDate]],weather.tbl[Date],0))</f>
        <v>5.7</v>
      </c>
      <c r="T1338" s="2">
        <f ca="1">INDEX(INDIRECT(_xlfn.CONCAT("weather.tbl[",T$1,"]")),MATCH(vp.data[[#This Row],[SDate]],weather.tbl[Date],0))</f>
        <v>6.8</v>
      </c>
      <c r="U1338" s="2">
        <f ca="1">INDEX(INDIRECT(_xlfn.CONCAT("weather.tbl[",U$1,"]")),MATCH(vp.data[[#This Row],[SDate]],weather.tbl[Date],0))</f>
        <v>6</v>
      </c>
      <c r="V1338" s="2">
        <f t="array" ref="V13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26.94</v>
      </c>
      <c r="W1338" t="s">
        <v>268</v>
      </c>
      <c r="X1338">
        <f>IF(OR(vp.data[[#This Row],[Sulf]]="",vp.data[[#This Row],[Dens]]=""),1,0)</f>
        <v>0</v>
      </c>
      <c r="Y1338">
        <f>IF(vp.data[[#This Row],[CrudeType]]="C5+",1,0)</f>
        <v>1</v>
      </c>
      <c r="Z1338">
        <f>IF(AND(vp.data[[#This Row],[CrudeType]]="Crude",vp.data[[#This Row],[Dens]]&lt;=825,vp.data[[#This Row],[Sulf]]&gt;0.5,vp.data[[#This Row],[Unknown]]=0),1,0)</f>
        <v>0</v>
      </c>
      <c r="AA1338">
        <f>IF(AND(vp.data[[#This Row],[CrudeType]]="Crude",vp.data[[#This Row],[Dens]]&lt;=825,vp.data[[#This Row],[Sulf]]&lt;=0.5,vp.data[[#This Row],[Unknown]]=0),1,0)</f>
        <v>0</v>
      </c>
      <c r="AB13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8">
        <f>IF(AND(vp.data[[#This Row],[CrudeType]]="Crude",vp.data[[#This Row],[Dens]]&gt;825,vp.data[[#This Row],[Dens]]&lt;=900,vp.data[[#This Row],[Sulf]]&lt;=0.5,vp.data[[#This Row],[Unknown]]=0),1,0)</f>
        <v>0</v>
      </c>
      <c r="AD1338">
        <f>IF(AND(vp.data[[#This Row],[CrudeType]]="Crude",vp.data[[#This Row],[Dens]]&gt;865,vp.data[[#This Row],[Dens]]&lt;=900,vp.data[[#This Row],[Sulf]]&gt;2,vp.data[[#This Row],[Unknown]]=0),1,0)</f>
        <v>0</v>
      </c>
      <c r="AE1338">
        <f>IF(AND(vp.data[[#This Row],[CrudeType]]="Crude",vp.data[[#This Row],[Dens]]&gt;900,vp.data[[#This Row],[Sulf]]&lt;=0.5,vp.data[[#This Row],[Unknown]]=0),1,0)</f>
        <v>0</v>
      </c>
      <c r="AF1338">
        <f>IF(AND(vp.data[[#This Row],[CrudeType]]="Crude",vp.data[[#This Row],[Dens]]&gt;900,vp.data[[#This Row],[Sulf]]&lt;=0.5,vp.data[[#This Row],[Unknown]]=0),1,0)</f>
        <v>0</v>
      </c>
      <c r="AG1338" t="str">
        <f>INDEX(vp.data[[#Headers],[Unknown]:[Heavy_SW]],MATCH(1,vp.data[[#This Row],[Unknown]:[Heavy_SW]],0))</f>
        <v>C5</v>
      </c>
      <c r="AH1338">
        <f>INDEX([3]!crudeBD.lkup[Number],MATCH(vp.data[[#This Row],[Crude_Breakdown]],crudeBD.lkup[Crude Breakdown],0))</f>
        <v>0</v>
      </c>
      <c r="AI1338">
        <f>MONTH(vp.data[[#This Row],[SDate]])</f>
        <v>4</v>
      </c>
      <c r="AJ1338" s="5">
        <f>(vp.data[[#This Row],[VP]]-INDEX(crudeBD.lkup[Mean_VP],MATCH(vp.data[[#This Row],[Crude_Breakdown]],crudeBD.lkup[Crude Breakdown],0)))^2</f>
        <v>52.987370270890132</v>
      </c>
      <c r="AK1338" s="5">
        <f>(vp.data[[#This Row],[Dens]]-INDEX(crudeBD.lkup[Mean_Dens],MATCH(vp.data[[#This Row],[Crude_Breakdown]],crudeBD.lkup[Crude Breakdown],0)))^2</f>
        <v>61.681984044993925</v>
      </c>
      <c r="AL1338" s="5">
        <f>(vp.data[[#This Row],[Sulf]]-INDEX(crudeBD.lkup[Mean_Sulf],MATCH(vp.data[[#This Row],[Crude_Breakdown]],crudeBD.lkup[Crude Breakdown],0)))^2</f>
        <v>0</v>
      </c>
      <c r="AM1338" s="4">
        <f>IF(AND(vp.data[[#This Row],[SDate]]&gt;=DATE(YEAR(vp.data[[#This Row],[SDate]]),5,1),vp.data[[#This Row],[SDate]]&lt;=DATE(YEAR(vp.data[[#This Row],[SDate]]),9,15)),1,0)</f>
        <v>0</v>
      </c>
      <c r="AN1338" s="4">
        <f>IF(vp.data[[#This Row],[SDate]]&lt;DATE(2016,12,1),0,1)</f>
        <v>1</v>
      </c>
      <c r="AO1338" s="4">
        <f>IFERROR(vp.data[[#This Row],[Sulf]]*vp.data[[#This Row],[Net Dens]],"")</f>
        <v>0</v>
      </c>
      <c r="AP1338">
        <f>IFERROR(vp.data[[#This Row],[Dens]]*vp.data[[#This Row],[VolumeM3]],"")</f>
        <v>17940.154200000001</v>
      </c>
      <c r="AQ1338" s="15">
        <f>IFERROR(vp.data[[#This Row],[VP]]*vp.data[[#This Row],[VolumeM3]],"")</f>
        <v>2583.5460000000003</v>
      </c>
    </row>
    <row r="1339" spans="1:43" x14ac:dyDescent="0.25">
      <c r="A1339">
        <v>1338</v>
      </c>
      <c r="B1339" t="s">
        <v>272</v>
      </c>
      <c r="C1339" t="s">
        <v>282</v>
      </c>
      <c r="D1339" t="s">
        <v>283</v>
      </c>
      <c r="E1339">
        <v>325467</v>
      </c>
      <c r="F1339" s="1">
        <v>42840</v>
      </c>
      <c r="G1339" s="2">
        <v>107.8</v>
      </c>
      <c r="H1339" s="2">
        <v>0</v>
      </c>
      <c r="I1339" s="2">
        <f t="array" ref="I133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39" s="2">
        <v>13</v>
      </c>
      <c r="K1339" s="2">
        <v>6</v>
      </c>
      <c r="L1339" s="2">
        <v>630.20000000000005</v>
      </c>
      <c r="M1339" s="2">
        <f t="array" ref="M1339">_xlfn.IFNA(IF(vp.data[[#This Row],[Dens Input]]="",INDEX([1]DATA!$O$3:$O$9826,MATCH(1,(vp.data[[#This Row],[Battery]]=[1]DATA!$L$3:$L$9826)*(EOMONTH(vp.data[[#This Row],[SDate]],-1)+1=[1]DATA!$G$3:$G$9826),0)),vp.data[[#This Row],[Dens Input]]),"")</f>
        <v>630.20000000000005</v>
      </c>
      <c r="N1339" s="2">
        <f ca="1">INDEX(INDIRECT(_xlfn.CONCAT("weather.tbl[",N$1,"]")),MATCH(vp.data[[#This Row],[SDate]],weather.tbl[Date],0))</f>
        <v>6.4499999999999993</v>
      </c>
      <c r="O1339" s="2">
        <f ca="1">INDEX(INDIRECT(_xlfn.CONCAT("weather.tbl[",O$1,"]")),MATCH(vp.data[[#This Row],[SDate]],weather.tbl[Date],0))</f>
        <v>5.9380952380952374</v>
      </c>
      <c r="P1339" s="2">
        <f ca="1">INDEX(INDIRECT(_xlfn.CONCAT("weather.tbl[",P$1,"]")),MATCH(vp.data[[#This Row],[SDate]],weather.tbl[Date],0))</f>
        <v>6.7</v>
      </c>
      <c r="Q1339" s="2">
        <f ca="1">INDEX(INDIRECT(_xlfn.CONCAT("weather.tbl[",Q$1,"]")),MATCH(vp.data[[#This Row],[SDate]],weather.tbl[Date],0))</f>
        <v>4.8</v>
      </c>
      <c r="R1339" s="2">
        <f ca="1">INDEX(INDIRECT(_xlfn.CONCAT("weather.tbl[",R$1,"]")),MATCH(vp.data[[#This Row],[SDate]],weather.tbl[Date],0))</f>
        <v>6</v>
      </c>
      <c r="S1339" s="2">
        <f ca="1">INDEX(INDIRECT(_xlfn.CONCAT("weather.tbl[",S$1,"]")),MATCH(vp.data[[#This Row],[SDate]],weather.tbl[Date],0))</f>
        <v>6.4</v>
      </c>
      <c r="T1339" s="2">
        <f ca="1">INDEX(INDIRECT(_xlfn.CONCAT("weather.tbl[",T$1,"]")),MATCH(vp.data[[#This Row],[SDate]],weather.tbl[Date],0))</f>
        <v>8.5</v>
      </c>
      <c r="U1339" s="2">
        <f ca="1">INDEX(INDIRECT(_xlfn.CONCAT("weather.tbl[",U$1,"]")),MATCH(vp.data[[#This Row],[SDate]],weather.tbl[Date],0))</f>
        <v>6.3</v>
      </c>
      <c r="V1339" s="2">
        <f t="array" ref="V13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38.22</v>
      </c>
      <c r="W1339" t="s">
        <v>268</v>
      </c>
      <c r="X1339">
        <f>IF(OR(vp.data[[#This Row],[Sulf]]="",vp.data[[#This Row],[Dens]]=""),1,0)</f>
        <v>0</v>
      </c>
      <c r="Y1339">
        <f>IF(vp.data[[#This Row],[CrudeType]]="C5+",1,0)</f>
        <v>1</v>
      </c>
      <c r="Z1339">
        <f>IF(AND(vp.data[[#This Row],[CrudeType]]="Crude",vp.data[[#This Row],[Dens]]&lt;=825,vp.data[[#This Row],[Sulf]]&gt;0.5,vp.data[[#This Row],[Unknown]]=0),1,0)</f>
        <v>0</v>
      </c>
      <c r="AA1339">
        <f>IF(AND(vp.data[[#This Row],[CrudeType]]="Crude",vp.data[[#This Row],[Dens]]&lt;=825,vp.data[[#This Row],[Sulf]]&lt;=0.5,vp.data[[#This Row],[Unknown]]=0),1,0)</f>
        <v>0</v>
      </c>
      <c r="AB13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39">
        <f>IF(AND(vp.data[[#This Row],[CrudeType]]="Crude",vp.data[[#This Row],[Dens]]&gt;825,vp.data[[#This Row],[Dens]]&lt;=900,vp.data[[#This Row],[Sulf]]&lt;=0.5,vp.data[[#This Row],[Unknown]]=0),1,0)</f>
        <v>0</v>
      </c>
      <c r="AD1339">
        <f>IF(AND(vp.data[[#This Row],[CrudeType]]="Crude",vp.data[[#This Row],[Dens]]&gt;865,vp.data[[#This Row],[Dens]]&lt;=900,vp.data[[#This Row],[Sulf]]&gt;2,vp.data[[#This Row],[Unknown]]=0),1,0)</f>
        <v>0</v>
      </c>
      <c r="AE1339">
        <f>IF(AND(vp.data[[#This Row],[CrudeType]]="Crude",vp.data[[#This Row],[Dens]]&gt;900,vp.data[[#This Row],[Sulf]]&lt;=0.5,vp.data[[#This Row],[Unknown]]=0),1,0)</f>
        <v>0</v>
      </c>
      <c r="AF1339">
        <f>IF(AND(vp.data[[#This Row],[CrudeType]]="Crude",vp.data[[#This Row],[Dens]]&gt;900,vp.data[[#This Row],[Sulf]]&lt;=0.5,vp.data[[#This Row],[Unknown]]=0),1,0)</f>
        <v>0</v>
      </c>
      <c r="AG1339" t="str">
        <f>INDEX(vp.data[[#Headers],[Unknown]:[Heavy_SW]],MATCH(1,vp.data[[#This Row],[Unknown]:[Heavy_SW]],0))</f>
        <v>C5</v>
      </c>
      <c r="AH1339">
        <f>INDEX([3]!crudeBD.lkup[Number],MATCH(vp.data[[#This Row],[Crude_Breakdown]],crudeBD.lkup[Crude Breakdown],0))</f>
        <v>0</v>
      </c>
      <c r="AI1339">
        <f>MONTH(vp.data[[#This Row],[SDate]])</f>
        <v>4</v>
      </c>
      <c r="AJ1339" s="5">
        <f>(vp.data[[#This Row],[VP]]-INDEX(crudeBD.lkup[Mean_VP],MATCH(vp.data[[#This Row],[Crude_Breakdown]],crudeBD.lkup[Crude Breakdown],0)))^2</f>
        <v>21.351400573921328</v>
      </c>
      <c r="AK1339" s="5">
        <f>(vp.data[[#This Row],[Dens]]-INDEX(crudeBD.lkup[Mean_Dens],MATCH(vp.data[[#This Row],[Crude_Breakdown]],crudeBD.lkup[Crude Breakdown],0)))^2</f>
        <v>777.08320222681357</v>
      </c>
      <c r="AL1339" s="5">
        <f>(vp.data[[#This Row],[Sulf]]-INDEX(crudeBD.lkup[Mean_Sulf],MATCH(vp.data[[#This Row],[Crude_Breakdown]],crudeBD.lkup[Crude Breakdown],0)))^2</f>
        <v>0</v>
      </c>
      <c r="AM1339" s="4">
        <f>IF(AND(vp.data[[#This Row],[SDate]]&gt;=DATE(YEAR(vp.data[[#This Row],[SDate]]),5,1),vp.data[[#This Row],[SDate]]&lt;=DATE(YEAR(vp.data[[#This Row],[SDate]]),9,15)),1,0)</f>
        <v>0</v>
      </c>
      <c r="AN1339" s="4">
        <f>IF(vp.data[[#This Row],[SDate]]&lt;DATE(2016,12,1),0,1)</f>
        <v>1</v>
      </c>
      <c r="AO1339" s="4">
        <f>IFERROR(vp.data[[#This Row],[Sulf]]*vp.data[[#This Row],[Net Dens]],"")</f>
        <v>0</v>
      </c>
      <c r="AP1339">
        <f>IFERROR(vp.data[[#This Row],[Dens]]*vp.data[[#This Row],[VolumeM3]],"")</f>
        <v>24086.244000000002</v>
      </c>
      <c r="AQ1339" s="15">
        <f>IFERROR(vp.data[[#This Row],[VP]]*vp.data[[#This Row],[VolumeM3]],"")</f>
        <v>4120.116</v>
      </c>
    </row>
    <row r="1340" spans="1:43" x14ac:dyDescent="0.25">
      <c r="A1340">
        <v>1339</v>
      </c>
      <c r="B1340" t="s">
        <v>275</v>
      </c>
      <c r="C1340" t="s">
        <v>285</v>
      </c>
      <c r="D1340" t="s">
        <v>286</v>
      </c>
      <c r="E1340">
        <v>325363</v>
      </c>
      <c r="F1340" s="1">
        <v>42840</v>
      </c>
      <c r="G1340" s="2">
        <v>110.25</v>
      </c>
      <c r="H1340" s="2">
        <v>0</v>
      </c>
      <c r="I1340" s="2">
        <f t="array" ref="I134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0" s="2">
        <v>11.1</v>
      </c>
      <c r="K1340" s="2">
        <v>6</v>
      </c>
      <c r="L1340" s="2">
        <v>658.8</v>
      </c>
      <c r="M1340" s="2">
        <f t="array" ref="M1340">_xlfn.IFNA(IF(vp.data[[#This Row],[Dens Input]]="",INDEX([1]DATA!$O$3:$O$9826,MATCH(1,(vp.data[[#This Row],[Battery]]=[1]DATA!$L$3:$L$9826)*(EOMONTH(vp.data[[#This Row],[SDate]],-1)+1=[1]DATA!$G$3:$G$9826),0)),vp.data[[#This Row],[Dens Input]]),"")</f>
        <v>658.8</v>
      </c>
      <c r="N1340" s="2">
        <f ca="1">INDEX(INDIRECT(_xlfn.CONCAT("weather.tbl[",N$1,"]")),MATCH(vp.data[[#This Row],[SDate]],weather.tbl[Date],0))</f>
        <v>6.4499999999999993</v>
      </c>
      <c r="O1340" s="2">
        <f ca="1">INDEX(INDIRECT(_xlfn.CONCAT("weather.tbl[",O$1,"]")),MATCH(vp.data[[#This Row],[SDate]],weather.tbl[Date],0))</f>
        <v>5.9380952380952374</v>
      </c>
      <c r="P1340" s="2">
        <f ca="1">INDEX(INDIRECT(_xlfn.CONCAT("weather.tbl[",P$1,"]")),MATCH(vp.data[[#This Row],[SDate]],weather.tbl[Date],0))</f>
        <v>6.7</v>
      </c>
      <c r="Q1340" s="2">
        <f ca="1">INDEX(INDIRECT(_xlfn.CONCAT("weather.tbl[",Q$1,"]")),MATCH(vp.data[[#This Row],[SDate]],weather.tbl[Date],0))</f>
        <v>4.8</v>
      </c>
      <c r="R1340" s="2">
        <f ca="1">INDEX(INDIRECT(_xlfn.CONCAT("weather.tbl[",R$1,"]")),MATCH(vp.data[[#This Row],[SDate]],weather.tbl[Date],0))</f>
        <v>6</v>
      </c>
      <c r="S1340" s="2">
        <f ca="1">INDEX(INDIRECT(_xlfn.CONCAT("weather.tbl[",S$1,"]")),MATCH(vp.data[[#This Row],[SDate]],weather.tbl[Date],0))</f>
        <v>6.4</v>
      </c>
      <c r="T1340" s="2">
        <f ca="1">INDEX(INDIRECT(_xlfn.CONCAT("weather.tbl[",T$1,"]")),MATCH(vp.data[[#This Row],[SDate]],weather.tbl[Date],0))</f>
        <v>8.5</v>
      </c>
      <c r="U1340" s="2">
        <f ca="1">INDEX(INDIRECT(_xlfn.CONCAT("weather.tbl[",U$1,"]")),MATCH(vp.data[[#This Row],[SDate]],weather.tbl[Date],0))</f>
        <v>6.3</v>
      </c>
      <c r="V1340" s="2">
        <f t="array" ref="V13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40.880000000000003</v>
      </c>
      <c r="W1340" t="s">
        <v>268</v>
      </c>
      <c r="X1340">
        <f>IF(OR(vp.data[[#This Row],[Sulf]]="",vp.data[[#This Row],[Dens]]=""),1,0)</f>
        <v>0</v>
      </c>
      <c r="Y1340">
        <f>IF(vp.data[[#This Row],[CrudeType]]="C5+",1,0)</f>
        <v>1</v>
      </c>
      <c r="Z1340">
        <f>IF(AND(vp.data[[#This Row],[CrudeType]]="Crude",vp.data[[#This Row],[Dens]]&lt;=825,vp.data[[#This Row],[Sulf]]&gt;0.5,vp.data[[#This Row],[Unknown]]=0),1,0)</f>
        <v>0</v>
      </c>
      <c r="AA1340">
        <f>IF(AND(vp.data[[#This Row],[CrudeType]]="Crude",vp.data[[#This Row],[Dens]]&lt;=825,vp.data[[#This Row],[Sulf]]&lt;=0.5,vp.data[[#This Row],[Unknown]]=0),1,0)</f>
        <v>0</v>
      </c>
      <c r="AB13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0">
        <f>IF(AND(vp.data[[#This Row],[CrudeType]]="Crude",vp.data[[#This Row],[Dens]]&gt;825,vp.data[[#This Row],[Dens]]&lt;=900,vp.data[[#This Row],[Sulf]]&lt;=0.5,vp.data[[#This Row],[Unknown]]=0),1,0)</f>
        <v>0</v>
      </c>
      <c r="AD1340">
        <f>IF(AND(vp.data[[#This Row],[CrudeType]]="Crude",vp.data[[#This Row],[Dens]]&gt;865,vp.data[[#This Row],[Dens]]&lt;=900,vp.data[[#This Row],[Sulf]]&gt;2,vp.data[[#This Row],[Unknown]]=0),1,0)</f>
        <v>0</v>
      </c>
      <c r="AE1340">
        <f>IF(AND(vp.data[[#This Row],[CrudeType]]="Crude",vp.data[[#This Row],[Dens]]&gt;900,vp.data[[#This Row],[Sulf]]&lt;=0.5,vp.data[[#This Row],[Unknown]]=0),1,0)</f>
        <v>0</v>
      </c>
      <c r="AF1340">
        <f>IF(AND(vp.data[[#This Row],[CrudeType]]="Crude",vp.data[[#This Row],[Dens]]&gt;900,vp.data[[#This Row],[Sulf]]&lt;=0.5,vp.data[[#This Row],[Unknown]]=0),1,0)</f>
        <v>0</v>
      </c>
      <c r="AG1340" t="str">
        <f>INDEX(vp.data[[#Headers],[Unknown]:[Heavy_SW]],MATCH(1,vp.data[[#This Row],[Unknown]:[Heavy_SW]],0))</f>
        <v>C5</v>
      </c>
      <c r="AH1340">
        <f>INDEX([3]!crudeBD.lkup[Number],MATCH(vp.data[[#This Row],[Crude_Breakdown]],crudeBD.lkup[Crude Breakdown],0))</f>
        <v>0</v>
      </c>
      <c r="AI1340">
        <f>MONTH(vp.data[[#This Row],[SDate]])</f>
        <v>4</v>
      </c>
      <c r="AJ1340" s="5">
        <f>(vp.data[[#This Row],[VP]]-INDEX(crudeBD.lkup[Mean_VP],MATCH(vp.data[[#This Row],[Crude_Breakdown]],crudeBD.lkup[Crude Breakdown],0)))^2</f>
        <v>49.995612695133644</v>
      </c>
      <c r="AK1340" s="5">
        <f>(vp.data[[#This Row],[Dens]]-INDEX(crudeBD.lkup[Mean_Dens],MATCH(vp.data[[#This Row],[Crude_Breakdown]],crudeBD.lkup[Crude Breakdown],0)))^2</f>
        <v>0.52386889348012711</v>
      </c>
      <c r="AL1340" s="5">
        <f>(vp.data[[#This Row],[Sulf]]-INDEX(crudeBD.lkup[Mean_Sulf],MATCH(vp.data[[#This Row],[Crude_Breakdown]],crudeBD.lkup[Crude Breakdown],0)))^2</f>
        <v>0</v>
      </c>
      <c r="AM1340" s="4">
        <f>IF(AND(vp.data[[#This Row],[SDate]]&gt;=DATE(YEAR(vp.data[[#This Row],[SDate]]),5,1),vp.data[[#This Row],[SDate]]&lt;=DATE(YEAR(vp.data[[#This Row],[SDate]]),9,15)),1,0)</f>
        <v>0</v>
      </c>
      <c r="AN1340" s="4">
        <f>IF(vp.data[[#This Row],[SDate]]&lt;DATE(2016,12,1),0,1)</f>
        <v>1</v>
      </c>
      <c r="AO1340" s="4">
        <f>IFERROR(vp.data[[#This Row],[Sulf]]*vp.data[[#This Row],[Net Dens]],"")</f>
        <v>0</v>
      </c>
      <c r="AP1340">
        <f>IFERROR(vp.data[[#This Row],[Dens]]*vp.data[[#This Row],[VolumeM3]],"")</f>
        <v>26931.743999999999</v>
      </c>
      <c r="AQ1340" s="15">
        <f>IFERROR(vp.data[[#This Row],[VP]]*vp.data[[#This Row],[VolumeM3]],"")</f>
        <v>4507.0200000000004</v>
      </c>
    </row>
    <row r="1341" spans="1:43" x14ac:dyDescent="0.25">
      <c r="A1341">
        <v>1340</v>
      </c>
      <c r="B1341" t="s">
        <v>272</v>
      </c>
      <c r="C1341" t="s">
        <v>282</v>
      </c>
      <c r="D1341" t="s">
        <v>283</v>
      </c>
      <c r="E1341">
        <v>326122</v>
      </c>
      <c r="F1341" s="1">
        <v>42844</v>
      </c>
      <c r="G1341" s="2">
        <v>106.8</v>
      </c>
      <c r="H1341" s="2">
        <v>0</v>
      </c>
      <c r="I1341" s="2">
        <f t="array" ref="I134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1" s="2">
        <v>12</v>
      </c>
      <c r="K1341" s="2">
        <v>8</v>
      </c>
      <c r="L1341" s="2">
        <v>658.2</v>
      </c>
      <c r="M1341" s="2">
        <f t="array" ref="M1341">_xlfn.IFNA(IF(vp.data[[#This Row],[Dens Input]]="",INDEX([1]DATA!$O$3:$O$9826,MATCH(1,(vp.data[[#This Row],[Battery]]=[1]DATA!$L$3:$L$9826)*(EOMONTH(vp.data[[#This Row],[SDate]],-1)+1=[1]DATA!$G$3:$G$9826),0)),vp.data[[#This Row],[Dens Input]]),"")</f>
        <v>658.2</v>
      </c>
      <c r="N1341" s="2">
        <f ca="1">INDEX(INDIRECT(_xlfn.CONCAT("weather.tbl[",N$1,"]")),MATCH(vp.data[[#This Row],[SDate]],weather.tbl[Date],0))</f>
        <v>6.75</v>
      </c>
      <c r="O1341" s="2">
        <f ca="1">INDEX(INDIRECT(_xlfn.CONCAT("weather.tbl[",O$1,"]")),MATCH(vp.data[[#This Row],[SDate]],weather.tbl[Date],0))</f>
        <v>5.2404761904761914</v>
      </c>
      <c r="P1341" s="2">
        <f ca="1">INDEX(INDIRECT(_xlfn.CONCAT("weather.tbl[",P$1,"]")),MATCH(vp.data[[#This Row],[SDate]],weather.tbl[Date],0))</f>
        <v>6.7</v>
      </c>
      <c r="Q1341" s="2">
        <f ca="1">INDEX(INDIRECT(_xlfn.CONCAT("weather.tbl[",Q$1,"]")),MATCH(vp.data[[#This Row],[SDate]],weather.tbl[Date],0))</f>
        <v>8.1999999999999993</v>
      </c>
      <c r="R1341" s="2">
        <f ca="1">INDEX(INDIRECT(_xlfn.CONCAT("weather.tbl[",R$1,"]")),MATCH(vp.data[[#This Row],[SDate]],weather.tbl[Date],0))</f>
        <v>6</v>
      </c>
      <c r="S1341" s="2">
        <f ca="1">INDEX(INDIRECT(_xlfn.CONCAT("weather.tbl[",S$1,"]")),MATCH(vp.data[[#This Row],[SDate]],weather.tbl[Date],0))</f>
        <v>7.2</v>
      </c>
      <c r="T1341" s="2">
        <f ca="1">INDEX(INDIRECT(_xlfn.CONCAT("weather.tbl[",T$1,"]")),MATCH(vp.data[[#This Row],[SDate]],weather.tbl[Date],0))</f>
        <v>5.4</v>
      </c>
      <c r="U1341" s="2">
        <f ca="1">INDEX(INDIRECT(_xlfn.CONCAT("weather.tbl[",U$1,"]")),MATCH(vp.data[[#This Row],[SDate]],weather.tbl[Date],0))</f>
        <v>7</v>
      </c>
      <c r="V1341" s="2">
        <f t="array" ref="V13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34.46</v>
      </c>
      <c r="W1341" t="s">
        <v>268</v>
      </c>
      <c r="X1341">
        <f>IF(OR(vp.data[[#This Row],[Sulf]]="",vp.data[[#This Row],[Dens]]=""),1,0)</f>
        <v>0</v>
      </c>
      <c r="Y1341">
        <f>IF(vp.data[[#This Row],[CrudeType]]="C5+",1,0)</f>
        <v>1</v>
      </c>
      <c r="Z1341">
        <f>IF(AND(vp.data[[#This Row],[CrudeType]]="Crude",vp.data[[#This Row],[Dens]]&lt;=825,vp.data[[#This Row],[Sulf]]&gt;0.5,vp.data[[#This Row],[Unknown]]=0),1,0)</f>
        <v>0</v>
      </c>
      <c r="AA1341">
        <f>IF(AND(vp.data[[#This Row],[CrudeType]]="Crude",vp.data[[#This Row],[Dens]]&lt;=825,vp.data[[#This Row],[Sulf]]&lt;=0.5,vp.data[[#This Row],[Unknown]]=0),1,0)</f>
        <v>0</v>
      </c>
      <c r="AB13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1">
        <f>IF(AND(vp.data[[#This Row],[CrudeType]]="Crude",vp.data[[#This Row],[Dens]]&gt;825,vp.data[[#This Row],[Dens]]&lt;=900,vp.data[[#This Row],[Sulf]]&lt;=0.5,vp.data[[#This Row],[Unknown]]=0),1,0)</f>
        <v>0</v>
      </c>
      <c r="AD1341">
        <f>IF(AND(vp.data[[#This Row],[CrudeType]]="Crude",vp.data[[#This Row],[Dens]]&gt;865,vp.data[[#This Row],[Dens]]&lt;=900,vp.data[[#This Row],[Sulf]]&gt;2,vp.data[[#This Row],[Unknown]]=0),1,0)</f>
        <v>0</v>
      </c>
      <c r="AE1341">
        <f>IF(AND(vp.data[[#This Row],[CrudeType]]="Crude",vp.data[[#This Row],[Dens]]&gt;900,vp.data[[#This Row],[Sulf]]&lt;=0.5,vp.data[[#This Row],[Unknown]]=0),1,0)</f>
        <v>0</v>
      </c>
      <c r="AF1341">
        <f>IF(AND(vp.data[[#This Row],[CrudeType]]="Crude",vp.data[[#This Row],[Dens]]&gt;900,vp.data[[#This Row],[Sulf]]&lt;=0.5,vp.data[[#This Row],[Unknown]]=0),1,0)</f>
        <v>0</v>
      </c>
      <c r="AG1341" t="str">
        <f>INDEX(vp.data[[#Headers],[Unknown]:[Heavy_SW]],MATCH(1,vp.data[[#This Row],[Unknown]:[Heavy_SW]],0))</f>
        <v>C5</v>
      </c>
      <c r="AH1341">
        <f>INDEX([3]!crudeBD.lkup[Number],MATCH(vp.data[[#This Row],[Crude_Breakdown]],crudeBD.lkup[Crude Breakdown],0))</f>
        <v>0</v>
      </c>
      <c r="AI1341">
        <f>MONTH(vp.data[[#This Row],[SDate]])</f>
        <v>4</v>
      </c>
      <c r="AJ1341" s="5">
        <f>(vp.data[[#This Row],[VP]]-INDEX(crudeBD.lkup[Mean_VP],MATCH(vp.data[[#This Row],[Crude_Breakdown]],crudeBD.lkup[Crude Breakdown],0)))^2</f>
        <v>13.10988542240611</v>
      </c>
      <c r="AK1341" s="5">
        <f>(vp.data[[#This Row],[Dens]]-INDEX(crudeBD.lkup[Mean_Dens],MATCH(vp.data[[#This Row],[Crude_Breakdown]],crudeBD.lkup[Crude Breakdown],0)))^2</f>
        <v>1.5323438934802844E-2</v>
      </c>
      <c r="AL1341" s="5">
        <f>(vp.data[[#This Row],[Sulf]]-INDEX(crudeBD.lkup[Mean_Sulf],MATCH(vp.data[[#This Row],[Crude_Breakdown]],crudeBD.lkup[Crude Breakdown],0)))^2</f>
        <v>0</v>
      </c>
      <c r="AM1341" s="4">
        <f>IF(AND(vp.data[[#This Row],[SDate]]&gt;=DATE(YEAR(vp.data[[#This Row],[SDate]]),5,1),vp.data[[#This Row],[SDate]]&lt;=DATE(YEAR(vp.data[[#This Row],[SDate]]),9,15)),1,0)</f>
        <v>0</v>
      </c>
      <c r="AN1341" s="4">
        <f>IF(vp.data[[#This Row],[SDate]]&lt;DATE(2016,12,1),0,1)</f>
        <v>1</v>
      </c>
      <c r="AO1341" s="4">
        <f>IFERROR(vp.data[[#This Row],[Sulf]]*vp.data[[#This Row],[Net Dens]],"")</f>
        <v>0</v>
      </c>
      <c r="AP1341">
        <f>IFERROR(vp.data[[#This Row],[Dens]]*vp.data[[#This Row],[VolumeM3]],"")</f>
        <v>22681.572000000004</v>
      </c>
      <c r="AQ1341" s="15">
        <f>IFERROR(vp.data[[#This Row],[VP]]*vp.data[[#This Row],[VolumeM3]],"")</f>
        <v>3680.328</v>
      </c>
    </row>
    <row r="1342" spans="1:43" x14ac:dyDescent="0.25">
      <c r="A1342">
        <v>1341</v>
      </c>
      <c r="B1342" t="s">
        <v>269</v>
      </c>
      <c r="C1342" t="s">
        <v>270</v>
      </c>
      <c r="D1342" t="s">
        <v>271</v>
      </c>
      <c r="E1342">
        <v>326523</v>
      </c>
      <c r="F1342" s="1">
        <v>42847</v>
      </c>
      <c r="G1342" s="2">
        <v>100.8</v>
      </c>
      <c r="H1342" s="2">
        <v>0</v>
      </c>
      <c r="I1342" s="2">
        <f t="array" ref="I134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2" s="2">
        <v>10</v>
      </c>
      <c r="K1342" s="2">
        <v>4</v>
      </c>
      <c r="L1342" s="2">
        <v>663.1</v>
      </c>
      <c r="M1342" s="2">
        <f t="array" ref="M1342">_xlfn.IFNA(IF(vp.data[[#This Row],[Dens Input]]="",INDEX([1]DATA!$O$3:$O$9826,MATCH(1,(vp.data[[#This Row],[Battery]]=[1]DATA!$L$3:$L$9826)*(EOMONTH(vp.data[[#This Row],[SDate]],-1)+1=[1]DATA!$G$3:$G$9826),0)),vp.data[[#This Row],[Dens Input]]),"")</f>
        <v>663.1</v>
      </c>
      <c r="N1342" s="2">
        <f ca="1">INDEX(INDIRECT(_xlfn.CONCAT("weather.tbl[",N$1,"]")),MATCH(vp.data[[#This Row],[SDate]],weather.tbl[Date],0))</f>
        <v>5.7833333333333341</v>
      </c>
      <c r="O1342" s="2">
        <f ca="1">INDEX(INDIRECT(_xlfn.CONCAT("weather.tbl[",O$1,"]")),MATCH(vp.data[[#This Row],[SDate]],weather.tbl[Date],0))</f>
        <v>4.6904761904761907</v>
      </c>
      <c r="P1342" s="2">
        <f ca="1">INDEX(INDIRECT(_xlfn.CONCAT("weather.tbl[",P$1,"]")),MATCH(vp.data[[#This Row],[SDate]],weather.tbl[Date],0))</f>
        <v>5.4</v>
      </c>
      <c r="Q1342" s="2">
        <f ca="1">INDEX(INDIRECT(_xlfn.CONCAT("weather.tbl[",Q$1,"]")),MATCH(vp.data[[#This Row],[SDate]],weather.tbl[Date],0))</f>
        <v>5.4</v>
      </c>
      <c r="R1342" s="2">
        <f ca="1">INDEX(INDIRECT(_xlfn.CONCAT("weather.tbl[",R$1,"]")),MATCH(vp.data[[#This Row],[SDate]],weather.tbl[Date],0))</f>
        <v>9.3000000000000007</v>
      </c>
      <c r="S1342" s="2">
        <f ca="1">INDEX(INDIRECT(_xlfn.CONCAT("weather.tbl[",S$1,"]")),MATCH(vp.data[[#This Row],[SDate]],weather.tbl[Date],0))</f>
        <v>6.1</v>
      </c>
      <c r="T1342" s="2">
        <f ca="1">INDEX(INDIRECT(_xlfn.CONCAT("weather.tbl[",T$1,"]")),MATCH(vp.data[[#This Row],[SDate]],weather.tbl[Date],0))</f>
        <v>4.2</v>
      </c>
      <c r="U1342" s="2">
        <f ca="1">INDEX(INDIRECT(_xlfn.CONCAT("weather.tbl[",U$1,"]")),MATCH(vp.data[[#This Row],[SDate]],weather.tbl[Date],0))</f>
        <v>4.3</v>
      </c>
      <c r="V1342" s="2">
        <f t="array" ref="V13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41.04</v>
      </c>
      <c r="W1342" t="s">
        <v>268</v>
      </c>
      <c r="X1342">
        <f>IF(OR(vp.data[[#This Row],[Sulf]]="",vp.data[[#This Row],[Dens]]=""),1,0)</f>
        <v>0</v>
      </c>
      <c r="Y1342">
        <f>IF(vp.data[[#This Row],[CrudeType]]="C5+",1,0)</f>
        <v>1</v>
      </c>
      <c r="Z1342">
        <f>IF(AND(vp.data[[#This Row],[CrudeType]]="Crude",vp.data[[#This Row],[Dens]]&lt;=825,vp.data[[#This Row],[Sulf]]&gt;0.5,vp.data[[#This Row],[Unknown]]=0),1,0)</f>
        <v>0</v>
      </c>
      <c r="AA1342">
        <f>IF(AND(vp.data[[#This Row],[CrudeType]]="Crude",vp.data[[#This Row],[Dens]]&lt;=825,vp.data[[#This Row],[Sulf]]&lt;=0.5,vp.data[[#This Row],[Unknown]]=0),1,0)</f>
        <v>0</v>
      </c>
      <c r="AB13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2">
        <f>IF(AND(vp.data[[#This Row],[CrudeType]]="Crude",vp.data[[#This Row],[Dens]]&gt;825,vp.data[[#This Row],[Dens]]&lt;=900,vp.data[[#This Row],[Sulf]]&lt;=0.5,vp.data[[#This Row],[Unknown]]=0),1,0)</f>
        <v>0</v>
      </c>
      <c r="AD1342">
        <f>IF(AND(vp.data[[#This Row],[CrudeType]]="Crude",vp.data[[#This Row],[Dens]]&gt;865,vp.data[[#This Row],[Dens]]&lt;=900,vp.data[[#This Row],[Sulf]]&gt;2,vp.data[[#This Row],[Unknown]]=0),1,0)</f>
        <v>0</v>
      </c>
      <c r="AE1342">
        <f>IF(AND(vp.data[[#This Row],[CrudeType]]="Crude",vp.data[[#This Row],[Dens]]&gt;900,vp.data[[#This Row],[Sulf]]&lt;=0.5,vp.data[[#This Row],[Unknown]]=0),1,0)</f>
        <v>0</v>
      </c>
      <c r="AF1342">
        <f>IF(AND(vp.data[[#This Row],[CrudeType]]="Crude",vp.data[[#This Row],[Dens]]&gt;900,vp.data[[#This Row],[Sulf]]&lt;=0.5,vp.data[[#This Row],[Unknown]]=0),1,0)</f>
        <v>0</v>
      </c>
      <c r="AG1342" t="str">
        <f>INDEX(vp.data[[#Headers],[Unknown]:[Heavy_SW]],MATCH(1,vp.data[[#This Row],[Unknown]:[Heavy_SW]],0))</f>
        <v>C5</v>
      </c>
      <c r="AH1342">
        <f>INDEX([3]!crudeBD.lkup[Number],MATCH(vp.data[[#This Row],[Crude_Breakdown]],crudeBD.lkup[Crude Breakdown],0))</f>
        <v>0</v>
      </c>
      <c r="AI1342">
        <f>MONTH(vp.data[[#This Row],[SDate]])</f>
        <v>4</v>
      </c>
      <c r="AJ1342" s="5">
        <f>(vp.data[[#This Row],[VP]]-INDEX(crudeBD.lkup[Mean_VP],MATCH(vp.data[[#This Row],[Crude_Breakdown]],crudeBD.lkup[Crude Breakdown],0)))^2</f>
        <v>5.6607945133148139</v>
      </c>
      <c r="AK1342" s="5">
        <f>(vp.data[[#This Row],[Dens]]-INDEX(crudeBD.lkup[Mean_Dens],MATCH(vp.data[[#This Row],[Crude_Breakdown]],crudeBD.lkup[Crude Breakdown],0)))^2</f>
        <v>25.238444651055797</v>
      </c>
      <c r="AL1342" s="5">
        <f>(vp.data[[#This Row],[Sulf]]-INDEX(crudeBD.lkup[Mean_Sulf],MATCH(vp.data[[#This Row],[Crude_Breakdown]],crudeBD.lkup[Crude Breakdown],0)))^2</f>
        <v>0</v>
      </c>
      <c r="AM1342" s="4">
        <f>IF(AND(vp.data[[#This Row],[SDate]]&gt;=DATE(YEAR(vp.data[[#This Row],[SDate]]),5,1),vp.data[[#This Row],[SDate]]&lt;=DATE(YEAR(vp.data[[#This Row],[SDate]]),9,15)),1,0)</f>
        <v>0</v>
      </c>
      <c r="AN1342" s="4">
        <f>IF(vp.data[[#This Row],[SDate]]&lt;DATE(2016,12,1),0,1)</f>
        <v>1</v>
      </c>
      <c r="AO1342" s="4">
        <f>IFERROR(vp.data[[#This Row],[Sulf]]*vp.data[[#This Row],[Net Dens]],"")</f>
        <v>0</v>
      </c>
      <c r="AP1342">
        <f>IFERROR(vp.data[[#This Row],[Dens]]*vp.data[[#This Row],[VolumeM3]],"")</f>
        <v>27213.624</v>
      </c>
      <c r="AQ1342" s="15">
        <f>IFERROR(vp.data[[#This Row],[VP]]*vp.data[[#This Row],[VolumeM3]],"")</f>
        <v>4136.8319999999994</v>
      </c>
    </row>
    <row r="1343" spans="1:43" x14ac:dyDescent="0.25">
      <c r="A1343">
        <v>1342</v>
      </c>
      <c r="B1343" t="s">
        <v>287</v>
      </c>
      <c r="C1343" t="s">
        <v>266</v>
      </c>
      <c r="D1343" t="s">
        <v>267</v>
      </c>
      <c r="E1343">
        <v>326589</v>
      </c>
      <c r="F1343" s="1">
        <v>42847</v>
      </c>
      <c r="G1343" s="2">
        <v>102.7</v>
      </c>
      <c r="H1343" s="2">
        <v>0</v>
      </c>
      <c r="I1343" s="2">
        <f t="array" ref="I134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3" s="2">
        <v>11</v>
      </c>
      <c r="K1343" s="2">
        <v>4</v>
      </c>
      <c r="L1343" s="2">
        <v>662.1</v>
      </c>
      <c r="M1343" s="2">
        <f t="array" ref="M1343">_xlfn.IFNA(IF(vp.data[[#This Row],[Dens Input]]="",INDEX([1]DATA!$O$3:$O$9826,MATCH(1,(vp.data[[#This Row],[Battery]]=[1]DATA!$L$3:$L$9826)*(EOMONTH(vp.data[[#This Row],[SDate]],-1)+1=[1]DATA!$G$3:$G$9826),0)),vp.data[[#This Row],[Dens Input]]),"")</f>
        <v>662.1</v>
      </c>
      <c r="N1343" s="2">
        <f ca="1">INDEX(INDIRECT(_xlfn.CONCAT("weather.tbl[",N$1,"]")),MATCH(vp.data[[#This Row],[SDate]],weather.tbl[Date],0))</f>
        <v>5.7833333333333341</v>
      </c>
      <c r="O1343" s="2">
        <f ca="1">INDEX(INDIRECT(_xlfn.CONCAT("weather.tbl[",O$1,"]")),MATCH(vp.data[[#This Row],[SDate]],weather.tbl[Date],0))</f>
        <v>4.6904761904761907</v>
      </c>
      <c r="P1343" s="2">
        <f ca="1">INDEX(INDIRECT(_xlfn.CONCAT("weather.tbl[",P$1,"]")),MATCH(vp.data[[#This Row],[SDate]],weather.tbl[Date],0))</f>
        <v>5.4</v>
      </c>
      <c r="Q1343" s="2">
        <f ca="1">INDEX(INDIRECT(_xlfn.CONCAT("weather.tbl[",Q$1,"]")),MATCH(vp.data[[#This Row],[SDate]],weather.tbl[Date],0))</f>
        <v>5.4</v>
      </c>
      <c r="R1343" s="2">
        <f ca="1">INDEX(INDIRECT(_xlfn.CONCAT("weather.tbl[",R$1,"]")),MATCH(vp.data[[#This Row],[SDate]],weather.tbl[Date],0))</f>
        <v>9.3000000000000007</v>
      </c>
      <c r="S1343" s="2">
        <f ca="1">INDEX(INDIRECT(_xlfn.CONCAT("weather.tbl[",S$1,"]")),MATCH(vp.data[[#This Row],[SDate]],weather.tbl[Date],0))</f>
        <v>6.1</v>
      </c>
      <c r="T1343" s="2">
        <f ca="1">INDEX(INDIRECT(_xlfn.CONCAT("weather.tbl[",T$1,"]")),MATCH(vp.data[[#This Row],[SDate]],weather.tbl[Date],0))</f>
        <v>4.2</v>
      </c>
      <c r="U1343" s="2">
        <f ca="1">INDEX(INDIRECT(_xlfn.CONCAT("weather.tbl[",U$1,"]")),MATCH(vp.data[[#This Row],[SDate]],weather.tbl[Date],0))</f>
        <v>4.3</v>
      </c>
      <c r="V1343" s="2">
        <f t="array" ref="V13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40.72</v>
      </c>
      <c r="W1343" t="s">
        <v>268</v>
      </c>
      <c r="X1343">
        <f>IF(OR(vp.data[[#This Row],[Sulf]]="",vp.data[[#This Row],[Dens]]=""),1,0)</f>
        <v>0</v>
      </c>
      <c r="Y1343">
        <f>IF(vp.data[[#This Row],[CrudeType]]="C5+",1,0)</f>
        <v>1</v>
      </c>
      <c r="Z1343">
        <f>IF(AND(vp.data[[#This Row],[CrudeType]]="Crude",vp.data[[#This Row],[Dens]]&lt;=825,vp.data[[#This Row],[Sulf]]&gt;0.5,vp.data[[#This Row],[Unknown]]=0),1,0)</f>
        <v>0</v>
      </c>
      <c r="AA1343">
        <f>IF(AND(vp.data[[#This Row],[CrudeType]]="Crude",vp.data[[#This Row],[Dens]]&lt;=825,vp.data[[#This Row],[Sulf]]&lt;=0.5,vp.data[[#This Row],[Unknown]]=0),1,0)</f>
        <v>0</v>
      </c>
      <c r="AB13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3">
        <f>IF(AND(vp.data[[#This Row],[CrudeType]]="Crude",vp.data[[#This Row],[Dens]]&gt;825,vp.data[[#This Row],[Dens]]&lt;=900,vp.data[[#This Row],[Sulf]]&lt;=0.5,vp.data[[#This Row],[Unknown]]=0),1,0)</f>
        <v>0</v>
      </c>
      <c r="AD1343">
        <f>IF(AND(vp.data[[#This Row],[CrudeType]]="Crude",vp.data[[#This Row],[Dens]]&gt;865,vp.data[[#This Row],[Dens]]&lt;=900,vp.data[[#This Row],[Sulf]]&gt;2,vp.data[[#This Row],[Unknown]]=0),1,0)</f>
        <v>0</v>
      </c>
      <c r="AE1343">
        <f>IF(AND(vp.data[[#This Row],[CrudeType]]="Crude",vp.data[[#This Row],[Dens]]&gt;900,vp.data[[#This Row],[Sulf]]&lt;=0.5,vp.data[[#This Row],[Unknown]]=0),1,0)</f>
        <v>0</v>
      </c>
      <c r="AF1343">
        <f>IF(AND(vp.data[[#This Row],[CrudeType]]="Crude",vp.data[[#This Row],[Dens]]&gt;900,vp.data[[#This Row],[Sulf]]&lt;=0.5,vp.data[[#This Row],[Unknown]]=0),1,0)</f>
        <v>0</v>
      </c>
      <c r="AG1343" t="str">
        <f>INDEX(vp.data[[#Headers],[Unknown]:[Heavy_SW]],MATCH(1,vp.data[[#This Row],[Unknown]:[Heavy_SW]],0))</f>
        <v>C5</v>
      </c>
      <c r="AH1343">
        <f>INDEX([3]!crudeBD.lkup[Number],MATCH(vp.data[[#This Row],[Crude_Breakdown]],crudeBD.lkup[Crude Breakdown],0))</f>
        <v>0</v>
      </c>
      <c r="AI1343">
        <f>MONTH(vp.data[[#This Row],[SDate]])</f>
        <v>4</v>
      </c>
      <c r="AJ1343" s="5">
        <f>(vp.data[[#This Row],[VP]]-INDEX(crudeBD.lkup[Mean_VP],MATCH(vp.data[[#This Row],[Crude_Breakdown]],crudeBD.lkup[Crude Breakdown],0)))^2</f>
        <v>0.22967330119371934</v>
      </c>
      <c r="AK1343" s="5">
        <f>(vp.data[[#This Row],[Dens]]-INDEX(crudeBD.lkup[Mean_Dens],MATCH(vp.data[[#This Row],[Crude_Breakdown]],crudeBD.lkup[Crude Breakdown],0)))^2</f>
        <v>16.190868893480083</v>
      </c>
      <c r="AL1343" s="5">
        <f>(vp.data[[#This Row],[Sulf]]-INDEX(crudeBD.lkup[Mean_Sulf],MATCH(vp.data[[#This Row],[Crude_Breakdown]],crudeBD.lkup[Crude Breakdown],0)))^2</f>
        <v>0</v>
      </c>
      <c r="AM1343" s="4">
        <f>IF(AND(vp.data[[#This Row],[SDate]]&gt;=DATE(YEAR(vp.data[[#This Row],[SDate]]),5,1),vp.data[[#This Row],[SDate]]&lt;=DATE(YEAR(vp.data[[#This Row],[SDate]]),9,15)),1,0)</f>
        <v>0</v>
      </c>
      <c r="AN1343" s="4">
        <f>IF(vp.data[[#This Row],[SDate]]&lt;DATE(2016,12,1),0,1)</f>
        <v>1</v>
      </c>
      <c r="AO1343" s="4">
        <f>IFERROR(vp.data[[#This Row],[Sulf]]*vp.data[[#This Row],[Net Dens]],"")</f>
        <v>0</v>
      </c>
      <c r="AP1343">
        <f>IFERROR(vp.data[[#This Row],[Dens]]*vp.data[[#This Row],[VolumeM3]],"")</f>
        <v>26960.712</v>
      </c>
      <c r="AQ1343" s="15">
        <f>IFERROR(vp.data[[#This Row],[VP]]*vp.data[[#This Row],[VolumeM3]],"")</f>
        <v>4181.9440000000004</v>
      </c>
    </row>
    <row r="1344" spans="1:43" x14ac:dyDescent="0.25">
      <c r="A1344">
        <v>1343</v>
      </c>
      <c r="B1344" t="s">
        <v>275</v>
      </c>
      <c r="C1344" t="s">
        <v>276</v>
      </c>
      <c r="D1344" t="s">
        <v>277</v>
      </c>
      <c r="E1344">
        <v>326748</v>
      </c>
      <c r="F1344" s="1">
        <v>42848</v>
      </c>
      <c r="G1344" s="2">
        <v>95.7</v>
      </c>
      <c r="H1344" s="2">
        <v>0</v>
      </c>
      <c r="I1344" s="2">
        <f t="array" ref="I134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4" s="2"/>
      <c r="K1344" s="2">
        <v>5</v>
      </c>
      <c r="L1344" s="2">
        <v>673.8</v>
      </c>
      <c r="M1344" s="2">
        <f t="array" ref="M1344">_xlfn.IFNA(IF(vp.data[[#This Row],[Dens Input]]="",INDEX([1]DATA!$O$3:$O$9826,MATCH(1,(vp.data[[#This Row],[Battery]]=[1]DATA!$L$3:$L$9826)*(EOMONTH(vp.data[[#This Row],[SDate]],-1)+1=[1]DATA!$G$3:$G$9826),0)),vp.data[[#This Row],[Dens Input]]),"")</f>
        <v>673.8</v>
      </c>
      <c r="N1344" s="2">
        <f ca="1">INDEX(INDIRECT(_xlfn.CONCAT("weather.tbl[",N$1,"]")),MATCH(vp.data[[#This Row],[SDate]],weather.tbl[Date],0))</f>
        <v>2.3666666666666667</v>
      </c>
      <c r="O1344" s="2">
        <f ca="1">INDEX(INDIRECT(_xlfn.CONCAT("weather.tbl[",O$1,"]")),MATCH(vp.data[[#This Row],[SDate]],weather.tbl[Date],0))</f>
        <v>5.3214285714285712</v>
      </c>
      <c r="P1344" s="2">
        <f ca="1">INDEX(INDIRECT(_xlfn.CONCAT("weather.tbl[",P$1,"]")),MATCH(vp.data[[#This Row],[SDate]],weather.tbl[Date],0))</f>
        <v>-0.2</v>
      </c>
      <c r="Q1344" s="2">
        <f ca="1">INDEX(INDIRECT(_xlfn.CONCAT("weather.tbl[",Q$1,"]")),MATCH(vp.data[[#This Row],[SDate]],weather.tbl[Date],0))</f>
        <v>1.4</v>
      </c>
      <c r="R1344" s="2">
        <f ca="1">INDEX(INDIRECT(_xlfn.CONCAT("weather.tbl[",R$1,"]")),MATCH(vp.data[[#This Row],[SDate]],weather.tbl[Date],0))</f>
        <v>9.3000000000000007</v>
      </c>
      <c r="S1344" s="2">
        <f ca="1">INDEX(INDIRECT(_xlfn.CONCAT("weather.tbl[",S$1,"]")),MATCH(vp.data[[#This Row],[SDate]],weather.tbl[Date],0))</f>
        <v>1.3</v>
      </c>
      <c r="T1344" s="2">
        <f ca="1">INDEX(INDIRECT(_xlfn.CONCAT("weather.tbl[",T$1,"]")),MATCH(vp.data[[#This Row],[SDate]],weather.tbl[Date],0))</f>
        <v>0.9</v>
      </c>
      <c r="U1344" s="2">
        <f ca="1">INDEX(INDIRECT(_xlfn.CONCAT("weather.tbl[",U$1,"]")),MATCH(vp.data[[#This Row],[SDate]],weather.tbl[Date],0))</f>
        <v>1.5</v>
      </c>
      <c r="V1344" s="2">
        <f t="array" ref="V13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32.81</v>
      </c>
      <c r="W1344" t="s">
        <v>268</v>
      </c>
      <c r="X1344">
        <f>IF(OR(vp.data[[#This Row],[Sulf]]="",vp.data[[#This Row],[Dens]]=""),1,0)</f>
        <v>0</v>
      </c>
      <c r="Y1344">
        <f>IF(vp.data[[#This Row],[CrudeType]]="C5+",1,0)</f>
        <v>1</v>
      </c>
      <c r="Z1344">
        <f>IF(AND(vp.data[[#This Row],[CrudeType]]="Crude",vp.data[[#This Row],[Dens]]&lt;=825,vp.data[[#This Row],[Sulf]]&gt;0.5,vp.data[[#This Row],[Unknown]]=0),1,0)</f>
        <v>0</v>
      </c>
      <c r="AA1344">
        <f>IF(AND(vp.data[[#This Row],[CrudeType]]="Crude",vp.data[[#This Row],[Dens]]&lt;=825,vp.data[[#This Row],[Sulf]]&lt;=0.5,vp.data[[#This Row],[Unknown]]=0),1,0)</f>
        <v>0</v>
      </c>
      <c r="AB13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4">
        <f>IF(AND(vp.data[[#This Row],[CrudeType]]="Crude",vp.data[[#This Row],[Dens]]&gt;825,vp.data[[#This Row],[Dens]]&lt;=900,vp.data[[#This Row],[Sulf]]&lt;=0.5,vp.data[[#This Row],[Unknown]]=0),1,0)</f>
        <v>0</v>
      </c>
      <c r="AD1344">
        <f>IF(AND(vp.data[[#This Row],[CrudeType]]="Crude",vp.data[[#This Row],[Dens]]&gt;865,vp.data[[#This Row],[Dens]]&lt;=900,vp.data[[#This Row],[Sulf]]&gt;2,vp.data[[#This Row],[Unknown]]=0),1,0)</f>
        <v>0</v>
      </c>
      <c r="AE1344">
        <f>IF(AND(vp.data[[#This Row],[CrudeType]]="Crude",vp.data[[#This Row],[Dens]]&gt;900,vp.data[[#This Row],[Sulf]]&lt;=0.5,vp.data[[#This Row],[Unknown]]=0),1,0)</f>
        <v>0</v>
      </c>
      <c r="AF1344">
        <f>IF(AND(vp.data[[#This Row],[CrudeType]]="Crude",vp.data[[#This Row],[Dens]]&gt;900,vp.data[[#This Row],[Sulf]]&lt;=0.5,vp.data[[#This Row],[Unknown]]=0),1,0)</f>
        <v>0</v>
      </c>
      <c r="AG1344" t="str">
        <f>INDEX(vp.data[[#Headers],[Unknown]:[Heavy_SW]],MATCH(1,vp.data[[#This Row],[Unknown]:[Heavy_SW]],0))</f>
        <v>C5</v>
      </c>
      <c r="AH1344">
        <f>INDEX([3]!crudeBD.lkup[Number],MATCH(vp.data[[#This Row],[Crude_Breakdown]],crudeBD.lkup[Crude Breakdown],0))</f>
        <v>0</v>
      </c>
      <c r="AI1344">
        <f>MONTH(vp.data[[#This Row],[SDate]])</f>
        <v>4</v>
      </c>
      <c r="AJ1344" s="5">
        <f>(vp.data[[#This Row],[VP]]-INDEX(crudeBD.lkup[Mean_VP],MATCH(vp.data[[#This Row],[Crude_Breakdown]],crudeBD.lkup[Crude Breakdown],0)))^2</f>
        <v>55.939067240587129</v>
      </c>
      <c r="AK1344" s="5">
        <f>(vp.data[[#This Row],[Dens]]-INDEX(crudeBD.lkup[Mean_Dens],MATCH(vp.data[[#This Row],[Crude_Breakdown]],crudeBD.lkup[Crude Breakdown],0)))^2</f>
        <v>247.23750525711378</v>
      </c>
      <c r="AL1344" s="5">
        <f>(vp.data[[#This Row],[Sulf]]-INDEX(crudeBD.lkup[Mean_Sulf],MATCH(vp.data[[#This Row],[Crude_Breakdown]],crudeBD.lkup[Crude Breakdown],0)))^2</f>
        <v>0</v>
      </c>
      <c r="AM1344" s="4">
        <f>IF(AND(vp.data[[#This Row],[SDate]]&gt;=DATE(YEAR(vp.data[[#This Row],[SDate]]),5,1),vp.data[[#This Row],[SDate]]&lt;=DATE(YEAR(vp.data[[#This Row],[SDate]]),9,15)),1,0)</f>
        <v>0</v>
      </c>
      <c r="AN1344" s="4">
        <f>IF(vp.data[[#This Row],[SDate]]&lt;DATE(2016,12,1),0,1)</f>
        <v>1</v>
      </c>
      <c r="AO1344" s="4">
        <f>IFERROR(vp.data[[#This Row],[Sulf]]*vp.data[[#This Row],[Net Dens]],"")</f>
        <v>0</v>
      </c>
      <c r="AP1344">
        <f>IFERROR(vp.data[[#This Row],[Dens]]*vp.data[[#This Row],[VolumeM3]],"")</f>
        <v>22107.378000000001</v>
      </c>
      <c r="AQ1344" s="15">
        <f>IFERROR(vp.data[[#This Row],[VP]]*vp.data[[#This Row],[VolumeM3]],"")</f>
        <v>3139.9170000000004</v>
      </c>
    </row>
    <row r="1345" spans="1:43" x14ac:dyDescent="0.25">
      <c r="A1345">
        <v>1344</v>
      </c>
      <c r="B1345" t="s">
        <v>269</v>
      </c>
      <c r="C1345" t="s">
        <v>270</v>
      </c>
      <c r="D1345" t="s">
        <v>271</v>
      </c>
      <c r="E1345">
        <v>327185</v>
      </c>
      <c r="F1345" s="1">
        <v>42851</v>
      </c>
      <c r="G1345" s="2">
        <v>101.9</v>
      </c>
      <c r="H1345" s="2">
        <v>0</v>
      </c>
      <c r="I1345" s="2">
        <f t="array" ref="I134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5" s="2">
        <v>4.5</v>
      </c>
      <c r="K1345" s="2">
        <v>14</v>
      </c>
      <c r="L1345" s="2">
        <v>663.6</v>
      </c>
      <c r="M1345" s="2">
        <f t="array" ref="M1345">_xlfn.IFNA(IF(vp.data[[#This Row],[Dens Input]]="",INDEX([1]DATA!$O$3:$O$9826,MATCH(1,(vp.data[[#This Row],[Battery]]=[1]DATA!$L$3:$L$9826)*(EOMONTH(vp.data[[#This Row],[SDate]],-1)+1=[1]DATA!$G$3:$G$9826),0)),vp.data[[#This Row],[Dens Input]]),"")</f>
        <v>663.6</v>
      </c>
      <c r="N1345" s="2">
        <f ca="1">INDEX(INDIRECT(_xlfn.CONCAT("weather.tbl[",N$1,"]")),MATCH(vp.data[[#This Row],[SDate]],weather.tbl[Date],0))</f>
        <v>1.3166666666666667</v>
      </c>
      <c r="O1345" s="2">
        <f ca="1">INDEX(INDIRECT(_xlfn.CONCAT("weather.tbl[",O$1,"]")),MATCH(vp.data[[#This Row],[SDate]],weather.tbl[Date],0))</f>
        <v>3.878571428571429</v>
      </c>
      <c r="P1345" s="2">
        <f ca="1">INDEX(INDIRECT(_xlfn.CONCAT("weather.tbl[",P$1,"]")),MATCH(vp.data[[#This Row],[SDate]],weather.tbl[Date],0))</f>
        <v>1.3</v>
      </c>
      <c r="Q1345" s="2">
        <f ca="1">INDEX(INDIRECT(_xlfn.CONCAT("weather.tbl[",Q$1,"]")),MATCH(vp.data[[#This Row],[SDate]],weather.tbl[Date],0))</f>
        <v>1.3</v>
      </c>
      <c r="R1345" s="2">
        <f ca="1">INDEX(INDIRECT(_xlfn.CONCAT("weather.tbl[",R$1,"]")),MATCH(vp.data[[#This Row],[SDate]],weather.tbl[Date],0))</f>
        <v>1.8</v>
      </c>
      <c r="S1345" s="2">
        <f ca="1">INDEX(INDIRECT(_xlfn.CONCAT("weather.tbl[",S$1,"]")),MATCH(vp.data[[#This Row],[SDate]],weather.tbl[Date],0))</f>
        <v>0.7</v>
      </c>
      <c r="T1345" s="2">
        <f ca="1">INDEX(INDIRECT(_xlfn.CONCAT("weather.tbl[",T$1,"]")),MATCH(vp.data[[#This Row],[SDate]],weather.tbl[Date],0))</f>
        <v>2</v>
      </c>
      <c r="U1345" s="2">
        <f ca="1">INDEX(INDIRECT(_xlfn.CONCAT("weather.tbl[",U$1,"]")),MATCH(vp.data[[#This Row],[SDate]],weather.tbl[Date],0))</f>
        <v>0.8</v>
      </c>
      <c r="V1345" s="2">
        <f t="array" ref="V13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26.72</v>
      </c>
      <c r="W1345" t="s">
        <v>268</v>
      </c>
      <c r="X1345">
        <f>IF(OR(vp.data[[#This Row],[Sulf]]="",vp.data[[#This Row],[Dens]]=""),1,0)</f>
        <v>0</v>
      </c>
      <c r="Y1345">
        <f>IF(vp.data[[#This Row],[CrudeType]]="C5+",1,0)</f>
        <v>1</v>
      </c>
      <c r="Z1345">
        <f>IF(AND(vp.data[[#This Row],[CrudeType]]="Crude",vp.data[[#This Row],[Dens]]&lt;=825,vp.data[[#This Row],[Sulf]]&gt;0.5,vp.data[[#This Row],[Unknown]]=0),1,0)</f>
        <v>0</v>
      </c>
      <c r="AA1345">
        <f>IF(AND(vp.data[[#This Row],[CrudeType]]="Crude",vp.data[[#This Row],[Dens]]&lt;=825,vp.data[[#This Row],[Sulf]]&lt;=0.5,vp.data[[#This Row],[Unknown]]=0),1,0)</f>
        <v>0</v>
      </c>
      <c r="AB13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5">
        <f>IF(AND(vp.data[[#This Row],[CrudeType]]="Crude",vp.data[[#This Row],[Dens]]&gt;825,vp.data[[#This Row],[Dens]]&lt;=900,vp.data[[#This Row],[Sulf]]&lt;=0.5,vp.data[[#This Row],[Unknown]]=0),1,0)</f>
        <v>0</v>
      </c>
      <c r="AD1345">
        <f>IF(AND(vp.data[[#This Row],[CrudeType]]="Crude",vp.data[[#This Row],[Dens]]&gt;865,vp.data[[#This Row],[Dens]]&lt;=900,vp.data[[#This Row],[Sulf]]&gt;2,vp.data[[#This Row],[Unknown]]=0),1,0)</f>
        <v>0</v>
      </c>
      <c r="AE1345">
        <f>IF(AND(vp.data[[#This Row],[CrudeType]]="Crude",vp.data[[#This Row],[Dens]]&gt;900,vp.data[[#This Row],[Sulf]]&lt;=0.5,vp.data[[#This Row],[Unknown]]=0),1,0)</f>
        <v>0</v>
      </c>
      <c r="AF1345">
        <f>IF(AND(vp.data[[#This Row],[CrudeType]]="Crude",vp.data[[#This Row],[Dens]]&gt;900,vp.data[[#This Row],[Sulf]]&lt;=0.5,vp.data[[#This Row],[Unknown]]=0),1,0)</f>
        <v>0</v>
      </c>
      <c r="AG1345" t="str">
        <f>INDEX(vp.data[[#Headers],[Unknown]:[Heavy_SW]],MATCH(1,vp.data[[#This Row],[Unknown]:[Heavy_SW]],0))</f>
        <v>C5</v>
      </c>
      <c r="AH1345">
        <f>INDEX([3]!crudeBD.lkup[Number],MATCH(vp.data[[#This Row],[Crude_Breakdown]],crudeBD.lkup[Crude Breakdown],0))</f>
        <v>0</v>
      </c>
      <c r="AI1345">
        <f>MONTH(vp.data[[#This Row],[SDate]])</f>
        <v>4</v>
      </c>
      <c r="AJ1345" s="5">
        <f>(vp.data[[#This Row],[VP]]-INDEX(crudeBD.lkup[Mean_VP],MATCH(vp.data[[#This Row],[Crude_Breakdown]],crudeBD.lkup[Crude Breakdown],0)))^2</f>
        <v>1.6364611799815301</v>
      </c>
      <c r="AK1345" s="5">
        <f>(vp.data[[#This Row],[Dens]]-INDEX(crudeBD.lkup[Mean_Dens],MATCH(vp.data[[#This Row],[Crude_Breakdown]],crudeBD.lkup[Crude Breakdown],0)))^2</f>
        <v>30.512232529843654</v>
      </c>
      <c r="AL1345" s="5">
        <f>(vp.data[[#This Row],[Sulf]]-INDEX(crudeBD.lkup[Mean_Sulf],MATCH(vp.data[[#This Row],[Crude_Breakdown]],crudeBD.lkup[Crude Breakdown],0)))^2</f>
        <v>0</v>
      </c>
      <c r="AM1345" s="4">
        <f>IF(AND(vp.data[[#This Row],[SDate]]&gt;=DATE(YEAR(vp.data[[#This Row],[SDate]]),5,1),vp.data[[#This Row],[SDate]]&lt;=DATE(YEAR(vp.data[[#This Row],[SDate]]),9,15)),1,0)</f>
        <v>0</v>
      </c>
      <c r="AN1345" s="4">
        <f>IF(vp.data[[#This Row],[SDate]]&lt;DATE(2016,12,1),0,1)</f>
        <v>1</v>
      </c>
      <c r="AO1345" s="4">
        <f>IFERROR(vp.data[[#This Row],[Sulf]]*vp.data[[#This Row],[Net Dens]],"")</f>
        <v>0</v>
      </c>
      <c r="AP1345">
        <f>IFERROR(vp.data[[#This Row],[Dens]]*vp.data[[#This Row],[VolumeM3]],"")</f>
        <v>17731.392</v>
      </c>
      <c r="AQ1345" s="15">
        <f>IFERROR(vp.data[[#This Row],[VP]]*vp.data[[#This Row],[VolumeM3]],"")</f>
        <v>2722.768</v>
      </c>
    </row>
    <row r="1346" spans="1:43" x14ac:dyDescent="0.25">
      <c r="A1346">
        <v>1345</v>
      </c>
      <c r="B1346" t="s">
        <v>272</v>
      </c>
      <c r="C1346" t="s">
        <v>282</v>
      </c>
      <c r="D1346" t="s">
        <v>283</v>
      </c>
      <c r="E1346">
        <v>327211</v>
      </c>
      <c r="F1346" s="1">
        <v>42851</v>
      </c>
      <c r="G1346" s="2">
        <v>109.3</v>
      </c>
      <c r="H1346" s="2">
        <v>0</v>
      </c>
      <c r="I1346" s="2">
        <f t="array" ref="I134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6" s="2">
        <v>8.6999999999999993</v>
      </c>
      <c r="K1346" s="2">
        <v>14</v>
      </c>
      <c r="L1346" s="2">
        <v>647.79999999999995</v>
      </c>
      <c r="M1346" s="2">
        <f t="array" ref="M1346">_xlfn.IFNA(IF(vp.data[[#This Row],[Dens Input]]="",INDEX([1]DATA!$O$3:$O$9826,MATCH(1,(vp.data[[#This Row],[Battery]]=[1]DATA!$L$3:$L$9826)*(EOMONTH(vp.data[[#This Row],[SDate]],-1)+1=[1]DATA!$G$3:$G$9826),0)),vp.data[[#This Row],[Dens Input]]),"")</f>
        <v>647.79999999999995</v>
      </c>
      <c r="N1346" s="2">
        <f ca="1">INDEX(INDIRECT(_xlfn.CONCAT("weather.tbl[",N$1,"]")),MATCH(vp.data[[#This Row],[SDate]],weather.tbl[Date],0))</f>
        <v>1.3166666666666667</v>
      </c>
      <c r="O1346" s="2">
        <f ca="1">INDEX(INDIRECT(_xlfn.CONCAT("weather.tbl[",O$1,"]")),MATCH(vp.data[[#This Row],[SDate]],weather.tbl[Date],0))</f>
        <v>3.878571428571429</v>
      </c>
      <c r="P1346" s="2">
        <f ca="1">INDEX(INDIRECT(_xlfn.CONCAT("weather.tbl[",P$1,"]")),MATCH(vp.data[[#This Row],[SDate]],weather.tbl[Date],0))</f>
        <v>1.3</v>
      </c>
      <c r="Q1346" s="2">
        <f ca="1">INDEX(INDIRECT(_xlfn.CONCAT("weather.tbl[",Q$1,"]")),MATCH(vp.data[[#This Row],[SDate]],weather.tbl[Date],0))</f>
        <v>1.3</v>
      </c>
      <c r="R1346" s="2">
        <f ca="1">INDEX(INDIRECT(_xlfn.CONCAT("weather.tbl[",R$1,"]")),MATCH(vp.data[[#This Row],[SDate]],weather.tbl[Date],0))</f>
        <v>1.8</v>
      </c>
      <c r="S1346" s="2">
        <f ca="1">INDEX(INDIRECT(_xlfn.CONCAT("weather.tbl[",S$1,"]")),MATCH(vp.data[[#This Row],[SDate]],weather.tbl[Date],0))</f>
        <v>0.7</v>
      </c>
      <c r="T1346" s="2">
        <f ca="1">INDEX(INDIRECT(_xlfn.CONCAT("weather.tbl[",T$1,"]")),MATCH(vp.data[[#This Row],[SDate]],weather.tbl[Date],0))</f>
        <v>2</v>
      </c>
      <c r="U1346" s="2">
        <f ca="1">INDEX(INDIRECT(_xlfn.CONCAT("weather.tbl[",U$1,"]")),MATCH(vp.data[[#This Row],[SDate]],weather.tbl[Date],0))</f>
        <v>0.8</v>
      </c>
      <c r="V1346" s="2">
        <f t="array" ref="V13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40.909999999999997</v>
      </c>
      <c r="W1346" t="s">
        <v>268</v>
      </c>
      <c r="X1346">
        <f>IF(OR(vp.data[[#This Row],[Sulf]]="",vp.data[[#This Row],[Dens]]=""),1,0)</f>
        <v>0</v>
      </c>
      <c r="Y1346">
        <f>IF(vp.data[[#This Row],[CrudeType]]="C5+",1,0)</f>
        <v>1</v>
      </c>
      <c r="Z1346">
        <f>IF(AND(vp.data[[#This Row],[CrudeType]]="Crude",vp.data[[#This Row],[Dens]]&lt;=825,vp.data[[#This Row],[Sulf]]&gt;0.5,vp.data[[#This Row],[Unknown]]=0),1,0)</f>
        <v>0</v>
      </c>
      <c r="AA1346">
        <f>IF(AND(vp.data[[#This Row],[CrudeType]]="Crude",vp.data[[#This Row],[Dens]]&lt;=825,vp.data[[#This Row],[Sulf]]&lt;=0.5,vp.data[[#This Row],[Unknown]]=0),1,0)</f>
        <v>0</v>
      </c>
      <c r="AB13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6">
        <f>IF(AND(vp.data[[#This Row],[CrudeType]]="Crude",vp.data[[#This Row],[Dens]]&gt;825,vp.data[[#This Row],[Dens]]&lt;=900,vp.data[[#This Row],[Sulf]]&lt;=0.5,vp.data[[#This Row],[Unknown]]=0),1,0)</f>
        <v>0</v>
      </c>
      <c r="AD1346">
        <f>IF(AND(vp.data[[#This Row],[CrudeType]]="Crude",vp.data[[#This Row],[Dens]]&gt;865,vp.data[[#This Row],[Dens]]&lt;=900,vp.data[[#This Row],[Sulf]]&gt;2,vp.data[[#This Row],[Unknown]]=0),1,0)</f>
        <v>0</v>
      </c>
      <c r="AE1346">
        <f>IF(AND(vp.data[[#This Row],[CrudeType]]="Crude",vp.data[[#This Row],[Dens]]&gt;900,vp.data[[#This Row],[Sulf]]&lt;=0.5,vp.data[[#This Row],[Unknown]]=0),1,0)</f>
        <v>0</v>
      </c>
      <c r="AF1346">
        <f>IF(AND(vp.data[[#This Row],[CrudeType]]="Crude",vp.data[[#This Row],[Dens]]&gt;900,vp.data[[#This Row],[Sulf]]&lt;=0.5,vp.data[[#This Row],[Unknown]]=0),1,0)</f>
        <v>0</v>
      </c>
      <c r="AG1346" t="str">
        <f>INDEX(vp.data[[#Headers],[Unknown]:[Heavy_SW]],MATCH(1,vp.data[[#This Row],[Unknown]:[Heavy_SW]],0))</f>
        <v>C5</v>
      </c>
      <c r="AH1346">
        <f>INDEX([3]!crudeBD.lkup[Number],MATCH(vp.data[[#This Row],[Crude_Breakdown]],crudeBD.lkup[Crude Breakdown],0))</f>
        <v>0</v>
      </c>
      <c r="AI1346">
        <f>MONTH(vp.data[[#This Row],[SDate]])</f>
        <v>4</v>
      </c>
      <c r="AJ1346" s="5">
        <f>(vp.data[[#This Row],[VP]]-INDEX(crudeBD.lkup[Mean_VP],MATCH(vp.data[[#This Row],[Crude_Breakdown]],crudeBD.lkup[Crude Breakdown],0)))^2</f>
        <v>37.463673301194149</v>
      </c>
      <c r="AK1346" s="5">
        <f>(vp.data[[#This Row],[Dens]]-INDEX(crudeBD.lkup[Mean_Dens],MATCH(vp.data[[#This Row],[Crude_Breakdown]],crudeBD.lkup[Crude Breakdown],0)))^2</f>
        <v>105.60053556014877</v>
      </c>
      <c r="AL1346" s="5">
        <f>(vp.data[[#This Row],[Sulf]]-INDEX(crudeBD.lkup[Mean_Sulf],MATCH(vp.data[[#This Row],[Crude_Breakdown]],crudeBD.lkup[Crude Breakdown],0)))^2</f>
        <v>0</v>
      </c>
      <c r="AM1346" s="4">
        <f>IF(AND(vp.data[[#This Row],[SDate]]&gt;=DATE(YEAR(vp.data[[#This Row],[SDate]]),5,1),vp.data[[#This Row],[SDate]]&lt;=DATE(YEAR(vp.data[[#This Row],[SDate]]),9,15)),1,0)</f>
        <v>0</v>
      </c>
      <c r="AN1346" s="4">
        <f>IF(vp.data[[#This Row],[SDate]]&lt;DATE(2016,12,1),0,1)</f>
        <v>1</v>
      </c>
      <c r="AO1346" s="4">
        <f>IFERROR(vp.data[[#This Row],[Sulf]]*vp.data[[#This Row],[Net Dens]],"")</f>
        <v>0</v>
      </c>
      <c r="AP1346">
        <f>IFERROR(vp.data[[#This Row],[Dens]]*vp.data[[#This Row],[VolumeM3]],"")</f>
        <v>26501.497999999996</v>
      </c>
      <c r="AQ1346" s="15">
        <f>IFERROR(vp.data[[#This Row],[VP]]*vp.data[[#This Row],[VolumeM3]],"")</f>
        <v>4471.4629999999997</v>
      </c>
    </row>
    <row r="1347" spans="1:43" x14ac:dyDescent="0.25">
      <c r="A1347">
        <v>1346</v>
      </c>
      <c r="B1347" t="s">
        <v>284</v>
      </c>
      <c r="C1347" t="s">
        <v>266</v>
      </c>
      <c r="D1347" t="s">
        <v>267</v>
      </c>
      <c r="E1347">
        <v>327178</v>
      </c>
      <c r="F1347" s="1">
        <v>42851</v>
      </c>
      <c r="G1347" s="2">
        <v>102.7</v>
      </c>
      <c r="H1347" s="2">
        <v>0</v>
      </c>
      <c r="I1347" s="2">
        <f t="array" ref="I134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7" s="2">
        <v>4.5</v>
      </c>
      <c r="K1347" s="2">
        <v>14</v>
      </c>
      <c r="L1347" s="2">
        <v>658.9</v>
      </c>
      <c r="M1347" s="2">
        <f t="array" ref="M1347">_xlfn.IFNA(IF(vp.data[[#This Row],[Dens Input]]="",INDEX([1]DATA!$O$3:$O$9826,MATCH(1,(vp.data[[#This Row],[Battery]]=[1]DATA!$L$3:$L$9826)*(EOMONTH(vp.data[[#This Row],[SDate]],-1)+1=[1]DATA!$G$3:$G$9826),0)),vp.data[[#This Row],[Dens Input]]),"")</f>
        <v>658.9</v>
      </c>
      <c r="N1347" s="2">
        <f ca="1">INDEX(INDIRECT(_xlfn.CONCAT("weather.tbl[",N$1,"]")),MATCH(vp.data[[#This Row],[SDate]],weather.tbl[Date],0))</f>
        <v>1.3166666666666667</v>
      </c>
      <c r="O1347" s="2">
        <f ca="1">INDEX(INDIRECT(_xlfn.CONCAT("weather.tbl[",O$1,"]")),MATCH(vp.data[[#This Row],[SDate]],weather.tbl[Date],0))</f>
        <v>3.878571428571429</v>
      </c>
      <c r="P1347" s="2">
        <f ca="1">INDEX(INDIRECT(_xlfn.CONCAT("weather.tbl[",P$1,"]")),MATCH(vp.data[[#This Row],[SDate]],weather.tbl[Date],0))</f>
        <v>1.3</v>
      </c>
      <c r="Q1347" s="2">
        <f ca="1">INDEX(INDIRECT(_xlfn.CONCAT("weather.tbl[",Q$1,"]")),MATCH(vp.data[[#This Row],[SDate]],weather.tbl[Date],0))</f>
        <v>1.3</v>
      </c>
      <c r="R1347" s="2">
        <f ca="1">INDEX(INDIRECT(_xlfn.CONCAT("weather.tbl[",R$1,"]")),MATCH(vp.data[[#This Row],[SDate]],weather.tbl[Date],0))</f>
        <v>1.8</v>
      </c>
      <c r="S1347" s="2">
        <f ca="1">INDEX(INDIRECT(_xlfn.CONCAT("weather.tbl[",S$1,"]")),MATCH(vp.data[[#This Row],[SDate]],weather.tbl[Date],0))</f>
        <v>0.7</v>
      </c>
      <c r="T1347" s="2">
        <f ca="1">INDEX(INDIRECT(_xlfn.CONCAT("weather.tbl[",T$1,"]")),MATCH(vp.data[[#This Row],[SDate]],weather.tbl[Date],0))</f>
        <v>2</v>
      </c>
      <c r="U1347" s="2">
        <f ca="1">INDEX(INDIRECT(_xlfn.CONCAT("weather.tbl[",U$1,"]")),MATCH(vp.data[[#This Row],[SDate]],weather.tbl[Date],0))</f>
        <v>0.8</v>
      </c>
      <c r="V1347" s="2">
        <f t="array" ref="V13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34.24</v>
      </c>
      <c r="W1347" t="s">
        <v>268</v>
      </c>
      <c r="X1347">
        <f>IF(OR(vp.data[[#This Row],[Sulf]]="",vp.data[[#This Row],[Dens]]=""),1,0)</f>
        <v>0</v>
      </c>
      <c r="Y1347">
        <f>IF(vp.data[[#This Row],[CrudeType]]="C5+",1,0)</f>
        <v>1</v>
      </c>
      <c r="Z1347">
        <f>IF(AND(vp.data[[#This Row],[CrudeType]]="Crude",vp.data[[#This Row],[Dens]]&lt;=825,vp.data[[#This Row],[Sulf]]&gt;0.5,vp.data[[#This Row],[Unknown]]=0),1,0)</f>
        <v>0</v>
      </c>
      <c r="AA1347">
        <f>IF(AND(vp.data[[#This Row],[CrudeType]]="Crude",vp.data[[#This Row],[Dens]]&lt;=825,vp.data[[#This Row],[Sulf]]&lt;=0.5,vp.data[[#This Row],[Unknown]]=0),1,0)</f>
        <v>0</v>
      </c>
      <c r="AB13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7">
        <f>IF(AND(vp.data[[#This Row],[CrudeType]]="Crude",vp.data[[#This Row],[Dens]]&gt;825,vp.data[[#This Row],[Dens]]&lt;=900,vp.data[[#This Row],[Sulf]]&lt;=0.5,vp.data[[#This Row],[Unknown]]=0),1,0)</f>
        <v>0</v>
      </c>
      <c r="AD1347">
        <f>IF(AND(vp.data[[#This Row],[CrudeType]]="Crude",vp.data[[#This Row],[Dens]]&gt;865,vp.data[[#This Row],[Dens]]&lt;=900,vp.data[[#This Row],[Sulf]]&gt;2,vp.data[[#This Row],[Unknown]]=0),1,0)</f>
        <v>0</v>
      </c>
      <c r="AE1347">
        <f>IF(AND(vp.data[[#This Row],[CrudeType]]="Crude",vp.data[[#This Row],[Dens]]&gt;900,vp.data[[#This Row],[Sulf]]&lt;=0.5,vp.data[[#This Row],[Unknown]]=0),1,0)</f>
        <v>0</v>
      </c>
      <c r="AF1347">
        <f>IF(AND(vp.data[[#This Row],[CrudeType]]="Crude",vp.data[[#This Row],[Dens]]&gt;900,vp.data[[#This Row],[Sulf]]&lt;=0.5,vp.data[[#This Row],[Unknown]]=0),1,0)</f>
        <v>0</v>
      </c>
      <c r="AG1347" t="str">
        <f>INDEX(vp.data[[#Headers],[Unknown]:[Heavy_SW]],MATCH(1,vp.data[[#This Row],[Unknown]:[Heavy_SW]],0))</f>
        <v>C5</v>
      </c>
      <c r="AH1347">
        <f>INDEX([3]!crudeBD.lkup[Number],MATCH(vp.data[[#This Row],[Crude_Breakdown]],crudeBD.lkup[Crude Breakdown],0))</f>
        <v>0</v>
      </c>
      <c r="AI1347">
        <f>MONTH(vp.data[[#This Row],[SDate]])</f>
        <v>4</v>
      </c>
      <c r="AJ1347" s="5">
        <f>(vp.data[[#This Row],[VP]]-INDEX(crudeBD.lkup[Mean_VP],MATCH(vp.data[[#This Row],[Crude_Breakdown]],crudeBD.lkup[Crude Breakdown],0)))^2</f>
        <v>0.22967330119371934</v>
      </c>
      <c r="AK1347" s="5">
        <f>(vp.data[[#This Row],[Dens]]-INDEX(crudeBD.lkup[Mean_Dens],MATCH(vp.data[[#This Row],[Crude_Breakdown]],crudeBD.lkup[Crude Breakdown],0)))^2</f>
        <v>0.6786264692377223</v>
      </c>
      <c r="AL1347" s="5">
        <f>(vp.data[[#This Row],[Sulf]]-INDEX(crudeBD.lkup[Mean_Sulf],MATCH(vp.data[[#This Row],[Crude_Breakdown]],crudeBD.lkup[Crude Breakdown],0)))^2</f>
        <v>0</v>
      </c>
      <c r="AM1347" s="4">
        <f>IF(AND(vp.data[[#This Row],[SDate]]&gt;=DATE(YEAR(vp.data[[#This Row],[SDate]]),5,1),vp.data[[#This Row],[SDate]]&lt;=DATE(YEAR(vp.data[[#This Row],[SDate]]),9,15)),1,0)</f>
        <v>0</v>
      </c>
      <c r="AN1347" s="4">
        <f>IF(vp.data[[#This Row],[SDate]]&lt;DATE(2016,12,1),0,1)</f>
        <v>1</v>
      </c>
      <c r="AO1347" s="4">
        <f>IFERROR(vp.data[[#This Row],[Sulf]]*vp.data[[#This Row],[Net Dens]],"")</f>
        <v>0</v>
      </c>
      <c r="AP1347">
        <f>IFERROR(vp.data[[#This Row],[Dens]]*vp.data[[#This Row],[VolumeM3]],"")</f>
        <v>22560.736000000001</v>
      </c>
      <c r="AQ1347" s="15">
        <f>IFERROR(vp.data[[#This Row],[VP]]*vp.data[[#This Row],[VolumeM3]],"")</f>
        <v>3516.4480000000003</v>
      </c>
    </row>
    <row r="1348" spans="1:43" x14ac:dyDescent="0.25">
      <c r="A1348">
        <v>1347</v>
      </c>
      <c r="B1348" t="s">
        <v>275</v>
      </c>
      <c r="C1348" t="s">
        <v>276</v>
      </c>
      <c r="D1348" t="s">
        <v>277</v>
      </c>
      <c r="E1348">
        <v>327524</v>
      </c>
      <c r="F1348" s="1">
        <v>42853</v>
      </c>
      <c r="G1348" s="2">
        <v>95.4</v>
      </c>
      <c r="H1348" s="2">
        <v>0</v>
      </c>
      <c r="I1348" s="2">
        <f t="array" ref="I134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8" s="2">
        <v>18.02</v>
      </c>
      <c r="K1348" s="2">
        <v>15</v>
      </c>
      <c r="L1348" s="2">
        <v>657.7</v>
      </c>
      <c r="M1348" s="2">
        <f t="array" ref="M1348">_xlfn.IFNA(IF(vp.data[[#This Row],[Dens Input]]="",INDEX([1]DATA!$O$3:$O$9826,MATCH(1,(vp.data[[#This Row],[Battery]]=[1]DATA!$L$3:$L$9826)*(EOMONTH(vp.data[[#This Row],[SDate]],-1)+1=[1]DATA!$G$3:$G$9826),0)),vp.data[[#This Row],[Dens Input]]),"")</f>
        <v>657.7</v>
      </c>
      <c r="N1348" s="2">
        <f ca="1">INDEX(INDIRECT(_xlfn.CONCAT("weather.tbl[",N$1,"]")),MATCH(vp.data[[#This Row],[SDate]],weather.tbl[Date],0))</f>
        <v>5.0666666666666673</v>
      </c>
      <c r="O1348" s="2">
        <f ca="1">INDEX(INDIRECT(_xlfn.CONCAT("weather.tbl[",O$1,"]")),MATCH(vp.data[[#This Row],[SDate]],weather.tbl[Date],0))</f>
        <v>2.35952380952381</v>
      </c>
      <c r="P1348" s="2">
        <f ca="1">INDEX(INDIRECT(_xlfn.CONCAT("weather.tbl[",P$1,"]")),MATCH(vp.data[[#This Row],[SDate]],weather.tbl[Date],0))</f>
        <v>5.4</v>
      </c>
      <c r="Q1348" s="2">
        <f ca="1">INDEX(INDIRECT(_xlfn.CONCAT("weather.tbl[",Q$1,"]")),MATCH(vp.data[[#This Row],[SDate]],weather.tbl[Date],0))</f>
        <v>5.4</v>
      </c>
      <c r="R1348" s="2">
        <f ca="1">INDEX(INDIRECT(_xlfn.CONCAT("weather.tbl[",R$1,"]")),MATCH(vp.data[[#This Row],[SDate]],weather.tbl[Date],0))</f>
        <v>4.8</v>
      </c>
      <c r="S1348" s="2">
        <f ca="1">INDEX(INDIRECT(_xlfn.CONCAT("weather.tbl[",S$1,"]")),MATCH(vp.data[[#This Row],[SDate]],weather.tbl[Date],0))</f>
        <v>5</v>
      </c>
      <c r="T1348" s="2">
        <f ca="1">INDEX(INDIRECT(_xlfn.CONCAT("weather.tbl[",T$1,"]")),MATCH(vp.data[[#This Row],[SDate]],weather.tbl[Date],0))</f>
        <v>4.8</v>
      </c>
      <c r="U1348" s="2">
        <f ca="1">INDEX(INDIRECT(_xlfn.CONCAT("weather.tbl[",U$1,"]")),MATCH(vp.data[[#This Row],[SDate]],weather.tbl[Date],0))</f>
        <v>5</v>
      </c>
      <c r="V1348" s="2">
        <f t="array" ref="V13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30.26</v>
      </c>
      <c r="W1348" t="s">
        <v>268</v>
      </c>
      <c r="X1348">
        <f>IF(OR(vp.data[[#This Row],[Sulf]]="",vp.data[[#This Row],[Dens]]=""),1,0)</f>
        <v>0</v>
      </c>
      <c r="Y1348">
        <f>IF(vp.data[[#This Row],[CrudeType]]="C5+",1,0)</f>
        <v>1</v>
      </c>
      <c r="Z1348">
        <f>IF(AND(vp.data[[#This Row],[CrudeType]]="Crude",vp.data[[#This Row],[Dens]]&lt;=825,vp.data[[#This Row],[Sulf]]&gt;0.5,vp.data[[#This Row],[Unknown]]=0),1,0)</f>
        <v>0</v>
      </c>
      <c r="AA1348">
        <f>IF(AND(vp.data[[#This Row],[CrudeType]]="Crude",vp.data[[#This Row],[Dens]]&lt;=825,vp.data[[#This Row],[Sulf]]&lt;=0.5,vp.data[[#This Row],[Unknown]]=0),1,0)</f>
        <v>0</v>
      </c>
      <c r="AB13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8">
        <f>IF(AND(vp.data[[#This Row],[CrudeType]]="Crude",vp.data[[#This Row],[Dens]]&gt;825,vp.data[[#This Row],[Dens]]&lt;=900,vp.data[[#This Row],[Sulf]]&lt;=0.5,vp.data[[#This Row],[Unknown]]=0),1,0)</f>
        <v>0</v>
      </c>
      <c r="AD1348">
        <f>IF(AND(vp.data[[#This Row],[CrudeType]]="Crude",vp.data[[#This Row],[Dens]]&gt;865,vp.data[[#This Row],[Dens]]&lt;=900,vp.data[[#This Row],[Sulf]]&gt;2,vp.data[[#This Row],[Unknown]]=0),1,0)</f>
        <v>0</v>
      </c>
      <c r="AE1348">
        <f>IF(AND(vp.data[[#This Row],[CrudeType]]="Crude",vp.data[[#This Row],[Dens]]&gt;900,vp.data[[#This Row],[Sulf]]&lt;=0.5,vp.data[[#This Row],[Unknown]]=0),1,0)</f>
        <v>0</v>
      </c>
      <c r="AF1348">
        <f>IF(AND(vp.data[[#This Row],[CrudeType]]="Crude",vp.data[[#This Row],[Dens]]&gt;900,vp.data[[#This Row],[Sulf]]&lt;=0.5,vp.data[[#This Row],[Unknown]]=0),1,0)</f>
        <v>0</v>
      </c>
      <c r="AG1348" t="str">
        <f>INDEX(vp.data[[#Headers],[Unknown]:[Heavy_SW]],MATCH(1,vp.data[[#This Row],[Unknown]:[Heavy_SW]],0))</f>
        <v>C5</v>
      </c>
      <c r="AH1348">
        <f>INDEX([3]!crudeBD.lkup[Number],MATCH(vp.data[[#This Row],[Crude_Breakdown]],crudeBD.lkup[Crude Breakdown],0))</f>
        <v>0</v>
      </c>
      <c r="AI1348">
        <f>MONTH(vp.data[[#This Row],[SDate]])</f>
        <v>4</v>
      </c>
      <c r="AJ1348" s="5">
        <f>(vp.data[[#This Row],[VP]]-INDEX(crudeBD.lkup[Mean_VP],MATCH(vp.data[[#This Row],[Crude_Breakdown]],crudeBD.lkup[Crude Breakdown],0)))^2</f>
        <v>60.516612695132515</v>
      </c>
      <c r="AK1348" s="5">
        <f>(vp.data[[#This Row],[Dens]]-INDEX(crudeBD.lkup[Mean_Dens],MATCH(vp.data[[#This Row],[Crude_Breakdown]],crudeBD.lkup[Crude Breakdown],0)))^2</f>
        <v>0.14153556014692295</v>
      </c>
      <c r="AL1348" s="5">
        <f>(vp.data[[#This Row],[Sulf]]-INDEX(crudeBD.lkup[Mean_Sulf],MATCH(vp.data[[#This Row],[Crude_Breakdown]],crudeBD.lkup[Crude Breakdown],0)))^2</f>
        <v>0</v>
      </c>
      <c r="AM1348" s="4">
        <f>IF(AND(vp.data[[#This Row],[SDate]]&gt;=DATE(YEAR(vp.data[[#This Row],[SDate]]),5,1),vp.data[[#This Row],[SDate]]&lt;=DATE(YEAR(vp.data[[#This Row],[SDate]]),9,15)),1,0)</f>
        <v>0</v>
      </c>
      <c r="AN1348" s="4">
        <f>IF(vp.data[[#This Row],[SDate]]&lt;DATE(2016,12,1),0,1)</f>
        <v>1</v>
      </c>
      <c r="AO1348" s="4">
        <f>IFERROR(vp.data[[#This Row],[Sulf]]*vp.data[[#This Row],[Net Dens]],"")</f>
        <v>0</v>
      </c>
      <c r="AP1348">
        <f>IFERROR(vp.data[[#This Row],[Dens]]*vp.data[[#This Row],[VolumeM3]],"")</f>
        <v>19902.002000000004</v>
      </c>
      <c r="AQ1348" s="15">
        <f>IFERROR(vp.data[[#This Row],[VP]]*vp.data[[#This Row],[VolumeM3]],"")</f>
        <v>2886.8040000000005</v>
      </c>
    </row>
    <row r="1349" spans="1:43" x14ac:dyDescent="0.25">
      <c r="A1349">
        <v>1348</v>
      </c>
      <c r="B1349" t="s">
        <v>275</v>
      </c>
      <c r="C1349" t="s">
        <v>276</v>
      </c>
      <c r="D1349" t="s">
        <v>277</v>
      </c>
      <c r="E1349">
        <v>328346</v>
      </c>
      <c r="F1349" s="1">
        <v>42858</v>
      </c>
      <c r="G1349" s="2">
        <v>94.4</v>
      </c>
      <c r="H1349" s="2">
        <v>0</v>
      </c>
      <c r="I1349" s="2">
        <f t="array" ref="I134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49" s="2">
        <v>19.399999999999999</v>
      </c>
      <c r="K1349" s="2">
        <v>14</v>
      </c>
      <c r="L1349" s="2">
        <v>658.8</v>
      </c>
      <c r="M1349" s="2">
        <f t="array" ref="M1349">_xlfn.IFNA(IF(vp.data[[#This Row],[Dens Input]]="",INDEX([1]DATA!$O$3:$O$9826,MATCH(1,(vp.data[[#This Row],[Battery]]=[1]DATA!$L$3:$L$9826)*(EOMONTH(vp.data[[#This Row],[SDate]],-1)+1=[1]DATA!$G$3:$G$9826),0)),vp.data[[#This Row],[Dens Input]]),"")</f>
        <v>658.8</v>
      </c>
      <c r="N1349" s="2">
        <f ca="1">INDEX(INDIRECT(_xlfn.CONCAT("weather.tbl[",N$1,"]")),MATCH(vp.data[[#This Row],[SDate]],weather.tbl[Date],0))</f>
        <v>9.5333333333333332</v>
      </c>
      <c r="O1349" s="2">
        <f ca="1">INDEX(INDIRECT(_xlfn.CONCAT("weather.tbl[",O$1,"]")),MATCH(vp.data[[#This Row],[SDate]],weather.tbl[Date],0))</f>
        <v>7.8952380952380965</v>
      </c>
      <c r="P1349" s="2">
        <f ca="1">INDEX(INDIRECT(_xlfn.CONCAT("weather.tbl[",P$1,"]")),MATCH(vp.data[[#This Row],[SDate]],weather.tbl[Date],0))</f>
        <v>9.5</v>
      </c>
      <c r="Q1349" s="2">
        <f ca="1">INDEX(INDIRECT(_xlfn.CONCAT("weather.tbl[",Q$1,"]")),MATCH(vp.data[[#This Row],[SDate]],weather.tbl[Date],0))</f>
        <v>9</v>
      </c>
      <c r="R1349" s="2">
        <f ca="1">INDEX(INDIRECT(_xlfn.CONCAT("weather.tbl[",R$1,"]")),MATCH(vp.data[[#This Row],[SDate]],weather.tbl[Date],0))</f>
        <v>10</v>
      </c>
      <c r="S1349" s="2">
        <f ca="1">INDEX(INDIRECT(_xlfn.CONCAT("weather.tbl[",S$1,"]")),MATCH(vp.data[[#This Row],[SDate]],weather.tbl[Date],0))</f>
        <v>9.4</v>
      </c>
      <c r="T1349" s="2">
        <f ca="1">INDEX(INDIRECT(_xlfn.CONCAT("weather.tbl[",T$1,"]")),MATCH(vp.data[[#This Row],[SDate]],weather.tbl[Date],0))</f>
        <v>10</v>
      </c>
      <c r="U1349" s="2">
        <f ca="1">INDEX(INDIRECT(_xlfn.CONCAT("weather.tbl[",U$1,"]")),MATCH(vp.data[[#This Row],[SDate]],weather.tbl[Date],0))</f>
        <v>9.3000000000000007</v>
      </c>
      <c r="V1349" s="2">
        <f t="array" ref="V13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37.450000000000003</v>
      </c>
      <c r="W1349" t="s">
        <v>268</v>
      </c>
      <c r="X1349">
        <f>IF(OR(vp.data[[#This Row],[Sulf]]="",vp.data[[#This Row],[Dens]]=""),1,0)</f>
        <v>0</v>
      </c>
      <c r="Y1349">
        <f>IF(vp.data[[#This Row],[CrudeType]]="C5+",1,0)</f>
        <v>1</v>
      </c>
      <c r="Z1349">
        <f>IF(AND(vp.data[[#This Row],[CrudeType]]="Crude",vp.data[[#This Row],[Dens]]&lt;=825,vp.data[[#This Row],[Sulf]]&gt;0.5,vp.data[[#This Row],[Unknown]]=0),1,0)</f>
        <v>0</v>
      </c>
      <c r="AA1349">
        <f>IF(AND(vp.data[[#This Row],[CrudeType]]="Crude",vp.data[[#This Row],[Dens]]&lt;=825,vp.data[[#This Row],[Sulf]]&lt;=0.5,vp.data[[#This Row],[Unknown]]=0),1,0)</f>
        <v>0</v>
      </c>
      <c r="AB13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49">
        <f>IF(AND(vp.data[[#This Row],[CrudeType]]="Crude",vp.data[[#This Row],[Dens]]&gt;825,vp.data[[#This Row],[Dens]]&lt;=900,vp.data[[#This Row],[Sulf]]&lt;=0.5,vp.data[[#This Row],[Unknown]]=0),1,0)</f>
        <v>0</v>
      </c>
      <c r="AD1349">
        <f>IF(AND(vp.data[[#This Row],[CrudeType]]="Crude",vp.data[[#This Row],[Dens]]&gt;865,vp.data[[#This Row],[Dens]]&lt;=900,vp.data[[#This Row],[Sulf]]&gt;2,vp.data[[#This Row],[Unknown]]=0),1,0)</f>
        <v>0</v>
      </c>
      <c r="AE1349">
        <f>IF(AND(vp.data[[#This Row],[CrudeType]]="Crude",vp.data[[#This Row],[Dens]]&gt;900,vp.data[[#This Row],[Sulf]]&lt;=0.5,vp.data[[#This Row],[Unknown]]=0),1,0)</f>
        <v>0</v>
      </c>
      <c r="AF1349">
        <f>IF(AND(vp.data[[#This Row],[CrudeType]]="Crude",vp.data[[#This Row],[Dens]]&gt;900,vp.data[[#This Row],[Sulf]]&lt;=0.5,vp.data[[#This Row],[Unknown]]=0),1,0)</f>
        <v>0</v>
      </c>
      <c r="AG1349" t="str">
        <f>INDEX(vp.data[[#Headers],[Unknown]:[Heavy_SW]],MATCH(1,vp.data[[#This Row],[Unknown]:[Heavy_SW]],0))</f>
        <v>C5</v>
      </c>
      <c r="AH1349">
        <f>INDEX([3]!crudeBD.lkup[Number],MATCH(vp.data[[#This Row],[Crude_Breakdown]],crudeBD.lkup[Crude Breakdown],0))</f>
        <v>0</v>
      </c>
      <c r="AI1349">
        <f>MONTH(vp.data[[#This Row],[SDate]])</f>
        <v>5</v>
      </c>
      <c r="AJ1349" s="5">
        <f>(vp.data[[#This Row],[VP]]-INDEX(crudeBD.lkup[Mean_VP],MATCH(vp.data[[#This Row],[Crude_Breakdown]],crudeBD.lkup[Crude Breakdown],0)))^2</f>
        <v>77.075097543617275</v>
      </c>
      <c r="AK1349" s="5">
        <f>(vp.data[[#This Row],[Dens]]-INDEX(crudeBD.lkup[Mean_Dens],MATCH(vp.data[[#This Row],[Crude_Breakdown]],crudeBD.lkup[Crude Breakdown],0)))^2</f>
        <v>0.52386889348012711</v>
      </c>
      <c r="AL1349" s="5">
        <f>(vp.data[[#This Row],[Sulf]]-INDEX(crudeBD.lkup[Mean_Sulf],MATCH(vp.data[[#This Row],[Crude_Breakdown]],crudeBD.lkup[Crude Breakdown],0)))^2</f>
        <v>0</v>
      </c>
      <c r="AM1349" s="4">
        <f>IF(AND(vp.data[[#This Row],[SDate]]&gt;=DATE(YEAR(vp.data[[#This Row],[SDate]]),5,1),vp.data[[#This Row],[SDate]]&lt;=DATE(YEAR(vp.data[[#This Row],[SDate]]),9,15)),1,0)</f>
        <v>1</v>
      </c>
      <c r="AN1349" s="4">
        <f>IF(vp.data[[#This Row],[SDate]]&lt;DATE(2016,12,1),0,1)</f>
        <v>1</v>
      </c>
      <c r="AO1349" s="4">
        <f>IFERROR(vp.data[[#This Row],[Sulf]]*vp.data[[#This Row],[Net Dens]],"")</f>
        <v>0</v>
      </c>
      <c r="AP1349">
        <f>IFERROR(vp.data[[#This Row],[Dens]]*vp.data[[#This Row],[VolumeM3]],"")</f>
        <v>24672.06</v>
      </c>
      <c r="AQ1349" s="15">
        <f>IFERROR(vp.data[[#This Row],[VP]]*vp.data[[#This Row],[VolumeM3]],"")</f>
        <v>3535.2800000000007</v>
      </c>
    </row>
    <row r="1350" spans="1:43" x14ac:dyDescent="0.25">
      <c r="A1350">
        <v>1349</v>
      </c>
      <c r="B1350" t="s">
        <v>269</v>
      </c>
      <c r="C1350" t="s">
        <v>270</v>
      </c>
      <c r="D1350" t="s">
        <v>271</v>
      </c>
      <c r="E1350">
        <v>328351</v>
      </c>
      <c r="F1350" s="1">
        <v>42858</v>
      </c>
      <c r="G1350" s="2">
        <v>103.1</v>
      </c>
      <c r="H1350" s="2">
        <v>0</v>
      </c>
      <c r="I1350" s="2">
        <f t="array" ref="I135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0" s="2">
        <v>16.399999999999999</v>
      </c>
      <c r="K1350" s="2">
        <v>14</v>
      </c>
      <c r="L1350" s="2">
        <v>658.9</v>
      </c>
      <c r="M1350" s="2">
        <f t="array" ref="M1350">_xlfn.IFNA(IF(vp.data[[#This Row],[Dens Input]]="",INDEX([1]DATA!$O$3:$O$9826,MATCH(1,(vp.data[[#This Row],[Battery]]=[1]DATA!$L$3:$L$9826)*(EOMONTH(vp.data[[#This Row],[SDate]],-1)+1=[1]DATA!$G$3:$G$9826),0)),vp.data[[#This Row],[Dens Input]]),"")</f>
        <v>658.9</v>
      </c>
      <c r="N1350" s="2">
        <f ca="1">INDEX(INDIRECT(_xlfn.CONCAT("weather.tbl[",N$1,"]")),MATCH(vp.data[[#This Row],[SDate]],weather.tbl[Date],0))</f>
        <v>9.5333333333333332</v>
      </c>
      <c r="O1350" s="2">
        <f ca="1">INDEX(INDIRECT(_xlfn.CONCAT("weather.tbl[",O$1,"]")),MATCH(vp.data[[#This Row],[SDate]],weather.tbl[Date],0))</f>
        <v>7.8952380952380965</v>
      </c>
      <c r="P1350" s="2">
        <f ca="1">INDEX(INDIRECT(_xlfn.CONCAT("weather.tbl[",P$1,"]")),MATCH(vp.data[[#This Row],[SDate]],weather.tbl[Date],0))</f>
        <v>9.5</v>
      </c>
      <c r="Q1350" s="2">
        <f ca="1">INDEX(INDIRECT(_xlfn.CONCAT("weather.tbl[",Q$1,"]")),MATCH(vp.data[[#This Row],[SDate]],weather.tbl[Date],0))</f>
        <v>9</v>
      </c>
      <c r="R1350" s="2">
        <f ca="1">INDEX(INDIRECT(_xlfn.CONCAT("weather.tbl[",R$1,"]")),MATCH(vp.data[[#This Row],[SDate]],weather.tbl[Date],0))</f>
        <v>10</v>
      </c>
      <c r="S1350" s="2">
        <f ca="1">INDEX(INDIRECT(_xlfn.CONCAT("weather.tbl[",S$1,"]")),MATCH(vp.data[[#This Row],[SDate]],weather.tbl[Date],0))</f>
        <v>9.4</v>
      </c>
      <c r="T1350" s="2">
        <f ca="1">INDEX(INDIRECT(_xlfn.CONCAT("weather.tbl[",T$1,"]")),MATCH(vp.data[[#This Row],[SDate]],weather.tbl[Date],0))</f>
        <v>10</v>
      </c>
      <c r="U1350" s="2">
        <f ca="1">INDEX(INDIRECT(_xlfn.CONCAT("weather.tbl[",U$1,"]")),MATCH(vp.data[[#This Row],[SDate]],weather.tbl[Date],0))</f>
        <v>9.3000000000000007</v>
      </c>
      <c r="V1350" s="2">
        <f t="array" ref="V13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29.26</v>
      </c>
      <c r="W1350" t="s">
        <v>268</v>
      </c>
      <c r="X1350">
        <f>IF(OR(vp.data[[#This Row],[Sulf]]="",vp.data[[#This Row],[Dens]]=""),1,0)</f>
        <v>0</v>
      </c>
      <c r="Y1350">
        <f>IF(vp.data[[#This Row],[CrudeType]]="C5+",1,0)</f>
        <v>1</v>
      </c>
      <c r="Z1350">
        <f>IF(AND(vp.data[[#This Row],[CrudeType]]="Crude",vp.data[[#This Row],[Dens]]&lt;=825,vp.data[[#This Row],[Sulf]]&gt;0.5,vp.data[[#This Row],[Unknown]]=0),1,0)</f>
        <v>0</v>
      </c>
      <c r="AA1350">
        <f>IF(AND(vp.data[[#This Row],[CrudeType]]="Crude",vp.data[[#This Row],[Dens]]&lt;=825,vp.data[[#This Row],[Sulf]]&lt;=0.5,vp.data[[#This Row],[Unknown]]=0),1,0)</f>
        <v>0</v>
      </c>
      <c r="AB13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0">
        <f>IF(AND(vp.data[[#This Row],[CrudeType]]="Crude",vp.data[[#This Row],[Dens]]&gt;825,vp.data[[#This Row],[Dens]]&lt;=900,vp.data[[#This Row],[Sulf]]&lt;=0.5,vp.data[[#This Row],[Unknown]]=0),1,0)</f>
        <v>0</v>
      </c>
      <c r="AD1350">
        <f>IF(AND(vp.data[[#This Row],[CrudeType]]="Crude",vp.data[[#This Row],[Dens]]&gt;865,vp.data[[#This Row],[Dens]]&lt;=900,vp.data[[#This Row],[Sulf]]&gt;2,vp.data[[#This Row],[Unknown]]=0),1,0)</f>
        <v>0</v>
      </c>
      <c r="AE1350">
        <f>IF(AND(vp.data[[#This Row],[CrudeType]]="Crude",vp.data[[#This Row],[Dens]]&gt;900,vp.data[[#This Row],[Sulf]]&lt;=0.5,vp.data[[#This Row],[Unknown]]=0),1,0)</f>
        <v>0</v>
      </c>
      <c r="AF1350">
        <f>IF(AND(vp.data[[#This Row],[CrudeType]]="Crude",vp.data[[#This Row],[Dens]]&gt;900,vp.data[[#This Row],[Sulf]]&lt;=0.5,vp.data[[#This Row],[Unknown]]=0),1,0)</f>
        <v>0</v>
      </c>
      <c r="AG1350" t="str">
        <f>INDEX(vp.data[[#Headers],[Unknown]:[Heavy_SW]],MATCH(1,vp.data[[#This Row],[Unknown]:[Heavy_SW]],0))</f>
        <v>C5</v>
      </c>
      <c r="AH1350">
        <f>INDEX([3]!crudeBD.lkup[Number],MATCH(vp.data[[#This Row],[Crude_Breakdown]],crudeBD.lkup[Crude Breakdown],0))</f>
        <v>0</v>
      </c>
      <c r="AI1350">
        <f>MONTH(vp.data[[#This Row],[SDate]])</f>
        <v>5</v>
      </c>
      <c r="AJ1350" s="5">
        <f>(vp.data[[#This Row],[VP]]-INDEX(crudeBD.lkup[Mean_VP],MATCH(vp.data[[#This Row],[Crude_Breakdown]],crudeBD.lkup[Crude Breakdown],0)))^2</f>
        <v>6.2793617998116802E-3</v>
      </c>
      <c r="AK1350" s="5">
        <f>(vp.data[[#This Row],[Dens]]-INDEX(crudeBD.lkup[Mean_Dens],MATCH(vp.data[[#This Row],[Crude_Breakdown]],crudeBD.lkup[Crude Breakdown],0)))^2</f>
        <v>0.6786264692377223</v>
      </c>
      <c r="AL1350" s="5">
        <f>(vp.data[[#This Row],[Sulf]]-INDEX(crudeBD.lkup[Mean_Sulf],MATCH(vp.data[[#This Row],[Crude_Breakdown]],crudeBD.lkup[Crude Breakdown],0)))^2</f>
        <v>0</v>
      </c>
      <c r="AM1350" s="4">
        <f>IF(AND(vp.data[[#This Row],[SDate]]&gt;=DATE(YEAR(vp.data[[#This Row],[SDate]]),5,1),vp.data[[#This Row],[SDate]]&lt;=DATE(YEAR(vp.data[[#This Row],[SDate]]),9,15)),1,0)</f>
        <v>1</v>
      </c>
      <c r="AN1350" s="4">
        <f>IF(vp.data[[#This Row],[SDate]]&lt;DATE(2016,12,1),0,1)</f>
        <v>1</v>
      </c>
      <c r="AO1350" s="4">
        <f>IFERROR(vp.data[[#This Row],[Sulf]]*vp.data[[#This Row],[Net Dens]],"")</f>
        <v>0</v>
      </c>
      <c r="AP1350">
        <f>IFERROR(vp.data[[#This Row],[Dens]]*vp.data[[#This Row],[VolumeM3]],"")</f>
        <v>19279.414000000001</v>
      </c>
      <c r="AQ1350" s="15">
        <f>IFERROR(vp.data[[#This Row],[VP]]*vp.data[[#This Row],[VolumeM3]],"")</f>
        <v>3016.7060000000001</v>
      </c>
    </row>
    <row r="1351" spans="1:43" x14ac:dyDescent="0.25">
      <c r="A1351">
        <v>1350</v>
      </c>
      <c r="B1351" t="s">
        <v>272</v>
      </c>
      <c r="C1351" t="s">
        <v>282</v>
      </c>
      <c r="D1351" t="s">
        <v>283</v>
      </c>
      <c r="E1351">
        <v>328342</v>
      </c>
      <c r="F1351" s="1">
        <v>42858</v>
      </c>
      <c r="G1351" s="2">
        <v>107.3</v>
      </c>
      <c r="H1351" s="2">
        <v>0</v>
      </c>
      <c r="I1351" s="2">
        <f t="array" ref="I135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1" s="2">
        <v>16</v>
      </c>
      <c r="K1351" s="2">
        <v>14</v>
      </c>
      <c r="L1351" s="2">
        <v>633.1</v>
      </c>
      <c r="M1351" s="2">
        <f t="array" ref="M1351">_xlfn.IFNA(IF(vp.data[[#This Row],[Dens Input]]="",INDEX([1]DATA!$O$3:$O$9826,MATCH(1,(vp.data[[#This Row],[Battery]]=[1]DATA!$L$3:$L$9826)*(EOMONTH(vp.data[[#This Row],[SDate]],-1)+1=[1]DATA!$G$3:$G$9826),0)),vp.data[[#This Row],[Dens Input]]),"")</f>
        <v>633.1</v>
      </c>
      <c r="N1351" s="2">
        <f ca="1">INDEX(INDIRECT(_xlfn.CONCAT("weather.tbl[",N$1,"]")),MATCH(vp.data[[#This Row],[SDate]],weather.tbl[Date],0))</f>
        <v>9.5333333333333332</v>
      </c>
      <c r="O1351" s="2">
        <f ca="1">INDEX(INDIRECT(_xlfn.CONCAT("weather.tbl[",O$1,"]")),MATCH(vp.data[[#This Row],[SDate]],weather.tbl[Date],0))</f>
        <v>7.8952380952380965</v>
      </c>
      <c r="P1351" s="2">
        <f ca="1">INDEX(INDIRECT(_xlfn.CONCAT("weather.tbl[",P$1,"]")),MATCH(vp.data[[#This Row],[SDate]],weather.tbl[Date],0))</f>
        <v>9.5</v>
      </c>
      <c r="Q1351" s="2">
        <f ca="1">INDEX(INDIRECT(_xlfn.CONCAT("weather.tbl[",Q$1,"]")),MATCH(vp.data[[#This Row],[SDate]],weather.tbl[Date],0))</f>
        <v>9</v>
      </c>
      <c r="R1351" s="2">
        <f ca="1">INDEX(INDIRECT(_xlfn.CONCAT("weather.tbl[",R$1,"]")),MATCH(vp.data[[#This Row],[SDate]],weather.tbl[Date],0))</f>
        <v>10</v>
      </c>
      <c r="S1351" s="2">
        <f ca="1">INDEX(INDIRECT(_xlfn.CONCAT("weather.tbl[",S$1,"]")),MATCH(vp.data[[#This Row],[SDate]],weather.tbl[Date],0))</f>
        <v>9.4</v>
      </c>
      <c r="T1351" s="2">
        <f ca="1">INDEX(INDIRECT(_xlfn.CONCAT("weather.tbl[",T$1,"]")),MATCH(vp.data[[#This Row],[SDate]],weather.tbl[Date],0))</f>
        <v>10</v>
      </c>
      <c r="U1351" s="2">
        <f ca="1">INDEX(INDIRECT(_xlfn.CONCAT("weather.tbl[",U$1,"]")),MATCH(vp.data[[#This Row],[SDate]],weather.tbl[Date],0))</f>
        <v>9.3000000000000007</v>
      </c>
      <c r="V1351" s="2">
        <f t="array" ref="V13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27.33</v>
      </c>
      <c r="W1351" t="s">
        <v>268</v>
      </c>
      <c r="X1351">
        <f>IF(OR(vp.data[[#This Row],[Sulf]]="",vp.data[[#This Row],[Dens]]=""),1,0)</f>
        <v>0</v>
      </c>
      <c r="Y1351">
        <f>IF(vp.data[[#This Row],[CrudeType]]="C5+",1,0)</f>
        <v>1</v>
      </c>
      <c r="Z1351">
        <f>IF(AND(vp.data[[#This Row],[CrudeType]]="Crude",vp.data[[#This Row],[Dens]]&lt;=825,vp.data[[#This Row],[Sulf]]&gt;0.5,vp.data[[#This Row],[Unknown]]=0),1,0)</f>
        <v>0</v>
      </c>
      <c r="AA1351">
        <f>IF(AND(vp.data[[#This Row],[CrudeType]]="Crude",vp.data[[#This Row],[Dens]]&lt;=825,vp.data[[#This Row],[Sulf]]&lt;=0.5,vp.data[[#This Row],[Unknown]]=0),1,0)</f>
        <v>0</v>
      </c>
      <c r="AB13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1">
        <f>IF(AND(vp.data[[#This Row],[CrudeType]]="Crude",vp.data[[#This Row],[Dens]]&gt;825,vp.data[[#This Row],[Dens]]&lt;=900,vp.data[[#This Row],[Sulf]]&lt;=0.5,vp.data[[#This Row],[Unknown]]=0),1,0)</f>
        <v>0</v>
      </c>
      <c r="AD1351">
        <f>IF(AND(vp.data[[#This Row],[CrudeType]]="Crude",vp.data[[#This Row],[Dens]]&gt;865,vp.data[[#This Row],[Dens]]&lt;=900,vp.data[[#This Row],[Sulf]]&gt;2,vp.data[[#This Row],[Unknown]]=0),1,0)</f>
        <v>0</v>
      </c>
      <c r="AE1351">
        <f>IF(AND(vp.data[[#This Row],[CrudeType]]="Crude",vp.data[[#This Row],[Dens]]&gt;900,vp.data[[#This Row],[Sulf]]&lt;=0.5,vp.data[[#This Row],[Unknown]]=0),1,0)</f>
        <v>0</v>
      </c>
      <c r="AF1351">
        <f>IF(AND(vp.data[[#This Row],[CrudeType]]="Crude",vp.data[[#This Row],[Dens]]&gt;900,vp.data[[#This Row],[Sulf]]&lt;=0.5,vp.data[[#This Row],[Unknown]]=0),1,0)</f>
        <v>0</v>
      </c>
      <c r="AG1351" t="str">
        <f>INDEX(vp.data[[#Headers],[Unknown]:[Heavy_SW]],MATCH(1,vp.data[[#This Row],[Unknown]:[Heavy_SW]],0))</f>
        <v>C5</v>
      </c>
      <c r="AH1351">
        <f>INDEX([3]!crudeBD.lkup[Number],MATCH(vp.data[[#This Row],[Crude_Breakdown]],crudeBD.lkup[Crude Breakdown],0))</f>
        <v>0</v>
      </c>
      <c r="AI1351">
        <f>MONTH(vp.data[[#This Row],[SDate]])</f>
        <v>5</v>
      </c>
      <c r="AJ1351" s="5">
        <f>(vp.data[[#This Row],[VP]]-INDEX(crudeBD.lkup[Mean_VP],MATCH(vp.data[[#This Row],[Crude_Breakdown]],crudeBD.lkup[Crude Breakdown],0)))^2</f>
        <v>16.98064299816372</v>
      </c>
      <c r="AK1351" s="5">
        <f>(vp.data[[#This Row],[Dens]]-INDEX(crudeBD.lkup[Mean_Dens],MATCH(vp.data[[#This Row],[Crude_Breakdown]],crudeBD.lkup[Crude Breakdown],0)))^2</f>
        <v>623.8111719237844</v>
      </c>
      <c r="AL1351" s="5">
        <f>(vp.data[[#This Row],[Sulf]]-INDEX(crudeBD.lkup[Mean_Sulf],MATCH(vp.data[[#This Row],[Crude_Breakdown]],crudeBD.lkup[Crude Breakdown],0)))^2</f>
        <v>0</v>
      </c>
      <c r="AM1351" s="4">
        <f>IF(AND(vp.data[[#This Row],[SDate]]&gt;=DATE(YEAR(vp.data[[#This Row],[SDate]]),5,1),vp.data[[#This Row],[SDate]]&lt;=DATE(YEAR(vp.data[[#This Row],[SDate]]),9,15)),1,0)</f>
        <v>1</v>
      </c>
      <c r="AN1351" s="4">
        <f>IF(vp.data[[#This Row],[SDate]]&lt;DATE(2016,12,1),0,1)</f>
        <v>1</v>
      </c>
      <c r="AO1351" s="4">
        <f>IFERROR(vp.data[[#This Row],[Sulf]]*vp.data[[#This Row],[Net Dens]],"")</f>
        <v>0</v>
      </c>
      <c r="AP1351">
        <f>IFERROR(vp.data[[#This Row],[Dens]]*vp.data[[#This Row],[VolumeM3]],"")</f>
        <v>17302.623</v>
      </c>
      <c r="AQ1351" s="15">
        <f>IFERROR(vp.data[[#This Row],[VP]]*vp.data[[#This Row],[VolumeM3]],"")</f>
        <v>2932.5089999999996</v>
      </c>
    </row>
    <row r="1352" spans="1:43" x14ac:dyDescent="0.25">
      <c r="A1352">
        <v>1351</v>
      </c>
      <c r="B1352" t="s">
        <v>284</v>
      </c>
      <c r="C1352" t="s">
        <v>266</v>
      </c>
      <c r="D1352" t="s">
        <v>267</v>
      </c>
      <c r="E1352">
        <v>328347</v>
      </c>
      <c r="F1352" s="1">
        <v>42858</v>
      </c>
      <c r="G1352" s="2">
        <v>103.1</v>
      </c>
      <c r="H1352" s="2">
        <v>0</v>
      </c>
      <c r="I1352" s="2">
        <f t="array" ref="I1352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2" s="2">
        <v>15.2</v>
      </c>
      <c r="K1352" s="2">
        <v>14</v>
      </c>
      <c r="L1352" s="2">
        <v>657.1</v>
      </c>
      <c r="M1352" s="2">
        <f t="array" ref="M1352">_xlfn.IFNA(IF(vp.data[[#This Row],[Dens Input]]="",INDEX([1]DATA!$O$3:$O$9826,MATCH(1,(vp.data[[#This Row],[Battery]]=[1]DATA!$L$3:$L$9826)*(EOMONTH(vp.data[[#This Row],[SDate]],-1)+1=[1]DATA!$G$3:$G$9826),0)),vp.data[[#This Row],[Dens Input]]),"")</f>
        <v>657.1</v>
      </c>
      <c r="N1352" s="2">
        <f ca="1">INDEX(INDIRECT(_xlfn.CONCAT("weather.tbl[",N$1,"]")),MATCH(vp.data[[#This Row],[SDate]],weather.tbl[Date],0))</f>
        <v>9.5333333333333332</v>
      </c>
      <c r="O1352" s="2">
        <f ca="1">INDEX(INDIRECT(_xlfn.CONCAT("weather.tbl[",O$1,"]")),MATCH(vp.data[[#This Row],[SDate]],weather.tbl[Date],0))</f>
        <v>7.8952380952380965</v>
      </c>
      <c r="P1352" s="2">
        <f ca="1">INDEX(INDIRECT(_xlfn.CONCAT("weather.tbl[",P$1,"]")),MATCH(vp.data[[#This Row],[SDate]],weather.tbl[Date],0))</f>
        <v>9.5</v>
      </c>
      <c r="Q1352" s="2">
        <f ca="1">INDEX(INDIRECT(_xlfn.CONCAT("weather.tbl[",Q$1,"]")),MATCH(vp.data[[#This Row],[SDate]],weather.tbl[Date],0))</f>
        <v>9</v>
      </c>
      <c r="R1352" s="2">
        <f ca="1">INDEX(INDIRECT(_xlfn.CONCAT("weather.tbl[",R$1,"]")),MATCH(vp.data[[#This Row],[SDate]],weather.tbl[Date],0))</f>
        <v>10</v>
      </c>
      <c r="S1352" s="2">
        <f ca="1">INDEX(INDIRECT(_xlfn.CONCAT("weather.tbl[",S$1,"]")),MATCH(vp.data[[#This Row],[SDate]],weather.tbl[Date],0))</f>
        <v>9.4</v>
      </c>
      <c r="T1352" s="2">
        <f ca="1">INDEX(INDIRECT(_xlfn.CONCAT("weather.tbl[",T$1,"]")),MATCH(vp.data[[#This Row],[SDate]],weather.tbl[Date],0))</f>
        <v>10</v>
      </c>
      <c r="U1352" s="2">
        <f ca="1">INDEX(INDIRECT(_xlfn.CONCAT("weather.tbl[",U$1,"]")),MATCH(vp.data[[#This Row],[SDate]],weather.tbl[Date],0))</f>
        <v>9.3000000000000007</v>
      </c>
      <c r="V1352" s="2">
        <f t="array" ref="V13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30.48</v>
      </c>
      <c r="W1352" t="s">
        <v>268</v>
      </c>
      <c r="X1352">
        <f>IF(OR(vp.data[[#This Row],[Sulf]]="",vp.data[[#This Row],[Dens]]=""),1,0)</f>
        <v>0</v>
      </c>
      <c r="Y1352">
        <f>IF(vp.data[[#This Row],[CrudeType]]="C5+",1,0)</f>
        <v>1</v>
      </c>
      <c r="Z1352">
        <f>IF(AND(vp.data[[#This Row],[CrudeType]]="Crude",vp.data[[#This Row],[Dens]]&lt;=825,vp.data[[#This Row],[Sulf]]&gt;0.5,vp.data[[#This Row],[Unknown]]=0),1,0)</f>
        <v>0</v>
      </c>
      <c r="AA1352">
        <f>IF(AND(vp.data[[#This Row],[CrudeType]]="Crude",vp.data[[#This Row],[Dens]]&lt;=825,vp.data[[#This Row],[Sulf]]&lt;=0.5,vp.data[[#This Row],[Unknown]]=0),1,0)</f>
        <v>0</v>
      </c>
      <c r="AB13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2">
        <f>IF(AND(vp.data[[#This Row],[CrudeType]]="Crude",vp.data[[#This Row],[Dens]]&gt;825,vp.data[[#This Row],[Dens]]&lt;=900,vp.data[[#This Row],[Sulf]]&lt;=0.5,vp.data[[#This Row],[Unknown]]=0),1,0)</f>
        <v>0</v>
      </c>
      <c r="AD1352">
        <f>IF(AND(vp.data[[#This Row],[CrudeType]]="Crude",vp.data[[#This Row],[Dens]]&gt;865,vp.data[[#This Row],[Dens]]&lt;=900,vp.data[[#This Row],[Sulf]]&gt;2,vp.data[[#This Row],[Unknown]]=0),1,0)</f>
        <v>0</v>
      </c>
      <c r="AE1352">
        <f>IF(AND(vp.data[[#This Row],[CrudeType]]="Crude",vp.data[[#This Row],[Dens]]&gt;900,vp.data[[#This Row],[Sulf]]&lt;=0.5,vp.data[[#This Row],[Unknown]]=0),1,0)</f>
        <v>0</v>
      </c>
      <c r="AF1352">
        <f>IF(AND(vp.data[[#This Row],[CrudeType]]="Crude",vp.data[[#This Row],[Dens]]&gt;900,vp.data[[#This Row],[Sulf]]&lt;=0.5,vp.data[[#This Row],[Unknown]]=0),1,0)</f>
        <v>0</v>
      </c>
      <c r="AG1352" t="str">
        <f>INDEX(vp.data[[#Headers],[Unknown]:[Heavy_SW]],MATCH(1,vp.data[[#This Row],[Unknown]:[Heavy_SW]],0))</f>
        <v>C5</v>
      </c>
      <c r="AH1352">
        <f>INDEX([3]!crudeBD.lkup[Number],MATCH(vp.data[[#This Row],[Crude_Breakdown]],crudeBD.lkup[Crude Breakdown],0))</f>
        <v>0</v>
      </c>
      <c r="AI1352">
        <f>MONTH(vp.data[[#This Row],[SDate]])</f>
        <v>5</v>
      </c>
      <c r="AJ1352" s="5">
        <f>(vp.data[[#This Row],[VP]]-INDEX(crudeBD.lkup[Mean_VP],MATCH(vp.data[[#This Row],[Crude_Breakdown]],crudeBD.lkup[Crude Breakdown],0)))^2</f>
        <v>6.2793617998116802E-3</v>
      </c>
      <c r="AK1352" s="5">
        <f>(vp.data[[#This Row],[Dens]]-INDEX(crudeBD.lkup[Mean_Dens],MATCH(vp.data[[#This Row],[Crude_Breakdown]],crudeBD.lkup[Crude Breakdown],0)))^2</f>
        <v>0.95299010560151143</v>
      </c>
      <c r="AL1352" s="5">
        <f>(vp.data[[#This Row],[Sulf]]-INDEX(crudeBD.lkup[Mean_Sulf],MATCH(vp.data[[#This Row],[Crude_Breakdown]],crudeBD.lkup[Crude Breakdown],0)))^2</f>
        <v>0</v>
      </c>
      <c r="AM1352" s="4">
        <f>IF(AND(vp.data[[#This Row],[SDate]]&gt;=DATE(YEAR(vp.data[[#This Row],[SDate]]),5,1),vp.data[[#This Row],[SDate]]&lt;=DATE(YEAR(vp.data[[#This Row],[SDate]]),9,15)),1,0)</f>
        <v>1</v>
      </c>
      <c r="AN1352" s="4">
        <f>IF(vp.data[[#This Row],[SDate]]&lt;DATE(2016,12,1),0,1)</f>
        <v>1</v>
      </c>
      <c r="AO1352" s="4">
        <f>IFERROR(vp.data[[#This Row],[Sulf]]*vp.data[[#This Row],[Net Dens]],"")</f>
        <v>0</v>
      </c>
      <c r="AP1352">
        <f>IFERROR(vp.data[[#This Row],[Dens]]*vp.data[[#This Row],[VolumeM3]],"")</f>
        <v>20028.407999999999</v>
      </c>
      <c r="AQ1352" s="15">
        <f>IFERROR(vp.data[[#This Row],[VP]]*vp.data[[#This Row],[VolumeM3]],"")</f>
        <v>3142.4879999999998</v>
      </c>
    </row>
    <row r="1353" spans="1:43" x14ac:dyDescent="0.25">
      <c r="A1353">
        <v>1352</v>
      </c>
      <c r="B1353" t="s">
        <v>288</v>
      </c>
      <c r="C1353" t="s">
        <v>280</v>
      </c>
      <c r="D1353" t="s">
        <v>281</v>
      </c>
      <c r="E1353">
        <v>328777</v>
      </c>
      <c r="F1353" s="1">
        <v>42861</v>
      </c>
      <c r="G1353" s="2">
        <v>108.7</v>
      </c>
      <c r="H1353" s="2">
        <v>0</v>
      </c>
      <c r="I1353" s="2">
        <f t="array" ref="I1353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3" s="2">
        <v>22</v>
      </c>
      <c r="K1353" s="2">
        <v>14</v>
      </c>
      <c r="L1353" s="2">
        <v>657.1</v>
      </c>
      <c r="M1353" s="2">
        <f t="array" ref="M1353">_xlfn.IFNA(IF(vp.data[[#This Row],[Dens Input]]="",INDEX([1]DATA!$O$3:$O$9826,MATCH(1,(vp.data[[#This Row],[Battery]]=[1]DATA!$L$3:$L$9826)*(EOMONTH(vp.data[[#This Row],[SDate]],-1)+1=[1]DATA!$G$3:$G$9826),0)),vp.data[[#This Row],[Dens Input]]),"")</f>
        <v>657.1</v>
      </c>
      <c r="N1353" s="2">
        <f ca="1">INDEX(INDIRECT(_xlfn.CONCAT("weather.tbl[",N$1,"]")),MATCH(vp.data[[#This Row],[SDate]],weather.tbl[Date],0))</f>
        <v>18.116666666666667</v>
      </c>
      <c r="O1353" s="2">
        <f ca="1">INDEX(INDIRECT(_xlfn.CONCAT("weather.tbl[",O$1,"]")),MATCH(vp.data[[#This Row],[SDate]],weather.tbl[Date],0))</f>
        <v>12.52857142857143</v>
      </c>
      <c r="P1353" s="2">
        <f ca="1">INDEX(INDIRECT(_xlfn.CONCAT("weather.tbl[",P$1,"]")),MATCH(vp.data[[#This Row],[SDate]],weather.tbl[Date],0))</f>
        <v>18.8</v>
      </c>
      <c r="Q1353" s="2">
        <f ca="1">INDEX(INDIRECT(_xlfn.CONCAT("weather.tbl[",Q$1,"]")),MATCH(vp.data[[#This Row],[SDate]],weather.tbl[Date],0))</f>
        <v>19.8</v>
      </c>
      <c r="R1353" s="2">
        <f ca="1">INDEX(INDIRECT(_xlfn.CONCAT("weather.tbl[",R$1,"]")),MATCH(vp.data[[#This Row],[SDate]],weather.tbl[Date],0))</f>
        <v>16.8</v>
      </c>
      <c r="S1353" s="2">
        <f ca="1">INDEX(INDIRECT(_xlfn.CONCAT("weather.tbl[",S$1,"]")),MATCH(vp.data[[#This Row],[SDate]],weather.tbl[Date],0))</f>
        <v>20.7</v>
      </c>
      <c r="T1353" s="2">
        <f ca="1">INDEX(INDIRECT(_xlfn.CONCAT("weather.tbl[",T$1,"]")),MATCH(vp.data[[#This Row],[SDate]],weather.tbl[Date],0))</f>
        <v>15.8</v>
      </c>
      <c r="U1353" s="2">
        <f ca="1">INDEX(INDIRECT(_xlfn.CONCAT("weather.tbl[",U$1,"]")),MATCH(vp.data[[#This Row],[SDate]],weather.tbl[Date],0))</f>
        <v>16.8</v>
      </c>
      <c r="V1353" s="2">
        <f t="array" ref="V13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26.96</v>
      </c>
      <c r="W1353" t="s">
        <v>268</v>
      </c>
      <c r="X1353">
        <f>IF(OR(vp.data[[#This Row],[Sulf]]="",vp.data[[#This Row],[Dens]]=""),1,0)</f>
        <v>0</v>
      </c>
      <c r="Y1353">
        <f>IF(vp.data[[#This Row],[CrudeType]]="C5+",1,0)</f>
        <v>1</v>
      </c>
      <c r="Z1353">
        <f>IF(AND(vp.data[[#This Row],[CrudeType]]="Crude",vp.data[[#This Row],[Dens]]&lt;=825,vp.data[[#This Row],[Sulf]]&gt;0.5,vp.data[[#This Row],[Unknown]]=0),1,0)</f>
        <v>0</v>
      </c>
      <c r="AA1353">
        <f>IF(AND(vp.data[[#This Row],[CrudeType]]="Crude",vp.data[[#This Row],[Dens]]&lt;=825,vp.data[[#This Row],[Sulf]]&lt;=0.5,vp.data[[#This Row],[Unknown]]=0),1,0)</f>
        <v>0</v>
      </c>
      <c r="AB13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3">
        <f>IF(AND(vp.data[[#This Row],[CrudeType]]="Crude",vp.data[[#This Row],[Dens]]&gt;825,vp.data[[#This Row],[Dens]]&lt;=900,vp.data[[#This Row],[Sulf]]&lt;=0.5,vp.data[[#This Row],[Unknown]]=0),1,0)</f>
        <v>0</v>
      </c>
      <c r="AD1353">
        <f>IF(AND(vp.data[[#This Row],[CrudeType]]="Crude",vp.data[[#This Row],[Dens]]&gt;865,vp.data[[#This Row],[Dens]]&lt;=900,vp.data[[#This Row],[Sulf]]&gt;2,vp.data[[#This Row],[Unknown]]=0),1,0)</f>
        <v>0</v>
      </c>
      <c r="AE1353">
        <f>IF(AND(vp.data[[#This Row],[CrudeType]]="Crude",vp.data[[#This Row],[Dens]]&gt;900,vp.data[[#This Row],[Sulf]]&lt;=0.5,vp.data[[#This Row],[Unknown]]=0),1,0)</f>
        <v>0</v>
      </c>
      <c r="AF1353">
        <f>IF(AND(vp.data[[#This Row],[CrudeType]]="Crude",vp.data[[#This Row],[Dens]]&gt;900,vp.data[[#This Row],[Sulf]]&lt;=0.5,vp.data[[#This Row],[Unknown]]=0),1,0)</f>
        <v>0</v>
      </c>
      <c r="AG1353" t="str">
        <f>INDEX(vp.data[[#Headers],[Unknown]:[Heavy_SW]],MATCH(1,vp.data[[#This Row],[Unknown]:[Heavy_SW]],0))</f>
        <v>C5</v>
      </c>
      <c r="AH1353">
        <f>INDEX([3]!crudeBD.lkup[Number],MATCH(vp.data[[#This Row],[Crude_Breakdown]],crudeBD.lkup[Crude Breakdown],0))</f>
        <v>0</v>
      </c>
      <c r="AI1353">
        <f>MONTH(vp.data[[#This Row],[SDate]])</f>
        <v>5</v>
      </c>
      <c r="AJ1353" s="5">
        <f>(vp.data[[#This Row],[VP]]-INDEX(crudeBD.lkup[Mean_VP],MATCH(vp.data[[#This Row],[Crude_Breakdown]],crudeBD.lkup[Crude Breakdown],0)))^2</f>
        <v>30.478764210285085</v>
      </c>
      <c r="AK1353" s="5">
        <f>(vp.data[[#This Row],[Dens]]-INDEX(crudeBD.lkup[Mean_Dens],MATCH(vp.data[[#This Row],[Crude_Breakdown]],crudeBD.lkup[Crude Breakdown],0)))^2</f>
        <v>0.95299010560151143</v>
      </c>
      <c r="AL1353" s="5">
        <f>(vp.data[[#This Row],[Sulf]]-INDEX(crudeBD.lkup[Mean_Sulf],MATCH(vp.data[[#This Row],[Crude_Breakdown]],crudeBD.lkup[Crude Breakdown],0)))^2</f>
        <v>0</v>
      </c>
      <c r="AM1353" s="4">
        <f>IF(AND(vp.data[[#This Row],[SDate]]&gt;=DATE(YEAR(vp.data[[#This Row],[SDate]]),5,1),vp.data[[#This Row],[SDate]]&lt;=DATE(YEAR(vp.data[[#This Row],[SDate]]),9,15)),1,0)</f>
        <v>1</v>
      </c>
      <c r="AN1353" s="4">
        <f>IF(vp.data[[#This Row],[SDate]]&lt;DATE(2016,12,1),0,1)</f>
        <v>1</v>
      </c>
      <c r="AO1353" s="4">
        <f>IFERROR(vp.data[[#This Row],[Sulf]]*vp.data[[#This Row],[Net Dens]],"")</f>
        <v>0</v>
      </c>
      <c r="AP1353">
        <f>IFERROR(vp.data[[#This Row],[Dens]]*vp.data[[#This Row],[VolumeM3]],"")</f>
        <v>17715.416000000001</v>
      </c>
      <c r="AQ1353" s="15">
        <f>IFERROR(vp.data[[#This Row],[VP]]*vp.data[[#This Row],[VolumeM3]],"")</f>
        <v>2930.5520000000001</v>
      </c>
    </row>
    <row r="1354" spans="1:43" x14ac:dyDescent="0.25">
      <c r="A1354">
        <v>1353</v>
      </c>
      <c r="B1354" t="s">
        <v>275</v>
      </c>
      <c r="C1354" t="s">
        <v>276</v>
      </c>
      <c r="D1354" t="s">
        <v>277</v>
      </c>
      <c r="E1354">
        <v>329767</v>
      </c>
      <c r="F1354" s="1">
        <v>42868</v>
      </c>
      <c r="G1354" s="2">
        <v>94.5</v>
      </c>
      <c r="H1354" s="2">
        <v>0</v>
      </c>
      <c r="I1354" s="2">
        <f t="array" ref="I1354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4" s="2">
        <v>13</v>
      </c>
      <c r="K1354" s="2">
        <v>17</v>
      </c>
      <c r="L1354" s="2">
        <v>663.5</v>
      </c>
      <c r="M1354" s="2">
        <f t="array" ref="M1354">_xlfn.IFNA(IF(vp.data[[#This Row],[Dens Input]]="",INDEX([1]DATA!$O$3:$O$9826,MATCH(1,(vp.data[[#This Row],[Battery]]=[1]DATA!$L$3:$L$9826)*(EOMONTH(vp.data[[#This Row],[SDate]],-1)+1=[1]DATA!$G$3:$G$9826),0)),vp.data[[#This Row],[Dens Input]]),"")</f>
        <v>663.5</v>
      </c>
      <c r="N1354" s="2">
        <f ca="1">INDEX(INDIRECT(_xlfn.CONCAT("weather.tbl[",N$1,"]")),MATCH(vp.data[[#This Row],[SDate]],weather.tbl[Date],0))</f>
        <v>14.466666666666667</v>
      </c>
      <c r="O1354" s="2">
        <f ca="1">INDEX(INDIRECT(_xlfn.CONCAT("weather.tbl[",O$1,"]")),MATCH(vp.data[[#This Row],[SDate]],weather.tbl[Date],0))</f>
        <v>12.423809523809524</v>
      </c>
      <c r="P1354" s="2">
        <f ca="1">INDEX(INDIRECT(_xlfn.CONCAT("weather.tbl[",P$1,"]")),MATCH(vp.data[[#This Row],[SDate]],weather.tbl[Date],0))</f>
        <v>14.8</v>
      </c>
      <c r="Q1354" s="2">
        <f ca="1">INDEX(INDIRECT(_xlfn.CONCAT("weather.tbl[",Q$1,"]")),MATCH(vp.data[[#This Row],[SDate]],weather.tbl[Date],0))</f>
        <v>15.5</v>
      </c>
      <c r="R1354" s="2">
        <f ca="1">INDEX(INDIRECT(_xlfn.CONCAT("weather.tbl[",R$1,"]")),MATCH(vp.data[[#This Row],[SDate]],weather.tbl[Date],0))</f>
        <v>14</v>
      </c>
      <c r="S1354" s="2">
        <f ca="1">INDEX(INDIRECT(_xlfn.CONCAT("weather.tbl[",S$1,"]")),MATCH(vp.data[[#This Row],[SDate]],weather.tbl[Date],0))</f>
        <v>16.100000000000001</v>
      </c>
      <c r="T1354" s="2">
        <f ca="1">INDEX(INDIRECT(_xlfn.CONCAT("weather.tbl[",T$1,"]")),MATCH(vp.data[[#This Row],[SDate]],weather.tbl[Date],0))</f>
        <v>14.4</v>
      </c>
      <c r="U1354" s="2">
        <f ca="1">INDEX(INDIRECT(_xlfn.CONCAT("weather.tbl[",U$1,"]")),MATCH(vp.data[[#This Row],[SDate]],weather.tbl[Date],0))</f>
        <v>12</v>
      </c>
      <c r="V1354" s="2">
        <f t="array" ref="V13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29.94</v>
      </c>
      <c r="W1354" t="s">
        <v>268</v>
      </c>
      <c r="X1354">
        <f>IF(OR(vp.data[[#This Row],[Sulf]]="",vp.data[[#This Row],[Dens]]=""),1,0)</f>
        <v>0</v>
      </c>
      <c r="Y1354">
        <f>IF(vp.data[[#This Row],[CrudeType]]="C5+",1,0)</f>
        <v>1</v>
      </c>
      <c r="Z1354">
        <f>IF(AND(vp.data[[#This Row],[CrudeType]]="Crude",vp.data[[#This Row],[Dens]]&lt;=825,vp.data[[#This Row],[Sulf]]&gt;0.5,vp.data[[#This Row],[Unknown]]=0),1,0)</f>
        <v>0</v>
      </c>
      <c r="AA1354">
        <f>IF(AND(vp.data[[#This Row],[CrudeType]]="Crude",vp.data[[#This Row],[Dens]]&lt;=825,vp.data[[#This Row],[Sulf]]&lt;=0.5,vp.data[[#This Row],[Unknown]]=0),1,0)</f>
        <v>0</v>
      </c>
      <c r="AB13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4">
        <f>IF(AND(vp.data[[#This Row],[CrudeType]]="Crude",vp.data[[#This Row],[Dens]]&gt;825,vp.data[[#This Row],[Dens]]&lt;=900,vp.data[[#This Row],[Sulf]]&lt;=0.5,vp.data[[#This Row],[Unknown]]=0),1,0)</f>
        <v>0</v>
      </c>
      <c r="AD1354">
        <f>IF(AND(vp.data[[#This Row],[CrudeType]]="Crude",vp.data[[#This Row],[Dens]]&gt;865,vp.data[[#This Row],[Dens]]&lt;=900,vp.data[[#This Row],[Sulf]]&gt;2,vp.data[[#This Row],[Unknown]]=0),1,0)</f>
        <v>0</v>
      </c>
      <c r="AE1354">
        <f>IF(AND(vp.data[[#This Row],[CrudeType]]="Crude",vp.data[[#This Row],[Dens]]&gt;900,vp.data[[#This Row],[Sulf]]&lt;=0.5,vp.data[[#This Row],[Unknown]]=0),1,0)</f>
        <v>0</v>
      </c>
      <c r="AF1354">
        <f>IF(AND(vp.data[[#This Row],[CrudeType]]="Crude",vp.data[[#This Row],[Dens]]&gt;900,vp.data[[#This Row],[Sulf]]&lt;=0.5,vp.data[[#This Row],[Unknown]]=0),1,0)</f>
        <v>0</v>
      </c>
      <c r="AG1354" t="str">
        <f>INDEX(vp.data[[#Headers],[Unknown]:[Heavy_SW]],MATCH(1,vp.data[[#This Row],[Unknown]:[Heavy_SW]],0))</f>
        <v>C5</v>
      </c>
      <c r="AH1354">
        <f>INDEX([3]!crudeBD.lkup[Number],MATCH(vp.data[[#This Row],[Crude_Breakdown]],crudeBD.lkup[Crude Breakdown],0))</f>
        <v>0</v>
      </c>
      <c r="AI1354">
        <f>MONTH(vp.data[[#This Row],[SDate]])</f>
        <v>5</v>
      </c>
      <c r="AJ1354" s="5">
        <f>(vp.data[[#This Row],[VP]]-INDEX(crudeBD.lkup[Mean_VP],MATCH(vp.data[[#This Row],[Crude_Breakdown]],crudeBD.lkup[Crude Breakdown],0)))^2</f>
        <v>75.329249058768909</v>
      </c>
      <c r="AK1354" s="5">
        <f>(vp.data[[#This Row],[Dens]]-INDEX(crudeBD.lkup[Mean_Dens],MATCH(vp.data[[#This Row],[Crude_Breakdown]],crudeBD.lkup[Crude Breakdown],0)))^2</f>
        <v>29.417474954085836</v>
      </c>
      <c r="AL1354" s="5">
        <f>(vp.data[[#This Row],[Sulf]]-INDEX(crudeBD.lkup[Mean_Sulf],MATCH(vp.data[[#This Row],[Crude_Breakdown]],crudeBD.lkup[Crude Breakdown],0)))^2</f>
        <v>0</v>
      </c>
      <c r="AM1354" s="4">
        <f>IF(AND(vp.data[[#This Row],[SDate]]&gt;=DATE(YEAR(vp.data[[#This Row],[SDate]]),5,1),vp.data[[#This Row],[SDate]]&lt;=DATE(YEAR(vp.data[[#This Row],[SDate]]),9,15)),1,0)</f>
        <v>1</v>
      </c>
      <c r="AN1354" s="4">
        <f>IF(vp.data[[#This Row],[SDate]]&lt;DATE(2016,12,1),0,1)</f>
        <v>1</v>
      </c>
      <c r="AO1354" s="4">
        <f>IFERROR(vp.data[[#This Row],[Sulf]]*vp.data[[#This Row],[Net Dens]],"")</f>
        <v>0</v>
      </c>
      <c r="AP1354">
        <f>IFERROR(vp.data[[#This Row],[Dens]]*vp.data[[#This Row],[VolumeM3]],"")</f>
        <v>19865.190000000002</v>
      </c>
      <c r="AQ1354" s="15">
        <f>IFERROR(vp.data[[#This Row],[VP]]*vp.data[[#This Row],[VolumeM3]],"")</f>
        <v>2829.33</v>
      </c>
    </row>
    <row r="1355" spans="1:43" x14ac:dyDescent="0.25">
      <c r="A1355">
        <v>1354</v>
      </c>
      <c r="B1355" t="s">
        <v>269</v>
      </c>
      <c r="C1355" t="s">
        <v>270</v>
      </c>
      <c r="D1355" t="s">
        <v>271</v>
      </c>
      <c r="E1355">
        <v>329810</v>
      </c>
      <c r="F1355" s="1">
        <v>42868</v>
      </c>
      <c r="G1355" s="2">
        <v>106.4</v>
      </c>
      <c r="H1355" s="2">
        <v>0</v>
      </c>
      <c r="I1355" s="2">
        <f t="array" ref="I1355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5" s="2">
        <v>13</v>
      </c>
      <c r="K1355" s="2">
        <v>17</v>
      </c>
      <c r="L1355" s="2">
        <v>661.3</v>
      </c>
      <c r="M1355" s="2">
        <f t="array" ref="M1355">_xlfn.IFNA(IF(vp.data[[#This Row],[Dens Input]]="",INDEX([1]DATA!$O$3:$O$9826,MATCH(1,(vp.data[[#This Row],[Battery]]=[1]DATA!$L$3:$L$9826)*(EOMONTH(vp.data[[#This Row],[SDate]],-1)+1=[1]DATA!$G$3:$G$9826),0)),vp.data[[#This Row],[Dens Input]]),"")</f>
        <v>661.3</v>
      </c>
      <c r="N1355" s="2">
        <f ca="1">INDEX(INDIRECT(_xlfn.CONCAT("weather.tbl[",N$1,"]")),MATCH(vp.data[[#This Row],[SDate]],weather.tbl[Date],0))</f>
        <v>14.466666666666667</v>
      </c>
      <c r="O1355" s="2">
        <f ca="1">INDEX(INDIRECT(_xlfn.CONCAT("weather.tbl[",O$1,"]")),MATCH(vp.data[[#This Row],[SDate]],weather.tbl[Date],0))</f>
        <v>12.423809523809524</v>
      </c>
      <c r="P1355" s="2">
        <f ca="1">INDEX(INDIRECT(_xlfn.CONCAT("weather.tbl[",P$1,"]")),MATCH(vp.data[[#This Row],[SDate]],weather.tbl[Date],0))</f>
        <v>14.8</v>
      </c>
      <c r="Q1355" s="2">
        <f ca="1">INDEX(INDIRECT(_xlfn.CONCAT("weather.tbl[",Q$1,"]")),MATCH(vp.data[[#This Row],[SDate]],weather.tbl[Date],0))</f>
        <v>15.5</v>
      </c>
      <c r="R1355" s="2">
        <f ca="1">INDEX(INDIRECT(_xlfn.CONCAT("weather.tbl[",R$1,"]")),MATCH(vp.data[[#This Row],[SDate]],weather.tbl[Date],0))</f>
        <v>14</v>
      </c>
      <c r="S1355" s="2">
        <f ca="1">INDEX(INDIRECT(_xlfn.CONCAT("weather.tbl[",S$1,"]")),MATCH(vp.data[[#This Row],[SDate]],weather.tbl[Date],0))</f>
        <v>16.100000000000001</v>
      </c>
      <c r="T1355" s="2">
        <f ca="1">INDEX(INDIRECT(_xlfn.CONCAT("weather.tbl[",T$1,"]")),MATCH(vp.data[[#This Row],[SDate]],weather.tbl[Date],0))</f>
        <v>14.4</v>
      </c>
      <c r="U1355" s="2">
        <f ca="1">INDEX(INDIRECT(_xlfn.CONCAT("weather.tbl[",U$1,"]")),MATCH(vp.data[[#This Row],[SDate]],weather.tbl[Date],0))</f>
        <v>12</v>
      </c>
      <c r="V1355" s="2">
        <f t="array" ref="V13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29.92</v>
      </c>
      <c r="W1355" t="s">
        <v>268</v>
      </c>
      <c r="X1355">
        <f>IF(OR(vp.data[[#This Row],[Sulf]]="",vp.data[[#This Row],[Dens]]=""),1,0)</f>
        <v>0</v>
      </c>
      <c r="Y1355">
        <f>IF(vp.data[[#This Row],[CrudeType]]="C5+",1,0)</f>
        <v>1</v>
      </c>
      <c r="Z1355">
        <f>IF(AND(vp.data[[#This Row],[CrudeType]]="Crude",vp.data[[#This Row],[Dens]]&lt;=825,vp.data[[#This Row],[Sulf]]&gt;0.5,vp.data[[#This Row],[Unknown]]=0),1,0)</f>
        <v>0</v>
      </c>
      <c r="AA1355">
        <f>IF(AND(vp.data[[#This Row],[CrudeType]]="Crude",vp.data[[#This Row],[Dens]]&lt;=825,vp.data[[#This Row],[Sulf]]&lt;=0.5,vp.data[[#This Row],[Unknown]]=0),1,0)</f>
        <v>0</v>
      </c>
      <c r="AB13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5">
        <f>IF(AND(vp.data[[#This Row],[CrudeType]]="Crude",vp.data[[#This Row],[Dens]]&gt;825,vp.data[[#This Row],[Dens]]&lt;=900,vp.data[[#This Row],[Sulf]]&lt;=0.5,vp.data[[#This Row],[Unknown]]=0),1,0)</f>
        <v>0</v>
      </c>
      <c r="AD1355">
        <f>IF(AND(vp.data[[#This Row],[CrudeType]]="Crude",vp.data[[#This Row],[Dens]]&gt;865,vp.data[[#This Row],[Dens]]&lt;=900,vp.data[[#This Row],[Sulf]]&gt;2,vp.data[[#This Row],[Unknown]]=0),1,0)</f>
        <v>0</v>
      </c>
      <c r="AE1355">
        <f>IF(AND(vp.data[[#This Row],[CrudeType]]="Crude",vp.data[[#This Row],[Dens]]&gt;900,vp.data[[#This Row],[Sulf]]&lt;=0.5,vp.data[[#This Row],[Unknown]]=0),1,0)</f>
        <v>0</v>
      </c>
      <c r="AF1355">
        <f>IF(AND(vp.data[[#This Row],[CrudeType]]="Crude",vp.data[[#This Row],[Dens]]&gt;900,vp.data[[#This Row],[Sulf]]&lt;=0.5,vp.data[[#This Row],[Unknown]]=0),1,0)</f>
        <v>0</v>
      </c>
      <c r="AG1355" t="str">
        <f>INDEX(vp.data[[#Headers],[Unknown]:[Heavy_SW]],MATCH(1,vp.data[[#This Row],[Unknown]:[Heavy_SW]],0))</f>
        <v>C5</v>
      </c>
      <c r="AH1355">
        <f>INDEX([3]!crudeBD.lkup[Number],MATCH(vp.data[[#This Row],[Crude_Breakdown]],crudeBD.lkup[Crude Breakdown],0))</f>
        <v>0</v>
      </c>
      <c r="AI1355">
        <f>MONTH(vp.data[[#This Row],[SDate]])</f>
        <v>5</v>
      </c>
      <c r="AJ1355" s="5">
        <f>(vp.data[[#This Row],[VP]]-INDEX(crudeBD.lkup[Mean_VP],MATCH(vp.data[[#This Row],[Crude_Breakdown]],crudeBD.lkup[Crude Breakdown],0)))^2</f>
        <v>10.37327936180008</v>
      </c>
      <c r="AK1355" s="5">
        <f>(vp.data[[#This Row],[Dens]]-INDEX(crudeBD.lkup[Mean_Dens],MATCH(vp.data[[#This Row],[Crude_Breakdown]],crudeBD.lkup[Crude Breakdown],0)))^2</f>
        <v>10.392808287419072</v>
      </c>
      <c r="AL1355" s="5">
        <f>(vp.data[[#This Row],[Sulf]]-INDEX(crudeBD.lkup[Mean_Sulf],MATCH(vp.data[[#This Row],[Crude_Breakdown]],crudeBD.lkup[Crude Breakdown],0)))^2</f>
        <v>0</v>
      </c>
      <c r="AM1355" s="4">
        <f>IF(AND(vp.data[[#This Row],[SDate]]&gt;=DATE(YEAR(vp.data[[#This Row],[SDate]]),5,1),vp.data[[#This Row],[SDate]]&lt;=DATE(YEAR(vp.data[[#This Row],[SDate]]),9,15)),1,0)</f>
        <v>1</v>
      </c>
      <c r="AN1355" s="4">
        <f>IF(vp.data[[#This Row],[SDate]]&lt;DATE(2016,12,1),0,1)</f>
        <v>1</v>
      </c>
      <c r="AO1355" s="4">
        <f>IFERROR(vp.data[[#This Row],[Sulf]]*vp.data[[#This Row],[Net Dens]],"")</f>
        <v>0</v>
      </c>
      <c r="AP1355">
        <f>IFERROR(vp.data[[#This Row],[Dens]]*vp.data[[#This Row],[VolumeM3]],"")</f>
        <v>19786.096000000001</v>
      </c>
      <c r="AQ1355" s="15">
        <f>IFERROR(vp.data[[#This Row],[VP]]*vp.data[[#This Row],[VolumeM3]],"")</f>
        <v>3183.4880000000003</v>
      </c>
    </row>
    <row r="1356" spans="1:43" x14ac:dyDescent="0.25">
      <c r="A1356">
        <v>1355</v>
      </c>
      <c r="B1356" t="s">
        <v>272</v>
      </c>
      <c r="C1356" t="s">
        <v>282</v>
      </c>
      <c r="D1356" t="s">
        <v>283</v>
      </c>
      <c r="E1356">
        <v>329821</v>
      </c>
      <c r="F1356" s="1">
        <v>42868</v>
      </c>
      <c r="G1356" s="2">
        <v>107.1</v>
      </c>
      <c r="H1356" s="2">
        <v>0</v>
      </c>
      <c r="I1356" s="2">
        <f t="array" ref="I1356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6" s="2">
        <v>18</v>
      </c>
      <c r="K1356" s="2">
        <v>17</v>
      </c>
      <c r="L1356" s="2">
        <v>632.79999999999995</v>
      </c>
      <c r="M1356" s="2">
        <f t="array" ref="M1356">_xlfn.IFNA(IF(vp.data[[#This Row],[Dens Input]]="",INDEX([1]DATA!$O$3:$O$9826,MATCH(1,(vp.data[[#This Row],[Battery]]=[1]DATA!$L$3:$L$9826)*(EOMONTH(vp.data[[#This Row],[SDate]],-1)+1=[1]DATA!$G$3:$G$9826),0)),vp.data[[#This Row],[Dens Input]]),"")</f>
        <v>632.79999999999995</v>
      </c>
      <c r="N1356" s="2">
        <f ca="1">INDEX(INDIRECT(_xlfn.CONCAT("weather.tbl[",N$1,"]")),MATCH(vp.data[[#This Row],[SDate]],weather.tbl[Date],0))</f>
        <v>14.466666666666667</v>
      </c>
      <c r="O1356" s="2">
        <f ca="1">INDEX(INDIRECT(_xlfn.CONCAT("weather.tbl[",O$1,"]")),MATCH(vp.data[[#This Row],[SDate]],weather.tbl[Date],0))</f>
        <v>12.423809523809524</v>
      </c>
      <c r="P1356" s="2">
        <f ca="1">INDEX(INDIRECT(_xlfn.CONCAT("weather.tbl[",P$1,"]")),MATCH(vp.data[[#This Row],[SDate]],weather.tbl[Date],0))</f>
        <v>14.8</v>
      </c>
      <c r="Q1356" s="2">
        <f ca="1">INDEX(INDIRECT(_xlfn.CONCAT("weather.tbl[",Q$1,"]")),MATCH(vp.data[[#This Row],[SDate]],weather.tbl[Date],0))</f>
        <v>15.5</v>
      </c>
      <c r="R1356" s="2">
        <f ca="1">INDEX(INDIRECT(_xlfn.CONCAT("weather.tbl[",R$1,"]")),MATCH(vp.data[[#This Row],[SDate]],weather.tbl[Date],0))</f>
        <v>14</v>
      </c>
      <c r="S1356" s="2">
        <f ca="1">INDEX(INDIRECT(_xlfn.CONCAT("weather.tbl[",S$1,"]")),MATCH(vp.data[[#This Row],[SDate]],weather.tbl[Date],0))</f>
        <v>16.100000000000001</v>
      </c>
      <c r="T1356" s="2">
        <f ca="1">INDEX(INDIRECT(_xlfn.CONCAT("weather.tbl[",T$1,"]")),MATCH(vp.data[[#This Row],[SDate]],weather.tbl[Date],0))</f>
        <v>14.4</v>
      </c>
      <c r="U1356" s="2">
        <f ca="1">INDEX(INDIRECT(_xlfn.CONCAT("weather.tbl[",U$1,"]")),MATCH(vp.data[[#This Row],[SDate]],weather.tbl[Date],0))</f>
        <v>12</v>
      </c>
      <c r="V1356" s="2">
        <f t="array" ref="V13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34.03</v>
      </c>
      <c r="W1356" t="s">
        <v>268</v>
      </c>
      <c r="X1356">
        <f>IF(OR(vp.data[[#This Row],[Sulf]]="",vp.data[[#This Row],[Dens]]=""),1,0)</f>
        <v>0</v>
      </c>
      <c r="Y1356">
        <f>IF(vp.data[[#This Row],[CrudeType]]="C5+",1,0)</f>
        <v>1</v>
      </c>
      <c r="Z1356">
        <f>IF(AND(vp.data[[#This Row],[CrudeType]]="Crude",vp.data[[#This Row],[Dens]]&lt;=825,vp.data[[#This Row],[Sulf]]&gt;0.5,vp.data[[#This Row],[Unknown]]=0),1,0)</f>
        <v>0</v>
      </c>
      <c r="AA1356">
        <f>IF(AND(vp.data[[#This Row],[CrudeType]]="Crude",vp.data[[#This Row],[Dens]]&lt;=825,vp.data[[#This Row],[Sulf]]&lt;=0.5,vp.data[[#This Row],[Unknown]]=0),1,0)</f>
        <v>0</v>
      </c>
      <c r="AB13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6">
        <f>IF(AND(vp.data[[#This Row],[CrudeType]]="Crude",vp.data[[#This Row],[Dens]]&gt;825,vp.data[[#This Row],[Dens]]&lt;=900,vp.data[[#This Row],[Sulf]]&lt;=0.5,vp.data[[#This Row],[Unknown]]=0),1,0)</f>
        <v>0</v>
      </c>
      <c r="AD1356">
        <f>IF(AND(vp.data[[#This Row],[CrudeType]]="Crude",vp.data[[#This Row],[Dens]]&gt;865,vp.data[[#This Row],[Dens]]&lt;=900,vp.data[[#This Row],[Sulf]]&gt;2,vp.data[[#This Row],[Unknown]]=0),1,0)</f>
        <v>0</v>
      </c>
      <c r="AE1356">
        <f>IF(AND(vp.data[[#This Row],[CrudeType]]="Crude",vp.data[[#This Row],[Dens]]&gt;900,vp.data[[#This Row],[Sulf]]&lt;=0.5,vp.data[[#This Row],[Unknown]]=0),1,0)</f>
        <v>0</v>
      </c>
      <c r="AF1356">
        <f>IF(AND(vp.data[[#This Row],[CrudeType]]="Crude",vp.data[[#This Row],[Dens]]&gt;900,vp.data[[#This Row],[Sulf]]&lt;=0.5,vp.data[[#This Row],[Unknown]]=0),1,0)</f>
        <v>0</v>
      </c>
      <c r="AG1356" t="str">
        <f>INDEX(vp.data[[#Headers],[Unknown]:[Heavy_SW]],MATCH(1,vp.data[[#This Row],[Unknown]:[Heavy_SW]],0))</f>
        <v>C5</v>
      </c>
      <c r="AH1356">
        <f>INDEX([3]!crudeBD.lkup[Number],MATCH(vp.data[[#This Row],[Crude_Breakdown]],crudeBD.lkup[Crude Breakdown],0))</f>
        <v>0</v>
      </c>
      <c r="AI1356">
        <f>MONTH(vp.data[[#This Row],[SDate]])</f>
        <v>5</v>
      </c>
      <c r="AJ1356" s="5">
        <f>(vp.data[[#This Row],[VP]]-INDEX(crudeBD.lkup[Mean_VP],MATCH(vp.data[[#This Row],[Crude_Breakdown]],crudeBD.lkup[Crude Breakdown],0)))^2</f>
        <v>15.372339967860654</v>
      </c>
      <c r="AK1356" s="5">
        <f>(vp.data[[#This Row],[Dens]]-INDEX(crudeBD.lkup[Mean_Dens],MATCH(vp.data[[#This Row],[Crude_Breakdown]],crudeBD.lkup[Crude Breakdown],0)))^2</f>
        <v>638.88689919651506</v>
      </c>
      <c r="AL1356" s="5">
        <f>(vp.data[[#This Row],[Sulf]]-INDEX(crudeBD.lkup[Mean_Sulf],MATCH(vp.data[[#This Row],[Crude_Breakdown]],crudeBD.lkup[Crude Breakdown],0)))^2</f>
        <v>0</v>
      </c>
      <c r="AM1356" s="4">
        <f>IF(AND(vp.data[[#This Row],[SDate]]&gt;=DATE(YEAR(vp.data[[#This Row],[SDate]]),5,1),vp.data[[#This Row],[SDate]]&lt;=DATE(YEAR(vp.data[[#This Row],[SDate]]),9,15)),1,0)</f>
        <v>1</v>
      </c>
      <c r="AN1356" s="4">
        <f>IF(vp.data[[#This Row],[SDate]]&lt;DATE(2016,12,1),0,1)</f>
        <v>1</v>
      </c>
      <c r="AO1356" s="4">
        <f>IFERROR(vp.data[[#This Row],[Sulf]]*vp.data[[#This Row],[Net Dens]],"")</f>
        <v>0</v>
      </c>
      <c r="AP1356">
        <f>IFERROR(vp.data[[#This Row],[Dens]]*vp.data[[#This Row],[VolumeM3]],"")</f>
        <v>21534.183999999997</v>
      </c>
      <c r="AQ1356" s="15">
        <f>IFERROR(vp.data[[#This Row],[VP]]*vp.data[[#This Row],[VolumeM3]],"")</f>
        <v>3644.6129999999998</v>
      </c>
    </row>
    <row r="1357" spans="1:43" x14ac:dyDescent="0.25">
      <c r="A1357">
        <v>1356</v>
      </c>
      <c r="B1357" t="s">
        <v>284</v>
      </c>
      <c r="C1357" t="s">
        <v>266</v>
      </c>
      <c r="D1357" t="s">
        <v>267</v>
      </c>
      <c r="E1357">
        <v>329844</v>
      </c>
      <c r="F1357" s="1">
        <v>42868</v>
      </c>
      <c r="G1357" s="2">
        <v>101.7</v>
      </c>
      <c r="H1357" s="2">
        <v>0</v>
      </c>
      <c r="I1357" s="2">
        <f t="array" ref="I1357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7" s="2">
        <v>22</v>
      </c>
      <c r="K1357" s="2">
        <v>17</v>
      </c>
      <c r="L1357" s="2">
        <v>652.9</v>
      </c>
      <c r="M1357" s="2">
        <f t="array" ref="M1357">_xlfn.IFNA(IF(vp.data[[#This Row],[Dens Input]]="",INDEX([1]DATA!$O$3:$O$9826,MATCH(1,(vp.data[[#This Row],[Battery]]=[1]DATA!$L$3:$L$9826)*(EOMONTH(vp.data[[#This Row],[SDate]],-1)+1=[1]DATA!$G$3:$G$9826),0)),vp.data[[#This Row],[Dens Input]]),"")</f>
        <v>652.9</v>
      </c>
      <c r="N1357" s="2">
        <f ca="1">INDEX(INDIRECT(_xlfn.CONCAT("weather.tbl[",N$1,"]")),MATCH(vp.data[[#This Row],[SDate]],weather.tbl[Date],0))</f>
        <v>14.466666666666667</v>
      </c>
      <c r="O1357" s="2">
        <f ca="1">INDEX(INDIRECT(_xlfn.CONCAT("weather.tbl[",O$1,"]")),MATCH(vp.data[[#This Row],[SDate]],weather.tbl[Date],0))</f>
        <v>12.423809523809524</v>
      </c>
      <c r="P1357" s="2">
        <f ca="1">INDEX(INDIRECT(_xlfn.CONCAT("weather.tbl[",P$1,"]")),MATCH(vp.data[[#This Row],[SDate]],weather.tbl[Date],0))</f>
        <v>14.8</v>
      </c>
      <c r="Q1357" s="2">
        <f ca="1">INDEX(INDIRECT(_xlfn.CONCAT("weather.tbl[",Q$1,"]")),MATCH(vp.data[[#This Row],[SDate]],weather.tbl[Date],0))</f>
        <v>15.5</v>
      </c>
      <c r="R1357" s="2">
        <f ca="1">INDEX(INDIRECT(_xlfn.CONCAT("weather.tbl[",R$1,"]")),MATCH(vp.data[[#This Row],[SDate]],weather.tbl[Date],0))</f>
        <v>14</v>
      </c>
      <c r="S1357" s="2">
        <f ca="1">INDEX(INDIRECT(_xlfn.CONCAT("weather.tbl[",S$1,"]")),MATCH(vp.data[[#This Row],[SDate]],weather.tbl[Date],0))</f>
        <v>16.100000000000001</v>
      </c>
      <c r="T1357" s="2">
        <f ca="1">INDEX(INDIRECT(_xlfn.CONCAT("weather.tbl[",T$1,"]")),MATCH(vp.data[[#This Row],[SDate]],weather.tbl[Date],0))</f>
        <v>14.4</v>
      </c>
      <c r="U1357" s="2">
        <f ca="1">INDEX(INDIRECT(_xlfn.CONCAT("weather.tbl[",U$1,"]")),MATCH(vp.data[[#This Row],[SDate]],weather.tbl[Date],0))</f>
        <v>12</v>
      </c>
      <c r="V1357" s="2">
        <f t="array" ref="V13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38.200000000000003</v>
      </c>
      <c r="W1357" t="s">
        <v>268</v>
      </c>
      <c r="X1357">
        <f>IF(OR(vp.data[[#This Row],[Sulf]]="",vp.data[[#This Row],[Dens]]=""),1,0)</f>
        <v>0</v>
      </c>
      <c r="Y1357">
        <f>IF(vp.data[[#This Row],[CrudeType]]="C5+",1,0)</f>
        <v>1</v>
      </c>
      <c r="Z1357">
        <f>IF(AND(vp.data[[#This Row],[CrudeType]]="Crude",vp.data[[#This Row],[Dens]]&lt;=825,vp.data[[#This Row],[Sulf]]&gt;0.5,vp.data[[#This Row],[Unknown]]=0),1,0)</f>
        <v>0</v>
      </c>
      <c r="AA1357">
        <f>IF(AND(vp.data[[#This Row],[CrudeType]]="Crude",vp.data[[#This Row],[Dens]]&lt;=825,vp.data[[#This Row],[Sulf]]&lt;=0.5,vp.data[[#This Row],[Unknown]]=0),1,0)</f>
        <v>0</v>
      </c>
      <c r="AB13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7">
        <f>IF(AND(vp.data[[#This Row],[CrudeType]]="Crude",vp.data[[#This Row],[Dens]]&gt;825,vp.data[[#This Row],[Dens]]&lt;=900,vp.data[[#This Row],[Sulf]]&lt;=0.5,vp.data[[#This Row],[Unknown]]=0),1,0)</f>
        <v>0</v>
      </c>
      <c r="AD1357">
        <f>IF(AND(vp.data[[#This Row],[CrudeType]]="Crude",vp.data[[#This Row],[Dens]]&gt;865,vp.data[[#This Row],[Dens]]&lt;=900,vp.data[[#This Row],[Sulf]]&gt;2,vp.data[[#This Row],[Unknown]]=0),1,0)</f>
        <v>0</v>
      </c>
      <c r="AE1357">
        <f>IF(AND(vp.data[[#This Row],[CrudeType]]="Crude",vp.data[[#This Row],[Dens]]&gt;900,vp.data[[#This Row],[Sulf]]&lt;=0.5,vp.data[[#This Row],[Unknown]]=0),1,0)</f>
        <v>0</v>
      </c>
      <c r="AF1357">
        <f>IF(AND(vp.data[[#This Row],[CrudeType]]="Crude",vp.data[[#This Row],[Dens]]&gt;900,vp.data[[#This Row],[Sulf]]&lt;=0.5,vp.data[[#This Row],[Unknown]]=0),1,0)</f>
        <v>0</v>
      </c>
      <c r="AG1357" t="str">
        <f>INDEX(vp.data[[#Headers],[Unknown]:[Heavy_SW]],MATCH(1,vp.data[[#This Row],[Unknown]:[Heavy_SW]],0))</f>
        <v>C5</v>
      </c>
      <c r="AH1357">
        <f>INDEX([3]!crudeBD.lkup[Number],MATCH(vp.data[[#This Row],[Crude_Breakdown]],crudeBD.lkup[Crude Breakdown],0))</f>
        <v>0</v>
      </c>
      <c r="AI1357">
        <f>MONTH(vp.data[[#This Row],[SDate]])</f>
        <v>5</v>
      </c>
      <c r="AJ1357" s="5">
        <f>(vp.data[[#This Row],[VP]]-INDEX(crudeBD.lkup[Mean_VP],MATCH(vp.data[[#This Row],[Crude_Breakdown]],crudeBD.lkup[Crude Breakdown],0)))^2</f>
        <v>2.1881581496784919</v>
      </c>
      <c r="AK1357" s="5">
        <f>(vp.data[[#This Row],[Dens]]-INDEX(crudeBD.lkup[Mean_Dens],MATCH(vp.data[[#This Row],[Crude_Breakdown]],crudeBD.lkup[Crude Breakdown],0)))^2</f>
        <v>26.793171923783984</v>
      </c>
      <c r="AL1357" s="5">
        <f>(vp.data[[#This Row],[Sulf]]-INDEX(crudeBD.lkup[Mean_Sulf],MATCH(vp.data[[#This Row],[Crude_Breakdown]],crudeBD.lkup[Crude Breakdown],0)))^2</f>
        <v>0</v>
      </c>
      <c r="AM1357" s="4">
        <f>IF(AND(vp.data[[#This Row],[SDate]]&gt;=DATE(YEAR(vp.data[[#This Row],[SDate]]),5,1),vp.data[[#This Row],[SDate]]&lt;=DATE(YEAR(vp.data[[#This Row],[SDate]]),9,15)),1,0)</f>
        <v>1</v>
      </c>
      <c r="AN1357" s="4">
        <f>IF(vp.data[[#This Row],[SDate]]&lt;DATE(2016,12,1),0,1)</f>
        <v>1</v>
      </c>
      <c r="AO1357" s="4">
        <f>IFERROR(vp.data[[#This Row],[Sulf]]*vp.data[[#This Row],[Net Dens]],"")</f>
        <v>0</v>
      </c>
      <c r="AP1357">
        <f>IFERROR(vp.data[[#This Row],[Dens]]*vp.data[[#This Row],[VolumeM3]],"")</f>
        <v>24940.780000000002</v>
      </c>
      <c r="AQ1357" s="15">
        <f>IFERROR(vp.data[[#This Row],[VP]]*vp.data[[#This Row],[VolumeM3]],"")</f>
        <v>3884.9400000000005</v>
      </c>
    </row>
    <row r="1358" spans="1:43" x14ac:dyDescent="0.25">
      <c r="A1358">
        <v>1357</v>
      </c>
      <c r="B1358" t="s">
        <v>272</v>
      </c>
      <c r="C1358" t="s">
        <v>280</v>
      </c>
      <c r="D1358" t="s">
        <v>281</v>
      </c>
      <c r="E1358">
        <v>330388</v>
      </c>
      <c r="F1358" s="1">
        <v>42872</v>
      </c>
      <c r="G1358" s="2">
        <v>120.6</v>
      </c>
      <c r="H1358" s="2">
        <v>0</v>
      </c>
      <c r="I1358" s="2">
        <f t="array" ref="I1358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8" s="2">
        <v>16</v>
      </c>
      <c r="K1358" s="2">
        <v>12</v>
      </c>
      <c r="L1358" s="2">
        <v>655.7</v>
      </c>
      <c r="M1358" s="2">
        <f t="array" ref="M1358">_xlfn.IFNA(IF(vp.data[[#This Row],[Dens Input]]="",INDEX([1]DATA!$O$3:$O$9826,MATCH(1,(vp.data[[#This Row],[Battery]]=[1]DATA!$L$3:$L$9826)*(EOMONTH(vp.data[[#This Row],[SDate]],-1)+1=[1]DATA!$G$3:$G$9826),0)),vp.data[[#This Row],[Dens Input]]),"")</f>
        <v>655.7</v>
      </c>
      <c r="N1358" s="2">
        <f ca="1">INDEX(INDIRECT(_xlfn.CONCAT("weather.tbl[",N$1,"]")),MATCH(vp.data[[#This Row],[SDate]],weather.tbl[Date],0))</f>
        <v>7.0666666666666655</v>
      </c>
      <c r="O1358" s="2">
        <f ca="1">INDEX(INDIRECT(_xlfn.CONCAT("weather.tbl[",O$1,"]")),MATCH(vp.data[[#This Row],[SDate]],weather.tbl[Date],0))</f>
        <v>11.778571428571427</v>
      </c>
      <c r="P1358" s="2">
        <f ca="1">INDEX(INDIRECT(_xlfn.CONCAT("weather.tbl[",P$1,"]")),MATCH(vp.data[[#This Row],[SDate]],weather.tbl[Date],0))</f>
        <v>7</v>
      </c>
      <c r="Q1358" s="2">
        <f ca="1">INDEX(INDIRECT(_xlfn.CONCAT("weather.tbl[",Q$1,"]")),MATCH(vp.data[[#This Row],[SDate]],weather.tbl[Date],0))</f>
        <v>6.4</v>
      </c>
      <c r="R1358" s="2">
        <f ca="1">INDEX(INDIRECT(_xlfn.CONCAT("weather.tbl[",R$1,"]")),MATCH(vp.data[[#This Row],[SDate]],weather.tbl[Date],0))</f>
        <v>8</v>
      </c>
      <c r="S1358" s="2">
        <f ca="1">INDEX(INDIRECT(_xlfn.CONCAT("weather.tbl[",S$1,"]")),MATCH(vp.data[[#This Row],[SDate]],weather.tbl[Date],0))</f>
        <v>5.9</v>
      </c>
      <c r="T1358" s="2">
        <f ca="1">INDEX(INDIRECT(_xlfn.CONCAT("weather.tbl[",T$1,"]")),MATCH(vp.data[[#This Row],[SDate]],weather.tbl[Date],0))</f>
        <v>7.3</v>
      </c>
      <c r="U1358" s="2">
        <f ca="1">INDEX(INDIRECT(_xlfn.CONCAT("weather.tbl[",U$1,"]")),MATCH(vp.data[[#This Row],[SDate]],weather.tbl[Date],0))</f>
        <v>7.8</v>
      </c>
      <c r="V1358" s="2">
        <f t="array" ref="V13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36.549999999999997</v>
      </c>
      <c r="W1358" t="s">
        <v>268</v>
      </c>
      <c r="X1358">
        <f>IF(OR(vp.data[[#This Row],[Sulf]]="",vp.data[[#This Row],[Dens]]=""),1,0)</f>
        <v>0</v>
      </c>
      <c r="Y1358">
        <f>IF(vp.data[[#This Row],[CrudeType]]="C5+",1,0)</f>
        <v>1</v>
      </c>
      <c r="Z1358">
        <f>IF(AND(vp.data[[#This Row],[CrudeType]]="Crude",vp.data[[#This Row],[Dens]]&lt;=825,vp.data[[#This Row],[Sulf]]&gt;0.5,vp.data[[#This Row],[Unknown]]=0),1,0)</f>
        <v>0</v>
      </c>
      <c r="AA1358">
        <f>IF(AND(vp.data[[#This Row],[CrudeType]]="Crude",vp.data[[#This Row],[Dens]]&lt;=825,vp.data[[#This Row],[Sulf]]&lt;=0.5,vp.data[[#This Row],[Unknown]]=0),1,0)</f>
        <v>0</v>
      </c>
      <c r="AB13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8">
        <f>IF(AND(vp.data[[#This Row],[CrudeType]]="Crude",vp.data[[#This Row],[Dens]]&gt;825,vp.data[[#This Row],[Dens]]&lt;=900,vp.data[[#This Row],[Sulf]]&lt;=0.5,vp.data[[#This Row],[Unknown]]=0),1,0)</f>
        <v>0</v>
      </c>
      <c r="AD1358">
        <f>IF(AND(vp.data[[#This Row],[CrudeType]]="Crude",vp.data[[#This Row],[Dens]]&gt;865,vp.data[[#This Row],[Dens]]&lt;=900,vp.data[[#This Row],[Sulf]]&gt;2,vp.data[[#This Row],[Unknown]]=0),1,0)</f>
        <v>0</v>
      </c>
      <c r="AE1358">
        <f>IF(AND(vp.data[[#This Row],[CrudeType]]="Crude",vp.data[[#This Row],[Dens]]&gt;900,vp.data[[#This Row],[Sulf]]&lt;=0.5,vp.data[[#This Row],[Unknown]]=0),1,0)</f>
        <v>0</v>
      </c>
      <c r="AF1358">
        <f>IF(AND(vp.data[[#This Row],[CrudeType]]="Crude",vp.data[[#This Row],[Dens]]&gt;900,vp.data[[#This Row],[Sulf]]&lt;=0.5,vp.data[[#This Row],[Unknown]]=0),1,0)</f>
        <v>0</v>
      </c>
      <c r="AG1358" t="str">
        <f>INDEX(vp.data[[#Headers],[Unknown]:[Heavy_SW]],MATCH(1,vp.data[[#This Row],[Unknown]:[Heavy_SW]],0))</f>
        <v>C5</v>
      </c>
      <c r="AH1358">
        <f>INDEX([3]!crudeBD.lkup[Number],MATCH(vp.data[[#This Row],[Crude_Breakdown]],crudeBD.lkup[Crude Breakdown],0))</f>
        <v>0</v>
      </c>
      <c r="AI1358">
        <f>MONTH(vp.data[[#This Row],[SDate]])</f>
        <v>5</v>
      </c>
      <c r="AJ1358" s="5">
        <f>(vp.data[[#This Row],[VP]]-INDEX(crudeBD.lkup[Mean_VP],MATCH(vp.data[[#This Row],[Crude_Breakdown]],crudeBD.lkup[Crude Breakdown],0)))^2</f>
        <v>303.48279451331598</v>
      </c>
      <c r="AK1358" s="5">
        <f>(vp.data[[#This Row],[Dens]]-INDEX(crudeBD.lkup[Mean_Dens],MATCH(vp.data[[#This Row],[Crude_Breakdown]],crudeBD.lkup[Crude Breakdown],0)))^2</f>
        <v>5.6463840449954033</v>
      </c>
      <c r="AL1358" s="5">
        <f>(vp.data[[#This Row],[Sulf]]-INDEX(crudeBD.lkup[Mean_Sulf],MATCH(vp.data[[#This Row],[Crude_Breakdown]],crudeBD.lkup[Crude Breakdown],0)))^2</f>
        <v>0</v>
      </c>
      <c r="AM1358" s="4">
        <f>IF(AND(vp.data[[#This Row],[SDate]]&gt;=DATE(YEAR(vp.data[[#This Row],[SDate]]),5,1),vp.data[[#This Row],[SDate]]&lt;=DATE(YEAR(vp.data[[#This Row],[SDate]]),9,15)),1,0)</f>
        <v>1</v>
      </c>
      <c r="AN1358" s="4">
        <f>IF(vp.data[[#This Row],[SDate]]&lt;DATE(2016,12,1),0,1)</f>
        <v>1</v>
      </c>
      <c r="AO1358" s="4">
        <f>IFERROR(vp.data[[#This Row],[Sulf]]*vp.data[[#This Row],[Net Dens]],"")</f>
        <v>0</v>
      </c>
      <c r="AP1358">
        <f>IFERROR(vp.data[[#This Row],[Dens]]*vp.data[[#This Row],[VolumeM3]],"")</f>
        <v>23965.834999999999</v>
      </c>
      <c r="AQ1358" s="15">
        <f>IFERROR(vp.data[[#This Row],[VP]]*vp.data[[#This Row],[VolumeM3]],"")</f>
        <v>4407.9299999999994</v>
      </c>
    </row>
    <row r="1359" spans="1:43" x14ac:dyDescent="0.25">
      <c r="A1359">
        <v>1358</v>
      </c>
      <c r="B1359" t="s">
        <v>269</v>
      </c>
      <c r="C1359" t="s">
        <v>270</v>
      </c>
      <c r="D1359" t="s">
        <v>271</v>
      </c>
      <c r="E1359">
        <v>330400</v>
      </c>
      <c r="F1359" s="1">
        <v>42872</v>
      </c>
      <c r="G1359" s="2">
        <v>100.9</v>
      </c>
      <c r="H1359" s="2">
        <v>0</v>
      </c>
      <c r="I1359" s="2">
        <f t="array" ref="I1359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59" s="2">
        <v>9</v>
      </c>
      <c r="K1359" s="2">
        <v>12</v>
      </c>
      <c r="L1359" s="2">
        <v>662.3</v>
      </c>
      <c r="M1359" s="2">
        <f t="array" ref="M1359">_xlfn.IFNA(IF(vp.data[[#This Row],[Dens Input]]="",INDEX([1]DATA!$O$3:$O$9826,MATCH(1,(vp.data[[#This Row],[Battery]]=[1]DATA!$L$3:$L$9826)*(EOMONTH(vp.data[[#This Row],[SDate]],-1)+1=[1]DATA!$G$3:$G$9826),0)),vp.data[[#This Row],[Dens Input]]),"")</f>
        <v>662.3</v>
      </c>
      <c r="N1359" s="2">
        <f ca="1">INDEX(INDIRECT(_xlfn.CONCAT("weather.tbl[",N$1,"]")),MATCH(vp.data[[#This Row],[SDate]],weather.tbl[Date],0))</f>
        <v>7.0666666666666655</v>
      </c>
      <c r="O1359" s="2">
        <f ca="1">INDEX(INDIRECT(_xlfn.CONCAT("weather.tbl[",O$1,"]")),MATCH(vp.data[[#This Row],[SDate]],weather.tbl[Date],0))</f>
        <v>11.778571428571427</v>
      </c>
      <c r="P1359" s="2">
        <f ca="1">INDEX(INDIRECT(_xlfn.CONCAT("weather.tbl[",P$1,"]")),MATCH(vp.data[[#This Row],[SDate]],weather.tbl[Date],0))</f>
        <v>7</v>
      </c>
      <c r="Q1359" s="2">
        <f ca="1">INDEX(INDIRECT(_xlfn.CONCAT("weather.tbl[",Q$1,"]")),MATCH(vp.data[[#This Row],[SDate]],weather.tbl[Date],0))</f>
        <v>6.4</v>
      </c>
      <c r="R1359" s="2">
        <f ca="1">INDEX(INDIRECT(_xlfn.CONCAT("weather.tbl[",R$1,"]")),MATCH(vp.data[[#This Row],[SDate]],weather.tbl[Date],0))</f>
        <v>8</v>
      </c>
      <c r="S1359" s="2">
        <f ca="1">INDEX(INDIRECT(_xlfn.CONCAT("weather.tbl[",S$1,"]")),MATCH(vp.data[[#This Row],[SDate]],weather.tbl[Date],0))</f>
        <v>5.9</v>
      </c>
      <c r="T1359" s="2">
        <f ca="1">INDEX(INDIRECT(_xlfn.CONCAT("weather.tbl[",T$1,"]")),MATCH(vp.data[[#This Row],[SDate]],weather.tbl[Date],0))</f>
        <v>7.3</v>
      </c>
      <c r="U1359" s="2">
        <f ca="1">INDEX(INDIRECT(_xlfn.CONCAT("weather.tbl[",U$1,"]")),MATCH(vp.data[[#This Row],[SDate]],weather.tbl[Date],0))</f>
        <v>7.8</v>
      </c>
      <c r="V1359" s="2">
        <f t="array" ref="V13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35.33</v>
      </c>
      <c r="W1359" t="s">
        <v>268</v>
      </c>
      <c r="X1359">
        <f>IF(OR(vp.data[[#This Row],[Sulf]]="",vp.data[[#This Row],[Dens]]=""),1,0)</f>
        <v>0</v>
      </c>
      <c r="Y1359">
        <f>IF(vp.data[[#This Row],[CrudeType]]="C5+",1,0)</f>
        <v>1</v>
      </c>
      <c r="Z1359">
        <f>IF(AND(vp.data[[#This Row],[CrudeType]]="Crude",vp.data[[#This Row],[Dens]]&lt;=825,vp.data[[#This Row],[Sulf]]&gt;0.5,vp.data[[#This Row],[Unknown]]=0),1,0)</f>
        <v>0</v>
      </c>
      <c r="AA1359">
        <f>IF(AND(vp.data[[#This Row],[CrudeType]]="Crude",vp.data[[#This Row],[Dens]]&lt;=825,vp.data[[#This Row],[Sulf]]&lt;=0.5,vp.data[[#This Row],[Unknown]]=0),1,0)</f>
        <v>0</v>
      </c>
      <c r="AB13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59">
        <f>IF(AND(vp.data[[#This Row],[CrudeType]]="Crude",vp.data[[#This Row],[Dens]]&gt;825,vp.data[[#This Row],[Dens]]&lt;=900,vp.data[[#This Row],[Sulf]]&lt;=0.5,vp.data[[#This Row],[Unknown]]=0),1,0)</f>
        <v>0</v>
      </c>
      <c r="AD1359">
        <f>IF(AND(vp.data[[#This Row],[CrudeType]]="Crude",vp.data[[#This Row],[Dens]]&gt;865,vp.data[[#This Row],[Dens]]&lt;=900,vp.data[[#This Row],[Sulf]]&gt;2,vp.data[[#This Row],[Unknown]]=0),1,0)</f>
        <v>0</v>
      </c>
      <c r="AE1359">
        <f>IF(AND(vp.data[[#This Row],[CrudeType]]="Crude",vp.data[[#This Row],[Dens]]&gt;900,vp.data[[#This Row],[Sulf]]&lt;=0.5,vp.data[[#This Row],[Unknown]]=0),1,0)</f>
        <v>0</v>
      </c>
      <c r="AF1359">
        <f>IF(AND(vp.data[[#This Row],[CrudeType]]="Crude",vp.data[[#This Row],[Dens]]&gt;900,vp.data[[#This Row],[Sulf]]&lt;=0.5,vp.data[[#This Row],[Unknown]]=0),1,0)</f>
        <v>0</v>
      </c>
      <c r="AG1359" t="str">
        <f>INDEX(vp.data[[#Headers],[Unknown]:[Heavy_SW]],MATCH(1,vp.data[[#This Row],[Unknown]:[Heavy_SW]],0))</f>
        <v>C5</v>
      </c>
      <c r="AH1359">
        <f>INDEX([3]!crudeBD.lkup[Number],MATCH(vp.data[[#This Row],[Crude_Breakdown]],crudeBD.lkup[Crude Breakdown],0))</f>
        <v>0</v>
      </c>
      <c r="AI1359">
        <f>MONTH(vp.data[[#This Row],[SDate]])</f>
        <v>5</v>
      </c>
      <c r="AJ1359" s="5">
        <f>(vp.data[[#This Row],[VP]]-INDEX(crudeBD.lkup[Mean_VP],MATCH(vp.data[[#This Row],[Crude_Breakdown]],crudeBD.lkup[Crude Breakdown],0)))^2</f>
        <v>5.1949460284662967</v>
      </c>
      <c r="AK1359" s="5">
        <f>(vp.data[[#This Row],[Dens]]-INDEX(crudeBD.lkup[Mean_Dens],MATCH(vp.data[[#This Row],[Crude_Breakdown]],crudeBD.lkup[Crude Breakdown],0)))^2</f>
        <v>17.84038404499465</v>
      </c>
      <c r="AL1359" s="5">
        <f>(vp.data[[#This Row],[Sulf]]-INDEX(crudeBD.lkup[Mean_Sulf],MATCH(vp.data[[#This Row],[Crude_Breakdown]],crudeBD.lkup[Crude Breakdown],0)))^2</f>
        <v>0</v>
      </c>
      <c r="AM1359" s="4">
        <f>IF(AND(vp.data[[#This Row],[SDate]]&gt;=DATE(YEAR(vp.data[[#This Row],[SDate]]),5,1),vp.data[[#This Row],[SDate]]&lt;=DATE(YEAR(vp.data[[#This Row],[SDate]]),9,15)),1,0)</f>
        <v>1</v>
      </c>
      <c r="AN1359" s="4">
        <f>IF(vp.data[[#This Row],[SDate]]&lt;DATE(2016,12,1),0,1)</f>
        <v>1</v>
      </c>
      <c r="AO1359" s="4">
        <f>IFERROR(vp.data[[#This Row],[Sulf]]*vp.data[[#This Row],[Net Dens]],"")</f>
        <v>0</v>
      </c>
      <c r="AP1359">
        <f>IFERROR(vp.data[[#This Row],[Dens]]*vp.data[[#This Row],[VolumeM3]],"")</f>
        <v>23399.058999999997</v>
      </c>
      <c r="AQ1359" s="15">
        <f>IFERROR(vp.data[[#This Row],[VP]]*vp.data[[#This Row],[VolumeM3]],"")</f>
        <v>3564.797</v>
      </c>
    </row>
    <row r="1360" spans="1:43" x14ac:dyDescent="0.25">
      <c r="A1360">
        <v>1359</v>
      </c>
      <c r="B1360" t="s">
        <v>272</v>
      </c>
      <c r="C1360" t="s">
        <v>282</v>
      </c>
      <c r="D1360" t="s">
        <v>283</v>
      </c>
      <c r="E1360">
        <v>330387</v>
      </c>
      <c r="F1360" s="1">
        <v>42872</v>
      </c>
      <c r="G1360" s="2">
        <v>107.5</v>
      </c>
      <c r="H1360" s="2">
        <v>0</v>
      </c>
      <c r="I1360" s="2">
        <f t="array" ref="I1360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60" s="2">
        <v>13</v>
      </c>
      <c r="K1360" s="2">
        <v>12</v>
      </c>
      <c r="L1360" s="2">
        <v>639.70000000000005</v>
      </c>
      <c r="M1360" s="2">
        <f t="array" ref="M1360">_xlfn.IFNA(IF(vp.data[[#This Row],[Dens Input]]="",INDEX([1]DATA!$O$3:$O$9826,MATCH(1,(vp.data[[#This Row],[Battery]]=[1]DATA!$L$3:$L$9826)*(EOMONTH(vp.data[[#This Row],[SDate]],-1)+1=[1]DATA!$G$3:$G$9826),0)),vp.data[[#This Row],[Dens Input]]),"")</f>
        <v>639.70000000000005</v>
      </c>
      <c r="N1360" s="2">
        <f ca="1">INDEX(INDIRECT(_xlfn.CONCAT("weather.tbl[",N$1,"]")),MATCH(vp.data[[#This Row],[SDate]],weather.tbl[Date],0))</f>
        <v>7.0666666666666655</v>
      </c>
      <c r="O1360" s="2">
        <f ca="1">INDEX(INDIRECT(_xlfn.CONCAT("weather.tbl[",O$1,"]")),MATCH(vp.data[[#This Row],[SDate]],weather.tbl[Date],0))</f>
        <v>11.778571428571427</v>
      </c>
      <c r="P1360" s="2">
        <f ca="1">INDEX(INDIRECT(_xlfn.CONCAT("weather.tbl[",P$1,"]")),MATCH(vp.data[[#This Row],[SDate]],weather.tbl[Date],0))</f>
        <v>7</v>
      </c>
      <c r="Q1360" s="2">
        <f ca="1">INDEX(INDIRECT(_xlfn.CONCAT("weather.tbl[",Q$1,"]")),MATCH(vp.data[[#This Row],[SDate]],weather.tbl[Date],0))</f>
        <v>6.4</v>
      </c>
      <c r="R1360" s="2">
        <f ca="1">INDEX(INDIRECT(_xlfn.CONCAT("weather.tbl[",R$1,"]")),MATCH(vp.data[[#This Row],[SDate]],weather.tbl[Date],0))</f>
        <v>8</v>
      </c>
      <c r="S1360" s="2">
        <f ca="1">INDEX(INDIRECT(_xlfn.CONCAT("weather.tbl[",S$1,"]")),MATCH(vp.data[[#This Row],[SDate]],weather.tbl[Date],0))</f>
        <v>5.9</v>
      </c>
      <c r="T1360" s="2">
        <f ca="1">INDEX(INDIRECT(_xlfn.CONCAT("weather.tbl[",T$1,"]")),MATCH(vp.data[[#This Row],[SDate]],weather.tbl[Date],0))</f>
        <v>7.3</v>
      </c>
      <c r="U1360" s="2">
        <f ca="1">INDEX(INDIRECT(_xlfn.CONCAT("weather.tbl[",U$1,"]")),MATCH(vp.data[[#This Row],[SDate]],weather.tbl[Date],0))</f>
        <v>7.8</v>
      </c>
      <c r="V1360" s="2">
        <f t="array" ref="V13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35.840000000000003</v>
      </c>
      <c r="W1360" t="s">
        <v>268</v>
      </c>
      <c r="X1360">
        <f>IF(OR(vp.data[[#This Row],[Sulf]]="",vp.data[[#This Row],[Dens]]=""),1,0)</f>
        <v>0</v>
      </c>
      <c r="Y1360">
        <f>IF(vp.data[[#This Row],[CrudeType]]="C5+",1,0)</f>
        <v>1</v>
      </c>
      <c r="Z1360">
        <f>IF(AND(vp.data[[#This Row],[CrudeType]]="Crude",vp.data[[#This Row],[Dens]]&lt;=825,vp.data[[#This Row],[Sulf]]&gt;0.5,vp.data[[#This Row],[Unknown]]=0),1,0)</f>
        <v>0</v>
      </c>
      <c r="AA1360">
        <f>IF(AND(vp.data[[#This Row],[CrudeType]]="Crude",vp.data[[#This Row],[Dens]]&lt;=825,vp.data[[#This Row],[Sulf]]&lt;=0.5,vp.data[[#This Row],[Unknown]]=0),1,0)</f>
        <v>0</v>
      </c>
      <c r="AB13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60">
        <f>IF(AND(vp.data[[#This Row],[CrudeType]]="Crude",vp.data[[#This Row],[Dens]]&gt;825,vp.data[[#This Row],[Dens]]&lt;=900,vp.data[[#This Row],[Sulf]]&lt;=0.5,vp.data[[#This Row],[Unknown]]=0),1,0)</f>
        <v>0</v>
      </c>
      <c r="AD1360">
        <f>IF(AND(vp.data[[#This Row],[CrudeType]]="Crude",vp.data[[#This Row],[Dens]]&gt;865,vp.data[[#This Row],[Dens]]&lt;=900,vp.data[[#This Row],[Sulf]]&gt;2,vp.data[[#This Row],[Unknown]]=0),1,0)</f>
        <v>0</v>
      </c>
      <c r="AE1360">
        <f>IF(AND(vp.data[[#This Row],[CrudeType]]="Crude",vp.data[[#This Row],[Dens]]&gt;900,vp.data[[#This Row],[Sulf]]&lt;=0.5,vp.data[[#This Row],[Unknown]]=0),1,0)</f>
        <v>0</v>
      </c>
      <c r="AF1360">
        <f>IF(AND(vp.data[[#This Row],[CrudeType]]="Crude",vp.data[[#This Row],[Dens]]&gt;900,vp.data[[#This Row],[Sulf]]&lt;=0.5,vp.data[[#This Row],[Unknown]]=0),1,0)</f>
        <v>0</v>
      </c>
      <c r="AG1360" t="str">
        <f>INDEX(vp.data[[#Headers],[Unknown]:[Heavy_SW]],MATCH(1,vp.data[[#This Row],[Unknown]:[Heavy_SW]],0))</f>
        <v>C5</v>
      </c>
      <c r="AH1360">
        <f>INDEX([3]!crudeBD.lkup[Number],MATCH(vp.data[[#This Row],[Crude_Breakdown]],crudeBD.lkup[Crude Breakdown],0))</f>
        <v>0</v>
      </c>
      <c r="AI1360">
        <f>MONTH(vp.data[[#This Row],[SDate]])</f>
        <v>5</v>
      </c>
      <c r="AJ1360" s="5">
        <f>(vp.data[[#This Row],[VP]]-INDEX(crudeBD.lkup[Mean_VP],MATCH(vp.data[[#This Row],[Crude_Breakdown]],crudeBD.lkup[Crude Breakdown],0)))^2</f>
        <v>18.668946028466788</v>
      </c>
      <c r="AK1360" s="5">
        <f>(vp.data[[#This Row],[Dens]]-INDEX(crudeBD.lkup[Mean_Dens],MATCH(vp.data[[#This Row],[Crude_Breakdown]],crudeBD.lkup[Crude Breakdown],0)))^2</f>
        <v>337.68517192378323</v>
      </c>
      <c r="AL1360" s="5">
        <f>(vp.data[[#This Row],[Sulf]]-INDEX(crudeBD.lkup[Mean_Sulf],MATCH(vp.data[[#This Row],[Crude_Breakdown]],crudeBD.lkup[Crude Breakdown],0)))^2</f>
        <v>0</v>
      </c>
      <c r="AM1360" s="4">
        <f>IF(AND(vp.data[[#This Row],[SDate]]&gt;=DATE(YEAR(vp.data[[#This Row],[SDate]]),5,1),vp.data[[#This Row],[SDate]]&lt;=DATE(YEAR(vp.data[[#This Row],[SDate]]),9,15)),1,0)</f>
        <v>1</v>
      </c>
      <c r="AN1360" s="4">
        <f>IF(vp.data[[#This Row],[SDate]]&lt;DATE(2016,12,1),0,1)</f>
        <v>1</v>
      </c>
      <c r="AO1360" s="4">
        <f>IFERROR(vp.data[[#This Row],[Sulf]]*vp.data[[#This Row],[Net Dens]],"")</f>
        <v>0</v>
      </c>
      <c r="AP1360">
        <f>IFERROR(vp.data[[#This Row],[Dens]]*vp.data[[#This Row],[VolumeM3]],"")</f>
        <v>22926.848000000005</v>
      </c>
      <c r="AQ1360" s="15">
        <f>IFERROR(vp.data[[#This Row],[VP]]*vp.data[[#This Row],[VolumeM3]],"")</f>
        <v>3852.8</v>
      </c>
    </row>
    <row r="1361" spans="1:43" x14ac:dyDescent="0.25">
      <c r="A1361">
        <v>1360</v>
      </c>
      <c r="B1361" t="s">
        <v>284</v>
      </c>
      <c r="C1361" t="s">
        <v>266</v>
      </c>
      <c r="D1361" t="s">
        <v>267</v>
      </c>
      <c r="E1361">
        <v>330434</v>
      </c>
      <c r="F1361" s="1">
        <v>42872</v>
      </c>
      <c r="G1361" s="2">
        <v>103.9</v>
      </c>
      <c r="H1361" s="2">
        <v>0</v>
      </c>
      <c r="I1361" s="2">
        <f t="array" ref="I1361">_xlfn.IFNA(IF(vp.data[[#This Row],[Sulf Input]]="",INDEX([1]DATA!$Q$3:$Q$9826,MATCH(1,(vp.data[[#This Row],[Battery]]=[1]DATA!$L$3:$L$9826)*(EOMONTH(vp.data[[#This Row],[SDate]],-1)+1=[1]DATA!$G$3:$G$9826),0)),vp.data[[#This Row],[Sulf Input]]),"")</f>
        <v>0</v>
      </c>
      <c r="J1361" s="2">
        <v>13</v>
      </c>
      <c r="K1361" s="2">
        <v>12</v>
      </c>
      <c r="L1361" s="2">
        <v>657.7</v>
      </c>
      <c r="M1361" s="2">
        <f t="array" ref="M1361">_xlfn.IFNA(IF(vp.data[[#This Row],[Dens Input]]="",INDEX([1]DATA!$O$3:$O$9826,MATCH(1,(vp.data[[#This Row],[Battery]]=[1]DATA!$L$3:$L$9826)*(EOMONTH(vp.data[[#This Row],[SDate]],-1)+1=[1]DATA!$G$3:$G$9826),0)),vp.data[[#This Row],[Dens Input]]),"")</f>
        <v>657.7</v>
      </c>
      <c r="N1361" s="2">
        <f ca="1">INDEX(INDIRECT(_xlfn.CONCAT("weather.tbl[",N$1,"]")),MATCH(vp.data[[#This Row],[SDate]],weather.tbl[Date],0))</f>
        <v>7.0666666666666655</v>
      </c>
      <c r="O1361" s="2">
        <f ca="1">INDEX(INDIRECT(_xlfn.CONCAT("weather.tbl[",O$1,"]")),MATCH(vp.data[[#This Row],[SDate]],weather.tbl[Date],0))</f>
        <v>11.778571428571427</v>
      </c>
      <c r="P1361" s="2">
        <f ca="1">INDEX(INDIRECT(_xlfn.CONCAT("weather.tbl[",P$1,"]")),MATCH(vp.data[[#This Row],[SDate]],weather.tbl[Date],0))</f>
        <v>7</v>
      </c>
      <c r="Q1361" s="2">
        <f ca="1">INDEX(INDIRECT(_xlfn.CONCAT("weather.tbl[",Q$1,"]")),MATCH(vp.data[[#This Row],[SDate]],weather.tbl[Date],0))</f>
        <v>6.4</v>
      </c>
      <c r="R1361" s="2">
        <f ca="1">INDEX(INDIRECT(_xlfn.CONCAT("weather.tbl[",R$1,"]")),MATCH(vp.data[[#This Row],[SDate]],weather.tbl[Date],0))</f>
        <v>8</v>
      </c>
      <c r="S1361" s="2">
        <f ca="1">INDEX(INDIRECT(_xlfn.CONCAT("weather.tbl[",S$1,"]")),MATCH(vp.data[[#This Row],[SDate]],weather.tbl[Date],0))</f>
        <v>5.9</v>
      </c>
      <c r="T1361" s="2">
        <f ca="1">INDEX(INDIRECT(_xlfn.CONCAT("weather.tbl[",T$1,"]")),MATCH(vp.data[[#This Row],[SDate]],weather.tbl[Date],0))</f>
        <v>7.3</v>
      </c>
      <c r="U1361" s="2">
        <f ca="1">INDEX(INDIRECT(_xlfn.CONCAT("weather.tbl[",U$1,"]")),MATCH(vp.data[[#This Row],[SDate]],weather.tbl[Date],0))</f>
        <v>7.8</v>
      </c>
      <c r="V1361" s="2">
        <f t="array" ref="V13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40.28</v>
      </c>
      <c r="W1361" t="s">
        <v>268</v>
      </c>
      <c r="X1361">
        <f>IF(OR(vp.data[[#This Row],[Sulf]]="",vp.data[[#This Row],[Dens]]=""),1,0)</f>
        <v>0</v>
      </c>
      <c r="Y1361">
        <f>IF(vp.data[[#This Row],[CrudeType]]="C5+",1,0)</f>
        <v>1</v>
      </c>
      <c r="Z1361">
        <f>IF(AND(vp.data[[#This Row],[CrudeType]]="Crude",vp.data[[#This Row],[Dens]]&lt;=825,vp.data[[#This Row],[Sulf]]&gt;0.5,vp.data[[#This Row],[Unknown]]=0),1,0)</f>
        <v>0</v>
      </c>
      <c r="AA1361">
        <f>IF(AND(vp.data[[#This Row],[CrudeType]]="Crude",vp.data[[#This Row],[Dens]]&lt;=825,vp.data[[#This Row],[Sulf]]&lt;=0.5,vp.data[[#This Row],[Unknown]]=0),1,0)</f>
        <v>0</v>
      </c>
      <c r="AB13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61">
        <f>IF(AND(vp.data[[#This Row],[CrudeType]]="Crude",vp.data[[#This Row],[Dens]]&gt;825,vp.data[[#This Row],[Dens]]&lt;=900,vp.data[[#This Row],[Sulf]]&lt;=0.5,vp.data[[#This Row],[Unknown]]=0),1,0)</f>
        <v>0</v>
      </c>
      <c r="AD1361">
        <f>IF(AND(vp.data[[#This Row],[CrudeType]]="Crude",vp.data[[#This Row],[Dens]]&gt;865,vp.data[[#This Row],[Dens]]&lt;=900,vp.data[[#This Row],[Sulf]]&gt;2,vp.data[[#This Row],[Unknown]]=0),1,0)</f>
        <v>0</v>
      </c>
      <c r="AE1361">
        <f>IF(AND(vp.data[[#This Row],[CrudeType]]="Crude",vp.data[[#This Row],[Dens]]&gt;900,vp.data[[#This Row],[Sulf]]&lt;=0.5,vp.data[[#This Row],[Unknown]]=0),1,0)</f>
        <v>0</v>
      </c>
      <c r="AF1361">
        <f>IF(AND(vp.data[[#This Row],[CrudeType]]="Crude",vp.data[[#This Row],[Dens]]&gt;900,vp.data[[#This Row],[Sulf]]&lt;=0.5,vp.data[[#This Row],[Unknown]]=0),1,0)</f>
        <v>0</v>
      </c>
      <c r="AG1361" t="str">
        <f>INDEX(vp.data[[#Headers],[Unknown]:[Heavy_SW]],MATCH(1,vp.data[[#This Row],[Unknown]:[Heavy_SW]],0))</f>
        <v>C5</v>
      </c>
      <c r="AH1361">
        <f>INDEX([3]!crudeBD.lkup[Number],MATCH(vp.data[[#This Row],[Crude_Breakdown]],crudeBD.lkup[Crude Breakdown],0))</f>
        <v>0</v>
      </c>
      <c r="AI1361">
        <f>MONTH(vp.data[[#This Row],[SDate]])</f>
        <v>5</v>
      </c>
      <c r="AJ1361" s="5">
        <f>(vp.data[[#This Row],[VP]]-INDEX(crudeBD.lkup[Mean_VP],MATCH(vp.data[[#This Row],[Crude_Breakdown]],crudeBD.lkup[Crude Breakdown],0)))^2</f>
        <v>0.51949148301199644</v>
      </c>
      <c r="AK1361" s="5">
        <f>(vp.data[[#This Row],[Dens]]-INDEX(crudeBD.lkup[Mean_Dens],MATCH(vp.data[[#This Row],[Crude_Breakdown]],crudeBD.lkup[Crude Breakdown],0)))^2</f>
        <v>0.14153556014692295</v>
      </c>
      <c r="AL1361" s="5">
        <f>(vp.data[[#This Row],[Sulf]]-INDEX(crudeBD.lkup[Mean_Sulf],MATCH(vp.data[[#This Row],[Crude_Breakdown]],crudeBD.lkup[Crude Breakdown],0)))^2</f>
        <v>0</v>
      </c>
      <c r="AM1361" s="4">
        <f>IF(AND(vp.data[[#This Row],[SDate]]&gt;=DATE(YEAR(vp.data[[#This Row],[SDate]]),5,1),vp.data[[#This Row],[SDate]]&lt;=DATE(YEAR(vp.data[[#This Row],[SDate]]),9,15)),1,0)</f>
        <v>1</v>
      </c>
      <c r="AN1361" s="4">
        <f>IF(vp.data[[#This Row],[SDate]]&lt;DATE(2016,12,1),0,1)</f>
        <v>1</v>
      </c>
      <c r="AO1361" s="4">
        <f>IFERROR(vp.data[[#This Row],[Sulf]]*vp.data[[#This Row],[Net Dens]],"")</f>
        <v>0</v>
      </c>
      <c r="AP1361">
        <f>IFERROR(vp.data[[#This Row],[Dens]]*vp.data[[#This Row],[VolumeM3]],"")</f>
        <v>26492.156000000003</v>
      </c>
      <c r="AQ1361" s="15">
        <f>IFERROR(vp.data[[#This Row],[VP]]*vp.data[[#This Row],[VolumeM3]],"")</f>
        <v>4185.0920000000006</v>
      </c>
    </row>
    <row r="1362" spans="1:43" x14ac:dyDescent="0.25">
      <c r="A1362">
        <v>1361</v>
      </c>
      <c r="B1362" t="s">
        <v>46</v>
      </c>
      <c r="C1362" t="s">
        <v>46</v>
      </c>
      <c r="D1362" t="s">
        <v>47</v>
      </c>
      <c r="F1362" s="1">
        <v>42856</v>
      </c>
      <c r="G1362" s="2">
        <v>59.8</v>
      </c>
      <c r="H1362" s="2"/>
      <c r="I1362" s="2">
        <f t="array" ref="I1362">_xlfn.IFNA(IF(vp.data[[#This Row],[Sulf Input]]="",INDEX([1]DATA!$Q$3:$Q$9826,MATCH(1,(vp.data[[#This Row],[Battery]]=[1]DATA!$L$3:$L$9826)*(EOMONTH(vp.data[[#This Row],[SDate]],-1)+1=[1]DATA!$G$3:$G$9826),0)),vp.data[[#This Row],[Sulf Input]]),"")</f>
        <v>2.25</v>
      </c>
      <c r="J1362" s="2"/>
      <c r="K1362" s="2"/>
      <c r="L1362" s="2">
        <v>868.5</v>
      </c>
      <c r="M1362" s="2">
        <f t="array" ref="M1362">_xlfn.IFNA(IF(vp.data[[#This Row],[Dens Input]]="",INDEX([1]DATA!$O$3:$O$9826,MATCH(1,(vp.data[[#This Row],[Battery]]=[1]DATA!$L$3:$L$9826)*(EOMONTH(vp.data[[#This Row],[SDate]],-1)+1=[1]DATA!$G$3:$G$9826),0)),vp.data[[#This Row],[Dens Input]]),"")</f>
        <v>868.5</v>
      </c>
      <c r="N1362" s="2">
        <f ca="1">INDEX(INDIRECT(_xlfn.CONCAT("weather.tbl[",N$1,"]")),MATCH(vp.data[[#This Row],[SDate]],weather.tbl[Date],0))</f>
        <v>9.8000000000000025</v>
      </c>
      <c r="O1362" s="2">
        <f ca="1">INDEX(INDIRECT(_xlfn.CONCAT("weather.tbl[",O$1,"]")),MATCH(vp.data[[#This Row],[SDate]],weather.tbl[Date],0))</f>
        <v>5.5333333333333341</v>
      </c>
      <c r="P1362" s="2">
        <f ca="1">INDEX(INDIRECT(_xlfn.CONCAT("weather.tbl[",P$1,"]")),MATCH(vp.data[[#This Row],[SDate]],weather.tbl[Date],0))</f>
        <v>9.4</v>
      </c>
      <c r="Q1362" s="2">
        <f ca="1">INDEX(INDIRECT(_xlfn.CONCAT("weather.tbl[",Q$1,"]")),MATCH(vp.data[[#This Row],[SDate]],weather.tbl[Date],0))</f>
        <v>10.8</v>
      </c>
      <c r="R1362" s="2">
        <f ca="1">INDEX(INDIRECT(_xlfn.CONCAT("weather.tbl[",R$1,"]")),MATCH(vp.data[[#This Row],[SDate]],weather.tbl[Date],0))</f>
        <v>9.3000000000000007</v>
      </c>
      <c r="S1362" s="2">
        <f ca="1">INDEX(INDIRECT(_xlfn.CONCAT("weather.tbl[",S$1,"]")),MATCH(vp.data[[#This Row],[SDate]],weather.tbl[Date],0))</f>
        <v>8.9</v>
      </c>
      <c r="T1362" s="2">
        <f ca="1">INDEX(INDIRECT(_xlfn.CONCAT("weather.tbl[",T$1,"]")),MATCH(vp.data[[#This Row],[SDate]],weather.tbl[Date],0))</f>
        <v>10.6</v>
      </c>
      <c r="U1362" s="2">
        <f ca="1">INDEX(INDIRECT(_xlfn.CONCAT("weather.tbl[",U$1,"]")),MATCH(vp.data[[#This Row],[SDate]],weather.tbl[Date],0))</f>
        <v>9.8000000000000007</v>
      </c>
      <c r="V1362" s="2">
        <f t="array" ref="V13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115996.79399999999</v>
      </c>
      <c r="W1362" t="s">
        <v>48</v>
      </c>
      <c r="X1362">
        <f>IF(OR(vp.data[[#This Row],[Sulf]]="",vp.data[[#This Row],[Dens]]=""),1,0)</f>
        <v>0</v>
      </c>
      <c r="Y1362">
        <f>IF(vp.data[[#This Row],[CrudeType]]="C5+",1,0)</f>
        <v>0</v>
      </c>
      <c r="Z1362">
        <f>IF(AND(vp.data[[#This Row],[CrudeType]]="Crude",vp.data[[#This Row],[Dens]]&lt;=825,vp.data[[#This Row],[Sulf]]&gt;0.5,vp.data[[#This Row],[Unknown]]=0),1,0)</f>
        <v>0</v>
      </c>
      <c r="AA1362">
        <f>IF(AND(vp.data[[#This Row],[CrudeType]]="Crude",vp.data[[#This Row],[Dens]]&lt;=825,vp.data[[#This Row],[Sulf]]&lt;=0.5,vp.data[[#This Row],[Unknown]]=0),1,0)</f>
        <v>0</v>
      </c>
      <c r="AB13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62">
        <f>IF(AND(vp.data[[#This Row],[CrudeType]]="Crude",vp.data[[#This Row],[Dens]]&gt;825,vp.data[[#This Row],[Dens]]&lt;=900,vp.data[[#This Row],[Sulf]]&lt;=0.5,vp.data[[#This Row],[Unknown]]=0),1,0)</f>
        <v>0</v>
      </c>
      <c r="AD1362">
        <f>IF(AND(vp.data[[#This Row],[CrudeType]]="Crude",vp.data[[#This Row],[Dens]]&gt;865,vp.data[[#This Row],[Dens]]&lt;=900,vp.data[[#This Row],[Sulf]]&gt;2,vp.data[[#This Row],[Unknown]]=0),1,0)</f>
        <v>1</v>
      </c>
      <c r="AE1362">
        <f>IF(AND(vp.data[[#This Row],[CrudeType]]="Crude",vp.data[[#This Row],[Dens]]&gt;900,vp.data[[#This Row],[Sulf]]&lt;=0.5,vp.data[[#This Row],[Unknown]]=0),1,0)</f>
        <v>0</v>
      </c>
      <c r="AF1362">
        <f>IF(AND(vp.data[[#This Row],[CrudeType]]="Crude",vp.data[[#This Row],[Dens]]&gt;900,vp.data[[#This Row],[Sulf]]&lt;=0.5,vp.data[[#This Row],[Unknown]]=0),1,0)</f>
        <v>0</v>
      </c>
      <c r="AG1362" t="str">
        <f>INDEX(vp.data[[#Headers],[Unknown]:[Heavy_SW]],MATCH(1,vp.data[[#This Row],[Unknown]:[Heavy_SW]],0))</f>
        <v>Midale</v>
      </c>
      <c r="AH1362">
        <f>INDEX([3]!crudeBD.lkup[Number],MATCH(vp.data[[#This Row],[Crude_Breakdown]],crudeBD.lkup[Crude Breakdown],0))</f>
        <v>5</v>
      </c>
      <c r="AI1362">
        <f>MONTH(vp.data[[#This Row],[SDate]])</f>
        <v>5</v>
      </c>
      <c r="AJ1362" s="5">
        <f>(vp.data[[#This Row],[VP]]-INDEX(crudeBD.lkup[Mean_VP],MATCH(vp.data[[#This Row],[Crude_Breakdown]],crudeBD.lkup[Crude Breakdown],0)))^2</f>
        <v>92.328324210862604</v>
      </c>
      <c r="AK1362" s="5">
        <f>(vp.data[[#This Row],[Dens]]-INDEX(crudeBD.lkup[Mean_Dens],MATCH(vp.data[[#This Row],[Crude_Breakdown]],crudeBD.lkup[Crude Breakdown],0)))^2</f>
        <v>39.904619247532843</v>
      </c>
      <c r="AL1362" s="5">
        <f>(vp.data[[#This Row],[Sulf]]-INDEX(crudeBD.lkup[Mean_Sulf],MATCH(vp.data[[#This Row],[Crude_Breakdown]],crudeBD.lkup[Crude Breakdown],0)))^2</f>
        <v>3.7486987788723031E-2</v>
      </c>
      <c r="AM1362" s="4">
        <f>IF(AND(vp.data[[#This Row],[SDate]]&gt;=DATE(YEAR(vp.data[[#This Row],[SDate]]),5,1),vp.data[[#This Row],[SDate]]&lt;=DATE(YEAR(vp.data[[#This Row],[SDate]]),9,15)),1,0)</f>
        <v>1</v>
      </c>
      <c r="AN1362" s="4">
        <f>IF(vp.data[[#This Row],[SDate]]&lt;DATE(2016,12,1),0,1)</f>
        <v>1</v>
      </c>
      <c r="AO1362" s="4">
        <f>IFERROR(vp.data[[#This Row],[Sulf]]*vp.data[[#This Row],[Net Dens]],"")</f>
        <v>226672235.07525</v>
      </c>
      <c r="AP1362">
        <f>IFERROR(vp.data[[#This Row],[Dens]]*vp.data[[#This Row],[VolumeM3]],"")</f>
        <v>100743215.589</v>
      </c>
      <c r="AQ1362" s="15">
        <f>IFERROR(vp.data[[#This Row],[VP]]*vp.data[[#This Row],[VolumeM3]],"")</f>
        <v>6936608.2811999992</v>
      </c>
    </row>
    <row r="1363" spans="1:43" x14ac:dyDescent="0.25">
      <c r="A1363">
        <v>1362</v>
      </c>
      <c r="B1363" t="s">
        <v>60</v>
      </c>
      <c r="C1363" t="s">
        <v>60</v>
      </c>
      <c r="D1363" t="s">
        <v>61</v>
      </c>
      <c r="E1363" t="s">
        <v>289</v>
      </c>
      <c r="F1363" s="1">
        <v>42856</v>
      </c>
      <c r="G1363" s="2">
        <v>90.1</v>
      </c>
      <c r="H1363" s="2"/>
      <c r="I1363" s="2">
        <f t="array" ref="I1363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363" s="2"/>
      <c r="K1363" s="2"/>
      <c r="L1363" s="2">
        <v>829.6</v>
      </c>
      <c r="M1363" s="2">
        <f t="array" ref="M1363">_xlfn.IFNA(IF(vp.data[[#This Row],[Dens Input]]="",INDEX([1]DATA!$O$3:$O$9826,MATCH(1,(vp.data[[#This Row],[Battery]]=[1]DATA!$L$3:$L$9826)*(EOMONTH(vp.data[[#This Row],[SDate]],-1)+1=[1]DATA!$G$3:$G$9826),0)),vp.data[[#This Row],[Dens Input]]),"")</f>
        <v>829.6</v>
      </c>
      <c r="N1363" s="2">
        <f ca="1">INDEX(INDIRECT(_xlfn.CONCAT("weather.tbl[",N$1,"]")),MATCH(vp.data[[#This Row],[SDate]],weather.tbl[Date],0))</f>
        <v>9.8000000000000025</v>
      </c>
      <c r="O1363" s="2">
        <f ca="1">INDEX(INDIRECT(_xlfn.CONCAT("weather.tbl[",O$1,"]")),MATCH(vp.data[[#This Row],[SDate]],weather.tbl[Date],0))</f>
        <v>5.5333333333333341</v>
      </c>
      <c r="P1363" s="2">
        <f ca="1">INDEX(INDIRECT(_xlfn.CONCAT("weather.tbl[",P$1,"]")),MATCH(vp.data[[#This Row],[SDate]],weather.tbl[Date],0))</f>
        <v>9.4</v>
      </c>
      <c r="Q1363" s="2">
        <f ca="1">INDEX(INDIRECT(_xlfn.CONCAT("weather.tbl[",Q$1,"]")),MATCH(vp.data[[#This Row],[SDate]],weather.tbl[Date],0))</f>
        <v>10.8</v>
      </c>
      <c r="R1363" s="2">
        <f ca="1">INDEX(INDIRECT(_xlfn.CONCAT("weather.tbl[",R$1,"]")),MATCH(vp.data[[#This Row],[SDate]],weather.tbl[Date],0))</f>
        <v>9.3000000000000007</v>
      </c>
      <c r="S1363" s="2">
        <f ca="1">INDEX(INDIRECT(_xlfn.CONCAT("weather.tbl[",S$1,"]")),MATCH(vp.data[[#This Row],[SDate]],weather.tbl[Date],0))</f>
        <v>8.9</v>
      </c>
      <c r="T1363" s="2">
        <f ca="1">INDEX(INDIRECT(_xlfn.CONCAT("weather.tbl[",T$1,"]")),MATCH(vp.data[[#This Row],[SDate]],weather.tbl[Date],0))</f>
        <v>10.6</v>
      </c>
      <c r="U1363" s="2">
        <f ca="1">INDEX(INDIRECT(_xlfn.CONCAT("weather.tbl[",U$1,"]")),MATCH(vp.data[[#This Row],[SDate]],weather.tbl[Date],0))</f>
        <v>9.8000000000000007</v>
      </c>
      <c r="V1363" s="2">
        <f t="array" ref="V13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363" t="s">
        <v>48</v>
      </c>
      <c r="X1363">
        <f>IF(OR(vp.data[[#This Row],[Sulf]]="",vp.data[[#This Row],[Dens]]=""),1,0)</f>
        <v>0</v>
      </c>
      <c r="Y1363">
        <f>IF(vp.data[[#This Row],[CrudeType]]="C5+",1,0)</f>
        <v>0</v>
      </c>
      <c r="Z1363">
        <f>IF(AND(vp.data[[#This Row],[CrudeType]]="Crude",vp.data[[#This Row],[Dens]]&lt;=825,vp.data[[#This Row],[Sulf]]&gt;0.5,vp.data[[#This Row],[Unknown]]=0),1,0)</f>
        <v>0</v>
      </c>
      <c r="AA1363">
        <f>IF(AND(vp.data[[#This Row],[CrudeType]]="Crude",vp.data[[#This Row],[Dens]]&lt;=825,vp.data[[#This Row],[Sulf]]&lt;=0.5,vp.data[[#This Row],[Unknown]]=0),1,0)</f>
        <v>0</v>
      </c>
      <c r="AB13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3">
        <f>IF(AND(vp.data[[#This Row],[CrudeType]]="Crude",vp.data[[#This Row],[Dens]]&gt;825,vp.data[[#This Row],[Dens]]&lt;=900,vp.data[[#This Row],[Sulf]]&lt;=0.5,vp.data[[#This Row],[Unknown]]=0),1,0)</f>
        <v>0</v>
      </c>
      <c r="AD1363">
        <f>IF(AND(vp.data[[#This Row],[CrudeType]]="Crude",vp.data[[#This Row],[Dens]]&gt;865,vp.data[[#This Row],[Dens]]&lt;=900,vp.data[[#This Row],[Sulf]]&gt;2,vp.data[[#This Row],[Unknown]]=0),1,0)</f>
        <v>0</v>
      </c>
      <c r="AE1363">
        <f>IF(AND(vp.data[[#This Row],[CrudeType]]="Crude",vp.data[[#This Row],[Dens]]&gt;900,vp.data[[#This Row],[Sulf]]&lt;=0.5,vp.data[[#This Row],[Unknown]]=0),1,0)</f>
        <v>0</v>
      </c>
      <c r="AF1363">
        <f>IF(AND(vp.data[[#This Row],[CrudeType]]="Crude",vp.data[[#This Row],[Dens]]&gt;900,vp.data[[#This Row],[Sulf]]&lt;=0.5,vp.data[[#This Row],[Unknown]]=0),1,0)</f>
        <v>0</v>
      </c>
      <c r="AG1363" t="str">
        <f>INDEX(vp.data[[#Headers],[Unknown]:[Heavy_SW]],MATCH(1,vp.data[[#This Row],[Unknown]:[Heavy_SW]],0))</f>
        <v>Medium_LSB</v>
      </c>
      <c r="AH1363">
        <f>INDEX([3]!crudeBD.lkup[Number],MATCH(vp.data[[#This Row],[Crude_Breakdown]],crudeBD.lkup[Crude Breakdown],0))</f>
        <v>3</v>
      </c>
      <c r="AI1363">
        <f>MONTH(vp.data[[#This Row],[SDate]])</f>
        <v>5</v>
      </c>
      <c r="AJ1363" s="5">
        <f>(vp.data[[#This Row],[VP]]-INDEX(crudeBD.lkup[Mean_VP],MATCH(vp.data[[#This Row],[Crude_Breakdown]],crudeBD.lkup[Crude Breakdown],0)))^2</f>
        <v>89.497719781171099</v>
      </c>
      <c r="AK1363" s="5">
        <f>(vp.data[[#This Row],[Dens]]-INDEX(crudeBD.lkup[Mean_Dens],MATCH(vp.data[[#This Row],[Crude_Breakdown]],crudeBD.lkup[Crude Breakdown],0)))^2</f>
        <v>205.06239999998516</v>
      </c>
      <c r="AL1363" s="5">
        <f>(vp.data[[#This Row],[Sulf]]-INDEX(crudeBD.lkup[Mean_Sulf],MATCH(vp.data[[#This Row],[Crude_Breakdown]],crudeBD.lkup[Crude Breakdown],0)))^2</f>
        <v>8.726596131132687E-2</v>
      </c>
      <c r="AM1363" s="4">
        <f>IF(AND(vp.data[[#This Row],[SDate]]&gt;=DATE(YEAR(vp.data[[#This Row],[SDate]]),5,1),vp.data[[#This Row],[SDate]]&lt;=DATE(YEAR(vp.data[[#This Row],[SDate]]),9,15)),1,0)</f>
        <v>1</v>
      </c>
      <c r="AN1363" s="4">
        <f>IF(vp.data[[#This Row],[SDate]]&lt;DATE(2016,12,1),0,1)</f>
        <v>1</v>
      </c>
      <c r="AO1363" s="4">
        <f>IFERROR(vp.data[[#This Row],[Sulf]]*vp.data[[#This Row],[Net Dens]],"")</f>
        <v>106967204.32211202</v>
      </c>
      <c r="AP1363">
        <f>IFERROR(vp.data[[#This Row],[Dens]]*vp.data[[#This Row],[VolumeM3]],"")</f>
        <v>98135049.836800009</v>
      </c>
      <c r="AQ1363" s="15">
        <f>IFERROR(vp.data[[#This Row],[VP]]*vp.data[[#This Row],[VolumeM3]],"")</f>
        <v>10658109.920799999</v>
      </c>
    </row>
    <row r="1364" spans="1:43" x14ac:dyDescent="0.25">
      <c r="A1364">
        <v>1363</v>
      </c>
      <c r="B1364" t="s">
        <v>60</v>
      </c>
      <c r="C1364" t="s">
        <v>60</v>
      </c>
      <c r="D1364" t="s">
        <v>61</v>
      </c>
      <c r="E1364" t="s">
        <v>290</v>
      </c>
      <c r="F1364" s="1">
        <v>42856</v>
      </c>
      <c r="G1364" s="2">
        <v>70</v>
      </c>
      <c r="H1364" s="2"/>
      <c r="I1364" s="2">
        <f t="array" ref="I1364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364" s="2"/>
      <c r="K1364" s="2"/>
      <c r="L1364" s="2">
        <v>838.1</v>
      </c>
      <c r="M1364" s="2">
        <f t="array" ref="M1364">_xlfn.IFNA(IF(vp.data[[#This Row],[Dens Input]]="",INDEX([1]DATA!$O$3:$O$9826,MATCH(1,(vp.data[[#This Row],[Battery]]=[1]DATA!$L$3:$L$9826)*(EOMONTH(vp.data[[#This Row],[SDate]],-1)+1=[1]DATA!$G$3:$G$9826),0)),vp.data[[#This Row],[Dens Input]]),"")</f>
        <v>838.1</v>
      </c>
      <c r="N1364" s="2">
        <f ca="1">INDEX(INDIRECT(_xlfn.CONCAT("weather.tbl[",N$1,"]")),MATCH(vp.data[[#This Row],[SDate]],weather.tbl[Date],0))</f>
        <v>9.8000000000000025</v>
      </c>
      <c r="O1364" s="2">
        <f ca="1">INDEX(INDIRECT(_xlfn.CONCAT("weather.tbl[",O$1,"]")),MATCH(vp.data[[#This Row],[SDate]],weather.tbl[Date],0))</f>
        <v>5.5333333333333341</v>
      </c>
      <c r="P1364" s="2">
        <f ca="1">INDEX(INDIRECT(_xlfn.CONCAT("weather.tbl[",P$1,"]")),MATCH(vp.data[[#This Row],[SDate]],weather.tbl[Date],0))</f>
        <v>9.4</v>
      </c>
      <c r="Q1364" s="2">
        <f ca="1">INDEX(INDIRECT(_xlfn.CONCAT("weather.tbl[",Q$1,"]")),MATCH(vp.data[[#This Row],[SDate]],weather.tbl[Date],0))</f>
        <v>10.8</v>
      </c>
      <c r="R1364" s="2">
        <f ca="1">INDEX(INDIRECT(_xlfn.CONCAT("weather.tbl[",R$1,"]")),MATCH(vp.data[[#This Row],[SDate]],weather.tbl[Date],0))</f>
        <v>9.3000000000000007</v>
      </c>
      <c r="S1364" s="2">
        <f ca="1">INDEX(INDIRECT(_xlfn.CONCAT("weather.tbl[",S$1,"]")),MATCH(vp.data[[#This Row],[SDate]],weather.tbl[Date],0))</f>
        <v>8.9</v>
      </c>
      <c r="T1364" s="2">
        <f ca="1">INDEX(INDIRECT(_xlfn.CONCAT("weather.tbl[",T$1,"]")),MATCH(vp.data[[#This Row],[SDate]],weather.tbl[Date],0))</f>
        <v>10.6</v>
      </c>
      <c r="U1364" s="2">
        <f ca="1">INDEX(INDIRECT(_xlfn.CONCAT("weather.tbl[",U$1,"]")),MATCH(vp.data[[#This Row],[SDate]],weather.tbl[Date],0))</f>
        <v>9.8000000000000007</v>
      </c>
      <c r="V1364" s="2">
        <f t="array" ref="V13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364" t="s">
        <v>48</v>
      </c>
      <c r="X1364">
        <f>IF(OR(vp.data[[#This Row],[Sulf]]="",vp.data[[#This Row],[Dens]]=""),1,0)</f>
        <v>0</v>
      </c>
      <c r="Y1364">
        <f>IF(vp.data[[#This Row],[CrudeType]]="C5+",1,0)</f>
        <v>0</v>
      </c>
      <c r="Z1364">
        <f>IF(AND(vp.data[[#This Row],[CrudeType]]="Crude",vp.data[[#This Row],[Dens]]&lt;=825,vp.data[[#This Row],[Sulf]]&gt;0.5,vp.data[[#This Row],[Unknown]]=0),1,0)</f>
        <v>0</v>
      </c>
      <c r="AA1364">
        <f>IF(AND(vp.data[[#This Row],[CrudeType]]="Crude",vp.data[[#This Row],[Dens]]&lt;=825,vp.data[[#This Row],[Sulf]]&lt;=0.5,vp.data[[#This Row],[Unknown]]=0),1,0)</f>
        <v>0</v>
      </c>
      <c r="AB13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4">
        <f>IF(AND(vp.data[[#This Row],[CrudeType]]="Crude",vp.data[[#This Row],[Dens]]&gt;825,vp.data[[#This Row],[Dens]]&lt;=900,vp.data[[#This Row],[Sulf]]&lt;=0.5,vp.data[[#This Row],[Unknown]]=0),1,0)</f>
        <v>0</v>
      </c>
      <c r="AD1364">
        <f>IF(AND(vp.data[[#This Row],[CrudeType]]="Crude",vp.data[[#This Row],[Dens]]&gt;865,vp.data[[#This Row],[Dens]]&lt;=900,vp.data[[#This Row],[Sulf]]&gt;2,vp.data[[#This Row],[Unknown]]=0),1,0)</f>
        <v>0</v>
      </c>
      <c r="AE1364">
        <f>IF(AND(vp.data[[#This Row],[CrudeType]]="Crude",vp.data[[#This Row],[Dens]]&gt;900,vp.data[[#This Row],[Sulf]]&lt;=0.5,vp.data[[#This Row],[Unknown]]=0),1,0)</f>
        <v>0</v>
      </c>
      <c r="AF1364">
        <f>IF(AND(vp.data[[#This Row],[CrudeType]]="Crude",vp.data[[#This Row],[Dens]]&gt;900,vp.data[[#This Row],[Sulf]]&lt;=0.5,vp.data[[#This Row],[Unknown]]=0),1,0)</f>
        <v>0</v>
      </c>
      <c r="AG1364" t="str">
        <f>INDEX(vp.data[[#Headers],[Unknown]:[Heavy_SW]],MATCH(1,vp.data[[#This Row],[Unknown]:[Heavy_SW]],0))</f>
        <v>Medium_LSB</v>
      </c>
      <c r="AH1364">
        <f>INDEX([3]!crudeBD.lkup[Number],MATCH(vp.data[[#This Row],[Crude_Breakdown]],crudeBD.lkup[Crude Breakdown],0))</f>
        <v>3</v>
      </c>
      <c r="AI1364">
        <f>MONTH(vp.data[[#This Row],[SDate]])</f>
        <v>5</v>
      </c>
      <c r="AJ1364" s="5">
        <f>(vp.data[[#This Row],[VP]]-INDEX(crudeBD.lkup[Mean_VP],MATCH(vp.data[[#This Row],[Crude_Breakdown]],crudeBD.lkup[Crude Breakdown],0)))^2</f>
        <v>113.20271708575054</v>
      </c>
      <c r="AK1364" s="5">
        <f>(vp.data[[#This Row],[Dens]]-INDEX(crudeBD.lkup[Mean_Dens],MATCH(vp.data[[#This Row],[Crude_Breakdown]],crudeBD.lkup[Crude Breakdown],0)))^2</f>
        <v>33.872399999993966</v>
      </c>
      <c r="AL1364" s="5">
        <f>(vp.data[[#This Row],[Sulf]]-INDEX(crudeBD.lkup[Mean_Sulf],MATCH(vp.data[[#This Row],[Crude_Breakdown]],crudeBD.lkup[Crude Breakdown],0)))^2</f>
        <v>8.726596131132687E-2</v>
      </c>
      <c r="AM1364" s="4">
        <f>IF(AND(vp.data[[#This Row],[SDate]]&gt;=DATE(YEAR(vp.data[[#This Row],[SDate]]),5,1),vp.data[[#This Row],[SDate]]&lt;=DATE(YEAR(vp.data[[#This Row],[SDate]]),9,15)),1,0)</f>
        <v>1</v>
      </c>
      <c r="AN1364" s="4">
        <f>IF(vp.data[[#This Row],[SDate]]&lt;DATE(2016,12,1),0,1)</f>
        <v>1</v>
      </c>
      <c r="AO1364" s="4">
        <f>IFERROR(vp.data[[#This Row],[Sulf]]*vp.data[[#This Row],[Net Dens]],"")</f>
        <v>108063179.776232</v>
      </c>
      <c r="AP1364">
        <f>IFERROR(vp.data[[#This Row],[Dens]]*vp.data[[#This Row],[VolumeM3]],"")</f>
        <v>99140531.904799998</v>
      </c>
      <c r="AQ1364" s="15">
        <f>IFERROR(vp.data[[#This Row],[VP]]*vp.data[[#This Row],[VolumeM3]],"")</f>
        <v>8280440.5600000005</v>
      </c>
    </row>
    <row r="1365" spans="1:43" x14ac:dyDescent="0.25">
      <c r="A1365">
        <v>1364</v>
      </c>
      <c r="B1365" t="s">
        <v>49</v>
      </c>
      <c r="C1365" t="s">
        <v>49</v>
      </c>
      <c r="D1365" t="s">
        <v>59</v>
      </c>
      <c r="F1365" s="1">
        <v>42856</v>
      </c>
      <c r="G1365" s="2">
        <v>78.3</v>
      </c>
      <c r="H1365" s="2"/>
      <c r="I1365" s="2">
        <f t="array" ref="I1365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365" s="2"/>
      <c r="K1365" s="2"/>
      <c r="L1365" s="2">
        <v>845</v>
      </c>
      <c r="M1365" s="2">
        <f t="array" ref="M1365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1365" s="2">
        <f ca="1">INDEX(INDIRECT(_xlfn.CONCAT("weather.tbl[",N$1,"]")),MATCH(vp.data[[#This Row],[SDate]],weather.tbl[Date],0))</f>
        <v>9.8000000000000025</v>
      </c>
      <c r="O1365" s="2">
        <f ca="1">INDEX(INDIRECT(_xlfn.CONCAT("weather.tbl[",O$1,"]")),MATCH(vp.data[[#This Row],[SDate]],weather.tbl[Date],0))</f>
        <v>5.5333333333333341</v>
      </c>
      <c r="P1365" s="2">
        <f ca="1">INDEX(INDIRECT(_xlfn.CONCAT("weather.tbl[",P$1,"]")),MATCH(vp.data[[#This Row],[SDate]],weather.tbl[Date],0))</f>
        <v>9.4</v>
      </c>
      <c r="Q1365" s="2">
        <f ca="1">INDEX(INDIRECT(_xlfn.CONCAT("weather.tbl[",Q$1,"]")),MATCH(vp.data[[#This Row],[SDate]],weather.tbl[Date],0))</f>
        <v>10.8</v>
      </c>
      <c r="R1365" s="2">
        <f ca="1">INDEX(INDIRECT(_xlfn.CONCAT("weather.tbl[",R$1,"]")),MATCH(vp.data[[#This Row],[SDate]],weather.tbl[Date],0))</f>
        <v>9.3000000000000007</v>
      </c>
      <c r="S1365" s="2">
        <f ca="1">INDEX(INDIRECT(_xlfn.CONCAT("weather.tbl[",S$1,"]")),MATCH(vp.data[[#This Row],[SDate]],weather.tbl[Date],0))</f>
        <v>8.9</v>
      </c>
      <c r="T1365" s="2">
        <f ca="1">INDEX(INDIRECT(_xlfn.CONCAT("weather.tbl[",T$1,"]")),MATCH(vp.data[[#This Row],[SDate]],weather.tbl[Date],0))</f>
        <v>10.6</v>
      </c>
      <c r="U1365" s="2">
        <f ca="1">INDEX(INDIRECT(_xlfn.CONCAT("weather.tbl[",U$1,"]")),MATCH(vp.data[[#This Row],[SDate]],weather.tbl[Date],0))</f>
        <v>9.8000000000000007</v>
      </c>
      <c r="V1365" s="2">
        <f t="array" ref="V13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1309.8610000000001</v>
      </c>
      <c r="W1365" t="s">
        <v>48</v>
      </c>
      <c r="X1365">
        <f>IF(OR(vp.data[[#This Row],[Sulf]]="",vp.data[[#This Row],[Dens]]=""),1,0)</f>
        <v>0</v>
      </c>
      <c r="Y1365">
        <f>IF(vp.data[[#This Row],[CrudeType]]="C5+",1,0)</f>
        <v>0</v>
      </c>
      <c r="Z1365">
        <f>IF(AND(vp.data[[#This Row],[CrudeType]]="Crude",vp.data[[#This Row],[Dens]]&lt;=825,vp.data[[#This Row],[Sulf]]&gt;0.5,vp.data[[#This Row],[Unknown]]=0),1,0)</f>
        <v>0</v>
      </c>
      <c r="AA1365">
        <f>IF(AND(vp.data[[#This Row],[CrudeType]]="Crude",vp.data[[#This Row],[Dens]]&lt;=825,vp.data[[#This Row],[Sulf]]&lt;=0.5,vp.data[[#This Row],[Unknown]]=0),1,0)</f>
        <v>0</v>
      </c>
      <c r="AB13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5">
        <f>IF(AND(vp.data[[#This Row],[CrudeType]]="Crude",vp.data[[#This Row],[Dens]]&gt;825,vp.data[[#This Row],[Dens]]&lt;=900,vp.data[[#This Row],[Sulf]]&lt;=0.5,vp.data[[#This Row],[Unknown]]=0),1,0)</f>
        <v>0</v>
      </c>
      <c r="AD1365">
        <f>IF(AND(vp.data[[#This Row],[CrudeType]]="Crude",vp.data[[#This Row],[Dens]]&gt;865,vp.data[[#This Row],[Dens]]&lt;=900,vp.data[[#This Row],[Sulf]]&gt;2,vp.data[[#This Row],[Unknown]]=0),1,0)</f>
        <v>0</v>
      </c>
      <c r="AE1365">
        <f>IF(AND(vp.data[[#This Row],[CrudeType]]="Crude",vp.data[[#This Row],[Dens]]&gt;900,vp.data[[#This Row],[Sulf]]&lt;=0.5,vp.data[[#This Row],[Unknown]]=0),1,0)</f>
        <v>0</v>
      </c>
      <c r="AF1365">
        <f>IF(AND(vp.data[[#This Row],[CrudeType]]="Crude",vp.data[[#This Row],[Dens]]&gt;900,vp.data[[#This Row],[Sulf]]&lt;=0.5,vp.data[[#This Row],[Unknown]]=0),1,0)</f>
        <v>0</v>
      </c>
      <c r="AG1365" t="str">
        <f>INDEX(vp.data[[#Headers],[Unknown]:[Heavy_SW]],MATCH(1,vp.data[[#This Row],[Unknown]:[Heavy_SW]],0))</f>
        <v>Medium_LSB</v>
      </c>
      <c r="AH1365">
        <f>INDEX([3]!crudeBD.lkup[Number],MATCH(vp.data[[#This Row],[Crude_Breakdown]],crudeBD.lkup[Crude Breakdown],0))</f>
        <v>3</v>
      </c>
      <c r="AI1365">
        <f>MONTH(vp.data[[#This Row],[SDate]])</f>
        <v>5</v>
      </c>
      <c r="AJ1365" s="5">
        <f>(vp.data[[#This Row],[VP]]-INDEX(crudeBD.lkup[Mean_VP],MATCH(vp.data[[#This Row],[Crude_Breakdown]],crudeBD.lkup[Crude Breakdown],0)))^2</f>
        <v>5.4740863579889405</v>
      </c>
      <c r="AK1365" s="5">
        <f>(vp.data[[#This Row],[Dens]]-INDEX(crudeBD.lkup[Mean_Dens],MATCH(vp.data[[#This Row],[Crude_Breakdown]],crudeBD.lkup[Crude Breakdown],0)))^2</f>
        <v>1.1664000000010706</v>
      </c>
      <c r="AL1365" s="5">
        <f>(vp.data[[#This Row],[Sulf]]-INDEX(crudeBD.lkup[Mean_Sulf],MATCH(vp.data[[#This Row],[Crude_Breakdown]],crudeBD.lkup[Crude Breakdown],0)))^2</f>
        <v>1.9884351657733202E-3</v>
      </c>
      <c r="AM1365" s="4">
        <f>IF(AND(vp.data[[#This Row],[SDate]]&gt;=DATE(YEAR(vp.data[[#This Row],[SDate]]),5,1),vp.data[[#This Row],[SDate]]&lt;=DATE(YEAR(vp.data[[#This Row],[SDate]]),9,15)),1,0)</f>
        <v>1</v>
      </c>
      <c r="AN1365" s="4">
        <f>IF(vp.data[[#This Row],[SDate]]&lt;DATE(2016,12,1),0,1)</f>
        <v>1</v>
      </c>
      <c r="AO1365" s="4">
        <f>IFERROR(vp.data[[#This Row],[Sulf]]*vp.data[[#This Row],[Net Dens]],"")</f>
        <v>1582770.5393500002</v>
      </c>
      <c r="AP1365">
        <f>IFERROR(vp.data[[#This Row],[Dens]]*vp.data[[#This Row],[VolumeM3]],"")</f>
        <v>1106832.5450000002</v>
      </c>
      <c r="AQ1365" s="15">
        <f>IFERROR(vp.data[[#This Row],[VP]]*vp.data[[#This Row],[VolumeM3]],"")</f>
        <v>102562.11630000001</v>
      </c>
    </row>
    <row r="1366" spans="1:43" x14ac:dyDescent="0.25">
      <c r="A1366">
        <v>1365</v>
      </c>
      <c r="B1366" t="s">
        <v>49</v>
      </c>
      <c r="C1366" t="s">
        <v>49</v>
      </c>
      <c r="D1366" t="s">
        <v>90</v>
      </c>
      <c r="F1366" s="1">
        <v>42856</v>
      </c>
      <c r="G1366" s="2">
        <v>66</v>
      </c>
      <c r="H1366" s="2"/>
      <c r="I1366" s="2">
        <f t="array" ref="I1366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366" s="2"/>
      <c r="K1366" s="2"/>
      <c r="L1366" s="2">
        <v>844.9</v>
      </c>
      <c r="M1366" s="2">
        <f t="array" ref="M1366">_xlfn.IFNA(IF(vp.data[[#This Row],[Dens Input]]="",INDEX([1]DATA!$O$3:$O$9826,MATCH(1,(vp.data[[#This Row],[Battery]]=[1]DATA!$L$3:$L$9826)*(EOMONTH(vp.data[[#This Row],[SDate]],-1)+1=[1]DATA!$G$3:$G$9826),0)),vp.data[[#This Row],[Dens Input]]),"")</f>
        <v>844.9</v>
      </c>
      <c r="N1366" s="2">
        <f ca="1">INDEX(INDIRECT(_xlfn.CONCAT("weather.tbl[",N$1,"]")),MATCH(vp.data[[#This Row],[SDate]],weather.tbl[Date],0))</f>
        <v>9.8000000000000025</v>
      </c>
      <c r="O1366" s="2">
        <f ca="1">INDEX(INDIRECT(_xlfn.CONCAT("weather.tbl[",O$1,"]")),MATCH(vp.data[[#This Row],[SDate]],weather.tbl[Date],0))</f>
        <v>5.5333333333333341</v>
      </c>
      <c r="P1366" s="2">
        <f ca="1">INDEX(INDIRECT(_xlfn.CONCAT("weather.tbl[",P$1,"]")),MATCH(vp.data[[#This Row],[SDate]],weather.tbl[Date],0))</f>
        <v>9.4</v>
      </c>
      <c r="Q1366" s="2">
        <f ca="1">INDEX(INDIRECT(_xlfn.CONCAT("weather.tbl[",Q$1,"]")),MATCH(vp.data[[#This Row],[SDate]],weather.tbl[Date],0))</f>
        <v>10.8</v>
      </c>
      <c r="R1366" s="2">
        <f ca="1">INDEX(INDIRECT(_xlfn.CONCAT("weather.tbl[",R$1,"]")),MATCH(vp.data[[#This Row],[SDate]],weather.tbl[Date],0))</f>
        <v>9.3000000000000007</v>
      </c>
      <c r="S1366" s="2">
        <f ca="1">INDEX(INDIRECT(_xlfn.CONCAT("weather.tbl[",S$1,"]")),MATCH(vp.data[[#This Row],[SDate]],weather.tbl[Date],0))</f>
        <v>8.9</v>
      </c>
      <c r="T1366" s="2">
        <f ca="1">INDEX(INDIRECT(_xlfn.CONCAT("weather.tbl[",T$1,"]")),MATCH(vp.data[[#This Row],[SDate]],weather.tbl[Date],0))</f>
        <v>10.6</v>
      </c>
      <c r="U1366" s="2">
        <f ca="1">INDEX(INDIRECT(_xlfn.CONCAT("weather.tbl[",U$1,"]")),MATCH(vp.data[[#This Row],[SDate]],weather.tbl[Date],0))</f>
        <v>9.8000000000000007</v>
      </c>
      <c r="V1366" s="2">
        <f t="array" ref="V13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4681.2809999999999</v>
      </c>
      <c r="W1366" t="s">
        <v>48</v>
      </c>
      <c r="X1366">
        <f>IF(OR(vp.data[[#This Row],[Sulf]]="",vp.data[[#This Row],[Dens]]=""),1,0)</f>
        <v>0</v>
      </c>
      <c r="Y1366">
        <f>IF(vp.data[[#This Row],[CrudeType]]="C5+",1,0)</f>
        <v>0</v>
      </c>
      <c r="Z1366">
        <f>IF(AND(vp.data[[#This Row],[CrudeType]]="Crude",vp.data[[#This Row],[Dens]]&lt;=825,vp.data[[#This Row],[Sulf]]&gt;0.5,vp.data[[#This Row],[Unknown]]=0),1,0)</f>
        <v>0</v>
      </c>
      <c r="AA1366">
        <f>IF(AND(vp.data[[#This Row],[CrudeType]]="Crude",vp.data[[#This Row],[Dens]]&lt;=825,vp.data[[#This Row],[Sulf]]&lt;=0.5,vp.data[[#This Row],[Unknown]]=0),1,0)</f>
        <v>0</v>
      </c>
      <c r="AB13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6">
        <f>IF(AND(vp.data[[#This Row],[CrudeType]]="Crude",vp.data[[#This Row],[Dens]]&gt;825,vp.data[[#This Row],[Dens]]&lt;=900,vp.data[[#This Row],[Sulf]]&lt;=0.5,vp.data[[#This Row],[Unknown]]=0),1,0)</f>
        <v>0</v>
      </c>
      <c r="AD1366">
        <f>IF(AND(vp.data[[#This Row],[CrudeType]]="Crude",vp.data[[#This Row],[Dens]]&gt;865,vp.data[[#This Row],[Dens]]&lt;=900,vp.data[[#This Row],[Sulf]]&gt;2,vp.data[[#This Row],[Unknown]]=0),1,0)</f>
        <v>0</v>
      </c>
      <c r="AE1366">
        <f>IF(AND(vp.data[[#This Row],[CrudeType]]="Crude",vp.data[[#This Row],[Dens]]&gt;900,vp.data[[#This Row],[Sulf]]&lt;=0.5,vp.data[[#This Row],[Unknown]]=0),1,0)</f>
        <v>0</v>
      </c>
      <c r="AF1366">
        <f>IF(AND(vp.data[[#This Row],[CrudeType]]="Crude",vp.data[[#This Row],[Dens]]&gt;900,vp.data[[#This Row],[Sulf]]&lt;=0.5,vp.data[[#This Row],[Unknown]]=0),1,0)</f>
        <v>0</v>
      </c>
      <c r="AG1366" t="str">
        <f>INDEX(vp.data[[#Headers],[Unknown]:[Heavy_SW]],MATCH(1,vp.data[[#This Row],[Unknown]:[Heavy_SW]],0))</f>
        <v>Medium_LSB</v>
      </c>
      <c r="AH1366">
        <f>INDEX([3]!crudeBD.lkup[Number],MATCH(vp.data[[#This Row],[Crude_Breakdown]],crudeBD.lkup[Crude Breakdown],0))</f>
        <v>3</v>
      </c>
      <c r="AI1366">
        <f>MONTH(vp.data[[#This Row],[SDate]])</f>
        <v>5</v>
      </c>
      <c r="AJ1366" s="5">
        <f>(vp.data[[#This Row],[VP]]-INDEX(crudeBD.lkup[Mean_VP],MATCH(vp.data[[#This Row],[Crude_Breakdown]],crudeBD.lkup[Crude Breakdown],0)))^2</f>
        <v>214.32012948467181</v>
      </c>
      <c r="AK1366" s="5">
        <f>(vp.data[[#This Row],[Dens]]-INDEX(crudeBD.lkup[Mean_Dens],MATCH(vp.data[[#This Row],[Crude_Breakdown]],crudeBD.lkup[Crude Breakdown],0)))^2</f>
        <v>0.96040000000092696</v>
      </c>
      <c r="AL1366" s="5">
        <f>(vp.data[[#This Row],[Sulf]]-INDEX(crudeBD.lkup[Mean_Sulf],MATCH(vp.data[[#This Row],[Crude_Breakdown]],crudeBD.lkup[Crude Breakdown],0)))^2</f>
        <v>1.1110873171164612E-2</v>
      </c>
      <c r="AM1366" s="4">
        <f>IF(AND(vp.data[[#This Row],[SDate]]&gt;=DATE(YEAR(vp.data[[#This Row],[SDate]]),5,1),vp.data[[#This Row],[SDate]]&lt;=DATE(YEAR(vp.data[[#This Row],[SDate]]),9,15)),1,0)</f>
        <v>1</v>
      </c>
      <c r="AN1366" s="4">
        <f>IF(vp.data[[#This Row],[SDate]]&lt;DATE(2016,12,1),0,1)</f>
        <v>1</v>
      </c>
      <c r="AO1366" s="4">
        <f>IFERROR(vp.data[[#This Row],[Sulf]]*vp.data[[#This Row],[Net Dens]],"")</f>
        <v>5062674.3256320003</v>
      </c>
      <c r="AP1366">
        <f>IFERROR(vp.data[[#This Row],[Dens]]*vp.data[[#This Row],[VolumeM3]],"")</f>
        <v>3955214.3169</v>
      </c>
      <c r="AQ1366" s="15">
        <f>IFERROR(vp.data[[#This Row],[VP]]*vp.data[[#This Row],[VolumeM3]],"")</f>
        <v>308964.54599999997</v>
      </c>
    </row>
    <row r="1367" spans="1:43" x14ac:dyDescent="0.25">
      <c r="A1367">
        <v>1366</v>
      </c>
      <c r="B1367" t="s">
        <v>51</v>
      </c>
      <c r="C1367" t="s">
        <v>51</v>
      </c>
      <c r="D1367" t="s">
        <v>95</v>
      </c>
      <c r="F1367" s="1">
        <v>42856</v>
      </c>
      <c r="G1367" s="2">
        <v>70.2</v>
      </c>
      <c r="H1367" s="2"/>
      <c r="I1367" s="2">
        <f t="array" ref="I1367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367" s="2"/>
      <c r="K1367" s="2"/>
      <c r="L1367" s="2">
        <v>842</v>
      </c>
      <c r="M1367" s="2">
        <f t="array" ref="M1367">_xlfn.IFNA(IF(vp.data[[#This Row],[Dens Input]]="",INDEX([1]DATA!$O$3:$O$9826,MATCH(1,(vp.data[[#This Row],[Battery]]=[1]DATA!$L$3:$L$9826)*(EOMONTH(vp.data[[#This Row],[SDate]],-1)+1=[1]DATA!$G$3:$G$9826),0)),vp.data[[#This Row],[Dens Input]]),"")</f>
        <v>842</v>
      </c>
      <c r="N1367" s="2">
        <f ca="1">INDEX(INDIRECT(_xlfn.CONCAT("weather.tbl[",N$1,"]")),MATCH(vp.data[[#This Row],[SDate]],weather.tbl[Date],0))</f>
        <v>9.8000000000000025</v>
      </c>
      <c r="O1367" s="2">
        <f ca="1">INDEX(INDIRECT(_xlfn.CONCAT("weather.tbl[",O$1,"]")),MATCH(vp.data[[#This Row],[SDate]],weather.tbl[Date],0))</f>
        <v>5.5333333333333341</v>
      </c>
      <c r="P1367" s="2">
        <f ca="1">INDEX(INDIRECT(_xlfn.CONCAT("weather.tbl[",P$1,"]")),MATCH(vp.data[[#This Row],[SDate]],weather.tbl[Date],0))</f>
        <v>9.4</v>
      </c>
      <c r="Q1367" s="2">
        <f ca="1">INDEX(INDIRECT(_xlfn.CONCAT("weather.tbl[",Q$1,"]")),MATCH(vp.data[[#This Row],[SDate]],weather.tbl[Date],0))</f>
        <v>10.8</v>
      </c>
      <c r="R1367" s="2">
        <f ca="1">INDEX(INDIRECT(_xlfn.CONCAT("weather.tbl[",R$1,"]")),MATCH(vp.data[[#This Row],[SDate]],weather.tbl[Date],0))</f>
        <v>9.3000000000000007</v>
      </c>
      <c r="S1367" s="2">
        <f ca="1">INDEX(INDIRECT(_xlfn.CONCAT("weather.tbl[",S$1,"]")),MATCH(vp.data[[#This Row],[SDate]],weather.tbl[Date],0))</f>
        <v>8.9</v>
      </c>
      <c r="T1367" s="2">
        <f ca="1">INDEX(INDIRECT(_xlfn.CONCAT("weather.tbl[",T$1,"]")),MATCH(vp.data[[#This Row],[SDate]],weather.tbl[Date],0))</f>
        <v>10.6</v>
      </c>
      <c r="U1367" s="2">
        <f ca="1">INDEX(INDIRECT(_xlfn.CONCAT("weather.tbl[",U$1,"]")),MATCH(vp.data[[#This Row],[SDate]],weather.tbl[Date],0))</f>
        <v>9.8000000000000007</v>
      </c>
      <c r="V1367" s="2">
        <f t="array" ref="V13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5507.5879999999997</v>
      </c>
      <c r="W1367" t="s">
        <v>48</v>
      </c>
      <c r="X1367">
        <f>IF(OR(vp.data[[#This Row],[Sulf]]="",vp.data[[#This Row],[Dens]]=""),1,0)</f>
        <v>0</v>
      </c>
      <c r="Y1367">
        <f>IF(vp.data[[#This Row],[CrudeType]]="C5+",1,0)</f>
        <v>0</v>
      </c>
      <c r="Z1367">
        <f>IF(AND(vp.data[[#This Row],[CrudeType]]="Crude",vp.data[[#This Row],[Dens]]&lt;=825,vp.data[[#This Row],[Sulf]]&gt;0.5,vp.data[[#This Row],[Unknown]]=0),1,0)</f>
        <v>0</v>
      </c>
      <c r="AA1367">
        <f>IF(AND(vp.data[[#This Row],[CrudeType]]="Crude",vp.data[[#This Row],[Dens]]&lt;=825,vp.data[[#This Row],[Sulf]]&lt;=0.5,vp.data[[#This Row],[Unknown]]=0),1,0)</f>
        <v>0</v>
      </c>
      <c r="AB13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7">
        <f>IF(AND(vp.data[[#This Row],[CrudeType]]="Crude",vp.data[[#This Row],[Dens]]&gt;825,vp.data[[#This Row],[Dens]]&lt;=900,vp.data[[#This Row],[Sulf]]&lt;=0.5,vp.data[[#This Row],[Unknown]]=0),1,0)</f>
        <v>0</v>
      </c>
      <c r="AD1367">
        <f>IF(AND(vp.data[[#This Row],[CrudeType]]="Crude",vp.data[[#This Row],[Dens]]&gt;865,vp.data[[#This Row],[Dens]]&lt;=900,vp.data[[#This Row],[Sulf]]&gt;2,vp.data[[#This Row],[Unknown]]=0),1,0)</f>
        <v>0</v>
      </c>
      <c r="AE1367">
        <f>IF(AND(vp.data[[#This Row],[CrudeType]]="Crude",vp.data[[#This Row],[Dens]]&gt;900,vp.data[[#This Row],[Sulf]]&lt;=0.5,vp.data[[#This Row],[Unknown]]=0),1,0)</f>
        <v>0</v>
      </c>
      <c r="AF1367">
        <f>IF(AND(vp.data[[#This Row],[CrudeType]]="Crude",vp.data[[#This Row],[Dens]]&gt;900,vp.data[[#This Row],[Sulf]]&lt;=0.5,vp.data[[#This Row],[Unknown]]=0),1,0)</f>
        <v>0</v>
      </c>
      <c r="AG1367" t="str">
        <f>INDEX(vp.data[[#Headers],[Unknown]:[Heavy_SW]],MATCH(1,vp.data[[#This Row],[Unknown]:[Heavy_SW]],0))</f>
        <v>Medium_LSB</v>
      </c>
      <c r="AH1367">
        <f>INDEX([3]!crudeBD.lkup[Number],MATCH(vp.data[[#This Row],[Crude_Breakdown]],crudeBD.lkup[Crude Breakdown],0))</f>
        <v>3</v>
      </c>
      <c r="AI1367">
        <f>MONTH(vp.data[[#This Row],[SDate]])</f>
        <v>5</v>
      </c>
      <c r="AJ1367" s="5">
        <f>(vp.data[[#This Row],[VP]]-INDEX(crudeBD.lkup[Mean_VP],MATCH(vp.data[[#This Row],[Crude_Breakdown]],crudeBD.lkup[Crude Breakdown],0)))^2</f>
        <v>108.98684646580442</v>
      </c>
      <c r="AK1367" s="5">
        <f>(vp.data[[#This Row],[Dens]]-INDEX(crudeBD.lkup[Mean_Dens],MATCH(vp.data[[#This Row],[Crude_Breakdown]],crudeBD.lkup[Crude Breakdown],0)))^2</f>
        <v>3.6863999999980965</v>
      </c>
      <c r="AL1367" s="5">
        <f>(vp.data[[#This Row],[Sulf]]-INDEX(crudeBD.lkup[Mean_Sulf],MATCH(vp.data[[#This Row],[Crude_Breakdown]],crudeBD.lkup[Crude Breakdown],0)))^2</f>
        <v>3.8184335974399415E-2</v>
      </c>
      <c r="AM1367" s="4">
        <f>IF(AND(vp.data[[#This Row],[SDate]]&gt;=DATE(YEAR(vp.data[[#This Row],[SDate]]),5,1),vp.data[[#This Row],[SDate]]&lt;=DATE(YEAR(vp.data[[#This Row],[SDate]]),9,15)),1,0)</f>
        <v>1</v>
      </c>
      <c r="AN1367" s="4">
        <f>IF(vp.data[[#This Row],[SDate]]&lt;DATE(2016,12,1),0,1)</f>
        <v>1</v>
      </c>
      <c r="AO1367" s="4">
        <f>IFERROR(vp.data[[#This Row],[Sulf]]*vp.data[[#This Row],[Net Dens]],"")</f>
        <v>5518493.0242399992</v>
      </c>
      <c r="AP1367">
        <f>IFERROR(vp.data[[#This Row],[Dens]]*vp.data[[#This Row],[VolumeM3]],"")</f>
        <v>4637389.0959999999</v>
      </c>
      <c r="AQ1367" s="15">
        <f>IFERROR(vp.data[[#This Row],[VP]]*vp.data[[#This Row],[VolumeM3]],"")</f>
        <v>386632.6776</v>
      </c>
    </row>
    <row r="1368" spans="1:43" x14ac:dyDescent="0.25">
      <c r="A1368">
        <v>1367</v>
      </c>
      <c r="B1368" t="s">
        <v>51</v>
      </c>
      <c r="C1368" t="s">
        <v>51</v>
      </c>
      <c r="D1368" t="s">
        <v>72</v>
      </c>
      <c r="F1368" s="1">
        <v>42857</v>
      </c>
      <c r="G1368" s="2">
        <v>84.1</v>
      </c>
      <c r="H1368" s="2"/>
      <c r="I1368" s="2">
        <f t="array" ref="I1368">_xlfn.IFNA(IF(vp.data[[#This Row],[Sulf Input]]="",INDEX([1]DATA!$Q$3:$Q$9826,MATCH(1,(vp.data[[#This Row],[Battery]]=[1]DATA!$L$3:$L$9826)*(EOMONTH(vp.data[[#This Row],[SDate]],-1)+1=[1]DATA!$G$3:$G$9826),0)),vp.data[[#This Row],[Sulf Input]]),"")</f>
        <v>1.06</v>
      </c>
      <c r="J1368" s="2"/>
      <c r="K1368" s="2"/>
      <c r="L1368" s="2">
        <v>827.7</v>
      </c>
      <c r="M1368" s="2">
        <f t="array" ref="M1368">_xlfn.IFNA(IF(vp.data[[#This Row],[Dens Input]]="",INDEX([1]DATA!$O$3:$O$9826,MATCH(1,(vp.data[[#This Row],[Battery]]=[1]DATA!$L$3:$L$9826)*(EOMONTH(vp.data[[#This Row],[SDate]],-1)+1=[1]DATA!$G$3:$G$9826),0)),vp.data[[#This Row],[Dens Input]]),"")</f>
        <v>827.7</v>
      </c>
      <c r="N1368" s="2">
        <f ca="1">INDEX(INDIRECT(_xlfn.CONCAT("weather.tbl[",N$1,"]")),MATCH(vp.data[[#This Row],[SDate]],weather.tbl[Date],0))</f>
        <v>9.3500000000000014</v>
      </c>
      <c r="O1368" s="2">
        <f ca="1">INDEX(INDIRECT(_xlfn.CONCAT("weather.tbl[",O$1,"]")),MATCH(vp.data[[#This Row],[SDate]],weather.tbl[Date],0))</f>
        <v>6.7214285714285733</v>
      </c>
      <c r="P1368" s="2">
        <f ca="1">INDEX(INDIRECT(_xlfn.CONCAT("weather.tbl[",P$1,"]")),MATCH(vp.data[[#This Row],[SDate]],weather.tbl[Date],0))</f>
        <v>9.5</v>
      </c>
      <c r="Q1368" s="2">
        <f ca="1">INDEX(INDIRECT(_xlfn.CONCAT("weather.tbl[",Q$1,"]")),MATCH(vp.data[[#This Row],[SDate]],weather.tbl[Date],0))</f>
        <v>10.5</v>
      </c>
      <c r="R1368" s="2">
        <f ca="1">INDEX(INDIRECT(_xlfn.CONCAT("weather.tbl[",R$1,"]")),MATCH(vp.data[[#This Row],[SDate]],weather.tbl[Date],0))</f>
        <v>9.3000000000000007</v>
      </c>
      <c r="S1368" s="2">
        <f ca="1">INDEX(INDIRECT(_xlfn.CONCAT("weather.tbl[",S$1,"]")),MATCH(vp.data[[#This Row],[SDate]],weather.tbl[Date],0))</f>
        <v>8.9</v>
      </c>
      <c r="T1368" s="2">
        <f ca="1">INDEX(INDIRECT(_xlfn.CONCAT("weather.tbl[",T$1,"]")),MATCH(vp.data[[#This Row],[SDate]],weather.tbl[Date],0))</f>
        <v>9.1</v>
      </c>
      <c r="U1368" s="2">
        <f ca="1">INDEX(INDIRECT(_xlfn.CONCAT("weather.tbl[",U$1,"]")),MATCH(vp.data[[#This Row],[SDate]],weather.tbl[Date],0))</f>
        <v>8.8000000000000007</v>
      </c>
      <c r="V1368" s="2">
        <f t="array" ref="V13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14195.075000000001</v>
      </c>
      <c r="W1368" t="s">
        <v>48</v>
      </c>
      <c r="X1368">
        <f>IF(OR(vp.data[[#This Row],[Sulf]]="",vp.data[[#This Row],[Dens]]=""),1,0)</f>
        <v>0</v>
      </c>
      <c r="Y1368">
        <f>IF(vp.data[[#This Row],[CrudeType]]="C5+",1,0)</f>
        <v>0</v>
      </c>
      <c r="Z1368">
        <f>IF(AND(vp.data[[#This Row],[CrudeType]]="Crude",vp.data[[#This Row],[Dens]]&lt;=825,vp.data[[#This Row],[Sulf]]&gt;0.5,vp.data[[#This Row],[Unknown]]=0),1,0)</f>
        <v>0</v>
      </c>
      <c r="AA1368">
        <f>IF(AND(vp.data[[#This Row],[CrudeType]]="Crude",vp.data[[#This Row],[Dens]]&lt;=825,vp.data[[#This Row],[Sulf]]&lt;=0.5,vp.data[[#This Row],[Unknown]]=0),1,0)</f>
        <v>0</v>
      </c>
      <c r="AB13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8">
        <f>IF(AND(vp.data[[#This Row],[CrudeType]]="Crude",vp.data[[#This Row],[Dens]]&gt;825,vp.data[[#This Row],[Dens]]&lt;=900,vp.data[[#This Row],[Sulf]]&lt;=0.5,vp.data[[#This Row],[Unknown]]=0),1,0)</f>
        <v>0</v>
      </c>
      <c r="AD1368">
        <f>IF(AND(vp.data[[#This Row],[CrudeType]]="Crude",vp.data[[#This Row],[Dens]]&gt;865,vp.data[[#This Row],[Dens]]&lt;=900,vp.data[[#This Row],[Sulf]]&gt;2,vp.data[[#This Row],[Unknown]]=0),1,0)</f>
        <v>0</v>
      </c>
      <c r="AE1368">
        <f>IF(AND(vp.data[[#This Row],[CrudeType]]="Crude",vp.data[[#This Row],[Dens]]&gt;900,vp.data[[#This Row],[Sulf]]&lt;=0.5,vp.data[[#This Row],[Unknown]]=0),1,0)</f>
        <v>0</v>
      </c>
      <c r="AF1368">
        <f>IF(AND(vp.data[[#This Row],[CrudeType]]="Crude",vp.data[[#This Row],[Dens]]&gt;900,vp.data[[#This Row],[Sulf]]&lt;=0.5,vp.data[[#This Row],[Unknown]]=0),1,0)</f>
        <v>0</v>
      </c>
      <c r="AG1368" t="str">
        <f>INDEX(vp.data[[#Headers],[Unknown]:[Heavy_SW]],MATCH(1,vp.data[[#This Row],[Unknown]:[Heavy_SW]],0))</f>
        <v>Medium_LSB</v>
      </c>
      <c r="AH1368">
        <f>INDEX([3]!crudeBD.lkup[Number],MATCH(vp.data[[#This Row],[Crude_Breakdown]],crudeBD.lkup[Crude Breakdown],0))</f>
        <v>3</v>
      </c>
      <c r="AI1368">
        <f>MONTH(vp.data[[#This Row],[SDate]])</f>
        <v>5</v>
      </c>
      <c r="AJ1368" s="5">
        <f>(vp.data[[#This Row],[VP]]-INDEX(crudeBD.lkup[Mean_VP],MATCH(vp.data[[#This Row],[Crude_Breakdown]],crudeBD.lkup[Crude Breakdown],0)))^2</f>
        <v>11.97383837955306</v>
      </c>
      <c r="AK1368" s="5">
        <f>(vp.data[[#This Row],[Dens]]-INDEX(crudeBD.lkup[Mean_Dens],MATCH(vp.data[[#This Row],[Crude_Breakdown]],crudeBD.lkup[Crude Breakdown],0)))^2</f>
        <v>263.08839999998247</v>
      </c>
      <c r="AL1368" s="5">
        <f>(vp.data[[#This Row],[Sulf]]-INDEX(crudeBD.lkup[Mean_Sulf],MATCH(vp.data[[#This Row],[Crude_Breakdown]],crudeBD.lkup[Crude Breakdown],0)))^2</f>
        <v>0.10589044891240515</v>
      </c>
      <c r="AM1368" s="4">
        <f>IF(AND(vp.data[[#This Row],[SDate]]&gt;=DATE(YEAR(vp.data[[#This Row],[SDate]]),5,1),vp.data[[#This Row],[SDate]]&lt;=DATE(YEAR(vp.data[[#This Row],[SDate]]),9,15)),1,0)</f>
        <v>1</v>
      </c>
      <c r="AN1368" s="4">
        <f>IF(vp.data[[#This Row],[SDate]]&lt;DATE(2016,12,1),0,1)</f>
        <v>1</v>
      </c>
      <c r="AO1368" s="4">
        <f>IFERROR(vp.data[[#This Row],[Sulf]]*vp.data[[#This Row],[Net Dens]],"")</f>
        <v>12454219.392150002</v>
      </c>
      <c r="AP1368">
        <f>IFERROR(vp.data[[#This Row],[Dens]]*vp.data[[#This Row],[VolumeM3]],"")</f>
        <v>11749263.577500001</v>
      </c>
      <c r="AQ1368" s="15">
        <f>IFERROR(vp.data[[#This Row],[VP]]*vp.data[[#This Row],[VolumeM3]],"")</f>
        <v>1193805.8074999999</v>
      </c>
    </row>
    <row r="1369" spans="1:43" x14ac:dyDescent="0.25">
      <c r="A1369">
        <v>1368</v>
      </c>
      <c r="B1369" t="s">
        <v>68</v>
      </c>
      <c r="C1369" t="s">
        <v>68</v>
      </c>
      <c r="D1369" t="s">
        <v>69</v>
      </c>
      <c r="F1369" s="1">
        <v>42857</v>
      </c>
      <c r="G1369" s="2">
        <v>70.900000000000006</v>
      </c>
      <c r="H1369" s="2"/>
      <c r="I1369" s="2">
        <f t="array" ref="I1369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1369" s="2"/>
      <c r="K1369" s="2"/>
      <c r="L1369" s="2">
        <v>856.1</v>
      </c>
      <c r="M1369" s="2">
        <f t="array" ref="M1369">_xlfn.IFNA(IF(vp.data[[#This Row],[Dens Input]]="",INDEX([1]DATA!$O$3:$O$9826,MATCH(1,(vp.data[[#This Row],[Battery]]=[1]DATA!$L$3:$L$9826)*(EOMONTH(vp.data[[#This Row],[SDate]],-1)+1=[1]DATA!$G$3:$G$9826),0)),vp.data[[#This Row],[Dens Input]]),"")</f>
        <v>856.1</v>
      </c>
      <c r="N1369" s="2">
        <f ca="1">INDEX(INDIRECT(_xlfn.CONCAT("weather.tbl[",N$1,"]")),MATCH(vp.data[[#This Row],[SDate]],weather.tbl[Date],0))</f>
        <v>9.3500000000000014</v>
      </c>
      <c r="O1369" s="2">
        <f ca="1">INDEX(INDIRECT(_xlfn.CONCAT("weather.tbl[",O$1,"]")),MATCH(vp.data[[#This Row],[SDate]],weather.tbl[Date],0))</f>
        <v>6.7214285714285733</v>
      </c>
      <c r="P1369" s="2">
        <f ca="1">INDEX(INDIRECT(_xlfn.CONCAT("weather.tbl[",P$1,"]")),MATCH(vp.data[[#This Row],[SDate]],weather.tbl[Date],0))</f>
        <v>9.5</v>
      </c>
      <c r="Q1369" s="2">
        <f ca="1">INDEX(INDIRECT(_xlfn.CONCAT("weather.tbl[",Q$1,"]")),MATCH(vp.data[[#This Row],[SDate]],weather.tbl[Date],0))</f>
        <v>10.5</v>
      </c>
      <c r="R1369" s="2">
        <f ca="1">INDEX(INDIRECT(_xlfn.CONCAT("weather.tbl[",R$1,"]")),MATCH(vp.data[[#This Row],[SDate]],weather.tbl[Date],0))</f>
        <v>9.3000000000000007</v>
      </c>
      <c r="S1369" s="2">
        <f ca="1">INDEX(INDIRECT(_xlfn.CONCAT("weather.tbl[",S$1,"]")),MATCH(vp.data[[#This Row],[SDate]],weather.tbl[Date],0))</f>
        <v>8.9</v>
      </c>
      <c r="T1369" s="2">
        <f ca="1">INDEX(INDIRECT(_xlfn.CONCAT("weather.tbl[",T$1,"]")),MATCH(vp.data[[#This Row],[SDate]],weather.tbl[Date],0))</f>
        <v>9.1</v>
      </c>
      <c r="U1369" s="2">
        <f ca="1">INDEX(INDIRECT(_xlfn.CONCAT("weather.tbl[",U$1,"]")),MATCH(vp.data[[#This Row],[SDate]],weather.tbl[Date],0))</f>
        <v>8.8000000000000007</v>
      </c>
      <c r="V1369" s="2">
        <f t="array" ref="V13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1702.229</v>
      </c>
      <c r="W1369" t="s">
        <v>48</v>
      </c>
      <c r="X1369">
        <f>IF(OR(vp.data[[#This Row],[Sulf]]="",vp.data[[#This Row],[Dens]]=""),1,0)</f>
        <v>0</v>
      </c>
      <c r="Y1369">
        <f>IF(vp.data[[#This Row],[CrudeType]]="C5+",1,0)</f>
        <v>0</v>
      </c>
      <c r="Z1369">
        <f>IF(AND(vp.data[[#This Row],[CrudeType]]="Crude",vp.data[[#This Row],[Dens]]&lt;=825,vp.data[[#This Row],[Sulf]]&gt;0.5,vp.data[[#This Row],[Unknown]]=0),1,0)</f>
        <v>0</v>
      </c>
      <c r="AA1369">
        <f>IF(AND(vp.data[[#This Row],[CrudeType]]="Crude",vp.data[[#This Row],[Dens]]&lt;=825,vp.data[[#This Row],[Sulf]]&lt;=0.5,vp.data[[#This Row],[Unknown]]=0),1,0)</f>
        <v>0</v>
      </c>
      <c r="AB13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69">
        <f>IF(AND(vp.data[[#This Row],[CrudeType]]="Crude",vp.data[[#This Row],[Dens]]&gt;825,vp.data[[#This Row],[Dens]]&lt;=900,vp.data[[#This Row],[Sulf]]&lt;=0.5,vp.data[[#This Row],[Unknown]]=0),1,0)</f>
        <v>0</v>
      </c>
      <c r="AD1369">
        <f>IF(AND(vp.data[[#This Row],[CrudeType]]="Crude",vp.data[[#This Row],[Dens]]&gt;865,vp.data[[#This Row],[Dens]]&lt;=900,vp.data[[#This Row],[Sulf]]&gt;2,vp.data[[#This Row],[Unknown]]=0),1,0)</f>
        <v>0</v>
      </c>
      <c r="AE1369">
        <f>IF(AND(vp.data[[#This Row],[CrudeType]]="Crude",vp.data[[#This Row],[Dens]]&gt;900,vp.data[[#This Row],[Sulf]]&lt;=0.5,vp.data[[#This Row],[Unknown]]=0),1,0)</f>
        <v>0</v>
      </c>
      <c r="AF1369">
        <f>IF(AND(vp.data[[#This Row],[CrudeType]]="Crude",vp.data[[#This Row],[Dens]]&gt;900,vp.data[[#This Row],[Sulf]]&lt;=0.5,vp.data[[#This Row],[Unknown]]=0),1,0)</f>
        <v>0</v>
      </c>
      <c r="AG1369" t="str">
        <f>INDEX(vp.data[[#Headers],[Unknown]:[Heavy_SW]],MATCH(1,vp.data[[#This Row],[Unknown]:[Heavy_SW]],0))</f>
        <v>Medium_LSB</v>
      </c>
      <c r="AH1369">
        <f>INDEX([3]!crudeBD.lkup[Number],MATCH(vp.data[[#This Row],[Crude_Breakdown]],crudeBD.lkup[Crude Breakdown],0))</f>
        <v>3</v>
      </c>
      <c r="AI1369">
        <f>MONTH(vp.data[[#This Row],[SDate]])</f>
        <v>5</v>
      </c>
      <c r="AJ1369" s="5">
        <f>(vp.data[[#This Row],[VP]]-INDEX(crudeBD.lkup[Mean_VP],MATCH(vp.data[[#This Row],[Crude_Breakdown]],crudeBD.lkup[Crude Breakdown],0)))^2</f>
        <v>94.861299295993149</v>
      </c>
      <c r="AK1369" s="5">
        <f>(vp.data[[#This Row],[Dens]]-INDEX(crudeBD.lkup[Mean_Dens],MATCH(vp.data[[#This Row],[Crude_Breakdown]],crudeBD.lkup[Crude Breakdown],0)))^2</f>
        <v>148.35240000001264</v>
      </c>
      <c r="AL1369" s="5">
        <f>(vp.data[[#This Row],[Sulf]]-INDEX(crudeBD.lkup[Mean_Sulf],MATCH(vp.data[[#This Row],[Crude_Breakdown]],crudeBD.lkup[Crude Breakdown],0)))^2</f>
        <v>5.0441509559303821E-2</v>
      </c>
      <c r="AM1369" s="4">
        <f>IF(AND(vp.data[[#This Row],[SDate]]&gt;=DATE(YEAR(vp.data[[#This Row],[SDate]]),5,1),vp.data[[#This Row],[SDate]]&lt;=DATE(YEAR(vp.data[[#This Row],[SDate]]),9,15)),1,0)</f>
        <v>1</v>
      </c>
      <c r="AN1369" s="4">
        <f>IF(vp.data[[#This Row],[SDate]]&lt;DATE(2016,12,1),0,1)</f>
        <v>1</v>
      </c>
      <c r="AO1369" s="4">
        <f>IFERROR(vp.data[[#This Row],[Sulf]]*vp.data[[#This Row],[Net Dens]],"")</f>
        <v>2346217.9775090003</v>
      </c>
      <c r="AP1369">
        <f>IFERROR(vp.data[[#This Row],[Dens]]*vp.data[[#This Row],[VolumeM3]],"")</f>
        <v>1457278.2469000001</v>
      </c>
      <c r="AQ1369" s="15">
        <f>IFERROR(vp.data[[#This Row],[VP]]*vp.data[[#This Row],[VolumeM3]],"")</f>
        <v>120688.03610000001</v>
      </c>
    </row>
    <row r="1370" spans="1:43" x14ac:dyDescent="0.25">
      <c r="A1370">
        <v>1369</v>
      </c>
      <c r="B1370" t="s">
        <v>291</v>
      </c>
      <c r="C1370" t="s">
        <v>291</v>
      </c>
      <c r="D1370" t="s">
        <v>109</v>
      </c>
      <c r="F1370" s="1">
        <v>42857</v>
      </c>
      <c r="G1370" s="2">
        <v>85.5</v>
      </c>
      <c r="H1370" s="2"/>
      <c r="I1370" s="2">
        <f t="array" ref="I1370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1370" s="2"/>
      <c r="K1370" s="2"/>
      <c r="L1370" s="2">
        <v>834.6</v>
      </c>
      <c r="M1370" s="2">
        <f t="array" ref="M1370">_xlfn.IFNA(IF(vp.data[[#This Row],[Dens Input]]="",INDEX([1]DATA!$O$3:$O$9826,MATCH(1,(vp.data[[#This Row],[Battery]]=[1]DATA!$L$3:$L$9826)*(EOMONTH(vp.data[[#This Row],[SDate]],-1)+1=[1]DATA!$G$3:$G$9826),0)),vp.data[[#This Row],[Dens Input]]),"")</f>
        <v>834.6</v>
      </c>
      <c r="N1370" s="2">
        <f ca="1">INDEX(INDIRECT(_xlfn.CONCAT("weather.tbl[",N$1,"]")),MATCH(vp.data[[#This Row],[SDate]],weather.tbl[Date],0))</f>
        <v>9.3500000000000014</v>
      </c>
      <c r="O1370" s="2">
        <f ca="1">INDEX(INDIRECT(_xlfn.CONCAT("weather.tbl[",O$1,"]")),MATCH(vp.data[[#This Row],[SDate]],weather.tbl[Date],0))</f>
        <v>6.7214285714285733</v>
      </c>
      <c r="P1370" s="2">
        <f ca="1">INDEX(INDIRECT(_xlfn.CONCAT("weather.tbl[",P$1,"]")),MATCH(vp.data[[#This Row],[SDate]],weather.tbl[Date],0))</f>
        <v>9.5</v>
      </c>
      <c r="Q1370" s="2">
        <f ca="1">INDEX(INDIRECT(_xlfn.CONCAT("weather.tbl[",Q$1,"]")),MATCH(vp.data[[#This Row],[SDate]],weather.tbl[Date],0))</f>
        <v>10.5</v>
      </c>
      <c r="R1370" s="2">
        <f ca="1">INDEX(INDIRECT(_xlfn.CONCAT("weather.tbl[",R$1,"]")),MATCH(vp.data[[#This Row],[SDate]],weather.tbl[Date],0))</f>
        <v>9.3000000000000007</v>
      </c>
      <c r="S1370" s="2">
        <f ca="1">INDEX(INDIRECT(_xlfn.CONCAT("weather.tbl[",S$1,"]")),MATCH(vp.data[[#This Row],[SDate]],weather.tbl[Date],0))</f>
        <v>8.9</v>
      </c>
      <c r="T1370" s="2">
        <f ca="1">INDEX(INDIRECT(_xlfn.CONCAT("weather.tbl[",T$1,"]")),MATCH(vp.data[[#This Row],[SDate]],weather.tbl[Date],0))</f>
        <v>9.1</v>
      </c>
      <c r="U1370" s="2">
        <f ca="1">INDEX(INDIRECT(_xlfn.CONCAT("weather.tbl[",U$1,"]")),MATCH(vp.data[[#This Row],[SDate]],weather.tbl[Date],0))</f>
        <v>8.8000000000000007</v>
      </c>
      <c r="V1370" s="2">
        <f t="array" ref="V13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13057.414000000001</v>
      </c>
      <c r="W1370" t="s">
        <v>48</v>
      </c>
      <c r="X1370">
        <f>IF(OR(vp.data[[#This Row],[Sulf]]="",vp.data[[#This Row],[Dens]]=""),1,0)</f>
        <v>0</v>
      </c>
      <c r="Y1370">
        <f>IF(vp.data[[#This Row],[CrudeType]]="C5+",1,0)</f>
        <v>0</v>
      </c>
      <c r="Z1370">
        <f>IF(AND(vp.data[[#This Row],[CrudeType]]="Crude",vp.data[[#This Row],[Dens]]&lt;=825,vp.data[[#This Row],[Sulf]]&gt;0.5,vp.data[[#This Row],[Unknown]]=0),1,0)</f>
        <v>0</v>
      </c>
      <c r="AA1370">
        <f>IF(AND(vp.data[[#This Row],[CrudeType]]="Crude",vp.data[[#This Row],[Dens]]&lt;=825,vp.data[[#This Row],[Sulf]]&lt;=0.5,vp.data[[#This Row],[Unknown]]=0),1,0)</f>
        <v>0</v>
      </c>
      <c r="AB13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70">
        <f>IF(AND(vp.data[[#This Row],[CrudeType]]="Crude",vp.data[[#This Row],[Dens]]&gt;825,vp.data[[#This Row],[Dens]]&lt;=900,vp.data[[#This Row],[Sulf]]&lt;=0.5,vp.data[[#This Row],[Unknown]]=0),1,0)</f>
        <v>0</v>
      </c>
      <c r="AD1370">
        <f>IF(AND(vp.data[[#This Row],[CrudeType]]="Crude",vp.data[[#This Row],[Dens]]&gt;865,vp.data[[#This Row],[Dens]]&lt;=900,vp.data[[#This Row],[Sulf]]&gt;2,vp.data[[#This Row],[Unknown]]=0),1,0)</f>
        <v>0</v>
      </c>
      <c r="AE1370">
        <f>IF(AND(vp.data[[#This Row],[CrudeType]]="Crude",vp.data[[#This Row],[Dens]]&gt;900,vp.data[[#This Row],[Sulf]]&lt;=0.5,vp.data[[#This Row],[Unknown]]=0),1,0)</f>
        <v>0</v>
      </c>
      <c r="AF1370">
        <f>IF(AND(vp.data[[#This Row],[CrudeType]]="Crude",vp.data[[#This Row],[Dens]]&gt;900,vp.data[[#This Row],[Sulf]]&lt;=0.5,vp.data[[#This Row],[Unknown]]=0),1,0)</f>
        <v>0</v>
      </c>
      <c r="AG1370" t="str">
        <f>INDEX(vp.data[[#Headers],[Unknown]:[Heavy_SW]],MATCH(1,vp.data[[#This Row],[Unknown]:[Heavy_SW]],0))</f>
        <v>Medium_LSB</v>
      </c>
      <c r="AH1370">
        <f>INDEX([3]!crudeBD.lkup[Number],MATCH(vp.data[[#This Row],[Crude_Breakdown]],crudeBD.lkup[Crude Breakdown],0))</f>
        <v>3</v>
      </c>
      <c r="AI1370">
        <f>MONTH(vp.data[[#This Row],[SDate]])</f>
        <v>5</v>
      </c>
      <c r="AJ1370" s="5">
        <f>(vp.data[[#This Row],[VP]]-INDEX(crudeBD.lkup[Mean_VP],MATCH(vp.data[[#This Row],[Crude_Breakdown]],crudeBD.lkup[Crude Breakdown],0)))^2</f>
        <v>23.622744039930659</v>
      </c>
      <c r="AK1370" s="5">
        <f>(vp.data[[#This Row],[Dens]]-INDEX(crudeBD.lkup[Mean_Dens],MATCH(vp.data[[#This Row],[Crude_Breakdown]],crudeBD.lkup[Crude Breakdown],0)))^2</f>
        <v>86.86239999999033</v>
      </c>
      <c r="AL1370" s="5">
        <f>(vp.data[[#This Row],[Sulf]]-INDEX(crudeBD.lkup[Mean_Sulf],MATCH(vp.data[[#This Row],[Crude_Breakdown]],crudeBD.lkup[Crude Breakdown],0)))^2</f>
        <v>0.378727162389495</v>
      </c>
      <c r="AM1370" s="4">
        <f>IF(AND(vp.data[[#This Row],[SDate]]&gt;=DATE(YEAR(vp.data[[#This Row],[SDate]]),5,1),vp.data[[#This Row],[SDate]]&lt;=DATE(YEAR(vp.data[[#This Row],[SDate]]),9,15)),1,0)</f>
        <v>1</v>
      </c>
      <c r="AN1370" s="4">
        <f>IF(vp.data[[#This Row],[SDate]]&lt;DATE(2016,12,1),0,1)</f>
        <v>1</v>
      </c>
      <c r="AO1370" s="4">
        <f>IFERROR(vp.data[[#This Row],[Sulf]]*vp.data[[#This Row],[Net Dens]],"")</f>
        <v>8391242.6477880012</v>
      </c>
      <c r="AP1370">
        <f>IFERROR(vp.data[[#This Row],[Dens]]*vp.data[[#This Row],[VolumeM3]],"")</f>
        <v>10897717.724400001</v>
      </c>
      <c r="AQ1370" s="15">
        <f>IFERROR(vp.data[[#This Row],[VP]]*vp.data[[#This Row],[VolumeM3]],"")</f>
        <v>1116408.8970000001</v>
      </c>
    </row>
    <row r="1371" spans="1:43" x14ac:dyDescent="0.25">
      <c r="A1371">
        <v>1370</v>
      </c>
      <c r="B1371" t="s">
        <v>51</v>
      </c>
      <c r="C1371" t="s">
        <v>51</v>
      </c>
      <c r="D1371" t="s">
        <v>66</v>
      </c>
      <c r="F1371" s="1">
        <v>42857</v>
      </c>
      <c r="G1371" s="2">
        <v>92.2</v>
      </c>
      <c r="H1371" s="2"/>
      <c r="I1371" s="2">
        <f t="array" ref="I1371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1371" s="2"/>
      <c r="K1371" s="2"/>
      <c r="L1371" s="2">
        <v>824.3</v>
      </c>
      <c r="M1371" s="2">
        <f t="array" ref="M1371">_xlfn.IFNA(IF(vp.data[[#This Row],[Dens Input]]="",INDEX([1]DATA!$O$3:$O$9826,MATCH(1,(vp.data[[#This Row],[Battery]]=[1]DATA!$L$3:$L$9826)*(EOMONTH(vp.data[[#This Row],[SDate]],-1)+1=[1]DATA!$G$3:$G$9826),0)),vp.data[[#This Row],[Dens Input]]),"")</f>
        <v>824.3</v>
      </c>
      <c r="N1371" s="2">
        <f ca="1">INDEX(INDIRECT(_xlfn.CONCAT("weather.tbl[",N$1,"]")),MATCH(vp.data[[#This Row],[SDate]],weather.tbl[Date],0))</f>
        <v>9.3500000000000014</v>
      </c>
      <c r="O1371" s="2">
        <f ca="1">INDEX(INDIRECT(_xlfn.CONCAT("weather.tbl[",O$1,"]")),MATCH(vp.data[[#This Row],[SDate]],weather.tbl[Date],0))</f>
        <v>6.7214285714285733</v>
      </c>
      <c r="P1371" s="2">
        <f ca="1">INDEX(INDIRECT(_xlfn.CONCAT("weather.tbl[",P$1,"]")),MATCH(vp.data[[#This Row],[SDate]],weather.tbl[Date],0))</f>
        <v>9.5</v>
      </c>
      <c r="Q1371" s="2">
        <f ca="1">INDEX(INDIRECT(_xlfn.CONCAT("weather.tbl[",Q$1,"]")),MATCH(vp.data[[#This Row],[SDate]],weather.tbl[Date],0))</f>
        <v>10.5</v>
      </c>
      <c r="R1371" s="2">
        <f ca="1">INDEX(INDIRECT(_xlfn.CONCAT("weather.tbl[",R$1,"]")),MATCH(vp.data[[#This Row],[SDate]],weather.tbl[Date],0))</f>
        <v>9.3000000000000007</v>
      </c>
      <c r="S1371" s="2">
        <f ca="1">INDEX(INDIRECT(_xlfn.CONCAT("weather.tbl[",S$1,"]")),MATCH(vp.data[[#This Row],[SDate]],weather.tbl[Date],0))</f>
        <v>8.9</v>
      </c>
      <c r="T1371" s="2">
        <f ca="1">INDEX(INDIRECT(_xlfn.CONCAT("weather.tbl[",T$1,"]")),MATCH(vp.data[[#This Row],[SDate]],weather.tbl[Date],0))</f>
        <v>9.1</v>
      </c>
      <c r="U1371" s="2">
        <f ca="1">INDEX(INDIRECT(_xlfn.CONCAT("weather.tbl[",U$1,"]")),MATCH(vp.data[[#This Row],[SDate]],weather.tbl[Date],0))</f>
        <v>8.8000000000000007</v>
      </c>
      <c r="V1371" s="2">
        <f t="array" ref="V13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5197.7240000000002</v>
      </c>
      <c r="W1371" t="s">
        <v>48</v>
      </c>
      <c r="X1371">
        <f>IF(OR(vp.data[[#This Row],[Sulf]]="",vp.data[[#This Row],[Dens]]=""),1,0)</f>
        <v>0</v>
      </c>
      <c r="Y1371">
        <f>IF(vp.data[[#This Row],[CrudeType]]="C5+",1,0)</f>
        <v>0</v>
      </c>
      <c r="Z1371">
        <f>IF(AND(vp.data[[#This Row],[CrudeType]]="Crude",vp.data[[#This Row],[Dens]]&lt;=825,vp.data[[#This Row],[Sulf]]&gt;0.5,vp.data[[#This Row],[Unknown]]=0),1,0)</f>
        <v>1</v>
      </c>
      <c r="AA1371">
        <f>IF(AND(vp.data[[#This Row],[CrudeType]]="Crude",vp.data[[#This Row],[Dens]]&lt;=825,vp.data[[#This Row],[Sulf]]&lt;=0.5,vp.data[[#This Row],[Unknown]]=0),1,0)</f>
        <v>0</v>
      </c>
      <c r="AB13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1">
        <f>IF(AND(vp.data[[#This Row],[CrudeType]]="Crude",vp.data[[#This Row],[Dens]]&gt;825,vp.data[[#This Row],[Dens]]&lt;=900,vp.data[[#This Row],[Sulf]]&lt;=0.5,vp.data[[#This Row],[Unknown]]=0),1,0)</f>
        <v>0</v>
      </c>
      <c r="AD1371">
        <f>IF(AND(vp.data[[#This Row],[CrudeType]]="Crude",vp.data[[#This Row],[Dens]]&gt;865,vp.data[[#This Row],[Dens]]&lt;=900,vp.data[[#This Row],[Sulf]]&gt;2,vp.data[[#This Row],[Unknown]]=0),1,0)</f>
        <v>0</v>
      </c>
      <c r="AE1371">
        <f>IF(AND(vp.data[[#This Row],[CrudeType]]="Crude",vp.data[[#This Row],[Dens]]&gt;900,vp.data[[#This Row],[Sulf]]&lt;=0.5,vp.data[[#This Row],[Unknown]]=0),1,0)</f>
        <v>0</v>
      </c>
      <c r="AF1371">
        <f>IF(AND(vp.data[[#This Row],[CrudeType]]="Crude",vp.data[[#This Row],[Dens]]&gt;900,vp.data[[#This Row],[Sulf]]&lt;=0.5,vp.data[[#This Row],[Unknown]]=0),1,0)</f>
        <v>0</v>
      </c>
      <c r="AG1371" t="str">
        <f>INDEX(vp.data[[#Headers],[Unknown]:[Heavy_SW]],MATCH(1,vp.data[[#This Row],[Unknown]:[Heavy_SW]],0))</f>
        <v>Light_LSB</v>
      </c>
      <c r="AH1371">
        <f>INDEX([3]!crudeBD.lkup[Number],MATCH(vp.data[[#This Row],[Crude_Breakdown]],crudeBD.lkup[Crude Breakdown],0))</f>
        <v>1</v>
      </c>
      <c r="AI1371">
        <f>MONTH(vp.data[[#This Row],[SDate]])</f>
        <v>5</v>
      </c>
      <c r="AJ1371" s="5">
        <f>(vp.data[[#This Row],[VP]]-INDEX(crudeBD.lkup[Mean_VP],MATCH(vp.data[[#This Row],[Crude_Breakdown]],crudeBD.lkup[Crude Breakdown],0)))^2</f>
        <v>0.42747331278559381</v>
      </c>
      <c r="AK1371" s="5">
        <f>(vp.data[[#This Row],[Dens]]-INDEX(crudeBD.lkup[Mean_Dens],MATCH(vp.data[[#This Row],[Crude_Breakdown]],crudeBD.lkup[Crude Breakdown],0)))^2</f>
        <v>33.445752015213131</v>
      </c>
      <c r="AL1371" s="5">
        <f>(vp.data[[#This Row],[Sulf]]-INDEX(crudeBD.lkup[Mean_Sulf],MATCH(vp.data[[#This Row],[Crude_Breakdown]],crudeBD.lkup[Crude Breakdown],0)))^2</f>
        <v>0.75173899485188111</v>
      </c>
      <c r="AM1371" s="4">
        <f>IF(AND(vp.data[[#This Row],[SDate]]&gt;=DATE(YEAR(vp.data[[#This Row],[SDate]]),5,1),vp.data[[#This Row],[SDate]]&lt;=DATE(YEAR(vp.data[[#This Row],[SDate]]),9,15)),1,0)</f>
        <v>1</v>
      </c>
      <c r="AN1371" s="4">
        <f>IF(vp.data[[#This Row],[SDate]]&lt;DATE(2016,12,1),0,1)</f>
        <v>1</v>
      </c>
      <c r="AO1371" s="4">
        <f>IFERROR(vp.data[[#This Row],[Sulf]]*vp.data[[#This Row],[Net Dens]],"")</f>
        <v>7669226.1688279994</v>
      </c>
      <c r="AP1371">
        <f>IFERROR(vp.data[[#This Row],[Dens]]*vp.data[[#This Row],[VolumeM3]],"")</f>
        <v>4284483.8931999998</v>
      </c>
      <c r="AQ1371" s="15">
        <f>IFERROR(vp.data[[#This Row],[VP]]*vp.data[[#This Row],[VolumeM3]],"")</f>
        <v>479230.15280000004</v>
      </c>
    </row>
    <row r="1372" spans="1:43" x14ac:dyDescent="0.25">
      <c r="A1372">
        <v>1371</v>
      </c>
      <c r="B1372" t="s">
        <v>96</v>
      </c>
      <c r="C1372" t="s">
        <v>96</v>
      </c>
      <c r="D1372" t="s">
        <v>97</v>
      </c>
      <c r="F1372" s="1">
        <v>42857</v>
      </c>
      <c r="G1372" s="2">
        <v>73.400000000000006</v>
      </c>
      <c r="H1372" s="2"/>
      <c r="I1372" s="2">
        <f t="array" ref="I1372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372" s="2"/>
      <c r="K1372" s="2"/>
      <c r="L1372" s="2">
        <v>820.2</v>
      </c>
      <c r="M1372" s="2">
        <f t="array" ref="M1372">_xlfn.IFNA(IF(vp.data[[#This Row],[Dens Input]]="",INDEX([1]DATA!$O$3:$O$9826,MATCH(1,(vp.data[[#This Row],[Battery]]=[1]DATA!$L$3:$L$9826)*(EOMONTH(vp.data[[#This Row],[SDate]],-1)+1=[1]DATA!$G$3:$G$9826),0)),vp.data[[#This Row],[Dens Input]]),"")</f>
        <v>820.2</v>
      </c>
      <c r="N1372" s="2">
        <f ca="1">INDEX(INDIRECT(_xlfn.CONCAT("weather.tbl[",N$1,"]")),MATCH(vp.data[[#This Row],[SDate]],weather.tbl[Date],0))</f>
        <v>9.3500000000000014</v>
      </c>
      <c r="O1372" s="2">
        <f ca="1">INDEX(INDIRECT(_xlfn.CONCAT("weather.tbl[",O$1,"]")),MATCH(vp.data[[#This Row],[SDate]],weather.tbl[Date],0))</f>
        <v>6.7214285714285733</v>
      </c>
      <c r="P1372" s="2">
        <f ca="1">INDEX(INDIRECT(_xlfn.CONCAT("weather.tbl[",P$1,"]")),MATCH(vp.data[[#This Row],[SDate]],weather.tbl[Date],0))</f>
        <v>9.5</v>
      </c>
      <c r="Q1372" s="2">
        <f ca="1">INDEX(INDIRECT(_xlfn.CONCAT("weather.tbl[",Q$1,"]")),MATCH(vp.data[[#This Row],[SDate]],weather.tbl[Date],0))</f>
        <v>10.5</v>
      </c>
      <c r="R1372" s="2">
        <f ca="1">INDEX(INDIRECT(_xlfn.CONCAT("weather.tbl[",R$1,"]")),MATCH(vp.data[[#This Row],[SDate]],weather.tbl[Date],0))</f>
        <v>9.3000000000000007</v>
      </c>
      <c r="S1372" s="2">
        <f ca="1">INDEX(INDIRECT(_xlfn.CONCAT("weather.tbl[",S$1,"]")),MATCH(vp.data[[#This Row],[SDate]],weather.tbl[Date],0))</f>
        <v>8.9</v>
      </c>
      <c r="T1372" s="2">
        <f ca="1">INDEX(INDIRECT(_xlfn.CONCAT("weather.tbl[",T$1,"]")),MATCH(vp.data[[#This Row],[SDate]],weather.tbl[Date],0))</f>
        <v>9.1</v>
      </c>
      <c r="U1372" s="2">
        <f ca="1">INDEX(INDIRECT(_xlfn.CONCAT("weather.tbl[",U$1,"]")),MATCH(vp.data[[#This Row],[SDate]],weather.tbl[Date],0))</f>
        <v>8.8000000000000007</v>
      </c>
      <c r="V1372" s="2">
        <f t="array" ref="V13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7702.1589999999997</v>
      </c>
      <c r="W1372" t="s">
        <v>48</v>
      </c>
      <c r="X1372">
        <f>IF(OR(vp.data[[#This Row],[Sulf]]="",vp.data[[#This Row],[Dens]]=""),1,0)</f>
        <v>0</v>
      </c>
      <c r="Y1372">
        <f>IF(vp.data[[#This Row],[CrudeType]]="C5+",1,0)</f>
        <v>0</v>
      </c>
      <c r="Z1372">
        <f>IF(AND(vp.data[[#This Row],[CrudeType]]="Crude",vp.data[[#This Row],[Dens]]&lt;=825,vp.data[[#This Row],[Sulf]]&gt;0.5,vp.data[[#This Row],[Unknown]]=0),1,0)</f>
        <v>1</v>
      </c>
      <c r="AA1372">
        <f>IF(AND(vp.data[[#This Row],[CrudeType]]="Crude",vp.data[[#This Row],[Dens]]&lt;=825,vp.data[[#This Row],[Sulf]]&lt;=0.5,vp.data[[#This Row],[Unknown]]=0),1,0)</f>
        <v>0</v>
      </c>
      <c r="AB13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2">
        <f>IF(AND(vp.data[[#This Row],[CrudeType]]="Crude",vp.data[[#This Row],[Dens]]&gt;825,vp.data[[#This Row],[Dens]]&lt;=900,vp.data[[#This Row],[Sulf]]&lt;=0.5,vp.data[[#This Row],[Unknown]]=0),1,0)</f>
        <v>0</v>
      </c>
      <c r="AD1372">
        <f>IF(AND(vp.data[[#This Row],[CrudeType]]="Crude",vp.data[[#This Row],[Dens]]&gt;865,vp.data[[#This Row],[Dens]]&lt;=900,vp.data[[#This Row],[Sulf]]&gt;2,vp.data[[#This Row],[Unknown]]=0),1,0)</f>
        <v>0</v>
      </c>
      <c r="AE1372">
        <f>IF(AND(vp.data[[#This Row],[CrudeType]]="Crude",vp.data[[#This Row],[Dens]]&gt;900,vp.data[[#This Row],[Sulf]]&lt;=0.5,vp.data[[#This Row],[Unknown]]=0),1,0)</f>
        <v>0</v>
      </c>
      <c r="AF1372">
        <f>IF(AND(vp.data[[#This Row],[CrudeType]]="Crude",vp.data[[#This Row],[Dens]]&gt;900,vp.data[[#This Row],[Sulf]]&lt;=0.5,vp.data[[#This Row],[Unknown]]=0),1,0)</f>
        <v>0</v>
      </c>
      <c r="AG1372" t="str">
        <f>INDEX(vp.data[[#Headers],[Unknown]:[Heavy_SW]],MATCH(1,vp.data[[#This Row],[Unknown]:[Heavy_SW]],0))</f>
        <v>Light_LSB</v>
      </c>
      <c r="AH1372">
        <f>INDEX([3]!crudeBD.lkup[Number],MATCH(vp.data[[#This Row],[Crude_Breakdown]],crudeBD.lkup[Crude Breakdown],0))</f>
        <v>1</v>
      </c>
      <c r="AI1372">
        <f>MONTH(vp.data[[#This Row],[SDate]])</f>
        <v>5</v>
      </c>
      <c r="AJ1372" s="5">
        <f>(vp.data[[#This Row],[VP]]-INDEX(crudeBD.lkup[Mean_VP],MATCH(vp.data[[#This Row],[Crude_Breakdown]],crudeBD.lkup[Crude Breakdown],0)))^2</f>
        <v>329.2840506323742</v>
      </c>
      <c r="AK1372" s="5">
        <f>(vp.data[[#This Row],[Dens]]-INDEX(crudeBD.lkup[Mean_Dens],MATCH(vp.data[[#This Row],[Crude_Breakdown]],crudeBD.lkup[Crude Breakdown],0)))^2</f>
        <v>2.833264042702643</v>
      </c>
      <c r="AL1372" s="5">
        <f>(vp.data[[#This Row],[Sulf]]-INDEX(crudeBD.lkup[Mean_Sulf],MATCH(vp.data[[#This Row],[Crude_Breakdown]],crudeBD.lkup[Crude Breakdown],0)))^2</f>
        <v>3.7237871827825515E-2</v>
      </c>
      <c r="AM1372" s="4">
        <f>IF(AND(vp.data[[#This Row],[SDate]]&gt;=DATE(YEAR(vp.data[[#This Row],[SDate]]),5,1),vp.data[[#This Row],[SDate]]&lt;=DATE(YEAR(vp.data[[#This Row],[SDate]]),9,15)),1,0)</f>
        <v>1</v>
      </c>
      <c r="AN1372" s="4">
        <f>IF(vp.data[[#This Row],[SDate]]&lt;DATE(2016,12,1),0,1)</f>
        <v>1</v>
      </c>
      <c r="AO1372" s="4">
        <f>IFERROR(vp.data[[#This Row],[Sulf]]*vp.data[[#This Row],[Net Dens]],"")</f>
        <v>4611636.8926140005</v>
      </c>
      <c r="AP1372">
        <f>IFERROR(vp.data[[#This Row],[Dens]]*vp.data[[#This Row],[VolumeM3]],"")</f>
        <v>6317310.8118000003</v>
      </c>
      <c r="AQ1372" s="15">
        <f>IFERROR(vp.data[[#This Row],[VP]]*vp.data[[#This Row],[VolumeM3]],"")</f>
        <v>565338.4706</v>
      </c>
    </row>
    <row r="1373" spans="1:43" x14ac:dyDescent="0.25">
      <c r="A1373">
        <v>1372</v>
      </c>
      <c r="B1373" t="s">
        <v>62</v>
      </c>
      <c r="C1373" t="s">
        <v>62</v>
      </c>
      <c r="D1373" t="s">
        <v>63</v>
      </c>
      <c r="F1373" s="1">
        <v>42857</v>
      </c>
      <c r="G1373" s="2">
        <v>77.3</v>
      </c>
      <c r="H1373" s="2"/>
      <c r="I1373" s="2">
        <f t="array" ref="I1373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1373" s="2"/>
      <c r="K1373" s="2"/>
      <c r="L1373" s="2">
        <v>819.4</v>
      </c>
      <c r="M1373" s="2">
        <f t="array" ref="M1373">_xlfn.IFNA(IF(vp.data[[#This Row],[Dens Input]]="",INDEX([1]DATA!$O$3:$O$9826,MATCH(1,(vp.data[[#This Row],[Battery]]=[1]DATA!$L$3:$L$9826)*(EOMONTH(vp.data[[#This Row],[SDate]],-1)+1=[1]DATA!$G$3:$G$9826),0)),vp.data[[#This Row],[Dens Input]]),"")</f>
        <v>819.4</v>
      </c>
      <c r="N1373" s="2">
        <f ca="1">INDEX(INDIRECT(_xlfn.CONCAT("weather.tbl[",N$1,"]")),MATCH(vp.data[[#This Row],[SDate]],weather.tbl[Date],0))</f>
        <v>9.3500000000000014</v>
      </c>
      <c r="O1373" s="2">
        <f ca="1">INDEX(INDIRECT(_xlfn.CONCAT("weather.tbl[",O$1,"]")),MATCH(vp.data[[#This Row],[SDate]],weather.tbl[Date],0))</f>
        <v>6.7214285714285733</v>
      </c>
      <c r="P1373" s="2">
        <f ca="1">INDEX(INDIRECT(_xlfn.CONCAT("weather.tbl[",P$1,"]")),MATCH(vp.data[[#This Row],[SDate]],weather.tbl[Date],0))</f>
        <v>9.5</v>
      </c>
      <c r="Q1373" s="2">
        <f ca="1">INDEX(INDIRECT(_xlfn.CONCAT("weather.tbl[",Q$1,"]")),MATCH(vp.data[[#This Row],[SDate]],weather.tbl[Date],0))</f>
        <v>10.5</v>
      </c>
      <c r="R1373" s="2">
        <f ca="1">INDEX(INDIRECT(_xlfn.CONCAT("weather.tbl[",R$1,"]")),MATCH(vp.data[[#This Row],[SDate]],weather.tbl[Date],0))</f>
        <v>9.3000000000000007</v>
      </c>
      <c r="S1373" s="2">
        <f ca="1">INDEX(INDIRECT(_xlfn.CONCAT("weather.tbl[",S$1,"]")),MATCH(vp.data[[#This Row],[SDate]],weather.tbl[Date],0))</f>
        <v>8.9</v>
      </c>
      <c r="T1373" s="2">
        <f ca="1">INDEX(INDIRECT(_xlfn.CONCAT("weather.tbl[",T$1,"]")),MATCH(vp.data[[#This Row],[SDate]],weather.tbl[Date],0))</f>
        <v>9.1</v>
      </c>
      <c r="U1373" s="2">
        <f ca="1">INDEX(INDIRECT(_xlfn.CONCAT("weather.tbl[",U$1,"]")),MATCH(vp.data[[#This Row],[SDate]],weather.tbl[Date],0))</f>
        <v>8.8000000000000007</v>
      </c>
      <c r="V1373" s="2">
        <f t="array" ref="V13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9174.1849999999995</v>
      </c>
      <c r="W1373" t="s">
        <v>48</v>
      </c>
      <c r="X1373">
        <f>IF(OR(vp.data[[#This Row],[Sulf]]="",vp.data[[#This Row],[Dens]]=""),1,0)</f>
        <v>0</v>
      </c>
      <c r="Y1373">
        <f>IF(vp.data[[#This Row],[CrudeType]]="C5+",1,0)</f>
        <v>0</v>
      </c>
      <c r="Z1373">
        <f>IF(AND(vp.data[[#This Row],[CrudeType]]="Crude",vp.data[[#This Row],[Dens]]&lt;=825,vp.data[[#This Row],[Sulf]]&gt;0.5,vp.data[[#This Row],[Unknown]]=0),1,0)</f>
        <v>1</v>
      </c>
      <c r="AA1373">
        <f>IF(AND(vp.data[[#This Row],[CrudeType]]="Crude",vp.data[[#This Row],[Dens]]&lt;=825,vp.data[[#This Row],[Sulf]]&lt;=0.5,vp.data[[#This Row],[Unknown]]=0),1,0)</f>
        <v>0</v>
      </c>
      <c r="AB13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3">
        <f>IF(AND(vp.data[[#This Row],[CrudeType]]="Crude",vp.data[[#This Row],[Dens]]&gt;825,vp.data[[#This Row],[Dens]]&lt;=900,vp.data[[#This Row],[Sulf]]&lt;=0.5,vp.data[[#This Row],[Unknown]]=0),1,0)</f>
        <v>0</v>
      </c>
      <c r="AD1373">
        <f>IF(AND(vp.data[[#This Row],[CrudeType]]="Crude",vp.data[[#This Row],[Dens]]&gt;865,vp.data[[#This Row],[Dens]]&lt;=900,vp.data[[#This Row],[Sulf]]&gt;2,vp.data[[#This Row],[Unknown]]=0),1,0)</f>
        <v>0</v>
      </c>
      <c r="AE1373">
        <f>IF(AND(vp.data[[#This Row],[CrudeType]]="Crude",vp.data[[#This Row],[Dens]]&gt;900,vp.data[[#This Row],[Sulf]]&lt;=0.5,vp.data[[#This Row],[Unknown]]=0),1,0)</f>
        <v>0</v>
      </c>
      <c r="AF1373">
        <f>IF(AND(vp.data[[#This Row],[CrudeType]]="Crude",vp.data[[#This Row],[Dens]]&gt;900,vp.data[[#This Row],[Sulf]]&lt;=0.5,vp.data[[#This Row],[Unknown]]=0),1,0)</f>
        <v>0</v>
      </c>
      <c r="AG1373" t="str">
        <f>INDEX(vp.data[[#Headers],[Unknown]:[Heavy_SW]],MATCH(1,vp.data[[#This Row],[Unknown]:[Heavy_SW]],0))</f>
        <v>Light_LSB</v>
      </c>
      <c r="AH1373">
        <f>INDEX([3]!crudeBD.lkup[Number],MATCH(vp.data[[#This Row],[Crude_Breakdown]],crudeBD.lkup[Crude Breakdown],0))</f>
        <v>1</v>
      </c>
      <c r="AI1373">
        <f>MONTH(vp.data[[#This Row],[SDate]])</f>
        <v>5</v>
      </c>
      <c r="AJ1373" s="5">
        <f>(vp.data[[#This Row],[VP]]-INDEX(crudeBD.lkup[Mean_VP],MATCH(vp.data[[#This Row],[Crude_Breakdown]],crudeBD.lkup[Crude Breakdown],0)))^2</f>
        <v>202.9538032096938</v>
      </c>
      <c r="AK1373" s="5">
        <f>(vp.data[[#This Row],[Dens]]-INDEX(crudeBD.lkup[Mean_Dens],MATCH(vp.data[[#This Row],[Crude_Breakdown]],crudeBD.lkup[Crude Breakdown],0)))^2</f>
        <v>0.78009565782222201</v>
      </c>
      <c r="AL1373" s="5">
        <f>(vp.data[[#This Row],[Sulf]]-INDEX(crudeBD.lkup[Mean_Sulf],MATCH(vp.data[[#This Row],[Crude_Breakdown]],crudeBD.lkup[Crude Breakdown],0)))^2</f>
        <v>1.5121908253942369E-2</v>
      </c>
      <c r="AM1373" s="4">
        <f>IF(AND(vp.data[[#This Row],[SDate]]&gt;=DATE(YEAR(vp.data[[#This Row],[SDate]]),5,1),vp.data[[#This Row],[SDate]]&lt;=DATE(YEAR(vp.data[[#This Row],[SDate]]),9,15)),1,0)</f>
        <v>1</v>
      </c>
      <c r="AN1373" s="4">
        <f>IF(vp.data[[#This Row],[SDate]]&lt;DATE(2016,12,1),0,1)</f>
        <v>1</v>
      </c>
      <c r="AO1373" s="4">
        <f>IFERROR(vp.data[[#This Row],[Sulf]]*vp.data[[#This Row],[Net Dens]],"")</f>
        <v>6013861.7511999998</v>
      </c>
      <c r="AP1373">
        <f>IFERROR(vp.data[[#This Row],[Dens]]*vp.data[[#This Row],[VolumeM3]],"")</f>
        <v>7517327.1889999993</v>
      </c>
      <c r="AQ1373" s="15">
        <f>IFERROR(vp.data[[#This Row],[VP]]*vp.data[[#This Row],[VolumeM3]],"")</f>
        <v>709164.50049999997</v>
      </c>
    </row>
    <row r="1374" spans="1:43" x14ac:dyDescent="0.25">
      <c r="A1374">
        <v>1373</v>
      </c>
      <c r="B1374" t="s">
        <v>64</v>
      </c>
      <c r="C1374" t="s">
        <v>64</v>
      </c>
      <c r="D1374" t="s">
        <v>65</v>
      </c>
      <c r="F1374" s="1">
        <v>42857</v>
      </c>
      <c r="G1374" s="2">
        <v>44.8</v>
      </c>
      <c r="H1374" s="2"/>
      <c r="I1374" s="2">
        <f t="array" ref="I1374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1374" s="2"/>
      <c r="K1374" s="2"/>
      <c r="L1374" s="2">
        <v>876.2</v>
      </c>
      <c r="M1374" s="2">
        <f t="array" ref="M1374">_xlfn.IFNA(IF(vp.data[[#This Row],[Dens Input]]="",INDEX([1]DATA!$O$3:$O$9826,MATCH(1,(vp.data[[#This Row],[Battery]]=[1]DATA!$L$3:$L$9826)*(EOMONTH(vp.data[[#This Row],[SDate]],-1)+1=[1]DATA!$G$3:$G$9826),0)),vp.data[[#This Row],[Dens Input]]),"")</f>
        <v>876.2</v>
      </c>
      <c r="N1374" s="2">
        <f ca="1">INDEX(INDIRECT(_xlfn.CONCAT("weather.tbl[",N$1,"]")),MATCH(vp.data[[#This Row],[SDate]],weather.tbl[Date],0))</f>
        <v>9.3500000000000014</v>
      </c>
      <c r="O1374" s="2">
        <f ca="1">INDEX(INDIRECT(_xlfn.CONCAT("weather.tbl[",O$1,"]")),MATCH(vp.data[[#This Row],[SDate]],weather.tbl[Date],0))</f>
        <v>6.7214285714285733</v>
      </c>
      <c r="P1374" s="2">
        <f ca="1">INDEX(INDIRECT(_xlfn.CONCAT("weather.tbl[",P$1,"]")),MATCH(vp.data[[#This Row],[SDate]],weather.tbl[Date],0))</f>
        <v>9.5</v>
      </c>
      <c r="Q1374" s="2">
        <f ca="1">INDEX(INDIRECT(_xlfn.CONCAT("weather.tbl[",Q$1,"]")),MATCH(vp.data[[#This Row],[SDate]],weather.tbl[Date],0))</f>
        <v>10.5</v>
      </c>
      <c r="R1374" s="2">
        <f ca="1">INDEX(INDIRECT(_xlfn.CONCAT("weather.tbl[",R$1,"]")),MATCH(vp.data[[#This Row],[SDate]],weather.tbl[Date],0))</f>
        <v>9.3000000000000007</v>
      </c>
      <c r="S1374" s="2">
        <f ca="1">INDEX(INDIRECT(_xlfn.CONCAT("weather.tbl[",S$1,"]")),MATCH(vp.data[[#This Row],[SDate]],weather.tbl[Date],0))</f>
        <v>8.9</v>
      </c>
      <c r="T1374" s="2">
        <f ca="1">INDEX(INDIRECT(_xlfn.CONCAT("weather.tbl[",T$1,"]")),MATCH(vp.data[[#This Row],[SDate]],weather.tbl[Date],0))</f>
        <v>9.1</v>
      </c>
      <c r="U1374" s="2">
        <f ca="1">INDEX(INDIRECT(_xlfn.CONCAT("weather.tbl[",U$1,"]")),MATCH(vp.data[[#This Row],[SDate]],weather.tbl[Date],0))</f>
        <v>8.8000000000000007</v>
      </c>
      <c r="V1374" s="2">
        <f t="array" ref="V13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21822.753000000001</v>
      </c>
      <c r="W1374" t="s">
        <v>48</v>
      </c>
      <c r="X1374">
        <f>IF(OR(vp.data[[#This Row],[Sulf]]="",vp.data[[#This Row],[Dens]]=""),1,0)</f>
        <v>0</v>
      </c>
      <c r="Y1374">
        <f>IF(vp.data[[#This Row],[CrudeType]]="C5+",1,0)</f>
        <v>0</v>
      </c>
      <c r="Z1374">
        <f>IF(AND(vp.data[[#This Row],[CrudeType]]="Crude",vp.data[[#This Row],[Dens]]&lt;=825,vp.data[[#This Row],[Sulf]]&gt;0.5,vp.data[[#This Row],[Unknown]]=0),1,0)</f>
        <v>0</v>
      </c>
      <c r="AA1374">
        <f>IF(AND(vp.data[[#This Row],[CrudeType]]="Crude",vp.data[[#This Row],[Dens]]&lt;=825,vp.data[[#This Row],[Sulf]]&lt;=0.5,vp.data[[#This Row],[Unknown]]=0),1,0)</f>
        <v>0</v>
      </c>
      <c r="AB13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4">
        <f>IF(AND(vp.data[[#This Row],[CrudeType]]="Crude",vp.data[[#This Row],[Dens]]&gt;825,vp.data[[#This Row],[Dens]]&lt;=900,vp.data[[#This Row],[Sulf]]&lt;=0.5,vp.data[[#This Row],[Unknown]]=0),1,0)</f>
        <v>0</v>
      </c>
      <c r="AD1374">
        <f>IF(AND(vp.data[[#This Row],[CrudeType]]="Crude",vp.data[[#This Row],[Dens]]&gt;865,vp.data[[#This Row],[Dens]]&lt;=900,vp.data[[#This Row],[Sulf]]&gt;2,vp.data[[#This Row],[Unknown]]=0),1,0)</f>
        <v>1</v>
      </c>
      <c r="AE1374">
        <f>IF(AND(vp.data[[#This Row],[CrudeType]]="Crude",vp.data[[#This Row],[Dens]]&gt;900,vp.data[[#This Row],[Sulf]]&lt;=0.5,vp.data[[#This Row],[Unknown]]=0),1,0)</f>
        <v>0</v>
      </c>
      <c r="AF1374">
        <f>IF(AND(vp.data[[#This Row],[CrudeType]]="Crude",vp.data[[#This Row],[Dens]]&gt;900,vp.data[[#This Row],[Sulf]]&lt;=0.5,vp.data[[#This Row],[Unknown]]=0),1,0)</f>
        <v>0</v>
      </c>
      <c r="AG1374" t="str">
        <f>INDEX(vp.data[[#Headers],[Unknown]:[Heavy_SW]],MATCH(1,vp.data[[#This Row],[Unknown]:[Heavy_SW]],0))</f>
        <v>Midale</v>
      </c>
      <c r="AH1374">
        <f>INDEX([3]!crudeBD.lkup[Number],MATCH(vp.data[[#This Row],[Crude_Breakdown]],crudeBD.lkup[Crude Breakdown],0))</f>
        <v>5</v>
      </c>
      <c r="AI1374">
        <f>MONTH(vp.data[[#This Row],[SDate]])</f>
        <v>5</v>
      </c>
      <c r="AJ1374" s="5">
        <f>(vp.data[[#This Row],[VP]]-INDEX(crudeBD.lkup[Mean_VP],MATCH(vp.data[[#This Row],[Crude_Breakdown]],crudeBD.lkup[Crude Breakdown],0)))^2</f>
        <v>605.59121080880175</v>
      </c>
      <c r="AK1374" s="5">
        <f>(vp.data[[#This Row],[Dens]]-INDEX(crudeBD.lkup[Mean_Dens],MATCH(vp.data[[#This Row],[Crude_Breakdown]],crudeBD.lkup[Crude Breakdown],0)))^2</f>
        <v>1.9126604846416402</v>
      </c>
      <c r="AL1374" s="5">
        <f>(vp.data[[#This Row],[Sulf]]-INDEX(crudeBD.lkup[Mean_Sulf],MATCH(vp.data[[#This Row],[Crude_Breakdown]],crudeBD.lkup[Crude Breakdown],0)))^2</f>
        <v>0.139588591912434</v>
      </c>
      <c r="AM1374" s="4">
        <f>IF(AND(vp.data[[#This Row],[SDate]]&gt;=DATE(YEAR(vp.data[[#This Row],[SDate]]),5,1),vp.data[[#This Row],[SDate]]&lt;=DATE(YEAR(vp.data[[#This Row],[SDate]]),9,15)),1,0)</f>
        <v>1</v>
      </c>
      <c r="AN1374" s="4">
        <f>IF(vp.data[[#This Row],[SDate]]&lt;DATE(2016,12,1),0,1)</f>
        <v>1</v>
      </c>
      <c r="AO1374" s="4">
        <f>IFERROR(vp.data[[#This Row],[Sulf]]*vp.data[[#This Row],[Net Dens]],"")</f>
        <v>39580669.089702003</v>
      </c>
      <c r="AP1374">
        <f>IFERROR(vp.data[[#This Row],[Dens]]*vp.data[[#This Row],[VolumeM3]],"")</f>
        <v>19121096.178600002</v>
      </c>
      <c r="AQ1374" s="15">
        <f>IFERROR(vp.data[[#This Row],[VP]]*vp.data[[#This Row],[VolumeM3]],"")</f>
        <v>977659.33439999993</v>
      </c>
    </row>
    <row r="1375" spans="1:43" x14ac:dyDescent="0.25">
      <c r="A1375">
        <v>1374</v>
      </c>
      <c r="B1375" t="s">
        <v>49</v>
      </c>
      <c r="C1375" t="s">
        <v>49</v>
      </c>
      <c r="D1375" t="s">
        <v>70</v>
      </c>
      <c r="F1375" s="1">
        <v>42857</v>
      </c>
      <c r="G1375" s="2">
        <v>73.5</v>
      </c>
      <c r="H1375" s="2"/>
      <c r="I1375" s="2">
        <f t="array" ref="I1375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375" s="2"/>
      <c r="K1375" s="2"/>
      <c r="L1375" s="2">
        <v>822.4</v>
      </c>
      <c r="M1375" s="2">
        <f t="array" ref="M1375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375" s="2">
        <f ca="1">INDEX(INDIRECT(_xlfn.CONCAT("weather.tbl[",N$1,"]")),MATCH(vp.data[[#This Row],[SDate]],weather.tbl[Date],0))</f>
        <v>9.3500000000000014</v>
      </c>
      <c r="O1375" s="2">
        <f ca="1">INDEX(INDIRECT(_xlfn.CONCAT("weather.tbl[",O$1,"]")),MATCH(vp.data[[#This Row],[SDate]],weather.tbl[Date],0))</f>
        <v>6.7214285714285733</v>
      </c>
      <c r="P1375" s="2">
        <f ca="1">INDEX(INDIRECT(_xlfn.CONCAT("weather.tbl[",P$1,"]")),MATCH(vp.data[[#This Row],[SDate]],weather.tbl[Date],0))</f>
        <v>9.5</v>
      </c>
      <c r="Q1375" s="2">
        <f ca="1">INDEX(INDIRECT(_xlfn.CONCAT("weather.tbl[",Q$1,"]")),MATCH(vp.data[[#This Row],[SDate]],weather.tbl[Date],0))</f>
        <v>10.5</v>
      </c>
      <c r="R1375" s="2">
        <f ca="1">INDEX(INDIRECT(_xlfn.CONCAT("weather.tbl[",R$1,"]")),MATCH(vp.data[[#This Row],[SDate]],weather.tbl[Date],0))</f>
        <v>9.3000000000000007</v>
      </c>
      <c r="S1375" s="2">
        <f ca="1">INDEX(INDIRECT(_xlfn.CONCAT("weather.tbl[",S$1,"]")),MATCH(vp.data[[#This Row],[SDate]],weather.tbl[Date],0))</f>
        <v>8.9</v>
      </c>
      <c r="T1375" s="2">
        <f ca="1">INDEX(INDIRECT(_xlfn.CONCAT("weather.tbl[",T$1,"]")),MATCH(vp.data[[#This Row],[SDate]],weather.tbl[Date],0))</f>
        <v>9.1</v>
      </c>
      <c r="U1375" s="2">
        <f ca="1">INDEX(INDIRECT(_xlfn.CONCAT("weather.tbl[",U$1,"]")),MATCH(vp.data[[#This Row],[SDate]],weather.tbl[Date],0))</f>
        <v>8.8000000000000007</v>
      </c>
      <c r="V1375" s="2">
        <f t="array" ref="V13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2413.8069999999998</v>
      </c>
      <c r="W1375" t="s">
        <v>48</v>
      </c>
      <c r="X1375">
        <f>IF(OR(vp.data[[#This Row],[Sulf]]="",vp.data[[#This Row],[Dens]]=""),1,0)</f>
        <v>0</v>
      </c>
      <c r="Y1375">
        <f>IF(vp.data[[#This Row],[CrudeType]]="C5+",1,0)</f>
        <v>0</v>
      </c>
      <c r="Z1375">
        <f>IF(AND(vp.data[[#This Row],[CrudeType]]="Crude",vp.data[[#This Row],[Dens]]&lt;=825,vp.data[[#This Row],[Sulf]]&gt;0.5,vp.data[[#This Row],[Unknown]]=0),1,0)</f>
        <v>1</v>
      </c>
      <c r="AA1375">
        <f>IF(AND(vp.data[[#This Row],[CrudeType]]="Crude",vp.data[[#This Row],[Dens]]&lt;=825,vp.data[[#This Row],[Sulf]]&lt;=0.5,vp.data[[#This Row],[Unknown]]=0),1,0)</f>
        <v>0</v>
      </c>
      <c r="AB13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5">
        <f>IF(AND(vp.data[[#This Row],[CrudeType]]="Crude",vp.data[[#This Row],[Dens]]&gt;825,vp.data[[#This Row],[Dens]]&lt;=900,vp.data[[#This Row],[Sulf]]&lt;=0.5,vp.data[[#This Row],[Unknown]]=0),1,0)</f>
        <v>0</v>
      </c>
      <c r="AD1375">
        <f>IF(AND(vp.data[[#This Row],[CrudeType]]="Crude",vp.data[[#This Row],[Dens]]&gt;865,vp.data[[#This Row],[Dens]]&lt;=900,vp.data[[#This Row],[Sulf]]&gt;2,vp.data[[#This Row],[Unknown]]=0),1,0)</f>
        <v>0</v>
      </c>
      <c r="AE1375">
        <f>IF(AND(vp.data[[#This Row],[CrudeType]]="Crude",vp.data[[#This Row],[Dens]]&gt;900,vp.data[[#This Row],[Sulf]]&lt;=0.5,vp.data[[#This Row],[Unknown]]=0),1,0)</f>
        <v>0</v>
      </c>
      <c r="AF1375">
        <f>IF(AND(vp.data[[#This Row],[CrudeType]]="Crude",vp.data[[#This Row],[Dens]]&gt;900,vp.data[[#This Row],[Sulf]]&lt;=0.5,vp.data[[#This Row],[Unknown]]=0),1,0)</f>
        <v>0</v>
      </c>
      <c r="AG1375" t="str">
        <f>INDEX(vp.data[[#Headers],[Unknown]:[Heavy_SW]],MATCH(1,vp.data[[#This Row],[Unknown]:[Heavy_SW]],0))</f>
        <v>Light_LSB</v>
      </c>
      <c r="AH1375">
        <f>INDEX([3]!crudeBD.lkup[Number],MATCH(vp.data[[#This Row],[Crude_Breakdown]],crudeBD.lkup[Crude Breakdown],0))</f>
        <v>1</v>
      </c>
      <c r="AI1375">
        <f>MONTH(vp.data[[#This Row],[SDate]])</f>
        <v>5</v>
      </c>
      <c r="AJ1375" s="5">
        <f>(vp.data[[#This Row],[VP]]-INDEX(crudeBD.lkup[Mean_VP],MATCH(vp.data[[#This Row],[Crude_Breakdown]],crudeBD.lkup[Crude Breakdown],0)))^2</f>
        <v>325.66481351897232</v>
      </c>
      <c r="AK1375" s="5">
        <f>(vp.data[[#This Row],[Dens]]-INDEX(crudeBD.lkup[Mean_Dens],MATCH(vp.data[[#This Row],[Crude_Breakdown]],crudeBD.lkup[Crude Breakdown],0)))^2</f>
        <v>15.07947710112294</v>
      </c>
      <c r="AL1375" s="5">
        <f>(vp.data[[#This Row],[Sulf]]-INDEX(crudeBD.lkup[Mean_Sulf],MATCH(vp.data[[#This Row],[Crude_Breakdown]],crudeBD.lkup[Crude Breakdown],0)))^2</f>
        <v>2.8998110617612668E-4</v>
      </c>
      <c r="AM1375" s="4">
        <f>IF(AND(vp.data[[#This Row],[SDate]]&gt;=DATE(YEAR(vp.data[[#This Row],[SDate]]),5,1),vp.data[[#This Row],[SDate]]&lt;=DATE(YEAR(vp.data[[#This Row],[SDate]]),9,15)),1,0)</f>
        <v>1</v>
      </c>
      <c r="AN1375" s="4">
        <f>IF(vp.data[[#This Row],[SDate]]&lt;DATE(2016,12,1),0,1)</f>
        <v>1</v>
      </c>
      <c r="AO1375" s="4">
        <f>IFERROR(vp.data[[#This Row],[Sulf]]*vp.data[[#This Row],[Net Dens]],"")</f>
        <v>1866007.9841919995</v>
      </c>
      <c r="AP1375">
        <f>IFERROR(vp.data[[#This Row],[Dens]]*vp.data[[#This Row],[VolumeM3]],"")</f>
        <v>1985114.8767999997</v>
      </c>
      <c r="AQ1375" s="15">
        <f>IFERROR(vp.data[[#This Row],[VP]]*vp.data[[#This Row],[VolumeM3]],"")</f>
        <v>177414.81449999998</v>
      </c>
    </row>
    <row r="1376" spans="1:43" x14ac:dyDescent="0.25">
      <c r="A1376">
        <v>1375</v>
      </c>
      <c r="B1376" t="s">
        <v>49</v>
      </c>
      <c r="C1376" t="s">
        <v>49</v>
      </c>
      <c r="D1376" t="s">
        <v>81</v>
      </c>
      <c r="F1376" s="1">
        <v>42857</v>
      </c>
      <c r="G1376" s="2">
        <v>79.099999999999994</v>
      </c>
      <c r="H1376" s="2"/>
      <c r="I1376" s="2">
        <f t="array" ref="I1376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376" s="2"/>
      <c r="K1376" s="2"/>
      <c r="L1376" s="2">
        <v>824.7</v>
      </c>
      <c r="M1376" s="2">
        <f t="array" ref="M1376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376" s="2">
        <f ca="1">INDEX(INDIRECT(_xlfn.CONCAT("weather.tbl[",N$1,"]")),MATCH(vp.data[[#This Row],[SDate]],weather.tbl[Date],0))</f>
        <v>9.3500000000000014</v>
      </c>
      <c r="O1376" s="2">
        <f ca="1">INDEX(INDIRECT(_xlfn.CONCAT("weather.tbl[",O$1,"]")),MATCH(vp.data[[#This Row],[SDate]],weather.tbl[Date],0))</f>
        <v>6.7214285714285733</v>
      </c>
      <c r="P1376" s="2">
        <f ca="1">INDEX(INDIRECT(_xlfn.CONCAT("weather.tbl[",P$1,"]")),MATCH(vp.data[[#This Row],[SDate]],weather.tbl[Date],0))</f>
        <v>9.5</v>
      </c>
      <c r="Q1376" s="2">
        <f ca="1">INDEX(INDIRECT(_xlfn.CONCAT("weather.tbl[",Q$1,"]")),MATCH(vp.data[[#This Row],[SDate]],weather.tbl[Date],0))</f>
        <v>10.5</v>
      </c>
      <c r="R1376" s="2">
        <f ca="1">INDEX(INDIRECT(_xlfn.CONCAT("weather.tbl[",R$1,"]")),MATCH(vp.data[[#This Row],[SDate]],weather.tbl[Date],0))</f>
        <v>9.3000000000000007</v>
      </c>
      <c r="S1376" s="2">
        <f ca="1">INDEX(INDIRECT(_xlfn.CONCAT("weather.tbl[",S$1,"]")),MATCH(vp.data[[#This Row],[SDate]],weather.tbl[Date],0))</f>
        <v>8.9</v>
      </c>
      <c r="T1376" s="2">
        <f ca="1">INDEX(INDIRECT(_xlfn.CONCAT("weather.tbl[",T$1,"]")),MATCH(vp.data[[#This Row],[SDate]],weather.tbl[Date],0))</f>
        <v>9.1</v>
      </c>
      <c r="U1376" s="2">
        <f ca="1">INDEX(INDIRECT(_xlfn.CONCAT("weather.tbl[",U$1,"]")),MATCH(vp.data[[#This Row],[SDate]],weather.tbl[Date],0))</f>
        <v>8.8000000000000007</v>
      </c>
      <c r="V1376" s="2">
        <f t="array" ref="V13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19932.741000000002</v>
      </c>
      <c r="W1376" t="s">
        <v>48</v>
      </c>
      <c r="X1376">
        <f>IF(OR(vp.data[[#This Row],[Sulf]]="",vp.data[[#This Row],[Dens]]=""),1,0)</f>
        <v>0</v>
      </c>
      <c r="Y1376">
        <f>IF(vp.data[[#This Row],[CrudeType]]="C5+",1,0)</f>
        <v>0</v>
      </c>
      <c r="Z1376">
        <f>IF(AND(vp.data[[#This Row],[CrudeType]]="Crude",vp.data[[#This Row],[Dens]]&lt;=825,vp.data[[#This Row],[Sulf]]&gt;0.5,vp.data[[#This Row],[Unknown]]=0),1,0)</f>
        <v>1</v>
      </c>
      <c r="AA1376">
        <f>IF(AND(vp.data[[#This Row],[CrudeType]]="Crude",vp.data[[#This Row],[Dens]]&lt;=825,vp.data[[#This Row],[Sulf]]&lt;=0.5,vp.data[[#This Row],[Unknown]]=0),1,0)</f>
        <v>0</v>
      </c>
      <c r="AB13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6">
        <f>IF(AND(vp.data[[#This Row],[CrudeType]]="Crude",vp.data[[#This Row],[Dens]]&gt;825,vp.data[[#This Row],[Dens]]&lt;=900,vp.data[[#This Row],[Sulf]]&lt;=0.5,vp.data[[#This Row],[Unknown]]=0),1,0)</f>
        <v>0</v>
      </c>
      <c r="AD1376">
        <f>IF(AND(vp.data[[#This Row],[CrudeType]]="Crude",vp.data[[#This Row],[Dens]]&gt;865,vp.data[[#This Row],[Dens]]&lt;=900,vp.data[[#This Row],[Sulf]]&gt;2,vp.data[[#This Row],[Unknown]]=0),1,0)</f>
        <v>0</v>
      </c>
      <c r="AE1376">
        <f>IF(AND(vp.data[[#This Row],[CrudeType]]="Crude",vp.data[[#This Row],[Dens]]&gt;900,vp.data[[#This Row],[Sulf]]&lt;=0.5,vp.data[[#This Row],[Unknown]]=0),1,0)</f>
        <v>0</v>
      </c>
      <c r="AF1376">
        <f>IF(AND(vp.data[[#This Row],[CrudeType]]="Crude",vp.data[[#This Row],[Dens]]&gt;900,vp.data[[#This Row],[Sulf]]&lt;=0.5,vp.data[[#This Row],[Unknown]]=0),1,0)</f>
        <v>0</v>
      </c>
      <c r="AG1376" t="str">
        <f>INDEX(vp.data[[#Headers],[Unknown]:[Heavy_SW]],MATCH(1,vp.data[[#This Row],[Unknown]:[Heavy_SW]],0))</f>
        <v>Light_LSB</v>
      </c>
      <c r="AH1376">
        <f>INDEX([3]!crudeBD.lkup[Number],MATCH(vp.data[[#This Row],[Crude_Breakdown]],crudeBD.lkup[Crude Breakdown],0))</f>
        <v>1</v>
      </c>
      <c r="AI1376">
        <f>MONTH(vp.data[[#This Row],[SDate]])</f>
        <v>5</v>
      </c>
      <c r="AJ1376" s="5">
        <f>(vp.data[[#This Row],[VP]]-INDEX(crudeBD.lkup[Mean_VP],MATCH(vp.data[[#This Row],[Crude_Breakdown]],crudeBD.lkup[Crude Breakdown],0)))^2</f>
        <v>154.90753516845666</v>
      </c>
      <c r="AK1376" s="5">
        <f>(vp.data[[#This Row],[Dens]]-INDEX(crudeBD.lkup[Mean_Dens],MATCH(vp.data[[#This Row],[Crude_Breakdown]],crudeBD.lkup[Crude Breakdown],0)))^2</f>
        <v>38.232336207654335</v>
      </c>
      <c r="AL1376" s="5">
        <f>(vp.data[[#This Row],[Sulf]]-INDEX(crudeBD.lkup[Mean_Sulf],MATCH(vp.data[[#This Row],[Crude_Breakdown]],crudeBD.lkup[Crude Breakdown],0)))^2</f>
        <v>0.15442633918177728</v>
      </c>
      <c r="AM1376" s="4">
        <f>IF(AND(vp.data[[#This Row],[SDate]]&gt;=DATE(YEAR(vp.data[[#This Row],[SDate]]),5,1),vp.data[[#This Row],[SDate]]&lt;=DATE(YEAR(vp.data[[#This Row],[SDate]]),9,15)),1,0)</f>
        <v>1</v>
      </c>
      <c r="AN1376" s="4">
        <f>IF(vp.data[[#This Row],[SDate]]&lt;DATE(2016,12,1),0,1)</f>
        <v>1</v>
      </c>
      <c r="AO1376" s="4">
        <f>IFERROR(vp.data[[#This Row],[Sulf]]*vp.data[[#This Row],[Net Dens]],"")</f>
        <v>8712421.6964310016</v>
      </c>
      <c r="AP1376">
        <f>IFERROR(vp.data[[#This Row],[Dens]]*vp.data[[#This Row],[VolumeM3]],"")</f>
        <v>16438531.502700003</v>
      </c>
      <c r="AQ1376" s="15">
        <f>IFERROR(vp.data[[#This Row],[VP]]*vp.data[[#This Row],[VolumeM3]],"")</f>
        <v>1576679.8131000001</v>
      </c>
    </row>
    <row r="1377" spans="1:43" x14ac:dyDescent="0.25">
      <c r="A1377">
        <v>1376</v>
      </c>
      <c r="B1377" t="s">
        <v>49</v>
      </c>
      <c r="C1377" t="s">
        <v>49</v>
      </c>
      <c r="D1377" t="s">
        <v>80</v>
      </c>
      <c r="F1377" s="1">
        <v>42857</v>
      </c>
      <c r="G1377" s="2">
        <v>86.1</v>
      </c>
      <c r="H1377" s="2"/>
      <c r="I1377" s="2">
        <f t="array" ref="I1377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377" s="2"/>
      <c r="K1377" s="2"/>
      <c r="L1377" s="2">
        <v>818.3</v>
      </c>
      <c r="M1377" s="2">
        <f t="array" ref="M1377">_xlfn.IFNA(IF(vp.data[[#This Row],[Dens Input]]="",INDEX([1]DATA!$O$3:$O$9826,MATCH(1,(vp.data[[#This Row],[Battery]]=[1]DATA!$L$3:$L$9826)*(EOMONTH(vp.data[[#This Row],[SDate]],-1)+1=[1]DATA!$G$3:$G$9826),0)),vp.data[[#This Row],[Dens Input]]),"")</f>
        <v>818.3</v>
      </c>
      <c r="N1377" s="2">
        <f ca="1">INDEX(INDIRECT(_xlfn.CONCAT("weather.tbl[",N$1,"]")),MATCH(vp.data[[#This Row],[SDate]],weather.tbl[Date],0))</f>
        <v>9.3500000000000014</v>
      </c>
      <c r="O1377" s="2">
        <f ca="1">INDEX(INDIRECT(_xlfn.CONCAT("weather.tbl[",O$1,"]")),MATCH(vp.data[[#This Row],[SDate]],weather.tbl[Date],0))</f>
        <v>6.7214285714285733</v>
      </c>
      <c r="P1377" s="2">
        <f ca="1">INDEX(INDIRECT(_xlfn.CONCAT("weather.tbl[",P$1,"]")),MATCH(vp.data[[#This Row],[SDate]],weather.tbl[Date],0))</f>
        <v>9.5</v>
      </c>
      <c r="Q1377" s="2">
        <f ca="1">INDEX(INDIRECT(_xlfn.CONCAT("weather.tbl[",Q$1,"]")),MATCH(vp.data[[#This Row],[SDate]],weather.tbl[Date],0))</f>
        <v>10.5</v>
      </c>
      <c r="R1377" s="2">
        <f ca="1">INDEX(INDIRECT(_xlfn.CONCAT("weather.tbl[",R$1,"]")),MATCH(vp.data[[#This Row],[SDate]],weather.tbl[Date],0))</f>
        <v>9.3000000000000007</v>
      </c>
      <c r="S1377" s="2">
        <f ca="1">INDEX(INDIRECT(_xlfn.CONCAT("weather.tbl[",S$1,"]")),MATCH(vp.data[[#This Row],[SDate]],weather.tbl[Date],0))</f>
        <v>8.9</v>
      </c>
      <c r="T1377" s="2">
        <f ca="1">INDEX(INDIRECT(_xlfn.CONCAT("weather.tbl[",T$1,"]")),MATCH(vp.data[[#This Row],[SDate]],weather.tbl[Date],0))</f>
        <v>9.1</v>
      </c>
      <c r="U1377" s="2">
        <f ca="1">INDEX(INDIRECT(_xlfn.CONCAT("weather.tbl[",U$1,"]")),MATCH(vp.data[[#This Row],[SDate]],weather.tbl[Date],0))</f>
        <v>8.8000000000000007</v>
      </c>
      <c r="V1377" s="2">
        <f t="array" ref="V13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22699.566999999999</v>
      </c>
      <c r="W1377" t="s">
        <v>48</v>
      </c>
      <c r="X1377">
        <f>IF(OR(vp.data[[#This Row],[Sulf]]="",vp.data[[#This Row],[Dens]]=""),1,0)</f>
        <v>0</v>
      </c>
      <c r="Y1377">
        <f>IF(vp.data[[#This Row],[CrudeType]]="C5+",1,0)</f>
        <v>0</v>
      </c>
      <c r="Z1377">
        <f>IF(AND(vp.data[[#This Row],[CrudeType]]="Crude",vp.data[[#This Row],[Dens]]&lt;=825,vp.data[[#This Row],[Sulf]]&gt;0.5,vp.data[[#This Row],[Unknown]]=0),1,0)</f>
        <v>1</v>
      </c>
      <c r="AA1377">
        <f>IF(AND(vp.data[[#This Row],[CrudeType]]="Crude",vp.data[[#This Row],[Dens]]&lt;=825,vp.data[[#This Row],[Sulf]]&lt;=0.5,vp.data[[#This Row],[Unknown]]=0),1,0)</f>
        <v>0</v>
      </c>
      <c r="AB13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7">
        <f>IF(AND(vp.data[[#This Row],[CrudeType]]="Crude",vp.data[[#This Row],[Dens]]&gt;825,vp.data[[#This Row],[Dens]]&lt;=900,vp.data[[#This Row],[Sulf]]&lt;=0.5,vp.data[[#This Row],[Unknown]]=0),1,0)</f>
        <v>0</v>
      </c>
      <c r="AD1377">
        <f>IF(AND(vp.data[[#This Row],[CrudeType]]="Crude",vp.data[[#This Row],[Dens]]&gt;865,vp.data[[#This Row],[Dens]]&lt;=900,vp.data[[#This Row],[Sulf]]&gt;2,vp.data[[#This Row],[Unknown]]=0),1,0)</f>
        <v>0</v>
      </c>
      <c r="AE1377">
        <f>IF(AND(vp.data[[#This Row],[CrudeType]]="Crude",vp.data[[#This Row],[Dens]]&gt;900,vp.data[[#This Row],[Sulf]]&lt;=0.5,vp.data[[#This Row],[Unknown]]=0),1,0)</f>
        <v>0</v>
      </c>
      <c r="AF1377">
        <f>IF(AND(vp.data[[#This Row],[CrudeType]]="Crude",vp.data[[#This Row],[Dens]]&gt;900,vp.data[[#This Row],[Sulf]]&lt;=0.5,vp.data[[#This Row],[Unknown]]=0),1,0)</f>
        <v>0</v>
      </c>
      <c r="AG1377" t="str">
        <f>INDEX(vp.data[[#Headers],[Unknown]:[Heavy_SW]],MATCH(1,vp.data[[#This Row],[Unknown]:[Heavy_SW]],0))</f>
        <v>Light_LSB</v>
      </c>
      <c r="AH1377">
        <f>INDEX([3]!crudeBD.lkup[Number],MATCH(vp.data[[#This Row],[Crude_Breakdown]],crudeBD.lkup[Crude Breakdown],0))</f>
        <v>1</v>
      </c>
      <c r="AI1377">
        <f>MONTH(vp.data[[#This Row],[SDate]])</f>
        <v>5</v>
      </c>
      <c r="AJ1377" s="5">
        <f>(vp.data[[#This Row],[VP]]-INDEX(crudeBD.lkup[Mean_VP],MATCH(vp.data[[#This Row],[Crude_Breakdown]],crudeBD.lkup[Crude Breakdown],0)))^2</f>
        <v>29.660937230311806</v>
      </c>
      <c r="AK1377" s="5">
        <f>(vp.data[[#This Row],[Dens]]-INDEX(crudeBD.lkup[Mean_Dens],MATCH(vp.data[[#This Row],[Crude_Breakdown]],crudeBD.lkup[Crude Breakdown],0)))^2</f>
        <v>4.698912861196889E-2</v>
      </c>
      <c r="AL1377" s="5">
        <f>(vp.data[[#This Row],[Sulf]]-INDEX(crudeBD.lkup[Mean_Sulf],MATCH(vp.data[[#This Row],[Crude_Breakdown]],crudeBD.lkup[Crude Breakdown],0)))^2</f>
        <v>2.6559601724732734E-2</v>
      </c>
      <c r="AM1377" s="4">
        <f>IF(AND(vp.data[[#This Row],[SDate]]&gt;=DATE(YEAR(vp.data[[#This Row],[SDate]]),5,1),vp.data[[#This Row],[SDate]]&lt;=DATE(YEAR(vp.data[[#This Row],[SDate]]),9,15)),1,0)</f>
        <v>1</v>
      </c>
      <c r="AN1377" s="4">
        <f>IF(vp.data[[#This Row],[SDate]]&lt;DATE(2016,12,1),0,1)</f>
        <v>1</v>
      </c>
      <c r="AO1377" s="4">
        <f>IFERROR(vp.data[[#This Row],[Sulf]]*vp.data[[#This Row],[Net Dens]],"")</f>
        <v>14117042.313835997</v>
      </c>
      <c r="AP1377">
        <f>IFERROR(vp.data[[#This Row],[Dens]]*vp.data[[#This Row],[VolumeM3]],"")</f>
        <v>18575055.676099997</v>
      </c>
      <c r="AQ1377" s="15">
        <f>IFERROR(vp.data[[#This Row],[VP]]*vp.data[[#This Row],[VolumeM3]],"")</f>
        <v>1954432.7186999999</v>
      </c>
    </row>
    <row r="1378" spans="1:43" x14ac:dyDescent="0.25">
      <c r="A1378">
        <v>1377</v>
      </c>
      <c r="B1378" t="s">
        <v>49</v>
      </c>
      <c r="C1378" t="s">
        <v>49</v>
      </c>
      <c r="D1378" t="s">
        <v>100</v>
      </c>
      <c r="F1378" s="1">
        <v>42857</v>
      </c>
      <c r="G1378" s="2">
        <v>85</v>
      </c>
      <c r="H1378" s="2"/>
      <c r="I1378" s="2">
        <f t="array" ref="I1378">_xlfn.IFNA(IF(vp.data[[#This Row],[Sulf Input]]="",INDEX([1]DATA!$Q$3:$Q$9826,MATCH(1,(vp.data[[#This Row],[Battery]]=[1]DATA!$L$3:$L$9826)*(EOMONTH(vp.data[[#This Row],[SDate]],-1)+1=[1]DATA!$G$3:$G$9826),0)),vp.data[[#This Row],[Sulf Input]]),"")</f>
        <v>0.75</v>
      </c>
      <c r="J1378" s="2"/>
      <c r="K1378" s="2"/>
      <c r="L1378" s="2">
        <v>821</v>
      </c>
      <c r="M1378" s="2">
        <f t="array" ref="M1378">_xlfn.IFNA(IF(vp.data[[#This Row],[Dens Input]]="",INDEX([1]DATA!$O$3:$O$9826,MATCH(1,(vp.data[[#This Row],[Battery]]=[1]DATA!$L$3:$L$9826)*(EOMONTH(vp.data[[#This Row],[SDate]],-1)+1=[1]DATA!$G$3:$G$9826),0)),vp.data[[#This Row],[Dens Input]]),"")</f>
        <v>821</v>
      </c>
      <c r="N1378" s="2">
        <f ca="1">INDEX(INDIRECT(_xlfn.CONCAT("weather.tbl[",N$1,"]")),MATCH(vp.data[[#This Row],[SDate]],weather.tbl[Date],0))</f>
        <v>9.3500000000000014</v>
      </c>
      <c r="O1378" s="2">
        <f ca="1">INDEX(INDIRECT(_xlfn.CONCAT("weather.tbl[",O$1,"]")),MATCH(vp.data[[#This Row],[SDate]],weather.tbl[Date],0))</f>
        <v>6.7214285714285733</v>
      </c>
      <c r="P1378" s="2">
        <f ca="1">INDEX(INDIRECT(_xlfn.CONCAT("weather.tbl[",P$1,"]")),MATCH(vp.data[[#This Row],[SDate]],weather.tbl[Date],0))</f>
        <v>9.5</v>
      </c>
      <c r="Q1378" s="2">
        <f ca="1">INDEX(INDIRECT(_xlfn.CONCAT("weather.tbl[",Q$1,"]")),MATCH(vp.data[[#This Row],[SDate]],weather.tbl[Date],0))</f>
        <v>10.5</v>
      </c>
      <c r="R1378" s="2">
        <f ca="1">INDEX(INDIRECT(_xlfn.CONCAT("weather.tbl[",R$1,"]")),MATCH(vp.data[[#This Row],[SDate]],weather.tbl[Date],0))</f>
        <v>9.3000000000000007</v>
      </c>
      <c r="S1378" s="2">
        <f ca="1">INDEX(INDIRECT(_xlfn.CONCAT("weather.tbl[",S$1,"]")),MATCH(vp.data[[#This Row],[SDate]],weather.tbl[Date],0))</f>
        <v>8.9</v>
      </c>
      <c r="T1378" s="2">
        <f ca="1">INDEX(INDIRECT(_xlfn.CONCAT("weather.tbl[",T$1,"]")),MATCH(vp.data[[#This Row],[SDate]],weather.tbl[Date],0))</f>
        <v>9.1</v>
      </c>
      <c r="U1378" s="2">
        <f ca="1">INDEX(INDIRECT(_xlfn.CONCAT("weather.tbl[",U$1,"]")),MATCH(vp.data[[#This Row],[SDate]],weather.tbl[Date],0))</f>
        <v>8.8000000000000007</v>
      </c>
      <c r="V1378" s="2">
        <f t="array" ref="V13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12872.544</v>
      </c>
      <c r="W1378" t="s">
        <v>48</v>
      </c>
      <c r="X1378">
        <f>IF(OR(vp.data[[#This Row],[Sulf]]="",vp.data[[#This Row],[Dens]]=""),1,0)</f>
        <v>0</v>
      </c>
      <c r="Y1378">
        <f>IF(vp.data[[#This Row],[CrudeType]]="C5+",1,0)</f>
        <v>0</v>
      </c>
      <c r="Z1378">
        <f>IF(AND(vp.data[[#This Row],[CrudeType]]="Crude",vp.data[[#This Row],[Dens]]&lt;=825,vp.data[[#This Row],[Sulf]]&gt;0.5,vp.data[[#This Row],[Unknown]]=0),1,0)</f>
        <v>1</v>
      </c>
      <c r="AA1378">
        <f>IF(AND(vp.data[[#This Row],[CrudeType]]="Crude",vp.data[[#This Row],[Dens]]&lt;=825,vp.data[[#This Row],[Sulf]]&lt;=0.5,vp.data[[#This Row],[Unknown]]=0),1,0)</f>
        <v>0</v>
      </c>
      <c r="AB13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8">
        <f>IF(AND(vp.data[[#This Row],[CrudeType]]="Crude",vp.data[[#This Row],[Dens]]&gt;825,vp.data[[#This Row],[Dens]]&lt;=900,vp.data[[#This Row],[Sulf]]&lt;=0.5,vp.data[[#This Row],[Unknown]]=0),1,0)</f>
        <v>0</v>
      </c>
      <c r="AD1378">
        <f>IF(AND(vp.data[[#This Row],[CrudeType]]="Crude",vp.data[[#This Row],[Dens]]&gt;865,vp.data[[#This Row],[Dens]]&lt;=900,vp.data[[#This Row],[Sulf]]&gt;2,vp.data[[#This Row],[Unknown]]=0),1,0)</f>
        <v>0</v>
      </c>
      <c r="AE1378">
        <f>IF(AND(vp.data[[#This Row],[CrudeType]]="Crude",vp.data[[#This Row],[Dens]]&gt;900,vp.data[[#This Row],[Sulf]]&lt;=0.5,vp.data[[#This Row],[Unknown]]=0),1,0)</f>
        <v>0</v>
      </c>
      <c r="AF1378">
        <f>IF(AND(vp.data[[#This Row],[CrudeType]]="Crude",vp.data[[#This Row],[Dens]]&gt;900,vp.data[[#This Row],[Sulf]]&lt;=0.5,vp.data[[#This Row],[Unknown]]=0),1,0)</f>
        <v>0</v>
      </c>
      <c r="AG1378" t="str">
        <f>INDEX(vp.data[[#Headers],[Unknown]:[Heavy_SW]],MATCH(1,vp.data[[#This Row],[Unknown]:[Heavy_SW]],0))</f>
        <v>Light_LSB</v>
      </c>
      <c r="AH1378">
        <f>INDEX([3]!crudeBD.lkup[Number],MATCH(vp.data[[#This Row],[Crude_Breakdown]],crudeBD.lkup[Crude Breakdown],0))</f>
        <v>1</v>
      </c>
      <c r="AI1378">
        <f>MONTH(vp.data[[#This Row],[SDate]])</f>
        <v>5</v>
      </c>
      <c r="AJ1378" s="5">
        <f>(vp.data[[#This Row],[VP]]-INDEX(crudeBD.lkup[Mean_VP],MATCH(vp.data[[#This Row],[Crude_Breakdown]],crudeBD.lkup[Crude Breakdown],0)))^2</f>
        <v>42.852545477734495</v>
      </c>
      <c r="AK1378" s="5">
        <f>(vp.data[[#This Row],[Dens]]-INDEX(crudeBD.lkup[Mean_Dens],MATCH(vp.data[[#This Row],[Crude_Breakdown]],crudeBD.lkup[Crude Breakdown],0)))^2</f>
        <v>6.1664324275827171</v>
      </c>
      <c r="AL1378" s="5">
        <f>(vp.data[[#This Row],[Sulf]]-INDEX(crudeBD.lkup[Mean_Sulf],MATCH(vp.data[[#This Row],[Crude_Breakdown]],crudeBD.lkup[Crude Breakdown],0)))^2</f>
        <v>2.9919025092430326E-2</v>
      </c>
      <c r="AM1378" s="4">
        <f>IF(AND(vp.data[[#This Row],[SDate]]&gt;=DATE(YEAR(vp.data[[#This Row],[SDate]]),5,1),vp.data[[#This Row],[SDate]]&lt;=DATE(YEAR(vp.data[[#This Row],[SDate]]),9,15)),1,0)</f>
        <v>1</v>
      </c>
      <c r="AN1378" s="4">
        <f>IF(vp.data[[#This Row],[SDate]]&lt;DATE(2016,12,1),0,1)</f>
        <v>1</v>
      </c>
      <c r="AO1378" s="4">
        <f>IFERROR(vp.data[[#This Row],[Sulf]]*vp.data[[#This Row],[Net Dens]],"")</f>
        <v>7926268.9680000003</v>
      </c>
      <c r="AP1378">
        <f>IFERROR(vp.data[[#This Row],[Dens]]*vp.data[[#This Row],[VolumeM3]],"")</f>
        <v>10568358.624</v>
      </c>
      <c r="AQ1378" s="15">
        <f>IFERROR(vp.data[[#This Row],[VP]]*vp.data[[#This Row],[VolumeM3]],"")</f>
        <v>1094166.24</v>
      </c>
    </row>
    <row r="1379" spans="1:43" x14ac:dyDescent="0.25">
      <c r="A1379">
        <v>1378</v>
      </c>
      <c r="B1379" t="s">
        <v>49</v>
      </c>
      <c r="C1379" t="s">
        <v>49</v>
      </c>
      <c r="D1379" t="s">
        <v>67</v>
      </c>
      <c r="F1379" s="1">
        <v>42857</v>
      </c>
      <c r="G1379" s="2">
        <v>85.5</v>
      </c>
      <c r="H1379" s="2"/>
      <c r="I1379" s="2">
        <f t="array" ref="I1379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379" s="2"/>
      <c r="K1379" s="2"/>
      <c r="L1379" s="2">
        <v>821.3</v>
      </c>
      <c r="M1379" s="2">
        <f t="array" ref="M1379">_xlfn.IFNA(IF(vp.data[[#This Row],[Dens Input]]="",INDEX([1]DATA!$O$3:$O$9826,MATCH(1,(vp.data[[#This Row],[Battery]]=[1]DATA!$L$3:$L$9826)*(EOMONTH(vp.data[[#This Row],[SDate]],-1)+1=[1]DATA!$G$3:$G$9826),0)),vp.data[[#This Row],[Dens Input]]),"")</f>
        <v>821.3</v>
      </c>
      <c r="N1379" s="2">
        <f ca="1">INDEX(INDIRECT(_xlfn.CONCAT("weather.tbl[",N$1,"]")),MATCH(vp.data[[#This Row],[SDate]],weather.tbl[Date],0))</f>
        <v>9.3500000000000014</v>
      </c>
      <c r="O1379" s="2">
        <f ca="1">INDEX(INDIRECT(_xlfn.CONCAT("weather.tbl[",O$1,"]")),MATCH(vp.data[[#This Row],[SDate]],weather.tbl[Date],0))</f>
        <v>6.7214285714285733</v>
      </c>
      <c r="P1379" s="2">
        <f ca="1">INDEX(INDIRECT(_xlfn.CONCAT("weather.tbl[",P$1,"]")),MATCH(vp.data[[#This Row],[SDate]],weather.tbl[Date],0))</f>
        <v>9.5</v>
      </c>
      <c r="Q1379" s="2">
        <f ca="1">INDEX(INDIRECT(_xlfn.CONCAT("weather.tbl[",Q$1,"]")),MATCH(vp.data[[#This Row],[SDate]],weather.tbl[Date],0))</f>
        <v>10.5</v>
      </c>
      <c r="R1379" s="2">
        <f ca="1">INDEX(INDIRECT(_xlfn.CONCAT("weather.tbl[",R$1,"]")),MATCH(vp.data[[#This Row],[SDate]],weather.tbl[Date],0))</f>
        <v>9.3000000000000007</v>
      </c>
      <c r="S1379" s="2">
        <f ca="1">INDEX(INDIRECT(_xlfn.CONCAT("weather.tbl[",S$1,"]")),MATCH(vp.data[[#This Row],[SDate]],weather.tbl[Date],0))</f>
        <v>8.9</v>
      </c>
      <c r="T1379" s="2">
        <f ca="1">INDEX(INDIRECT(_xlfn.CONCAT("weather.tbl[",T$1,"]")),MATCH(vp.data[[#This Row],[SDate]],weather.tbl[Date],0))</f>
        <v>9.1</v>
      </c>
      <c r="U1379" s="2">
        <f ca="1">INDEX(INDIRECT(_xlfn.CONCAT("weather.tbl[",U$1,"]")),MATCH(vp.data[[#This Row],[SDate]],weather.tbl[Date],0))</f>
        <v>8.8000000000000007</v>
      </c>
      <c r="V1379" s="2">
        <f t="array" ref="V13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152210.65299999999</v>
      </c>
      <c r="W1379" t="s">
        <v>48</v>
      </c>
      <c r="X1379">
        <f>IF(OR(vp.data[[#This Row],[Sulf]]="",vp.data[[#This Row],[Dens]]=""),1,0)</f>
        <v>0</v>
      </c>
      <c r="Y1379">
        <f>IF(vp.data[[#This Row],[CrudeType]]="C5+",1,0)</f>
        <v>0</v>
      </c>
      <c r="Z1379">
        <f>IF(AND(vp.data[[#This Row],[CrudeType]]="Crude",vp.data[[#This Row],[Dens]]&lt;=825,vp.data[[#This Row],[Sulf]]&gt;0.5,vp.data[[#This Row],[Unknown]]=0),1,0)</f>
        <v>1</v>
      </c>
      <c r="AA1379">
        <f>IF(AND(vp.data[[#This Row],[CrudeType]]="Crude",vp.data[[#This Row],[Dens]]&lt;=825,vp.data[[#This Row],[Sulf]]&lt;=0.5,vp.data[[#This Row],[Unknown]]=0),1,0)</f>
        <v>0</v>
      </c>
      <c r="AB13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79">
        <f>IF(AND(vp.data[[#This Row],[CrudeType]]="Crude",vp.data[[#This Row],[Dens]]&gt;825,vp.data[[#This Row],[Dens]]&lt;=900,vp.data[[#This Row],[Sulf]]&lt;=0.5,vp.data[[#This Row],[Unknown]]=0),1,0)</f>
        <v>0</v>
      </c>
      <c r="AD1379">
        <f>IF(AND(vp.data[[#This Row],[CrudeType]]="Crude",vp.data[[#This Row],[Dens]]&gt;865,vp.data[[#This Row],[Dens]]&lt;=900,vp.data[[#This Row],[Sulf]]&gt;2,vp.data[[#This Row],[Unknown]]=0),1,0)</f>
        <v>0</v>
      </c>
      <c r="AE1379">
        <f>IF(AND(vp.data[[#This Row],[CrudeType]]="Crude",vp.data[[#This Row],[Dens]]&gt;900,vp.data[[#This Row],[Sulf]]&lt;=0.5,vp.data[[#This Row],[Unknown]]=0),1,0)</f>
        <v>0</v>
      </c>
      <c r="AF1379">
        <f>IF(AND(vp.data[[#This Row],[CrudeType]]="Crude",vp.data[[#This Row],[Dens]]&gt;900,vp.data[[#This Row],[Sulf]]&lt;=0.5,vp.data[[#This Row],[Unknown]]=0),1,0)</f>
        <v>0</v>
      </c>
      <c r="AG1379" t="str">
        <f>INDEX(vp.data[[#Headers],[Unknown]:[Heavy_SW]],MATCH(1,vp.data[[#This Row],[Unknown]:[Heavy_SW]],0))</f>
        <v>Light_LSB</v>
      </c>
      <c r="AH1379">
        <f>INDEX([3]!crudeBD.lkup[Number],MATCH(vp.data[[#This Row],[Crude_Breakdown]],crudeBD.lkup[Crude Breakdown],0))</f>
        <v>1</v>
      </c>
      <c r="AI1379">
        <f>MONTH(vp.data[[#This Row],[SDate]])</f>
        <v>5</v>
      </c>
      <c r="AJ1379" s="5">
        <f>(vp.data[[#This Row],[VP]]-INDEX(crudeBD.lkup[Mean_VP],MATCH(vp.data[[#This Row],[Crude_Breakdown]],crudeBD.lkup[Crude Breakdown],0)))^2</f>
        <v>36.556359910724154</v>
      </c>
      <c r="AK1379" s="5">
        <f>(vp.data[[#This Row],[Dens]]-INDEX(crudeBD.lkup[Mean_Dens],MATCH(vp.data[[#This Row],[Crude_Breakdown]],crudeBD.lkup[Crude Breakdown],0)))^2</f>
        <v>7.74637057191255</v>
      </c>
      <c r="AL1379" s="5">
        <f>(vp.data[[#This Row],[Sulf]]-INDEX(crudeBD.lkup[Mean_Sulf],MATCH(vp.data[[#This Row],[Crude_Breakdown]],crudeBD.lkup[Crude Breakdown],0)))^2</f>
        <v>8.5832105504801401E-2</v>
      </c>
      <c r="AM1379" s="4">
        <f>IF(AND(vp.data[[#This Row],[SDate]]&gt;=DATE(YEAR(vp.data[[#This Row],[SDate]]),5,1),vp.data[[#This Row],[SDate]]&lt;=DATE(YEAR(vp.data[[#This Row],[SDate]]),9,15)),1,0)</f>
        <v>1</v>
      </c>
      <c r="AN1379" s="4">
        <f>IF(vp.data[[#This Row],[SDate]]&lt;DATE(2016,12,1),0,1)</f>
        <v>1</v>
      </c>
      <c r="AO1379" s="4">
        <f>IFERROR(vp.data[[#This Row],[Sulf]]*vp.data[[#This Row],[Net Dens]],"")</f>
        <v>78756683.864606991</v>
      </c>
      <c r="AP1379">
        <f>IFERROR(vp.data[[#This Row],[Dens]]*vp.data[[#This Row],[VolumeM3]],"")</f>
        <v>125010609.30889998</v>
      </c>
      <c r="AQ1379" s="15">
        <f>IFERROR(vp.data[[#This Row],[VP]]*vp.data[[#This Row],[VolumeM3]],"")</f>
        <v>13014010.831499999</v>
      </c>
    </row>
    <row r="1380" spans="1:43" x14ac:dyDescent="0.25">
      <c r="A1380">
        <v>1379</v>
      </c>
      <c r="B1380" t="s">
        <v>62</v>
      </c>
      <c r="C1380" t="s">
        <v>62</v>
      </c>
      <c r="D1380" t="s">
        <v>87</v>
      </c>
      <c r="F1380" s="1">
        <v>42857</v>
      </c>
      <c r="G1380" s="2">
        <v>80.7</v>
      </c>
      <c r="H1380" s="2"/>
      <c r="I1380" s="2">
        <f t="array" ref="I1380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380" s="2"/>
      <c r="K1380" s="2"/>
      <c r="L1380" s="2">
        <v>811.6</v>
      </c>
      <c r="M1380" s="2">
        <f t="array" ref="M1380">_xlfn.IFNA(IF(vp.data[[#This Row],[Dens Input]]="",INDEX([1]DATA!$O$3:$O$9826,MATCH(1,(vp.data[[#This Row],[Battery]]=[1]DATA!$L$3:$L$9826)*(EOMONTH(vp.data[[#This Row],[SDate]],-1)+1=[1]DATA!$G$3:$G$9826),0)),vp.data[[#This Row],[Dens Input]]),"")</f>
        <v>811.6</v>
      </c>
      <c r="N1380" s="2">
        <f ca="1">INDEX(INDIRECT(_xlfn.CONCAT("weather.tbl[",N$1,"]")),MATCH(vp.data[[#This Row],[SDate]],weather.tbl[Date],0))</f>
        <v>9.3500000000000014</v>
      </c>
      <c r="O1380" s="2">
        <f ca="1">INDEX(INDIRECT(_xlfn.CONCAT("weather.tbl[",O$1,"]")),MATCH(vp.data[[#This Row],[SDate]],weather.tbl[Date],0))</f>
        <v>6.7214285714285733</v>
      </c>
      <c r="P1380" s="2">
        <f ca="1">INDEX(INDIRECT(_xlfn.CONCAT("weather.tbl[",P$1,"]")),MATCH(vp.data[[#This Row],[SDate]],weather.tbl[Date],0))</f>
        <v>9.5</v>
      </c>
      <c r="Q1380" s="2">
        <f ca="1">INDEX(INDIRECT(_xlfn.CONCAT("weather.tbl[",Q$1,"]")),MATCH(vp.data[[#This Row],[SDate]],weather.tbl[Date],0))</f>
        <v>10.5</v>
      </c>
      <c r="R1380" s="2">
        <f ca="1">INDEX(INDIRECT(_xlfn.CONCAT("weather.tbl[",R$1,"]")),MATCH(vp.data[[#This Row],[SDate]],weather.tbl[Date],0))</f>
        <v>9.3000000000000007</v>
      </c>
      <c r="S1380" s="2">
        <f ca="1">INDEX(INDIRECT(_xlfn.CONCAT("weather.tbl[",S$1,"]")),MATCH(vp.data[[#This Row],[SDate]],weather.tbl[Date],0))</f>
        <v>8.9</v>
      </c>
      <c r="T1380" s="2">
        <f ca="1">INDEX(INDIRECT(_xlfn.CONCAT("weather.tbl[",T$1,"]")),MATCH(vp.data[[#This Row],[SDate]],weather.tbl[Date],0))</f>
        <v>9.1</v>
      </c>
      <c r="U1380" s="2">
        <f ca="1">INDEX(INDIRECT(_xlfn.CONCAT("weather.tbl[",U$1,"]")),MATCH(vp.data[[#This Row],[SDate]],weather.tbl[Date],0))</f>
        <v>8.8000000000000007</v>
      </c>
      <c r="V1380" s="2">
        <f t="array" ref="V13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3329.3429999999998</v>
      </c>
      <c r="W1380" t="s">
        <v>48</v>
      </c>
      <c r="X1380">
        <f>IF(OR(vp.data[[#This Row],[Sulf]]="",vp.data[[#This Row],[Dens]]=""),1,0)</f>
        <v>0</v>
      </c>
      <c r="Y1380">
        <f>IF(vp.data[[#This Row],[CrudeType]]="C5+",1,0)</f>
        <v>0</v>
      </c>
      <c r="Z1380">
        <f>IF(AND(vp.data[[#This Row],[CrudeType]]="Crude",vp.data[[#This Row],[Dens]]&lt;=825,vp.data[[#This Row],[Sulf]]&gt;0.5,vp.data[[#This Row],[Unknown]]=0),1,0)</f>
        <v>0</v>
      </c>
      <c r="AA1380">
        <f>IF(AND(vp.data[[#This Row],[CrudeType]]="Crude",vp.data[[#This Row],[Dens]]&lt;=825,vp.data[[#This Row],[Sulf]]&lt;=0.5,vp.data[[#This Row],[Unknown]]=0),1,0)</f>
        <v>1</v>
      </c>
      <c r="AB13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0">
        <f>IF(AND(vp.data[[#This Row],[CrudeType]]="Crude",vp.data[[#This Row],[Dens]]&gt;825,vp.data[[#This Row],[Dens]]&lt;=900,vp.data[[#This Row],[Sulf]]&lt;=0.5,vp.data[[#This Row],[Unknown]]=0),1,0)</f>
        <v>0</v>
      </c>
      <c r="AD1380">
        <f>IF(AND(vp.data[[#This Row],[CrudeType]]="Crude",vp.data[[#This Row],[Dens]]&gt;865,vp.data[[#This Row],[Dens]]&lt;=900,vp.data[[#This Row],[Sulf]]&gt;2,vp.data[[#This Row],[Unknown]]=0),1,0)</f>
        <v>0</v>
      </c>
      <c r="AE1380">
        <f>IF(AND(vp.data[[#This Row],[CrudeType]]="Crude",vp.data[[#This Row],[Dens]]&gt;900,vp.data[[#This Row],[Sulf]]&lt;=0.5,vp.data[[#This Row],[Unknown]]=0),1,0)</f>
        <v>0</v>
      </c>
      <c r="AF1380">
        <f>IF(AND(vp.data[[#This Row],[CrudeType]]="Crude",vp.data[[#This Row],[Dens]]&gt;900,vp.data[[#This Row],[Sulf]]&lt;=0.5,vp.data[[#This Row],[Unknown]]=0),1,0)</f>
        <v>0</v>
      </c>
      <c r="AG1380" t="str">
        <f>INDEX(vp.data[[#Headers],[Unknown]:[Heavy_SW]],MATCH(1,vp.data[[#This Row],[Unknown]:[Heavy_SW]],0))</f>
        <v>Light_SW</v>
      </c>
      <c r="AH1380">
        <f>INDEX([3]!crudeBD.lkup[Number],MATCH(vp.data[[#This Row],[Crude_Breakdown]],crudeBD.lkup[Crude Breakdown],0))</f>
        <v>2</v>
      </c>
      <c r="AI1380">
        <f>MONTH(vp.data[[#This Row],[SDate]])</f>
        <v>5</v>
      </c>
      <c r="AJ1380" s="5">
        <f>(vp.data[[#This Row],[VP]]-INDEX(crudeBD.lkup[Mean_VP],MATCH(vp.data[[#This Row],[Crude_Breakdown]],crudeBD.lkup[Crude Breakdown],0)))^2</f>
        <v>140.42993215408632</v>
      </c>
      <c r="AK1380" s="5">
        <f>(vp.data[[#This Row],[Dens]]-INDEX(crudeBD.lkup[Mean_Dens],MATCH(vp.data[[#This Row],[Crude_Breakdown]],crudeBD.lkup[Crude Breakdown],0)))^2</f>
        <v>10.814243708192773</v>
      </c>
      <c r="AL1380" s="5">
        <f>(vp.data[[#This Row],[Sulf]]-INDEX(crudeBD.lkup[Mean_Sulf],MATCH(vp.data[[#This Row],[Crude_Breakdown]],crudeBD.lkup[Crude Breakdown],0)))^2</f>
        <v>5.644515043280923E-4</v>
      </c>
      <c r="AM1380" s="4">
        <f>IF(AND(vp.data[[#This Row],[SDate]]&gt;=DATE(YEAR(vp.data[[#This Row],[SDate]]),5,1),vp.data[[#This Row],[SDate]]&lt;=DATE(YEAR(vp.data[[#This Row],[SDate]]),9,15)),1,0)</f>
        <v>1</v>
      </c>
      <c r="AN1380" s="4">
        <f>IF(vp.data[[#This Row],[SDate]]&lt;DATE(2016,12,1),0,1)</f>
        <v>1</v>
      </c>
      <c r="AO1380" s="4">
        <f>IFERROR(vp.data[[#This Row],[Sulf]]*vp.data[[#This Row],[Net Dens]],"")</f>
        <v>702544.64248799998</v>
      </c>
      <c r="AP1380">
        <f>IFERROR(vp.data[[#This Row],[Dens]]*vp.data[[#This Row],[VolumeM3]],"")</f>
        <v>2702094.7788</v>
      </c>
      <c r="AQ1380" s="15">
        <f>IFERROR(vp.data[[#This Row],[VP]]*vp.data[[#This Row],[VolumeM3]],"")</f>
        <v>268677.98009999999</v>
      </c>
    </row>
    <row r="1381" spans="1:43" x14ac:dyDescent="0.25">
      <c r="A1381">
        <v>1380</v>
      </c>
      <c r="B1381" t="s">
        <v>62</v>
      </c>
      <c r="C1381" t="s">
        <v>62</v>
      </c>
      <c r="D1381" t="s">
        <v>83</v>
      </c>
      <c r="F1381" s="1">
        <v>42857</v>
      </c>
      <c r="G1381" s="2">
        <v>77.900000000000006</v>
      </c>
      <c r="H1381" s="2"/>
      <c r="I1381" s="2">
        <f t="array" ref="I1381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381" s="2"/>
      <c r="K1381" s="2"/>
      <c r="L1381" s="2">
        <v>809.7</v>
      </c>
      <c r="M1381" s="2">
        <f t="array" ref="M1381">_xlfn.IFNA(IF(vp.data[[#This Row],[Dens Input]]="",INDEX([1]DATA!$O$3:$O$9826,MATCH(1,(vp.data[[#This Row],[Battery]]=[1]DATA!$L$3:$L$9826)*(EOMONTH(vp.data[[#This Row],[SDate]],-1)+1=[1]DATA!$G$3:$G$9826),0)),vp.data[[#This Row],[Dens Input]]),"")</f>
        <v>809.7</v>
      </c>
      <c r="N1381" s="2">
        <f ca="1">INDEX(INDIRECT(_xlfn.CONCAT("weather.tbl[",N$1,"]")),MATCH(vp.data[[#This Row],[SDate]],weather.tbl[Date],0))</f>
        <v>9.3500000000000014</v>
      </c>
      <c r="O1381" s="2">
        <f ca="1">INDEX(INDIRECT(_xlfn.CONCAT("weather.tbl[",O$1,"]")),MATCH(vp.data[[#This Row],[SDate]],weather.tbl[Date],0))</f>
        <v>6.7214285714285733</v>
      </c>
      <c r="P1381" s="2">
        <f ca="1">INDEX(INDIRECT(_xlfn.CONCAT("weather.tbl[",P$1,"]")),MATCH(vp.data[[#This Row],[SDate]],weather.tbl[Date],0))</f>
        <v>9.5</v>
      </c>
      <c r="Q1381" s="2">
        <f ca="1">INDEX(INDIRECT(_xlfn.CONCAT("weather.tbl[",Q$1,"]")),MATCH(vp.data[[#This Row],[SDate]],weather.tbl[Date],0))</f>
        <v>10.5</v>
      </c>
      <c r="R1381" s="2">
        <f ca="1">INDEX(INDIRECT(_xlfn.CONCAT("weather.tbl[",R$1,"]")),MATCH(vp.data[[#This Row],[SDate]],weather.tbl[Date],0))</f>
        <v>9.3000000000000007</v>
      </c>
      <c r="S1381" s="2">
        <f ca="1">INDEX(INDIRECT(_xlfn.CONCAT("weather.tbl[",S$1,"]")),MATCH(vp.data[[#This Row],[SDate]],weather.tbl[Date],0))</f>
        <v>8.9</v>
      </c>
      <c r="T1381" s="2">
        <f ca="1">INDEX(INDIRECT(_xlfn.CONCAT("weather.tbl[",T$1,"]")),MATCH(vp.data[[#This Row],[SDate]],weather.tbl[Date],0))</f>
        <v>9.1</v>
      </c>
      <c r="U1381" s="2">
        <f ca="1">INDEX(INDIRECT(_xlfn.CONCAT("weather.tbl[",U$1,"]")),MATCH(vp.data[[#This Row],[SDate]],weather.tbl[Date],0))</f>
        <v>8.8000000000000007</v>
      </c>
      <c r="V1381" s="2">
        <f t="array" ref="V13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8729.3289999999997</v>
      </c>
      <c r="W1381" t="s">
        <v>48</v>
      </c>
      <c r="X1381">
        <f>IF(OR(vp.data[[#This Row],[Sulf]]="",vp.data[[#This Row],[Dens]]=""),1,0)</f>
        <v>0</v>
      </c>
      <c r="Y1381">
        <f>IF(vp.data[[#This Row],[CrudeType]]="C5+",1,0)</f>
        <v>0</v>
      </c>
      <c r="Z1381">
        <f>IF(AND(vp.data[[#This Row],[CrudeType]]="Crude",vp.data[[#This Row],[Dens]]&lt;=825,vp.data[[#This Row],[Sulf]]&gt;0.5,vp.data[[#This Row],[Unknown]]=0),1,0)</f>
        <v>0</v>
      </c>
      <c r="AA1381">
        <f>IF(AND(vp.data[[#This Row],[CrudeType]]="Crude",vp.data[[#This Row],[Dens]]&lt;=825,vp.data[[#This Row],[Sulf]]&lt;=0.5,vp.data[[#This Row],[Unknown]]=0),1,0)</f>
        <v>1</v>
      </c>
      <c r="AB13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1">
        <f>IF(AND(vp.data[[#This Row],[CrudeType]]="Crude",vp.data[[#This Row],[Dens]]&gt;825,vp.data[[#This Row],[Dens]]&lt;=900,vp.data[[#This Row],[Sulf]]&lt;=0.5,vp.data[[#This Row],[Unknown]]=0),1,0)</f>
        <v>0</v>
      </c>
      <c r="AD1381">
        <f>IF(AND(vp.data[[#This Row],[CrudeType]]="Crude",vp.data[[#This Row],[Dens]]&gt;865,vp.data[[#This Row],[Dens]]&lt;=900,vp.data[[#This Row],[Sulf]]&gt;2,vp.data[[#This Row],[Unknown]]=0),1,0)</f>
        <v>0</v>
      </c>
      <c r="AE1381">
        <f>IF(AND(vp.data[[#This Row],[CrudeType]]="Crude",vp.data[[#This Row],[Dens]]&gt;900,vp.data[[#This Row],[Sulf]]&lt;=0.5,vp.data[[#This Row],[Unknown]]=0),1,0)</f>
        <v>0</v>
      </c>
      <c r="AF1381">
        <f>IF(AND(vp.data[[#This Row],[CrudeType]]="Crude",vp.data[[#This Row],[Dens]]&gt;900,vp.data[[#This Row],[Sulf]]&lt;=0.5,vp.data[[#This Row],[Unknown]]=0),1,0)</f>
        <v>0</v>
      </c>
      <c r="AG1381" t="str">
        <f>INDEX(vp.data[[#Headers],[Unknown]:[Heavy_SW]],MATCH(1,vp.data[[#This Row],[Unknown]:[Heavy_SW]],0))</f>
        <v>Light_SW</v>
      </c>
      <c r="AH1381">
        <f>INDEX([3]!crudeBD.lkup[Number],MATCH(vp.data[[#This Row],[Crude_Breakdown]],crudeBD.lkup[Crude Breakdown],0))</f>
        <v>2</v>
      </c>
      <c r="AI1381">
        <f>MONTH(vp.data[[#This Row],[SDate]])</f>
        <v>5</v>
      </c>
      <c r="AJ1381" s="5">
        <f>(vp.data[[#This Row],[VP]]-INDEX(crudeBD.lkup[Mean_VP],MATCH(vp.data[[#This Row],[Crude_Breakdown]],crudeBD.lkup[Crude Breakdown],0)))^2</f>
        <v>214.63168825164703</v>
      </c>
      <c r="AK1381" s="5">
        <f>(vp.data[[#This Row],[Dens]]-INDEX(crudeBD.lkup[Mean_Dens],MATCH(vp.data[[#This Row],[Crude_Breakdown]],crudeBD.lkup[Crude Breakdown],0)))^2</f>
        <v>1.9279370879828619</v>
      </c>
      <c r="AL1381" s="5">
        <f>(vp.data[[#This Row],[Sulf]]-INDEX(crudeBD.lkup[Mean_Sulf],MATCH(vp.data[[#This Row],[Crude_Breakdown]],crudeBD.lkup[Crude Breakdown],0)))^2</f>
        <v>2.1383051628646554E-3</v>
      </c>
      <c r="AM1381" s="4">
        <f>IF(AND(vp.data[[#This Row],[SDate]]&gt;=DATE(YEAR(vp.data[[#This Row],[SDate]]),5,1),vp.data[[#This Row],[SDate]]&lt;=DATE(YEAR(vp.data[[#This Row],[SDate]]),9,15)),1,0)</f>
        <v>1</v>
      </c>
      <c r="AN1381" s="4">
        <f>IF(vp.data[[#This Row],[SDate]]&lt;DATE(2016,12,1),0,1)</f>
        <v>1</v>
      </c>
      <c r="AO1381" s="4">
        <f>IFERROR(vp.data[[#This Row],[Sulf]]*vp.data[[#This Row],[Net Dens]],"")</f>
        <v>1342946.1613469999</v>
      </c>
      <c r="AP1381">
        <f>IFERROR(vp.data[[#This Row],[Dens]]*vp.data[[#This Row],[VolumeM3]],"")</f>
        <v>7068137.6913000001</v>
      </c>
      <c r="AQ1381" s="15">
        <f>IFERROR(vp.data[[#This Row],[VP]]*vp.data[[#This Row],[VolumeM3]],"")</f>
        <v>680014.7291</v>
      </c>
    </row>
    <row r="1382" spans="1:43" x14ac:dyDescent="0.25">
      <c r="A1382">
        <v>1381</v>
      </c>
      <c r="B1382" t="s">
        <v>68</v>
      </c>
      <c r="C1382" t="s">
        <v>68</v>
      </c>
      <c r="D1382" t="s">
        <v>110</v>
      </c>
      <c r="F1382" s="1">
        <v>42857</v>
      </c>
      <c r="G1382" s="2">
        <v>64.8</v>
      </c>
      <c r="H1382" s="2"/>
      <c r="I1382" s="2">
        <f t="array" ref="I1382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382" s="2"/>
      <c r="K1382" s="2"/>
      <c r="L1382" s="2">
        <v>854</v>
      </c>
      <c r="M1382" s="2">
        <f t="array" ref="M1382">_xlfn.IFNA(IF(vp.data[[#This Row],[Dens Input]]="",INDEX([1]DATA!$O$3:$O$9826,MATCH(1,(vp.data[[#This Row],[Battery]]=[1]DATA!$L$3:$L$9826)*(EOMONTH(vp.data[[#This Row],[SDate]],-1)+1=[1]DATA!$G$3:$G$9826),0)),vp.data[[#This Row],[Dens Input]]),"")</f>
        <v>854</v>
      </c>
      <c r="N1382" s="2">
        <f ca="1">INDEX(INDIRECT(_xlfn.CONCAT("weather.tbl[",N$1,"]")),MATCH(vp.data[[#This Row],[SDate]],weather.tbl[Date],0))</f>
        <v>9.3500000000000014</v>
      </c>
      <c r="O1382" s="2">
        <f ca="1">INDEX(INDIRECT(_xlfn.CONCAT("weather.tbl[",O$1,"]")),MATCH(vp.data[[#This Row],[SDate]],weather.tbl[Date],0))</f>
        <v>6.7214285714285733</v>
      </c>
      <c r="P1382" s="2">
        <f ca="1">INDEX(INDIRECT(_xlfn.CONCAT("weather.tbl[",P$1,"]")),MATCH(vp.data[[#This Row],[SDate]],weather.tbl[Date],0))</f>
        <v>9.5</v>
      </c>
      <c r="Q1382" s="2">
        <f ca="1">INDEX(INDIRECT(_xlfn.CONCAT("weather.tbl[",Q$1,"]")),MATCH(vp.data[[#This Row],[SDate]],weather.tbl[Date],0))</f>
        <v>10.5</v>
      </c>
      <c r="R1382" s="2">
        <f ca="1">INDEX(INDIRECT(_xlfn.CONCAT("weather.tbl[",R$1,"]")),MATCH(vp.data[[#This Row],[SDate]],weather.tbl[Date],0))</f>
        <v>9.3000000000000007</v>
      </c>
      <c r="S1382" s="2">
        <f ca="1">INDEX(INDIRECT(_xlfn.CONCAT("weather.tbl[",S$1,"]")),MATCH(vp.data[[#This Row],[SDate]],weather.tbl[Date],0))</f>
        <v>8.9</v>
      </c>
      <c r="T1382" s="2">
        <f ca="1">INDEX(INDIRECT(_xlfn.CONCAT("weather.tbl[",T$1,"]")),MATCH(vp.data[[#This Row],[SDate]],weather.tbl[Date],0))</f>
        <v>9.1</v>
      </c>
      <c r="U1382" s="2">
        <f ca="1">INDEX(INDIRECT(_xlfn.CONCAT("weather.tbl[",U$1,"]")),MATCH(vp.data[[#This Row],[SDate]],weather.tbl[Date],0))</f>
        <v>8.8000000000000007</v>
      </c>
      <c r="V1382" s="2">
        <f t="array" ref="V13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3812.1930000000002</v>
      </c>
      <c r="W1382" t="s">
        <v>48</v>
      </c>
      <c r="X1382">
        <f>IF(OR(vp.data[[#This Row],[Sulf]]="",vp.data[[#This Row],[Dens]]=""),1,0)</f>
        <v>0</v>
      </c>
      <c r="Y1382">
        <f>IF(vp.data[[#This Row],[CrudeType]]="C5+",1,0)</f>
        <v>0</v>
      </c>
      <c r="Z1382">
        <f>IF(AND(vp.data[[#This Row],[CrudeType]]="Crude",vp.data[[#This Row],[Dens]]&lt;=825,vp.data[[#This Row],[Sulf]]&gt;0.5,vp.data[[#This Row],[Unknown]]=0),1,0)</f>
        <v>0</v>
      </c>
      <c r="AA1382">
        <f>IF(AND(vp.data[[#This Row],[CrudeType]]="Crude",vp.data[[#This Row],[Dens]]&lt;=825,vp.data[[#This Row],[Sulf]]&lt;=0.5,vp.data[[#This Row],[Unknown]]=0),1,0)</f>
        <v>0</v>
      </c>
      <c r="AB13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82">
        <f>IF(AND(vp.data[[#This Row],[CrudeType]]="Crude",vp.data[[#This Row],[Dens]]&gt;825,vp.data[[#This Row],[Dens]]&lt;=900,vp.data[[#This Row],[Sulf]]&lt;=0.5,vp.data[[#This Row],[Unknown]]=0),1,0)</f>
        <v>0</v>
      </c>
      <c r="AD1382">
        <f>IF(AND(vp.data[[#This Row],[CrudeType]]="Crude",vp.data[[#This Row],[Dens]]&gt;865,vp.data[[#This Row],[Dens]]&lt;=900,vp.data[[#This Row],[Sulf]]&gt;2,vp.data[[#This Row],[Unknown]]=0),1,0)</f>
        <v>0</v>
      </c>
      <c r="AE1382">
        <f>IF(AND(vp.data[[#This Row],[CrudeType]]="Crude",vp.data[[#This Row],[Dens]]&gt;900,vp.data[[#This Row],[Sulf]]&lt;=0.5,vp.data[[#This Row],[Unknown]]=0),1,0)</f>
        <v>0</v>
      </c>
      <c r="AF1382">
        <f>IF(AND(vp.data[[#This Row],[CrudeType]]="Crude",vp.data[[#This Row],[Dens]]&gt;900,vp.data[[#This Row],[Sulf]]&lt;=0.5,vp.data[[#This Row],[Unknown]]=0),1,0)</f>
        <v>0</v>
      </c>
      <c r="AG1382" t="str">
        <f>INDEX(vp.data[[#Headers],[Unknown]:[Heavy_SW]],MATCH(1,vp.data[[#This Row],[Unknown]:[Heavy_SW]],0))</f>
        <v>Medium_LSB</v>
      </c>
      <c r="AH1382">
        <f>INDEX([3]!crudeBD.lkup[Number],MATCH(vp.data[[#This Row],[Crude_Breakdown]],crudeBD.lkup[Crude Breakdown],0))</f>
        <v>3</v>
      </c>
      <c r="AI1382">
        <f>MONTH(vp.data[[#This Row],[SDate]])</f>
        <v>5</v>
      </c>
      <c r="AJ1382" s="5">
        <f>(vp.data[[#This Row],[VP]]-INDEX(crudeBD.lkup[Mean_VP],MATCH(vp.data[[#This Row],[Crude_Breakdown]],crudeBD.lkup[Crude Breakdown],0)))^2</f>
        <v>250.89535320434828</v>
      </c>
      <c r="AK1382" s="5">
        <f>(vp.data[[#This Row],[Dens]]-INDEX(crudeBD.lkup[Mean_Dens],MATCH(vp.data[[#This Row],[Crude_Breakdown]],crudeBD.lkup[Crude Breakdown],0)))^2</f>
        <v>101.60640000001</v>
      </c>
      <c r="AL1382" s="5">
        <f>(vp.data[[#This Row],[Sulf]]-INDEX(crudeBD.lkup[Mean_Sulf],MATCH(vp.data[[#This Row],[Crude_Breakdown]],crudeBD.lkup[Crude Breakdown],0)))^2</f>
        <v>4.1721100983878141E-3</v>
      </c>
      <c r="AM1382" s="4">
        <f>IF(AND(vp.data[[#This Row],[SDate]]&gt;=DATE(YEAR(vp.data[[#This Row],[SDate]]),5,1),vp.data[[#This Row],[SDate]]&lt;=DATE(YEAR(vp.data[[#This Row],[SDate]]),9,15)),1,0)</f>
        <v>1</v>
      </c>
      <c r="AN1382" s="4">
        <f>IF(vp.data[[#This Row],[SDate]]&lt;DATE(2016,12,1),0,1)</f>
        <v>1</v>
      </c>
      <c r="AO1382" s="4">
        <f>IFERROR(vp.data[[#This Row],[Sulf]]*vp.data[[#This Row],[Net Dens]],"")</f>
        <v>4720638.5919000003</v>
      </c>
      <c r="AP1382">
        <f>IFERROR(vp.data[[#This Row],[Dens]]*vp.data[[#This Row],[VolumeM3]],"")</f>
        <v>3255612.8220000002</v>
      </c>
      <c r="AQ1382" s="15">
        <f>IFERROR(vp.data[[#This Row],[VP]]*vp.data[[#This Row],[VolumeM3]],"")</f>
        <v>247030.10639999999</v>
      </c>
    </row>
    <row r="1383" spans="1:43" x14ac:dyDescent="0.25">
      <c r="A1383">
        <v>1382</v>
      </c>
      <c r="B1383" t="s">
        <v>68</v>
      </c>
      <c r="C1383" t="s">
        <v>68</v>
      </c>
      <c r="D1383" t="s">
        <v>98</v>
      </c>
      <c r="F1383" s="1">
        <v>42857</v>
      </c>
      <c r="G1383" s="2">
        <v>59.5</v>
      </c>
      <c r="H1383" s="2"/>
      <c r="I1383" s="2">
        <f t="array" ref="I1383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383" s="2"/>
      <c r="K1383" s="2"/>
      <c r="L1383" s="2">
        <v>850</v>
      </c>
      <c r="M1383" s="2">
        <f t="array" ref="M1383">_xlfn.IFNA(IF(vp.data[[#This Row],[Dens Input]]="",INDEX([1]DATA!$O$3:$O$9826,MATCH(1,(vp.data[[#This Row],[Battery]]=[1]DATA!$L$3:$L$9826)*(EOMONTH(vp.data[[#This Row],[SDate]],-1)+1=[1]DATA!$G$3:$G$9826),0)),vp.data[[#This Row],[Dens Input]]),"")</f>
        <v>850</v>
      </c>
      <c r="N1383" s="2">
        <f ca="1">INDEX(INDIRECT(_xlfn.CONCAT("weather.tbl[",N$1,"]")),MATCH(vp.data[[#This Row],[SDate]],weather.tbl[Date],0))</f>
        <v>9.3500000000000014</v>
      </c>
      <c r="O1383" s="2">
        <f ca="1">INDEX(INDIRECT(_xlfn.CONCAT("weather.tbl[",O$1,"]")),MATCH(vp.data[[#This Row],[SDate]],weather.tbl[Date],0))</f>
        <v>6.7214285714285733</v>
      </c>
      <c r="P1383" s="2">
        <f ca="1">INDEX(INDIRECT(_xlfn.CONCAT("weather.tbl[",P$1,"]")),MATCH(vp.data[[#This Row],[SDate]],weather.tbl[Date],0))</f>
        <v>9.5</v>
      </c>
      <c r="Q1383" s="2">
        <f ca="1">INDEX(INDIRECT(_xlfn.CONCAT("weather.tbl[",Q$1,"]")),MATCH(vp.data[[#This Row],[SDate]],weather.tbl[Date],0))</f>
        <v>10.5</v>
      </c>
      <c r="R1383" s="2">
        <f ca="1">INDEX(INDIRECT(_xlfn.CONCAT("weather.tbl[",R$1,"]")),MATCH(vp.data[[#This Row],[SDate]],weather.tbl[Date],0))</f>
        <v>9.3000000000000007</v>
      </c>
      <c r="S1383" s="2">
        <f ca="1">INDEX(INDIRECT(_xlfn.CONCAT("weather.tbl[",S$1,"]")),MATCH(vp.data[[#This Row],[SDate]],weather.tbl[Date],0))</f>
        <v>8.9</v>
      </c>
      <c r="T1383" s="2">
        <f ca="1">INDEX(INDIRECT(_xlfn.CONCAT("weather.tbl[",T$1,"]")),MATCH(vp.data[[#This Row],[SDate]],weather.tbl[Date],0))</f>
        <v>9.1</v>
      </c>
      <c r="U1383" s="2">
        <f ca="1">INDEX(INDIRECT(_xlfn.CONCAT("weather.tbl[",U$1,"]")),MATCH(vp.data[[#This Row],[SDate]],weather.tbl[Date],0))</f>
        <v>8.8000000000000007</v>
      </c>
      <c r="V1383" s="2">
        <f t="array" ref="V13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4675.3909999999996</v>
      </c>
      <c r="W1383" t="s">
        <v>48</v>
      </c>
      <c r="X1383">
        <f>IF(OR(vp.data[[#This Row],[Sulf]]="",vp.data[[#This Row],[Dens]]=""),1,0)</f>
        <v>0</v>
      </c>
      <c r="Y1383">
        <f>IF(vp.data[[#This Row],[CrudeType]]="C5+",1,0)</f>
        <v>0</v>
      </c>
      <c r="Z1383">
        <f>IF(AND(vp.data[[#This Row],[CrudeType]]="Crude",vp.data[[#This Row],[Dens]]&lt;=825,vp.data[[#This Row],[Sulf]]&gt;0.5,vp.data[[#This Row],[Unknown]]=0),1,0)</f>
        <v>0</v>
      </c>
      <c r="AA1383">
        <f>IF(AND(vp.data[[#This Row],[CrudeType]]="Crude",vp.data[[#This Row],[Dens]]&lt;=825,vp.data[[#This Row],[Sulf]]&lt;=0.5,vp.data[[#This Row],[Unknown]]=0),1,0)</f>
        <v>0</v>
      </c>
      <c r="AB13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83">
        <f>IF(AND(vp.data[[#This Row],[CrudeType]]="Crude",vp.data[[#This Row],[Dens]]&gt;825,vp.data[[#This Row],[Dens]]&lt;=900,vp.data[[#This Row],[Sulf]]&lt;=0.5,vp.data[[#This Row],[Unknown]]=0),1,0)</f>
        <v>0</v>
      </c>
      <c r="AD1383">
        <f>IF(AND(vp.data[[#This Row],[CrudeType]]="Crude",vp.data[[#This Row],[Dens]]&gt;865,vp.data[[#This Row],[Dens]]&lt;=900,vp.data[[#This Row],[Sulf]]&gt;2,vp.data[[#This Row],[Unknown]]=0),1,0)</f>
        <v>0</v>
      </c>
      <c r="AE1383">
        <f>IF(AND(vp.data[[#This Row],[CrudeType]]="Crude",vp.data[[#This Row],[Dens]]&gt;900,vp.data[[#This Row],[Sulf]]&lt;=0.5,vp.data[[#This Row],[Unknown]]=0),1,0)</f>
        <v>0</v>
      </c>
      <c r="AF1383">
        <f>IF(AND(vp.data[[#This Row],[CrudeType]]="Crude",vp.data[[#This Row],[Dens]]&gt;900,vp.data[[#This Row],[Sulf]]&lt;=0.5,vp.data[[#This Row],[Unknown]]=0),1,0)</f>
        <v>0</v>
      </c>
      <c r="AG1383" t="str">
        <f>INDEX(vp.data[[#Headers],[Unknown]:[Heavy_SW]],MATCH(1,vp.data[[#This Row],[Unknown]:[Heavy_SW]],0))</f>
        <v>Medium_LSB</v>
      </c>
      <c r="AH1383">
        <f>INDEX([3]!crudeBD.lkup[Number],MATCH(vp.data[[#This Row],[Crude_Breakdown]],crudeBD.lkup[Crude Breakdown],0))</f>
        <v>3</v>
      </c>
      <c r="AI1383">
        <f>MONTH(vp.data[[#This Row],[SDate]])</f>
        <v>5</v>
      </c>
      <c r="AJ1383" s="5">
        <f>(vp.data[[#This Row],[VP]]-INDEX(crudeBD.lkup[Mean_VP],MATCH(vp.data[[#This Row],[Crude_Breakdown]],crudeBD.lkup[Crude Breakdown],0)))^2</f>
        <v>446.88592463291883</v>
      </c>
      <c r="AK1383" s="5">
        <f>(vp.data[[#This Row],[Dens]]-INDEX(crudeBD.lkup[Mean_Dens],MATCH(vp.data[[#This Row],[Crude_Breakdown]],crudeBD.lkup[Crude Breakdown],0)))^2</f>
        <v>36.966400000006026</v>
      </c>
      <c r="AL1383" s="5">
        <f>(vp.data[[#This Row],[Sulf]]-INDEX(crudeBD.lkup[Mean_Sulf],MATCH(vp.data[[#This Row],[Crude_Breakdown]],crudeBD.lkup[Crude Breakdown],0)))^2</f>
        <v>4.2782230363935985E-3</v>
      </c>
      <c r="AM1383" s="4">
        <f>IF(AND(vp.data[[#This Row],[SDate]]&gt;=DATE(YEAR(vp.data[[#This Row],[SDate]]),5,1),vp.data[[#This Row],[SDate]]&lt;=DATE(YEAR(vp.data[[#This Row],[SDate]]),9,15)),1,0)</f>
        <v>1</v>
      </c>
      <c r="AN1383" s="4">
        <f>IF(vp.data[[#This Row],[SDate]]&lt;DATE(2016,12,1),0,1)</f>
        <v>1</v>
      </c>
      <c r="AO1383" s="4">
        <f>IFERROR(vp.data[[#This Row],[Sulf]]*vp.data[[#This Row],[Net Dens]],"")</f>
        <v>5245788.7019999996</v>
      </c>
      <c r="AP1383">
        <f>IFERROR(vp.data[[#This Row],[Dens]]*vp.data[[#This Row],[VolumeM3]],"")</f>
        <v>3974082.3499999996</v>
      </c>
      <c r="AQ1383" s="15">
        <f>IFERROR(vp.data[[#This Row],[VP]]*vp.data[[#This Row],[VolumeM3]],"")</f>
        <v>278185.76449999999</v>
      </c>
    </row>
    <row r="1384" spans="1:43" x14ac:dyDescent="0.25">
      <c r="A1384">
        <v>1383</v>
      </c>
      <c r="B1384" t="s">
        <v>49</v>
      </c>
      <c r="C1384" t="s">
        <v>49</v>
      </c>
      <c r="D1384" t="s">
        <v>89</v>
      </c>
      <c r="F1384" s="1">
        <v>42857</v>
      </c>
      <c r="G1384" s="2">
        <v>87.6</v>
      </c>
      <c r="H1384" s="2"/>
      <c r="I1384" s="2">
        <f t="array" ref="I1384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384" s="2"/>
      <c r="K1384" s="2"/>
      <c r="L1384" s="2">
        <v>818.3</v>
      </c>
      <c r="M1384" s="2">
        <f t="array" ref="M1384">_xlfn.IFNA(IF(vp.data[[#This Row],[Dens Input]]="",INDEX([1]DATA!$O$3:$O$9826,MATCH(1,(vp.data[[#This Row],[Battery]]=[1]DATA!$L$3:$L$9826)*(EOMONTH(vp.data[[#This Row],[SDate]],-1)+1=[1]DATA!$G$3:$G$9826),0)),vp.data[[#This Row],[Dens Input]]),"")</f>
        <v>818.3</v>
      </c>
      <c r="N1384" s="2">
        <f ca="1">INDEX(INDIRECT(_xlfn.CONCAT("weather.tbl[",N$1,"]")),MATCH(vp.data[[#This Row],[SDate]],weather.tbl[Date],0))</f>
        <v>9.3500000000000014</v>
      </c>
      <c r="O1384" s="2">
        <f ca="1">INDEX(INDIRECT(_xlfn.CONCAT("weather.tbl[",O$1,"]")),MATCH(vp.data[[#This Row],[SDate]],weather.tbl[Date],0))</f>
        <v>6.7214285714285733</v>
      </c>
      <c r="P1384" s="2">
        <f ca="1">INDEX(INDIRECT(_xlfn.CONCAT("weather.tbl[",P$1,"]")),MATCH(vp.data[[#This Row],[SDate]],weather.tbl[Date],0))</f>
        <v>9.5</v>
      </c>
      <c r="Q1384" s="2">
        <f ca="1">INDEX(INDIRECT(_xlfn.CONCAT("weather.tbl[",Q$1,"]")),MATCH(vp.data[[#This Row],[SDate]],weather.tbl[Date],0))</f>
        <v>10.5</v>
      </c>
      <c r="R1384" s="2">
        <f ca="1">INDEX(INDIRECT(_xlfn.CONCAT("weather.tbl[",R$1,"]")),MATCH(vp.data[[#This Row],[SDate]],weather.tbl[Date],0))</f>
        <v>9.3000000000000007</v>
      </c>
      <c r="S1384" s="2">
        <f ca="1">INDEX(INDIRECT(_xlfn.CONCAT("weather.tbl[",S$1,"]")),MATCH(vp.data[[#This Row],[SDate]],weather.tbl[Date],0))</f>
        <v>8.9</v>
      </c>
      <c r="T1384" s="2">
        <f ca="1">INDEX(INDIRECT(_xlfn.CONCAT("weather.tbl[",T$1,"]")),MATCH(vp.data[[#This Row],[SDate]],weather.tbl[Date],0))</f>
        <v>9.1</v>
      </c>
      <c r="U1384" s="2">
        <f ca="1">INDEX(INDIRECT(_xlfn.CONCAT("weather.tbl[",U$1,"]")),MATCH(vp.data[[#This Row],[SDate]],weather.tbl[Date],0))</f>
        <v>8.8000000000000007</v>
      </c>
      <c r="V1384" s="2">
        <f t="array" ref="V13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6839.1149999999998</v>
      </c>
      <c r="W1384" t="s">
        <v>48</v>
      </c>
      <c r="X1384">
        <f>IF(OR(vp.data[[#This Row],[Sulf]]="",vp.data[[#This Row],[Dens]]=""),1,0)</f>
        <v>0</v>
      </c>
      <c r="Y1384">
        <f>IF(vp.data[[#This Row],[CrudeType]]="C5+",1,0)</f>
        <v>0</v>
      </c>
      <c r="Z1384">
        <f>IF(AND(vp.data[[#This Row],[CrudeType]]="Crude",vp.data[[#This Row],[Dens]]&lt;=825,vp.data[[#This Row],[Sulf]]&gt;0.5,vp.data[[#This Row],[Unknown]]=0),1,0)</f>
        <v>1</v>
      </c>
      <c r="AA1384">
        <f>IF(AND(vp.data[[#This Row],[CrudeType]]="Crude",vp.data[[#This Row],[Dens]]&lt;=825,vp.data[[#This Row],[Sulf]]&lt;=0.5,vp.data[[#This Row],[Unknown]]=0),1,0)</f>
        <v>0</v>
      </c>
      <c r="AB13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4">
        <f>IF(AND(vp.data[[#This Row],[CrudeType]]="Crude",vp.data[[#This Row],[Dens]]&gt;825,vp.data[[#This Row],[Dens]]&lt;=900,vp.data[[#This Row],[Sulf]]&lt;=0.5,vp.data[[#This Row],[Unknown]]=0),1,0)</f>
        <v>0</v>
      </c>
      <c r="AD1384">
        <f>IF(AND(vp.data[[#This Row],[CrudeType]]="Crude",vp.data[[#This Row],[Dens]]&gt;865,vp.data[[#This Row],[Dens]]&lt;=900,vp.data[[#This Row],[Sulf]]&gt;2,vp.data[[#This Row],[Unknown]]=0),1,0)</f>
        <v>0</v>
      </c>
      <c r="AE1384">
        <f>IF(AND(vp.data[[#This Row],[CrudeType]]="Crude",vp.data[[#This Row],[Dens]]&gt;900,vp.data[[#This Row],[Sulf]]&lt;=0.5,vp.data[[#This Row],[Unknown]]=0),1,0)</f>
        <v>0</v>
      </c>
      <c r="AF1384">
        <f>IF(AND(vp.data[[#This Row],[CrudeType]]="Crude",vp.data[[#This Row],[Dens]]&gt;900,vp.data[[#This Row],[Sulf]]&lt;=0.5,vp.data[[#This Row],[Unknown]]=0),1,0)</f>
        <v>0</v>
      </c>
      <c r="AG1384" t="str">
        <f>INDEX(vp.data[[#Headers],[Unknown]:[Heavy_SW]],MATCH(1,vp.data[[#This Row],[Unknown]:[Heavy_SW]],0))</f>
        <v>Light_LSB</v>
      </c>
      <c r="AH1384">
        <f>INDEX([3]!crudeBD.lkup[Number],MATCH(vp.data[[#This Row],[Crude_Breakdown]],crudeBD.lkup[Crude Breakdown],0))</f>
        <v>1</v>
      </c>
      <c r="AI1384">
        <f>MONTH(vp.data[[#This Row],[SDate]])</f>
        <v>5</v>
      </c>
      <c r="AJ1384" s="5">
        <f>(vp.data[[#This Row],[VP]]-INDEX(crudeBD.lkup[Mean_VP],MATCH(vp.data[[#This Row],[Crude_Breakdown]],crudeBD.lkup[Crude Breakdown],0)))^2</f>
        <v>15.572380529280766</v>
      </c>
      <c r="AK1384" s="5">
        <f>(vp.data[[#This Row],[Dens]]-INDEX(crudeBD.lkup[Mean_Dens],MATCH(vp.data[[#This Row],[Crude_Breakdown]],crudeBD.lkup[Crude Breakdown],0)))^2</f>
        <v>4.698912861196889E-2</v>
      </c>
      <c r="AL1384" s="5">
        <f>(vp.data[[#This Row],[Sulf]]-INDEX(crudeBD.lkup[Mean_Sulf],MATCH(vp.data[[#This Row],[Crude_Breakdown]],crudeBD.lkup[Crude Breakdown],0)))^2</f>
        <v>5.9034988666313432E-2</v>
      </c>
      <c r="AM1384" s="4">
        <f>IF(AND(vp.data[[#This Row],[SDate]]&gt;=DATE(YEAR(vp.data[[#This Row],[SDate]]),5,1),vp.data[[#This Row],[SDate]]&lt;=DATE(YEAR(vp.data[[#This Row],[SDate]]),9,15)),1,0)</f>
        <v>1</v>
      </c>
      <c r="AN1384" s="4">
        <f>IF(vp.data[[#This Row],[SDate]]&lt;DATE(2016,12,1),0,1)</f>
        <v>1</v>
      </c>
      <c r="AO1384" s="4">
        <f>IFERROR(vp.data[[#This Row],[Sulf]]*vp.data[[#This Row],[Net Dens]],"")</f>
        <v>3805584.5070600002</v>
      </c>
      <c r="AP1384">
        <f>IFERROR(vp.data[[#This Row],[Dens]]*vp.data[[#This Row],[VolumeM3]],"")</f>
        <v>5596447.8044999996</v>
      </c>
      <c r="AQ1384" s="15">
        <f>IFERROR(vp.data[[#This Row],[VP]]*vp.data[[#This Row],[VolumeM3]],"")</f>
        <v>599106.47399999993</v>
      </c>
    </row>
    <row r="1385" spans="1:43" x14ac:dyDescent="0.25">
      <c r="A1385">
        <v>1384</v>
      </c>
      <c r="B1385" t="s">
        <v>51</v>
      </c>
      <c r="C1385" t="s">
        <v>51</v>
      </c>
      <c r="D1385" t="s">
        <v>52</v>
      </c>
      <c r="F1385" s="1">
        <v>42858</v>
      </c>
      <c r="G1385" s="2">
        <v>72.7</v>
      </c>
      <c r="H1385" s="2"/>
      <c r="I1385" s="2">
        <f t="array" ref="I1385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385" s="2"/>
      <c r="K1385" s="2"/>
      <c r="L1385" s="2">
        <v>870.9</v>
      </c>
      <c r="M1385" s="2">
        <f t="array" ref="M1385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385" s="2">
        <f ca="1">INDEX(INDIRECT(_xlfn.CONCAT("weather.tbl[",N$1,"]")),MATCH(vp.data[[#This Row],[SDate]],weather.tbl[Date],0))</f>
        <v>9.5333333333333332</v>
      </c>
      <c r="O1385" s="2">
        <f ca="1">INDEX(INDIRECT(_xlfn.CONCAT("weather.tbl[",O$1,"]")),MATCH(vp.data[[#This Row],[SDate]],weather.tbl[Date],0))</f>
        <v>7.8952380952380965</v>
      </c>
      <c r="P1385" s="2">
        <f ca="1">INDEX(INDIRECT(_xlfn.CONCAT("weather.tbl[",P$1,"]")),MATCH(vp.data[[#This Row],[SDate]],weather.tbl[Date],0))</f>
        <v>9.5</v>
      </c>
      <c r="Q1385" s="2">
        <f ca="1">INDEX(INDIRECT(_xlfn.CONCAT("weather.tbl[",Q$1,"]")),MATCH(vp.data[[#This Row],[SDate]],weather.tbl[Date],0))</f>
        <v>9</v>
      </c>
      <c r="R1385" s="2">
        <f ca="1">INDEX(INDIRECT(_xlfn.CONCAT("weather.tbl[",R$1,"]")),MATCH(vp.data[[#This Row],[SDate]],weather.tbl[Date],0))</f>
        <v>10</v>
      </c>
      <c r="S1385" s="2">
        <f ca="1">INDEX(INDIRECT(_xlfn.CONCAT("weather.tbl[",S$1,"]")),MATCH(vp.data[[#This Row],[SDate]],weather.tbl[Date],0))</f>
        <v>9.4</v>
      </c>
      <c r="T1385" s="2">
        <f ca="1">INDEX(INDIRECT(_xlfn.CONCAT("weather.tbl[",T$1,"]")),MATCH(vp.data[[#This Row],[SDate]],weather.tbl[Date],0))</f>
        <v>10</v>
      </c>
      <c r="U1385" s="2">
        <f ca="1">INDEX(INDIRECT(_xlfn.CONCAT("weather.tbl[",U$1,"]")),MATCH(vp.data[[#This Row],[SDate]],weather.tbl[Date],0))</f>
        <v>9.3000000000000007</v>
      </c>
      <c r="V1385" s="2">
        <f t="array" ref="V13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7049.7860000000001</v>
      </c>
      <c r="W1385" t="s">
        <v>48</v>
      </c>
      <c r="X1385">
        <f>IF(OR(vp.data[[#This Row],[Sulf]]="",vp.data[[#This Row],[Dens]]=""),1,0)</f>
        <v>0</v>
      </c>
      <c r="Y1385">
        <f>IF(vp.data[[#This Row],[CrudeType]]="C5+",1,0)</f>
        <v>0</v>
      </c>
      <c r="Z1385">
        <f>IF(AND(vp.data[[#This Row],[CrudeType]]="Crude",vp.data[[#This Row],[Dens]]&lt;=825,vp.data[[#This Row],[Sulf]]&gt;0.5,vp.data[[#This Row],[Unknown]]=0),1,0)</f>
        <v>0</v>
      </c>
      <c r="AA1385">
        <f>IF(AND(vp.data[[#This Row],[CrudeType]]="Crude",vp.data[[#This Row],[Dens]]&lt;=825,vp.data[[#This Row],[Sulf]]&lt;=0.5,vp.data[[#This Row],[Unknown]]=0),1,0)</f>
        <v>0</v>
      </c>
      <c r="AB13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5">
        <f>IF(AND(vp.data[[#This Row],[CrudeType]]="Crude",vp.data[[#This Row],[Dens]]&gt;825,vp.data[[#This Row],[Dens]]&lt;=900,vp.data[[#This Row],[Sulf]]&lt;=0.5,vp.data[[#This Row],[Unknown]]=0),1,0)</f>
        <v>0</v>
      </c>
      <c r="AD1385">
        <f>IF(AND(vp.data[[#This Row],[CrudeType]]="Crude",vp.data[[#This Row],[Dens]]&gt;865,vp.data[[#This Row],[Dens]]&lt;=900,vp.data[[#This Row],[Sulf]]&gt;2,vp.data[[#This Row],[Unknown]]=0),1,0)</f>
        <v>1</v>
      </c>
      <c r="AE1385">
        <f>IF(AND(vp.data[[#This Row],[CrudeType]]="Crude",vp.data[[#This Row],[Dens]]&gt;900,vp.data[[#This Row],[Sulf]]&lt;=0.5,vp.data[[#This Row],[Unknown]]=0),1,0)</f>
        <v>0</v>
      </c>
      <c r="AF1385">
        <f>IF(AND(vp.data[[#This Row],[CrudeType]]="Crude",vp.data[[#This Row],[Dens]]&gt;900,vp.data[[#This Row],[Sulf]]&lt;=0.5,vp.data[[#This Row],[Unknown]]=0),1,0)</f>
        <v>0</v>
      </c>
      <c r="AG1385" t="str">
        <f>INDEX(vp.data[[#Headers],[Unknown]:[Heavy_SW]],MATCH(1,vp.data[[#This Row],[Unknown]:[Heavy_SW]],0))</f>
        <v>Midale</v>
      </c>
      <c r="AH1385">
        <f>INDEX([3]!crudeBD.lkup[Number],MATCH(vp.data[[#This Row],[Crude_Breakdown]],crudeBD.lkup[Crude Breakdown],0))</f>
        <v>5</v>
      </c>
      <c r="AI1385">
        <f>MONTH(vp.data[[#This Row],[SDate]])</f>
        <v>5</v>
      </c>
      <c r="AJ1385" s="5">
        <f>(vp.data[[#This Row],[VP]]-INDEX(crudeBD.lkup[Mean_VP],MATCH(vp.data[[#This Row],[Crude_Breakdown]],crudeBD.lkup[Crude Breakdown],0)))^2</f>
        <v>10.832241736634948</v>
      </c>
      <c r="AK1385" s="5">
        <f>(vp.data[[#This Row],[Dens]]-INDEX(crudeBD.lkup[Mean_Dens],MATCH(vp.data[[#This Row],[Crude_Breakdown]],crudeBD.lkup[Crude Breakdown],0)))^2</f>
        <v>15.342969762995462</v>
      </c>
      <c r="AL1385" s="5">
        <f>(vp.data[[#This Row],[Sulf]]-INDEX(crudeBD.lkup[Mean_Sulf],MATCH(vp.data[[#This Row],[Crude_Breakdown]],crudeBD.lkup[Crude Breakdown],0)))^2</f>
        <v>1.9023176856306674E-3</v>
      </c>
      <c r="AM1385" s="4">
        <f>IF(AND(vp.data[[#This Row],[SDate]]&gt;=DATE(YEAR(vp.data[[#This Row],[SDate]]),5,1),vp.data[[#This Row],[SDate]]&lt;=DATE(YEAR(vp.data[[#This Row],[SDate]]),9,15)),1,0)</f>
        <v>1</v>
      </c>
      <c r="AN1385" s="4">
        <f>IF(vp.data[[#This Row],[SDate]]&lt;DATE(2016,12,1),0,1)</f>
        <v>1</v>
      </c>
      <c r="AO1385" s="4">
        <f>IFERROR(vp.data[[#This Row],[Sulf]]*vp.data[[#This Row],[Net Dens]],"")</f>
        <v>14735180.705759998</v>
      </c>
      <c r="AP1385">
        <f>IFERROR(vp.data[[#This Row],[Dens]]*vp.data[[#This Row],[VolumeM3]],"")</f>
        <v>6139658.6273999996</v>
      </c>
      <c r="AQ1385" s="15">
        <f>IFERROR(vp.data[[#This Row],[VP]]*vp.data[[#This Row],[VolumeM3]],"")</f>
        <v>512519.44220000005</v>
      </c>
    </row>
    <row r="1386" spans="1:43" x14ac:dyDescent="0.25">
      <c r="A1386">
        <v>1385</v>
      </c>
      <c r="B1386" t="s">
        <v>111</v>
      </c>
      <c r="C1386" t="s">
        <v>111</v>
      </c>
      <c r="D1386" t="s">
        <v>112</v>
      </c>
      <c r="F1386" s="1">
        <v>42858</v>
      </c>
      <c r="G1386" s="2">
        <v>76.099999999999994</v>
      </c>
      <c r="H1386" s="2"/>
      <c r="I1386" s="2">
        <f t="array" ref="I1386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386" s="2"/>
      <c r="K1386" s="2"/>
      <c r="L1386" s="2">
        <v>856.5</v>
      </c>
      <c r="M1386" s="2">
        <f t="array" ref="M1386">_xlfn.IFNA(IF(vp.data[[#This Row],[Dens Input]]="",INDEX([1]DATA!$O$3:$O$9826,MATCH(1,(vp.data[[#This Row],[Battery]]=[1]DATA!$L$3:$L$9826)*(EOMONTH(vp.data[[#This Row],[SDate]],-1)+1=[1]DATA!$G$3:$G$9826),0)),vp.data[[#This Row],[Dens Input]]),"")</f>
        <v>856.5</v>
      </c>
      <c r="N1386" s="2">
        <f ca="1">INDEX(INDIRECT(_xlfn.CONCAT("weather.tbl[",N$1,"]")),MATCH(vp.data[[#This Row],[SDate]],weather.tbl[Date],0))</f>
        <v>9.5333333333333332</v>
      </c>
      <c r="O1386" s="2">
        <f ca="1">INDEX(INDIRECT(_xlfn.CONCAT("weather.tbl[",O$1,"]")),MATCH(vp.data[[#This Row],[SDate]],weather.tbl[Date],0))</f>
        <v>7.8952380952380965</v>
      </c>
      <c r="P1386" s="2">
        <f ca="1">INDEX(INDIRECT(_xlfn.CONCAT("weather.tbl[",P$1,"]")),MATCH(vp.data[[#This Row],[SDate]],weather.tbl[Date],0))</f>
        <v>9.5</v>
      </c>
      <c r="Q1386" s="2">
        <f ca="1">INDEX(INDIRECT(_xlfn.CONCAT("weather.tbl[",Q$1,"]")),MATCH(vp.data[[#This Row],[SDate]],weather.tbl[Date],0))</f>
        <v>9</v>
      </c>
      <c r="R1386" s="2">
        <f ca="1">INDEX(INDIRECT(_xlfn.CONCAT("weather.tbl[",R$1,"]")),MATCH(vp.data[[#This Row],[SDate]],weather.tbl[Date],0))</f>
        <v>10</v>
      </c>
      <c r="S1386" s="2">
        <f ca="1">INDEX(INDIRECT(_xlfn.CONCAT("weather.tbl[",S$1,"]")),MATCH(vp.data[[#This Row],[SDate]],weather.tbl[Date],0))</f>
        <v>9.4</v>
      </c>
      <c r="T1386" s="2">
        <f ca="1">INDEX(INDIRECT(_xlfn.CONCAT("weather.tbl[",T$1,"]")),MATCH(vp.data[[#This Row],[SDate]],weather.tbl[Date],0))</f>
        <v>10</v>
      </c>
      <c r="U1386" s="2">
        <f ca="1">INDEX(INDIRECT(_xlfn.CONCAT("weather.tbl[",U$1,"]")),MATCH(vp.data[[#This Row],[SDate]],weather.tbl[Date],0))</f>
        <v>9.3000000000000007</v>
      </c>
      <c r="V1386" s="2">
        <f t="array" ref="V13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8074.473</v>
      </c>
      <c r="W1386" t="s">
        <v>48</v>
      </c>
      <c r="X1386">
        <f>IF(OR(vp.data[[#This Row],[Sulf]]="",vp.data[[#This Row],[Dens]]=""),1,0)</f>
        <v>0</v>
      </c>
      <c r="Y1386">
        <f>IF(vp.data[[#This Row],[CrudeType]]="C5+",1,0)</f>
        <v>0</v>
      </c>
      <c r="Z1386">
        <f>IF(AND(vp.data[[#This Row],[CrudeType]]="Crude",vp.data[[#This Row],[Dens]]&lt;=825,vp.data[[#This Row],[Sulf]]&gt;0.5,vp.data[[#This Row],[Unknown]]=0),1,0)</f>
        <v>0</v>
      </c>
      <c r="AA1386">
        <f>IF(AND(vp.data[[#This Row],[CrudeType]]="Crude",vp.data[[#This Row],[Dens]]&lt;=825,vp.data[[#This Row],[Sulf]]&lt;=0.5,vp.data[[#This Row],[Unknown]]=0),1,0)</f>
        <v>0</v>
      </c>
      <c r="AB13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86">
        <f>IF(AND(vp.data[[#This Row],[CrudeType]]="Crude",vp.data[[#This Row],[Dens]]&gt;825,vp.data[[#This Row],[Dens]]&lt;=900,vp.data[[#This Row],[Sulf]]&lt;=0.5,vp.data[[#This Row],[Unknown]]=0),1,0)</f>
        <v>0</v>
      </c>
      <c r="AD1386">
        <f>IF(AND(vp.data[[#This Row],[CrudeType]]="Crude",vp.data[[#This Row],[Dens]]&gt;865,vp.data[[#This Row],[Dens]]&lt;=900,vp.data[[#This Row],[Sulf]]&gt;2,vp.data[[#This Row],[Unknown]]=0),1,0)</f>
        <v>0</v>
      </c>
      <c r="AE1386">
        <f>IF(AND(vp.data[[#This Row],[CrudeType]]="Crude",vp.data[[#This Row],[Dens]]&gt;900,vp.data[[#This Row],[Sulf]]&lt;=0.5,vp.data[[#This Row],[Unknown]]=0),1,0)</f>
        <v>0</v>
      </c>
      <c r="AF1386">
        <f>IF(AND(vp.data[[#This Row],[CrudeType]]="Crude",vp.data[[#This Row],[Dens]]&gt;900,vp.data[[#This Row],[Sulf]]&lt;=0.5,vp.data[[#This Row],[Unknown]]=0),1,0)</f>
        <v>0</v>
      </c>
      <c r="AG1386" t="str">
        <f>INDEX(vp.data[[#Headers],[Unknown]:[Heavy_SW]],MATCH(1,vp.data[[#This Row],[Unknown]:[Heavy_SW]],0))</f>
        <v>Medium_LSB</v>
      </c>
      <c r="AH1386">
        <f>INDEX([3]!crudeBD.lkup[Number],MATCH(vp.data[[#This Row],[Crude_Breakdown]],crudeBD.lkup[Crude Breakdown],0))</f>
        <v>3</v>
      </c>
      <c r="AI1386">
        <f>MONTH(vp.data[[#This Row],[SDate]])</f>
        <v>5</v>
      </c>
      <c r="AJ1386" s="5">
        <f>(vp.data[[#This Row],[VP]]-INDEX(crudeBD.lkup[Mean_VP],MATCH(vp.data[[#This Row],[Crude_Breakdown]],crudeBD.lkup[Crude Breakdown],0)))^2</f>
        <v>20.608663177395673</v>
      </c>
      <c r="AK1386" s="5">
        <f>(vp.data[[#This Row],[Dens]]-INDEX(crudeBD.lkup[Mean_Dens],MATCH(vp.data[[#This Row],[Crude_Breakdown]],crudeBD.lkup[Crude Breakdown],0)))^2</f>
        <v>158.25640000001246</v>
      </c>
      <c r="AL1386" s="5">
        <f>(vp.data[[#This Row],[Sulf]]-INDEX(crudeBD.lkup[Mean_Sulf],MATCH(vp.data[[#This Row],[Crude_Breakdown]],crudeBD.lkup[Crude Breakdown],0)))^2</f>
        <v>0.14791090902021975</v>
      </c>
      <c r="AM1386" s="4">
        <f>IF(AND(vp.data[[#This Row],[SDate]]&gt;=DATE(YEAR(vp.data[[#This Row],[SDate]]),5,1),vp.data[[#This Row],[SDate]]&lt;=DATE(YEAR(vp.data[[#This Row],[SDate]]),9,15)),1,0)</f>
        <v>1</v>
      </c>
      <c r="AN1386" s="4">
        <f>IF(vp.data[[#This Row],[SDate]]&lt;DATE(2016,12,1),0,1)</f>
        <v>1</v>
      </c>
      <c r="AO1386" s="4">
        <f>IFERROR(vp.data[[#This Row],[Sulf]]*vp.data[[#This Row],[Net Dens]],"")</f>
        <v>12240941.440365</v>
      </c>
      <c r="AP1386">
        <f>IFERROR(vp.data[[#This Row],[Dens]]*vp.data[[#This Row],[VolumeM3]],"")</f>
        <v>6915786.1244999999</v>
      </c>
      <c r="AQ1386" s="15">
        <f>IFERROR(vp.data[[#This Row],[VP]]*vp.data[[#This Row],[VolumeM3]],"")</f>
        <v>614467.39529999997</v>
      </c>
    </row>
    <row r="1387" spans="1:43" x14ac:dyDescent="0.25">
      <c r="A1387">
        <v>1386</v>
      </c>
      <c r="B1387" t="s">
        <v>111</v>
      </c>
      <c r="C1387" t="s">
        <v>111</v>
      </c>
      <c r="D1387" t="s">
        <v>234</v>
      </c>
      <c r="F1387" s="1">
        <v>42858</v>
      </c>
      <c r="G1387" s="2">
        <v>68.099999999999994</v>
      </c>
      <c r="H1387" s="2"/>
      <c r="I1387" s="2">
        <f t="array" ref="I1387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387" s="2"/>
      <c r="K1387" s="2"/>
      <c r="L1387" s="2">
        <v>886.6</v>
      </c>
      <c r="M1387" s="2">
        <f t="array" ref="M1387">_xlfn.IFNA(IF(vp.data[[#This Row],[Dens Input]]="",INDEX([1]DATA!$O$3:$O$9826,MATCH(1,(vp.data[[#This Row],[Battery]]=[1]DATA!$L$3:$L$9826)*(EOMONTH(vp.data[[#This Row],[SDate]],-1)+1=[1]DATA!$G$3:$G$9826),0)),vp.data[[#This Row],[Dens Input]]),"")</f>
        <v>886.6</v>
      </c>
      <c r="N1387" s="2">
        <f ca="1">INDEX(INDIRECT(_xlfn.CONCAT("weather.tbl[",N$1,"]")),MATCH(vp.data[[#This Row],[SDate]],weather.tbl[Date],0))</f>
        <v>9.5333333333333332</v>
      </c>
      <c r="O1387" s="2">
        <f ca="1">INDEX(INDIRECT(_xlfn.CONCAT("weather.tbl[",O$1,"]")),MATCH(vp.data[[#This Row],[SDate]],weather.tbl[Date],0))</f>
        <v>7.8952380952380965</v>
      </c>
      <c r="P1387" s="2">
        <f ca="1">INDEX(INDIRECT(_xlfn.CONCAT("weather.tbl[",P$1,"]")),MATCH(vp.data[[#This Row],[SDate]],weather.tbl[Date],0))</f>
        <v>9.5</v>
      </c>
      <c r="Q1387" s="2">
        <f ca="1">INDEX(INDIRECT(_xlfn.CONCAT("weather.tbl[",Q$1,"]")),MATCH(vp.data[[#This Row],[SDate]],weather.tbl[Date],0))</f>
        <v>9</v>
      </c>
      <c r="R1387" s="2">
        <f ca="1">INDEX(INDIRECT(_xlfn.CONCAT("weather.tbl[",R$1,"]")),MATCH(vp.data[[#This Row],[SDate]],weather.tbl[Date],0))</f>
        <v>10</v>
      </c>
      <c r="S1387" s="2">
        <f ca="1">INDEX(INDIRECT(_xlfn.CONCAT("weather.tbl[",S$1,"]")),MATCH(vp.data[[#This Row],[SDate]],weather.tbl[Date],0))</f>
        <v>9.4</v>
      </c>
      <c r="T1387" s="2">
        <f ca="1">INDEX(INDIRECT(_xlfn.CONCAT("weather.tbl[",T$1,"]")),MATCH(vp.data[[#This Row],[SDate]],weather.tbl[Date],0))</f>
        <v>10</v>
      </c>
      <c r="U1387" s="2">
        <f ca="1">INDEX(INDIRECT(_xlfn.CONCAT("weather.tbl[",U$1,"]")),MATCH(vp.data[[#This Row],[SDate]],weather.tbl[Date],0))</f>
        <v>9.3000000000000007</v>
      </c>
      <c r="V1387" s="2">
        <f t="array" ref="V13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2844.9769999999999</v>
      </c>
      <c r="W1387" t="s">
        <v>48</v>
      </c>
      <c r="X1387">
        <f>IF(OR(vp.data[[#This Row],[Sulf]]="",vp.data[[#This Row],[Dens]]=""),1,0)</f>
        <v>0</v>
      </c>
      <c r="Y1387">
        <f>IF(vp.data[[#This Row],[CrudeType]]="C5+",1,0)</f>
        <v>0</v>
      </c>
      <c r="Z1387">
        <f>IF(AND(vp.data[[#This Row],[CrudeType]]="Crude",vp.data[[#This Row],[Dens]]&lt;=825,vp.data[[#This Row],[Sulf]]&gt;0.5,vp.data[[#This Row],[Unknown]]=0),1,0)</f>
        <v>0</v>
      </c>
      <c r="AA1387">
        <f>IF(AND(vp.data[[#This Row],[CrudeType]]="Crude",vp.data[[#This Row],[Dens]]&lt;=825,vp.data[[#This Row],[Sulf]]&lt;=0.5,vp.data[[#This Row],[Unknown]]=0),1,0)</f>
        <v>0</v>
      </c>
      <c r="AB13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7">
        <f>IF(AND(vp.data[[#This Row],[CrudeType]]="Crude",vp.data[[#This Row],[Dens]]&gt;825,vp.data[[#This Row],[Dens]]&lt;=900,vp.data[[#This Row],[Sulf]]&lt;=0.5,vp.data[[#This Row],[Unknown]]=0),1,0)</f>
        <v>0</v>
      </c>
      <c r="AD1387">
        <f>IF(AND(vp.data[[#This Row],[CrudeType]]="Crude",vp.data[[#This Row],[Dens]]&gt;865,vp.data[[#This Row],[Dens]]&lt;=900,vp.data[[#This Row],[Sulf]]&gt;2,vp.data[[#This Row],[Unknown]]=0),1,0)</f>
        <v>1</v>
      </c>
      <c r="AE1387">
        <f>IF(AND(vp.data[[#This Row],[CrudeType]]="Crude",vp.data[[#This Row],[Dens]]&gt;900,vp.data[[#This Row],[Sulf]]&lt;=0.5,vp.data[[#This Row],[Unknown]]=0),1,0)</f>
        <v>0</v>
      </c>
      <c r="AF1387">
        <f>IF(AND(vp.data[[#This Row],[CrudeType]]="Crude",vp.data[[#This Row],[Dens]]&gt;900,vp.data[[#This Row],[Sulf]]&lt;=0.5,vp.data[[#This Row],[Unknown]]=0),1,0)</f>
        <v>0</v>
      </c>
      <c r="AG1387" t="str">
        <f>INDEX(vp.data[[#Headers],[Unknown]:[Heavy_SW]],MATCH(1,vp.data[[#This Row],[Unknown]:[Heavy_SW]],0))</f>
        <v>Midale</v>
      </c>
      <c r="AH1387">
        <f>INDEX([3]!crudeBD.lkup[Number],MATCH(vp.data[[#This Row],[Crude_Breakdown]],crudeBD.lkup[Crude Breakdown],0))</f>
        <v>5</v>
      </c>
      <c r="AI1387">
        <f>MONTH(vp.data[[#This Row],[SDate]])</f>
        <v>5</v>
      </c>
      <c r="AJ1387" s="5">
        <f>(vp.data[[#This Row],[VP]]-INDEX(crudeBD.lkup[Mean_VP],MATCH(vp.data[[#This Row],[Crude_Breakdown]],crudeBD.lkup[Crude Breakdown],0)))^2</f>
        <v>1.7128602933362647</v>
      </c>
      <c r="AK1387" s="5">
        <f>(vp.data[[#This Row],[Dens]]-INDEX(crudeBD.lkup[Mean_Dens],MATCH(vp.data[[#This Row],[Crude_Breakdown]],crudeBD.lkup[Crude Breakdown],0)))^2</f>
        <v>138.83884605164596</v>
      </c>
      <c r="AL1387" s="5">
        <f>(vp.data[[#This Row],[Sulf]]-INDEX(crudeBD.lkup[Mean_Sulf],MATCH(vp.data[[#This Row],[Crude_Breakdown]],crudeBD.lkup[Crude Breakdown],0)))^2</f>
        <v>9.3871420778415121E-2</v>
      </c>
      <c r="AM1387" s="4">
        <f>IF(AND(vp.data[[#This Row],[SDate]]&gt;=DATE(YEAR(vp.data[[#This Row],[SDate]]),5,1),vp.data[[#This Row],[SDate]]&lt;=DATE(YEAR(vp.data[[#This Row],[SDate]]),9,15)),1,0)</f>
        <v>1</v>
      </c>
      <c r="AN1387" s="4">
        <f>IF(vp.data[[#This Row],[SDate]]&lt;DATE(2016,12,1),0,1)</f>
        <v>1</v>
      </c>
      <c r="AO1387" s="4">
        <f>IFERROR(vp.data[[#This Row],[Sulf]]*vp.data[[#This Row],[Net Dens]],"")</f>
        <v>6936480.6725500003</v>
      </c>
      <c r="AP1387">
        <f>IFERROR(vp.data[[#This Row],[Dens]]*vp.data[[#This Row],[VolumeM3]],"")</f>
        <v>2522356.6082000001</v>
      </c>
      <c r="AQ1387" s="15">
        <f>IFERROR(vp.data[[#This Row],[VP]]*vp.data[[#This Row],[VolumeM3]],"")</f>
        <v>193742.93369999997</v>
      </c>
    </row>
    <row r="1388" spans="1:43" x14ac:dyDescent="0.25">
      <c r="A1388">
        <v>1387</v>
      </c>
      <c r="B1388" t="s">
        <v>292</v>
      </c>
      <c r="C1388" t="s">
        <v>292</v>
      </c>
      <c r="D1388" t="s">
        <v>94</v>
      </c>
      <c r="F1388" s="1">
        <v>42858</v>
      </c>
      <c r="G1388" s="2">
        <v>71.400000000000006</v>
      </c>
      <c r="H1388" s="2"/>
      <c r="I1388" s="2">
        <f t="array" ref="I1388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388" s="2"/>
      <c r="K1388" s="2"/>
      <c r="L1388" s="2">
        <v>864</v>
      </c>
      <c r="M1388" s="2">
        <f t="array" ref="M1388">_xlfn.IFNA(IF(vp.data[[#This Row],[Dens Input]]="",INDEX([1]DATA!$O$3:$O$9826,MATCH(1,(vp.data[[#This Row],[Battery]]=[1]DATA!$L$3:$L$9826)*(EOMONTH(vp.data[[#This Row],[SDate]],-1)+1=[1]DATA!$G$3:$G$9826),0)),vp.data[[#This Row],[Dens Input]]),"")</f>
        <v>864</v>
      </c>
      <c r="N1388" s="2">
        <f ca="1">INDEX(INDIRECT(_xlfn.CONCAT("weather.tbl[",N$1,"]")),MATCH(vp.data[[#This Row],[SDate]],weather.tbl[Date],0))</f>
        <v>9.5333333333333332</v>
      </c>
      <c r="O1388" s="2">
        <f ca="1">INDEX(INDIRECT(_xlfn.CONCAT("weather.tbl[",O$1,"]")),MATCH(vp.data[[#This Row],[SDate]],weather.tbl[Date],0))</f>
        <v>7.8952380952380965</v>
      </c>
      <c r="P1388" s="2">
        <f ca="1">INDEX(INDIRECT(_xlfn.CONCAT("weather.tbl[",P$1,"]")),MATCH(vp.data[[#This Row],[SDate]],weather.tbl[Date],0))</f>
        <v>9.5</v>
      </c>
      <c r="Q1388" s="2">
        <f ca="1">INDEX(INDIRECT(_xlfn.CONCAT("weather.tbl[",Q$1,"]")),MATCH(vp.data[[#This Row],[SDate]],weather.tbl[Date],0))</f>
        <v>9</v>
      </c>
      <c r="R1388" s="2">
        <f ca="1">INDEX(INDIRECT(_xlfn.CONCAT("weather.tbl[",R$1,"]")),MATCH(vp.data[[#This Row],[SDate]],weather.tbl[Date],0))</f>
        <v>10</v>
      </c>
      <c r="S1388" s="2">
        <f ca="1">INDEX(INDIRECT(_xlfn.CONCAT("weather.tbl[",S$1,"]")),MATCH(vp.data[[#This Row],[SDate]],weather.tbl[Date],0))</f>
        <v>9.4</v>
      </c>
      <c r="T1388" s="2">
        <f ca="1">INDEX(INDIRECT(_xlfn.CONCAT("weather.tbl[",T$1,"]")),MATCH(vp.data[[#This Row],[SDate]],weather.tbl[Date],0))</f>
        <v>10</v>
      </c>
      <c r="U1388" s="2">
        <f ca="1">INDEX(INDIRECT(_xlfn.CONCAT("weather.tbl[",U$1,"]")),MATCH(vp.data[[#This Row],[SDate]],weather.tbl[Date],0))</f>
        <v>9.3000000000000007</v>
      </c>
      <c r="V1388" s="2">
        <f t="array" ref="V13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4763.951</v>
      </c>
      <c r="W1388" t="s">
        <v>48</v>
      </c>
      <c r="X1388">
        <f>IF(OR(vp.data[[#This Row],[Sulf]]="",vp.data[[#This Row],[Dens]]=""),1,0)</f>
        <v>0</v>
      </c>
      <c r="Y1388">
        <f>IF(vp.data[[#This Row],[CrudeType]]="C5+",1,0)</f>
        <v>0</v>
      </c>
      <c r="Z1388">
        <f>IF(AND(vp.data[[#This Row],[CrudeType]]="Crude",vp.data[[#This Row],[Dens]]&lt;=825,vp.data[[#This Row],[Sulf]]&gt;0.5,vp.data[[#This Row],[Unknown]]=0),1,0)</f>
        <v>0</v>
      </c>
      <c r="AA1388">
        <f>IF(AND(vp.data[[#This Row],[CrudeType]]="Crude",vp.data[[#This Row],[Dens]]&lt;=825,vp.data[[#This Row],[Sulf]]&lt;=0.5,vp.data[[#This Row],[Unknown]]=0),1,0)</f>
        <v>0</v>
      </c>
      <c r="AB13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88">
        <f>IF(AND(vp.data[[#This Row],[CrudeType]]="Crude",vp.data[[#This Row],[Dens]]&gt;825,vp.data[[#This Row],[Dens]]&lt;=900,vp.data[[#This Row],[Sulf]]&lt;=0.5,vp.data[[#This Row],[Unknown]]=0),1,0)</f>
        <v>0</v>
      </c>
      <c r="AD1388">
        <f>IF(AND(vp.data[[#This Row],[CrudeType]]="Crude",vp.data[[#This Row],[Dens]]&gt;865,vp.data[[#This Row],[Dens]]&lt;=900,vp.data[[#This Row],[Sulf]]&gt;2,vp.data[[#This Row],[Unknown]]=0),1,0)</f>
        <v>0</v>
      </c>
      <c r="AE1388">
        <f>IF(AND(vp.data[[#This Row],[CrudeType]]="Crude",vp.data[[#This Row],[Dens]]&gt;900,vp.data[[#This Row],[Sulf]]&lt;=0.5,vp.data[[#This Row],[Unknown]]=0),1,0)</f>
        <v>0</v>
      </c>
      <c r="AF1388">
        <f>IF(AND(vp.data[[#This Row],[CrudeType]]="Crude",vp.data[[#This Row],[Dens]]&gt;900,vp.data[[#This Row],[Sulf]]&lt;=0.5,vp.data[[#This Row],[Unknown]]=0),1,0)</f>
        <v>0</v>
      </c>
      <c r="AG1388" t="str">
        <f>INDEX(vp.data[[#Headers],[Unknown]:[Heavy_SW]],MATCH(1,vp.data[[#This Row],[Unknown]:[Heavy_SW]],0))</f>
        <v>Medium_LSB</v>
      </c>
      <c r="AH1388">
        <f>INDEX([3]!crudeBD.lkup[Number],MATCH(vp.data[[#This Row],[Crude_Breakdown]],crudeBD.lkup[Crude Breakdown],0))</f>
        <v>3</v>
      </c>
      <c r="AI1388">
        <f>MONTH(vp.data[[#This Row],[SDate]])</f>
        <v>5</v>
      </c>
      <c r="AJ1388" s="5">
        <f>(vp.data[[#This Row],[VP]]-INDEX(crudeBD.lkup[Mean_VP],MATCH(vp.data[[#This Row],[Crude_Breakdown]],crudeBD.lkup[Crude Breakdown],0)))^2</f>
        <v>85.371622746127997</v>
      </c>
      <c r="AK1388" s="5">
        <f>(vp.data[[#This Row],[Dens]]-INDEX(crudeBD.lkup[Mean_Dens],MATCH(vp.data[[#This Row],[Crude_Breakdown]],crudeBD.lkup[Crude Breakdown],0)))^2</f>
        <v>403.20640000001993</v>
      </c>
      <c r="AL1388" s="5">
        <f>(vp.data[[#This Row],[Sulf]]-INDEX(crudeBD.lkup[Mean_Sulf],MATCH(vp.data[[#This Row],[Crude_Breakdown]],crudeBD.lkup[Crude Breakdown],0)))^2</f>
        <v>0.3301558208800574</v>
      </c>
      <c r="AM1388" s="4">
        <f>IF(AND(vp.data[[#This Row],[SDate]]&gt;=DATE(YEAR(vp.data[[#This Row],[SDate]]),5,1),vp.data[[#This Row],[SDate]]&lt;=DATE(YEAR(vp.data[[#This Row],[SDate]]),9,15)),1,0)</f>
        <v>1</v>
      </c>
      <c r="AN1388" s="4">
        <f>IF(vp.data[[#This Row],[SDate]]&lt;DATE(2016,12,1),0,1)</f>
        <v>1</v>
      </c>
      <c r="AO1388" s="4">
        <f>IFERROR(vp.data[[#This Row],[Sulf]]*vp.data[[#This Row],[Net Dens]],"")</f>
        <v>8067465.1814399995</v>
      </c>
      <c r="AP1388">
        <f>IFERROR(vp.data[[#This Row],[Dens]]*vp.data[[#This Row],[VolumeM3]],"")</f>
        <v>4116053.6639999999</v>
      </c>
      <c r="AQ1388" s="15">
        <f>IFERROR(vp.data[[#This Row],[VP]]*vp.data[[#This Row],[VolumeM3]],"")</f>
        <v>340146.10140000004</v>
      </c>
    </row>
    <row r="1389" spans="1:43" x14ac:dyDescent="0.25">
      <c r="A1389">
        <v>1388</v>
      </c>
      <c r="B1389" t="s">
        <v>49</v>
      </c>
      <c r="C1389" t="s">
        <v>49</v>
      </c>
      <c r="D1389" t="s">
        <v>78</v>
      </c>
      <c r="F1389" s="1">
        <v>42858</v>
      </c>
      <c r="G1389" s="2">
        <v>78.599999999999994</v>
      </c>
      <c r="H1389" s="2"/>
      <c r="I1389" s="2">
        <f t="array" ref="I1389">_xlfn.IFNA(IF(vp.data[[#This Row],[Sulf Input]]="",INDEX([1]DATA!$Q$3:$Q$9826,MATCH(1,(vp.data[[#This Row],[Battery]]=[1]DATA!$L$3:$L$9826)*(EOMONTH(vp.data[[#This Row],[SDate]],-1)+1=[1]DATA!$G$3:$G$9826),0)),vp.data[[#This Row],[Sulf Input]]),"")</f>
        <v>0.24</v>
      </c>
      <c r="J1389" s="2"/>
      <c r="K1389" s="2"/>
      <c r="L1389" s="2">
        <v>805.2</v>
      </c>
      <c r="M1389" s="2">
        <f t="array" ref="M1389">_xlfn.IFNA(IF(vp.data[[#This Row],[Dens Input]]="",INDEX([1]DATA!$O$3:$O$9826,MATCH(1,(vp.data[[#This Row],[Battery]]=[1]DATA!$L$3:$L$9826)*(EOMONTH(vp.data[[#This Row],[SDate]],-1)+1=[1]DATA!$G$3:$G$9826),0)),vp.data[[#This Row],[Dens Input]]),"")</f>
        <v>805.2</v>
      </c>
      <c r="N1389" s="2">
        <f ca="1">INDEX(INDIRECT(_xlfn.CONCAT("weather.tbl[",N$1,"]")),MATCH(vp.data[[#This Row],[SDate]],weather.tbl[Date],0))</f>
        <v>9.5333333333333332</v>
      </c>
      <c r="O1389" s="2">
        <f ca="1">INDEX(INDIRECT(_xlfn.CONCAT("weather.tbl[",O$1,"]")),MATCH(vp.data[[#This Row],[SDate]],weather.tbl[Date],0))</f>
        <v>7.8952380952380965</v>
      </c>
      <c r="P1389" s="2">
        <f ca="1">INDEX(INDIRECT(_xlfn.CONCAT("weather.tbl[",P$1,"]")),MATCH(vp.data[[#This Row],[SDate]],weather.tbl[Date],0))</f>
        <v>9.5</v>
      </c>
      <c r="Q1389" s="2">
        <f ca="1">INDEX(INDIRECT(_xlfn.CONCAT("weather.tbl[",Q$1,"]")),MATCH(vp.data[[#This Row],[SDate]],weather.tbl[Date],0))</f>
        <v>9</v>
      </c>
      <c r="R1389" s="2">
        <f ca="1">INDEX(INDIRECT(_xlfn.CONCAT("weather.tbl[",R$1,"]")),MATCH(vp.data[[#This Row],[SDate]],weather.tbl[Date],0))</f>
        <v>10</v>
      </c>
      <c r="S1389" s="2">
        <f ca="1">INDEX(INDIRECT(_xlfn.CONCAT("weather.tbl[",S$1,"]")),MATCH(vp.data[[#This Row],[SDate]],weather.tbl[Date],0))</f>
        <v>9.4</v>
      </c>
      <c r="T1389" s="2">
        <f ca="1">INDEX(INDIRECT(_xlfn.CONCAT("weather.tbl[",T$1,"]")),MATCH(vp.data[[#This Row],[SDate]],weather.tbl[Date],0))</f>
        <v>10</v>
      </c>
      <c r="U1389" s="2">
        <f ca="1">INDEX(INDIRECT(_xlfn.CONCAT("weather.tbl[",U$1,"]")),MATCH(vp.data[[#This Row],[SDate]],weather.tbl[Date],0))</f>
        <v>9.3000000000000007</v>
      </c>
      <c r="V1389" s="2">
        <f t="array" ref="V13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20016.702000000001</v>
      </c>
      <c r="W1389" t="s">
        <v>48</v>
      </c>
      <c r="X1389">
        <f>IF(OR(vp.data[[#This Row],[Sulf]]="",vp.data[[#This Row],[Dens]]=""),1,0)</f>
        <v>0</v>
      </c>
      <c r="Y1389">
        <f>IF(vp.data[[#This Row],[CrudeType]]="C5+",1,0)</f>
        <v>0</v>
      </c>
      <c r="Z1389">
        <f>IF(AND(vp.data[[#This Row],[CrudeType]]="Crude",vp.data[[#This Row],[Dens]]&lt;=825,vp.data[[#This Row],[Sulf]]&gt;0.5,vp.data[[#This Row],[Unknown]]=0),1,0)</f>
        <v>0</v>
      </c>
      <c r="AA1389">
        <f>IF(AND(vp.data[[#This Row],[CrudeType]]="Crude",vp.data[[#This Row],[Dens]]&lt;=825,vp.data[[#This Row],[Sulf]]&lt;=0.5,vp.data[[#This Row],[Unknown]]=0),1,0)</f>
        <v>1</v>
      </c>
      <c r="AB13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89">
        <f>IF(AND(vp.data[[#This Row],[CrudeType]]="Crude",vp.data[[#This Row],[Dens]]&gt;825,vp.data[[#This Row],[Dens]]&lt;=900,vp.data[[#This Row],[Sulf]]&lt;=0.5,vp.data[[#This Row],[Unknown]]=0),1,0)</f>
        <v>0</v>
      </c>
      <c r="AD1389">
        <f>IF(AND(vp.data[[#This Row],[CrudeType]]="Crude",vp.data[[#This Row],[Dens]]&gt;865,vp.data[[#This Row],[Dens]]&lt;=900,vp.data[[#This Row],[Sulf]]&gt;2,vp.data[[#This Row],[Unknown]]=0),1,0)</f>
        <v>0</v>
      </c>
      <c r="AE1389">
        <f>IF(AND(vp.data[[#This Row],[CrudeType]]="Crude",vp.data[[#This Row],[Dens]]&gt;900,vp.data[[#This Row],[Sulf]]&lt;=0.5,vp.data[[#This Row],[Unknown]]=0),1,0)</f>
        <v>0</v>
      </c>
      <c r="AF1389">
        <f>IF(AND(vp.data[[#This Row],[CrudeType]]="Crude",vp.data[[#This Row],[Dens]]&gt;900,vp.data[[#This Row],[Sulf]]&lt;=0.5,vp.data[[#This Row],[Unknown]]=0),1,0)</f>
        <v>0</v>
      </c>
      <c r="AG1389" t="str">
        <f>INDEX(vp.data[[#Headers],[Unknown]:[Heavy_SW]],MATCH(1,vp.data[[#This Row],[Unknown]:[Heavy_SW]],0))</f>
        <v>Light_SW</v>
      </c>
      <c r="AH1389">
        <f>INDEX([3]!crudeBD.lkup[Number],MATCH(vp.data[[#This Row],[Crude_Breakdown]],crudeBD.lkup[Crude Breakdown],0))</f>
        <v>2</v>
      </c>
      <c r="AI1389">
        <f>MONTH(vp.data[[#This Row],[SDate]])</f>
        <v>5</v>
      </c>
      <c r="AJ1389" s="5">
        <f>(vp.data[[#This Row],[VP]]-INDEX(crudeBD.lkup[Mean_VP],MATCH(vp.data[[#This Row],[Crude_Breakdown]],crudeBD.lkup[Crude Breakdown],0)))^2</f>
        <v>194.61124922725716</v>
      </c>
      <c r="AK1389" s="5">
        <f>(vp.data[[#This Row],[Dens]]-INDEX(crudeBD.lkup[Mean_Dens],MATCH(vp.data[[#This Row],[Crude_Breakdown]],crudeBD.lkup[Crude Breakdown],0)))^2</f>
        <v>9.6814214085379788</v>
      </c>
      <c r="AL1389" s="5">
        <f>(vp.data[[#This Row],[Sulf]]-INDEX(crudeBD.lkup[Mean_Sulf],MATCH(vp.data[[#This Row],[Crude_Breakdown]],crudeBD.lkup[Crude Breakdown],0)))^2</f>
        <v>1.4123978195681499E-5</v>
      </c>
      <c r="AM1389" s="4">
        <f>IF(AND(vp.data[[#This Row],[SDate]]&gt;=DATE(YEAR(vp.data[[#This Row],[SDate]]),5,1),vp.data[[#This Row],[SDate]]&lt;=DATE(YEAR(vp.data[[#This Row],[SDate]]),9,15)),1,0)</f>
        <v>1</v>
      </c>
      <c r="AN1389" s="4">
        <f>IF(vp.data[[#This Row],[SDate]]&lt;DATE(2016,12,1),0,1)</f>
        <v>1</v>
      </c>
      <c r="AO1389" s="4">
        <f>IFERROR(vp.data[[#This Row],[Sulf]]*vp.data[[#This Row],[Net Dens]],"")</f>
        <v>3868187.6280960003</v>
      </c>
      <c r="AP1389">
        <f>IFERROR(vp.data[[#This Row],[Dens]]*vp.data[[#This Row],[VolumeM3]],"")</f>
        <v>16117448.450400002</v>
      </c>
      <c r="AQ1389" s="15">
        <f>IFERROR(vp.data[[#This Row],[VP]]*vp.data[[#This Row],[VolumeM3]],"")</f>
        <v>1573312.7771999999</v>
      </c>
    </row>
    <row r="1390" spans="1:43" x14ac:dyDescent="0.25">
      <c r="A1390">
        <v>1389</v>
      </c>
      <c r="B1390" t="s">
        <v>49</v>
      </c>
      <c r="C1390" t="s">
        <v>49</v>
      </c>
      <c r="D1390" t="s">
        <v>92</v>
      </c>
      <c r="F1390" s="1">
        <v>42858</v>
      </c>
      <c r="G1390" s="2">
        <v>70.900000000000006</v>
      </c>
      <c r="H1390" s="2"/>
      <c r="I1390" s="2">
        <f t="array" ref="I1390">_xlfn.IFNA(IF(vp.data[[#This Row],[Sulf Input]]="",INDEX([1]DATA!$Q$3:$Q$9826,MATCH(1,(vp.data[[#This Row],[Battery]]=[1]DATA!$L$3:$L$9826)*(EOMONTH(vp.data[[#This Row],[SDate]],-1)+1=[1]DATA!$G$3:$G$9826),0)),vp.data[[#This Row],[Sulf Input]]),"")</f>
        <v>0.64</v>
      </c>
      <c r="J1390" s="2"/>
      <c r="K1390" s="2"/>
      <c r="L1390" s="2">
        <v>825.4</v>
      </c>
      <c r="M1390" s="2">
        <f t="array" ref="M1390">_xlfn.IFNA(IF(vp.data[[#This Row],[Dens Input]]="",INDEX([1]DATA!$O$3:$O$9826,MATCH(1,(vp.data[[#This Row],[Battery]]=[1]DATA!$L$3:$L$9826)*(EOMONTH(vp.data[[#This Row],[SDate]],-1)+1=[1]DATA!$G$3:$G$9826),0)),vp.data[[#This Row],[Dens Input]]),"")</f>
        <v>825.4</v>
      </c>
      <c r="N1390" s="2">
        <f ca="1">INDEX(INDIRECT(_xlfn.CONCAT("weather.tbl[",N$1,"]")),MATCH(vp.data[[#This Row],[SDate]],weather.tbl[Date],0))</f>
        <v>9.5333333333333332</v>
      </c>
      <c r="O1390" s="2">
        <f ca="1">INDEX(INDIRECT(_xlfn.CONCAT("weather.tbl[",O$1,"]")),MATCH(vp.data[[#This Row],[SDate]],weather.tbl[Date],0))</f>
        <v>7.8952380952380965</v>
      </c>
      <c r="P1390" s="2">
        <f ca="1">INDEX(INDIRECT(_xlfn.CONCAT("weather.tbl[",P$1,"]")),MATCH(vp.data[[#This Row],[SDate]],weather.tbl[Date],0))</f>
        <v>9.5</v>
      </c>
      <c r="Q1390" s="2">
        <f ca="1">INDEX(INDIRECT(_xlfn.CONCAT("weather.tbl[",Q$1,"]")),MATCH(vp.data[[#This Row],[SDate]],weather.tbl[Date],0))</f>
        <v>9</v>
      </c>
      <c r="R1390" s="2">
        <f ca="1">INDEX(INDIRECT(_xlfn.CONCAT("weather.tbl[",R$1,"]")),MATCH(vp.data[[#This Row],[SDate]],weather.tbl[Date],0))</f>
        <v>10</v>
      </c>
      <c r="S1390" s="2">
        <f ca="1">INDEX(INDIRECT(_xlfn.CONCAT("weather.tbl[",S$1,"]")),MATCH(vp.data[[#This Row],[SDate]],weather.tbl[Date],0))</f>
        <v>9.4</v>
      </c>
      <c r="T1390" s="2">
        <f ca="1">INDEX(INDIRECT(_xlfn.CONCAT("weather.tbl[",T$1,"]")),MATCH(vp.data[[#This Row],[SDate]],weather.tbl[Date],0))</f>
        <v>10</v>
      </c>
      <c r="U1390" s="2">
        <f ca="1">INDEX(INDIRECT(_xlfn.CONCAT("weather.tbl[",U$1,"]")),MATCH(vp.data[[#This Row],[SDate]],weather.tbl[Date],0))</f>
        <v>9.3000000000000007</v>
      </c>
      <c r="V1390" s="2">
        <f t="array" ref="V13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24656.244999999999</v>
      </c>
      <c r="W1390" t="s">
        <v>48</v>
      </c>
      <c r="X1390">
        <f>IF(OR(vp.data[[#This Row],[Sulf]]="",vp.data[[#This Row],[Dens]]=""),1,0)</f>
        <v>0</v>
      </c>
      <c r="Y1390">
        <f>IF(vp.data[[#This Row],[CrudeType]]="C5+",1,0)</f>
        <v>0</v>
      </c>
      <c r="Z1390">
        <f>IF(AND(vp.data[[#This Row],[CrudeType]]="Crude",vp.data[[#This Row],[Dens]]&lt;=825,vp.data[[#This Row],[Sulf]]&gt;0.5,vp.data[[#This Row],[Unknown]]=0),1,0)</f>
        <v>0</v>
      </c>
      <c r="AA1390">
        <f>IF(AND(vp.data[[#This Row],[CrudeType]]="Crude",vp.data[[#This Row],[Dens]]&lt;=825,vp.data[[#This Row],[Sulf]]&lt;=0.5,vp.data[[#This Row],[Unknown]]=0),1,0)</f>
        <v>0</v>
      </c>
      <c r="AB13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0">
        <f>IF(AND(vp.data[[#This Row],[CrudeType]]="Crude",vp.data[[#This Row],[Dens]]&gt;825,vp.data[[#This Row],[Dens]]&lt;=900,vp.data[[#This Row],[Sulf]]&lt;=0.5,vp.data[[#This Row],[Unknown]]=0),1,0)</f>
        <v>0</v>
      </c>
      <c r="AD1390">
        <f>IF(AND(vp.data[[#This Row],[CrudeType]]="Crude",vp.data[[#This Row],[Dens]]&gt;865,vp.data[[#This Row],[Dens]]&lt;=900,vp.data[[#This Row],[Sulf]]&gt;2,vp.data[[#This Row],[Unknown]]=0),1,0)</f>
        <v>0</v>
      </c>
      <c r="AE1390">
        <f>IF(AND(vp.data[[#This Row],[CrudeType]]="Crude",vp.data[[#This Row],[Dens]]&gt;900,vp.data[[#This Row],[Sulf]]&lt;=0.5,vp.data[[#This Row],[Unknown]]=0),1,0)</f>
        <v>0</v>
      </c>
      <c r="AF1390">
        <f>IF(AND(vp.data[[#This Row],[CrudeType]]="Crude",vp.data[[#This Row],[Dens]]&gt;900,vp.data[[#This Row],[Sulf]]&lt;=0.5,vp.data[[#This Row],[Unknown]]=0),1,0)</f>
        <v>0</v>
      </c>
      <c r="AG1390" t="str">
        <f>INDEX(vp.data[[#Headers],[Unknown]:[Heavy_SW]],MATCH(1,vp.data[[#This Row],[Unknown]:[Heavy_SW]],0))</f>
        <v>Medium_LSB</v>
      </c>
      <c r="AH1390">
        <f>INDEX([3]!crudeBD.lkup[Number],MATCH(vp.data[[#This Row],[Crude_Breakdown]],crudeBD.lkup[Crude Breakdown],0))</f>
        <v>3</v>
      </c>
      <c r="AI1390">
        <f>MONTH(vp.data[[#This Row],[SDate]])</f>
        <v>5</v>
      </c>
      <c r="AJ1390" s="5">
        <f>(vp.data[[#This Row],[VP]]-INDEX(crudeBD.lkup[Mean_VP],MATCH(vp.data[[#This Row],[Crude_Breakdown]],crudeBD.lkup[Crude Breakdown],0)))^2</f>
        <v>94.861299295993149</v>
      </c>
      <c r="AK1390" s="5">
        <f>(vp.data[[#This Row],[Dens]]-INDEX(crudeBD.lkup[Mean_Dens],MATCH(vp.data[[#This Row],[Crude_Breakdown]],crudeBD.lkup[Crude Breakdown],0)))^2</f>
        <v>342.99039999998246</v>
      </c>
      <c r="AL1390" s="5">
        <f>(vp.data[[#This Row],[Sulf]]-INDEX(crudeBD.lkup[Mean_Sulf],MATCH(vp.data[[#This Row],[Crude_Breakdown]],crudeBD.lkup[Crude Breakdown],0)))^2</f>
        <v>0.55563327532750073</v>
      </c>
      <c r="AM1390" s="4">
        <f>IF(AND(vp.data[[#This Row],[SDate]]&gt;=DATE(YEAR(vp.data[[#This Row],[SDate]]),5,1),vp.data[[#This Row],[SDate]]&lt;=DATE(YEAR(vp.data[[#This Row],[SDate]]),9,15)),1,0)</f>
        <v>1</v>
      </c>
      <c r="AN1390" s="4">
        <f>IF(vp.data[[#This Row],[SDate]]&lt;DATE(2016,12,1),0,1)</f>
        <v>1</v>
      </c>
      <c r="AO1390" s="4">
        <f>IFERROR(vp.data[[#This Row],[Sulf]]*vp.data[[#This Row],[Net Dens]],"")</f>
        <v>13024809.358720001</v>
      </c>
      <c r="AP1390">
        <f>IFERROR(vp.data[[#This Row],[Dens]]*vp.data[[#This Row],[VolumeM3]],"")</f>
        <v>20351264.623</v>
      </c>
      <c r="AQ1390" s="15">
        <f>IFERROR(vp.data[[#This Row],[VP]]*vp.data[[#This Row],[VolumeM3]],"")</f>
        <v>1748127.7705000001</v>
      </c>
    </row>
    <row r="1391" spans="1:43" x14ac:dyDescent="0.25">
      <c r="A1391">
        <v>1390</v>
      </c>
      <c r="B1391" t="s">
        <v>49</v>
      </c>
      <c r="C1391" t="s">
        <v>49</v>
      </c>
      <c r="D1391" t="s">
        <v>50</v>
      </c>
      <c r="F1391" s="1">
        <v>42858</v>
      </c>
      <c r="G1391" s="2">
        <v>64.099999999999994</v>
      </c>
      <c r="H1391" s="2"/>
      <c r="I1391" s="2">
        <f t="array" ref="I1391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391" s="2"/>
      <c r="K1391" s="2"/>
      <c r="L1391" s="2">
        <v>869.5</v>
      </c>
      <c r="M1391" s="2">
        <f t="array" ref="M1391">_xlfn.IFNA(IF(vp.data[[#This Row],[Dens Input]]="",INDEX([1]DATA!$O$3:$O$9826,MATCH(1,(vp.data[[#This Row],[Battery]]=[1]DATA!$L$3:$L$9826)*(EOMONTH(vp.data[[#This Row],[SDate]],-1)+1=[1]DATA!$G$3:$G$9826),0)),vp.data[[#This Row],[Dens Input]]),"")</f>
        <v>869.5</v>
      </c>
      <c r="N1391" s="2">
        <f ca="1">INDEX(INDIRECT(_xlfn.CONCAT("weather.tbl[",N$1,"]")),MATCH(vp.data[[#This Row],[SDate]],weather.tbl[Date],0))</f>
        <v>9.5333333333333332</v>
      </c>
      <c r="O1391" s="2">
        <f ca="1">INDEX(INDIRECT(_xlfn.CONCAT("weather.tbl[",O$1,"]")),MATCH(vp.data[[#This Row],[SDate]],weather.tbl[Date],0))</f>
        <v>7.8952380952380965</v>
      </c>
      <c r="P1391" s="2">
        <f ca="1">INDEX(INDIRECT(_xlfn.CONCAT("weather.tbl[",P$1,"]")),MATCH(vp.data[[#This Row],[SDate]],weather.tbl[Date],0))</f>
        <v>9.5</v>
      </c>
      <c r="Q1391" s="2">
        <f ca="1">INDEX(INDIRECT(_xlfn.CONCAT("weather.tbl[",Q$1,"]")),MATCH(vp.data[[#This Row],[SDate]],weather.tbl[Date],0))</f>
        <v>9</v>
      </c>
      <c r="R1391" s="2">
        <f ca="1">INDEX(INDIRECT(_xlfn.CONCAT("weather.tbl[",R$1,"]")),MATCH(vp.data[[#This Row],[SDate]],weather.tbl[Date],0))</f>
        <v>10</v>
      </c>
      <c r="S1391" s="2">
        <f ca="1">INDEX(INDIRECT(_xlfn.CONCAT("weather.tbl[",S$1,"]")),MATCH(vp.data[[#This Row],[SDate]],weather.tbl[Date],0))</f>
        <v>9.4</v>
      </c>
      <c r="T1391" s="2">
        <f ca="1">INDEX(INDIRECT(_xlfn.CONCAT("weather.tbl[",T$1,"]")),MATCH(vp.data[[#This Row],[SDate]],weather.tbl[Date],0))</f>
        <v>10</v>
      </c>
      <c r="U1391" s="2">
        <f ca="1">INDEX(INDIRECT(_xlfn.CONCAT("weather.tbl[",U$1,"]")),MATCH(vp.data[[#This Row],[SDate]],weather.tbl[Date],0))</f>
        <v>9.3000000000000007</v>
      </c>
      <c r="V1391" s="2">
        <f t="array" ref="V13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5265.8419999999996</v>
      </c>
      <c r="W1391" t="s">
        <v>48</v>
      </c>
      <c r="X1391">
        <f>IF(OR(vp.data[[#This Row],[Sulf]]="",vp.data[[#This Row],[Dens]]=""),1,0)</f>
        <v>0</v>
      </c>
      <c r="Y1391">
        <f>IF(vp.data[[#This Row],[CrudeType]]="C5+",1,0)</f>
        <v>0</v>
      </c>
      <c r="Z1391">
        <f>IF(AND(vp.data[[#This Row],[CrudeType]]="Crude",vp.data[[#This Row],[Dens]]&lt;=825,vp.data[[#This Row],[Sulf]]&gt;0.5,vp.data[[#This Row],[Unknown]]=0),1,0)</f>
        <v>0</v>
      </c>
      <c r="AA1391">
        <f>IF(AND(vp.data[[#This Row],[CrudeType]]="Crude",vp.data[[#This Row],[Dens]]&lt;=825,vp.data[[#This Row],[Sulf]]&lt;=0.5,vp.data[[#This Row],[Unknown]]=0),1,0)</f>
        <v>0</v>
      </c>
      <c r="AB13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91">
        <f>IF(AND(vp.data[[#This Row],[CrudeType]]="Crude",vp.data[[#This Row],[Dens]]&gt;825,vp.data[[#This Row],[Dens]]&lt;=900,vp.data[[#This Row],[Sulf]]&lt;=0.5,vp.data[[#This Row],[Unknown]]=0),1,0)</f>
        <v>0</v>
      </c>
      <c r="AD1391">
        <f>IF(AND(vp.data[[#This Row],[CrudeType]]="Crude",vp.data[[#This Row],[Dens]]&gt;865,vp.data[[#This Row],[Dens]]&lt;=900,vp.data[[#This Row],[Sulf]]&gt;2,vp.data[[#This Row],[Unknown]]=0),1,0)</f>
        <v>1</v>
      </c>
      <c r="AE1391">
        <f>IF(AND(vp.data[[#This Row],[CrudeType]]="Crude",vp.data[[#This Row],[Dens]]&gt;900,vp.data[[#This Row],[Sulf]]&lt;=0.5,vp.data[[#This Row],[Unknown]]=0),1,0)</f>
        <v>0</v>
      </c>
      <c r="AF1391">
        <f>IF(AND(vp.data[[#This Row],[CrudeType]]="Crude",vp.data[[#This Row],[Dens]]&gt;900,vp.data[[#This Row],[Sulf]]&lt;=0.5,vp.data[[#This Row],[Unknown]]=0),1,0)</f>
        <v>0</v>
      </c>
      <c r="AG1391" t="str">
        <f>INDEX(vp.data[[#Headers],[Unknown]:[Heavy_SW]],MATCH(1,vp.data[[#This Row],[Unknown]:[Heavy_SW]],0))</f>
        <v>Midale</v>
      </c>
      <c r="AH1391">
        <f>INDEX([3]!crudeBD.lkup[Number],MATCH(vp.data[[#This Row],[Crude_Breakdown]],crudeBD.lkup[Crude Breakdown],0))</f>
        <v>5</v>
      </c>
      <c r="AI1391">
        <f>MONTH(vp.data[[#This Row],[SDate]])</f>
        <v>5</v>
      </c>
      <c r="AJ1391" s="5">
        <f>(vp.data[[#This Row],[VP]]-INDEX(crudeBD.lkup[Mean_VP],MATCH(vp.data[[#This Row],[Crude_Breakdown]],crudeBD.lkup[Crude Breakdown],0)))^2</f>
        <v>28.182963386120065</v>
      </c>
      <c r="AK1391" s="5">
        <f>(vp.data[[#This Row],[Dens]]-INDEX(crudeBD.lkup[Mean_Dens],MATCH(vp.data[[#This Row],[Crude_Breakdown]],crudeBD.lkup[Crude Breakdown],0)))^2</f>
        <v>28.270598628975527</v>
      </c>
      <c r="AL1391" s="5">
        <f>(vp.data[[#This Row],[Sulf]]-INDEX(crudeBD.lkup[Mean_Sulf],MATCH(vp.data[[#This Row],[Crude_Breakdown]],crudeBD.lkup[Crude Breakdown],0)))^2</f>
        <v>9.3871420778415121E-2</v>
      </c>
      <c r="AM1391" s="4">
        <f>IF(AND(vp.data[[#This Row],[SDate]]&gt;=DATE(YEAR(vp.data[[#This Row],[SDate]]),5,1),vp.data[[#This Row],[SDate]]&lt;=DATE(YEAR(vp.data[[#This Row],[SDate]]),9,15)),1,0)</f>
        <v>1</v>
      </c>
      <c r="AN1391" s="4">
        <f>IF(vp.data[[#This Row],[SDate]]&lt;DATE(2016,12,1),0,1)</f>
        <v>1</v>
      </c>
      <c r="AO1391" s="4">
        <f>IFERROR(vp.data[[#This Row],[Sulf]]*vp.data[[#This Row],[Net Dens]],"")</f>
        <v>12591286.45225</v>
      </c>
      <c r="AP1391">
        <f>IFERROR(vp.data[[#This Row],[Dens]]*vp.data[[#This Row],[VolumeM3]],"")</f>
        <v>4578649.6189999999</v>
      </c>
      <c r="AQ1391" s="15">
        <f>IFERROR(vp.data[[#This Row],[VP]]*vp.data[[#This Row],[VolumeM3]],"")</f>
        <v>337540.47219999996</v>
      </c>
    </row>
    <row r="1392" spans="1:43" x14ac:dyDescent="0.25">
      <c r="A1392">
        <v>1391</v>
      </c>
      <c r="B1392" t="s">
        <v>51</v>
      </c>
      <c r="C1392" t="s">
        <v>51</v>
      </c>
      <c r="D1392" t="s">
        <v>58</v>
      </c>
      <c r="F1392" s="1">
        <v>42858</v>
      </c>
      <c r="G1392" s="2">
        <v>93</v>
      </c>
      <c r="H1392" s="2"/>
      <c r="I1392" s="2">
        <f t="array" ref="I1392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392" s="2"/>
      <c r="K1392" s="2"/>
      <c r="L1392" s="2">
        <v>824.4</v>
      </c>
      <c r="M1392" s="2">
        <f t="array" ref="M1392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392" s="2">
        <f ca="1">INDEX(INDIRECT(_xlfn.CONCAT("weather.tbl[",N$1,"]")),MATCH(vp.data[[#This Row],[SDate]],weather.tbl[Date],0))</f>
        <v>9.5333333333333332</v>
      </c>
      <c r="O1392" s="2">
        <f ca="1">INDEX(INDIRECT(_xlfn.CONCAT("weather.tbl[",O$1,"]")),MATCH(vp.data[[#This Row],[SDate]],weather.tbl[Date],0))</f>
        <v>7.8952380952380965</v>
      </c>
      <c r="P1392" s="2">
        <f ca="1">INDEX(INDIRECT(_xlfn.CONCAT("weather.tbl[",P$1,"]")),MATCH(vp.data[[#This Row],[SDate]],weather.tbl[Date],0))</f>
        <v>9.5</v>
      </c>
      <c r="Q1392" s="2">
        <f ca="1">INDEX(INDIRECT(_xlfn.CONCAT("weather.tbl[",Q$1,"]")),MATCH(vp.data[[#This Row],[SDate]],weather.tbl[Date],0))</f>
        <v>9</v>
      </c>
      <c r="R1392" s="2">
        <f ca="1">INDEX(INDIRECT(_xlfn.CONCAT("weather.tbl[",R$1,"]")),MATCH(vp.data[[#This Row],[SDate]],weather.tbl[Date],0))</f>
        <v>10</v>
      </c>
      <c r="S1392" s="2">
        <f ca="1">INDEX(INDIRECT(_xlfn.CONCAT("weather.tbl[",S$1,"]")),MATCH(vp.data[[#This Row],[SDate]],weather.tbl[Date],0))</f>
        <v>9.4</v>
      </c>
      <c r="T1392" s="2">
        <f ca="1">INDEX(INDIRECT(_xlfn.CONCAT("weather.tbl[",T$1,"]")),MATCH(vp.data[[#This Row],[SDate]],weather.tbl[Date],0))</f>
        <v>10</v>
      </c>
      <c r="U1392" s="2">
        <f ca="1">INDEX(INDIRECT(_xlfn.CONCAT("weather.tbl[",U$1,"]")),MATCH(vp.data[[#This Row],[SDate]],weather.tbl[Date],0))</f>
        <v>9.3000000000000007</v>
      </c>
      <c r="V1392" s="2">
        <f t="array" ref="V13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5887.6930000000002</v>
      </c>
      <c r="W1392" t="s">
        <v>48</v>
      </c>
      <c r="X1392">
        <f>IF(OR(vp.data[[#This Row],[Sulf]]="",vp.data[[#This Row],[Dens]]=""),1,0)</f>
        <v>0</v>
      </c>
      <c r="Y1392">
        <f>IF(vp.data[[#This Row],[CrudeType]]="C5+",1,0)</f>
        <v>0</v>
      </c>
      <c r="Z1392">
        <f>IF(AND(vp.data[[#This Row],[CrudeType]]="Crude",vp.data[[#This Row],[Dens]]&lt;=825,vp.data[[#This Row],[Sulf]]&gt;0.5,vp.data[[#This Row],[Unknown]]=0),1,0)</f>
        <v>1</v>
      </c>
      <c r="AA1392">
        <f>IF(AND(vp.data[[#This Row],[CrudeType]]="Crude",vp.data[[#This Row],[Dens]]&lt;=825,vp.data[[#This Row],[Sulf]]&lt;=0.5,vp.data[[#This Row],[Unknown]]=0),1,0)</f>
        <v>0</v>
      </c>
      <c r="AB13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92">
        <f>IF(AND(vp.data[[#This Row],[CrudeType]]="Crude",vp.data[[#This Row],[Dens]]&gt;825,vp.data[[#This Row],[Dens]]&lt;=900,vp.data[[#This Row],[Sulf]]&lt;=0.5,vp.data[[#This Row],[Unknown]]=0),1,0)</f>
        <v>0</v>
      </c>
      <c r="AD1392">
        <f>IF(AND(vp.data[[#This Row],[CrudeType]]="Crude",vp.data[[#This Row],[Dens]]&gt;865,vp.data[[#This Row],[Dens]]&lt;=900,vp.data[[#This Row],[Sulf]]&gt;2,vp.data[[#This Row],[Unknown]]=0),1,0)</f>
        <v>0</v>
      </c>
      <c r="AE1392">
        <f>IF(AND(vp.data[[#This Row],[CrudeType]]="Crude",vp.data[[#This Row],[Dens]]&gt;900,vp.data[[#This Row],[Sulf]]&lt;=0.5,vp.data[[#This Row],[Unknown]]=0),1,0)</f>
        <v>0</v>
      </c>
      <c r="AF1392">
        <f>IF(AND(vp.data[[#This Row],[CrudeType]]="Crude",vp.data[[#This Row],[Dens]]&gt;900,vp.data[[#This Row],[Sulf]]&lt;=0.5,vp.data[[#This Row],[Unknown]]=0),1,0)</f>
        <v>0</v>
      </c>
      <c r="AG1392" t="str">
        <f>INDEX(vp.data[[#Headers],[Unknown]:[Heavy_SW]],MATCH(1,vp.data[[#This Row],[Unknown]:[Heavy_SW]],0))</f>
        <v>Light_LSB</v>
      </c>
      <c r="AH1392">
        <f>INDEX([3]!crudeBD.lkup[Number],MATCH(vp.data[[#This Row],[Crude_Breakdown]],crudeBD.lkup[Crude Breakdown],0))</f>
        <v>1</v>
      </c>
      <c r="AI1392">
        <f>MONTH(vp.data[[#This Row],[SDate]])</f>
        <v>5</v>
      </c>
      <c r="AJ1392" s="5">
        <f>(vp.data[[#This Row],[VP]]-INDEX(crudeBD.lkup[Mean_VP],MATCH(vp.data[[#This Row],[Crude_Breakdown]],crudeBD.lkup[Crude Breakdown],0)))^2</f>
        <v>2.1135764055690456</v>
      </c>
      <c r="AK1392" s="5">
        <f>(vp.data[[#This Row],[Dens]]-INDEX(crudeBD.lkup[Mean_Dens],MATCH(vp.data[[#This Row],[Crude_Breakdown]],crudeBD.lkup[Crude Breakdown],0)))^2</f>
        <v>34.612398063323418</v>
      </c>
      <c r="AL1392" s="5">
        <f>(vp.data[[#This Row],[Sulf]]-INDEX(crudeBD.lkup[Mean_Sulf],MATCH(vp.data[[#This Row],[Crude_Breakdown]],crudeBD.lkup[Crude Breakdown],0)))^2</f>
        <v>0.34460284914741357</v>
      </c>
      <c r="AM1392" s="4">
        <f>IF(AND(vp.data[[#This Row],[SDate]]&gt;=DATE(YEAR(vp.data[[#This Row],[SDate]]),5,1),vp.data[[#This Row],[SDate]]&lt;=DATE(YEAR(vp.data[[#This Row],[SDate]]),9,15)),1,0)</f>
        <v>1</v>
      </c>
      <c r="AN1392" s="4">
        <f>IF(vp.data[[#This Row],[SDate]]&lt;DATE(2016,12,1),0,1)</f>
        <v>1</v>
      </c>
      <c r="AO1392" s="4">
        <f>IFERROR(vp.data[[#This Row],[Sulf]]*vp.data[[#This Row],[Net Dens]],"")</f>
        <v>7329259.3048919998</v>
      </c>
      <c r="AP1392">
        <f>IFERROR(vp.data[[#This Row],[Dens]]*vp.data[[#This Row],[VolumeM3]],"")</f>
        <v>4853814.1091999998</v>
      </c>
      <c r="AQ1392" s="15">
        <f>IFERROR(vp.data[[#This Row],[VP]]*vp.data[[#This Row],[VolumeM3]],"")</f>
        <v>547555.44900000002</v>
      </c>
    </row>
    <row r="1393" spans="1:43" x14ac:dyDescent="0.25">
      <c r="A1393">
        <v>1392</v>
      </c>
      <c r="B1393" t="s">
        <v>292</v>
      </c>
      <c r="C1393" t="s">
        <v>292</v>
      </c>
      <c r="D1393" t="s">
        <v>57</v>
      </c>
      <c r="F1393" s="1">
        <v>42858</v>
      </c>
      <c r="G1393" s="2">
        <v>79.3</v>
      </c>
      <c r="H1393" s="2"/>
      <c r="I1393" s="2">
        <f t="array" ref="I1393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393" s="2"/>
      <c r="K1393" s="2"/>
      <c r="L1393" s="2">
        <v>847.3</v>
      </c>
      <c r="M1393" s="2">
        <f t="array" ref="M1393">_xlfn.IFNA(IF(vp.data[[#This Row],[Dens Input]]="",INDEX([1]DATA!$O$3:$O$9826,MATCH(1,(vp.data[[#This Row],[Battery]]=[1]DATA!$L$3:$L$9826)*(EOMONTH(vp.data[[#This Row],[SDate]],-1)+1=[1]DATA!$G$3:$G$9826),0)),vp.data[[#This Row],[Dens Input]]),"")</f>
        <v>847.3</v>
      </c>
      <c r="N1393" s="2">
        <f ca="1">INDEX(INDIRECT(_xlfn.CONCAT("weather.tbl[",N$1,"]")),MATCH(vp.data[[#This Row],[SDate]],weather.tbl[Date],0))</f>
        <v>9.5333333333333332</v>
      </c>
      <c r="O1393" s="2">
        <f ca="1">INDEX(INDIRECT(_xlfn.CONCAT("weather.tbl[",O$1,"]")),MATCH(vp.data[[#This Row],[SDate]],weather.tbl[Date],0))</f>
        <v>7.8952380952380965</v>
      </c>
      <c r="P1393" s="2">
        <f ca="1">INDEX(INDIRECT(_xlfn.CONCAT("weather.tbl[",P$1,"]")),MATCH(vp.data[[#This Row],[SDate]],weather.tbl[Date],0))</f>
        <v>9.5</v>
      </c>
      <c r="Q1393" s="2">
        <f ca="1">INDEX(INDIRECT(_xlfn.CONCAT("weather.tbl[",Q$1,"]")),MATCH(vp.data[[#This Row],[SDate]],weather.tbl[Date],0))</f>
        <v>9</v>
      </c>
      <c r="R1393" s="2">
        <f ca="1">INDEX(INDIRECT(_xlfn.CONCAT("weather.tbl[",R$1,"]")),MATCH(vp.data[[#This Row],[SDate]],weather.tbl[Date],0))</f>
        <v>10</v>
      </c>
      <c r="S1393" s="2">
        <f ca="1">INDEX(INDIRECT(_xlfn.CONCAT("weather.tbl[",S$1,"]")),MATCH(vp.data[[#This Row],[SDate]],weather.tbl[Date],0))</f>
        <v>9.4</v>
      </c>
      <c r="T1393" s="2">
        <f ca="1">INDEX(INDIRECT(_xlfn.CONCAT("weather.tbl[",T$1,"]")),MATCH(vp.data[[#This Row],[SDate]],weather.tbl[Date],0))</f>
        <v>10</v>
      </c>
      <c r="U1393" s="2">
        <f ca="1">INDEX(INDIRECT(_xlfn.CONCAT("weather.tbl[",U$1,"]")),MATCH(vp.data[[#This Row],[SDate]],weather.tbl[Date],0))</f>
        <v>9.3000000000000007</v>
      </c>
      <c r="V1393" s="2">
        <f t="array" ref="V13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3038.6930000000002</v>
      </c>
      <c r="W1393" t="s">
        <v>48</v>
      </c>
      <c r="X1393">
        <f>IF(OR(vp.data[[#This Row],[Sulf]]="",vp.data[[#This Row],[Dens]]=""),1,0)</f>
        <v>0</v>
      </c>
      <c r="Y1393">
        <f>IF(vp.data[[#This Row],[CrudeType]]="C5+",1,0)</f>
        <v>0</v>
      </c>
      <c r="Z1393">
        <f>IF(AND(vp.data[[#This Row],[CrudeType]]="Crude",vp.data[[#This Row],[Dens]]&lt;=825,vp.data[[#This Row],[Sulf]]&gt;0.5,vp.data[[#This Row],[Unknown]]=0),1,0)</f>
        <v>0</v>
      </c>
      <c r="AA1393">
        <f>IF(AND(vp.data[[#This Row],[CrudeType]]="Crude",vp.data[[#This Row],[Dens]]&lt;=825,vp.data[[#This Row],[Sulf]]&lt;=0.5,vp.data[[#This Row],[Unknown]]=0),1,0)</f>
        <v>0</v>
      </c>
      <c r="AB13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3">
        <f>IF(AND(vp.data[[#This Row],[CrudeType]]="Crude",vp.data[[#This Row],[Dens]]&gt;825,vp.data[[#This Row],[Dens]]&lt;=900,vp.data[[#This Row],[Sulf]]&lt;=0.5,vp.data[[#This Row],[Unknown]]=0),1,0)</f>
        <v>0</v>
      </c>
      <c r="AD1393">
        <f>IF(AND(vp.data[[#This Row],[CrudeType]]="Crude",vp.data[[#This Row],[Dens]]&gt;865,vp.data[[#This Row],[Dens]]&lt;=900,vp.data[[#This Row],[Sulf]]&gt;2,vp.data[[#This Row],[Unknown]]=0),1,0)</f>
        <v>0</v>
      </c>
      <c r="AE1393">
        <f>IF(AND(vp.data[[#This Row],[CrudeType]]="Crude",vp.data[[#This Row],[Dens]]&gt;900,vp.data[[#This Row],[Sulf]]&lt;=0.5,vp.data[[#This Row],[Unknown]]=0),1,0)</f>
        <v>0</v>
      </c>
      <c r="AF1393">
        <f>IF(AND(vp.data[[#This Row],[CrudeType]]="Crude",vp.data[[#This Row],[Dens]]&gt;900,vp.data[[#This Row],[Sulf]]&lt;=0.5,vp.data[[#This Row],[Unknown]]=0),1,0)</f>
        <v>0</v>
      </c>
      <c r="AG1393" t="str">
        <f>INDEX(vp.data[[#Headers],[Unknown]:[Heavy_SW]],MATCH(1,vp.data[[#This Row],[Unknown]:[Heavy_SW]],0))</f>
        <v>Medium_LSB</v>
      </c>
      <c r="AH1393">
        <f>INDEX([3]!crudeBD.lkup[Number],MATCH(vp.data[[#This Row],[Crude_Breakdown]],crudeBD.lkup[Crude Breakdown],0))</f>
        <v>3</v>
      </c>
      <c r="AI1393">
        <f>MONTH(vp.data[[#This Row],[SDate]])</f>
        <v>5</v>
      </c>
      <c r="AJ1393" s="5">
        <f>(vp.data[[#This Row],[VP]]-INDEX(crudeBD.lkup[Mean_VP],MATCH(vp.data[[#This Row],[Crude_Breakdown]],crudeBD.lkup[Crude Breakdown],0)))^2</f>
        <v>1.7947332582586195</v>
      </c>
      <c r="AK1393" s="5">
        <f>(vp.data[[#This Row],[Dens]]-INDEX(crudeBD.lkup[Mean_Dens],MATCH(vp.data[[#This Row],[Crude_Breakdown]],crudeBD.lkup[Crude Breakdown],0)))^2</f>
        <v>11.424400000003043</v>
      </c>
      <c r="AL1393" s="5">
        <f>(vp.data[[#This Row],[Sulf]]-INDEX(crudeBD.lkup[Mean_Sulf],MATCH(vp.data[[#This Row],[Crude_Breakdown]],crudeBD.lkup[Crude Breakdown],0)))^2</f>
        <v>0.15570274648652699</v>
      </c>
      <c r="AM1393" s="4">
        <f>IF(AND(vp.data[[#This Row],[SDate]]&gt;=DATE(YEAR(vp.data[[#This Row],[SDate]]),5,1),vp.data[[#This Row],[SDate]]&lt;=DATE(YEAR(vp.data[[#This Row],[SDate]]),9,15)),1,0)</f>
        <v>1</v>
      </c>
      <c r="AN1393" s="4">
        <f>IF(vp.data[[#This Row],[SDate]]&lt;DATE(2016,12,1),0,1)</f>
        <v>1</v>
      </c>
      <c r="AO1393" s="4">
        <f>IFERROR(vp.data[[#This Row],[Sulf]]*vp.data[[#This Row],[Net Dens]],"")</f>
        <v>4582938.5504419999</v>
      </c>
      <c r="AP1393">
        <f>IFERROR(vp.data[[#This Row],[Dens]]*vp.data[[#This Row],[VolumeM3]],"")</f>
        <v>2574684.5789000001</v>
      </c>
      <c r="AQ1393" s="15">
        <f>IFERROR(vp.data[[#This Row],[VP]]*vp.data[[#This Row],[VolumeM3]],"")</f>
        <v>240968.35490000001</v>
      </c>
    </row>
    <row r="1394" spans="1:43" x14ac:dyDescent="0.25">
      <c r="A1394">
        <v>1393</v>
      </c>
      <c r="B1394" t="s">
        <v>62</v>
      </c>
      <c r="C1394" t="s">
        <v>62</v>
      </c>
      <c r="D1394" t="s">
        <v>79</v>
      </c>
      <c r="F1394" s="1">
        <v>42858</v>
      </c>
      <c r="G1394" s="2">
        <v>79</v>
      </c>
      <c r="H1394" s="2"/>
      <c r="I1394" s="2">
        <f t="array" ref="I1394">_xlfn.IFNA(IF(vp.data[[#This Row],[Sulf Input]]="",INDEX([1]DATA!$Q$3:$Q$9826,MATCH(1,(vp.data[[#This Row],[Battery]]=[1]DATA!$L$3:$L$9826)*(EOMONTH(vp.data[[#This Row],[SDate]],-1)+1=[1]DATA!$G$3:$G$9826),0)),vp.data[[#This Row],[Sulf Input]]),"")</f>
        <v>0.35</v>
      </c>
      <c r="J1394" s="2"/>
      <c r="K1394" s="2"/>
      <c r="L1394" s="2">
        <v>808.1</v>
      </c>
      <c r="M1394" s="2">
        <f t="array" ref="M1394">_xlfn.IFNA(IF(vp.data[[#This Row],[Dens Input]]="",INDEX([1]DATA!$O$3:$O$9826,MATCH(1,(vp.data[[#This Row],[Battery]]=[1]DATA!$L$3:$L$9826)*(EOMONTH(vp.data[[#This Row],[SDate]],-1)+1=[1]DATA!$G$3:$G$9826),0)),vp.data[[#This Row],[Dens Input]]),"")</f>
        <v>808.1</v>
      </c>
      <c r="N1394" s="2">
        <f ca="1">INDEX(INDIRECT(_xlfn.CONCAT("weather.tbl[",N$1,"]")),MATCH(vp.data[[#This Row],[SDate]],weather.tbl[Date],0))</f>
        <v>9.5333333333333332</v>
      </c>
      <c r="O1394" s="2">
        <f ca="1">INDEX(INDIRECT(_xlfn.CONCAT("weather.tbl[",O$1,"]")),MATCH(vp.data[[#This Row],[SDate]],weather.tbl[Date],0))</f>
        <v>7.8952380952380965</v>
      </c>
      <c r="P1394" s="2">
        <f ca="1">INDEX(INDIRECT(_xlfn.CONCAT("weather.tbl[",P$1,"]")),MATCH(vp.data[[#This Row],[SDate]],weather.tbl[Date],0))</f>
        <v>9.5</v>
      </c>
      <c r="Q1394" s="2">
        <f ca="1">INDEX(INDIRECT(_xlfn.CONCAT("weather.tbl[",Q$1,"]")),MATCH(vp.data[[#This Row],[SDate]],weather.tbl[Date],0))</f>
        <v>9</v>
      </c>
      <c r="R1394" s="2">
        <f ca="1">INDEX(INDIRECT(_xlfn.CONCAT("weather.tbl[",R$1,"]")),MATCH(vp.data[[#This Row],[SDate]],weather.tbl[Date],0))</f>
        <v>10</v>
      </c>
      <c r="S1394" s="2">
        <f ca="1">INDEX(INDIRECT(_xlfn.CONCAT("weather.tbl[",S$1,"]")),MATCH(vp.data[[#This Row],[SDate]],weather.tbl[Date],0))</f>
        <v>9.4</v>
      </c>
      <c r="T1394" s="2">
        <f ca="1">INDEX(INDIRECT(_xlfn.CONCAT("weather.tbl[",T$1,"]")),MATCH(vp.data[[#This Row],[SDate]],weather.tbl[Date],0))</f>
        <v>10</v>
      </c>
      <c r="U1394" s="2">
        <f ca="1">INDEX(INDIRECT(_xlfn.CONCAT("weather.tbl[",U$1,"]")),MATCH(vp.data[[#This Row],[SDate]],weather.tbl[Date],0))</f>
        <v>9.3000000000000007</v>
      </c>
      <c r="V1394" s="2">
        <f t="array" ref="V13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12983.781000000001</v>
      </c>
      <c r="W1394" t="s">
        <v>48</v>
      </c>
      <c r="X1394">
        <f>IF(OR(vp.data[[#This Row],[Sulf]]="",vp.data[[#This Row],[Dens]]=""),1,0)</f>
        <v>0</v>
      </c>
      <c r="Y1394">
        <f>IF(vp.data[[#This Row],[CrudeType]]="C5+",1,0)</f>
        <v>0</v>
      </c>
      <c r="Z1394">
        <f>IF(AND(vp.data[[#This Row],[CrudeType]]="Crude",vp.data[[#This Row],[Dens]]&lt;=825,vp.data[[#This Row],[Sulf]]&gt;0.5,vp.data[[#This Row],[Unknown]]=0),1,0)</f>
        <v>0</v>
      </c>
      <c r="AA1394">
        <f>IF(AND(vp.data[[#This Row],[CrudeType]]="Crude",vp.data[[#This Row],[Dens]]&lt;=825,vp.data[[#This Row],[Sulf]]&lt;=0.5,vp.data[[#This Row],[Unknown]]=0),1,0)</f>
        <v>1</v>
      </c>
      <c r="AB13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94">
        <f>IF(AND(vp.data[[#This Row],[CrudeType]]="Crude",vp.data[[#This Row],[Dens]]&gt;825,vp.data[[#This Row],[Dens]]&lt;=900,vp.data[[#This Row],[Sulf]]&lt;=0.5,vp.data[[#This Row],[Unknown]]=0),1,0)</f>
        <v>0</v>
      </c>
      <c r="AD1394">
        <f>IF(AND(vp.data[[#This Row],[CrudeType]]="Crude",vp.data[[#This Row],[Dens]]&gt;865,vp.data[[#This Row],[Dens]]&lt;=900,vp.data[[#This Row],[Sulf]]&gt;2,vp.data[[#This Row],[Unknown]]=0),1,0)</f>
        <v>0</v>
      </c>
      <c r="AE1394">
        <f>IF(AND(vp.data[[#This Row],[CrudeType]]="Crude",vp.data[[#This Row],[Dens]]&gt;900,vp.data[[#This Row],[Sulf]]&lt;=0.5,vp.data[[#This Row],[Unknown]]=0),1,0)</f>
        <v>0</v>
      </c>
      <c r="AF1394">
        <f>IF(AND(vp.data[[#This Row],[CrudeType]]="Crude",vp.data[[#This Row],[Dens]]&gt;900,vp.data[[#This Row],[Sulf]]&lt;=0.5,vp.data[[#This Row],[Unknown]]=0),1,0)</f>
        <v>0</v>
      </c>
      <c r="AG1394" t="str">
        <f>INDEX(vp.data[[#Headers],[Unknown]:[Heavy_SW]],MATCH(1,vp.data[[#This Row],[Unknown]:[Heavy_SW]],0))</f>
        <v>Light_SW</v>
      </c>
      <c r="AH1394">
        <f>INDEX([3]!crudeBD.lkup[Number],MATCH(vp.data[[#This Row],[Crude_Breakdown]],crudeBD.lkup[Crude Breakdown],0))</f>
        <v>2</v>
      </c>
      <c r="AI1394">
        <f>MONTH(vp.data[[#This Row],[SDate]])</f>
        <v>5</v>
      </c>
      <c r="AJ1394" s="5">
        <f>(vp.data[[#This Row],[VP]]-INDEX(crudeBD.lkup[Mean_VP],MATCH(vp.data[[#This Row],[Crude_Breakdown]],crudeBD.lkup[Crude Breakdown],0)))^2</f>
        <v>183.61099835617688</v>
      </c>
      <c r="AK1394" s="5">
        <f>(vp.data[[#This Row],[Dens]]-INDEX(crudeBD.lkup[Mean_Dens],MATCH(vp.data[[#This Row],[Crude_Breakdown]],crudeBD.lkup[Crude Breakdown],0)))^2</f>
        <v>4.473151306913524E-2</v>
      </c>
      <c r="AL1394" s="5">
        <f>(vp.data[[#This Row],[Sulf]]-INDEX(crudeBD.lkup[Mean_Sulf],MATCH(vp.data[[#This Row],[Crude_Breakdown]],crudeBD.lkup[Crude Breakdown],0)))^2</f>
        <v>1.2940925371923933E-2</v>
      </c>
      <c r="AM1394" s="4">
        <f>IF(AND(vp.data[[#This Row],[SDate]]&gt;=DATE(YEAR(vp.data[[#This Row],[SDate]]),5,1),vp.data[[#This Row],[SDate]]&lt;=DATE(YEAR(vp.data[[#This Row],[SDate]]),9,15)),1,0)</f>
        <v>1</v>
      </c>
      <c r="AN1394" s="4">
        <f>IF(vp.data[[#This Row],[SDate]]&lt;DATE(2016,12,1),0,1)</f>
        <v>1</v>
      </c>
      <c r="AO1394" s="4">
        <f>IFERROR(vp.data[[#This Row],[Sulf]]*vp.data[[#This Row],[Net Dens]],"")</f>
        <v>3672267.6991349999</v>
      </c>
      <c r="AP1394">
        <f>IFERROR(vp.data[[#This Row],[Dens]]*vp.data[[#This Row],[VolumeM3]],"")</f>
        <v>10492193.426100001</v>
      </c>
      <c r="AQ1394" s="15">
        <f>IFERROR(vp.data[[#This Row],[VP]]*vp.data[[#This Row],[VolumeM3]],"")</f>
        <v>1025718.699</v>
      </c>
    </row>
    <row r="1395" spans="1:43" x14ac:dyDescent="0.25">
      <c r="A1395">
        <v>1394</v>
      </c>
      <c r="B1395" t="s">
        <v>51</v>
      </c>
      <c r="C1395" t="s">
        <v>51</v>
      </c>
      <c r="D1395" t="s">
        <v>71</v>
      </c>
      <c r="F1395" s="1">
        <v>42858</v>
      </c>
      <c r="G1395" s="2">
        <v>84.9</v>
      </c>
      <c r="H1395" s="2"/>
      <c r="I1395" s="2">
        <f t="array" ref="I1395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1395" s="2"/>
      <c r="K1395" s="2"/>
      <c r="L1395" s="2">
        <v>821.3</v>
      </c>
      <c r="M1395" s="2">
        <f t="array" ref="M1395">_xlfn.IFNA(IF(vp.data[[#This Row],[Dens Input]]="",INDEX([1]DATA!$O$3:$O$9826,MATCH(1,(vp.data[[#This Row],[Battery]]=[1]DATA!$L$3:$L$9826)*(EOMONTH(vp.data[[#This Row],[SDate]],-1)+1=[1]DATA!$G$3:$G$9826),0)),vp.data[[#This Row],[Dens Input]]),"")</f>
        <v>821.3</v>
      </c>
      <c r="N1395" s="2">
        <f ca="1">INDEX(INDIRECT(_xlfn.CONCAT("weather.tbl[",N$1,"]")),MATCH(vp.data[[#This Row],[SDate]],weather.tbl[Date],0))</f>
        <v>9.5333333333333332</v>
      </c>
      <c r="O1395" s="2">
        <f ca="1">INDEX(INDIRECT(_xlfn.CONCAT("weather.tbl[",O$1,"]")),MATCH(vp.data[[#This Row],[SDate]],weather.tbl[Date],0))</f>
        <v>7.8952380952380965</v>
      </c>
      <c r="P1395" s="2">
        <f ca="1">INDEX(INDIRECT(_xlfn.CONCAT("weather.tbl[",P$1,"]")),MATCH(vp.data[[#This Row],[SDate]],weather.tbl[Date],0))</f>
        <v>9.5</v>
      </c>
      <c r="Q1395" s="2">
        <f ca="1">INDEX(INDIRECT(_xlfn.CONCAT("weather.tbl[",Q$1,"]")),MATCH(vp.data[[#This Row],[SDate]],weather.tbl[Date],0))</f>
        <v>9</v>
      </c>
      <c r="R1395" s="2">
        <f ca="1">INDEX(INDIRECT(_xlfn.CONCAT("weather.tbl[",R$1,"]")),MATCH(vp.data[[#This Row],[SDate]],weather.tbl[Date],0))</f>
        <v>10</v>
      </c>
      <c r="S1395" s="2">
        <f ca="1">INDEX(INDIRECT(_xlfn.CONCAT("weather.tbl[",S$1,"]")),MATCH(vp.data[[#This Row],[SDate]],weather.tbl[Date],0))</f>
        <v>9.4</v>
      </c>
      <c r="T1395" s="2">
        <f ca="1">INDEX(INDIRECT(_xlfn.CONCAT("weather.tbl[",T$1,"]")),MATCH(vp.data[[#This Row],[SDate]],weather.tbl[Date],0))</f>
        <v>10</v>
      </c>
      <c r="U1395" s="2">
        <f ca="1">INDEX(INDIRECT(_xlfn.CONCAT("weather.tbl[",U$1,"]")),MATCH(vp.data[[#This Row],[SDate]],weather.tbl[Date],0))</f>
        <v>9.3000000000000007</v>
      </c>
      <c r="V1395" s="2">
        <f t="array" ref="V13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9610.1779999999999</v>
      </c>
      <c r="W1395" t="s">
        <v>48</v>
      </c>
      <c r="X1395">
        <f>IF(OR(vp.data[[#This Row],[Sulf]]="",vp.data[[#This Row],[Dens]]=""),1,0)</f>
        <v>0</v>
      </c>
      <c r="Y1395">
        <f>IF(vp.data[[#This Row],[CrudeType]]="C5+",1,0)</f>
        <v>0</v>
      </c>
      <c r="Z1395">
        <f>IF(AND(vp.data[[#This Row],[CrudeType]]="Crude",vp.data[[#This Row],[Dens]]&lt;=825,vp.data[[#This Row],[Sulf]]&gt;0.5,vp.data[[#This Row],[Unknown]]=0),1,0)</f>
        <v>1</v>
      </c>
      <c r="AA1395">
        <f>IF(AND(vp.data[[#This Row],[CrudeType]]="Crude",vp.data[[#This Row],[Dens]]&lt;=825,vp.data[[#This Row],[Sulf]]&lt;=0.5,vp.data[[#This Row],[Unknown]]=0),1,0)</f>
        <v>0</v>
      </c>
      <c r="AB13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395">
        <f>IF(AND(vp.data[[#This Row],[CrudeType]]="Crude",vp.data[[#This Row],[Dens]]&gt;825,vp.data[[#This Row],[Dens]]&lt;=900,vp.data[[#This Row],[Sulf]]&lt;=0.5,vp.data[[#This Row],[Unknown]]=0),1,0)</f>
        <v>0</v>
      </c>
      <c r="AD1395">
        <f>IF(AND(vp.data[[#This Row],[CrudeType]]="Crude",vp.data[[#This Row],[Dens]]&gt;865,vp.data[[#This Row],[Dens]]&lt;=900,vp.data[[#This Row],[Sulf]]&gt;2,vp.data[[#This Row],[Unknown]]=0),1,0)</f>
        <v>0</v>
      </c>
      <c r="AE1395">
        <f>IF(AND(vp.data[[#This Row],[CrudeType]]="Crude",vp.data[[#This Row],[Dens]]&gt;900,vp.data[[#This Row],[Sulf]]&lt;=0.5,vp.data[[#This Row],[Unknown]]=0),1,0)</f>
        <v>0</v>
      </c>
      <c r="AF1395">
        <f>IF(AND(vp.data[[#This Row],[CrudeType]]="Crude",vp.data[[#This Row],[Dens]]&gt;900,vp.data[[#This Row],[Sulf]]&lt;=0.5,vp.data[[#This Row],[Unknown]]=0),1,0)</f>
        <v>0</v>
      </c>
      <c r="AG1395" t="str">
        <f>INDEX(vp.data[[#Headers],[Unknown]:[Heavy_SW]],MATCH(1,vp.data[[#This Row],[Unknown]:[Heavy_SW]],0))</f>
        <v>Light_LSB</v>
      </c>
      <c r="AH1395">
        <f>INDEX([3]!crudeBD.lkup[Number],MATCH(vp.data[[#This Row],[Crude_Breakdown]],crudeBD.lkup[Crude Breakdown],0))</f>
        <v>1</v>
      </c>
      <c r="AI1395">
        <f>MONTH(vp.data[[#This Row],[SDate]])</f>
        <v>5</v>
      </c>
      <c r="AJ1395" s="5">
        <f>(vp.data[[#This Row],[VP]]-INDEX(crudeBD.lkup[Mean_VP],MATCH(vp.data[[#This Row],[Crude_Breakdown]],crudeBD.lkup[Crude Breakdown],0)))^2</f>
        <v>44.171782591136484</v>
      </c>
      <c r="AK1395" s="5">
        <f>(vp.data[[#This Row],[Dens]]-INDEX(crudeBD.lkup[Mean_Dens],MATCH(vp.data[[#This Row],[Crude_Breakdown]],crudeBD.lkup[Crude Breakdown],0)))^2</f>
        <v>7.74637057191255</v>
      </c>
      <c r="AL1395" s="5">
        <f>(vp.data[[#This Row],[Sulf]]-INDEX(crudeBD.lkup[Mean_Sulf],MATCH(vp.data[[#This Row],[Crude_Breakdown]],crudeBD.lkup[Crude Breakdown],0)))^2</f>
        <v>0.43168688557353052</v>
      </c>
      <c r="AM1395" s="4">
        <f>IF(AND(vp.data[[#This Row],[SDate]]&gt;=DATE(YEAR(vp.data[[#This Row],[SDate]]),5,1),vp.data[[#This Row],[SDate]]&lt;=DATE(YEAR(vp.data[[#This Row],[SDate]]),9,15)),1,0)</f>
        <v>1</v>
      </c>
      <c r="AN1395" s="4">
        <f>IF(vp.data[[#This Row],[SDate]]&lt;DATE(2016,12,1),0,1)</f>
        <v>1</v>
      </c>
      <c r="AO1395" s="4">
        <f>IFERROR(vp.data[[#This Row],[Sulf]]*vp.data[[#This Row],[Net Dens]],"")</f>
        <v>12470685.922412001</v>
      </c>
      <c r="AP1395">
        <f>IFERROR(vp.data[[#This Row],[Dens]]*vp.data[[#This Row],[VolumeM3]],"")</f>
        <v>7892839.1913999999</v>
      </c>
      <c r="AQ1395" s="15">
        <f>IFERROR(vp.data[[#This Row],[VP]]*vp.data[[#This Row],[VolumeM3]],"")</f>
        <v>815904.11220000009</v>
      </c>
    </row>
    <row r="1396" spans="1:43" x14ac:dyDescent="0.25">
      <c r="A1396">
        <v>1395</v>
      </c>
      <c r="B1396" t="s">
        <v>291</v>
      </c>
      <c r="C1396" t="s">
        <v>291</v>
      </c>
      <c r="D1396" t="s">
        <v>155</v>
      </c>
      <c r="F1396" s="1">
        <v>42860</v>
      </c>
      <c r="G1396" s="2">
        <v>66.099999999999994</v>
      </c>
      <c r="H1396" s="2"/>
      <c r="I1396" s="2">
        <f t="array" ref="I1396">_xlfn.IFNA(IF(vp.data[[#This Row],[Sulf Input]]="",INDEX([1]DATA!$Q$3:$Q$9826,MATCH(1,(vp.data[[#This Row],[Battery]]=[1]DATA!$L$3:$L$9826)*(EOMONTH(vp.data[[#This Row],[SDate]],-1)+1=[1]DATA!$G$3:$G$9826),0)),vp.data[[#This Row],[Sulf Input]]),"")</f>
        <v>0.87</v>
      </c>
      <c r="J1396" s="2"/>
      <c r="K1396" s="2"/>
      <c r="L1396" s="2">
        <v>833.7</v>
      </c>
      <c r="M1396" s="2">
        <f t="array" ref="M1396">_xlfn.IFNA(IF(vp.data[[#This Row],[Dens Input]]="",INDEX([1]DATA!$O$3:$O$9826,MATCH(1,(vp.data[[#This Row],[Battery]]=[1]DATA!$L$3:$L$9826)*(EOMONTH(vp.data[[#This Row],[SDate]],-1)+1=[1]DATA!$G$3:$G$9826),0)),vp.data[[#This Row],[Dens Input]]),"")</f>
        <v>833.7</v>
      </c>
      <c r="N1396" s="2">
        <f ca="1">INDEX(INDIRECT(_xlfn.CONCAT("weather.tbl[",N$1,"]")),MATCH(vp.data[[#This Row],[SDate]],weather.tbl[Date],0))</f>
        <v>17.383333333333333</v>
      </c>
      <c r="O1396" s="2">
        <f ca="1">INDEX(INDIRECT(_xlfn.CONCAT("weather.tbl[",O$1,"]")),MATCH(vp.data[[#This Row],[SDate]],weather.tbl[Date],0))</f>
        <v>11.080952380952382</v>
      </c>
      <c r="P1396" s="2">
        <f ca="1">INDEX(INDIRECT(_xlfn.CONCAT("weather.tbl[",P$1,"]")),MATCH(vp.data[[#This Row],[SDate]],weather.tbl[Date],0))</f>
        <v>17.8</v>
      </c>
      <c r="Q1396" s="2">
        <f ca="1">INDEX(INDIRECT(_xlfn.CONCAT("weather.tbl[",Q$1,"]")),MATCH(vp.data[[#This Row],[SDate]],weather.tbl[Date],0))</f>
        <v>16.899999999999999</v>
      </c>
      <c r="R1396" s="2">
        <f ca="1">INDEX(INDIRECT(_xlfn.CONCAT("weather.tbl[",R$1,"]")),MATCH(vp.data[[#This Row],[SDate]],weather.tbl[Date],0))</f>
        <v>17.8</v>
      </c>
      <c r="S1396" s="2">
        <f ca="1">INDEX(INDIRECT(_xlfn.CONCAT("weather.tbl[",S$1,"]")),MATCH(vp.data[[#This Row],[SDate]],weather.tbl[Date],0))</f>
        <v>17.3</v>
      </c>
      <c r="T1396" s="2">
        <f ca="1">INDEX(INDIRECT(_xlfn.CONCAT("weather.tbl[",T$1,"]")),MATCH(vp.data[[#This Row],[SDate]],weather.tbl[Date],0))</f>
        <v>15.7</v>
      </c>
      <c r="U1396" s="2">
        <f ca="1">INDEX(INDIRECT(_xlfn.CONCAT("weather.tbl[",U$1,"]")),MATCH(vp.data[[#This Row],[SDate]],weather.tbl[Date],0))</f>
        <v>18.8</v>
      </c>
      <c r="V1396" s="2">
        <f t="array" ref="V13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397.38</v>
      </c>
      <c r="W1396" t="s">
        <v>48</v>
      </c>
      <c r="X1396">
        <f>IF(OR(vp.data[[#This Row],[Sulf]]="",vp.data[[#This Row],[Dens]]=""),1,0)</f>
        <v>0</v>
      </c>
      <c r="Y1396">
        <f>IF(vp.data[[#This Row],[CrudeType]]="C5+",1,0)</f>
        <v>0</v>
      </c>
      <c r="Z1396">
        <f>IF(AND(vp.data[[#This Row],[CrudeType]]="Crude",vp.data[[#This Row],[Dens]]&lt;=825,vp.data[[#This Row],[Sulf]]&gt;0.5,vp.data[[#This Row],[Unknown]]=0),1,0)</f>
        <v>0</v>
      </c>
      <c r="AA1396">
        <f>IF(AND(vp.data[[#This Row],[CrudeType]]="Crude",vp.data[[#This Row],[Dens]]&lt;=825,vp.data[[#This Row],[Sulf]]&lt;=0.5,vp.data[[#This Row],[Unknown]]=0),1,0)</f>
        <v>0</v>
      </c>
      <c r="AB13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6">
        <f>IF(AND(vp.data[[#This Row],[CrudeType]]="Crude",vp.data[[#This Row],[Dens]]&gt;825,vp.data[[#This Row],[Dens]]&lt;=900,vp.data[[#This Row],[Sulf]]&lt;=0.5,vp.data[[#This Row],[Unknown]]=0),1,0)</f>
        <v>0</v>
      </c>
      <c r="AD1396">
        <f>IF(AND(vp.data[[#This Row],[CrudeType]]="Crude",vp.data[[#This Row],[Dens]]&gt;865,vp.data[[#This Row],[Dens]]&lt;=900,vp.data[[#This Row],[Sulf]]&gt;2,vp.data[[#This Row],[Unknown]]=0),1,0)</f>
        <v>0</v>
      </c>
      <c r="AE1396">
        <f>IF(AND(vp.data[[#This Row],[CrudeType]]="Crude",vp.data[[#This Row],[Dens]]&gt;900,vp.data[[#This Row],[Sulf]]&lt;=0.5,vp.data[[#This Row],[Unknown]]=0),1,0)</f>
        <v>0</v>
      </c>
      <c r="AF1396">
        <f>IF(AND(vp.data[[#This Row],[CrudeType]]="Crude",vp.data[[#This Row],[Dens]]&gt;900,vp.data[[#This Row],[Sulf]]&lt;=0.5,vp.data[[#This Row],[Unknown]]=0),1,0)</f>
        <v>0</v>
      </c>
      <c r="AG1396" t="str">
        <f>INDEX(vp.data[[#Headers],[Unknown]:[Heavy_SW]],MATCH(1,vp.data[[#This Row],[Unknown]:[Heavy_SW]],0))</f>
        <v>Medium_LSB</v>
      </c>
      <c r="AH1396">
        <f>INDEX([3]!crudeBD.lkup[Number],MATCH(vp.data[[#This Row],[Crude_Breakdown]],crudeBD.lkup[Crude Breakdown],0))</f>
        <v>3</v>
      </c>
      <c r="AI1396">
        <f>MONTH(vp.data[[#This Row],[SDate]])</f>
        <v>5</v>
      </c>
      <c r="AJ1396" s="5">
        <f>(vp.data[[#This Row],[VP]]-INDEX(crudeBD.lkup[Mean_VP],MATCH(vp.data[[#This Row],[Crude_Breakdown]],crudeBD.lkup[Crude Breakdown],0)))^2</f>
        <v>211.40219417469893</v>
      </c>
      <c r="AK1396" s="5">
        <f>(vp.data[[#This Row],[Dens]]-INDEX(crudeBD.lkup[Mean_Dens],MATCH(vp.data[[#This Row],[Crude_Breakdown]],crudeBD.lkup[Crude Breakdown],0)))^2</f>
        <v>104.44839999998894</v>
      </c>
      <c r="AL1396" s="5">
        <f>(vp.data[[#This Row],[Sulf]]-INDEX(crudeBD.lkup[Mean_Sulf],MATCH(vp.data[[#This Row],[Crude_Breakdown]],crudeBD.lkup[Crude Breakdown],0)))^2</f>
        <v>0.26564553705256749</v>
      </c>
      <c r="AM1396" s="4">
        <f>IF(AND(vp.data[[#This Row],[SDate]]&gt;=DATE(YEAR(vp.data[[#This Row],[SDate]]),5,1),vp.data[[#This Row],[SDate]]&lt;=DATE(YEAR(vp.data[[#This Row],[SDate]]),9,15)),1,0)</f>
        <v>1</v>
      </c>
      <c r="AN1396" s="4">
        <f>IF(vp.data[[#This Row],[SDate]]&lt;DATE(2016,12,1),0,1)</f>
        <v>1</v>
      </c>
      <c r="AO1396" s="4">
        <f>IFERROR(vp.data[[#This Row],[Sulf]]*vp.data[[#This Row],[Net Dens]],"")</f>
        <v>288227.26422000001</v>
      </c>
      <c r="AP1396">
        <f>IFERROR(vp.data[[#This Row],[Dens]]*vp.data[[#This Row],[VolumeM3]],"")</f>
        <v>331295.70600000001</v>
      </c>
      <c r="AQ1396" s="15">
        <f>IFERROR(vp.data[[#This Row],[VP]]*vp.data[[#This Row],[VolumeM3]],"")</f>
        <v>26266.817999999996</v>
      </c>
    </row>
    <row r="1397" spans="1:43" x14ac:dyDescent="0.25">
      <c r="A1397">
        <v>1396</v>
      </c>
      <c r="B1397" t="s">
        <v>49</v>
      </c>
      <c r="C1397" t="s">
        <v>49</v>
      </c>
      <c r="D1397" t="s">
        <v>293</v>
      </c>
      <c r="F1397" s="1">
        <v>42860</v>
      </c>
      <c r="G1397" s="2">
        <v>68.099999999999994</v>
      </c>
      <c r="H1397" s="2"/>
      <c r="I1397" s="2">
        <f t="array" ref="I1397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397" s="2"/>
      <c r="K1397" s="2"/>
      <c r="L1397" s="2">
        <v>840.1</v>
      </c>
      <c r="M1397" s="2">
        <f t="array" ref="M1397">_xlfn.IFNA(IF(vp.data[[#This Row],[Dens Input]]="",INDEX([1]DATA!$O$3:$O$9826,MATCH(1,(vp.data[[#This Row],[Battery]]=[1]DATA!$L$3:$L$9826)*(EOMONTH(vp.data[[#This Row],[SDate]],-1)+1=[1]DATA!$G$3:$G$9826),0)),vp.data[[#This Row],[Dens Input]]),"")</f>
        <v>840.1</v>
      </c>
      <c r="N1397" s="2">
        <f ca="1">INDEX(INDIRECT(_xlfn.CONCAT("weather.tbl[",N$1,"]")),MATCH(vp.data[[#This Row],[SDate]],weather.tbl[Date],0))</f>
        <v>17.383333333333333</v>
      </c>
      <c r="O1397" s="2">
        <f ca="1">INDEX(INDIRECT(_xlfn.CONCAT("weather.tbl[",O$1,"]")),MATCH(vp.data[[#This Row],[SDate]],weather.tbl[Date],0))</f>
        <v>11.080952380952382</v>
      </c>
      <c r="P1397" s="2">
        <f ca="1">INDEX(INDIRECT(_xlfn.CONCAT("weather.tbl[",P$1,"]")),MATCH(vp.data[[#This Row],[SDate]],weather.tbl[Date],0))</f>
        <v>17.8</v>
      </c>
      <c r="Q1397" s="2">
        <f ca="1">INDEX(INDIRECT(_xlfn.CONCAT("weather.tbl[",Q$1,"]")),MATCH(vp.data[[#This Row],[SDate]],weather.tbl[Date],0))</f>
        <v>16.899999999999999</v>
      </c>
      <c r="R1397" s="2">
        <f ca="1">INDEX(INDIRECT(_xlfn.CONCAT("weather.tbl[",R$1,"]")),MATCH(vp.data[[#This Row],[SDate]],weather.tbl[Date],0))</f>
        <v>17.8</v>
      </c>
      <c r="S1397" s="2">
        <f ca="1">INDEX(INDIRECT(_xlfn.CONCAT("weather.tbl[",S$1,"]")),MATCH(vp.data[[#This Row],[SDate]],weather.tbl[Date],0))</f>
        <v>17.3</v>
      </c>
      <c r="T1397" s="2">
        <f ca="1">INDEX(INDIRECT(_xlfn.CONCAT("weather.tbl[",T$1,"]")),MATCH(vp.data[[#This Row],[SDate]],weather.tbl[Date],0))</f>
        <v>15.7</v>
      </c>
      <c r="U1397" s="2">
        <f ca="1">INDEX(INDIRECT(_xlfn.CONCAT("weather.tbl[",U$1,"]")),MATCH(vp.data[[#This Row],[SDate]],weather.tbl[Date],0))</f>
        <v>18.8</v>
      </c>
      <c r="V1397" s="2">
        <f t="array" ref="V13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418.40699999999998</v>
      </c>
      <c r="W1397" t="s">
        <v>48</v>
      </c>
      <c r="X1397">
        <f>IF(OR(vp.data[[#This Row],[Sulf]]="",vp.data[[#This Row],[Dens]]=""),1,0)</f>
        <v>0</v>
      </c>
      <c r="Y1397">
        <f>IF(vp.data[[#This Row],[CrudeType]]="C5+",1,0)</f>
        <v>0</v>
      </c>
      <c r="Z1397">
        <f>IF(AND(vp.data[[#This Row],[CrudeType]]="Crude",vp.data[[#This Row],[Dens]]&lt;=825,vp.data[[#This Row],[Sulf]]&gt;0.5,vp.data[[#This Row],[Unknown]]=0),1,0)</f>
        <v>0</v>
      </c>
      <c r="AA1397">
        <f>IF(AND(vp.data[[#This Row],[CrudeType]]="Crude",vp.data[[#This Row],[Dens]]&lt;=825,vp.data[[#This Row],[Sulf]]&lt;=0.5,vp.data[[#This Row],[Unknown]]=0),1,0)</f>
        <v>0</v>
      </c>
      <c r="AB13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7">
        <f>IF(AND(vp.data[[#This Row],[CrudeType]]="Crude",vp.data[[#This Row],[Dens]]&gt;825,vp.data[[#This Row],[Dens]]&lt;=900,vp.data[[#This Row],[Sulf]]&lt;=0.5,vp.data[[#This Row],[Unknown]]=0),1,0)</f>
        <v>0</v>
      </c>
      <c r="AD1397">
        <f>IF(AND(vp.data[[#This Row],[CrudeType]]="Crude",vp.data[[#This Row],[Dens]]&gt;865,vp.data[[#This Row],[Dens]]&lt;=900,vp.data[[#This Row],[Sulf]]&gt;2,vp.data[[#This Row],[Unknown]]=0),1,0)</f>
        <v>0</v>
      </c>
      <c r="AE1397">
        <f>IF(AND(vp.data[[#This Row],[CrudeType]]="Crude",vp.data[[#This Row],[Dens]]&gt;900,vp.data[[#This Row],[Sulf]]&lt;=0.5,vp.data[[#This Row],[Unknown]]=0),1,0)</f>
        <v>0</v>
      </c>
      <c r="AF1397">
        <f>IF(AND(vp.data[[#This Row],[CrudeType]]="Crude",vp.data[[#This Row],[Dens]]&gt;900,vp.data[[#This Row],[Sulf]]&lt;=0.5,vp.data[[#This Row],[Unknown]]=0),1,0)</f>
        <v>0</v>
      </c>
      <c r="AG1397" t="str">
        <f>INDEX(vp.data[[#Headers],[Unknown]:[Heavy_SW]],MATCH(1,vp.data[[#This Row],[Unknown]:[Heavy_SW]],0))</f>
        <v>Medium_LSB</v>
      </c>
      <c r="AH1397">
        <f>INDEX([3]!crudeBD.lkup[Number],MATCH(vp.data[[#This Row],[Crude_Breakdown]],crudeBD.lkup[Crude Breakdown],0))</f>
        <v>3</v>
      </c>
      <c r="AI1397">
        <f>MONTH(vp.data[[#This Row],[SDate]])</f>
        <v>5</v>
      </c>
      <c r="AJ1397" s="5">
        <f>(vp.data[[#This Row],[VP]]-INDEX(crudeBD.lkup[Mean_VP],MATCH(vp.data[[#This Row],[Crude_Breakdown]],crudeBD.lkup[Crude Breakdown],0)))^2</f>
        <v>157.24348797523828</v>
      </c>
      <c r="AK1397" s="5">
        <f>(vp.data[[#This Row],[Dens]]-INDEX(crudeBD.lkup[Mean_Dens],MATCH(vp.data[[#This Row],[Crude_Breakdown]],crudeBD.lkup[Crude Breakdown],0)))^2</f>
        <v>14.59239999999604</v>
      </c>
      <c r="AL1397" s="5">
        <f>(vp.data[[#This Row],[Sulf]]-INDEX(crudeBD.lkup[Mean_Sulf],MATCH(vp.data[[#This Row],[Crude_Breakdown]],crudeBD.lkup[Crude Breakdown],0)))^2</f>
        <v>1.1110873171164612E-2</v>
      </c>
      <c r="AM1397" s="4">
        <f>IF(AND(vp.data[[#This Row],[SDate]]&gt;=DATE(YEAR(vp.data[[#This Row],[SDate]]),5,1),vp.data[[#This Row],[SDate]]&lt;=DATE(YEAR(vp.data[[#This Row],[SDate]]),9,15)),1,0)</f>
        <v>1</v>
      </c>
      <c r="AN1397" s="4">
        <f>IF(vp.data[[#This Row],[SDate]]&lt;DATE(2016,12,1),0,1)</f>
        <v>1</v>
      </c>
      <c r="AO1397" s="4">
        <f>IFERROR(vp.data[[#This Row],[Sulf]]*vp.data[[#This Row],[Net Dens]],"")</f>
        <v>449924.76249600004</v>
      </c>
      <c r="AP1397">
        <f>IFERROR(vp.data[[#This Row],[Dens]]*vp.data[[#This Row],[VolumeM3]],"")</f>
        <v>351503.72070000001</v>
      </c>
      <c r="AQ1397" s="15">
        <f>IFERROR(vp.data[[#This Row],[VP]]*vp.data[[#This Row],[VolumeM3]],"")</f>
        <v>28493.516699999996</v>
      </c>
    </row>
    <row r="1398" spans="1:43" x14ac:dyDescent="0.25">
      <c r="A1398">
        <v>1397</v>
      </c>
      <c r="B1398" t="s">
        <v>292</v>
      </c>
      <c r="C1398" t="s">
        <v>292</v>
      </c>
      <c r="D1398" t="s">
        <v>190</v>
      </c>
      <c r="F1398" s="1">
        <v>42860</v>
      </c>
      <c r="G1398" s="2">
        <v>58.7</v>
      </c>
      <c r="H1398" s="2"/>
      <c r="I1398" s="2">
        <f t="array" ref="I1398">_xlfn.IFNA(IF(vp.data[[#This Row],[Sulf Input]]="",INDEX([1]DATA!$Q$3:$Q$9826,MATCH(1,(vp.data[[#This Row],[Battery]]=[1]DATA!$L$3:$L$9826)*(EOMONTH(vp.data[[#This Row],[SDate]],-1)+1=[1]DATA!$G$3:$G$9826),0)),vp.data[[#This Row],[Sulf Input]]),"")</f>
        <v>0.84</v>
      </c>
      <c r="J1398" s="2"/>
      <c r="K1398" s="2"/>
      <c r="L1398" s="2">
        <v>835.4</v>
      </c>
      <c r="M1398" s="2">
        <f t="array" ref="M1398">_xlfn.IFNA(IF(vp.data[[#This Row],[Dens Input]]="",INDEX([1]DATA!$O$3:$O$9826,MATCH(1,(vp.data[[#This Row],[Battery]]=[1]DATA!$L$3:$L$9826)*(EOMONTH(vp.data[[#This Row],[SDate]],-1)+1=[1]DATA!$G$3:$G$9826),0)),vp.data[[#This Row],[Dens Input]]),"")</f>
        <v>835.4</v>
      </c>
      <c r="N1398" s="2">
        <f ca="1">INDEX(INDIRECT(_xlfn.CONCAT("weather.tbl[",N$1,"]")),MATCH(vp.data[[#This Row],[SDate]],weather.tbl[Date],0))</f>
        <v>17.383333333333333</v>
      </c>
      <c r="O1398" s="2">
        <f ca="1">INDEX(INDIRECT(_xlfn.CONCAT("weather.tbl[",O$1,"]")),MATCH(vp.data[[#This Row],[SDate]],weather.tbl[Date],0))</f>
        <v>11.080952380952382</v>
      </c>
      <c r="P1398" s="2">
        <f ca="1">INDEX(INDIRECT(_xlfn.CONCAT("weather.tbl[",P$1,"]")),MATCH(vp.data[[#This Row],[SDate]],weather.tbl[Date],0))</f>
        <v>17.8</v>
      </c>
      <c r="Q1398" s="2">
        <f ca="1">INDEX(INDIRECT(_xlfn.CONCAT("weather.tbl[",Q$1,"]")),MATCH(vp.data[[#This Row],[SDate]],weather.tbl[Date],0))</f>
        <v>16.899999999999999</v>
      </c>
      <c r="R1398" s="2">
        <f ca="1">INDEX(INDIRECT(_xlfn.CONCAT("weather.tbl[",R$1,"]")),MATCH(vp.data[[#This Row],[SDate]],weather.tbl[Date],0))</f>
        <v>17.8</v>
      </c>
      <c r="S1398" s="2">
        <f ca="1">INDEX(INDIRECT(_xlfn.CONCAT("weather.tbl[",S$1,"]")),MATCH(vp.data[[#This Row],[SDate]],weather.tbl[Date],0))</f>
        <v>17.3</v>
      </c>
      <c r="T1398" s="2">
        <f ca="1">INDEX(INDIRECT(_xlfn.CONCAT("weather.tbl[",T$1,"]")),MATCH(vp.data[[#This Row],[SDate]],weather.tbl[Date],0))</f>
        <v>15.7</v>
      </c>
      <c r="U1398" s="2">
        <f ca="1">INDEX(INDIRECT(_xlfn.CONCAT("weather.tbl[",U$1,"]")),MATCH(vp.data[[#This Row],[SDate]],weather.tbl[Date],0))</f>
        <v>18.8</v>
      </c>
      <c r="V1398" s="2">
        <f t="array" ref="V13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115.97199999999999</v>
      </c>
      <c r="W1398" t="s">
        <v>48</v>
      </c>
      <c r="X1398">
        <f>IF(OR(vp.data[[#This Row],[Sulf]]="",vp.data[[#This Row],[Dens]]=""),1,0)</f>
        <v>0</v>
      </c>
      <c r="Y1398">
        <f>IF(vp.data[[#This Row],[CrudeType]]="C5+",1,0)</f>
        <v>0</v>
      </c>
      <c r="Z1398">
        <f>IF(AND(vp.data[[#This Row],[CrudeType]]="Crude",vp.data[[#This Row],[Dens]]&lt;=825,vp.data[[#This Row],[Sulf]]&gt;0.5,vp.data[[#This Row],[Unknown]]=0),1,0)</f>
        <v>0</v>
      </c>
      <c r="AA1398">
        <f>IF(AND(vp.data[[#This Row],[CrudeType]]="Crude",vp.data[[#This Row],[Dens]]&lt;=825,vp.data[[#This Row],[Sulf]]&lt;=0.5,vp.data[[#This Row],[Unknown]]=0),1,0)</f>
        <v>0</v>
      </c>
      <c r="AB13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8">
        <f>IF(AND(vp.data[[#This Row],[CrudeType]]="Crude",vp.data[[#This Row],[Dens]]&gt;825,vp.data[[#This Row],[Dens]]&lt;=900,vp.data[[#This Row],[Sulf]]&lt;=0.5,vp.data[[#This Row],[Unknown]]=0),1,0)</f>
        <v>0</v>
      </c>
      <c r="AD1398">
        <f>IF(AND(vp.data[[#This Row],[CrudeType]]="Crude",vp.data[[#This Row],[Dens]]&gt;865,vp.data[[#This Row],[Dens]]&lt;=900,vp.data[[#This Row],[Sulf]]&gt;2,vp.data[[#This Row],[Unknown]]=0),1,0)</f>
        <v>0</v>
      </c>
      <c r="AE1398">
        <f>IF(AND(vp.data[[#This Row],[CrudeType]]="Crude",vp.data[[#This Row],[Dens]]&gt;900,vp.data[[#This Row],[Sulf]]&lt;=0.5,vp.data[[#This Row],[Unknown]]=0),1,0)</f>
        <v>0</v>
      </c>
      <c r="AF1398">
        <f>IF(AND(vp.data[[#This Row],[CrudeType]]="Crude",vp.data[[#This Row],[Dens]]&gt;900,vp.data[[#This Row],[Sulf]]&lt;=0.5,vp.data[[#This Row],[Unknown]]=0),1,0)</f>
        <v>0</v>
      </c>
      <c r="AG1398" t="str">
        <f>INDEX(vp.data[[#Headers],[Unknown]:[Heavy_SW]],MATCH(1,vp.data[[#This Row],[Unknown]:[Heavy_SW]],0))</f>
        <v>Medium_LSB</v>
      </c>
      <c r="AH1398">
        <f>INDEX([3]!crudeBD.lkup[Number],MATCH(vp.data[[#This Row],[Crude_Breakdown]],crudeBD.lkup[Crude Breakdown],0))</f>
        <v>3</v>
      </c>
      <c r="AI1398">
        <f>MONTH(vp.data[[#This Row],[SDate]])</f>
        <v>5</v>
      </c>
      <c r="AJ1398" s="5">
        <f>(vp.data[[#This Row],[VP]]-INDEX(crudeBD.lkup[Mean_VP],MATCH(vp.data[[#This Row],[Crude_Breakdown]],crudeBD.lkup[Crude Breakdown],0)))^2</f>
        <v>481.34940711270298</v>
      </c>
      <c r="AK1398" s="5">
        <f>(vp.data[[#This Row],[Dens]]-INDEX(crudeBD.lkup[Mean_Dens],MATCH(vp.data[[#This Row],[Crude_Breakdown]],crudeBD.lkup[Crude Breakdown],0)))^2</f>
        <v>72.590399999991945</v>
      </c>
      <c r="AL1398" s="5">
        <f>(vp.data[[#This Row],[Sulf]]-INDEX(crudeBD.lkup[Mean_Sulf],MATCH(vp.data[[#This Row],[Crude_Breakdown]],crudeBD.lkup[Crude Breakdown],0)))^2</f>
        <v>0.2974700246536458</v>
      </c>
      <c r="AM1398" s="4">
        <f>IF(AND(vp.data[[#This Row],[SDate]]&gt;=DATE(YEAR(vp.data[[#This Row],[SDate]]),5,1),vp.data[[#This Row],[SDate]]&lt;=DATE(YEAR(vp.data[[#This Row],[SDate]]),9,15)),1,0)</f>
        <v>1</v>
      </c>
      <c r="AN1398" s="4">
        <f>IF(vp.data[[#This Row],[SDate]]&lt;DATE(2016,12,1),0,1)</f>
        <v>1</v>
      </c>
      <c r="AO1398" s="4">
        <f>IFERROR(vp.data[[#This Row],[Sulf]]*vp.data[[#This Row],[Net Dens]],"")</f>
        <v>81381.727392000001</v>
      </c>
      <c r="AP1398">
        <f>IFERROR(vp.data[[#This Row],[Dens]]*vp.data[[#This Row],[VolumeM3]],"")</f>
        <v>96883.008799999996</v>
      </c>
      <c r="AQ1398" s="15">
        <f>IFERROR(vp.data[[#This Row],[VP]]*vp.data[[#This Row],[VolumeM3]],"")</f>
        <v>6807.5564000000004</v>
      </c>
    </row>
    <row r="1399" spans="1:43" x14ac:dyDescent="0.25">
      <c r="A1399">
        <v>1398</v>
      </c>
      <c r="B1399" t="s">
        <v>49</v>
      </c>
      <c r="C1399" t="s">
        <v>49</v>
      </c>
      <c r="D1399" t="s">
        <v>187</v>
      </c>
      <c r="F1399" s="1">
        <v>42860</v>
      </c>
      <c r="G1399" s="2">
        <v>47.7</v>
      </c>
      <c r="H1399" s="2"/>
      <c r="I1399" s="2">
        <f t="array" ref="I1399">_xlfn.IFNA(IF(vp.data[[#This Row],[Sulf Input]]="",INDEX([1]DATA!$Q$3:$Q$9826,MATCH(1,(vp.data[[#This Row],[Battery]]=[1]DATA!$L$3:$L$9826)*(EOMONTH(vp.data[[#This Row],[SDate]],-1)+1=[1]DATA!$G$3:$G$9826),0)),vp.data[[#This Row],[Sulf Input]]),"")</f>
        <v>0.88</v>
      </c>
      <c r="J1399" s="2"/>
      <c r="K1399" s="2"/>
      <c r="L1399" s="2">
        <v>839.4</v>
      </c>
      <c r="M1399" s="2">
        <f t="array" ref="M1399">_xlfn.IFNA(IF(vp.data[[#This Row],[Dens Input]]="",INDEX([1]DATA!$O$3:$O$9826,MATCH(1,(vp.data[[#This Row],[Battery]]=[1]DATA!$L$3:$L$9826)*(EOMONTH(vp.data[[#This Row],[SDate]],-1)+1=[1]DATA!$G$3:$G$9826),0)),vp.data[[#This Row],[Dens Input]]),"")</f>
        <v>839.4</v>
      </c>
      <c r="N1399" s="2">
        <f ca="1">INDEX(INDIRECT(_xlfn.CONCAT("weather.tbl[",N$1,"]")),MATCH(vp.data[[#This Row],[SDate]],weather.tbl[Date],0))</f>
        <v>17.383333333333333</v>
      </c>
      <c r="O1399" s="2">
        <f ca="1">INDEX(INDIRECT(_xlfn.CONCAT("weather.tbl[",O$1,"]")),MATCH(vp.data[[#This Row],[SDate]],weather.tbl[Date],0))</f>
        <v>11.080952380952382</v>
      </c>
      <c r="P1399" s="2">
        <f ca="1">INDEX(INDIRECT(_xlfn.CONCAT("weather.tbl[",P$1,"]")),MATCH(vp.data[[#This Row],[SDate]],weather.tbl[Date],0))</f>
        <v>17.8</v>
      </c>
      <c r="Q1399" s="2">
        <f ca="1">INDEX(INDIRECT(_xlfn.CONCAT("weather.tbl[",Q$1,"]")),MATCH(vp.data[[#This Row],[SDate]],weather.tbl[Date],0))</f>
        <v>16.899999999999999</v>
      </c>
      <c r="R1399" s="2">
        <f ca="1">INDEX(INDIRECT(_xlfn.CONCAT("weather.tbl[",R$1,"]")),MATCH(vp.data[[#This Row],[SDate]],weather.tbl[Date],0))</f>
        <v>17.8</v>
      </c>
      <c r="S1399" s="2">
        <f ca="1">INDEX(INDIRECT(_xlfn.CONCAT("weather.tbl[",S$1,"]")),MATCH(vp.data[[#This Row],[SDate]],weather.tbl[Date],0))</f>
        <v>17.3</v>
      </c>
      <c r="T1399" s="2">
        <f ca="1">INDEX(INDIRECT(_xlfn.CONCAT("weather.tbl[",T$1,"]")),MATCH(vp.data[[#This Row],[SDate]],weather.tbl[Date],0))</f>
        <v>15.7</v>
      </c>
      <c r="U1399" s="2">
        <f ca="1">INDEX(INDIRECT(_xlfn.CONCAT("weather.tbl[",U$1,"]")),MATCH(vp.data[[#This Row],[SDate]],weather.tbl[Date],0))</f>
        <v>18.8</v>
      </c>
      <c r="V1399" s="2">
        <f t="array" ref="V13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394.49599999999998</v>
      </c>
      <c r="W1399" t="s">
        <v>48</v>
      </c>
      <c r="X1399">
        <f>IF(OR(vp.data[[#This Row],[Sulf]]="",vp.data[[#This Row],[Dens]]=""),1,0)</f>
        <v>0</v>
      </c>
      <c r="Y1399">
        <f>IF(vp.data[[#This Row],[CrudeType]]="C5+",1,0)</f>
        <v>0</v>
      </c>
      <c r="Z1399">
        <f>IF(AND(vp.data[[#This Row],[CrudeType]]="Crude",vp.data[[#This Row],[Dens]]&lt;=825,vp.data[[#This Row],[Sulf]]&gt;0.5,vp.data[[#This Row],[Unknown]]=0),1,0)</f>
        <v>0</v>
      </c>
      <c r="AA1399">
        <f>IF(AND(vp.data[[#This Row],[CrudeType]]="Crude",vp.data[[#This Row],[Dens]]&lt;=825,vp.data[[#This Row],[Sulf]]&lt;=0.5,vp.data[[#This Row],[Unknown]]=0),1,0)</f>
        <v>0</v>
      </c>
      <c r="AB13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399">
        <f>IF(AND(vp.data[[#This Row],[CrudeType]]="Crude",vp.data[[#This Row],[Dens]]&gt;825,vp.data[[#This Row],[Dens]]&lt;=900,vp.data[[#This Row],[Sulf]]&lt;=0.5,vp.data[[#This Row],[Unknown]]=0),1,0)</f>
        <v>0</v>
      </c>
      <c r="AD1399">
        <f>IF(AND(vp.data[[#This Row],[CrudeType]]="Crude",vp.data[[#This Row],[Dens]]&gt;865,vp.data[[#This Row],[Dens]]&lt;=900,vp.data[[#This Row],[Sulf]]&gt;2,vp.data[[#This Row],[Unknown]]=0),1,0)</f>
        <v>0</v>
      </c>
      <c r="AE1399">
        <f>IF(AND(vp.data[[#This Row],[CrudeType]]="Crude",vp.data[[#This Row],[Dens]]&gt;900,vp.data[[#This Row],[Sulf]]&lt;=0.5,vp.data[[#This Row],[Unknown]]=0),1,0)</f>
        <v>0</v>
      </c>
      <c r="AF1399">
        <f>IF(AND(vp.data[[#This Row],[CrudeType]]="Crude",vp.data[[#This Row],[Dens]]&gt;900,vp.data[[#This Row],[Sulf]]&lt;=0.5,vp.data[[#This Row],[Unknown]]=0),1,0)</f>
        <v>0</v>
      </c>
      <c r="AG1399" t="str">
        <f>INDEX(vp.data[[#Headers],[Unknown]:[Heavy_SW]],MATCH(1,vp.data[[#This Row],[Unknown]:[Heavy_SW]],0))</f>
        <v>Medium_LSB</v>
      </c>
      <c r="AH1399">
        <f>INDEX([3]!crudeBD.lkup[Number],MATCH(vp.data[[#This Row],[Crude_Breakdown]],crudeBD.lkup[Crude Breakdown],0))</f>
        <v>3</v>
      </c>
      <c r="AI1399">
        <f>MONTH(vp.data[[#This Row],[SDate]])</f>
        <v>5</v>
      </c>
      <c r="AJ1399" s="5">
        <f>(vp.data[[#This Row],[VP]]-INDEX(crudeBD.lkup[Mean_VP],MATCH(vp.data[[#This Row],[Crude_Breakdown]],crudeBD.lkup[Crude Breakdown],0)))^2</f>
        <v>1085.0222912097363</v>
      </c>
      <c r="AK1399" s="5">
        <f>(vp.data[[#This Row],[Dens]]-INDEX(crudeBD.lkup[Mean_Dens],MATCH(vp.data[[#This Row],[Crude_Breakdown]],crudeBD.lkup[Crude Breakdown],0)))^2</f>
        <v>20.430399999995725</v>
      </c>
      <c r="AL1399" s="5">
        <f>(vp.data[[#This Row],[Sulf]]-INDEX(crudeBD.lkup[Mean_Sulf],MATCH(vp.data[[#This Row],[Crude_Breakdown]],crudeBD.lkup[Crude Breakdown],0)))^2</f>
        <v>0.25543737451887472</v>
      </c>
      <c r="AM1399" s="4">
        <f>IF(AND(vp.data[[#This Row],[SDate]]&gt;=DATE(YEAR(vp.data[[#This Row],[SDate]]),5,1),vp.data[[#This Row],[SDate]]&lt;=DATE(YEAR(vp.data[[#This Row],[SDate]]),9,15)),1,0)</f>
        <v>1</v>
      </c>
      <c r="AN1399" s="4">
        <f>IF(vp.data[[#This Row],[SDate]]&lt;DATE(2016,12,1),0,1)</f>
        <v>1</v>
      </c>
      <c r="AO1399" s="4">
        <f>IFERROR(vp.data[[#This Row],[Sulf]]*vp.data[[#This Row],[Net Dens]],"")</f>
        <v>291403.14931200002</v>
      </c>
      <c r="AP1399">
        <f>IFERROR(vp.data[[#This Row],[Dens]]*vp.data[[#This Row],[VolumeM3]],"")</f>
        <v>331139.9424</v>
      </c>
      <c r="AQ1399" s="15">
        <f>IFERROR(vp.data[[#This Row],[VP]]*vp.data[[#This Row],[VolumeM3]],"")</f>
        <v>18817.459200000001</v>
      </c>
    </row>
    <row r="1400" spans="1:43" x14ac:dyDescent="0.25">
      <c r="A1400">
        <v>1399</v>
      </c>
      <c r="B1400" t="s">
        <v>49</v>
      </c>
      <c r="C1400" t="s">
        <v>49</v>
      </c>
      <c r="D1400" t="s">
        <v>186</v>
      </c>
      <c r="F1400" s="1">
        <v>42860</v>
      </c>
      <c r="G1400" s="2">
        <v>67.5</v>
      </c>
      <c r="H1400" s="2"/>
      <c r="I1400" s="2">
        <f t="array" ref="I1400">_xlfn.IFNA(IF(vp.data[[#This Row],[Sulf Input]]="",INDEX([1]DATA!$Q$3:$Q$9826,MATCH(1,(vp.data[[#This Row],[Battery]]=[1]DATA!$L$3:$L$9826)*(EOMONTH(vp.data[[#This Row],[SDate]],-1)+1=[1]DATA!$G$3:$G$9826),0)),vp.data[[#This Row],[Sulf Input]]),"")</f>
        <v>0.93</v>
      </c>
      <c r="J1400" s="2"/>
      <c r="K1400" s="2"/>
      <c r="L1400" s="2">
        <v>835.6</v>
      </c>
      <c r="M1400" s="2">
        <f t="array" ref="M1400">_xlfn.IFNA(IF(vp.data[[#This Row],[Dens Input]]="",INDEX([1]DATA!$O$3:$O$9826,MATCH(1,(vp.data[[#This Row],[Battery]]=[1]DATA!$L$3:$L$9826)*(EOMONTH(vp.data[[#This Row],[SDate]],-1)+1=[1]DATA!$G$3:$G$9826),0)),vp.data[[#This Row],[Dens Input]]),"")</f>
        <v>835.6</v>
      </c>
      <c r="N1400" s="2">
        <f ca="1">INDEX(INDIRECT(_xlfn.CONCAT("weather.tbl[",N$1,"]")),MATCH(vp.data[[#This Row],[SDate]],weather.tbl[Date],0))</f>
        <v>17.383333333333333</v>
      </c>
      <c r="O1400" s="2">
        <f ca="1">INDEX(INDIRECT(_xlfn.CONCAT("weather.tbl[",O$1,"]")),MATCH(vp.data[[#This Row],[SDate]],weather.tbl[Date],0))</f>
        <v>11.080952380952382</v>
      </c>
      <c r="P1400" s="2">
        <f ca="1">INDEX(INDIRECT(_xlfn.CONCAT("weather.tbl[",P$1,"]")),MATCH(vp.data[[#This Row],[SDate]],weather.tbl[Date],0))</f>
        <v>17.8</v>
      </c>
      <c r="Q1400" s="2">
        <f ca="1">INDEX(INDIRECT(_xlfn.CONCAT("weather.tbl[",Q$1,"]")),MATCH(vp.data[[#This Row],[SDate]],weather.tbl[Date],0))</f>
        <v>16.899999999999999</v>
      </c>
      <c r="R1400" s="2">
        <f ca="1">INDEX(INDIRECT(_xlfn.CONCAT("weather.tbl[",R$1,"]")),MATCH(vp.data[[#This Row],[SDate]],weather.tbl[Date],0))</f>
        <v>17.8</v>
      </c>
      <c r="S1400" s="2">
        <f ca="1">INDEX(INDIRECT(_xlfn.CONCAT("weather.tbl[",S$1,"]")),MATCH(vp.data[[#This Row],[SDate]],weather.tbl[Date],0))</f>
        <v>17.3</v>
      </c>
      <c r="T1400" s="2">
        <f ca="1">INDEX(INDIRECT(_xlfn.CONCAT("weather.tbl[",T$1,"]")),MATCH(vp.data[[#This Row],[SDate]],weather.tbl[Date],0))</f>
        <v>15.7</v>
      </c>
      <c r="U1400" s="2">
        <f ca="1">INDEX(INDIRECT(_xlfn.CONCAT("weather.tbl[",U$1,"]")),MATCH(vp.data[[#This Row],[SDate]],weather.tbl[Date],0))</f>
        <v>18.8</v>
      </c>
      <c r="V1400" s="2">
        <f t="array" ref="V14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1407.4760000000001</v>
      </c>
      <c r="W1400" t="s">
        <v>48</v>
      </c>
      <c r="X1400">
        <f>IF(OR(vp.data[[#This Row],[Sulf]]="",vp.data[[#This Row],[Dens]]=""),1,0)</f>
        <v>0</v>
      </c>
      <c r="Y1400">
        <f>IF(vp.data[[#This Row],[CrudeType]]="C5+",1,0)</f>
        <v>0</v>
      </c>
      <c r="Z1400">
        <f>IF(AND(vp.data[[#This Row],[CrudeType]]="Crude",vp.data[[#This Row],[Dens]]&lt;=825,vp.data[[#This Row],[Sulf]]&gt;0.5,vp.data[[#This Row],[Unknown]]=0),1,0)</f>
        <v>0</v>
      </c>
      <c r="AA1400">
        <f>IF(AND(vp.data[[#This Row],[CrudeType]]="Crude",vp.data[[#This Row],[Dens]]&lt;=825,vp.data[[#This Row],[Sulf]]&lt;=0.5,vp.data[[#This Row],[Unknown]]=0),1,0)</f>
        <v>0</v>
      </c>
      <c r="AB14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0">
        <f>IF(AND(vp.data[[#This Row],[CrudeType]]="Crude",vp.data[[#This Row],[Dens]]&gt;825,vp.data[[#This Row],[Dens]]&lt;=900,vp.data[[#This Row],[Sulf]]&lt;=0.5,vp.data[[#This Row],[Unknown]]=0),1,0)</f>
        <v>0</v>
      </c>
      <c r="AD1400">
        <f>IF(AND(vp.data[[#This Row],[CrudeType]]="Crude",vp.data[[#This Row],[Dens]]&gt;865,vp.data[[#This Row],[Dens]]&lt;=900,vp.data[[#This Row],[Sulf]]&gt;2,vp.data[[#This Row],[Unknown]]=0),1,0)</f>
        <v>0</v>
      </c>
      <c r="AE1400">
        <f>IF(AND(vp.data[[#This Row],[CrudeType]]="Crude",vp.data[[#This Row],[Dens]]&gt;900,vp.data[[#This Row],[Sulf]]&lt;=0.5,vp.data[[#This Row],[Unknown]]=0),1,0)</f>
        <v>0</v>
      </c>
      <c r="AF1400">
        <f>IF(AND(vp.data[[#This Row],[CrudeType]]="Crude",vp.data[[#This Row],[Dens]]&gt;900,vp.data[[#This Row],[Sulf]]&lt;=0.5,vp.data[[#This Row],[Unknown]]=0),1,0)</f>
        <v>0</v>
      </c>
      <c r="AG1400" t="str">
        <f>INDEX(vp.data[[#Headers],[Unknown]:[Heavy_SW]],MATCH(1,vp.data[[#This Row],[Unknown]:[Heavy_SW]],0))</f>
        <v>Medium_LSB</v>
      </c>
      <c r="AH1400">
        <f>INDEX([3]!crudeBD.lkup[Number],MATCH(vp.data[[#This Row],[Crude_Breakdown]],crudeBD.lkup[Crude Breakdown],0))</f>
        <v>3</v>
      </c>
      <c r="AI1400">
        <f>MONTH(vp.data[[#This Row],[SDate]])</f>
        <v>5</v>
      </c>
      <c r="AJ1400" s="5">
        <f>(vp.data[[#This Row],[VP]]-INDEX(crudeBD.lkup[Mean_VP],MATCH(vp.data[[#This Row],[Crude_Breakdown]],crudeBD.lkup[Crude Breakdown],0)))^2</f>
        <v>172.65109983507634</v>
      </c>
      <c r="AK1400" s="5">
        <f>(vp.data[[#This Row],[Dens]]-INDEX(crudeBD.lkup[Mean_Dens],MATCH(vp.data[[#This Row],[Crude_Breakdown]],crudeBD.lkup[Crude Breakdown],0)))^2</f>
        <v>69.222399999991367</v>
      </c>
      <c r="AL1400" s="5">
        <f>(vp.data[[#This Row],[Sulf]]-INDEX(crudeBD.lkup[Mean_Sulf],MATCH(vp.data[[#This Row],[Crude_Breakdown]],crudeBD.lkup[Crude Breakdown],0)))^2</f>
        <v>0.20739656185041092</v>
      </c>
      <c r="AM1400" s="4">
        <f>IF(AND(vp.data[[#This Row],[SDate]]&gt;=DATE(YEAR(vp.data[[#This Row],[SDate]]),5,1),vp.data[[#This Row],[SDate]]&lt;=DATE(YEAR(vp.data[[#This Row],[SDate]]),9,15)),1,0)</f>
        <v>1</v>
      </c>
      <c r="AN1400" s="4">
        <f>IF(vp.data[[#This Row],[SDate]]&lt;DATE(2016,12,1),0,1)</f>
        <v>1</v>
      </c>
      <c r="AO1400" s="4">
        <f>IFERROR(vp.data[[#This Row],[Sulf]]*vp.data[[#This Row],[Net Dens]],"")</f>
        <v>1093760.8594080003</v>
      </c>
      <c r="AP1400">
        <f>IFERROR(vp.data[[#This Row],[Dens]]*vp.data[[#This Row],[VolumeM3]],"")</f>
        <v>1176086.9456000002</v>
      </c>
      <c r="AQ1400" s="15">
        <f>IFERROR(vp.data[[#This Row],[VP]]*vp.data[[#This Row],[VolumeM3]],"")</f>
        <v>95004.63</v>
      </c>
    </row>
    <row r="1401" spans="1:43" x14ac:dyDescent="0.25">
      <c r="A1401">
        <v>1400</v>
      </c>
      <c r="B1401" t="s">
        <v>51</v>
      </c>
      <c r="C1401" t="s">
        <v>51</v>
      </c>
      <c r="D1401" t="s">
        <v>294</v>
      </c>
      <c r="F1401" s="1">
        <v>42861</v>
      </c>
      <c r="G1401" s="2">
        <v>55.9</v>
      </c>
      <c r="H1401" s="2"/>
      <c r="I1401" s="2">
        <f t="array" ref="I1401">_xlfn.IFNA(IF(vp.data[[#This Row],[Sulf Input]]="",INDEX([1]DATA!$Q$3:$Q$9826,MATCH(1,(vp.data[[#This Row],[Battery]]=[1]DATA!$L$3:$L$9826)*(EOMONTH(vp.data[[#This Row],[SDate]],-1)+1=[1]DATA!$G$3:$G$9826),0)),vp.data[[#This Row],[Sulf Input]]),"")</f>
        <v>2.06</v>
      </c>
      <c r="J1401" s="2"/>
      <c r="K1401" s="2"/>
      <c r="L1401" s="2">
        <v>874.3</v>
      </c>
      <c r="M1401" s="2">
        <f t="array" ref="M1401">_xlfn.IFNA(IF(vp.data[[#This Row],[Dens Input]]="",INDEX([1]DATA!$O$3:$O$9826,MATCH(1,(vp.data[[#This Row],[Battery]]=[1]DATA!$L$3:$L$9826)*(EOMONTH(vp.data[[#This Row],[SDate]],-1)+1=[1]DATA!$G$3:$G$9826),0)),vp.data[[#This Row],[Dens Input]]),"")</f>
        <v>874.3</v>
      </c>
      <c r="N1401" s="2">
        <f ca="1">INDEX(INDIRECT(_xlfn.CONCAT("weather.tbl[",N$1,"]")),MATCH(vp.data[[#This Row],[SDate]],weather.tbl[Date],0))</f>
        <v>18.116666666666667</v>
      </c>
      <c r="O1401" s="2">
        <f ca="1">INDEX(INDIRECT(_xlfn.CONCAT("weather.tbl[",O$1,"]")),MATCH(vp.data[[#This Row],[SDate]],weather.tbl[Date],0))</f>
        <v>12.52857142857143</v>
      </c>
      <c r="P1401" s="2">
        <f ca="1">INDEX(INDIRECT(_xlfn.CONCAT("weather.tbl[",P$1,"]")),MATCH(vp.data[[#This Row],[SDate]],weather.tbl[Date],0))</f>
        <v>18.8</v>
      </c>
      <c r="Q1401" s="2">
        <f ca="1">INDEX(INDIRECT(_xlfn.CONCAT("weather.tbl[",Q$1,"]")),MATCH(vp.data[[#This Row],[SDate]],weather.tbl[Date],0))</f>
        <v>19.8</v>
      </c>
      <c r="R1401" s="2">
        <f ca="1">INDEX(INDIRECT(_xlfn.CONCAT("weather.tbl[",R$1,"]")),MATCH(vp.data[[#This Row],[SDate]],weather.tbl[Date],0))</f>
        <v>16.8</v>
      </c>
      <c r="S1401" s="2">
        <f ca="1">INDEX(INDIRECT(_xlfn.CONCAT("weather.tbl[",S$1,"]")),MATCH(vp.data[[#This Row],[SDate]],weather.tbl[Date],0))</f>
        <v>20.7</v>
      </c>
      <c r="T1401" s="2">
        <f ca="1">INDEX(INDIRECT(_xlfn.CONCAT("weather.tbl[",T$1,"]")),MATCH(vp.data[[#This Row],[SDate]],weather.tbl[Date],0))</f>
        <v>15.8</v>
      </c>
      <c r="U1401" s="2">
        <f ca="1">INDEX(INDIRECT(_xlfn.CONCAT("weather.tbl[",U$1,"]")),MATCH(vp.data[[#This Row],[SDate]],weather.tbl[Date],0))</f>
        <v>16.8</v>
      </c>
      <c r="V1401" s="2">
        <f t="array" ref="V14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2097.0050000000001</v>
      </c>
      <c r="W1401" t="s">
        <v>48</v>
      </c>
      <c r="X1401">
        <f>IF(OR(vp.data[[#This Row],[Sulf]]="",vp.data[[#This Row],[Dens]]=""),1,0)</f>
        <v>0</v>
      </c>
      <c r="Y1401">
        <f>IF(vp.data[[#This Row],[CrudeType]]="C5+",1,0)</f>
        <v>0</v>
      </c>
      <c r="Z1401">
        <f>IF(AND(vp.data[[#This Row],[CrudeType]]="Crude",vp.data[[#This Row],[Dens]]&lt;=825,vp.data[[#This Row],[Sulf]]&gt;0.5,vp.data[[#This Row],[Unknown]]=0),1,0)</f>
        <v>0</v>
      </c>
      <c r="AA1401">
        <f>IF(AND(vp.data[[#This Row],[CrudeType]]="Crude",vp.data[[#This Row],[Dens]]&lt;=825,vp.data[[#This Row],[Sulf]]&lt;=0.5,vp.data[[#This Row],[Unknown]]=0),1,0)</f>
        <v>0</v>
      </c>
      <c r="AB14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01">
        <f>IF(AND(vp.data[[#This Row],[CrudeType]]="Crude",vp.data[[#This Row],[Dens]]&gt;825,vp.data[[#This Row],[Dens]]&lt;=900,vp.data[[#This Row],[Sulf]]&lt;=0.5,vp.data[[#This Row],[Unknown]]=0),1,0)</f>
        <v>0</v>
      </c>
      <c r="AD1401">
        <f>IF(AND(vp.data[[#This Row],[CrudeType]]="Crude",vp.data[[#This Row],[Dens]]&gt;865,vp.data[[#This Row],[Dens]]&lt;=900,vp.data[[#This Row],[Sulf]]&gt;2,vp.data[[#This Row],[Unknown]]=0),1,0)</f>
        <v>1</v>
      </c>
      <c r="AE1401">
        <f>IF(AND(vp.data[[#This Row],[CrudeType]]="Crude",vp.data[[#This Row],[Dens]]&gt;900,vp.data[[#This Row],[Sulf]]&lt;=0.5,vp.data[[#This Row],[Unknown]]=0),1,0)</f>
        <v>0</v>
      </c>
      <c r="AF1401">
        <f>IF(AND(vp.data[[#This Row],[CrudeType]]="Crude",vp.data[[#This Row],[Dens]]&gt;900,vp.data[[#This Row],[Sulf]]&lt;=0.5,vp.data[[#This Row],[Unknown]]=0),1,0)</f>
        <v>0</v>
      </c>
      <c r="AG1401" t="str">
        <f>INDEX(vp.data[[#Headers],[Unknown]:[Heavy_SW]],MATCH(1,vp.data[[#This Row],[Unknown]:[Heavy_SW]],0))</f>
        <v>Midale</v>
      </c>
      <c r="AH1401">
        <f>INDEX([3]!crudeBD.lkup[Number],MATCH(vp.data[[#This Row],[Crude_Breakdown]],crudeBD.lkup[Crude Breakdown],0))</f>
        <v>5</v>
      </c>
      <c r="AI1401">
        <f>MONTH(vp.data[[#This Row],[SDate]])</f>
        <v>5</v>
      </c>
      <c r="AJ1401" s="5">
        <f>(vp.data[[#This Row],[VP]]-INDEX(crudeBD.lkup[Mean_VP],MATCH(vp.data[[#This Row],[Crude_Breakdown]],crudeBD.lkup[Crude Breakdown],0)))^2</f>
        <v>182.48667472632675</v>
      </c>
      <c r="AK1401" s="5">
        <f>(vp.data[[#This Row],[Dens]]-INDEX(crudeBD.lkup[Mean_Dens],MATCH(vp.data[[#This Row],[Crude_Breakdown]],crudeBD.lkup[Crude Breakdown],0)))^2</f>
        <v>0.26729965990046017</v>
      </c>
      <c r="AL1401" s="5">
        <f>(vp.data[[#This Row],[Sulf]]-INDEX(crudeBD.lkup[Mean_Sulf],MATCH(vp.data[[#This Row],[Crude_Breakdown]],crudeBD.lkup[Crude Breakdown],0)))^2</f>
        <v>0.14716090325264</v>
      </c>
      <c r="AM1401" s="4">
        <f>IF(AND(vp.data[[#This Row],[SDate]]&gt;=DATE(YEAR(vp.data[[#This Row],[SDate]]),5,1),vp.data[[#This Row],[SDate]]&lt;=DATE(YEAR(vp.data[[#This Row],[SDate]]),9,15)),1,0)</f>
        <v>1</v>
      </c>
      <c r="AN1401" s="4">
        <f>IF(vp.data[[#This Row],[SDate]]&lt;DATE(2016,12,1),0,1)</f>
        <v>1</v>
      </c>
      <c r="AO1401" s="4">
        <f>IFERROR(vp.data[[#This Row],[Sulf]]*vp.data[[#This Row],[Net Dens]],"")</f>
        <v>3776827.6312899999</v>
      </c>
      <c r="AP1401">
        <f>IFERROR(vp.data[[#This Row],[Dens]]*vp.data[[#This Row],[VolumeM3]],"")</f>
        <v>1833411.4715</v>
      </c>
      <c r="AQ1401" s="15">
        <f>IFERROR(vp.data[[#This Row],[VP]]*vp.data[[#This Row],[VolumeM3]],"")</f>
        <v>117222.57950000001</v>
      </c>
    </row>
    <row r="1402" spans="1:43" x14ac:dyDescent="0.25">
      <c r="A1402">
        <v>1401</v>
      </c>
      <c r="B1402" t="s">
        <v>49</v>
      </c>
      <c r="C1402" t="s">
        <v>49</v>
      </c>
      <c r="D1402" t="s">
        <v>174</v>
      </c>
      <c r="F1402" s="1">
        <v>42861</v>
      </c>
      <c r="G1402" s="2">
        <v>82</v>
      </c>
      <c r="H1402" s="2"/>
      <c r="I1402" s="2">
        <f t="array" ref="I1402">_xlfn.IFNA(IF(vp.data[[#This Row],[Sulf Input]]="",INDEX([1]DATA!$Q$3:$Q$9826,MATCH(1,(vp.data[[#This Row],[Battery]]=[1]DATA!$L$3:$L$9826)*(EOMONTH(vp.data[[#This Row],[SDate]],-1)+1=[1]DATA!$G$3:$G$9826),0)),vp.data[[#This Row],[Sulf Input]]),"")</f>
        <v>1.08</v>
      </c>
      <c r="J1402" s="2"/>
      <c r="K1402" s="2"/>
      <c r="L1402" s="2">
        <v>839.4</v>
      </c>
      <c r="M1402" s="2">
        <f t="array" ref="M1402">_xlfn.IFNA(IF(vp.data[[#This Row],[Dens Input]]="",INDEX([1]DATA!$O$3:$O$9826,MATCH(1,(vp.data[[#This Row],[Battery]]=[1]DATA!$L$3:$L$9826)*(EOMONTH(vp.data[[#This Row],[SDate]],-1)+1=[1]DATA!$G$3:$G$9826),0)),vp.data[[#This Row],[Dens Input]]),"")</f>
        <v>839.4</v>
      </c>
      <c r="N1402" s="2">
        <f ca="1">INDEX(INDIRECT(_xlfn.CONCAT("weather.tbl[",N$1,"]")),MATCH(vp.data[[#This Row],[SDate]],weather.tbl[Date],0))</f>
        <v>18.116666666666667</v>
      </c>
      <c r="O1402" s="2">
        <f ca="1">INDEX(INDIRECT(_xlfn.CONCAT("weather.tbl[",O$1,"]")),MATCH(vp.data[[#This Row],[SDate]],weather.tbl[Date],0))</f>
        <v>12.52857142857143</v>
      </c>
      <c r="P1402" s="2">
        <f ca="1">INDEX(INDIRECT(_xlfn.CONCAT("weather.tbl[",P$1,"]")),MATCH(vp.data[[#This Row],[SDate]],weather.tbl[Date],0))</f>
        <v>18.8</v>
      </c>
      <c r="Q1402" s="2">
        <f ca="1">INDEX(INDIRECT(_xlfn.CONCAT("weather.tbl[",Q$1,"]")),MATCH(vp.data[[#This Row],[SDate]],weather.tbl[Date],0))</f>
        <v>19.8</v>
      </c>
      <c r="R1402" s="2">
        <f ca="1">INDEX(INDIRECT(_xlfn.CONCAT("weather.tbl[",R$1,"]")),MATCH(vp.data[[#This Row],[SDate]],weather.tbl[Date],0))</f>
        <v>16.8</v>
      </c>
      <c r="S1402" s="2">
        <f ca="1">INDEX(INDIRECT(_xlfn.CONCAT("weather.tbl[",S$1,"]")),MATCH(vp.data[[#This Row],[SDate]],weather.tbl[Date],0))</f>
        <v>20.7</v>
      </c>
      <c r="T1402" s="2">
        <f ca="1">INDEX(INDIRECT(_xlfn.CONCAT("weather.tbl[",T$1,"]")),MATCH(vp.data[[#This Row],[SDate]],weather.tbl[Date],0))</f>
        <v>15.8</v>
      </c>
      <c r="U1402" s="2">
        <f ca="1">INDEX(INDIRECT(_xlfn.CONCAT("weather.tbl[",U$1,"]")),MATCH(vp.data[[#This Row],[SDate]],weather.tbl[Date],0))</f>
        <v>16.8</v>
      </c>
      <c r="V1402" s="2">
        <f t="array" ref="V14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1061.461</v>
      </c>
      <c r="W1402" t="s">
        <v>48</v>
      </c>
      <c r="X1402">
        <f>IF(OR(vp.data[[#This Row],[Sulf]]="",vp.data[[#This Row],[Dens]]=""),1,0)</f>
        <v>0</v>
      </c>
      <c r="Y1402">
        <f>IF(vp.data[[#This Row],[CrudeType]]="C5+",1,0)</f>
        <v>0</v>
      </c>
      <c r="Z1402">
        <f>IF(AND(vp.data[[#This Row],[CrudeType]]="Crude",vp.data[[#This Row],[Dens]]&lt;=825,vp.data[[#This Row],[Sulf]]&gt;0.5,vp.data[[#This Row],[Unknown]]=0),1,0)</f>
        <v>0</v>
      </c>
      <c r="AA1402">
        <f>IF(AND(vp.data[[#This Row],[CrudeType]]="Crude",vp.data[[#This Row],[Dens]]&lt;=825,vp.data[[#This Row],[Sulf]]&lt;=0.5,vp.data[[#This Row],[Unknown]]=0),1,0)</f>
        <v>0</v>
      </c>
      <c r="AB14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2">
        <f>IF(AND(vp.data[[#This Row],[CrudeType]]="Crude",vp.data[[#This Row],[Dens]]&gt;825,vp.data[[#This Row],[Dens]]&lt;=900,vp.data[[#This Row],[Sulf]]&lt;=0.5,vp.data[[#This Row],[Unknown]]=0),1,0)</f>
        <v>0</v>
      </c>
      <c r="AD1402">
        <f>IF(AND(vp.data[[#This Row],[CrudeType]]="Crude",vp.data[[#This Row],[Dens]]&gt;865,vp.data[[#This Row],[Dens]]&lt;=900,vp.data[[#This Row],[Sulf]]&gt;2,vp.data[[#This Row],[Unknown]]=0),1,0)</f>
        <v>0</v>
      </c>
      <c r="AE1402">
        <f>IF(AND(vp.data[[#This Row],[CrudeType]]="Crude",vp.data[[#This Row],[Dens]]&gt;900,vp.data[[#This Row],[Sulf]]&lt;=0.5,vp.data[[#This Row],[Unknown]]=0),1,0)</f>
        <v>0</v>
      </c>
      <c r="AF1402">
        <f>IF(AND(vp.data[[#This Row],[CrudeType]]="Crude",vp.data[[#This Row],[Dens]]&gt;900,vp.data[[#This Row],[Sulf]]&lt;=0.5,vp.data[[#This Row],[Unknown]]=0),1,0)</f>
        <v>0</v>
      </c>
      <c r="AG1402" t="str">
        <f>INDEX(vp.data[[#Headers],[Unknown]:[Heavy_SW]],MATCH(1,vp.data[[#This Row],[Unknown]:[Heavy_SW]],0))</f>
        <v>Medium_LSB</v>
      </c>
      <c r="AH1402">
        <f>INDEX([3]!crudeBD.lkup[Number],MATCH(vp.data[[#This Row],[Crude_Breakdown]],crudeBD.lkup[Crude Breakdown],0))</f>
        <v>3</v>
      </c>
      <c r="AI1402">
        <f>MONTH(vp.data[[#This Row],[SDate]])</f>
        <v>5</v>
      </c>
      <c r="AJ1402" s="5">
        <f>(vp.data[[#This Row],[VP]]-INDEX(crudeBD.lkup[Mean_VP],MATCH(vp.data[[#This Row],[Crude_Breakdown]],crudeBD.lkup[Crude Breakdown],0)))^2</f>
        <v>1.8504798889867613</v>
      </c>
      <c r="AK1402" s="5">
        <f>(vp.data[[#This Row],[Dens]]-INDEX(crudeBD.lkup[Mean_Dens],MATCH(vp.data[[#This Row],[Crude_Breakdown]],crudeBD.lkup[Crude Breakdown],0)))^2</f>
        <v>20.430399999995725</v>
      </c>
      <c r="AL1402" s="5">
        <f>(vp.data[[#This Row],[Sulf]]-INDEX(crudeBD.lkup[Mean_Sulf],MATCH(vp.data[[#This Row],[Crude_Breakdown]],crudeBD.lkup[Crude Breakdown],0)))^2</f>
        <v>9.3274123845019638E-2</v>
      </c>
      <c r="AM1402" s="4">
        <f>IF(AND(vp.data[[#This Row],[SDate]]&gt;=DATE(YEAR(vp.data[[#This Row],[SDate]]),5,1),vp.data[[#This Row],[SDate]]&lt;=DATE(YEAR(vp.data[[#This Row],[SDate]]),9,15)),1,0)</f>
        <v>1</v>
      </c>
      <c r="AN1402" s="4">
        <f>IF(vp.data[[#This Row],[SDate]]&lt;DATE(2016,12,1),0,1)</f>
        <v>1</v>
      </c>
      <c r="AO1402" s="4">
        <f>IFERROR(vp.data[[#This Row],[Sulf]]*vp.data[[#This Row],[Net Dens]],"")</f>
        <v>962269.59247200005</v>
      </c>
      <c r="AP1402">
        <f>IFERROR(vp.data[[#This Row],[Dens]]*vp.data[[#This Row],[VolumeM3]],"")</f>
        <v>890990.36340000003</v>
      </c>
      <c r="AQ1402" s="15">
        <f>IFERROR(vp.data[[#This Row],[VP]]*vp.data[[#This Row],[VolumeM3]],"")</f>
        <v>87039.801999999996</v>
      </c>
    </row>
    <row r="1403" spans="1:43" x14ac:dyDescent="0.25">
      <c r="A1403">
        <v>1402</v>
      </c>
      <c r="B1403" t="s">
        <v>51</v>
      </c>
      <c r="C1403" t="s">
        <v>51</v>
      </c>
      <c r="D1403" t="s">
        <v>177</v>
      </c>
      <c r="F1403" s="1">
        <v>42861</v>
      </c>
      <c r="G1403" s="2">
        <v>77.3</v>
      </c>
      <c r="H1403" s="2"/>
      <c r="I1403" s="2">
        <f t="array" ref="I1403">_xlfn.IFNA(IF(vp.data[[#This Row],[Sulf Input]]="",INDEX([1]DATA!$Q$3:$Q$9826,MATCH(1,(vp.data[[#This Row],[Battery]]=[1]DATA!$L$3:$L$9826)*(EOMONTH(vp.data[[#This Row],[SDate]],-1)+1=[1]DATA!$G$3:$G$9826),0)),vp.data[[#This Row],[Sulf Input]]),"")</f>
        <v>1.33</v>
      </c>
      <c r="J1403" s="2"/>
      <c r="K1403" s="2"/>
      <c r="L1403" s="2">
        <v>850.1</v>
      </c>
      <c r="M1403" s="2">
        <f t="array" ref="M1403">_xlfn.IFNA(IF(vp.data[[#This Row],[Dens Input]]="",INDEX([1]DATA!$O$3:$O$9826,MATCH(1,(vp.data[[#This Row],[Battery]]=[1]DATA!$L$3:$L$9826)*(EOMONTH(vp.data[[#This Row],[SDate]],-1)+1=[1]DATA!$G$3:$G$9826),0)),vp.data[[#This Row],[Dens Input]]),"")</f>
        <v>850.1</v>
      </c>
      <c r="N1403" s="2">
        <f ca="1">INDEX(INDIRECT(_xlfn.CONCAT("weather.tbl[",N$1,"]")),MATCH(vp.data[[#This Row],[SDate]],weather.tbl[Date],0))</f>
        <v>18.116666666666667</v>
      </c>
      <c r="O1403" s="2">
        <f ca="1">INDEX(INDIRECT(_xlfn.CONCAT("weather.tbl[",O$1,"]")),MATCH(vp.data[[#This Row],[SDate]],weather.tbl[Date],0))</f>
        <v>12.52857142857143</v>
      </c>
      <c r="P1403" s="2">
        <f ca="1">INDEX(INDIRECT(_xlfn.CONCAT("weather.tbl[",P$1,"]")),MATCH(vp.data[[#This Row],[SDate]],weather.tbl[Date],0))</f>
        <v>18.8</v>
      </c>
      <c r="Q1403" s="2">
        <f ca="1">INDEX(INDIRECT(_xlfn.CONCAT("weather.tbl[",Q$1,"]")),MATCH(vp.data[[#This Row],[SDate]],weather.tbl[Date],0))</f>
        <v>19.8</v>
      </c>
      <c r="R1403" s="2">
        <f ca="1">INDEX(INDIRECT(_xlfn.CONCAT("weather.tbl[",R$1,"]")),MATCH(vp.data[[#This Row],[SDate]],weather.tbl[Date],0))</f>
        <v>16.8</v>
      </c>
      <c r="S1403" s="2">
        <f ca="1">INDEX(INDIRECT(_xlfn.CONCAT("weather.tbl[",S$1,"]")),MATCH(vp.data[[#This Row],[SDate]],weather.tbl[Date],0))</f>
        <v>20.7</v>
      </c>
      <c r="T1403" s="2">
        <f ca="1">INDEX(INDIRECT(_xlfn.CONCAT("weather.tbl[",T$1,"]")),MATCH(vp.data[[#This Row],[SDate]],weather.tbl[Date],0))</f>
        <v>15.8</v>
      </c>
      <c r="U1403" s="2">
        <f ca="1">INDEX(INDIRECT(_xlfn.CONCAT("weather.tbl[",U$1,"]")),MATCH(vp.data[[#This Row],[SDate]],weather.tbl[Date],0))</f>
        <v>16.8</v>
      </c>
      <c r="V1403" s="2">
        <f t="array" ref="V14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243.32300000000001</v>
      </c>
      <c r="W1403" t="s">
        <v>48</v>
      </c>
      <c r="X1403">
        <f>IF(OR(vp.data[[#This Row],[Sulf]]="",vp.data[[#This Row],[Dens]]=""),1,0)</f>
        <v>0</v>
      </c>
      <c r="Y1403">
        <f>IF(vp.data[[#This Row],[CrudeType]]="C5+",1,0)</f>
        <v>0</v>
      </c>
      <c r="Z1403">
        <f>IF(AND(vp.data[[#This Row],[CrudeType]]="Crude",vp.data[[#This Row],[Dens]]&lt;=825,vp.data[[#This Row],[Sulf]]&gt;0.5,vp.data[[#This Row],[Unknown]]=0),1,0)</f>
        <v>0</v>
      </c>
      <c r="AA1403">
        <f>IF(AND(vp.data[[#This Row],[CrudeType]]="Crude",vp.data[[#This Row],[Dens]]&lt;=825,vp.data[[#This Row],[Sulf]]&lt;=0.5,vp.data[[#This Row],[Unknown]]=0),1,0)</f>
        <v>0</v>
      </c>
      <c r="AB14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3">
        <f>IF(AND(vp.data[[#This Row],[CrudeType]]="Crude",vp.data[[#This Row],[Dens]]&gt;825,vp.data[[#This Row],[Dens]]&lt;=900,vp.data[[#This Row],[Sulf]]&lt;=0.5,vp.data[[#This Row],[Unknown]]=0),1,0)</f>
        <v>0</v>
      </c>
      <c r="AD1403">
        <f>IF(AND(vp.data[[#This Row],[CrudeType]]="Crude",vp.data[[#This Row],[Dens]]&gt;865,vp.data[[#This Row],[Dens]]&lt;=900,vp.data[[#This Row],[Sulf]]&gt;2,vp.data[[#This Row],[Unknown]]=0),1,0)</f>
        <v>0</v>
      </c>
      <c r="AE1403">
        <f>IF(AND(vp.data[[#This Row],[CrudeType]]="Crude",vp.data[[#This Row],[Dens]]&gt;900,vp.data[[#This Row],[Sulf]]&lt;=0.5,vp.data[[#This Row],[Unknown]]=0),1,0)</f>
        <v>0</v>
      </c>
      <c r="AF1403">
        <f>IF(AND(vp.data[[#This Row],[CrudeType]]="Crude",vp.data[[#This Row],[Dens]]&gt;900,vp.data[[#This Row],[Sulf]]&lt;=0.5,vp.data[[#This Row],[Unknown]]=0),1,0)</f>
        <v>0</v>
      </c>
      <c r="AG1403" t="str">
        <f>INDEX(vp.data[[#Headers],[Unknown]:[Heavy_SW]],MATCH(1,vp.data[[#This Row],[Unknown]:[Heavy_SW]],0))</f>
        <v>Medium_LSB</v>
      </c>
      <c r="AH1403">
        <f>INDEX([3]!crudeBD.lkup[Number],MATCH(vp.data[[#This Row],[Crude_Breakdown]],crudeBD.lkup[Crude Breakdown],0))</f>
        <v>3</v>
      </c>
      <c r="AI1403">
        <f>MONTH(vp.data[[#This Row],[SDate]])</f>
        <v>5</v>
      </c>
      <c r="AJ1403" s="5">
        <f>(vp.data[[#This Row],[VP]]-INDEX(crudeBD.lkup[Mean_VP],MATCH(vp.data[[#This Row],[Crude_Breakdown]],crudeBD.lkup[Crude Breakdown],0)))^2</f>
        <v>11.15343945771926</v>
      </c>
      <c r="AK1403" s="5">
        <f>(vp.data[[#This Row],[Dens]]-INDEX(crudeBD.lkup[Mean_Dens],MATCH(vp.data[[#This Row],[Crude_Breakdown]],crudeBD.lkup[Crude Breakdown],0)))^2</f>
        <v>38.192400000006408</v>
      </c>
      <c r="AL1403" s="5">
        <f>(vp.data[[#This Row],[Sulf]]-INDEX(crudeBD.lkup[Mean_Sulf],MATCH(vp.data[[#This Row],[Crude_Breakdown]],crudeBD.lkup[Crude Breakdown],0)))^2</f>
        <v>3.0700605027008461E-3</v>
      </c>
      <c r="AM1403" s="4">
        <f>IF(AND(vp.data[[#This Row],[SDate]]&gt;=DATE(YEAR(vp.data[[#This Row],[SDate]]),5,1),vp.data[[#This Row],[SDate]]&lt;=DATE(YEAR(vp.data[[#This Row],[SDate]]),9,15)),1,0)</f>
        <v>1</v>
      </c>
      <c r="AN1403" s="4">
        <f>IF(vp.data[[#This Row],[SDate]]&lt;DATE(2016,12,1),0,1)</f>
        <v>1</v>
      </c>
      <c r="AO1403" s="4">
        <f>IFERROR(vp.data[[#This Row],[Sulf]]*vp.data[[#This Row],[Net Dens]],"")</f>
        <v>275109.01345900004</v>
      </c>
      <c r="AP1403">
        <f>IFERROR(vp.data[[#This Row],[Dens]]*vp.data[[#This Row],[VolumeM3]],"")</f>
        <v>206848.8823</v>
      </c>
      <c r="AQ1403" s="15">
        <f>IFERROR(vp.data[[#This Row],[VP]]*vp.data[[#This Row],[VolumeM3]],"")</f>
        <v>18808.867900000001</v>
      </c>
    </row>
    <row r="1404" spans="1:43" x14ac:dyDescent="0.25">
      <c r="A1404">
        <v>1403</v>
      </c>
      <c r="B1404" t="s">
        <v>183</v>
      </c>
      <c r="C1404" t="s">
        <v>183</v>
      </c>
      <c r="D1404" t="s">
        <v>295</v>
      </c>
      <c r="F1404" s="1">
        <v>42861</v>
      </c>
      <c r="G1404" s="2">
        <v>36.4</v>
      </c>
      <c r="H1404" s="2"/>
      <c r="I1404" s="2">
        <f t="array" ref="I1404">_xlfn.IFNA(IF(vp.data[[#This Row],[Sulf Input]]="",INDEX([1]DATA!$Q$3:$Q$9826,MATCH(1,(vp.data[[#This Row],[Battery]]=[1]DATA!$L$3:$L$9826)*(EOMONTH(vp.data[[#This Row],[SDate]],-1)+1=[1]DATA!$G$3:$G$9826),0)),vp.data[[#This Row],[Sulf Input]]),"")</f>
        <v>1.04</v>
      </c>
      <c r="J1404" s="2"/>
      <c r="K1404" s="2"/>
      <c r="L1404" s="2">
        <v>846.3</v>
      </c>
      <c r="M1404" s="2">
        <f t="array" ref="M1404">_xlfn.IFNA(IF(vp.data[[#This Row],[Dens Input]]="",INDEX([1]DATA!$O$3:$O$9826,MATCH(1,(vp.data[[#This Row],[Battery]]=[1]DATA!$L$3:$L$9826)*(EOMONTH(vp.data[[#This Row],[SDate]],-1)+1=[1]DATA!$G$3:$G$9826),0)),vp.data[[#This Row],[Dens Input]]),"")</f>
        <v>846.3</v>
      </c>
      <c r="N1404" s="2">
        <f ca="1">INDEX(INDIRECT(_xlfn.CONCAT("weather.tbl[",N$1,"]")),MATCH(vp.data[[#This Row],[SDate]],weather.tbl[Date],0))</f>
        <v>18.116666666666667</v>
      </c>
      <c r="O1404" s="2">
        <f ca="1">INDEX(INDIRECT(_xlfn.CONCAT("weather.tbl[",O$1,"]")),MATCH(vp.data[[#This Row],[SDate]],weather.tbl[Date],0))</f>
        <v>12.52857142857143</v>
      </c>
      <c r="P1404" s="2">
        <f ca="1">INDEX(INDIRECT(_xlfn.CONCAT("weather.tbl[",P$1,"]")),MATCH(vp.data[[#This Row],[SDate]],weather.tbl[Date],0))</f>
        <v>18.8</v>
      </c>
      <c r="Q1404" s="2">
        <f ca="1">INDEX(INDIRECT(_xlfn.CONCAT("weather.tbl[",Q$1,"]")),MATCH(vp.data[[#This Row],[SDate]],weather.tbl[Date],0))</f>
        <v>19.8</v>
      </c>
      <c r="R1404" s="2">
        <f ca="1">INDEX(INDIRECT(_xlfn.CONCAT("weather.tbl[",R$1,"]")),MATCH(vp.data[[#This Row],[SDate]],weather.tbl[Date],0))</f>
        <v>16.8</v>
      </c>
      <c r="S1404" s="2">
        <f ca="1">INDEX(INDIRECT(_xlfn.CONCAT("weather.tbl[",S$1,"]")),MATCH(vp.data[[#This Row],[SDate]],weather.tbl[Date],0))</f>
        <v>20.7</v>
      </c>
      <c r="T1404" s="2">
        <f ca="1">INDEX(INDIRECT(_xlfn.CONCAT("weather.tbl[",T$1,"]")),MATCH(vp.data[[#This Row],[SDate]],weather.tbl[Date],0))</f>
        <v>15.8</v>
      </c>
      <c r="U1404" s="2">
        <f ca="1">INDEX(INDIRECT(_xlfn.CONCAT("weather.tbl[",U$1,"]")),MATCH(vp.data[[#This Row],[SDate]],weather.tbl[Date],0))</f>
        <v>16.8</v>
      </c>
      <c r="V1404" s="2">
        <f t="array" ref="V14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43.16</v>
      </c>
      <c r="W1404" t="s">
        <v>48</v>
      </c>
      <c r="X1404">
        <f>IF(OR(vp.data[[#This Row],[Sulf]]="",vp.data[[#This Row],[Dens]]=""),1,0)</f>
        <v>0</v>
      </c>
      <c r="Y1404">
        <f>IF(vp.data[[#This Row],[CrudeType]]="C5+",1,0)</f>
        <v>0</v>
      </c>
      <c r="Z1404">
        <f>IF(AND(vp.data[[#This Row],[CrudeType]]="Crude",vp.data[[#This Row],[Dens]]&lt;=825,vp.data[[#This Row],[Sulf]]&gt;0.5,vp.data[[#This Row],[Unknown]]=0),1,0)</f>
        <v>0</v>
      </c>
      <c r="AA1404">
        <f>IF(AND(vp.data[[#This Row],[CrudeType]]="Crude",vp.data[[#This Row],[Dens]]&lt;=825,vp.data[[#This Row],[Sulf]]&lt;=0.5,vp.data[[#This Row],[Unknown]]=0),1,0)</f>
        <v>0</v>
      </c>
      <c r="AB14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4">
        <f>IF(AND(vp.data[[#This Row],[CrudeType]]="Crude",vp.data[[#This Row],[Dens]]&gt;825,vp.data[[#This Row],[Dens]]&lt;=900,vp.data[[#This Row],[Sulf]]&lt;=0.5,vp.data[[#This Row],[Unknown]]=0),1,0)</f>
        <v>0</v>
      </c>
      <c r="AD1404">
        <f>IF(AND(vp.data[[#This Row],[CrudeType]]="Crude",vp.data[[#This Row],[Dens]]&gt;865,vp.data[[#This Row],[Dens]]&lt;=900,vp.data[[#This Row],[Sulf]]&gt;2,vp.data[[#This Row],[Unknown]]=0),1,0)</f>
        <v>0</v>
      </c>
      <c r="AE1404">
        <f>IF(AND(vp.data[[#This Row],[CrudeType]]="Crude",vp.data[[#This Row],[Dens]]&gt;900,vp.data[[#This Row],[Sulf]]&lt;=0.5,vp.data[[#This Row],[Unknown]]=0),1,0)</f>
        <v>0</v>
      </c>
      <c r="AF1404">
        <f>IF(AND(vp.data[[#This Row],[CrudeType]]="Crude",vp.data[[#This Row],[Dens]]&gt;900,vp.data[[#This Row],[Sulf]]&lt;=0.5,vp.data[[#This Row],[Unknown]]=0),1,0)</f>
        <v>0</v>
      </c>
      <c r="AG1404" t="str">
        <f>INDEX(vp.data[[#Headers],[Unknown]:[Heavy_SW]],MATCH(1,vp.data[[#This Row],[Unknown]:[Heavy_SW]],0))</f>
        <v>Medium_LSB</v>
      </c>
      <c r="AH1404">
        <f>INDEX([3]!crudeBD.lkup[Number],MATCH(vp.data[[#This Row],[Crude_Breakdown]],crudeBD.lkup[Crude Breakdown],0))</f>
        <v>3</v>
      </c>
      <c r="AI1404">
        <f>MONTH(vp.data[[#This Row],[SDate]])</f>
        <v>5</v>
      </c>
      <c r="AJ1404" s="5">
        <f>(vp.data[[#This Row],[VP]]-INDEX(crudeBD.lkup[Mean_VP],MATCH(vp.data[[#This Row],[Crude_Breakdown]],crudeBD.lkup[Crude Breakdown],0)))^2</f>
        <v>1957.1489812366892</v>
      </c>
      <c r="AK1404" s="5">
        <f>(vp.data[[#This Row],[Dens]]-INDEX(crudeBD.lkup[Mean_Dens],MATCH(vp.data[[#This Row],[Crude_Breakdown]],crudeBD.lkup[Crude Breakdown],0)))^2</f>
        <v>5.6644000000021428</v>
      </c>
      <c r="AL1404" s="5">
        <f>(vp.data[[#This Row],[Sulf]]-INDEX(crudeBD.lkup[Mean_Sulf],MATCH(vp.data[[#This Row],[Crude_Breakdown]],crudeBD.lkup[Crude Breakdown],0)))^2</f>
        <v>0.11930677397979066</v>
      </c>
      <c r="AM1404" s="4">
        <f>IF(AND(vp.data[[#This Row],[SDate]]&gt;=DATE(YEAR(vp.data[[#This Row],[SDate]]),5,1),vp.data[[#This Row],[SDate]]&lt;=DATE(YEAR(vp.data[[#This Row],[SDate]]),9,15)),1,0)</f>
        <v>1</v>
      </c>
      <c r="AN1404" s="4">
        <f>IF(vp.data[[#This Row],[SDate]]&lt;DATE(2016,12,1),0,1)</f>
        <v>1</v>
      </c>
      <c r="AO1404" s="4">
        <f>IFERROR(vp.data[[#This Row],[Sulf]]*vp.data[[#This Row],[Net Dens]],"")</f>
        <v>37987.36032</v>
      </c>
      <c r="AP1404">
        <f>IFERROR(vp.data[[#This Row],[Dens]]*vp.data[[#This Row],[VolumeM3]],"")</f>
        <v>36526.307999999997</v>
      </c>
      <c r="AQ1404" s="15">
        <f>IFERROR(vp.data[[#This Row],[VP]]*vp.data[[#This Row],[VolumeM3]],"")</f>
        <v>1571.0239999999999</v>
      </c>
    </row>
    <row r="1405" spans="1:43" x14ac:dyDescent="0.25">
      <c r="A1405">
        <v>1404</v>
      </c>
      <c r="B1405" t="s">
        <v>292</v>
      </c>
      <c r="C1405" t="s">
        <v>292</v>
      </c>
      <c r="D1405" t="s">
        <v>296</v>
      </c>
      <c r="F1405" s="1">
        <v>42861</v>
      </c>
      <c r="G1405" s="2">
        <v>70.7</v>
      </c>
      <c r="H1405" s="2"/>
      <c r="I1405" s="2">
        <f t="array" ref="I1405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1405" s="2"/>
      <c r="K1405" s="2"/>
      <c r="L1405" s="2">
        <v>835.4</v>
      </c>
      <c r="M1405" s="2">
        <f t="array" ref="M1405">_xlfn.IFNA(IF(vp.data[[#This Row],[Dens Input]]="",INDEX([1]DATA!$O$3:$O$9826,MATCH(1,(vp.data[[#This Row],[Battery]]=[1]DATA!$L$3:$L$9826)*(EOMONTH(vp.data[[#This Row],[SDate]],-1)+1=[1]DATA!$G$3:$G$9826),0)),vp.data[[#This Row],[Dens Input]]),"")</f>
        <v>835.4</v>
      </c>
      <c r="N1405" s="2">
        <f ca="1">INDEX(INDIRECT(_xlfn.CONCAT("weather.tbl[",N$1,"]")),MATCH(vp.data[[#This Row],[SDate]],weather.tbl[Date],0))</f>
        <v>18.116666666666667</v>
      </c>
      <c r="O1405" s="2">
        <f ca="1">INDEX(INDIRECT(_xlfn.CONCAT("weather.tbl[",O$1,"]")),MATCH(vp.data[[#This Row],[SDate]],weather.tbl[Date],0))</f>
        <v>12.52857142857143</v>
      </c>
      <c r="P1405" s="2">
        <f ca="1">INDEX(INDIRECT(_xlfn.CONCAT("weather.tbl[",P$1,"]")),MATCH(vp.data[[#This Row],[SDate]],weather.tbl[Date],0))</f>
        <v>18.8</v>
      </c>
      <c r="Q1405" s="2">
        <f ca="1">INDEX(INDIRECT(_xlfn.CONCAT("weather.tbl[",Q$1,"]")),MATCH(vp.data[[#This Row],[SDate]],weather.tbl[Date],0))</f>
        <v>19.8</v>
      </c>
      <c r="R1405" s="2">
        <f ca="1">INDEX(INDIRECT(_xlfn.CONCAT("weather.tbl[",R$1,"]")),MATCH(vp.data[[#This Row],[SDate]],weather.tbl[Date],0))</f>
        <v>16.8</v>
      </c>
      <c r="S1405" s="2">
        <f ca="1">INDEX(INDIRECT(_xlfn.CONCAT("weather.tbl[",S$1,"]")),MATCH(vp.data[[#This Row],[SDate]],weather.tbl[Date],0))</f>
        <v>20.7</v>
      </c>
      <c r="T1405" s="2">
        <f ca="1">INDEX(INDIRECT(_xlfn.CONCAT("weather.tbl[",T$1,"]")),MATCH(vp.data[[#This Row],[SDate]],weather.tbl[Date],0))</f>
        <v>15.8</v>
      </c>
      <c r="U1405" s="2">
        <f ca="1">INDEX(INDIRECT(_xlfn.CONCAT("weather.tbl[",U$1,"]")),MATCH(vp.data[[#This Row],[SDate]],weather.tbl[Date],0))</f>
        <v>16.8</v>
      </c>
      <c r="V1405" s="2">
        <f t="array" ref="V14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2752.261</v>
      </c>
      <c r="W1405" t="s">
        <v>48</v>
      </c>
      <c r="X1405">
        <f>IF(OR(vp.data[[#This Row],[Sulf]]="",vp.data[[#This Row],[Dens]]=""),1,0)</f>
        <v>0</v>
      </c>
      <c r="Y1405">
        <f>IF(vp.data[[#This Row],[CrudeType]]="C5+",1,0)</f>
        <v>0</v>
      </c>
      <c r="Z1405">
        <f>IF(AND(vp.data[[#This Row],[CrudeType]]="Crude",vp.data[[#This Row],[Dens]]&lt;=825,vp.data[[#This Row],[Sulf]]&gt;0.5,vp.data[[#This Row],[Unknown]]=0),1,0)</f>
        <v>0</v>
      </c>
      <c r="AA1405">
        <f>IF(AND(vp.data[[#This Row],[CrudeType]]="Crude",vp.data[[#This Row],[Dens]]&lt;=825,vp.data[[#This Row],[Sulf]]&lt;=0.5,vp.data[[#This Row],[Unknown]]=0),1,0)</f>
        <v>0</v>
      </c>
      <c r="AB14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5">
        <f>IF(AND(vp.data[[#This Row],[CrudeType]]="Crude",vp.data[[#This Row],[Dens]]&gt;825,vp.data[[#This Row],[Dens]]&lt;=900,vp.data[[#This Row],[Sulf]]&lt;=0.5,vp.data[[#This Row],[Unknown]]=0),1,0)</f>
        <v>0</v>
      </c>
      <c r="AD1405">
        <f>IF(AND(vp.data[[#This Row],[CrudeType]]="Crude",vp.data[[#This Row],[Dens]]&gt;865,vp.data[[#This Row],[Dens]]&lt;=900,vp.data[[#This Row],[Sulf]]&gt;2,vp.data[[#This Row],[Unknown]]=0),1,0)</f>
        <v>0</v>
      </c>
      <c r="AE1405">
        <f>IF(AND(vp.data[[#This Row],[CrudeType]]="Crude",vp.data[[#This Row],[Dens]]&gt;900,vp.data[[#This Row],[Sulf]]&lt;=0.5,vp.data[[#This Row],[Unknown]]=0),1,0)</f>
        <v>0</v>
      </c>
      <c r="AF1405">
        <f>IF(AND(vp.data[[#This Row],[CrudeType]]="Crude",vp.data[[#This Row],[Dens]]&gt;900,vp.data[[#This Row],[Sulf]]&lt;=0.5,vp.data[[#This Row],[Unknown]]=0),1,0)</f>
        <v>0</v>
      </c>
      <c r="AG1405" t="str">
        <f>INDEX(vp.data[[#Headers],[Unknown]:[Heavy_SW]],MATCH(1,vp.data[[#This Row],[Unknown]:[Heavy_SW]],0))</f>
        <v>Medium_LSB</v>
      </c>
      <c r="AH1405">
        <f>INDEX([3]!crudeBD.lkup[Number],MATCH(vp.data[[#This Row],[Crude_Breakdown]],crudeBD.lkup[Crude Breakdown],0))</f>
        <v>3</v>
      </c>
      <c r="AI1405">
        <f>MONTH(vp.data[[#This Row],[SDate]])</f>
        <v>5</v>
      </c>
      <c r="AJ1405" s="5">
        <f>(vp.data[[#This Row],[VP]]-INDEX(crudeBD.lkup[Mean_VP],MATCH(vp.data[[#This Row],[Crude_Breakdown]],crudeBD.lkup[Crude Breakdown],0)))^2</f>
        <v>98.797169915939264</v>
      </c>
      <c r="AK1405" s="5">
        <f>(vp.data[[#This Row],[Dens]]-INDEX(crudeBD.lkup[Mean_Dens],MATCH(vp.data[[#This Row],[Crude_Breakdown]],crudeBD.lkup[Crude Breakdown],0)))^2</f>
        <v>72.590399999991945</v>
      </c>
      <c r="AL1405" s="5">
        <f>(vp.data[[#This Row],[Sulf]]-INDEX(crudeBD.lkup[Mean_Sulf],MATCH(vp.data[[#This Row],[Crude_Breakdown]],crudeBD.lkup[Crude Breakdown],0)))^2</f>
        <v>0.18097207424933273</v>
      </c>
      <c r="AM1405" s="4">
        <f>IF(AND(vp.data[[#This Row],[SDate]]&gt;=DATE(YEAR(vp.data[[#This Row],[SDate]]),5,1),vp.data[[#This Row],[SDate]]&lt;=DATE(YEAR(vp.data[[#This Row],[SDate]]),9,15)),1,0)</f>
        <v>1</v>
      </c>
      <c r="AN1405" s="4">
        <f>IF(vp.data[[#This Row],[SDate]]&lt;DATE(2016,12,1),0,1)</f>
        <v>1</v>
      </c>
      <c r="AO1405" s="4">
        <f>IFERROR(vp.data[[#This Row],[Sulf]]*vp.data[[#This Row],[Net Dens]],"")</f>
        <v>2207269.2858239999</v>
      </c>
      <c r="AP1405">
        <f>IFERROR(vp.data[[#This Row],[Dens]]*vp.data[[#This Row],[VolumeM3]],"")</f>
        <v>2299238.8393999999</v>
      </c>
      <c r="AQ1405" s="15">
        <f>IFERROR(vp.data[[#This Row],[VP]]*vp.data[[#This Row],[VolumeM3]],"")</f>
        <v>194584.85270000002</v>
      </c>
    </row>
    <row r="1406" spans="1:43" x14ac:dyDescent="0.25">
      <c r="A1406">
        <v>1405</v>
      </c>
      <c r="B1406" t="s">
        <v>51</v>
      </c>
      <c r="C1406" t="s">
        <v>51</v>
      </c>
      <c r="D1406" t="s">
        <v>254</v>
      </c>
      <c r="F1406" s="1">
        <v>42861</v>
      </c>
      <c r="G1406" s="2">
        <v>55.8</v>
      </c>
      <c r="H1406" s="2"/>
      <c r="I1406" s="2">
        <f t="array" ref="I1406">_xlfn.IFNA(IF(vp.data[[#This Row],[Sulf Input]]="",INDEX([1]DATA!$Q$3:$Q$9826,MATCH(1,(vp.data[[#This Row],[Battery]]=[1]DATA!$L$3:$L$9826)*(EOMONTH(vp.data[[#This Row],[SDate]],-1)+1=[1]DATA!$G$3:$G$9826),0)),vp.data[[#This Row],[Sulf Input]]),"")</f>
        <v>1.03</v>
      </c>
      <c r="J1406" s="2"/>
      <c r="K1406" s="2"/>
      <c r="L1406" s="2">
        <v>853.9</v>
      </c>
      <c r="M1406" s="2">
        <f t="array" ref="M1406">_xlfn.IFNA(IF(vp.data[[#This Row],[Dens Input]]="",INDEX([1]DATA!$O$3:$O$9826,MATCH(1,(vp.data[[#This Row],[Battery]]=[1]DATA!$L$3:$L$9826)*(EOMONTH(vp.data[[#This Row],[SDate]],-1)+1=[1]DATA!$G$3:$G$9826),0)),vp.data[[#This Row],[Dens Input]]),"")</f>
        <v>853.9</v>
      </c>
      <c r="N1406" s="2">
        <f ca="1">INDEX(INDIRECT(_xlfn.CONCAT("weather.tbl[",N$1,"]")),MATCH(vp.data[[#This Row],[SDate]],weather.tbl[Date],0))</f>
        <v>18.116666666666667</v>
      </c>
      <c r="O1406" s="2">
        <f ca="1">INDEX(INDIRECT(_xlfn.CONCAT("weather.tbl[",O$1,"]")),MATCH(vp.data[[#This Row],[SDate]],weather.tbl[Date],0))</f>
        <v>12.52857142857143</v>
      </c>
      <c r="P1406" s="2">
        <f ca="1">INDEX(INDIRECT(_xlfn.CONCAT("weather.tbl[",P$1,"]")),MATCH(vp.data[[#This Row],[SDate]],weather.tbl[Date],0))</f>
        <v>18.8</v>
      </c>
      <c r="Q1406" s="2">
        <f ca="1">INDEX(INDIRECT(_xlfn.CONCAT("weather.tbl[",Q$1,"]")),MATCH(vp.data[[#This Row],[SDate]],weather.tbl[Date],0))</f>
        <v>19.8</v>
      </c>
      <c r="R1406" s="2">
        <f ca="1">INDEX(INDIRECT(_xlfn.CONCAT("weather.tbl[",R$1,"]")),MATCH(vp.data[[#This Row],[SDate]],weather.tbl[Date],0))</f>
        <v>16.8</v>
      </c>
      <c r="S1406" s="2">
        <f ca="1">INDEX(INDIRECT(_xlfn.CONCAT("weather.tbl[",S$1,"]")),MATCH(vp.data[[#This Row],[SDate]],weather.tbl[Date],0))</f>
        <v>20.7</v>
      </c>
      <c r="T1406" s="2">
        <f ca="1">INDEX(INDIRECT(_xlfn.CONCAT("weather.tbl[",T$1,"]")),MATCH(vp.data[[#This Row],[SDate]],weather.tbl[Date],0))</f>
        <v>15.8</v>
      </c>
      <c r="U1406" s="2">
        <f ca="1">INDEX(INDIRECT(_xlfn.CONCAT("weather.tbl[",U$1,"]")),MATCH(vp.data[[#This Row],[SDate]],weather.tbl[Date],0))</f>
        <v>16.8</v>
      </c>
      <c r="V1406" s="2">
        <f t="array" ref="V14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686.84799999999996</v>
      </c>
      <c r="W1406" t="s">
        <v>48</v>
      </c>
      <c r="X1406">
        <f>IF(OR(vp.data[[#This Row],[Sulf]]="",vp.data[[#This Row],[Dens]]=""),1,0)</f>
        <v>0</v>
      </c>
      <c r="Y1406">
        <f>IF(vp.data[[#This Row],[CrudeType]]="C5+",1,0)</f>
        <v>0</v>
      </c>
      <c r="Z1406">
        <f>IF(AND(vp.data[[#This Row],[CrudeType]]="Crude",vp.data[[#This Row],[Dens]]&lt;=825,vp.data[[#This Row],[Sulf]]&gt;0.5,vp.data[[#This Row],[Unknown]]=0),1,0)</f>
        <v>0</v>
      </c>
      <c r="AA1406">
        <f>IF(AND(vp.data[[#This Row],[CrudeType]]="Crude",vp.data[[#This Row],[Dens]]&lt;=825,vp.data[[#This Row],[Sulf]]&lt;=0.5,vp.data[[#This Row],[Unknown]]=0),1,0)</f>
        <v>0</v>
      </c>
      <c r="AB14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6">
        <f>IF(AND(vp.data[[#This Row],[CrudeType]]="Crude",vp.data[[#This Row],[Dens]]&gt;825,vp.data[[#This Row],[Dens]]&lt;=900,vp.data[[#This Row],[Sulf]]&lt;=0.5,vp.data[[#This Row],[Unknown]]=0),1,0)</f>
        <v>0</v>
      </c>
      <c r="AD1406">
        <f>IF(AND(vp.data[[#This Row],[CrudeType]]="Crude",vp.data[[#This Row],[Dens]]&gt;865,vp.data[[#This Row],[Dens]]&lt;=900,vp.data[[#This Row],[Sulf]]&gt;2,vp.data[[#This Row],[Unknown]]=0),1,0)</f>
        <v>0</v>
      </c>
      <c r="AE1406">
        <f>IF(AND(vp.data[[#This Row],[CrudeType]]="Crude",vp.data[[#This Row],[Dens]]&gt;900,vp.data[[#This Row],[Sulf]]&lt;=0.5,vp.data[[#This Row],[Unknown]]=0),1,0)</f>
        <v>0</v>
      </c>
      <c r="AF1406">
        <f>IF(AND(vp.data[[#This Row],[CrudeType]]="Crude",vp.data[[#This Row],[Dens]]&gt;900,vp.data[[#This Row],[Sulf]]&lt;=0.5,vp.data[[#This Row],[Unknown]]=0),1,0)</f>
        <v>0</v>
      </c>
      <c r="AG1406" t="str">
        <f>INDEX(vp.data[[#Headers],[Unknown]:[Heavy_SW]],MATCH(1,vp.data[[#This Row],[Unknown]:[Heavy_SW]],0))</f>
        <v>Medium_LSB</v>
      </c>
      <c r="AH1406">
        <f>INDEX([3]!crudeBD.lkup[Number],MATCH(vp.data[[#This Row],[Crude_Breakdown]],crudeBD.lkup[Crude Breakdown],0))</f>
        <v>3</v>
      </c>
      <c r="AI1406">
        <f>MONTH(vp.data[[#This Row],[SDate]])</f>
        <v>5</v>
      </c>
      <c r="AJ1406" s="5">
        <f>(vp.data[[#This Row],[VP]]-INDEX(crudeBD.lkup[Mean_VP],MATCH(vp.data[[#This Row],[Crude_Breakdown]],crudeBD.lkup[Crude Breakdown],0)))^2</f>
        <v>617.0095311019212</v>
      </c>
      <c r="AK1406" s="5">
        <f>(vp.data[[#This Row],[Dens]]-INDEX(crudeBD.lkup[Mean_Dens],MATCH(vp.data[[#This Row],[Crude_Breakdown]],crudeBD.lkup[Crude Breakdown],0)))^2</f>
        <v>99.600400000009444</v>
      </c>
      <c r="AL1406" s="5">
        <f>(vp.data[[#This Row],[Sulf]]-INDEX(crudeBD.lkup[Mean_Sulf],MATCH(vp.data[[#This Row],[Crude_Breakdown]],crudeBD.lkup[Crude Breakdown],0)))^2</f>
        <v>0.12631493651348341</v>
      </c>
      <c r="AM1406" s="4">
        <f>IF(AND(vp.data[[#This Row],[SDate]]&gt;=DATE(YEAR(vp.data[[#This Row],[SDate]]),5,1),vp.data[[#This Row],[SDate]]&lt;=DATE(YEAR(vp.data[[#This Row],[SDate]]),9,15)),1,0)</f>
        <v>1</v>
      </c>
      <c r="AN1406" s="4">
        <f>IF(vp.data[[#This Row],[SDate]]&lt;DATE(2016,12,1),0,1)</f>
        <v>1</v>
      </c>
      <c r="AO1406" s="4">
        <f>IFERROR(vp.data[[#This Row],[Sulf]]*vp.data[[#This Row],[Net Dens]],"")</f>
        <v>604094.49241599999</v>
      </c>
      <c r="AP1406">
        <f>IFERROR(vp.data[[#This Row],[Dens]]*vp.data[[#This Row],[VolumeM3]],"")</f>
        <v>586499.50719999999</v>
      </c>
      <c r="AQ1406" s="15">
        <f>IFERROR(vp.data[[#This Row],[VP]]*vp.data[[#This Row],[VolumeM3]],"")</f>
        <v>38326.118399999992</v>
      </c>
    </row>
    <row r="1407" spans="1:43" x14ac:dyDescent="0.25">
      <c r="A1407">
        <v>1406</v>
      </c>
      <c r="B1407" t="s">
        <v>51</v>
      </c>
      <c r="C1407" t="s">
        <v>51</v>
      </c>
      <c r="D1407" t="s">
        <v>297</v>
      </c>
      <c r="F1407" s="1">
        <v>42861</v>
      </c>
      <c r="G1407" s="2">
        <v>73.400000000000006</v>
      </c>
      <c r="H1407" s="2"/>
      <c r="I1407" s="2">
        <f t="array" ref="I1407">_xlfn.IFNA(IF(vp.data[[#This Row],[Sulf Input]]="",INDEX([1]DATA!$Q$3:$Q$9826,MATCH(1,(vp.data[[#This Row],[Battery]]=[1]DATA!$L$3:$L$9826)*(EOMONTH(vp.data[[#This Row],[SDate]],-1)+1=[1]DATA!$G$3:$G$9826),0)),vp.data[[#This Row],[Sulf Input]]),"")</f>
        <v>1.47</v>
      </c>
      <c r="J1407" s="2"/>
      <c r="K1407" s="2"/>
      <c r="L1407" s="2">
        <v>848.2</v>
      </c>
      <c r="M1407" s="2">
        <f t="array" ref="M1407">_xlfn.IFNA(IF(vp.data[[#This Row],[Dens Input]]="",INDEX([1]DATA!$O$3:$O$9826,MATCH(1,(vp.data[[#This Row],[Battery]]=[1]DATA!$L$3:$L$9826)*(EOMONTH(vp.data[[#This Row],[SDate]],-1)+1=[1]DATA!$G$3:$G$9826),0)),vp.data[[#This Row],[Dens Input]]),"")</f>
        <v>848.2</v>
      </c>
      <c r="N1407" s="2">
        <f ca="1">INDEX(INDIRECT(_xlfn.CONCAT("weather.tbl[",N$1,"]")),MATCH(vp.data[[#This Row],[SDate]],weather.tbl[Date],0))</f>
        <v>18.116666666666667</v>
      </c>
      <c r="O1407" s="2">
        <f ca="1">INDEX(INDIRECT(_xlfn.CONCAT("weather.tbl[",O$1,"]")),MATCH(vp.data[[#This Row],[SDate]],weather.tbl[Date],0))</f>
        <v>12.52857142857143</v>
      </c>
      <c r="P1407" s="2">
        <f ca="1">INDEX(INDIRECT(_xlfn.CONCAT("weather.tbl[",P$1,"]")),MATCH(vp.data[[#This Row],[SDate]],weather.tbl[Date],0))</f>
        <v>18.8</v>
      </c>
      <c r="Q1407" s="2">
        <f ca="1">INDEX(INDIRECT(_xlfn.CONCAT("weather.tbl[",Q$1,"]")),MATCH(vp.data[[#This Row],[SDate]],weather.tbl[Date],0))</f>
        <v>19.8</v>
      </c>
      <c r="R1407" s="2">
        <f ca="1">INDEX(INDIRECT(_xlfn.CONCAT("weather.tbl[",R$1,"]")),MATCH(vp.data[[#This Row],[SDate]],weather.tbl[Date],0))</f>
        <v>16.8</v>
      </c>
      <c r="S1407" s="2">
        <f ca="1">INDEX(INDIRECT(_xlfn.CONCAT("weather.tbl[",S$1,"]")),MATCH(vp.data[[#This Row],[SDate]],weather.tbl[Date],0))</f>
        <v>20.7</v>
      </c>
      <c r="T1407" s="2">
        <f ca="1">INDEX(INDIRECT(_xlfn.CONCAT("weather.tbl[",T$1,"]")),MATCH(vp.data[[#This Row],[SDate]],weather.tbl[Date],0))</f>
        <v>15.8</v>
      </c>
      <c r="U1407" s="2">
        <f ca="1">INDEX(INDIRECT(_xlfn.CONCAT("weather.tbl[",U$1,"]")),MATCH(vp.data[[#This Row],[SDate]],weather.tbl[Date],0))</f>
        <v>16.8</v>
      </c>
      <c r="V1407" s="2">
        <f t="array" ref="V14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1569.5509999999999</v>
      </c>
      <c r="W1407" t="s">
        <v>48</v>
      </c>
      <c r="X1407">
        <f>IF(OR(vp.data[[#This Row],[Sulf]]="",vp.data[[#This Row],[Dens]]=""),1,0)</f>
        <v>0</v>
      </c>
      <c r="Y1407">
        <f>IF(vp.data[[#This Row],[CrudeType]]="C5+",1,0)</f>
        <v>0</v>
      </c>
      <c r="Z1407">
        <f>IF(AND(vp.data[[#This Row],[CrudeType]]="Crude",vp.data[[#This Row],[Dens]]&lt;=825,vp.data[[#This Row],[Sulf]]&gt;0.5,vp.data[[#This Row],[Unknown]]=0),1,0)</f>
        <v>0</v>
      </c>
      <c r="AA1407">
        <f>IF(AND(vp.data[[#This Row],[CrudeType]]="Crude",vp.data[[#This Row],[Dens]]&lt;=825,vp.data[[#This Row],[Sulf]]&lt;=0.5,vp.data[[#This Row],[Unknown]]=0),1,0)</f>
        <v>0</v>
      </c>
      <c r="AB14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7">
        <f>IF(AND(vp.data[[#This Row],[CrudeType]]="Crude",vp.data[[#This Row],[Dens]]&gt;825,vp.data[[#This Row],[Dens]]&lt;=900,vp.data[[#This Row],[Sulf]]&lt;=0.5,vp.data[[#This Row],[Unknown]]=0),1,0)</f>
        <v>0</v>
      </c>
      <c r="AD1407">
        <f>IF(AND(vp.data[[#This Row],[CrudeType]]="Crude",vp.data[[#This Row],[Dens]]&gt;865,vp.data[[#This Row],[Dens]]&lt;=900,vp.data[[#This Row],[Sulf]]&gt;2,vp.data[[#This Row],[Unknown]]=0),1,0)</f>
        <v>0</v>
      </c>
      <c r="AE1407">
        <f>IF(AND(vp.data[[#This Row],[CrudeType]]="Crude",vp.data[[#This Row],[Dens]]&gt;900,vp.data[[#This Row],[Sulf]]&lt;=0.5,vp.data[[#This Row],[Unknown]]=0),1,0)</f>
        <v>0</v>
      </c>
      <c r="AF1407">
        <f>IF(AND(vp.data[[#This Row],[CrudeType]]="Crude",vp.data[[#This Row],[Dens]]&gt;900,vp.data[[#This Row],[Sulf]]&lt;=0.5,vp.data[[#This Row],[Unknown]]=0),1,0)</f>
        <v>0</v>
      </c>
      <c r="AG1407" t="str">
        <f>INDEX(vp.data[[#Headers],[Unknown]:[Heavy_SW]],MATCH(1,vp.data[[#This Row],[Unknown]:[Heavy_SW]],0))</f>
        <v>Medium_LSB</v>
      </c>
      <c r="AH1407">
        <f>INDEX([3]!crudeBD.lkup[Number],MATCH(vp.data[[#This Row],[Crude_Breakdown]],crudeBD.lkup[Crude Breakdown],0))</f>
        <v>3</v>
      </c>
      <c r="AI1407">
        <f>MONTH(vp.data[[#This Row],[SDate]])</f>
        <v>5</v>
      </c>
      <c r="AJ1407" s="5">
        <f>(vp.data[[#This Row],[VP]]-INDEX(crudeBD.lkup[Mean_VP],MATCH(vp.data[[#This Row],[Crude_Breakdown]],crudeBD.lkup[Crude Breakdown],0)))^2</f>
        <v>52.41291654666739</v>
      </c>
      <c r="AK1407" s="5">
        <f>(vp.data[[#This Row],[Dens]]-INDEX(crudeBD.lkup[Mean_Dens],MATCH(vp.data[[#This Row],[Crude_Breakdown]],crudeBD.lkup[Crude Breakdown],0)))^2</f>
        <v>18.318400000004633</v>
      </c>
      <c r="AL1407" s="5">
        <f>(vp.data[[#This Row],[Sulf]]-INDEX(crudeBD.lkup[Mean_Sulf],MATCH(vp.data[[#This Row],[Crude_Breakdown]],crudeBD.lkup[Crude Breakdown],0)))^2</f>
        <v>7.1557850310023097E-3</v>
      </c>
      <c r="AM1407" s="4">
        <f>IF(AND(vp.data[[#This Row],[SDate]]&gt;=DATE(YEAR(vp.data[[#This Row],[SDate]]),5,1),vp.data[[#This Row],[SDate]]&lt;=DATE(YEAR(vp.data[[#This Row],[SDate]]),9,15)),1,0)</f>
        <v>1</v>
      </c>
      <c r="AN1407" s="4">
        <f>IF(vp.data[[#This Row],[SDate]]&lt;DATE(2016,12,1),0,1)</f>
        <v>1</v>
      </c>
      <c r="AO1407" s="4">
        <f>IFERROR(vp.data[[#This Row],[Sulf]]*vp.data[[#This Row],[Net Dens]],"")</f>
        <v>1957000.9425539998</v>
      </c>
      <c r="AP1407">
        <f>IFERROR(vp.data[[#This Row],[Dens]]*vp.data[[#This Row],[VolumeM3]],"")</f>
        <v>1331293.1581999999</v>
      </c>
      <c r="AQ1407" s="15">
        <f>IFERROR(vp.data[[#This Row],[VP]]*vp.data[[#This Row],[VolumeM3]],"")</f>
        <v>115205.04340000001</v>
      </c>
    </row>
    <row r="1408" spans="1:43" x14ac:dyDescent="0.25">
      <c r="A1408">
        <v>1407</v>
      </c>
      <c r="B1408" t="s">
        <v>51</v>
      </c>
      <c r="C1408" t="s">
        <v>51</v>
      </c>
      <c r="D1408" t="s">
        <v>298</v>
      </c>
      <c r="F1408" s="1">
        <v>42861</v>
      </c>
      <c r="G1408" s="2">
        <v>57.5</v>
      </c>
      <c r="H1408" s="2"/>
      <c r="I1408" s="2">
        <f t="array" ref="I1408">_xlfn.IFNA(IF(vp.data[[#This Row],[Sulf Input]]="",INDEX([1]DATA!$Q$3:$Q$9826,MATCH(1,(vp.data[[#This Row],[Battery]]=[1]DATA!$L$3:$L$9826)*(EOMONTH(vp.data[[#This Row],[SDate]],-1)+1=[1]DATA!$G$3:$G$9826),0)),vp.data[[#This Row],[Sulf Input]]),"")</f>
        <v>1.02</v>
      </c>
      <c r="J1408" s="2"/>
      <c r="K1408" s="2"/>
      <c r="L1408" s="2">
        <v>841.5</v>
      </c>
      <c r="M1408" s="2">
        <f t="array" ref="M1408">_xlfn.IFNA(IF(vp.data[[#This Row],[Dens Input]]="",INDEX([1]DATA!$O$3:$O$9826,MATCH(1,(vp.data[[#This Row],[Battery]]=[1]DATA!$L$3:$L$9826)*(EOMONTH(vp.data[[#This Row],[SDate]],-1)+1=[1]DATA!$G$3:$G$9826),0)),vp.data[[#This Row],[Dens Input]]),"")</f>
        <v>841.5</v>
      </c>
      <c r="N1408" s="2">
        <f ca="1">INDEX(INDIRECT(_xlfn.CONCAT("weather.tbl[",N$1,"]")),MATCH(vp.data[[#This Row],[SDate]],weather.tbl[Date],0))</f>
        <v>18.116666666666667</v>
      </c>
      <c r="O1408" s="2">
        <f ca="1">INDEX(INDIRECT(_xlfn.CONCAT("weather.tbl[",O$1,"]")),MATCH(vp.data[[#This Row],[SDate]],weather.tbl[Date],0))</f>
        <v>12.52857142857143</v>
      </c>
      <c r="P1408" s="2">
        <f ca="1">INDEX(INDIRECT(_xlfn.CONCAT("weather.tbl[",P$1,"]")),MATCH(vp.data[[#This Row],[SDate]],weather.tbl[Date],0))</f>
        <v>18.8</v>
      </c>
      <c r="Q1408" s="2">
        <f ca="1">INDEX(INDIRECT(_xlfn.CONCAT("weather.tbl[",Q$1,"]")),MATCH(vp.data[[#This Row],[SDate]],weather.tbl[Date],0))</f>
        <v>19.8</v>
      </c>
      <c r="R1408" s="2">
        <f ca="1">INDEX(INDIRECT(_xlfn.CONCAT("weather.tbl[",R$1,"]")),MATCH(vp.data[[#This Row],[SDate]],weather.tbl[Date],0))</f>
        <v>16.8</v>
      </c>
      <c r="S1408" s="2">
        <f ca="1">INDEX(INDIRECT(_xlfn.CONCAT("weather.tbl[",S$1,"]")),MATCH(vp.data[[#This Row],[SDate]],weather.tbl[Date],0))</f>
        <v>20.7</v>
      </c>
      <c r="T1408" s="2">
        <f ca="1">INDEX(INDIRECT(_xlfn.CONCAT("weather.tbl[",T$1,"]")),MATCH(vp.data[[#This Row],[SDate]],weather.tbl[Date],0))</f>
        <v>15.8</v>
      </c>
      <c r="U1408" s="2">
        <f ca="1">INDEX(INDIRECT(_xlfn.CONCAT("weather.tbl[",U$1,"]")),MATCH(vp.data[[#This Row],[SDate]],weather.tbl[Date],0))</f>
        <v>16.8</v>
      </c>
      <c r="V1408" s="2">
        <f t="array" ref="V14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69.022999999999996</v>
      </c>
      <c r="W1408" t="s">
        <v>48</v>
      </c>
      <c r="X1408">
        <f>IF(OR(vp.data[[#This Row],[Sulf]]="",vp.data[[#This Row],[Dens]]=""),1,0)</f>
        <v>0</v>
      </c>
      <c r="Y1408">
        <f>IF(vp.data[[#This Row],[CrudeType]]="C5+",1,0)</f>
        <v>0</v>
      </c>
      <c r="Z1408">
        <f>IF(AND(vp.data[[#This Row],[CrudeType]]="Crude",vp.data[[#This Row],[Dens]]&lt;=825,vp.data[[#This Row],[Sulf]]&gt;0.5,vp.data[[#This Row],[Unknown]]=0),1,0)</f>
        <v>0</v>
      </c>
      <c r="AA1408">
        <f>IF(AND(vp.data[[#This Row],[CrudeType]]="Crude",vp.data[[#This Row],[Dens]]&lt;=825,vp.data[[#This Row],[Sulf]]&lt;=0.5,vp.data[[#This Row],[Unknown]]=0),1,0)</f>
        <v>0</v>
      </c>
      <c r="AB14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8">
        <f>IF(AND(vp.data[[#This Row],[CrudeType]]="Crude",vp.data[[#This Row],[Dens]]&gt;825,vp.data[[#This Row],[Dens]]&lt;=900,vp.data[[#This Row],[Sulf]]&lt;=0.5,vp.data[[#This Row],[Unknown]]=0),1,0)</f>
        <v>0</v>
      </c>
      <c r="AD1408">
        <f>IF(AND(vp.data[[#This Row],[CrudeType]]="Crude",vp.data[[#This Row],[Dens]]&gt;865,vp.data[[#This Row],[Dens]]&lt;=900,vp.data[[#This Row],[Sulf]]&gt;2,vp.data[[#This Row],[Unknown]]=0),1,0)</f>
        <v>0</v>
      </c>
      <c r="AE1408">
        <f>IF(AND(vp.data[[#This Row],[CrudeType]]="Crude",vp.data[[#This Row],[Dens]]&gt;900,vp.data[[#This Row],[Sulf]]&lt;=0.5,vp.data[[#This Row],[Unknown]]=0),1,0)</f>
        <v>0</v>
      </c>
      <c r="AF1408">
        <f>IF(AND(vp.data[[#This Row],[CrudeType]]="Crude",vp.data[[#This Row],[Dens]]&gt;900,vp.data[[#This Row],[Sulf]]&lt;=0.5,vp.data[[#This Row],[Unknown]]=0),1,0)</f>
        <v>0</v>
      </c>
      <c r="AG1408" t="str">
        <f>INDEX(vp.data[[#Headers],[Unknown]:[Heavy_SW]],MATCH(1,vp.data[[#This Row],[Unknown]:[Heavy_SW]],0))</f>
        <v>Medium_LSB</v>
      </c>
      <c r="AH1408">
        <f>INDEX([3]!crudeBD.lkup[Number],MATCH(vp.data[[#This Row],[Crude_Breakdown]],crudeBD.lkup[Crude Breakdown],0))</f>
        <v>3</v>
      </c>
      <c r="AI1408">
        <f>MONTH(vp.data[[#This Row],[SDate]])</f>
        <v>5</v>
      </c>
      <c r="AJ1408" s="5">
        <f>(vp.data[[#This Row],[VP]]-INDEX(crudeBD.lkup[Mean_VP],MATCH(vp.data[[#This Row],[Crude_Breakdown]],crudeBD.lkup[Crude Breakdown],0)))^2</f>
        <v>535.44463083237952</v>
      </c>
      <c r="AK1408" s="5">
        <f>(vp.data[[#This Row],[Dens]]-INDEX(crudeBD.lkup[Mean_Dens],MATCH(vp.data[[#This Row],[Crude_Breakdown]],crudeBD.lkup[Crude Breakdown],0)))^2</f>
        <v>5.8563999999976009</v>
      </c>
      <c r="AL1408" s="5">
        <f>(vp.data[[#This Row],[Sulf]]-INDEX(crudeBD.lkup[Mean_Sulf],MATCH(vp.data[[#This Row],[Crude_Breakdown]],crudeBD.lkup[Crude Breakdown],0)))^2</f>
        <v>0.13352309904717619</v>
      </c>
      <c r="AM1408" s="4">
        <f>IF(AND(vp.data[[#This Row],[SDate]]&gt;=DATE(YEAR(vp.data[[#This Row],[SDate]]),5,1),vp.data[[#This Row],[SDate]]&lt;=DATE(YEAR(vp.data[[#This Row],[SDate]]),9,15)),1,0)</f>
        <v>1</v>
      </c>
      <c r="AN1408" s="4">
        <f>IF(vp.data[[#This Row],[SDate]]&lt;DATE(2016,12,1),0,1)</f>
        <v>1</v>
      </c>
      <c r="AO1408" s="4">
        <f>IFERROR(vp.data[[#This Row],[Sulf]]*vp.data[[#This Row],[Net Dens]],"")</f>
        <v>59244.511589999995</v>
      </c>
      <c r="AP1408">
        <f>IFERROR(vp.data[[#This Row],[Dens]]*vp.data[[#This Row],[VolumeM3]],"")</f>
        <v>58082.854499999994</v>
      </c>
      <c r="AQ1408" s="15">
        <f>IFERROR(vp.data[[#This Row],[VP]]*vp.data[[#This Row],[VolumeM3]],"")</f>
        <v>3968.8224999999998</v>
      </c>
    </row>
    <row r="1409" spans="1:43" x14ac:dyDescent="0.25">
      <c r="A1409">
        <v>1408</v>
      </c>
      <c r="B1409" t="s">
        <v>49</v>
      </c>
      <c r="C1409" t="s">
        <v>49</v>
      </c>
      <c r="D1409" t="s">
        <v>150</v>
      </c>
      <c r="F1409" s="1">
        <v>42861</v>
      </c>
      <c r="G1409" s="2">
        <v>67.5</v>
      </c>
      <c r="H1409" s="2"/>
      <c r="I1409" s="2">
        <f t="array" ref="I1409">_xlfn.IFNA(IF(vp.data[[#This Row],[Sulf Input]]="",INDEX([1]DATA!$Q$3:$Q$9826,MATCH(1,(vp.data[[#This Row],[Battery]]=[1]DATA!$L$3:$L$9826)*(EOMONTH(vp.data[[#This Row],[SDate]],-1)+1=[1]DATA!$G$3:$G$9826),0)),vp.data[[#This Row],[Sulf Input]]),"")</f>
        <v>1.03</v>
      </c>
      <c r="J1409" s="2"/>
      <c r="K1409" s="2"/>
      <c r="L1409" s="2">
        <v>841</v>
      </c>
      <c r="M1409" s="2">
        <f t="array" ref="M1409">_xlfn.IFNA(IF(vp.data[[#This Row],[Dens Input]]="",INDEX([1]DATA!$O$3:$O$9826,MATCH(1,(vp.data[[#This Row],[Battery]]=[1]DATA!$L$3:$L$9826)*(EOMONTH(vp.data[[#This Row],[SDate]],-1)+1=[1]DATA!$G$3:$G$9826),0)),vp.data[[#This Row],[Dens Input]]),"")</f>
        <v>841</v>
      </c>
      <c r="N1409" s="2">
        <f ca="1">INDEX(INDIRECT(_xlfn.CONCAT("weather.tbl[",N$1,"]")),MATCH(vp.data[[#This Row],[SDate]],weather.tbl[Date],0))</f>
        <v>18.116666666666667</v>
      </c>
      <c r="O1409" s="2">
        <f ca="1">INDEX(INDIRECT(_xlfn.CONCAT("weather.tbl[",O$1,"]")),MATCH(vp.data[[#This Row],[SDate]],weather.tbl[Date],0))</f>
        <v>12.52857142857143</v>
      </c>
      <c r="P1409" s="2">
        <f ca="1">INDEX(INDIRECT(_xlfn.CONCAT("weather.tbl[",P$1,"]")),MATCH(vp.data[[#This Row],[SDate]],weather.tbl[Date],0))</f>
        <v>18.8</v>
      </c>
      <c r="Q1409" s="2">
        <f ca="1">INDEX(INDIRECT(_xlfn.CONCAT("weather.tbl[",Q$1,"]")),MATCH(vp.data[[#This Row],[SDate]],weather.tbl[Date],0))</f>
        <v>19.8</v>
      </c>
      <c r="R1409" s="2">
        <f ca="1">INDEX(INDIRECT(_xlfn.CONCAT("weather.tbl[",R$1,"]")),MATCH(vp.data[[#This Row],[SDate]],weather.tbl[Date],0))</f>
        <v>16.8</v>
      </c>
      <c r="S1409" s="2">
        <f ca="1">INDEX(INDIRECT(_xlfn.CONCAT("weather.tbl[",S$1,"]")),MATCH(vp.data[[#This Row],[SDate]],weather.tbl[Date],0))</f>
        <v>20.7</v>
      </c>
      <c r="T1409" s="2">
        <f ca="1">INDEX(INDIRECT(_xlfn.CONCAT("weather.tbl[",T$1,"]")),MATCH(vp.data[[#This Row],[SDate]],weather.tbl[Date],0))</f>
        <v>15.8</v>
      </c>
      <c r="U1409" s="2">
        <f ca="1">INDEX(INDIRECT(_xlfn.CONCAT("weather.tbl[",U$1,"]")),MATCH(vp.data[[#This Row],[SDate]],weather.tbl[Date],0))</f>
        <v>16.8</v>
      </c>
      <c r="V1409" s="2">
        <f t="array" ref="V14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1341.8330000000001</v>
      </c>
      <c r="W1409" t="s">
        <v>48</v>
      </c>
      <c r="X1409">
        <f>IF(OR(vp.data[[#This Row],[Sulf]]="",vp.data[[#This Row],[Dens]]=""),1,0)</f>
        <v>0</v>
      </c>
      <c r="Y1409">
        <f>IF(vp.data[[#This Row],[CrudeType]]="C5+",1,0)</f>
        <v>0</v>
      </c>
      <c r="Z1409">
        <f>IF(AND(vp.data[[#This Row],[CrudeType]]="Crude",vp.data[[#This Row],[Dens]]&lt;=825,vp.data[[#This Row],[Sulf]]&gt;0.5,vp.data[[#This Row],[Unknown]]=0),1,0)</f>
        <v>0</v>
      </c>
      <c r="AA1409">
        <f>IF(AND(vp.data[[#This Row],[CrudeType]]="Crude",vp.data[[#This Row],[Dens]]&lt;=825,vp.data[[#This Row],[Sulf]]&lt;=0.5,vp.data[[#This Row],[Unknown]]=0),1,0)</f>
        <v>0</v>
      </c>
      <c r="AB14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09">
        <f>IF(AND(vp.data[[#This Row],[CrudeType]]="Crude",vp.data[[#This Row],[Dens]]&gt;825,vp.data[[#This Row],[Dens]]&lt;=900,vp.data[[#This Row],[Sulf]]&lt;=0.5,vp.data[[#This Row],[Unknown]]=0),1,0)</f>
        <v>0</v>
      </c>
      <c r="AD1409">
        <f>IF(AND(vp.data[[#This Row],[CrudeType]]="Crude",vp.data[[#This Row],[Dens]]&gt;865,vp.data[[#This Row],[Dens]]&lt;=900,vp.data[[#This Row],[Sulf]]&gt;2,vp.data[[#This Row],[Unknown]]=0),1,0)</f>
        <v>0</v>
      </c>
      <c r="AE1409">
        <f>IF(AND(vp.data[[#This Row],[CrudeType]]="Crude",vp.data[[#This Row],[Dens]]&gt;900,vp.data[[#This Row],[Sulf]]&lt;=0.5,vp.data[[#This Row],[Unknown]]=0),1,0)</f>
        <v>0</v>
      </c>
      <c r="AF1409">
        <f>IF(AND(vp.data[[#This Row],[CrudeType]]="Crude",vp.data[[#This Row],[Dens]]&gt;900,vp.data[[#This Row],[Sulf]]&lt;=0.5,vp.data[[#This Row],[Unknown]]=0),1,0)</f>
        <v>0</v>
      </c>
      <c r="AG1409" t="str">
        <f>INDEX(vp.data[[#Headers],[Unknown]:[Heavy_SW]],MATCH(1,vp.data[[#This Row],[Unknown]:[Heavy_SW]],0))</f>
        <v>Medium_LSB</v>
      </c>
      <c r="AH1409">
        <f>INDEX([3]!crudeBD.lkup[Number],MATCH(vp.data[[#This Row],[Crude_Breakdown]],crudeBD.lkup[Crude Breakdown],0))</f>
        <v>3</v>
      </c>
      <c r="AI1409">
        <f>MONTH(vp.data[[#This Row],[SDate]])</f>
        <v>5</v>
      </c>
      <c r="AJ1409" s="5">
        <f>(vp.data[[#This Row],[VP]]-INDEX(crudeBD.lkup[Mean_VP],MATCH(vp.data[[#This Row],[Crude_Breakdown]],crudeBD.lkup[Crude Breakdown],0)))^2</f>
        <v>172.65109983507634</v>
      </c>
      <c r="AK1409" s="5">
        <f>(vp.data[[#This Row],[Dens]]-INDEX(crudeBD.lkup[Mean_Dens],MATCH(vp.data[[#This Row],[Crude_Breakdown]],crudeBD.lkup[Crude Breakdown],0)))^2</f>
        <v>8.5263999999971052</v>
      </c>
      <c r="AL1409" s="5">
        <f>(vp.data[[#This Row],[Sulf]]-INDEX(crudeBD.lkup[Mean_Sulf],MATCH(vp.data[[#This Row],[Crude_Breakdown]],crudeBD.lkup[Crude Breakdown],0)))^2</f>
        <v>0.12631493651348341</v>
      </c>
      <c r="AM1409" s="4">
        <f>IF(AND(vp.data[[#This Row],[SDate]]&gt;=DATE(YEAR(vp.data[[#This Row],[SDate]]),5,1),vp.data[[#This Row],[SDate]]&lt;=DATE(YEAR(vp.data[[#This Row],[SDate]]),9,15)),1,0)</f>
        <v>1</v>
      </c>
      <c r="AN1409" s="4">
        <f>IF(vp.data[[#This Row],[SDate]]&lt;DATE(2016,12,1),0,1)</f>
        <v>1</v>
      </c>
      <c r="AO1409" s="4">
        <f>IFERROR(vp.data[[#This Row],[Sulf]]*vp.data[[#This Row],[Net Dens]],"")</f>
        <v>1162335.9995900001</v>
      </c>
      <c r="AP1409">
        <f>IFERROR(vp.data[[#This Row],[Dens]]*vp.data[[#This Row],[VolumeM3]],"")</f>
        <v>1128481.5530000001</v>
      </c>
      <c r="AQ1409" s="15">
        <f>IFERROR(vp.data[[#This Row],[VP]]*vp.data[[#This Row],[VolumeM3]],"")</f>
        <v>90573.727500000008</v>
      </c>
    </row>
    <row r="1410" spans="1:43" x14ac:dyDescent="0.25">
      <c r="A1410">
        <v>1409</v>
      </c>
      <c r="B1410" t="s">
        <v>49</v>
      </c>
      <c r="C1410" t="s">
        <v>49</v>
      </c>
      <c r="D1410" t="s">
        <v>299</v>
      </c>
      <c r="F1410" s="1">
        <v>42861</v>
      </c>
      <c r="G1410" s="2">
        <v>63.1</v>
      </c>
      <c r="H1410" s="2"/>
      <c r="I1410" s="2">
        <f t="array" ref="I1410">_xlfn.IFNA(IF(vp.data[[#This Row],[Sulf Input]]="",INDEX([1]DATA!$Q$3:$Q$9826,MATCH(1,(vp.data[[#This Row],[Battery]]=[1]DATA!$L$3:$L$9826)*(EOMONTH(vp.data[[#This Row],[SDate]],-1)+1=[1]DATA!$G$3:$G$9826),0)),vp.data[[#This Row],[Sulf Input]]),"")</f>
        <v>0.9</v>
      </c>
      <c r="J1410" s="2"/>
      <c r="K1410" s="2"/>
      <c r="L1410" s="2">
        <v>839</v>
      </c>
      <c r="M1410" s="2">
        <f t="array" ref="M1410">_xlfn.IFNA(IF(vp.data[[#This Row],[Dens Input]]="",INDEX([1]DATA!$O$3:$O$9826,MATCH(1,(vp.data[[#This Row],[Battery]]=[1]DATA!$L$3:$L$9826)*(EOMONTH(vp.data[[#This Row],[SDate]],-1)+1=[1]DATA!$G$3:$G$9826),0)),vp.data[[#This Row],[Dens Input]]),"")</f>
        <v>839</v>
      </c>
      <c r="N1410" s="2">
        <f ca="1">INDEX(INDIRECT(_xlfn.CONCAT("weather.tbl[",N$1,"]")),MATCH(vp.data[[#This Row],[SDate]],weather.tbl[Date],0))</f>
        <v>18.116666666666667</v>
      </c>
      <c r="O1410" s="2">
        <f ca="1">INDEX(INDIRECT(_xlfn.CONCAT("weather.tbl[",O$1,"]")),MATCH(vp.data[[#This Row],[SDate]],weather.tbl[Date],0))</f>
        <v>12.52857142857143</v>
      </c>
      <c r="P1410" s="2">
        <f ca="1">INDEX(INDIRECT(_xlfn.CONCAT("weather.tbl[",P$1,"]")),MATCH(vp.data[[#This Row],[SDate]],weather.tbl[Date],0))</f>
        <v>18.8</v>
      </c>
      <c r="Q1410" s="2">
        <f ca="1">INDEX(INDIRECT(_xlfn.CONCAT("weather.tbl[",Q$1,"]")),MATCH(vp.data[[#This Row],[SDate]],weather.tbl[Date],0))</f>
        <v>19.8</v>
      </c>
      <c r="R1410" s="2">
        <f ca="1">INDEX(INDIRECT(_xlfn.CONCAT("weather.tbl[",R$1,"]")),MATCH(vp.data[[#This Row],[SDate]],weather.tbl[Date],0))</f>
        <v>16.8</v>
      </c>
      <c r="S1410" s="2">
        <f ca="1">INDEX(INDIRECT(_xlfn.CONCAT("weather.tbl[",S$1,"]")),MATCH(vp.data[[#This Row],[SDate]],weather.tbl[Date],0))</f>
        <v>20.7</v>
      </c>
      <c r="T1410" s="2">
        <f ca="1">INDEX(INDIRECT(_xlfn.CONCAT("weather.tbl[",T$1,"]")),MATCH(vp.data[[#This Row],[SDate]],weather.tbl[Date],0))</f>
        <v>15.8</v>
      </c>
      <c r="U1410" s="2">
        <f ca="1">INDEX(INDIRECT(_xlfn.CONCAT("weather.tbl[",U$1,"]")),MATCH(vp.data[[#This Row],[SDate]],weather.tbl[Date],0))</f>
        <v>16.8</v>
      </c>
      <c r="V1410" s="2">
        <f t="array" ref="V14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155.66900000000001</v>
      </c>
      <c r="W1410" t="s">
        <v>48</v>
      </c>
      <c r="X1410">
        <f>IF(OR(vp.data[[#This Row],[Sulf]]="",vp.data[[#This Row],[Dens]]=""),1,0)</f>
        <v>0</v>
      </c>
      <c r="Y1410">
        <f>IF(vp.data[[#This Row],[CrudeType]]="C5+",1,0)</f>
        <v>0</v>
      </c>
      <c r="Z1410">
        <f>IF(AND(vp.data[[#This Row],[CrudeType]]="Crude",vp.data[[#This Row],[Dens]]&lt;=825,vp.data[[#This Row],[Sulf]]&gt;0.5,vp.data[[#This Row],[Unknown]]=0),1,0)</f>
        <v>0</v>
      </c>
      <c r="AA1410">
        <f>IF(AND(vp.data[[#This Row],[CrudeType]]="Crude",vp.data[[#This Row],[Dens]]&lt;=825,vp.data[[#This Row],[Sulf]]&lt;=0.5,vp.data[[#This Row],[Unknown]]=0),1,0)</f>
        <v>0</v>
      </c>
      <c r="AB14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0">
        <f>IF(AND(vp.data[[#This Row],[CrudeType]]="Crude",vp.data[[#This Row],[Dens]]&gt;825,vp.data[[#This Row],[Dens]]&lt;=900,vp.data[[#This Row],[Sulf]]&lt;=0.5,vp.data[[#This Row],[Unknown]]=0),1,0)</f>
        <v>0</v>
      </c>
      <c r="AD1410">
        <f>IF(AND(vp.data[[#This Row],[CrudeType]]="Crude",vp.data[[#This Row],[Dens]]&gt;865,vp.data[[#This Row],[Dens]]&lt;=900,vp.data[[#This Row],[Sulf]]&gt;2,vp.data[[#This Row],[Unknown]]=0),1,0)</f>
        <v>0</v>
      </c>
      <c r="AE1410">
        <f>IF(AND(vp.data[[#This Row],[CrudeType]]="Crude",vp.data[[#This Row],[Dens]]&gt;900,vp.data[[#This Row],[Sulf]]&lt;=0.5,vp.data[[#This Row],[Unknown]]=0),1,0)</f>
        <v>0</v>
      </c>
      <c r="AF1410">
        <f>IF(AND(vp.data[[#This Row],[CrudeType]]="Crude",vp.data[[#This Row],[Dens]]&gt;900,vp.data[[#This Row],[Sulf]]&lt;=0.5,vp.data[[#This Row],[Unknown]]=0),1,0)</f>
        <v>0</v>
      </c>
      <c r="AG1410" t="str">
        <f>INDEX(vp.data[[#Headers],[Unknown]:[Heavy_SW]],MATCH(1,vp.data[[#This Row],[Unknown]:[Heavy_SW]],0))</f>
        <v>Medium_LSB</v>
      </c>
      <c r="AH1410">
        <f>INDEX([3]!crudeBD.lkup[Number],MATCH(vp.data[[#This Row],[Crude_Breakdown]],crudeBD.lkup[Crude Breakdown],0))</f>
        <v>3</v>
      </c>
      <c r="AI1410">
        <f>MONTH(vp.data[[#This Row],[SDate]])</f>
        <v>5</v>
      </c>
      <c r="AJ1410" s="5">
        <f>(vp.data[[#This Row],[VP]]-INDEX(crudeBD.lkup[Mean_VP],MATCH(vp.data[[#This Row],[Crude_Breakdown]],crudeBD.lkup[Crude Breakdown],0)))^2</f>
        <v>307.64025347388969</v>
      </c>
      <c r="AK1410" s="5">
        <f>(vp.data[[#This Row],[Dens]]-INDEX(crudeBD.lkup[Mean_Dens],MATCH(vp.data[[#This Row],[Crude_Breakdown]],crudeBD.lkup[Crude Breakdown],0)))^2</f>
        <v>24.206399999995124</v>
      </c>
      <c r="AL1410" s="5">
        <f>(vp.data[[#This Row],[Sulf]]-INDEX(crudeBD.lkup[Mean_Sulf],MATCH(vp.data[[#This Row],[Crude_Breakdown]],crudeBD.lkup[Crude Breakdown],0)))^2</f>
        <v>0.23562104945148921</v>
      </c>
      <c r="AM1410" s="4">
        <f>IF(AND(vp.data[[#This Row],[SDate]]&gt;=DATE(YEAR(vp.data[[#This Row],[SDate]]),5,1),vp.data[[#This Row],[SDate]]&lt;=DATE(YEAR(vp.data[[#This Row],[SDate]]),9,15)),1,0)</f>
        <v>1</v>
      </c>
      <c r="AN1410" s="4">
        <f>IF(vp.data[[#This Row],[SDate]]&lt;DATE(2016,12,1),0,1)</f>
        <v>1</v>
      </c>
      <c r="AO1410" s="4">
        <f>IFERROR(vp.data[[#This Row],[Sulf]]*vp.data[[#This Row],[Net Dens]],"")</f>
        <v>117545.66190000001</v>
      </c>
      <c r="AP1410">
        <f>IFERROR(vp.data[[#This Row],[Dens]]*vp.data[[#This Row],[VolumeM3]],"")</f>
        <v>130606.29100000001</v>
      </c>
      <c r="AQ1410" s="15">
        <f>IFERROR(vp.data[[#This Row],[VP]]*vp.data[[#This Row],[VolumeM3]],"")</f>
        <v>9822.7139000000006</v>
      </c>
    </row>
    <row r="1411" spans="1:43" x14ac:dyDescent="0.25">
      <c r="A1411">
        <v>1410</v>
      </c>
      <c r="B1411" t="s">
        <v>68</v>
      </c>
      <c r="C1411" t="s">
        <v>68</v>
      </c>
      <c r="D1411" t="s">
        <v>300</v>
      </c>
      <c r="F1411" s="1">
        <v>42861</v>
      </c>
      <c r="G1411" s="2">
        <v>52.9</v>
      </c>
      <c r="H1411" s="2"/>
      <c r="I1411" s="2">
        <f t="array" ref="I1411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411" s="2"/>
      <c r="K1411" s="2"/>
      <c r="L1411" s="2">
        <v>851.8</v>
      </c>
      <c r="M1411" s="2">
        <f t="array" ref="M1411">_xlfn.IFNA(IF(vp.data[[#This Row],[Dens Input]]="",INDEX([1]DATA!$O$3:$O$9826,MATCH(1,(vp.data[[#This Row],[Battery]]=[1]DATA!$L$3:$L$9826)*(EOMONTH(vp.data[[#This Row],[SDate]],-1)+1=[1]DATA!$G$3:$G$9826),0)),vp.data[[#This Row],[Dens Input]]),"")</f>
        <v>851.8</v>
      </c>
      <c r="N1411" s="2">
        <f ca="1">INDEX(INDIRECT(_xlfn.CONCAT("weather.tbl[",N$1,"]")),MATCH(vp.data[[#This Row],[SDate]],weather.tbl[Date],0))</f>
        <v>18.116666666666667</v>
      </c>
      <c r="O1411" s="2">
        <f ca="1">INDEX(INDIRECT(_xlfn.CONCAT("weather.tbl[",O$1,"]")),MATCH(vp.data[[#This Row],[SDate]],weather.tbl[Date],0))</f>
        <v>12.52857142857143</v>
      </c>
      <c r="P1411" s="2">
        <f ca="1">INDEX(INDIRECT(_xlfn.CONCAT("weather.tbl[",P$1,"]")),MATCH(vp.data[[#This Row],[SDate]],weather.tbl[Date],0))</f>
        <v>18.8</v>
      </c>
      <c r="Q1411" s="2">
        <f ca="1">INDEX(INDIRECT(_xlfn.CONCAT("weather.tbl[",Q$1,"]")),MATCH(vp.data[[#This Row],[SDate]],weather.tbl[Date],0))</f>
        <v>19.8</v>
      </c>
      <c r="R1411" s="2">
        <f ca="1">INDEX(INDIRECT(_xlfn.CONCAT("weather.tbl[",R$1,"]")),MATCH(vp.data[[#This Row],[SDate]],weather.tbl[Date],0))</f>
        <v>16.8</v>
      </c>
      <c r="S1411" s="2">
        <f ca="1">INDEX(INDIRECT(_xlfn.CONCAT("weather.tbl[",S$1,"]")),MATCH(vp.data[[#This Row],[SDate]],weather.tbl[Date],0))</f>
        <v>20.7</v>
      </c>
      <c r="T1411" s="2">
        <f ca="1">INDEX(INDIRECT(_xlfn.CONCAT("weather.tbl[",T$1,"]")),MATCH(vp.data[[#This Row],[SDate]],weather.tbl[Date],0))</f>
        <v>15.8</v>
      </c>
      <c r="U1411" s="2">
        <f ca="1">INDEX(INDIRECT(_xlfn.CONCAT("weather.tbl[",U$1,"]")),MATCH(vp.data[[#This Row],[SDate]],weather.tbl[Date],0))</f>
        <v>16.8</v>
      </c>
      <c r="V1411" s="2">
        <f t="array" ref="V14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660.72799999999995</v>
      </c>
      <c r="W1411" t="s">
        <v>48</v>
      </c>
      <c r="X1411">
        <f>IF(OR(vp.data[[#This Row],[Sulf]]="",vp.data[[#This Row],[Dens]]=""),1,0)</f>
        <v>0</v>
      </c>
      <c r="Y1411">
        <f>IF(vp.data[[#This Row],[CrudeType]]="C5+",1,0)</f>
        <v>0</v>
      </c>
      <c r="Z1411">
        <f>IF(AND(vp.data[[#This Row],[CrudeType]]="Crude",vp.data[[#This Row],[Dens]]&lt;=825,vp.data[[#This Row],[Sulf]]&gt;0.5,vp.data[[#This Row],[Unknown]]=0),1,0)</f>
        <v>0</v>
      </c>
      <c r="AA1411">
        <f>IF(AND(vp.data[[#This Row],[CrudeType]]="Crude",vp.data[[#This Row],[Dens]]&lt;=825,vp.data[[#This Row],[Sulf]]&lt;=0.5,vp.data[[#This Row],[Unknown]]=0),1,0)</f>
        <v>0</v>
      </c>
      <c r="AB14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1">
        <f>IF(AND(vp.data[[#This Row],[CrudeType]]="Crude",vp.data[[#This Row],[Dens]]&gt;825,vp.data[[#This Row],[Dens]]&lt;=900,vp.data[[#This Row],[Sulf]]&lt;=0.5,vp.data[[#This Row],[Unknown]]=0),1,0)</f>
        <v>0</v>
      </c>
      <c r="AD1411">
        <f>IF(AND(vp.data[[#This Row],[CrudeType]]="Crude",vp.data[[#This Row],[Dens]]&gt;865,vp.data[[#This Row],[Dens]]&lt;=900,vp.data[[#This Row],[Sulf]]&gt;2,vp.data[[#This Row],[Unknown]]=0),1,0)</f>
        <v>0</v>
      </c>
      <c r="AE1411">
        <f>IF(AND(vp.data[[#This Row],[CrudeType]]="Crude",vp.data[[#This Row],[Dens]]&gt;900,vp.data[[#This Row],[Sulf]]&lt;=0.5,vp.data[[#This Row],[Unknown]]=0),1,0)</f>
        <v>0</v>
      </c>
      <c r="AF1411">
        <f>IF(AND(vp.data[[#This Row],[CrudeType]]="Crude",vp.data[[#This Row],[Dens]]&gt;900,vp.data[[#This Row],[Sulf]]&lt;=0.5,vp.data[[#This Row],[Unknown]]=0),1,0)</f>
        <v>0</v>
      </c>
      <c r="AG1411" t="str">
        <f>INDEX(vp.data[[#Headers],[Unknown]:[Heavy_SW]],MATCH(1,vp.data[[#This Row],[Unknown]:[Heavy_SW]],0))</f>
        <v>Medium_LSB</v>
      </c>
      <c r="AH1411">
        <f>INDEX([3]!crudeBD.lkup[Number],MATCH(vp.data[[#This Row],[Crude_Breakdown]],crudeBD.lkup[Crude Breakdown],0))</f>
        <v>3</v>
      </c>
      <c r="AI1411">
        <f>MONTH(vp.data[[#This Row],[SDate]])</f>
        <v>5</v>
      </c>
      <c r="AJ1411" s="5">
        <f>(vp.data[[#This Row],[VP]]-INDEX(crudeBD.lkup[Mean_VP],MATCH(vp.data[[#This Row],[Crude_Breakdown]],crudeBD.lkup[Crude Breakdown],0)))^2</f>
        <v>769.48965509113896</v>
      </c>
      <c r="AK1411" s="5">
        <f>(vp.data[[#This Row],[Dens]]-INDEX(crudeBD.lkup[Mean_Dens],MATCH(vp.data[[#This Row],[Crude_Breakdown]],crudeBD.lkup[Crude Breakdown],0)))^2</f>
        <v>62.094400000007099</v>
      </c>
      <c r="AL1411" s="5">
        <f>(vp.data[[#This Row],[Sulf]]-INDEX(crudeBD.lkup[Mean_Sulf],MATCH(vp.data[[#This Row],[Crude_Breakdown]],crudeBD.lkup[Crude Breakdown],0)))^2</f>
        <v>1.1110873171164612E-2</v>
      </c>
      <c r="AM1411" s="4">
        <f>IF(AND(vp.data[[#This Row],[SDate]]&gt;=DATE(YEAR(vp.data[[#This Row],[SDate]]),5,1),vp.data[[#This Row],[SDate]]&lt;=DATE(YEAR(vp.data[[#This Row],[SDate]]),9,15)),1,0)</f>
        <v>1</v>
      </c>
      <c r="AN1411" s="4">
        <f>IF(vp.data[[#This Row],[SDate]]&lt;DATE(2016,12,1),0,1)</f>
        <v>1</v>
      </c>
      <c r="AO1411" s="4">
        <f>IFERROR(vp.data[[#This Row],[Sulf]]*vp.data[[#This Row],[Net Dens]],"")</f>
        <v>720394.38131199987</v>
      </c>
      <c r="AP1411">
        <f>IFERROR(vp.data[[#This Row],[Dens]]*vp.data[[#This Row],[VolumeM3]],"")</f>
        <v>562808.11039999989</v>
      </c>
      <c r="AQ1411" s="15">
        <f>IFERROR(vp.data[[#This Row],[VP]]*vp.data[[#This Row],[VolumeM3]],"")</f>
        <v>34952.511199999994</v>
      </c>
    </row>
    <row r="1412" spans="1:43" x14ac:dyDescent="0.25">
      <c r="A1412">
        <v>1411</v>
      </c>
      <c r="B1412" t="s">
        <v>51</v>
      </c>
      <c r="C1412" t="s">
        <v>51</v>
      </c>
      <c r="D1412" t="s">
        <v>301</v>
      </c>
      <c r="F1412" s="1">
        <v>42861</v>
      </c>
      <c r="G1412" s="2">
        <v>49</v>
      </c>
      <c r="H1412" s="2"/>
      <c r="I1412" s="2">
        <f t="array" ref="I1412">_xlfn.IFNA(IF(vp.data[[#This Row],[Sulf Input]]="",INDEX([1]DATA!$Q$3:$Q$9826,MATCH(1,(vp.data[[#This Row],[Battery]]=[1]DATA!$L$3:$L$9826)*(EOMONTH(vp.data[[#This Row],[SDate]],-1)+1=[1]DATA!$G$3:$G$9826),0)),vp.data[[#This Row],[Sulf Input]]),"")</f>
        <v>1.1499999999999999</v>
      </c>
      <c r="J1412" s="2"/>
      <c r="K1412" s="2"/>
      <c r="L1412" s="2">
        <v>852.1</v>
      </c>
      <c r="M1412" s="2">
        <f t="array" ref="M1412">_xlfn.IFNA(IF(vp.data[[#This Row],[Dens Input]]="",INDEX([1]DATA!$O$3:$O$9826,MATCH(1,(vp.data[[#This Row],[Battery]]=[1]DATA!$L$3:$L$9826)*(EOMONTH(vp.data[[#This Row],[SDate]],-1)+1=[1]DATA!$G$3:$G$9826),0)),vp.data[[#This Row],[Dens Input]]),"")</f>
        <v>852.1</v>
      </c>
      <c r="N1412" s="2">
        <f ca="1">INDEX(INDIRECT(_xlfn.CONCAT("weather.tbl[",N$1,"]")),MATCH(vp.data[[#This Row],[SDate]],weather.tbl[Date],0))</f>
        <v>18.116666666666667</v>
      </c>
      <c r="O1412" s="2">
        <f ca="1">INDEX(INDIRECT(_xlfn.CONCAT("weather.tbl[",O$1,"]")),MATCH(vp.data[[#This Row],[SDate]],weather.tbl[Date],0))</f>
        <v>12.52857142857143</v>
      </c>
      <c r="P1412" s="2">
        <f ca="1">INDEX(INDIRECT(_xlfn.CONCAT("weather.tbl[",P$1,"]")),MATCH(vp.data[[#This Row],[SDate]],weather.tbl[Date],0))</f>
        <v>18.8</v>
      </c>
      <c r="Q1412" s="2">
        <f ca="1">INDEX(INDIRECT(_xlfn.CONCAT("weather.tbl[",Q$1,"]")),MATCH(vp.data[[#This Row],[SDate]],weather.tbl[Date],0))</f>
        <v>19.8</v>
      </c>
      <c r="R1412" s="2">
        <f ca="1">INDEX(INDIRECT(_xlfn.CONCAT("weather.tbl[",R$1,"]")),MATCH(vp.data[[#This Row],[SDate]],weather.tbl[Date],0))</f>
        <v>16.8</v>
      </c>
      <c r="S1412" s="2">
        <f ca="1">INDEX(INDIRECT(_xlfn.CONCAT("weather.tbl[",S$1,"]")),MATCH(vp.data[[#This Row],[SDate]],weather.tbl[Date],0))</f>
        <v>20.7</v>
      </c>
      <c r="T1412" s="2">
        <f ca="1">INDEX(INDIRECT(_xlfn.CONCAT("weather.tbl[",T$1,"]")),MATCH(vp.data[[#This Row],[SDate]],weather.tbl[Date],0))</f>
        <v>15.8</v>
      </c>
      <c r="U1412" s="2">
        <f ca="1">INDEX(INDIRECT(_xlfn.CONCAT("weather.tbl[",U$1,"]")),MATCH(vp.data[[#This Row],[SDate]],weather.tbl[Date],0))</f>
        <v>16.8</v>
      </c>
      <c r="V1412" s="2">
        <f t="array" ref="V14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338.42</v>
      </c>
      <c r="W1412" t="s">
        <v>48</v>
      </c>
      <c r="X1412">
        <f>IF(OR(vp.data[[#This Row],[Sulf]]="",vp.data[[#This Row],[Dens]]=""),1,0)</f>
        <v>0</v>
      </c>
      <c r="Y1412">
        <f>IF(vp.data[[#This Row],[CrudeType]]="C5+",1,0)</f>
        <v>0</v>
      </c>
      <c r="Z1412">
        <f>IF(AND(vp.data[[#This Row],[CrudeType]]="Crude",vp.data[[#This Row],[Dens]]&lt;=825,vp.data[[#This Row],[Sulf]]&gt;0.5,vp.data[[#This Row],[Unknown]]=0),1,0)</f>
        <v>0</v>
      </c>
      <c r="AA1412">
        <f>IF(AND(vp.data[[#This Row],[CrudeType]]="Crude",vp.data[[#This Row],[Dens]]&lt;=825,vp.data[[#This Row],[Sulf]]&lt;=0.5,vp.data[[#This Row],[Unknown]]=0),1,0)</f>
        <v>0</v>
      </c>
      <c r="AB14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2">
        <f>IF(AND(vp.data[[#This Row],[CrudeType]]="Crude",vp.data[[#This Row],[Dens]]&gt;825,vp.data[[#This Row],[Dens]]&lt;=900,vp.data[[#This Row],[Sulf]]&lt;=0.5,vp.data[[#This Row],[Unknown]]=0),1,0)</f>
        <v>0</v>
      </c>
      <c r="AD1412">
        <f>IF(AND(vp.data[[#This Row],[CrudeType]]="Crude",vp.data[[#This Row],[Dens]]&gt;865,vp.data[[#This Row],[Dens]]&lt;=900,vp.data[[#This Row],[Sulf]]&gt;2,vp.data[[#This Row],[Unknown]]=0),1,0)</f>
        <v>0</v>
      </c>
      <c r="AE1412">
        <f>IF(AND(vp.data[[#This Row],[CrudeType]]="Crude",vp.data[[#This Row],[Dens]]&gt;900,vp.data[[#This Row],[Sulf]]&lt;=0.5,vp.data[[#This Row],[Unknown]]=0),1,0)</f>
        <v>0</v>
      </c>
      <c r="AF1412">
        <f>IF(AND(vp.data[[#This Row],[CrudeType]]="Crude",vp.data[[#This Row],[Dens]]&gt;900,vp.data[[#This Row],[Sulf]]&lt;=0.5,vp.data[[#This Row],[Unknown]]=0),1,0)</f>
        <v>0</v>
      </c>
      <c r="AG1412" t="str">
        <f>INDEX(vp.data[[#Headers],[Unknown]:[Heavy_SW]],MATCH(1,vp.data[[#This Row],[Unknown]:[Heavy_SW]],0))</f>
        <v>Medium_LSB</v>
      </c>
      <c r="AH1412">
        <f>INDEX([3]!crudeBD.lkup[Number],MATCH(vp.data[[#This Row],[Crude_Breakdown]],crudeBD.lkup[Crude Breakdown],0))</f>
        <v>3</v>
      </c>
      <c r="AI1412">
        <f>MONTH(vp.data[[#This Row],[SDate]])</f>
        <v>5</v>
      </c>
      <c r="AJ1412" s="5">
        <f>(vp.data[[#This Row],[VP]]-INDEX(crudeBD.lkup[Mean_VP],MATCH(vp.data[[#This Row],[Crude_Breakdown]],crudeBD.lkup[Crude Breakdown],0)))^2</f>
        <v>1001.0691321800872</v>
      </c>
      <c r="AK1412" s="5">
        <f>(vp.data[[#This Row],[Dens]]-INDEX(crudeBD.lkup[Mean_Dens],MATCH(vp.data[[#This Row],[Crude_Breakdown]],crudeBD.lkup[Crude Breakdown],0)))^2</f>
        <v>66.912400000008475</v>
      </c>
      <c r="AL1412" s="5">
        <f>(vp.data[[#This Row],[Sulf]]-INDEX(crudeBD.lkup[Mean_Sulf],MATCH(vp.data[[#This Row],[Crude_Breakdown]],crudeBD.lkup[Crude Breakdown],0)))^2</f>
        <v>5.5416986109170445E-2</v>
      </c>
      <c r="AM1412" s="4">
        <f>IF(AND(vp.data[[#This Row],[SDate]]&gt;=DATE(YEAR(vp.data[[#This Row],[SDate]]),5,1),vp.data[[#This Row],[SDate]]&lt;=DATE(YEAR(vp.data[[#This Row],[SDate]]),9,15)),1,0)</f>
        <v>1</v>
      </c>
      <c r="AN1412" s="4">
        <f>IF(vp.data[[#This Row],[SDate]]&lt;DATE(2016,12,1),0,1)</f>
        <v>1</v>
      </c>
      <c r="AO1412" s="4">
        <f>IFERROR(vp.data[[#This Row],[Sulf]]*vp.data[[#This Row],[Net Dens]],"")</f>
        <v>331622.83429999999</v>
      </c>
      <c r="AP1412">
        <f>IFERROR(vp.data[[#This Row],[Dens]]*vp.data[[#This Row],[VolumeM3]],"")</f>
        <v>288367.68200000003</v>
      </c>
      <c r="AQ1412" s="15">
        <f>IFERROR(vp.data[[#This Row],[VP]]*vp.data[[#This Row],[VolumeM3]],"")</f>
        <v>16582.580000000002</v>
      </c>
    </row>
    <row r="1413" spans="1:43" x14ac:dyDescent="0.25">
      <c r="A1413">
        <v>1412</v>
      </c>
      <c r="B1413" t="s">
        <v>49</v>
      </c>
      <c r="C1413" t="s">
        <v>49</v>
      </c>
      <c r="D1413" t="s">
        <v>302</v>
      </c>
      <c r="F1413" s="1">
        <v>42861</v>
      </c>
      <c r="G1413" s="2">
        <v>63.2</v>
      </c>
      <c r="H1413" s="2"/>
      <c r="I1413" s="2">
        <f t="array" ref="I1413">_xlfn.IFNA(IF(vp.data[[#This Row],[Sulf Input]]="",INDEX([1]DATA!$Q$3:$Q$9826,MATCH(1,(vp.data[[#This Row],[Battery]]=[1]DATA!$L$3:$L$9826)*(EOMONTH(vp.data[[#This Row],[SDate]],-1)+1=[1]DATA!$G$3:$G$9826),0)),vp.data[[#This Row],[Sulf Input]]),"")</f>
        <v>1.1200000000000001</v>
      </c>
      <c r="J1413" s="2"/>
      <c r="K1413" s="2"/>
      <c r="L1413" s="2">
        <v>851.6</v>
      </c>
      <c r="M1413" s="2">
        <f t="array" ref="M1413">_xlfn.IFNA(IF(vp.data[[#This Row],[Dens Input]]="",INDEX([1]DATA!$O$3:$O$9826,MATCH(1,(vp.data[[#This Row],[Battery]]=[1]DATA!$L$3:$L$9826)*(EOMONTH(vp.data[[#This Row],[SDate]],-1)+1=[1]DATA!$G$3:$G$9826),0)),vp.data[[#This Row],[Dens Input]]),"")</f>
        <v>851.6</v>
      </c>
      <c r="N1413" s="2">
        <f ca="1">INDEX(INDIRECT(_xlfn.CONCAT("weather.tbl[",N$1,"]")),MATCH(vp.data[[#This Row],[SDate]],weather.tbl[Date],0))</f>
        <v>18.116666666666667</v>
      </c>
      <c r="O1413" s="2">
        <f ca="1">INDEX(INDIRECT(_xlfn.CONCAT("weather.tbl[",O$1,"]")),MATCH(vp.data[[#This Row],[SDate]],weather.tbl[Date],0))</f>
        <v>12.52857142857143</v>
      </c>
      <c r="P1413" s="2">
        <f ca="1">INDEX(INDIRECT(_xlfn.CONCAT("weather.tbl[",P$1,"]")),MATCH(vp.data[[#This Row],[SDate]],weather.tbl[Date],0))</f>
        <v>18.8</v>
      </c>
      <c r="Q1413" s="2">
        <f ca="1">INDEX(INDIRECT(_xlfn.CONCAT("weather.tbl[",Q$1,"]")),MATCH(vp.data[[#This Row],[SDate]],weather.tbl[Date],0))</f>
        <v>19.8</v>
      </c>
      <c r="R1413" s="2">
        <f ca="1">INDEX(INDIRECT(_xlfn.CONCAT("weather.tbl[",R$1,"]")),MATCH(vp.data[[#This Row],[SDate]],weather.tbl[Date],0))</f>
        <v>16.8</v>
      </c>
      <c r="S1413" s="2">
        <f ca="1">INDEX(INDIRECT(_xlfn.CONCAT("weather.tbl[",S$1,"]")),MATCH(vp.data[[#This Row],[SDate]],weather.tbl[Date],0))</f>
        <v>20.7</v>
      </c>
      <c r="T1413" s="2">
        <f ca="1">INDEX(INDIRECT(_xlfn.CONCAT("weather.tbl[",T$1,"]")),MATCH(vp.data[[#This Row],[SDate]],weather.tbl[Date],0))</f>
        <v>15.8</v>
      </c>
      <c r="U1413" s="2">
        <f ca="1">INDEX(INDIRECT(_xlfn.CONCAT("weather.tbl[",U$1,"]")),MATCH(vp.data[[#This Row],[SDate]],weather.tbl[Date],0))</f>
        <v>16.8</v>
      </c>
      <c r="V1413" s="2">
        <f t="array" ref="V14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147.60900000000001</v>
      </c>
      <c r="W1413" t="s">
        <v>48</v>
      </c>
      <c r="X1413">
        <f>IF(OR(vp.data[[#This Row],[Sulf]]="",vp.data[[#This Row],[Dens]]=""),1,0)</f>
        <v>0</v>
      </c>
      <c r="Y1413">
        <f>IF(vp.data[[#This Row],[CrudeType]]="C5+",1,0)</f>
        <v>0</v>
      </c>
      <c r="Z1413">
        <f>IF(AND(vp.data[[#This Row],[CrudeType]]="Crude",vp.data[[#This Row],[Dens]]&lt;=825,vp.data[[#This Row],[Sulf]]&gt;0.5,vp.data[[#This Row],[Unknown]]=0),1,0)</f>
        <v>0</v>
      </c>
      <c r="AA1413">
        <f>IF(AND(vp.data[[#This Row],[CrudeType]]="Crude",vp.data[[#This Row],[Dens]]&lt;=825,vp.data[[#This Row],[Sulf]]&lt;=0.5,vp.data[[#This Row],[Unknown]]=0),1,0)</f>
        <v>0</v>
      </c>
      <c r="AB14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3">
        <f>IF(AND(vp.data[[#This Row],[CrudeType]]="Crude",vp.data[[#This Row],[Dens]]&gt;825,vp.data[[#This Row],[Dens]]&lt;=900,vp.data[[#This Row],[Sulf]]&lt;=0.5,vp.data[[#This Row],[Unknown]]=0),1,0)</f>
        <v>0</v>
      </c>
      <c r="AD1413">
        <f>IF(AND(vp.data[[#This Row],[CrudeType]]="Crude",vp.data[[#This Row],[Dens]]&gt;865,vp.data[[#This Row],[Dens]]&lt;=900,vp.data[[#This Row],[Sulf]]&gt;2,vp.data[[#This Row],[Unknown]]=0),1,0)</f>
        <v>0</v>
      </c>
      <c r="AE1413">
        <f>IF(AND(vp.data[[#This Row],[CrudeType]]="Crude",vp.data[[#This Row],[Dens]]&gt;900,vp.data[[#This Row],[Sulf]]&lt;=0.5,vp.data[[#This Row],[Unknown]]=0),1,0)</f>
        <v>0</v>
      </c>
      <c r="AF1413">
        <f>IF(AND(vp.data[[#This Row],[CrudeType]]="Crude",vp.data[[#This Row],[Dens]]&gt;900,vp.data[[#This Row],[Sulf]]&lt;=0.5,vp.data[[#This Row],[Unknown]]=0),1,0)</f>
        <v>0</v>
      </c>
      <c r="AG1413" t="str">
        <f>INDEX(vp.data[[#Headers],[Unknown]:[Heavy_SW]],MATCH(1,vp.data[[#This Row],[Unknown]:[Heavy_SW]],0))</f>
        <v>Medium_LSB</v>
      </c>
      <c r="AH1413">
        <f>INDEX([3]!crudeBD.lkup[Number],MATCH(vp.data[[#This Row],[Crude_Breakdown]],crudeBD.lkup[Crude Breakdown],0))</f>
        <v>3</v>
      </c>
      <c r="AI1413">
        <f>MONTH(vp.data[[#This Row],[SDate]])</f>
        <v>5</v>
      </c>
      <c r="AJ1413" s="5">
        <f>(vp.data[[#This Row],[VP]]-INDEX(crudeBD.lkup[Mean_VP],MATCH(vp.data[[#This Row],[Crude_Breakdown]],crudeBD.lkup[Crude Breakdown],0)))^2</f>
        <v>304.14231816391657</v>
      </c>
      <c r="AK1413" s="5">
        <f>(vp.data[[#This Row],[Dens]]-INDEX(crudeBD.lkup[Mean_Dens],MATCH(vp.data[[#This Row],[Crude_Breakdown]],crudeBD.lkup[Crude Breakdown],0)))^2</f>
        <v>58.982400000007964</v>
      </c>
      <c r="AL1413" s="5">
        <f>(vp.data[[#This Row],[Sulf]]-INDEX(crudeBD.lkup[Mean_Sulf],MATCH(vp.data[[#This Row],[Crude_Breakdown]],crudeBD.lkup[Crude Breakdown],0)))^2</f>
        <v>7.04414737102486E-2</v>
      </c>
      <c r="AM1413" s="4">
        <f>IF(AND(vp.data[[#This Row],[SDate]]&gt;=DATE(YEAR(vp.data[[#This Row],[SDate]]),5,1),vp.data[[#This Row],[SDate]]&lt;=DATE(YEAR(vp.data[[#This Row],[SDate]]),9,15)),1,0)</f>
        <v>1</v>
      </c>
      <c r="AN1413" s="4">
        <f>IF(vp.data[[#This Row],[SDate]]&lt;DATE(2016,12,1),0,1)</f>
        <v>1</v>
      </c>
      <c r="AO1413" s="4">
        <f>IFERROR(vp.data[[#This Row],[Sulf]]*vp.data[[#This Row],[Net Dens]],"")</f>
        <v>140788.28332800002</v>
      </c>
      <c r="AP1413">
        <f>IFERROR(vp.data[[#This Row],[Dens]]*vp.data[[#This Row],[VolumeM3]],"")</f>
        <v>125703.82440000001</v>
      </c>
      <c r="AQ1413" s="15">
        <f>IFERROR(vp.data[[#This Row],[VP]]*vp.data[[#This Row],[VolumeM3]],"")</f>
        <v>9328.8888000000006</v>
      </c>
    </row>
    <row r="1414" spans="1:43" x14ac:dyDescent="0.25">
      <c r="A1414">
        <v>1413</v>
      </c>
      <c r="B1414" t="s">
        <v>178</v>
      </c>
      <c r="C1414" t="s">
        <v>178</v>
      </c>
      <c r="D1414" t="s">
        <v>303</v>
      </c>
      <c r="F1414" s="1">
        <v>42861</v>
      </c>
      <c r="G1414" s="2">
        <v>60</v>
      </c>
      <c r="H1414" s="2"/>
      <c r="I1414" s="2">
        <f t="array" ref="I1414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1414" s="2"/>
      <c r="K1414" s="2"/>
      <c r="L1414" s="2">
        <v>864.5</v>
      </c>
      <c r="M1414" s="2">
        <f t="array" ref="M1414">_xlfn.IFNA(IF(vp.data[[#This Row],[Dens Input]]="",INDEX([1]DATA!$O$3:$O$9826,MATCH(1,(vp.data[[#This Row],[Battery]]=[1]DATA!$L$3:$L$9826)*(EOMONTH(vp.data[[#This Row],[SDate]],-1)+1=[1]DATA!$G$3:$G$9826),0)),vp.data[[#This Row],[Dens Input]]),"")</f>
        <v>864.5</v>
      </c>
      <c r="N1414" s="2">
        <f ca="1">INDEX(INDIRECT(_xlfn.CONCAT("weather.tbl[",N$1,"]")),MATCH(vp.data[[#This Row],[SDate]],weather.tbl[Date],0))</f>
        <v>18.116666666666667</v>
      </c>
      <c r="O1414" s="2">
        <f ca="1">INDEX(INDIRECT(_xlfn.CONCAT("weather.tbl[",O$1,"]")),MATCH(vp.data[[#This Row],[SDate]],weather.tbl[Date],0))</f>
        <v>12.52857142857143</v>
      </c>
      <c r="P1414" s="2">
        <f ca="1">INDEX(INDIRECT(_xlfn.CONCAT("weather.tbl[",P$1,"]")),MATCH(vp.data[[#This Row],[SDate]],weather.tbl[Date],0))</f>
        <v>18.8</v>
      </c>
      <c r="Q1414" s="2">
        <f ca="1">INDEX(INDIRECT(_xlfn.CONCAT("weather.tbl[",Q$1,"]")),MATCH(vp.data[[#This Row],[SDate]],weather.tbl[Date],0))</f>
        <v>19.8</v>
      </c>
      <c r="R1414" s="2">
        <f ca="1">INDEX(INDIRECT(_xlfn.CONCAT("weather.tbl[",R$1,"]")),MATCH(vp.data[[#This Row],[SDate]],weather.tbl[Date],0))</f>
        <v>16.8</v>
      </c>
      <c r="S1414" s="2">
        <f ca="1">INDEX(INDIRECT(_xlfn.CONCAT("weather.tbl[",S$1,"]")),MATCH(vp.data[[#This Row],[SDate]],weather.tbl[Date],0))</f>
        <v>20.7</v>
      </c>
      <c r="T1414" s="2">
        <f ca="1">INDEX(INDIRECT(_xlfn.CONCAT("weather.tbl[",T$1,"]")),MATCH(vp.data[[#This Row],[SDate]],weather.tbl[Date],0))</f>
        <v>15.8</v>
      </c>
      <c r="U1414" s="2">
        <f ca="1">INDEX(INDIRECT(_xlfn.CONCAT("weather.tbl[",U$1,"]")),MATCH(vp.data[[#This Row],[SDate]],weather.tbl[Date],0))</f>
        <v>16.8</v>
      </c>
      <c r="V1414" s="2">
        <f t="array" ref="V14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1269.43</v>
      </c>
      <c r="W1414" t="s">
        <v>48</v>
      </c>
      <c r="X1414">
        <f>IF(OR(vp.data[[#This Row],[Sulf]]="",vp.data[[#This Row],[Dens]]=""),1,0)</f>
        <v>0</v>
      </c>
      <c r="Y1414">
        <f>IF(vp.data[[#This Row],[CrudeType]]="C5+",1,0)</f>
        <v>0</v>
      </c>
      <c r="Z1414">
        <f>IF(AND(vp.data[[#This Row],[CrudeType]]="Crude",vp.data[[#This Row],[Dens]]&lt;=825,vp.data[[#This Row],[Sulf]]&gt;0.5,vp.data[[#This Row],[Unknown]]=0),1,0)</f>
        <v>0</v>
      </c>
      <c r="AA1414">
        <f>IF(AND(vp.data[[#This Row],[CrudeType]]="Crude",vp.data[[#This Row],[Dens]]&lt;=825,vp.data[[#This Row],[Sulf]]&lt;=0.5,vp.data[[#This Row],[Unknown]]=0),1,0)</f>
        <v>0</v>
      </c>
      <c r="AB14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4">
        <f>IF(AND(vp.data[[#This Row],[CrudeType]]="Crude",vp.data[[#This Row],[Dens]]&gt;825,vp.data[[#This Row],[Dens]]&lt;=900,vp.data[[#This Row],[Sulf]]&lt;=0.5,vp.data[[#This Row],[Unknown]]=0),1,0)</f>
        <v>0</v>
      </c>
      <c r="AD1414">
        <f>IF(AND(vp.data[[#This Row],[CrudeType]]="Crude",vp.data[[#This Row],[Dens]]&gt;865,vp.data[[#This Row],[Dens]]&lt;=900,vp.data[[#This Row],[Sulf]]&gt;2,vp.data[[#This Row],[Unknown]]=0),1,0)</f>
        <v>0</v>
      </c>
      <c r="AE1414">
        <f>IF(AND(vp.data[[#This Row],[CrudeType]]="Crude",vp.data[[#This Row],[Dens]]&gt;900,vp.data[[#This Row],[Sulf]]&lt;=0.5,vp.data[[#This Row],[Unknown]]=0),1,0)</f>
        <v>0</v>
      </c>
      <c r="AF1414">
        <f>IF(AND(vp.data[[#This Row],[CrudeType]]="Crude",vp.data[[#This Row],[Dens]]&gt;900,vp.data[[#This Row],[Sulf]]&lt;=0.5,vp.data[[#This Row],[Unknown]]=0),1,0)</f>
        <v>0</v>
      </c>
      <c r="AG1414" t="str">
        <f>INDEX(vp.data[[#Headers],[Unknown]:[Heavy_SW]],MATCH(1,vp.data[[#This Row],[Unknown]:[Heavy_SW]],0))</f>
        <v>Medium_LSB</v>
      </c>
      <c r="AH1414">
        <f>INDEX([3]!crudeBD.lkup[Number],MATCH(vp.data[[#This Row],[Crude_Breakdown]],crudeBD.lkup[Crude Breakdown],0))</f>
        <v>3</v>
      </c>
      <c r="AI1414">
        <f>MONTH(vp.data[[#This Row],[SDate]])</f>
        <v>5</v>
      </c>
      <c r="AJ1414" s="5">
        <f>(vp.data[[#This Row],[VP]]-INDEX(crudeBD.lkup[Mean_VP],MATCH(vp.data[[#This Row],[Crude_Breakdown]],crudeBD.lkup[Crude Breakdown],0)))^2</f>
        <v>425.99624808305367</v>
      </c>
      <c r="AK1414" s="5">
        <f>(vp.data[[#This Row],[Dens]]-INDEX(crudeBD.lkup[Mean_Dens],MATCH(vp.data[[#This Row],[Crude_Breakdown]],crudeBD.lkup[Crude Breakdown],0)))^2</f>
        <v>423.53640000002042</v>
      </c>
      <c r="AL1414" s="5">
        <f>(vp.data[[#This Row],[Sulf]]-INDEX(crudeBD.lkup[Mean_Sulf],MATCH(vp.data[[#This Row],[Crude_Breakdown]],crudeBD.lkup[Crude Breakdown],0)))^2</f>
        <v>9.8968046756068975E-2</v>
      </c>
      <c r="AM1414" s="4">
        <f>IF(AND(vp.data[[#This Row],[SDate]]&gt;=DATE(YEAR(vp.data[[#This Row],[SDate]]),5,1),vp.data[[#This Row],[SDate]]&lt;=DATE(YEAR(vp.data[[#This Row],[SDate]]),9,15)),1,0)</f>
        <v>1</v>
      </c>
      <c r="AN1414" s="4">
        <f>IF(vp.data[[#This Row],[SDate]]&lt;DATE(2016,12,1),0,1)</f>
        <v>1</v>
      </c>
      <c r="AO1414" s="4">
        <f>IFERROR(vp.data[[#This Row],[Sulf]]*vp.data[[#This Row],[Net Dens]],"")</f>
        <v>1865617.7995000002</v>
      </c>
      <c r="AP1414">
        <f>IFERROR(vp.data[[#This Row],[Dens]]*vp.data[[#This Row],[VolumeM3]],"")</f>
        <v>1097422.2350000001</v>
      </c>
      <c r="AQ1414" s="15">
        <f>IFERROR(vp.data[[#This Row],[VP]]*vp.data[[#This Row],[VolumeM3]],"")</f>
        <v>76165.8</v>
      </c>
    </row>
    <row r="1415" spans="1:43" x14ac:dyDescent="0.25">
      <c r="A1415">
        <v>1414</v>
      </c>
      <c r="B1415" t="s">
        <v>51</v>
      </c>
      <c r="C1415" t="s">
        <v>51</v>
      </c>
      <c r="D1415" t="s">
        <v>180</v>
      </c>
      <c r="F1415" s="1">
        <v>42861</v>
      </c>
      <c r="G1415" s="2">
        <v>69.7</v>
      </c>
      <c r="H1415" s="2"/>
      <c r="I1415" s="2">
        <f t="array" ref="I1415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415" s="2"/>
      <c r="K1415" s="2"/>
      <c r="L1415" s="2">
        <v>857.3</v>
      </c>
      <c r="M1415" s="2">
        <f t="array" ref="M1415">_xlfn.IFNA(IF(vp.data[[#This Row],[Dens Input]]="",INDEX([1]DATA!$O$3:$O$9826,MATCH(1,(vp.data[[#This Row],[Battery]]=[1]DATA!$L$3:$L$9826)*(EOMONTH(vp.data[[#This Row],[SDate]],-1)+1=[1]DATA!$G$3:$G$9826),0)),vp.data[[#This Row],[Dens Input]]),"")</f>
        <v>857.3</v>
      </c>
      <c r="N1415" s="2">
        <f ca="1">INDEX(INDIRECT(_xlfn.CONCAT("weather.tbl[",N$1,"]")),MATCH(vp.data[[#This Row],[SDate]],weather.tbl[Date],0))</f>
        <v>18.116666666666667</v>
      </c>
      <c r="O1415" s="2">
        <f ca="1">INDEX(INDIRECT(_xlfn.CONCAT("weather.tbl[",O$1,"]")),MATCH(vp.data[[#This Row],[SDate]],weather.tbl[Date],0))</f>
        <v>12.52857142857143</v>
      </c>
      <c r="P1415" s="2">
        <f ca="1">INDEX(INDIRECT(_xlfn.CONCAT("weather.tbl[",P$1,"]")),MATCH(vp.data[[#This Row],[SDate]],weather.tbl[Date],0))</f>
        <v>18.8</v>
      </c>
      <c r="Q1415" s="2">
        <f ca="1">INDEX(INDIRECT(_xlfn.CONCAT("weather.tbl[",Q$1,"]")),MATCH(vp.data[[#This Row],[SDate]],weather.tbl[Date],0))</f>
        <v>19.8</v>
      </c>
      <c r="R1415" s="2">
        <f ca="1">INDEX(INDIRECT(_xlfn.CONCAT("weather.tbl[",R$1,"]")),MATCH(vp.data[[#This Row],[SDate]],weather.tbl[Date],0))</f>
        <v>16.8</v>
      </c>
      <c r="S1415" s="2">
        <f ca="1">INDEX(INDIRECT(_xlfn.CONCAT("weather.tbl[",S$1,"]")),MATCH(vp.data[[#This Row],[SDate]],weather.tbl[Date],0))</f>
        <v>20.7</v>
      </c>
      <c r="T1415" s="2">
        <f ca="1">INDEX(INDIRECT(_xlfn.CONCAT("weather.tbl[",T$1,"]")),MATCH(vp.data[[#This Row],[SDate]],weather.tbl[Date],0))</f>
        <v>15.8</v>
      </c>
      <c r="U1415" s="2">
        <f ca="1">INDEX(INDIRECT(_xlfn.CONCAT("weather.tbl[",U$1,"]")),MATCH(vp.data[[#This Row],[SDate]],weather.tbl[Date],0))</f>
        <v>16.8</v>
      </c>
      <c r="V1415" s="2">
        <f t="array" ref="V14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769.65700000000004</v>
      </c>
      <c r="W1415" t="s">
        <v>48</v>
      </c>
      <c r="X1415">
        <f>IF(OR(vp.data[[#This Row],[Sulf]]="",vp.data[[#This Row],[Dens]]=""),1,0)</f>
        <v>0</v>
      </c>
      <c r="Y1415">
        <f>IF(vp.data[[#This Row],[CrudeType]]="C5+",1,0)</f>
        <v>0</v>
      </c>
      <c r="Z1415">
        <f>IF(AND(vp.data[[#This Row],[CrudeType]]="Crude",vp.data[[#This Row],[Dens]]&lt;=825,vp.data[[#This Row],[Sulf]]&gt;0.5,vp.data[[#This Row],[Unknown]]=0),1,0)</f>
        <v>0</v>
      </c>
      <c r="AA1415">
        <f>IF(AND(vp.data[[#This Row],[CrudeType]]="Crude",vp.data[[#This Row],[Dens]]&lt;=825,vp.data[[#This Row],[Sulf]]&lt;=0.5,vp.data[[#This Row],[Unknown]]=0),1,0)</f>
        <v>0</v>
      </c>
      <c r="AB14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5">
        <f>IF(AND(vp.data[[#This Row],[CrudeType]]="Crude",vp.data[[#This Row],[Dens]]&gt;825,vp.data[[#This Row],[Dens]]&lt;=900,vp.data[[#This Row],[Sulf]]&lt;=0.5,vp.data[[#This Row],[Unknown]]=0),1,0)</f>
        <v>0</v>
      </c>
      <c r="AD1415">
        <f>IF(AND(vp.data[[#This Row],[CrudeType]]="Crude",vp.data[[#This Row],[Dens]]&gt;865,vp.data[[#This Row],[Dens]]&lt;=900,vp.data[[#This Row],[Sulf]]&gt;2,vp.data[[#This Row],[Unknown]]=0),1,0)</f>
        <v>0</v>
      </c>
      <c r="AE1415">
        <f>IF(AND(vp.data[[#This Row],[CrudeType]]="Crude",vp.data[[#This Row],[Dens]]&gt;900,vp.data[[#This Row],[Sulf]]&lt;=0.5,vp.data[[#This Row],[Unknown]]=0),1,0)</f>
        <v>0</v>
      </c>
      <c r="AF1415">
        <f>IF(AND(vp.data[[#This Row],[CrudeType]]="Crude",vp.data[[#This Row],[Dens]]&gt;900,vp.data[[#This Row],[Sulf]]&lt;=0.5,vp.data[[#This Row],[Unknown]]=0),1,0)</f>
        <v>0</v>
      </c>
      <c r="AG1415" t="str">
        <f>INDEX(vp.data[[#Headers],[Unknown]:[Heavy_SW]],MATCH(1,vp.data[[#This Row],[Unknown]:[Heavy_SW]],0))</f>
        <v>Medium_LSB</v>
      </c>
      <c r="AH1415">
        <f>INDEX([3]!crudeBD.lkup[Number],MATCH(vp.data[[#This Row],[Crude_Breakdown]],crudeBD.lkup[Crude Breakdown],0))</f>
        <v>3</v>
      </c>
      <c r="AI1415">
        <f>MONTH(vp.data[[#This Row],[SDate]])</f>
        <v>5</v>
      </c>
      <c r="AJ1415" s="5">
        <f>(vp.data[[#This Row],[VP]]-INDEX(crudeBD.lkup[Mean_VP],MATCH(vp.data[[#This Row],[Crude_Breakdown]],crudeBD.lkup[Crude Breakdown],0)))^2</f>
        <v>119.67652301566957</v>
      </c>
      <c r="AK1415" s="5">
        <f>(vp.data[[#This Row],[Dens]]-INDEX(crudeBD.lkup[Mean_Dens],MATCH(vp.data[[#This Row],[Crude_Breakdown]],crudeBD.lkup[Crude Breakdown],0)))^2</f>
        <v>179.02440000001204</v>
      </c>
      <c r="AL1415" s="5">
        <f>(vp.data[[#This Row],[Sulf]]-INDEX(crudeBD.lkup[Mean_Sulf],MATCH(vp.data[[#This Row],[Crude_Breakdown]],crudeBD.lkup[Crude Breakdown],0)))^2</f>
        <v>1.5523134896231305E-2</v>
      </c>
      <c r="AM1415" s="4">
        <f>IF(AND(vp.data[[#This Row],[SDate]]&gt;=DATE(YEAR(vp.data[[#This Row],[SDate]]),5,1),vp.data[[#This Row],[SDate]]&lt;=DATE(YEAR(vp.data[[#This Row],[SDate]]),9,15)),1,0)</f>
        <v>1</v>
      </c>
      <c r="AN1415" s="4">
        <f>IF(vp.data[[#This Row],[SDate]]&lt;DATE(2016,12,1),0,1)</f>
        <v>1</v>
      </c>
      <c r="AO1415" s="4">
        <f>IFERROR(vp.data[[#This Row],[Sulf]]*vp.data[[#This Row],[Net Dens]],"")</f>
        <v>996338.68861099996</v>
      </c>
      <c r="AP1415">
        <f>IFERROR(vp.data[[#This Row],[Dens]]*vp.data[[#This Row],[VolumeM3]],"")</f>
        <v>659826.94609999994</v>
      </c>
      <c r="AQ1415" s="15">
        <f>IFERROR(vp.data[[#This Row],[VP]]*vp.data[[#This Row],[VolumeM3]],"")</f>
        <v>53645.092900000003</v>
      </c>
    </row>
    <row r="1416" spans="1:43" x14ac:dyDescent="0.25">
      <c r="A1416">
        <v>1415</v>
      </c>
      <c r="B1416" t="s">
        <v>178</v>
      </c>
      <c r="C1416" t="s">
        <v>178</v>
      </c>
      <c r="D1416" t="s">
        <v>181</v>
      </c>
      <c r="F1416" s="1">
        <v>42861</v>
      </c>
      <c r="G1416" s="2">
        <v>74.599999999999994</v>
      </c>
      <c r="H1416" s="2"/>
      <c r="I1416" s="2">
        <f t="array" ref="I1416">_xlfn.IFNA(IF(vp.data[[#This Row],[Sulf Input]]="",INDEX([1]DATA!$Q$3:$Q$9826,MATCH(1,(vp.data[[#This Row],[Battery]]=[1]DATA!$L$3:$L$9826)*(EOMONTH(vp.data[[#This Row],[SDate]],-1)+1=[1]DATA!$G$3:$G$9826),0)),vp.data[[#This Row],[Sulf Input]]),"")</f>
        <v>1.56</v>
      </c>
      <c r="J1416" s="2"/>
      <c r="K1416" s="2"/>
      <c r="L1416" s="2">
        <v>858.2</v>
      </c>
      <c r="M1416" s="2">
        <f t="array" ref="M1416">_xlfn.IFNA(IF(vp.data[[#This Row],[Dens Input]]="",INDEX([1]DATA!$O$3:$O$9826,MATCH(1,(vp.data[[#This Row],[Battery]]=[1]DATA!$L$3:$L$9826)*(EOMONTH(vp.data[[#This Row],[SDate]],-1)+1=[1]DATA!$G$3:$G$9826),0)),vp.data[[#This Row],[Dens Input]]),"")</f>
        <v>858.2</v>
      </c>
      <c r="N1416" s="2">
        <f ca="1">INDEX(INDIRECT(_xlfn.CONCAT("weather.tbl[",N$1,"]")),MATCH(vp.data[[#This Row],[SDate]],weather.tbl[Date],0))</f>
        <v>18.116666666666667</v>
      </c>
      <c r="O1416" s="2">
        <f ca="1">INDEX(INDIRECT(_xlfn.CONCAT("weather.tbl[",O$1,"]")),MATCH(vp.data[[#This Row],[SDate]],weather.tbl[Date],0))</f>
        <v>12.52857142857143</v>
      </c>
      <c r="P1416" s="2">
        <f ca="1">INDEX(INDIRECT(_xlfn.CONCAT("weather.tbl[",P$1,"]")),MATCH(vp.data[[#This Row],[SDate]],weather.tbl[Date],0))</f>
        <v>18.8</v>
      </c>
      <c r="Q1416" s="2">
        <f ca="1">INDEX(INDIRECT(_xlfn.CONCAT("weather.tbl[",Q$1,"]")),MATCH(vp.data[[#This Row],[SDate]],weather.tbl[Date],0))</f>
        <v>19.8</v>
      </c>
      <c r="R1416" s="2">
        <f ca="1">INDEX(INDIRECT(_xlfn.CONCAT("weather.tbl[",R$1,"]")),MATCH(vp.data[[#This Row],[SDate]],weather.tbl[Date],0))</f>
        <v>16.8</v>
      </c>
      <c r="S1416" s="2">
        <f ca="1">INDEX(INDIRECT(_xlfn.CONCAT("weather.tbl[",S$1,"]")),MATCH(vp.data[[#This Row],[SDate]],weather.tbl[Date],0))</f>
        <v>20.7</v>
      </c>
      <c r="T1416" s="2">
        <f ca="1">INDEX(INDIRECT(_xlfn.CONCAT("weather.tbl[",T$1,"]")),MATCH(vp.data[[#This Row],[SDate]],weather.tbl[Date],0))</f>
        <v>15.8</v>
      </c>
      <c r="U1416" s="2">
        <f ca="1">INDEX(INDIRECT(_xlfn.CONCAT("weather.tbl[",U$1,"]")),MATCH(vp.data[[#This Row],[SDate]],weather.tbl[Date],0))</f>
        <v>16.8</v>
      </c>
      <c r="V1416" s="2">
        <f t="array" ref="V14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291.93099999999998</v>
      </c>
      <c r="W1416" t="s">
        <v>48</v>
      </c>
      <c r="X1416">
        <f>IF(OR(vp.data[[#This Row],[Sulf]]="",vp.data[[#This Row],[Dens]]=""),1,0)</f>
        <v>0</v>
      </c>
      <c r="Y1416">
        <f>IF(vp.data[[#This Row],[CrudeType]]="C5+",1,0)</f>
        <v>0</v>
      </c>
      <c r="Z1416">
        <f>IF(AND(vp.data[[#This Row],[CrudeType]]="Crude",vp.data[[#This Row],[Dens]]&lt;=825,vp.data[[#This Row],[Sulf]]&gt;0.5,vp.data[[#This Row],[Unknown]]=0),1,0)</f>
        <v>0</v>
      </c>
      <c r="AA1416">
        <f>IF(AND(vp.data[[#This Row],[CrudeType]]="Crude",vp.data[[#This Row],[Dens]]&lt;=825,vp.data[[#This Row],[Sulf]]&lt;=0.5,vp.data[[#This Row],[Unknown]]=0),1,0)</f>
        <v>0</v>
      </c>
      <c r="AB14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6">
        <f>IF(AND(vp.data[[#This Row],[CrudeType]]="Crude",vp.data[[#This Row],[Dens]]&gt;825,vp.data[[#This Row],[Dens]]&lt;=900,vp.data[[#This Row],[Sulf]]&lt;=0.5,vp.data[[#This Row],[Unknown]]=0),1,0)</f>
        <v>0</v>
      </c>
      <c r="AD1416">
        <f>IF(AND(vp.data[[#This Row],[CrudeType]]="Crude",vp.data[[#This Row],[Dens]]&gt;865,vp.data[[#This Row],[Dens]]&lt;=900,vp.data[[#This Row],[Sulf]]&gt;2,vp.data[[#This Row],[Unknown]]=0),1,0)</f>
        <v>0</v>
      </c>
      <c r="AE1416">
        <f>IF(AND(vp.data[[#This Row],[CrudeType]]="Crude",vp.data[[#This Row],[Dens]]&gt;900,vp.data[[#This Row],[Sulf]]&lt;=0.5,vp.data[[#This Row],[Unknown]]=0),1,0)</f>
        <v>0</v>
      </c>
      <c r="AF1416">
        <f>IF(AND(vp.data[[#This Row],[CrudeType]]="Crude",vp.data[[#This Row],[Dens]]&gt;900,vp.data[[#This Row],[Sulf]]&lt;=0.5,vp.data[[#This Row],[Unknown]]=0),1,0)</f>
        <v>0</v>
      </c>
      <c r="AG1416" t="str">
        <f>INDEX(vp.data[[#Headers],[Unknown]:[Heavy_SW]],MATCH(1,vp.data[[#This Row],[Unknown]:[Heavy_SW]],0))</f>
        <v>Medium_LSB</v>
      </c>
      <c r="AH1416">
        <f>INDEX([3]!crudeBD.lkup[Number],MATCH(vp.data[[#This Row],[Crude_Breakdown]],crudeBD.lkup[Crude Breakdown],0))</f>
        <v>3</v>
      </c>
      <c r="AI1416">
        <f>MONTH(vp.data[[#This Row],[SDate]])</f>
        <v>5</v>
      </c>
      <c r="AJ1416" s="5">
        <f>(vp.data[[#This Row],[VP]]-INDEX(crudeBD.lkup[Mean_VP],MATCH(vp.data[[#This Row],[Crude_Breakdown]],crudeBD.lkup[Crude Breakdown],0)))^2</f>
        <v>36.477692826991159</v>
      </c>
      <c r="AK1416" s="5">
        <f>(vp.data[[#This Row],[Dens]]-INDEX(crudeBD.lkup[Mean_Dens],MATCH(vp.data[[#This Row],[Crude_Breakdown]],crudeBD.lkup[Crude Breakdown],0)))^2</f>
        <v>203.91840000001545</v>
      </c>
      <c r="AL1416" s="5">
        <f>(vp.data[[#This Row],[Sulf]]-INDEX(crudeBD.lkup[Mean_Sulf],MATCH(vp.data[[#This Row],[Crude_Breakdown]],crudeBD.lkup[Crude Breakdown],0)))^2</f>
        <v>3.0482322227767557E-2</v>
      </c>
      <c r="AM1416" s="4">
        <f>IF(AND(vp.data[[#This Row],[SDate]]&gt;=DATE(YEAR(vp.data[[#This Row],[SDate]]),5,1),vp.data[[#This Row],[SDate]]&lt;=DATE(YEAR(vp.data[[#This Row],[SDate]]),9,15)),1,0)</f>
        <v>1</v>
      </c>
      <c r="AN1416" s="4">
        <f>IF(vp.data[[#This Row],[SDate]]&lt;DATE(2016,12,1),0,1)</f>
        <v>1</v>
      </c>
      <c r="AO1416" s="4">
        <f>IFERROR(vp.data[[#This Row],[Sulf]]*vp.data[[#This Row],[Net Dens]],"")</f>
        <v>390834.88735199999</v>
      </c>
      <c r="AP1416">
        <f>IFERROR(vp.data[[#This Row],[Dens]]*vp.data[[#This Row],[VolumeM3]],"")</f>
        <v>250535.18419999999</v>
      </c>
      <c r="AQ1416" s="15">
        <f>IFERROR(vp.data[[#This Row],[VP]]*vp.data[[#This Row],[VolumeM3]],"")</f>
        <v>21778.052599999995</v>
      </c>
    </row>
    <row r="1417" spans="1:43" x14ac:dyDescent="0.25">
      <c r="A1417">
        <v>1416</v>
      </c>
      <c r="B1417" t="s">
        <v>51</v>
      </c>
      <c r="C1417" t="s">
        <v>51</v>
      </c>
      <c r="D1417" t="s">
        <v>304</v>
      </c>
      <c r="F1417" s="1">
        <v>42861</v>
      </c>
      <c r="G1417" s="2">
        <v>50.2</v>
      </c>
      <c r="H1417" s="2"/>
      <c r="I1417" s="2">
        <f t="array" ref="I1417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417" s="2"/>
      <c r="K1417" s="2"/>
      <c r="L1417" s="2">
        <v>868</v>
      </c>
      <c r="M1417" s="2">
        <f t="array" ref="M1417">_xlfn.IFNA(IF(vp.data[[#This Row],[Dens Input]]="",INDEX([1]DATA!$O$3:$O$9826,MATCH(1,(vp.data[[#This Row],[Battery]]=[1]DATA!$L$3:$L$9826)*(EOMONTH(vp.data[[#This Row],[SDate]],-1)+1=[1]DATA!$G$3:$G$9826),0)),vp.data[[#This Row],[Dens Input]]),"")</f>
        <v>868</v>
      </c>
      <c r="N1417" s="2">
        <f ca="1">INDEX(INDIRECT(_xlfn.CONCAT("weather.tbl[",N$1,"]")),MATCH(vp.data[[#This Row],[SDate]],weather.tbl[Date],0))</f>
        <v>18.116666666666667</v>
      </c>
      <c r="O1417" s="2">
        <f ca="1">INDEX(INDIRECT(_xlfn.CONCAT("weather.tbl[",O$1,"]")),MATCH(vp.data[[#This Row],[SDate]],weather.tbl[Date],0))</f>
        <v>12.52857142857143</v>
      </c>
      <c r="P1417" s="2">
        <f ca="1">INDEX(INDIRECT(_xlfn.CONCAT("weather.tbl[",P$1,"]")),MATCH(vp.data[[#This Row],[SDate]],weather.tbl[Date],0))</f>
        <v>18.8</v>
      </c>
      <c r="Q1417" s="2">
        <f ca="1">INDEX(INDIRECT(_xlfn.CONCAT("weather.tbl[",Q$1,"]")),MATCH(vp.data[[#This Row],[SDate]],weather.tbl[Date],0))</f>
        <v>19.8</v>
      </c>
      <c r="R1417" s="2">
        <f ca="1">INDEX(INDIRECT(_xlfn.CONCAT("weather.tbl[",R$1,"]")),MATCH(vp.data[[#This Row],[SDate]],weather.tbl[Date],0))</f>
        <v>16.8</v>
      </c>
      <c r="S1417" s="2">
        <f ca="1">INDEX(INDIRECT(_xlfn.CONCAT("weather.tbl[",S$1,"]")),MATCH(vp.data[[#This Row],[SDate]],weather.tbl[Date],0))</f>
        <v>20.7</v>
      </c>
      <c r="T1417" s="2">
        <f ca="1">INDEX(INDIRECT(_xlfn.CONCAT("weather.tbl[",T$1,"]")),MATCH(vp.data[[#This Row],[SDate]],weather.tbl[Date],0))</f>
        <v>15.8</v>
      </c>
      <c r="U1417" s="2">
        <f ca="1">INDEX(INDIRECT(_xlfn.CONCAT("weather.tbl[",U$1,"]")),MATCH(vp.data[[#This Row],[SDate]],weather.tbl[Date],0))</f>
        <v>16.8</v>
      </c>
      <c r="V1417" s="2">
        <f t="array" ref="V14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54.183999999999997</v>
      </c>
      <c r="W1417" t="s">
        <v>48</v>
      </c>
      <c r="X1417">
        <f>IF(OR(vp.data[[#This Row],[Sulf]]="",vp.data[[#This Row],[Dens]]=""),1,0)</f>
        <v>0</v>
      </c>
      <c r="Y1417">
        <f>IF(vp.data[[#This Row],[CrudeType]]="C5+",1,0)</f>
        <v>0</v>
      </c>
      <c r="Z1417">
        <f>IF(AND(vp.data[[#This Row],[CrudeType]]="Crude",vp.data[[#This Row],[Dens]]&lt;=825,vp.data[[#This Row],[Sulf]]&gt;0.5,vp.data[[#This Row],[Unknown]]=0),1,0)</f>
        <v>0</v>
      </c>
      <c r="AA1417">
        <f>IF(AND(vp.data[[#This Row],[CrudeType]]="Crude",vp.data[[#This Row],[Dens]]&lt;=825,vp.data[[#This Row],[Sulf]]&lt;=0.5,vp.data[[#This Row],[Unknown]]=0),1,0)</f>
        <v>0</v>
      </c>
      <c r="AB14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7">
        <f>IF(AND(vp.data[[#This Row],[CrudeType]]="Crude",vp.data[[#This Row],[Dens]]&gt;825,vp.data[[#This Row],[Dens]]&lt;=900,vp.data[[#This Row],[Sulf]]&lt;=0.5,vp.data[[#This Row],[Unknown]]=0),1,0)</f>
        <v>0</v>
      </c>
      <c r="AD1417">
        <f>IF(AND(vp.data[[#This Row],[CrudeType]]="Crude",vp.data[[#This Row],[Dens]]&gt;865,vp.data[[#This Row],[Dens]]&lt;=900,vp.data[[#This Row],[Sulf]]&gt;2,vp.data[[#This Row],[Unknown]]=0),1,0)</f>
        <v>0</v>
      </c>
      <c r="AE1417">
        <f>IF(AND(vp.data[[#This Row],[CrudeType]]="Crude",vp.data[[#This Row],[Dens]]&gt;900,vp.data[[#This Row],[Sulf]]&lt;=0.5,vp.data[[#This Row],[Unknown]]=0),1,0)</f>
        <v>0</v>
      </c>
      <c r="AF1417">
        <f>IF(AND(vp.data[[#This Row],[CrudeType]]="Crude",vp.data[[#This Row],[Dens]]&gt;900,vp.data[[#This Row],[Sulf]]&lt;=0.5,vp.data[[#This Row],[Unknown]]=0),1,0)</f>
        <v>0</v>
      </c>
      <c r="AG1417" t="str">
        <f>INDEX(vp.data[[#Headers],[Unknown]:[Heavy_SW]],MATCH(1,vp.data[[#This Row],[Unknown]:[Heavy_SW]],0))</f>
        <v>Medium_LSB</v>
      </c>
      <c r="AH1417">
        <f>INDEX([3]!crudeBD.lkup[Number],MATCH(vp.data[[#This Row],[Crude_Breakdown]],crudeBD.lkup[Crude Breakdown],0))</f>
        <v>3</v>
      </c>
      <c r="AI1417">
        <f>MONTH(vp.data[[#This Row],[SDate]])</f>
        <v>5</v>
      </c>
      <c r="AJ1417" s="5">
        <f>(vp.data[[#This Row],[VP]]-INDEX(crudeBD.lkup[Mean_VP],MATCH(vp.data[[#This Row],[Crude_Breakdown]],crudeBD.lkup[Crude Breakdown],0)))^2</f>
        <v>926.57390846041062</v>
      </c>
      <c r="AK1417" s="5">
        <f>(vp.data[[#This Row],[Dens]]-INDEX(crudeBD.lkup[Mean_Dens],MATCH(vp.data[[#This Row],[Crude_Breakdown]],crudeBD.lkup[Crude Breakdown],0)))^2</f>
        <v>579.84640000002389</v>
      </c>
      <c r="AL1417" s="5">
        <f>(vp.data[[#This Row],[Sulf]]-INDEX(crudeBD.lkup[Mean_Sulf],MATCH(vp.data[[#This Row],[Crude_Breakdown]],crudeBD.lkup[Crude Breakdown],0)))^2</f>
        <v>0.15570274648652699</v>
      </c>
      <c r="AM1417" s="4">
        <f>IF(AND(vp.data[[#This Row],[SDate]]&gt;=DATE(YEAR(vp.data[[#This Row],[SDate]]),5,1),vp.data[[#This Row],[SDate]]&lt;=DATE(YEAR(vp.data[[#This Row],[SDate]]),9,15)),1,0)</f>
        <v>1</v>
      </c>
      <c r="AN1417" s="4">
        <f>IF(vp.data[[#This Row],[SDate]]&lt;DATE(2016,12,1),0,1)</f>
        <v>1</v>
      </c>
      <c r="AO1417" s="4">
        <f>IFERROR(vp.data[[#This Row],[Sulf]]*vp.data[[#This Row],[Net Dens]],"")</f>
        <v>83716.447360000006</v>
      </c>
      <c r="AP1417">
        <f>IFERROR(vp.data[[#This Row],[Dens]]*vp.data[[#This Row],[VolumeM3]],"")</f>
        <v>47031.712</v>
      </c>
      <c r="AQ1417" s="15">
        <f>IFERROR(vp.data[[#This Row],[VP]]*vp.data[[#This Row],[VolumeM3]],"")</f>
        <v>2720.0367999999999</v>
      </c>
    </row>
    <row r="1418" spans="1:43" x14ac:dyDescent="0.25">
      <c r="A1418">
        <v>1417</v>
      </c>
      <c r="B1418" t="s">
        <v>178</v>
      </c>
      <c r="C1418" t="s">
        <v>178</v>
      </c>
      <c r="D1418" t="s">
        <v>305</v>
      </c>
      <c r="F1418" s="1">
        <v>42861</v>
      </c>
      <c r="G1418" s="2">
        <v>78</v>
      </c>
      <c r="H1418" s="2"/>
      <c r="I1418" s="2">
        <f t="array" ref="I1418">_xlfn.IFNA(IF(vp.data[[#This Row],[Sulf Input]]="",INDEX([1]DATA!$Q$3:$Q$9826,MATCH(1,(vp.data[[#This Row],[Battery]]=[1]DATA!$L$3:$L$9826)*(EOMONTH(vp.data[[#This Row],[SDate]],-1)+1=[1]DATA!$G$3:$G$9826),0)),vp.data[[#This Row],[Sulf Input]]),"")</f>
        <v>1.4</v>
      </c>
      <c r="J1418" s="2"/>
      <c r="K1418" s="2"/>
      <c r="L1418" s="2">
        <v>854.6</v>
      </c>
      <c r="M1418" s="2">
        <f t="array" ref="M1418">_xlfn.IFNA(IF(vp.data[[#This Row],[Dens Input]]="",INDEX([1]DATA!$O$3:$O$9826,MATCH(1,(vp.data[[#This Row],[Battery]]=[1]DATA!$L$3:$L$9826)*(EOMONTH(vp.data[[#This Row],[SDate]],-1)+1=[1]DATA!$G$3:$G$9826),0)),vp.data[[#This Row],[Dens Input]]),"")</f>
        <v>854.6</v>
      </c>
      <c r="N1418" s="2">
        <f ca="1">INDEX(INDIRECT(_xlfn.CONCAT("weather.tbl[",N$1,"]")),MATCH(vp.data[[#This Row],[SDate]],weather.tbl[Date],0))</f>
        <v>18.116666666666667</v>
      </c>
      <c r="O1418" s="2">
        <f ca="1">INDEX(INDIRECT(_xlfn.CONCAT("weather.tbl[",O$1,"]")),MATCH(vp.data[[#This Row],[SDate]],weather.tbl[Date],0))</f>
        <v>12.52857142857143</v>
      </c>
      <c r="P1418" s="2">
        <f ca="1">INDEX(INDIRECT(_xlfn.CONCAT("weather.tbl[",P$1,"]")),MATCH(vp.data[[#This Row],[SDate]],weather.tbl[Date],0))</f>
        <v>18.8</v>
      </c>
      <c r="Q1418" s="2">
        <f ca="1">INDEX(INDIRECT(_xlfn.CONCAT("weather.tbl[",Q$1,"]")),MATCH(vp.data[[#This Row],[SDate]],weather.tbl[Date],0))</f>
        <v>19.8</v>
      </c>
      <c r="R1418" s="2">
        <f ca="1">INDEX(INDIRECT(_xlfn.CONCAT("weather.tbl[",R$1,"]")),MATCH(vp.data[[#This Row],[SDate]],weather.tbl[Date],0))</f>
        <v>16.8</v>
      </c>
      <c r="S1418" s="2">
        <f ca="1">INDEX(INDIRECT(_xlfn.CONCAT("weather.tbl[",S$1,"]")),MATCH(vp.data[[#This Row],[SDate]],weather.tbl[Date],0))</f>
        <v>20.7</v>
      </c>
      <c r="T1418" s="2">
        <f ca="1">INDEX(INDIRECT(_xlfn.CONCAT("weather.tbl[",T$1,"]")),MATCH(vp.data[[#This Row],[SDate]],weather.tbl[Date],0))</f>
        <v>15.8</v>
      </c>
      <c r="U1418" s="2">
        <f ca="1">INDEX(INDIRECT(_xlfn.CONCAT("weather.tbl[",U$1,"]")),MATCH(vp.data[[#This Row],[SDate]],weather.tbl[Date],0))</f>
        <v>16.8</v>
      </c>
      <c r="V1418" s="2">
        <f t="array" ref="V14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137.41800000000001</v>
      </c>
      <c r="W1418" t="s">
        <v>48</v>
      </c>
      <c r="X1418">
        <f>IF(OR(vp.data[[#This Row],[Sulf]]="",vp.data[[#This Row],[Dens]]=""),1,0)</f>
        <v>0</v>
      </c>
      <c r="Y1418">
        <f>IF(vp.data[[#This Row],[CrudeType]]="C5+",1,0)</f>
        <v>0</v>
      </c>
      <c r="Z1418">
        <f>IF(AND(vp.data[[#This Row],[CrudeType]]="Crude",vp.data[[#This Row],[Dens]]&lt;=825,vp.data[[#This Row],[Sulf]]&gt;0.5,vp.data[[#This Row],[Unknown]]=0),1,0)</f>
        <v>0</v>
      </c>
      <c r="AA1418">
        <f>IF(AND(vp.data[[#This Row],[CrudeType]]="Crude",vp.data[[#This Row],[Dens]]&lt;=825,vp.data[[#This Row],[Sulf]]&lt;=0.5,vp.data[[#This Row],[Unknown]]=0),1,0)</f>
        <v>0</v>
      </c>
      <c r="AB14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8">
        <f>IF(AND(vp.data[[#This Row],[CrudeType]]="Crude",vp.data[[#This Row],[Dens]]&gt;825,vp.data[[#This Row],[Dens]]&lt;=900,vp.data[[#This Row],[Sulf]]&lt;=0.5,vp.data[[#This Row],[Unknown]]=0),1,0)</f>
        <v>0</v>
      </c>
      <c r="AD1418">
        <f>IF(AND(vp.data[[#This Row],[CrudeType]]="Crude",vp.data[[#This Row],[Dens]]&gt;865,vp.data[[#This Row],[Dens]]&lt;=900,vp.data[[#This Row],[Sulf]]&gt;2,vp.data[[#This Row],[Unknown]]=0),1,0)</f>
        <v>0</v>
      </c>
      <c r="AE1418">
        <f>IF(AND(vp.data[[#This Row],[CrudeType]]="Crude",vp.data[[#This Row],[Dens]]&gt;900,vp.data[[#This Row],[Sulf]]&lt;=0.5,vp.data[[#This Row],[Unknown]]=0),1,0)</f>
        <v>0</v>
      </c>
      <c r="AF1418">
        <f>IF(AND(vp.data[[#This Row],[CrudeType]]="Crude",vp.data[[#This Row],[Dens]]&gt;900,vp.data[[#This Row],[Sulf]]&lt;=0.5,vp.data[[#This Row],[Unknown]]=0),1,0)</f>
        <v>0</v>
      </c>
      <c r="AG1418" t="str">
        <f>INDEX(vp.data[[#Headers],[Unknown]:[Heavy_SW]],MATCH(1,vp.data[[#This Row],[Unknown]:[Heavy_SW]],0))</f>
        <v>Medium_LSB</v>
      </c>
      <c r="AH1418">
        <f>INDEX([3]!crudeBD.lkup[Number],MATCH(vp.data[[#This Row],[Crude_Breakdown]],crudeBD.lkup[Crude Breakdown],0))</f>
        <v>3</v>
      </c>
      <c r="AI1418">
        <f>MONTH(vp.data[[#This Row],[SDate]])</f>
        <v>5</v>
      </c>
      <c r="AJ1418" s="5">
        <f>(vp.data[[#This Row],[VP]]-INDEX(crudeBD.lkup[Mean_VP],MATCH(vp.data[[#This Row],[Crude_Breakdown]],crudeBD.lkup[Crude Breakdown],0)))^2</f>
        <v>6.9678922879080218</v>
      </c>
      <c r="AK1418" s="5">
        <f>(vp.data[[#This Row],[Dens]]-INDEX(crudeBD.lkup[Mean_Dens],MATCH(vp.data[[#This Row],[Crude_Breakdown]],crudeBD.lkup[Crude Breakdown],0)))^2</f>
        <v>114.06240000001107</v>
      </c>
      <c r="AL1418" s="5">
        <f>(vp.data[[#This Row],[Sulf]]-INDEX(crudeBD.lkup[Mean_Sulf],MATCH(vp.data[[#This Row],[Crude_Breakdown]],crudeBD.lkup[Crude Breakdown],0)))^2</f>
        <v>2.1292276685158147E-4</v>
      </c>
      <c r="AM1418" s="4">
        <f>IF(AND(vp.data[[#This Row],[SDate]]&gt;=DATE(YEAR(vp.data[[#This Row],[SDate]]),5,1),vp.data[[#This Row],[SDate]]&lt;=DATE(YEAR(vp.data[[#This Row],[SDate]]),9,15)),1,0)</f>
        <v>1</v>
      </c>
      <c r="AN1418" s="4">
        <f>IF(vp.data[[#This Row],[SDate]]&lt;DATE(2016,12,1),0,1)</f>
        <v>1</v>
      </c>
      <c r="AO1418" s="4">
        <f>IFERROR(vp.data[[#This Row],[Sulf]]*vp.data[[#This Row],[Net Dens]],"")</f>
        <v>164412.39192000002</v>
      </c>
      <c r="AP1418">
        <f>IFERROR(vp.data[[#This Row],[Dens]]*vp.data[[#This Row],[VolumeM3]],"")</f>
        <v>117437.42280000001</v>
      </c>
      <c r="AQ1418" s="15">
        <f>IFERROR(vp.data[[#This Row],[VP]]*vp.data[[#This Row],[VolumeM3]],"")</f>
        <v>10718.604000000001</v>
      </c>
    </row>
    <row r="1419" spans="1:43" x14ac:dyDescent="0.25">
      <c r="A1419">
        <v>1418</v>
      </c>
      <c r="B1419" t="s">
        <v>183</v>
      </c>
      <c r="C1419" t="s">
        <v>183</v>
      </c>
      <c r="D1419" t="s">
        <v>184</v>
      </c>
      <c r="F1419" s="1">
        <v>42861</v>
      </c>
      <c r="G1419" s="2">
        <v>51</v>
      </c>
      <c r="H1419" s="2"/>
      <c r="I1419" s="2">
        <f t="array" ref="I1419">_xlfn.IFNA(IF(vp.data[[#This Row],[Sulf Input]]="",INDEX([1]DATA!$Q$3:$Q$9826,MATCH(1,(vp.data[[#This Row],[Battery]]=[1]DATA!$L$3:$L$9826)*(EOMONTH(vp.data[[#This Row],[SDate]],-1)+1=[1]DATA!$G$3:$G$9826),0)),vp.data[[#This Row],[Sulf Input]]),"")</f>
        <v>1.9</v>
      </c>
      <c r="J1419" s="2"/>
      <c r="K1419" s="2"/>
      <c r="L1419" s="2">
        <v>876.9</v>
      </c>
      <c r="M1419" s="2">
        <f t="array" ref="M1419">_xlfn.IFNA(IF(vp.data[[#This Row],[Dens Input]]="",INDEX([1]DATA!$O$3:$O$9826,MATCH(1,(vp.data[[#This Row],[Battery]]=[1]DATA!$L$3:$L$9826)*(EOMONTH(vp.data[[#This Row],[SDate]],-1)+1=[1]DATA!$G$3:$G$9826),0)),vp.data[[#This Row],[Dens Input]]),"")</f>
        <v>876.9</v>
      </c>
      <c r="N1419" s="2">
        <f ca="1">INDEX(INDIRECT(_xlfn.CONCAT("weather.tbl[",N$1,"]")),MATCH(vp.data[[#This Row],[SDate]],weather.tbl[Date],0))</f>
        <v>18.116666666666667</v>
      </c>
      <c r="O1419" s="2">
        <f ca="1">INDEX(INDIRECT(_xlfn.CONCAT("weather.tbl[",O$1,"]")),MATCH(vp.data[[#This Row],[SDate]],weather.tbl[Date],0))</f>
        <v>12.52857142857143</v>
      </c>
      <c r="P1419" s="2">
        <f ca="1">INDEX(INDIRECT(_xlfn.CONCAT("weather.tbl[",P$1,"]")),MATCH(vp.data[[#This Row],[SDate]],weather.tbl[Date],0))</f>
        <v>18.8</v>
      </c>
      <c r="Q1419" s="2">
        <f ca="1">INDEX(INDIRECT(_xlfn.CONCAT("weather.tbl[",Q$1,"]")),MATCH(vp.data[[#This Row],[SDate]],weather.tbl[Date],0))</f>
        <v>19.8</v>
      </c>
      <c r="R1419" s="2">
        <f ca="1">INDEX(INDIRECT(_xlfn.CONCAT("weather.tbl[",R$1,"]")),MATCH(vp.data[[#This Row],[SDate]],weather.tbl[Date],0))</f>
        <v>16.8</v>
      </c>
      <c r="S1419" s="2">
        <f ca="1">INDEX(INDIRECT(_xlfn.CONCAT("weather.tbl[",S$1,"]")),MATCH(vp.data[[#This Row],[SDate]],weather.tbl[Date],0))</f>
        <v>20.7</v>
      </c>
      <c r="T1419" s="2">
        <f ca="1">INDEX(INDIRECT(_xlfn.CONCAT("weather.tbl[",T$1,"]")),MATCH(vp.data[[#This Row],[SDate]],weather.tbl[Date],0))</f>
        <v>15.8</v>
      </c>
      <c r="U1419" s="2">
        <f ca="1">INDEX(INDIRECT(_xlfn.CONCAT("weather.tbl[",U$1,"]")),MATCH(vp.data[[#This Row],[SDate]],weather.tbl[Date],0))</f>
        <v>16.8</v>
      </c>
      <c r="V1419" s="2">
        <f t="array" ref="V14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280.202</v>
      </c>
      <c r="W1419" t="s">
        <v>48</v>
      </c>
      <c r="X1419">
        <f>IF(OR(vp.data[[#This Row],[Sulf]]="",vp.data[[#This Row],[Dens]]=""),1,0)</f>
        <v>0</v>
      </c>
      <c r="Y1419">
        <f>IF(vp.data[[#This Row],[CrudeType]]="C5+",1,0)</f>
        <v>0</v>
      </c>
      <c r="Z1419">
        <f>IF(AND(vp.data[[#This Row],[CrudeType]]="Crude",vp.data[[#This Row],[Dens]]&lt;=825,vp.data[[#This Row],[Sulf]]&gt;0.5,vp.data[[#This Row],[Unknown]]=0),1,0)</f>
        <v>0</v>
      </c>
      <c r="AA1419">
        <f>IF(AND(vp.data[[#This Row],[CrudeType]]="Crude",vp.data[[#This Row],[Dens]]&lt;=825,vp.data[[#This Row],[Sulf]]&lt;=0.5,vp.data[[#This Row],[Unknown]]=0),1,0)</f>
        <v>0</v>
      </c>
      <c r="AB14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19">
        <f>IF(AND(vp.data[[#This Row],[CrudeType]]="Crude",vp.data[[#This Row],[Dens]]&gt;825,vp.data[[#This Row],[Dens]]&lt;=900,vp.data[[#This Row],[Sulf]]&lt;=0.5,vp.data[[#This Row],[Unknown]]=0),1,0)</f>
        <v>0</v>
      </c>
      <c r="AD1419">
        <f>IF(AND(vp.data[[#This Row],[CrudeType]]="Crude",vp.data[[#This Row],[Dens]]&gt;865,vp.data[[#This Row],[Dens]]&lt;=900,vp.data[[#This Row],[Sulf]]&gt;2,vp.data[[#This Row],[Unknown]]=0),1,0)</f>
        <v>0</v>
      </c>
      <c r="AE1419">
        <f>IF(AND(vp.data[[#This Row],[CrudeType]]="Crude",vp.data[[#This Row],[Dens]]&gt;900,vp.data[[#This Row],[Sulf]]&lt;=0.5,vp.data[[#This Row],[Unknown]]=0),1,0)</f>
        <v>0</v>
      </c>
      <c r="AF1419">
        <f>IF(AND(vp.data[[#This Row],[CrudeType]]="Crude",vp.data[[#This Row],[Dens]]&gt;900,vp.data[[#This Row],[Sulf]]&lt;=0.5,vp.data[[#This Row],[Unknown]]=0),1,0)</f>
        <v>0</v>
      </c>
      <c r="AG1419" t="str">
        <f>INDEX(vp.data[[#Headers],[Unknown]:[Heavy_SW]],MATCH(1,vp.data[[#This Row],[Unknown]:[Heavy_SW]],0))</f>
        <v>Medium_LSB</v>
      </c>
      <c r="AH1419">
        <f>INDEX([3]!crudeBD.lkup[Number],MATCH(vp.data[[#This Row],[Crude_Breakdown]],crudeBD.lkup[Crude Breakdown],0))</f>
        <v>3</v>
      </c>
      <c r="AI1419">
        <f>MONTH(vp.data[[#This Row],[SDate]])</f>
        <v>5</v>
      </c>
      <c r="AJ1419" s="5">
        <f>(vp.data[[#This Row],[VP]]-INDEX(crudeBD.lkup[Mean_VP],MATCH(vp.data[[#This Row],[Crude_Breakdown]],crudeBD.lkup[Crude Breakdown],0)))^2</f>
        <v>878.51042598062656</v>
      </c>
      <c r="AK1419" s="5">
        <f>(vp.data[[#This Row],[Dens]]-INDEX(crudeBD.lkup[Mean_Dens],MATCH(vp.data[[#This Row],[Crude_Breakdown]],crudeBD.lkup[Crude Breakdown],0)))^2</f>
        <v>1087.6804000000311</v>
      </c>
      <c r="AL1419" s="5">
        <f>(vp.data[[#This Row],[Sulf]]-INDEX(crudeBD.lkup[Mean_Sulf],MATCH(vp.data[[#This Row],[Crude_Breakdown]],crudeBD.lkup[Crude Breakdown],0)))^2</f>
        <v>0.26480479608221386</v>
      </c>
      <c r="AM1419" s="4">
        <f>IF(AND(vp.data[[#This Row],[SDate]]&gt;=DATE(YEAR(vp.data[[#This Row],[SDate]]),5,1),vp.data[[#This Row],[SDate]]&lt;=DATE(YEAR(vp.data[[#This Row],[SDate]]),9,15)),1,0)</f>
        <v>1</v>
      </c>
      <c r="AN1419" s="4">
        <f>IF(vp.data[[#This Row],[SDate]]&lt;DATE(2016,12,1),0,1)</f>
        <v>1</v>
      </c>
      <c r="AO1419" s="4">
        <f>IFERROR(vp.data[[#This Row],[Sulf]]*vp.data[[#This Row],[Net Dens]],"")</f>
        <v>466847.35421999992</v>
      </c>
      <c r="AP1419">
        <f>IFERROR(vp.data[[#This Row],[Dens]]*vp.data[[#This Row],[VolumeM3]],"")</f>
        <v>245709.13379999998</v>
      </c>
      <c r="AQ1419" s="15">
        <f>IFERROR(vp.data[[#This Row],[VP]]*vp.data[[#This Row],[VolumeM3]],"")</f>
        <v>14290.302</v>
      </c>
    </row>
    <row r="1420" spans="1:43" x14ac:dyDescent="0.25">
      <c r="A1420">
        <v>1419</v>
      </c>
      <c r="B1420" t="s">
        <v>68</v>
      </c>
      <c r="C1420" t="s">
        <v>68</v>
      </c>
      <c r="D1420" t="s">
        <v>306</v>
      </c>
      <c r="F1420" s="1">
        <v>42861</v>
      </c>
      <c r="G1420" s="2">
        <v>50.4</v>
      </c>
      <c r="H1420" s="2"/>
      <c r="I1420" s="2">
        <f t="array" ref="I1420">_xlfn.IFNA(IF(vp.data[[#This Row],[Sulf Input]]="",INDEX([1]DATA!$Q$3:$Q$9826,MATCH(1,(vp.data[[#This Row],[Battery]]=[1]DATA!$L$3:$L$9826)*(EOMONTH(vp.data[[#This Row],[SDate]],-1)+1=[1]DATA!$G$3:$G$9826),0)),vp.data[[#This Row],[Sulf Input]]),"")</f>
        <v>1.73</v>
      </c>
      <c r="J1420" s="2"/>
      <c r="K1420" s="2"/>
      <c r="L1420" s="2">
        <v>864.8</v>
      </c>
      <c r="M1420" s="2">
        <f t="array" ref="M1420">_xlfn.IFNA(IF(vp.data[[#This Row],[Dens Input]]="",INDEX([1]DATA!$O$3:$O$9826,MATCH(1,(vp.data[[#This Row],[Battery]]=[1]DATA!$L$3:$L$9826)*(EOMONTH(vp.data[[#This Row],[SDate]],-1)+1=[1]DATA!$G$3:$G$9826),0)),vp.data[[#This Row],[Dens Input]]),"")</f>
        <v>864.8</v>
      </c>
      <c r="N1420" s="2">
        <f ca="1">INDEX(INDIRECT(_xlfn.CONCAT("weather.tbl[",N$1,"]")),MATCH(vp.data[[#This Row],[SDate]],weather.tbl[Date],0))</f>
        <v>18.116666666666667</v>
      </c>
      <c r="O1420" s="2">
        <f ca="1">INDEX(INDIRECT(_xlfn.CONCAT("weather.tbl[",O$1,"]")),MATCH(vp.data[[#This Row],[SDate]],weather.tbl[Date],0))</f>
        <v>12.52857142857143</v>
      </c>
      <c r="P1420" s="2">
        <f ca="1">INDEX(INDIRECT(_xlfn.CONCAT("weather.tbl[",P$1,"]")),MATCH(vp.data[[#This Row],[SDate]],weather.tbl[Date],0))</f>
        <v>18.8</v>
      </c>
      <c r="Q1420" s="2">
        <f ca="1">INDEX(INDIRECT(_xlfn.CONCAT("weather.tbl[",Q$1,"]")),MATCH(vp.data[[#This Row],[SDate]],weather.tbl[Date],0))</f>
        <v>19.8</v>
      </c>
      <c r="R1420" s="2">
        <f ca="1">INDEX(INDIRECT(_xlfn.CONCAT("weather.tbl[",R$1,"]")),MATCH(vp.data[[#This Row],[SDate]],weather.tbl[Date],0))</f>
        <v>16.8</v>
      </c>
      <c r="S1420" s="2">
        <f ca="1">INDEX(INDIRECT(_xlfn.CONCAT("weather.tbl[",S$1,"]")),MATCH(vp.data[[#This Row],[SDate]],weather.tbl[Date],0))</f>
        <v>20.7</v>
      </c>
      <c r="T1420" s="2">
        <f ca="1">INDEX(INDIRECT(_xlfn.CONCAT("weather.tbl[",T$1,"]")),MATCH(vp.data[[#This Row],[SDate]],weather.tbl[Date],0))</f>
        <v>15.8</v>
      </c>
      <c r="U1420" s="2">
        <f ca="1">INDEX(INDIRECT(_xlfn.CONCAT("weather.tbl[",U$1,"]")),MATCH(vp.data[[#This Row],[SDate]],weather.tbl[Date],0))</f>
        <v>16.8</v>
      </c>
      <c r="V1420" s="2">
        <f t="array" ref="V14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104.145</v>
      </c>
      <c r="W1420" t="s">
        <v>48</v>
      </c>
      <c r="X1420">
        <f>IF(OR(vp.data[[#This Row],[Sulf]]="",vp.data[[#This Row],[Dens]]=""),1,0)</f>
        <v>0</v>
      </c>
      <c r="Y1420">
        <f>IF(vp.data[[#This Row],[CrudeType]]="C5+",1,0)</f>
        <v>0</v>
      </c>
      <c r="Z1420">
        <f>IF(AND(vp.data[[#This Row],[CrudeType]]="Crude",vp.data[[#This Row],[Dens]]&lt;=825,vp.data[[#This Row],[Sulf]]&gt;0.5,vp.data[[#This Row],[Unknown]]=0),1,0)</f>
        <v>0</v>
      </c>
      <c r="AA1420">
        <f>IF(AND(vp.data[[#This Row],[CrudeType]]="Crude",vp.data[[#This Row],[Dens]]&lt;=825,vp.data[[#This Row],[Sulf]]&lt;=0.5,vp.data[[#This Row],[Unknown]]=0),1,0)</f>
        <v>0</v>
      </c>
      <c r="AB14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0">
        <f>IF(AND(vp.data[[#This Row],[CrudeType]]="Crude",vp.data[[#This Row],[Dens]]&gt;825,vp.data[[#This Row],[Dens]]&lt;=900,vp.data[[#This Row],[Sulf]]&lt;=0.5,vp.data[[#This Row],[Unknown]]=0),1,0)</f>
        <v>0</v>
      </c>
      <c r="AD1420">
        <f>IF(AND(vp.data[[#This Row],[CrudeType]]="Crude",vp.data[[#This Row],[Dens]]&gt;865,vp.data[[#This Row],[Dens]]&lt;=900,vp.data[[#This Row],[Sulf]]&gt;2,vp.data[[#This Row],[Unknown]]=0),1,0)</f>
        <v>0</v>
      </c>
      <c r="AE1420">
        <f>IF(AND(vp.data[[#This Row],[CrudeType]]="Crude",vp.data[[#This Row],[Dens]]&gt;900,vp.data[[#This Row],[Sulf]]&lt;=0.5,vp.data[[#This Row],[Unknown]]=0),1,0)</f>
        <v>0</v>
      </c>
      <c r="AF1420">
        <f>IF(AND(vp.data[[#This Row],[CrudeType]]="Crude",vp.data[[#This Row],[Dens]]&gt;900,vp.data[[#This Row],[Sulf]]&lt;=0.5,vp.data[[#This Row],[Unknown]]=0),1,0)</f>
        <v>0</v>
      </c>
      <c r="AG1420" t="str">
        <f>INDEX(vp.data[[#Headers],[Unknown]:[Heavy_SW]],MATCH(1,vp.data[[#This Row],[Unknown]:[Heavy_SW]],0))</f>
        <v>Medium_LSB</v>
      </c>
      <c r="AH1420">
        <f>INDEX([3]!crudeBD.lkup[Number],MATCH(vp.data[[#This Row],[Crude_Breakdown]],crudeBD.lkup[Crude Breakdown],0))</f>
        <v>3</v>
      </c>
      <c r="AI1420">
        <f>MONTH(vp.data[[#This Row],[SDate]])</f>
        <v>5</v>
      </c>
      <c r="AJ1420" s="5">
        <f>(vp.data[[#This Row],[VP]]-INDEX(crudeBD.lkup[Mean_VP],MATCH(vp.data[[#This Row],[Crude_Breakdown]],crudeBD.lkup[Crude Breakdown],0)))^2</f>
        <v>914.43803784046486</v>
      </c>
      <c r="AK1420" s="5">
        <f>(vp.data[[#This Row],[Dens]]-INDEX(crudeBD.lkup[Mean_Dens],MATCH(vp.data[[#This Row],[Crude_Breakdown]],crudeBD.lkup[Crude Breakdown],0)))^2</f>
        <v>435.97440000001882</v>
      </c>
      <c r="AL1420" s="5">
        <f>(vp.data[[#This Row],[Sulf]]-INDEX(crudeBD.lkup[Mean_Sulf],MATCH(vp.data[[#This Row],[Crude_Breakdown]],crudeBD.lkup[Crude Breakdown],0)))^2</f>
        <v>0.11874355915499073</v>
      </c>
      <c r="AM1420" s="4">
        <f>IF(AND(vp.data[[#This Row],[SDate]]&gt;=DATE(YEAR(vp.data[[#This Row],[SDate]]),5,1),vp.data[[#This Row],[SDate]]&lt;=DATE(YEAR(vp.data[[#This Row],[SDate]]),9,15)),1,0)</f>
        <v>1</v>
      </c>
      <c r="AN1420" s="4">
        <f>IF(vp.data[[#This Row],[SDate]]&lt;DATE(2016,12,1),0,1)</f>
        <v>1</v>
      </c>
      <c r="AO1420" s="4">
        <f>IFERROR(vp.data[[#This Row],[Sulf]]*vp.data[[#This Row],[Net Dens]],"")</f>
        <v>155811.75107999999</v>
      </c>
      <c r="AP1420">
        <f>IFERROR(vp.data[[#This Row],[Dens]]*vp.data[[#This Row],[VolumeM3]],"")</f>
        <v>90064.59599999999</v>
      </c>
      <c r="AQ1420" s="15">
        <f>IFERROR(vp.data[[#This Row],[VP]]*vp.data[[#This Row],[VolumeM3]],"")</f>
        <v>5248.9079999999994</v>
      </c>
    </row>
    <row r="1421" spans="1:43" x14ac:dyDescent="0.25">
      <c r="A1421">
        <v>1420</v>
      </c>
      <c r="B1421" t="s">
        <v>229</v>
      </c>
      <c r="C1421" t="s">
        <v>229</v>
      </c>
      <c r="D1421" t="s">
        <v>230</v>
      </c>
      <c r="F1421" s="1">
        <v>42861</v>
      </c>
      <c r="G1421" s="2">
        <v>54.8</v>
      </c>
      <c r="H1421" s="2"/>
      <c r="I1421" s="2">
        <f t="array" ref="I1421">_xlfn.IFNA(IF(vp.data[[#This Row],[Sulf Input]]="",INDEX([1]DATA!$Q$3:$Q$9826,MATCH(1,(vp.data[[#This Row],[Battery]]=[1]DATA!$L$3:$L$9826)*(EOMONTH(vp.data[[#This Row],[SDate]],-1)+1=[1]DATA!$G$3:$G$9826),0)),vp.data[[#This Row],[Sulf Input]]),"")</f>
        <v>2.42</v>
      </c>
      <c r="J1421" s="2"/>
      <c r="K1421" s="2"/>
      <c r="L1421" s="2">
        <v>885.4</v>
      </c>
      <c r="M1421" s="2">
        <f t="array" ref="M1421">_xlfn.IFNA(IF(vp.data[[#This Row],[Dens Input]]="",INDEX([1]DATA!$O$3:$O$9826,MATCH(1,(vp.data[[#This Row],[Battery]]=[1]DATA!$L$3:$L$9826)*(EOMONTH(vp.data[[#This Row],[SDate]],-1)+1=[1]DATA!$G$3:$G$9826),0)),vp.data[[#This Row],[Dens Input]]),"")</f>
        <v>885.4</v>
      </c>
      <c r="N1421" s="2">
        <f ca="1">INDEX(INDIRECT(_xlfn.CONCAT("weather.tbl[",N$1,"]")),MATCH(vp.data[[#This Row],[SDate]],weather.tbl[Date],0))</f>
        <v>18.116666666666667</v>
      </c>
      <c r="O1421" s="2">
        <f ca="1">INDEX(INDIRECT(_xlfn.CONCAT("weather.tbl[",O$1,"]")),MATCH(vp.data[[#This Row],[SDate]],weather.tbl[Date],0))</f>
        <v>12.52857142857143</v>
      </c>
      <c r="P1421" s="2">
        <f ca="1">INDEX(INDIRECT(_xlfn.CONCAT("weather.tbl[",P$1,"]")),MATCH(vp.data[[#This Row],[SDate]],weather.tbl[Date],0))</f>
        <v>18.8</v>
      </c>
      <c r="Q1421" s="2">
        <f ca="1">INDEX(INDIRECT(_xlfn.CONCAT("weather.tbl[",Q$1,"]")),MATCH(vp.data[[#This Row],[SDate]],weather.tbl[Date],0))</f>
        <v>19.8</v>
      </c>
      <c r="R1421" s="2">
        <f ca="1">INDEX(INDIRECT(_xlfn.CONCAT("weather.tbl[",R$1,"]")),MATCH(vp.data[[#This Row],[SDate]],weather.tbl[Date],0))</f>
        <v>16.8</v>
      </c>
      <c r="S1421" s="2">
        <f ca="1">INDEX(INDIRECT(_xlfn.CONCAT("weather.tbl[",S$1,"]")),MATCH(vp.data[[#This Row],[SDate]],weather.tbl[Date],0))</f>
        <v>20.7</v>
      </c>
      <c r="T1421" s="2">
        <f ca="1">INDEX(INDIRECT(_xlfn.CONCAT("weather.tbl[",T$1,"]")),MATCH(vp.data[[#This Row],[SDate]],weather.tbl[Date],0))</f>
        <v>15.8</v>
      </c>
      <c r="U1421" s="2">
        <f ca="1">INDEX(INDIRECT(_xlfn.CONCAT("weather.tbl[",U$1,"]")),MATCH(vp.data[[#This Row],[SDate]],weather.tbl[Date],0))</f>
        <v>16.8</v>
      </c>
      <c r="V1421" s="2">
        <f t="array" ref="V14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3970.3809999999999</v>
      </c>
      <c r="W1421" t="s">
        <v>48</v>
      </c>
      <c r="X1421">
        <f>IF(OR(vp.data[[#This Row],[Sulf]]="",vp.data[[#This Row],[Dens]]=""),1,0)</f>
        <v>0</v>
      </c>
      <c r="Y1421">
        <f>IF(vp.data[[#This Row],[CrudeType]]="C5+",1,0)</f>
        <v>0</v>
      </c>
      <c r="Z1421">
        <f>IF(AND(vp.data[[#This Row],[CrudeType]]="Crude",vp.data[[#This Row],[Dens]]&lt;=825,vp.data[[#This Row],[Sulf]]&gt;0.5,vp.data[[#This Row],[Unknown]]=0),1,0)</f>
        <v>0</v>
      </c>
      <c r="AA1421">
        <f>IF(AND(vp.data[[#This Row],[CrudeType]]="Crude",vp.data[[#This Row],[Dens]]&lt;=825,vp.data[[#This Row],[Sulf]]&lt;=0.5,vp.data[[#This Row],[Unknown]]=0),1,0)</f>
        <v>0</v>
      </c>
      <c r="AB14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21">
        <f>IF(AND(vp.data[[#This Row],[CrudeType]]="Crude",vp.data[[#This Row],[Dens]]&gt;825,vp.data[[#This Row],[Dens]]&lt;=900,vp.data[[#This Row],[Sulf]]&lt;=0.5,vp.data[[#This Row],[Unknown]]=0),1,0)</f>
        <v>0</v>
      </c>
      <c r="AD1421">
        <f>IF(AND(vp.data[[#This Row],[CrudeType]]="Crude",vp.data[[#This Row],[Dens]]&gt;865,vp.data[[#This Row],[Dens]]&lt;=900,vp.data[[#This Row],[Sulf]]&gt;2,vp.data[[#This Row],[Unknown]]=0),1,0)</f>
        <v>1</v>
      </c>
      <c r="AE1421">
        <f>IF(AND(vp.data[[#This Row],[CrudeType]]="Crude",vp.data[[#This Row],[Dens]]&gt;900,vp.data[[#This Row],[Sulf]]&lt;=0.5,vp.data[[#This Row],[Unknown]]=0),1,0)</f>
        <v>0</v>
      </c>
      <c r="AF1421">
        <f>IF(AND(vp.data[[#This Row],[CrudeType]]="Crude",vp.data[[#This Row],[Dens]]&gt;900,vp.data[[#This Row],[Sulf]]&lt;=0.5,vp.data[[#This Row],[Unknown]]=0),1,0)</f>
        <v>0</v>
      </c>
      <c r="AG1421" t="str">
        <f>INDEX(vp.data[[#Headers],[Unknown]:[Heavy_SW]],MATCH(1,vp.data[[#This Row],[Unknown]:[Heavy_SW]],0))</f>
        <v>Midale</v>
      </c>
      <c r="AH1421">
        <f>INDEX([3]!crudeBD.lkup[Number],MATCH(vp.data[[#This Row],[Crude_Breakdown]],crudeBD.lkup[Crude Breakdown],0))</f>
        <v>5</v>
      </c>
      <c r="AI1421">
        <f>MONTH(vp.data[[#This Row],[SDate]])</f>
        <v>5</v>
      </c>
      <c r="AJ1421" s="5">
        <f>(vp.data[[#This Row],[VP]]-INDEX(crudeBD.lkup[Mean_VP],MATCH(vp.data[[#This Row],[Crude_Breakdown]],crudeBD.lkup[Crude Breakdown],0)))^2</f>
        <v>213.41595307684233</v>
      </c>
      <c r="AK1421" s="5">
        <f>(vp.data[[#This Row],[Dens]]-INDEX(crudeBD.lkup[Mean_Dens],MATCH(vp.data[[#This Row],[Crude_Breakdown]],crudeBD.lkup[Crude Breakdown],0)))^2</f>
        <v>111.99967079391374</v>
      </c>
      <c r="AL1421" s="5">
        <f>(vp.data[[#This Row],[Sulf]]-INDEX(crudeBD.lkup[Mean_Sulf],MATCH(vp.data[[#This Row],[Crude_Breakdown]],crudeBD.lkup[Crude Breakdown],0)))^2</f>
        <v>5.5769500521834657E-4</v>
      </c>
      <c r="AM1421" s="4">
        <f>IF(AND(vp.data[[#This Row],[SDate]]&gt;=DATE(YEAR(vp.data[[#This Row],[SDate]]),5,1),vp.data[[#This Row],[SDate]]&lt;=DATE(YEAR(vp.data[[#This Row],[SDate]]),9,15)),1,0)</f>
        <v>1</v>
      </c>
      <c r="AN1421" s="4">
        <f>IF(vp.data[[#This Row],[SDate]]&lt;DATE(2016,12,1),0,1)</f>
        <v>1</v>
      </c>
      <c r="AO1421" s="4">
        <f>IFERROR(vp.data[[#This Row],[Sulf]]*vp.data[[#This Row],[Net Dens]],"")</f>
        <v>8507208.3165079989</v>
      </c>
      <c r="AP1421">
        <f>IFERROR(vp.data[[#This Row],[Dens]]*vp.data[[#This Row],[VolumeM3]],"")</f>
        <v>3515375.3373999996</v>
      </c>
      <c r="AQ1421" s="15">
        <f>IFERROR(vp.data[[#This Row],[VP]]*vp.data[[#This Row],[VolumeM3]],"")</f>
        <v>217576.87879999998</v>
      </c>
    </row>
    <row r="1422" spans="1:43" x14ac:dyDescent="0.25">
      <c r="A1422">
        <v>1421</v>
      </c>
      <c r="B1422" t="s">
        <v>291</v>
      </c>
      <c r="C1422" t="s">
        <v>291</v>
      </c>
      <c r="D1422" t="s">
        <v>209</v>
      </c>
      <c r="F1422" s="1">
        <v>42861</v>
      </c>
      <c r="G1422" s="2">
        <v>66.3</v>
      </c>
      <c r="H1422" s="2"/>
      <c r="I1422" s="2">
        <f t="array" ref="I1422">_xlfn.IFNA(IF(vp.data[[#This Row],[Sulf Input]]="",INDEX([1]DATA!$Q$3:$Q$9826,MATCH(1,(vp.data[[#This Row],[Battery]]=[1]DATA!$L$3:$L$9826)*(EOMONTH(vp.data[[#This Row],[SDate]],-1)+1=[1]DATA!$G$3:$G$9826),0)),vp.data[[#This Row],[Sulf Input]]),"")</f>
        <v>1.84</v>
      </c>
      <c r="J1422" s="2"/>
      <c r="K1422" s="2"/>
      <c r="L1422" s="2">
        <v>851.7</v>
      </c>
      <c r="M1422" s="2">
        <f t="array" ref="M1422">_xlfn.IFNA(IF(vp.data[[#This Row],[Dens Input]]="",INDEX([1]DATA!$O$3:$O$9826,MATCH(1,(vp.data[[#This Row],[Battery]]=[1]DATA!$L$3:$L$9826)*(EOMONTH(vp.data[[#This Row],[SDate]],-1)+1=[1]DATA!$G$3:$G$9826),0)),vp.data[[#This Row],[Dens Input]]),"")</f>
        <v>851.7</v>
      </c>
      <c r="N1422" s="2">
        <f ca="1">INDEX(INDIRECT(_xlfn.CONCAT("weather.tbl[",N$1,"]")),MATCH(vp.data[[#This Row],[SDate]],weather.tbl[Date],0))</f>
        <v>18.116666666666667</v>
      </c>
      <c r="O1422" s="2">
        <f ca="1">INDEX(INDIRECT(_xlfn.CONCAT("weather.tbl[",O$1,"]")),MATCH(vp.data[[#This Row],[SDate]],weather.tbl[Date],0))</f>
        <v>12.52857142857143</v>
      </c>
      <c r="P1422" s="2">
        <f ca="1">INDEX(INDIRECT(_xlfn.CONCAT("weather.tbl[",P$1,"]")),MATCH(vp.data[[#This Row],[SDate]],weather.tbl[Date],0))</f>
        <v>18.8</v>
      </c>
      <c r="Q1422" s="2">
        <f ca="1">INDEX(INDIRECT(_xlfn.CONCAT("weather.tbl[",Q$1,"]")),MATCH(vp.data[[#This Row],[SDate]],weather.tbl[Date],0))</f>
        <v>19.8</v>
      </c>
      <c r="R1422" s="2">
        <f ca="1">INDEX(INDIRECT(_xlfn.CONCAT("weather.tbl[",R$1,"]")),MATCH(vp.data[[#This Row],[SDate]],weather.tbl[Date],0))</f>
        <v>16.8</v>
      </c>
      <c r="S1422" s="2">
        <f ca="1">INDEX(INDIRECT(_xlfn.CONCAT("weather.tbl[",S$1,"]")),MATCH(vp.data[[#This Row],[SDate]],weather.tbl[Date],0))</f>
        <v>20.7</v>
      </c>
      <c r="T1422" s="2">
        <f ca="1">INDEX(INDIRECT(_xlfn.CONCAT("weather.tbl[",T$1,"]")),MATCH(vp.data[[#This Row],[SDate]],weather.tbl[Date],0))</f>
        <v>15.8</v>
      </c>
      <c r="U1422" s="2">
        <f ca="1">INDEX(INDIRECT(_xlfn.CONCAT("weather.tbl[",U$1,"]")),MATCH(vp.data[[#This Row],[SDate]],weather.tbl[Date],0))</f>
        <v>16.8</v>
      </c>
      <c r="V1422" s="2">
        <f t="array" ref="V14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686.66099999999994</v>
      </c>
      <c r="W1422" t="s">
        <v>48</v>
      </c>
      <c r="X1422">
        <f>IF(OR(vp.data[[#This Row],[Sulf]]="",vp.data[[#This Row],[Dens]]=""),1,0)</f>
        <v>0</v>
      </c>
      <c r="Y1422">
        <f>IF(vp.data[[#This Row],[CrudeType]]="C5+",1,0)</f>
        <v>0</v>
      </c>
      <c r="Z1422">
        <f>IF(AND(vp.data[[#This Row],[CrudeType]]="Crude",vp.data[[#This Row],[Dens]]&lt;=825,vp.data[[#This Row],[Sulf]]&gt;0.5,vp.data[[#This Row],[Unknown]]=0),1,0)</f>
        <v>0</v>
      </c>
      <c r="AA1422">
        <f>IF(AND(vp.data[[#This Row],[CrudeType]]="Crude",vp.data[[#This Row],[Dens]]&lt;=825,vp.data[[#This Row],[Sulf]]&lt;=0.5,vp.data[[#This Row],[Unknown]]=0),1,0)</f>
        <v>0</v>
      </c>
      <c r="AB14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2">
        <f>IF(AND(vp.data[[#This Row],[CrudeType]]="Crude",vp.data[[#This Row],[Dens]]&gt;825,vp.data[[#This Row],[Dens]]&lt;=900,vp.data[[#This Row],[Sulf]]&lt;=0.5,vp.data[[#This Row],[Unknown]]=0),1,0)</f>
        <v>0</v>
      </c>
      <c r="AD1422">
        <f>IF(AND(vp.data[[#This Row],[CrudeType]]="Crude",vp.data[[#This Row],[Dens]]&gt;865,vp.data[[#This Row],[Dens]]&lt;=900,vp.data[[#This Row],[Sulf]]&gt;2,vp.data[[#This Row],[Unknown]]=0),1,0)</f>
        <v>0</v>
      </c>
      <c r="AE1422">
        <f>IF(AND(vp.data[[#This Row],[CrudeType]]="Crude",vp.data[[#This Row],[Dens]]&gt;900,vp.data[[#This Row],[Sulf]]&lt;=0.5,vp.data[[#This Row],[Unknown]]=0),1,0)</f>
        <v>0</v>
      </c>
      <c r="AF1422">
        <f>IF(AND(vp.data[[#This Row],[CrudeType]]="Crude",vp.data[[#This Row],[Dens]]&gt;900,vp.data[[#This Row],[Sulf]]&lt;=0.5,vp.data[[#This Row],[Unknown]]=0),1,0)</f>
        <v>0</v>
      </c>
      <c r="AG1422" t="str">
        <f>INDEX(vp.data[[#Headers],[Unknown]:[Heavy_SW]],MATCH(1,vp.data[[#This Row],[Unknown]:[Heavy_SW]],0))</f>
        <v>Medium_LSB</v>
      </c>
      <c r="AH1422">
        <f>INDEX([3]!crudeBD.lkup[Number],MATCH(vp.data[[#This Row],[Crude_Breakdown]],crudeBD.lkup[Crude Breakdown],0))</f>
        <v>3</v>
      </c>
      <c r="AI1422">
        <f>MONTH(vp.data[[#This Row],[SDate]])</f>
        <v>5</v>
      </c>
      <c r="AJ1422" s="5">
        <f>(vp.data[[#This Row],[VP]]-INDEX(crudeBD.lkup[Mean_VP],MATCH(vp.data[[#This Row],[Crude_Breakdown]],crudeBD.lkup[Crude Breakdown],0)))^2</f>
        <v>205.62632355475279</v>
      </c>
      <c r="AK1422" s="5">
        <f>(vp.data[[#This Row],[Dens]]-INDEX(crudeBD.lkup[Mean_Dens],MATCH(vp.data[[#This Row],[Crude_Breakdown]],crudeBD.lkup[Crude Breakdown],0)))^2</f>
        <v>60.528400000008418</v>
      </c>
      <c r="AL1422" s="5">
        <f>(vp.data[[#This Row],[Sulf]]-INDEX(crudeBD.lkup[Mean_Sulf],MATCH(vp.data[[#This Row],[Crude_Breakdown]],crudeBD.lkup[Crude Breakdown],0)))^2</f>
        <v>0.20665377128437054</v>
      </c>
      <c r="AM1422" s="4">
        <f>IF(AND(vp.data[[#This Row],[SDate]]&gt;=DATE(YEAR(vp.data[[#This Row],[SDate]]),5,1),vp.data[[#This Row],[SDate]]&lt;=DATE(YEAR(vp.data[[#This Row],[SDate]]),9,15)),1,0)</f>
        <v>1</v>
      </c>
      <c r="AN1422" s="4">
        <f>IF(vp.data[[#This Row],[SDate]]&lt;DATE(2016,12,1),0,1)</f>
        <v>1</v>
      </c>
      <c r="AO1422" s="4">
        <f>IFERROR(vp.data[[#This Row],[Sulf]]*vp.data[[#This Row],[Net Dens]],"")</f>
        <v>1076085.679608</v>
      </c>
      <c r="AP1422">
        <f>IFERROR(vp.data[[#This Row],[Dens]]*vp.data[[#This Row],[VolumeM3]],"")</f>
        <v>584829.17369999993</v>
      </c>
      <c r="AQ1422" s="15">
        <f>IFERROR(vp.data[[#This Row],[VP]]*vp.data[[#This Row],[VolumeM3]],"")</f>
        <v>45525.624299999996</v>
      </c>
    </row>
    <row r="1423" spans="1:43" x14ac:dyDescent="0.25">
      <c r="A1423">
        <v>1422</v>
      </c>
      <c r="B1423" t="s">
        <v>68</v>
      </c>
      <c r="C1423" t="s">
        <v>68</v>
      </c>
      <c r="D1423" t="s">
        <v>210</v>
      </c>
      <c r="F1423" s="1">
        <v>42861</v>
      </c>
      <c r="G1423" s="2">
        <v>75.400000000000006</v>
      </c>
      <c r="H1423" s="2"/>
      <c r="I1423" s="2">
        <f t="array" ref="I1423">_xlfn.IFNA(IF(vp.data[[#This Row],[Sulf Input]]="",INDEX([1]DATA!$Q$3:$Q$9826,MATCH(1,(vp.data[[#This Row],[Battery]]=[1]DATA!$L$3:$L$9826)*(EOMONTH(vp.data[[#This Row],[SDate]],-1)+1=[1]DATA!$G$3:$G$9826),0)),vp.data[[#This Row],[Sulf Input]]),"")</f>
        <v>1.82</v>
      </c>
      <c r="J1423" s="2"/>
      <c r="K1423" s="2"/>
      <c r="L1423" s="2">
        <v>864.7</v>
      </c>
      <c r="M1423" s="2">
        <f t="array" ref="M1423">_xlfn.IFNA(IF(vp.data[[#This Row],[Dens Input]]="",INDEX([1]DATA!$O$3:$O$9826,MATCH(1,(vp.data[[#This Row],[Battery]]=[1]DATA!$L$3:$L$9826)*(EOMONTH(vp.data[[#This Row],[SDate]],-1)+1=[1]DATA!$G$3:$G$9826),0)),vp.data[[#This Row],[Dens Input]]),"")</f>
        <v>864.7</v>
      </c>
      <c r="N1423" s="2">
        <f ca="1">INDEX(INDIRECT(_xlfn.CONCAT("weather.tbl[",N$1,"]")),MATCH(vp.data[[#This Row],[SDate]],weather.tbl[Date],0))</f>
        <v>18.116666666666667</v>
      </c>
      <c r="O1423" s="2">
        <f ca="1">INDEX(INDIRECT(_xlfn.CONCAT("weather.tbl[",O$1,"]")),MATCH(vp.data[[#This Row],[SDate]],weather.tbl[Date],0))</f>
        <v>12.52857142857143</v>
      </c>
      <c r="P1423" s="2">
        <f ca="1">INDEX(INDIRECT(_xlfn.CONCAT("weather.tbl[",P$1,"]")),MATCH(vp.data[[#This Row],[SDate]],weather.tbl[Date],0))</f>
        <v>18.8</v>
      </c>
      <c r="Q1423" s="2">
        <f ca="1">INDEX(INDIRECT(_xlfn.CONCAT("weather.tbl[",Q$1,"]")),MATCH(vp.data[[#This Row],[SDate]],weather.tbl[Date],0))</f>
        <v>19.8</v>
      </c>
      <c r="R1423" s="2">
        <f ca="1">INDEX(INDIRECT(_xlfn.CONCAT("weather.tbl[",R$1,"]")),MATCH(vp.data[[#This Row],[SDate]],weather.tbl[Date],0))</f>
        <v>16.8</v>
      </c>
      <c r="S1423" s="2">
        <f ca="1">INDEX(INDIRECT(_xlfn.CONCAT("weather.tbl[",S$1,"]")),MATCH(vp.data[[#This Row],[SDate]],weather.tbl[Date],0))</f>
        <v>20.7</v>
      </c>
      <c r="T1423" s="2">
        <f ca="1">INDEX(INDIRECT(_xlfn.CONCAT("weather.tbl[",T$1,"]")),MATCH(vp.data[[#This Row],[SDate]],weather.tbl[Date],0))</f>
        <v>15.8</v>
      </c>
      <c r="U1423" s="2">
        <f ca="1">INDEX(INDIRECT(_xlfn.CONCAT("weather.tbl[",U$1,"]")),MATCH(vp.data[[#This Row],[SDate]],weather.tbl[Date],0))</f>
        <v>16.8</v>
      </c>
      <c r="V1423" s="2">
        <f t="array" ref="V14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445.84300000000002</v>
      </c>
      <c r="W1423" t="s">
        <v>48</v>
      </c>
      <c r="X1423">
        <f>IF(OR(vp.data[[#This Row],[Sulf]]="",vp.data[[#This Row],[Dens]]=""),1,0)</f>
        <v>0</v>
      </c>
      <c r="Y1423">
        <f>IF(vp.data[[#This Row],[CrudeType]]="C5+",1,0)</f>
        <v>0</v>
      </c>
      <c r="Z1423">
        <f>IF(AND(vp.data[[#This Row],[CrudeType]]="Crude",vp.data[[#This Row],[Dens]]&lt;=825,vp.data[[#This Row],[Sulf]]&gt;0.5,vp.data[[#This Row],[Unknown]]=0),1,0)</f>
        <v>0</v>
      </c>
      <c r="AA1423">
        <f>IF(AND(vp.data[[#This Row],[CrudeType]]="Crude",vp.data[[#This Row],[Dens]]&lt;=825,vp.data[[#This Row],[Sulf]]&lt;=0.5,vp.data[[#This Row],[Unknown]]=0),1,0)</f>
        <v>0</v>
      </c>
      <c r="AB14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3">
        <f>IF(AND(vp.data[[#This Row],[CrudeType]]="Crude",vp.data[[#This Row],[Dens]]&gt;825,vp.data[[#This Row],[Dens]]&lt;=900,vp.data[[#This Row],[Sulf]]&lt;=0.5,vp.data[[#This Row],[Unknown]]=0),1,0)</f>
        <v>0</v>
      </c>
      <c r="AD1423">
        <f>IF(AND(vp.data[[#This Row],[CrudeType]]="Crude",vp.data[[#This Row],[Dens]]&gt;865,vp.data[[#This Row],[Dens]]&lt;=900,vp.data[[#This Row],[Sulf]]&gt;2,vp.data[[#This Row],[Unknown]]=0),1,0)</f>
        <v>0</v>
      </c>
      <c r="AE1423">
        <f>IF(AND(vp.data[[#This Row],[CrudeType]]="Crude",vp.data[[#This Row],[Dens]]&gt;900,vp.data[[#This Row],[Sulf]]&lt;=0.5,vp.data[[#This Row],[Unknown]]=0),1,0)</f>
        <v>0</v>
      </c>
      <c r="AF1423">
        <f>IF(AND(vp.data[[#This Row],[CrudeType]]="Crude",vp.data[[#This Row],[Dens]]&gt;900,vp.data[[#This Row],[Sulf]]&lt;=0.5,vp.data[[#This Row],[Unknown]]=0),1,0)</f>
        <v>0</v>
      </c>
      <c r="AG1423" t="str">
        <f>INDEX(vp.data[[#Headers],[Unknown]:[Heavy_SW]],MATCH(1,vp.data[[#This Row],[Unknown]:[Heavy_SW]],0))</f>
        <v>Medium_LSB</v>
      </c>
      <c r="AH1423">
        <f>INDEX([3]!crudeBD.lkup[Number],MATCH(vp.data[[#This Row],[Crude_Breakdown]],crudeBD.lkup[Crude Breakdown],0))</f>
        <v>3</v>
      </c>
      <c r="AI1423">
        <f>MONTH(vp.data[[#This Row],[SDate]])</f>
        <v>5</v>
      </c>
      <c r="AJ1423" s="5">
        <f>(vp.data[[#This Row],[VP]]-INDEX(crudeBD.lkup[Mean_VP],MATCH(vp.data[[#This Row],[Crude_Breakdown]],crudeBD.lkup[Crude Breakdown],0)))^2</f>
        <v>27.454210347206782</v>
      </c>
      <c r="AK1423" s="5">
        <f>(vp.data[[#This Row],[Dens]]-INDEX(crudeBD.lkup[Mean_Dens],MATCH(vp.data[[#This Row],[Crude_Breakdown]],crudeBD.lkup[Crude Breakdown],0)))^2</f>
        <v>431.80840000002252</v>
      </c>
      <c r="AL1423" s="5">
        <f>(vp.data[[#This Row],[Sulf]]-INDEX(crudeBD.lkup[Mean_Sulf],MATCH(vp.data[[#This Row],[Crude_Breakdown]],crudeBD.lkup[Crude Breakdown],0)))^2</f>
        <v>0.18887009635175603</v>
      </c>
      <c r="AM1423" s="4">
        <f>IF(AND(vp.data[[#This Row],[SDate]]&gt;=DATE(YEAR(vp.data[[#This Row],[SDate]]),5,1),vp.data[[#This Row],[SDate]]&lt;=DATE(YEAR(vp.data[[#This Row],[SDate]]),9,15)),1,0)</f>
        <v>1</v>
      </c>
      <c r="AN1423" s="4">
        <f>IF(vp.data[[#This Row],[SDate]]&lt;DATE(2016,12,1),0,1)</f>
        <v>1</v>
      </c>
      <c r="AO1423" s="4">
        <f>IFERROR(vp.data[[#This Row],[Sulf]]*vp.data[[#This Row],[Net Dens]],"")</f>
        <v>701647.20462200011</v>
      </c>
      <c r="AP1423">
        <f>IFERROR(vp.data[[#This Row],[Dens]]*vp.data[[#This Row],[VolumeM3]],"")</f>
        <v>385520.44210000004</v>
      </c>
      <c r="AQ1423" s="15">
        <f>IFERROR(vp.data[[#This Row],[VP]]*vp.data[[#This Row],[VolumeM3]],"")</f>
        <v>33616.5622</v>
      </c>
    </row>
    <row r="1424" spans="1:43" x14ac:dyDescent="0.25">
      <c r="A1424">
        <v>1423</v>
      </c>
      <c r="B1424" t="s">
        <v>119</v>
      </c>
      <c r="C1424" t="s">
        <v>119</v>
      </c>
      <c r="D1424" t="s">
        <v>261</v>
      </c>
      <c r="F1424" s="1">
        <v>42861</v>
      </c>
      <c r="G1424" s="2">
        <v>67.599999999999994</v>
      </c>
      <c r="H1424" s="2"/>
      <c r="I1424" s="2">
        <f t="array" ref="I1424">_xlfn.IFNA(IF(vp.data[[#This Row],[Sulf Input]]="",INDEX([1]DATA!$Q$3:$Q$9826,MATCH(1,(vp.data[[#This Row],[Battery]]=[1]DATA!$L$3:$L$9826)*(EOMONTH(vp.data[[#This Row],[SDate]],-1)+1=[1]DATA!$G$3:$G$9826),0)),vp.data[[#This Row],[Sulf Input]]),"")</f>
        <v>1.65</v>
      </c>
      <c r="J1424" s="2"/>
      <c r="K1424" s="2"/>
      <c r="L1424" s="2">
        <v>854</v>
      </c>
      <c r="M1424" s="2">
        <f t="array" ref="M1424">_xlfn.IFNA(IF(vp.data[[#This Row],[Dens Input]]="",INDEX([1]DATA!$O$3:$O$9826,MATCH(1,(vp.data[[#This Row],[Battery]]=[1]DATA!$L$3:$L$9826)*(EOMONTH(vp.data[[#This Row],[SDate]],-1)+1=[1]DATA!$G$3:$G$9826),0)),vp.data[[#This Row],[Dens Input]]),"")</f>
        <v>854</v>
      </c>
      <c r="N1424" s="2">
        <f ca="1">INDEX(INDIRECT(_xlfn.CONCAT("weather.tbl[",N$1,"]")),MATCH(vp.data[[#This Row],[SDate]],weather.tbl[Date],0))</f>
        <v>18.116666666666667</v>
      </c>
      <c r="O1424" s="2">
        <f ca="1">INDEX(INDIRECT(_xlfn.CONCAT("weather.tbl[",O$1,"]")),MATCH(vp.data[[#This Row],[SDate]],weather.tbl[Date],0))</f>
        <v>12.52857142857143</v>
      </c>
      <c r="P1424" s="2">
        <f ca="1">INDEX(INDIRECT(_xlfn.CONCAT("weather.tbl[",P$1,"]")),MATCH(vp.data[[#This Row],[SDate]],weather.tbl[Date],0))</f>
        <v>18.8</v>
      </c>
      <c r="Q1424" s="2">
        <f ca="1">INDEX(INDIRECT(_xlfn.CONCAT("weather.tbl[",Q$1,"]")),MATCH(vp.data[[#This Row],[SDate]],weather.tbl[Date],0))</f>
        <v>19.8</v>
      </c>
      <c r="R1424" s="2">
        <f ca="1">INDEX(INDIRECT(_xlfn.CONCAT("weather.tbl[",R$1,"]")),MATCH(vp.data[[#This Row],[SDate]],weather.tbl[Date],0))</f>
        <v>16.8</v>
      </c>
      <c r="S1424" s="2">
        <f ca="1">INDEX(INDIRECT(_xlfn.CONCAT("weather.tbl[",S$1,"]")),MATCH(vp.data[[#This Row],[SDate]],weather.tbl[Date],0))</f>
        <v>20.7</v>
      </c>
      <c r="T1424" s="2">
        <f ca="1">INDEX(INDIRECT(_xlfn.CONCAT("weather.tbl[",T$1,"]")),MATCH(vp.data[[#This Row],[SDate]],weather.tbl[Date],0))</f>
        <v>15.8</v>
      </c>
      <c r="U1424" s="2">
        <f ca="1">INDEX(INDIRECT(_xlfn.CONCAT("weather.tbl[",U$1,"]")),MATCH(vp.data[[#This Row],[SDate]],weather.tbl[Date],0))</f>
        <v>16.8</v>
      </c>
      <c r="V1424" s="2">
        <f t="array" ref="V14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4221.9210000000003</v>
      </c>
      <c r="W1424" t="s">
        <v>48</v>
      </c>
      <c r="X1424">
        <f>IF(OR(vp.data[[#This Row],[Sulf]]="",vp.data[[#This Row],[Dens]]=""),1,0)</f>
        <v>0</v>
      </c>
      <c r="Y1424">
        <f>IF(vp.data[[#This Row],[CrudeType]]="C5+",1,0)</f>
        <v>0</v>
      </c>
      <c r="Z1424">
        <f>IF(AND(vp.data[[#This Row],[CrudeType]]="Crude",vp.data[[#This Row],[Dens]]&lt;=825,vp.data[[#This Row],[Sulf]]&gt;0.5,vp.data[[#This Row],[Unknown]]=0),1,0)</f>
        <v>0</v>
      </c>
      <c r="AA1424">
        <f>IF(AND(vp.data[[#This Row],[CrudeType]]="Crude",vp.data[[#This Row],[Dens]]&lt;=825,vp.data[[#This Row],[Sulf]]&lt;=0.5,vp.data[[#This Row],[Unknown]]=0),1,0)</f>
        <v>0</v>
      </c>
      <c r="AB14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4">
        <f>IF(AND(vp.data[[#This Row],[CrudeType]]="Crude",vp.data[[#This Row],[Dens]]&gt;825,vp.data[[#This Row],[Dens]]&lt;=900,vp.data[[#This Row],[Sulf]]&lt;=0.5,vp.data[[#This Row],[Unknown]]=0),1,0)</f>
        <v>0</v>
      </c>
      <c r="AD1424">
        <f>IF(AND(vp.data[[#This Row],[CrudeType]]="Crude",vp.data[[#This Row],[Dens]]&gt;865,vp.data[[#This Row],[Dens]]&lt;=900,vp.data[[#This Row],[Sulf]]&gt;2,vp.data[[#This Row],[Unknown]]=0),1,0)</f>
        <v>0</v>
      </c>
      <c r="AE1424">
        <f>IF(AND(vp.data[[#This Row],[CrudeType]]="Crude",vp.data[[#This Row],[Dens]]&gt;900,vp.data[[#This Row],[Sulf]]&lt;=0.5,vp.data[[#This Row],[Unknown]]=0),1,0)</f>
        <v>0</v>
      </c>
      <c r="AF1424">
        <f>IF(AND(vp.data[[#This Row],[CrudeType]]="Crude",vp.data[[#This Row],[Dens]]&gt;900,vp.data[[#This Row],[Sulf]]&lt;=0.5,vp.data[[#This Row],[Unknown]]=0),1,0)</f>
        <v>0</v>
      </c>
      <c r="AG1424" t="str">
        <f>INDEX(vp.data[[#Headers],[Unknown]:[Heavy_SW]],MATCH(1,vp.data[[#This Row],[Unknown]:[Heavy_SW]],0))</f>
        <v>Medium_LSB</v>
      </c>
      <c r="AH1424">
        <f>INDEX([3]!crudeBD.lkup[Number],MATCH(vp.data[[#This Row],[Crude_Breakdown]],crudeBD.lkup[Crude Breakdown],0))</f>
        <v>3</v>
      </c>
      <c r="AI1424">
        <f>MONTH(vp.data[[#This Row],[SDate]])</f>
        <v>5</v>
      </c>
      <c r="AJ1424" s="5">
        <f>(vp.data[[#This Row],[VP]]-INDEX(crudeBD.lkup[Mean_VP],MATCH(vp.data[[#This Row],[Crude_Breakdown]],crudeBD.lkup[Crude Breakdown],0)))^2</f>
        <v>170.03316452510344</v>
      </c>
      <c r="AK1424" s="5">
        <f>(vp.data[[#This Row],[Dens]]-INDEX(crudeBD.lkup[Mean_Dens],MATCH(vp.data[[#This Row],[Crude_Breakdown]],crudeBD.lkup[Crude Breakdown],0)))^2</f>
        <v>101.60640000001</v>
      </c>
      <c r="AL1424" s="5">
        <f>(vp.data[[#This Row],[Sulf]]-INDEX(crudeBD.lkup[Mean_Sulf],MATCH(vp.data[[#This Row],[Crude_Breakdown]],crudeBD.lkup[Crude Breakdown],0)))^2</f>
        <v>7.0008859424532721E-2</v>
      </c>
      <c r="AM1424" s="4">
        <f>IF(AND(vp.data[[#This Row],[SDate]]&gt;=DATE(YEAR(vp.data[[#This Row],[SDate]]),5,1),vp.data[[#This Row],[SDate]]&lt;=DATE(YEAR(vp.data[[#This Row],[SDate]]),9,15)),1,0)</f>
        <v>1</v>
      </c>
      <c r="AN1424" s="4">
        <f>IF(vp.data[[#This Row],[SDate]]&lt;DATE(2016,12,1),0,1)</f>
        <v>1</v>
      </c>
      <c r="AO1424" s="4">
        <f>IFERROR(vp.data[[#This Row],[Sulf]]*vp.data[[#This Row],[Net Dens]],"")</f>
        <v>5949108.8811000008</v>
      </c>
      <c r="AP1424">
        <f>IFERROR(vp.data[[#This Row],[Dens]]*vp.data[[#This Row],[VolumeM3]],"")</f>
        <v>3605520.5340000005</v>
      </c>
      <c r="AQ1424" s="15">
        <f>IFERROR(vp.data[[#This Row],[VP]]*vp.data[[#This Row],[VolumeM3]],"")</f>
        <v>285401.85959999997</v>
      </c>
    </row>
    <row r="1425" spans="1:43" x14ac:dyDescent="0.25">
      <c r="A1425">
        <v>1424</v>
      </c>
      <c r="B1425" t="s">
        <v>49</v>
      </c>
      <c r="C1425" t="s">
        <v>49</v>
      </c>
      <c r="D1425" t="s">
        <v>245</v>
      </c>
      <c r="F1425" s="1">
        <v>42861</v>
      </c>
      <c r="G1425" s="2">
        <v>66.099999999999994</v>
      </c>
      <c r="H1425" s="2"/>
      <c r="I1425" s="2">
        <f t="array" ref="I1425">_xlfn.IFNA(IF(vp.data[[#This Row],[Sulf Input]]="",INDEX([1]DATA!$Q$3:$Q$9826,MATCH(1,(vp.data[[#This Row],[Battery]]=[1]DATA!$L$3:$L$9826)*(EOMONTH(vp.data[[#This Row],[SDate]],-1)+1=[1]DATA!$G$3:$G$9826),0)),vp.data[[#This Row],[Sulf Input]]),"")</f>
        <v>1.82</v>
      </c>
      <c r="J1425" s="2"/>
      <c r="K1425" s="2"/>
      <c r="L1425" s="2">
        <v>862.9</v>
      </c>
      <c r="M1425" s="2">
        <f t="array" ref="M1425">_xlfn.IFNA(IF(vp.data[[#This Row],[Dens Input]]="",INDEX([1]DATA!$O$3:$O$9826,MATCH(1,(vp.data[[#This Row],[Battery]]=[1]DATA!$L$3:$L$9826)*(EOMONTH(vp.data[[#This Row],[SDate]],-1)+1=[1]DATA!$G$3:$G$9826),0)),vp.data[[#This Row],[Dens Input]]),"")</f>
        <v>862.9</v>
      </c>
      <c r="N1425" s="2">
        <f ca="1">INDEX(INDIRECT(_xlfn.CONCAT("weather.tbl[",N$1,"]")),MATCH(vp.data[[#This Row],[SDate]],weather.tbl[Date],0))</f>
        <v>18.116666666666667</v>
      </c>
      <c r="O1425" s="2">
        <f ca="1">INDEX(INDIRECT(_xlfn.CONCAT("weather.tbl[",O$1,"]")),MATCH(vp.data[[#This Row],[SDate]],weather.tbl[Date],0))</f>
        <v>12.52857142857143</v>
      </c>
      <c r="P1425" s="2">
        <f ca="1">INDEX(INDIRECT(_xlfn.CONCAT("weather.tbl[",P$1,"]")),MATCH(vp.data[[#This Row],[SDate]],weather.tbl[Date],0))</f>
        <v>18.8</v>
      </c>
      <c r="Q1425" s="2">
        <f ca="1">INDEX(INDIRECT(_xlfn.CONCAT("weather.tbl[",Q$1,"]")),MATCH(vp.data[[#This Row],[SDate]],weather.tbl[Date],0))</f>
        <v>19.8</v>
      </c>
      <c r="R1425" s="2">
        <f ca="1">INDEX(INDIRECT(_xlfn.CONCAT("weather.tbl[",R$1,"]")),MATCH(vp.data[[#This Row],[SDate]],weather.tbl[Date],0))</f>
        <v>16.8</v>
      </c>
      <c r="S1425" s="2">
        <f ca="1">INDEX(INDIRECT(_xlfn.CONCAT("weather.tbl[",S$1,"]")),MATCH(vp.data[[#This Row],[SDate]],weather.tbl[Date],0))</f>
        <v>20.7</v>
      </c>
      <c r="T1425" s="2">
        <f ca="1">INDEX(INDIRECT(_xlfn.CONCAT("weather.tbl[",T$1,"]")),MATCH(vp.data[[#This Row],[SDate]],weather.tbl[Date],0))</f>
        <v>15.8</v>
      </c>
      <c r="U1425" s="2">
        <f ca="1">INDEX(INDIRECT(_xlfn.CONCAT("weather.tbl[",U$1,"]")),MATCH(vp.data[[#This Row],[SDate]],weather.tbl[Date],0))</f>
        <v>16.8</v>
      </c>
      <c r="V1425" s="2">
        <f t="array" ref="V14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2556.7440000000001</v>
      </c>
      <c r="W1425" t="s">
        <v>48</v>
      </c>
      <c r="X1425">
        <f>IF(OR(vp.data[[#This Row],[Sulf]]="",vp.data[[#This Row],[Dens]]=""),1,0)</f>
        <v>0</v>
      </c>
      <c r="Y1425">
        <f>IF(vp.data[[#This Row],[CrudeType]]="C5+",1,0)</f>
        <v>0</v>
      </c>
      <c r="Z1425">
        <f>IF(AND(vp.data[[#This Row],[CrudeType]]="Crude",vp.data[[#This Row],[Dens]]&lt;=825,vp.data[[#This Row],[Sulf]]&gt;0.5,vp.data[[#This Row],[Unknown]]=0),1,0)</f>
        <v>0</v>
      </c>
      <c r="AA1425">
        <f>IF(AND(vp.data[[#This Row],[CrudeType]]="Crude",vp.data[[#This Row],[Dens]]&lt;=825,vp.data[[#This Row],[Sulf]]&lt;=0.5,vp.data[[#This Row],[Unknown]]=0),1,0)</f>
        <v>0</v>
      </c>
      <c r="AB14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5">
        <f>IF(AND(vp.data[[#This Row],[CrudeType]]="Crude",vp.data[[#This Row],[Dens]]&gt;825,vp.data[[#This Row],[Dens]]&lt;=900,vp.data[[#This Row],[Sulf]]&lt;=0.5,vp.data[[#This Row],[Unknown]]=0),1,0)</f>
        <v>0</v>
      </c>
      <c r="AD1425">
        <f>IF(AND(vp.data[[#This Row],[CrudeType]]="Crude",vp.data[[#This Row],[Dens]]&gt;865,vp.data[[#This Row],[Dens]]&lt;=900,vp.data[[#This Row],[Sulf]]&gt;2,vp.data[[#This Row],[Unknown]]=0),1,0)</f>
        <v>0</v>
      </c>
      <c r="AE1425">
        <f>IF(AND(vp.data[[#This Row],[CrudeType]]="Crude",vp.data[[#This Row],[Dens]]&gt;900,vp.data[[#This Row],[Sulf]]&lt;=0.5,vp.data[[#This Row],[Unknown]]=0),1,0)</f>
        <v>0</v>
      </c>
      <c r="AF1425">
        <f>IF(AND(vp.data[[#This Row],[CrudeType]]="Crude",vp.data[[#This Row],[Dens]]&gt;900,vp.data[[#This Row],[Sulf]]&lt;=0.5,vp.data[[#This Row],[Unknown]]=0),1,0)</f>
        <v>0</v>
      </c>
      <c r="AG1425" t="str">
        <f>INDEX(vp.data[[#Headers],[Unknown]:[Heavy_SW]],MATCH(1,vp.data[[#This Row],[Unknown]:[Heavy_SW]],0))</f>
        <v>Medium_LSB</v>
      </c>
      <c r="AH1425">
        <f>INDEX([3]!crudeBD.lkup[Number],MATCH(vp.data[[#This Row],[Crude_Breakdown]],crudeBD.lkup[Crude Breakdown],0))</f>
        <v>3</v>
      </c>
      <c r="AI1425">
        <f>MONTH(vp.data[[#This Row],[SDate]])</f>
        <v>5</v>
      </c>
      <c r="AJ1425" s="5">
        <f>(vp.data[[#This Row],[VP]]-INDEX(crudeBD.lkup[Mean_VP],MATCH(vp.data[[#This Row],[Crude_Breakdown]],crudeBD.lkup[Crude Breakdown],0)))^2</f>
        <v>211.40219417469893</v>
      </c>
      <c r="AK1425" s="5">
        <f>(vp.data[[#This Row],[Dens]]-INDEX(crudeBD.lkup[Mean_Dens],MATCH(vp.data[[#This Row],[Crude_Breakdown]],crudeBD.lkup[Crude Breakdown],0)))^2</f>
        <v>360.24040000001793</v>
      </c>
      <c r="AL1425" s="5">
        <f>(vp.data[[#This Row],[Sulf]]-INDEX(crudeBD.lkup[Mean_Sulf],MATCH(vp.data[[#This Row],[Crude_Breakdown]],crudeBD.lkup[Crude Breakdown],0)))^2</f>
        <v>0.18887009635175603</v>
      </c>
      <c r="AM1425" s="4">
        <f>IF(AND(vp.data[[#This Row],[SDate]]&gt;=DATE(YEAR(vp.data[[#This Row],[SDate]]),5,1),vp.data[[#This Row],[SDate]]&lt;=DATE(YEAR(vp.data[[#This Row],[SDate]]),9,15)),1,0)</f>
        <v>1</v>
      </c>
      <c r="AN1425" s="4">
        <f>IF(vp.data[[#This Row],[SDate]]&lt;DATE(2016,12,1),0,1)</f>
        <v>1</v>
      </c>
      <c r="AO1425" s="4">
        <f>IFERROR(vp.data[[#This Row],[Sulf]]*vp.data[[#This Row],[Net Dens]],"")</f>
        <v>4015310.2036320008</v>
      </c>
      <c r="AP1425">
        <f>IFERROR(vp.data[[#This Row],[Dens]]*vp.data[[#This Row],[VolumeM3]],"")</f>
        <v>2206214.3976000003</v>
      </c>
      <c r="AQ1425" s="15">
        <f>IFERROR(vp.data[[#This Row],[VP]]*vp.data[[#This Row],[VolumeM3]],"")</f>
        <v>169000.77839999998</v>
      </c>
    </row>
    <row r="1426" spans="1:43" x14ac:dyDescent="0.25">
      <c r="A1426">
        <v>1425</v>
      </c>
      <c r="B1426" t="s">
        <v>291</v>
      </c>
      <c r="C1426" t="s">
        <v>291</v>
      </c>
      <c r="D1426" t="s">
        <v>225</v>
      </c>
      <c r="F1426" s="1">
        <v>42861</v>
      </c>
      <c r="G1426" s="2">
        <v>66.5</v>
      </c>
      <c r="H1426" s="2"/>
      <c r="I1426" s="2">
        <f t="array" ref="I1426">_xlfn.IFNA(IF(vp.data[[#This Row],[Sulf Input]]="",INDEX([1]DATA!$Q$3:$Q$9826,MATCH(1,(vp.data[[#This Row],[Battery]]=[1]DATA!$L$3:$L$9826)*(EOMONTH(vp.data[[#This Row],[SDate]],-1)+1=[1]DATA!$G$3:$G$9826),0)),vp.data[[#This Row],[Sulf Input]]),"")</f>
        <v>1.92</v>
      </c>
      <c r="J1426" s="2"/>
      <c r="K1426" s="2"/>
      <c r="L1426" s="2">
        <v>868.5</v>
      </c>
      <c r="M1426" s="2">
        <f t="array" ref="M1426">_xlfn.IFNA(IF(vp.data[[#This Row],[Dens Input]]="",INDEX([1]DATA!$O$3:$O$9826,MATCH(1,(vp.data[[#This Row],[Battery]]=[1]DATA!$L$3:$L$9826)*(EOMONTH(vp.data[[#This Row],[SDate]],-1)+1=[1]DATA!$G$3:$G$9826),0)),vp.data[[#This Row],[Dens Input]]),"")</f>
        <v>868.5</v>
      </c>
      <c r="N1426" s="2">
        <f ca="1">INDEX(INDIRECT(_xlfn.CONCAT("weather.tbl[",N$1,"]")),MATCH(vp.data[[#This Row],[SDate]],weather.tbl[Date],0))</f>
        <v>18.116666666666667</v>
      </c>
      <c r="O1426" s="2">
        <f ca="1">INDEX(INDIRECT(_xlfn.CONCAT("weather.tbl[",O$1,"]")),MATCH(vp.data[[#This Row],[SDate]],weather.tbl[Date],0))</f>
        <v>12.52857142857143</v>
      </c>
      <c r="P1426" s="2">
        <f ca="1">INDEX(INDIRECT(_xlfn.CONCAT("weather.tbl[",P$1,"]")),MATCH(vp.data[[#This Row],[SDate]],weather.tbl[Date],0))</f>
        <v>18.8</v>
      </c>
      <c r="Q1426" s="2">
        <f ca="1">INDEX(INDIRECT(_xlfn.CONCAT("weather.tbl[",Q$1,"]")),MATCH(vp.data[[#This Row],[SDate]],weather.tbl[Date],0))</f>
        <v>19.8</v>
      </c>
      <c r="R1426" s="2">
        <f ca="1">INDEX(INDIRECT(_xlfn.CONCAT("weather.tbl[",R$1,"]")),MATCH(vp.data[[#This Row],[SDate]],weather.tbl[Date],0))</f>
        <v>16.8</v>
      </c>
      <c r="S1426" s="2">
        <f ca="1">INDEX(INDIRECT(_xlfn.CONCAT("weather.tbl[",S$1,"]")),MATCH(vp.data[[#This Row],[SDate]],weather.tbl[Date],0))</f>
        <v>20.7</v>
      </c>
      <c r="T1426" s="2">
        <f ca="1">INDEX(INDIRECT(_xlfn.CONCAT("weather.tbl[",T$1,"]")),MATCH(vp.data[[#This Row],[SDate]],weather.tbl[Date],0))</f>
        <v>15.8</v>
      </c>
      <c r="U1426" s="2">
        <f ca="1">INDEX(INDIRECT(_xlfn.CONCAT("weather.tbl[",U$1,"]")),MATCH(vp.data[[#This Row],[SDate]],weather.tbl[Date],0))</f>
        <v>16.8</v>
      </c>
      <c r="V1426" s="2">
        <f t="array" ref="V14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368.13299999999998</v>
      </c>
      <c r="W1426" t="s">
        <v>48</v>
      </c>
      <c r="X1426">
        <f>IF(OR(vp.data[[#This Row],[Sulf]]="",vp.data[[#This Row],[Dens]]=""),1,0)</f>
        <v>0</v>
      </c>
      <c r="Y1426">
        <f>IF(vp.data[[#This Row],[CrudeType]]="C5+",1,0)</f>
        <v>0</v>
      </c>
      <c r="Z1426">
        <f>IF(AND(vp.data[[#This Row],[CrudeType]]="Crude",vp.data[[#This Row],[Dens]]&lt;=825,vp.data[[#This Row],[Sulf]]&gt;0.5,vp.data[[#This Row],[Unknown]]=0),1,0)</f>
        <v>0</v>
      </c>
      <c r="AA1426">
        <f>IF(AND(vp.data[[#This Row],[CrudeType]]="Crude",vp.data[[#This Row],[Dens]]&lt;=825,vp.data[[#This Row],[Sulf]]&lt;=0.5,vp.data[[#This Row],[Unknown]]=0),1,0)</f>
        <v>0</v>
      </c>
      <c r="AB14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6">
        <f>IF(AND(vp.data[[#This Row],[CrudeType]]="Crude",vp.data[[#This Row],[Dens]]&gt;825,vp.data[[#This Row],[Dens]]&lt;=900,vp.data[[#This Row],[Sulf]]&lt;=0.5,vp.data[[#This Row],[Unknown]]=0),1,0)</f>
        <v>0</v>
      </c>
      <c r="AD1426">
        <f>IF(AND(vp.data[[#This Row],[CrudeType]]="Crude",vp.data[[#This Row],[Dens]]&gt;865,vp.data[[#This Row],[Dens]]&lt;=900,vp.data[[#This Row],[Sulf]]&gt;2,vp.data[[#This Row],[Unknown]]=0),1,0)</f>
        <v>0</v>
      </c>
      <c r="AE1426">
        <f>IF(AND(vp.data[[#This Row],[CrudeType]]="Crude",vp.data[[#This Row],[Dens]]&gt;900,vp.data[[#This Row],[Sulf]]&lt;=0.5,vp.data[[#This Row],[Unknown]]=0),1,0)</f>
        <v>0</v>
      </c>
      <c r="AF1426">
        <f>IF(AND(vp.data[[#This Row],[CrudeType]]="Crude",vp.data[[#This Row],[Dens]]&gt;900,vp.data[[#This Row],[Sulf]]&lt;=0.5,vp.data[[#This Row],[Unknown]]=0),1,0)</f>
        <v>0</v>
      </c>
      <c r="AG1426" t="str">
        <f>INDEX(vp.data[[#Headers],[Unknown]:[Heavy_SW]],MATCH(1,vp.data[[#This Row],[Unknown]:[Heavy_SW]],0))</f>
        <v>Medium_LSB</v>
      </c>
      <c r="AH1426">
        <f>INDEX([3]!crudeBD.lkup[Number],MATCH(vp.data[[#This Row],[Crude_Breakdown]],crudeBD.lkup[Crude Breakdown],0))</f>
        <v>3</v>
      </c>
      <c r="AI1426">
        <f>MONTH(vp.data[[#This Row],[SDate]])</f>
        <v>5</v>
      </c>
      <c r="AJ1426" s="5">
        <f>(vp.data[[#This Row],[VP]]-INDEX(crudeBD.lkup[Mean_VP],MATCH(vp.data[[#This Row],[Crude_Breakdown]],crudeBD.lkup[Crude Breakdown],0)))^2</f>
        <v>199.93045293480665</v>
      </c>
      <c r="AK1426" s="5">
        <f>(vp.data[[#This Row],[Dens]]-INDEX(crudeBD.lkup[Mean_Dens],MATCH(vp.data[[#This Row],[Crude_Breakdown]],crudeBD.lkup[Crude Breakdown],0)))^2</f>
        <v>604.17640000002439</v>
      </c>
      <c r="AL1426" s="5">
        <f>(vp.data[[#This Row],[Sulf]]-INDEX(crudeBD.lkup[Mean_Sulf],MATCH(vp.data[[#This Row],[Crude_Breakdown]],crudeBD.lkup[Crude Breakdown],0)))^2</f>
        <v>0.28578847101482835</v>
      </c>
      <c r="AM1426" s="4">
        <f>IF(AND(vp.data[[#This Row],[SDate]]&gt;=DATE(YEAR(vp.data[[#This Row],[SDate]]),5,1),vp.data[[#This Row],[SDate]]&lt;=DATE(YEAR(vp.data[[#This Row],[SDate]]),9,15)),1,0)</f>
        <v>1</v>
      </c>
      <c r="AN1426" s="4">
        <f>IF(vp.data[[#This Row],[SDate]]&lt;DATE(2016,12,1),0,1)</f>
        <v>1</v>
      </c>
      <c r="AO1426" s="4">
        <f>IFERROR(vp.data[[#This Row],[Sulf]]*vp.data[[#This Row],[Net Dens]],"")</f>
        <v>613869.14015999995</v>
      </c>
      <c r="AP1426">
        <f>IFERROR(vp.data[[#This Row],[Dens]]*vp.data[[#This Row],[VolumeM3]],"")</f>
        <v>319723.51049999997</v>
      </c>
      <c r="AQ1426" s="15">
        <f>IFERROR(vp.data[[#This Row],[VP]]*vp.data[[#This Row],[VolumeM3]],"")</f>
        <v>24480.844499999999</v>
      </c>
    </row>
    <row r="1427" spans="1:43" x14ac:dyDescent="0.25">
      <c r="A1427">
        <v>1426</v>
      </c>
      <c r="B1427" t="s">
        <v>183</v>
      </c>
      <c r="C1427" t="s">
        <v>183</v>
      </c>
      <c r="D1427" t="s">
        <v>307</v>
      </c>
      <c r="F1427" s="1">
        <v>42861</v>
      </c>
      <c r="G1427" s="2">
        <v>39</v>
      </c>
      <c r="H1427" s="2"/>
      <c r="I1427" s="2">
        <f t="array" ref="I1427">_xlfn.IFNA(IF(vp.data[[#This Row],[Sulf Input]]="",INDEX([1]DATA!$Q$3:$Q$9826,MATCH(1,(vp.data[[#This Row],[Battery]]=[1]DATA!$L$3:$L$9826)*(EOMONTH(vp.data[[#This Row],[SDate]],-1)+1=[1]DATA!$G$3:$G$9826),0)),vp.data[[#This Row],[Sulf Input]]),"")</f>
        <v>2.3199999999999998</v>
      </c>
      <c r="J1427" s="2"/>
      <c r="K1427" s="2"/>
      <c r="L1427" s="2">
        <v>888.5</v>
      </c>
      <c r="M1427" s="2">
        <f t="array" ref="M1427">_xlfn.IFNA(IF(vp.data[[#This Row],[Dens Input]]="",INDEX([1]DATA!$O$3:$O$9826,MATCH(1,(vp.data[[#This Row],[Battery]]=[1]DATA!$L$3:$L$9826)*(EOMONTH(vp.data[[#This Row],[SDate]],-1)+1=[1]DATA!$G$3:$G$9826),0)),vp.data[[#This Row],[Dens Input]]),"")</f>
        <v>888.5</v>
      </c>
      <c r="N1427" s="2">
        <f ca="1">INDEX(INDIRECT(_xlfn.CONCAT("weather.tbl[",N$1,"]")),MATCH(vp.data[[#This Row],[SDate]],weather.tbl[Date],0))</f>
        <v>18.116666666666667</v>
      </c>
      <c r="O1427" s="2">
        <f ca="1">INDEX(INDIRECT(_xlfn.CONCAT("weather.tbl[",O$1,"]")),MATCH(vp.data[[#This Row],[SDate]],weather.tbl[Date],0))</f>
        <v>12.52857142857143</v>
      </c>
      <c r="P1427" s="2">
        <f ca="1">INDEX(INDIRECT(_xlfn.CONCAT("weather.tbl[",P$1,"]")),MATCH(vp.data[[#This Row],[SDate]],weather.tbl[Date],0))</f>
        <v>18.8</v>
      </c>
      <c r="Q1427" s="2">
        <f ca="1">INDEX(INDIRECT(_xlfn.CONCAT("weather.tbl[",Q$1,"]")),MATCH(vp.data[[#This Row],[SDate]],weather.tbl[Date],0))</f>
        <v>19.8</v>
      </c>
      <c r="R1427" s="2">
        <f ca="1">INDEX(INDIRECT(_xlfn.CONCAT("weather.tbl[",R$1,"]")),MATCH(vp.data[[#This Row],[SDate]],weather.tbl[Date],0))</f>
        <v>16.8</v>
      </c>
      <c r="S1427" s="2">
        <f ca="1">INDEX(INDIRECT(_xlfn.CONCAT("weather.tbl[",S$1,"]")),MATCH(vp.data[[#This Row],[SDate]],weather.tbl[Date],0))</f>
        <v>20.7</v>
      </c>
      <c r="T1427" s="2">
        <f ca="1">INDEX(INDIRECT(_xlfn.CONCAT("weather.tbl[",T$1,"]")),MATCH(vp.data[[#This Row],[SDate]],weather.tbl[Date],0))</f>
        <v>15.8</v>
      </c>
      <c r="U1427" s="2">
        <f ca="1">INDEX(INDIRECT(_xlfn.CONCAT("weather.tbl[",U$1,"]")),MATCH(vp.data[[#This Row],[SDate]],weather.tbl[Date],0))</f>
        <v>16.8</v>
      </c>
      <c r="V1427" s="2">
        <f t="array" ref="V14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195.81899999999999</v>
      </c>
      <c r="W1427" t="s">
        <v>48</v>
      </c>
      <c r="X1427">
        <f>IF(OR(vp.data[[#This Row],[Sulf]]="",vp.data[[#This Row],[Dens]]=""),1,0)</f>
        <v>0</v>
      </c>
      <c r="Y1427">
        <f>IF(vp.data[[#This Row],[CrudeType]]="C5+",1,0)</f>
        <v>0</v>
      </c>
      <c r="Z1427">
        <f>IF(AND(vp.data[[#This Row],[CrudeType]]="Crude",vp.data[[#This Row],[Dens]]&lt;=825,vp.data[[#This Row],[Sulf]]&gt;0.5,vp.data[[#This Row],[Unknown]]=0),1,0)</f>
        <v>0</v>
      </c>
      <c r="AA1427">
        <f>IF(AND(vp.data[[#This Row],[CrudeType]]="Crude",vp.data[[#This Row],[Dens]]&lt;=825,vp.data[[#This Row],[Sulf]]&lt;=0.5,vp.data[[#This Row],[Unknown]]=0),1,0)</f>
        <v>0</v>
      </c>
      <c r="AB14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27">
        <f>IF(AND(vp.data[[#This Row],[CrudeType]]="Crude",vp.data[[#This Row],[Dens]]&gt;825,vp.data[[#This Row],[Dens]]&lt;=900,vp.data[[#This Row],[Sulf]]&lt;=0.5,vp.data[[#This Row],[Unknown]]=0),1,0)</f>
        <v>0</v>
      </c>
      <c r="AD1427">
        <f>IF(AND(vp.data[[#This Row],[CrudeType]]="Crude",vp.data[[#This Row],[Dens]]&gt;865,vp.data[[#This Row],[Dens]]&lt;=900,vp.data[[#This Row],[Sulf]]&gt;2,vp.data[[#This Row],[Unknown]]=0),1,0)</f>
        <v>1</v>
      </c>
      <c r="AE1427">
        <f>IF(AND(vp.data[[#This Row],[CrudeType]]="Crude",vp.data[[#This Row],[Dens]]&gt;900,vp.data[[#This Row],[Sulf]]&lt;=0.5,vp.data[[#This Row],[Unknown]]=0),1,0)</f>
        <v>0</v>
      </c>
      <c r="AF1427">
        <f>IF(AND(vp.data[[#This Row],[CrudeType]]="Crude",vp.data[[#This Row],[Dens]]&gt;900,vp.data[[#This Row],[Sulf]]&lt;=0.5,vp.data[[#This Row],[Unknown]]=0),1,0)</f>
        <v>0</v>
      </c>
      <c r="AG1427" t="str">
        <f>INDEX(vp.data[[#Headers],[Unknown]:[Heavy_SW]],MATCH(1,vp.data[[#This Row],[Unknown]:[Heavy_SW]],0))</f>
        <v>Midale</v>
      </c>
      <c r="AH1427">
        <f>INDEX([3]!crudeBD.lkup[Number],MATCH(vp.data[[#This Row],[Crude_Breakdown]],crudeBD.lkup[Crude Breakdown],0))</f>
        <v>5</v>
      </c>
      <c r="AI1427">
        <f>MONTH(vp.data[[#This Row],[SDate]])</f>
        <v>5</v>
      </c>
      <c r="AJ1427" s="5">
        <f>(vp.data[[#This Row],[VP]]-INDEX(crudeBD.lkup[Mean_VP],MATCH(vp.data[[#This Row],[Crude_Breakdown]],crudeBD.lkup[Crude Breakdown],0)))^2</f>
        <v>924.69286029333807</v>
      </c>
      <c r="AK1427" s="5">
        <f>(vp.data[[#This Row],[Dens]]-INDEX(crudeBD.lkup[Mean_Dens],MATCH(vp.data[[#This Row],[Crude_Breakdown]],crudeBD.lkup[Crude Breakdown],0)))^2</f>
        <v>187.22420687638655</v>
      </c>
      <c r="AL1427" s="5">
        <f>(vp.data[[#This Row],[Sulf]]-INDEX(crudeBD.lkup[Mean_Sulf],MATCH(vp.data[[#This Row],[Crude_Breakdown]],crudeBD.lkup[Crude Breakdown],0)))^2</f>
        <v>1.5280808407279965E-2</v>
      </c>
      <c r="AM1427" s="4">
        <f>IF(AND(vp.data[[#This Row],[SDate]]&gt;=DATE(YEAR(vp.data[[#This Row],[SDate]]),5,1),vp.data[[#This Row],[SDate]]&lt;=DATE(YEAR(vp.data[[#This Row],[SDate]]),9,15)),1,0)</f>
        <v>1</v>
      </c>
      <c r="AN1427" s="4">
        <f>IF(vp.data[[#This Row],[SDate]]&lt;DATE(2016,12,1),0,1)</f>
        <v>1</v>
      </c>
      <c r="AO1427" s="4">
        <f>IFERROR(vp.data[[#This Row],[Sulf]]*vp.data[[#This Row],[Net Dens]],"")</f>
        <v>403645.6210799999</v>
      </c>
      <c r="AP1427">
        <f>IFERROR(vp.data[[#This Row],[Dens]]*vp.data[[#This Row],[VolumeM3]],"")</f>
        <v>173985.18149999998</v>
      </c>
      <c r="AQ1427" s="15">
        <f>IFERROR(vp.data[[#This Row],[VP]]*vp.data[[#This Row],[VolumeM3]],"")</f>
        <v>7636.9409999999998</v>
      </c>
    </row>
    <row r="1428" spans="1:43" x14ac:dyDescent="0.25">
      <c r="A1428">
        <v>1427</v>
      </c>
      <c r="B1428" t="s">
        <v>68</v>
      </c>
      <c r="C1428" t="s">
        <v>68</v>
      </c>
      <c r="D1428" t="s">
        <v>123</v>
      </c>
      <c r="F1428" s="1">
        <v>42861</v>
      </c>
      <c r="G1428" s="2">
        <v>64.900000000000006</v>
      </c>
      <c r="H1428" s="2"/>
      <c r="I1428" s="2">
        <f t="array" ref="I1428">_xlfn.IFNA(IF(vp.data[[#This Row],[Sulf Input]]="",INDEX([1]DATA!$Q$3:$Q$9826,MATCH(1,(vp.data[[#This Row],[Battery]]=[1]DATA!$L$3:$L$9826)*(EOMONTH(vp.data[[#This Row],[SDate]],-1)+1=[1]DATA!$G$3:$G$9826),0)),vp.data[[#This Row],[Sulf Input]]),"")</f>
        <v>1.48</v>
      </c>
      <c r="J1428" s="2"/>
      <c r="K1428" s="2"/>
      <c r="L1428" s="2">
        <v>844.9</v>
      </c>
      <c r="M1428" s="2">
        <f t="array" ref="M1428">_xlfn.IFNA(IF(vp.data[[#This Row],[Dens Input]]="",INDEX([1]DATA!$O$3:$O$9826,MATCH(1,(vp.data[[#This Row],[Battery]]=[1]DATA!$L$3:$L$9826)*(EOMONTH(vp.data[[#This Row],[SDate]],-1)+1=[1]DATA!$G$3:$G$9826),0)),vp.data[[#This Row],[Dens Input]]),"")</f>
        <v>844.9</v>
      </c>
      <c r="N1428" s="2">
        <f ca="1">INDEX(INDIRECT(_xlfn.CONCAT("weather.tbl[",N$1,"]")),MATCH(vp.data[[#This Row],[SDate]],weather.tbl[Date],0))</f>
        <v>18.116666666666667</v>
      </c>
      <c r="O1428" s="2">
        <f ca="1">INDEX(INDIRECT(_xlfn.CONCAT("weather.tbl[",O$1,"]")),MATCH(vp.data[[#This Row],[SDate]],weather.tbl[Date],0))</f>
        <v>12.52857142857143</v>
      </c>
      <c r="P1428" s="2">
        <f ca="1">INDEX(INDIRECT(_xlfn.CONCAT("weather.tbl[",P$1,"]")),MATCH(vp.data[[#This Row],[SDate]],weather.tbl[Date],0))</f>
        <v>18.8</v>
      </c>
      <c r="Q1428" s="2">
        <f ca="1">INDEX(INDIRECT(_xlfn.CONCAT("weather.tbl[",Q$1,"]")),MATCH(vp.data[[#This Row],[SDate]],weather.tbl[Date],0))</f>
        <v>19.8</v>
      </c>
      <c r="R1428" s="2">
        <f ca="1">INDEX(INDIRECT(_xlfn.CONCAT("weather.tbl[",R$1,"]")),MATCH(vp.data[[#This Row],[SDate]],weather.tbl[Date],0))</f>
        <v>16.8</v>
      </c>
      <c r="S1428" s="2">
        <f ca="1">INDEX(INDIRECT(_xlfn.CONCAT("weather.tbl[",S$1,"]")),MATCH(vp.data[[#This Row],[SDate]],weather.tbl[Date],0))</f>
        <v>20.7</v>
      </c>
      <c r="T1428" s="2">
        <f ca="1">INDEX(INDIRECT(_xlfn.CONCAT("weather.tbl[",T$1,"]")),MATCH(vp.data[[#This Row],[SDate]],weather.tbl[Date],0))</f>
        <v>15.8</v>
      </c>
      <c r="U1428" s="2">
        <f ca="1">INDEX(INDIRECT(_xlfn.CONCAT("weather.tbl[",U$1,"]")),MATCH(vp.data[[#This Row],[SDate]],weather.tbl[Date],0))</f>
        <v>16.8</v>
      </c>
      <c r="V1428" s="2">
        <f t="array" ref="V14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1064.97</v>
      </c>
      <c r="W1428" t="s">
        <v>48</v>
      </c>
      <c r="X1428">
        <f>IF(OR(vp.data[[#This Row],[Sulf]]="",vp.data[[#This Row],[Dens]]=""),1,0)</f>
        <v>0</v>
      </c>
      <c r="Y1428">
        <f>IF(vp.data[[#This Row],[CrudeType]]="C5+",1,0)</f>
        <v>0</v>
      </c>
      <c r="Z1428">
        <f>IF(AND(vp.data[[#This Row],[CrudeType]]="Crude",vp.data[[#This Row],[Dens]]&lt;=825,vp.data[[#This Row],[Sulf]]&gt;0.5,vp.data[[#This Row],[Unknown]]=0),1,0)</f>
        <v>0</v>
      </c>
      <c r="AA1428">
        <f>IF(AND(vp.data[[#This Row],[CrudeType]]="Crude",vp.data[[#This Row],[Dens]]&lt;=825,vp.data[[#This Row],[Sulf]]&lt;=0.5,vp.data[[#This Row],[Unknown]]=0),1,0)</f>
        <v>0</v>
      </c>
      <c r="AB14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8">
        <f>IF(AND(vp.data[[#This Row],[CrudeType]]="Crude",vp.data[[#This Row],[Dens]]&gt;825,vp.data[[#This Row],[Dens]]&lt;=900,vp.data[[#This Row],[Sulf]]&lt;=0.5,vp.data[[#This Row],[Unknown]]=0),1,0)</f>
        <v>0</v>
      </c>
      <c r="AD1428">
        <f>IF(AND(vp.data[[#This Row],[CrudeType]]="Crude",vp.data[[#This Row],[Dens]]&gt;865,vp.data[[#This Row],[Dens]]&lt;=900,vp.data[[#This Row],[Sulf]]&gt;2,vp.data[[#This Row],[Unknown]]=0),1,0)</f>
        <v>0</v>
      </c>
      <c r="AE1428">
        <f>IF(AND(vp.data[[#This Row],[CrudeType]]="Crude",vp.data[[#This Row],[Dens]]&gt;900,vp.data[[#This Row],[Sulf]]&lt;=0.5,vp.data[[#This Row],[Unknown]]=0),1,0)</f>
        <v>0</v>
      </c>
      <c r="AF1428">
        <f>IF(AND(vp.data[[#This Row],[CrudeType]]="Crude",vp.data[[#This Row],[Dens]]&gt;900,vp.data[[#This Row],[Sulf]]&lt;=0.5,vp.data[[#This Row],[Unknown]]=0),1,0)</f>
        <v>0</v>
      </c>
      <c r="AG1428" t="str">
        <f>INDEX(vp.data[[#Headers],[Unknown]:[Heavy_SW]],MATCH(1,vp.data[[#This Row],[Unknown]:[Heavy_SW]],0))</f>
        <v>Medium_LSB</v>
      </c>
      <c r="AH1428">
        <f>INDEX([3]!crudeBD.lkup[Number],MATCH(vp.data[[#This Row],[Crude_Breakdown]],crudeBD.lkup[Crude Breakdown],0))</f>
        <v>3</v>
      </c>
      <c r="AI1428">
        <f>MONTH(vp.data[[#This Row],[SDate]])</f>
        <v>5</v>
      </c>
      <c r="AJ1428" s="5">
        <f>(vp.data[[#This Row],[VP]]-INDEX(crudeBD.lkup[Mean_VP],MATCH(vp.data[[#This Row],[Crude_Breakdown]],crudeBD.lkup[Crude Breakdown],0)))^2</f>
        <v>247.73741789437497</v>
      </c>
      <c r="AK1428" s="5">
        <f>(vp.data[[#This Row],[Dens]]-INDEX(crudeBD.lkup[Mean_Dens],MATCH(vp.data[[#This Row],[Crude_Breakdown]],crudeBD.lkup[Crude Breakdown],0)))^2</f>
        <v>0.96040000000092696</v>
      </c>
      <c r="AL1428" s="5">
        <f>(vp.data[[#This Row],[Sulf]]-INDEX(crudeBD.lkup[Mean_Sulf],MATCH(vp.data[[#This Row],[Crude_Breakdown]],crudeBD.lkup[Crude Breakdown],0)))^2</f>
        <v>8.9476224973095587E-3</v>
      </c>
      <c r="AM1428" s="4">
        <f>IF(AND(vp.data[[#This Row],[SDate]]&gt;=DATE(YEAR(vp.data[[#This Row],[SDate]]),5,1),vp.data[[#This Row],[SDate]]&lt;=DATE(YEAR(vp.data[[#This Row],[SDate]]),9,15)),1,0)</f>
        <v>1</v>
      </c>
      <c r="AN1428" s="4">
        <f>IF(vp.data[[#This Row],[SDate]]&lt;DATE(2016,12,1),0,1)</f>
        <v>1</v>
      </c>
      <c r="AO1428" s="4">
        <f>IFERROR(vp.data[[#This Row],[Sulf]]*vp.data[[#This Row],[Net Dens]],"")</f>
        <v>1331693.86644</v>
      </c>
      <c r="AP1428">
        <f>IFERROR(vp.data[[#This Row],[Dens]]*vp.data[[#This Row],[VolumeM3]],"")</f>
        <v>899793.15300000005</v>
      </c>
      <c r="AQ1428" s="15">
        <f>IFERROR(vp.data[[#This Row],[VP]]*vp.data[[#This Row],[VolumeM3]],"")</f>
        <v>69116.553000000014</v>
      </c>
    </row>
    <row r="1429" spans="1:43" x14ac:dyDescent="0.25">
      <c r="A1429">
        <v>1428</v>
      </c>
      <c r="B1429" t="s">
        <v>51</v>
      </c>
      <c r="C1429" t="s">
        <v>51</v>
      </c>
      <c r="D1429" t="s">
        <v>72</v>
      </c>
      <c r="F1429" s="1">
        <v>42863</v>
      </c>
      <c r="G1429" s="2">
        <v>88.6</v>
      </c>
      <c r="H1429" s="2"/>
      <c r="I1429" s="2">
        <f t="array" ref="I1429">_xlfn.IFNA(IF(vp.data[[#This Row],[Sulf Input]]="",INDEX([1]DATA!$Q$3:$Q$9826,MATCH(1,(vp.data[[#This Row],[Battery]]=[1]DATA!$L$3:$L$9826)*(EOMONTH(vp.data[[#This Row],[SDate]],-1)+1=[1]DATA!$G$3:$G$9826),0)),vp.data[[#This Row],[Sulf Input]]),"")</f>
        <v>1.06</v>
      </c>
      <c r="J1429" s="2"/>
      <c r="K1429" s="2"/>
      <c r="L1429" s="2">
        <v>826.9</v>
      </c>
      <c r="M1429" s="2">
        <f t="array" ref="M1429">_xlfn.IFNA(IF(vp.data[[#This Row],[Dens Input]]="",INDEX([1]DATA!$O$3:$O$9826,MATCH(1,(vp.data[[#This Row],[Battery]]=[1]DATA!$L$3:$L$9826)*(EOMONTH(vp.data[[#This Row],[SDate]],-1)+1=[1]DATA!$G$3:$G$9826),0)),vp.data[[#This Row],[Dens Input]]),"")</f>
        <v>826.9</v>
      </c>
      <c r="N1429" s="2">
        <f ca="1">INDEX(INDIRECT(_xlfn.CONCAT("weather.tbl[",N$1,"]")),MATCH(vp.data[[#This Row],[SDate]],weather.tbl[Date],0))</f>
        <v>10.516666666666667</v>
      </c>
      <c r="O1429" s="2">
        <f ca="1">INDEX(INDIRECT(_xlfn.CONCAT("weather.tbl[",O$1,"]")),MATCH(vp.data[[#This Row],[SDate]],weather.tbl[Date],0))</f>
        <v>13.452380952380953</v>
      </c>
      <c r="P1429" s="2">
        <f ca="1">INDEX(INDIRECT(_xlfn.CONCAT("weather.tbl[",P$1,"]")),MATCH(vp.data[[#This Row],[SDate]],weather.tbl[Date],0))</f>
        <v>11</v>
      </c>
      <c r="Q1429" s="2">
        <f ca="1">INDEX(INDIRECT(_xlfn.CONCAT("weather.tbl[",Q$1,"]")),MATCH(vp.data[[#This Row],[SDate]],weather.tbl[Date],0))</f>
        <v>9.1</v>
      </c>
      <c r="R1429" s="2">
        <f ca="1">INDEX(INDIRECT(_xlfn.CONCAT("weather.tbl[",R$1,"]")),MATCH(vp.data[[#This Row],[SDate]],weather.tbl[Date],0))</f>
        <v>12.3</v>
      </c>
      <c r="S1429" s="2">
        <f ca="1">INDEX(INDIRECT(_xlfn.CONCAT("weather.tbl[",S$1,"]")),MATCH(vp.data[[#This Row],[SDate]],weather.tbl[Date],0))</f>
        <v>8.5</v>
      </c>
      <c r="T1429" s="2">
        <f ca="1">INDEX(INDIRECT(_xlfn.CONCAT("weather.tbl[",T$1,"]")),MATCH(vp.data[[#This Row],[SDate]],weather.tbl[Date],0))</f>
        <v>11.7</v>
      </c>
      <c r="U1429" s="2">
        <f ca="1">INDEX(INDIRECT(_xlfn.CONCAT("weather.tbl[",U$1,"]")),MATCH(vp.data[[#This Row],[SDate]],weather.tbl[Date],0))</f>
        <v>10.5</v>
      </c>
      <c r="V1429" s="2">
        <f t="array" ref="V14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14195.075000000001</v>
      </c>
      <c r="W1429" t="s">
        <v>48</v>
      </c>
      <c r="X1429">
        <f>IF(OR(vp.data[[#This Row],[Sulf]]="",vp.data[[#This Row],[Dens]]=""),1,0)</f>
        <v>0</v>
      </c>
      <c r="Y1429">
        <f>IF(vp.data[[#This Row],[CrudeType]]="C5+",1,0)</f>
        <v>0</v>
      </c>
      <c r="Z1429">
        <f>IF(AND(vp.data[[#This Row],[CrudeType]]="Crude",vp.data[[#This Row],[Dens]]&lt;=825,vp.data[[#This Row],[Sulf]]&gt;0.5,vp.data[[#This Row],[Unknown]]=0),1,0)</f>
        <v>0</v>
      </c>
      <c r="AA1429">
        <f>IF(AND(vp.data[[#This Row],[CrudeType]]="Crude",vp.data[[#This Row],[Dens]]&lt;=825,vp.data[[#This Row],[Sulf]]&lt;=0.5,vp.data[[#This Row],[Unknown]]=0),1,0)</f>
        <v>0</v>
      </c>
      <c r="AB14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29">
        <f>IF(AND(vp.data[[#This Row],[CrudeType]]="Crude",vp.data[[#This Row],[Dens]]&gt;825,vp.data[[#This Row],[Dens]]&lt;=900,vp.data[[#This Row],[Sulf]]&lt;=0.5,vp.data[[#This Row],[Unknown]]=0),1,0)</f>
        <v>0</v>
      </c>
      <c r="AD1429">
        <f>IF(AND(vp.data[[#This Row],[CrudeType]]="Crude",vp.data[[#This Row],[Dens]]&gt;865,vp.data[[#This Row],[Dens]]&lt;=900,vp.data[[#This Row],[Sulf]]&gt;2,vp.data[[#This Row],[Unknown]]=0),1,0)</f>
        <v>0</v>
      </c>
      <c r="AE1429">
        <f>IF(AND(vp.data[[#This Row],[CrudeType]]="Crude",vp.data[[#This Row],[Dens]]&gt;900,vp.data[[#This Row],[Sulf]]&lt;=0.5,vp.data[[#This Row],[Unknown]]=0),1,0)</f>
        <v>0</v>
      </c>
      <c r="AF1429">
        <f>IF(AND(vp.data[[#This Row],[CrudeType]]="Crude",vp.data[[#This Row],[Dens]]&gt;900,vp.data[[#This Row],[Sulf]]&lt;=0.5,vp.data[[#This Row],[Unknown]]=0),1,0)</f>
        <v>0</v>
      </c>
      <c r="AG1429" t="str">
        <f>INDEX(vp.data[[#Headers],[Unknown]:[Heavy_SW]],MATCH(1,vp.data[[#This Row],[Unknown]:[Heavy_SW]],0))</f>
        <v>Medium_LSB</v>
      </c>
      <c r="AH1429">
        <f>INDEX([3]!crudeBD.lkup[Number],MATCH(vp.data[[#This Row],[Crude_Breakdown]],crudeBD.lkup[Crude Breakdown],0))</f>
        <v>3</v>
      </c>
      <c r="AI1429">
        <f>MONTH(vp.data[[#This Row],[SDate]])</f>
        <v>5</v>
      </c>
      <c r="AJ1429" s="5">
        <f>(vp.data[[#This Row],[VP]]-INDEX(crudeBD.lkup[Mean_VP],MATCH(vp.data[[#This Row],[Crude_Breakdown]],crudeBD.lkup[Crude Breakdown],0)))^2</f>
        <v>63.366749430766589</v>
      </c>
      <c r="AK1429" s="5">
        <f>(vp.data[[#This Row],[Dens]]-INDEX(crudeBD.lkup[Mean_Dens],MATCH(vp.data[[#This Row],[Crude_Breakdown]],crudeBD.lkup[Crude Breakdown],0)))^2</f>
        <v>289.68039999998388</v>
      </c>
      <c r="AL1429" s="5">
        <f>(vp.data[[#This Row],[Sulf]]-INDEX(crudeBD.lkup[Mean_Sulf],MATCH(vp.data[[#This Row],[Crude_Breakdown]],crudeBD.lkup[Crude Breakdown],0)))^2</f>
        <v>0.10589044891240515</v>
      </c>
      <c r="AM1429" s="4">
        <f>IF(AND(vp.data[[#This Row],[SDate]]&gt;=DATE(YEAR(vp.data[[#This Row],[SDate]]),5,1),vp.data[[#This Row],[SDate]]&lt;=DATE(YEAR(vp.data[[#This Row],[SDate]]),9,15)),1,0)</f>
        <v>1</v>
      </c>
      <c r="AN1429" s="4">
        <f>IF(vp.data[[#This Row],[SDate]]&lt;DATE(2016,12,1),0,1)</f>
        <v>1</v>
      </c>
      <c r="AO1429" s="4">
        <f>IFERROR(vp.data[[#This Row],[Sulf]]*vp.data[[#This Row],[Net Dens]],"")</f>
        <v>12442181.96855</v>
      </c>
      <c r="AP1429">
        <f>IFERROR(vp.data[[#This Row],[Dens]]*vp.data[[#This Row],[VolumeM3]],"")</f>
        <v>11737907.5175</v>
      </c>
      <c r="AQ1429" s="15">
        <f>IFERROR(vp.data[[#This Row],[VP]]*vp.data[[#This Row],[VolumeM3]],"")</f>
        <v>1257683.645</v>
      </c>
    </row>
    <row r="1430" spans="1:43" x14ac:dyDescent="0.25">
      <c r="A1430">
        <v>1429</v>
      </c>
      <c r="B1430" t="s">
        <v>60</v>
      </c>
      <c r="C1430" t="s">
        <v>60</v>
      </c>
      <c r="D1430" t="s">
        <v>61</v>
      </c>
      <c r="E1430" t="s">
        <v>289</v>
      </c>
      <c r="F1430" s="1">
        <v>42863</v>
      </c>
      <c r="G1430" s="2">
        <v>86.8</v>
      </c>
      <c r="H1430" s="2"/>
      <c r="I1430" s="2">
        <f t="array" ref="I1430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430" s="2"/>
      <c r="K1430" s="2"/>
      <c r="L1430" s="2">
        <v>826.5</v>
      </c>
      <c r="M1430" s="2">
        <f t="array" ref="M1430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430" s="2">
        <f ca="1">INDEX(INDIRECT(_xlfn.CONCAT("weather.tbl[",N$1,"]")),MATCH(vp.data[[#This Row],[SDate]],weather.tbl[Date],0))</f>
        <v>10.516666666666667</v>
      </c>
      <c r="O1430" s="2">
        <f ca="1">INDEX(INDIRECT(_xlfn.CONCAT("weather.tbl[",O$1,"]")),MATCH(vp.data[[#This Row],[SDate]],weather.tbl[Date],0))</f>
        <v>13.452380952380953</v>
      </c>
      <c r="P1430" s="2">
        <f ca="1">INDEX(INDIRECT(_xlfn.CONCAT("weather.tbl[",P$1,"]")),MATCH(vp.data[[#This Row],[SDate]],weather.tbl[Date],0))</f>
        <v>11</v>
      </c>
      <c r="Q1430" s="2">
        <f ca="1">INDEX(INDIRECT(_xlfn.CONCAT("weather.tbl[",Q$1,"]")),MATCH(vp.data[[#This Row],[SDate]],weather.tbl[Date],0))</f>
        <v>9.1</v>
      </c>
      <c r="R1430" s="2">
        <f ca="1">INDEX(INDIRECT(_xlfn.CONCAT("weather.tbl[",R$1,"]")),MATCH(vp.data[[#This Row],[SDate]],weather.tbl[Date],0))</f>
        <v>12.3</v>
      </c>
      <c r="S1430" s="2">
        <f ca="1">INDEX(INDIRECT(_xlfn.CONCAT("weather.tbl[",S$1,"]")),MATCH(vp.data[[#This Row],[SDate]],weather.tbl[Date],0))</f>
        <v>8.5</v>
      </c>
      <c r="T1430" s="2">
        <f ca="1">INDEX(INDIRECT(_xlfn.CONCAT("weather.tbl[",T$1,"]")),MATCH(vp.data[[#This Row],[SDate]],weather.tbl[Date],0))</f>
        <v>11.7</v>
      </c>
      <c r="U1430" s="2">
        <f ca="1">INDEX(INDIRECT(_xlfn.CONCAT("weather.tbl[",U$1,"]")),MATCH(vp.data[[#This Row],[SDate]],weather.tbl[Date],0))</f>
        <v>10.5</v>
      </c>
      <c r="V1430" s="2">
        <f t="array" ref="V14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430" t="s">
        <v>48</v>
      </c>
      <c r="X1430">
        <f>IF(OR(vp.data[[#This Row],[Sulf]]="",vp.data[[#This Row],[Dens]]=""),1,0)</f>
        <v>0</v>
      </c>
      <c r="Y1430">
        <f>IF(vp.data[[#This Row],[CrudeType]]="C5+",1,0)</f>
        <v>0</v>
      </c>
      <c r="Z1430">
        <f>IF(AND(vp.data[[#This Row],[CrudeType]]="Crude",vp.data[[#This Row],[Dens]]&lt;=825,vp.data[[#This Row],[Sulf]]&gt;0.5,vp.data[[#This Row],[Unknown]]=0),1,0)</f>
        <v>0</v>
      </c>
      <c r="AA1430">
        <f>IF(AND(vp.data[[#This Row],[CrudeType]]="Crude",vp.data[[#This Row],[Dens]]&lt;=825,vp.data[[#This Row],[Sulf]]&lt;=0.5,vp.data[[#This Row],[Unknown]]=0),1,0)</f>
        <v>0</v>
      </c>
      <c r="AB14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0">
        <f>IF(AND(vp.data[[#This Row],[CrudeType]]="Crude",vp.data[[#This Row],[Dens]]&gt;825,vp.data[[#This Row],[Dens]]&lt;=900,vp.data[[#This Row],[Sulf]]&lt;=0.5,vp.data[[#This Row],[Unknown]]=0),1,0)</f>
        <v>0</v>
      </c>
      <c r="AD1430">
        <f>IF(AND(vp.data[[#This Row],[CrudeType]]="Crude",vp.data[[#This Row],[Dens]]&gt;865,vp.data[[#This Row],[Dens]]&lt;=900,vp.data[[#This Row],[Sulf]]&gt;2,vp.data[[#This Row],[Unknown]]=0),1,0)</f>
        <v>0</v>
      </c>
      <c r="AE1430">
        <f>IF(AND(vp.data[[#This Row],[CrudeType]]="Crude",vp.data[[#This Row],[Dens]]&gt;900,vp.data[[#This Row],[Sulf]]&lt;=0.5,vp.data[[#This Row],[Unknown]]=0),1,0)</f>
        <v>0</v>
      </c>
      <c r="AF1430">
        <f>IF(AND(vp.data[[#This Row],[CrudeType]]="Crude",vp.data[[#This Row],[Dens]]&gt;900,vp.data[[#This Row],[Sulf]]&lt;=0.5,vp.data[[#This Row],[Unknown]]=0),1,0)</f>
        <v>0</v>
      </c>
      <c r="AG1430" t="str">
        <f>INDEX(vp.data[[#Headers],[Unknown]:[Heavy_SW]],MATCH(1,vp.data[[#This Row],[Unknown]:[Heavy_SW]],0))</f>
        <v>Medium_LSB</v>
      </c>
      <c r="AH1430">
        <f>INDEX([3]!crudeBD.lkup[Number],MATCH(vp.data[[#This Row],[Crude_Breakdown]],crudeBD.lkup[Crude Breakdown],0))</f>
        <v>3</v>
      </c>
      <c r="AI1430">
        <f>MONTH(vp.data[[#This Row],[SDate]])</f>
        <v>5</v>
      </c>
      <c r="AJ1430" s="5">
        <f>(vp.data[[#This Row],[VP]]-INDEX(crudeBD.lkup[Mean_VP],MATCH(vp.data[[#This Row],[Crude_Breakdown]],crudeBD.lkup[Crude Breakdown],0)))^2</f>
        <v>37.949585010281211</v>
      </c>
      <c r="AK1430" s="5">
        <f>(vp.data[[#This Row],[Dens]]-INDEX(crudeBD.lkup[Mean_Dens],MATCH(vp.data[[#This Row],[Crude_Breakdown]],crudeBD.lkup[Crude Breakdown],0)))^2</f>
        <v>303.45639999998275</v>
      </c>
      <c r="AL1430" s="5">
        <f>(vp.data[[#This Row],[Sulf]]-INDEX(crudeBD.lkup[Mean_Sulf],MATCH(vp.data[[#This Row],[Crude_Breakdown]],crudeBD.lkup[Crude Breakdown],0)))^2</f>
        <v>8.726596131132687E-2</v>
      </c>
      <c r="AM1430" s="4">
        <f>IF(AND(vp.data[[#This Row],[SDate]]&gt;=DATE(YEAR(vp.data[[#This Row],[SDate]]),5,1),vp.data[[#This Row],[SDate]]&lt;=DATE(YEAR(vp.data[[#This Row],[SDate]]),9,15)),1,0)</f>
        <v>1</v>
      </c>
      <c r="AN1430" s="4">
        <f>IF(vp.data[[#This Row],[SDate]]&lt;DATE(2016,12,1),0,1)</f>
        <v>1</v>
      </c>
      <c r="AO1430" s="4">
        <f>IFERROR(vp.data[[#This Row],[Sulf]]*vp.data[[#This Row],[Net Dens]],"")</f>
        <v>106567495.62708001</v>
      </c>
      <c r="AP1430">
        <f>IFERROR(vp.data[[#This Row],[Dens]]*vp.data[[#This Row],[VolumeM3]],"")</f>
        <v>97768344.612000003</v>
      </c>
      <c r="AQ1430" s="15">
        <f>IFERROR(vp.data[[#This Row],[VP]]*vp.data[[#This Row],[VolumeM3]],"")</f>
        <v>10267746.294399999</v>
      </c>
    </row>
    <row r="1431" spans="1:43" x14ac:dyDescent="0.25">
      <c r="A1431">
        <v>1430</v>
      </c>
      <c r="B1431" t="s">
        <v>60</v>
      </c>
      <c r="C1431" t="s">
        <v>60</v>
      </c>
      <c r="D1431" t="s">
        <v>61</v>
      </c>
      <c r="E1431" t="s">
        <v>290</v>
      </c>
      <c r="F1431" s="1">
        <v>42863</v>
      </c>
      <c r="G1431" s="2">
        <v>74.2</v>
      </c>
      <c r="H1431" s="2"/>
      <c r="I1431" s="2">
        <f t="array" ref="I1431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431" s="2"/>
      <c r="K1431" s="2"/>
      <c r="L1431" s="2">
        <v>841.3</v>
      </c>
      <c r="M1431" s="2">
        <f t="array" ref="M1431">_xlfn.IFNA(IF(vp.data[[#This Row],[Dens Input]]="",INDEX([1]DATA!$O$3:$O$9826,MATCH(1,(vp.data[[#This Row],[Battery]]=[1]DATA!$L$3:$L$9826)*(EOMONTH(vp.data[[#This Row],[SDate]],-1)+1=[1]DATA!$G$3:$G$9826),0)),vp.data[[#This Row],[Dens Input]]),"")</f>
        <v>841.3</v>
      </c>
      <c r="N1431" s="2">
        <f ca="1">INDEX(INDIRECT(_xlfn.CONCAT("weather.tbl[",N$1,"]")),MATCH(vp.data[[#This Row],[SDate]],weather.tbl[Date],0))</f>
        <v>10.516666666666667</v>
      </c>
      <c r="O1431" s="2">
        <f ca="1">INDEX(INDIRECT(_xlfn.CONCAT("weather.tbl[",O$1,"]")),MATCH(vp.data[[#This Row],[SDate]],weather.tbl[Date],0))</f>
        <v>13.452380952380953</v>
      </c>
      <c r="P1431" s="2">
        <f ca="1">INDEX(INDIRECT(_xlfn.CONCAT("weather.tbl[",P$1,"]")),MATCH(vp.data[[#This Row],[SDate]],weather.tbl[Date],0))</f>
        <v>11</v>
      </c>
      <c r="Q1431" s="2">
        <f ca="1">INDEX(INDIRECT(_xlfn.CONCAT("weather.tbl[",Q$1,"]")),MATCH(vp.data[[#This Row],[SDate]],weather.tbl[Date],0))</f>
        <v>9.1</v>
      </c>
      <c r="R1431" s="2">
        <f ca="1">INDEX(INDIRECT(_xlfn.CONCAT("weather.tbl[",R$1,"]")),MATCH(vp.data[[#This Row],[SDate]],weather.tbl[Date],0))</f>
        <v>12.3</v>
      </c>
      <c r="S1431" s="2">
        <f ca="1">INDEX(INDIRECT(_xlfn.CONCAT("weather.tbl[",S$1,"]")),MATCH(vp.data[[#This Row],[SDate]],weather.tbl[Date],0))</f>
        <v>8.5</v>
      </c>
      <c r="T1431" s="2">
        <f ca="1">INDEX(INDIRECT(_xlfn.CONCAT("weather.tbl[",T$1,"]")),MATCH(vp.data[[#This Row],[SDate]],weather.tbl[Date],0))</f>
        <v>11.7</v>
      </c>
      <c r="U1431" s="2">
        <f ca="1">INDEX(INDIRECT(_xlfn.CONCAT("weather.tbl[",U$1,"]")),MATCH(vp.data[[#This Row],[SDate]],weather.tbl[Date],0))</f>
        <v>10.5</v>
      </c>
      <c r="V1431" s="2">
        <f t="array" ref="V14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431" t="s">
        <v>48</v>
      </c>
      <c r="X1431">
        <f>IF(OR(vp.data[[#This Row],[Sulf]]="",vp.data[[#This Row],[Dens]]=""),1,0)</f>
        <v>0</v>
      </c>
      <c r="Y1431">
        <f>IF(vp.data[[#This Row],[CrudeType]]="C5+",1,0)</f>
        <v>0</v>
      </c>
      <c r="Z1431">
        <f>IF(AND(vp.data[[#This Row],[CrudeType]]="Crude",vp.data[[#This Row],[Dens]]&lt;=825,vp.data[[#This Row],[Sulf]]&gt;0.5,vp.data[[#This Row],[Unknown]]=0),1,0)</f>
        <v>0</v>
      </c>
      <c r="AA1431">
        <f>IF(AND(vp.data[[#This Row],[CrudeType]]="Crude",vp.data[[#This Row],[Dens]]&lt;=825,vp.data[[#This Row],[Sulf]]&lt;=0.5,vp.data[[#This Row],[Unknown]]=0),1,0)</f>
        <v>0</v>
      </c>
      <c r="AB14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1">
        <f>IF(AND(vp.data[[#This Row],[CrudeType]]="Crude",vp.data[[#This Row],[Dens]]&gt;825,vp.data[[#This Row],[Dens]]&lt;=900,vp.data[[#This Row],[Sulf]]&lt;=0.5,vp.data[[#This Row],[Unknown]]=0),1,0)</f>
        <v>0</v>
      </c>
      <c r="AD1431">
        <f>IF(AND(vp.data[[#This Row],[CrudeType]]="Crude",vp.data[[#This Row],[Dens]]&gt;865,vp.data[[#This Row],[Dens]]&lt;=900,vp.data[[#This Row],[Sulf]]&gt;2,vp.data[[#This Row],[Unknown]]=0),1,0)</f>
        <v>0</v>
      </c>
      <c r="AE1431">
        <f>IF(AND(vp.data[[#This Row],[CrudeType]]="Crude",vp.data[[#This Row],[Dens]]&gt;900,vp.data[[#This Row],[Sulf]]&lt;=0.5,vp.data[[#This Row],[Unknown]]=0),1,0)</f>
        <v>0</v>
      </c>
      <c r="AF1431">
        <f>IF(AND(vp.data[[#This Row],[CrudeType]]="Crude",vp.data[[#This Row],[Dens]]&gt;900,vp.data[[#This Row],[Sulf]]&lt;=0.5,vp.data[[#This Row],[Unknown]]=0),1,0)</f>
        <v>0</v>
      </c>
      <c r="AG1431" t="str">
        <f>INDEX(vp.data[[#Headers],[Unknown]:[Heavy_SW]],MATCH(1,vp.data[[#This Row],[Unknown]:[Heavy_SW]],0))</f>
        <v>Medium_LSB</v>
      </c>
      <c r="AH1431">
        <f>INDEX([3]!crudeBD.lkup[Number],MATCH(vp.data[[#This Row],[Crude_Breakdown]],crudeBD.lkup[Crude Breakdown],0))</f>
        <v>3</v>
      </c>
      <c r="AI1431">
        <f>MONTH(vp.data[[#This Row],[SDate]])</f>
        <v>5</v>
      </c>
      <c r="AJ1431" s="5">
        <f>(vp.data[[#This Row],[VP]]-INDEX(crudeBD.lkup[Mean_VP],MATCH(vp.data[[#This Row],[Crude_Breakdown]],crudeBD.lkup[Crude Breakdown],0)))^2</f>
        <v>41.469434066883181</v>
      </c>
      <c r="AK1431" s="5">
        <f>(vp.data[[#This Row],[Dens]]-INDEX(crudeBD.lkup[Mean_Dens],MATCH(vp.data[[#This Row],[Crude_Breakdown]],crudeBD.lkup[Crude Breakdown],0)))^2</f>
        <v>6.8643999999976408</v>
      </c>
      <c r="AL1431" s="5">
        <f>(vp.data[[#This Row],[Sulf]]-INDEX(crudeBD.lkup[Mean_Sulf],MATCH(vp.data[[#This Row],[Crude_Breakdown]],crudeBD.lkup[Crude Breakdown],0)))^2</f>
        <v>8.726596131132687E-2</v>
      </c>
      <c r="AM1431" s="4">
        <f>IF(AND(vp.data[[#This Row],[SDate]]&gt;=DATE(YEAR(vp.data[[#This Row],[SDate]]),5,1),vp.data[[#This Row],[SDate]]&lt;=DATE(YEAR(vp.data[[#This Row],[SDate]]),9,15)),1,0)</f>
        <v>1</v>
      </c>
      <c r="AN1431" s="4">
        <f>IF(vp.data[[#This Row],[SDate]]&lt;DATE(2016,12,1),0,1)</f>
        <v>1</v>
      </c>
      <c r="AO1431" s="4">
        <f>IFERROR(vp.data[[#This Row],[Sulf]]*vp.data[[#This Row],[Net Dens]],"")</f>
        <v>108475782.300136</v>
      </c>
      <c r="AP1431">
        <f>IFERROR(vp.data[[#This Row],[Dens]]*vp.data[[#This Row],[VolumeM3]],"")</f>
        <v>99519066.33039999</v>
      </c>
      <c r="AQ1431" s="15">
        <f>IFERROR(vp.data[[#This Row],[VP]]*vp.data[[#This Row],[VolumeM3]],"")</f>
        <v>8777266.9935999997</v>
      </c>
    </row>
    <row r="1432" spans="1:43" x14ac:dyDescent="0.25">
      <c r="A1432">
        <v>1431</v>
      </c>
      <c r="B1432" t="s">
        <v>51</v>
      </c>
      <c r="C1432" t="s">
        <v>51</v>
      </c>
      <c r="D1432" t="s">
        <v>95</v>
      </c>
      <c r="F1432" s="1">
        <v>42863</v>
      </c>
      <c r="G1432" s="2">
        <v>71.7</v>
      </c>
      <c r="H1432" s="2"/>
      <c r="I1432" s="2">
        <f t="array" ref="I1432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432" s="2"/>
      <c r="K1432" s="2"/>
      <c r="L1432" s="2">
        <v>842.5</v>
      </c>
      <c r="M1432" s="2">
        <f t="array" ref="M1432">_xlfn.IFNA(IF(vp.data[[#This Row],[Dens Input]]="",INDEX([1]DATA!$O$3:$O$9826,MATCH(1,(vp.data[[#This Row],[Battery]]=[1]DATA!$L$3:$L$9826)*(EOMONTH(vp.data[[#This Row],[SDate]],-1)+1=[1]DATA!$G$3:$G$9826),0)),vp.data[[#This Row],[Dens Input]]),"")</f>
        <v>842.5</v>
      </c>
      <c r="N1432" s="2">
        <f ca="1">INDEX(INDIRECT(_xlfn.CONCAT("weather.tbl[",N$1,"]")),MATCH(vp.data[[#This Row],[SDate]],weather.tbl[Date],0))</f>
        <v>10.516666666666667</v>
      </c>
      <c r="O1432" s="2">
        <f ca="1">INDEX(INDIRECT(_xlfn.CONCAT("weather.tbl[",O$1,"]")),MATCH(vp.data[[#This Row],[SDate]],weather.tbl[Date],0))</f>
        <v>13.452380952380953</v>
      </c>
      <c r="P1432" s="2">
        <f ca="1">INDEX(INDIRECT(_xlfn.CONCAT("weather.tbl[",P$1,"]")),MATCH(vp.data[[#This Row],[SDate]],weather.tbl[Date],0))</f>
        <v>11</v>
      </c>
      <c r="Q1432" s="2">
        <f ca="1">INDEX(INDIRECT(_xlfn.CONCAT("weather.tbl[",Q$1,"]")),MATCH(vp.data[[#This Row],[SDate]],weather.tbl[Date],0))</f>
        <v>9.1</v>
      </c>
      <c r="R1432" s="2">
        <f ca="1">INDEX(INDIRECT(_xlfn.CONCAT("weather.tbl[",R$1,"]")),MATCH(vp.data[[#This Row],[SDate]],weather.tbl[Date],0))</f>
        <v>12.3</v>
      </c>
      <c r="S1432" s="2">
        <f ca="1">INDEX(INDIRECT(_xlfn.CONCAT("weather.tbl[",S$1,"]")),MATCH(vp.data[[#This Row],[SDate]],weather.tbl[Date],0))</f>
        <v>8.5</v>
      </c>
      <c r="T1432" s="2">
        <f ca="1">INDEX(INDIRECT(_xlfn.CONCAT("weather.tbl[",T$1,"]")),MATCH(vp.data[[#This Row],[SDate]],weather.tbl[Date],0))</f>
        <v>11.7</v>
      </c>
      <c r="U1432" s="2">
        <f ca="1">INDEX(INDIRECT(_xlfn.CONCAT("weather.tbl[",U$1,"]")),MATCH(vp.data[[#This Row],[SDate]],weather.tbl[Date],0))</f>
        <v>10.5</v>
      </c>
      <c r="V1432" s="2">
        <f t="array" ref="V14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5507.5879999999997</v>
      </c>
      <c r="W1432" t="s">
        <v>48</v>
      </c>
      <c r="X1432">
        <f>IF(OR(vp.data[[#This Row],[Sulf]]="",vp.data[[#This Row],[Dens]]=""),1,0)</f>
        <v>0</v>
      </c>
      <c r="Y1432">
        <f>IF(vp.data[[#This Row],[CrudeType]]="C5+",1,0)</f>
        <v>0</v>
      </c>
      <c r="Z1432">
        <f>IF(AND(vp.data[[#This Row],[CrudeType]]="Crude",vp.data[[#This Row],[Dens]]&lt;=825,vp.data[[#This Row],[Sulf]]&gt;0.5,vp.data[[#This Row],[Unknown]]=0),1,0)</f>
        <v>0</v>
      </c>
      <c r="AA1432">
        <f>IF(AND(vp.data[[#This Row],[CrudeType]]="Crude",vp.data[[#This Row],[Dens]]&lt;=825,vp.data[[#This Row],[Sulf]]&lt;=0.5,vp.data[[#This Row],[Unknown]]=0),1,0)</f>
        <v>0</v>
      </c>
      <c r="AB14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2">
        <f>IF(AND(vp.data[[#This Row],[CrudeType]]="Crude",vp.data[[#This Row],[Dens]]&gt;825,vp.data[[#This Row],[Dens]]&lt;=900,vp.data[[#This Row],[Sulf]]&lt;=0.5,vp.data[[#This Row],[Unknown]]=0),1,0)</f>
        <v>0</v>
      </c>
      <c r="AD1432">
        <f>IF(AND(vp.data[[#This Row],[CrudeType]]="Crude",vp.data[[#This Row],[Dens]]&gt;865,vp.data[[#This Row],[Dens]]&lt;=900,vp.data[[#This Row],[Sulf]]&gt;2,vp.data[[#This Row],[Unknown]]=0),1,0)</f>
        <v>0</v>
      </c>
      <c r="AE1432">
        <f>IF(AND(vp.data[[#This Row],[CrudeType]]="Crude",vp.data[[#This Row],[Dens]]&gt;900,vp.data[[#This Row],[Sulf]]&lt;=0.5,vp.data[[#This Row],[Unknown]]=0),1,0)</f>
        <v>0</v>
      </c>
      <c r="AF1432">
        <f>IF(AND(vp.data[[#This Row],[CrudeType]]="Crude",vp.data[[#This Row],[Dens]]&gt;900,vp.data[[#This Row],[Sulf]]&lt;=0.5,vp.data[[#This Row],[Unknown]]=0),1,0)</f>
        <v>0</v>
      </c>
      <c r="AG1432" t="str">
        <f>INDEX(vp.data[[#Headers],[Unknown]:[Heavy_SW]],MATCH(1,vp.data[[#This Row],[Unknown]:[Heavy_SW]],0))</f>
        <v>Medium_LSB</v>
      </c>
      <c r="AH1432">
        <f>INDEX([3]!crudeBD.lkup[Number],MATCH(vp.data[[#This Row],[Crude_Breakdown]],crudeBD.lkup[Crude Breakdown],0))</f>
        <v>3</v>
      </c>
      <c r="AI1432">
        <f>MONTH(vp.data[[#This Row],[SDate]])</f>
        <v>5</v>
      </c>
      <c r="AJ1432" s="5">
        <f>(vp.data[[#This Row],[VP]]-INDEX(crudeBD.lkup[Mean_VP],MATCH(vp.data[[#This Row],[Crude_Breakdown]],crudeBD.lkup[Crude Breakdown],0)))^2</f>
        <v>79.917816816208955</v>
      </c>
      <c r="AK1432" s="5">
        <f>(vp.data[[#This Row],[Dens]]-INDEX(crudeBD.lkup[Mean_Dens],MATCH(vp.data[[#This Row],[Crude_Breakdown]],crudeBD.lkup[Crude Breakdown],0)))^2</f>
        <v>2.0163999999985922</v>
      </c>
      <c r="AL1432" s="5">
        <f>(vp.data[[#This Row],[Sulf]]-INDEX(crudeBD.lkup[Mean_Sulf],MATCH(vp.data[[#This Row],[Crude_Breakdown]],crudeBD.lkup[Crude Breakdown],0)))^2</f>
        <v>3.8184335974399415E-2</v>
      </c>
      <c r="AM1432" s="4">
        <f>IF(AND(vp.data[[#This Row],[SDate]]&gt;=DATE(YEAR(vp.data[[#This Row],[SDate]]),5,1),vp.data[[#This Row],[SDate]]&lt;=DATE(YEAR(vp.data[[#This Row],[SDate]]),9,15)),1,0)</f>
        <v>1</v>
      </c>
      <c r="AN1432" s="4">
        <f>IF(vp.data[[#This Row],[SDate]]&lt;DATE(2016,12,1),0,1)</f>
        <v>1</v>
      </c>
      <c r="AO1432" s="4">
        <f>IFERROR(vp.data[[#This Row],[Sulf]]*vp.data[[#This Row],[Net Dens]],"")</f>
        <v>5521770.0390999997</v>
      </c>
      <c r="AP1432">
        <f>IFERROR(vp.data[[#This Row],[Dens]]*vp.data[[#This Row],[VolumeM3]],"")</f>
        <v>4640142.8899999997</v>
      </c>
      <c r="AQ1432" s="15">
        <f>IFERROR(vp.data[[#This Row],[VP]]*vp.data[[#This Row],[VolumeM3]],"")</f>
        <v>394894.05959999998</v>
      </c>
    </row>
    <row r="1433" spans="1:43" x14ac:dyDescent="0.25">
      <c r="A1433">
        <v>1432</v>
      </c>
      <c r="B1433" t="s">
        <v>49</v>
      </c>
      <c r="C1433" t="s">
        <v>49</v>
      </c>
      <c r="D1433" t="s">
        <v>90</v>
      </c>
      <c r="F1433" s="1">
        <v>42863</v>
      </c>
      <c r="G1433" s="2">
        <v>65.2</v>
      </c>
      <c r="H1433" s="2"/>
      <c r="I1433" s="2">
        <f t="array" ref="I1433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433" s="2"/>
      <c r="K1433" s="2"/>
      <c r="L1433" s="2">
        <v>846.3</v>
      </c>
      <c r="M1433" s="2">
        <f t="array" ref="M1433">_xlfn.IFNA(IF(vp.data[[#This Row],[Dens Input]]="",INDEX([1]DATA!$O$3:$O$9826,MATCH(1,(vp.data[[#This Row],[Battery]]=[1]DATA!$L$3:$L$9826)*(EOMONTH(vp.data[[#This Row],[SDate]],-1)+1=[1]DATA!$G$3:$G$9826),0)),vp.data[[#This Row],[Dens Input]]),"")</f>
        <v>846.3</v>
      </c>
      <c r="N1433" s="2">
        <f ca="1">INDEX(INDIRECT(_xlfn.CONCAT("weather.tbl[",N$1,"]")),MATCH(vp.data[[#This Row],[SDate]],weather.tbl[Date],0))</f>
        <v>10.516666666666667</v>
      </c>
      <c r="O1433" s="2">
        <f ca="1">INDEX(INDIRECT(_xlfn.CONCAT("weather.tbl[",O$1,"]")),MATCH(vp.data[[#This Row],[SDate]],weather.tbl[Date],0))</f>
        <v>13.452380952380953</v>
      </c>
      <c r="P1433" s="2">
        <f ca="1">INDEX(INDIRECT(_xlfn.CONCAT("weather.tbl[",P$1,"]")),MATCH(vp.data[[#This Row],[SDate]],weather.tbl[Date],0))</f>
        <v>11</v>
      </c>
      <c r="Q1433" s="2">
        <f ca="1">INDEX(INDIRECT(_xlfn.CONCAT("weather.tbl[",Q$1,"]")),MATCH(vp.data[[#This Row],[SDate]],weather.tbl[Date],0))</f>
        <v>9.1</v>
      </c>
      <c r="R1433" s="2">
        <f ca="1">INDEX(INDIRECT(_xlfn.CONCAT("weather.tbl[",R$1,"]")),MATCH(vp.data[[#This Row],[SDate]],weather.tbl[Date],0))</f>
        <v>12.3</v>
      </c>
      <c r="S1433" s="2">
        <f ca="1">INDEX(INDIRECT(_xlfn.CONCAT("weather.tbl[",S$1,"]")),MATCH(vp.data[[#This Row],[SDate]],weather.tbl[Date],0))</f>
        <v>8.5</v>
      </c>
      <c r="T1433" s="2">
        <f ca="1">INDEX(INDIRECT(_xlfn.CONCAT("weather.tbl[",T$1,"]")),MATCH(vp.data[[#This Row],[SDate]],weather.tbl[Date],0))</f>
        <v>11.7</v>
      </c>
      <c r="U1433" s="2">
        <f ca="1">INDEX(INDIRECT(_xlfn.CONCAT("weather.tbl[",U$1,"]")),MATCH(vp.data[[#This Row],[SDate]],weather.tbl[Date],0))</f>
        <v>10.5</v>
      </c>
      <c r="V1433" s="2">
        <f t="array" ref="V14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4681.2809999999999</v>
      </c>
      <c r="W1433" t="s">
        <v>48</v>
      </c>
      <c r="X1433">
        <f>IF(OR(vp.data[[#This Row],[Sulf]]="",vp.data[[#This Row],[Dens]]=""),1,0)</f>
        <v>0</v>
      </c>
      <c r="Y1433">
        <f>IF(vp.data[[#This Row],[CrudeType]]="C5+",1,0)</f>
        <v>0</v>
      </c>
      <c r="Z1433">
        <f>IF(AND(vp.data[[#This Row],[CrudeType]]="Crude",vp.data[[#This Row],[Dens]]&lt;=825,vp.data[[#This Row],[Sulf]]&gt;0.5,vp.data[[#This Row],[Unknown]]=0),1,0)</f>
        <v>0</v>
      </c>
      <c r="AA1433">
        <f>IF(AND(vp.data[[#This Row],[CrudeType]]="Crude",vp.data[[#This Row],[Dens]]&lt;=825,vp.data[[#This Row],[Sulf]]&lt;=0.5,vp.data[[#This Row],[Unknown]]=0),1,0)</f>
        <v>0</v>
      </c>
      <c r="AB14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3">
        <f>IF(AND(vp.data[[#This Row],[CrudeType]]="Crude",vp.data[[#This Row],[Dens]]&gt;825,vp.data[[#This Row],[Dens]]&lt;=900,vp.data[[#This Row],[Sulf]]&lt;=0.5,vp.data[[#This Row],[Unknown]]=0),1,0)</f>
        <v>0</v>
      </c>
      <c r="AD1433">
        <f>IF(AND(vp.data[[#This Row],[CrudeType]]="Crude",vp.data[[#This Row],[Dens]]&gt;865,vp.data[[#This Row],[Dens]]&lt;=900,vp.data[[#This Row],[Sulf]]&gt;2,vp.data[[#This Row],[Unknown]]=0),1,0)</f>
        <v>0</v>
      </c>
      <c r="AE1433">
        <f>IF(AND(vp.data[[#This Row],[CrudeType]]="Crude",vp.data[[#This Row],[Dens]]&gt;900,vp.data[[#This Row],[Sulf]]&lt;=0.5,vp.data[[#This Row],[Unknown]]=0),1,0)</f>
        <v>0</v>
      </c>
      <c r="AF1433">
        <f>IF(AND(vp.data[[#This Row],[CrudeType]]="Crude",vp.data[[#This Row],[Dens]]&gt;900,vp.data[[#This Row],[Sulf]]&lt;=0.5,vp.data[[#This Row],[Unknown]]=0),1,0)</f>
        <v>0</v>
      </c>
      <c r="AG1433" t="str">
        <f>INDEX(vp.data[[#Headers],[Unknown]:[Heavy_SW]],MATCH(1,vp.data[[#This Row],[Unknown]:[Heavy_SW]],0))</f>
        <v>Medium_LSB</v>
      </c>
      <c r="AH1433">
        <f>INDEX([3]!crudeBD.lkup[Number],MATCH(vp.data[[#This Row],[Crude_Breakdown]],crudeBD.lkup[Crude Breakdown],0))</f>
        <v>3</v>
      </c>
      <c r="AI1433">
        <f>MONTH(vp.data[[#This Row],[SDate]])</f>
        <v>5</v>
      </c>
      <c r="AJ1433" s="5">
        <f>(vp.data[[#This Row],[VP]]-INDEX(crudeBD.lkup[Mean_VP],MATCH(vp.data[[#This Row],[Crude_Breakdown]],crudeBD.lkup[Crude Breakdown],0)))^2</f>
        <v>238.38361196445598</v>
      </c>
      <c r="AK1433" s="5">
        <f>(vp.data[[#This Row],[Dens]]-INDEX(crudeBD.lkup[Mean_Dens],MATCH(vp.data[[#This Row],[Crude_Breakdown]],crudeBD.lkup[Crude Breakdown],0)))^2</f>
        <v>5.6644000000021428</v>
      </c>
      <c r="AL1433" s="5">
        <f>(vp.data[[#This Row],[Sulf]]-INDEX(crudeBD.lkup[Mean_Sulf],MATCH(vp.data[[#This Row],[Crude_Breakdown]],crudeBD.lkup[Crude Breakdown],0)))^2</f>
        <v>1.1110873171164612E-2</v>
      </c>
      <c r="AM1433" s="4">
        <f>IF(AND(vp.data[[#This Row],[SDate]]&gt;=DATE(YEAR(vp.data[[#This Row],[SDate]]),5,1),vp.data[[#This Row],[SDate]]&lt;=DATE(YEAR(vp.data[[#This Row],[SDate]]),9,15)),1,0)</f>
        <v>1</v>
      </c>
      <c r="AN1433" s="4">
        <f>IF(vp.data[[#This Row],[SDate]]&lt;DATE(2016,12,1),0,1)</f>
        <v>1</v>
      </c>
      <c r="AO1433" s="4">
        <f>IFERROR(vp.data[[#This Row],[Sulf]]*vp.data[[#This Row],[Net Dens]],"")</f>
        <v>5071063.1811840003</v>
      </c>
      <c r="AP1433">
        <f>IFERROR(vp.data[[#This Row],[Dens]]*vp.data[[#This Row],[VolumeM3]],"")</f>
        <v>3961768.1102999998</v>
      </c>
      <c r="AQ1433" s="15">
        <f>IFERROR(vp.data[[#This Row],[VP]]*vp.data[[#This Row],[VolumeM3]],"")</f>
        <v>305219.52120000002</v>
      </c>
    </row>
    <row r="1434" spans="1:43" x14ac:dyDescent="0.25">
      <c r="A1434">
        <v>1433</v>
      </c>
      <c r="B1434" t="s">
        <v>49</v>
      </c>
      <c r="C1434" t="s">
        <v>49</v>
      </c>
      <c r="D1434" t="s">
        <v>59</v>
      </c>
      <c r="F1434" s="1">
        <v>42863</v>
      </c>
      <c r="G1434" s="2">
        <v>77.2</v>
      </c>
      <c r="H1434" s="2"/>
      <c r="I1434" s="2">
        <f t="array" ref="I1434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434" s="2"/>
      <c r="K1434" s="2"/>
      <c r="L1434" s="2">
        <v>845.6</v>
      </c>
      <c r="M1434" s="2">
        <f t="array" ref="M1434">_xlfn.IFNA(IF(vp.data[[#This Row],[Dens Input]]="",INDEX([1]DATA!$O$3:$O$9826,MATCH(1,(vp.data[[#This Row],[Battery]]=[1]DATA!$L$3:$L$9826)*(EOMONTH(vp.data[[#This Row],[SDate]],-1)+1=[1]DATA!$G$3:$G$9826),0)),vp.data[[#This Row],[Dens Input]]),"")</f>
        <v>845.6</v>
      </c>
      <c r="N1434" s="2">
        <f ca="1">INDEX(INDIRECT(_xlfn.CONCAT("weather.tbl[",N$1,"]")),MATCH(vp.data[[#This Row],[SDate]],weather.tbl[Date],0))</f>
        <v>10.516666666666667</v>
      </c>
      <c r="O1434" s="2">
        <f ca="1">INDEX(INDIRECT(_xlfn.CONCAT("weather.tbl[",O$1,"]")),MATCH(vp.data[[#This Row],[SDate]],weather.tbl[Date],0))</f>
        <v>13.452380952380953</v>
      </c>
      <c r="P1434" s="2">
        <f ca="1">INDEX(INDIRECT(_xlfn.CONCAT("weather.tbl[",P$1,"]")),MATCH(vp.data[[#This Row],[SDate]],weather.tbl[Date],0))</f>
        <v>11</v>
      </c>
      <c r="Q1434" s="2">
        <f ca="1">INDEX(INDIRECT(_xlfn.CONCAT("weather.tbl[",Q$1,"]")),MATCH(vp.data[[#This Row],[SDate]],weather.tbl[Date],0))</f>
        <v>9.1</v>
      </c>
      <c r="R1434" s="2">
        <f ca="1">INDEX(INDIRECT(_xlfn.CONCAT("weather.tbl[",R$1,"]")),MATCH(vp.data[[#This Row],[SDate]],weather.tbl[Date],0))</f>
        <v>12.3</v>
      </c>
      <c r="S1434" s="2">
        <f ca="1">INDEX(INDIRECT(_xlfn.CONCAT("weather.tbl[",S$1,"]")),MATCH(vp.data[[#This Row],[SDate]],weather.tbl[Date],0))</f>
        <v>8.5</v>
      </c>
      <c r="T1434" s="2">
        <f ca="1">INDEX(INDIRECT(_xlfn.CONCAT("weather.tbl[",T$1,"]")),MATCH(vp.data[[#This Row],[SDate]],weather.tbl[Date],0))</f>
        <v>11.7</v>
      </c>
      <c r="U1434" s="2">
        <f ca="1">INDEX(INDIRECT(_xlfn.CONCAT("weather.tbl[",U$1,"]")),MATCH(vp.data[[#This Row],[SDate]],weather.tbl[Date],0))</f>
        <v>10.5</v>
      </c>
      <c r="V1434" s="2">
        <f t="array" ref="V14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1309.8610000000001</v>
      </c>
      <c r="W1434" t="s">
        <v>48</v>
      </c>
      <c r="X1434">
        <f>IF(OR(vp.data[[#This Row],[Sulf]]="",vp.data[[#This Row],[Dens]]=""),1,0)</f>
        <v>0</v>
      </c>
      <c r="Y1434">
        <f>IF(vp.data[[#This Row],[CrudeType]]="C5+",1,0)</f>
        <v>0</v>
      </c>
      <c r="Z1434">
        <f>IF(AND(vp.data[[#This Row],[CrudeType]]="Crude",vp.data[[#This Row],[Dens]]&lt;=825,vp.data[[#This Row],[Sulf]]&gt;0.5,vp.data[[#This Row],[Unknown]]=0),1,0)</f>
        <v>0</v>
      </c>
      <c r="AA1434">
        <f>IF(AND(vp.data[[#This Row],[CrudeType]]="Crude",vp.data[[#This Row],[Dens]]&lt;=825,vp.data[[#This Row],[Sulf]]&lt;=0.5,vp.data[[#This Row],[Unknown]]=0),1,0)</f>
        <v>0</v>
      </c>
      <c r="AB14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34">
        <f>IF(AND(vp.data[[#This Row],[CrudeType]]="Crude",vp.data[[#This Row],[Dens]]&gt;825,vp.data[[#This Row],[Dens]]&lt;=900,vp.data[[#This Row],[Sulf]]&lt;=0.5,vp.data[[#This Row],[Unknown]]=0),1,0)</f>
        <v>0</v>
      </c>
      <c r="AD1434">
        <f>IF(AND(vp.data[[#This Row],[CrudeType]]="Crude",vp.data[[#This Row],[Dens]]&gt;865,vp.data[[#This Row],[Dens]]&lt;=900,vp.data[[#This Row],[Sulf]]&gt;2,vp.data[[#This Row],[Unknown]]=0),1,0)</f>
        <v>0</v>
      </c>
      <c r="AE1434">
        <f>IF(AND(vp.data[[#This Row],[CrudeType]]="Crude",vp.data[[#This Row],[Dens]]&gt;900,vp.data[[#This Row],[Sulf]]&lt;=0.5,vp.data[[#This Row],[Unknown]]=0),1,0)</f>
        <v>0</v>
      </c>
      <c r="AF1434">
        <f>IF(AND(vp.data[[#This Row],[CrudeType]]="Crude",vp.data[[#This Row],[Dens]]&gt;900,vp.data[[#This Row],[Sulf]]&lt;=0.5,vp.data[[#This Row],[Unknown]]=0),1,0)</f>
        <v>0</v>
      </c>
      <c r="AG1434" t="str">
        <f>INDEX(vp.data[[#Headers],[Unknown]:[Heavy_SW]],MATCH(1,vp.data[[#This Row],[Unknown]:[Heavy_SW]],0))</f>
        <v>Medium_LSB</v>
      </c>
      <c r="AH1434">
        <f>INDEX([3]!crudeBD.lkup[Number],MATCH(vp.data[[#This Row],[Crude_Breakdown]],crudeBD.lkup[Crude Breakdown],0))</f>
        <v>3</v>
      </c>
      <c r="AI1434">
        <f>MONTH(vp.data[[#This Row],[SDate]])</f>
        <v>5</v>
      </c>
      <c r="AJ1434" s="5">
        <f>(vp.data[[#This Row],[VP]]-INDEX(crudeBD.lkup[Mean_VP],MATCH(vp.data[[#This Row],[Crude_Breakdown]],crudeBD.lkup[Crude Breakdown],0)))^2</f>
        <v>11.831374767692255</v>
      </c>
      <c r="AK1434" s="5">
        <f>(vp.data[[#This Row],[Dens]]-INDEX(crudeBD.lkup[Mean_Dens],MATCH(vp.data[[#This Row],[Crude_Breakdown]],crudeBD.lkup[Crude Breakdown],0)))^2</f>
        <v>2.8224000000017417</v>
      </c>
      <c r="AL1434" s="5">
        <f>(vp.data[[#This Row],[Sulf]]-INDEX(crudeBD.lkup[Mean_Sulf],MATCH(vp.data[[#This Row],[Crude_Breakdown]],crudeBD.lkup[Crude Breakdown],0)))^2</f>
        <v>1.9884351657733202E-3</v>
      </c>
      <c r="AM1434" s="4">
        <f>IF(AND(vp.data[[#This Row],[SDate]]&gt;=DATE(YEAR(vp.data[[#This Row],[SDate]]),5,1),vp.data[[#This Row],[SDate]]&lt;=DATE(YEAR(vp.data[[#This Row],[SDate]]),9,15)),1,0)</f>
        <v>1</v>
      </c>
      <c r="AN1434" s="4">
        <f>IF(vp.data[[#This Row],[SDate]]&lt;DATE(2016,12,1),0,1)</f>
        <v>1</v>
      </c>
      <c r="AO1434" s="4">
        <f>IFERROR(vp.data[[#This Row],[Sulf]]*vp.data[[#This Row],[Net Dens]],"")</f>
        <v>1583894.4000879999</v>
      </c>
      <c r="AP1434">
        <f>IFERROR(vp.data[[#This Row],[Dens]]*vp.data[[#This Row],[VolumeM3]],"")</f>
        <v>1107618.4616</v>
      </c>
      <c r="AQ1434" s="15">
        <f>IFERROR(vp.data[[#This Row],[VP]]*vp.data[[#This Row],[VolumeM3]],"")</f>
        <v>101121.26920000001</v>
      </c>
    </row>
    <row r="1435" spans="1:43" x14ac:dyDescent="0.25">
      <c r="A1435">
        <v>1434</v>
      </c>
      <c r="B1435" t="s">
        <v>62</v>
      </c>
      <c r="C1435" t="s">
        <v>62</v>
      </c>
      <c r="D1435" t="s">
        <v>79</v>
      </c>
      <c r="F1435" s="1">
        <v>42863</v>
      </c>
      <c r="G1435" s="2">
        <v>80.2</v>
      </c>
      <c r="H1435" s="2"/>
      <c r="I1435" s="2">
        <f t="array" ref="I1435">_xlfn.IFNA(IF(vp.data[[#This Row],[Sulf Input]]="",INDEX([1]DATA!$Q$3:$Q$9826,MATCH(1,(vp.data[[#This Row],[Battery]]=[1]DATA!$L$3:$L$9826)*(EOMONTH(vp.data[[#This Row],[SDate]],-1)+1=[1]DATA!$G$3:$G$9826),0)),vp.data[[#This Row],[Sulf Input]]),"")</f>
        <v>0.35</v>
      </c>
      <c r="J1435" s="2"/>
      <c r="K1435" s="2"/>
      <c r="L1435" s="2">
        <v>809.1</v>
      </c>
      <c r="M1435" s="2">
        <f t="array" ref="M1435">_xlfn.IFNA(IF(vp.data[[#This Row],[Dens Input]]="",INDEX([1]DATA!$O$3:$O$9826,MATCH(1,(vp.data[[#This Row],[Battery]]=[1]DATA!$L$3:$L$9826)*(EOMONTH(vp.data[[#This Row],[SDate]],-1)+1=[1]DATA!$G$3:$G$9826),0)),vp.data[[#This Row],[Dens Input]]),"")</f>
        <v>809.1</v>
      </c>
      <c r="N1435" s="2">
        <f ca="1">INDEX(INDIRECT(_xlfn.CONCAT("weather.tbl[",N$1,"]")),MATCH(vp.data[[#This Row],[SDate]],weather.tbl[Date],0))</f>
        <v>10.516666666666667</v>
      </c>
      <c r="O1435" s="2">
        <f ca="1">INDEX(INDIRECT(_xlfn.CONCAT("weather.tbl[",O$1,"]")),MATCH(vp.data[[#This Row],[SDate]],weather.tbl[Date],0))</f>
        <v>13.452380952380953</v>
      </c>
      <c r="P1435" s="2">
        <f ca="1">INDEX(INDIRECT(_xlfn.CONCAT("weather.tbl[",P$1,"]")),MATCH(vp.data[[#This Row],[SDate]],weather.tbl[Date],0))</f>
        <v>11</v>
      </c>
      <c r="Q1435" s="2">
        <f ca="1">INDEX(INDIRECT(_xlfn.CONCAT("weather.tbl[",Q$1,"]")),MATCH(vp.data[[#This Row],[SDate]],weather.tbl[Date],0))</f>
        <v>9.1</v>
      </c>
      <c r="R1435" s="2">
        <f ca="1">INDEX(INDIRECT(_xlfn.CONCAT("weather.tbl[",R$1,"]")),MATCH(vp.data[[#This Row],[SDate]],weather.tbl[Date],0))</f>
        <v>12.3</v>
      </c>
      <c r="S1435" s="2">
        <f ca="1">INDEX(INDIRECT(_xlfn.CONCAT("weather.tbl[",S$1,"]")),MATCH(vp.data[[#This Row],[SDate]],weather.tbl[Date],0))</f>
        <v>8.5</v>
      </c>
      <c r="T1435" s="2">
        <f ca="1">INDEX(INDIRECT(_xlfn.CONCAT("weather.tbl[",T$1,"]")),MATCH(vp.data[[#This Row],[SDate]],weather.tbl[Date],0))</f>
        <v>11.7</v>
      </c>
      <c r="U1435" s="2">
        <f ca="1">INDEX(INDIRECT(_xlfn.CONCAT("weather.tbl[",U$1,"]")),MATCH(vp.data[[#This Row],[SDate]],weather.tbl[Date],0))</f>
        <v>10.5</v>
      </c>
      <c r="V1435" s="2">
        <f t="array" ref="V14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12983.781000000001</v>
      </c>
      <c r="W1435" t="s">
        <v>48</v>
      </c>
      <c r="X1435">
        <f>IF(OR(vp.data[[#This Row],[Sulf]]="",vp.data[[#This Row],[Dens]]=""),1,0)</f>
        <v>0</v>
      </c>
      <c r="Y1435">
        <f>IF(vp.data[[#This Row],[CrudeType]]="C5+",1,0)</f>
        <v>0</v>
      </c>
      <c r="Z1435">
        <f>IF(AND(vp.data[[#This Row],[CrudeType]]="Crude",vp.data[[#This Row],[Dens]]&lt;=825,vp.data[[#This Row],[Sulf]]&gt;0.5,vp.data[[#This Row],[Unknown]]=0),1,0)</f>
        <v>0</v>
      </c>
      <c r="AA1435">
        <f>IF(AND(vp.data[[#This Row],[CrudeType]]="Crude",vp.data[[#This Row],[Dens]]&lt;=825,vp.data[[#This Row],[Sulf]]&lt;=0.5,vp.data[[#This Row],[Unknown]]=0),1,0)</f>
        <v>1</v>
      </c>
      <c r="AB14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35">
        <f>IF(AND(vp.data[[#This Row],[CrudeType]]="Crude",vp.data[[#This Row],[Dens]]&gt;825,vp.data[[#This Row],[Dens]]&lt;=900,vp.data[[#This Row],[Sulf]]&lt;=0.5,vp.data[[#This Row],[Unknown]]=0),1,0)</f>
        <v>0</v>
      </c>
      <c r="AD1435">
        <f>IF(AND(vp.data[[#This Row],[CrudeType]]="Crude",vp.data[[#This Row],[Dens]]&gt;865,vp.data[[#This Row],[Dens]]&lt;=900,vp.data[[#This Row],[Sulf]]&gt;2,vp.data[[#This Row],[Unknown]]=0),1,0)</f>
        <v>0</v>
      </c>
      <c r="AE1435">
        <f>IF(AND(vp.data[[#This Row],[CrudeType]]="Crude",vp.data[[#This Row],[Dens]]&gt;900,vp.data[[#This Row],[Sulf]]&lt;=0.5,vp.data[[#This Row],[Unknown]]=0),1,0)</f>
        <v>0</v>
      </c>
      <c r="AF1435">
        <f>IF(AND(vp.data[[#This Row],[CrudeType]]="Crude",vp.data[[#This Row],[Dens]]&gt;900,vp.data[[#This Row],[Sulf]]&lt;=0.5,vp.data[[#This Row],[Unknown]]=0),1,0)</f>
        <v>0</v>
      </c>
      <c r="AG1435" t="str">
        <f>INDEX(vp.data[[#Headers],[Unknown]:[Heavy_SW]],MATCH(1,vp.data[[#This Row],[Unknown]:[Heavy_SW]],0))</f>
        <v>Light_SW</v>
      </c>
      <c r="AH1435">
        <f>INDEX([3]!crudeBD.lkup[Number],MATCH(vp.data[[#This Row],[Crude_Breakdown]],crudeBD.lkup[Crude Breakdown],0))</f>
        <v>2</v>
      </c>
      <c r="AI1435">
        <f>MONTH(vp.data[[#This Row],[SDate]])</f>
        <v>5</v>
      </c>
      <c r="AJ1435" s="5">
        <f>(vp.data[[#This Row],[VP]]-INDEX(crudeBD.lkup[Mean_VP],MATCH(vp.data[[#This Row],[Crude_Breakdown]],crudeBD.lkup[Crude Breakdown],0)))^2</f>
        <v>152.53024574293647</v>
      </c>
      <c r="AK1435" s="5">
        <f>(vp.data[[#This Row],[Dens]]-INDEX(crudeBD.lkup[Mean_Dens],MATCH(vp.data[[#This Row],[Crude_Breakdown]],crudeBD.lkup[Crude Breakdown],0)))^2</f>
        <v>0.6217349973901749</v>
      </c>
      <c r="AL1435" s="5">
        <f>(vp.data[[#This Row],[Sulf]]-INDEX(crudeBD.lkup[Mean_Sulf],MATCH(vp.data[[#This Row],[Crude_Breakdown]],crudeBD.lkup[Crude Breakdown],0)))^2</f>
        <v>1.2940925371923933E-2</v>
      </c>
      <c r="AM1435" s="4">
        <f>IF(AND(vp.data[[#This Row],[SDate]]&gt;=DATE(YEAR(vp.data[[#This Row],[SDate]]),5,1),vp.data[[#This Row],[SDate]]&lt;=DATE(YEAR(vp.data[[#This Row],[SDate]]),9,15)),1,0)</f>
        <v>1</v>
      </c>
      <c r="AN1435" s="4">
        <f>IF(vp.data[[#This Row],[SDate]]&lt;DATE(2016,12,1),0,1)</f>
        <v>1</v>
      </c>
      <c r="AO1435" s="4">
        <f>IFERROR(vp.data[[#This Row],[Sulf]]*vp.data[[#This Row],[Net Dens]],"")</f>
        <v>3676812.0224849996</v>
      </c>
      <c r="AP1435">
        <f>IFERROR(vp.data[[#This Row],[Dens]]*vp.data[[#This Row],[VolumeM3]],"")</f>
        <v>10505177.2071</v>
      </c>
      <c r="AQ1435" s="15">
        <f>IFERROR(vp.data[[#This Row],[VP]]*vp.data[[#This Row],[VolumeM3]],"")</f>
        <v>1041299.2362000002</v>
      </c>
    </row>
    <row r="1436" spans="1:43" x14ac:dyDescent="0.25">
      <c r="A1436">
        <v>1435</v>
      </c>
      <c r="B1436" t="s">
        <v>62</v>
      </c>
      <c r="C1436" t="s">
        <v>62</v>
      </c>
      <c r="D1436" t="s">
        <v>83</v>
      </c>
      <c r="F1436" s="1">
        <v>42863</v>
      </c>
      <c r="G1436" s="2">
        <v>80.900000000000006</v>
      </c>
      <c r="H1436" s="2"/>
      <c r="I1436" s="2">
        <f t="array" ref="I1436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436" s="2"/>
      <c r="K1436" s="2"/>
      <c r="L1436" s="2">
        <v>809.5</v>
      </c>
      <c r="M1436" s="2">
        <f t="array" ref="M1436">_xlfn.IFNA(IF(vp.data[[#This Row],[Dens Input]]="",INDEX([1]DATA!$O$3:$O$9826,MATCH(1,(vp.data[[#This Row],[Battery]]=[1]DATA!$L$3:$L$9826)*(EOMONTH(vp.data[[#This Row],[SDate]],-1)+1=[1]DATA!$G$3:$G$9826),0)),vp.data[[#This Row],[Dens Input]]),"")</f>
        <v>809.5</v>
      </c>
      <c r="N1436" s="2">
        <f ca="1">INDEX(INDIRECT(_xlfn.CONCAT("weather.tbl[",N$1,"]")),MATCH(vp.data[[#This Row],[SDate]],weather.tbl[Date],0))</f>
        <v>10.516666666666667</v>
      </c>
      <c r="O1436" s="2">
        <f ca="1">INDEX(INDIRECT(_xlfn.CONCAT("weather.tbl[",O$1,"]")),MATCH(vp.data[[#This Row],[SDate]],weather.tbl[Date],0))</f>
        <v>13.452380952380953</v>
      </c>
      <c r="P1436" s="2">
        <f ca="1">INDEX(INDIRECT(_xlfn.CONCAT("weather.tbl[",P$1,"]")),MATCH(vp.data[[#This Row],[SDate]],weather.tbl[Date],0))</f>
        <v>11</v>
      </c>
      <c r="Q1436" s="2">
        <f ca="1">INDEX(INDIRECT(_xlfn.CONCAT("weather.tbl[",Q$1,"]")),MATCH(vp.data[[#This Row],[SDate]],weather.tbl[Date],0))</f>
        <v>9.1</v>
      </c>
      <c r="R1436" s="2">
        <f ca="1">INDEX(INDIRECT(_xlfn.CONCAT("weather.tbl[",R$1,"]")),MATCH(vp.data[[#This Row],[SDate]],weather.tbl[Date],0))</f>
        <v>12.3</v>
      </c>
      <c r="S1436" s="2">
        <f ca="1">INDEX(INDIRECT(_xlfn.CONCAT("weather.tbl[",S$1,"]")),MATCH(vp.data[[#This Row],[SDate]],weather.tbl[Date],0))</f>
        <v>8.5</v>
      </c>
      <c r="T1436" s="2">
        <f ca="1">INDEX(INDIRECT(_xlfn.CONCAT("weather.tbl[",T$1,"]")),MATCH(vp.data[[#This Row],[SDate]],weather.tbl[Date],0))</f>
        <v>11.7</v>
      </c>
      <c r="U1436" s="2">
        <f ca="1">INDEX(INDIRECT(_xlfn.CONCAT("weather.tbl[",U$1,"]")),MATCH(vp.data[[#This Row],[SDate]],weather.tbl[Date],0))</f>
        <v>10.5</v>
      </c>
      <c r="V1436" s="2">
        <f t="array" ref="V14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8729.3289999999997</v>
      </c>
      <c r="W1436" t="s">
        <v>48</v>
      </c>
      <c r="X1436">
        <f>IF(OR(vp.data[[#This Row],[Sulf]]="",vp.data[[#This Row],[Dens]]=""),1,0)</f>
        <v>0</v>
      </c>
      <c r="Y1436">
        <f>IF(vp.data[[#This Row],[CrudeType]]="C5+",1,0)</f>
        <v>0</v>
      </c>
      <c r="Z1436">
        <f>IF(AND(vp.data[[#This Row],[CrudeType]]="Crude",vp.data[[#This Row],[Dens]]&lt;=825,vp.data[[#This Row],[Sulf]]&gt;0.5,vp.data[[#This Row],[Unknown]]=0),1,0)</f>
        <v>0</v>
      </c>
      <c r="AA1436">
        <f>IF(AND(vp.data[[#This Row],[CrudeType]]="Crude",vp.data[[#This Row],[Dens]]&lt;=825,vp.data[[#This Row],[Sulf]]&lt;=0.5,vp.data[[#This Row],[Unknown]]=0),1,0)</f>
        <v>1</v>
      </c>
      <c r="AB14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36">
        <f>IF(AND(vp.data[[#This Row],[CrudeType]]="Crude",vp.data[[#This Row],[Dens]]&gt;825,vp.data[[#This Row],[Dens]]&lt;=900,vp.data[[#This Row],[Sulf]]&lt;=0.5,vp.data[[#This Row],[Unknown]]=0),1,0)</f>
        <v>0</v>
      </c>
      <c r="AD1436">
        <f>IF(AND(vp.data[[#This Row],[CrudeType]]="Crude",vp.data[[#This Row],[Dens]]&gt;865,vp.data[[#This Row],[Dens]]&lt;=900,vp.data[[#This Row],[Sulf]]&gt;2,vp.data[[#This Row],[Unknown]]=0),1,0)</f>
        <v>0</v>
      </c>
      <c r="AE1436">
        <f>IF(AND(vp.data[[#This Row],[CrudeType]]="Crude",vp.data[[#This Row],[Dens]]&gt;900,vp.data[[#This Row],[Sulf]]&lt;=0.5,vp.data[[#This Row],[Unknown]]=0),1,0)</f>
        <v>0</v>
      </c>
      <c r="AF1436">
        <f>IF(AND(vp.data[[#This Row],[CrudeType]]="Crude",vp.data[[#This Row],[Dens]]&gt;900,vp.data[[#This Row],[Sulf]]&lt;=0.5,vp.data[[#This Row],[Unknown]]=0),1,0)</f>
        <v>0</v>
      </c>
      <c r="AG1436" t="str">
        <f>INDEX(vp.data[[#Headers],[Unknown]:[Heavy_SW]],MATCH(1,vp.data[[#This Row],[Unknown]:[Heavy_SW]],0))</f>
        <v>Light_SW</v>
      </c>
      <c r="AH1436">
        <f>INDEX([3]!crudeBD.lkup[Number],MATCH(vp.data[[#This Row],[Crude_Breakdown]],crudeBD.lkup[Crude Breakdown],0))</f>
        <v>2</v>
      </c>
      <c r="AI1436">
        <f>MONTH(vp.data[[#This Row],[SDate]])</f>
        <v>5</v>
      </c>
      <c r="AJ1436" s="5">
        <f>(vp.data[[#This Row],[VP]]-INDEX(crudeBD.lkup[Mean_VP],MATCH(vp.data[[#This Row],[Crude_Breakdown]],crudeBD.lkup[Crude Breakdown],0)))^2</f>
        <v>135.7298067185462</v>
      </c>
      <c r="AK1436" s="5">
        <f>(vp.data[[#This Row],[Dens]]-INDEX(crudeBD.lkup[Mean_Dens],MATCH(vp.data[[#This Row],[Crude_Breakdown]],crudeBD.lkup[Crude Breakdown],0)))^2</f>
        <v>1.4125363911185367</v>
      </c>
      <c r="AL1436" s="5">
        <f>(vp.data[[#This Row],[Sulf]]-INDEX(crudeBD.lkup[Mean_Sulf],MATCH(vp.data[[#This Row],[Crude_Breakdown]],crudeBD.lkup[Crude Breakdown],0)))^2</f>
        <v>2.1383051628646554E-3</v>
      </c>
      <c r="AM1436" s="4">
        <f>IF(AND(vp.data[[#This Row],[SDate]]&gt;=DATE(YEAR(vp.data[[#This Row],[SDate]]),5,1),vp.data[[#This Row],[SDate]]&lt;=DATE(YEAR(vp.data[[#This Row],[SDate]]),9,15)),1,0)</f>
        <v>1</v>
      </c>
      <c r="AN1436" s="4">
        <f>IF(vp.data[[#This Row],[SDate]]&lt;DATE(2016,12,1),0,1)</f>
        <v>1</v>
      </c>
      <c r="AO1436" s="4">
        <f>IFERROR(vp.data[[#This Row],[Sulf]]*vp.data[[#This Row],[Net Dens]],"")</f>
        <v>1342614.4468449999</v>
      </c>
      <c r="AP1436">
        <f>IFERROR(vp.data[[#This Row],[Dens]]*vp.data[[#This Row],[VolumeM3]],"")</f>
        <v>7066391.8254999993</v>
      </c>
      <c r="AQ1436" s="15">
        <f>IFERROR(vp.data[[#This Row],[VP]]*vp.data[[#This Row],[VolumeM3]],"")</f>
        <v>706202.71610000008</v>
      </c>
    </row>
    <row r="1437" spans="1:43" x14ac:dyDescent="0.25">
      <c r="A1437">
        <v>1436</v>
      </c>
      <c r="B1437" t="s">
        <v>62</v>
      </c>
      <c r="C1437" t="s">
        <v>62</v>
      </c>
      <c r="D1437" t="s">
        <v>87</v>
      </c>
      <c r="F1437" s="1">
        <v>42863</v>
      </c>
      <c r="G1437" s="2">
        <v>82.1</v>
      </c>
      <c r="H1437" s="2"/>
      <c r="I1437" s="2">
        <f t="array" ref="I1437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437" s="2"/>
      <c r="K1437" s="2"/>
      <c r="L1437" s="2">
        <v>810.5</v>
      </c>
      <c r="M1437" s="2">
        <f t="array" ref="M1437">_xlfn.IFNA(IF(vp.data[[#This Row],[Dens Input]]="",INDEX([1]DATA!$O$3:$O$9826,MATCH(1,(vp.data[[#This Row],[Battery]]=[1]DATA!$L$3:$L$9826)*(EOMONTH(vp.data[[#This Row],[SDate]],-1)+1=[1]DATA!$G$3:$G$9826),0)),vp.data[[#This Row],[Dens Input]]),"")</f>
        <v>810.5</v>
      </c>
      <c r="N1437" s="2">
        <f ca="1">INDEX(INDIRECT(_xlfn.CONCAT("weather.tbl[",N$1,"]")),MATCH(vp.data[[#This Row],[SDate]],weather.tbl[Date],0))</f>
        <v>10.516666666666667</v>
      </c>
      <c r="O1437" s="2">
        <f ca="1">INDEX(INDIRECT(_xlfn.CONCAT("weather.tbl[",O$1,"]")),MATCH(vp.data[[#This Row],[SDate]],weather.tbl[Date],0))</f>
        <v>13.452380952380953</v>
      </c>
      <c r="P1437" s="2">
        <f ca="1">INDEX(INDIRECT(_xlfn.CONCAT("weather.tbl[",P$1,"]")),MATCH(vp.data[[#This Row],[SDate]],weather.tbl[Date],0))</f>
        <v>11</v>
      </c>
      <c r="Q1437" s="2">
        <f ca="1">INDEX(INDIRECT(_xlfn.CONCAT("weather.tbl[",Q$1,"]")),MATCH(vp.data[[#This Row],[SDate]],weather.tbl[Date],0))</f>
        <v>9.1</v>
      </c>
      <c r="R1437" s="2">
        <f ca="1">INDEX(INDIRECT(_xlfn.CONCAT("weather.tbl[",R$1,"]")),MATCH(vp.data[[#This Row],[SDate]],weather.tbl[Date],0))</f>
        <v>12.3</v>
      </c>
      <c r="S1437" s="2">
        <f ca="1">INDEX(INDIRECT(_xlfn.CONCAT("weather.tbl[",S$1,"]")),MATCH(vp.data[[#This Row],[SDate]],weather.tbl[Date],0))</f>
        <v>8.5</v>
      </c>
      <c r="T1437" s="2">
        <f ca="1">INDEX(INDIRECT(_xlfn.CONCAT("weather.tbl[",T$1,"]")),MATCH(vp.data[[#This Row],[SDate]],weather.tbl[Date],0))</f>
        <v>11.7</v>
      </c>
      <c r="U1437" s="2">
        <f ca="1">INDEX(INDIRECT(_xlfn.CONCAT("weather.tbl[",U$1,"]")),MATCH(vp.data[[#This Row],[SDate]],weather.tbl[Date],0))</f>
        <v>10.5</v>
      </c>
      <c r="V1437" s="2">
        <f t="array" ref="V14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3329.3429999999998</v>
      </c>
      <c r="W1437" t="s">
        <v>48</v>
      </c>
      <c r="X1437">
        <f>IF(OR(vp.data[[#This Row],[Sulf]]="",vp.data[[#This Row],[Dens]]=""),1,0)</f>
        <v>0</v>
      </c>
      <c r="Y1437">
        <f>IF(vp.data[[#This Row],[CrudeType]]="C5+",1,0)</f>
        <v>0</v>
      </c>
      <c r="Z1437">
        <f>IF(AND(vp.data[[#This Row],[CrudeType]]="Crude",vp.data[[#This Row],[Dens]]&lt;=825,vp.data[[#This Row],[Sulf]]&gt;0.5,vp.data[[#This Row],[Unknown]]=0),1,0)</f>
        <v>0</v>
      </c>
      <c r="AA1437">
        <f>IF(AND(vp.data[[#This Row],[CrudeType]]="Crude",vp.data[[#This Row],[Dens]]&lt;=825,vp.data[[#This Row],[Sulf]]&lt;=0.5,vp.data[[#This Row],[Unknown]]=0),1,0)</f>
        <v>1</v>
      </c>
      <c r="AB14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37">
        <f>IF(AND(vp.data[[#This Row],[CrudeType]]="Crude",vp.data[[#This Row],[Dens]]&gt;825,vp.data[[#This Row],[Dens]]&lt;=900,vp.data[[#This Row],[Sulf]]&lt;=0.5,vp.data[[#This Row],[Unknown]]=0),1,0)</f>
        <v>0</v>
      </c>
      <c r="AD1437">
        <f>IF(AND(vp.data[[#This Row],[CrudeType]]="Crude",vp.data[[#This Row],[Dens]]&gt;865,vp.data[[#This Row],[Dens]]&lt;=900,vp.data[[#This Row],[Sulf]]&gt;2,vp.data[[#This Row],[Unknown]]=0),1,0)</f>
        <v>0</v>
      </c>
      <c r="AE1437">
        <f>IF(AND(vp.data[[#This Row],[CrudeType]]="Crude",vp.data[[#This Row],[Dens]]&gt;900,vp.data[[#This Row],[Sulf]]&lt;=0.5,vp.data[[#This Row],[Unknown]]=0),1,0)</f>
        <v>0</v>
      </c>
      <c r="AF1437">
        <f>IF(AND(vp.data[[#This Row],[CrudeType]]="Crude",vp.data[[#This Row],[Dens]]&gt;900,vp.data[[#This Row],[Sulf]]&lt;=0.5,vp.data[[#This Row],[Unknown]]=0),1,0)</f>
        <v>0</v>
      </c>
      <c r="AG1437" t="str">
        <f>INDEX(vp.data[[#Headers],[Unknown]:[Heavy_SW]],MATCH(1,vp.data[[#This Row],[Unknown]:[Heavy_SW]],0))</f>
        <v>Light_SW</v>
      </c>
      <c r="AH1437">
        <f>INDEX([3]!crudeBD.lkup[Number],MATCH(vp.data[[#This Row],[Crude_Breakdown]],crudeBD.lkup[Crude Breakdown],0))</f>
        <v>2</v>
      </c>
      <c r="AI1437">
        <f>MONTH(vp.data[[#This Row],[SDate]])</f>
        <v>5</v>
      </c>
      <c r="AJ1437" s="5">
        <f>(vp.data[[#This Row],[VP]]-INDEX(crudeBD.lkup[Mean_VP],MATCH(vp.data[[#This Row],[Crude_Breakdown]],crudeBD.lkup[Crude Breakdown],0)))^2</f>
        <v>109.20905410530611</v>
      </c>
      <c r="AK1437" s="5">
        <f>(vp.data[[#This Row],[Dens]]-INDEX(crudeBD.lkup[Mean_Dens],MATCH(vp.data[[#This Row],[Crude_Breakdown]],crudeBD.lkup[Crude Breakdown],0)))^2</f>
        <v>4.7895398754395311</v>
      </c>
      <c r="AL1437" s="5">
        <f>(vp.data[[#This Row],[Sulf]]-INDEX(crudeBD.lkup[Mean_Sulf],MATCH(vp.data[[#This Row],[Crude_Breakdown]],crudeBD.lkup[Crude Breakdown],0)))^2</f>
        <v>5.644515043280923E-4</v>
      </c>
      <c r="AM1437" s="4">
        <f>IF(AND(vp.data[[#This Row],[SDate]]&gt;=DATE(YEAR(vp.data[[#This Row],[SDate]]),5,1),vp.data[[#This Row],[SDate]]&lt;=DATE(YEAR(vp.data[[#This Row],[SDate]]),9,15)),1,0)</f>
        <v>1</v>
      </c>
      <c r="AN1437" s="4">
        <f>IF(vp.data[[#This Row],[SDate]]&lt;DATE(2016,12,1),0,1)</f>
        <v>1</v>
      </c>
      <c r="AO1437" s="4">
        <f>IFERROR(vp.data[[#This Row],[Sulf]]*vp.data[[#This Row],[Net Dens]],"")</f>
        <v>701592.45039000001</v>
      </c>
      <c r="AP1437">
        <f>IFERROR(vp.data[[#This Row],[Dens]]*vp.data[[#This Row],[VolumeM3]],"")</f>
        <v>2698432.5014999998</v>
      </c>
      <c r="AQ1437" s="15">
        <f>IFERROR(vp.data[[#This Row],[VP]]*vp.data[[#This Row],[VolumeM3]],"")</f>
        <v>273339.06029999995</v>
      </c>
    </row>
    <row r="1438" spans="1:43" x14ac:dyDescent="0.25">
      <c r="A1438">
        <v>1437</v>
      </c>
      <c r="B1438" t="s">
        <v>49</v>
      </c>
      <c r="C1438" t="s">
        <v>49</v>
      </c>
      <c r="D1438" t="s">
        <v>67</v>
      </c>
      <c r="F1438" s="1">
        <v>42863</v>
      </c>
      <c r="G1438" s="2">
        <v>84.7</v>
      </c>
      <c r="H1438" s="2"/>
      <c r="I1438" s="2">
        <f t="array" ref="I1438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438" s="2"/>
      <c r="K1438" s="2"/>
      <c r="L1438" s="2">
        <v>823.2</v>
      </c>
      <c r="M1438" s="2">
        <f t="array" ref="M1438">_xlfn.IFNA(IF(vp.data[[#This Row],[Dens Input]]="",INDEX([1]DATA!$O$3:$O$9826,MATCH(1,(vp.data[[#This Row],[Battery]]=[1]DATA!$L$3:$L$9826)*(EOMONTH(vp.data[[#This Row],[SDate]],-1)+1=[1]DATA!$G$3:$G$9826),0)),vp.data[[#This Row],[Dens Input]]),"")</f>
        <v>823.2</v>
      </c>
      <c r="N1438" s="2">
        <f ca="1">INDEX(INDIRECT(_xlfn.CONCAT("weather.tbl[",N$1,"]")),MATCH(vp.data[[#This Row],[SDate]],weather.tbl[Date],0))</f>
        <v>10.516666666666667</v>
      </c>
      <c r="O1438" s="2">
        <f ca="1">INDEX(INDIRECT(_xlfn.CONCAT("weather.tbl[",O$1,"]")),MATCH(vp.data[[#This Row],[SDate]],weather.tbl[Date],0))</f>
        <v>13.452380952380953</v>
      </c>
      <c r="P1438" s="2">
        <f ca="1">INDEX(INDIRECT(_xlfn.CONCAT("weather.tbl[",P$1,"]")),MATCH(vp.data[[#This Row],[SDate]],weather.tbl[Date],0))</f>
        <v>11</v>
      </c>
      <c r="Q1438" s="2">
        <f ca="1">INDEX(INDIRECT(_xlfn.CONCAT("weather.tbl[",Q$1,"]")),MATCH(vp.data[[#This Row],[SDate]],weather.tbl[Date],0))</f>
        <v>9.1</v>
      </c>
      <c r="R1438" s="2">
        <f ca="1">INDEX(INDIRECT(_xlfn.CONCAT("weather.tbl[",R$1,"]")),MATCH(vp.data[[#This Row],[SDate]],weather.tbl[Date],0))</f>
        <v>12.3</v>
      </c>
      <c r="S1438" s="2">
        <f ca="1">INDEX(INDIRECT(_xlfn.CONCAT("weather.tbl[",S$1,"]")),MATCH(vp.data[[#This Row],[SDate]],weather.tbl[Date],0))</f>
        <v>8.5</v>
      </c>
      <c r="T1438" s="2">
        <f ca="1">INDEX(INDIRECT(_xlfn.CONCAT("weather.tbl[",T$1,"]")),MATCH(vp.data[[#This Row],[SDate]],weather.tbl[Date],0))</f>
        <v>11.7</v>
      </c>
      <c r="U1438" s="2">
        <f ca="1">INDEX(INDIRECT(_xlfn.CONCAT("weather.tbl[",U$1,"]")),MATCH(vp.data[[#This Row],[SDate]],weather.tbl[Date],0))</f>
        <v>10.5</v>
      </c>
      <c r="V1438" s="2">
        <f t="array" ref="V14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152210.65299999999</v>
      </c>
      <c r="W1438" t="s">
        <v>48</v>
      </c>
      <c r="X1438">
        <f>IF(OR(vp.data[[#This Row],[Sulf]]="",vp.data[[#This Row],[Dens]]=""),1,0)</f>
        <v>0</v>
      </c>
      <c r="Y1438">
        <f>IF(vp.data[[#This Row],[CrudeType]]="C5+",1,0)</f>
        <v>0</v>
      </c>
      <c r="Z1438">
        <f>IF(AND(vp.data[[#This Row],[CrudeType]]="Crude",vp.data[[#This Row],[Dens]]&lt;=825,vp.data[[#This Row],[Sulf]]&gt;0.5,vp.data[[#This Row],[Unknown]]=0),1,0)</f>
        <v>1</v>
      </c>
      <c r="AA1438">
        <f>IF(AND(vp.data[[#This Row],[CrudeType]]="Crude",vp.data[[#This Row],[Dens]]&lt;=825,vp.data[[#This Row],[Sulf]]&lt;=0.5,vp.data[[#This Row],[Unknown]]=0),1,0)</f>
        <v>0</v>
      </c>
      <c r="AB14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38">
        <f>IF(AND(vp.data[[#This Row],[CrudeType]]="Crude",vp.data[[#This Row],[Dens]]&gt;825,vp.data[[#This Row],[Dens]]&lt;=900,vp.data[[#This Row],[Sulf]]&lt;=0.5,vp.data[[#This Row],[Unknown]]=0),1,0)</f>
        <v>0</v>
      </c>
      <c r="AD1438">
        <f>IF(AND(vp.data[[#This Row],[CrudeType]]="Crude",vp.data[[#This Row],[Dens]]&gt;865,vp.data[[#This Row],[Dens]]&lt;=900,vp.data[[#This Row],[Sulf]]&gt;2,vp.data[[#This Row],[Unknown]]=0),1,0)</f>
        <v>0</v>
      </c>
      <c r="AE1438">
        <f>IF(AND(vp.data[[#This Row],[CrudeType]]="Crude",vp.data[[#This Row],[Dens]]&gt;900,vp.data[[#This Row],[Sulf]]&lt;=0.5,vp.data[[#This Row],[Unknown]]=0),1,0)</f>
        <v>0</v>
      </c>
      <c r="AF1438">
        <f>IF(AND(vp.data[[#This Row],[CrudeType]]="Crude",vp.data[[#This Row],[Dens]]&gt;900,vp.data[[#This Row],[Sulf]]&lt;=0.5,vp.data[[#This Row],[Unknown]]=0),1,0)</f>
        <v>0</v>
      </c>
      <c r="AG1438" t="str">
        <f>INDEX(vp.data[[#Headers],[Unknown]:[Heavy_SW]],MATCH(1,vp.data[[#This Row],[Unknown]:[Heavy_SW]],0))</f>
        <v>Light_LSB</v>
      </c>
      <c r="AH1438">
        <f>INDEX([3]!crudeBD.lkup[Number],MATCH(vp.data[[#This Row],[Crude_Breakdown]],crudeBD.lkup[Crude Breakdown],0))</f>
        <v>1</v>
      </c>
      <c r="AI1438">
        <f>MONTH(vp.data[[#This Row],[SDate]])</f>
        <v>5</v>
      </c>
      <c r="AJ1438" s="5">
        <f>(vp.data[[#This Row],[VP]]-INDEX(crudeBD.lkup[Mean_VP],MATCH(vp.data[[#This Row],[Crude_Breakdown]],crudeBD.lkup[Crude Breakdown],0)))^2</f>
        <v>46.870256817940657</v>
      </c>
      <c r="AK1438" s="5">
        <f>(vp.data[[#This Row],[Dens]]-INDEX(crudeBD.lkup[Mean_Dens],MATCH(vp.data[[#This Row],[Crude_Breakdown]],crudeBD.lkup[Crude Breakdown],0)))^2</f>
        <v>21.932645486003771</v>
      </c>
      <c r="AL1438" s="5">
        <f>(vp.data[[#This Row],[Sulf]]-INDEX(crudeBD.lkup[Mean_Sulf],MATCH(vp.data[[#This Row],[Crude_Breakdown]],crudeBD.lkup[Crude Breakdown],0)))^2</f>
        <v>8.5832105504801401E-2</v>
      </c>
      <c r="AM1438" s="4">
        <f>IF(AND(vp.data[[#This Row],[SDate]]&gt;=DATE(YEAR(vp.data[[#This Row],[SDate]]),5,1),vp.data[[#This Row],[SDate]]&lt;=DATE(YEAR(vp.data[[#This Row],[SDate]]),9,15)),1,0)</f>
        <v>1</v>
      </c>
      <c r="AN1438" s="4">
        <f>IF(vp.data[[#This Row],[SDate]]&lt;DATE(2016,12,1),0,1)</f>
        <v>1</v>
      </c>
      <c r="AO1438" s="4">
        <f>IFERROR(vp.data[[#This Row],[Sulf]]*vp.data[[#This Row],[Net Dens]],"")</f>
        <v>78938880.016248003</v>
      </c>
      <c r="AP1438">
        <f>IFERROR(vp.data[[#This Row],[Dens]]*vp.data[[#This Row],[VolumeM3]],"")</f>
        <v>125299809.54960001</v>
      </c>
      <c r="AQ1438" s="15">
        <f>IFERROR(vp.data[[#This Row],[VP]]*vp.data[[#This Row],[VolumeM3]],"")</f>
        <v>12892242.3091</v>
      </c>
    </row>
    <row r="1439" spans="1:43" x14ac:dyDescent="0.25">
      <c r="A1439">
        <v>1438</v>
      </c>
      <c r="B1439" t="s">
        <v>49</v>
      </c>
      <c r="C1439" t="s">
        <v>49</v>
      </c>
      <c r="D1439" t="s">
        <v>100</v>
      </c>
      <c r="F1439" s="1">
        <v>42863</v>
      </c>
      <c r="G1439" s="2">
        <v>82.8</v>
      </c>
      <c r="H1439" s="2"/>
      <c r="I1439" s="2">
        <f t="array" ref="I1439">_xlfn.IFNA(IF(vp.data[[#This Row],[Sulf Input]]="",INDEX([1]DATA!$Q$3:$Q$9826,MATCH(1,(vp.data[[#This Row],[Battery]]=[1]DATA!$L$3:$L$9826)*(EOMONTH(vp.data[[#This Row],[SDate]],-1)+1=[1]DATA!$G$3:$G$9826),0)),vp.data[[#This Row],[Sulf Input]]),"")</f>
        <v>0.75</v>
      </c>
      <c r="J1439" s="2"/>
      <c r="K1439" s="2"/>
      <c r="L1439" s="2">
        <v>821.9</v>
      </c>
      <c r="M1439" s="2">
        <f t="array" ref="M1439">_xlfn.IFNA(IF(vp.data[[#This Row],[Dens Input]]="",INDEX([1]DATA!$O$3:$O$9826,MATCH(1,(vp.data[[#This Row],[Battery]]=[1]DATA!$L$3:$L$9826)*(EOMONTH(vp.data[[#This Row],[SDate]],-1)+1=[1]DATA!$G$3:$G$9826),0)),vp.data[[#This Row],[Dens Input]]),"")</f>
        <v>821.9</v>
      </c>
      <c r="N1439" s="2">
        <f ca="1">INDEX(INDIRECT(_xlfn.CONCAT("weather.tbl[",N$1,"]")),MATCH(vp.data[[#This Row],[SDate]],weather.tbl[Date],0))</f>
        <v>10.516666666666667</v>
      </c>
      <c r="O1439" s="2">
        <f ca="1">INDEX(INDIRECT(_xlfn.CONCAT("weather.tbl[",O$1,"]")),MATCH(vp.data[[#This Row],[SDate]],weather.tbl[Date],0))</f>
        <v>13.452380952380953</v>
      </c>
      <c r="P1439" s="2">
        <f ca="1">INDEX(INDIRECT(_xlfn.CONCAT("weather.tbl[",P$1,"]")),MATCH(vp.data[[#This Row],[SDate]],weather.tbl[Date],0))</f>
        <v>11</v>
      </c>
      <c r="Q1439" s="2">
        <f ca="1">INDEX(INDIRECT(_xlfn.CONCAT("weather.tbl[",Q$1,"]")),MATCH(vp.data[[#This Row],[SDate]],weather.tbl[Date],0))</f>
        <v>9.1</v>
      </c>
      <c r="R1439" s="2">
        <f ca="1">INDEX(INDIRECT(_xlfn.CONCAT("weather.tbl[",R$1,"]")),MATCH(vp.data[[#This Row],[SDate]],weather.tbl[Date],0))</f>
        <v>12.3</v>
      </c>
      <c r="S1439" s="2">
        <f ca="1">INDEX(INDIRECT(_xlfn.CONCAT("weather.tbl[",S$1,"]")),MATCH(vp.data[[#This Row],[SDate]],weather.tbl[Date],0))</f>
        <v>8.5</v>
      </c>
      <c r="T1439" s="2">
        <f ca="1">INDEX(INDIRECT(_xlfn.CONCAT("weather.tbl[",T$1,"]")),MATCH(vp.data[[#This Row],[SDate]],weather.tbl[Date],0))</f>
        <v>11.7</v>
      </c>
      <c r="U1439" s="2">
        <f ca="1">INDEX(INDIRECT(_xlfn.CONCAT("weather.tbl[",U$1,"]")),MATCH(vp.data[[#This Row],[SDate]],weather.tbl[Date],0))</f>
        <v>10.5</v>
      </c>
      <c r="V1439" s="2">
        <f t="array" ref="V14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12872.544</v>
      </c>
      <c r="W1439" t="s">
        <v>48</v>
      </c>
      <c r="X1439">
        <f>IF(OR(vp.data[[#This Row],[Sulf]]="",vp.data[[#This Row],[Dens]]=""),1,0)</f>
        <v>0</v>
      </c>
      <c r="Y1439">
        <f>IF(vp.data[[#This Row],[CrudeType]]="C5+",1,0)</f>
        <v>0</v>
      </c>
      <c r="Z1439">
        <f>IF(AND(vp.data[[#This Row],[CrudeType]]="Crude",vp.data[[#This Row],[Dens]]&lt;=825,vp.data[[#This Row],[Sulf]]&gt;0.5,vp.data[[#This Row],[Unknown]]=0),1,0)</f>
        <v>1</v>
      </c>
      <c r="AA1439">
        <f>IF(AND(vp.data[[#This Row],[CrudeType]]="Crude",vp.data[[#This Row],[Dens]]&lt;=825,vp.data[[#This Row],[Sulf]]&lt;=0.5,vp.data[[#This Row],[Unknown]]=0),1,0)</f>
        <v>0</v>
      </c>
      <c r="AB14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39">
        <f>IF(AND(vp.data[[#This Row],[CrudeType]]="Crude",vp.data[[#This Row],[Dens]]&gt;825,vp.data[[#This Row],[Dens]]&lt;=900,vp.data[[#This Row],[Sulf]]&lt;=0.5,vp.data[[#This Row],[Unknown]]=0),1,0)</f>
        <v>0</v>
      </c>
      <c r="AD1439">
        <f>IF(AND(vp.data[[#This Row],[CrudeType]]="Crude",vp.data[[#This Row],[Dens]]&gt;865,vp.data[[#This Row],[Dens]]&lt;=900,vp.data[[#This Row],[Sulf]]&gt;2,vp.data[[#This Row],[Unknown]]=0),1,0)</f>
        <v>0</v>
      </c>
      <c r="AE1439">
        <f>IF(AND(vp.data[[#This Row],[CrudeType]]="Crude",vp.data[[#This Row],[Dens]]&gt;900,vp.data[[#This Row],[Sulf]]&lt;=0.5,vp.data[[#This Row],[Unknown]]=0),1,0)</f>
        <v>0</v>
      </c>
      <c r="AF1439">
        <f>IF(AND(vp.data[[#This Row],[CrudeType]]="Crude",vp.data[[#This Row],[Dens]]&gt;900,vp.data[[#This Row],[Sulf]]&lt;=0.5,vp.data[[#This Row],[Unknown]]=0),1,0)</f>
        <v>0</v>
      </c>
      <c r="AG1439" t="str">
        <f>INDEX(vp.data[[#Headers],[Unknown]:[Heavy_SW]],MATCH(1,vp.data[[#This Row],[Unknown]:[Heavy_SW]],0))</f>
        <v>Light_LSB</v>
      </c>
      <c r="AH1439">
        <f>INDEX([3]!crudeBD.lkup[Number],MATCH(vp.data[[#This Row],[Crude_Breakdown]],crudeBD.lkup[Crude Breakdown],0))</f>
        <v>1</v>
      </c>
      <c r="AI1439">
        <f>MONTH(vp.data[[#This Row],[SDate]])</f>
        <v>5</v>
      </c>
      <c r="AJ1439" s="5">
        <f>(vp.data[[#This Row],[VP]]-INDEX(crudeBD.lkup[Mean_VP],MATCH(vp.data[[#This Row],[Crude_Breakdown]],crudeBD.lkup[Crude Breakdown],0)))^2</f>
        <v>76.495761972580041</v>
      </c>
      <c r="AK1439" s="5">
        <f>(vp.data[[#This Row],[Dens]]-INDEX(crudeBD.lkup[Mean_Dens],MATCH(vp.data[[#This Row],[Crude_Breakdown]],crudeBD.lkup[Crude Breakdown],0)))^2</f>
        <v>11.44624686057282</v>
      </c>
      <c r="AL1439" s="5">
        <f>(vp.data[[#This Row],[Sulf]]-INDEX(crudeBD.lkup[Mean_Sulf],MATCH(vp.data[[#This Row],[Crude_Breakdown]],crudeBD.lkup[Crude Breakdown],0)))^2</f>
        <v>2.9919025092430326E-2</v>
      </c>
      <c r="AM1439" s="4">
        <f>IF(AND(vp.data[[#This Row],[SDate]]&gt;=DATE(YEAR(vp.data[[#This Row],[SDate]]),5,1),vp.data[[#This Row],[SDate]]&lt;=DATE(YEAR(vp.data[[#This Row],[SDate]]),9,15)),1,0)</f>
        <v>1</v>
      </c>
      <c r="AN1439" s="4">
        <f>IF(vp.data[[#This Row],[SDate]]&lt;DATE(2016,12,1),0,1)</f>
        <v>1</v>
      </c>
      <c r="AO1439" s="4">
        <f>IFERROR(vp.data[[#This Row],[Sulf]]*vp.data[[#This Row],[Net Dens]],"")</f>
        <v>7934957.9352000002</v>
      </c>
      <c r="AP1439">
        <f>IFERROR(vp.data[[#This Row],[Dens]]*vp.data[[#This Row],[VolumeM3]],"")</f>
        <v>10579943.9136</v>
      </c>
      <c r="AQ1439" s="15">
        <f>IFERROR(vp.data[[#This Row],[VP]]*vp.data[[#This Row],[VolumeM3]],"")</f>
        <v>1065846.6432</v>
      </c>
    </row>
    <row r="1440" spans="1:43" x14ac:dyDescent="0.25">
      <c r="A1440">
        <v>1439</v>
      </c>
      <c r="B1440" t="s">
        <v>49</v>
      </c>
      <c r="C1440" t="s">
        <v>49</v>
      </c>
      <c r="D1440" t="s">
        <v>80</v>
      </c>
      <c r="F1440" s="1">
        <v>42863</v>
      </c>
      <c r="G1440" s="2">
        <v>84.4</v>
      </c>
      <c r="H1440" s="2"/>
      <c r="I1440" s="2">
        <f t="array" ref="I1440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440" s="2"/>
      <c r="K1440" s="2"/>
      <c r="L1440" s="2">
        <v>824.4</v>
      </c>
      <c r="M1440" s="2">
        <f t="array" ref="M1440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440" s="2">
        <f ca="1">INDEX(INDIRECT(_xlfn.CONCAT("weather.tbl[",N$1,"]")),MATCH(vp.data[[#This Row],[SDate]],weather.tbl[Date],0))</f>
        <v>10.516666666666667</v>
      </c>
      <c r="O1440" s="2">
        <f ca="1">INDEX(INDIRECT(_xlfn.CONCAT("weather.tbl[",O$1,"]")),MATCH(vp.data[[#This Row],[SDate]],weather.tbl[Date],0))</f>
        <v>13.452380952380953</v>
      </c>
      <c r="P1440" s="2">
        <f ca="1">INDEX(INDIRECT(_xlfn.CONCAT("weather.tbl[",P$1,"]")),MATCH(vp.data[[#This Row],[SDate]],weather.tbl[Date],0))</f>
        <v>11</v>
      </c>
      <c r="Q1440" s="2">
        <f ca="1">INDEX(INDIRECT(_xlfn.CONCAT("weather.tbl[",Q$1,"]")),MATCH(vp.data[[#This Row],[SDate]],weather.tbl[Date],0))</f>
        <v>9.1</v>
      </c>
      <c r="R1440" s="2">
        <f ca="1">INDEX(INDIRECT(_xlfn.CONCAT("weather.tbl[",R$1,"]")),MATCH(vp.data[[#This Row],[SDate]],weather.tbl[Date],0))</f>
        <v>12.3</v>
      </c>
      <c r="S1440" s="2">
        <f ca="1">INDEX(INDIRECT(_xlfn.CONCAT("weather.tbl[",S$1,"]")),MATCH(vp.data[[#This Row],[SDate]],weather.tbl[Date],0))</f>
        <v>8.5</v>
      </c>
      <c r="T1440" s="2">
        <f ca="1">INDEX(INDIRECT(_xlfn.CONCAT("weather.tbl[",T$1,"]")),MATCH(vp.data[[#This Row],[SDate]],weather.tbl[Date],0))</f>
        <v>11.7</v>
      </c>
      <c r="U1440" s="2">
        <f ca="1">INDEX(INDIRECT(_xlfn.CONCAT("weather.tbl[",U$1,"]")),MATCH(vp.data[[#This Row],[SDate]],weather.tbl[Date],0))</f>
        <v>10.5</v>
      </c>
      <c r="V1440" s="2">
        <f t="array" ref="V14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22699.566999999999</v>
      </c>
      <c r="W1440" t="s">
        <v>48</v>
      </c>
      <c r="X1440">
        <f>IF(OR(vp.data[[#This Row],[Sulf]]="",vp.data[[#This Row],[Dens]]=""),1,0)</f>
        <v>0</v>
      </c>
      <c r="Y1440">
        <f>IF(vp.data[[#This Row],[CrudeType]]="C5+",1,0)</f>
        <v>0</v>
      </c>
      <c r="Z1440">
        <f>IF(AND(vp.data[[#This Row],[CrudeType]]="Crude",vp.data[[#This Row],[Dens]]&lt;=825,vp.data[[#This Row],[Sulf]]&gt;0.5,vp.data[[#This Row],[Unknown]]=0),1,0)</f>
        <v>1</v>
      </c>
      <c r="AA1440">
        <f>IF(AND(vp.data[[#This Row],[CrudeType]]="Crude",vp.data[[#This Row],[Dens]]&lt;=825,vp.data[[#This Row],[Sulf]]&lt;=0.5,vp.data[[#This Row],[Unknown]]=0),1,0)</f>
        <v>0</v>
      </c>
      <c r="AB14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40">
        <f>IF(AND(vp.data[[#This Row],[CrudeType]]="Crude",vp.data[[#This Row],[Dens]]&gt;825,vp.data[[#This Row],[Dens]]&lt;=900,vp.data[[#This Row],[Sulf]]&lt;=0.5,vp.data[[#This Row],[Unknown]]=0),1,0)</f>
        <v>0</v>
      </c>
      <c r="AD1440">
        <f>IF(AND(vp.data[[#This Row],[CrudeType]]="Crude",vp.data[[#This Row],[Dens]]&gt;865,vp.data[[#This Row],[Dens]]&lt;=900,vp.data[[#This Row],[Sulf]]&gt;2,vp.data[[#This Row],[Unknown]]=0),1,0)</f>
        <v>0</v>
      </c>
      <c r="AE1440">
        <f>IF(AND(vp.data[[#This Row],[CrudeType]]="Crude",vp.data[[#This Row],[Dens]]&gt;900,vp.data[[#This Row],[Sulf]]&lt;=0.5,vp.data[[#This Row],[Unknown]]=0),1,0)</f>
        <v>0</v>
      </c>
      <c r="AF1440">
        <f>IF(AND(vp.data[[#This Row],[CrudeType]]="Crude",vp.data[[#This Row],[Dens]]&gt;900,vp.data[[#This Row],[Sulf]]&lt;=0.5,vp.data[[#This Row],[Unknown]]=0),1,0)</f>
        <v>0</v>
      </c>
      <c r="AG1440" t="str">
        <f>INDEX(vp.data[[#Headers],[Unknown]:[Heavy_SW]],MATCH(1,vp.data[[#This Row],[Unknown]:[Heavy_SW]],0))</f>
        <v>Light_LSB</v>
      </c>
      <c r="AH1440">
        <f>INDEX([3]!crudeBD.lkup[Number],MATCH(vp.data[[#This Row],[Crude_Breakdown]],crudeBD.lkup[Crude Breakdown],0))</f>
        <v>1</v>
      </c>
      <c r="AI1440">
        <f>MONTH(vp.data[[#This Row],[SDate]])</f>
        <v>5</v>
      </c>
      <c r="AJ1440" s="5">
        <f>(vp.data[[#This Row],[VP]]-INDEX(crudeBD.lkup[Mean_VP],MATCH(vp.data[[#This Row],[Crude_Breakdown]],crudeBD.lkup[Crude Breakdown],0)))^2</f>
        <v>51.067968158146819</v>
      </c>
      <c r="AK1440" s="5">
        <f>(vp.data[[#This Row],[Dens]]-INDEX(crudeBD.lkup[Mean_Dens],MATCH(vp.data[[#This Row],[Crude_Breakdown]],crudeBD.lkup[Crude Breakdown],0)))^2</f>
        <v>34.612398063323418</v>
      </c>
      <c r="AL1440" s="5">
        <f>(vp.data[[#This Row],[Sulf]]-INDEX(crudeBD.lkup[Mean_Sulf],MATCH(vp.data[[#This Row],[Crude_Breakdown]],crudeBD.lkup[Crude Breakdown],0)))^2</f>
        <v>2.6559601724732734E-2</v>
      </c>
      <c r="AM1440" s="4">
        <f>IF(AND(vp.data[[#This Row],[SDate]]&gt;=DATE(YEAR(vp.data[[#This Row],[SDate]]),5,1),vp.data[[#This Row],[SDate]]&lt;=DATE(YEAR(vp.data[[#This Row],[SDate]]),9,15)),1,0)</f>
        <v>1</v>
      </c>
      <c r="AN1440" s="4">
        <f>IF(vp.data[[#This Row],[SDate]]&lt;DATE(2016,12,1),0,1)</f>
        <v>1</v>
      </c>
      <c r="AO1440" s="4">
        <f>IFERROR(vp.data[[#This Row],[Sulf]]*vp.data[[#This Row],[Net Dens]],"")</f>
        <v>14222277.506448001</v>
      </c>
      <c r="AP1440">
        <f>IFERROR(vp.data[[#This Row],[Dens]]*vp.data[[#This Row],[VolumeM3]],"")</f>
        <v>18713523.0348</v>
      </c>
      <c r="AQ1440" s="15">
        <f>IFERROR(vp.data[[#This Row],[VP]]*vp.data[[#This Row],[VolumeM3]],"")</f>
        <v>1915843.4547999999</v>
      </c>
    </row>
    <row r="1441" spans="1:43" x14ac:dyDescent="0.25">
      <c r="A1441">
        <v>1440</v>
      </c>
      <c r="B1441" t="s">
        <v>68</v>
      </c>
      <c r="C1441" t="s">
        <v>68</v>
      </c>
      <c r="D1441" t="s">
        <v>98</v>
      </c>
      <c r="F1441" s="1">
        <v>42863</v>
      </c>
      <c r="G1441" s="2">
        <v>80.400000000000006</v>
      </c>
      <c r="H1441" s="2"/>
      <c r="I1441" s="2">
        <f t="array" ref="I1441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441" s="2"/>
      <c r="K1441" s="2"/>
      <c r="L1441" s="2">
        <v>851.4</v>
      </c>
      <c r="M1441" s="2">
        <f t="array" ref="M1441">_xlfn.IFNA(IF(vp.data[[#This Row],[Dens Input]]="",INDEX([1]DATA!$O$3:$O$9826,MATCH(1,(vp.data[[#This Row],[Battery]]=[1]DATA!$L$3:$L$9826)*(EOMONTH(vp.data[[#This Row],[SDate]],-1)+1=[1]DATA!$G$3:$G$9826),0)),vp.data[[#This Row],[Dens Input]]),"")</f>
        <v>851.4</v>
      </c>
      <c r="N1441" s="2">
        <f ca="1">INDEX(INDIRECT(_xlfn.CONCAT("weather.tbl[",N$1,"]")),MATCH(vp.data[[#This Row],[SDate]],weather.tbl[Date],0))</f>
        <v>10.516666666666667</v>
      </c>
      <c r="O1441" s="2">
        <f ca="1">INDEX(INDIRECT(_xlfn.CONCAT("weather.tbl[",O$1,"]")),MATCH(vp.data[[#This Row],[SDate]],weather.tbl[Date],0))</f>
        <v>13.452380952380953</v>
      </c>
      <c r="P1441" s="2">
        <f ca="1">INDEX(INDIRECT(_xlfn.CONCAT("weather.tbl[",P$1,"]")),MATCH(vp.data[[#This Row],[SDate]],weather.tbl[Date],0))</f>
        <v>11</v>
      </c>
      <c r="Q1441" s="2">
        <f ca="1">INDEX(INDIRECT(_xlfn.CONCAT("weather.tbl[",Q$1,"]")),MATCH(vp.data[[#This Row],[SDate]],weather.tbl[Date],0))</f>
        <v>9.1</v>
      </c>
      <c r="R1441" s="2">
        <f ca="1">INDEX(INDIRECT(_xlfn.CONCAT("weather.tbl[",R$1,"]")),MATCH(vp.data[[#This Row],[SDate]],weather.tbl[Date],0))</f>
        <v>12.3</v>
      </c>
      <c r="S1441" s="2">
        <f ca="1">INDEX(INDIRECT(_xlfn.CONCAT("weather.tbl[",S$1,"]")),MATCH(vp.data[[#This Row],[SDate]],weather.tbl[Date],0))</f>
        <v>8.5</v>
      </c>
      <c r="T1441" s="2">
        <f ca="1">INDEX(INDIRECT(_xlfn.CONCAT("weather.tbl[",T$1,"]")),MATCH(vp.data[[#This Row],[SDate]],weather.tbl[Date],0))</f>
        <v>11.7</v>
      </c>
      <c r="U1441" s="2">
        <f ca="1">INDEX(INDIRECT(_xlfn.CONCAT("weather.tbl[",U$1,"]")),MATCH(vp.data[[#This Row],[SDate]],weather.tbl[Date],0))</f>
        <v>10.5</v>
      </c>
      <c r="V1441" s="2">
        <f t="array" ref="V14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4675.3909999999996</v>
      </c>
      <c r="W1441" t="s">
        <v>48</v>
      </c>
      <c r="X1441">
        <f>IF(OR(vp.data[[#This Row],[Sulf]]="",vp.data[[#This Row],[Dens]]=""),1,0)</f>
        <v>0</v>
      </c>
      <c r="Y1441">
        <f>IF(vp.data[[#This Row],[CrudeType]]="C5+",1,0)</f>
        <v>0</v>
      </c>
      <c r="Z1441">
        <f>IF(AND(vp.data[[#This Row],[CrudeType]]="Crude",vp.data[[#This Row],[Dens]]&lt;=825,vp.data[[#This Row],[Sulf]]&gt;0.5,vp.data[[#This Row],[Unknown]]=0),1,0)</f>
        <v>0</v>
      </c>
      <c r="AA1441">
        <f>IF(AND(vp.data[[#This Row],[CrudeType]]="Crude",vp.data[[#This Row],[Dens]]&lt;=825,vp.data[[#This Row],[Sulf]]&lt;=0.5,vp.data[[#This Row],[Unknown]]=0),1,0)</f>
        <v>0</v>
      </c>
      <c r="AB14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1">
        <f>IF(AND(vp.data[[#This Row],[CrudeType]]="Crude",vp.data[[#This Row],[Dens]]&gt;825,vp.data[[#This Row],[Dens]]&lt;=900,vp.data[[#This Row],[Sulf]]&lt;=0.5,vp.data[[#This Row],[Unknown]]=0),1,0)</f>
        <v>0</v>
      </c>
      <c r="AD1441">
        <f>IF(AND(vp.data[[#This Row],[CrudeType]]="Crude",vp.data[[#This Row],[Dens]]&gt;865,vp.data[[#This Row],[Dens]]&lt;=900,vp.data[[#This Row],[Sulf]]&gt;2,vp.data[[#This Row],[Unknown]]=0),1,0)</f>
        <v>0</v>
      </c>
      <c r="AE1441">
        <f>IF(AND(vp.data[[#This Row],[CrudeType]]="Crude",vp.data[[#This Row],[Dens]]&gt;900,vp.data[[#This Row],[Sulf]]&lt;=0.5,vp.data[[#This Row],[Unknown]]=0),1,0)</f>
        <v>0</v>
      </c>
      <c r="AF1441">
        <f>IF(AND(vp.data[[#This Row],[CrudeType]]="Crude",vp.data[[#This Row],[Dens]]&gt;900,vp.data[[#This Row],[Sulf]]&lt;=0.5,vp.data[[#This Row],[Unknown]]=0),1,0)</f>
        <v>0</v>
      </c>
      <c r="AG1441" t="str">
        <f>INDEX(vp.data[[#Headers],[Unknown]:[Heavy_SW]],MATCH(1,vp.data[[#This Row],[Unknown]:[Heavy_SW]],0))</f>
        <v>Medium_LSB</v>
      </c>
      <c r="AH1441">
        <f>INDEX([3]!crudeBD.lkup[Number],MATCH(vp.data[[#This Row],[Crude_Breakdown]],crudeBD.lkup[Crude Breakdown],0))</f>
        <v>3</v>
      </c>
      <c r="AI1441">
        <f>MONTH(vp.data[[#This Row],[SDate]])</f>
        <v>5</v>
      </c>
      <c r="AJ1441" s="5">
        <f>(vp.data[[#This Row],[VP]]-INDEX(crudeBD.lkup[Mean_VP],MATCH(vp.data[[#This Row],[Crude_Breakdown]],crudeBD.lkup[Crude Breakdown],0)))^2</f>
        <v>5.7444848555262627E-2</v>
      </c>
      <c r="AK1441" s="5">
        <f>(vp.data[[#This Row],[Dens]]-INDEX(crudeBD.lkup[Mean_Dens],MATCH(vp.data[[#This Row],[Crude_Breakdown]],crudeBD.lkup[Crude Breakdown],0)))^2</f>
        <v>55.950400000007072</v>
      </c>
      <c r="AL1441" s="5">
        <f>(vp.data[[#This Row],[Sulf]]-INDEX(crudeBD.lkup[Mean_Sulf],MATCH(vp.data[[#This Row],[Crude_Breakdown]],crudeBD.lkup[Crude Breakdown],0)))^2</f>
        <v>4.2782230363935985E-3</v>
      </c>
      <c r="AM1441" s="4">
        <f>IF(AND(vp.data[[#This Row],[SDate]]&gt;=DATE(YEAR(vp.data[[#This Row],[SDate]]),5,1),vp.data[[#This Row],[SDate]]&lt;=DATE(YEAR(vp.data[[#This Row],[SDate]]),9,15)),1,0)</f>
        <v>1</v>
      </c>
      <c r="AN1441" s="4">
        <f>IF(vp.data[[#This Row],[SDate]]&lt;DATE(2016,12,1),0,1)</f>
        <v>1</v>
      </c>
      <c r="AO1441" s="4">
        <f>IFERROR(vp.data[[#This Row],[Sulf]]*vp.data[[#This Row],[Net Dens]],"")</f>
        <v>5254428.8245679997</v>
      </c>
      <c r="AP1441">
        <f>IFERROR(vp.data[[#This Row],[Dens]]*vp.data[[#This Row],[VolumeM3]],"")</f>
        <v>3980627.8973999997</v>
      </c>
      <c r="AQ1441" s="15">
        <f>IFERROR(vp.data[[#This Row],[VP]]*vp.data[[#This Row],[VolumeM3]],"")</f>
        <v>375901.43640000001</v>
      </c>
    </row>
    <row r="1442" spans="1:43" x14ac:dyDescent="0.25">
      <c r="A1442">
        <v>1441</v>
      </c>
      <c r="B1442" t="s">
        <v>49</v>
      </c>
      <c r="C1442" t="s">
        <v>49</v>
      </c>
      <c r="D1442" t="s">
        <v>81</v>
      </c>
      <c r="F1442" s="1">
        <v>42863</v>
      </c>
      <c r="G1442" s="2">
        <v>73.7</v>
      </c>
      <c r="H1442" s="2"/>
      <c r="I1442" s="2">
        <f t="array" ref="I1442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442" s="2"/>
      <c r="K1442" s="2"/>
      <c r="L1442" s="2">
        <v>823.8</v>
      </c>
      <c r="M1442" s="2">
        <f t="array" ref="M1442">_xlfn.IFNA(IF(vp.data[[#This Row],[Dens Input]]="",INDEX([1]DATA!$O$3:$O$9826,MATCH(1,(vp.data[[#This Row],[Battery]]=[1]DATA!$L$3:$L$9826)*(EOMONTH(vp.data[[#This Row],[SDate]],-1)+1=[1]DATA!$G$3:$G$9826),0)),vp.data[[#This Row],[Dens Input]]),"")</f>
        <v>823.8</v>
      </c>
      <c r="N1442" s="2">
        <f ca="1">INDEX(INDIRECT(_xlfn.CONCAT("weather.tbl[",N$1,"]")),MATCH(vp.data[[#This Row],[SDate]],weather.tbl[Date],0))</f>
        <v>10.516666666666667</v>
      </c>
      <c r="O1442" s="2">
        <f ca="1">INDEX(INDIRECT(_xlfn.CONCAT("weather.tbl[",O$1,"]")),MATCH(vp.data[[#This Row],[SDate]],weather.tbl[Date],0))</f>
        <v>13.452380952380953</v>
      </c>
      <c r="P1442" s="2">
        <f ca="1">INDEX(INDIRECT(_xlfn.CONCAT("weather.tbl[",P$1,"]")),MATCH(vp.data[[#This Row],[SDate]],weather.tbl[Date],0))</f>
        <v>11</v>
      </c>
      <c r="Q1442" s="2">
        <f ca="1">INDEX(INDIRECT(_xlfn.CONCAT("weather.tbl[",Q$1,"]")),MATCH(vp.data[[#This Row],[SDate]],weather.tbl[Date],0))</f>
        <v>9.1</v>
      </c>
      <c r="R1442" s="2">
        <f ca="1">INDEX(INDIRECT(_xlfn.CONCAT("weather.tbl[",R$1,"]")),MATCH(vp.data[[#This Row],[SDate]],weather.tbl[Date],0))</f>
        <v>12.3</v>
      </c>
      <c r="S1442" s="2">
        <f ca="1">INDEX(INDIRECT(_xlfn.CONCAT("weather.tbl[",S$1,"]")),MATCH(vp.data[[#This Row],[SDate]],weather.tbl[Date],0))</f>
        <v>8.5</v>
      </c>
      <c r="T1442" s="2">
        <f ca="1">INDEX(INDIRECT(_xlfn.CONCAT("weather.tbl[",T$1,"]")),MATCH(vp.data[[#This Row],[SDate]],weather.tbl[Date],0))</f>
        <v>11.7</v>
      </c>
      <c r="U1442" s="2">
        <f ca="1">INDEX(INDIRECT(_xlfn.CONCAT("weather.tbl[",U$1,"]")),MATCH(vp.data[[#This Row],[SDate]],weather.tbl[Date],0))</f>
        <v>10.5</v>
      </c>
      <c r="V1442" s="2">
        <f t="array" ref="V14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19932.741000000002</v>
      </c>
      <c r="W1442" t="s">
        <v>48</v>
      </c>
      <c r="X1442">
        <f>IF(OR(vp.data[[#This Row],[Sulf]]="",vp.data[[#This Row],[Dens]]=""),1,0)</f>
        <v>0</v>
      </c>
      <c r="Y1442">
        <f>IF(vp.data[[#This Row],[CrudeType]]="C5+",1,0)</f>
        <v>0</v>
      </c>
      <c r="Z1442">
        <f>IF(AND(vp.data[[#This Row],[CrudeType]]="Crude",vp.data[[#This Row],[Dens]]&lt;=825,vp.data[[#This Row],[Sulf]]&gt;0.5,vp.data[[#This Row],[Unknown]]=0),1,0)</f>
        <v>1</v>
      </c>
      <c r="AA1442">
        <f>IF(AND(vp.data[[#This Row],[CrudeType]]="Crude",vp.data[[#This Row],[Dens]]&lt;=825,vp.data[[#This Row],[Sulf]]&lt;=0.5,vp.data[[#This Row],[Unknown]]=0),1,0)</f>
        <v>0</v>
      </c>
      <c r="AB14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42">
        <f>IF(AND(vp.data[[#This Row],[CrudeType]]="Crude",vp.data[[#This Row],[Dens]]&gt;825,vp.data[[#This Row],[Dens]]&lt;=900,vp.data[[#This Row],[Sulf]]&lt;=0.5,vp.data[[#This Row],[Unknown]]=0),1,0)</f>
        <v>0</v>
      </c>
      <c r="AD1442">
        <f>IF(AND(vp.data[[#This Row],[CrudeType]]="Crude",vp.data[[#This Row],[Dens]]&gt;865,vp.data[[#This Row],[Dens]]&lt;=900,vp.data[[#This Row],[Sulf]]&gt;2,vp.data[[#This Row],[Unknown]]=0),1,0)</f>
        <v>0</v>
      </c>
      <c r="AE1442">
        <f>IF(AND(vp.data[[#This Row],[CrudeType]]="Crude",vp.data[[#This Row],[Dens]]&gt;900,vp.data[[#This Row],[Sulf]]&lt;=0.5,vp.data[[#This Row],[Unknown]]=0),1,0)</f>
        <v>0</v>
      </c>
      <c r="AF1442">
        <f>IF(AND(vp.data[[#This Row],[CrudeType]]="Crude",vp.data[[#This Row],[Dens]]&gt;900,vp.data[[#This Row],[Sulf]]&lt;=0.5,vp.data[[#This Row],[Unknown]]=0),1,0)</f>
        <v>0</v>
      </c>
      <c r="AG1442" t="str">
        <f>INDEX(vp.data[[#Headers],[Unknown]:[Heavy_SW]],MATCH(1,vp.data[[#This Row],[Unknown]:[Heavy_SW]],0))</f>
        <v>Light_LSB</v>
      </c>
      <c r="AH1442">
        <f>INDEX([3]!crudeBD.lkup[Number],MATCH(vp.data[[#This Row],[Crude_Breakdown]],crudeBD.lkup[Crude Breakdown],0))</f>
        <v>1</v>
      </c>
      <c r="AI1442">
        <f>MONTH(vp.data[[#This Row],[SDate]])</f>
        <v>5</v>
      </c>
      <c r="AJ1442" s="5">
        <f>(vp.data[[#This Row],[VP]]-INDEX(crudeBD.lkup[Mean_VP],MATCH(vp.data[[#This Row],[Crude_Breakdown]],crudeBD.lkup[Crude Breakdown],0)))^2</f>
        <v>318.48633929216805</v>
      </c>
      <c r="AK1442" s="5">
        <f>(vp.data[[#This Row],[Dens]]-INDEX(crudeBD.lkup[Mean_Dens],MATCH(vp.data[[#This Row],[Crude_Breakdown]],crudeBD.lkup[Crude Breakdown],0)))^2</f>
        <v>27.912521774663034</v>
      </c>
      <c r="AL1442" s="5">
        <f>(vp.data[[#This Row],[Sulf]]-INDEX(crudeBD.lkup[Mean_Sulf],MATCH(vp.data[[#This Row],[Crude_Breakdown]],crudeBD.lkup[Crude Breakdown],0)))^2</f>
        <v>0.15442633918177728</v>
      </c>
      <c r="AM1442" s="4">
        <f>IF(AND(vp.data[[#This Row],[SDate]]&gt;=DATE(YEAR(vp.data[[#This Row],[SDate]]),5,1),vp.data[[#This Row],[SDate]]&lt;=DATE(YEAR(vp.data[[#This Row],[SDate]]),9,15)),1,0)</f>
        <v>1</v>
      </c>
      <c r="AN1442" s="4">
        <f>IF(vp.data[[#This Row],[SDate]]&lt;DATE(2016,12,1),0,1)</f>
        <v>1</v>
      </c>
      <c r="AO1442" s="4">
        <f>IFERROR(vp.data[[#This Row],[Sulf]]*vp.data[[#This Row],[Net Dens]],"")</f>
        <v>8702913.7789740004</v>
      </c>
      <c r="AP1442">
        <f>IFERROR(vp.data[[#This Row],[Dens]]*vp.data[[#This Row],[VolumeM3]],"")</f>
        <v>16420592.035800001</v>
      </c>
      <c r="AQ1442" s="15">
        <f>IFERROR(vp.data[[#This Row],[VP]]*vp.data[[#This Row],[VolumeM3]],"")</f>
        <v>1469043.0117000001</v>
      </c>
    </row>
    <row r="1443" spans="1:43" x14ac:dyDescent="0.25">
      <c r="A1443">
        <v>1442</v>
      </c>
      <c r="B1443" t="s">
        <v>96</v>
      </c>
      <c r="C1443" t="s">
        <v>96</v>
      </c>
      <c r="D1443" t="s">
        <v>97</v>
      </c>
      <c r="F1443" s="1">
        <v>42863</v>
      </c>
      <c r="G1443" s="2">
        <v>77.599999999999994</v>
      </c>
      <c r="H1443" s="2"/>
      <c r="I1443" s="2">
        <f t="array" ref="I1443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443" s="2"/>
      <c r="K1443" s="2"/>
      <c r="L1443" s="2">
        <v>819.2</v>
      </c>
      <c r="M1443" s="2">
        <f t="array" ref="M1443">_xlfn.IFNA(IF(vp.data[[#This Row],[Dens Input]]="",INDEX([1]DATA!$O$3:$O$9826,MATCH(1,(vp.data[[#This Row],[Battery]]=[1]DATA!$L$3:$L$9826)*(EOMONTH(vp.data[[#This Row],[SDate]],-1)+1=[1]DATA!$G$3:$G$9826),0)),vp.data[[#This Row],[Dens Input]]),"")</f>
        <v>819.2</v>
      </c>
      <c r="N1443" s="2">
        <f ca="1">INDEX(INDIRECT(_xlfn.CONCAT("weather.tbl[",N$1,"]")),MATCH(vp.data[[#This Row],[SDate]],weather.tbl[Date],0))</f>
        <v>10.516666666666667</v>
      </c>
      <c r="O1443" s="2">
        <f ca="1">INDEX(INDIRECT(_xlfn.CONCAT("weather.tbl[",O$1,"]")),MATCH(vp.data[[#This Row],[SDate]],weather.tbl[Date],0))</f>
        <v>13.452380952380953</v>
      </c>
      <c r="P1443" s="2">
        <f ca="1">INDEX(INDIRECT(_xlfn.CONCAT("weather.tbl[",P$1,"]")),MATCH(vp.data[[#This Row],[SDate]],weather.tbl[Date],0))</f>
        <v>11</v>
      </c>
      <c r="Q1443" s="2">
        <f ca="1">INDEX(INDIRECT(_xlfn.CONCAT("weather.tbl[",Q$1,"]")),MATCH(vp.data[[#This Row],[SDate]],weather.tbl[Date],0))</f>
        <v>9.1</v>
      </c>
      <c r="R1443" s="2">
        <f ca="1">INDEX(INDIRECT(_xlfn.CONCAT("weather.tbl[",R$1,"]")),MATCH(vp.data[[#This Row],[SDate]],weather.tbl[Date],0))</f>
        <v>12.3</v>
      </c>
      <c r="S1443" s="2">
        <f ca="1">INDEX(INDIRECT(_xlfn.CONCAT("weather.tbl[",S$1,"]")),MATCH(vp.data[[#This Row],[SDate]],weather.tbl[Date],0))</f>
        <v>8.5</v>
      </c>
      <c r="T1443" s="2">
        <f ca="1">INDEX(INDIRECT(_xlfn.CONCAT("weather.tbl[",T$1,"]")),MATCH(vp.data[[#This Row],[SDate]],weather.tbl[Date],0))</f>
        <v>11.7</v>
      </c>
      <c r="U1443" s="2">
        <f ca="1">INDEX(INDIRECT(_xlfn.CONCAT("weather.tbl[",U$1,"]")),MATCH(vp.data[[#This Row],[SDate]],weather.tbl[Date],0))</f>
        <v>10.5</v>
      </c>
      <c r="V1443" s="2">
        <f t="array" ref="V14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7702.1589999999997</v>
      </c>
      <c r="W1443" t="s">
        <v>48</v>
      </c>
      <c r="X1443">
        <f>IF(OR(vp.data[[#This Row],[Sulf]]="",vp.data[[#This Row],[Dens]]=""),1,0)</f>
        <v>0</v>
      </c>
      <c r="Y1443">
        <f>IF(vp.data[[#This Row],[CrudeType]]="C5+",1,0)</f>
        <v>0</v>
      </c>
      <c r="Z1443">
        <f>IF(AND(vp.data[[#This Row],[CrudeType]]="Crude",vp.data[[#This Row],[Dens]]&lt;=825,vp.data[[#This Row],[Sulf]]&gt;0.5,vp.data[[#This Row],[Unknown]]=0),1,0)</f>
        <v>1</v>
      </c>
      <c r="AA1443">
        <f>IF(AND(vp.data[[#This Row],[CrudeType]]="Crude",vp.data[[#This Row],[Dens]]&lt;=825,vp.data[[#This Row],[Sulf]]&lt;=0.5,vp.data[[#This Row],[Unknown]]=0),1,0)</f>
        <v>0</v>
      </c>
      <c r="AB14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43">
        <f>IF(AND(vp.data[[#This Row],[CrudeType]]="Crude",vp.data[[#This Row],[Dens]]&gt;825,vp.data[[#This Row],[Dens]]&lt;=900,vp.data[[#This Row],[Sulf]]&lt;=0.5,vp.data[[#This Row],[Unknown]]=0),1,0)</f>
        <v>0</v>
      </c>
      <c r="AD1443">
        <f>IF(AND(vp.data[[#This Row],[CrudeType]]="Crude",vp.data[[#This Row],[Dens]]&gt;865,vp.data[[#This Row],[Dens]]&lt;=900,vp.data[[#This Row],[Sulf]]&gt;2,vp.data[[#This Row],[Unknown]]=0),1,0)</f>
        <v>0</v>
      </c>
      <c r="AE1443">
        <f>IF(AND(vp.data[[#This Row],[CrudeType]]="Crude",vp.data[[#This Row],[Dens]]&gt;900,vp.data[[#This Row],[Sulf]]&lt;=0.5,vp.data[[#This Row],[Unknown]]=0),1,0)</f>
        <v>0</v>
      </c>
      <c r="AF1443">
        <f>IF(AND(vp.data[[#This Row],[CrudeType]]="Crude",vp.data[[#This Row],[Dens]]&gt;900,vp.data[[#This Row],[Sulf]]&lt;=0.5,vp.data[[#This Row],[Unknown]]=0),1,0)</f>
        <v>0</v>
      </c>
      <c r="AG1443" t="str">
        <f>INDEX(vp.data[[#Headers],[Unknown]:[Heavy_SW]],MATCH(1,vp.data[[#This Row],[Unknown]:[Heavy_SW]],0))</f>
        <v>Light_LSB</v>
      </c>
      <c r="AH1443">
        <f>INDEX([3]!crudeBD.lkup[Number],MATCH(vp.data[[#This Row],[Crude_Breakdown]],crudeBD.lkup[Crude Breakdown],0))</f>
        <v>1</v>
      </c>
      <c r="AI1443">
        <f>MONTH(vp.data[[#This Row],[SDate]])</f>
        <v>5</v>
      </c>
      <c r="AJ1443" s="5">
        <f>(vp.data[[#This Row],[VP]]-INDEX(crudeBD.lkup[Mean_VP],MATCH(vp.data[[#This Row],[Crude_Breakdown]],crudeBD.lkup[Crude Breakdown],0)))^2</f>
        <v>194.49609186948769</v>
      </c>
      <c r="AK1443" s="5">
        <f>(vp.data[[#This Row],[Dens]]-INDEX(crudeBD.lkup[Mean_Dens],MATCH(vp.data[[#This Row],[Crude_Breakdown]],crudeBD.lkup[Crude Breakdown],0)))^2</f>
        <v>0.46680356160226744</v>
      </c>
      <c r="AL1443" s="5">
        <f>(vp.data[[#This Row],[Sulf]]-INDEX(crudeBD.lkup[Mean_Sulf],MATCH(vp.data[[#This Row],[Crude_Breakdown]],crudeBD.lkup[Crude Breakdown],0)))^2</f>
        <v>3.7237871827825515E-2</v>
      </c>
      <c r="AM1443" s="4">
        <f>IF(AND(vp.data[[#This Row],[SDate]]&gt;=DATE(YEAR(vp.data[[#This Row],[SDate]]),5,1),vp.data[[#This Row],[SDate]]&lt;=DATE(YEAR(vp.data[[#This Row],[SDate]]),9,15)),1,0)</f>
        <v>1</v>
      </c>
      <c r="AN1443" s="4">
        <f>IF(vp.data[[#This Row],[SDate]]&lt;DATE(2016,12,1),0,1)</f>
        <v>1</v>
      </c>
      <c r="AO1443" s="4">
        <f>IFERROR(vp.data[[#This Row],[Sulf]]*vp.data[[#This Row],[Net Dens]],"")</f>
        <v>4606014.3165440001</v>
      </c>
      <c r="AP1443">
        <f>IFERROR(vp.data[[#This Row],[Dens]]*vp.data[[#This Row],[VolumeM3]],"")</f>
        <v>6309608.6528000003</v>
      </c>
      <c r="AQ1443" s="15">
        <f>IFERROR(vp.data[[#This Row],[VP]]*vp.data[[#This Row],[VolumeM3]],"")</f>
        <v>597687.53839999996</v>
      </c>
    </row>
    <row r="1444" spans="1:43" x14ac:dyDescent="0.25">
      <c r="A1444">
        <v>1443</v>
      </c>
      <c r="B1444" t="s">
        <v>51</v>
      </c>
      <c r="C1444" t="s">
        <v>51</v>
      </c>
      <c r="D1444" t="s">
        <v>66</v>
      </c>
      <c r="F1444" s="1">
        <v>42863</v>
      </c>
      <c r="G1444" s="2">
        <v>89.3</v>
      </c>
      <c r="H1444" s="2"/>
      <c r="I1444" s="2">
        <f t="array" ref="I1444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1444" s="2"/>
      <c r="K1444" s="2"/>
      <c r="L1444" s="2">
        <v>823.8</v>
      </c>
      <c r="M1444" s="2">
        <f t="array" ref="M1444">_xlfn.IFNA(IF(vp.data[[#This Row],[Dens Input]]="",INDEX([1]DATA!$O$3:$O$9826,MATCH(1,(vp.data[[#This Row],[Battery]]=[1]DATA!$L$3:$L$9826)*(EOMONTH(vp.data[[#This Row],[SDate]],-1)+1=[1]DATA!$G$3:$G$9826),0)),vp.data[[#This Row],[Dens Input]]),"")</f>
        <v>823.8</v>
      </c>
      <c r="N1444" s="2">
        <f ca="1">INDEX(INDIRECT(_xlfn.CONCAT("weather.tbl[",N$1,"]")),MATCH(vp.data[[#This Row],[SDate]],weather.tbl[Date],0))</f>
        <v>10.516666666666667</v>
      </c>
      <c r="O1444" s="2">
        <f ca="1">INDEX(INDIRECT(_xlfn.CONCAT("weather.tbl[",O$1,"]")),MATCH(vp.data[[#This Row],[SDate]],weather.tbl[Date],0))</f>
        <v>13.452380952380953</v>
      </c>
      <c r="P1444" s="2">
        <f ca="1">INDEX(INDIRECT(_xlfn.CONCAT("weather.tbl[",P$1,"]")),MATCH(vp.data[[#This Row],[SDate]],weather.tbl[Date],0))</f>
        <v>11</v>
      </c>
      <c r="Q1444" s="2">
        <f ca="1">INDEX(INDIRECT(_xlfn.CONCAT("weather.tbl[",Q$1,"]")),MATCH(vp.data[[#This Row],[SDate]],weather.tbl[Date],0))</f>
        <v>9.1</v>
      </c>
      <c r="R1444" s="2">
        <f ca="1">INDEX(INDIRECT(_xlfn.CONCAT("weather.tbl[",R$1,"]")),MATCH(vp.data[[#This Row],[SDate]],weather.tbl[Date],0))</f>
        <v>12.3</v>
      </c>
      <c r="S1444" s="2">
        <f ca="1">INDEX(INDIRECT(_xlfn.CONCAT("weather.tbl[",S$1,"]")),MATCH(vp.data[[#This Row],[SDate]],weather.tbl[Date],0))</f>
        <v>8.5</v>
      </c>
      <c r="T1444" s="2">
        <f ca="1">INDEX(INDIRECT(_xlfn.CONCAT("weather.tbl[",T$1,"]")),MATCH(vp.data[[#This Row],[SDate]],weather.tbl[Date],0))</f>
        <v>11.7</v>
      </c>
      <c r="U1444" s="2">
        <f ca="1">INDEX(INDIRECT(_xlfn.CONCAT("weather.tbl[",U$1,"]")),MATCH(vp.data[[#This Row],[SDate]],weather.tbl[Date],0))</f>
        <v>10.5</v>
      </c>
      <c r="V1444" s="2">
        <f t="array" ref="V14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5197.7240000000002</v>
      </c>
      <c r="W1444" t="s">
        <v>48</v>
      </c>
      <c r="X1444">
        <f>IF(OR(vp.data[[#This Row],[Sulf]]="",vp.data[[#This Row],[Dens]]=""),1,0)</f>
        <v>0</v>
      </c>
      <c r="Y1444">
        <f>IF(vp.data[[#This Row],[CrudeType]]="C5+",1,0)</f>
        <v>0</v>
      </c>
      <c r="Z1444">
        <f>IF(AND(vp.data[[#This Row],[CrudeType]]="Crude",vp.data[[#This Row],[Dens]]&lt;=825,vp.data[[#This Row],[Sulf]]&gt;0.5,vp.data[[#This Row],[Unknown]]=0),1,0)</f>
        <v>1</v>
      </c>
      <c r="AA1444">
        <f>IF(AND(vp.data[[#This Row],[CrudeType]]="Crude",vp.data[[#This Row],[Dens]]&lt;=825,vp.data[[#This Row],[Sulf]]&lt;=0.5,vp.data[[#This Row],[Unknown]]=0),1,0)</f>
        <v>0</v>
      </c>
      <c r="AB14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44">
        <f>IF(AND(vp.data[[#This Row],[CrudeType]]="Crude",vp.data[[#This Row],[Dens]]&gt;825,vp.data[[#This Row],[Dens]]&lt;=900,vp.data[[#This Row],[Sulf]]&lt;=0.5,vp.data[[#This Row],[Unknown]]=0),1,0)</f>
        <v>0</v>
      </c>
      <c r="AD1444">
        <f>IF(AND(vp.data[[#This Row],[CrudeType]]="Crude",vp.data[[#This Row],[Dens]]&gt;865,vp.data[[#This Row],[Dens]]&lt;=900,vp.data[[#This Row],[Sulf]]&gt;2,vp.data[[#This Row],[Unknown]]=0),1,0)</f>
        <v>0</v>
      </c>
      <c r="AE1444">
        <f>IF(AND(vp.data[[#This Row],[CrudeType]]="Crude",vp.data[[#This Row],[Dens]]&gt;900,vp.data[[#This Row],[Sulf]]&lt;=0.5,vp.data[[#This Row],[Unknown]]=0),1,0)</f>
        <v>0</v>
      </c>
      <c r="AF1444">
        <f>IF(AND(vp.data[[#This Row],[CrudeType]]="Crude",vp.data[[#This Row],[Dens]]&gt;900,vp.data[[#This Row],[Sulf]]&lt;=0.5,vp.data[[#This Row],[Unknown]]=0),1,0)</f>
        <v>0</v>
      </c>
      <c r="AG1444" t="str">
        <f>INDEX(vp.data[[#Headers],[Unknown]:[Heavy_SW]],MATCH(1,vp.data[[#This Row],[Unknown]:[Heavy_SW]],0))</f>
        <v>Light_LSB</v>
      </c>
      <c r="AH1444">
        <f>INDEX([3]!crudeBD.lkup[Number],MATCH(vp.data[[#This Row],[Crude_Breakdown]],crudeBD.lkup[Crude Breakdown],0))</f>
        <v>1</v>
      </c>
      <c r="AI1444">
        <f>MONTH(vp.data[[#This Row],[SDate]])</f>
        <v>5</v>
      </c>
      <c r="AJ1444" s="5">
        <f>(vp.data[[#This Row],[VP]]-INDEX(crudeBD.lkup[Mean_VP],MATCH(vp.data[[#This Row],[Crude_Breakdown]],crudeBD.lkup[Crude Breakdown],0)))^2</f>
        <v>5.0453496014455768</v>
      </c>
      <c r="AK1444" s="5">
        <f>(vp.data[[#This Row],[Dens]]-INDEX(crudeBD.lkup[Mean_Dens],MATCH(vp.data[[#This Row],[Crude_Breakdown]],crudeBD.lkup[Crude Breakdown],0)))^2</f>
        <v>27.912521774663034</v>
      </c>
      <c r="AL1444" s="5">
        <f>(vp.data[[#This Row],[Sulf]]-INDEX(crudeBD.lkup[Mean_Sulf],MATCH(vp.data[[#This Row],[Crude_Breakdown]],crudeBD.lkup[Crude Breakdown],0)))^2</f>
        <v>0.75173899485188111</v>
      </c>
      <c r="AM1444" s="4">
        <f>IF(AND(vp.data[[#This Row],[SDate]]&gt;=DATE(YEAR(vp.data[[#This Row],[SDate]]),5,1),vp.data[[#This Row],[SDate]]&lt;=DATE(YEAR(vp.data[[#This Row],[SDate]]),9,15)),1,0)</f>
        <v>1</v>
      </c>
      <c r="AN1444" s="4">
        <f>IF(vp.data[[#This Row],[SDate]]&lt;DATE(2016,12,1),0,1)</f>
        <v>1</v>
      </c>
      <c r="AO1444" s="4">
        <f>IFERROR(vp.data[[#This Row],[Sulf]]*vp.data[[#This Row],[Net Dens]],"")</f>
        <v>7664574.205848</v>
      </c>
      <c r="AP1444">
        <f>IFERROR(vp.data[[#This Row],[Dens]]*vp.data[[#This Row],[VolumeM3]],"")</f>
        <v>4281885.0312000001</v>
      </c>
      <c r="AQ1444" s="15">
        <f>IFERROR(vp.data[[#This Row],[VP]]*vp.data[[#This Row],[VolumeM3]],"")</f>
        <v>464156.75319999998</v>
      </c>
    </row>
    <row r="1445" spans="1:43" x14ac:dyDescent="0.25">
      <c r="A1445">
        <v>1444</v>
      </c>
      <c r="B1445" t="s">
        <v>291</v>
      </c>
      <c r="C1445" t="s">
        <v>291</v>
      </c>
      <c r="D1445" t="s">
        <v>109</v>
      </c>
      <c r="F1445" s="1">
        <v>42863</v>
      </c>
      <c r="G1445" s="2">
        <v>84.6</v>
      </c>
      <c r="H1445" s="2"/>
      <c r="I1445" s="2">
        <f t="array" ref="I1445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1445" s="2"/>
      <c r="K1445" s="2"/>
      <c r="L1445" s="2">
        <v>833.5</v>
      </c>
      <c r="M1445" s="2">
        <f t="array" ref="M1445">_xlfn.IFNA(IF(vp.data[[#This Row],[Dens Input]]="",INDEX([1]DATA!$O$3:$O$9826,MATCH(1,(vp.data[[#This Row],[Battery]]=[1]DATA!$L$3:$L$9826)*(EOMONTH(vp.data[[#This Row],[SDate]],-1)+1=[1]DATA!$G$3:$G$9826),0)),vp.data[[#This Row],[Dens Input]]),"")</f>
        <v>833.5</v>
      </c>
      <c r="N1445" s="2">
        <f ca="1">INDEX(INDIRECT(_xlfn.CONCAT("weather.tbl[",N$1,"]")),MATCH(vp.data[[#This Row],[SDate]],weather.tbl[Date],0))</f>
        <v>10.516666666666667</v>
      </c>
      <c r="O1445" s="2">
        <f ca="1">INDEX(INDIRECT(_xlfn.CONCAT("weather.tbl[",O$1,"]")),MATCH(vp.data[[#This Row],[SDate]],weather.tbl[Date],0))</f>
        <v>13.452380952380953</v>
      </c>
      <c r="P1445" s="2">
        <f ca="1">INDEX(INDIRECT(_xlfn.CONCAT("weather.tbl[",P$1,"]")),MATCH(vp.data[[#This Row],[SDate]],weather.tbl[Date],0))</f>
        <v>11</v>
      </c>
      <c r="Q1445" s="2">
        <f ca="1">INDEX(INDIRECT(_xlfn.CONCAT("weather.tbl[",Q$1,"]")),MATCH(vp.data[[#This Row],[SDate]],weather.tbl[Date],0))</f>
        <v>9.1</v>
      </c>
      <c r="R1445" s="2">
        <f ca="1">INDEX(INDIRECT(_xlfn.CONCAT("weather.tbl[",R$1,"]")),MATCH(vp.data[[#This Row],[SDate]],weather.tbl[Date],0))</f>
        <v>12.3</v>
      </c>
      <c r="S1445" s="2">
        <f ca="1">INDEX(INDIRECT(_xlfn.CONCAT("weather.tbl[",S$1,"]")),MATCH(vp.data[[#This Row],[SDate]],weather.tbl[Date],0))</f>
        <v>8.5</v>
      </c>
      <c r="T1445" s="2">
        <f ca="1">INDEX(INDIRECT(_xlfn.CONCAT("weather.tbl[",T$1,"]")),MATCH(vp.data[[#This Row],[SDate]],weather.tbl[Date],0))</f>
        <v>11.7</v>
      </c>
      <c r="U1445" s="2">
        <f ca="1">INDEX(INDIRECT(_xlfn.CONCAT("weather.tbl[",U$1,"]")),MATCH(vp.data[[#This Row],[SDate]],weather.tbl[Date],0))</f>
        <v>10.5</v>
      </c>
      <c r="V1445" s="2">
        <f t="array" ref="V14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13057.414000000001</v>
      </c>
      <c r="W1445" t="s">
        <v>48</v>
      </c>
      <c r="X1445">
        <f>IF(OR(vp.data[[#This Row],[Sulf]]="",vp.data[[#This Row],[Dens]]=""),1,0)</f>
        <v>0</v>
      </c>
      <c r="Y1445">
        <f>IF(vp.data[[#This Row],[CrudeType]]="C5+",1,0)</f>
        <v>0</v>
      </c>
      <c r="Z1445">
        <f>IF(AND(vp.data[[#This Row],[CrudeType]]="Crude",vp.data[[#This Row],[Dens]]&lt;=825,vp.data[[#This Row],[Sulf]]&gt;0.5,vp.data[[#This Row],[Unknown]]=0),1,0)</f>
        <v>0</v>
      </c>
      <c r="AA1445">
        <f>IF(AND(vp.data[[#This Row],[CrudeType]]="Crude",vp.data[[#This Row],[Dens]]&lt;=825,vp.data[[#This Row],[Sulf]]&lt;=0.5,vp.data[[#This Row],[Unknown]]=0),1,0)</f>
        <v>0</v>
      </c>
      <c r="AB14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5">
        <f>IF(AND(vp.data[[#This Row],[CrudeType]]="Crude",vp.data[[#This Row],[Dens]]&gt;825,vp.data[[#This Row],[Dens]]&lt;=900,vp.data[[#This Row],[Sulf]]&lt;=0.5,vp.data[[#This Row],[Unknown]]=0),1,0)</f>
        <v>0</v>
      </c>
      <c r="AD1445">
        <f>IF(AND(vp.data[[#This Row],[CrudeType]]="Crude",vp.data[[#This Row],[Dens]]&gt;865,vp.data[[#This Row],[Dens]]&lt;=900,vp.data[[#This Row],[Sulf]]&gt;2,vp.data[[#This Row],[Unknown]]=0),1,0)</f>
        <v>0</v>
      </c>
      <c r="AE1445">
        <f>IF(AND(vp.data[[#This Row],[CrudeType]]="Crude",vp.data[[#This Row],[Dens]]&gt;900,vp.data[[#This Row],[Sulf]]&lt;=0.5,vp.data[[#This Row],[Unknown]]=0),1,0)</f>
        <v>0</v>
      </c>
      <c r="AF1445">
        <f>IF(AND(vp.data[[#This Row],[CrudeType]]="Crude",vp.data[[#This Row],[Dens]]&gt;900,vp.data[[#This Row],[Sulf]]&lt;=0.5,vp.data[[#This Row],[Unknown]]=0),1,0)</f>
        <v>0</v>
      </c>
      <c r="AG1445" t="str">
        <f>INDEX(vp.data[[#Headers],[Unknown]:[Heavy_SW]],MATCH(1,vp.data[[#This Row],[Unknown]:[Heavy_SW]],0))</f>
        <v>Medium_LSB</v>
      </c>
      <c r="AH1445">
        <f>INDEX([3]!crudeBD.lkup[Number],MATCH(vp.data[[#This Row],[Crude_Breakdown]],crudeBD.lkup[Crude Breakdown],0))</f>
        <v>3</v>
      </c>
      <c r="AI1445">
        <f>MONTH(vp.data[[#This Row],[SDate]])</f>
        <v>5</v>
      </c>
      <c r="AJ1445" s="5">
        <f>(vp.data[[#This Row],[VP]]-INDEX(crudeBD.lkup[Mean_VP],MATCH(vp.data[[#This Row],[Crude_Breakdown]],crudeBD.lkup[Crude Breakdown],0)))^2</f>
        <v>15.684161829687897</v>
      </c>
      <c r="AK1445" s="5">
        <f>(vp.data[[#This Row],[Dens]]-INDEX(crudeBD.lkup[Mean_Dens],MATCH(vp.data[[#This Row],[Crude_Breakdown]],crudeBD.lkup[Crude Breakdown],0)))^2</f>
        <v>108.57639999998968</v>
      </c>
      <c r="AL1445" s="5">
        <f>(vp.data[[#This Row],[Sulf]]-INDEX(crudeBD.lkup[Mean_Sulf],MATCH(vp.data[[#This Row],[Crude_Breakdown]],crudeBD.lkup[Crude Breakdown],0)))^2</f>
        <v>0.378727162389495</v>
      </c>
      <c r="AM1445" s="4">
        <f>IF(AND(vp.data[[#This Row],[SDate]]&gt;=DATE(YEAR(vp.data[[#This Row],[SDate]]),5,1),vp.data[[#This Row],[SDate]]&lt;=DATE(YEAR(vp.data[[#This Row],[SDate]]),9,15)),1,0)</f>
        <v>1</v>
      </c>
      <c r="AN1445" s="4">
        <f>IF(vp.data[[#This Row],[SDate]]&lt;DATE(2016,12,1),0,1)</f>
        <v>1</v>
      </c>
      <c r="AO1445" s="4">
        <f>IFERROR(vp.data[[#This Row],[Sulf]]*vp.data[[#This Row],[Net Dens]],"")</f>
        <v>8380183.0181300007</v>
      </c>
      <c r="AP1445">
        <f>IFERROR(vp.data[[#This Row],[Dens]]*vp.data[[#This Row],[VolumeM3]],"")</f>
        <v>10883354.569</v>
      </c>
      <c r="AQ1445" s="15">
        <f>IFERROR(vp.data[[#This Row],[VP]]*vp.data[[#This Row],[VolumeM3]],"")</f>
        <v>1104657.2243999999</v>
      </c>
    </row>
    <row r="1446" spans="1:43" x14ac:dyDescent="0.25">
      <c r="A1446">
        <v>1445</v>
      </c>
      <c r="B1446" t="s">
        <v>68</v>
      </c>
      <c r="C1446" t="s">
        <v>68</v>
      </c>
      <c r="D1446" t="s">
        <v>69</v>
      </c>
      <c r="F1446" s="1">
        <v>42863</v>
      </c>
      <c r="G1446" s="2">
        <v>69.599999999999994</v>
      </c>
      <c r="H1446" s="2"/>
      <c r="I1446" s="2">
        <f t="array" ref="I1446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1446" s="2"/>
      <c r="K1446" s="2"/>
      <c r="L1446" s="2">
        <v>863</v>
      </c>
      <c r="M1446" s="2">
        <f t="array" ref="M1446">_xlfn.IFNA(IF(vp.data[[#This Row],[Dens Input]]="",INDEX([1]DATA!$O$3:$O$9826,MATCH(1,(vp.data[[#This Row],[Battery]]=[1]DATA!$L$3:$L$9826)*(EOMONTH(vp.data[[#This Row],[SDate]],-1)+1=[1]DATA!$G$3:$G$9826),0)),vp.data[[#This Row],[Dens Input]]),"")</f>
        <v>863</v>
      </c>
      <c r="N1446" s="2">
        <f ca="1">INDEX(INDIRECT(_xlfn.CONCAT("weather.tbl[",N$1,"]")),MATCH(vp.data[[#This Row],[SDate]],weather.tbl[Date],0))</f>
        <v>10.516666666666667</v>
      </c>
      <c r="O1446" s="2">
        <f ca="1">INDEX(INDIRECT(_xlfn.CONCAT("weather.tbl[",O$1,"]")),MATCH(vp.data[[#This Row],[SDate]],weather.tbl[Date],0))</f>
        <v>13.452380952380953</v>
      </c>
      <c r="P1446" s="2">
        <f ca="1">INDEX(INDIRECT(_xlfn.CONCAT("weather.tbl[",P$1,"]")),MATCH(vp.data[[#This Row],[SDate]],weather.tbl[Date],0))</f>
        <v>11</v>
      </c>
      <c r="Q1446" s="2">
        <f ca="1">INDEX(INDIRECT(_xlfn.CONCAT("weather.tbl[",Q$1,"]")),MATCH(vp.data[[#This Row],[SDate]],weather.tbl[Date],0))</f>
        <v>9.1</v>
      </c>
      <c r="R1446" s="2">
        <f ca="1">INDEX(INDIRECT(_xlfn.CONCAT("weather.tbl[",R$1,"]")),MATCH(vp.data[[#This Row],[SDate]],weather.tbl[Date],0))</f>
        <v>12.3</v>
      </c>
      <c r="S1446" s="2">
        <f ca="1">INDEX(INDIRECT(_xlfn.CONCAT("weather.tbl[",S$1,"]")),MATCH(vp.data[[#This Row],[SDate]],weather.tbl[Date],0))</f>
        <v>8.5</v>
      </c>
      <c r="T1446" s="2">
        <f ca="1">INDEX(INDIRECT(_xlfn.CONCAT("weather.tbl[",T$1,"]")),MATCH(vp.data[[#This Row],[SDate]],weather.tbl[Date],0))</f>
        <v>11.7</v>
      </c>
      <c r="U1446" s="2">
        <f ca="1">INDEX(INDIRECT(_xlfn.CONCAT("weather.tbl[",U$1,"]")),MATCH(vp.data[[#This Row],[SDate]],weather.tbl[Date],0))</f>
        <v>10.5</v>
      </c>
      <c r="V1446" s="2">
        <f t="array" ref="V14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1702.229</v>
      </c>
      <c r="W1446" t="s">
        <v>48</v>
      </c>
      <c r="X1446">
        <f>IF(OR(vp.data[[#This Row],[Sulf]]="",vp.data[[#This Row],[Dens]]=""),1,0)</f>
        <v>0</v>
      </c>
      <c r="Y1446">
        <f>IF(vp.data[[#This Row],[CrudeType]]="C5+",1,0)</f>
        <v>0</v>
      </c>
      <c r="Z1446">
        <f>IF(AND(vp.data[[#This Row],[CrudeType]]="Crude",vp.data[[#This Row],[Dens]]&lt;=825,vp.data[[#This Row],[Sulf]]&gt;0.5,vp.data[[#This Row],[Unknown]]=0),1,0)</f>
        <v>0</v>
      </c>
      <c r="AA1446">
        <f>IF(AND(vp.data[[#This Row],[CrudeType]]="Crude",vp.data[[#This Row],[Dens]]&lt;=825,vp.data[[#This Row],[Sulf]]&lt;=0.5,vp.data[[#This Row],[Unknown]]=0),1,0)</f>
        <v>0</v>
      </c>
      <c r="AB14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6">
        <f>IF(AND(vp.data[[#This Row],[CrudeType]]="Crude",vp.data[[#This Row],[Dens]]&gt;825,vp.data[[#This Row],[Dens]]&lt;=900,vp.data[[#This Row],[Sulf]]&lt;=0.5,vp.data[[#This Row],[Unknown]]=0),1,0)</f>
        <v>0</v>
      </c>
      <c r="AD1446">
        <f>IF(AND(vp.data[[#This Row],[CrudeType]]="Crude",vp.data[[#This Row],[Dens]]&gt;865,vp.data[[#This Row],[Dens]]&lt;=900,vp.data[[#This Row],[Sulf]]&gt;2,vp.data[[#This Row],[Unknown]]=0),1,0)</f>
        <v>0</v>
      </c>
      <c r="AE1446">
        <f>IF(AND(vp.data[[#This Row],[CrudeType]]="Crude",vp.data[[#This Row],[Dens]]&gt;900,vp.data[[#This Row],[Sulf]]&lt;=0.5,vp.data[[#This Row],[Unknown]]=0),1,0)</f>
        <v>0</v>
      </c>
      <c r="AF1446">
        <f>IF(AND(vp.data[[#This Row],[CrudeType]]="Crude",vp.data[[#This Row],[Dens]]&gt;900,vp.data[[#This Row],[Sulf]]&lt;=0.5,vp.data[[#This Row],[Unknown]]=0),1,0)</f>
        <v>0</v>
      </c>
      <c r="AG1446" t="str">
        <f>INDEX(vp.data[[#Headers],[Unknown]:[Heavy_SW]],MATCH(1,vp.data[[#This Row],[Unknown]:[Heavy_SW]],0))</f>
        <v>Medium_LSB</v>
      </c>
      <c r="AH1446">
        <f>INDEX([3]!crudeBD.lkup[Number],MATCH(vp.data[[#This Row],[Crude_Breakdown]],crudeBD.lkup[Crude Breakdown],0))</f>
        <v>3</v>
      </c>
      <c r="AI1446">
        <f>MONTH(vp.data[[#This Row],[SDate]])</f>
        <v>5</v>
      </c>
      <c r="AJ1446" s="5">
        <f>(vp.data[[#This Row],[VP]]-INDEX(crudeBD.lkup[Mean_VP],MATCH(vp.data[[#This Row],[Crude_Breakdown]],crudeBD.lkup[Crude Breakdown],0)))^2</f>
        <v>121.87445832564279</v>
      </c>
      <c r="AK1446" s="5">
        <f>(vp.data[[#This Row],[Dens]]-INDEX(crudeBD.lkup[Mean_Dens],MATCH(vp.data[[#This Row],[Crude_Breakdown]],crudeBD.lkup[Crude Breakdown],0)))^2</f>
        <v>364.04640000001893</v>
      </c>
      <c r="AL1446" s="5">
        <f>(vp.data[[#This Row],[Sulf]]-INDEX(crudeBD.lkup[Mean_Sulf],MATCH(vp.data[[#This Row],[Crude_Breakdown]],crudeBD.lkup[Crude Breakdown],0)))^2</f>
        <v>5.0441509559303821E-2</v>
      </c>
      <c r="AM1446" s="4">
        <f>IF(AND(vp.data[[#This Row],[SDate]]&gt;=DATE(YEAR(vp.data[[#This Row],[SDate]]),5,1),vp.data[[#This Row],[SDate]]&lt;=DATE(YEAR(vp.data[[#This Row],[SDate]]),9,15)),1,0)</f>
        <v>1</v>
      </c>
      <c r="AN1446" s="4">
        <f>IF(vp.data[[#This Row],[SDate]]&lt;DATE(2016,12,1),0,1)</f>
        <v>1</v>
      </c>
      <c r="AO1446" s="4">
        <f>IFERROR(vp.data[[#This Row],[Sulf]]*vp.data[[#This Row],[Net Dens]],"")</f>
        <v>2365128.0394700002</v>
      </c>
      <c r="AP1446">
        <f>IFERROR(vp.data[[#This Row],[Dens]]*vp.data[[#This Row],[VolumeM3]],"")</f>
        <v>1469023.6270000001</v>
      </c>
      <c r="AQ1446" s="15">
        <f>IFERROR(vp.data[[#This Row],[VP]]*vp.data[[#This Row],[VolumeM3]],"")</f>
        <v>118475.1384</v>
      </c>
    </row>
    <row r="1447" spans="1:43" x14ac:dyDescent="0.25">
      <c r="A1447">
        <v>1446</v>
      </c>
      <c r="B1447" t="s">
        <v>49</v>
      </c>
      <c r="C1447" t="s">
        <v>49</v>
      </c>
      <c r="D1447" t="s">
        <v>89</v>
      </c>
      <c r="F1447" s="1">
        <v>42863</v>
      </c>
      <c r="G1447" s="2">
        <v>84.8</v>
      </c>
      <c r="H1447" s="2"/>
      <c r="I1447" s="2">
        <f t="array" ref="I1447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447" s="2"/>
      <c r="K1447" s="2"/>
      <c r="L1447" s="2"/>
      <c r="M1447" s="2">
        <f t="array" ref="M1447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447" s="2">
        <f ca="1">INDEX(INDIRECT(_xlfn.CONCAT("weather.tbl[",N$1,"]")),MATCH(vp.data[[#This Row],[SDate]],weather.tbl[Date],0))</f>
        <v>10.516666666666667</v>
      </c>
      <c r="O1447" s="2">
        <f ca="1">INDEX(INDIRECT(_xlfn.CONCAT("weather.tbl[",O$1,"]")),MATCH(vp.data[[#This Row],[SDate]],weather.tbl[Date],0))</f>
        <v>13.452380952380953</v>
      </c>
      <c r="P1447" s="2">
        <f ca="1">INDEX(INDIRECT(_xlfn.CONCAT("weather.tbl[",P$1,"]")),MATCH(vp.data[[#This Row],[SDate]],weather.tbl[Date],0))</f>
        <v>11</v>
      </c>
      <c r="Q1447" s="2">
        <f ca="1">INDEX(INDIRECT(_xlfn.CONCAT("weather.tbl[",Q$1,"]")),MATCH(vp.data[[#This Row],[SDate]],weather.tbl[Date],0))</f>
        <v>9.1</v>
      </c>
      <c r="R1447" s="2">
        <f ca="1">INDEX(INDIRECT(_xlfn.CONCAT("weather.tbl[",R$1,"]")),MATCH(vp.data[[#This Row],[SDate]],weather.tbl[Date],0))</f>
        <v>12.3</v>
      </c>
      <c r="S1447" s="2">
        <f ca="1">INDEX(INDIRECT(_xlfn.CONCAT("weather.tbl[",S$1,"]")),MATCH(vp.data[[#This Row],[SDate]],weather.tbl[Date],0))</f>
        <v>8.5</v>
      </c>
      <c r="T1447" s="2">
        <f ca="1">INDEX(INDIRECT(_xlfn.CONCAT("weather.tbl[",T$1,"]")),MATCH(vp.data[[#This Row],[SDate]],weather.tbl[Date],0))</f>
        <v>11.7</v>
      </c>
      <c r="U1447" s="2">
        <f ca="1">INDEX(INDIRECT(_xlfn.CONCAT("weather.tbl[",U$1,"]")),MATCH(vp.data[[#This Row],[SDate]],weather.tbl[Date],0))</f>
        <v>10.5</v>
      </c>
      <c r="V1447" s="2">
        <f t="array" ref="V14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6839.1149999999998</v>
      </c>
      <c r="W1447" t="s">
        <v>48</v>
      </c>
      <c r="X1447">
        <f>IF(OR(vp.data[[#This Row],[Sulf]]="",vp.data[[#This Row],[Dens]]=""),1,0)</f>
        <v>0</v>
      </c>
      <c r="Y1447">
        <f>IF(vp.data[[#This Row],[CrudeType]]="C5+",1,0)</f>
        <v>0</v>
      </c>
      <c r="Z1447">
        <f>IF(AND(vp.data[[#This Row],[CrudeType]]="Crude",vp.data[[#This Row],[Dens]]&lt;=825,vp.data[[#This Row],[Sulf]]&gt;0.5,vp.data[[#This Row],[Unknown]]=0),1,0)</f>
        <v>0</v>
      </c>
      <c r="AA1447">
        <f>IF(AND(vp.data[[#This Row],[CrudeType]]="Crude",vp.data[[#This Row],[Dens]]&lt;=825,vp.data[[#This Row],[Sulf]]&lt;=0.5,vp.data[[#This Row],[Unknown]]=0),1,0)</f>
        <v>0</v>
      </c>
      <c r="AB14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7">
        <f>IF(AND(vp.data[[#This Row],[CrudeType]]="Crude",vp.data[[#This Row],[Dens]]&gt;825,vp.data[[#This Row],[Dens]]&lt;=900,vp.data[[#This Row],[Sulf]]&lt;=0.5,vp.data[[#This Row],[Unknown]]=0),1,0)</f>
        <v>0</v>
      </c>
      <c r="AD1447">
        <f>IF(AND(vp.data[[#This Row],[CrudeType]]="Crude",vp.data[[#This Row],[Dens]]&gt;865,vp.data[[#This Row],[Dens]]&lt;=900,vp.data[[#This Row],[Sulf]]&gt;2,vp.data[[#This Row],[Unknown]]=0),1,0)</f>
        <v>0</v>
      </c>
      <c r="AE1447">
        <f>IF(AND(vp.data[[#This Row],[CrudeType]]="Crude",vp.data[[#This Row],[Dens]]&gt;900,vp.data[[#This Row],[Sulf]]&lt;=0.5,vp.data[[#This Row],[Unknown]]=0),1,0)</f>
        <v>0</v>
      </c>
      <c r="AF1447">
        <f>IF(AND(vp.data[[#This Row],[CrudeType]]="Crude",vp.data[[#This Row],[Dens]]&gt;900,vp.data[[#This Row],[Sulf]]&lt;=0.5,vp.data[[#This Row],[Unknown]]=0),1,0)</f>
        <v>0</v>
      </c>
      <c r="AG1447" t="str">
        <f>INDEX(vp.data[[#Headers],[Unknown]:[Heavy_SW]],MATCH(1,vp.data[[#This Row],[Unknown]:[Heavy_SW]],0))</f>
        <v>Medium_LSB</v>
      </c>
      <c r="AH1447">
        <f>INDEX([3]!crudeBD.lkup[Number],MATCH(vp.data[[#This Row],[Crude_Breakdown]],crudeBD.lkup[Crude Breakdown],0))</f>
        <v>3</v>
      </c>
      <c r="AI1447">
        <f>MONTH(vp.data[[#This Row],[SDate]])</f>
        <v>5</v>
      </c>
      <c r="AJ1447" s="5">
        <f>(vp.data[[#This Row],[VP]]-INDEX(crudeBD.lkup[Mean_VP],MATCH(vp.data[[#This Row],[Crude_Breakdown]],crudeBD.lkup[Crude Breakdown],0)))^2</f>
        <v>17.308291209741856</v>
      </c>
      <c r="AK1447" s="5">
        <f>(vp.data[[#This Row],[Dens]]-INDEX(crudeBD.lkup[Mean_Dens],MATCH(vp.data[[#This Row],[Crude_Breakdown]],crudeBD.lkup[Crude Breakdown],0)))^2</f>
        <v>303.45639999998275</v>
      </c>
      <c r="AL1447" s="5">
        <f>(vp.data[[#This Row],[Sulf]]-INDEX(crudeBD.lkup[Mean_Sulf],MATCH(vp.data[[#This Row],[Crude_Breakdown]],crudeBD.lkup[Crude Breakdown],0)))^2</f>
        <v>0.49760062519272974</v>
      </c>
      <c r="AM1447" s="4">
        <f>IF(AND(vp.data[[#This Row],[SDate]]&gt;=DATE(YEAR(vp.data[[#This Row],[SDate]]),5,1),vp.data[[#This Row],[SDate]]&lt;=DATE(YEAR(vp.data[[#This Row],[SDate]]),9,15)),1,0)</f>
        <v>1</v>
      </c>
      <c r="AN1447" s="4">
        <f>IF(vp.data[[#This Row],[SDate]]&lt;DATE(2016,12,1),0,1)</f>
        <v>1</v>
      </c>
      <c r="AO1447" s="4">
        <f>IFERROR(vp.data[[#This Row],[Sulf]]*vp.data[[#This Row],[Net Dens]],"")</f>
        <v>3843719.4123</v>
      </c>
      <c r="AP1447">
        <f>IFERROR(vp.data[[#This Row],[Dens]]*vp.data[[#This Row],[VolumeM3]],"")</f>
        <v>5652528.5474999994</v>
      </c>
      <c r="AQ1447" s="15">
        <f>IFERROR(vp.data[[#This Row],[VP]]*vp.data[[#This Row],[VolumeM3]],"")</f>
        <v>579956.95199999993</v>
      </c>
    </row>
    <row r="1448" spans="1:43" x14ac:dyDescent="0.25">
      <c r="A1448">
        <v>1447</v>
      </c>
      <c r="B1448" t="s">
        <v>49</v>
      </c>
      <c r="C1448" t="s">
        <v>49</v>
      </c>
      <c r="D1448" t="s">
        <v>50</v>
      </c>
      <c r="F1448" s="1">
        <v>42864</v>
      </c>
      <c r="G1448" s="2">
        <v>69.7</v>
      </c>
      <c r="H1448" s="2"/>
      <c r="I1448" s="2">
        <f t="array" ref="I1448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448" s="2"/>
      <c r="K1448" s="2"/>
      <c r="L1448" s="2"/>
      <c r="M1448" s="2">
        <f t="array" ref="M1448">_xlfn.IFNA(IF(vp.data[[#This Row],[Dens Input]]="",INDEX([1]DATA!$O$3:$O$9826,MATCH(1,(vp.data[[#This Row],[Battery]]=[1]DATA!$L$3:$L$9826)*(EOMONTH(vp.data[[#This Row],[SDate]],-1)+1=[1]DATA!$G$3:$G$9826),0)),vp.data[[#This Row],[Dens Input]]),"")</f>
        <v>865</v>
      </c>
      <c r="N1448" s="2">
        <f ca="1">INDEX(INDIRECT(_xlfn.CONCAT("weather.tbl[",N$1,"]")),MATCH(vp.data[[#This Row],[SDate]],weather.tbl[Date],0))</f>
        <v>10.983333333333334</v>
      </c>
      <c r="O1448" s="2">
        <f ca="1">INDEX(INDIRECT(_xlfn.CONCAT("weather.tbl[",O$1,"]")),MATCH(vp.data[[#This Row],[SDate]],weather.tbl[Date],0))</f>
        <v>13.685714285714285</v>
      </c>
      <c r="P1448" s="2">
        <f ca="1">INDEX(INDIRECT(_xlfn.CONCAT("weather.tbl[",P$1,"]")),MATCH(vp.data[[#This Row],[SDate]],weather.tbl[Date],0))</f>
        <v>11.1</v>
      </c>
      <c r="Q1448" s="2">
        <f ca="1">INDEX(INDIRECT(_xlfn.CONCAT("weather.tbl[",Q$1,"]")),MATCH(vp.data[[#This Row],[SDate]],weather.tbl[Date],0))</f>
        <v>10.1</v>
      </c>
      <c r="R1448" s="2">
        <f ca="1">INDEX(INDIRECT(_xlfn.CONCAT("weather.tbl[",R$1,"]")),MATCH(vp.data[[#This Row],[SDate]],weather.tbl[Date],0))</f>
        <v>11.3</v>
      </c>
      <c r="S1448" s="2">
        <f ca="1">INDEX(INDIRECT(_xlfn.CONCAT("weather.tbl[",S$1,"]")),MATCH(vp.data[[#This Row],[SDate]],weather.tbl[Date],0))</f>
        <v>10</v>
      </c>
      <c r="T1448" s="2">
        <f ca="1">INDEX(INDIRECT(_xlfn.CONCAT("weather.tbl[",T$1,"]")),MATCH(vp.data[[#This Row],[SDate]],weather.tbl[Date],0))</f>
        <v>12.6</v>
      </c>
      <c r="U1448" s="2">
        <f ca="1">INDEX(INDIRECT(_xlfn.CONCAT("weather.tbl[",U$1,"]")),MATCH(vp.data[[#This Row],[SDate]],weather.tbl[Date],0))</f>
        <v>10.8</v>
      </c>
      <c r="V1448" s="2">
        <f t="array" ref="V14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5265.8419999999996</v>
      </c>
      <c r="W1448" t="s">
        <v>48</v>
      </c>
      <c r="X1448">
        <f>IF(OR(vp.data[[#This Row],[Sulf]]="",vp.data[[#This Row],[Dens]]=""),1,0)</f>
        <v>0</v>
      </c>
      <c r="Y1448">
        <f>IF(vp.data[[#This Row],[CrudeType]]="C5+",1,0)</f>
        <v>0</v>
      </c>
      <c r="Z1448">
        <f>IF(AND(vp.data[[#This Row],[CrudeType]]="Crude",vp.data[[#This Row],[Dens]]&lt;=825,vp.data[[#This Row],[Sulf]]&gt;0.5,vp.data[[#This Row],[Unknown]]=0),1,0)</f>
        <v>0</v>
      </c>
      <c r="AA1448">
        <f>IF(AND(vp.data[[#This Row],[CrudeType]]="Crude",vp.data[[#This Row],[Dens]]&lt;=825,vp.data[[#This Row],[Sulf]]&lt;=0.5,vp.data[[#This Row],[Unknown]]=0),1,0)</f>
        <v>0</v>
      </c>
      <c r="AB14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48">
        <f>IF(AND(vp.data[[#This Row],[CrudeType]]="Crude",vp.data[[#This Row],[Dens]]&gt;825,vp.data[[#This Row],[Dens]]&lt;=900,vp.data[[#This Row],[Sulf]]&lt;=0.5,vp.data[[#This Row],[Unknown]]=0),1,0)</f>
        <v>0</v>
      </c>
      <c r="AD1448">
        <f>IF(AND(vp.data[[#This Row],[CrudeType]]="Crude",vp.data[[#This Row],[Dens]]&gt;865,vp.data[[#This Row],[Dens]]&lt;=900,vp.data[[#This Row],[Sulf]]&gt;2,vp.data[[#This Row],[Unknown]]=0),1,0)</f>
        <v>0</v>
      </c>
      <c r="AE1448">
        <f>IF(AND(vp.data[[#This Row],[CrudeType]]="Crude",vp.data[[#This Row],[Dens]]&gt;900,vp.data[[#This Row],[Sulf]]&lt;=0.5,vp.data[[#This Row],[Unknown]]=0),1,0)</f>
        <v>0</v>
      </c>
      <c r="AF1448">
        <f>IF(AND(vp.data[[#This Row],[CrudeType]]="Crude",vp.data[[#This Row],[Dens]]&gt;900,vp.data[[#This Row],[Sulf]]&lt;=0.5,vp.data[[#This Row],[Unknown]]=0),1,0)</f>
        <v>0</v>
      </c>
      <c r="AG1448" t="str">
        <f>INDEX(vp.data[[#Headers],[Unknown]:[Heavy_SW]],MATCH(1,vp.data[[#This Row],[Unknown]:[Heavy_SW]],0))</f>
        <v>Medium_LSB</v>
      </c>
      <c r="AH1448">
        <f>INDEX([3]!crudeBD.lkup[Number],MATCH(vp.data[[#This Row],[Crude_Breakdown]],crudeBD.lkup[Crude Breakdown],0))</f>
        <v>3</v>
      </c>
      <c r="AI1448">
        <f>MONTH(vp.data[[#This Row],[SDate]])</f>
        <v>5</v>
      </c>
      <c r="AJ1448" s="5">
        <f>(vp.data[[#This Row],[VP]]-INDEX(crudeBD.lkup[Mean_VP],MATCH(vp.data[[#This Row],[Crude_Breakdown]],crudeBD.lkup[Crude Breakdown],0)))^2</f>
        <v>119.67652301566957</v>
      </c>
      <c r="AK1448" s="5">
        <f>(vp.data[[#This Row],[Dens]]-INDEX(crudeBD.lkup[Mean_Dens],MATCH(vp.data[[#This Row],[Crude_Breakdown]],crudeBD.lkup[Crude Breakdown],0)))^2</f>
        <v>444.36640000002092</v>
      </c>
      <c r="AL1448" s="5">
        <f>(vp.data[[#This Row],[Sulf]]-INDEX(crudeBD.lkup[Mean_Sulf],MATCH(vp.data[[#This Row],[Crude_Breakdown]],crudeBD.lkup[Crude Breakdown],0)))^2</f>
        <v>1.86211098071833</v>
      </c>
      <c r="AM1448" s="4">
        <f>IF(AND(vp.data[[#This Row],[SDate]]&gt;=DATE(YEAR(vp.data[[#This Row],[SDate]]),5,1),vp.data[[#This Row],[SDate]]&lt;=DATE(YEAR(vp.data[[#This Row],[SDate]]),9,15)),1,0)</f>
        <v>1</v>
      </c>
      <c r="AN1448" s="4">
        <f>IF(vp.data[[#This Row],[SDate]]&lt;DATE(2016,12,1),0,1)</f>
        <v>1</v>
      </c>
      <c r="AO1448" s="4">
        <f>IFERROR(vp.data[[#This Row],[Sulf]]*vp.data[[#This Row],[Net Dens]],"")</f>
        <v>12526121.657500001</v>
      </c>
      <c r="AP1448">
        <f>IFERROR(vp.data[[#This Row],[Dens]]*vp.data[[#This Row],[VolumeM3]],"")</f>
        <v>4554953.33</v>
      </c>
      <c r="AQ1448" s="15">
        <f>IFERROR(vp.data[[#This Row],[VP]]*vp.data[[#This Row],[VolumeM3]],"")</f>
        <v>367029.1874</v>
      </c>
    </row>
    <row r="1449" spans="1:43" x14ac:dyDescent="0.25">
      <c r="A1449">
        <v>1448</v>
      </c>
      <c r="B1449" t="s">
        <v>49</v>
      </c>
      <c r="C1449" t="s">
        <v>49</v>
      </c>
      <c r="D1449" t="s">
        <v>78</v>
      </c>
      <c r="F1449" s="1">
        <v>42864</v>
      </c>
      <c r="G1449" s="2">
        <v>70.900000000000006</v>
      </c>
      <c r="H1449" s="2"/>
      <c r="I1449" s="2">
        <f t="array" ref="I1449">_xlfn.IFNA(IF(vp.data[[#This Row],[Sulf Input]]="",INDEX([1]DATA!$Q$3:$Q$9826,MATCH(1,(vp.data[[#This Row],[Battery]]=[1]DATA!$L$3:$L$9826)*(EOMONTH(vp.data[[#This Row],[SDate]],-1)+1=[1]DATA!$G$3:$G$9826),0)),vp.data[[#This Row],[Sulf Input]]),"")</f>
        <v>0.24</v>
      </c>
      <c r="J1449" s="2"/>
      <c r="K1449" s="2"/>
      <c r="L1449" s="2"/>
      <c r="M1449" s="2">
        <f t="array" ref="M1449">_xlfn.IFNA(IF(vp.data[[#This Row],[Dens Input]]="",INDEX([1]DATA!$O$3:$O$9826,MATCH(1,(vp.data[[#This Row],[Battery]]=[1]DATA!$L$3:$L$9826)*(EOMONTH(vp.data[[#This Row],[SDate]],-1)+1=[1]DATA!$G$3:$G$9826),0)),vp.data[[#This Row],[Dens Input]]),"")</f>
        <v>810.9</v>
      </c>
      <c r="N1449" s="2">
        <f ca="1">INDEX(INDIRECT(_xlfn.CONCAT("weather.tbl[",N$1,"]")),MATCH(vp.data[[#This Row],[SDate]],weather.tbl[Date],0))</f>
        <v>10.983333333333334</v>
      </c>
      <c r="O1449" s="2">
        <f ca="1">INDEX(INDIRECT(_xlfn.CONCAT("weather.tbl[",O$1,"]")),MATCH(vp.data[[#This Row],[SDate]],weather.tbl[Date],0))</f>
        <v>13.685714285714285</v>
      </c>
      <c r="P1449" s="2">
        <f ca="1">INDEX(INDIRECT(_xlfn.CONCAT("weather.tbl[",P$1,"]")),MATCH(vp.data[[#This Row],[SDate]],weather.tbl[Date],0))</f>
        <v>11.1</v>
      </c>
      <c r="Q1449" s="2">
        <f ca="1">INDEX(INDIRECT(_xlfn.CONCAT("weather.tbl[",Q$1,"]")),MATCH(vp.data[[#This Row],[SDate]],weather.tbl[Date],0))</f>
        <v>10.1</v>
      </c>
      <c r="R1449" s="2">
        <f ca="1">INDEX(INDIRECT(_xlfn.CONCAT("weather.tbl[",R$1,"]")),MATCH(vp.data[[#This Row],[SDate]],weather.tbl[Date],0))</f>
        <v>11.3</v>
      </c>
      <c r="S1449" s="2">
        <f ca="1">INDEX(INDIRECT(_xlfn.CONCAT("weather.tbl[",S$1,"]")),MATCH(vp.data[[#This Row],[SDate]],weather.tbl[Date],0))</f>
        <v>10</v>
      </c>
      <c r="T1449" s="2">
        <f ca="1">INDEX(INDIRECT(_xlfn.CONCAT("weather.tbl[",T$1,"]")),MATCH(vp.data[[#This Row],[SDate]],weather.tbl[Date],0))</f>
        <v>12.6</v>
      </c>
      <c r="U1449" s="2">
        <f ca="1">INDEX(INDIRECT(_xlfn.CONCAT("weather.tbl[",U$1,"]")),MATCH(vp.data[[#This Row],[SDate]],weather.tbl[Date],0))</f>
        <v>10.8</v>
      </c>
      <c r="V1449" s="2">
        <f t="array" ref="V14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20016.702000000001</v>
      </c>
      <c r="W1449" t="s">
        <v>48</v>
      </c>
      <c r="X1449">
        <f>IF(OR(vp.data[[#This Row],[Sulf]]="",vp.data[[#This Row],[Dens]]=""),1,0)</f>
        <v>0</v>
      </c>
      <c r="Y1449">
        <f>IF(vp.data[[#This Row],[CrudeType]]="C5+",1,0)</f>
        <v>0</v>
      </c>
      <c r="Z1449">
        <f>IF(AND(vp.data[[#This Row],[CrudeType]]="Crude",vp.data[[#This Row],[Dens]]&lt;=825,vp.data[[#This Row],[Sulf]]&gt;0.5,vp.data[[#This Row],[Unknown]]=0),1,0)</f>
        <v>0</v>
      </c>
      <c r="AA1449">
        <f>IF(AND(vp.data[[#This Row],[CrudeType]]="Crude",vp.data[[#This Row],[Dens]]&lt;=825,vp.data[[#This Row],[Sulf]]&lt;=0.5,vp.data[[#This Row],[Unknown]]=0),1,0)</f>
        <v>1</v>
      </c>
      <c r="AB14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49">
        <f>IF(AND(vp.data[[#This Row],[CrudeType]]="Crude",vp.data[[#This Row],[Dens]]&gt;825,vp.data[[#This Row],[Dens]]&lt;=900,vp.data[[#This Row],[Sulf]]&lt;=0.5,vp.data[[#This Row],[Unknown]]=0),1,0)</f>
        <v>0</v>
      </c>
      <c r="AD1449">
        <f>IF(AND(vp.data[[#This Row],[CrudeType]]="Crude",vp.data[[#This Row],[Dens]]&gt;865,vp.data[[#This Row],[Dens]]&lt;=900,vp.data[[#This Row],[Sulf]]&gt;2,vp.data[[#This Row],[Unknown]]=0),1,0)</f>
        <v>0</v>
      </c>
      <c r="AE1449">
        <f>IF(AND(vp.data[[#This Row],[CrudeType]]="Crude",vp.data[[#This Row],[Dens]]&gt;900,vp.data[[#This Row],[Sulf]]&lt;=0.5,vp.data[[#This Row],[Unknown]]=0),1,0)</f>
        <v>0</v>
      </c>
      <c r="AF1449">
        <f>IF(AND(vp.data[[#This Row],[CrudeType]]="Crude",vp.data[[#This Row],[Dens]]&gt;900,vp.data[[#This Row],[Sulf]]&lt;=0.5,vp.data[[#This Row],[Unknown]]=0),1,0)</f>
        <v>0</v>
      </c>
      <c r="AG1449" t="str">
        <f>INDEX(vp.data[[#Headers],[Unknown]:[Heavy_SW]],MATCH(1,vp.data[[#This Row],[Unknown]:[Heavy_SW]],0))</f>
        <v>Light_SW</v>
      </c>
      <c r="AH1449">
        <f>INDEX([3]!crudeBD.lkup[Number],MATCH(vp.data[[#This Row],[Crude_Breakdown]],crudeBD.lkup[Crude Breakdown],0))</f>
        <v>2</v>
      </c>
      <c r="AI1449">
        <f>MONTH(vp.data[[#This Row],[SDate]])</f>
        <v>5</v>
      </c>
      <c r="AJ1449" s="5">
        <f>(vp.data[[#This Row],[VP]]-INDEX(crudeBD.lkup[Mean_VP],MATCH(vp.data[[#This Row],[Crude_Breakdown]],crudeBD.lkup[Crude Breakdown],0)))^2</f>
        <v>468.73607849554901</v>
      </c>
      <c r="AK1449" s="5">
        <f>(vp.data[[#This Row],[Dens]]-INDEX(crudeBD.lkup[Mean_Dens],MATCH(vp.data[[#This Row],[Crude_Breakdown]],crudeBD.lkup[Crude Breakdown],0)))^2</f>
        <v>6.7003412691678106</v>
      </c>
      <c r="AL1449" s="5">
        <f>(vp.data[[#This Row],[Sulf]]-INDEX(crudeBD.lkup[Mean_Sulf],MATCH(vp.data[[#This Row],[Crude_Breakdown]],crudeBD.lkup[Crude Breakdown],0)))^2</f>
        <v>1.4123978195681499E-5</v>
      </c>
      <c r="AM1449" s="4">
        <f>IF(AND(vp.data[[#This Row],[SDate]]&gt;=DATE(YEAR(vp.data[[#This Row],[SDate]]),5,1),vp.data[[#This Row],[SDate]]&lt;=DATE(YEAR(vp.data[[#This Row],[SDate]]),9,15)),1,0)</f>
        <v>1</v>
      </c>
      <c r="AN1449" s="4">
        <f>IF(vp.data[[#This Row],[SDate]]&lt;DATE(2016,12,1),0,1)</f>
        <v>1</v>
      </c>
      <c r="AO1449" s="4">
        <f>IFERROR(vp.data[[#This Row],[Sulf]]*vp.data[[#This Row],[Net Dens]],"")</f>
        <v>3895570.4764320003</v>
      </c>
      <c r="AP1449">
        <f>IFERROR(vp.data[[#This Row],[Dens]]*vp.data[[#This Row],[VolumeM3]],"")</f>
        <v>16231543.651800001</v>
      </c>
      <c r="AQ1449" s="15">
        <f>IFERROR(vp.data[[#This Row],[VP]]*vp.data[[#This Row],[VolumeM3]],"")</f>
        <v>1419184.1718000001</v>
      </c>
    </row>
    <row r="1450" spans="1:43" x14ac:dyDescent="0.25">
      <c r="A1450">
        <v>1449</v>
      </c>
      <c r="B1450" t="s">
        <v>49</v>
      </c>
      <c r="C1450" t="s">
        <v>49</v>
      </c>
      <c r="D1450" t="s">
        <v>92</v>
      </c>
      <c r="F1450" s="1">
        <v>42864</v>
      </c>
      <c r="G1450" s="2">
        <v>69.5</v>
      </c>
      <c r="H1450" s="2"/>
      <c r="I1450" s="2">
        <f t="array" ref="I1450">_xlfn.IFNA(IF(vp.data[[#This Row],[Sulf Input]]="",INDEX([1]DATA!$Q$3:$Q$9826,MATCH(1,(vp.data[[#This Row],[Battery]]=[1]DATA!$L$3:$L$9826)*(EOMONTH(vp.data[[#This Row],[SDate]],-1)+1=[1]DATA!$G$3:$G$9826),0)),vp.data[[#This Row],[Sulf Input]]),"")</f>
        <v>0.64</v>
      </c>
      <c r="J1450" s="2"/>
      <c r="K1450" s="2"/>
      <c r="L1450" s="2"/>
      <c r="M1450" s="2">
        <f t="array" ref="M1450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1450" s="2">
        <f ca="1">INDEX(INDIRECT(_xlfn.CONCAT("weather.tbl[",N$1,"]")),MATCH(vp.data[[#This Row],[SDate]],weather.tbl[Date],0))</f>
        <v>10.983333333333334</v>
      </c>
      <c r="O1450" s="2">
        <f ca="1">INDEX(INDIRECT(_xlfn.CONCAT("weather.tbl[",O$1,"]")),MATCH(vp.data[[#This Row],[SDate]],weather.tbl[Date],0))</f>
        <v>13.685714285714285</v>
      </c>
      <c r="P1450" s="2">
        <f ca="1">INDEX(INDIRECT(_xlfn.CONCAT("weather.tbl[",P$1,"]")),MATCH(vp.data[[#This Row],[SDate]],weather.tbl[Date],0))</f>
        <v>11.1</v>
      </c>
      <c r="Q1450" s="2">
        <f ca="1">INDEX(INDIRECT(_xlfn.CONCAT("weather.tbl[",Q$1,"]")),MATCH(vp.data[[#This Row],[SDate]],weather.tbl[Date],0))</f>
        <v>10.1</v>
      </c>
      <c r="R1450" s="2">
        <f ca="1">INDEX(INDIRECT(_xlfn.CONCAT("weather.tbl[",R$1,"]")),MATCH(vp.data[[#This Row],[SDate]],weather.tbl[Date],0))</f>
        <v>11.3</v>
      </c>
      <c r="S1450" s="2">
        <f ca="1">INDEX(INDIRECT(_xlfn.CONCAT("weather.tbl[",S$1,"]")),MATCH(vp.data[[#This Row],[SDate]],weather.tbl[Date],0))</f>
        <v>10</v>
      </c>
      <c r="T1450" s="2">
        <f ca="1">INDEX(INDIRECT(_xlfn.CONCAT("weather.tbl[",T$1,"]")),MATCH(vp.data[[#This Row],[SDate]],weather.tbl[Date],0))</f>
        <v>12.6</v>
      </c>
      <c r="U1450" s="2">
        <f ca="1">INDEX(INDIRECT(_xlfn.CONCAT("weather.tbl[",U$1,"]")),MATCH(vp.data[[#This Row],[SDate]],weather.tbl[Date],0))</f>
        <v>10.8</v>
      </c>
      <c r="V1450" s="2">
        <f t="array" ref="V14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24656.244999999999</v>
      </c>
      <c r="W1450" t="s">
        <v>48</v>
      </c>
      <c r="X1450">
        <f>IF(OR(vp.data[[#This Row],[Sulf]]="",vp.data[[#This Row],[Dens]]=""),1,0)</f>
        <v>0</v>
      </c>
      <c r="Y1450">
        <f>IF(vp.data[[#This Row],[CrudeType]]="C5+",1,0)</f>
        <v>0</v>
      </c>
      <c r="Z1450">
        <f>IF(AND(vp.data[[#This Row],[CrudeType]]="Crude",vp.data[[#This Row],[Dens]]&lt;=825,vp.data[[#This Row],[Sulf]]&gt;0.5,vp.data[[#This Row],[Unknown]]=0),1,0)</f>
        <v>1</v>
      </c>
      <c r="AA1450">
        <f>IF(AND(vp.data[[#This Row],[CrudeType]]="Crude",vp.data[[#This Row],[Dens]]&lt;=825,vp.data[[#This Row],[Sulf]]&lt;=0.5,vp.data[[#This Row],[Unknown]]=0),1,0)</f>
        <v>0</v>
      </c>
      <c r="AB14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50">
        <f>IF(AND(vp.data[[#This Row],[CrudeType]]="Crude",vp.data[[#This Row],[Dens]]&gt;825,vp.data[[#This Row],[Dens]]&lt;=900,vp.data[[#This Row],[Sulf]]&lt;=0.5,vp.data[[#This Row],[Unknown]]=0),1,0)</f>
        <v>0</v>
      </c>
      <c r="AD1450">
        <f>IF(AND(vp.data[[#This Row],[CrudeType]]="Crude",vp.data[[#This Row],[Dens]]&gt;865,vp.data[[#This Row],[Dens]]&lt;=900,vp.data[[#This Row],[Sulf]]&gt;2,vp.data[[#This Row],[Unknown]]=0),1,0)</f>
        <v>0</v>
      </c>
      <c r="AE1450">
        <f>IF(AND(vp.data[[#This Row],[CrudeType]]="Crude",vp.data[[#This Row],[Dens]]&gt;900,vp.data[[#This Row],[Sulf]]&lt;=0.5,vp.data[[#This Row],[Unknown]]=0),1,0)</f>
        <v>0</v>
      </c>
      <c r="AF1450">
        <f>IF(AND(vp.data[[#This Row],[CrudeType]]="Crude",vp.data[[#This Row],[Dens]]&gt;900,vp.data[[#This Row],[Sulf]]&lt;=0.5,vp.data[[#This Row],[Unknown]]=0),1,0)</f>
        <v>0</v>
      </c>
      <c r="AG1450" t="str">
        <f>INDEX(vp.data[[#Headers],[Unknown]:[Heavy_SW]],MATCH(1,vp.data[[#This Row],[Unknown]:[Heavy_SW]],0))</f>
        <v>Light_LSB</v>
      </c>
      <c r="AH1450">
        <f>INDEX([3]!crudeBD.lkup[Number],MATCH(vp.data[[#This Row],[Crude_Breakdown]],crudeBD.lkup[Crude Breakdown],0))</f>
        <v>1</v>
      </c>
      <c r="AI1450">
        <f>MONTH(vp.data[[#This Row],[SDate]])</f>
        <v>5</v>
      </c>
      <c r="AJ1450" s="5">
        <f>(vp.data[[#This Row],[VP]]-INDEX(crudeBD.lkup[Mean_VP],MATCH(vp.data[[#This Row],[Crude_Breakdown]],crudeBD.lkup[Crude Breakdown],0)))^2</f>
        <v>486.03429805505505</v>
      </c>
      <c r="AK1450" s="5">
        <f>(vp.data[[#This Row],[Dens]]-INDEX(crudeBD.lkup[Mean_Dens],MATCH(vp.data[[#This Row],[Crude_Breakdown]],crudeBD.lkup[Crude Breakdown],0)))^2</f>
        <v>17.499415245453584</v>
      </c>
      <c r="AL1450" s="5">
        <f>(vp.data[[#This Row],[Sulf]]-INDEX(crudeBD.lkup[Mean_Sulf],MATCH(vp.data[[#This Row],[Crude_Breakdown]],crudeBD.lkup[Crude Breakdown],0)))^2</f>
        <v>8.0072682137103807E-2</v>
      </c>
      <c r="AM1450" s="4">
        <f>IF(AND(vp.data[[#This Row],[SDate]]&gt;=DATE(YEAR(vp.data[[#This Row],[SDate]]),5,1),vp.data[[#This Row],[SDate]]&lt;=DATE(YEAR(vp.data[[#This Row],[SDate]]),9,15)),1,0)</f>
        <v>1</v>
      </c>
      <c r="AN1450" s="4">
        <f>IF(vp.data[[#This Row],[SDate]]&lt;DATE(2016,12,1),0,1)</f>
        <v>1</v>
      </c>
      <c r="AO1450" s="4">
        <f>IFERROR(vp.data[[#This Row],[Sulf]]*vp.data[[#This Row],[Net Dens]],"")</f>
        <v>12982203.367360001</v>
      </c>
      <c r="AP1450">
        <f>IFERROR(vp.data[[#This Row],[Dens]]*vp.data[[#This Row],[VolumeM3]],"")</f>
        <v>20284692.761500001</v>
      </c>
      <c r="AQ1450" s="15">
        <f>IFERROR(vp.data[[#This Row],[VP]]*vp.data[[#This Row],[VolumeM3]],"")</f>
        <v>1713609.0274999999</v>
      </c>
    </row>
    <row r="1451" spans="1:43" x14ac:dyDescent="0.25">
      <c r="A1451">
        <v>1450</v>
      </c>
      <c r="B1451" t="s">
        <v>68</v>
      </c>
      <c r="C1451" t="s">
        <v>68</v>
      </c>
      <c r="D1451" t="s">
        <v>110</v>
      </c>
      <c r="F1451" s="1">
        <v>42864</v>
      </c>
      <c r="G1451" s="2">
        <v>62.4</v>
      </c>
      <c r="H1451" s="2"/>
      <c r="I1451" s="2">
        <f t="array" ref="I1451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451" s="2"/>
      <c r="K1451" s="2"/>
      <c r="L1451" s="2"/>
      <c r="M1451" s="2">
        <f t="array" ref="M1451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451" s="2">
        <f ca="1">INDEX(INDIRECT(_xlfn.CONCAT("weather.tbl[",N$1,"]")),MATCH(vp.data[[#This Row],[SDate]],weather.tbl[Date],0))</f>
        <v>10.983333333333334</v>
      </c>
      <c r="O1451" s="2">
        <f ca="1">INDEX(INDIRECT(_xlfn.CONCAT("weather.tbl[",O$1,"]")),MATCH(vp.data[[#This Row],[SDate]],weather.tbl[Date],0))</f>
        <v>13.685714285714285</v>
      </c>
      <c r="P1451" s="2">
        <f ca="1">INDEX(INDIRECT(_xlfn.CONCAT("weather.tbl[",P$1,"]")),MATCH(vp.data[[#This Row],[SDate]],weather.tbl[Date],0))</f>
        <v>11.1</v>
      </c>
      <c r="Q1451" s="2">
        <f ca="1">INDEX(INDIRECT(_xlfn.CONCAT("weather.tbl[",Q$1,"]")),MATCH(vp.data[[#This Row],[SDate]],weather.tbl[Date],0))</f>
        <v>10.1</v>
      </c>
      <c r="R1451" s="2">
        <f ca="1">INDEX(INDIRECT(_xlfn.CONCAT("weather.tbl[",R$1,"]")),MATCH(vp.data[[#This Row],[SDate]],weather.tbl[Date],0))</f>
        <v>11.3</v>
      </c>
      <c r="S1451" s="2">
        <f ca="1">INDEX(INDIRECT(_xlfn.CONCAT("weather.tbl[",S$1,"]")),MATCH(vp.data[[#This Row],[SDate]],weather.tbl[Date],0))</f>
        <v>10</v>
      </c>
      <c r="T1451" s="2">
        <f ca="1">INDEX(INDIRECT(_xlfn.CONCAT("weather.tbl[",T$1,"]")),MATCH(vp.data[[#This Row],[SDate]],weather.tbl[Date],0))</f>
        <v>12.6</v>
      </c>
      <c r="U1451" s="2">
        <f ca="1">INDEX(INDIRECT(_xlfn.CONCAT("weather.tbl[",U$1,"]")),MATCH(vp.data[[#This Row],[SDate]],weather.tbl[Date],0))</f>
        <v>10.8</v>
      </c>
      <c r="V1451" s="2">
        <f t="array" ref="V14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3812.1930000000002</v>
      </c>
      <c r="W1451" t="s">
        <v>48</v>
      </c>
      <c r="X1451">
        <f>IF(OR(vp.data[[#This Row],[Sulf]]="",vp.data[[#This Row],[Dens]]=""),1,0)</f>
        <v>0</v>
      </c>
      <c r="Y1451">
        <f>IF(vp.data[[#This Row],[CrudeType]]="C5+",1,0)</f>
        <v>0</v>
      </c>
      <c r="Z1451">
        <f>IF(AND(vp.data[[#This Row],[CrudeType]]="Crude",vp.data[[#This Row],[Dens]]&lt;=825,vp.data[[#This Row],[Sulf]]&gt;0.5,vp.data[[#This Row],[Unknown]]=0),1,0)</f>
        <v>0</v>
      </c>
      <c r="AA1451">
        <f>IF(AND(vp.data[[#This Row],[CrudeType]]="Crude",vp.data[[#This Row],[Dens]]&lt;=825,vp.data[[#This Row],[Sulf]]&lt;=0.5,vp.data[[#This Row],[Unknown]]=0),1,0)</f>
        <v>0</v>
      </c>
      <c r="AB14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1">
        <f>IF(AND(vp.data[[#This Row],[CrudeType]]="Crude",vp.data[[#This Row],[Dens]]&gt;825,vp.data[[#This Row],[Dens]]&lt;=900,vp.data[[#This Row],[Sulf]]&lt;=0.5,vp.data[[#This Row],[Unknown]]=0),1,0)</f>
        <v>0</v>
      </c>
      <c r="AD1451">
        <f>IF(AND(vp.data[[#This Row],[CrudeType]]="Crude",vp.data[[#This Row],[Dens]]&gt;865,vp.data[[#This Row],[Dens]]&lt;=900,vp.data[[#This Row],[Sulf]]&gt;2,vp.data[[#This Row],[Unknown]]=0),1,0)</f>
        <v>0</v>
      </c>
      <c r="AE1451">
        <f>IF(AND(vp.data[[#This Row],[CrudeType]]="Crude",vp.data[[#This Row],[Dens]]&gt;900,vp.data[[#This Row],[Sulf]]&lt;=0.5,vp.data[[#This Row],[Unknown]]=0),1,0)</f>
        <v>0</v>
      </c>
      <c r="AF1451">
        <f>IF(AND(vp.data[[#This Row],[CrudeType]]="Crude",vp.data[[#This Row],[Dens]]&gt;900,vp.data[[#This Row],[Sulf]]&lt;=0.5,vp.data[[#This Row],[Unknown]]=0),1,0)</f>
        <v>0</v>
      </c>
      <c r="AG1451" t="str">
        <f>INDEX(vp.data[[#Headers],[Unknown]:[Heavy_SW]],MATCH(1,vp.data[[#This Row],[Unknown]:[Heavy_SW]],0))</f>
        <v>Medium_LSB</v>
      </c>
      <c r="AH1451">
        <f>INDEX([3]!crudeBD.lkup[Number],MATCH(vp.data[[#This Row],[Crude_Breakdown]],crudeBD.lkup[Crude Breakdown],0))</f>
        <v>3</v>
      </c>
      <c r="AI1451">
        <f>MONTH(vp.data[[#This Row],[SDate]])</f>
        <v>5</v>
      </c>
      <c r="AJ1451" s="5">
        <f>(vp.data[[#This Row],[VP]]-INDEX(crudeBD.lkup[Mean_VP],MATCH(vp.data[[#This Row],[Crude_Breakdown]],crudeBD.lkup[Crude Breakdown],0)))^2</f>
        <v>332.68580064370099</v>
      </c>
      <c r="AK1451" s="5">
        <f>(vp.data[[#This Row],[Dens]]-INDEX(crudeBD.lkup[Mean_Dens],MATCH(vp.data[[#This Row],[Crude_Breakdown]],crudeBD.lkup[Crude Breakdown],0)))^2</f>
        <v>105.67840000001112</v>
      </c>
      <c r="AL1451" s="5">
        <f>(vp.data[[#This Row],[Sulf]]-INDEX(crudeBD.lkup[Mean_Sulf],MATCH(vp.data[[#This Row],[Crude_Breakdown]],crudeBD.lkup[Crude Breakdown],0)))^2</f>
        <v>4.1721100983878141E-3</v>
      </c>
      <c r="AM1451" s="4">
        <f>IF(AND(vp.data[[#This Row],[SDate]]&gt;=DATE(YEAR(vp.data[[#This Row],[SDate]]),5,1),vp.data[[#This Row],[SDate]]&lt;=DATE(YEAR(vp.data[[#This Row],[SDate]]),9,15)),1,0)</f>
        <v>1</v>
      </c>
      <c r="AN1451" s="4">
        <f>IF(vp.data[[#This Row],[SDate]]&lt;DATE(2016,12,1),0,1)</f>
        <v>1</v>
      </c>
      <c r="AO1451" s="4">
        <f>IFERROR(vp.data[[#This Row],[Sulf]]*vp.data[[#This Row],[Net Dens]],"")</f>
        <v>4721744.12787</v>
      </c>
      <c r="AP1451">
        <f>IFERROR(vp.data[[#This Row],[Dens]]*vp.data[[#This Row],[VolumeM3]],"")</f>
        <v>3256375.2606000002</v>
      </c>
      <c r="AQ1451" s="15">
        <f>IFERROR(vp.data[[#This Row],[VP]]*vp.data[[#This Row],[VolumeM3]],"")</f>
        <v>237880.8432</v>
      </c>
    </row>
    <row r="1452" spans="1:43" x14ac:dyDescent="0.25">
      <c r="A1452">
        <v>1451</v>
      </c>
      <c r="B1452" t="s">
        <v>64</v>
      </c>
      <c r="C1452" t="s">
        <v>64</v>
      </c>
      <c r="D1452" t="s">
        <v>65</v>
      </c>
      <c r="F1452" s="1">
        <v>42864</v>
      </c>
      <c r="G1452" s="2">
        <v>44.1</v>
      </c>
      <c r="H1452" s="2"/>
      <c r="I1452" s="2">
        <f t="array" ref="I1452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1452" s="2"/>
      <c r="K1452" s="2"/>
      <c r="L1452" s="2"/>
      <c r="M1452" s="2">
        <f t="array" ref="M1452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1452" s="2">
        <f ca="1">INDEX(INDIRECT(_xlfn.CONCAT("weather.tbl[",N$1,"]")),MATCH(vp.data[[#This Row],[SDate]],weather.tbl[Date],0))</f>
        <v>10.983333333333334</v>
      </c>
      <c r="O1452" s="2">
        <f ca="1">INDEX(INDIRECT(_xlfn.CONCAT("weather.tbl[",O$1,"]")),MATCH(vp.data[[#This Row],[SDate]],weather.tbl[Date],0))</f>
        <v>13.685714285714285</v>
      </c>
      <c r="P1452" s="2">
        <f ca="1">INDEX(INDIRECT(_xlfn.CONCAT("weather.tbl[",P$1,"]")),MATCH(vp.data[[#This Row],[SDate]],weather.tbl[Date],0))</f>
        <v>11.1</v>
      </c>
      <c r="Q1452" s="2">
        <f ca="1">INDEX(INDIRECT(_xlfn.CONCAT("weather.tbl[",Q$1,"]")),MATCH(vp.data[[#This Row],[SDate]],weather.tbl[Date],0))</f>
        <v>10.1</v>
      </c>
      <c r="R1452" s="2">
        <f ca="1">INDEX(INDIRECT(_xlfn.CONCAT("weather.tbl[",R$1,"]")),MATCH(vp.data[[#This Row],[SDate]],weather.tbl[Date],0))</f>
        <v>11.3</v>
      </c>
      <c r="S1452" s="2">
        <f ca="1">INDEX(INDIRECT(_xlfn.CONCAT("weather.tbl[",S$1,"]")),MATCH(vp.data[[#This Row],[SDate]],weather.tbl[Date],0))</f>
        <v>10</v>
      </c>
      <c r="T1452" s="2">
        <f ca="1">INDEX(INDIRECT(_xlfn.CONCAT("weather.tbl[",T$1,"]")),MATCH(vp.data[[#This Row],[SDate]],weather.tbl[Date],0))</f>
        <v>12.6</v>
      </c>
      <c r="U1452" s="2">
        <f ca="1">INDEX(INDIRECT(_xlfn.CONCAT("weather.tbl[",U$1,"]")),MATCH(vp.data[[#This Row],[SDate]],weather.tbl[Date],0))</f>
        <v>10.8</v>
      </c>
      <c r="V1452" s="2">
        <f t="array" ref="V14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21822.753000000001</v>
      </c>
      <c r="W1452" t="s">
        <v>48</v>
      </c>
      <c r="X1452">
        <f>IF(OR(vp.data[[#This Row],[Sulf]]="",vp.data[[#This Row],[Dens]]=""),1,0)</f>
        <v>0</v>
      </c>
      <c r="Y1452">
        <f>IF(vp.data[[#This Row],[CrudeType]]="C5+",1,0)</f>
        <v>0</v>
      </c>
      <c r="Z1452">
        <f>IF(AND(vp.data[[#This Row],[CrudeType]]="Crude",vp.data[[#This Row],[Dens]]&lt;=825,vp.data[[#This Row],[Sulf]]&gt;0.5,vp.data[[#This Row],[Unknown]]=0),1,0)</f>
        <v>0</v>
      </c>
      <c r="AA1452">
        <f>IF(AND(vp.data[[#This Row],[CrudeType]]="Crude",vp.data[[#This Row],[Dens]]&lt;=825,vp.data[[#This Row],[Sulf]]&lt;=0.5,vp.data[[#This Row],[Unknown]]=0),1,0)</f>
        <v>0</v>
      </c>
      <c r="AB14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52">
        <f>IF(AND(vp.data[[#This Row],[CrudeType]]="Crude",vp.data[[#This Row],[Dens]]&gt;825,vp.data[[#This Row],[Dens]]&lt;=900,vp.data[[#This Row],[Sulf]]&lt;=0.5,vp.data[[#This Row],[Unknown]]=0),1,0)</f>
        <v>0</v>
      </c>
      <c r="AD1452">
        <f>IF(AND(vp.data[[#This Row],[CrudeType]]="Crude",vp.data[[#This Row],[Dens]]&gt;865,vp.data[[#This Row],[Dens]]&lt;=900,vp.data[[#This Row],[Sulf]]&gt;2,vp.data[[#This Row],[Unknown]]=0),1,0)</f>
        <v>1</v>
      </c>
      <c r="AE1452">
        <f>IF(AND(vp.data[[#This Row],[CrudeType]]="Crude",vp.data[[#This Row],[Dens]]&gt;900,vp.data[[#This Row],[Sulf]]&lt;=0.5,vp.data[[#This Row],[Unknown]]=0),1,0)</f>
        <v>0</v>
      </c>
      <c r="AF1452">
        <f>IF(AND(vp.data[[#This Row],[CrudeType]]="Crude",vp.data[[#This Row],[Dens]]&gt;900,vp.data[[#This Row],[Sulf]]&lt;=0.5,vp.data[[#This Row],[Unknown]]=0),1,0)</f>
        <v>0</v>
      </c>
      <c r="AG1452" t="str">
        <f>INDEX(vp.data[[#Headers],[Unknown]:[Heavy_SW]],MATCH(1,vp.data[[#This Row],[Unknown]:[Heavy_SW]],0))</f>
        <v>Midale</v>
      </c>
      <c r="AH1452">
        <f>INDEX([3]!crudeBD.lkup[Number],MATCH(vp.data[[#This Row],[Crude_Breakdown]],crudeBD.lkup[Crude Breakdown],0))</f>
        <v>5</v>
      </c>
      <c r="AI1452">
        <f>MONTH(vp.data[[#This Row],[SDate]])</f>
        <v>5</v>
      </c>
      <c r="AJ1452" s="5">
        <f>(vp.data[[#This Row],[VP]]-INDEX(crudeBD.lkup[Mean_VP],MATCH(vp.data[[#This Row],[Crude_Breakdown]],crudeBD.lkup[Crude Breakdown],0)))^2</f>
        <v>640.5334788500387</v>
      </c>
      <c r="AK1452" s="5">
        <f>(vp.data[[#This Row],[Dens]]-INDEX(crudeBD.lkup[Mean_Dens],MATCH(vp.data[[#This Row],[Crude_Breakdown]],crudeBD.lkup[Crude Breakdown],0)))^2</f>
        <v>2.8324542990743198</v>
      </c>
      <c r="AL1452" s="5">
        <f>(vp.data[[#This Row],[Sulf]]-INDEX(crudeBD.lkup[Mean_Sulf],MATCH(vp.data[[#This Row],[Crude_Breakdown]],crudeBD.lkup[Crude Breakdown],0)))^2</f>
        <v>0.139588591912434</v>
      </c>
      <c r="AM1452" s="4">
        <f>IF(AND(vp.data[[#This Row],[SDate]]&gt;=DATE(YEAR(vp.data[[#This Row],[SDate]]),5,1),vp.data[[#This Row],[SDate]]&lt;=DATE(YEAR(vp.data[[#This Row],[SDate]]),9,15)),1,0)</f>
        <v>1</v>
      </c>
      <c r="AN1452" s="4">
        <f>IF(vp.data[[#This Row],[SDate]]&lt;DATE(2016,12,1),0,1)</f>
        <v>1</v>
      </c>
      <c r="AO1452" s="4">
        <f>IFERROR(vp.data[[#This Row],[Sulf]]*vp.data[[#This Row],[Net Dens]],"")</f>
        <v>39594221.019314997</v>
      </c>
      <c r="AP1452">
        <f>IFERROR(vp.data[[#This Row],[Dens]]*vp.data[[#This Row],[VolumeM3]],"")</f>
        <v>19127643.004500002</v>
      </c>
      <c r="AQ1452" s="15">
        <f>IFERROR(vp.data[[#This Row],[VP]]*vp.data[[#This Row],[VolumeM3]],"")</f>
        <v>962383.40730000008</v>
      </c>
    </row>
    <row r="1453" spans="1:43" x14ac:dyDescent="0.25">
      <c r="A1453">
        <v>1452</v>
      </c>
      <c r="B1453" t="s">
        <v>51</v>
      </c>
      <c r="C1453" t="s">
        <v>51</v>
      </c>
      <c r="D1453" t="s">
        <v>58</v>
      </c>
      <c r="F1453" s="1">
        <v>42864</v>
      </c>
      <c r="G1453" s="2">
        <v>86.2</v>
      </c>
      <c r="H1453" s="2"/>
      <c r="I1453" s="2">
        <f t="array" ref="I1453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453" s="2"/>
      <c r="K1453" s="2"/>
      <c r="L1453" s="2"/>
      <c r="M1453" s="2">
        <f t="array" ref="M1453">_xlfn.IFNA(IF(vp.data[[#This Row],[Dens Input]]="",INDEX([1]DATA!$O$3:$O$9826,MATCH(1,(vp.data[[#This Row],[Battery]]=[1]DATA!$L$3:$L$9826)*(EOMONTH(vp.data[[#This Row],[SDate]],-1)+1=[1]DATA!$G$3:$G$9826),0)),vp.data[[#This Row],[Dens Input]]),"")</f>
        <v>836.4</v>
      </c>
      <c r="N1453" s="2">
        <f ca="1">INDEX(INDIRECT(_xlfn.CONCAT("weather.tbl[",N$1,"]")),MATCH(vp.data[[#This Row],[SDate]],weather.tbl[Date],0))</f>
        <v>10.983333333333334</v>
      </c>
      <c r="O1453" s="2">
        <f ca="1">INDEX(INDIRECT(_xlfn.CONCAT("weather.tbl[",O$1,"]")),MATCH(vp.data[[#This Row],[SDate]],weather.tbl[Date],0))</f>
        <v>13.685714285714285</v>
      </c>
      <c r="P1453" s="2">
        <f ca="1">INDEX(INDIRECT(_xlfn.CONCAT("weather.tbl[",P$1,"]")),MATCH(vp.data[[#This Row],[SDate]],weather.tbl[Date],0))</f>
        <v>11.1</v>
      </c>
      <c r="Q1453" s="2">
        <f ca="1">INDEX(INDIRECT(_xlfn.CONCAT("weather.tbl[",Q$1,"]")),MATCH(vp.data[[#This Row],[SDate]],weather.tbl[Date],0))</f>
        <v>10.1</v>
      </c>
      <c r="R1453" s="2">
        <f ca="1">INDEX(INDIRECT(_xlfn.CONCAT("weather.tbl[",R$1,"]")),MATCH(vp.data[[#This Row],[SDate]],weather.tbl[Date],0))</f>
        <v>11.3</v>
      </c>
      <c r="S1453" s="2">
        <f ca="1">INDEX(INDIRECT(_xlfn.CONCAT("weather.tbl[",S$1,"]")),MATCH(vp.data[[#This Row],[SDate]],weather.tbl[Date],0))</f>
        <v>10</v>
      </c>
      <c r="T1453" s="2">
        <f ca="1">INDEX(INDIRECT(_xlfn.CONCAT("weather.tbl[",T$1,"]")),MATCH(vp.data[[#This Row],[SDate]],weather.tbl[Date],0))</f>
        <v>12.6</v>
      </c>
      <c r="U1453" s="2">
        <f ca="1">INDEX(INDIRECT(_xlfn.CONCAT("weather.tbl[",U$1,"]")),MATCH(vp.data[[#This Row],[SDate]],weather.tbl[Date],0))</f>
        <v>10.8</v>
      </c>
      <c r="V1453" s="2">
        <f t="array" ref="V14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5887.6930000000002</v>
      </c>
      <c r="W1453" t="s">
        <v>48</v>
      </c>
      <c r="X1453">
        <f>IF(OR(vp.data[[#This Row],[Sulf]]="",vp.data[[#This Row],[Dens]]=""),1,0)</f>
        <v>0</v>
      </c>
      <c r="Y1453">
        <f>IF(vp.data[[#This Row],[CrudeType]]="C5+",1,0)</f>
        <v>0</v>
      </c>
      <c r="Z1453">
        <f>IF(AND(vp.data[[#This Row],[CrudeType]]="Crude",vp.data[[#This Row],[Dens]]&lt;=825,vp.data[[#This Row],[Sulf]]&gt;0.5,vp.data[[#This Row],[Unknown]]=0),1,0)</f>
        <v>0</v>
      </c>
      <c r="AA1453">
        <f>IF(AND(vp.data[[#This Row],[CrudeType]]="Crude",vp.data[[#This Row],[Dens]]&lt;=825,vp.data[[#This Row],[Sulf]]&lt;=0.5,vp.data[[#This Row],[Unknown]]=0),1,0)</f>
        <v>0</v>
      </c>
      <c r="AB14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3">
        <f>IF(AND(vp.data[[#This Row],[CrudeType]]="Crude",vp.data[[#This Row],[Dens]]&gt;825,vp.data[[#This Row],[Dens]]&lt;=900,vp.data[[#This Row],[Sulf]]&lt;=0.5,vp.data[[#This Row],[Unknown]]=0),1,0)</f>
        <v>0</v>
      </c>
      <c r="AD1453">
        <f>IF(AND(vp.data[[#This Row],[CrudeType]]="Crude",vp.data[[#This Row],[Dens]]&gt;865,vp.data[[#This Row],[Dens]]&lt;=900,vp.data[[#This Row],[Sulf]]&gt;2,vp.data[[#This Row],[Unknown]]=0),1,0)</f>
        <v>0</v>
      </c>
      <c r="AE1453">
        <f>IF(AND(vp.data[[#This Row],[CrudeType]]="Crude",vp.data[[#This Row],[Dens]]&gt;900,vp.data[[#This Row],[Sulf]]&lt;=0.5,vp.data[[#This Row],[Unknown]]=0),1,0)</f>
        <v>0</v>
      </c>
      <c r="AF1453">
        <f>IF(AND(vp.data[[#This Row],[CrudeType]]="Crude",vp.data[[#This Row],[Dens]]&gt;900,vp.data[[#This Row],[Sulf]]&lt;=0.5,vp.data[[#This Row],[Unknown]]=0),1,0)</f>
        <v>0</v>
      </c>
      <c r="AG1453" t="str">
        <f>INDEX(vp.data[[#Headers],[Unknown]:[Heavy_SW]],MATCH(1,vp.data[[#This Row],[Unknown]:[Heavy_SW]],0))</f>
        <v>Medium_LSB</v>
      </c>
      <c r="AH1453">
        <f>INDEX([3]!crudeBD.lkup[Number],MATCH(vp.data[[#This Row],[Crude_Breakdown]],crudeBD.lkup[Crude Breakdown],0))</f>
        <v>3</v>
      </c>
      <c r="AI1453">
        <f>MONTH(vp.data[[#This Row],[SDate]])</f>
        <v>5</v>
      </c>
      <c r="AJ1453" s="5">
        <f>(vp.data[[#This Row],[VP]]-INDEX(crudeBD.lkup[Mean_VP],MATCH(vp.data[[#This Row],[Crude_Breakdown]],crudeBD.lkup[Crude Breakdown],0)))^2</f>
        <v>30.917196870119469</v>
      </c>
      <c r="AK1453" s="5">
        <f>(vp.data[[#This Row],[Dens]]-INDEX(crudeBD.lkup[Mean_Dens],MATCH(vp.data[[#This Row],[Crude_Breakdown]],crudeBD.lkup[Crude Breakdown],0)))^2</f>
        <v>56.550399999992884</v>
      </c>
      <c r="AL1453" s="5">
        <f>(vp.data[[#This Row],[Sulf]]-INDEX(crudeBD.lkup[Mean_Sulf],MATCH(vp.data[[#This Row],[Crude_Breakdown]],crudeBD.lkup[Crude Breakdown],0)))^2</f>
        <v>1.5523134896231305E-2</v>
      </c>
      <c r="AM1453" s="4">
        <f>IF(AND(vp.data[[#This Row],[SDate]]&gt;=DATE(YEAR(vp.data[[#This Row],[SDate]]),5,1),vp.data[[#This Row],[SDate]]&lt;=DATE(YEAR(vp.data[[#This Row],[SDate]]),9,15)),1,0)</f>
        <v>1</v>
      </c>
      <c r="AN1453" s="4">
        <f>IF(vp.data[[#This Row],[SDate]]&lt;DATE(2016,12,1),0,1)</f>
        <v>1</v>
      </c>
      <c r="AO1453" s="4">
        <f>IFERROR(vp.data[[#This Row],[Sulf]]*vp.data[[#This Row],[Net Dens]],"")</f>
        <v>7435944.3020520005</v>
      </c>
      <c r="AP1453">
        <f>IFERROR(vp.data[[#This Row],[Dens]]*vp.data[[#This Row],[VolumeM3]],"")</f>
        <v>4924466.4252000004</v>
      </c>
      <c r="AQ1453" s="15">
        <f>IFERROR(vp.data[[#This Row],[VP]]*vp.data[[#This Row],[VolumeM3]],"")</f>
        <v>507519.13660000003</v>
      </c>
    </row>
    <row r="1454" spans="1:43" x14ac:dyDescent="0.25">
      <c r="A1454">
        <v>1453</v>
      </c>
      <c r="B1454" t="s">
        <v>292</v>
      </c>
      <c r="C1454" t="s">
        <v>292</v>
      </c>
      <c r="D1454" t="s">
        <v>57</v>
      </c>
      <c r="F1454" s="1">
        <v>42864</v>
      </c>
      <c r="G1454" s="2">
        <v>79.5</v>
      </c>
      <c r="H1454" s="2"/>
      <c r="I1454" s="2">
        <f t="array" ref="I1454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454" s="2"/>
      <c r="K1454" s="2"/>
      <c r="L1454" s="2"/>
      <c r="M1454" s="2">
        <f t="array" ref="M1454">_xlfn.IFNA(IF(vp.data[[#This Row],[Dens Input]]="",INDEX([1]DATA!$O$3:$O$9826,MATCH(1,(vp.data[[#This Row],[Battery]]=[1]DATA!$L$3:$L$9826)*(EOMONTH(vp.data[[#This Row],[SDate]],-1)+1=[1]DATA!$G$3:$G$9826),0)),vp.data[[#This Row],[Dens Input]]),"")</f>
        <v>851.1</v>
      </c>
      <c r="N1454" s="2">
        <f ca="1">INDEX(INDIRECT(_xlfn.CONCAT("weather.tbl[",N$1,"]")),MATCH(vp.data[[#This Row],[SDate]],weather.tbl[Date],0))</f>
        <v>10.983333333333334</v>
      </c>
      <c r="O1454" s="2">
        <f ca="1">INDEX(INDIRECT(_xlfn.CONCAT("weather.tbl[",O$1,"]")),MATCH(vp.data[[#This Row],[SDate]],weather.tbl[Date],0))</f>
        <v>13.685714285714285</v>
      </c>
      <c r="P1454" s="2">
        <f ca="1">INDEX(INDIRECT(_xlfn.CONCAT("weather.tbl[",P$1,"]")),MATCH(vp.data[[#This Row],[SDate]],weather.tbl[Date],0))</f>
        <v>11.1</v>
      </c>
      <c r="Q1454" s="2">
        <f ca="1">INDEX(INDIRECT(_xlfn.CONCAT("weather.tbl[",Q$1,"]")),MATCH(vp.data[[#This Row],[SDate]],weather.tbl[Date],0))</f>
        <v>10.1</v>
      </c>
      <c r="R1454" s="2">
        <f ca="1">INDEX(INDIRECT(_xlfn.CONCAT("weather.tbl[",R$1,"]")),MATCH(vp.data[[#This Row],[SDate]],weather.tbl[Date],0))</f>
        <v>11.3</v>
      </c>
      <c r="S1454" s="2">
        <f ca="1">INDEX(INDIRECT(_xlfn.CONCAT("weather.tbl[",S$1,"]")),MATCH(vp.data[[#This Row],[SDate]],weather.tbl[Date],0))</f>
        <v>10</v>
      </c>
      <c r="T1454" s="2">
        <f ca="1">INDEX(INDIRECT(_xlfn.CONCAT("weather.tbl[",T$1,"]")),MATCH(vp.data[[#This Row],[SDate]],weather.tbl[Date],0))</f>
        <v>12.6</v>
      </c>
      <c r="U1454" s="2">
        <f ca="1">INDEX(INDIRECT(_xlfn.CONCAT("weather.tbl[",U$1,"]")),MATCH(vp.data[[#This Row],[SDate]],weather.tbl[Date],0))</f>
        <v>10.8</v>
      </c>
      <c r="V1454" s="2">
        <f t="array" ref="V14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3038.6930000000002</v>
      </c>
      <c r="W1454" t="s">
        <v>48</v>
      </c>
      <c r="X1454">
        <f>IF(OR(vp.data[[#This Row],[Sulf]]="",vp.data[[#This Row],[Dens]]=""),1,0)</f>
        <v>0</v>
      </c>
      <c r="Y1454">
        <f>IF(vp.data[[#This Row],[CrudeType]]="C5+",1,0)</f>
        <v>0</v>
      </c>
      <c r="Z1454">
        <f>IF(AND(vp.data[[#This Row],[CrudeType]]="Crude",vp.data[[#This Row],[Dens]]&lt;=825,vp.data[[#This Row],[Sulf]]&gt;0.5,vp.data[[#This Row],[Unknown]]=0),1,0)</f>
        <v>0</v>
      </c>
      <c r="AA1454">
        <f>IF(AND(vp.data[[#This Row],[CrudeType]]="Crude",vp.data[[#This Row],[Dens]]&lt;=825,vp.data[[#This Row],[Sulf]]&lt;=0.5,vp.data[[#This Row],[Unknown]]=0),1,0)</f>
        <v>0</v>
      </c>
      <c r="AB14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4">
        <f>IF(AND(vp.data[[#This Row],[CrudeType]]="Crude",vp.data[[#This Row],[Dens]]&gt;825,vp.data[[#This Row],[Dens]]&lt;=900,vp.data[[#This Row],[Sulf]]&lt;=0.5,vp.data[[#This Row],[Unknown]]=0),1,0)</f>
        <v>0</v>
      </c>
      <c r="AD1454">
        <f>IF(AND(vp.data[[#This Row],[CrudeType]]="Crude",vp.data[[#This Row],[Dens]]&gt;865,vp.data[[#This Row],[Dens]]&lt;=900,vp.data[[#This Row],[Sulf]]&gt;2,vp.data[[#This Row],[Unknown]]=0),1,0)</f>
        <v>0</v>
      </c>
      <c r="AE1454">
        <f>IF(AND(vp.data[[#This Row],[CrudeType]]="Crude",vp.data[[#This Row],[Dens]]&gt;900,vp.data[[#This Row],[Sulf]]&lt;=0.5,vp.data[[#This Row],[Unknown]]=0),1,0)</f>
        <v>0</v>
      </c>
      <c r="AF1454">
        <f>IF(AND(vp.data[[#This Row],[CrudeType]]="Crude",vp.data[[#This Row],[Dens]]&gt;900,vp.data[[#This Row],[Sulf]]&lt;=0.5,vp.data[[#This Row],[Unknown]]=0),1,0)</f>
        <v>0</v>
      </c>
      <c r="AG1454" t="str">
        <f>INDEX(vp.data[[#Headers],[Unknown]:[Heavy_SW]],MATCH(1,vp.data[[#This Row],[Unknown]:[Heavy_SW]],0))</f>
        <v>Medium_LSB</v>
      </c>
      <c r="AH1454">
        <f>INDEX([3]!crudeBD.lkup[Number],MATCH(vp.data[[#This Row],[Crude_Breakdown]],crudeBD.lkup[Crude Breakdown],0))</f>
        <v>3</v>
      </c>
      <c r="AI1454">
        <f>MONTH(vp.data[[#This Row],[SDate]])</f>
        <v>5</v>
      </c>
      <c r="AJ1454" s="5">
        <f>(vp.data[[#This Row],[VP]]-INDEX(crudeBD.lkup[Mean_VP],MATCH(vp.data[[#This Row],[Crude_Breakdown]],crudeBD.lkup[Crude Breakdown],0)))^2</f>
        <v>1.298862638312549</v>
      </c>
      <c r="AK1454" s="5">
        <f>(vp.data[[#This Row],[Dens]]-INDEX(crudeBD.lkup[Mean_Dens],MATCH(vp.data[[#This Row],[Crude_Breakdown]],crudeBD.lkup[Crude Breakdown],0)))^2</f>
        <v>51.552400000007445</v>
      </c>
      <c r="AL1454" s="5">
        <f>(vp.data[[#This Row],[Sulf]]-INDEX(crudeBD.lkup[Mean_Sulf],MATCH(vp.data[[#This Row],[Crude_Breakdown]],crudeBD.lkup[Crude Breakdown],0)))^2</f>
        <v>0.15570274648652699</v>
      </c>
      <c r="AM1454" s="4">
        <f>IF(AND(vp.data[[#This Row],[SDate]]&gt;=DATE(YEAR(vp.data[[#This Row],[SDate]]),5,1),vp.data[[#This Row],[SDate]]&lt;=DATE(YEAR(vp.data[[#This Row],[SDate]]),9,15)),1,0)</f>
        <v>1</v>
      </c>
      <c r="AN1454" s="4">
        <f>IF(vp.data[[#This Row],[SDate]]&lt;DATE(2016,12,1),0,1)</f>
        <v>1</v>
      </c>
      <c r="AO1454" s="4">
        <f>IFERROR(vp.data[[#This Row],[Sulf]]*vp.data[[#This Row],[Net Dens]],"")</f>
        <v>4603492.2698940001</v>
      </c>
      <c r="AP1454">
        <f>IFERROR(vp.data[[#This Row],[Dens]]*vp.data[[#This Row],[VolumeM3]],"")</f>
        <v>2586231.6123000002</v>
      </c>
      <c r="AQ1454" s="15">
        <f>IFERROR(vp.data[[#This Row],[VP]]*vp.data[[#This Row],[VolumeM3]],"")</f>
        <v>241576.09350000002</v>
      </c>
    </row>
    <row r="1455" spans="1:43" x14ac:dyDescent="0.25">
      <c r="A1455">
        <v>1454</v>
      </c>
      <c r="B1455" t="s">
        <v>51</v>
      </c>
      <c r="C1455" t="s">
        <v>51</v>
      </c>
      <c r="D1455" t="s">
        <v>52</v>
      </c>
      <c r="F1455" s="1">
        <v>42864</v>
      </c>
      <c r="G1455" s="2">
        <v>72.2</v>
      </c>
      <c r="H1455" s="2"/>
      <c r="I1455" s="2">
        <f t="array" ref="I1455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455" s="2"/>
      <c r="K1455" s="2"/>
      <c r="L1455" s="2"/>
      <c r="M1455" s="2">
        <f t="array" ref="M1455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455" s="2">
        <f ca="1">INDEX(INDIRECT(_xlfn.CONCAT("weather.tbl[",N$1,"]")),MATCH(vp.data[[#This Row],[SDate]],weather.tbl[Date],0))</f>
        <v>10.983333333333334</v>
      </c>
      <c r="O1455" s="2">
        <f ca="1">INDEX(INDIRECT(_xlfn.CONCAT("weather.tbl[",O$1,"]")),MATCH(vp.data[[#This Row],[SDate]],weather.tbl[Date],0))</f>
        <v>13.685714285714285</v>
      </c>
      <c r="P1455" s="2">
        <f ca="1">INDEX(INDIRECT(_xlfn.CONCAT("weather.tbl[",P$1,"]")),MATCH(vp.data[[#This Row],[SDate]],weather.tbl[Date],0))</f>
        <v>11.1</v>
      </c>
      <c r="Q1455" s="2">
        <f ca="1">INDEX(INDIRECT(_xlfn.CONCAT("weather.tbl[",Q$1,"]")),MATCH(vp.data[[#This Row],[SDate]],weather.tbl[Date],0))</f>
        <v>10.1</v>
      </c>
      <c r="R1455" s="2">
        <f ca="1">INDEX(INDIRECT(_xlfn.CONCAT("weather.tbl[",R$1,"]")),MATCH(vp.data[[#This Row],[SDate]],weather.tbl[Date],0))</f>
        <v>11.3</v>
      </c>
      <c r="S1455" s="2">
        <f ca="1">INDEX(INDIRECT(_xlfn.CONCAT("weather.tbl[",S$1,"]")),MATCH(vp.data[[#This Row],[SDate]],weather.tbl[Date],0))</f>
        <v>10</v>
      </c>
      <c r="T1455" s="2">
        <f ca="1">INDEX(INDIRECT(_xlfn.CONCAT("weather.tbl[",T$1,"]")),MATCH(vp.data[[#This Row],[SDate]],weather.tbl[Date],0))</f>
        <v>12.6</v>
      </c>
      <c r="U1455" s="2">
        <f ca="1">INDEX(INDIRECT(_xlfn.CONCAT("weather.tbl[",U$1,"]")),MATCH(vp.data[[#This Row],[SDate]],weather.tbl[Date],0))</f>
        <v>10.8</v>
      </c>
      <c r="V1455" s="2">
        <f t="array" ref="V14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7049.7860000000001</v>
      </c>
      <c r="W1455" t="s">
        <v>48</v>
      </c>
      <c r="X1455">
        <f>IF(OR(vp.data[[#This Row],[Sulf]]="",vp.data[[#This Row],[Dens]]=""),1,0)</f>
        <v>0</v>
      </c>
      <c r="Y1455">
        <f>IF(vp.data[[#This Row],[CrudeType]]="C5+",1,0)</f>
        <v>0</v>
      </c>
      <c r="Z1455">
        <f>IF(AND(vp.data[[#This Row],[CrudeType]]="Crude",vp.data[[#This Row],[Dens]]&lt;=825,vp.data[[#This Row],[Sulf]]&gt;0.5,vp.data[[#This Row],[Unknown]]=0),1,0)</f>
        <v>0</v>
      </c>
      <c r="AA1455">
        <f>IF(AND(vp.data[[#This Row],[CrudeType]]="Crude",vp.data[[#This Row],[Dens]]&lt;=825,vp.data[[#This Row],[Sulf]]&lt;=0.5,vp.data[[#This Row],[Unknown]]=0),1,0)</f>
        <v>0</v>
      </c>
      <c r="AB14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55">
        <f>IF(AND(vp.data[[#This Row],[CrudeType]]="Crude",vp.data[[#This Row],[Dens]]&gt;825,vp.data[[#This Row],[Dens]]&lt;=900,vp.data[[#This Row],[Sulf]]&lt;=0.5,vp.data[[#This Row],[Unknown]]=0),1,0)</f>
        <v>0</v>
      </c>
      <c r="AD1455">
        <f>IF(AND(vp.data[[#This Row],[CrudeType]]="Crude",vp.data[[#This Row],[Dens]]&gt;865,vp.data[[#This Row],[Dens]]&lt;=900,vp.data[[#This Row],[Sulf]]&gt;2,vp.data[[#This Row],[Unknown]]=0),1,0)</f>
        <v>1</v>
      </c>
      <c r="AE1455">
        <f>IF(AND(vp.data[[#This Row],[CrudeType]]="Crude",vp.data[[#This Row],[Dens]]&gt;900,vp.data[[#This Row],[Sulf]]&lt;=0.5,vp.data[[#This Row],[Unknown]]=0),1,0)</f>
        <v>0</v>
      </c>
      <c r="AF1455">
        <f>IF(AND(vp.data[[#This Row],[CrudeType]]="Crude",vp.data[[#This Row],[Dens]]&gt;900,vp.data[[#This Row],[Sulf]]&lt;=0.5,vp.data[[#This Row],[Unknown]]=0),1,0)</f>
        <v>0</v>
      </c>
      <c r="AG1455" t="str">
        <f>INDEX(vp.data[[#Headers],[Unknown]:[Heavy_SW]],MATCH(1,vp.data[[#This Row],[Unknown]:[Heavy_SW]],0))</f>
        <v>Midale</v>
      </c>
      <c r="AH1455">
        <f>INDEX([3]!crudeBD.lkup[Number],MATCH(vp.data[[#This Row],[Crude_Breakdown]],crudeBD.lkup[Crude Breakdown],0))</f>
        <v>5</v>
      </c>
      <c r="AI1455">
        <f>MONTH(vp.data[[#This Row],[SDate]])</f>
        <v>5</v>
      </c>
      <c r="AJ1455" s="5">
        <f>(vp.data[[#This Row],[VP]]-INDEX(crudeBD.lkup[Mean_VP],MATCH(vp.data[[#This Row],[Crude_Breakdown]],crudeBD.lkup[Crude Breakdown],0)))^2</f>
        <v>7.7910046232329151</v>
      </c>
      <c r="AK1455" s="5">
        <f>(vp.data[[#This Row],[Dens]]-INDEX(crudeBD.lkup[Mean_Dens],MATCH(vp.data[[#This Row],[Crude_Breakdown]],crudeBD.lkup[Crude Breakdown],0)))^2</f>
        <v>15.342969762995462</v>
      </c>
      <c r="AL1455" s="5">
        <f>(vp.data[[#This Row],[Sulf]]-INDEX(crudeBD.lkup[Mean_Sulf],MATCH(vp.data[[#This Row],[Crude_Breakdown]],crudeBD.lkup[Crude Breakdown],0)))^2</f>
        <v>1.9023176856306674E-3</v>
      </c>
      <c r="AM1455" s="4">
        <f>IF(AND(vp.data[[#This Row],[SDate]]&gt;=DATE(YEAR(vp.data[[#This Row],[SDate]]),5,1),vp.data[[#This Row],[SDate]]&lt;=DATE(YEAR(vp.data[[#This Row],[SDate]]),9,15)),1,0)</f>
        <v>1</v>
      </c>
      <c r="AN1455" s="4">
        <f>IF(vp.data[[#This Row],[SDate]]&lt;DATE(2016,12,1),0,1)</f>
        <v>1</v>
      </c>
      <c r="AO1455" s="4">
        <f>IFERROR(vp.data[[#This Row],[Sulf]]*vp.data[[#This Row],[Net Dens]],"")</f>
        <v>14735180.705759998</v>
      </c>
      <c r="AP1455">
        <f>IFERROR(vp.data[[#This Row],[Dens]]*vp.data[[#This Row],[VolumeM3]],"")</f>
        <v>6139658.6273999996</v>
      </c>
      <c r="AQ1455" s="15">
        <f>IFERROR(vp.data[[#This Row],[VP]]*vp.data[[#This Row],[VolumeM3]],"")</f>
        <v>508994.54920000001</v>
      </c>
    </row>
    <row r="1456" spans="1:43" x14ac:dyDescent="0.25">
      <c r="A1456">
        <v>1455</v>
      </c>
      <c r="B1456" t="s">
        <v>46</v>
      </c>
      <c r="C1456" t="s">
        <v>46</v>
      </c>
      <c r="D1456" t="s">
        <v>47</v>
      </c>
      <c r="F1456" s="1">
        <v>42864</v>
      </c>
      <c r="G1456" s="2">
        <v>59.2</v>
      </c>
      <c r="H1456" s="2"/>
      <c r="I1456" s="2">
        <f t="array" ref="I1456">_xlfn.IFNA(IF(vp.data[[#This Row],[Sulf Input]]="",INDEX([1]DATA!$Q$3:$Q$9826,MATCH(1,(vp.data[[#This Row],[Battery]]=[1]DATA!$L$3:$L$9826)*(EOMONTH(vp.data[[#This Row],[SDate]],-1)+1=[1]DATA!$G$3:$G$9826),0)),vp.data[[#This Row],[Sulf Input]]),"")</f>
        <v>2.25</v>
      </c>
      <c r="J1456" s="2"/>
      <c r="K1456" s="2"/>
      <c r="L1456" s="2"/>
      <c r="M1456" s="2">
        <f t="array" ref="M1456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456" s="2">
        <f ca="1">INDEX(INDIRECT(_xlfn.CONCAT("weather.tbl[",N$1,"]")),MATCH(vp.data[[#This Row],[SDate]],weather.tbl[Date],0))</f>
        <v>10.983333333333334</v>
      </c>
      <c r="O1456" s="2">
        <f ca="1">INDEX(INDIRECT(_xlfn.CONCAT("weather.tbl[",O$1,"]")),MATCH(vp.data[[#This Row],[SDate]],weather.tbl[Date],0))</f>
        <v>13.685714285714285</v>
      </c>
      <c r="P1456" s="2">
        <f ca="1">INDEX(INDIRECT(_xlfn.CONCAT("weather.tbl[",P$1,"]")),MATCH(vp.data[[#This Row],[SDate]],weather.tbl[Date],0))</f>
        <v>11.1</v>
      </c>
      <c r="Q1456" s="2">
        <f ca="1">INDEX(INDIRECT(_xlfn.CONCAT("weather.tbl[",Q$1,"]")),MATCH(vp.data[[#This Row],[SDate]],weather.tbl[Date],0))</f>
        <v>10.1</v>
      </c>
      <c r="R1456" s="2">
        <f ca="1">INDEX(INDIRECT(_xlfn.CONCAT("weather.tbl[",R$1,"]")),MATCH(vp.data[[#This Row],[SDate]],weather.tbl[Date],0))</f>
        <v>11.3</v>
      </c>
      <c r="S1456" s="2">
        <f ca="1">INDEX(INDIRECT(_xlfn.CONCAT("weather.tbl[",S$1,"]")),MATCH(vp.data[[#This Row],[SDate]],weather.tbl[Date],0))</f>
        <v>10</v>
      </c>
      <c r="T1456" s="2">
        <f ca="1">INDEX(INDIRECT(_xlfn.CONCAT("weather.tbl[",T$1,"]")),MATCH(vp.data[[#This Row],[SDate]],weather.tbl[Date],0))</f>
        <v>12.6</v>
      </c>
      <c r="U1456" s="2">
        <f ca="1">INDEX(INDIRECT(_xlfn.CONCAT("weather.tbl[",U$1,"]")),MATCH(vp.data[[#This Row],[SDate]],weather.tbl[Date],0))</f>
        <v>10.8</v>
      </c>
      <c r="V1456" s="2">
        <f t="array" ref="V14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115996.79399999999</v>
      </c>
      <c r="W1456" t="s">
        <v>48</v>
      </c>
      <c r="X1456">
        <f>IF(OR(vp.data[[#This Row],[Sulf]]="",vp.data[[#This Row],[Dens]]=""),1,0)</f>
        <v>0</v>
      </c>
      <c r="Y1456">
        <f>IF(vp.data[[#This Row],[CrudeType]]="C5+",1,0)</f>
        <v>0</v>
      </c>
      <c r="Z1456">
        <f>IF(AND(vp.data[[#This Row],[CrudeType]]="Crude",vp.data[[#This Row],[Dens]]&lt;=825,vp.data[[#This Row],[Sulf]]&gt;0.5,vp.data[[#This Row],[Unknown]]=0),1,0)</f>
        <v>0</v>
      </c>
      <c r="AA1456">
        <f>IF(AND(vp.data[[#This Row],[CrudeType]]="Crude",vp.data[[#This Row],[Dens]]&lt;=825,vp.data[[#This Row],[Sulf]]&lt;=0.5,vp.data[[#This Row],[Unknown]]=0),1,0)</f>
        <v>0</v>
      </c>
      <c r="AB14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56">
        <f>IF(AND(vp.data[[#This Row],[CrudeType]]="Crude",vp.data[[#This Row],[Dens]]&gt;825,vp.data[[#This Row],[Dens]]&lt;=900,vp.data[[#This Row],[Sulf]]&lt;=0.5,vp.data[[#This Row],[Unknown]]=0),1,0)</f>
        <v>0</v>
      </c>
      <c r="AD1456">
        <f>IF(AND(vp.data[[#This Row],[CrudeType]]="Crude",vp.data[[#This Row],[Dens]]&gt;865,vp.data[[#This Row],[Dens]]&lt;=900,vp.data[[#This Row],[Sulf]]&gt;2,vp.data[[#This Row],[Unknown]]=0),1,0)</f>
        <v>1</v>
      </c>
      <c r="AE1456">
        <f>IF(AND(vp.data[[#This Row],[CrudeType]]="Crude",vp.data[[#This Row],[Dens]]&gt;900,vp.data[[#This Row],[Sulf]]&lt;=0.5,vp.data[[#This Row],[Unknown]]=0),1,0)</f>
        <v>0</v>
      </c>
      <c r="AF1456">
        <f>IF(AND(vp.data[[#This Row],[CrudeType]]="Crude",vp.data[[#This Row],[Dens]]&gt;900,vp.data[[#This Row],[Sulf]]&lt;=0.5,vp.data[[#This Row],[Unknown]]=0),1,0)</f>
        <v>0</v>
      </c>
      <c r="AG1456" t="str">
        <f>INDEX(vp.data[[#Headers],[Unknown]:[Heavy_SW]],MATCH(1,vp.data[[#This Row],[Unknown]:[Heavy_SW]],0))</f>
        <v>Midale</v>
      </c>
      <c r="AH1456">
        <f>INDEX([3]!crudeBD.lkup[Number],MATCH(vp.data[[#This Row],[Crude_Breakdown]],crudeBD.lkup[Crude Breakdown],0))</f>
        <v>5</v>
      </c>
      <c r="AI1456">
        <f>MONTH(vp.data[[#This Row],[SDate]])</f>
        <v>5</v>
      </c>
      <c r="AJ1456" s="5">
        <f>(vp.data[[#This Row],[VP]]-INDEX(crudeBD.lkup[Mean_VP],MATCH(vp.data[[#This Row],[Crude_Breakdown]],crudeBD.lkup[Crude Breakdown],0)))^2</f>
        <v>104.21883967478006</v>
      </c>
      <c r="AK1456" s="5">
        <f>(vp.data[[#This Row],[Dens]]-INDEX(crudeBD.lkup[Mean_Dens],MATCH(vp.data[[#This Row],[Crude_Breakdown]],crudeBD.lkup[Crude Breakdown],0)))^2</f>
        <v>37.417815123820823</v>
      </c>
      <c r="AL1456" s="5">
        <f>(vp.data[[#This Row],[Sulf]]-INDEX(crudeBD.lkup[Mean_Sulf],MATCH(vp.data[[#This Row],[Crude_Breakdown]],crudeBD.lkup[Crude Breakdown],0)))^2</f>
        <v>3.7486987788723031E-2</v>
      </c>
      <c r="AM1456" s="4">
        <f>IF(AND(vp.data[[#This Row],[SDate]]&gt;=DATE(YEAR(vp.data[[#This Row],[SDate]]),5,1),vp.data[[#This Row],[SDate]]&lt;=DATE(YEAR(vp.data[[#This Row],[SDate]]),9,15)),1,0)</f>
        <v>1</v>
      </c>
      <c r="AN1456" s="4">
        <f>IF(vp.data[[#This Row],[SDate]]&lt;DATE(2016,12,1),0,1)</f>
        <v>1</v>
      </c>
      <c r="AO1456" s="4">
        <f>IFERROR(vp.data[[#This Row],[Sulf]]*vp.data[[#This Row],[Net Dens]],"")</f>
        <v>226724433.63255</v>
      </c>
      <c r="AP1456">
        <f>IFERROR(vp.data[[#This Row],[Dens]]*vp.data[[#This Row],[VolumeM3]],"")</f>
        <v>100766414.9478</v>
      </c>
      <c r="AQ1456" s="15">
        <f>IFERROR(vp.data[[#This Row],[VP]]*vp.data[[#This Row],[VolumeM3]],"")</f>
        <v>6867010.2048000004</v>
      </c>
    </row>
    <row r="1457" spans="1:43" x14ac:dyDescent="0.25">
      <c r="A1457">
        <v>1456</v>
      </c>
      <c r="B1457" t="s">
        <v>292</v>
      </c>
      <c r="C1457" t="s">
        <v>292</v>
      </c>
      <c r="D1457" t="s">
        <v>94</v>
      </c>
      <c r="F1457" s="1">
        <v>42864</v>
      </c>
      <c r="G1457" s="2">
        <v>69.2</v>
      </c>
      <c r="H1457" s="2"/>
      <c r="I1457" s="2">
        <f t="array" ref="I1457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457" s="2"/>
      <c r="K1457" s="2"/>
      <c r="L1457" s="2"/>
      <c r="M1457" s="2">
        <f t="array" ref="M1457">_xlfn.IFNA(IF(vp.data[[#This Row],[Dens Input]]="",INDEX([1]DATA!$O$3:$O$9826,MATCH(1,(vp.data[[#This Row],[Battery]]=[1]DATA!$L$3:$L$9826)*(EOMONTH(vp.data[[#This Row],[SDate]],-1)+1=[1]DATA!$G$3:$G$9826),0)),vp.data[[#This Row],[Dens Input]]),"")</f>
        <v>865.5</v>
      </c>
      <c r="N1457" s="2">
        <f ca="1">INDEX(INDIRECT(_xlfn.CONCAT("weather.tbl[",N$1,"]")),MATCH(vp.data[[#This Row],[SDate]],weather.tbl[Date],0))</f>
        <v>10.983333333333334</v>
      </c>
      <c r="O1457" s="2">
        <f ca="1">INDEX(INDIRECT(_xlfn.CONCAT("weather.tbl[",O$1,"]")),MATCH(vp.data[[#This Row],[SDate]],weather.tbl[Date],0))</f>
        <v>13.685714285714285</v>
      </c>
      <c r="P1457" s="2">
        <f ca="1">INDEX(INDIRECT(_xlfn.CONCAT("weather.tbl[",P$1,"]")),MATCH(vp.data[[#This Row],[SDate]],weather.tbl[Date],0))</f>
        <v>11.1</v>
      </c>
      <c r="Q1457" s="2">
        <f ca="1">INDEX(INDIRECT(_xlfn.CONCAT("weather.tbl[",Q$1,"]")),MATCH(vp.data[[#This Row],[SDate]],weather.tbl[Date],0))</f>
        <v>10.1</v>
      </c>
      <c r="R1457" s="2">
        <f ca="1">INDEX(INDIRECT(_xlfn.CONCAT("weather.tbl[",R$1,"]")),MATCH(vp.data[[#This Row],[SDate]],weather.tbl[Date],0))</f>
        <v>11.3</v>
      </c>
      <c r="S1457" s="2">
        <f ca="1">INDEX(INDIRECT(_xlfn.CONCAT("weather.tbl[",S$1,"]")),MATCH(vp.data[[#This Row],[SDate]],weather.tbl[Date],0))</f>
        <v>10</v>
      </c>
      <c r="T1457" s="2">
        <f ca="1">INDEX(INDIRECT(_xlfn.CONCAT("weather.tbl[",T$1,"]")),MATCH(vp.data[[#This Row],[SDate]],weather.tbl[Date],0))</f>
        <v>12.6</v>
      </c>
      <c r="U1457" s="2">
        <f ca="1">INDEX(INDIRECT(_xlfn.CONCAT("weather.tbl[",U$1,"]")),MATCH(vp.data[[#This Row],[SDate]],weather.tbl[Date],0))</f>
        <v>10.8</v>
      </c>
      <c r="V1457" s="2">
        <f t="array" ref="V14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4763.951</v>
      </c>
      <c r="W1457" t="s">
        <v>48</v>
      </c>
      <c r="X1457">
        <f>IF(OR(vp.data[[#This Row],[Sulf]]="",vp.data[[#This Row],[Dens]]=""),1,0)</f>
        <v>0</v>
      </c>
      <c r="Y1457">
        <f>IF(vp.data[[#This Row],[CrudeType]]="C5+",1,0)</f>
        <v>0</v>
      </c>
      <c r="Z1457">
        <f>IF(AND(vp.data[[#This Row],[CrudeType]]="Crude",vp.data[[#This Row],[Dens]]&lt;=825,vp.data[[#This Row],[Sulf]]&gt;0.5,vp.data[[#This Row],[Unknown]]=0),1,0)</f>
        <v>0</v>
      </c>
      <c r="AA1457">
        <f>IF(AND(vp.data[[#This Row],[CrudeType]]="Crude",vp.data[[#This Row],[Dens]]&lt;=825,vp.data[[#This Row],[Sulf]]&lt;=0.5,vp.data[[#This Row],[Unknown]]=0),1,0)</f>
        <v>0</v>
      </c>
      <c r="AB14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7">
        <f>IF(AND(vp.data[[#This Row],[CrudeType]]="Crude",vp.data[[#This Row],[Dens]]&gt;825,vp.data[[#This Row],[Dens]]&lt;=900,vp.data[[#This Row],[Sulf]]&lt;=0.5,vp.data[[#This Row],[Unknown]]=0),1,0)</f>
        <v>0</v>
      </c>
      <c r="AD1457">
        <f>IF(AND(vp.data[[#This Row],[CrudeType]]="Crude",vp.data[[#This Row],[Dens]]&gt;865,vp.data[[#This Row],[Dens]]&lt;=900,vp.data[[#This Row],[Sulf]]&gt;2,vp.data[[#This Row],[Unknown]]=0),1,0)</f>
        <v>0</v>
      </c>
      <c r="AE1457">
        <f>IF(AND(vp.data[[#This Row],[CrudeType]]="Crude",vp.data[[#This Row],[Dens]]&gt;900,vp.data[[#This Row],[Sulf]]&lt;=0.5,vp.data[[#This Row],[Unknown]]=0),1,0)</f>
        <v>0</v>
      </c>
      <c r="AF1457">
        <f>IF(AND(vp.data[[#This Row],[CrudeType]]="Crude",vp.data[[#This Row],[Dens]]&gt;900,vp.data[[#This Row],[Sulf]]&lt;=0.5,vp.data[[#This Row],[Unknown]]=0),1,0)</f>
        <v>0</v>
      </c>
      <c r="AG1457" t="str">
        <f>INDEX(vp.data[[#Headers],[Unknown]:[Heavy_SW]],MATCH(1,vp.data[[#This Row],[Unknown]:[Heavy_SW]],0))</f>
        <v>Medium_LSB</v>
      </c>
      <c r="AH1457">
        <f>INDEX([3]!crudeBD.lkup[Number],MATCH(vp.data[[#This Row],[Crude_Breakdown]],crudeBD.lkup[Crude Breakdown],0))</f>
        <v>3</v>
      </c>
      <c r="AI1457">
        <f>MONTH(vp.data[[#This Row],[SDate]])</f>
        <v>5</v>
      </c>
      <c r="AJ1457" s="5">
        <f>(vp.data[[#This Row],[VP]]-INDEX(crudeBD.lkup[Mean_VP],MATCH(vp.data[[#This Row],[Crude_Breakdown]],crudeBD.lkup[Crude Breakdown],0)))^2</f>
        <v>130.86619956553474</v>
      </c>
      <c r="AK1457" s="5">
        <f>(vp.data[[#This Row],[Dens]]-INDEX(crudeBD.lkup[Mean_Dens],MATCH(vp.data[[#This Row],[Crude_Breakdown]],crudeBD.lkup[Crude Breakdown],0)))^2</f>
        <v>465.69640000002141</v>
      </c>
      <c r="AL1457" s="5">
        <f>(vp.data[[#This Row],[Sulf]]-INDEX(crudeBD.lkup[Mean_Sulf],MATCH(vp.data[[#This Row],[Crude_Breakdown]],crudeBD.lkup[Crude Breakdown],0)))^2</f>
        <v>0.3301558208800574</v>
      </c>
      <c r="AM1457" s="4">
        <f>IF(AND(vp.data[[#This Row],[SDate]]&gt;=DATE(YEAR(vp.data[[#This Row],[SDate]]),5,1),vp.data[[#This Row],[SDate]]&lt;=DATE(YEAR(vp.data[[#This Row],[SDate]]),9,15)),1,0)</f>
        <v>1</v>
      </c>
      <c r="AN1457" s="4">
        <f>IF(vp.data[[#This Row],[SDate]]&lt;DATE(2016,12,1),0,1)</f>
        <v>1</v>
      </c>
      <c r="AO1457" s="4">
        <f>IFERROR(vp.data[[#This Row],[Sulf]]*vp.data[[#This Row],[Net Dens]],"")</f>
        <v>8081471.1973799998</v>
      </c>
      <c r="AP1457">
        <f>IFERROR(vp.data[[#This Row],[Dens]]*vp.data[[#This Row],[VolumeM3]],"")</f>
        <v>4123199.5904999999</v>
      </c>
      <c r="AQ1457" s="15">
        <f>IFERROR(vp.data[[#This Row],[VP]]*vp.data[[#This Row],[VolumeM3]],"")</f>
        <v>329665.40919999999</v>
      </c>
    </row>
    <row r="1458" spans="1:43" x14ac:dyDescent="0.25">
      <c r="A1458">
        <v>1457</v>
      </c>
      <c r="B1458" t="s">
        <v>51</v>
      </c>
      <c r="C1458" t="s">
        <v>51</v>
      </c>
      <c r="D1458" t="s">
        <v>308</v>
      </c>
      <c r="F1458" s="1">
        <v>42865</v>
      </c>
      <c r="G1458" s="2">
        <v>51.4</v>
      </c>
      <c r="H1458" s="2"/>
      <c r="I1458" s="2">
        <f t="array" ref="I1458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1458" s="2"/>
      <c r="K1458" s="2"/>
      <c r="L1458" s="2"/>
      <c r="M1458" s="2">
        <f t="array" ref="M1458">_xlfn.IFNA(IF(vp.data[[#This Row],[Dens Input]]="",INDEX([1]DATA!$O$3:$O$9826,MATCH(1,(vp.data[[#This Row],[Battery]]=[1]DATA!$L$3:$L$9826)*(EOMONTH(vp.data[[#This Row],[SDate]],-1)+1=[1]DATA!$G$3:$G$9826),0)),vp.data[[#This Row],[Dens Input]]),"")</f>
        <v>850.3</v>
      </c>
      <c r="N1458" s="2">
        <f ca="1">INDEX(INDIRECT(_xlfn.CONCAT("weather.tbl[",N$1,"]")),MATCH(vp.data[[#This Row],[SDate]],weather.tbl[Date],0))</f>
        <v>8.9833333333333325</v>
      </c>
      <c r="O1458" s="2">
        <f ca="1">INDEX(INDIRECT(_xlfn.CONCAT("weather.tbl[",O$1,"]")),MATCH(vp.data[[#This Row],[SDate]],weather.tbl[Date],0))</f>
        <v>13.607142857142858</v>
      </c>
      <c r="P1458" s="2">
        <f ca="1">INDEX(INDIRECT(_xlfn.CONCAT("weather.tbl[",P$1,"]")),MATCH(vp.data[[#This Row],[SDate]],weather.tbl[Date],0))</f>
        <v>9.9</v>
      </c>
      <c r="Q1458" s="2">
        <f ca="1">INDEX(INDIRECT(_xlfn.CONCAT("weather.tbl[",Q$1,"]")),MATCH(vp.data[[#This Row],[SDate]],weather.tbl[Date],0))</f>
        <v>9.4</v>
      </c>
      <c r="R1458" s="2">
        <f ca="1">INDEX(INDIRECT(_xlfn.CONCAT("weather.tbl[",R$1,"]")),MATCH(vp.data[[#This Row],[SDate]],weather.tbl[Date],0))</f>
        <v>8.8000000000000007</v>
      </c>
      <c r="S1458" s="2">
        <f ca="1">INDEX(INDIRECT(_xlfn.CONCAT("weather.tbl[",S$1,"]")),MATCH(vp.data[[#This Row],[SDate]],weather.tbl[Date],0))</f>
        <v>9</v>
      </c>
      <c r="T1458" s="2">
        <f ca="1">INDEX(INDIRECT(_xlfn.CONCAT("weather.tbl[",T$1,"]")),MATCH(vp.data[[#This Row],[SDate]],weather.tbl[Date],0))</f>
        <v>9</v>
      </c>
      <c r="U1458" s="2">
        <f ca="1">INDEX(INDIRECT(_xlfn.CONCAT("weather.tbl[",U$1,"]")),MATCH(vp.data[[#This Row],[SDate]],weather.tbl[Date],0))</f>
        <v>7.8</v>
      </c>
      <c r="V1458" s="2">
        <f t="array" ref="V14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395.21199999999999</v>
      </c>
      <c r="W1458" t="s">
        <v>48</v>
      </c>
      <c r="X1458">
        <f>IF(OR(vp.data[[#This Row],[Sulf]]="",vp.data[[#This Row],[Dens]]=""),1,0)</f>
        <v>0</v>
      </c>
      <c r="Y1458">
        <f>IF(vp.data[[#This Row],[CrudeType]]="C5+",1,0)</f>
        <v>0</v>
      </c>
      <c r="Z1458">
        <f>IF(AND(vp.data[[#This Row],[CrudeType]]="Crude",vp.data[[#This Row],[Dens]]&lt;=825,vp.data[[#This Row],[Sulf]]&gt;0.5,vp.data[[#This Row],[Unknown]]=0),1,0)</f>
        <v>0</v>
      </c>
      <c r="AA1458">
        <f>IF(AND(vp.data[[#This Row],[CrudeType]]="Crude",vp.data[[#This Row],[Dens]]&lt;=825,vp.data[[#This Row],[Sulf]]&lt;=0.5,vp.data[[#This Row],[Unknown]]=0),1,0)</f>
        <v>0</v>
      </c>
      <c r="AB14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8">
        <f>IF(AND(vp.data[[#This Row],[CrudeType]]="Crude",vp.data[[#This Row],[Dens]]&gt;825,vp.data[[#This Row],[Dens]]&lt;=900,vp.data[[#This Row],[Sulf]]&lt;=0.5,vp.data[[#This Row],[Unknown]]=0),1,0)</f>
        <v>0</v>
      </c>
      <c r="AD1458">
        <f>IF(AND(vp.data[[#This Row],[CrudeType]]="Crude",vp.data[[#This Row],[Dens]]&gt;865,vp.data[[#This Row],[Dens]]&lt;=900,vp.data[[#This Row],[Sulf]]&gt;2,vp.data[[#This Row],[Unknown]]=0),1,0)</f>
        <v>0</v>
      </c>
      <c r="AE1458">
        <f>IF(AND(vp.data[[#This Row],[CrudeType]]="Crude",vp.data[[#This Row],[Dens]]&gt;900,vp.data[[#This Row],[Sulf]]&lt;=0.5,vp.data[[#This Row],[Unknown]]=0),1,0)</f>
        <v>0</v>
      </c>
      <c r="AF1458">
        <f>IF(AND(vp.data[[#This Row],[CrudeType]]="Crude",vp.data[[#This Row],[Dens]]&gt;900,vp.data[[#This Row],[Sulf]]&lt;=0.5,vp.data[[#This Row],[Unknown]]=0),1,0)</f>
        <v>0</v>
      </c>
      <c r="AG1458" t="str">
        <f>INDEX(vp.data[[#Headers],[Unknown]:[Heavy_SW]],MATCH(1,vp.data[[#This Row],[Unknown]:[Heavy_SW]],0))</f>
        <v>Medium_LSB</v>
      </c>
      <c r="AH1458">
        <f>INDEX([3]!crudeBD.lkup[Number],MATCH(vp.data[[#This Row],[Crude_Breakdown]],crudeBD.lkup[Crude Breakdown],0))</f>
        <v>3</v>
      </c>
      <c r="AI1458">
        <f>MONTH(vp.data[[#This Row],[SDate]])</f>
        <v>5</v>
      </c>
      <c r="AJ1458" s="5">
        <f>(vp.data[[#This Row],[VP]]-INDEX(crudeBD.lkup[Mean_VP],MATCH(vp.data[[#This Row],[Crude_Breakdown]],crudeBD.lkup[Crude Breakdown],0)))^2</f>
        <v>854.9586847407345</v>
      </c>
      <c r="AK1458" s="5">
        <f>(vp.data[[#This Row],[Dens]]-INDEX(crudeBD.lkup[Mean_Dens],MATCH(vp.data[[#This Row],[Crude_Breakdown]],crudeBD.lkup[Crude Breakdown],0)))^2</f>
        <v>40.704400000005748</v>
      </c>
      <c r="AL1458" s="5">
        <f>(vp.data[[#This Row],[Sulf]]-INDEX(crudeBD.lkup[Mean_Sulf],MATCH(vp.data[[#This Row],[Crude_Breakdown]],crudeBD.lkup[Crude Breakdown],0)))^2</f>
        <v>3.07680109070139E-2</v>
      </c>
      <c r="AM1458" s="4">
        <f>IF(AND(vp.data[[#This Row],[SDate]]&gt;=DATE(YEAR(vp.data[[#This Row],[SDate]]),5,1),vp.data[[#This Row],[SDate]]&lt;=DATE(YEAR(vp.data[[#This Row],[SDate]]),9,15)),1,0)</f>
        <v>1</v>
      </c>
      <c r="AN1458" s="4">
        <f>IF(vp.data[[#This Row],[SDate]]&lt;DATE(2016,12,1),0,1)</f>
        <v>1</v>
      </c>
      <c r="AO1458" s="4">
        <f>IFERROR(vp.data[[#This Row],[Sulf]]*vp.data[[#This Row],[Net Dens]],"")</f>
        <v>406619.00395599991</v>
      </c>
      <c r="AP1458">
        <f>IFERROR(vp.data[[#This Row],[Dens]]*vp.data[[#This Row],[VolumeM3]],"")</f>
        <v>336048.76359999995</v>
      </c>
      <c r="AQ1458" s="15">
        <f>IFERROR(vp.data[[#This Row],[VP]]*vp.data[[#This Row],[VolumeM3]],"")</f>
        <v>20313.896799999999</v>
      </c>
    </row>
    <row r="1459" spans="1:43" x14ac:dyDescent="0.25">
      <c r="A1459">
        <v>1458</v>
      </c>
      <c r="B1459" t="s">
        <v>51</v>
      </c>
      <c r="C1459" t="s">
        <v>51</v>
      </c>
      <c r="D1459" t="s">
        <v>71</v>
      </c>
      <c r="F1459" s="1">
        <v>42865</v>
      </c>
      <c r="G1459" s="2">
        <v>82.3</v>
      </c>
      <c r="H1459" s="2"/>
      <c r="I1459" s="2">
        <f t="array" ref="I1459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1459" s="2"/>
      <c r="K1459" s="2"/>
      <c r="L1459" s="2"/>
      <c r="M1459" s="2">
        <f t="array" ref="M1459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1459" s="2">
        <f ca="1">INDEX(INDIRECT(_xlfn.CONCAT("weather.tbl[",N$1,"]")),MATCH(vp.data[[#This Row],[SDate]],weather.tbl[Date],0))</f>
        <v>8.9833333333333325</v>
      </c>
      <c r="O1459" s="2">
        <f ca="1">INDEX(INDIRECT(_xlfn.CONCAT("weather.tbl[",O$1,"]")),MATCH(vp.data[[#This Row],[SDate]],weather.tbl[Date],0))</f>
        <v>13.607142857142858</v>
      </c>
      <c r="P1459" s="2">
        <f ca="1">INDEX(INDIRECT(_xlfn.CONCAT("weather.tbl[",P$1,"]")),MATCH(vp.data[[#This Row],[SDate]],weather.tbl[Date],0))</f>
        <v>9.9</v>
      </c>
      <c r="Q1459" s="2">
        <f ca="1">INDEX(INDIRECT(_xlfn.CONCAT("weather.tbl[",Q$1,"]")),MATCH(vp.data[[#This Row],[SDate]],weather.tbl[Date],0))</f>
        <v>9.4</v>
      </c>
      <c r="R1459" s="2">
        <f ca="1">INDEX(INDIRECT(_xlfn.CONCAT("weather.tbl[",R$1,"]")),MATCH(vp.data[[#This Row],[SDate]],weather.tbl[Date],0))</f>
        <v>8.8000000000000007</v>
      </c>
      <c r="S1459" s="2">
        <f ca="1">INDEX(INDIRECT(_xlfn.CONCAT("weather.tbl[",S$1,"]")),MATCH(vp.data[[#This Row],[SDate]],weather.tbl[Date],0))</f>
        <v>9</v>
      </c>
      <c r="T1459" s="2">
        <f ca="1">INDEX(INDIRECT(_xlfn.CONCAT("weather.tbl[",T$1,"]")),MATCH(vp.data[[#This Row],[SDate]],weather.tbl[Date],0))</f>
        <v>9</v>
      </c>
      <c r="U1459" s="2">
        <f ca="1">INDEX(INDIRECT(_xlfn.CONCAT("weather.tbl[",U$1,"]")),MATCH(vp.data[[#This Row],[SDate]],weather.tbl[Date],0))</f>
        <v>7.8</v>
      </c>
      <c r="V1459" s="2">
        <f t="array" ref="V14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9610.1779999999999</v>
      </c>
      <c r="W1459" t="s">
        <v>48</v>
      </c>
      <c r="X1459">
        <f>IF(OR(vp.data[[#This Row],[Sulf]]="",vp.data[[#This Row],[Dens]]=""),1,0)</f>
        <v>0</v>
      </c>
      <c r="Y1459">
        <f>IF(vp.data[[#This Row],[CrudeType]]="C5+",1,0)</f>
        <v>0</v>
      </c>
      <c r="Z1459">
        <f>IF(AND(vp.data[[#This Row],[CrudeType]]="Crude",vp.data[[#This Row],[Dens]]&lt;=825,vp.data[[#This Row],[Sulf]]&gt;0.5,vp.data[[#This Row],[Unknown]]=0),1,0)</f>
        <v>0</v>
      </c>
      <c r="AA1459">
        <f>IF(AND(vp.data[[#This Row],[CrudeType]]="Crude",vp.data[[#This Row],[Dens]]&lt;=825,vp.data[[#This Row],[Sulf]]&lt;=0.5,vp.data[[#This Row],[Unknown]]=0),1,0)</f>
        <v>0</v>
      </c>
      <c r="AB14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59">
        <f>IF(AND(vp.data[[#This Row],[CrudeType]]="Crude",vp.data[[#This Row],[Dens]]&gt;825,vp.data[[#This Row],[Dens]]&lt;=900,vp.data[[#This Row],[Sulf]]&lt;=0.5,vp.data[[#This Row],[Unknown]]=0),1,0)</f>
        <v>0</v>
      </c>
      <c r="AD1459">
        <f>IF(AND(vp.data[[#This Row],[CrudeType]]="Crude",vp.data[[#This Row],[Dens]]&gt;865,vp.data[[#This Row],[Dens]]&lt;=900,vp.data[[#This Row],[Sulf]]&gt;2,vp.data[[#This Row],[Unknown]]=0),1,0)</f>
        <v>0</v>
      </c>
      <c r="AE1459">
        <f>IF(AND(vp.data[[#This Row],[CrudeType]]="Crude",vp.data[[#This Row],[Dens]]&gt;900,vp.data[[#This Row],[Sulf]]&lt;=0.5,vp.data[[#This Row],[Unknown]]=0),1,0)</f>
        <v>0</v>
      </c>
      <c r="AF1459">
        <f>IF(AND(vp.data[[#This Row],[CrudeType]]="Crude",vp.data[[#This Row],[Dens]]&gt;900,vp.data[[#This Row],[Sulf]]&lt;=0.5,vp.data[[#This Row],[Unknown]]=0),1,0)</f>
        <v>0</v>
      </c>
      <c r="AG1459" t="str">
        <f>INDEX(vp.data[[#Headers],[Unknown]:[Heavy_SW]],MATCH(1,vp.data[[#This Row],[Unknown]:[Heavy_SW]],0))</f>
        <v>Medium_LSB</v>
      </c>
      <c r="AH1459">
        <f>INDEX([3]!crudeBD.lkup[Number],MATCH(vp.data[[#This Row],[Crude_Breakdown]],crudeBD.lkup[Crude Breakdown],0))</f>
        <v>3</v>
      </c>
      <c r="AI1459">
        <f>MONTH(vp.data[[#This Row],[SDate]])</f>
        <v>5</v>
      </c>
      <c r="AJ1459" s="5">
        <f>(vp.data[[#This Row],[VP]]-INDEX(crudeBD.lkup[Mean_VP],MATCH(vp.data[[#This Row],[Crude_Breakdown]],crudeBD.lkup[Crude Breakdown],0)))^2</f>
        <v>2.7566739590676574</v>
      </c>
      <c r="AK1459" s="5">
        <f>(vp.data[[#This Row],[Dens]]-INDEX(crudeBD.lkup[Mean_Dens],MATCH(vp.data[[#This Row],[Crude_Breakdown]],crudeBD.lkup[Crude Breakdown],0)))^2</f>
        <v>253.44639999998421</v>
      </c>
      <c r="AL1459" s="5">
        <f>(vp.data[[#This Row],[Sulf]]-INDEX(crudeBD.lkup[Mean_Sulf],MATCH(vp.data[[#This Row],[Crude_Breakdown]],crudeBD.lkup[Crude Breakdown],0)))^2</f>
        <v>3.786599716038206E-2</v>
      </c>
      <c r="AM1459" s="4">
        <f>IF(AND(vp.data[[#This Row],[SDate]]&gt;=DATE(YEAR(vp.data[[#This Row],[SDate]]),5,1),vp.data[[#This Row],[SDate]]&lt;=DATE(YEAR(vp.data[[#This Row],[SDate]]),9,15)),1,0)</f>
        <v>1</v>
      </c>
      <c r="AN1459" s="4">
        <f>IF(vp.data[[#This Row],[SDate]]&lt;DATE(2016,12,1),0,1)</f>
        <v>1</v>
      </c>
      <c r="AO1459" s="4">
        <f>IFERROR(vp.data[[#This Row],[Sulf]]*vp.data[[#This Row],[Net Dens]],"")</f>
        <v>12572419.266720001</v>
      </c>
      <c r="AP1459">
        <f>IFERROR(vp.data[[#This Row],[Dens]]*vp.data[[#This Row],[VolumeM3]],"")</f>
        <v>7957227.3839999996</v>
      </c>
      <c r="AQ1459" s="15">
        <f>IFERROR(vp.data[[#This Row],[VP]]*vp.data[[#This Row],[VolumeM3]],"")</f>
        <v>790917.64939999999</v>
      </c>
    </row>
    <row r="1460" spans="1:43" x14ac:dyDescent="0.25">
      <c r="A1460">
        <v>1459</v>
      </c>
      <c r="B1460" t="s">
        <v>51</v>
      </c>
      <c r="C1460" t="s">
        <v>51</v>
      </c>
      <c r="D1460" t="s">
        <v>309</v>
      </c>
      <c r="F1460" s="1">
        <v>42865</v>
      </c>
      <c r="G1460" s="2">
        <v>63</v>
      </c>
      <c r="H1460" s="2"/>
      <c r="I1460" s="2" t="str">
        <f t="array" ref="I146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460" s="2"/>
      <c r="K1460" s="2"/>
      <c r="L1460" s="2"/>
      <c r="M1460" s="2" t="str">
        <f t="array" ref="M146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460" s="2">
        <f ca="1">INDEX(INDIRECT(_xlfn.CONCAT("weather.tbl[",N$1,"]")),MATCH(vp.data[[#This Row],[SDate]],weather.tbl[Date],0))</f>
        <v>8.9833333333333325</v>
      </c>
      <c r="O1460" s="2">
        <f ca="1">INDEX(INDIRECT(_xlfn.CONCAT("weather.tbl[",O$1,"]")),MATCH(vp.data[[#This Row],[SDate]],weather.tbl[Date],0))</f>
        <v>13.607142857142858</v>
      </c>
      <c r="P1460" s="2">
        <f ca="1">INDEX(INDIRECT(_xlfn.CONCAT("weather.tbl[",P$1,"]")),MATCH(vp.data[[#This Row],[SDate]],weather.tbl[Date],0))</f>
        <v>9.9</v>
      </c>
      <c r="Q1460" s="2">
        <f ca="1">INDEX(INDIRECT(_xlfn.CONCAT("weather.tbl[",Q$1,"]")),MATCH(vp.data[[#This Row],[SDate]],weather.tbl[Date],0))</f>
        <v>9.4</v>
      </c>
      <c r="R1460" s="2">
        <f ca="1">INDEX(INDIRECT(_xlfn.CONCAT("weather.tbl[",R$1,"]")),MATCH(vp.data[[#This Row],[SDate]],weather.tbl[Date],0))</f>
        <v>8.8000000000000007</v>
      </c>
      <c r="S1460" s="2">
        <f ca="1">INDEX(INDIRECT(_xlfn.CONCAT("weather.tbl[",S$1,"]")),MATCH(vp.data[[#This Row],[SDate]],weather.tbl[Date],0))</f>
        <v>9</v>
      </c>
      <c r="T1460" s="2">
        <f ca="1">INDEX(INDIRECT(_xlfn.CONCAT("weather.tbl[",T$1,"]")),MATCH(vp.data[[#This Row],[SDate]],weather.tbl[Date],0))</f>
        <v>9</v>
      </c>
      <c r="U1460" s="2">
        <f ca="1">INDEX(INDIRECT(_xlfn.CONCAT("weather.tbl[",U$1,"]")),MATCH(vp.data[[#This Row],[SDate]],weather.tbl[Date],0))</f>
        <v>7.8</v>
      </c>
      <c r="V1460" s="2" t="str">
        <f t="array" ref="V14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460" t="s">
        <v>48</v>
      </c>
      <c r="X1460">
        <f>IF(OR(vp.data[[#This Row],[Sulf]]="",vp.data[[#This Row],[Dens]]=""),1,0)</f>
        <v>1</v>
      </c>
      <c r="Y1460">
        <f>IF(vp.data[[#This Row],[CrudeType]]="C5+",1,0)</f>
        <v>0</v>
      </c>
      <c r="Z1460">
        <f>IF(AND(vp.data[[#This Row],[CrudeType]]="Crude",vp.data[[#This Row],[Dens]]&lt;=825,vp.data[[#This Row],[Sulf]]&gt;0.5,vp.data[[#This Row],[Unknown]]=0),1,0)</f>
        <v>0</v>
      </c>
      <c r="AA1460">
        <f>IF(AND(vp.data[[#This Row],[CrudeType]]="Crude",vp.data[[#This Row],[Dens]]&lt;=825,vp.data[[#This Row],[Sulf]]&lt;=0.5,vp.data[[#This Row],[Unknown]]=0),1,0)</f>
        <v>0</v>
      </c>
      <c r="AB14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60">
        <f>IF(AND(vp.data[[#This Row],[CrudeType]]="Crude",vp.data[[#This Row],[Dens]]&gt;825,vp.data[[#This Row],[Dens]]&lt;=900,vp.data[[#This Row],[Sulf]]&lt;=0.5,vp.data[[#This Row],[Unknown]]=0),1,0)</f>
        <v>0</v>
      </c>
      <c r="AD1460">
        <f>IF(AND(vp.data[[#This Row],[CrudeType]]="Crude",vp.data[[#This Row],[Dens]]&gt;865,vp.data[[#This Row],[Dens]]&lt;=900,vp.data[[#This Row],[Sulf]]&gt;2,vp.data[[#This Row],[Unknown]]=0),1,0)</f>
        <v>0</v>
      </c>
      <c r="AE1460">
        <f>IF(AND(vp.data[[#This Row],[CrudeType]]="Crude",vp.data[[#This Row],[Dens]]&gt;900,vp.data[[#This Row],[Sulf]]&lt;=0.5,vp.data[[#This Row],[Unknown]]=0),1,0)</f>
        <v>0</v>
      </c>
      <c r="AF1460">
        <f>IF(AND(vp.data[[#This Row],[CrudeType]]="Crude",vp.data[[#This Row],[Dens]]&gt;900,vp.data[[#This Row],[Sulf]]&lt;=0.5,vp.data[[#This Row],[Unknown]]=0),1,0)</f>
        <v>0</v>
      </c>
      <c r="AG1460" t="str">
        <f>INDEX(vp.data[[#Headers],[Unknown]:[Heavy_SW]],MATCH(1,vp.data[[#This Row],[Unknown]:[Heavy_SW]],0))</f>
        <v>Unknown</v>
      </c>
      <c r="AH1460">
        <f>INDEX([3]!crudeBD.lkup[Number],MATCH(vp.data[[#This Row],[Crude_Breakdown]],crudeBD.lkup[Crude Breakdown],0))</f>
        <v>-1</v>
      </c>
      <c r="AI1460">
        <f>MONTH(vp.data[[#This Row],[SDate]])</f>
        <v>5</v>
      </c>
      <c r="AJ1460" s="5">
        <f>(vp.data[[#This Row],[VP]]-INDEX(crudeBD.lkup[Mean_VP],MATCH(vp.data[[#This Row],[Crude_Breakdown]],crudeBD.lkup[Crude Breakdown],0)))^2</f>
        <v>117.61699625164134</v>
      </c>
      <c r="AK1460" s="5" t="e">
        <f>(vp.data[[#This Row],[Dens]]-INDEX(crudeBD.lkup[Mean_Dens],MATCH(vp.data[[#This Row],[Crude_Breakdown]],crudeBD.lkup[Crude Breakdown],0)))^2</f>
        <v>#VALUE!</v>
      </c>
      <c r="AL1460" s="5" t="e">
        <f>(vp.data[[#This Row],[Sulf]]-INDEX(crudeBD.lkup[Mean_Sulf],MATCH(vp.data[[#This Row],[Crude_Breakdown]],crudeBD.lkup[Crude Breakdown],0)))^2</f>
        <v>#VALUE!</v>
      </c>
      <c r="AM1460" s="4">
        <f>IF(AND(vp.data[[#This Row],[SDate]]&gt;=DATE(YEAR(vp.data[[#This Row],[SDate]]),5,1),vp.data[[#This Row],[SDate]]&lt;=DATE(YEAR(vp.data[[#This Row],[SDate]]),9,15)),1,0)</f>
        <v>1</v>
      </c>
      <c r="AN1460" s="4">
        <f>IF(vp.data[[#This Row],[SDate]]&lt;DATE(2016,12,1),0,1)</f>
        <v>1</v>
      </c>
      <c r="AO1460" s="4" t="str">
        <f>IFERROR(vp.data[[#This Row],[Sulf]]*vp.data[[#This Row],[Net Dens]],"")</f>
        <v/>
      </c>
      <c r="AP1460" t="str">
        <f>IFERROR(vp.data[[#This Row],[Dens]]*vp.data[[#This Row],[VolumeM3]],"")</f>
        <v/>
      </c>
      <c r="AQ1460" s="15" t="str">
        <f>IFERROR(vp.data[[#This Row],[VP]]*vp.data[[#This Row],[VolumeM3]],"")</f>
        <v/>
      </c>
    </row>
    <row r="1461" spans="1:43" x14ac:dyDescent="0.25">
      <c r="A1461">
        <v>1460</v>
      </c>
      <c r="B1461" t="s">
        <v>51</v>
      </c>
      <c r="C1461" t="s">
        <v>51</v>
      </c>
      <c r="D1461" t="s">
        <v>310</v>
      </c>
      <c r="F1461" s="1">
        <v>42865</v>
      </c>
      <c r="G1461" s="2">
        <v>71.599999999999994</v>
      </c>
      <c r="H1461" s="2"/>
      <c r="I1461" s="2">
        <f t="array" ref="I1461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461" s="2"/>
      <c r="K1461" s="2"/>
      <c r="L1461" s="2"/>
      <c r="M1461" s="2">
        <f t="array" ref="M1461">_xlfn.IFNA(IF(vp.data[[#This Row],[Dens Input]]="",INDEX([1]DATA!$O$3:$O$9826,MATCH(1,(vp.data[[#This Row],[Battery]]=[1]DATA!$L$3:$L$9826)*(EOMONTH(vp.data[[#This Row],[SDate]],-1)+1=[1]DATA!$G$3:$G$9826),0)),vp.data[[#This Row],[Dens Input]]),"")</f>
        <v>853.6</v>
      </c>
      <c r="N1461" s="2">
        <f ca="1">INDEX(INDIRECT(_xlfn.CONCAT("weather.tbl[",N$1,"]")),MATCH(vp.data[[#This Row],[SDate]],weather.tbl[Date],0))</f>
        <v>8.9833333333333325</v>
      </c>
      <c r="O1461" s="2">
        <f ca="1">INDEX(INDIRECT(_xlfn.CONCAT("weather.tbl[",O$1,"]")),MATCH(vp.data[[#This Row],[SDate]],weather.tbl[Date],0))</f>
        <v>13.607142857142858</v>
      </c>
      <c r="P1461" s="2">
        <f ca="1">INDEX(INDIRECT(_xlfn.CONCAT("weather.tbl[",P$1,"]")),MATCH(vp.data[[#This Row],[SDate]],weather.tbl[Date],0))</f>
        <v>9.9</v>
      </c>
      <c r="Q1461" s="2">
        <f ca="1">INDEX(INDIRECT(_xlfn.CONCAT("weather.tbl[",Q$1,"]")),MATCH(vp.data[[#This Row],[SDate]],weather.tbl[Date],0))</f>
        <v>9.4</v>
      </c>
      <c r="R1461" s="2">
        <f ca="1">INDEX(INDIRECT(_xlfn.CONCAT("weather.tbl[",R$1,"]")),MATCH(vp.data[[#This Row],[SDate]],weather.tbl[Date],0))</f>
        <v>8.8000000000000007</v>
      </c>
      <c r="S1461" s="2">
        <f ca="1">INDEX(INDIRECT(_xlfn.CONCAT("weather.tbl[",S$1,"]")),MATCH(vp.data[[#This Row],[SDate]],weather.tbl[Date],0))</f>
        <v>9</v>
      </c>
      <c r="T1461" s="2">
        <f ca="1">INDEX(INDIRECT(_xlfn.CONCAT("weather.tbl[",T$1,"]")),MATCH(vp.data[[#This Row],[SDate]],weather.tbl[Date],0))</f>
        <v>9</v>
      </c>
      <c r="U1461" s="2">
        <f ca="1">INDEX(INDIRECT(_xlfn.CONCAT("weather.tbl[",U$1,"]")),MATCH(vp.data[[#This Row],[SDate]],weather.tbl[Date],0))</f>
        <v>7.8</v>
      </c>
      <c r="V1461" s="2">
        <f t="array" ref="V14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1128.8409999999999</v>
      </c>
      <c r="W1461" t="s">
        <v>48</v>
      </c>
      <c r="X1461">
        <f>IF(OR(vp.data[[#This Row],[Sulf]]="",vp.data[[#This Row],[Dens]]=""),1,0)</f>
        <v>0</v>
      </c>
      <c r="Y1461">
        <f>IF(vp.data[[#This Row],[CrudeType]]="C5+",1,0)</f>
        <v>0</v>
      </c>
      <c r="Z1461">
        <f>IF(AND(vp.data[[#This Row],[CrudeType]]="Crude",vp.data[[#This Row],[Dens]]&lt;=825,vp.data[[#This Row],[Sulf]]&gt;0.5,vp.data[[#This Row],[Unknown]]=0),1,0)</f>
        <v>0</v>
      </c>
      <c r="AA1461">
        <f>IF(AND(vp.data[[#This Row],[CrudeType]]="Crude",vp.data[[#This Row],[Dens]]&lt;=825,vp.data[[#This Row],[Sulf]]&lt;=0.5,vp.data[[#This Row],[Unknown]]=0),1,0)</f>
        <v>0</v>
      </c>
      <c r="AB14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1">
        <f>IF(AND(vp.data[[#This Row],[CrudeType]]="Crude",vp.data[[#This Row],[Dens]]&gt;825,vp.data[[#This Row],[Dens]]&lt;=900,vp.data[[#This Row],[Sulf]]&lt;=0.5,vp.data[[#This Row],[Unknown]]=0),1,0)</f>
        <v>0</v>
      </c>
      <c r="AD1461">
        <f>IF(AND(vp.data[[#This Row],[CrudeType]]="Crude",vp.data[[#This Row],[Dens]]&gt;865,vp.data[[#This Row],[Dens]]&lt;=900,vp.data[[#This Row],[Sulf]]&gt;2,vp.data[[#This Row],[Unknown]]=0),1,0)</f>
        <v>0</v>
      </c>
      <c r="AE1461">
        <f>IF(AND(vp.data[[#This Row],[CrudeType]]="Crude",vp.data[[#This Row],[Dens]]&gt;900,vp.data[[#This Row],[Sulf]]&lt;=0.5,vp.data[[#This Row],[Unknown]]=0),1,0)</f>
        <v>0</v>
      </c>
      <c r="AF1461">
        <f>IF(AND(vp.data[[#This Row],[CrudeType]]="Crude",vp.data[[#This Row],[Dens]]&gt;900,vp.data[[#This Row],[Sulf]]&lt;=0.5,vp.data[[#This Row],[Unknown]]=0),1,0)</f>
        <v>0</v>
      </c>
      <c r="AG1461" t="str">
        <f>INDEX(vp.data[[#Headers],[Unknown]:[Heavy_SW]],MATCH(1,vp.data[[#This Row],[Unknown]:[Heavy_SW]],0))</f>
        <v>Medium_LSB</v>
      </c>
      <c r="AH1461">
        <f>INDEX([3]!crudeBD.lkup[Number],MATCH(vp.data[[#This Row],[Crude_Breakdown]],crudeBD.lkup[Crude Breakdown],0))</f>
        <v>3</v>
      </c>
      <c r="AI1461">
        <f>MONTH(vp.data[[#This Row],[SDate]])</f>
        <v>5</v>
      </c>
      <c r="AJ1461" s="5">
        <f>(vp.data[[#This Row],[VP]]-INDEX(crudeBD.lkup[Mean_VP],MATCH(vp.data[[#This Row],[Crude_Breakdown]],crudeBD.lkup[Crude Breakdown],0)))^2</f>
        <v>81.715752126182139</v>
      </c>
      <c r="AK1461" s="5">
        <f>(vp.data[[#This Row],[Dens]]-INDEX(crudeBD.lkup[Mean_Dens],MATCH(vp.data[[#This Row],[Crude_Breakdown]],crudeBD.lkup[Crude Breakdown],0)))^2</f>
        <v>93.70240000001003</v>
      </c>
      <c r="AL1461" s="5">
        <f>(vp.data[[#This Row],[Sulf]]-INDEX(crudeBD.lkup[Mean_Sulf],MATCH(vp.data[[#This Row],[Crude_Breakdown]],crudeBD.lkup[Crude Breakdown],0)))^2</f>
        <v>1.9884351657733202E-3</v>
      </c>
      <c r="AM1461" s="4">
        <f>IF(AND(vp.data[[#This Row],[SDate]]&gt;=DATE(YEAR(vp.data[[#This Row],[SDate]]),5,1),vp.data[[#This Row],[SDate]]&lt;=DATE(YEAR(vp.data[[#This Row],[SDate]]),9,15)),1,0)</f>
        <v>1</v>
      </c>
      <c r="AN1461" s="4">
        <f>IF(vp.data[[#This Row],[SDate]]&lt;DATE(2016,12,1),0,1)</f>
        <v>1</v>
      </c>
      <c r="AO1461" s="4">
        <f>IFERROR(vp.data[[#This Row],[Sulf]]*vp.data[[#This Row],[Net Dens]],"")</f>
        <v>1377917.5089679998</v>
      </c>
      <c r="AP1461">
        <f>IFERROR(vp.data[[#This Row],[Dens]]*vp.data[[#This Row],[VolumeM3]],"")</f>
        <v>963578.67759999994</v>
      </c>
      <c r="AQ1461" s="15">
        <f>IFERROR(vp.data[[#This Row],[VP]]*vp.data[[#This Row],[VolumeM3]],"")</f>
        <v>80825.015599999984</v>
      </c>
    </row>
    <row r="1462" spans="1:43" x14ac:dyDescent="0.25">
      <c r="A1462">
        <v>1461</v>
      </c>
      <c r="B1462" t="s">
        <v>132</v>
      </c>
      <c r="C1462" t="s">
        <v>132</v>
      </c>
      <c r="D1462" t="s">
        <v>311</v>
      </c>
      <c r="F1462" s="1">
        <v>42865</v>
      </c>
      <c r="G1462" s="2">
        <v>51.4</v>
      </c>
      <c r="H1462" s="2"/>
      <c r="I1462" s="2">
        <f t="array" ref="I1462">_xlfn.IFNA(IF(vp.data[[#This Row],[Sulf Input]]="",INDEX([1]DATA!$Q$3:$Q$9826,MATCH(1,(vp.data[[#This Row],[Battery]]=[1]DATA!$L$3:$L$9826)*(EOMONTH(vp.data[[#This Row],[SDate]],-1)+1=[1]DATA!$G$3:$G$9826),0)),vp.data[[#This Row],[Sulf Input]]),"")</f>
        <v>2.08</v>
      </c>
      <c r="J1462" s="2"/>
      <c r="K1462" s="2"/>
      <c r="L1462" s="2"/>
      <c r="M1462" s="2">
        <f t="array" ref="M1462">_xlfn.IFNA(IF(vp.data[[#This Row],[Dens Input]]="",INDEX([1]DATA!$O$3:$O$9826,MATCH(1,(vp.data[[#This Row],[Battery]]=[1]DATA!$L$3:$L$9826)*(EOMONTH(vp.data[[#This Row],[SDate]],-1)+1=[1]DATA!$G$3:$G$9826),0)),vp.data[[#This Row],[Dens Input]]),"")</f>
        <v>884</v>
      </c>
      <c r="N1462" s="2">
        <f ca="1">INDEX(INDIRECT(_xlfn.CONCAT("weather.tbl[",N$1,"]")),MATCH(vp.data[[#This Row],[SDate]],weather.tbl[Date],0))</f>
        <v>8.9833333333333325</v>
      </c>
      <c r="O1462" s="2">
        <f ca="1">INDEX(INDIRECT(_xlfn.CONCAT("weather.tbl[",O$1,"]")),MATCH(vp.data[[#This Row],[SDate]],weather.tbl[Date],0))</f>
        <v>13.607142857142858</v>
      </c>
      <c r="P1462" s="2">
        <f ca="1">INDEX(INDIRECT(_xlfn.CONCAT("weather.tbl[",P$1,"]")),MATCH(vp.data[[#This Row],[SDate]],weather.tbl[Date],0))</f>
        <v>9.9</v>
      </c>
      <c r="Q1462" s="2">
        <f ca="1">INDEX(INDIRECT(_xlfn.CONCAT("weather.tbl[",Q$1,"]")),MATCH(vp.data[[#This Row],[SDate]],weather.tbl[Date],0))</f>
        <v>9.4</v>
      </c>
      <c r="R1462" s="2">
        <f ca="1">INDEX(INDIRECT(_xlfn.CONCAT("weather.tbl[",R$1,"]")),MATCH(vp.data[[#This Row],[SDate]],weather.tbl[Date],0))</f>
        <v>8.8000000000000007</v>
      </c>
      <c r="S1462" s="2">
        <f ca="1">INDEX(INDIRECT(_xlfn.CONCAT("weather.tbl[",S$1,"]")),MATCH(vp.data[[#This Row],[SDate]],weather.tbl[Date],0))</f>
        <v>9</v>
      </c>
      <c r="T1462" s="2">
        <f ca="1">INDEX(INDIRECT(_xlfn.CONCAT("weather.tbl[",T$1,"]")),MATCH(vp.data[[#This Row],[SDate]],weather.tbl[Date],0))</f>
        <v>9</v>
      </c>
      <c r="U1462" s="2">
        <f ca="1">INDEX(INDIRECT(_xlfn.CONCAT("weather.tbl[",U$1,"]")),MATCH(vp.data[[#This Row],[SDate]],weather.tbl[Date],0))</f>
        <v>7.8</v>
      </c>
      <c r="V1462" s="2">
        <f t="array" ref="V14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152.65</v>
      </c>
      <c r="W1462" t="s">
        <v>48</v>
      </c>
      <c r="X1462">
        <f>IF(OR(vp.data[[#This Row],[Sulf]]="",vp.data[[#This Row],[Dens]]=""),1,0)</f>
        <v>0</v>
      </c>
      <c r="Y1462">
        <f>IF(vp.data[[#This Row],[CrudeType]]="C5+",1,0)</f>
        <v>0</v>
      </c>
      <c r="Z1462">
        <f>IF(AND(vp.data[[#This Row],[CrudeType]]="Crude",vp.data[[#This Row],[Dens]]&lt;=825,vp.data[[#This Row],[Sulf]]&gt;0.5,vp.data[[#This Row],[Unknown]]=0),1,0)</f>
        <v>0</v>
      </c>
      <c r="AA1462">
        <f>IF(AND(vp.data[[#This Row],[CrudeType]]="Crude",vp.data[[#This Row],[Dens]]&lt;=825,vp.data[[#This Row],[Sulf]]&lt;=0.5,vp.data[[#This Row],[Unknown]]=0),1,0)</f>
        <v>0</v>
      </c>
      <c r="AB14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62">
        <f>IF(AND(vp.data[[#This Row],[CrudeType]]="Crude",vp.data[[#This Row],[Dens]]&gt;825,vp.data[[#This Row],[Dens]]&lt;=900,vp.data[[#This Row],[Sulf]]&lt;=0.5,vp.data[[#This Row],[Unknown]]=0),1,0)</f>
        <v>0</v>
      </c>
      <c r="AD1462">
        <f>IF(AND(vp.data[[#This Row],[CrudeType]]="Crude",vp.data[[#This Row],[Dens]]&gt;865,vp.data[[#This Row],[Dens]]&lt;=900,vp.data[[#This Row],[Sulf]]&gt;2,vp.data[[#This Row],[Unknown]]=0),1,0)</f>
        <v>1</v>
      </c>
      <c r="AE1462">
        <f>IF(AND(vp.data[[#This Row],[CrudeType]]="Crude",vp.data[[#This Row],[Dens]]&gt;900,vp.data[[#This Row],[Sulf]]&lt;=0.5,vp.data[[#This Row],[Unknown]]=0),1,0)</f>
        <v>0</v>
      </c>
      <c r="AF1462">
        <f>IF(AND(vp.data[[#This Row],[CrudeType]]="Crude",vp.data[[#This Row],[Dens]]&gt;900,vp.data[[#This Row],[Sulf]]&lt;=0.5,vp.data[[#This Row],[Unknown]]=0),1,0)</f>
        <v>0</v>
      </c>
      <c r="AG1462" t="str">
        <f>INDEX(vp.data[[#Headers],[Unknown]:[Heavy_SW]],MATCH(1,vp.data[[#This Row],[Unknown]:[Heavy_SW]],0))</f>
        <v>Midale</v>
      </c>
      <c r="AH1462">
        <f>INDEX([3]!crudeBD.lkup[Number],MATCH(vp.data[[#This Row],[Crude_Breakdown]],crudeBD.lkup[Crude Breakdown],0))</f>
        <v>5</v>
      </c>
      <c r="AI1462">
        <f>MONTH(vp.data[[#This Row],[SDate]])</f>
        <v>5</v>
      </c>
      <c r="AJ1462" s="5">
        <f>(vp.data[[#This Row],[VP]]-INDEX(crudeBD.lkup[Mean_VP],MATCH(vp.data[[#This Row],[Crude_Breakdown]],crudeBD.lkup[Crude Breakdown],0)))^2</f>
        <v>324.31554070570849</v>
      </c>
      <c r="AK1462" s="5">
        <f>(vp.data[[#This Row],[Dens]]-INDEX(crudeBD.lkup[Mean_Dens],MATCH(vp.data[[#This Row],[Crude_Breakdown]],crudeBD.lkup[Crude Breakdown],0)))^2</f>
        <v>84.32729965989445</v>
      </c>
      <c r="AL1462" s="5">
        <f>(vp.data[[#This Row],[Sulf]]-INDEX(crudeBD.lkup[Mean_Sulf],MATCH(vp.data[[#This Row],[Crude_Breakdown]],crudeBD.lkup[Crude Breakdown],0)))^2</f>
        <v>0.13221628057222767</v>
      </c>
      <c r="AM1462" s="4">
        <f>IF(AND(vp.data[[#This Row],[SDate]]&gt;=DATE(YEAR(vp.data[[#This Row],[SDate]]),5,1),vp.data[[#This Row],[SDate]]&lt;=DATE(YEAR(vp.data[[#This Row],[SDate]]),9,15)),1,0)</f>
        <v>1</v>
      </c>
      <c r="AN1462" s="4">
        <f>IF(vp.data[[#This Row],[SDate]]&lt;DATE(2016,12,1),0,1)</f>
        <v>1</v>
      </c>
      <c r="AO1462" s="4">
        <f>IFERROR(vp.data[[#This Row],[Sulf]]*vp.data[[#This Row],[Net Dens]],"")</f>
        <v>280680.60800000001</v>
      </c>
      <c r="AP1462">
        <f>IFERROR(vp.data[[#This Row],[Dens]]*vp.data[[#This Row],[VolumeM3]],"")</f>
        <v>134942.6</v>
      </c>
      <c r="AQ1462" s="15">
        <f>IFERROR(vp.data[[#This Row],[VP]]*vp.data[[#This Row],[VolumeM3]],"")</f>
        <v>7846.21</v>
      </c>
    </row>
    <row r="1463" spans="1:43" x14ac:dyDescent="0.25">
      <c r="A1463">
        <v>1462</v>
      </c>
      <c r="B1463" t="s">
        <v>312</v>
      </c>
      <c r="C1463" t="s">
        <v>312</v>
      </c>
      <c r="D1463" t="s">
        <v>313</v>
      </c>
      <c r="F1463" s="1">
        <v>42865</v>
      </c>
      <c r="G1463" s="2">
        <v>60.8</v>
      </c>
      <c r="H1463" s="2"/>
      <c r="I1463" s="2">
        <f t="array" ref="I1463">_xlfn.IFNA(IF(vp.data[[#This Row],[Sulf Input]]="",INDEX([1]DATA!$Q$3:$Q$9826,MATCH(1,(vp.data[[#This Row],[Battery]]=[1]DATA!$L$3:$L$9826)*(EOMONTH(vp.data[[#This Row],[SDate]],-1)+1=[1]DATA!$G$3:$G$9826),0)),vp.data[[#This Row],[Sulf Input]]),"")</f>
        <v>1.81</v>
      </c>
      <c r="J1463" s="2"/>
      <c r="K1463" s="2"/>
      <c r="L1463" s="2"/>
      <c r="M1463" s="2">
        <f t="array" ref="M1463">_xlfn.IFNA(IF(vp.data[[#This Row],[Dens Input]]="",INDEX([1]DATA!$O$3:$O$9826,MATCH(1,(vp.data[[#This Row],[Battery]]=[1]DATA!$L$3:$L$9826)*(EOMONTH(vp.data[[#This Row],[SDate]],-1)+1=[1]DATA!$G$3:$G$9826),0)),vp.data[[#This Row],[Dens Input]]),"")</f>
        <v>855</v>
      </c>
      <c r="N1463" s="2">
        <f ca="1">INDEX(INDIRECT(_xlfn.CONCAT("weather.tbl[",N$1,"]")),MATCH(vp.data[[#This Row],[SDate]],weather.tbl[Date],0))</f>
        <v>8.9833333333333325</v>
      </c>
      <c r="O1463" s="2">
        <f ca="1">INDEX(INDIRECT(_xlfn.CONCAT("weather.tbl[",O$1,"]")),MATCH(vp.data[[#This Row],[SDate]],weather.tbl[Date],0))</f>
        <v>13.607142857142858</v>
      </c>
      <c r="P1463" s="2">
        <f ca="1">INDEX(INDIRECT(_xlfn.CONCAT("weather.tbl[",P$1,"]")),MATCH(vp.data[[#This Row],[SDate]],weather.tbl[Date],0))</f>
        <v>9.9</v>
      </c>
      <c r="Q1463" s="2">
        <f ca="1">INDEX(INDIRECT(_xlfn.CONCAT("weather.tbl[",Q$1,"]")),MATCH(vp.data[[#This Row],[SDate]],weather.tbl[Date],0))</f>
        <v>9.4</v>
      </c>
      <c r="R1463" s="2">
        <f ca="1">INDEX(INDIRECT(_xlfn.CONCAT("weather.tbl[",R$1,"]")),MATCH(vp.data[[#This Row],[SDate]],weather.tbl[Date],0))</f>
        <v>8.8000000000000007</v>
      </c>
      <c r="S1463" s="2">
        <f ca="1">INDEX(INDIRECT(_xlfn.CONCAT("weather.tbl[",S$1,"]")),MATCH(vp.data[[#This Row],[SDate]],weather.tbl[Date],0))</f>
        <v>9</v>
      </c>
      <c r="T1463" s="2">
        <f ca="1">INDEX(INDIRECT(_xlfn.CONCAT("weather.tbl[",T$1,"]")),MATCH(vp.data[[#This Row],[SDate]],weather.tbl[Date],0))</f>
        <v>9</v>
      </c>
      <c r="U1463" s="2">
        <f ca="1">INDEX(INDIRECT(_xlfn.CONCAT("weather.tbl[",U$1,"]")),MATCH(vp.data[[#This Row],[SDate]],weather.tbl[Date],0))</f>
        <v>7.8</v>
      </c>
      <c r="V1463" s="2">
        <f t="array" ref="V14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357.83300000000003</v>
      </c>
      <c r="W1463" t="s">
        <v>48</v>
      </c>
      <c r="X1463">
        <f>IF(OR(vp.data[[#This Row],[Sulf]]="",vp.data[[#This Row],[Dens]]=""),1,0)</f>
        <v>0</v>
      </c>
      <c r="Y1463">
        <f>IF(vp.data[[#This Row],[CrudeType]]="C5+",1,0)</f>
        <v>0</v>
      </c>
      <c r="Z1463">
        <f>IF(AND(vp.data[[#This Row],[CrudeType]]="Crude",vp.data[[#This Row],[Dens]]&lt;=825,vp.data[[#This Row],[Sulf]]&gt;0.5,vp.data[[#This Row],[Unknown]]=0),1,0)</f>
        <v>0</v>
      </c>
      <c r="AA1463">
        <f>IF(AND(vp.data[[#This Row],[CrudeType]]="Crude",vp.data[[#This Row],[Dens]]&lt;=825,vp.data[[#This Row],[Sulf]]&lt;=0.5,vp.data[[#This Row],[Unknown]]=0),1,0)</f>
        <v>0</v>
      </c>
      <c r="AB14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3">
        <f>IF(AND(vp.data[[#This Row],[CrudeType]]="Crude",vp.data[[#This Row],[Dens]]&gt;825,vp.data[[#This Row],[Dens]]&lt;=900,vp.data[[#This Row],[Sulf]]&lt;=0.5,vp.data[[#This Row],[Unknown]]=0),1,0)</f>
        <v>0</v>
      </c>
      <c r="AD1463">
        <f>IF(AND(vp.data[[#This Row],[CrudeType]]="Crude",vp.data[[#This Row],[Dens]]&gt;865,vp.data[[#This Row],[Dens]]&lt;=900,vp.data[[#This Row],[Sulf]]&gt;2,vp.data[[#This Row],[Unknown]]=0),1,0)</f>
        <v>0</v>
      </c>
      <c r="AE1463">
        <f>IF(AND(vp.data[[#This Row],[CrudeType]]="Crude",vp.data[[#This Row],[Dens]]&gt;900,vp.data[[#This Row],[Sulf]]&lt;=0.5,vp.data[[#This Row],[Unknown]]=0),1,0)</f>
        <v>0</v>
      </c>
      <c r="AF1463">
        <f>IF(AND(vp.data[[#This Row],[CrudeType]]="Crude",vp.data[[#This Row],[Dens]]&gt;900,vp.data[[#This Row],[Sulf]]&lt;=0.5,vp.data[[#This Row],[Unknown]]=0),1,0)</f>
        <v>0</v>
      </c>
      <c r="AG1463" t="str">
        <f>INDEX(vp.data[[#Headers],[Unknown]:[Heavy_SW]],MATCH(1,vp.data[[#This Row],[Unknown]:[Heavy_SW]],0))</f>
        <v>Medium_LSB</v>
      </c>
      <c r="AH1463">
        <f>INDEX([3]!crudeBD.lkup[Number],MATCH(vp.data[[#This Row],[Crude_Breakdown]],crudeBD.lkup[Crude Breakdown],0))</f>
        <v>3</v>
      </c>
      <c r="AI1463">
        <f>MONTH(vp.data[[#This Row],[SDate]])</f>
        <v>5</v>
      </c>
      <c r="AJ1463" s="5">
        <f>(vp.data[[#This Row],[VP]]-INDEX(crudeBD.lkup[Mean_VP],MATCH(vp.data[[#This Row],[Crude_Breakdown]],crudeBD.lkup[Crude Breakdown],0)))^2</f>
        <v>393.61276560326957</v>
      </c>
      <c r="AK1463" s="5">
        <f>(vp.data[[#This Row],[Dens]]-INDEX(crudeBD.lkup[Mean_Dens],MATCH(vp.data[[#This Row],[Crude_Breakdown]],crudeBD.lkup[Crude Breakdown],0)))^2</f>
        <v>122.76640000001099</v>
      </c>
      <c r="AL1463" s="5">
        <f>(vp.data[[#This Row],[Sulf]]-INDEX(crudeBD.lkup[Mean_Sulf],MATCH(vp.data[[#This Row],[Crude_Breakdown]],crudeBD.lkup[Crude Breakdown],0)))^2</f>
        <v>0.18027825888544877</v>
      </c>
      <c r="AM1463" s="4">
        <f>IF(AND(vp.data[[#This Row],[SDate]]&gt;=DATE(YEAR(vp.data[[#This Row],[SDate]]),5,1),vp.data[[#This Row],[SDate]]&lt;=DATE(YEAR(vp.data[[#This Row],[SDate]]),9,15)),1,0)</f>
        <v>1</v>
      </c>
      <c r="AN1463" s="4">
        <f>IF(vp.data[[#This Row],[SDate]]&lt;DATE(2016,12,1),0,1)</f>
        <v>1</v>
      </c>
      <c r="AO1463" s="4">
        <f>IFERROR(vp.data[[#This Row],[Sulf]]*vp.data[[#This Row],[Net Dens]],"")</f>
        <v>553764.45915000001</v>
      </c>
      <c r="AP1463">
        <f>IFERROR(vp.data[[#This Row],[Dens]]*vp.data[[#This Row],[VolumeM3]],"")</f>
        <v>305947.21500000003</v>
      </c>
      <c r="AQ1463" s="15">
        <f>IFERROR(vp.data[[#This Row],[VP]]*vp.data[[#This Row],[VolumeM3]],"")</f>
        <v>21756.2464</v>
      </c>
    </row>
    <row r="1464" spans="1:43" x14ac:dyDescent="0.25">
      <c r="A1464">
        <v>1463</v>
      </c>
      <c r="B1464" t="s">
        <v>161</v>
      </c>
      <c r="C1464" t="s">
        <v>161</v>
      </c>
      <c r="D1464" t="s">
        <v>193</v>
      </c>
      <c r="F1464" s="1">
        <v>42865</v>
      </c>
      <c r="G1464" s="2">
        <v>67.900000000000006</v>
      </c>
      <c r="H1464" s="2"/>
      <c r="I1464" s="2">
        <f t="array" ref="I1464">_xlfn.IFNA(IF(vp.data[[#This Row],[Sulf Input]]="",INDEX([1]DATA!$Q$3:$Q$9826,MATCH(1,(vp.data[[#This Row],[Battery]]=[1]DATA!$L$3:$L$9826)*(EOMONTH(vp.data[[#This Row],[SDate]],-1)+1=[1]DATA!$G$3:$G$9826),0)),vp.data[[#This Row],[Sulf Input]]),"")</f>
        <v>1.54</v>
      </c>
      <c r="J1464" s="2"/>
      <c r="K1464" s="2"/>
      <c r="L1464" s="2"/>
      <c r="M1464" s="2">
        <f t="array" ref="M1464">_xlfn.IFNA(IF(vp.data[[#This Row],[Dens Input]]="",INDEX([1]DATA!$O$3:$O$9826,MATCH(1,(vp.data[[#This Row],[Battery]]=[1]DATA!$L$3:$L$9826)*(EOMONTH(vp.data[[#This Row],[SDate]],-1)+1=[1]DATA!$G$3:$G$9826),0)),vp.data[[#This Row],[Dens Input]]),"")</f>
        <v>851.4</v>
      </c>
      <c r="N1464" s="2">
        <f ca="1">INDEX(INDIRECT(_xlfn.CONCAT("weather.tbl[",N$1,"]")),MATCH(vp.data[[#This Row],[SDate]],weather.tbl[Date],0))</f>
        <v>8.9833333333333325</v>
      </c>
      <c r="O1464" s="2">
        <f ca="1">INDEX(INDIRECT(_xlfn.CONCAT("weather.tbl[",O$1,"]")),MATCH(vp.data[[#This Row],[SDate]],weather.tbl[Date],0))</f>
        <v>13.607142857142858</v>
      </c>
      <c r="P1464" s="2">
        <f ca="1">INDEX(INDIRECT(_xlfn.CONCAT("weather.tbl[",P$1,"]")),MATCH(vp.data[[#This Row],[SDate]],weather.tbl[Date],0))</f>
        <v>9.9</v>
      </c>
      <c r="Q1464" s="2">
        <f ca="1">INDEX(INDIRECT(_xlfn.CONCAT("weather.tbl[",Q$1,"]")),MATCH(vp.data[[#This Row],[SDate]],weather.tbl[Date],0))</f>
        <v>9.4</v>
      </c>
      <c r="R1464" s="2">
        <f ca="1">INDEX(INDIRECT(_xlfn.CONCAT("weather.tbl[",R$1,"]")),MATCH(vp.data[[#This Row],[SDate]],weather.tbl[Date],0))</f>
        <v>8.8000000000000007</v>
      </c>
      <c r="S1464" s="2">
        <f ca="1">INDEX(INDIRECT(_xlfn.CONCAT("weather.tbl[",S$1,"]")),MATCH(vp.data[[#This Row],[SDate]],weather.tbl[Date],0))</f>
        <v>9</v>
      </c>
      <c r="T1464" s="2">
        <f ca="1">INDEX(INDIRECT(_xlfn.CONCAT("weather.tbl[",T$1,"]")),MATCH(vp.data[[#This Row],[SDate]],weather.tbl[Date],0))</f>
        <v>9</v>
      </c>
      <c r="U1464" s="2">
        <f ca="1">INDEX(INDIRECT(_xlfn.CONCAT("weather.tbl[",U$1,"]")),MATCH(vp.data[[#This Row],[SDate]],weather.tbl[Date],0))</f>
        <v>7.8</v>
      </c>
      <c r="V1464" s="2">
        <f t="array" ref="V14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3010.1</v>
      </c>
      <c r="W1464" t="s">
        <v>48</v>
      </c>
      <c r="X1464">
        <f>IF(OR(vp.data[[#This Row],[Sulf]]="",vp.data[[#This Row],[Dens]]=""),1,0)</f>
        <v>0</v>
      </c>
      <c r="Y1464">
        <f>IF(vp.data[[#This Row],[CrudeType]]="C5+",1,0)</f>
        <v>0</v>
      </c>
      <c r="Z1464">
        <f>IF(AND(vp.data[[#This Row],[CrudeType]]="Crude",vp.data[[#This Row],[Dens]]&lt;=825,vp.data[[#This Row],[Sulf]]&gt;0.5,vp.data[[#This Row],[Unknown]]=0),1,0)</f>
        <v>0</v>
      </c>
      <c r="AA1464">
        <f>IF(AND(vp.data[[#This Row],[CrudeType]]="Crude",vp.data[[#This Row],[Dens]]&lt;=825,vp.data[[#This Row],[Sulf]]&lt;=0.5,vp.data[[#This Row],[Unknown]]=0),1,0)</f>
        <v>0</v>
      </c>
      <c r="AB14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4">
        <f>IF(AND(vp.data[[#This Row],[CrudeType]]="Crude",vp.data[[#This Row],[Dens]]&gt;825,vp.data[[#This Row],[Dens]]&lt;=900,vp.data[[#This Row],[Sulf]]&lt;=0.5,vp.data[[#This Row],[Unknown]]=0),1,0)</f>
        <v>0</v>
      </c>
      <c r="AD1464">
        <f>IF(AND(vp.data[[#This Row],[CrudeType]]="Crude",vp.data[[#This Row],[Dens]]&gt;865,vp.data[[#This Row],[Dens]]&lt;=900,vp.data[[#This Row],[Sulf]]&gt;2,vp.data[[#This Row],[Unknown]]=0),1,0)</f>
        <v>0</v>
      </c>
      <c r="AE1464">
        <f>IF(AND(vp.data[[#This Row],[CrudeType]]="Crude",vp.data[[#This Row],[Dens]]&gt;900,vp.data[[#This Row],[Sulf]]&lt;=0.5,vp.data[[#This Row],[Unknown]]=0),1,0)</f>
        <v>0</v>
      </c>
      <c r="AF1464">
        <f>IF(AND(vp.data[[#This Row],[CrudeType]]="Crude",vp.data[[#This Row],[Dens]]&gt;900,vp.data[[#This Row],[Sulf]]&lt;=0.5,vp.data[[#This Row],[Unknown]]=0),1,0)</f>
        <v>0</v>
      </c>
      <c r="AG1464" t="str">
        <f>INDEX(vp.data[[#Headers],[Unknown]:[Heavy_SW]],MATCH(1,vp.data[[#This Row],[Unknown]:[Heavy_SW]],0))</f>
        <v>Medium_LSB</v>
      </c>
      <c r="AH1464">
        <f>INDEX([3]!crudeBD.lkup[Number],MATCH(vp.data[[#This Row],[Crude_Breakdown]],crudeBD.lkup[Crude Breakdown],0))</f>
        <v>3</v>
      </c>
      <c r="AI1464">
        <f>MONTH(vp.data[[#This Row],[SDate]])</f>
        <v>5</v>
      </c>
      <c r="AJ1464" s="5">
        <f>(vp.data[[#This Row],[VP]]-INDEX(crudeBD.lkup[Mean_VP],MATCH(vp.data[[#This Row],[Crude_Breakdown]],crudeBD.lkup[Crude Breakdown],0)))^2</f>
        <v>162.29935859518406</v>
      </c>
      <c r="AK1464" s="5">
        <f>(vp.data[[#This Row],[Dens]]-INDEX(crudeBD.lkup[Mean_Dens],MATCH(vp.data[[#This Row],[Crude_Breakdown]],crudeBD.lkup[Crude Breakdown],0)))^2</f>
        <v>55.950400000007072</v>
      </c>
      <c r="AL1464" s="5">
        <f>(vp.data[[#This Row],[Sulf]]-INDEX(crudeBD.lkup[Mean_Sulf],MATCH(vp.data[[#This Row],[Crude_Breakdown]],crudeBD.lkup[Crude Breakdown],0)))^2</f>
        <v>2.3898647295153057E-2</v>
      </c>
      <c r="AM1464" s="4">
        <f>IF(AND(vp.data[[#This Row],[SDate]]&gt;=DATE(YEAR(vp.data[[#This Row],[SDate]]),5,1),vp.data[[#This Row],[SDate]]&lt;=DATE(YEAR(vp.data[[#This Row],[SDate]]),9,15)),1,0)</f>
        <v>1</v>
      </c>
      <c r="AN1464" s="4">
        <f>IF(vp.data[[#This Row],[SDate]]&lt;DATE(2016,12,1),0,1)</f>
        <v>1</v>
      </c>
      <c r="AO1464" s="4">
        <f>IFERROR(vp.data[[#This Row],[Sulf]]*vp.data[[#This Row],[Net Dens]],"")</f>
        <v>3946710.6755999997</v>
      </c>
      <c r="AP1464">
        <f>IFERROR(vp.data[[#This Row],[Dens]]*vp.data[[#This Row],[VolumeM3]],"")</f>
        <v>2562799.1399999997</v>
      </c>
      <c r="AQ1464" s="15">
        <f>IFERROR(vp.data[[#This Row],[VP]]*vp.data[[#This Row],[VolumeM3]],"")</f>
        <v>204385.79</v>
      </c>
    </row>
    <row r="1465" spans="1:43" x14ac:dyDescent="0.25">
      <c r="A1465">
        <v>1464</v>
      </c>
      <c r="B1465" t="s">
        <v>62</v>
      </c>
      <c r="C1465" t="s">
        <v>62</v>
      </c>
      <c r="D1465" t="s">
        <v>63</v>
      </c>
      <c r="F1465" s="1">
        <v>42865</v>
      </c>
      <c r="G1465" s="2">
        <v>74.900000000000006</v>
      </c>
      <c r="H1465" s="2"/>
      <c r="I1465" s="2">
        <f t="array" ref="I1465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1465" s="2"/>
      <c r="K1465" s="2"/>
      <c r="L1465" s="2"/>
      <c r="M1465" s="2">
        <f t="array" ref="M1465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1465" s="2">
        <f ca="1">INDEX(INDIRECT(_xlfn.CONCAT("weather.tbl[",N$1,"]")),MATCH(vp.data[[#This Row],[SDate]],weather.tbl[Date],0))</f>
        <v>8.9833333333333325</v>
      </c>
      <c r="O1465" s="2">
        <f ca="1">INDEX(INDIRECT(_xlfn.CONCAT("weather.tbl[",O$1,"]")),MATCH(vp.data[[#This Row],[SDate]],weather.tbl[Date],0))</f>
        <v>13.607142857142858</v>
      </c>
      <c r="P1465" s="2">
        <f ca="1">INDEX(INDIRECT(_xlfn.CONCAT("weather.tbl[",P$1,"]")),MATCH(vp.data[[#This Row],[SDate]],weather.tbl[Date],0))</f>
        <v>9.9</v>
      </c>
      <c r="Q1465" s="2">
        <f ca="1">INDEX(INDIRECT(_xlfn.CONCAT("weather.tbl[",Q$1,"]")),MATCH(vp.data[[#This Row],[SDate]],weather.tbl[Date],0))</f>
        <v>9.4</v>
      </c>
      <c r="R1465" s="2">
        <f ca="1">INDEX(INDIRECT(_xlfn.CONCAT("weather.tbl[",R$1,"]")),MATCH(vp.data[[#This Row],[SDate]],weather.tbl[Date],0))</f>
        <v>8.8000000000000007</v>
      </c>
      <c r="S1465" s="2">
        <f ca="1">INDEX(INDIRECT(_xlfn.CONCAT("weather.tbl[",S$1,"]")),MATCH(vp.data[[#This Row],[SDate]],weather.tbl[Date],0))</f>
        <v>9</v>
      </c>
      <c r="T1465" s="2">
        <f ca="1">INDEX(INDIRECT(_xlfn.CONCAT("weather.tbl[",T$1,"]")),MATCH(vp.data[[#This Row],[SDate]],weather.tbl[Date],0))</f>
        <v>9</v>
      </c>
      <c r="U1465" s="2">
        <f ca="1">INDEX(INDIRECT(_xlfn.CONCAT("weather.tbl[",U$1,"]")),MATCH(vp.data[[#This Row],[SDate]],weather.tbl[Date],0))</f>
        <v>7.8</v>
      </c>
      <c r="V1465" s="2">
        <f t="array" ref="V14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9174.1849999999995</v>
      </c>
      <c r="W1465" t="s">
        <v>48</v>
      </c>
      <c r="X1465">
        <f>IF(OR(vp.data[[#This Row],[Sulf]]="",vp.data[[#This Row],[Dens]]=""),1,0)</f>
        <v>0</v>
      </c>
      <c r="Y1465">
        <f>IF(vp.data[[#This Row],[CrudeType]]="C5+",1,0)</f>
        <v>0</v>
      </c>
      <c r="Z1465">
        <f>IF(AND(vp.data[[#This Row],[CrudeType]]="Crude",vp.data[[#This Row],[Dens]]&lt;=825,vp.data[[#This Row],[Sulf]]&gt;0.5,vp.data[[#This Row],[Unknown]]=0),1,0)</f>
        <v>1</v>
      </c>
      <c r="AA1465">
        <f>IF(AND(vp.data[[#This Row],[CrudeType]]="Crude",vp.data[[#This Row],[Dens]]&lt;=825,vp.data[[#This Row],[Sulf]]&lt;=0.5,vp.data[[#This Row],[Unknown]]=0),1,0)</f>
        <v>0</v>
      </c>
      <c r="AB14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65">
        <f>IF(AND(vp.data[[#This Row],[CrudeType]]="Crude",vp.data[[#This Row],[Dens]]&gt;825,vp.data[[#This Row],[Dens]]&lt;=900,vp.data[[#This Row],[Sulf]]&lt;=0.5,vp.data[[#This Row],[Unknown]]=0),1,0)</f>
        <v>0</v>
      </c>
      <c r="AD1465">
        <f>IF(AND(vp.data[[#This Row],[CrudeType]]="Crude",vp.data[[#This Row],[Dens]]&gt;865,vp.data[[#This Row],[Dens]]&lt;=900,vp.data[[#This Row],[Sulf]]&gt;2,vp.data[[#This Row],[Unknown]]=0),1,0)</f>
        <v>0</v>
      </c>
      <c r="AE1465">
        <f>IF(AND(vp.data[[#This Row],[CrudeType]]="Crude",vp.data[[#This Row],[Dens]]&gt;900,vp.data[[#This Row],[Sulf]]&lt;=0.5,vp.data[[#This Row],[Unknown]]=0),1,0)</f>
        <v>0</v>
      </c>
      <c r="AF1465">
        <f>IF(AND(vp.data[[#This Row],[CrudeType]]="Crude",vp.data[[#This Row],[Dens]]&gt;900,vp.data[[#This Row],[Sulf]]&lt;=0.5,vp.data[[#This Row],[Unknown]]=0),1,0)</f>
        <v>0</v>
      </c>
      <c r="AG1465" t="str">
        <f>INDEX(vp.data[[#Headers],[Unknown]:[Heavy_SW]],MATCH(1,vp.data[[#This Row],[Unknown]:[Heavy_SW]],0))</f>
        <v>Light_LSB</v>
      </c>
      <c r="AH1465">
        <f>INDEX([3]!crudeBD.lkup[Number],MATCH(vp.data[[#This Row],[Crude_Breakdown]],crudeBD.lkup[Crude Breakdown],0))</f>
        <v>1</v>
      </c>
      <c r="AI1465">
        <f>MONTH(vp.data[[#This Row],[SDate]])</f>
        <v>5</v>
      </c>
      <c r="AJ1465" s="5">
        <f>(vp.data[[#This Row],[VP]]-INDEX(crudeBD.lkup[Mean_VP],MATCH(vp.data[[#This Row],[Crude_Breakdown]],crudeBD.lkup[Crude Breakdown],0)))^2</f>
        <v>277.09549393134319</v>
      </c>
      <c r="AK1465" s="5">
        <f>(vp.data[[#This Row],[Dens]]-INDEX(crudeBD.lkup[Mean_Dens],MATCH(vp.data[[#This Row],[Crude_Breakdown]],crudeBD.lkup[Crude Breakdown],0)))^2</f>
        <v>8.3130166200227009</v>
      </c>
      <c r="AL1465" s="5">
        <f>(vp.data[[#This Row],[Sulf]]-INDEX(crudeBD.lkup[Mean_Sulf],MATCH(vp.data[[#This Row],[Crude_Breakdown]],crudeBD.lkup[Crude Breakdown],0)))^2</f>
        <v>1.5121908253942369E-2</v>
      </c>
      <c r="AM1465" s="4">
        <f>IF(AND(vp.data[[#This Row],[SDate]]&gt;=DATE(YEAR(vp.data[[#This Row],[SDate]]),5,1),vp.data[[#This Row],[SDate]]&lt;=DATE(YEAR(vp.data[[#This Row],[SDate]]),9,15)),1,0)</f>
        <v>1</v>
      </c>
      <c r="AN1465" s="4">
        <f>IF(vp.data[[#This Row],[SDate]]&lt;DATE(2016,12,1),0,1)</f>
        <v>1</v>
      </c>
      <c r="AO1465" s="4">
        <f>IFERROR(vp.data[[#This Row],[Sulf]]*vp.data[[#This Row],[Net Dens]],"")</f>
        <v>6028540.4472000003</v>
      </c>
      <c r="AP1465">
        <f>IFERROR(vp.data[[#This Row],[Dens]]*vp.data[[#This Row],[VolumeM3]],"")</f>
        <v>7535675.5589999994</v>
      </c>
      <c r="AQ1465" s="15">
        <f>IFERROR(vp.data[[#This Row],[VP]]*vp.data[[#This Row],[VolumeM3]],"")</f>
        <v>687146.45649999997</v>
      </c>
    </row>
    <row r="1466" spans="1:43" x14ac:dyDescent="0.25">
      <c r="A1466">
        <v>1465</v>
      </c>
      <c r="B1466" t="s">
        <v>291</v>
      </c>
      <c r="C1466" t="s">
        <v>291</v>
      </c>
      <c r="D1466" t="s">
        <v>189</v>
      </c>
      <c r="F1466" s="1">
        <v>42865</v>
      </c>
      <c r="G1466" s="2">
        <v>58.9</v>
      </c>
      <c r="H1466" s="2"/>
      <c r="I1466" s="2">
        <f t="array" ref="I1466">_xlfn.IFNA(IF(vp.data[[#This Row],[Sulf Input]]="",INDEX([1]DATA!$Q$3:$Q$9826,MATCH(1,(vp.data[[#This Row],[Battery]]=[1]DATA!$L$3:$L$9826)*(EOMONTH(vp.data[[#This Row],[SDate]],-1)+1=[1]DATA!$G$3:$G$9826),0)),vp.data[[#This Row],[Sulf Input]]),"")</f>
        <v>0.87</v>
      </c>
      <c r="J1466" s="2"/>
      <c r="K1466" s="2"/>
      <c r="L1466" s="2"/>
      <c r="M1466" s="2">
        <f t="array" ref="M1466">_xlfn.IFNA(IF(vp.data[[#This Row],[Dens Input]]="",INDEX([1]DATA!$O$3:$O$9826,MATCH(1,(vp.data[[#This Row],[Battery]]=[1]DATA!$L$3:$L$9826)*(EOMONTH(vp.data[[#This Row],[SDate]],-1)+1=[1]DATA!$G$3:$G$9826),0)),vp.data[[#This Row],[Dens Input]]),"")</f>
        <v>832.7</v>
      </c>
      <c r="N1466" s="2">
        <f ca="1">INDEX(INDIRECT(_xlfn.CONCAT("weather.tbl[",N$1,"]")),MATCH(vp.data[[#This Row],[SDate]],weather.tbl[Date],0))</f>
        <v>8.9833333333333325</v>
      </c>
      <c r="O1466" s="2">
        <f ca="1">INDEX(INDIRECT(_xlfn.CONCAT("weather.tbl[",O$1,"]")),MATCH(vp.data[[#This Row],[SDate]],weather.tbl[Date],0))</f>
        <v>13.607142857142858</v>
      </c>
      <c r="P1466" s="2">
        <f ca="1">INDEX(INDIRECT(_xlfn.CONCAT("weather.tbl[",P$1,"]")),MATCH(vp.data[[#This Row],[SDate]],weather.tbl[Date],0))</f>
        <v>9.9</v>
      </c>
      <c r="Q1466" s="2">
        <f ca="1">INDEX(INDIRECT(_xlfn.CONCAT("weather.tbl[",Q$1,"]")),MATCH(vp.data[[#This Row],[SDate]],weather.tbl[Date],0))</f>
        <v>9.4</v>
      </c>
      <c r="R1466" s="2">
        <f ca="1">INDEX(INDIRECT(_xlfn.CONCAT("weather.tbl[",R$1,"]")),MATCH(vp.data[[#This Row],[SDate]],weather.tbl[Date],0))</f>
        <v>8.8000000000000007</v>
      </c>
      <c r="S1466" s="2">
        <f ca="1">INDEX(INDIRECT(_xlfn.CONCAT("weather.tbl[",S$1,"]")),MATCH(vp.data[[#This Row],[SDate]],weather.tbl[Date],0))</f>
        <v>9</v>
      </c>
      <c r="T1466" s="2">
        <f ca="1">INDEX(INDIRECT(_xlfn.CONCAT("weather.tbl[",T$1,"]")),MATCH(vp.data[[#This Row],[SDate]],weather.tbl[Date],0))</f>
        <v>9</v>
      </c>
      <c r="U1466" s="2">
        <f ca="1">INDEX(INDIRECT(_xlfn.CONCAT("weather.tbl[",U$1,"]")),MATCH(vp.data[[#This Row],[SDate]],weather.tbl[Date],0))</f>
        <v>7.8</v>
      </c>
      <c r="V1466" s="2">
        <f t="array" ref="V14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1058.9000000000001</v>
      </c>
      <c r="W1466" t="s">
        <v>48</v>
      </c>
      <c r="X1466">
        <f>IF(OR(vp.data[[#This Row],[Sulf]]="",vp.data[[#This Row],[Dens]]=""),1,0)</f>
        <v>0</v>
      </c>
      <c r="Y1466">
        <f>IF(vp.data[[#This Row],[CrudeType]]="C5+",1,0)</f>
        <v>0</v>
      </c>
      <c r="Z1466">
        <f>IF(AND(vp.data[[#This Row],[CrudeType]]="Crude",vp.data[[#This Row],[Dens]]&lt;=825,vp.data[[#This Row],[Sulf]]&gt;0.5,vp.data[[#This Row],[Unknown]]=0),1,0)</f>
        <v>0</v>
      </c>
      <c r="AA1466">
        <f>IF(AND(vp.data[[#This Row],[CrudeType]]="Crude",vp.data[[#This Row],[Dens]]&lt;=825,vp.data[[#This Row],[Sulf]]&lt;=0.5,vp.data[[#This Row],[Unknown]]=0),1,0)</f>
        <v>0</v>
      </c>
      <c r="AB14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6">
        <f>IF(AND(vp.data[[#This Row],[CrudeType]]="Crude",vp.data[[#This Row],[Dens]]&gt;825,vp.data[[#This Row],[Dens]]&lt;=900,vp.data[[#This Row],[Sulf]]&lt;=0.5,vp.data[[#This Row],[Unknown]]=0),1,0)</f>
        <v>0</v>
      </c>
      <c r="AD1466">
        <f>IF(AND(vp.data[[#This Row],[CrudeType]]="Crude",vp.data[[#This Row],[Dens]]&gt;865,vp.data[[#This Row],[Dens]]&lt;=900,vp.data[[#This Row],[Sulf]]&gt;2,vp.data[[#This Row],[Unknown]]=0),1,0)</f>
        <v>0</v>
      </c>
      <c r="AE1466">
        <f>IF(AND(vp.data[[#This Row],[CrudeType]]="Crude",vp.data[[#This Row],[Dens]]&gt;900,vp.data[[#This Row],[Sulf]]&lt;=0.5,vp.data[[#This Row],[Unknown]]=0),1,0)</f>
        <v>0</v>
      </c>
      <c r="AF1466">
        <f>IF(AND(vp.data[[#This Row],[CrudeType]]="Crude",vp.data[[#This Row],[Dens]]&gt;900,vp.data[[#This Row],[Sulf]]&lt;=0.5,vp.data[[#This Row],[Unknown]]=0),1,0)</f>
        <v>0</v>
      </c>
      <c r="AG1466" t="str">
        <f>INDEX(vp.data[[#Headers],[Unknown]:[Heavy_SW]],MATCH(1,vp.data[[#This Row],[Unknown]:[Heavy_SW]],0))</f>
        <v>Medium_LSB</v>
      </c>
      <c r="AH1466">
        <f>INDEX([3]!crudeBD.lkup[Number],MATCH(vp.data[[#This Row],[Crude_Breakdown]],crudeBD.lkup[Crude Breakdown],0))</f>
        <v>3</v>
      </c>
      <c r="AI1466">
        <f>MONTH(vp.data[[#This Row],[SDate]])</f>
        <v>5</v>
      </c>
      <c r="AJ1466" s="5">
        <f>(vp.data[[#This Row],[VP]]-INDEX(crudeBD.lkup[Mean_VP],MATCH(vp.data[[#This Row],[Crude_Breakdown]],crudeBD.lkup[Crude Breakdown],0)))^2</f>
        <v>472.61353649275708</v>
      </c>
      <c r="AK1466" s="5">
        <f>(vp.data[[#This Row],[Dens]]-INDEX(crudeBD.lkup[Mean_Dens],MATCH(vp.data[[#This Row],[Crude_Breakdown]],crudeBD.lkup[Crude Breakdown],0)))^2</f>
        <v>125.88839999998785</v>
      </c>
      <c r="AL1466" s="5">
        <f>(vp.data[[#This Row],[Sulf]]-INDEX(crudeBD.lkup[Mean_Sulf],MATCH(vp.data[[#This Row],[Crude_Breakdown]],crudeBD.lkup[Crude Breakdown],0)))^2</f>
        <v>0.26564553705256749</v>
      </c>
      <c r="AM1466" s="4">
        <f>IF(AND(vp.data[[#This Row],[SDate]]&gt;=DATE(YEAR(vp.data[[#This Row],[SDate]]),5,1),vp.data[[#This Row],[SDate]]&lt;=DATE(YEAR(vp.data[[#This Row],[SDate]]),9,15)),1,0)</f>
        <v>1</v>
      </c>
      <c r="AN1466" s="4">
        <f>IF(vp.data[[#This Row],[SDate]]&lt;DATE(2016,12,1),0,1)</f>
        <v>1</v>
      </c>
      <c r="AO1466" s="4">
        <f>IFERROR(vp.data[[#This Row],[Sulf]]*vp.data[[#This Row],[Net Dens]],"")</f>
        <v>767119.04610000015</v>
      </c>
      <c r="AP1466">
        <f>IFERROR(vp.data[[#This Row],[Dens]]*vp.data[[#This Row],[VolumeM3]],"")</f>
        <v>881746.03000000014</v>
      </c>
      <c r="AQ1466" s="15">
        <f>IFERROR(vp.data[[#This Row],[VP]]*vp.data[[#This Row],[VolumeM3]],"")</f>
        <v>62369.210000000006</v>
      </c>
    </row>
    <row r="1467" spans="1:43" x14ac:dyDescent="0.25">
      <c r="A1467">
        <v>1466</v>
      </c>
      <c r="B1467" t="s">
        <v>111</v>
      </c>
      <c r="C1467" t="s">
        <v>111</v>
      </c>
      <c r="D1467" t="s">
        <v>112</v>
      </c>
      <c r="F1467" s="1">
        <v>42865</v>
      </c>
      <c r="G1467" s="2">
        <v>79.099999999999994</v>
      </c>
      <c r="H1467" s="2"/>
      <c r="I1467" s="2">
        <f t="array" ref="I1467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467" s="2"/>
      <c r="K1467" s="2"/>
      <c r="L1467" s="2"/>
      <c r="M1467" s="2">
        <f t="array" ref="M1467">_xlfn.IFNA(IF(vp.data[[#This Row],[Dens Input]]="",INDEX([1]DATA!$O$3:$O$9826,MATCH(1,(vp.data[[#This Row],[Battery]]=[1]DATA!$L$3:$L$9826)*(EOMONTH(vp.data[[#This Row],[SDate]],-1)+1=[1]DATA!$G$3:$G$9826),0)),vp.data[[#This Row],[Dens Input]]),"")</f>
        <v>856.7</v>
      </c>
      <c r="N1467" s="2">
        <f ca="1">INDEX(INDIRECT(_xlfn.CONCAT("weather.tbl[",N$1,"]")),MATCH(vp.data[[#This Row],[SDate]],weather.tbl[Date],0))</f>
        <v>8.9833333333333325</v>
      </c>
      <c r="O1467" s="2">
        <f ca="1">INDEX(INDIRECT(_xlfn.CONCAT("weather.tbl[",O$1,"]")),MATCH(vp.data[[#This Row],[SDate]],weather.tbl[Date],0))</f>
        <v>13.607142857142858</v>
      </c>
      <c r="P1467" s="2">
        <f ca="1">INDEX(INDIRECT(_xlfn.CONCAT("weather.tbl[",P$1,"]")),MATCH(vp.data[[#This Row],[SDate]],weather.tbl[Date],0))</f>
        <v>9.9</v>
      </c>
      <c r="Q1467" s="2">
        <f ca="1">INDEX(INDIRECT(_xlfn.CONCAT("weather.tbl[",Q$1,"]")),MATCH(vp.data[[#This Row],[SDate]],weather.tbl[Date],0))</f>
        <v>9.4</v>
      </c>
      <c r="R1467" s="2">
        <f ca="1">INDEX(INDIRECT(_xlfn.CONCAT("weather.tbl[",R$1,"]")),MATCH(vp.data[[#This Row],[SDate]],weather.tbl[Date],0))</f>
        <v>8.8000000000000007</v>
      </c>
      <c r="S1467" s="2">
        <f ca="1">INDEX(INDIRECT(_xlfn.CONCAT("weather.tbl[",S$1,"]")),MATCH(vp.data[[#This Row],[SDate]],weather.tbl[Date],0))</f>
        <v>9</v>
      </c>
      <c r="T1467" s="2">
        <f ca="1">INDEX(INDIRECT(_xlfn.CONCAT("weather.tbl[",T$1,"]")),MATCH(vp.data[[#This Row],[SDate]],weather.tbl[Date],0))</f>
        <v>9</v>
      </c>
      <c r="U1467" s="2">
        <f ca="1">INDEX(INDIRECT(_xlfn.CONCAT("weather.tbl[",U$1,"]")),MATCH(vp.data[[#This Row],[SDate]],weather.tbl[Date],0))</f>
        <v>7.8</v>
      </c>
      <c r="V1467" s="2">
        <f t="array" ref="V14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8074.473</v>
      </c>
      <c r="W1467" t="s">
        <v>48</v>
      </c>
      <c r="X1467">
        <f>IF(OR(vp.data[[#This Row],[Sulf]]="",vp.data[[#This Row],[Dens]]=""),1,0)</f>
        <v>0</v>
      </c>
      <c r="Y1467">
        <f>IF(vp.data[[#This Row],[CrudeType]]="C5+",1,0)</f>
        <v>0</v>
      </c>
      <c r="Z1467">
        <f>IF(AND(vp.data[[#This Row],[CrudeType]]="Crude",vp.data[[#This Row],[Dens]]&lt;=825,vp.data[[#This Row],[Sulf]]&gt;0.5,vp.data[[#This Row],[Unknown]]=0),1,0)</f>
        <v>0</v>
      </c>
      <c r="AA1467">
        <f>IF(AND(vp.data[[#This Row],[CrudeType]]="Crude",vp.data[[#This Row],[Dens]]&lt;=825,vp.data[[#This Row],[Sulf]]&lt;=0.5,vp.data[[#This Row],[Unknown]]=0),1,0)</f>
        <v>0</v>
      </c>
      <c r="AB14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7">
        <f>IF(AND(vp.data[[#This Row],[CrudeType]]="Crude",vp.data[[#This Row],[Dens]]&gt;825,vp.data[[#This Row],[Dens]]&lt;=900,vp.data[[#This Row],[Sulf]]&lt;=0.5,vp.data[[#This Row],[Unknown]]=0),1,0)</f>
        <v>0</v>
      </c>
      <c r="AD1467">
        <f>IF(AND(vp.data[[#This Row],[CrudeType]]="Crude",vp.data[[#This Row],[Dens]]&gt;865,vp.data[[#This Row],[Dens]]&lt;=900,vp.data[[#This Row],[Sulf]]&gt;2,vp.data[[#This Row],[Unknown]]=0),1,0)</f>
        <v>0</v>
      </c>
      <c r="AE1467">
        <f>IF(AND(vp.data[[#This Row],[CrudeType]]="Crude",vp.data[[#This Row],[Dens]]&gt;900,vp.data[[#This Row],[Sulf]]&lt;=0.5,vp.data[[#This Row],[Unknown]]=0),1,0)</f>
        <v>0</v>
      </c>
      <c r="AF1467">
        <f>IF(AND(vp.data[[#This Row],[CrudeType]]="Crude",vp.data[[#This Row],[Dens]]&gt;900,vp.data[[#This Row],[Sulf]]&lt;=0.5,vp.data[[#This Row],[Unknown]]=0),1,0)</f>
        <v>0</v>
      </c>
      <c r="AG1467" t="str">
        <f>INDEX(vp.data[[#Headers],[Unknown]:[Heavy_SW]],MATCH(1,vp.data[[#This Row],[Unknown]:[Heavy_SW]],0))</f>
        <v>Medium_LSB</v>
      </c>
      <c r="AH1467">
        <f>INDEX([3]!crudeBD.lkup[Number],MATCH(vp.data[[#This Row],[Crude_Breakdown]],crudeBD.lkup[Crude Breakdown],0))</f>
        <v>3</v>
      </c>
      <c r="AI1467">
        <f>MONTH(vp.data[[#This Row],[SDate]])</f>
        <v>5</v>
      </c>
      <c r="AJ1467" s="5">
        <f>(vp.data[[#This Row],[VP]]-INDEX(crudeBD.lkup[Mean_VP],MATCH(vp.data[[#This Row],[Crude_Breakdown]],crudeBD.lkup[Crude Breakdown],0)))^2</f>
        <v>2.3706038782046925</v>
      </c>
      <c r="AK1467" s="5">
        <f>(vp.data[[#This Row],[Dens]]-INDEX(crudeBD.lkup[Mean_Dens],MATCH(vp.data[[#This Row],[Crude_Breakdown]],crudeBD.lkup[Crude Breakdown],0)))^2</f>
        <v>163.32840000001383</v>
      </c>
      <c r="AL1467" s="5">
        <f>(vp.data[[#This Row],[Sulf]]-INDEX(crudeBD.lkup[Mean_Sulf],MATCH(vp.data[[#This Row],[Crude_Breakdown]],crudeBD.lkup[Crude Breakdown],0)))^2</f>
        <v>0.14791090902021975</v>
      </c>
      <c r="AM1467" s="4">
        <f>IF(AND(vp.data[[#This Row],[SDate]]&gt;=DATE(YEAR(vp.data[[#This Row],[SDate]]),5,1),vp.data[[#This Row],[SDate]]&lt;=DATE(YEAR(vp.data[[#This Row],[SDate]]),9,15)),1,0)</f>
        <v>1</v>
      </c>
      <c r="AN1467" s="4">
        <f>IF(vp.data[[#This Row],[SDate]]&lt;DATE(2016,12,1),0,1)</f>
        <v>1</v>
      </c>
      <c r="AO1467" s="4">
        <f>IFERROR(vp.data[[#This Row],[Sulf]]*vp.data[[#This Row],[Net Dens]],"")</f>
        <v>12243799.803807</v>
      </c>
      <c r="AP1467">
        <f>IFERROR(vp.data[[#This Row],[Dens]]*vp.data[[#This Row],[VolumeM3]],"")</f>
        <v>6917401.0191000002</v>
      </c>
      <c r="AQ1467" s="15">
        <f>IFERROR(vp.data[[#This Row],[VP]]*vp.data[[#This Row],[VolumeM3]],"")</f>
        <v>638690.81429999997</v>
      </c>
    </row>
    <row r="1468" spans="1:43" x14ac:dyDescent="0.25">
      <c r="A1468">
        <v>1467</v>
      </c>
      <c r="B1468" t="s">
        <v>291</v>
      </c>
      <c r="C1468" t="s">
        <v>291</v>
      </c>
      <c r="D1468" t="s">
        <v>195</v>
      </c>
      <c r="F1468" s="1">
        <v>42865</v>
      </c>
      <c r="G1468" s="2">
        <v>59.6</v>
      </c>
      <c r="H1468" s="2"/>
      <c r="I1468" s="2">
        <f t="array" ref="I1468">_xlfn.IFNA(IF(vp.data[[#This Row],[Sulf Input]]="",INDEX([1]DATA!$Q$3:$Q$9826,MATCH(1,(vp.data[[#This Row],[Battery]]=[1]DATA!$L$3:$L$9826)*(EOMONTH(vp.data[[#This Row],[SDate]],-1)+1=[1]DATA!$G$3:$G$9826),0)),vp.data[[#This Row],[Sulf Input]]),"")</f>
        <v>1.63</v>
      </c>
      <c r="J1468" s="2"/>
      <c r="K1468" s="2"/>
      <c r="L1468" s="2"/>
      <c r="M1468" s="2">
        <f t="array" ref="M1468">_xlfn.IFNA(IF(vp.data[[#This Row],[Dens Input]]="",INDEX([1]DATA!$O$3:$O$9826,MATCH(1,(vp.data[[#This Row],[Battery]]=[1]DATA!$L$3:$L$9826)*(EOMONTH(vp.data[[#This Row],[SDate]],-1)+1=[1]DATA!$G$3:$G$9826),0)),vp.data[[#This Row],[Dens Input]]),"")</f>
        <v>852.2</v>
      </c>
      <c r="N1468" s="2">
        <f ca="1">INDEX(INDIRECT(_xlfn.CONCAT("weather.tbl[",N$1,"]")),MATCH(vp.data[[#This Row],[SDate]],weather.tbl[Date],0))</f>
        <v>8.9833333333333325</v>
      </c>
      <c r="O1468" s="2">
        <f ca="1">INDEX(INDIRECT(_xlfn.CONCAT("weather.tbl[",O$1,"]")),MATCH(vp.data[[#This Row],[SDate]],weather.tbl[Date],0))</f>
        <v>13.607142857142858</v>
      </c>
      <c r="P1468" s="2">
        <f ca="1">INDEX(INDIRECT(_xlfn.CONCAT("weather.tbl[",P$1,"]")),MATCH(vp.data[[#This Row],[SDate]],weather.tbl[Date],0))</f>
        <v>9.9</v>
      </c>
      <c r="Q1468" s="2">
        <f ca="1">INDEX(INDIRECT(_xlfn.CONCAT("weather.tbl[",Q$1,"]")),MATCH(vp.data[[#This Row],[SDate]],weather.tbl[Date],0))</f>
        <v>9.4</v>
      </c>
      <c r="R1468" s="2">
        <f ca="1">INDEX(INDIRECT(_xlfn.CONCAT("weather.tbl[",R$1,"]")),MATCH(vp.data[[#This Row],[SDate]],weather.tbl[Date],0))</f>
        <v>8.8000000000000007</v>
      </c>
      <c r="S1468" s="2">
        <f ca="1">INDEX(INDIRECT(_xlfn.CONCAT("weather.tbl[",S$1,"]")),MATCH(vp.data[[#This Row],[SDate]],weather.tbl[Date],0))</f>
        <v>9</v>
      </c>
      <c r="T1468" s="2">
        <f ca="1">INDEX(INDIRECT(_xlfn.CONCAT("weather.tbl[",T$1,"]")),MATCH(vp.data[[#This Row],[SDate]],weather.tbl[Date],0))</f>
        <v>9</v>
      </c>
      <c r="U1468" s="2">
        <f ca="1">INDEX(INDIRECT(_xlfn.CONCAT("weather.tbl[",U$1,"]")),MATCH(vp.data[[#This Row],[SDate]],weather.tbl[Date],0))</f>
        <v>7.8</v>
      </c>
      <c r="V1468" s="2">
        <f t="array" ref="V14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2675.54</v>
      </c>
      <c r="W1468" t="s">
        <v>48</v>
      </c>
      <c r="X1468">
        <f>IF(OR(vp.data[[#This Row],[Sulf]]="",vp.data[[#This Row],[Dens]]=""),1,0)</f>
        <v>0</v>
      </c>
      <c r="Y1468">
        <f>IF(vp.data[[#This Row],[CrudeType]]="C5+",1,0)</f>
        <v>0</v>
      </c>
      <c r="Z1468">
        <f>IF(AND(vp.data[[#This Row],[CrudeType]]="Crude",vp.data[[#This Row],[Dens]]&lt;=825,vp.data[[#This Row],[Sulf]]&gt;0.5,vp.data[[#This Row],[Unknown]]=0),1,0)</f>
        <v>0</v>
      </c>
      <c r="AA1468">
        <f>IF(AND(vp.data[[#This Row],[CrudeType]]="Crude",vp.data[[#This Row],[Dens]]&lt;=825,vp.data[[#This Row],[Sulf]]&lt;=0.5,vp.data[[#This Row],[Unknown]]=0),1,0)</f>
        <v>0</v>
      </c>
      <c r="AB14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68">
        <f>IF(AND(vp.data[[#This Row],[CrudeType]]="Crude",vp.data[[#This Row],[Dens]]&gt;825,vp.data[[#This Row],[Dens]]&lt;=900,vp.data[[#This Row],[Sulf]]&lt;=0.5,vp.data[[#This Row],[Unknown]]=0),1,0)</f>
        <v>0</v>
      </c>
      <c r="AD1468">
        <f>IF(AND(vp.data[[#This Row],[CrudeType]]="Crude",vp.data[[#This Row],[Dens]]&gt;865,vp.data[[#This Row],[Dens]]&lt;=900,vp.data[[#This Row],[Sulf]]&gt;2,vp.data[[#This Row],[Unknown]]=0),1,0)</f>
        <v>0</v>
      </c>
      <c r="AE1468">
        <f>IF(AND(vp.data[[#This Row],[CrudeType]]="Crude",vp.data[[#This Row],[Dens]]&gt;900,vp.data[[#This Row],[Sulf]]&lt;=0.5,vp.data[[#This Row],[Unknown]]=0),1,0)</f>
        <v>0</v>
      </c>
      <c r="AF1468">
        <f>IF(AND(vp.data[[#This Row],[CrudeType]]="Crude",vp.data[[#This Row],[Dens]]&gt;900,vp.data[[#This Row],[Sulf]]&lt;=0.5,vp.data[[#This Row],[Unknown]]=0),1,0)</f>
        <v>0</v>
      </c>
      <c r="AG1468" t="str">
        <f>INDEX(vp.data[[#Headers],[Unknown]:[Heavy_SW]],MATCH(1,vp.data[[#This Row],[Unknown]:[Heavy_SW]],0))</f>
        <v>Medium_LSB</v>
      </c>
      <c r="AH1468">
        <f>INDEX([3]!crudeBD.lkup[Number],MATCH(vp.data[[#This Row],[Crude_Breakdown]],crudeBD.lkup[Crude Breakdown],0))</f>
        <v>3</v>
      </c>
      <c r="AI1468">
        <f>MONTH(vp.data[[#This Row],[SDate]])</f>
        <v>5</v>
      </c>
      <c r="AJ1468" s="5">
        <f>(vp.data[[#This Row],[VP]]-INDEX(crudeBD.lkup[Mean_VP],MATCH(vp.data[[#This Row],[Crude_Breakdown]],crudeBD.lkup[Crude Breakdown],0)))^2</f>
        <v>442.66798932294574</v>
      </c>
      <c r="AK1468" s="5">
        <f>(vp.data[[#This Row],[Dens]]-INDEX(crudeBD.lkup[Mean_Dens],MATCH(vp.data[[#This Row],[Crude_Breakdown]],crudeBD.lkup[Crude Breakdown],0)))^2</f>
        <v>68.558400000008959</v>
      </c>
      <c r="AL1468" s="5">
        <f>(vp.data[[#This Row],[Sulf]]-INDEX(crudeBD.lkup[Mean_Sulf],MATCH(vp.data[[#This Row],[Crude_Breakdown]],crudeBD.lkup[Crude Breakdown],0)))^2</f>
        <v>5.9825184491918218E-2</v>
      </c>
      <c r="AM1468" s="4">
        <f>IF(AND(vp.data[[#This Row],[SDate]]&gt;=DATE(YEAR(vp.data[[#This Row],[SDate]]),5,1),vp.data[[#This Row],[SDate]]&lt;=DATE(YEAR(vp.data[[#This Row],[SDate]]),9,15)),1,0)</f>
        <v>1</v>
      </c>
      <c r="AN1468" s="4">
        <f>IF(vp.data[[#This Row],[SDate]]&lt;DATE(2016,12,1),0,1)</f>
        <v>1</v>
      </c>
      <c r="AO1468" s="4">
        <f>IFERROR(vp.data[[#This Row],[Sulf]]*vp.data[[#This Row],[Net Dens]],"")</f>
        <v>3716555.15644</v>
      </c>
      <c r="AP1468">
        <f>IFERROR(vp.data[[#This Row],[Dens]]*vp.data[[#This Row],[VolumeM3]],"")</f>
        <v>2280095.1880000001</v>
      </c>
      <c r="AQ1468" s="15">
        <f>IFERROR(vp.data[[#This Row],[VP]]*vp.data[[#This Row],[VolumeM3]],"")</f>
        <v>159462.18400000001</v>
      </c>
    </row>
    <row r="1469" spans="1:43" x14ac:dyDescent="0.25">
      <c r="A1469">
        <v>1468</v>
      </c>
      <c r="B1469" t="s">
        <v>111</v>
      </c>
      <c r="C1469" t="s">
        <v>111</v>
      </c>
      <c r="D1469" t="s">
        <v>234</v>
      </c>
      <c r="F1469" s="1">
        <v>42865</v>
      </c>
      <c r="G1469" s="2">
        <v>68.7</v>
      </c>
      <c r="H1469" s="2"/>
      <c r="I1469" s="2">
        <f t="array" ref="I1469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469" s="2"/>
      <c r="K1469" s="2"/>
      <c r="L1469" s="2"/>
      <c r="M1469" s="2">
        <f t="array" ref="M1469">_xlfn.IFNA(IF(vp.data[[#This Row],[Dens Input]]="",INDEX([1]DATA!$O$3:$O$9826,MATCH(1,(vp.data[[#This Row],[Battery]]=[1]DATA!$L$3:$L$9826)*(EOMONTH(vp.data[[#This Row],[SDate]],-1)+1=[1]DATA!$G$3:$G$9826),0)),vp.data[[#This Row],[Dens Input]]),"")</f>
        <v>884.4</v>
      </c>
      <c r="N1469" s="2">
        <f ca="1">INDEX(INDIRECT(_xlfn.CONCAT("weather.tbl[",N$1,"]")),MATCH(vp.data[[#This Row],[SDate]],weather.tbl[Date],0))</f>
        <v>8.9833333333333325</v>
      </c>
      <c r="O1469" s="2">
        <f ca="1">INDEX(INDIRECT(_xlfn.CONCAT("weather.tbl[",O$1,"]")),MATCH(vp.data[[#This Row],[SDate]],weather.tbl[Date],0))</f>
        <v>13.607142857142858</v>
      </c>
      <c r="P1469" s="2">
        <f ca="1">INDEX(INDIRECT(_xlfn.CONCAT("weather.tbl[",P$1,"]")),MATCH(vp.data[[#This Row],[SDate]],weather.tbl[Date],0))</f>
        <v>9.9</v>
      </c>
      <c r="Q1469" s="2">
        <f ca="1">INDEX(INDIRECT(_xlfn.CONCAT("weather.tbl[",Q$1,"]")),MATCH(vp.data[[#This Row],[SDate]],weather.tbl[Date],0))</f>
        <v>9.4</v>
      </c>
      <c r="R1469" s="2">
        <f ca="1">INDEX(INDIRECT(_xlfn.CONCAT("weather.tbl[",R$1,"]")),MATCH(vp.data[[#This Row],[SDate]],weather.tbl[Date],0))</f>
        <v>8.8000000000000007</v>
      </c>
      <c r="S1469" s="2">
        <f ca="1">INDEX(INDIRECT(_xlfn.CONCAT("weather.tbl[",S$1,"]")),MATCH(vp.data[[#This Row],[SDate]],weather.tbl[Date],0))</f>
        <v>9</v>
      </c>
      <c r="T1469" s="2">
        <f ca="1">INDEX(INDIRECT(_xlfn.CONCAT("weather.tbl[",T$1,"]")),MATCH(vp.data[[#This Row],[SDate]],weather.tbl[Date],0))</f>
        <v>9</v>
      </c>
      <c r="U1469" s="2">
        <f ca="1">INDEX(INDIRECT(_xlfn.CONCAT("weather.tbl[",U$1,"]")),MATCH(vp.data[[#This Row],[SDate]],weather.tbl[Date],0))</f>
        <v>7.8</v>
      </c>
      <c r="V1469" s="2">
        <f t="array" ref="V14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2844.9769999999999</v>
      </c>
      <c r="W1469" t="s">
        <v>48</v>
      </c>
      <c r="X1469">
        <f>IF(OR(vp.data[[#This Row],[Sulf]]="",vp.data[[#This Row],[Dens]]=""),1,0)</f>
        <v>0</v>
      </c>
      <c r="Y1469">
        <f>IF(vp.data[[#This Row],[CrudeType]]="C5+",1,0)</f>
        <v>0</v>
      </c>
      <c r="Z1469">
        <f>IF(AND(vp.data[[#This Row],[CrudeType]]="Crude",vp.data[[#This Row],[Dens]]&lt;=825,vp.data[[#This Row],[Sulf]]&gt;0.5,vp.data[[#This Row],[Unknown]]=0),1,0)</f>
        <v>0</v>
      </c>
      <c r="AA1469">
        <f>IF(AND(vp.data[[#This Row],[CrudeType]]="Crude",vp.data[[#This Row],[Dens]]&lt;=825,vp.data[[#This Row],[Sulf]]&lt;=0.5,vp.data[[#This Row],[Unknown]]=0),1,0)</f>
        <v>0</v>
      </c>
      <c r="AB14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69">
        <f>IF(AND(vp.data[[#This Row],[CrudeType]]="Crude",vp.data[[#This Row],[Dens]]&gt;825,vp.data[[#This Row],[Dens]]&lt;=900,vp.data[[#This Row],[Sulf]]&lt;=0.5,vp.data[[#This Row],[Unknown]]=0),1,0)</f>
        <v>0</v>
      </c>
      <c r="AD1469">
        <f>IF(AND(vp.data[[#This Row],[CrudeType]]="Crude",vp.data[[#This Row],[Dens]]&gt;865,vp.data[[#This Row],[Dens]]&lt;=900,vp.data[[#This Row],[Sulf]]&gt;2,vp.data[[#This Row],[Unknown]]=0),1,0)</f>
        <v>1</v>
      </c>
      <c r="AE1469">
        <f>IF(AND(vp.data[[#This Row],[CrudeType]]="Crude",vp.data[[#This Row],[Dens]]&gt;900,vp.data[[#This Row],[Sulf]]&lt;=0.5,vp.data[[#This Row],[Unknown]]=0),1,0)</f>
        <v>0</v>
      </c>
      <c r="AF1469">
        <f>IF(AND(vp.data[[#This Row],[CrudeType]]="Crude",vp.data[[#This Row],[Dens]]&gt;900,vp.data[[#This Row],[Sulf]]&lt;=0.5,vp.data[[#This Row],[Unknown]]=0),1,0)</f>
        <v>0</v>
      </c>
      <c r="AG1469" t="str">
        <f>INDEX(vp.data[[#Headers],[Unknown]:[Heavy_SW]],MATCH(1,vp.data[[#This Row],[Unknown]:[Heavy_SW]],0))</f>
        <v>Midale</v>
      </c>
      <c r="AH1469">
        <f>INDEX([3]!crudeBD.lkup[Number],MATCH(vp.data[[#This Row],[Crude_Breakdown]],crudeBD.lkup[Crude Breakdown],0))</f>
        <v>5</v>
      </c>
      <c r="AI1469">
        <f>MONTH(vp.data[[#This Row],[SDate]])</f>
        <v>5</v>
      </c>
      <c r="AJ1469" s="5">
        <f>(vp.data[[#This Row],[VP]]-INDEX(crudeBD.lkup[Mean_VP],MATCH(vp.data[[#This Row],[Crude_Breakdown]],crudeBD.lkup[Crude Breakdown],0)))^2</f>
        <v>0.50234482941868219</v>
      </c>
      <c r="AK1469" s="5">
        <f>(vp.data[[#This Row],[Dens]]-INDEX(crudeBD.lkup[Mean_Dens],MATCH(vp.data[[#This Row],[Crude_Breakdown]],crudeBD.lkup[Crude Breakdown],0)))^2</f>
        <v>91.833691412471097</v>
      </c>
      <c r="AL1469" s="5">
        <f>(vp.data[[#This Row],[Sulf]]-INDEX(crudeBD.lkup[Mean_Sulf],MATCH(vp.data[[#This Row],[Crude_Breakdown]],crudeBD.lkup[Crude Breakdown],0)))^2</f>
        <v>9.3871420778415121E-2</v>
      </c>
      <c r="AM1469" s="4">
        <f>IF(AND(vp.data[[#This Row],[SDate]]&gt;=DATE(YEAR(vp.data[[#This Row],[SDate]]),5,1),vp.data[[#This Row],[SDate]]&lt;=DATE(YEAR(vp.data[[#This Row],[SDate]]),9,15)),1,0)</f>
        <v>1</v>
      </c>
      <c r="AN1469" s="4">
        <f>IF(vp.data[[#This Row],[SDate]]&lt;DATE(2016,12,1),0,1)</f>
        <v>1</v>
      </c>
      <c r="AO1469" s="4">
        <f>IFERROR(vp.data[[#This Row],[Sulf]]*vp.data[[#This Row],[Net Dens]],"")</f>
        <v>6919268.5616999995</v>
      </c>
      <c r="AP1469">
        <f>IFERROR(vp.data[[#This Row],[Dens]]*vp.data[[#This Row],[VolumeM3]],"")</f>
        <v>2516097.6587999999</v>
      </c>
      <c r="AQ1469" s="15">
        <f>IFERROR(vp.data[[#This Row],[VP]]*vp.data[[#This Row],[VolumeM3]],"")</f>
        <v>195449.91990000001</v>
      </c>
    </row>
    <row r="1470" spans="1:43" x14ac:dyDescent="0.25">
      <c r="A1470">
        <v>1469</v>
      </c>
      <c r="B1470" t="s">
        <v>68</v>
      </c>
      <c r="C1470" t="s">
        <v>68</v>
      </c>
      <c r="D1470" t="s">
        <v>314</v>
      </c>
      <c r="F1470" s="1">
        <v>42865</v>
      </c>
      <c r="G1470" s="2">
        <v>72.2</v>
      </c>
      <c r="H1470" s="2"/>
      <c r="I1470" s="2">
        <f t="array" ref="I1470">_xlfn.IFNA(IF(vp.data[[#This Row],[Sulf Input]]="",INDEX([1]DATA!$Q$3:$Q$9826,MATCH(1,(vp.data[[#This Row],[Battery]]=[1]DATA!$L$3:$L$9826)*(EOMONTH(vp.data[[#This Row],[SDate]],-1)+1=[1]DATA!$G$3:$G$9826),0)),vp.data[[#This Row],[Sulf Input]]),"")</f>
        <v>1.59</v>
      </c>
      <c r="J1470" s="2"/>
      <c r="K1470" s="2"/>
      <c r="L1470" s="2"/>
      <c r="M1470" s="2">
        <f t="array" ref="M1470">_xlfn.IFNA(IF(vp.data[[#This Row],[Dens Input]]="",INDEX([1]DATA!$O$3:$O$9826,MATCH(1,(vp.data[[#This Row],[Battery]]=[1]DATA!$L$3:$L$9826)*(EOMONTH(vp.data[[#This Row],[SDate]],-1)+1=[1]DATA!$G$3:$G$9826),0)),vp.data[[#This Row],[Dens Input]]),"")</f>
        <v>853.5</v>
      </c>
      <c r="N1470" s="2">
        <f ca="1">INDEX(INDIRECT(_xlfn.CONCAT("weather.tbl[",N$1,"]")),MATCH(vp.data[[#This Row],[SDate]],weather.tbl[Date],0))</f>
        <v>8.9833333333333325</v>
      </c>
      <c r="O1470" s="2">
        <f ca="1">INDEX(INDIRECT(_xlfn.CONCAT("weather.tbl[",O$1,"]")),MATCH(vp.data[[#This Row],[SDate]],weather.tbl[Date],0))</f>
        <v>13.607142857142858</v>
      </c>
      <c r="P1470" s="2">
        <f ca="1">INDEX(INDIRECT(_xlfn.CONCAT("weather.tbl[",P$1,"]")),MATCH(vp.data[[#This Row],[SDate]],weather.tbl[Date],0))</f>
        <v>9.9</v>
      </c>
      <c r="Q1470" s="2">
        <f ca="1">INDEX(INDIRECT(_xlfn.CONCAT("weather.tbl[",Q$1,"]")),MATCH(vp.data[[#This Row],[SDate]],weather.tbl[Date],0))</f>
        <v>9.4</v>
      </c>
      <c r="R1470" s="2">
        <f ca="1">INDEX(INDIRECT(_xlfn.CONCAT("weather.tbl[",R$1,"]")),MATCH(vp.data[[#This Row],[SDate]],weather.tbl[Date],0))</f>
        <v>8.8000000000000007</v>
      </c>
      <c r="S1470" s="2">
        <f ca="1">INDEX(INDIRECT(_xlfn.CONCAT("weather.tbl[",S$1,"]")),MATCH(vp.data[[#This Row],[SDate]],weather.tbl[Date],0))</f>
        <v>9</v>
      </c>
      <c r="T1470" s="2">
        <f ca="1">INDEX(INDIRECT(_xlfn.CONCAT("weather.tbl[",T$1,"]")),MATCH(vp.data[[#This Row],[SDate]],weather.tbl[Date],0))</f>
        <v>9</v>
      </c>
      <c r="U1470" s="2">
        <f ca="1">INDEX(INDIRECT(_xlfn.CONCAT("weather.tbl[",U$1,"]")),MATCH(vp.data[[#This Row],[SDate]],weather.tbl[Date],0))</f>
        <v>7.8</v>
      </c>
      <c r="V1470" s="2">
        <f t="array" ref="V14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211.322</v>
      </c>
      <c r="W1470" t="s">
        <v>48</v>
      </c>
      <c r="X1470">
        <f>IF(OR(vp.data[[#This Row],[Sulf]]="",vp.data[[#This Row],[Dens]]=""),1,0)</f>
        <v>0</v>
      </c>
      <c r="Y1470">
        <f>IF(vp.data[[#This Row],[CrudeType]]="C5+",1,0)</f>
        <v>0</v>
      </c>
      <c r="Z1470">
        <f>IF(AND(vp.data[[#This Row],[CrudeType]]="Crude",vp.data[[#This Row],[Dens]]&lt;=825,vp.data[[#This Row],[Sulf]]&gt;0.5,vp.data[[#This Row],[Unknown]]=0),1,0)</f>
        <v>0</v>
      </c>
      <c r="AA1470">
        <f>IF(AND(vp.data[[#This Row],[CrudeType]]="Crude",vp.data[[#This Row],[Dens]]&lt;=825,vp.data[[#This Row],[Sulf]]&lt;=0.5,vp.data[[#This Row],[Unknown]]=0),1,0)</f>
        <v>0</v>
      </c>
      <c r="AB14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0">
        <f>IF(AND(vp.data[[#This Row],[CrudeType]]="Crude",vp.data[[#This Row],[Dens]]&gt;825,vp.data[[#This Row],[Dens]]&lt;=900,vp.data[[#This Row],[Sulf]]&lt;=0.5,vp.data[[#This Row],[Unknown]]=0),1,0)</f>
        <v>0</v>
      </c>
      <c r="AD1470">
        <f>IF(AND(vp.data[[#This Row],[CrudeType]]="Crude",vp.data[[#This Row],[Dens]]&gt;865,vp.data[[#This Row],[Dens]]&lt;=900,vp.data[[#This Row],[Sulf]]&gt;2,vp.data[[#This Row],[Unknown]]=0),1,0)</f>
        <v>0</v>
      </c>
      <c r="AE1470">
        <f>IF(AND(vp.data[[#This Row],[CrudeType]]="Crude",vp.data[[#This Row],[Dens]]&gt;900,vp.data[[#This Row],[Sulf]]&lt;=0.5,vp.data[[#This Row],[Unknown]]=0),1,0)</f>
        <v>0</v>
      </c>
      <c r="AF1470">
        <f>IF(AND(vp.data[[#This Row],[CrudeType]]="Crude",vp.data[[#This Row],[Dens]]&gt;900,vp.data[[#This Row],[Sulf]]&lt;=0.5,vp.data[[#This Row],[Unknown]]=0),1,0)</f>
        <v>0</v>
      </c>
      <c r="AG1470" t="str">
        <f>INDEX(vp.data[[#Headers],[Unknown]:[Heavy_SW]],MATCH(1,vp.data[[#This Row],[Unknown]:[Heavy_SW]],0))</f>
        <v>Medium_LSB</v>
      </c>
      <c r="AH1470">
        <f>INDEX([3]!crudeBD.lkup[Number],MATCH(vp.data[[#This Row],[Crude_Breakdown]],crudeBD.lkup[Crude Breakdown],0))</f>
        <v>3</v>
      </c>
      <c r="AI1470">
        <f>MONTH(vp.data[[#This Row],[SDate]])</f>
        <v>5</v>
      </c>
      <c r="AJ1470" s="5">
        <f>(vp.data[[#This Row],[VP]]-INDEX(crudeBD.lkup[Mean_VP],MATCH(vp.data[[#This Row],[Crude_Breakdown]],crudeBD.lkup[Crude Breakdown],0)))^2</f>
        <v>71.2281402663438</v>
      </c>
      <c r="AK1470" s="5">
        <f>(vp.data[[#This Row],[Dens]]-INDEX(crudeBD.lkup[Mean_Dens],MATCH(vp.data[[#This Row],[Crude_Breakdown]],crudeBD.lkup[Crude Breakdown],0)))^2</f>
        <v>91.776400000009502</v>
      </c>
      <c r="AL1470" s="5">
        <f>(vp.data[[#This Row],[Sulf]]-INDEX(crudeBD.lkup[Mean_Sulf],MATCH(vp.data[[#This Row],[Crude_Breakdown]],crudeBD.lkup[Crude Breakdown],0)))^2</f>
        <v>4.1857834626689315E-2</v>
      </c>
      <c r="AM1470" s="4">
        <f>IF(AND(vp.data[[#This Row],[SDate]]&gt;=DATE(YEAR(vp.data[[#This Row],[SDate]]),5,1),vp.data[[#This Row],[SDate]]&lt;=DATE(YEAR(vp.data[[#This Row],[SDate]]),9,15)),1,0)</f>
        <v>1</v>
      </c>
      <c r="AN1470" s="4">
        <f>IF(vp.data[[#This Row],[SDate]]&lt;DATE(2016,12,1),0,1)</f>
        <v>1</v>
      </c>
      <c r="AO1470" s="4">
        <f>IFERROR(vp.data[[#This Row],[Sulf]]*vp.data[[#This Row],[Net Dens]],"")</f>
        <v>286777.68992999999</v>
      </c>
      <c r="AP1470">
        <f>IFERROR(vp.data[[#This Row],[Dens]]*vp.data[[#This Row],[VolumeM3]],"")</f>
        <v>180363.32699999999</v>
      </c>
      <c r="AQ1470" s="15">
        <f>IFERROR(vp.data[[#This Row],[VP]]*vp.data[[#This Row],[VolumeM3]],"")</f>
        <v>15257.448400000001</v>
      </c>
    </row>
    <row r="1471" spans="1:43" x14ac:dyDescent="0.25">
      <c r="A1471">
        <v>1470</v>
      </c>
      <c r="B1471" t="s">
        <v>68</v>
      </c>
      <c r="C1471" t="s">
        <v>68</v>
      </c>
      <c r="D1471" t="s">
        <v>194</v>
      </c>
      <c r="F1471" s="1">
        <v>42865</v>
      </c>
      <c r="G1471" s="2">
        <v>49.9</v>
      </c>
      <c r="H1471" s="2"/>
      <c r="I1471" s="2">
        <f t="array" ref="I1471">_xlfn.IFNA(IF(vp.data[[#This Row],[Sulf Input]]="",INDEX([1]DATA!$Q$3:$Q$9826,MATCH(1,(vp.data[[#This Row],[Battery]]=[1]DATA!$L$3:$L$9826)*(EOMONTH(vp.data[[#This Row],[SDate]],-1)+1=[1]DATA!$G$3:$G$9826),0)),vp.data[[#This Row],[Sulf Input]]),"")</f>
        <v>1.21</v>
      </c>
      <c r="J1471" s="2"/>
      <c r="K1471" s="2"/>
      <c r="L1471" s="2"/>
      <c r="M1471" s="2">
        <f t="array" ref="M1471">_xlfn.IFNA(IF(vp.data[[#This Row],[Dens Input]]="",INDEX([1]DATA!$O$3:$O$9826,MATCH(1,(vp.data[[#This Row],[Battery]]=[1]DATA!$L$3:$L$9826)*(EOMONTH(vp.data[[#This Row],[SDate]],-1)+1=[1]DATA!$G$3:$G$9826),0)),vp.data[[#This Row],[Dens Input]]),"")</f>
        <v>852.4</v>
      </c>
      <c r="N1471" s="2">
        <f ca="1">INDEX(INDIRECT(_xlfn.CONCAT("weather.tbl[",N$1,"]")),MATCH(vp.data[[#This Row],[SDate]],weather.tbl[Date],0))</f>
        <v>8.9833333333333325</v>
      </c>
      <c r="O1471" s="2">
        <f ca="1">INDEX(INDIRECT(_xlfn.CONCAT("weather.tbl[",O$1,"]")),MATCH(vp.data[[#This Row],[SDate]],weather.tbl[Date],0))</f>
        <v>13.607142857142858</v>
      </c>
      <c r="P1471" s="2">
        <f ca="1">INDEX(INDIRECT(_xlfn.CONCAT("weather.tbl[",P$1,"]")),MATCH(vp.data[[#This Row],[SDate]],weather.tbl[Date],0))</f>
        <v>9.9</v>
      </c>
      <c r="Q1471" s="2">
        <f ca="1">INDEX(INDIRECT(_xlfn.CONCAT("weather.tbl[",Q$1,"]")),MATCH(vp.data[[#This Row],[SDate]],weather.tbl[Date],0))</f>
        <v>9.4</v>
      </c>
      <c r="R1471" s="2">
        <f ca="1">INDEX(INDIRECT(_xlfn.CONCAT("weather.tbl[",R$1,"]")),MATCH(vp.data[[#This Row],[SDate]],weather.tbl[Date],0))</f>
        <v>8.8000000000000007</v>
      </c>
      <c r="S1471" s="2">
        <f ca="1">INDEX(INDIRECT(_xlfn.CONCAT("weather.tbl[",S$1,"]")),MATCH(vp.data[[#This Row],[SDate]],weather.tbl[Date],0))</f>
        <v>9</v>
      </c>
      <c r="T1471" s="2">
        <f ca="1">INDEX(INDIRECT(_xlfn.CONCAT("weather.tbl[",T$1,"]")),MATCH(vp.data[[#This Row],[SDate]],weather.tbl[Date],0))</f>
        <v>9</v>
      </c>
      <c r="U1471" s="2">
        <f ca="1">INDEX(INDIRECT(_xlfn.CONCAT("weather.tbl[",U$1,"]")),MATCH(vp.data[[#This Row],[SDate]],weather.tbl[Date],0))</f>
        <v>7.8</v>
      </c>
      <c r="V1471" s="2">
        <f t="array" ref="V14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758.65599999999995</v>
      </c>
      <c r="W1471" t="s">
        <v>48</v>
      </c>
      <c r="X1471">
        <f>IF(OR(vp.data[[#This Row],[Sulf]]="",vp.data[[#This Row],[Dens]]=""),1,0)</f>
        <v>0</v>
      </c>
      <c r="Y1471">
        <f>IF(vp.data[[#This Row],[CrudeType]]="C5+",1,0)</f>
        <v>0</v>
      </c>
      <c r="Z1471">
        <f>IF(AND(vp.data[[#This Row],[CrudeType]]="Crude",vp.data[[#This Row],[Dens]]&lt;=825,vp.data[[#This Row],[Sulf]]&gt;0.5,vp.data[[#This Row],[Unknown]]=0),1,0)</f>
        <v>0</v>
      </c>
      <c r="AA1471">
        <f>IF(AND(vp.data[[#This Row],[CrudeType]]="Crude",vp.data[[#This Row],[Dens]]&lt;=825,vp.data[[#This Row],[Sulf]]&lt;=0.5,vp.data[[#This Row],[Unknown]]=0),1,0)</f>
        <v>0</v>
      </c>
      <c r="AB14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1">
        <f>IF(AND(vp.data[[#This Row],[CrudeType]]="Crude",vp.data[[#This Row],[Dens]]&gt;825,vp.data[[#This Row],[Dens]]&lt;=900,vp.data[[#This Row],[Sulf]]&lt;=0.5,vp.data[[#This Row],[Unknown]]=0),1,0)</f>
        <v>0</v>
      </c>
      <c r="AD1471">
        <f>IF(AND(vp.data[[#This Row],[CrudeType]]="Crude",vp.data[[#This Row],[Dens]]&gt;865,vp.data[[#This Row],[Dens]]&lt;=900,vp.data[[#This Row],[Sulf]]&gt;2,vp.data[[#This Row],[Unknown]]=0),1,0)</f>
        <v>0</v>
      </c>
      <c r="AE1471">
        <f>IF(AND(vp.data[[#This Row],[CrudeType]]="Crude",vp.data[[#This Row],[Dens]]&gt;900,vp.data[[#This Row],[Sulf]]&lt;=0.5,vp.data[[#This Row],[Unknown]]=0),1,0)</f>
        <v>0</v>
      </c>
      <c r="AF1471">
        <f>IF(AND(vp.data[[#This Row],[CrudeType]]="Crude",vp.data[[#This Row],[Dens]]&gt;900,vp.data[[#This Row],[Sulf]]&lt;=0.5,vp.data[[#This Row],[Unknown]]=0),1,0)</f>
        <v>0</v>
      </c>
      <c r="AG1471" t="str">
        <f>INDEX(vp.data[[#Headers],[Unknown]:[Heavy_SW]],MATCH(1,vp.data[[#This Row],[Unknown]:[Heavy_SW]],0))</f>
        <v>Medium_LSB</v>
      </c>
      <c r="AH1471">
        <f>INDEX([3]!crudeBD.lkup[Number],MATCH(vp.data[[#This Row],[Crude_Breakdown]],crudeBD.lkup[Crude Breakdown],0))</f>
        <v>3</v>
      </c>
      <c r="AI1471">
        <f>MONTH(vp.data[[#This Row],[SDate]])</f>
        <v>5</v>
      </c>
      <c r="AJ1471" s="5">
        <f>(vp.data[[#This Row],[VP]]-INDEX(crudeBD.lkup[Mean_VP],MATCH(vp.data[[#This Row],[Crude_Breakdown]],crudeBD.lkup[Crude Breakdown],0)))^2</f>
        <v>944.92771439032992</v>
      </c>
      <c r="AK1471" s="5">
        <f>(vp.data[[#This Row],[Dens]]-INDEX(crudeBD.lkup[Mean_Dens],MATCH(vp.data[[#This Row],[Crude_Breakdown]],crudeBD.lkup[Crude Breakdown],0)))^2</f>
        <v>71.910400000008025</v>
      </c>
      <c r="AL1471" s="5">
        <f>(vp.data[[#This Row],[Sulf]]-INDEX(crudeBD.lkup[Mean_Sulf],MATCH(vp.data[[#This Row],[Crude_Breakdown]],crudeBD.lkup[Crude Breakdown],0)))^2</f>
        <v>3.07680109070139E-2</v>
      </c>
      <c r="AM1471" s="4">
        <f>IF(AND(vp.data[[#This Row],[SDate]]&gt;=DATE(YEAR(vp.data[[#This Row],[SDate]]),5,1),vp.data[[#This Row],[SDate]]&lt;=DATE(YEAR(vp.data[[#This Row],[SDate]]),9,15)),1,0)</f>
        <v>1</v>
      </c>
      <c r="AN1471" s="4">
        <f>IF(vp.data[[#This Row],[SDate]]&lt;DATE(2016,12,1),0,1)</f>
        <v>1</v>
      </c>
      <c r="AO1471" s="4">
        <f>IFERROR(vp.data[[#This Row],[Sulf]]*vp.data[[#This Row],[Net Dens]],"")</f>
        <v>782480.83302399993</v>
      </c>
      <c r="AP1471">
        <f>IFERROR(vp.data[[#This Row],[Dens]]*vp.data[[#This Row],[VolumeM3]],"")</f>
        <v>646678.37439999997</v>
      </c>
      <c r="AQ1471" s="15">
        <f>IFERROR(vp.data[[#This Row],[VP]]*vp.data[[#This Row],[VolumeM3]],"")</f>
        <v>37856.934399999998</v>
      </c>
    </row>
    <row r="1472" spans="1:43" x14ac:dyDescent="0.25">
      <c r="A1472">
        <v>1471</v>
      </c>
      <c r="B1472" t="s">
        <v>68</v>
      </c>
      <c r="C1472" t="s">
        <v>68</v>
      </c>
      <c r="D1472" t="s">
        <v>192</v>
      </c>
      <c r="F1472" s="1">
        <v>42865</v>
      </c>
      <c r="G1472" s="2">
        <v>65.099999999999994</v>
      </c>
      <c r="H1472" s="2"/>
      <c r="I1472" s="2">
        <f t="array" ref="I1472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472" s="2"/>
      <c r="K1472" s="2"/>
      <c r="L1472" s="2"/>
      <c r="M1472" s="2">
        <f t="array" ref="M1472">_xlfn.IFNA(IF(vp.data[[#This Row],[Dens Input]]="",INDEX([1]DATA!$O$3:$O$9826,MATCH(1,(vp.data[[#This Row],[Battery]]=[1]DATA!$L$3:$L$9826)*(EOMONTH(vp.data[[#This Row],[SDate]],-1)+1=[1]DATA!$G$3:$G$9826),0)),vp.data[[#This Row],[Dens Input]]),"")</f>
        <v>851.8</v>
      </c>
      <c r="N1472" s="2">
        <f ca="1">INDEX(INDIRECT(_xlfn.CONCAT("weather.tbl[",N$1,"]")),MATCH(vp.data[[#This Row],[SDate]],weather.tbl[Date],0))</f>
        <v>8.9833333333333325</v>
      </c>
      <c r="O1472" s="2">
        <f ca="1">INDEX(INDIRECT(_xlfn.CONCAT("weather.tbl[",O$1,"]")),MATCH(vp.data[[#This Row],[SDate]],weather.tbl[Date],0))</f>
        <v>13.607142857142858</v>
      </c>
      <c r="P1472" s="2">
        <f ca="1">INDEX(INDIRECT(_xlfn.CONCAT("weather.tbl[",P$1,"]")),MATCH(vp.data[[#This Row],[SDate]],weather.tbl[Date],0))</f>
        <v>9.9</v>
      </c>
      <c r="Q1472" s="2">
        <f ca="1">INDEX(INDIRECT(_xlfn.CONCAT("weather.tbl[",Q$1,"]")),MATCH(vp.data[[#This Row],[SDate]],weather.tbl[Date],0))</f>
        <v>9.4</v>
      </c>
      <c r="R1472" s="2">
        <f ca="1">INDEX(INDIRECT(_xlfn.CONCAT("weather.tbl[",R$1,"]")),MATCH(vp.data[[#This Row],[SDate]],weather.tbl[Date],0))</f>
        <v>8.8000000000000007</v>
      </c>
      <c r="S1472" s="2">
        <f ca="1">INDEX(INDIRECT(_xlfn.CONCAT("weather.tbl[",S$1,"]")),MATCH(vp.data[[#This Row],[SDate]],weather.tbl[Date],0))</f>
        <v>9</v>
      </c>
      <c r="T1472" s="2">
        <f ca="1">INDEX(INDIRECT(_xlfn.CONCAT("weather.tbl[",T$1,"]")),MATCH(vp.data[[#This Row],[SDate]],weather.tbl[Date],0))</f>
        <v>9</v>
      </c>
      <c r="U1472" s="2">
        <f ca="1">INDEX(INDIRECT(_xlfn.CONCAT("weather.tbl[",U$1,"]")),MATCH(vp.data[[#This Row],[SDate]],weather.tbl[Date],0))</f>
        <v>7.8</v>
      </c>
      <c r="V1472" s="2">
        <f t="array" ref="V14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1433.26</v>
      </c>
      <c r="W1472" t="s">
        <v>48</v>
      </c>
      <c r="X1472">
        <f>IF(OR(vp.data[[#This Row],[Sulf]]="",vp.data[[#This Row],[Dens]]=""),1,0)</f>
        <v>0</v>
      </c>
      <c r="Y1472">
        <f>IF(vp.data[[#This Row],[CrudeType]]="C5+",1,0)</f>
        <v>0</v>
      </c>
      <c r="Z1472">
        <f>IF(AND(vp.data[[#This Row],[CrudeType]]="Crude",vp.data[[#This Row],[Dens]]&lt;=825,vp.data[[#This Row],[Sulf]]&gt;0.5,vp.data[[#This Row],[Unknown]]=0),1,0)</f>
        <v>0</v>
      </c>
      <c r="AA1472">
        <f>IF(AND(vp.data[[#This Row],[CrudeType]]="Crude",vp.data[[#This Row],[Dens]]&lt;=825,vp.data[[#This Row],[Sulf]]&lt;=0.5,vp.data[[#This Row],[Unknown]]=0),1,0)</f>
        <v>0</v>
      </c>
      <c r="AB14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2">
        <f>IF(AND(vp.data[[#This Row],[CrudeType]]="Crude",vp.data[[#This Row],[Dens]]&gt;825,vp.data[[#This Row],[Dens]]&lt;=900,vp.data[[#This Row],[Sulf]]&lt;=0.5,vp.data[[#This Row],[Unknown]]=0),1,0)</f>
        <v>0</v>
      </c>
      <c r="AD1472">
        <f>IF(AND(vp.data[[#This Row],[CrudeType]]="Crude",vp.data[[#This Row],[Dens]]&gt;865,vp.data[[#This Row],[Dens]]&lt;=900,vp.data[[#This Row],[Sulf]]&gt;2,vp.data[[#This Row],[Unknown]]=0),1,0)</f>
        <v>0</v>
      </c>
      <c r="AE1472">
        <f>IF(AND(vp.data[[#This Row],[CrudeType]]="Crude",vp.data[[#This Row],[Dens]]&gt;900,vp.data[[#This Row],[Sulf]]&lt;=0.5,vp.data[[#This Row],[Unknown]]=0),1,0)</f>
        <v>0</v>
      </c>
      <c r="AF1472">
        <f>IF(AND(vp.data[[#This Row],[CrudeType]]="Crude",vp.data[[#This Row],[Dens]]&gt;900,vp.data[[#This Row],[Sulf]]&lt;=0.5,vp.data[[#This Row],[Unknown]]=0),1,0)</f>
        <v>0</v>
      </c>
      <c r="AG1472" t="str">
        <f>INDEX(vp.data[[#Headers],[Unknown]:[Heavy_SW]],MATCH(1,vp.data[[#This Row],[Unknown]:[Heavy_SW]],0))</f>
        <v>Medium_LSB</v>
      </c>
      <c r="AH1472">
        <f>INDEX([3]!crudeBD.lkup[Number],MATCH(vp.data[[#This Row],[Crude_Breakdown]],crudeBD.lkup[Crude Breakdown],0))</f>
        <v>3</v>
      </c>
      <c r="AI1472">
        <f>MONTH(vp.data[[#This Row],[SDate]])</f>
        <v>5</v>
      </c>
      <c r="AJ1472" s="5">
        <f>(vp.data[[#This Row],[VP]]-INDEX(crudeBD.lkup[Mean_VP],MATCH(vp.data[[#This Row],[Crude_Breakdown]],crudeBD.lkup[Crude Breakdown],0)))^2</f>
        <v>241.48154727442926</v>
      </c>
      <c r="AK1472" s="5">
        <f>(vp.data[[#This Row],[Dens]]-INDEX(crudeBD.lkup[Mean_Dens],MATCH(vp.data[[#This Row],[Crude_Breakdown]],crudeBD.lkup[Crude Breakdown],0)))^2</f>
        <v>62.094400000007099</v>
      </c>
      <c r="AL1472" s="5">
        <f>(vp.data[[#This Row],[Sulf]]-INDEX(crudeBD.lkup[Mean_Sulf],MATCH(vp.data[[#This Row],[Crude_Breakdown]],crudeBD.lkup[Crude Breakdown],0)))^2</f>
        <v>1.9884351657733202E-3</v>
      </c>
      <c r="AM1472" s="4">
        <f>IF(AND(vp.data[[#This Row],[SDate]]&gt;=DATE(YEAR(vp.data[[#This Row],[SDate]]),5,1),vp.data[[#This Row],[SDate]]&lt;=DATE(YEAR(vp.data[[#This Row],[SDate]]),9,15)),1,0)</f>
        <v>1</v>
      </c>
      <c r="AN1472" s="4">
        <f>IF(vp.data[[#This Row],[SDate]]&lt;DATE(2016,12,1),0,1)</f>
        <v>1</v>
      </c>
      <c r="AO1472" s="4">
        <f>IFERROR(vp.data[[#This Row],[Sulf]]*vp.data[[#This Row],[Net Dens]],"")</f>
        <v>1745816.7412399999</v>
      </c>
      <c r="AP1472">
        <f>IFERROR(vp.data[[#This Row],[Dens]]*vp.data[[#This Row],[VolumeM3]],"")</f>
        <v>1220850.868</v>
      </c>
      <c r="AQ1472" s="15">
        <f>IFERROR(vp.data[[#This Row],[VP]]*vp.data[[#This Row],[VolumeM3]],"")</f>
        <v>93305.225999999995</v>
      </c>
    </row>
    <row r="1473" spans="1:43" x14ac:dyDescent="0.25">
      <c r="A1473">
        <v>1472</v>
      </c>
      <c r="B1473" t="s">
        <v>68</v>
      </c>
      <c r="C1473" t="s">
        <v>68</v>
      </c>
      <c r="D1473" t="s">
        <v>191</v>
      </c>
      <c r="F1473" s="1">
        <v>42865</v>
      </c>
      <c r="G1473" s="2">
        <v>70.7</v>
      </c>
      <c r="H1473" s="2"/>
      <c r="I1473" s="2">
        <f t="array" ref="I1473">_xlfn.IFNA(IF(vp.data[[#This Row],[Sulf Input]]="",INDEX([1]DATA!$Q$3:$Q$9826,MATCH(1,(vp.data[[#This Row],[Battery]]=[1]DATA!$L$3:$L$9826)*(EOMONTH(vp.data[[#This Row],[SDate]],-1)+1=[1]DATA!$G$3:$G$9826),0)),vp.data[[#This Row],[Sulf Input]]),"")</f>
        <v>1.22</v>
      </c>
      <c r="J1473" s="2"/>
      <c r="K1473" s="2"/>
      <c r="L1473" s="2"/>
      <c r="M1473" s="2">
        <f t="array" ref="M1473">_xlfn.IFNA(IF(vp.data[[#This Row],[Dens Input]]="",INDEX([1]DATA!$O$3:$O$9826,MATCH(1,(vp.data[[#This Row],[Battery]]=[1]DATA!$L$3:$L$9826)*(EOMONTH(vp.data[[#This Row],[SDate]],-1)+1=[1]DATA!$G$3:$G$9826),0)),vp.data[[#This Row],[Dens Input]]),"")</f>
        <v>847.2</v>
      </c>
      <c r="N1473" s="2">
        <f ca="1">INDEX(INDIRECT(_xlfn.CONCAT("weather.tbl[",N$1,"]")),MATCH(vp.data[[#This Row],[SDate]],weather.tbl[Date],0))</f>
        <v>8.9833333333333325</v>
      </c>
      <c r="O1473" s="2">
        <f ca="1">INDEX(INDIRECT(_xlfn.CONCAT("weather.tbl[",O$1,"]")),MATCH(vp.data[[#This Row],[SDate]],weather.tbl[Date],0))</f>
        <v>13.607142857142858</v>
      </c>
      <c r="P1473" s="2">
        <f ca="1">INDEX(INDIRECT(_xlfn.CONCAT("weather.tbl[",P$1,"]")),MATCH(vp.data[[#This Row],[SDate]],weather.tbl[Date],0))</f>
        <v>9.9</v>
      </c>
      <c r="Q1473" s="2">
        <f ca="1">INDEX(INDIRECT(_xlfn.CONCAT("weather.tbl[",Q$1,"]")),MATCH(vp.data[[#This Row],[SDate]],weather.tbl[Date],0))</f>
        <v>9.4</v>
      </c>
      <c r="R1473" s="2">
        <f ca="1">INDEX(INDIRECT(_xlfn.CONCAT("weather.tbl[",R$1,"]")),MATCH(vp.data[[#This Row],[SDate]],weather.tbl[Date],0))</f>
        <v>8.8000000000000007</v>
      </c>
      <c r="S1473" s="2">
        <f ca="1">INDEX(INDIRECT(_xlfn.CONCAT("weather.tbl[",S$1,"]")),MATCH(vp.data[[#This Row],[SDate]],weather.tbl[Date],0))</f>
        <v>9</v>
      </c>
      <c r="T1473" s="2">
        <f ca="1">INDEX(INDIRECT(_xlfn.CONCAT("weather.tbl[",T$1,"]")),MATCH(vp.data[[#This Row],[SDate]],weather.tbl[Date],0))</f>
        <v>9</v>
      </c>
      <c r="U1473" s="2">
        <f ca="1">INDEX(INDIRECT(_xlfn.CONCAT("weather.tbl[",U$1,"]")),MATCH(vp.data[[#This Row],[SDate]],weather.tbl[Date],0))</f>
        <v>7.8</v>
      </c>
      <c r="V1473" s="2">
        <f t="array" ref="V14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2892.944</v>
      </c>
      <c r="W1473" t="s">
        <v>48</v>
      </c>
      <c r="X1473">
        <f>IF(OR(vp.data[[#This Row],[Sulf]]="",vp.data[[#This Row],[Dens]]=""),1,0)</f>
        <v>0</v>
      </c>
      <c r="Y1473">
        <f>IF(vp.data[[#This Row],[CrudeType]]="C5+",1,0)</f>
        <v>0</v>
      </c>
      <c r="Z1473">
        <f>IF(AND(vp.data[[#This Row],[CrudeType]]="Crude",vp.data[[#This Row],[Dens]]&lt;=825,vp.data[[#This Row],[Sulf]]&gt;0.5,vp.data[[#This Row],[Unknown]]=0),1,0)</f>
        <v>0</v>
      </c>
      <c r="AA1473">
        <f>IF(AND(vp.data[[#This Row],[CrudeType]]="Crude",vp.data[[#This Row],[Dens]]&lt;=825,vp.data[[#This Row],[Sulf]]&lt;=0.5,vp.data[[#This Row],[Unknown]]=0),1,0)</f>
        <v>0</v>
      </c>
      <c r="AB14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3">
        <f>IF(AND(vp.data[[#This Row],[CrudeType]]="Crude",vp.data[[#This Row],[Dens]]&gt;825,vp.data[[#This Row],[Dens]]&lt;=900,vp.data[[#This Row],[Sulf]]&lt;=0.5,vp.data[[#This Row],[Unknown]]=0),1,0)</f>
        <v>0</v>
      </c>
      <c r="AD1473">
        <f>IF(AND(vp.data[[#This Row],[CrudeType]]="Crude",vp.data[[#This Row],[Dens]]&gt;865,vp.data[[#This Row],[Dens]]&lt;=900,vp.data[[#This Row],[Sulf]]&gt;2,vp.data[[#This Row],[Unknown]]=0),1,0)</f>
        <v>0</v>
      </c>
      <c r="AE1473">
        <f>IF(AND(vp.data[[#This Row],[CrudeType]]="Crude",vp.data[[#This Row],[Dens]]&gt;900,vp.data[[#This Row],[Sulf]]&lt;=0.5,vp.data[[#This Row],[Unknown]]=0),1,0)</f>
        <v>0</v>
      </c>
      <c r="AF1473">
        <f>IF(AND(vp.data[[#This Row],[CrudeType]]="Crude",vp.data[[#This Row],[Dens]]&gt;900,vp.data[[#This Row],[Sulf]]&lt;=0.5,vp.data[[#This Row],[Unknown]]=0),1,0)</f>
        <v>0</v>
      </c>
      <c r="AG1473" t="str">
        <f>INDEX(vp.data[[#Headers],[Unknown]:[Heavy_SW]],MATCH(1,vp.data[[#This Row],[Unknown]:[Heavy_SW]],0))</f>
        <v>Medium_LSB</v>
      </c>
      <c r="AH1473">
        <f>INDEX([3]!crudeBD.lkup[Number],MATCH(vp.data[[#This Row],[Crude_Breakdown]],crudeBD.lkup[Crude Breakdown],0))</f>
        <v>3</v>
      </c>
      <c r="AI1473">
        <f>MONTH(vp.data[[#This Row],[SDate]])</f>
        <v>5</v>
      </c>
      <c r="AJ1473" s="5">
        <f>(vp.data[[#This Row],[VP]]-INDEX(crudeBD.lkup[Mean_VP],MATCH(vp.data[[#This Row],[Crude_Breakdown]],crudeBD.lkup[Crude Breakdown],0)))^2</f>
        <v>98.797169915939264</v>
      </c>
      <c r="AK1473" s="5">
        <f>(vp.data[[#This Row],[Dens]]-INDEX(crudeBD.lkup[Mean_Dens],MATCH(vp.data[[#This Row],[Crude_Breakdown]],crudeBD.lkup[Crude Breakdown],0)))^2</f>
        <v>10.758400000003549</v>
      </c>
      <c r="AL1473" s="5">
        <f>(vp.data[[#This Row],[Sulf]]-INDEX(crudeBD.lkup[Mean_Sulf],MATCH(vp.data[[#This Row],[Crude_Breakdown]],crudeBD.lkup[Crude Breakdown],0)))^2</f>
        <v>2.7359848373321144E-2</v>
      </c>
      <c r="AM1473" s="4">
        <f>IF(AND(vp.data[[#This Row],[SDate]]&gt;=DATE(YEAR(vp.data[[#This Row],[SDate]]),5,1),vp.data[[#This Row],[SDate]]&lt;=DATE(YEAR(vp.data[[#This Row],[SDate]]),9,15)),1,0)</f>
        <v>1</v>
      </c>
      <c r="AN1473" s="4">
        <f>IF(vp.data[[#This Row],[SDate]]&lt;DATE(2016,12,1),0,1)</f>
        <v>1</v>
      </c>
      <c r="AO1473" s="4">
        <f>IFERROR(vp.data[[#This Row],[Sulf]]*vp.data[[#This Row],[Net Dens]],"")</f>
        <v>2990100.631296</v>
      </c>
      <c r="AP1473">
        <f>IFERROR(vp.data[[#This Row],[Dens]]*vp.data[[#This Row],[VolumeM3]],"")</f>
        <v>2450902.1568</v>
      </c>
      <c r="AQ1473" s="15">
        <f>IFERROR(vp.data[[#This Row],[VP]]*vp.data[[#This Row],[VolumeM3]],"")</f>
        <v>204531.14079999999</v>
      </c>
    </row>
    <row r="1474" spans="1:43" x14ac:dyDescent="0.25">
      <c r="A1474">
        <v>1473</v>
      </c>
      <c r="B1474" t="s">
        <v>68</v>
      </c>
      <c r="C1474" t="s">
        <v>68</v>
      </c>
      <c r="D1474" t="s">
        <v>315</v>
      </c>
      <c r="F1474" s="1">
        <v>42865</v>
      </c>
      <c r="G1474" s="2">
        <v>52.1</v>
      </c>
      <c r="H1474" s="2"/>
      <c r="I1474" s="2">
        <f t="array" ref="I1474">_xlfn.IFNA(IF(vp.data[[#This Row],[Sulf Input]]="",INDEX([1]DATA!$Q$3:$Q$9826,MATCH(1,(vp.data[[#This Row],[Battery]]=[1]DATA!$L$3:$L$9826)*(EOMONTH(vp.data[[#This Row],[SDate]],-1)+1=[1]DATA!$G$3:$G$9826),0)),vp.data[[#This Row],[Sulf Input]]),"")</f>
        <v>2.2400000000000002</v>
      </c>
      <c r="J1474" s="2"/>
      <c r="K1474" s="2"/>
      <c r="L1474" s="2"/>
      <c r="M1474" s="2">
        <f t="array" ref="M1474">_xlfn.IFNA(IF(vp.data[[#This Row],[Dens Input]]="",INDEX([1]DATA!$O$3:$O$9826,MATCH(1,(vp.data[[#This Row],[Battery]]=[1]DATA!$L$3:$L$9826)*(EOMONTH(vp.data[[#This Row],[SDate]],-1)+1=[1]DATA!$G$3:$G$9826),0)),vp.data[[#This Row],[Dens Input]]),"")</f>
        <v>868.5</v>
      </c>
      <c r="N1474" s="2">
        <f ca="1">INDEX(INDIRECT(_xlfn.CONCAT("weather.tbl[",N$1,"]")),MATCH(vp.data[[#This Row],[SDate]],weather.tbl[Date],0))</f>
        <v>8.9833333333333325</v>
      </c>
      <c r="O1474" s="2">
        <f ca="1">INDEX(INDIRECT(_xlfn.CONCAT("weather.tbl[",O$1,"]")),MATCH(vp.data[[#This Row],[SDate]],weather.tbl[Date],0))</f>
        <v>13.607142857142858</v>
      </c>
      <c r="P1474" s="2">
        <f ca="1">INDEX(INDIRECT(_xlfn.CONCAT("weather.tbl[",P$1,"]")),MATCH(vp.data[[#This Row],[SDate]],weather.tbl[Date],0))</f>
        <v>9.9</v>
      </c>
      <c r="Q1474" s="2">
        <f ca="1">INDEX(INDIRECT(_xlfn.CONCAT("weather.tbl[",Q$1,"]")),MATCH(vp.data[[#This Row],[SDate]],weather.tbl[Date],0))</f>
        <v>9.4</v>
      </c>
      <c r="R1474" s="2">
        <f ca="1">INDEX(INDIRECT(_xlfn.CONCAT("weather.tbl[",R$1,"]")),MATCH(vp.data[[#This Row],[SDate]],weather.tbl[Date],0))</f>
        <v>8.8000000000000007</v>
      </c>
      <c r="S1474" s="2">
        <f ca="1">INDEX(INDIRECT(_xlfn.CONCAT("weather.tbl[",S$1,"]")),MATCH(vp.data[[#This Row],[SDate]],weather.tbl[Date],0))</f>
        <v>9</v>
      </c>
      <c r="T1474" s="2">
        <f ca="1">INDEX(INDIRECT(_xlfn.CONCAT("weather.tbl[",T$1,"]")),MATCH(vp.data[[#This Row],[SDate]],weather.tbl[Date],0))</f>
        <v>9</v>
      </c>
      <c r="U1474" s="2">
        <f ca="1">INDEX(INDIRECT(_xlfn.CONCAT("weather.tbl[",U$1,"]")),MATCH(vp.data[[#This Row],[SDate]],weather.tbl[Date],0))</f>
        <v>7.8</v>
      </c>
      <c r="V1474" s="2">
        <f t="array" ref="V14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1169.8589999999999</v>
      </c>
      <c r="W1474" t="s">
        <v>48</v>
      </c>
      <c r="X1474">
        <f>IF(OR(vp.data[[#This Row],[Sulf]]="",vp.data[[#This Row],[Dens]]=""),1,0)</f>
        <v>0</v>
      </c>
      <c r="Y1474">
        <f>IF(vp.data[[#This Row],[CrudeType]]="C5+",1,0)</f>
        <v>0</v>
      </c>
      <c r="Z1474">
        <f>IF(AND(vp.data[[#This Row],[CrudeType]]="Crude",vp.data[[#This Row],[Dens]]&lt;=825,vp.data[[#This Row],[Sulf]]&gt;0.5,vp.data[[#This Row],[Unknown]]=0),1,0)</f>
        <v>0</v>
      </c>
      <c r="AA1474">
        <f>IF(AND(vp.data[[#This Row],[CrudeType]]="Crude",vp.data[[#This Row],[Dens]]&lt;=825,vp.data[[#This Row],[Sulf]]&lt;=0.5,vp.data[[#This Row],[Unknown]]=0),1,0)</f>
        <v>0</v>
      </c>
      <c r="AB14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74">
        <f>IF(AND(vp.data[[#This Row],[CrudeType]]="Crude",vp.data[[#This Row],[Dens]]&gt;825,vp.data[[#This Row],[Dens]]&lt;=900,vp.data[[#This Row],[Sulf]]&lt;=0.5,vp.data[[#This Row],[Unknown]]=0),1,0)</f>
        <v>0</v>
      </c>
      <c r="AD1474">
        <f>IF(AND(vp.data[[#This Row],[CrudeType]]="Crude",vp.data[[#This Row],[Dens]]&gt;865,vp.data[[#This Row],[Dens]]&lt;=900,vp.data[[#This Row],[Sulf]]&gt;2,vp.data[[#This Row],[Unknown]]=0),1,0)</f>
        <v>1</v>
      </c>
      <c r="AE1474">
        <f>IF(AND(vp.data[[#This Row],[CrudeType]]="Crude",vp.data[[#This Row],[Dens]]&gt;900,vp.data[[#This Row],[Sulf]]&lt;=0.5,vp.data[[#This Row],[Unknown]]=0),1,0)</f>
        <v>0</v>
      </c>
      <c r="AF1474">
        <f>IF(AND(vp.data[[#This Row],[CrudeType]]="Crude",vp.data[[#This Row],[Dens]]&gt;900,vp.data[[#This Row],[Sulf]]&lt;=0.5,vp.data[[#This Row],[Unknown]]=0),1,0)</f>
        <v>0</v>
      </c>
      <c r="AG1474" t="str">
        <f>INDEX(vp.data[[#Headers],[Unknown]:[Heavy_SW]],MATCH(1,vp.data[[#This Row],[Unknown]:[Heavy_SW]],0))</f>
        <v>Midale</v>
      </c>
      <c r="AH1474">
        <f>INDEX([3]!crudeBD.lkup[Number],MATCH(vp.data[[#This Row],[Crude_Breakdown]],crudeBD.lkup[Crude Breakdown],0))</f>
        <v>5</v>
      </c>
      <c r="AI1474">
        <f>MONTH(vp.data[[#This Row],[SDate]])</f>
        <v>5</v>
      </c>
      <c r="AJ1474" s="5">
        <f>(vp.data[[#This Row],[VP]]-INDEX(crudeBD.lkup[Mean_VP],MATCH(vp.data[[#This Row],[Crude_Breakdown]],crudeBD.lkup[Crude Breakdown],0)))^2</f>
        <v>299.59327266447121</v>
      </c>
      <c r="AK1474" s="5">
        <f>(vp.data[[#This Row],[Dens]]-INDEX(crudeBD.lkup[Mean_Dens],MATCH(vp.data[[#This Row],[Crude_Breakdown]],crudeBD.lkup[Crude Breakdown],0)))^2</f>
        <v>39.904619247532843</v>
      </c>
      <c r="AL1474" s="5">
        <f>(vp.data[[#This Row],[Sulf]]-INDEX(crudeBD.lkup[Mean_Sulf],MATCH(vp.data[[#This Row],[Crude_Breakdown]],crudeBD.lkup[Crude Breakdown],0)))^2</f>
        <v>4.1459299128929102E-2</v>
      </c>
      <c r="AM1474" s="4">
        <f>IF(AND(vp.data[[#This Row],[SDate]]&gt;=DATE(YEAR(vp.data[[#This Row],[SDate]]),5,1),vp.data[[#This Row],[SDate]]&lt;=DATE(YEAR(vp.data[[#This Row],[SDate]]),9,15)),1,0)</f>
        <v>1</v>
      </c>
      <c r="AN1474" s="4">
        <f>IF(vp.data[[#This Row],[SDate]]&lt;DATE(2016,12,1),0,1)</f>
        <v>1</v>
      </c>
      <c r="AO1474" s="4">
        <f>IFERROR(vp.data[[#This Row],[Sulf]]*vp.data[[#This Row],[Net Dens]],"")</f>
        <v>2275890.4929599999</v>
      </c>
      <c r="AP1474">
        <f>IFERROR(vp.data[[#This Row],[Dens]]*vp.data[[#This Row],[VolumeM3]],"")</f>
        <v>1016022.5414999999</v>
      </c>
      <c r="AQ1474" s="15">
        <f>IFERROR(vp.data[[#This Row],[VP]]*vp.data[[#This Row],[VolumeM3]],"")</f>
        <v>60949.653899999998</v>
      </c>
    </row>
    <row r="1475" spans="1:43" x14ac:dyDescent="0.25">
      <c r="A1475">
        <v>1474</v>
      </c>
      <c r="B1475" t="s">
        <v>60</v>
      </c>
      <c r="C1475" t="s">
        <v>60</v>
      </c>
      <c r="D1475" t="s">
        <v>61</v>
      </c>
      <c r="E1475" t="s">
        <v>289</v>
      </c>
      <c r="F1475" s="1">
        <v>42870</v>
      </c>
      <c r="G1475" s="2">
        <v>92.9</v>
      </c>
      <c r="H1475" s="2"/>
      <c r="I1475" s="2">
        <f t="array" ref="I1475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475" s="2"/>
      <c r="K1475" s="2"/>
      <c r="L1475" s="2"/>
      <c r="M1475" s="2">
        <f t="array" ref="M1475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475" s="2">
        <f ca="1">INDEX(INDIRECT(_xlfn.CONCAT("weather.tbl[",N$1,"]")),MATCH(vp.data[[#This Row],[SDate]],weather.tbl[Date],0))</f>
        <v>11.183333333333332</v>
      </c>
      <c r="O1475" s="2">
        <f ca="1">INDEX(INDIRECT(_xlfn.CONCAT("weather.tbl[",O$1,"]")),MATCH(vp.data[[#This Row],[SDate]],weather.tbl[Date],0))</f>
        <v>11.961904761904762</v>
      </c>
      <c r="P1475" s="2">
        <f ca="1">INDEX(INDIRECT(_xlfn.CONCAT("weather.tbl[",P$1,"]")),MATCH(vp.data[[#This Row],[SDate]],weather.tbl[Date],0))</f>
        <v>11.8</v>
      </c>
      <c r="Q1475" s="2">
        <f ca="1">INDEX(INDIRECT(_xlfn.CONCAT("weather.tbl[",Q$1,"]")),MATCH(vp.data[[#This Row],[SDate]],weather.tbl[Date],0))</f>
        <v>10.4</v>
      </c>
      <c r="R1475" s="2">
        <f ca="1">INDEX(INDIRECT(_xlfn.CONCAT("weather.tbl[",R$1,"]")),MATCH(vp.data[[#This Row],[SDate]],weather.tbl[Date],0))</f>
        <v>11</v>
      </c>
      <c r="S1475" s="2">
        <f ca="1">INDEX(INDIRECT(_xlfn.CONCAT("weather.tbl[",S$1,"]")),MATCH(vp.data[[#This Row],[SDate]],weather.tbl[Date],0))</f>
        <v>10.4</v>
      </c>
      <c r="T1475" s="2">
        <f ca="1">INDEX(INDIRECT(_xlfn.CONCAT("weather.tbl[",T$1,"]")),MATCH(vp.data[[#This Row],[SDate]],weather.tbl[Date],0))</f>
        <v>12</v>
      </c>
      <c r="U1475" s="2">
        <f ca="1">INDEX(INDIRECT(_xlfn.CONCAT("weather.tbl[",U$1,"]")),MATCH(vp.data[[#This Row],[SDate]],weather.tbl[Date],0))</f>
        <v>11.5</v>
      </c>
      <c r="V1475" s="2">
        <f t="array" ref="V14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475" t="s">
        <v>48</v>
      </c>
      <c r="X1475">
        <f>IF(OR(vp.data[[#This Row],[Sulf]]="",vp.data[[#This Row],[Dens]]=""),1,0)</f>
        <v>0</v>
      </c>
      <c r="Y1475">
        <f>IF(vp.data[[#This Row],[CrudeType]]="C5+",1,0)</f>
        <v>0</v>
      </c>
      <c r="Z1475">
        <f>IF(AND(vp.data[[#This Row],[CrudeType]]="Crude",vp.data[[#This Row],[Dens]]&lt;=825,vp.data[[#This Row],[Sulf]]&gt;0.5,vp.data[[#This Row],[Unknown]]=0),1,0)</f>
        <v>1</v>
      </c>
      <c r="AA1475">
        <f>IF(AND(vp.data[[#This Row],[CrudeType]]="Crude",vp.data[[#This Row],[Dens]]&lt;=825,vp.data[[#This Row],[Sulf]]&lt;=0.5,vp.data[[#This Row],[Unknown]]=0),1,0)</f>
        <v>0</v>
      </c>
      <c r="AB14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75">
        <f>IF(AND(vp.data[[#This Row],[CrudeType]]="Crude",vp.data[[#This Row],[Dens]]&gt;825,vp.data[[#This Row],[Dens]]&lt;=900,vp.data[[#This Row],[Sulf]]&lt;=0.5,vp.data[[#This Row],[Unknown]]=0),1,0)</f>
        <v>0</v>
      </c>
      <c r="AD1475">
        <f>IF(AND(vp.data[[#This Row],[CrudeType]]="Crude",vp.data[[#This Row],[Dens]]&gt;865,vp.data[[#This Row],[Dens]]&lt;=900,vp.data[[#This Row],[Sulf]]&gt;2,vp.data[[#This Row],[Unknown]]=0),1,0)</f>
        <v>0</v>
      </c>
      <c r="AE1475">
        <f>IF(AND(vp.data[[#This Row],[CrudeType]]="Crude",vp.data[[#This Row],[Dens]]&gt;900,vp.data[[#This Row],[Sulf]]&lt;=0.5,vp.data[[#This Row],[Unknown]]=0),1,0)</f>
        <v>0</v>
      </c>
      <c r="AF1475">
        <f>IF(AND(vp.data[[#This Row],[CrudeType]]="Crude",vp.data[[#This Row],[Dens]]&gt;900,vp.data[[#This Row],[Sulf]]&lt;=0.5,vp.data[[#This Row],[Unknown]]=0),1,0)</f>
        <v>0</v>
      </c>
      <c r="AG1475" t="str">
        <f>INDEX(vp.data[[#Headers],[Unknown]:[Heavy_SW]],MATCH(1,vp.data[[#This Row],[Unknown]:[Heavy_SW]],0))</f>
        <v>Light_LSB</v>
      </c>
      <c r="AH1475">
        <f>INDEX([3]!crudeBD.lkup[Number],MATCH(vp.data[[#This Row],[Crude_Breakdown]],crudeBD.lkup[Crude Breakdown],0))</f>
        <v>1</v>
      </c>
      <c r="AI1475">
        <f>MONTH(vp.data[[#This Row],[SDate]])</f>
        <v>5</v>
      </c>
      <c r="AJ1475" s="5">
        <f>(vp.data[[#This Row],[VP]]-INDEX(crudeBD.lkup[Mean_VP],MATCH(vp.data[[#This Row],[Crude_Breakdown]],crudeBD.lkup[Crude Breakdown],0)))^2</f>
        <v>1.832813518971129</v>
      </c>
      <c r="AK1475" s="5">
        <f>(vp.data[[#This Row],[Dens]]-INDEX(crudeBD.lkup[Mean_Dens],MATCH(vp.data[[#This Row],[Crude_Breakdown]],crudeBD.lkup[Crude Breakdown],0)))^2</f>
        <v>32.299105967104147</v>
      </c>
      <c r="AL1475" s="5">
        <f>(vp.data[[#This Row],[Sulf]]-INDEX(crudeBD.lkup[Mean_Sulf],MATCH(vp.data[[#This Row],[Crude_Breakdown]],crudeBD.lkup[Crude Breakdown],0)))^2</f>
        <v>2.7898630590712313E-2</v>
      </c>
      <c r="AM1475" s="4">
        <f>IF(AND(vp.data[[#This Row],[SDate]]&gt;=DATE(YEAR(vp.data[[#This Row],[SDate]]),5,1),vp.data[[#This Row],[SDate]]&lt;=DATE(YEAR(vp.data[[#This Row],[SDate]]),9,15)),1,0)</f>
        <v>1</v>
      </c>
      <c r="AN1475" s="4">
        <f>IF(vp.data[[#This Row],[SDate]]&lt;DATE(2016,12,1),0,1)</f>
        <v>1</v>
      </c>
      <c r="AO1475" s="4">
        <f>IFERROR(vp.data[[#This Row],[Sulf]]*vp.data[[#This Row],[Net Dens]],"")</f>
        <v>106270937.56302401</v>
      </c>
      <c r="AP1475">
        <f>IFERROR(vp.data[[#This Row],[Dens]]*vp.data[[#This Row],[VolumeM3]],"")</f>
        <v>97496272.993600011</v>
      </c>
      <c r="AQ1475" s="15">
        <f>IFERROR(vp.data[[#This Row],[VP]]*vp.data[[#This Row],[VolumeM3]],"")</f>
        <v>10989327.543200001</v>
      </c>
    </row>
    <row r="1476" spans="1:43" x14ac:dyDescent="0.25">
      <c r="A1476">
        <v>1475</v>
      </c>
      <c r="B1476" t="s">
        <v>60</v>
      </c>
      <c r="C1476" t="s">
        <v>60</v>
      </c>
      <c r="D1476" t="s">
        <v>61</v>
      </c>
      <c r="E1476" t="s">
        <v>290</v>
      </c>
      <c r="F1476" s="1">
        <v>42870</v>
      </c>
      <c r="G1476" s="2">
        <v>77</v>
      </c>
      <c r="H1476" s="2"/>
      <c r="I1476" s="2">
        <f t="array" ref="I1476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476" s="2"/>
      <c r="K1476" s="2"/>
      <c r="L1476" s="2"/>
      <c r="M1476" s="2">
        <f t="array" ref="M1476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476" s="2">
        <f ca="1">INDEX(INDIRECT(_xlfn.CONCAT("weather.tbl[",N$1,"]")),MATCH(vp.data[[#This Row],[SDate]],weather.tbl[Date],0))</f>
        <v>11.183333333333332</v>
      </c>
      <c r="O1476" s="2">
        <f ca="1">INDEX(INDIRECT(_xlfn.CONCAT("weather.tbl[",O$1,"]")),MATCH(vp.data[[#This Row],[SDate]],weather.tbl[Date],0))</f>
        <v>11.961904761904762</v>
      </c>
      <c r="P1476" s="2">
        <f ca="1">INDEX(INDIRECT(_xlfn.CONCAT("weather.tbl[",P$1,"]")),MATCH(vp.data[[#This Row],[SDate]],weather.tbl[Date],0))</f>
        <v>11.8</v>
      </c>
      <c r="Q1476" s="2">
        <f ca="1">INDEX(INDIRECT(_xlfn.CONCAT("weather.tbl[",Q$1,"]")),MATCH(vp.data[[#This Row],[SDate]],weather.tbl[Date],0))</f>
        <v>10.4</v>
      </c>
      <c r="R1476" s="2">
        <f ca="1">INDEX(INDIRECT(_xlfn.CONCAT("weather.tbl[",R$1,"]")),MATCH(vp.data[[#This Row],[SDate]],weather.tbl[Date],0))</f>
        <v>11</v>
      </c>
      <c r="S1476" s="2">
        <f ca="1">INDEX(INDIRECT(_xlfn.CONCAT("weather.tbl[",S$1,"]")),MATCH(vp.data[[#This Row],[SDate]],weather.tbl[Date],0))</f>
        <v>10.4</v>
      </c>
      <c r="T1476" s="2">
        <f ca="1">INDEX(INDIRECT(_xlfn.CONCAT("weather.tbl[",T$1,"]")),MATCH(vp.data[[#This Row],[SDate]],weather.tbl[Date],0))</f>
        <v>12</v>
      </c>
      <c r="U1476" s="2">
        <f ca="1">INDEX(INDIRECT(_xlfn.CONCAT("weather.tbl[",U$1,"]")),MATCH(vp.data[[#This Row],[SDate]],weather.tbl[Date],0))</f>
        <v>11.5</v>
      </c>
      <c r="V1476" s="2">
        <f t="array" ref="V14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476" t="s">
        <v>48</v>
      </c>
      <c r="X1476">
        <f>IF(OR(vp.data[[#This Row],[Sulf]]="",vp.data[[#This Row],[Dens]]=""),1,0)</f>
        <v>0</v>
      </c>
      <c r="Y1476">
        <f>IF(vp.data[[#This Row],[CrudeType]]="C5+",1,0)</f>
        <v>0</v>
      </c>
      <c r="Z1476">
        <f>IF(AND(vp.data[[#This Row],[CrudeType]]="Crude",vp.data[[#This Row],[Dens]]&lt;=825,vp.data[[#This Row],[Sulf]]&gt;0.5,vp.data[[#This Row],[Unknown]]=0),1,0)</f>
        <v>1</v>
      </c>
      <c r="AA1476">
        <f>IF(AND(vp.data[[#This Row],[CrudeType]]="Crude",vp.data[[#This Row],[Dens]]&lt;=825,vp.data[[#This Row],[Sulf]]&lt;=0.5,vp.data[[#This Row],[Unknown]]=0),1,0)</f>
        <v>0</v>
      </c>
      <c r="AB14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76">
        <f>IF(AND(vp.data[[#This Row],[CrudeType]]="Crude",vp.data[[#This Row],[Dens]]&gt;825,vp.data[[#This Row],[Dens]]&lt;=900,vp.data[[#This Row],[Sulf]]&lt;=0.5,vp.data[[#This Row],[Unknown]]=0),1,0)</f>
        <v>0</v>
      </c>
      <c r="AD1476">
        <f>IF(AND(vp.data[[#This Row],[CrudeType]]="Crude",vp.data[[#This Row],[Dens]]&gt;865,vp.data[[#This Row],[Dens]]&lt;=900,vp.data[[#This Row],[Sulf]]&gt;2,vp.data[[#This Row],[Unknown]]=0),1,0)</f>
        <v>0</v>
      </c>
      <c r="AE1476">
        <f>IF(AND(vp.data[[#This Row],[CrudeType]]="Crude",vp.data[[#This Row],[Dens]]&gt;900,vp.data[[#This Row],[Sulf]]&lt;=0.5,vp.data[[#This Row],[Unknown]]=0),1,0)</f>
        <v>0</v>
      </c>
      <c r="AF1476">
        <f>IF(AND(vp.data[[#This Row],[CrudeType]]="Crude",vp.data[[#This Row],[Dens]]&gt;900,vp.data[[#This Row],[Sulf]]&lt;=0.5,vp.data[[#This Row],[Unknown]]=0),1,0)</f>
        <v>0</v>
      </c>
      <c r="AG1476" t="str">
        <f>INDEX(vp.data[[#Headers],[Unknown]:[Heavy_SW]],MATCH(1,vp.data[[#This Row],[Unknown]:[Heavy_SW]],0))</f>
        <v>Light_LSB</v>
      </c>
      <c r="AH1476">
        <f>INDEX([3]!crudeBD.lkup[Number],MATCH(vp.data[[#This Row],[Crude_Breakdown]],crudeBD.lkup[Crude Breakdown],0))</f>
        <v>1</v>
      </c>
      <c r="AI1476">
        <f>MONTH(vp.data[[#This Row],[SDate]])</f>
        <v>5</v>
      </c>
      <c r="AJ1476" s="5">
        <f>(vp.data[[#This Row],[VP]]-INDEX(crudeBD.lkup[Mean_VP],MATCH(vp.data[[#This Row],[Crude_Breakdown]],crudeBD.lkup[Crude Breakdown],0)))^2</f>
        <v>211.59151454989993</v>
      </c>
      <c r="AK1476" s="5">
        <f>(vp.data[[#This Row],[Dens]]-INDEX(crudeBD.lkup[Mean_Dens],MATCH(vp.data[[#This Row],[Crude_Breakdown]],crudeBD.lkup[Crude Breakdown],0)))^2</f>
        <v>32.299105967104147</v>
      </c>
      <c r="AL1476" s="5">
        <f>(vp.data[[#This Row],[Sulf]]-INDEX(crudeBD.lkup[Mean_Sulf],MATCH(vp.data[[#This Row],[Crude_Breakdown]],crudeBD.lkup[Crude Breakdown],0)))^2</f>
        <v>2.7898630590712313E-2</v>
      </c>
      <c r="AM1476" s="4">
        <f>IF(AND(vp.data[[#This Row],[SDate]]&gt;=DATE(YEAR(vp.data[[#This Row],[SDate]]),5,1),vp.data[[#This Row],[SDate]]&lt;=DATE(YEAR(vp.data[[#This Row],[SDate]]),9,15)),1,0)</f>
        <v>1</v>
      </c>
      <c r="AN1476" s="4">
        <f>IF(vp.data[[#This Row],[SDate]]&lt;DATE(2016,12,1),0,1)</f>
        <v>1</v>
      </c>
      <c r="AO1476" s="4">
        <f>IFERROR(vp.data[[#This Row],[Sulf]]*vp.data[[#This Row],[Net Dens]],"")</f>
        <v>106270937.56302401</v>
      </c>
      <c r="AP1476">
        <f>IFERROR(vp.data[[#This Row],[Dens]]*vp.data[[#This Row],[VolumeM3]],"")</f>
        <v>97496272.993600011</v>
      </c>
      <c r="AQ1476" s="15">
        <f>IFERROR(vp.data[[#This Row],[VP]]*vp.data[[#This Row],[VolumeM3]],"")</f>
        <v>9108484.6160000004</v>
      </c>
    </row>
    <row r="1477" spans="1:43" x14ac:dyDescent="0.25">
      <c r="A1477">
        <v>1476</v>
      </c>
      <c r="B1477" t="s">
        <v>51</v>
      </c>
      <c r="C1477" t="s">
        <v>51</v>
      </c>
      <c r="D1477" t="s">
        <v>95</v>
      </c>
      <c r="F1477" s="1">
        <v>42870</v>
      </c>
      <c r="G1477" s="2">
        <v>80.7</v>
      </c>
      <c r="H1477" s="2"/>
      <c r="I1477" s="2">
        <f t="array" ref="I1477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477" s="2"/>
      <c r="K1477" s="2"/>
      <c r="L1477" s="2"/>
      <c r="M1477" s="2">
        <f t="array" ref="M1477">_xlfn.IFNA(IF(vp.data[[#This Row],[Dens Input]]="",INDEX([1]DATA!$O$3:$O$9826,MATCH(1,(vp.data[[#This Row],[Battery]]=[1]DATA!$L$3:$L$9826)*(EOMONTH(vp.data[[#This Row],[SDate]],-1)+1=[1]DATA!$G$3:$G$9826),0)),vp.data[[#This Row],[Dens Input]]),"")</f>
        <v>848.6</v>
      </c>
      <c r="N1477" s="2">
        <f ca="1">INDEX(INDIRECT(_xlfn.CONCAT("weather.tbl[",N$1,"]")),MATCH(vp.data[[#This Row],[SDate]],weather.tbl[Date],0))</f>
        <v>11.183333333333332</v>
      </c>
      <c r="O1477" s="2">
        <f ca="1">INDEX(INDIRECT(_xlfn.CONCAT("weather.tbl[",O$1,"]")),MATCH(vp.data[[#This Row],[SDate]],weather.tbl[Date],0))</f>
        <v>11.961904761904762</v>
      </c>
      <c r="P1477" s="2">
        <f ca="1">INDEX(INDIRECT(_xlfn.CONCAT("weather.tbl[",P$1,"]")),MATCH(vp.data[[#This Row],[SDate]],weather.tbl[Date],0))</f>
        <v>11.8</v>
      </c>
      <c r="Q1477" s="2">
        <f ca="1">INDEX(INDIRECT(_xlfn.CONCAT("weather.tbl[",Q$1,"]")),MATCH(vp.data[[#This Row],[SDate]],weather.tbl[Date],0))</f>
        <v>10.4</v>
      </c>
      <c r="R1477" s="2">
        <f ca="1">INDEX(INDIRECT(_xlfn.CONCAT("weather.tbl[",R$1,"]")),MATCH(vp.data[[#This Row],[SDate]],weather.tbl[Date],0))</f>
        <v>11</v>
      </c>
      <c r="S1477" s="2">
        <f ca="1">INDEX(INDIRECT(_xlfn.CONCAT("weather.tbl[",S$1,"]")),MATCH(vp.data[[#This Row],[SDate]],weather.tbl[Date],0))</f>
        <v>10.4</v>
      </c>
      <c r="T1477" s="2">
        <f ca="1">INDEX(INDIRECT(_xlfn.CONCAT("weather.tbl[",T$1,"]")),MATCH(vp.data[[#This Row],[SDate]],weather.tbl[Date],0))</f>
        <v>12</v>
      </c>
      <c r="U1477" s="2">
        <f ca="1">INDEX(INDIRECT(_xlfn.CONCAT("weather.tbl[",U$1,"]")),MATCH(vp.data[[#This Row],[SDate]],weather.tbl[Date],0))</f>
        <v>11.5</v>
      </c>
      <c r="V1477" s="2">
        <f t="array" ref="V14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5507.5879999999997</v>
      </c>
      <c r="W1477" t="s">
        <v>48</v>
      </c>
      <c r="X1477">
        <f>IF(OR(vp.data[[#This Row],[Sulf]]="",vp.data[[#This Row],[Dens]]=""),1,0)</f>
        <v>0</v>
      </c>
      <c r="Y1477">
        <f>IF(vp.data[[#This Row],[CrudeType]]="C5+",1,0)</f>
        <v>0</v>
      </c>
      <c r="Z1477">
        <f>IF(AND(vp.data[[#This Row],[CrudeType]]="Crude",vp.data[[#This Row],[Dens]]&lt;=825,vp.data[[#This Row],[Sulf]]&gt;0.5,vp.data[[#This Row],[Unknown]]=0),1,0)</f>
        <v>0</v>
      </c>
      <c r="AA1477">
        <f>IF(AND(vp.data[[#This Row],[CrudeType]]="Crude",vp.data[[#This Row],[Dens]]&lt;=825,vp.data[[#This Row],[Sulf]]&lt;=0.5,vp.data[[#This Row],[Unknown]]=0),1,0)</f>
        <v>0</v>
      </c>
      <c r="AB14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7">
        <f>IF(AND(vp.data[[#This Row],[CrudeType]]="Crude",vp.data[[#This Row],[Dens]]&gt;825,vp.data[[#This Row],[Dens]]&lt;=900,vp.data[[#This Row],[Sulf]]&lt;=0.5,vp.data[[#This Row],[Unknown]]=0),1,0)</f>
        <v>0</v>
      </c>
      <c r="AD1477">
        <f>IF(AND(vp.data[[#This Row],[CrudeType]]="Crude",vp.data[[#This Row],[Dens]]&gt;865,vp.data[[#This Row],[Dens]]&lt;=900,vp.data[[#This Row],[Sulf]]&gt;2,vp.data[[#This Row],[Unknown]]=0),1,0)</f>
        <v>0</v>
      </c>
      <c r="AE1477">
        <f>IF(AND(vp.data[[#This Row],[CrudeType]]="Crude",vp.data[[#This Row],[Dens]]&gt;900,vp.data[[#This Row],[Sulf]]&lt;=0.5,vp.data[[#This Row],[Unknown]]=0),1,0)</f>
        <v>0</v>
      </c>
      <c r="AF1477">
        <f>IF(AND(vp.data[[#This Row],[CrudeType]]="Crude",vp.data[[#This Row],[Dens]]&gt;900,vp.data[[#This Row],[Sulf]]&lt;=0.5,vp.data[[#This Row],[Unknown]]=0),1,0)</f>
        <v>0</v>
      </c>
      <c r="AG1477" t="str">
        <f>INDEX(vp.data[[#Headers],[Unknown]:[Heavy_SW]],MATCH(1,vp.data[[#This Row],[Unknown]:[Heavy_SW]],0))</f>
        <v>Medium_LSB</v>
      </c>
      <c r="AH1477">
        <f>INDEX([3]!crudeBD.lkup[Number],MATCH(vp.data[[#This Row],[Crude_Breakdown]],crudeBD.lkup[Crude Breakdown],0))</f>
        <v>3</v>
      </c>
      <c r="AI1477">
        <f>MONTH(vp.data[[#This Row],[SDate]])</f>
        <v>5</v>
      </c>
      <c r="AJ1477" s="5">
        <f>(vp.data[[#This Row],[VP]]-INDEX(crudeBD.lkup[Mean_VP],MATCH(vp.data[[#This Row],[Crude_Breakdown]],crudeBD.lkup[Crude Breakdown],0)))^2</f>
        <v>3.6389186361711679E-3</v>
      </c>
      <c r="AK1477" s="5">
        <f>(vp.data[[#This Row],[Dens]]-INDEX(crudeBD.lkup[Mean_Dens],MATCH(vp.data[[#This Row],[Crude_Breakdown]],crudeBD.lkup[Crude Breakdown],0)))^2</f>
        <v>21.902400000004853</v>
      </c>
      <c r="AL1477" s="5">
        <f>(vp.data[[#This Row],[Sulf]]-INDEX(crudeBD.lkup[Mean_Sulf],MATCH(vp.data[[#This Row],[Crude_Breakdown]],crudeBD.lkup[Crude Breakdown],0)))^2</f>
        <v>3.8184335974399415E-2</v>
      </c>
      <c r="AM1477" s="4">
        <f>IF(AND(vp.data[[#This Row],[SDate]]&gt;=DATE(YEAR(vp.data[[#This Row],[SDate]]),5,1),vp.data[[#This Row],[SDate]]&lt;=DATE(YEAR(vp.data[[#This Row],[SDate]]),9,15)),1,0)</f>
        <v>1</v>
      </c>
      <c r="AN1477" s="4">
        <f>IF(vp.data[[#This Row],[SDate]]&lt;DATE(2016,12,1),0,1)</f>
        <v>1</v>
      </c>
      <c r="AO1477" s="4">
        <f>IFERROR(vp.data[[#This Row],[Sulf]]*vp.data[[#This Row],[Net Dens]],"")</f>
        <v>5561749.6203919994</v>
      </c>
      <c r="AP1477">
        <f>IFERROR(vp.data[[#This Row],[Dens]]*vp.data[[#This Row],[VolumeM3]],"")</f>
        <v>4673739.1767999995</v>
      </c>
      <c r="AQ1477" s="15">
        <f>IFERROR(vp.data[[#This Row],[VP]]*vp.data[[#This Row],[VolumeM3]],"")</f>
        <v>444462.35159999999</v>
      </c>
    </row>
    <row r="1478" spans="1:43" x14ac:dyDescent="0.25">
      <c r="A1478">
        <v>1477</v>
      </c>
      <c r="B1478" t="s">
        <v>49</v>
      </c>
      <c r="C1478" t="s">
        <v>49</v>
      </c>
      <c r="D1478" t="s">
        <v>90</v>
      </c>
      <c r="F1478" s="1">
        <v>42870</v>
      </c>
      <c r="G1478" s="2">
        <v>67.3</v>
      </c>
      <c r="H1478" s="2"/>
      <c r="I1478" s="2">
        <f t="array" ref="I1478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478" s="2"/>
      <c r="K1478" s="2"/>
      <c r="L1478" s="2"/>
      <c r="M1478" s="2">
        <f t="array" ref="M1478">_xlfn.IFNA(IF(vp.data[[#This Row],[Dens Input]]="",INDEX([1]DATA!$O$3:$O$9826,MATCH(1,(vp.data[[#This Row],[Battery]]=[1]DATA!$L$3:$L$9826)*(EOMONTH(vp.data[[#This Row],[SDate]],-1)+1=[1]DATA!$G$3:$G$9826),0)),vp.data[[#This Row],[Dens Input]]),"")</f>
        <v>847.4</v>
      </c>
      <c r="N1478" s="2">
        <f ca="1">INDEX(INDIRECT(_xlfn.CONCAT("weather.tbl[",N$1,"]")),MATCH(vp.data[[#This Row],[SDate]],weather.tbl[Date],0))</f>
        <v>11.183333333333332</v>
      </c>
      <c r="O1478" s="2">
        <f ca="1">INDEX(INDIRECT(_xlfn.CONCAT("weather.tbl[",O$1,"]")),MATCH(vp.data[[#This Row],[SDate]],weather.tbl[Date],0))</f>
        <v>11.961904761904762</v>
      </c>
      <c r="P1478" s="2">
        <f ca="1">INDEX(INDIRECT(_xlfn.CONCAT("weather.tbl[",P$1,"]")),MATCH(vp.data[[#This Row],[SDate]],weather.tbl[Date],0))</f>
        <v>11.8</v>
      </c>
      <c r="Q1478" s="2">
        <f ca="1">INDEX(INDIRECT(_xlfn.CONCAT("weather.tbl[",Q$1,"]")),MATCH(vp.data[[#This Row],[SDate]],weather.tbl[Date],0))</f>
        <v>10.4</v>
      </c>
      <c r="R1478" s="2">
        <f ca="1">INDEX(INDIRECT(_xlfn.CONCAT("weather.tbl[",R$1,"]")),MATCH(vp.data[[#This Row],[SDate]],weather.tbl[Date],0))</f>
        <v>11</v>
      </c>
      <c r="S1478" s="2">
        <f ca="1">INDEX(INDIRECT(_xlfn.CONCAT("weather.tbl[",S$1,"]")),MATCH(vp.data[[#This Row],[SDate]],weather.tbl[Date],0))</f>
        <v>10.4</v>
      </c>
      <c r="T1478" s="2">
        <f ca="1">INDEX(INDIRECT(_xlfn.CONCAT("weather.tbl[",T$1,"]")),MATCH(vp.data[[#This Row],[SDate]],weather.tbl[Date],0))</f>
        <v>12</v>
      </c>
      <c r="U1478" s="2">
        <f ca="1">INDEX(INDIRECT(_xlfn.CONCAT("weather.tbl[",U$1,"]")),MATCH(vp.data[[#This Row],[SDate]],weather.tbl[Date],0))</f>
        <v>11.5</v>
      </c>
      <c r="V1478" s="2">
        <f t="array" ref="V14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4681.2809999999999</v>
      </c>
      <c r="W1478" t="s">
        <v>48</v>
      </c>
      <c r="X1478">
        <f>IF(OR(vp.data[[#This Row],[Sulf]]="",vp.data[[#This Row],[Dens]]=""),1,0)</f>
        <v>0</v>
      </c>
      <c r="Y1478">
        <f>IF(vp.data[[#This Row],[CrudeType]]="C5+",1,0)</f>
        <v>0</v>
      </c>
      <c r="Z1478">
        <f>IF(AND(vp.data[[#This Row],[CrudeType]]="Crude",vp.data[[#This Row],[Dens]]&lt;=825,vp.data[[#This Row],[Sulf]]&gt;0.5,vp.data[[#This Row],[Unknown]]=0),1,0)</f>
        <v>0</v>
      </c>
      <c r="AA1478">
        <f>IF(AND(vp.data[[#This Row],[CrudeType]]="Crude",vp.data[[#This Row],[Dens]]&lt;=825,vp.data[[#This Row],[Sulf]]&lt;=0.5,vp.data[[#This Row],[Unknown]]=0),1,0)</f>
        <v>0</v>
      </c>
      <c r="AB14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78">
        <f>IF(AND(vp.data[[#This Row],[CrudeType]]="Crude",vp.data[[#This Row],[Dens]]&gt;825,vp.data[[#This Row],[Dens]]&lt;=900,vp.data[[#This Row],[Sulf]]&lt;=0.5,vp.data[[#This Row],[Unknown]]=0),1,0)</f>
        <v>0</v>
      </c>
      <c r="AD1478">
        <f>IF(AND(vp.data[[#This Row],[CrudeType]]="Crude",vp.data[[#This Row],[Dens]]&gt;865,vp.data[[#This Row],[Dens]]&lt;=900,vp.data[[#This Row],[Sulf]]&gt;2,vp.data[[#This Row],[Unknown]]=0),1,0)</f>
        <v>0</v>
      </c>
      <c r="AE1478">
        <f>IF(AND(vp.data[[#This Row],[CrudeType]]="Crude",vp.data[[#This Row],[Dens]]&gt;900,vp.data[[#This Row],[Sulf]]&lt;=0.5,vp.data[[#This Row],[Unknown]]=0),1,0)</f>
        <v>0</v>
      </c>
      <c r="AF1478">
        <f>IF(AND(vp.data[[#This Row],[CrudeType]]="Crude",vp.data[[#This Row],[Dens]]&gt;900,vp.data[[#This Row],[Sulf]]&lt;=0.5,vp.data[[#This Row],[Unknown]]=0),1,0)</f>
        <v>0</v>
      </c>
      <c r="AG1478" t="str">
        <f>INDEX(vp.data[[#Headers],[Unknown]:[Heavy_SW]],MATCH(1,vp.data[[#This Row],[Unknown]:[Heavy_SW]],0))</f>
        <v>Medium_LSB</v>
      </c>
      <c r="AH1478">
        <f>INDEX([3]!crudeBD.lkup[Number],MATCH(vp.data[[#This Row],[Crude_Breakdown]],crudeBD.lkup[Crude Breakdown],0))</f>
        <v>3</v>
      </c>
      <c r="AI1478">
        <f>MONTH(vp.data[[#This Row],[SDate]])</f>
        <v>5</v>
      </c>
      <c r="AJ1478" s="5">
        <f>(vp.data[[#This Row],[VP]]-INDEX(crudeBD.lkup[Mean_VP],MATCH(vp.data[[#This Row],[Crude_Breakdown]],crudeBD.lkup[Crude Breakdown],0)))^2</f>
        <v>177.94697045502247</v>
      </c>
      <c r="AK1478" s="5">
        <f>(vp.data[[#This Row],[Dens]]-INDEX(crudeBD.lkup[Mean_Dens],MATCH(vp.data[[#This Row],[Crude_Breakdown]],crudeBD.lkup[Crude Breakdown],0)))^2</f>
        <v>12.110400000003292</v>
      </c>
      <c r="AL1478" s="5">
        <f>(vp.data[[#This Row],[Sulf]]-INDEX(crudeBD.lkup[Mean_Sulf],MATCH(vp.data[[#This Row],[Crude_Breakdown]],crudeBD.lkup[Crude Breakdown],0)))^2</f>
        <v>1.1110873171164612E-2</v>
      </c>
      <c r="AM1478" s="4">
        <f>IF(AND(vp.data[[#This Row],[SDate]]&gt;=DATE(YEAR(vp.data[[#This Row],[SDate]]),5,1),vp.data[[#This Row],[SDate]]&lt;=DATE(YEAR(vp.data[[#This Row],[SDate]]),9,15)),1,0)</f>
        <v>1</v>
      </c>
      <c r="AN1478" s="4">
        <f>IF(vp.data[[#This Row],[SDate]]&lt;DATE(2016,12,1),0,1)</f>
        <v>1</v>
      </c>
      <c r="AO1478" s="4">
        <f>IFERROR(vp.data[[#This Row],[Sulf]]*vp.data[[#This Row],[Net Dens]],"")</f>
        <v>5077654.4248319995</v>
      </c>
      <c r="AP1478">
        <f>IFERROR(vp.data[[#This Row],[Dens]]*vp.data[[#This Row],[VolumeM3]],"")</f>
        <v>3966917.5193999996</v>
      </c>
      <c r="AQ1478" s="15">
        <f>IFERROR(vp.data[[#This Row],[VP]]*vp.data[[#This Row],[VolumeM3]],"")</f>
        <v>315050.21129999997</v>
      </c>
    </row>
    <row r="1479" spans="1:43" x14ac:dyDescent="0.25">
      <c r="A1479">
        <v>1478</v>
      </c>
      <c r="B1479" t="s">
        <v>62</v>
      </c>
      <c r="C1479" t="s">
        <v>62</v>
      </c>
      <c r="D1479" t="s">
        <v>79</v>
      </c>
      <c r="F1479" s="1">
        <v>42870</v>
      </c>
      <c r="G1479" s="2">
        <v>76.400000000000006</v>
      </c>
      <c r="H1479" s="2"/>
      <c r="I1479" s="2">
        <f t="array" ref="I1479">_xlfn.IFNA(IF(vp.data[[#This Row],[Sulf Input]]="",INDEX([1]DATA!$Q$3:$Q$9826,MATCH(1,(vp.data[[#This Row],[Battery]]=[1]DATA!$L$3:$L$9826)*(EOMONTH(vp.data[[#This Row],[SDate]],-1)+1=[1]DATA!$G$3:$G$9826),0)),vp.data[[#This Row],[Sulf Input]]),"")</f>
        <v>0.35</v>
      </c>
      <c r="J1479" s="2"/>
      <c r="K1479" s="2"/>
      <c r="L1479" s="2"/>
      <c r="M1479" s="2">
        <f t="array" ref="M1479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1479" s="2">
        <f ca="1">INDEX(INDIRECT(_xlfn.CONCAT("weather.tbl[",N$1,"]")),MATCH(vp.data[[#This Row],[SDate]],weather.tbl[Date],0))</f>
        <v>11.183333333333332</v>
      </c>
      <c r="O1479" s="2">
        <f ca="1">INDEX(INDIRECT(_xlfn.CONCAT("weather.tbl[",O$1,"]")),MATCH(vp.data[[#This Row],[SDate]],weather.tbl[Date],0))</f>
        <v>11.961904761904762</v>
      </c>
      <c r="P1479" s="2">
        <f ca="1">INDEX(INDIRECT(_xlfn.CONCAT("weather.tbl[",P$1,"]")),MATCH(vp.data[[#This Row],[SDate]],weather.tbl[Date],0))</f>
        <v>11.8</v>
      </c>
      <c r="Q1479" s="2">
        <f ca="1">INDEX(INDIRECT(_xlfn.CONCAT("weather.tbl[",Q$1,"]")),MATCH(vp.data[[#This Row],[SDate]],weather.tbl[Date],0))</f>
        <v>10.4</v>
      </c>
      <c r="R1479" s="2">
        <f ca="1">INDEX(INDIRECT(_xlfn.CONCAT("weather.tbl[",R$1,"]")),MATCH(vp.data[[#This Row],[SDate]],weather.tbl[Date],0))</f>
        <v>11</v>
      </c>
      <c r="S1479" s="2">
        <f ca="1">INDEX(INDIRECT(_xlfn.CONCAT("weather.tbl[",S$1,"]")),MATCH(vp.data[[#This Row],[SDate]],weather.tbl[Date],0))</f>
        <v>10.4</v>
      </c>
      <c r="T1479" s="2">
        <f ca="1">INDEX(INDIRECT(_xlfn.CONCAT("weather.tbl[",T$1,"]")),MATCH(vp.data[[#This Row],[SDate]],weather.tbl[Date],0))</f>
        <v>12</v>
      </c>
      <c r="U1479" s="2">
        <f ca="1">INDEX(INDIRECT(_xlfn.CONCAT("weather.tbl[",U$1,"]")),MATCH(vp.data[[#This Row],[SDate]],weather.tbl[Date],0))</f>
        <v>11.5</v>
      </c>
      <c r="V1479" s="2">
        <f t="array" ref="V14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12983.781000000001</v>
      </c>
      <c r="W1479" t="s">
        <v>48</v>
      </c>
      <c r="X1479">
        <f>IF(OR(vp.data[[#This Row],[Sulf]]="",vp.data[[#This Row],[Dens]]=""),1,0)</f>
        <v>0</v>
      </c>
      <c r="Y1479">
        <f>IF(vp.data[[#This Row],[CrudeType]]="C5+",1,0)</f>
        <v>0</v>
      </c>
      <c r="Z1479">
        <f>IF(AND(vp.data[[#This Row],[CrudeType]]="Crude",vp.data[[#This Row],[Dens]]&lt;=825,vp.data[[#This Row],[Sulf]]&gt;0.5,vp.data[[#This Row],[Unknown]]=0),1,0)</f>
        <v>0</v>
      </c>
      <c r="AA1479">
        <f>IF(AND(vp.data[[#This Row],[CrudeType]]="Crude",vp.data[[#This Row],[Dens]]&lt;=825,vp.data[[#This Row],[Sulf]]&lt;=0.5,vp.data[[#This Row],[Unknown]]=0),1,0)</f>
        <v>1</v>
      </c>
      <c r="AB14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79">
        <f>IF(AND(vp.data[[#This Row],[CrudeType]]="Crude",vp.data[[#This Row],[Dens]]&gt;825,vp.data[[#This Row],[Dens]]&lt;=900,vp.data[[#This Row],[Sulf]]&lt;=0.5,vp.data[[#This Row],[Unknown]]=0),1,0)</f>
        <v>0</v>
      </c>
      <c r="AD1479">
        <f>IF(AND(vp.data[[#This Row],[CrudeType]]="Crude",vp.data[[#This Row],[Dens]]&gt;865,vp.data[[#This Row],[Dens]]&lt;=900,vp.data[[#This Row],[Sulf]]&gt;2,vp.data[[#This Row],[Unknown]]=0),1,0)</f>
        <v>0</v>
      </c>
      <c r="AE1479">
        <f>IF(AND(vp.data[[#This Row],[CrudeType]]="Crude",vp.data[[#This Row],[Dens]]&gt;900,vp.data[[#This Row],[Sulf]]&lt;=0.5,vp.data[[#This Row],[Unknown]]=0),1,0)</f>
        <v>0</v>
      </c>
      <c r="AF1479">
        <f>IF(AND(vp.data[[#This Row],[CrudeType]]="Crude",vp.data[[#This Row],[Dens]]&gt;900,vp.data[[#This Row],[Sulf]]&lt;=0.5,vp.data[[#This Row],[Unknown]]=0),1,0)</f>
        <v>0</v>
      </c>
      <c r="AG1479" t="str">
        <f>INDEX(vp.data[[#Headers],[Unknown]:[Heavy_SW]],MATCH(1,vp.data[[#This Row],[Unknown]:[Heavy_SW]],0))</f>
        <v>Light_SW</v>
      </c>
      <c r="AH1479">
        <f>INDEX([3]!crudeBD.lkup[Number],MATCH(vp.data[[#This Row],[Crude_Breakdown]],crudeBD.lkup[Crude Breakdown],0))</f>
        <v>2</v>
      </c>
      <c r="AI1479">
        <f>MONTH(vp.data[[#This Row],[SDate]])</f>
        <v>5</v>
      </c>
      <c r="AJ1479" s="5">
        <f>(vp.data[[#This Row],[VP]]-INDEX(crudeBD.lkup[Mean_VP],MATCH(vp.data[[#This Row],[Crude_Breakdown]],crudeBD.lkup[Crude Breakdown],0)))^2</f>
        <v>260.83262901819745</v>
      </c>
      <c r="AK1479" s="5">
        <f>(vp.data[[#This Row],[Dens]]-INDEX(crudeBD.lkup[Mean_Dens],MATCH(vp.data[[#This Row],[Crude_Breakdown]],crudeBD.lkup[Crude Breakdown],0)))^2</f>
        <v>0.4740346489580396</v>
      </c>
      <c r="AL1479" s="5">
        <f>(vp.data[[#This Row],[Sulf]]-INDEX(crudeBD.lkup[Mean_Sulf],MATCH(vp.data[[#This Row],[Crude_Breakdown]],crudeBD.lkup[Crude Breakdown],0)))^2</f>
        <v>1.2940925371923933E-2</v>
      </c>
      <c r="AM1479" s="4">
        <f>IF(AND(vp.data[[#This Row],[SDate]]&gt;=DATE(YEAR(vp.data[[#This Row],[SDate]]),5,1),vp.data[[#This Row],[SDate]]&lt;=DATE(YEAR(vp.data[[#This Row],[SDate]]),9,15)),1,0)</f>
        <v>1</v>
      </c>
      <c r="AN1479" s="4">
        <f>IF(vp.data[[#This Row],[SDate]]&lt;DATE(2016,12,1),0,1)</f>
        <v>1</v>
      </c>
      <c r="AO1479" s="4">
        <f>IFERROR(vp.data[[#This Row],[Sulf]]*vp.data[[#This Row],[Net Dens]],"")</f>
        <v>3676357.5901499996</v>
      </c>
      <c r="AP1479">
        <f>IFERROR(vp.data[[#This Row],[Dens]]*vp.data[[#This Row],[VolumeM3]],"")</f>
        <v>10503878.829</v>
      </c>
      <c r="AQ1479" s="15">
        <f>IFERROR(vp.data[[#This Row],[VP]]*vp.data[[#This Row],[VolumeM3]],"")</f>
        <v>991960.86840000015</v>
      </c>
    </row>
    <row r="1480" spans="1:43" x14ac:dyDescent="0.25">
      <c r="A1480">
        <v>1479</v>
      </c>
      <c r="B1480" t="s">
        <v>62</v>
      </c>
      <c r="C1480" t="s">
        <v>62</v>
      </c>
      <c r="D1480" t="s">
        <v>83</v>
      </c>
      <c r="F1480" s="1">
        <v>42870</v>
      </c>
      <c r="G1480" s="2">
        <v>76.7</v>
      </c>
      <c r="H1480" s="2"/>
      <c r="I1480" s="2">
        <f t="array" ref="I1480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480" s="2"/>
      <c r="K1480" s="2"/>
      <c r="L1480" s="2"/>
      <c r="M1480" s="2">
        <f t="array" ref="M1480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1480" s="2">
        <f ca="1">INDEX(INDIRECT(_xlfn.CONCAT("weather.tbl[",N$1,"]")),MATCH(vp.data[[#This Row],[SDate]],weather.tbl[Date],0))</f>
        <v>11.183333333333332</v>
      </c>
      <c r="O1480" s="2">
        <f ca="1">INDEX(INDIRECT(_xlfn.CONCAT("weather.tbl[",O$1,"]")),MATCH(vp.data[[#This Row],[SDate]],weather.tbl[Date],0))</f>
        <v>11.961904761904762</v>
      </c>
      <c r="P1480" s="2">
        <f ca="1">INDEX(INDIRECT(_xlfn.CONCAT("weather.tbl[",P$1,"]")),MATCH(vp.data[[#This Row],[SDate]],weather.tbl[Date],0))</f>
        <v>11.8</v>
      </c>
      <c r="Q1480" s="2">
        <f ca="1">INDEX(INDIRECT(_xlfn.CONCAT("weather.tbl[",Q$1,"]")),MATCH(vp.data[[#This Row],[SDate]],weather.tbl[Date],0))</f>
        <v>10.4</v>
      </c>
      <c r="R1480" s="2">
        <f ca="1">INDEX(INDIRECT(_xlfn.CONCAT("weather.tbl[",R$1,"]")),MATCH(vp.data[[#This Row],[SDate]],weather.tbl[Date],0))</f>
        <v>11</v>
      </c>
      <c r="S1480" s="2">
        <f ca="1">INDEX(INDIRECT(_xlfn.CONCAT("weather.tbl[",S$1,"]")),MATCH(vp.data[[#This Row],[SDate]],weather.tbl[Date],0))</f>
        <v>10.4</v>
      </c>
      <c r="T1480" s="2">
        <f ca="1">INDEX(INDIRECT(_xlfn.CONCAT("weather.tbl[",T$1,"]")),MATCH(vp.data[[#This Row],[SDate]],weather.tbl[Date],0))</f>
        <v>12</v>
      </c>
      <c r="U1480" s="2">
        <f ca="1">INDEX(INDIRECT(_xlfn.CONCAT("weather.tbl[",U$1,"]")),MATCH(vp.data[[#This Row],[SDate]],weather.tbl[Date],0))</f>
        <v>11.5</v>
      </c>
      <c r="V1480" s="2">
        <f t="array" ref="V14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8729.3289999999997</v>
      </c>
      <c r="W1480" t="s">
        <v>48</v>
      </c>
      <c r="X1480">
        <f>IF(OR(vp.data[[#This Row],[Sulf]]="",vp.data[[#This Row],[Dens]]=""),1,0)</f>
        <v>0</v>
      </c>
      <c r="Y1480">
        <f>IF(vp.data[[#This Row],[CrudeType]]="C5+",1,0)</f>
        <v>0</v>
      </c>
      <c r="Z1480">
        <f>IF(AND(vp.data[[#This Row],[CrudeType]]="Crude",vp.data[[#This Row],[Dens]]&lt;=825,vp.data[[#This Row],[Sulf]]&gt;0.5,vp.data[[#This Row],[Unknown]]=0),1,0)</f>
        <v>0</v>
      </c>
      <c r="AA1480">
        <f>IF(AND(vp.data[[#This Row],[CrudeType]]="Crude",vp.data[[#This Row],[Dens]]&lt;=825,vp.data[[#This Row],[Sulf]]&lt;=0.5,vp.data[[#This Row],[Unknown]]=0),1,0)</f>
        <v>1</v>
      </c>
      <c r="AB14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0">
        <f>IF(AND(vp.data[[#This Row],[CrudeType]]="Crude",vp.data[[#This Row],[Dens]]&gt;825,vp.data[[#This Row],[Dens]]&lt;=900,vp.data[[#This Row],[Sulf]]&lt;=0.5,vp.data[[#This Row],[Unknown]]=0),1,0)</f>
        <v>0</v>
      </c>
      <c r="AD1480">
        <f>IF(AND(vp.data[[#This Row],[CrudeType]]="Crude",vp.data[[#This Row],[Dens]]&gt;865,vp.data[[#This Row],[Dens]]&lt;=900,vp.data[[#This Row],[Sulf]]&gt;2,vp.data[[#This Row],[Unknown]]=0),1,0)</f>
        <v>0</v>
      </c>
      <c r="AE1480">
        <f>IF(AND(vp.data[[#This Row],[CrudeType]]="Crude",vp.data[[#This Row],[Dens]]&gt;900,vp.data[[#This Row],[Sulf]]&lt;=0.5,vp.data[[#This Row],[Unknown]]=0),1,0)</f>
        <v>0</v>
      </c>
      <c r="AF1480">
        <f>IF(AND(vp.data[[#This Row],[CrudeType]]="Crude",vp.data[[#This Row],[Dens]]&gt;900,vp.data[[#This Row],[Sulf]]&lt;=0.5,vp.data[[#This Row],[Unknown]]=0),1,0)</f>
        <v>0</v>
      </c>
      <c r="AG1480" t="str">
        <f>INDEX(vp.data[[#Headers],[Unknown]:[Heavy_SW]],MATCH(1,vp.data[[#This Row],[Unknown]:[Heavy_SW]],0))</f>
        <v>Light_SW</v>
      </c>
      <c r="AH1480">
        <f>INDEX([3]!crudeBD.lkup[Number],MATCH(vp.data[[#This Row],[Crude_Breakdown]],crudeBD.lkup[Crude Breakdown],0))</f>
        <v>2</v>
      </c>
      <c r="AI1480">
        <f>MONTH(vp.data[[#This Row],[SDate]])</f>
        <v>5</v>
      </c>
      <c r="AJ1480" s="5">
        <f>(vp.data[[#This Row],[VP]]-INDEX(crudeBD.lkup[Mean_VP],MATCH(vp.data[[#This Row],[Crude_Breakdown]],crudeBD.lkup[Crude Breakdown],0)))^2</f>
        <v>251.23244086488745</v>
      </c>
      <c r="AK1480" s="5">
        <f>(vp.data[[#This Row],[Dens]]-INDEX(crudeBD.lkup[Mean_Dens],MATCH(vp.data[[#This Row],[Crude_Breakdown]],crudeBD.lkup[Crude Breakdown],0)))^2</f>
        <v>3.1987384817112146</v>
      </c>
      <c r="AL1480" s="5">
        <f>(vp.data[[#This Row],[Sulf]]-INDEX(crudeBD.lkup[Mean_Sulf],MATCH(vp.data[[#This Row],[Crude_Breakdown]],crudeBD.lkup[Crude Breakdown],0)))^2</f>
        <v>2.1383051628646554E-3</v>
      </c>
      <c r="AM1480" s="4">
        <f>IF(AND(vp.data[[#This Row],[SDate]]&gt;=DATE(YEAR(vp.data[[#This Row],[SDate]]),5,1),vp.data[[#This Row],[SDate]]&lt;=DATE(YEAR(vp.data[[#This Row],[SDate]]),9,15)),1,0)</f>
        <v>1</v>
      </c>
      <c r="AN1480" s="4">
        <f>IF(vp.data[[#This Row],[SDate]]&lt;DATE(2016,12,1),0,1)</f>
        <v>1</v>
      </c>
      <c r="AO1480" s="4">
        <f>IFERROR(vp.data[[#This Row],[Sulf]]*vp.data[[#This Row],[Net Dens]],"")</f>
        <v>1343609.590351</v>
      </c>
      <c r="AP1480">
        <f>IFERROR(vp.data[[#This Row],[Dens]]*vp.data[[#This Row],[VolumeM3]],"")</f>
        <v>7071629.4228999997</v>
      </c>
      <c r="AQ1480" s="15">
        <f>IFERROR(vp.data[[#This Row],[VP]]*vp.data[[#This Row],[VolumeM3]],"")</f>
        <v>669539.53430000006</v>
      </c>
    </row>
    <row r="1481" spans="1:43" x14ac:dyDescent="0.25">
      <c r="A1481">
        <v>1480</v>
      </c>
      <c r="B1481" t="s">
        <v>51</v>
      </c>
      <c r="C1481" t="s">
        <v>51</v>
      </c>
      <c r="D1481" t="s">
        <v>72</v>
      </c>
      <c r="F1481" s="1">
        <v>42871</v>
      </c>
      <c r="G1481" s="2">
        <v>89.8</v>
      </c>
      <c r="H1481" s="2"/>
      <c r="I1481" s="2">
        <f t="array" ref="I1481">_xlfn.IFNA(IF(vp.data[[#This Row],[Sulf Input]]="",INDEX([1]DATA!$Q$3:$Q$9826,MATCH(1,(vp.data[[#This Row],[Battery]]=[1]DATA!$L$3:$L$9826)*(EOMONTH(vp.data[[#This Row],[SDate]],-1)+1=[1]DATA!$G$3:$G$9826),0)),vp.data[[#This Row],[Sulf Input]]),"")</f>
        <v>1.06</v>
      </c>
      <c r="J1481" s="2"/>
      <c r="K1481" s="2"/>
      <c r="L1481" s="2"/>
      <c r="M1481" s="2">
        <f t="array" ref="M1481">_xlfn.IFNA(IF(vp.data[[#This Row],[Dens Input]]="",INDEX([1]DATA!$O$3:$O$9826,MATCH(1,(vp.data[[#This Row],[Battery]]=[1]DATA!$L$3:$L$9826)*(EOMONTH(vp.data[[#This Row],[SDate]],-1)+1=[1]DATA!$G$3:$G$9826),0)),vp.data[[#This Row],[Dens Input]]),"")</f>
        <v>829.4</v>
      </c>
      <c r="N1481" s="2">
        <f ca="1">INDEX(INDIRECT(_xlfn.CONCAT("weather.tbl[",N$1,"]")),MATCH(vp.data[[#This Row],[SDate]],weather.tbl[Date],0))</f>
        <v>11.616666666666665</v>
      </c>
      <c r="O1481" s="2">
        <f ca="1">INDEX(INDIRECT(_xlfn.CONCAT("weather.tbl[",O$1,"]")),MATCH(vp.data[[#This Row],[SDate]],weather.tbl[Date],0))</f>
        <v>12.052380952380952</v>
      </c>
      <c r="P1481" s="2">
        <f ca="1">INDEX(INDIRECT(_xlfn.CONCAT("weather.tbl[",P$1,"]")),MATCH(vp.data[[#This Row],[SDate]],weather.tbl[Date],0))</f>
        <v>13.1</v>
      </c>
      <c r="Q1481" s="2">
        <f ca="1">INDEX(INDIRECT(_xlfn.CONCAT("weather.tbl[",Q$1,"]")),MATCH(vp.data[[#This Row],[SDate]],weather.tbl[Date],0))</f>
        <v>9.9</v>
      </c>
      <c r="R1481" s="2">
        <f ca="1">INDEX(INDIRECT(_xlfn.CONCAT("weather.tbl[",R$1,"]")),MATCH(vp.data[[#This Row],[SDate]],weather.tbl[Date],0))</f>
        <v>11.8</v>
      </c>
      <c r="S1481" s="2">
        <f ca="1">INDEX(INDIRECT(_xlfn.CONCAT("weather.tbl[",S$1,"]")),MATCH(vp.data[[#This Row],[SDate]],weather.tbl[Date],0))</f>
        <v>9.3000000000000007</v>
      </c>
      <c r="T1481" s="2">
        <f ca="1">INDEX(INDIRECT(_xlfn.CONCAT("weather.tbl[",T$1,"]")),MATCH(vp.data[[#This Row],[SDate]],weather.tbl[Date],0))</f>
        <v>13.1</v>
      </c>
      <c r="U1481" s="2">
        <f ca="1">INDEX(INDIRECT(_xlfn.CONCAT("weather.tbl[",U$1,"]")),MATCH(vp.data[[#This Row],[SDate]],weather.tbl[Date],0))</f>
        <v>12.5</v>
      </c>
      <c r="V1481" s="2">
        <f t="array" ref="V14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14195.075000000001</v>
      </c>
      <c r="W1481" t="s">
        <v>48</v>
      </c>
      <c r="X1481">
        <f>IF(OR(vp.data[[#This Row],[Sulf]]="",vp.data[[#This Row],[Dens]]=""),1,0)</f>
        <v>0</v>
      </c>
      <c r="Y1481">
        <f>IF(vp.data[[#This Row],[CrudeType]]="C5+",1,0)</f>
        <v>0</v>
      </c>
      <c r="Z1481">
        <f>IF(AND(vp.data[[#This Row],[CrudeType]]="Crude",vp.data[[#This Row],[Dens]]&lt;=825,vp.data[[#This Row],[Sulf]]&gt;0.5,vp.data[[#This Row],[Unknown]]=0),1,0)</f>
        <v>0</v>
      </c>
      <c r="AA1481">
        <f>IF(AND(vp.data[[#This Row],[CrudeType]]="Crude",vp.data[[#This Row],[Dens]]&lt;=825,vp.data[[#This Row],[Sulf]]&lt;=0.5,vp.data[[#This Row],[Unknown]]=0),1,0)</f>
        <v>0</v>
      </c>
      <c r="AB14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81">
        <f>IF(AND(vp.data[[#This Row],[CrudeType]]="Crude",vp.data[[#This Row],[Dens]]&gt;825,vp.data[[#This Row],[Dens]]&lt;=900,vp.data[[#This Row],[Sulf]]&lt;=0.5,vp.data[[#This Row],[Unknown]]=0),1,0)</f>
        <v>0</v>
      </c>
      <c r="AD1481">
        <f>IF(AND(vp.data[[#This Row],[CrudeType]]="Crude",vp.data[[#This Row],[Dens]]&gt;865,vp.data[[#This Row],[Dens]]&lt;=900,vp.data[[#This Row],[Sulf]]&gt;2,vp.data[[#This Row],[Unknown]]=0),1,0)</f>
        <v>0</v>
      </c>
      <c r="AE1481">
        <f>IF(AND(vp.data[[#This Row],[CrudeType]]="Crude",vp.data[[#This Row],[Dens]]&gt;900,vp.data[[#This Row],[Sulf]]&lt;=0.5,vp.data[[#This Row],[Unknown]]=0),1,0)</f>
        <v>0</v>
      </c>
      <c r="AF1481">
        <f>IF(AND(vp.data[[#This Row],[CrudeType]]="Crude",vp.data[[#This Row],[Dens]]&gt;900,vp.data[[#This Row],[Sulf]]&lt;=0.5,vp.data[[#This Row],[Unknown]]=0),1,0)</f>
        <v>0</v>
      </c>
      <c r="AG1481" t="str">
        <f>INDEX(vp.data[[#Headers],[Unknown]:[Heavy_SW]],MATCH(1,vp.data[[#This Row],[Unknown]:[Heavy_SW]],0))</f>
        <v>Medium_LSB</v>
      </c>
      <c r="AH1481">
        <f>INDEX([3]!crudeBD.lkup[Number],MATCH(vp.data[[#This Row],[Crude_Breakdown]],crudeBD.lkup[Crude Breakdown],0))</f>
        <v>3</v>
      </c>
      <c r="AI1481">
        <f>MONTH(vp.data[[#This Row],[SDate]])</f>
        <v>5</v>
      </c>
      <c r="AJ1481" s="5">
        <f>(vp.data[[#This Row],[VP]]-INDEX(crudeBD.lkup[Mean_VP],MATCH(vp.data[[#This Row],[Crude_Breakdown]],crudeBD.lkup[Crude Breakdown],0)))^2</f>
        <v>83.911525711090249</v>
      </c>
      <c r="AK1481" s="5">
        <f>(vp.data[[#This Row],[Dens]]-INDEX(crudeBD.lkup[Mean_Dens],MATCH(vp.data[[#This Row],[Crude_Breakdown]],crudeBD.lkup[Crude Breakdown],0)))^2</f>
        <v>210.83039999998627</v>
      </c>
      <c r="AL1481" s="5">
        <f>(vp.data[[#This Row],[Sulf]]-INDEX(crudeBD.lkup[Mean_Sulf],MATCH(vp.data[[#This Row],[Crude_Breakdown]],crudeBD.lkup[Crude Breakdown],0)))^2</f>
        <v>0.10589044891240515</v>
      </c>
      <c r="AM1481" s="4">
        <f>IF(AND(vp.data[[#This Row],[SDate]]&gt;=DATE(YEAR(vp.data[[#This Row],[SDate]]),5,1),vp.data[[#This Row],[SDate]]&lt;=DATE(YEAR(vp.data[[#This Row],[SDate]]),9,15)),1,0)</f>
        <v>1</v>
      </c>
      <c r="AN1481" s="4">
        <f>IF(vp.data[[#This Row],[SDate]]&lt;DATE(2016,12,1),0,1)</f>
        <v>1</v>
      </c>
      <c r="AO1481" s="4">
        <f>IFERROR(vp.data[[#This Row],[Sulf]]*vp.data[[#This Row],[Net Dens]],"")</f>
        <v>12479798.917300001</v>
      </c>
      <c r="AP1481">
        <f>IFERROR(vp.data[[#This Row],[Dens]]*vp.data[[#This Row],[VolumeM3]],"")</f>
        <v>11773395.205</v>
      </c>
      <c r="AQ1481" s="15">
        <f>IFERROR(vp.data[[#This Row],[VP]]*vp.data[[#This Row],[VolumeM3]],"")</f>
        <v>1274717.7350000001</v>
      </c>
    </row>
    <row r="1482" spans="1:43" x14ac:dyDescent="0.25">
      <c r="A1482">
        <v>1481</v>
      </c>
      <c r="B1482" t="s">
        <v>62</v>
      </c>
      <c r="C1482" t="s">
        <v>62</v>
      </c>
      <c r="D1482" t="s">
        <v>87</v>
      </c>
      <c r="F1482" s="1">
        <v>42871</v>
      </c>
      <c r="G1482" s="2">
        <v>82.9</v>
      </c>
      <c r="H1482" s="2"/>
      <c r="I1482" s="2">
        <f t="array" ref="I1482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482" s="2"/>
      <c r="K1482" s="2"/>
      <c r="L1482" s="2"/>
      <c r="M1482" s="2">
        <f t="array" ref="M1482">_xlfn.IFNA(IF(vp.data[[#This Row],[Dens Input]]="",INDEX([1]DATA!$O$3:$O$9826,MATCH(1,(vp.data[[#This Row],[Battery]]=[1]DATA!$L$3:$L$9826)*(EOMONTH(vp.data[[#This Row],[SDate]],-1)+1=[1]DATA!$G$3:$G$9826),0)),vp.data[[#This Row],[Dens Input]]),"")</f>
        <v>811.8</v>
      </c>
      <c r="N1482" s="2">
        <f ca="1">INDEX(INDIRECT(_xlfn.CONCAT("weather.tbl[",N$1,"]")),MATCH(vp.data[[#This Row],[SDate]],weather.tbl[Date],0))</f>
        <v>11.616666666666665</v>
      </c>
      <c r="O1482" s="2">
        <f ca="1">INDEX(INDIRECT(_xlfn.CONCAT("weather.tbl[",O$1,"]")),MATCH(vp.data[[#This Row],[SDate]],weather.tbl[Date],0))</f>
        <v>12.052380952380952</v>
      </c>
      <c r="P1482" s="2">
        <f ca="1">INDEX(INDIRECT(_xlfn.CONCAT("weather.tbl[",P$1,"]")),MATCH(vp.data[[#This Row],[SDate]],weather.tbl[Date],0))</f>
        <v>13.1</v>
      </c>
      <c r="Q1482" s="2">
        <f ca="1">INDEX(INDIRECT(_xlfn.CONCAT("weather.tbl[",Q$1,"]")),MATCH(vp.data[[#This Row],[SDate]],weather.tbl[Date],0))</f>
        <v>9.9</v>
      </c>
      <c r="R1482" s="2">
        <f ca="1">INDEX(INDIRECT(_xlfn.CONCAT("weather.tbl[",R$1,"]")),MATCH(vp.data[[#This Row],[SDate]],weather.tbl[Date],0))</f>
        <v>11.8</v>
      </c>
      <c r="S1482" s="2">
        <f ca="1">INDEX(INDIRECT(_xlfn.CONCAT("weather.tbl[",S$1,"]")),MATCH(vp.data[[#This Row],[SDate]],weather.tbl[Date],0))</f>
        <v>9.3000000000000007</v>
      </c>
      <c r="T1482" s="2">
        <f ca="1">INDEX(INDIRECT(_xlfn.CONCAT("weather.tbl[",T$1,"]")),MATCH(vp.data[[#This Row],[SDate]],weather.tbl[Date],0))</f>
        <v>13.1</v>
      </c>
      <c r="U1482" s="2">
        <f ca="1">INDEX(INDIRECT(_xlfn.CONCAT("weather.tbl[",U$1,"]")),MATCH(vp.data[[#This Row],[SDate]],weather.tbl[Date],0))</f>
        <v>12.5</v>
      </c>
      <c r="V1482" s="2">
        <f t="array" ref="V14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3329.3429999999998</v>
      </c>
      <c r="W1482" t="s">
        <v>48</v>
      </c>
      <c r="X1482">
        <f>IF(OR(vp.data[[#This Row],[Sulf]]="",vp.data[[#This Row],[Dens]]=""),1,0)</f>
        <v>0</v>
      </c>
      <c r="Y1482">
        <f>IF(vp.data[[#This Row],[CrudeType]]="C5+",1,0)</f>
        <v>0</v>
      </c>
      <c r="Z1482">
        <f>IF(AND(vp.data[[#This Row],[CrudeType]]="Crude",vp.data[[#This Row],[Dens]]&lt;=825,vp.data[[#This Row],[Sulf]]&gt;0.5,vp.data[[#This Row],[Unknown]]=0),1,0)</f>
        <v>0</v>
      </c>
      <c r="AA1482">
        <f>IF(AND(vp.data[[#This Row],[CrudeType]]="Crude",vp.data[[#This Row],[Dens]]&lt;=825,vp.data[[#This Row],[Sulf]]&lt;=0.5,vp.data[[#This Row],[Unknown]]=0),1,0)</f>
        <v>1</v>
      </c>
      <c r="AB14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2">
        <f>IF(AND(vp.data[[#This Row],[CrudeType]]="Crude",vp.data[[#This Row],[Dens]]&gt;825,vp.data[[#This Row],[Dens]]&lt;=900,vp.data[[#This Row],[Sulf]]&lt;=0.5,vp.data[[#This Row],[Unknown]]=0),1,0)</f>
        <v>0</v>
      </c>
      <c r="AD1482">
        <f>IF(AND(vp.data[[#This Row],[CrudeType]]="Crude",vp.data[[#This Row],[Dens]]&gt;865,vp.data[[#This Row],[Dens]]&lt;=900,vp.data[[#This Row],[Sulf]]&gt;2,vp.data[[#This Row],[Unknown]]=0),1,0)</f>
        <v>0</v>
      </c>
      <c r="AE1482">
        <f>IF(AND(vp.data[[#This Row],[CrudeType]]="Crude",vp.data[[#This Row],[Dens]]&gt;900,vp.data[[#This Row],[Sulf]]&lt;=0.5,vp.data[[#This Row],[Unknown]]=0),1,0)</f>
        <v>0</v>
      </c>
      <c r="AF1482">
        <f>IF(AND(vp.data[[#This Row],[CrudeType]]="Crude",vp.data[[#This Row],[Dens]]&gt;900,vp.data[[#This Row],[Sulf]]&lt;=0.5,vp.data[[#This Row],[Unknown]]=0),1,0)</f>
        <v>0</v>
      </c>
      <c r="AG1482" t="str">
        <f>INDEX(vp.data[[#Headers],[Unknown]:[Heavy_SW]],MATCH(1,vp.data[[#This Row],[Unknown]:[Heavy_SW]],0))</f>
        <v>Light_SW</v>
      </c>
      <c r="AH1482">
        <f>INDEX([3]!crudeBD.lkup[Number],MATCH(vp.data[[#This Row],[Crude_Breakdown]],crudeBD.lkup[Crude Breakdown],0))</f>
        <v>2</v>
      </c>
      <c r="AI1482">
        <f>MONTH(vp.data[[#This Row],[SDate]])</f>
        <v>5</v>
      </c>
      <c r="AJ1482" s="5">
        <f>(vp.data[[#This Row],[VP]]-INDEX(crudeBD.lkup[Mean_VP],MATCH(vp.data[[#This Row],[Crude_Breakdown]],crudeBD.lkup[Crude Breakdown],0)))^2</f>
        <v>93.128552363145644</v>
      </c>
      <c r="AK1482" s="5">
        <f>(vp.data[[#This Row],[Dens]]-INDEX(crudeBD.lkup[Mean_Dens],MATCH(vp.data[[#This Row],[Crude_Breakdown]],crudeBD.lkup[Crude Breakdown],0)))^2</f>
        <v>12.169644405056506</v>
      </c>
      <c r="AL1482" s="5">
        <f>(vp.data[[#This Row],[Sulf]]-INDEX(crudeBD.lkup[Mean_Sulf],MATCH(vp.data[[#This Row],[Crude_Breakdown]],crudeBD.lkup[Crude Breakdown],0)))^2</f>
        <v>5.644515043280923E-4</v>
      </c>
      <c r="AM1482" s="4">
        <f>IF(AND(vp.data[[#This Row],[SDate]]&gt;=DATE(YEAR(vp.data[[#This Row],[SDate]]),5,1),vp.data[[#This Row],[SDate]]&lt;=DATE(YEAR(vp.data[[#This Row],[SDate]]),9,15)),1,0)</f>
        <v>1</v>
      </c>
      <c r="AN1482" s="4">
        <f>IF(vp.data[[#This Row],[SDate]]&lt;DATE(2016,12,1),0,1)</f>
        <v>1</v>
      </c>
      <c r="AO1482" s="4">
        <f>IFERROR(vp.data[[#This Row],[Sulf]]*vp.data[[#This Row],[Net Dens]],"")</f>
        <v>702717.76832399995</v>
      </c>
      <c r="AP1482">
        <f>IFERROR(vp.data[[#This Row],[Dens]]*vp.data[[#This Row],[VolumeM3]],"")</f>
        <v>2702760.6473999997</v>
      </c>
      <c r="AQ1482" s="15">
        <f>IFERROR(vp.data[[#This Row],[VP]]*vp.data[[#This Row],[VolumeM3]],"")</f>
        <v>276002.53470000002</v>
      </c>
    </row>
    <row r="1483" spans="1:43" x14ac:dyDescent="0.25">
      <c r="A1483">
        <v>1482</v>
      </c>
      <c r="B1483" t="s">
        <v>49</v>
      </c>
      <c r="C1483" t="s">
        <v>49</v>
      </c>
      <c r="D1483" t="s">
        <v>67</v>
      </c>
      <c r="F1483" s="1">
        <v>42871</v>
      </c>
      <c r="G1483" s="2">
        <v>83.3</v>
      </c>
      <c r="H1483" s="2"/>
      <c r="I1483" s="2">
        <f t="array" ref="I1483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483" s="2"/>
      <c r="K1483" s="2"/>
      <c r="L1483" s="2"/>
      <c r="M1483" s="2">
        <f t="array" ref="M1483">_xlfn.IFNA(IF(vp.data[[#This Row],[Dens Input]]="",INDEX([1]DATA!$O$3:$O$9826,MATCH(1,(vp.data[[#This Row],[Battery]]=[1]DATA!$L$3:$L$9826)*(EOMONTH(vp.data[[#This Row],[SDate]],-1)+1=[1]DATA!$G$3:$G$9826),0)),vp.data[[#This Row],[Dens Input]]),"")</f>
        <v>822.8</v>
      </c>
      <c r="N1483" s="2">
        <f ca="1">INDEX(INDIRECT(_xlfn.CONCAT("weather.tbl[",N$1,"]")),MATCH(vp.data[[#This Row],[SDate]],weather.tbl[Date],0))</f>
        <v>11.616666666666665</v>
      </c>
      <c r="O1483" s="2">
        <f ca="1">INDEX(INDIRECT(_xlfn.CONCAT("weather.tbl[",O$1,"]")),MATCH(vp.data[[#This Row],[SDate]],weather.tbl[Date],0))</f>
        <v>12.052380952380952</v>
      </c>
      <c r="P1483" s="2">
        <f ca="1">INDEX(INDIRECT(_xlfn.CONCAT("weather.tbl[",P$1,"]")),MATCH(vp.data[[#This Row],[SDate]],weather.tbl[Date],0))</f>
        <v>13.1</v>
      </c>
      <c r="Q1483" s="2">
        <f ca="1">INDEX(INDIRECT(_xlfn.CONCAT("weather.tbl[",Q$1,"]")),MATCH(vp.data[[#This Row],[SDate]],weather.tbl[Date],0))</f>
        <v>9.9</v>
      </c>
      <c r="R1483" s="2">
        <f ca="1">INDEX(INDIRECT(_xlfn.CONCAT("weather.tbl[",R$1,"]")),MATCH(vp.data[[#This Row],[SDate]],weather.tbl[Date],0))</f>
        <v>11.8</v>
      </c>
      <c r="S1483" s="2">
        <f ca="1">INDEX(INDIRECT(_xlfn.CONCAT("weather.tbl[",S$1,"]")),MATCH(vp.data[[#This Row],[SDate]],weather.tbl[Date],0))</f>
        <v>9.3000000000000007</v>
      </c>
      <c r="T1483" s="2">
        <f ca="1">INDEX(INDIRECT(_xlfn.CONCAT("weather.tbl[",T$1,"]")),MATCH(vp.data[[#This Row],[SDate]],weather.tbl[Date],0))</f>
        <v>13.1</v>
      </c>
      <c r="U1483" s="2">
        <f ca="1">INDEX(INDIRECT(_xlfn.CONCAT("weather.tbl[",U$1,"]")),MATCH(vp.data[[#This Row],[SDate]],weather.tbl[Date],0))</f>
        <v>12.5</v>
      </c>
      <c r="V1483" s="2">
        <f t="array" ref="V14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152210.65299999999</v>
      </c>
      <c r="W1483" t="s">
        <v>48</v>
      </c>
      <c r="X1483">
        <f>IF(OR(vp.data[[#This Row],[Sulf]]="",vp.data[[#This Row],[Dens]]=""),1,0)</f>
        <v>0</v>
      </c>
      <c r="Y1483">
        <f>IF(vp.data[[#This Row],[CrudeType]]="C5+",1,0)</f>
        <v>0</v>
      </c>
      <c r="Z1483">
        <f>IF(AND(vp.data[[#This Row],[CrudeType]]="Crude",vp.data[[#This Row],[Dens]]&lt;=825,vp.data[[#This Row],[Sulf]]&gt;0.5,vp.data[[#This Row],[Unknown]]=0),1,0)</f>
        <v>1</v>
      </c>
      <c r="AA1483">
        <f>IF(AND(vp.data[[#This Row],[CrudeType]]="Crude",vp.data[[#This Row],[Dens]]&lt;=825,vp.data[[#This Row],[Sulf]]&lt;=0.5,vp.data[[#This Row],[Unknown]]=0),1,0)</f>
        <v>0</v>
      </c>
      <c r="AB14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3">
        <f>IF(AND(vp.data[[#This Row],[CrudeType]]="Crude",vp.data[[#This Row],[Dens]]&gt;825,vp.data[[#This Row],[Dens]]&lt;=900,vp.data[[#This Row],[Sulf]]&lt;=0.5,vp.data[[#This Row],[Unknown]]=0),1,0)</f>
        <v>0</v>
      </c>
      <c r="AD1483">
        <f>IF(AND(vp.data[[#This Row],[CrudeType]]="Crude",vp.data[[#This Row],[Dens]]&gt;865,vp.data[[#This Row],[Dens]]&lt;=900,vp.data[[#This Row],[Sulf]]&gt;2,vp.data[[#This Row],[Unknown]]=0),1,0)</f>
        <v>0</v>
      </c>
      <c r="AE1483">
        <f>IF(AND(vp.data[[#This Row],[CrudeType]]="Crude",vp.data[[#This Row],[Dens]]&gt;900,vp.data[[#This Row],[Sulf]]&lt;=0.5,vp.data[[#This Row],[Unknown]]=0),1,0)</f>
        <v>0</v>
      </c>
      <c r="AF1483">
        <f>IF(AND(vp.data[[#This Row],[CrudeType]]="Crude",vp.data[[#This Row],[Dens]]&gt;900,vp.data[[#This Row],[Sulf]]&lt;=0.5,vp.data[[#This Row],[Unknown]]=0),1,0)</f>
        <v>0</v>
      </c>
      <c r="AG1483" t="str">
        <f>INDEX(vp.data[[#Headers],[Unknown]:[Heavy_SW]],MATCH(1,vp.data[[#This Row],[Unknown]:[Heavy_SW]],0))</f>
        <v>Light_LSB</v>
      </c>
      <c r="AH1483">
        <f>INDEX([3]!crudeBD.lkup[Number],MATCH(vp.data[[#This Row],[Crude_Breakdown]],crudeBD.lkup[Crude Breakdown],0))</f>
        <v>1</v>
      </c>
      <c r="AI1483">
        <f>MONTH(vp.data[[#This Row],[SDate]])</f>
        <v>5</v>
      </c>
      <c r="AJ1483" s="5">
        <f>(vp.data[[#This Row],[VP]]-INDEX(crudeBD.lkup[Mean_VP],MATCH(vp.data[[#This Row],[Crude_Breakdown]],crudeBD.lkup[Crude Breakdown],0)))^2</f>
        <v>67.999576405569698</v>
      </c>
      <c r="AK1483" s="5">
        <f>(vp.data[[#This Row],[Dens]]-INDEX(crudeBD.lkup[Mean_Dens],MATCH(vp.data[[#This Row],[Crude_Breakdown]],crudeBD.lkup[Crude Breakdown],0)))^2</f>
        <v>18.34606129356284</v>
      </c>
      <c r="AL1483" s="5">
        <f>(vp.data[[#This Row],[Sulf]]-INDEX(crudeBD.lkup[Mean_Sulf],MATCH(vp.data[[#This Row],[Crude_Breakdown]],crudeBD.lkup[Crude Breakdown],0)))^2</f>
        <v>8.5832105504801401E-2</v>
      </c>
      <c r="AM1483" s="4">
        <f>IF(AND(vp.data[[#This Row],[SDate]]&gt;=DATE(YEAR(vp.data[[#This Row],[SDate]]),5,1),vp.data[[#This Row],[SDate]]&lt;=DATE(YEAR(vp.data[[#This Row],[SDate]]),9,15)),1,0)</f>
        <v>1</v>
      </c>
      <c r="AN1483" s="4">
        <f>IF(vp.data[[#This Row],[SDate]]&lt;DATE(2016,12,1),0,1)</f>
        <v>1</v>
      </c>
      <c r="AO1483" s="4">
        <f>IFERROR(vp.data[[#This Row],[Sulf]]*vp.data[[#This Row],[Net Dens]],"")</f>
        <v>78900522.931691989</v>
      </c>
      <c r="AP1483">
        <f>IFERROR(vp.data[[#This Row],[Dens]]*vp.data[[#This Row],[VolumeM3]],"")</f>
        <v>125238925.28839998</v>
      </c>
      <c r="AQ1483" s="15">
        <f>IFERROR(vp.data[[#This Row],[VP]]*vp.data[[#This Row],[VolumeM3]],"")</f>
        <v>12679147.3949</v>
      </c>
    </row>
    <row r="1484" spans="1:43" x14ac:dyDescent="0.25">
      <c r="A1484">
        <v>1483</v>
      </c>
      <c r="B1484" t="s">
        <v>49</v>
      </c>
      <c r="C1484" t="s">
        <v>49</v>
      </c>
      <c r="D1484" t="s">
        <v>59</v>
      </c>
      <c r="F1484" s="1">
        <v>42871</v>
      </c>
      <c r="G1484" s="2">
        <v>87.5</v>
      </c>
      <c r="H1484" s="2"/>
      <c r="I1484" s="2">
        <f t="array" ref="I1484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484" s="2"/>
      <c r="K1484" s="2"/>
      <c r="L1484" s="2"/>
      <c r="M1484" s="2">
        <f t="array" ref="M1484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1484" s="2">
        <f ca="1">INDEX(INDIRECT(_xlfn.CONCAT("weather.tbl[",N$1,"]")),MATCH(vp.data[[#This Row],[SDate]],weather.tbl[Date],0))</f>
        <v>11.616666666666665</v>
      </c>
      <c r="O1484" s="2">
        <f ca="1">INDEX(INDIRECT(_xlfn.CONCAT("weather.tbl[",O$1,"]")),MATCH(vp.data[[#This Row],[SDate]],weather.tbl[Date],0))</f>
        <v>12.052380952380952</v>
      </c>
      <c r="P1484" s="2">
        <f ca="1">INDEX(INDIRECT(_xlfn.CONCAT("weather.tbl[",P$1,"]")),MATCH(vp.data[[#This Row],[SDate]],weather.tbl[Date],0))</f>
        <v>13.1</v>
      </c>
      <c r="Q1484" s="2">
        <f ca="1">INDEX(INDIRECT(_xlfn.CONCAT("weather.tbl[",Q$1,"]")),MATCH(vp.data[[#This Row],[SDate]],weather.tbl[Date],0))</f>
        <v>9.9</v>
      </c>
      <c r="R1484" s="2">
        <f ca="1">INDEX(INDIRECT(_xlfn.CONCAT("weather.tbl[",R$1,"]")),MATCH(vp.data[[#This Row],[SDate]],weather.tbl[Date],0))</f>
        <v>11.8</v>
      </c>
      <c r="S1484" s="2">
        <f ca="1">INDEX(INDIRECT(_xlfn.CONCAT("weather.tbl[",S$1,"]")),MATCH(vp.data[[#This Row],[SDate]],weather.tbl[Date],0))</f>
        <v>9.3000000000000007</v>
      </c>
      <c r="T1484" s="2">
        <f ca="1">INDEX(INDIRECT(_xlfn.CONCAT("weather.tbl[",T$1,"]")),MATCH(vp.data[[#This Row],[SDate]],weather.tbl[Date],0))</f>
        <v>13.1</v>
      </c>
      <c r="U1484" s="2">
        <f ca="1">INDEX(INDIRECT(_xlfn.CONCAT("weather.tbl[",U$1,"]")),MATCH(vp.data[[#This Row],[SDate]],weather.tbl[Date],0))</f>
        <v>12.5</v>
      </c>
      <c r="V1484" s="2">
        <f t="array" ref="V14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1309.8610000000001</v>
      </c>
      <c r="W1484" t="s">
        <v>48</v>
      </c>
      <c r="X1484">
        <f>IF(OR(vp.data[[#This Row],[Sulf]]="",vp.data[[#This Row],[Dens]]=""),1,0)</f>
        <v>0</v>
      </c>
      <c r="Y1484">
        <f>IF(vp.data[[#This Row],[CrudeType]]="C5+",1,0)</f>
        <v>0</v>
      </c>
      <c r="Z1484">
        <f>IF(AND(vp.data[[#This Row],[CrudeType]]="Crude",vp.data[[#This Row],[Dens]]&lt;=825,vp.data[[#This Row],[Sulf]]&gt;0.5,vp.data[[#This Row],[Unknown]]=0),1,0)</f>
        <v>0</v>
      </c>
      <c r="AA1484">
        <f>IF(AND(vp.data[[#This Row],[CrudeType]]="Crude",vp.data[[#This Row],[Dens]]&lt;=825,vp.data[[#This Row],[Sulf]]&lt;=0.5,vp.data[[#This Row],[Unknown]]=0),1,0)</f>
        <v>0</v>
      </c>
      <c r="AB14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84">
        <f>IF(AND(vp.data[[#This Row],[CrudeType]]="Crude",vp.data[[#This Row],[Dens]]&gt;825,vp.data[[#This Row],[Dens]]&lt;=900,vp.data[[#This Row],[Sulf]]&lt;=0.5,vp.data[[#This Row],[Unknown]]=0),1,0)</f>
        <v>0</v>
      </c>
      <c r="AD1484">
        <f>IF(AND(vp.data[[#This Row],[CrudeType]]="Crude",vp.data[[#This Row],[Dens]]&gt;865,vp.data[[#This Row],[Dens]]&lt;=900,vp.data[[#This Row],[Sulf]]&gt;2,vp.data[[#This Row],[Unknown]]=0),1,0)</f>
        <v>0</v>
      </c>
      <c r="AE1484">
        <f>IF(AND(vp.data[[#This Row],[CrudeType]]="Crude",vp.data[[#This Row],[Dens]]&gt;900,vp.data[[#This Row],[Sulf]]&lt;=0.5,vp.data[[#This Row],[Unknown]]=0),1,0)</f>
        <v>0</v>
      </c>
      <c r="AF1484">
        <f>IF(AND(vp.data[[#This Row],[CrudeType]]="Crude",vp.data[[#This Row],[Dens]]&gt;900,vp.data[[#This Row],[Sulf]]&lt;=0.5,vp.data[[#This Row],[Unknown]]=0),1,0)</f>
        <v>0</v>
      </c>
      <c r="AG1484" t="str">
        <f>INDEX(vp.data[[#Headers],[Unknown]:[Heavy_SW]],MATCH(1,vp.data[[#This Row],[Unknown]:[Heavy_SW]],0))</f>
        <v>Medium_LSB</v>
      </c>
      <c r="AH1484">
        <f>INDEX([3]!crudeBD.lkup[Number],MATCH(vp.data[[#This Row],[Crude_Breakdown]],crudeBD.lkup[Crude Breakdown],0))</f>
        <v>3</v>
      </c>
      <c r="AI1484">
        <f>MONTH(vp.data[[#This Row],[SDate]])</f>
        <v>5</v>
      </c>
      <c r="AJ1484" s="5">
        <f>(vp.data[[#This Row],[VP]]-INDEX(crudeBD.lkup[Mean_VP],MATCH(vp.data[[#This Row],[Crude_Breakdown]],crudeBD.lkup[Crude Breakdown],0)))^2</f>
        <v>47.064037840470029</v>
      </c>
      <c r="AK1484" s="5">
        <f>(vp.data[[#This Row],[Dens]]-INDEX(crudeBD.lkup[Mean_Dens],MATCH(vp.data[[#This Row],[Crude_Breakdown]],crudeBD.lkup[Crude Breakdown],0)))^2</f>
        <v>1.1664000000010706</v>
      </c>
      <c r="AL1484" s="5">
        <f>(vp.data[[#This Row],[Sulf]]-INDEX(crudeBD.lkup[Mean_Sulf],MATCH(vp.data[[#This Row],[Crude_Breakdown]],crudeBD.lkup[Crude Breakdown],0)))^2</f>
        <v>1.9884351657733202E-3</v>
      </c>
      <c r="AM1484" s="4">
        <f>IF(AND(vp.data[[#This Row],[SDate]]&gt;=DATE(YEAR(vp.data[[#This Row],[SDate]]),5,1),vp.data[[#This Row],[SDate]]&lt;=DATE(YEAR(vp.data[[#This Row],[SDate]]),9,15)),1,0)</f>
        <v>1</v>
      </c>
      <c r="AN1484" s="4">
        <f>IF(vp.data[[#This Row],[SDate]]&lt;DATE(2016,12,1),0,1)</f>
        <v>1</v>
      </c>
      <c r="AO1484" s="4">
        <f>IFERROR(vp.data[[#This Row],[Sulf]]*vp.data[[#This Row],[Net Dens]],"")</f>
        <v>1582770.5393500002</v>
      </c>
      <c r="AP1484">
        <f>IFERROR(vp.data[[#This Row],[Dens]]*vp.data[[#This Row],[VolumeM3]],"")</f>
        <v>1106832.5450000002</v>
      </c>
      <c r="AQ1484" s="15">
        <f>IFERROR(vp.data[[#This Row],[VP]]*vp.data[[#This Row],[VolumeM3]],"")</f>
        <v>114612.83750000001</v>
      </c>
    </row>
    <row r="1485" spans="1:43" x14ac:dyDescent="0.25">
      <c r="A1485">
        <v>1484</v>
      </c>
      <c r="B1485" t="s">
        <v>68</v>
      </c>
      <c r="C1485" t="s">
        <v>68</v>
      </c>
      <c r="D1485" t="s">
        <v>98</v>
      </c>
      <c r="F1485" s="1">
        <v>42871</v>
      </c>
      <c r="G1485" s="2">
        <v>88.9</v>
      </c>
      <c r="H1485" s="2"/>
      <c r="I1485" s="2">
        <f t="array" ref="I1485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485" s="2"/>
      <c r="K1485" s="2"/>
      <c r="L1485" s="2"/>
      <c r="M1485" s="2">
        <f t="array" ref="M1485">_xlfn.IFNA(IF(vp.data[[#This Row],[Dens Input]]="",INDEX([1]DATA!$O$3:$O$9826,MATCH(1,(vp.data[[#This Row],[Battery]]=[1]DATA!$L$3:$L$9826)*(EOMONTH(vp.data[[#This Row],[SDate]],-1)+1=[1]DATA!$G$3:$G$9826),0)),vp.data[[#This Row],[Dens Input]]),"")</f>
        <v>850.4</v>
      </c>
      <c r="N1485" s="2">
        <f ca="1">INDEX(INDIRECT(_xlfn.CONCAT("weather.tbl[",N$1,"]")),MATCH(vp.data[[#This Row],[SDate]],weather.tbl[Date],0))</f>
        <v>11.616666666666665</v>
      </c>
      <c r="O1485" s="2">
        <f ca="1">INDEX(INDIRECT(_xlfn.CONCAT("weather.tbl[",O$1,"]")),MATCH(vp.data[[#This Row],[SDate]],weather.tbl[Date],0))</f>
        <v>12.052380952380952</v>
      </c>
      <c r="P1485" s="2">
        <f ca="1">INDEX(INDIRECT(_xlfn.CONCAT("weather.tbl[",P$1,"]")),MATCH(vp.data[[#This Row],[SDate]],weather.tbl[Date],0))</f>
        <v>13.1</v>
      </c>
      <c r="Q1485" s="2">
        <f ca="1">INDEX(INDIRECT(_xlfn.CONCAT("weather.tbl[",Q$1,"]")),MATCH(vp.data[[#This Row],[SDate]],weather.tbl[Date],0))</f>
        <v>9.9</v>
      </c>
      <c r="R1485" s="2">
        <f ca="1">INDEX(INDIRECT(_xlfn.CONCAT("weather.tbl[",R$1,"]")),MATCH(vp.data[[#This Row],[SDate]],weather.tbl[Date],0))</f>
        <v>11.8</v>
      </c>
      <c r="S1485" s="2">
        <f ca="1">INDEX(INDIRECT(_xlfn.CONCAT("weather.tbl[",S$1,"]")),MATCH(vp.data[[#This Row],[SDate]],weather.tbl[Date],0))</f>
        <v>9.3000000000000007</v>
      </c>
      <c r="T1485" s="2">
        <f ca="1">INDEX(INDIRECT(_xlfn.CONCAT("weather.tbl[",T$1,"]")),MATCH(vp.data[[#This Row],[SDate]],weather.tbl[Date],0))</f>
        <v>13.1</v>
      </c>
      <c r="U1485" s="2">
        <f ca="1">INDEX(INDIRECT(_xlfn.CONCAT("weather.tbl[",U$1,"]")),MATCH(vp.data[[#This Row],[SDate]],weather.tbl[Date],0))</f>
        <v>12.5</v>
      </c>
      <c r="V1485" s="2">
        <f t="array" ref="V14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4675.3909999999996</v>
      </c>
      <c r="W1485" t="s">
        <v>48</v>
      </c>
      <c r="X1485">
        <f>IF(OR(vp.data[[#This Row],[Sulf]]="",vp.data[[#This Row],[Dens]]=""),1,0)</f>
        <v>0</v>
      </c>
      <c r="Y1485">
        <f>IF(vp.data[[#This Row],[CrudeType]]="C5+",1,0)</f>
        <v>0</v>
      </c>
      <c r="Z1485">
        <f>IF(AND(vp.data[[#This Row],[CrudeType]]="Crude",vp.data[[#This Row],[Dens]]&lt;=825,vp.data[[#This Row],[Sulf]]&gt;0.5,vp.data[[#This Row],[Unknown]]=0),1,0)</f>
        <v>0</v>
      </c>
      <c r="AA1485">
        <f>IF(AND(vp.data[[#This Row],[CrudeType]]="Crude",vp.data[[#This Row],[Dens]]&lt;=825,vp.data[[#This Row],[Sulf]]&lt;=0.5,vp.data[[#This Row],[Unknown]]=0),1,0)</f>
        <v>0</v>
      </c>
      <c r="AB14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85">
        <f>IF(AND(vp.data[[#This Row],[CrudeType]]="Crude",vp.data[[#This Row],[Dens]]&gt;825,vp.data[[#This Row],[Dens]]&lt;=900,vp.data[[#This Row],[Sulf]]&lt;=0.5,vp.data[[#This Row],[Unknown]]=0),1,0)</f>
        <v>0</v>
      </c>
      <c r="AD1485">
        <f>IF(AND(vp.data[[#This Row],[CrudeType]]="Crude",vp.data[[#This Row],[Dens]]&gt;865,vp.data[[#This Row],[Dens]]&lt;=900,vp.data[[#This Row],[Sulf]]&gt;2,vp.data[[#This Row],[Unknown]]=0),1,0)</f>
        <v>0</v>
      </c>
      <c r="AE1485">
        <f>IF(AND(vp.data[[#This Row],[CrudeType]]="Crude",vp.data[[#This Row],[Dens]]&gt;900,vp.data[[#This Row],[Sulf]]&lt;=0.5,vp.data[[#This Row],[Unknown]]=0),1,0)</f>
        <v>0</v>
      </c>
      <c r="AF1485">
        <f>IF(AND(vp.data[[#This Row],[CrudeType]]="Crude",vp.data[[#This Row],[Dens]]&gt;900,vp.data[[#This Row],[Sulf]]&lt;=0.5,vp.data[[#This Row],[Unknown]]=0),1,0)</f>
        <v>0</v>
      </c>
      <c r="AG1485" t="str">
        <f>INDEX(vp.data[[#Headers],[Unknown]:[Heavy_SW]],MATCH(1,vp.data[[#This Row],[Unknown]:[Heavy_SW]],0))</f>
        <v>Medium_LSB</v>
      </c>
      <c r="AH1485">
        <f>INDEX([3]!crudeBD.lkup[Number],MATCH(vp.data[[#This Row],[Crude_Breakdown]],crudeBD.lkup[Crude Breakdown],0))</f>
        <v>3</v>
      </c>
      <c r="AI1485">
        <f>MONTH(vp.data[[#This Row],[SDate]])</f>
        <v>5</v>
      </c>
      <c r="AJ1485" s="5">
        <f>(vp.data[[#This Row],[VP]]-INDEX(crudeBD.lkup[Mean_VP],MATCH(vp.data[[#This Row],[Crude_Breakdown]],crudeBD.lkup[Crude Breakdown],0)))^2</f>
        <v>68.232943500847682</v>
      </c>
      <c r="AK1485" s="5">
        <f>(vp.data[[#This Row],[Dens]]-INDEX(crudeBD.lkup[Mean_Dens],MATCH(vp.data[[#This Row],[Crude_Breakdown]],crudeBD.lkup[Crude Breakdown],0)))^2</f>
        <v>41.990400000006126</v>
      </c>
      <c r="AL1485" s="5">
        <f>(vp.data[[#This Row],[Sulf]]-INDEX(crudeBD.lkup[Mean_Sulf],MATCH(vp.data[[#This Row],[Crude_Breakdown]],crudeBD.lkup[Crude Breakdown],0)))^2</f>
        <v>4.2782230363935985E-3</v>
      </c>
      <c r="AM1485" s="4">
        <f>IF(AND(vp.data[[#This Row],[SDate]]&gt;=DATE(YEAR(vp.data[[#This Row],[SDate]]),5,1),vp.data[[#This Row],[SDate]]&lt;=DATE(YEAR(vp.data[[#This Row],[SDate]]),9,15)),1,0)</f>
        <v>1</v>
      </c>
      <c r="AN1485" s="4">
        <f>IF(vp.data[[#This Row],[SDate]]&lt;DATE(2016,12,1),0,1)</f>
        <v>1</v>
      </c>
      <c r="AO1485" s="4">
        <f>IFERROR(vp.data[[#This Row],[Sulf]]*vp.data[[#This Row],[Net Dens]],"")</f>
        <v>5248257.3084479999</v>
      </c>
      <c r="AP1485">
        <f>IFERROR(vp.data[[#This Row],[Dens]]*vp.data[[#This Row],[VolumeM3]],"")</f>
        <v>3975952.5063999994</v>
      </c>
      <c r="AQ1485" s="15">
        <f>IFERROR(vp.data[[#This Row],[VP]]*vp.data[[#This Row],[VolumeM3]],"")</f>
        <v>415642.2599</v>
      </c>
    </row>
    <row r="1486" spans="1:43" x14ac:dyDescent="0.25">
      <c r="A1486">
        <v>1485</v>
      </c>
      <c r="B1486" t="s">
        <v>49</v>
      </c>
      <c r="C1486" t="s">
        <v>49</v>
      </c>
      <c r="D1486" t="s">
        <v>81</v>
      </c>
      <c r="F1486" s="1">
        <v>42871</v>
      </c>
      <c r="G1486" s="2">
        <v>81.3</v>
      </c>
      <c r="H1486" s="2"/>
      <c r="I1486" s="2">
        <f t="array" ref="I1486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486" s="2"/>
      <c r="K1486" s="2"/>
      <c r="L1486" s="2"/>
      <c r="M1486" s="2">
        <f t="array" ref="M1486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486" s="2">
        <f ca="1">INDEX(INDIRECT(_xlfn.CONCAT("weather.tbl[",N$1,"]")),MATCH(vp.data[[#This Row],[SDate]],weather.tbl[Date],0))</f>
        <v>11.616666666666665</v>
      </c>
      <c r="O1486" s="2">
        <f ca="1">INDEX(INDIRECT(_xlfn.CONCAT("weather.tbl[",O$1,"]")),MATCH(vp.data[[#This Row],[SDate]],weather.tbl[Date],0))</f>
        <v>12.052380952380952</v>
      </c>
      <c r="P1486" s="2">
        <f ca="1">INDEX(INDIRECT(_xlfn.CONCAT("weather.tbl[",P$1,"]")),MATCH(vp.data[[#This Row],[SDate]],weather.tbl[Date],0))</f>
        <v>13.1</v>
      </c>
      <c r="Q1486" s="2">
        <f ca="1">INDEX(INDIRECT(_xlfn.CONCAT("weather.tbl[",Q$1,"]")),MATCH(vp.data[[#This Row],[SDate]],weather.tbl[Date],0))</f>
        <v>9.9</v>
      </c>
      <c r="R1486" s="2">
        <f ca="1">INDEX(INDIRECT(_xlfn.CONCAT("weather.tbl[",R$1,"]")),MATCH(vp.data[[#This Row],[SDate]],weather.tbl[Date],0))</f>
        <v>11.8</v>
      </c>
      <c r="S1486" s="2">
        <f ca="1">INDEX(INDIRECT(_xlfn.CONCAT("weather.tbl[",S$1,"]")),MATCH(vp.data[[#This Row],[SDate]],weather.tbl[Date],0))</f>
        <v>9.3000000000000007</v>
      </c>
      <c r="T1486" s="2">
        <f ca="1">INDEX(INDIRECT(_xlfn.CONCAT("weather.tbl[",T$1,"]")),MATCH(vp.data[[#This Row],[SDate]],weather.tbl[Date],0))</f>
        <v>13.1</v>
      </c>
      <c r="U1486" s="2">
        <f ca="1">INDEX(INDIRECT(_xlfn.CONCAT("weather.tbl[",U$1,"]")),MATCH(vp.data[[#This Row],[SDate]],weather.tbl[Date],0))</f>
        <v>12.5</v>
      </c>
      <c r="V1486" s="2">
        <f t="array" ref="V14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19932.741000000002</v>
      </c>
      <c r="W1486" t="s">
        <v>48</v>
      </c>
      <c r="X1486">
        <f>IF(OR(vp.data[[#This Row],[Sulf]]="",vp.data[[#This Row],[Dens]]=""),1,0)</f>
        <v>0</v>
      </c>
      <c r="Y1486">
        <f>IF(vp.data[[#This Row],[CrudeType]]="C5+",1,0)</f>
        <v>0</v>
      </c>
      <c r="Z1486">
        <f>IF(AND(vp.data[[#This Row],[CrudeType]]="Crude",vp.data[[#This Row],[Dens]]&lt;=825,vp.data[[#This Row],[Sulf]]&gt;0.5,vp.data[[#This Row],[Unknown]]=0),1,0)</f>
        <v>1</v>
      </c>
      <c r="AA1486">
        <f>IF(AND(vp.data[[#This Row],[CrudeType]]="Crude",vp.data[[#This Row],[Dens]]&lt;=825,vp.data[[#This Row],[Sulf]]&lt;=0.5,vp.data[[#This Row],[Unknown]]=0),1,0)</f>
        <v>0</v>
      </c>
      <c r="AB14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6">
        <f>IF(AND(vp.data[[#This Row],[CrudeType]]="Crude",vp.data[[#This Row],[Dens]]&gt;825,vp.data[[#This Row],[Dens]]&lt;=900,vp.data[[#This Row],[Sulf]]&lt;=0.5,vp.data[[#This Row],[Unknown]]=0),1,0)</f>
        <v>0</v>
      </c>
      <c r="AD1486">
        <f>IF(AND(vp.data[[#This Row],[CrudeType]]="Crude",vp.data[[#This Row],[Dens]]&gt;865,vp.data[[#This Row],[Dens]]&lt;=900,vp.data[[#This Row],[Sulf]]&gt;2,vp.data[[#This Row],[Unknown]]=0),1,0)</f>
        <v>0</v>
      </c>
      <c r="AE1486">
        <f>IF(AND(vp.data[[#This Row],[CrudeType]]="Crude",vp.data[[#This Row],[Dens]]&gt;900,vp.data[[#This Row],[Sulf]]&lt;=0.5,vp.data[[#This Row],[Unknown]]=0),1,0)</f>
        <v>0</v>
      </c>
      <c r="AF1486">
        <f>IF(AND(vp.data[[#This Row],[CrudeType]]="Crude",vp.data[[#This Row],[Dens]]&gt;900,vp.data[[#This Row],[Sulf]]&lt;=0.5,vp.data[[#This Row],[Unknown]]=0),1,0)</f>
        <v>0</v>
      </c>
      <c r="AG1486" t="str">
        <f>INDEX(vp.data[[#Headers],[Unknown]:[Heavy_SW]],MATCH(1,vp.data[[#This Row],[Unknown]:[Heavy_SW]],0))</f>
        <v>Light_LSB</v>
      </c>
      <c r="AH1486">
        <f>INDEX([3]!crudeBD.lkup[Number],MATCH(vp.data[[#This Row],[Crude_Breakdown]],crudeBD.lkup[Crude Breakdown],0))</f>
        <v>1</v>
      </c>
      <c r="AI1486">
        <f>MONTH(vp.data[[#This Row],[SDate]])</f>
        <v>5</v>
      </c>
      <c r="AJ1486" s="5">
        <f>(vp.data[[#This Row],[VP]]-INDEX(crudeBD.lkup[Mean_VP],MATCH(vp.data[[#This Row],[Crude_Breakdown]],crudeBD.lkup[Crude Breakdown],0)))^2</f>
        <v>104.98431867361107</v>
      </c>
      <c r="AK1486" s="5">
        <f>(vp.data[[#This Row],[Dens]]-INDEX(crudeBD.lkup[Mean_Dens],MATCH(vp.data[[#This Row],[Crude_Breakdown]],crudeBD.lkup[Crude Breakdown],0)))^2</f>
        <v>38.232336207654335</v>
      </c>
      <c r="AL1486" s="5">
        <f>(vp.data[[#This Row],[Sulf]]-INDEX(crudeBD.lkup[Mean_Sulf],MATCH(vp.data[[#This Row],[Crude_Breakdown]],crudeBD.lkup[Crude Breakdown],0)))^2</f>
        <v>0.15442633918177728</v>
      </c>
      <c r="AM1486" s="4">
        <f>IF(AND(vp.data[[#This Row],[SDate]]&gt;=DATE(YEAR(vp.data[[#This Row],[SDate]]),5,1),vp.data[[#This Row],[SDate]]&lt;=DATE(YEAR(vp.data[[#This Row],[SDate]]),9,15)),1,0)</f>
        <v>1</v>
      </c>
      <c r="AN1486" s="4">
        <f>IF(vp.data[[#This Row],[SDate]]&lt;DATE(2016,12,1),0,1)</f>
        <v>1</v>
      </c>
      <c r="AO1486" s="4">
        <f>IFERROR(vp.data[[#This Row],[Sulf]]*vp.data[[#This Row],[Net Dens]],"")</f>
        <v>8712421.6964310016</v>
      </c>
      <c r="AP1486">
        <f>IFERROR(vp.data[[#This Row],[Dens]]*vp.data[[#This Row],[VolumeM3]],"")</f>
        <v>16438531.502700003</v>
      </c>
      <c r="AQ1486" s="15">
        <f>IFERROR(vp.data[[#This Row],[VP]]*vp.data[[#This Row],[VolumeM3]],"")</f>
        <v>1620531.8433000001</v>
      </c>
    </row>
    <row r="1487" spans="1:43" x14ac:dyDescent="0.25">
      <c r="A1487">
        <v>1486</v>
      </c>
      <c r="B1487" t="s">
        <v>96</v>
      </c>
      <c r="C1487" t="s">
        <v>96</v>
      </c>
      <c r="D1487" t="s">
        <v>97</v>
      </c>
      <c r="F1487" s="1">
        <v>42871</v>
      </c>
      <c r="G1487" s="2">
        <v>81.400000000000006</v>
      </c>
      <c r="H1487" s="2"/>
      <c r="I1487" s="2">
        <f t="array" ref="I1487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487" s="2"/>
      <c r="K1487" s="2"/>
      <c r="L1487" s="2"/>
      <c r="M1487" s="2">
        <f t="array" ref="M1487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1487" s="2">
        <f ca="1">INDEX(INDIRECT(_xlfn.CONCAT("weather.tbl[",N$1,"]")),MATCH(vp.data[[#This Row],[SDate]],weather.tbl[Date],0))</f>
        <v>11.616666666666665</v>
      </c>
      <c r="O1487" s="2">
        <f ca="1">INDEX(INDIRECT(_xlfn.CONCAT("weather.tbl[",O$1,"]")),MATCH(vp.data[[#This Row],[SDate]],weather.tbl[Date],0))</f>
        <v>12.052380952380952</v>
      </c>
      <c r="P1487" s="2">
        <f ca="1">INDEX(INDIRECT(_xlfn.CONCAT("weather.tbl[",P$1,"]")),MATCH(vp.data[[#This Row],[SDate]],weather.tbl[Date],0))</f>
        <v>13.1</v>
      </c>
      <c r="Q1487" s="2">
        <f ca="1">INDEX(INDIRECT(_xlfn.CONCAT("weather.tbl[",Q$1,"]")),MATCH(vp.data[[#This Row],[SDate]],weather.tbl[Date],0))</f>
        <v>9.9</v>
      </c>
      <c r="R1487" s="2">
        <f ca="1">INDEX(INDIRECT(_xlfn.CONCAT("weather.tbl[",R$1,"]")),MATCH(vp.data[[#This Row],[SDate]],weather.tbl[Date],0))</f>
        <v>11.8</v>
      </c>
      <c r="S1487" s="2">
        <f ca="1">INDEX(INDIRECT(_xlfn.CONCAT("weather.tbl[",S$1,"]")),MATCH(vp.data[[#This Row],[SDate]],weather.tbl[Date],0))</f>
        <v>9.3000000000000007</v>
      </c>
      <c r="T1487" s="2">
        <f ca="1">INDEX(INDIRECT(_xlfn.CONCAT("weather.tbl[",T$1,"]")),MATCH(vp.data[[#This Row],[SDate]],weather.tbl[Date],0))</f>
        <v>13.1</v>
      </c>
      <c r="U1487" s="2">
        <f ca="1">INDEX(INDIRECT(_xlfn.CONCAT("weather.tbl[",U$1,"]")),MATCH(vp.data[[#This Row],[SDate]],weather.tbl[Date],0))</f>
        <v>12.5</v>
      </c>
      <c r="V1487" s="2">
        <f t="array" ref="V14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7702.1589999999997</v>
      </c>
      <c r="W1487" t="s">
        <v>48</v>
      </c>
      <c r="X1487">
        <f>IF(OR(vp.data[[#This Row],[Sulf]]="",vp.data[[#This Row],[Dens]]=""),1,0)</f>
        <v>0</v>
      </c>
      <c r="Y1487">
        <f>IF(vp.data[[#This Row],[CrudeType]]="C5+",1,0)</f>
        <v>0</v>
      </c>
      <c r="Z1487">
        <f>IF(AND(vp.data[[#This Row],[CrudeType]]="Crude",vp.data[[#This Row],[Dens]]&lt;=825,vp.data[[#This Row],[Sulf]]&gt;0.5,vp.data[[#This Row],[Unknown]]=0),1,0)</f>
        <v>1</v>
      </c>
      <c r="AA1487">
        <f>IF(AND(vp.data[[#This Row],[CrudeType]]="Crude",vp.data[[#This Row],[Dens]]&lt;=825,vp.data[[#This Row],[Sulf]]&lt;=0.5,vp.data[[#This Row],[Unknown]]=0),1,0)</f>
        <v>0</v>
      </c>
      <c r="AB14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7">
        <f>IF(AND(vp.data[[#This Row],[CrudeType]]="Crude",vp.data[[#This Row],[Dens]]&gt;825,vp.data[[#This Row],[Dens]]&lt;=900,vp.data[[#This Row],[Sulf]]&lt;=0.5,vp.data[[#This Row],[Unknown]]=0),1,0)</f>
        <v>0</v>
      </c>
      <c r="AD1487">
        <f>IF(AND(vp.data[[#This Row],[CrudeType]]="Crude",vp.data[[#This Row],[Dens]]&gt;865,vp.data[[#This Row],[Dens]]&lt;=900,vp.data[[#This Row],[Sulf]]&gt;2,vp.data[[#This Row],[Unknown]]=0),1,0)</f>
        <v>0</v>
      </c>
      <c r="AE1487">
        <f>IF(AND(vp.data[[#This Row],[CrudeType]]="Crude",vp.data[[#This Row],[Dens]]&gt;900,vp.data[[#This Row],[Sulf]]&lt;=0.5,vp.data[[#This Row],[Unknown]]=0),1,0)</f>
        <v>0</v>
      </c>
      <c r="AF1487">
        <f>IF(AND(vp.data[[#This Row],[CrudeType]]="Crude",vp.data[[#This Row],[Dens]]&gt;900,vp.data[[#This Row],[Sulf]]&lt;=0.5,vp.data[[#This Row],[Unknown]]=0),1,0)</f>
        <v>0</v>
      </c>
      <c r="AG1487" t="str">
        <f>INDEX(vp.data[[#Headers],[Unknown]:[Heavy_SW]],MATCH(1,vp.data[[#This Row],[Unknown]:[Heavy_SW]],0))</f>
        <v>Light_LSB</v>
      </c>
      <c r="AH1487">
        <f>INDEX([3]!crudeBD.lkup[Number],MATCH(vp.data[[#This Row],[Crude_Breakdown]],crudeBD.lkup[Crude Breakdown],0))</f>
        <v>1</v>
      </c>
      <c r="AI1487">
        <f>MONTH(vp.data[[#This Row],[SDate]])</f>
        <v>5</v>
      </c>
      <c r="AJ1487" s="5">
        <f>(vp.data[[#This Row],[VP]]-INDEX(crudeBD.lkup[Mean_VP],MATCH(vp.data[[#This Row],[Crude_Breakdown]],crudeBD.lkup[Crude Breakdown],0)))^2</f>
        <v>102.94508156020882</v>
      </c>
      <c r="AK1487" s="5">
        <f>(vp.data[[#This Row],[Dens]]-INDEX(crudeBD.lkup[Mean_Dens],MATCH(vp.data[[#This Row],[Crude_Breakdown]],crudeBD.lkup[Crude Breakdown],0)))^2</f>
        <v>10.779600812462647</v>
      </c>
      <c r="AL1487" s="5">
        <f>(vp.data[[#This Row],[Sulf]]-INDEX(crudeBD.lkup[Mean_Sulf],MATCH(vp.data[[#This Row],[Crude_Breakdown]],crudeBD.lkup[Crude Breakdown],0)))^2</f>
        <v>3.7237871827825515E-2</v>
      </c>
      <c r="AM1487" s="4">
        <f>IF(AND(vp.data[[#This Row],[SDate]]&gt;=DATE(YEAR(vp.data[[#This Row],[SDate]]),5,1),vp.data[[#This Row],[SDate]]&lt;=DATE(YEAR(vp.data[[#This Row],[SDate]]),9,15)),1,0)</f>
        <v>1</v>
      </c>
      <c r="AN1487" s="4">
        <f>IF(vp.data[[#This Row],[SDate]]&lt;DATE(2016,12,1),0,1)</f>
        <v>1</v>
      </c>
      <c r="AO1487" s="4">
        <f>IFERROR(vp.data[[#This Row],[Sulf]]*vp.data[[#This Row],[Net Dens]],"")</f>
        <v>4620633.0143259997</v>
      </c>
      <c r="AP1487">
        <f>IFERROR(vp.data[[#This Row],[Dens]]*vp.data[[#This Row],[VolumeM3]],"")</f>
        <v>6329634.2661999995</v>
      </c>
      <c r="AQ1487" s="15">
        <f>IFERROR(vp.data[[#This Row],[VP]]*vp.data[[#This Row],[VolumeM3]],"")</f>
        <v>626955.7426</v>
      </c>
    </row>
    <row r="1488" spans="1:43" x14ac:dyDescent="0.25">
      <c r="A1488">
        <v>1487</v>
      </c>
      <c r="B1488" t="s">
        <v>51</v>
      </c>
      <c r="C1488" t="s">
        <v>51</v>
      </c>
      <c r="D1488" t="s">
        <v>66</v>
      </c>
      <c r="F1488" s="1">
        <v>42871</v>
      </c>
      <c r="G1488" s="2">
        <v>90.6</v>
      </c>
      <c r="H1488" s="2"/>
      <c r="I1488" s="2">
        <f t="array" ref="I1488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1488" s="2"/>
      <c r="K1488" s="2"/>
      <c r="L1488" s="2"/>
      <c r="M1488" s="2">
        <f t="array" ref="M1488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488" s="2">
        <f ca="1">INDEX(INDIRECT(_xlfn.CONCAT("weather.tbl[",N$1,"]")),MATCH(vp.data[[#This Row],[SDate]],weather.tbl[Date],0))</f>
        <v>11.616666666666665</v>
      </c>
      <c r="O1488" s="2">
        <f ca="1">INDEX(INDIRECT(_xlfn.CONCAT("weather.tbl[",O$1,"]")),MATCH(vp.data[[#This Row],[SDate]],weather.tbl[Date],0))</f>
        <v>12.052380952380952</v>
      </c>
      <c r="P1488" s="2">
        <f ca="1">INDEX(INDIRECT(_xlfn.CONCAT("weather.tbl[",P$1,"]")),MATCH(vp.data[[#This Row],[SDate]],weather.tbl[Date],0))</f>
        <v>13.1</v>
      </c>
      <c r="Q1488" s="2">
        <f ca="1">INDEX(INDIRECT(_xlfn.CONCAT("weather.tbl[",Q$1,"]")),MATCH(vp.data[[#This Row],[SDate]],weather.tbl[Date],0))</f>
        <v>9.9</v>
      </c>
      <c r="R1488" s="2">
        <f ca="1">INDEX(INDIRECT(_xlfn.CONCAT("weather.tbl[",R$1,"]")),MATCH(vp.data[[#This Row],[SDate]],weather.tbl[Date],0))</f>
        <v>11.8</v>
      </c>
      <c r="S1488" s="2">
        <f ca="1">INDEX(INDIRECT(_xlfn.CONCAT("weather.tbl[",S$1,"]")),MATCH(vp.data[[#This Row],[SDate]],weather.tbl[Date],0))</f>
        <v>9.3000000000000007</v>
      </c>
      <c r="T1488" s="2">
        <f ca="1">INDEX(INDIRECT(_xlfn.CONCAT("weather.tbl[",T$1,"]")),MATCH(vp.data[[#This Row],[SDate]],weather.tbl[Date],0))</f>
        <v>13.1</v>
      </c>
      <c r="U1488" s="2">
        <f ca="1">INDEX(INDIRECT(_xlfn.CONCAT("weather.tbl[",U$1,"]")),MATCH(vp.data[[#This Row],[SDate]],weather.tbl[Date],0))</f>
        <v>12.5</v>
      </c>
      <c r="V1488" s="2">
        <f t="array" ref="V14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5197.7240000000002</v>
      </c>
      <c r="W1488" t="s">
        <v>48</v>
      </c>
      <c r="X1488">
        <f>IF(OR(vp.data[[#This Row],[Sulf]]="",vp.data[[#This Row],[Dens]]=""),1,0)</f>
        <v>0</v>
      </c>
      <c r="Y1488">
        <f>IF(vp.data[[#This Row],[CrudeType]]="C5+",1,0)</f>
        <v>0</v>
      </c>
      <c r="Z1488">
        <f>IF(AND(vp.data[[#This Row],[CrudeType]]="Crude",vp.data[[#This Row],[Dens]]&lt;=825,vp.data[[#This Row],[Sulf]]&gt;0.5,vp.data[[#This Row],[Unknown]]=0),1,0)</f>
        <v>1</v>
      </c>
      <c r="AA1488">
        <f>IF(AND(vp.data[[#This Row],[CrudeType]]="Crude",vp.data[[#This Row],[Dens]]&lt;=825,vp.data[[#This Row],[Sulf]]&lt;=0.5,vp.data[[#This Row],[Unknown]]=0),1,0)</f>
        <v>0</v>
      </c>
      <c r="AB14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88">
        <f>IF(AND(vp.data[[#This Row],[CrudeType]]="Crude",vp.data[[#This Row],[Dens]]&gt;825,vp.data[[#This Row],[Dens]]&lt;=900,vp.data[[#This Row],[Sulf]]&lt;=0.5,vp.data[[#This Row],[Unknown]]=0),1,0)</f>
        <v>0</v>
      </c>
      <c r="AD1488">
        <f>IF(AND(vp.data[[#This Row],[CrudeType]]="Crude",vp.data[[#This Row],[Dens]]&gt;865,vp.data[[#This Row],[Dens]]&lt;=900,vp.data[[#This Row],[Sulf]]&gt;2,vp.data[[#This Row],[Unknown]]=0),1,0)</f>
        <v>0</v>
      </c>
      <c r="AE1488">
        <f>IF(AND(vp.data[[#This Row],[CrudeType]]="Crude",vp.data[[#This Row],[Dens]]&gt;900,vp.data[[#This Row],[Sulf]]&lt;=0.5,vp.data[[#This Row],[Unknown]]=0),1,0)</f>
        <v>0</v>
      </c>
      <c r="AF1488">
        <f>IF(AND(vp.data[[#This Row],[CrudeType]]="Crude",vp.data[[#This Row],[Dens]]&gt;900,vp.data[[#This Row],[Sulf]]&lt;=0.5,vp.data[[#This Row],[Unknown]]=0),1,0)</f>
        <v>0</v>
      </c>
      <c r="AG1488" t="str">
        <f>INDEX(vp.data[[#Headers],[Unknown]:[Heavy_SW]],MATCH(1,vp.data[[#This Row],[Unknown]:[Heavy_SW]],0))</f>
        <v>Light_LSB</v>
      </c>
      <c r="AH1488">
        <f>INDEX([3]!crudeBD.lkup[Number],MATCH(vp.data[[#This Row],[Crude_Breakdown]],crudeBD.lkup[Crude Breakdown],0))</f>
        <v>1</v>
      </c>
      <c r="AI1488">
        <f>MONTH(vp.data[[#This Row],[SDate]])</f>
        <v>5</v>
      </c>
      <c r="AJ1488" s="5">
        <f>(vp.data[[#This Row],[VP]]-INDEX(crudeBD.lkup[Mean_VP],MATCH(vp.data[[#This Row],[Crude_Breakdown]],crudeBD.lkup[Crude Breakdown],0)))^2</f>
        <v>0.89526712721869006</v>
      </c>
      <c r="AK1488" s="5">
        <f>(vp.data[[#This Row],[Dens]]-INDEX(crudeBD.lkup[Mean_Dens],MATCH(vp.data[[#This Row],[Crude_Breakdown]],crudeBD.lkup[Crude Breakdown],0)))^2</f>
        <v>34.612398063323418</v>
      </c>
      <c r="AL1488" s="5">
        <f>(vp.data[[#This Row],[Sulf]]-INDEX(crudeBD.lkup[Mean_Sulf],MATCH(vp.data[[#This Row],[Crude_Breakdown]],crudeBD.lkup[Crude Breakdown],0)))^2</f>
        <v>0.75173899485188111</v>
      </c>
      <c r="AM1488" s="4">
        <f>IF(AND(vp.data[[#This Row],[SDate]]&gt;=DATE(YEAR(vp.data[[#This Row],[SDate]]),5,1),vp.data[[#This Row],[SDate]]&lt;=DATE(YEAR(vp.data[[#This Row],[SDate]]),9,15)),1,0)</f>
        <v>1</v>
      </c>
      <c r="AN1488" s="4">
        <f>IF(vp.data[[#This Row],[SDate]]&lt;DATE(2016,12,1),0,1)</f>
        <v>1</v>
      </c>
      <c r="AO1488" s="4">
        <f>IFERROR(vp.data[[#This Row],[Sulf]]*vp.data[[#This Row],[Net Dens]],"")</f>
        <v>7670156.5614240002</v>
      </c>
      <c r="AP1488">
        <f>IFERROR(vp.data[[#This Row],[Dens]]*vp.data[[#This Row],[VolumeM3]],"")</f>
        <v>4285003.6655999999</v>
      </c>
      <c r="AQ1488" s="15">
        <f>IFERROR(vp.data[[#This Row],[VP]]*vp.data[[#This Row],[VolumeM3]],"")</f>
        <v>470913.79440000001</v>
      </c>
    </row>
    <row r="1489" spans="1:43" x14ac:dyDescent="0.25">
      <c r="A1489">
        <v>1488</v>
      </c>
      <c r="B1489" t="s">
        <v>291</v>
      </c>
      <c r="C1489" t="s">
        <v>291</v>
      </c>
      <c r="D1489" t="s">
        <v>109</v>
      </c>
      <c r="F1489" s="1">
        <v>42871</v>
      </c>
      <c r="G1489" s="2">
        <v>82.5</v>
      </c>
      <c r="H1489" s="2"/>
      <c r="I1489" s="2">
        <f t="array" ref="I1489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1489" s="2"/>
      <c r="K1489" s="2"/>
      <c r="L1489" s="2"/>
      <c r="M1489" s="2">
        <f t="array" ref="M1489">_xlfn.IFNA(IF(vp.data[[#This Row],[Dens Input]]="",INDEX([1]DATA!$O$3:$O$9826,MATCH(1,(vp.data[[#This Row],[Battery]]=[1]DATA!$L$3:$L$9826)*(EOMONTH(vp.data[[#This Row],[SDate]],-1)+1=[1]DATA!$G$3:$G$9826),0)),vp.data[[#This Row],[Dens Input]]),"")</f>
        <v>837.8</v>
      </c>
      <c r="N1489" s="2">
        <f ca="1">INDEX(INDIRECT(_xlfn.CONCAT("weather.tbl[",N$1,"]")),MATCH(vp.data[[#This Row],[SDate]],weather.tbl[Date],0))</f>
        <v>11.616666666666665</v>
      </c>
      <c r="O1489" s="2">
        <f ca="1">INDEX(INDIRECT(_xlfn.CONCAT("weather.tbl[",O$1,"]")),MATCH(vp.data[[#This Row],[SDate]],weather.tbl[Date],0))</f>
        <v>12.052380952380952</v>
      </c>
      <c r="P1489" s="2">
        <f ca="1">INDEX(INDIRECT(_xlfn.CONCAT("weather.tbl[",P$1,"]")),MATCH(vp.data[[#This Row],[SDate]],weather.tbl[Date],0))</f>
        <v>13.1</v>
      </c>
      <c r="Q1489" s="2">
        <f ca="1">INDEX(INDIRECT(_xlfn.CONCAT("weather.tbl[",Q$1,"]")),MATCH(vp.data[[#This Row],[SDate]],weather.tbl[Date],0))</f>
        <v>9.9</v>
      </c>
      <c r="R1489" s="2">
        <f ca="1">INDEX(INDIRECT(_xlfn.CONCAT("weather.tbl[",R$1,"]")),MATCH(vp.data[[#This Row],[SDate]],weather.tbl[Date],0))</f>
        <v>11.8</v>
      </c>
      <c r="S1489" s="2">
        <f ca="1">INDEX(INDIRECT(_xlfn.CONCAT("weather.tbl[",S$1,"]")),MATCH(vp.data[[#This Row],[SDate]],weather.tbl[Date],0))</f>
        <v>9.3000000000000007</v>
      </c>
      <c r="T1489" s="2">
        <f ca="1">INDEX(INDIRECT(_xlfn.CONCAT("weather.tbl[",T$1,"]")),MATCH(vp.data[[#This Row],[SDate]],weather.tbl[Date],0))</f>
        <v>13.1</v>
      </c>
      <c r="U1489" s="2">
        <f ca="1">INDEX(INDIRECT(_xlfn.CONCAT("weather.tbl[",U$1,"]")),MATCH(vp.data[[#This Row],[SDate]],weather.tbl[Date],0))</f>
        <v>12.5</v>
      </c>
      <c r="V1489" s="2">
        <f t="array" ref="V14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13057.414000000001</v>
      </c>
      <c r="W1489" t="s">
        <v>48</v>
      </c>
      <c r="X1489">
        <f>IF(OR(vp.data[[#This Row],[Sulf]]="",vp.data[[#This Row],[Dens]]=""),1,0)</f>
        <v>0</v>
      </c>
      <c r="Y1489">
        <f>IF(vp.data[[#This Row],[CrudeType]]="C5+",1,0)</f>
        <v>0</v>
      </c>
      <c r="Z1489">
        <f>IF(AND(vp.data[[#This Row],[CrudeType]]="Crude",vp.data[[#This Row],[Dens]]&lt;=825,vp.data[[#This Row],[Sulf]]&gt;0.5,vp.data[[#This Row],[Unknown]]=0),1,0)</f>
        <v>0</v>
      </c>
      <c r="AA1489">
        <f>IF(AND(vp.data[[#This Row],[CrudeType]]="Crude",vp.data[[#This Row],[Dens]]&lt;=825,vp.data[[#This Row],[Sulf]]&lt;=0.5,vp.data[[#This Row],[Unknown]]=0),1,0)</f>
        <v>0</v>
      </c>
      <c r="AB14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89">
        <f>IF(AND(vp.data[[#This Row],[CrudeType]]="Crude",vp.data[[#This Row],[Dens]]&gt;825,vp.data[[#This Row],[Dens]]&lt;=900,vp.data[[#This Row],[Sulf]]&lt;=0.5,vp.data[[#This Row],[Unknown]]=0),1,0)</f>
        <v>0</v>
      </c>
      <c r="AD1489">
        <f>IF(AND(vp.data[[#This Row],[CrudeType]]="Crude",vp.data[[#This Row],[Dens]]&gt;865,vp.data[[#This Row],[Dens]]&lt;=900,vp.data[[#This Row],[Sulf]]&gt;2,vp.data[[#This Row],[Unknown]]=0),1,0)</f>
        <v>0</v>
      </c>
      <c r="AE1489">
        <f>IF(AND(vp.data[[#This Row],[CrudeType]]="Crude",vp.data[[#This Row],[Dens]]&gt;900,vp.data[[#This Row],[Sulf]]&lt;=0.5,vp.data[[#This Row],[Unknown]]=0),1,0)</f>
        <v>0</v>
      </c>
      <c r="AF1489">
        <f>IF(AND(vp.data[[#This Row],[CrudeType]]="Crude",vp.data[[#This Row],[Dens]]&gt;900,vp.data[[#This Row],[Sulf]]&lt;=0.5,vp.data[[#This Row],[Unknown]]=0),1,0)</f>
        <v>0</v>
      </c>
      <c r="AG1489" t="str">
        <f>INDEX(vp.data[[#Headers],[Unknown]:[Heavy_SW]],MATCH(1,vp.data[[#This Row],[Unknown]:[Heavy_SW]],0))</f>
        <v>Medium_LSB</v>
      </c>
      <c r="AH1489">
        <f>INDEX([3]!crudeBD.lkup[Number],MATCH(vp.data[[#This Row],[Crude_Breakdown]],crudeBD.lkup[Crude Breakdown],0))</f>
        <v>3</v>
      </c>
      <c r="AI1489">
        <f>MONTH(vp.data[[#This Row],[SDate]])</f>
        <v>5</v>
      </c>
      <c r="AJ1489" s="5">
        <f>(vp.data[[#This Row],[VP]]-INDEX(crudeBD.lkup[Mean_VP],MATCH(vp.data[[#This Row],[Crude_Breakdown]],crudeBD.lkup[Crude Breakdown],0)))^2</f>
        <v>3.4608033391216035</v>
      </c>
      <c r="AK1489" s="5">
        <f>(vp.data[[#This Row],[Dens]]-INDEX(crudeBD.lkup[Mean_Dens],MATCH(vp.data[[#This Row],[Crude_Breakdown]],crudeBD.lkup[Crude Breakdown],0)))^2</f>
        <v>37.454399999994493</v>
      </c>
      <c r="AL1489" s="5">
        <f>(vp.data[[#This Row],[Sulf]]-INDEX(crudeBD.lkup[Mean_Sulf],MATCH(vp.data[[#This Row],[Crude_Breakdown]],crudeBD.lkup[Crude Breakdown],0)))^2</f>
        <v>0.378727162389495</v>
      </c>
      <c r="AM1489" s="4">
        <f>IF(AND(vp.data[[#This Row],[SDate]]&gt;=DATE(YEAR(vp.data[[#This Row],[SDate]]),5,1),vp.data[[#This Row],[SDate]]&lt;=DATE(YEAR(vp.data[[#This Row],[SDate]]),9,15)),1,0)</f>
        <v>1</v>
      </c>
      <c r="AN1489" s="4">
        <f>IF(vp.data[[#This Row],[SDate]]&lt;DATE(2016,12,1),0,1)</f>
        <v>1</v>
      </c>
      <c r="AO1489" s="4">
        <f>IFERROR(vp.data[[#This Row],[Sulf]]*vp.data[[#This Row],[Net Dens]],"")</f>
        <v>8423416.1158840004</v>
      </c>
      <c r="AP1489">
        <f>IFERROR(vp.data[[#This Row],[Dens]]*vp.data[[#This Row],[VolumeM3]],"")</f>
        <v>10939501.449200001</v>
      </c>
      <c r="AQ1489" s="15">
        <f>IFERROR(vp.data[[#This Row],[VP]]*vp.data[[#This Row],[VolumeM3]],"")</f>
        <v>1077236.655</v>
      </c>
    </row>
    <row r="1490" spans="1:43" x14ac:dyDescent="0.25">
      <c r="A1490">
        <v>1489</v>
      </c>
      <c r="B1490" t="s">
        <v>68</v>
      </c>
      <c r="C1490" t="s">
        <v>68</v>
      </c>
      <c r="D1490" t="s">
        <v>69</v>
      </c>
      <c r="F1490" s="1">
        <v>42871</v>
      </c>
      <c r="G1490" s="2">
        <v>70.8</v>
      </c>
      <c r="H1490" s="2"/>
      <c r="I1490" s="2">
        <f t="array" ref="I1490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1490" s="2"/>
      <c r="K1490" s="2"/>
      <c r="L1490" s="2"/>
      <c r="M1490" s="2">
        <f t="array" ref="M1490">_xlfn.IFNA(IF(vp.data[[#This Row],[Dens Input]]="",INDEX([1]DATA!$O$3:$O$9826,MATCH(1,(vp.data[[#This Row],[Battery]]=[1]DATA!$L$3:$L$9826)*(EOMONTH(vp.data[[#This Row],[SDate]],-1)+1=[1]DATA!$G$3:$G$9826),0)),vp.data[[#This Row],[Dens Input]]),"")</f>
        <v>859.3</v>
      </c>
      <c r="N1490" s="2">
        <f ca="1">INDEX(INDIRECT(_xlfn.CONCAT("weather.tbl[",N$1,"]")),MATCH(vp.data[[#This Row],[SDate]],weather.tbl[Date],0))</f>
        <v>11.616666666666665</v>
      </c>
      <c r="O1490" s="2">
        <f ca="1">INDEX(INDIRECT(_xlfn.CONCAT("weather.tbl[",O$1,"]")),MATCH(vp.data[[#This Row],[SDate]],weather.tbl[Date],0))</f>
        <v>12.052380952380952</v>
      </c>
      <c r="P1490" s="2">
        <f ca="1">INDEX(INDIRECT(_xlfn.CONCAT("weather.tbl[",P$1,"]")),MATCH(vp.data[[#This Row],[SDate]],weather.tbl[Date],0))</f>
        <v>13.1</v>
      </c>
      <c r="Q1490" s="2">
        <f ca="1">INDEX(INDIRECT(_xlfn.CONCAT("weather.tbl[",Q$1,"]")),MATCH(vp.data[[#This Row],[SDate]],weather.tbl[Date],0))</f>
        <v>9.9</v>
      </c>
      <c r="R1490" s="2">
        <f ca="1">INDEX(INDIRECT(_xlfn.CONCAT("weather.tbl[",R$1,"]")),MATCH(vp.data[[#This Row],[SDate]],weather.tbl[Date],0))</f>
        <v>11.8</v>
      </c>
      <c r="S1490" s="2">
        <f ca="1">INDEX(INDIRECT(_xlfn.CONCAT("weather.tbl[",S$1,"]")),MATCH(vp.data[[#This Row],[SDate]],weather.tbl[Date],0))</f>
        <v>9.3000000000000007</v>
      </c>
      <c r="T1490" s="2">
        <f ca="1">INDEX(INDIRECT(_xlfn.CONCAT("weather.tbl[",T$1,"]")),MATCH(vp.data[[#This Row],[SDate]],weather.tbl[Date],0))</f>
        <v>13.1</v>
      </c>
      <c r="U1490" s="2">
        <f ca="1">INDEX(INDIRECT(_xlfn.CONCAT("weather.tbl[",U$1,"]")),MATCH(vp.data[[#This Row],[SDate]],weather.tbl[Date],0))</f>
        <v>12.5</v>
      </c>
      <c r="V1490" s="2">
        <f t="array" ref="V14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1702.229</v>
      </c>
      <c r="W1490" t="s">
        <v>48</v>
      </c>
      <c r="X1490">
        <f>IF(OR(vp.data[[#This Row],[Sulf]]="",vp.data[[#This Row],[Dens]]=""),1,0)</f>
        <v>0</v>
      </c>
      <c r="Y1490">
        <f>IF(vp.data[[#This Row],[CrudeType]]="C5+",1,0)</f>
        <v>0</v>
      </c>
      <c r="Z1490">
        <f>IF(AND(vp.data[[#This Row],[CrudeType]]="Crude",vp.data[[#This Row],[Dens]]&lt;=825,vp.data[[#This Row],[Sulf]]&gt;0.5,vp.data[[#This Row],[Unknown]]=0),1,0)</f>
        <v>0</v>
      </c>
      <c r="AA1490">
        <f>IF(AND(vp.data[[#This Row],[CrudeType]]="Crude",vp.data[[#This Row],[Dens]]&lt;=825,vp.data[[#This Row],[Sulf]]&lt;=0.5,vp.data[[#This Row],[Unknown]]=0),1,0)</f>
        <v>0</v>
      </c>
      <c r="AB14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0">
        <f>IF(AND(vp.data[[#This Row],[CrudeType]]="Crude",vp.data[[#This Row],[Dens]]&gt;825,vp.data[[#This Row],[Dens]]&lt;=900,vp.data[[#This Row],[Sulf]]&lt;=0.5,vp.data[[#This Row],[Unknown]]=0),1,0)</f>
        <v>0</v>
      </c>
      <c r="AD1490">
        <f>IF(AND(vp.data[[#This Row],[CrudeType]]="Crude",vp.data[[#This Row],[Dens]]&gt;865,vp.data[[#This Row],[Dens]]&lt;=900,vp.data[[#This Row],[Sulf]]&gt;2,vp.data[[#This Row],[Unknown]]=0),1,0)</f>
        <v>0</v>
      </c>
      <c r="AE1490">
        <f>IF(AND(vp.data[[#This Row],[CrudeType]]="Crude",vp.data[[#This Row],[Dens]]&gt;900,vp.data[[#This Row],[Sulf]]&lt;=0.5,vp.data[[#This Row],[Unknown]]=0),1,0)</f>
        <v>0</v>
      </c>
      <c r="AF1490">
        <f>IF(AND(vp.data[[#This Row],[CrudeType]]="Crude",vp.data[[#This Row],[Dens]]&gt;900,vp.data[[#This Row],[Sulf]]&lt;=0.5,vp.data[[#This Row],[Unknown]]=0),1,0)</f>
        <v>0</v>
      </c>
      <c r="AG1490" t="str">
        <f>INDEX(vp.data[[#Headers],[Unknown]:[Heavy_SW]],MATCH(1,vp.data[[#This Row],[Unknown]:[Heavy_SW]],0))</f>
        <v>Medium_LSB</v>
      </c>
      <c r="AH1490">
        <f>INDEX([3]!crudeBD.lkup[Number],MATCH(vp.data[[#This Row],[Crude_Breakdown]],crudeBD.lkup[Crude Breakdown],0))</f>
        <v>3</v>
      </c>
      <c r="AI1490">
        <f>MONTH(vp.data[[#This Row],[SDate]])</f>
        <v>5</v>
      </c>
      <c r="AJ1490" s="5">
        <f>(vp.data[[#This Row],[VP]]-INDEX(crudeBD.lkup[Mean_VP],MATCH(vp.data[[#This Row],[Crude_Breakdown]],crudeBD.lkup[Crude Breakdown],0)))^2</f>
        <v>96.819234605966344</v>
      </c>
      <c r="AK1490" s="5">
        <f>(vp.data[[#This Row],[Dens]]-INDEX(crudeBD.lkup[Mean_Dens],MATCH(vp.data[[#This Row],[Crude_Breakdown]],crudeBD.lkup[Crude Breakdown],0)))^2</f>
        <v>236.54440000001384</v>
      </c>
      <c r="AL1490" s="5">
        <f>(vp.data[[#This Row],[Sulf]]-INDEX(crudeBD.lkup[Mean_Sulf],MATCH(vp.data[[#This Row],[Crude_Breakdown]],crudeBD.lkup[Crude Breakdown],0)))^2</f>
        <v>5.0441509559303821E-2</v>
      </c>
      <c r="AM1490" s="4">
        <f>IF(AND(vp.data[[#This Row],[SDate]]&gt;=DATE(YEAR(vp.data[[#This Row],[SDate]]),5,1),vp.data[[#This Row],[SDate]]&lt;=DATE(YEAR(vp.data[[#This Row],[SDate]]),9,15)),1,0)</f>
        <v>1</v>
      </c>
      <c r="AN1490" s="4">
        <f>IF(vp.data[[#This Row],[SDate]]&lt;DATE(2016,12,1),0,1)</f>
        <v>1</v>
      </c>
      <c r="AO1490" s="4">
        <f>IFERROR(vp.data[[#This Row],[Sulf]]*vp.data[[#This Row],[Net Dens]],"")</f>
        <v>2354987.8613169999</v>
      </c>
      <c r="AP1490">
        <f>IFERROR(vp.data[[#This Row],[Dens]]*vp.data[[#This Row],[VolumeM3]],"")</f>
        <v>1462725.3796999999</v>
      </c>
      <c r="AQ1490" s="15">
        <f>IFERROR(vp.data[[#This Row],[VP]]*vp.data[[#This Row],[VolumeM3]],"")</f>
        <v>120517.8132</v>
      </c>
    </row>
    <row r="1491" spans="1:43" x14ac:dyDescent="0.25">
      <c r="A1491">
        <v>1490</v>
      </c>
      <c r="B1491" t="s">
        <v>62</v>
      </c>
      <c r="C1491" t="s">
        <v>62</v>
      </c>
      <c r="D1491" t="s">
        <v>63</v>
      </c>
      <c r="F1491" s="1">
        <v>42871</v>
      </c>
      <c r="G1491" s="2">
        <v>72.900000000000006</v>
      </c>
      <c r="H1491" s="2"/>
      <c r="I1491" s="2">
        <f t="array" ref="I1491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1491" s="2"/>
      <c r="K1491" s="2"/>
      <c r="L1491" s="2"/>
      <c r="M1491" s="2">
        <f t="array" ref="M1491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1491" s="2">
        <f ca="1">INDEX(INDIRECT(_xlfn.CONCAT("weather.tbl[",N$1,"]")),MATCH(vp.data[[#This Row],[SDate]],weather.tbl[Date],0))</f>
        <v>11.616666666666665</v>
      </c>
      <c r="O1491" s="2">
        <f ca="1">INDEX(INDIRECT(_xlfn.CONCAT("weather.tbl[",O$1,"]")),MATCH(vp.data[[#This Row],[SDate]],weather.tbl[Date],0))</f>
        <v>12.052380952380952</v>
      </c>
      <c r="P1491" s="2">
        <f ca="1">INDEX(INDIRECT(_xlfn.CONCAT("weather.tbl[",P$1,"]")),MATCH(vp.data[[#This Row],[SDate]],weather.tbl[Date],0))</f>
        <v>13.1</v>
      </c>
      <c r="Q1491" s="2">
        <f ca="1">INDEX(INDIRECT(_xlfn.CONCAT("weather.tbl[",Q$1,"]")),MATCH(vp.data[[#This Row],[SDate]],weather.tbl[Date],0))</f>
        <v>9.9</v>
      </c>
      <c r="R1491" s="2">
        <f ca="1">INDEX(INDIRECT(_xlfn.CONCAT("weather.tbl[",R$1,"]")),MATCH(vp.data[[#This Row],[SDate]],weather.tbl[Date],0))</f>
        <v>11.8</v>
      </c>
      <c r="S1491" s="2">
        <f ca="1">INDEX(INDIRECT(_xlfn.CONCAT("weather.tbl[",S$1,"]")),MATCH(vp.data[[#This Row],[SDate]],weather.tbl[Date],0))</f>
        <v>9.3000000000000007</v>
      </c>
      <c r="T1491" s="2">
        <f ca="1">INDEX(INDIRECT(_xlfn.CONCAT("weather.tbl[",T$1,"]")),MATCH(vp.data[[#This Row],[SDate]],weather.tbl[Date],0))</f>
        <v>13.1</v>
      </c>
      <c r="U1491" s="2">
        <f ca="1">INDEX(INDIRECT(_xlfn.CONCAT("weather.tbl[",U$1,"]")),MATCH(vp.data[[#This Row],[SDate]],weather.tbl[Date],0))</f>
        <v>12.5</v>
      </c>
      <c r="V1491" s="2">
        <f t="array" ref="V14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9174.1849999999995</v>
      </c>
      <c r="W1491" t="s">
        <v>48</v>
      </c>
      <c r="X1491">
        <f>IF(OR(vp.data[[#This Row],[Sulf]]="",vp.data[[#This Row],[Dens]]=""),1,0)</f>
        <v>0</v>
      </c>
      <c r="Y1491">
        <f>IF(vp.data[[#This Row],[CrudeType]]="C5+",1,0)</f>
        <v>0</v>
      </c>
      <c r="Z1491">
        <f>IF(AND(vp.data[[#This Row],[CrudeType]]="Crude",vp.data[[#This Row],[Dens]]&lt;=825,vp.data[[#This Row],[Sulf]]&gt;0.5,vp.data[[#This Row],[Unknown]]=0),1,0)</f>
        <v>1</v>
      </c>
      <c r="AA1491">
        <f>IF(AND(vp.data[[#This Row],[CrudeType]]="Crude",vp.data[[#This Row],[Dens]]&lt;=825,vp.data[[#This Row],[Sulf]]&lt;=0.5,vp.data[[#This Row],[Unknown]]=0),1,0)</f>
        <v>0</v>
      </c>
      <c r="AB14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91">
        <f>IF(AND(vp.data[[#This Row],[CrudeType]]="Crude",vp.data[[#This Row],[Dens]]&gt;825,vp.data[[#This Row],[Dens]]&lt;=900,vp.data[[#This Row],[Sulf]]&lt;=0.5,vp.data[[#This Row],[Unknown]]=0),1,0)</f>
        <v>0</v>
      </c>
      <c r="AD1491">
        <f>IF(AND(vp.data[[#This Row],[CrudeType]]="Crude",vp.data[[#This Row],[Dens]]&gt;865,vp.data[[#This Row],[Dens]]&lt;=900,vp.data[[#This Row],[Sulf]]&gt;2,vp.data[[#This Row],[Unknown]]=0),1,0)</f>
        <v>0</v>
      </c>
      <c r="AE1491">
        <f>IF(AND(vp.data[[#This Row],[CrudeType]]="Crude",vp.data[[#This Row],[Dens]]&gt;900,vp.data[[#This Row],[Sulf]]&lt;=0.5,vp.data[[#This Row],[Unknown]]=0),1,0)</f>
        <v>0</v>
      </c>
      <c r="AF1491">
        <f>IF(AND(vp.data[[#This Row],[CrudeType]]="Crude",vp.data[[#This Row],[Dens]]&gt;900,vp.data[[#This Row],[Sulf]]&lt;=0.5,vp.data[[#This Row],[Unknown]]=0),1,0)</f>
        <v>0</v>
      </c>
      <c r="AG1491" t="str">
        <f>INDEX(vp.data[[#Headers],[Unknown]:[Heavy_SW]],MATCH(1,vp.data[[#This Row],[Unknown]:[Heavy_SW]],0))</f>
        <v>Light_LSB</v>
      </c>
      <c r="AH1491">
        <f>INDEX([3]!crudeBD.lkup[Number],MATCH(vp.data[[#This Row],[Crude_Breakdown]],crudeBD.lkup[Crude Breakdown],0))</f>
        <v>1</v>
      </c>
      <c r="AI1491">
        <f>MONTH(vp.data[[#This Row],[SDate]])</f>
        <v>5</v>
      </c>
      <c r="AJ1491" s="5">
        <f>(vp.data[[#This Row],[VP]]-INDEX(crudeBD.lkup[Mean_VP],MATCH(vp.data[[#This Row],[Crude_Breakdown]],crudeBD.lkup[Crude Breakdown],0)))^2</f>
        <v>347.68023619938452</v>
      </c>
      <c r="AK1491" s="5">
        <f>(vp.data[[#This Row],[Dens]]-INDEX(crudeBD.lkup[Mean_Dens],MATCH(vp.data[[#This Row],[Crude_Breakdown]],crudeBD.lkup[Crude Breakdown],0)))^2</f>
        <v>8.3130166200227009</v>
      </c>
      <c r="AL1491" s="5">
        <f>(vp.data[[#This Row],[Sulf]]-INDEX(crudeBD.lkup[Mean_Sulf],MATCH(vp.data[[#This Row],[Crude_Breakdown]],crudeBD.lkup[Crude Breakdown],0)))^2</f>
        <v>1.5121908253942369E-2</v>
      </c>
      <c r="AM1491" s="4">
        <f>IF(AND(vp.data[[#This Row],[SDate]]&gt;=DATE(YEAR(vp.data[[#This Row],[SDate]]),5,1),vp.data[[#This Row],[SDate]]&lt;=DATE(YEAR(vp.data[[#This Row],[SDate]]),9,15)),1,0)</f>
        <v>1</v>
      </c>
      <c r="AN1491" s="4">
        <f>IF(vp.data[[#This Row],[SDate]]&lt;DATE(2016,12,1),0,1)</f>
        <v>1</v>
      </c>
      <c r="AO1491" s="4">
        <f>IFERROR(vp.data[[#This Row],[Sulf]]*vp.data[[#This Row],[Net Dens]],"")</f>
        <v>6028540.4472000003</v>
      </c>
      <c r="AP1491">
        <f>IFERROR(vp.data[[#This Row],[Dens]]*vp.data[[#This Row],[VolumeM3]],"")</f>
        <v>7535675.5589999994</v>
      </c>
      <c r="AQ1491" s="15">
        <f>IFERROR(vp.data[[#This Row],[VP]]*vp.data[[#This Row],[VolumeM3]],"")</f>
        <v>668798.08649999998</v>
      </c>
    </row>
    <row r="1492" spans="1:43" x14ac:dyDescent="0.25">
      <c r="A1492">
        <v>1491</v>
      </c>
      <c r="B1492" t="s">
        <v>64</v>
      </c>
      <c r="C1492" t="s">
        <v>64</v>
      </c>
      <c r="D1492" t="s">
        <v>65</v>
      </c>
      <c r="F1492" s="1">
        <v>42871</v>
      </c>
      <c r="G1492" s="2">
        <v>44.4</v>
      </c>
      <c r="H1492" s="2"/>
      <c r="I1492" s="2">
        <f t="array" ref="I1492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1492" s="2"/>
      <c r="K1492" s="2"/>
      <c r="L1492" s="2"/>
      <c r="M1492" s="2">
        <f t="array" ref="M1492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1492" s="2">
        <f ca="1">INDEX(INDIRECT(_xlfn.CONCAT("weather.tbl[",N$1,"]")),MATCH(vp.data[[#This Row],[SDate]],weather.tbl[Date],0))</f>
        <v>11.616666666666665</v>
      </c>
      <c r="O1492" s="2">
        <f ca="1">INDEX(INDIRECT(_xlfn.CONCAT("weather.tbl[",O$1,"]")),MATCH(vp.data[[#This Row],[SDate]],weather.tbl[Date],0))</f>
        <v>12.052380952380952</v>
      </c>
      <c r="P1492" s="2">
        <f ca="1">INDEX(INDIRECT(_xlfn.CONCAT("weather.tbl[",P$1,"]")),MATCH(vp.data[[#This Row],[SDate]],weather.tbl[Date],0))</f>
        <v>13.1</v>
      </c>
      <c r="Q1492" s="2">
        <f ca="1">INDEX(INDIRECT(_xlfn.CONCAT("weather.tbl[",Q$1,"]")),MATCH(vp.data[[#This Row],[SDate]],weather.tbl[Date],0))</f>
        <v>9.9</v>
      </c>
      <c r="R1492" s="2">
        <f ca="1">INDEX(INDIRECT(_xlfn.CONCAT("weather.tbl[",R$1,"]")),MATCH(vp.data[[#This Row],[SDate]],weather.tbl[Date],0))</f>
        <v>11.8</v>
      </c>
      <c r="S1492" s="2">
        <f ca="1">INDEX(INDIRECT(_xlfn.CONCAT("weather.tbl[",S$1,"]")),MATCH(vp.data[[#This Row],[SDate]],weather.tbl[Date],0))</f>
        <v>9.3000000000000007</v>
      </c>
      <c r="T1492" s="2">
        <f ca="1">INDEX(INDIRECT(_xlfn.CONCAT("weather.tbl[",T$1,"]")),MATCH(vp.data[[#This Row],[SDate]],weather.tbl[Date],0))</f>
        <v>13.1</v>
      </c>
      <c r="U1492" s="2">
        <f ca="1">INDEX(INDIRECT(_xlfn.CONCAT("weather.tbl[",U$1,"]")),MATCH(vp.data[[#This Row],[SDate]],weather.tbl[Date],0))</f>
        <v>12.5</v>
      </c>
      <c r="V1492" s="2">
        <f t="array" ref="V14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21822.753000000001</v>
      </c>
      <c r="W1492" t="s">
        <v>48</v>
      </c>
      <c r="X1492">
        <f>IF(OR(vp.data[[#This Row],[Sulf]]="",vp.data[[#This Row],[Dens]]=""),1,0)</f>
        <v>0</v>
      </c>
      <c r="Y1492">
        <f>IF(vp.data[[#This Row],[CrudeType]]="C5+",1,0)</f>
        <v>0</v>
      </c>
      <c r="Z1492">
        <f>IF(AND(vp.data[[#This Row],[CrudeType]]="Crude",vp.data[[#This Row],[Dens]]&lt;=825,vp.data[[#This Row],[Sulf]]&gt;0.5,vp.data[[#This Row],[Unknown]]=0),1,0)</f>
        <v>0</v>
      </c>
      <c r="AA1492">
        <f>IF(AND(vp.data[[#This Row],[CrudeType]]="Crude",vp.data[[#This Row],[Dens]]&lt;=825,vp.data[[#This Row],[Sulf]]&lt;=0.5,vp.data[[#This Row],[Unknown]]=0),1,0)</f>
        <v>0</v>
      </c>
      <c r="AB14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92">
        <f>IF(AND(vp.data[[#This Row],[CrudeType]]="Crude",vp.data[[#This Row],[Dens]]&gt;825,vp.data[[#This Row],[Dens]]&lt;=900,vp.data[[#This Row],[Sulf]]&lt;=0.5,vp.data[[#This Row],[Unknown]]=0),1,0)</f>
        <v>0</v>
      </c>
      <c r="AD1492">
        <f>IF(AND(vp.data[[#This Row],[CrudeType]]="Crude",vp.data[[#This Row],[Dens]]&gt;865,vp.data[[#This Row],[Dens]]&lt;=900,vp.data[[#This Row],[Sulf]]&gt;2,vp.data[[#This Row],[Unknown]]=0),1,0)</f>
        <v>1</v>
      </c>
      <c r="AE1492">
        <f>IF(AND(vp.data[[#This Row],[CrudeType]]="Crude",vp.data[[#This Row],[Dens]]&gt;900,vp.data[[#This Row],[Sulf]]&lt;=0.5,vp.data[[#This Row],[Unknown]]=0),1,0)</f>
        <v>0</v>
      </c>
      <c r="AF1492">
        <f>IF(AND(vp.data[[#This Row],[CrudeType]]="Crude",vp.data[[#This Row],[Dens]]&gt;900,vp.data[[#This Row],[Sulf]]&lt;=0.5,vp.data[[#This Row],[Unknown]]=0),1,0)</f>
        <v>0</v>
      </c>
      <c r="AG1492" t="str">
        <f>INDEX(vp.data[[#Headers],[Unknown]:[Heavy_SW]],MATCH(1,vp.data[[#This Row],[Unknown]:[Heavy_SW]],0))</f>
        <v>Midale</v>
      </c>
      <c r="AH1492">
        <f>INDEX([3]!crudeBD.lkup[Number],MATCH(vp.data[[#This Row],[Crude_Breakdown]],crudeBD.lkup[Crude Breakdown],0))</f>
        <v>5</v>
      </c>
      <c r="AI1492">
        <f>MONTH(vp.data[[#This Row],[SDate]])</f>
        <v>5</v>
      </c>
      <c r="AJ1492" s="5">
        <f>(vp.data[[#This Row],[VP]]-INDEX(crudeBD.lkup[Mean_VP],MATCH(vp.data[[#This Row],[Crude_Breakdown]],crudeBD.lkup[Crude Breakdown],0)))^2</f>
        <v>625.43822111808004</v>
      </c>
      <c r="AK1492" s="5">
        <f>(vp.data[[#This Row],[Dens]]-INDEX(crudeBD.lkup[Mean_Dens],MATCH(vp.data[[#This Row],[Crude_Breakdown]],crudeBD.lkup[Crude Breakdown],0)))^2</f>
        <v>2.8324542990743198</v>
      </c>
      <c r="AL1492" s="5">
        <f>(vp.data[[#This Row],[Sulf]]-INDEX(crudeBD.lkup[Mean_Sulf],MATCH(vp.data[[#This Row],[Crude_Breakdown]],crudeBD.lkup[Crude Breakdown],0)))^2</f>
        <v>0.139588591912434</v>
      </c>
      <c r="AM1492" s="4">
        <f>IF(AND(vp.data[[#This Row],[SDate]]&gt;=DATE(YEAR(vp.data[[#This Row],[SDate]]),5,1),vp.data[[#This Row],[SDate]]&lt;=DATE(YEAR(vp.data[[#This Row],[SDate]]),9,15)),1,0)</f>
        <v>1</v>
      </c>
      <c r="AN1492" s="4">
        <f>IF(vp.data[[#This Row],[SDate]]&lt;DATE(2016,12,1),0,1)</f>
        <v>1</v>
      </c>
      <c r="AO1492" s="4">
        <f>IFERROR(vp.data[[#This Row],[Sulf]]*vp.data[[#This Row],[Net Dens]],"")</f>
        <v>39594221.019314997</v>
      </c>
      <c r="AP1492">
        <f>IFERROR(vp.data[[#This Row],[Dens]]*vp.data[[#This Row],[VolumeM3]],"")</f>
        <v>19127643.004500002</v>
      </c>
      <c r="AQ1492" s="15">
        <f>IFERROR(vp.data[[#This Row],[VP]]*vp.data[[#This Row],[VolumeM3]],"")</f>
        <v>968930.23320000002</v>
      </c>
    </row>
    <row r="1493" spans="1:43" x14ac:dyDescent="0.25">
      <c r="A1493">
        <v>1492</v>
      </c>
      <c r="B1493" t="s">
        <v>49</v>
      </c>
      <c r="C1493" t="s">
        <v>49</v>
      </c>
      <c r="D1493" t="s">
        <v>70</v>
      </c>
      <c r="F1493" s="1">
        <v>42871</v>
      </c>
      <c r="G1493" s="2">
        <v>74.400000000000006</v>
      </c>
      <c r="H1493" s="2"/>
      <c r="I1493" s="2">
        <f t="array" ref="I1493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493" s="2"/>
      <c r="K1493" s="2"/>
      <c r="L1493" s="2"/>
      <c r="M1493" s="2">
        <f t="array" ref="M1493">_xlfn.IFNA(IF(vp.data[[#This Row],[Dens Input]]="",INDEX([1]DATA!$O$3:$O$9826,MATCH(1,(vp.data[[#This Row],[Battery]]=[1]DATA!$L$3:$L$9826)*(EOMONTH(vp.data[[#This Row],[SDate]],-1)+1=[1]DATA!$G$3:$G$9826),0)),vp.data[[#This Row],[Dens Input]]),"")</f>
        <v>834.5</v>
      </c>
      <c r="N1493" s="2">
        <f ca="1">INDEX(INDIRECT(_xlfn.CONCAT("weather.tbl[",N$1,"]")),MATCH(vp.data[[#This Row],[SDate]],weather.tbl[Date],0))</f>
        <v>11.616666666666665</v>
      </c>
      <c r="O1493" s="2">
        <f ca="1">INDEX(INDIRECT(_xlfn.CONCAT("weather.tbl[",O$1,"]")),MATCH(vp.data[[#This Row],[SDate]],weather.tbl[Date],0))</f>
        <v>12.052380952380952</v>
      </c>
      <c r="P1493" s="2">
        <f ca="1">INDEX(INDIRECT(_xlfn.CONCAT("weather.tbl[",P$1,"]")),MATCH(vp.data[[#This Row],[SDate]],weather.tbl[Date],0))</f>
        <v>13.1</v>
      </c>
      <c r="Q1493" s="2">
        <f ca="1">INDEX(INDIRECT(_xlfn.CONCAT("weather.tbl[",Q$1,"]")),MATCH(vp.data[[#This Row],[SDate]],weather.tbl[Date],0))</f>
        <v>9.9</v>
      </c>
      <c r="R1493" s="2">
        <f ca="1">INDEX(INDIRECT(_xlfn.CONCAT("weather.tbl[",R$1,"]")),MATCH(vp.data[[#This Row],[SDate]],weather.tbl[Date],0))</f>
        <v>11.8</v>
      </c>
      <c r="S1493" s="2">
        <f ca="1">INDEX(INDIRECT(_xlfn.CONCAT("weather.tbl[",S$1,"]")),MATCH(vp.data[[#This Row],[SDate]],weather.tbl[Date],0))</f>
        <v>9.3000000000000007</v>
      </c>
      <c r="T1493" s="2">
        <f ca="1">INDEX(INDIRECT(_xlfn.CONCAT("weather.tbl[",T$1,"]")),MATCH(vp.data[[#This Row],[SDate]],weather.tbl[Date],0))</f>
        <v>13.1</v>
      </c>
      <c r="U1493" s="2">
        <f ca="1">INDEX(INDIRECT(_xlfn.CONCAT("weather.tbl[",U$1,"]")),MATCH(vp.data[[#This Row],[SDate]],weather.tbl[Date],0))</f>
        <v>12.5</v>
      </c>
      <c r="V1493" s="2">
        <f t="array" ref="V14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2413.8069999999998</v>
      </c>
      <c r="W1493" t="s">
        <v>48</v>
      </c>
      <c r="X1493">
        <f>IF(OR(vp.data[[#This Row],[Sulf]]="",vp.data[[#This Row],[Dens]]=""),1,0)</f>
        <v>0</v>
      </c>
      <c r="Y1493">
        <f>IF(vp.data[[#This Row],[CrudeType]]="C5+",1,0)</f>
        <v>0</v>
      </c>
      <c r="Z1493">
        <f>IF(AND(vp.data[[#This Row],[CrudeType]]="Crude",vp.data[[#This Row],[Dens]]&lt;=825,vp.data[[#This Row],[Sulf]]&gt;0.5,vp.data[[#This Row],[Unknown]]=0),1,0)</f>
        <v>0</v>
      </c>
      <c r="AA1493">
        <f>IF(AND(vp.data[[#This Row],[CrudeType]]="Crude",vp.data[[#This Row],[Dens]]&lt;=825,vp.data[[#This Row],[Sulf]]&lt;=0.5,vp.data[[#This Row],[Unknown]]=0),1,0)</f>
        <v>0</v>
      </c>
      <c r="AB14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3">
        <f>IF(AND(vp.data[[#This Row],[CrudeType]]="Crude",vp.data[[#This Row],[Dens]]&gt;825,vp.data[[#This Row],[Dens]]&lt;=900,vp.data[[#This Row],[Sulf]]&lt;=0.5,vp.data[[#This Row],[Unknown]]=0),1,0)</f>
        <v>0</v>
      </c>
      <c r="AD1493">
        <f>IF(AND(vp.data[[#This Row],[CrudeType]]="Crude",vp.data[[#This Row],[Dens]]&gt;865,vp.data[[#This Row],[Dens]]&lt;=900,vp.data[[#This Row],[Sulf]]&gt;2,vp.data[[#This Row],[Unknown]]=0),1,0)</f>
        <v>0</v>
      </c>
      <c r="AE1493">
        <f>IF(AND(vp.data[[#This Row],[CrudeType]]="Crude",vp.data[[#This Row],[Dens]]&gt;900,vp.data[[#This Row],[Sulf]]&lt;=0.5,vp.data[[#This Row],[Unknown]]=0),1,0)</f>
        <v>0</v>
      </c>
      <c r="AF1493">
        <f>IF(AND(vp.data[[#This Row],[CrudeType]]="Crude",vp.data[[#This Row],[Dens]]&gt;900,vp.data[[#This Row],[Sulf]]&lt;=0.5,vp.data[[#This Row],[Unknown]]=0),1,0)</f>
        <v>0</v>
      </c>
      <c r="AG1493" t="str">
        <f>INDEX(vp.data[[#Headers],[Unknown]:[Heavy_SW]],MATCH(1,vp.data[[#This Row],[Unknown]:[Heavy_SW]],0))</f>
        <v>Medium_LSB</v>
      </c>
      <c r="AH1493">
        <f>INDEX([3]!crudeBD.lkup[Number],MATCH(vp.data[[#This Row],[Crude_Breakdown]],crudeBD.lkup[Crude Breakdown],0))</f>
        <v>3</v>
      </c>
      <c r="AI1493">
        <f>MONTH(vp.data[[#This Row],[SDate]])</f>
        <v>5</v>
      </c>
      <c r="AJ1493" s="5">
        <f>(vp.data[[#This Row],[VP]]-INDEX(crudeBD.lkup[Mean_VP],MATCH(vp.data[[#This Row],[Crude_Breakdown]],crudeBD.lkup[Crude Breakdown],0)))^2</f>
        <v>38.933563446937086</v>
      </c>
      <c r="AK1493" s="5">
        <f>(vp.data[[#This Row],[Dens]]-INDEX(crudeBD.lkup[Mean_Dens],MATCH(vp.data[[#This Row],[Crude_Breakdown]],crudeBD.lkup[Crude Breakdown],0)))^2</f>
        <v>88.736399999990667</v>
      </c>
      <c r="AL1493" s="5">
        <f>(vp.data[[#This Row],[Sulf]]-INDEX(crudeBD.lkup[Mean_Sulf],MATCH(vp.data[[#This Row],[Crude_Breakdown]],crudeBD.lkup[Crude Breakdown],0)))^2</f>
        <v>0.19838839931671826</v>
      </c>
      <c r="AM1493" s="4">
        <f>IF(AND(vp.data[[#This Row],[SDate]]&gt;=DATE(YEAR(vp.data[[#This Row],[SDate]]),5,1),vp.data[[#This Row],[SDate]]&lt;=DATE(YEAR(vp.data[[#This Row],[SDate]]),9,15)),1,0)</f>
        <v>1</v>
      </c>
      <c r="AN1493" s="4">
        <f>IF(vp.data[[#This Row],[SDate]]&lt;DATE(2016,12,1),0,1)</f>
        <v>1</v>
      </c>
      <c r="AO1493" s="4">
        <f>IFERROR(vp.data[[#This Row],[Sulf]]*vp.data[[#This Row],[Net Dens]],"")</f>
        <v>1893462.6250099996</v>
      </c>
      <c r="AP1493">
        <f>IFERROR(vp.data[[#This Row],[Dens]]*vp.data[[#This Row],[VolumeM3]],"")</f>
        <v>2014321.9414999997</v>
      </c>
      <c r="AQ1493" s="15">
        <f>IFERROR(vp.data[[#This Row],[VP]]*vp.data[[#This Row],[VolumeM3]],"")</f>
        <v>179587.2408</v>
      </c>
    </row>
    <row r="1494" spans="1:43" x14ac:dyDescent="0.25">
      <c r="A1494">
        <v>1493</v>
      </c>
      <c r="B1494" t="s">
        <v>49</v>
      </c>
      <c r="C1494" t="s">
        <v>49</v>
      </c>
      <c r="D1494" t="s">
        <v>89</v>
      </c>
      <c r="F1494" s="1">
        <v>42871</v>
      </c>
      <c r="G1494" s="2">
        <v>81.5</v>
      </c>
      <c r="H1494" s="2"/>
      <c r="I1494" s="2">
        <f t="array" ref="I1494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494" s="2"/>
      <c r="K1494" s="2"/>
      <c r="L1494" s="2"/>
      <c r="M1494" s="2">
        <f t="array" ref="M1494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494" s="2">
        <f ca="1">INDEX(INDIRECT(_xlfn.CONCAT("weather.tbl[",N$1,"]")),MATCH(vp.data[[#This Row],[SDate]],weather.tbl[Date],0))</f>
        <v>11.616666666666665</v>
      </c>
      <c r="O1494" s="2">
        <f ca="1">INDEX(INDIRECT(_xlfn.CONCAT("weather.tbl[",O$1,"]")),MATCH(vp.data[[#This Row],[SDate]],weather.tbl[Date],0))</f>
        <v>12.052380952380952</v>
      </c>
      <c r="P1494" s="2">
        <f ca="1">INDEX(INDIRECT(_xlfn.CONCAT("weather.tbl[",P$1,"]")),MATCH(vp.data[[#This Row],[SDate]],weather.tbl[Date],0))</f>
        <v>13.1</v>
      </c>
      <c r="Q1494" s="2">
        <f ca="1">INDEX(INDIRECT(_xlfn.CONCAT("weather.tbl[",Q$1,"]")),MATCH(vp.data[[#This Row],[SDate]],weather.tbl[Date],0))</f>
        <v>9.9</v>
      </c>
      <c r="R1494" s="2">
        <f ca="1">INDEX(INDIRECT(_xlfn.CONCAT("weather.tbl[",R$1,"]")),MATCH(vp.data[[#This Row],[SDate]],weather.tbl[Date],0))</f>
        <v>11.8</v>
      </c>
      <c r="S1494" s="2">
        <f ca="1">INDEX(INDIRECT(_xlfn.CONCAT("weather.tbl[",S$1,"]")),MATCH(vp.data[[#This Row],[SDate]],weather.tbl[Date],0))</f>
        <v>9.3000000000000007</v>
      </c>
      <c r="T1494" s="2">
        <f ca="1">INDEX(INDIRECT(_xlfn.CONCAT("weather.tbl[",T$1,"]")),MATCH(vp.data[[#This Row],[SDate]],weather.tbl[Date],0))</f>
        <v>13.1</v>
      </c>
      <c r="U1494" s="2">
        <f ca="1">INDEX(INDIRECT(_xlfn.CONCAT("weather.tbl[",U$1,"]")),MATCH(vp.data[[#This Row],[SDate]],weather.tbl[Date],0))</f>
        <v>12.5</v>
      </c>
      <c r="V1494" s="2">
        <f t="array" ref="V14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6839.1149999999998</v>
      </c>
      <c r="W1494" t="s">
        <v>48</v>
      </c>
      <c r="X1494">
        <f>IF(OR(vp.data[[#This Row],[Sulf]]="",vp.data[[#This Row],[Dens]]=""),1,0)</f>
        <v>0</v>
      </c>
      <c r="Y1494">
        <f>IF(vp.data[[#This Row],[CrudeType]]="C5+",1,0)</f>
        <v>0</v>
      </c>
      <c r="Z1494">
        <f>IF(AND(vp.data[[#This Row],[CrudeType]]="Crude",vp.data[[#This Row],[Dens]]&lt;=825,vp.data[[#This Row],[Sulf]]&gt;0.5,vp.data[[#This Row],[Unknown]]=0),1,0)</f>
        <v>0</v>
      </c>
      <c r="AA1494">
        <f>IF(AND(vp.data[[#This Row],[CrudeType]]="Crude",vp.data[[#This Row],[Dens]]&lt;=825,vp.data[[#This Row],[Sulf]]&lt;=0.5,vp.data[[#This Row],[Unknown]]=0),1,0)</f>
        <v>0</v>
      </c>
      <c r="AB14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4">
        <f>IF(AND(vp.data[[#This Row],[CrudeType]]="Crude",vp.data[[#This Row],[Dens]]&gt;825,vp.data[[#This Row],[Dens]]&lt;=900,vp.data[[#This Row],[Sulf]]&lt;=0.5,vp.data[[#This Row],[Unknown]]=0),1,0)</f>
        <v>0</v>
      </c>
      <c r="AD1494">
        <f>IF(AND(vp.data[[#This Row],[CrudeType]]="Crude",vp.data[[#This Row],[Dens]]&gt;865,vp.data[[#This Row],[Dens]]&lt;=900,vp.data[[#This Row],[Sulf]]&gt;2,vp.data[[#This Row],[Unknown]]=0),1,0)</f>
        <v>0</v>
      </c>
      <c r="AE1494">
        <f>IF(AND(vp.data[[#This Row],[CrudeType]]="Crude",vp.data[[#This Row],[Dens]]&gt;900,vp.data[[#This Row],[Sulf]]&lt;=0.5,vp.data[[#This Row],[Unknown]]=0),1,0)</f>
        <v>0</v>
      </c>
      <c r="AF1494">
        <f>IF(AND(vp.data[[#This Row],[CrudeType]]="Crude",vp.data[[#This Row],[Dens]]&gt;900,vp.data[[#This Row],[Sulf]]&lt;=0.5,vp.data[[#This Row],[Unknown]]=0),1,0)</f>
        <v>0</v>
      </c>
      <c r="AG1494" t="str">
        <f>INDEX(vp.data[[#Headers],[Unknown]:[Heavy_SW]],MATCH(1,vp.data[[#This Row],[Unknown]:[Heavy_SW]],0))</f>
        <v>Medium_LSB</v>
      </c>
      <c r="AH1494">
        <f>INDEX([3]!crudeBD.lkup[Number],MATCH(vp.data[[#This Row],[Crude_Breakdown]],crudeBD.lkup[Crude Breakdown],0))</f>
        <v>3</v>
      </c>
      <c r="AI1494">
        <f>MONTH(vp.data[[#This Row],[SDate]])</f>
        <v>5</v>
      </c>
      <c r="AJ1494" s="5">
        <f>(vp.data[[#This Row],[VP]]-INDEX(crudeBD.lkup[Mean_VP],MATCH(vp.data[[#This Row],[Crude_Breakdown]],crudeBD.lkup[Crude Breakdown],0)))^2</f>
        <v>0.74015643885191873</v>
      </c>
      <c r="AK1494" s="5">
        <f>(vp.data[[#This Row],[Dens]]-INDEX(crudeBD.lkup[Mean_Dens],MATCH(vp.data[[#This Row],[Crude_Breakdown]],crudeBD.lkup[Crude Breakdown],0)))^2</f>
        <v>303.45639999998275</v>
      </c>
      <c r="AL1494" s="5">
        <f>(vp.data[[#This Row],[Sulf]]-INDEX(crudeBD.lkup[Mean_Sulf],MATCH(vp.data[[#This Row],[Crude_Breakdown]],crudeBD.lkup[Crude Breakdown],0)))^2</f>
        <v>0.49760062519272974</v>
      </c>
      <c r="AM1494" s="4">
        <f>IF(AND(vp.data[[#This Row],[SDate]]&gt;=DATE(YEAR(vp.data[[#This Row],[SDate]]),5,1),vp.data[[#This Row],[SDate]]&lt;=DATE(YEAR(vp.data[[#This Row],[SDate]]),9,15)),1,0)</f>
        <v>1</v>
      </c>
      <c r="AN1494" s="4">
        <f>IF(vp.data[[#This Row],[SDate]]&lt;DATE(2016,12,1),0,1)</f>
        <v>1</v>
      </c>
      <c r="AO1494" s="4">
        <f>IFERROR(vp.data[[#This Row],[Sulf]]*vp.data[[#This Row],[Net Dens]],"")</f>
        <v>3843719.4123</v>
      </c>
      <c r="AP1494">
        <f>IFERROR(vp.data[[#This Row],[Dens]]*vp.data[[#This Row],[VolumeM3]],"")</f>
        <v>5652528.5474999994</v>
      </c>
      <c r="AQ1494" s="15">
        <f>IFERROR(vp.data[[#This Row],[VP]]*vp.data[[#This Row],[VolumeM3]],"")</f>
        <v>557387.87249999994</v>
      </c>
    </row>
    <row r="1495" spans="1:43" x14ac:dyDescent="0.25">
      <c r="A1495">
        <v>1494</v>
      </c>
      <c r="B1495" t="s">
        <v>46</v>
      </c>
      <c r="C1495" t="s">
        <v>46</v>
      </c>
      <c r="D1495" t="s">
        <v>47</v>
      </c>
      <c r="F1495" s="1">
        <v>42872</v>
      </c>
      <c r="G1495" s="2">
        <v>53.4</v>
      </c>
      <c r="H1495" s="2"/>
      <c r="I1495" s="2">
        <f t="array" ref="I1495">_xlfn.IFNA(IF(vp.data[[#This Row],[Sulf Input]]="",INDEX([1]DATA!$Q$3:$Q$9826,MATCH(1,(vp.data[[#This Row],[Battery]]=[1]DATA!$L$3:$L$9826)*(EOMONTH(vp.data[[#This Row],[SDate]],-1)+1=[1]DATA!$G$3:$G$9826),0)),vp.data[[#This Row],[Sulf Input]]),"")</f>
        <v>2.25</v>
      </c>
      <c r="J1495" s="2"/>
      <c r="K1495" s="2"/>
      <c r="L1495" s="2"/>
      <c r="M1495" s="2">
        <f t="array" ref="M1495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495" s="2">
        <f ca="1">INDEX(INDIRECT(_xlfn.CONCAT("weather.tbl[",N$1,"]")),MATCH(vp.data[[#This Row],[SDate]],weather.tbl[Date],0))</f>
        <v>7.0666666666666655</v>
      </c>
      <c r="O1495" s="2">
        <f ca="1">INDEX(INDIRECT(_xlfn.CONCAT("weather.tbl[",O$1,"]")),MATCH(vp.data[[#This Row],[SDate]],weather.tbl[Date],0))</f>
        <v>11.778571428571427</v>
      </c>
      <c r="P1495" s="2">
        <f ca="1">INDEX(INDIRECT(_xlfn.CONCAT("weather.tbl[",P$1,"]")),MATCH(vp.data[[#This Row],[SDate]],weather.tbl[Date],0))</f>
        <v>7</v>
      </c>
      <c r="Q1495" s="2">
        <f ca="1">INDEX(INDIRECT(_xlfn.CONCAT("weather.tbl[",Q$1,"]")),MATCH(vp.data[[#This Row],[SDate]],weather.tbl[Date],0))</f>
        <v>6.4</v>
      </c>
      <c r="R1495" s="2">
        <f ca="1">INDEX(INDIRECT(_xlfn.CONCAT("weather.tbl[",R$1,"]")),MATCH(vp.data[[#This Row],[SDate]],weather.tbl[Date],0))</f>
        <v>8</v>
      </c>
      <c r="S1495" s="2">
        <f ca="1">INDEX(INDIRECT(_xlfn.CONCAT("weather.tbl[",S$1,"]")),MATCH(vp.data[[#This Row],[SDate]],weather.tbl[Date],0))</f>
        <v>5.9</v>
      </c>
      <c r="T1495" s="2">
        <f ca="1">INDEX(INDIRECT(_xlfn.CONCAT("weather.tbl[",T$1,"]")),MATCH(vp.data[[#This Row],[SDate]],weather.tbl[Date],0))</f>
        <v>7.3</v>
      </c>
      <c r="U1495" s="2">
        <f ca="1">INDEX(INDIRECT(_xlfn.CONCAT("weather.tbl[",U$1,"]")),MATCH(vp.data[[#This Row],[SDate]],weather.tbl[Date],0))</f>
        <v>7.8</v>
      </c>
      <c r="V1495" s="2">
        <f t="array" ref="V14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115996.79399999999</v>
      </c>
      <c r="W1495" t="s">
        <v>48</v>
      </c>
      <c r="X1495">
        <f>IF(OR(vp.data[[#This Row],[Sulf]]="",vp.data[[#This Row],[Dens]]=""),1,0)</f>
        <v>0</v>
      </c>
      <c r="Y1495">
        <f>IF(vp.data[[#This Row],[CrudeType]]="C5+",1,0)</f>
        <v>0</v>
      </c>
      <c r="Z1495">
        <f>IF(AND(vp.data[[#This Row],[CrudeType]]="Crude",vp.data[[#This Row],[Dens]]&lt;=825,vp.data[[#This Row],[Sulf]]&gt;0.5,vp.data[[#This Row],[Unknown]]=0),1,0)</f>
        <v>0</v>
      </c>
      <c r="AA1495">
        <f>IF(AND(vp.data[[#This Row],[CrudeType]]="Crude",vp.data[[#This Row],[Dens]]&lt;=825,vp.data[[#This Row],[Sulf]]&lt;=0.5,vp.data[[#This Row],[Unknown]]=0),1,0)</f>
        <v>0</v>
      </c>
      <c r="AB14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95">
        <f>IF(AND(vp.data[[#This Row],[CrudeType]]="Crude",vp.data[[#This Row],[Dens]]&gt;825,vp.data[[#This Row],[Dens]]&lt;=900,vp.data[[#This Row],[Sulf]]&lt;=0.5,vp.data[[#This Row],[Unknown]]=0),1,0)</f>
        <v>0</v>
      </c>
      <c r="AD1495">
        <f>IF(AND(vp.data[[#This Row],[CrudeType]]="Crude",vp.data[[#This Row],[Dens]]&gt;865,vp.data[[#This Row],[Dens]]&lt;=900,vp.data[[#This Row],[Sulf]]&gt;2,vp.data[[#This Row],[Unknown]]=0),1,0)</f>
        <v>1</v>
      </c>
      <c r="AE1495">
        <f>IF(AND(vp.data[[#This Row],[CrudeType]]="Crude",vp.data[[#This Row],[Dens]]&gt;900,vp.data[[#This Row],[Sulf]]&lt;=0.5,vp.data[[#This Row],[Unknown]]=0),1,0)</f>
        <v>0</v>
      </c>
      <c r="AF1495">
        <f>IF(AND(vp.data[[#This Row],[CrudeType]]="Crude",vp.data[[#This Row],[Dens]]&gt;900,vp.data[[#This Row],[Sulf]]&lt;=0.5,vp.data[[#This Row],[Unknown]]=0),1,0)</f>
        <v>0</v>
      </c>
      <c r="AG1495" t="str">
        <f>INDEX(vp.data[[#Headers],[Unknown]:[Heavy_SW]],MATCH(1,vp.data[[#This Row],[Unknown]:[Heavy_SW]],0))</f>
        <v>Midale</v>
      </c>
      <c r="AH1495">
        <f>INDEX([3]!crudeBD.lkup[Number],MATCH(vp.data[[#This Row],[Crude_Breakdown]],crudeBD.lkup[Crude Breakdown],0))</f>
        <v>5</v>
      </c>
      <c r="AI1495">
        <f>MONTH(vp.data[[#This Row],[SDate]])</f>
        <v>5</v>
      </c>
      <c r="AJ1495" s="5">
        <f>(vp.data[[#This Row],[VP]]-INDEX(crudeBD.lkup[Mean_VP],MATCH(vp.data[[#This Row],[Crude_Breakdown]],crudeBD.lkup[Crude Breakdown],0)))^2</f>
        <v>256.28048915931657</v>
      </c>
      <c r="AK1495" s="5">
        <f>(vp.data[[#This Row],[Dens]]-INDEX(crudeBD.lkup[Mean_Dens],MATCH(vp.data[[#This Row],[Crude_Breakdown]],crudeBD.lkup[Crude Breakdown],0)))^2</f>
        <v>37.417815123820823</v>
      </c>
      <c r="AL1495" s="5">
        <f>(vp.data[[#This Row],[Sulf]]-INDEX(crudeBD.lkup[Mean_Sulf],MATCH(vp.data[[#This Row],[Crude_Breakdown]],crudeBD.lkup[Crude Breakdown],0)))^2</f>
        <v>3.7486987788723031E-2</v>
      </c>
      <c r="AM1495" s="4">
        <f>IF(AND(vp.data[[#This Row],[SDate]]&gt;=DATE(YEAR(vp.data[[#This Row],[SDate]]),5,1),vp.data[[#This Row],[SDate]]&lt;=DATE(YEAR(vp.data[[#This Row],[SDate]]),9,15)),1,0)</f>
        <v>1</v>
      </c>
      <c r="AN1495" s="4">
        <f>IF(vp.data[[#This Row],[SDate]]&lt;DATE(2016,12,1),0,1)</f>
        <v>1</v>
      </c>
      <c r="AO1495" s="4">
        <f>IFERROR(vp.data[[#This Row],[Sulf]]*vp.data[[#This Row],[Net Dens]],"")</f>
        <v>226724433.63255</v>
      </c>
      <c r="AP1495">
        <f>IFERROR(vp.data[[#This Row],[Dens]]*vp.data[[#This Row],[VolumeM3]],"")</f>
        <v>100766414.9478</v>
      </c>
      <c r="AQ1495" s="15">
        <f>IFERROR(vp.data[[#This Row],[VP]]*vp.data[[#This Row],[VolumeM3]],"")</f>
        <v>6194228.7995999996</v>
      </c>
    </row>
    <row r="1496" spans="1:43" x14ac:dyDescent="0.25">
      <c r="A1496">
        <v>1495</v>
      </c>
      <c r="B1496" t="s">
        <v>49</v>
      </c>
      <c r="C1496" t="s">
        <v>49</v>
      </c>
      <c r="D1496" t="s">
        <v>50</v>
      </c>
      <c r="F1496" s="1">
        <v>42872</v>
      </c>
      <c r="G1496" s="2">
        <v>70.8</v>
      </c>
      <c r="H1496" s="2"/>
      <c r="I1496" s="2">
        <f t="array" ref="I1496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496" s="2"/>
      <c r="K1496" s="2"/>
      <c r="L1496" s="2"/>
      <c r="M1496" s="2">
        <f t="array" ref="M1496">_xlfn.IFNA(IF(vp.data[[#This Row],[Dens Input]]="",INDEX([1]DATA!$O$3:$O$9826,MATCH(1,(vp.data[[#This Row],[Battery]]=[1]DATA!$L$3:$L$9826)*(EOMONTH(vp.data[[#This Row],[SDate]],-1)+1=[1]DATA!$G$3:$G$9826),0)),vp.data[[#This Row],[Dens Input]]),"")</f>
        <v>865</v>
      </c>
      <c r="N1496" s="2">
        <f ca="1">INDEX(INDIRECT(_xlfn.CONCAT("weather.tbl[",N$1,"]")),MATCH(vp.data[[#This Row],[SDate]],weather.tbl[Date],0))</f>
        <v>7.0666666666666655</v>
      </c>
      <c r="O1496" s="2">
        <f ca="1">INDEX(INDIRECT(_xlfn.CONCAT("weather.tbl[",O$1,"]")),MATCH(vp.data[[#This Row],[SDate]],weather.tbl[Date],0))</f>
        <v>11.778571428571427</v>
      </c>
      <c r="P1496" s="2">
        <f ca="1">INDEX(INDIRECT(_xlfn.CONCAT("weather.tbl[",P$1,"]")),MATCH(vp.data[[#This Row],[SDate]],weather.tbl[Date],0))</f>
        <v>7</v>
      </c>
      <c r="Q1496" s="2">
        <f ca="1">INDEX(INDIRECT(_xlfn.CONCAT("weather.tbl[",Q$1,"]")),MATCH(vp.data[[#This Row],[SDate]],weather.tbl[Date],0))</f>
        <v>6.4</v>
      </c>
      <c r="R1496" s="2">
        <f ca="1">INDEX(INDIRECT(_xlfn.CONCAT("weather.tbl[",R$1,"]")),MATCH(vp.data[[#This Row],[SDate]],weather.tbl[Date],0))</f>
        <v>8</v>
      </c>
      <c r="S1496" s="2">
        <f ca="1">INDEX(INDIRECT(_xlfn.CONCAT("weather.tbl[",S$1,"]")),MATCH(vp.data[[#This Row],[SDate]],weather.tbl[Date],0))</f>
        <v>5.9</v>
      </c>
      <c r="T1496" s="2">
        <f ca="1">INDEX(INDIRECT(_xlfn.CONCAT("weather.tbl[",T$1,"]")),MATCH(vp.data[[#This Row],[SDate]],weather.tbl[Date],0))</f>
        <v>7.3</v>
      </c>
      <c r="U1496" s="2">
        <f ca="1">INDEX(INDIRECT(_xlfn.CONCAT("weather.tbl[",U$1,"]")),MATCH(vp.data[[#This Row],[SDate]],weather.tbl[Date],0))</f>
        <v>7.8</v>
      </c>
      <c r="V1496" s="2">
        <f t="array" ref="V14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5265.8419999999996</v>
      </c>
      <c r="W1496" t="s">
        <v>48</v>
      </c>
      <c r="X1496">
        <f>IF(OR(vp.data[[#This Row],[Sulf]]="",vp.data[[#This Row],[Dens]]=""),1,0)</f>
        <v>0</v>
      </c>
      <c r="Y1496">
        <f>IF(vp.data[[#This Row],[CrudeType]]="C5+",1,0)</f>
        <v>0</v>
      </c>
      <c r="Z1496">
        <f>IF(AND(vp.data[[#This Row],[CrudeType]]="Crude",vp.data[[#This Row],[Dens]]&lt;=825,vp.data[[#This Row],[Sulf]]&gt;0.5,vp.data[[#This Row],[Unknown]]=0),1,0)</f>
        <v>0</v>
      </c>
      <c r="AA1496">
        <f>IF(AND(vp.data[[#This Row],[CrudeType]]="Crude",vp.data[[#This Row],[Dens]]&lt;=825,vp.data[[#This Row],[Sulf]]&lt;=0.5,vp.data[[#This Row],[Unknown]]=0),1,0)</f>
        <v>0</v>
      </c>
      <c r="AB14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6">
        <f>IF(AND(vp.data[[#This Row],[CrudeType]]="Crude",vp.data[[#This Row],[Dens]]&gt;825,vp.data[[#This Row],[Dens]]&lt;=900,vp.data[[#This Row],[Sulf]]&lt;=0.5,vp.data[[#This Row],[Unknown]]=0),1,0)</f>
        <v>0</v>
      </c>
      <c r="AD1496">
        <f>IF(AND(vp.data[[#This Row],[CrudeType]]="Crude",vp.data[[#This Row],[Dens]]&gt;865,vp.data[[#This Row],[Dens]]&lt;=900,vp.data[[#This Row],[Sulf]]&gt;2,vp.data[[#This Row],[Unknown]]=0),1,0)</f>
        <v>0</v>
      </c>
      <c r="AE1496">
        <f>IF(AND(vp.data[[#This Row],[CrudeType]]="Crude",vp.data[[#This Row],[Dens]]&gt;900,vp.data[[#This Row],[Sulf]]&lt;=0.5,vp.data[[#This Row],[Unknown]]=0),1,0)</f>
        <v>0</v>
      </c>
      <c r="AF1496">
        <f>IF(AND(vp.data[[#This Row],[CrudeType]]="Crude",vp.data[[#This Row],[Dens]]&gt;900,vp.data[[#This Row],[Sulf]]&lt;=0.5,vp.data[[#This Row],[Unknown]]=0),1,0)</f>
        <v>0</v>
      </c>
      <c r="AG1496" t="str">
        <f>INDEX(vp.data[[#Headers],[Unknown]:[Heavy_SW]],MATCH(1,vp.data[[#This Row],[Unknown]:[Heavy_SW]],0))</f>
        <v>Medium_LSB</v>
      </c>
      <c r="AH1496">
        <f>INDEX([3]!crudeBD.lkup[Number],MATCH(vp.data[[#This Row],[Crude_Breakdown]],crudeBD.lkup[Crude Breakdown],0))</f>
        <v>3</v>
      </c>
      <c r="AI1496">
        <f>MONTH(vp.data[[#This Row],[SDate]])</f>
        <v>5</v>
      </c>
      <c r="AJ1496" s="5">
        <f>(vp.data[[#This Row],[VP]]-INDEX(crudeBD.lkup[Mean_VP],MATCH(vp.data[[#This Row],[Crude_Breakdown]],crudeBD.lkup[Crude Breakdown],0)))^2</f>
        <v>96.819234605966344</v>
      </c>
      <c r="AK1496" s="5">
        <f>(vp.data[[#This Row],[Dens]]-INDEX(crudeBD.lkup[Mean_Dens],MATCH(vp.data[[#This Row],[Crude_Breakdown]],crudeBD.lkup[Crude Breakdown],0)))^2</f>
        <v>444.36640000002092</v>
      </c>
      <c r="AL1496" s="5">
        <f>(vp.data[[#This Row],[Sulf]]-INDEX(crudeBD.lkup[Mean_Sulf],MATCH(vp.data[[#This Row],[Crude_Breakdown]],crudeBD.lkup[Crude Breakdown],0)))^2</f>
        <v>1.86211098071833</v>
      </c>
      <c r="AM1496" s="4">
        <f>IF(AND(vp.data[[#This Row],[SDate]]&gt;=DATE(YEAR(vp.data[[#This Row],[SDate]]),5,1),vp.data[[#This Row],[SDate]]&lt;=DATE(YEAR(vp.data[[#This Row],[SDate]]),9,15)),1,0)</f>
        <v>1</v>
      </c>
      <c r="AN1496" s="4">
        <f>IF(vp.data[[#This Row],[SDate]]&lt;DATE(2016,12,1),0,1)</f>
        <v>1</v>
      </c>
      <c r="AO1496" s="4">
        <f>IFERROR(vp.data[[#This Row],[Sulf]]*vp.data[[#This Row],[Net Dens]],"")</f>
        <v>12526121.657500001</v>
      </c>
      <c r="AP1496">
        <f>IFERROR(vp.data[[#This Row],[Dens]]*vp.data[[#This Row],[VolumeM3]],"")</f>
        <v>4554953.33</v>
      </c>
      <c r="AQ1496" s="15">
        <f>IFERROR(vp.data[[#This Row],[VP]]*vp.data[[#This Row],[VolumeM3]],"")</f>
        <v>372821.61359999998</v>
      </c>
    </row>
    <row r="1497" spans="1:43" x14ac:dyDescent="0.25">
      <c r="A1497">
        <v>1496</v>
      </c>
      <c r="B1497" t="s">
        <v>49</v>
      </c>
      <c r="C1497" t="s">
        <v>49</v>
      </c>
      <c r="D1497" t="s">
        <v>92</v>
      </c>
      <c r="F1497" s="1">
        <v>42872</v>
      </c>
      <c r="G1497" s="2">
        <v>72.3</v>
      </c>
      <c r="H1497" s="2"/>
      <c r="I1497" s="2">
        <f t="array" ref="I1497">_xlfn.IFNA(IF(vp.data[[#This Row],[Sulf Input]]="",INDEX([1]DATA!$Q$3:$Q$9826,MATCH(1,(vp.data[[#This Row],[Battery]]=[1]DATA!$L$3:$L$9826)*(EOMONTH(vp.data[[#This Row],[SDate]],-1)+1=[1]DATA!$G$3:$G$9826),0)),vp.data[[#This Row],[Sulf Input]]),"")</f>
        <v>0.64</v>
      </c>
      <c r="J1497" s="2"/>
      <c r="K1497" s="2"/>
      <c r="L1497" s="2"/>
      <c r="M1497" s="2">
        <f t="array" ref="M1497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1497" s="2">
        <f ca="1">INDEX(INDIRECT(_xlfn.CONCAT("weather.tbl[",N$1,"]")),MATCH(vp.data[[#This Row],[SDate]],weather.tbl[Date],0))</f>
        <v>7.0666666666666655</v>
      </c>
      <c r="O1497" s="2">
        <f ca="1">INDEX(INDIRECT(_xlfn.CONCAT("weather.tbl[",O$1,"]")),MATCH(vp.data[[#This Row],[SDate]],weather.tbl[Date],0))</f>
        <v>11.778571428571427</v>
      </c>
      <c r="P1497" s="2">
        <f ca="1">INDEX(INDIRECT(_xlfn.CONCAT("weather.tbl[",P$1,"]")),MATCH(vp.data[[#This Row],[SDate]],weather.tbl[Date],0))</f>
        <v>7</v>
      </c>
      <c r="Q1497" s="2">
        <f ca="1">INDEX(INDIRECT(_xlfn.CONCAT("weather.tbl[",Q$1,"]")),MATCH(vp.data[[#This Row],[SDate]],weather.tbl[Date],0))</f>
        <v>6.4</v>
      </c>
      <c r="R1497" s="2">
        <f ca="1">INDEX(INDIRECT(_xlfn.CONCAT("weather.tbl[",R$1,"]")),MATCH(vp.data[[#This Row],[SDate]],weather.tbl[Date],0))</f>
        <v>8</v>
      </c>
      <c r="S1497" s="2">
        <f ca="1">INDEX(INDIRECT(_xlfn.CONCAT("weather.tbl[",S$1,"]")),MATCH(vp.data[[#This Row],[SDate]],weather.tbl[Date],0))</f>
        <v>5.9</v>
      </c>
      <c r="T1497" s="2">
        <f ca="1">INDEX(INDIRECT(_xlfn.CONCAT("weather.tbl[",T$1,"]")),MATCH(vp.data[[#This Row],[SDate]],weather.tbl[Date],0))</f>
        <v>7.3</v>
      </c>
      <c r="U1497" s="2">
        <f ca="1">INDEX(INDIRECT(_xlfn.CONCAT("weather.tbl[",U$1,"]")),MATCH(vp.data[[#This Row],[SDate]],weather.tbl[Date],0))</f>
        <v>7.8</v>
      </c>
      <c r="V1497" s="2">
        <f t="array" ref="V14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24656.244999999999</v>
      </c>
      <c r="W1497" t="s">
        <v>48</v>
      </c>
      <c r="X1497">
        <f>IF(OR(vp.data[[#This Row],[Sulf]]="",vp.data[[#This Row],[Dens]]=""),1,0)</f>
        <v>0</v>
      </c>
      <c r="Y1497">
        <f>IF(vp.data[[#This Row],[CrudeType]]="C5+",1,0)</f>
        <v>0</v>
      </c>
      <c r="Z1497">
        <f>IF(AND(vp.data[[#This Row],[CrudeType]]="Crude",vp.data[[#This Row],[Dens]]&lt;=825,vp.data[[#This Row],[Sulf]]&gt;0.5,vp.data[[#This Row],[Unknown]]=0),1,0)</f>
        <v>1</v>
      </c>
      <c r="AA1497">
        <f>IF(AND(vp.data[[#This Row],[CrudeType]]="Crude",vp.data[[#This Row],[Dens]]&lt;=825,vp.data[[#This Row],[Sulf]]&lt;=0.5,vp.data[[#This Row],[Unknown]]=0),1,0)</f>
        <v>0</v>
      </c>
      <c r="AB14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497">
        <f>IF(AND(vp.data[[#This Row],[CrudeType]]="Crude",vp.data[[#This Row],[Dens]]&gt;825,vp.data[[#This Row],[Dens]]&lt;=900,vp.data[[#This Row],[Sulf]]&lt;=0.5,vp.data[[#This Row],[Unknown]]=0),1,0)</f>
        <v>0</v>
      </c>
      <c r="AD1497">
        <f>IF(AND(vp.data[[#This Row],[CrudeType]]="Crude",vp.data[[#This Row],[Dens]]&gt;865,vp.data[[#This Row],[Dens]]&lt;=900,vp.data[[#This Row],[Sulf]]&gt;2,vp.data[[#This Row],[Unknown]]=0),1,0)</f>
        <v>0</v>
      </c>
      <c r="AE1497">
        <f>IF(AND(vp.data[[#This Row],[CrudeType]]="Crude",vp.data[[#This Row],[Dens]]&gt;900,vp.data[[#This Row],[Sulf]]&lt;=0.5,vp.data[[#This Row],[Unknown]]=0),1,0)</f>
        <v>0</v>
      </c>
      <c r="AF1497">
        <f>IF(AND(vp.data[[#This Row],[CrudeType]]="Crude",vp.data[[#This Row],[Dens]]&gt;900,vp.data[[#This Row],[Sulf]]&lt;=0.5,vp.data[[#This Row],[Unknown]]=0),1,0)</f>
        <v>0</v>
      </c>
      <c r="AG1497" t="str">
        <f>INDEX(vp.data[[#Headers],[Unknown]:[Heavy_SW]],MATCH(1,vp.data[[#This Row],[Unknown]:[Heavy_SW]],0))</f>
        <v>Light_LSB</v>
      </c>
      <c r="AH1497">
        <f>INDEX([3]!crudeBD.lkup[Number],MATCH(vp.data[[#This Row],[Crude_Breakdown]],crudeBD.lkup[Crude Breakdown],0))</f>
        <v>1</v>
      </c>
      <c r="AI1497">
        <f>MONTH(vp.data[[#This Row],[SDate]])</f>
        <v>5</v>
      </c>
      <c r="AJ1497" s="5">
        <f>(vp.data[[#This Row],[VP]]-INDEX(crudeBD.lkup[Mean_VP],MATCH(vp.data[[#This Row],[Crude_Breakdown]],crudeBD.lkup[Crude Breakdown],0)))^2</f>
        <v>370.41565887979726</v>
      </c>
      <c r="AK1497" s="5">
        <f>(vp.data[[#This Row],[Dens]]-INDEX(crudeBD.lkup[Mean_Dens],MATCH(vp.data[[#This Row],[Crude_Breakdown]],crudeBD.lkup[Crude Breakdown],0)))^2</f>
        <v>17.499415245453584</v>
      </c>
      <c r="AL1497" s="5">
        <f>(vp.data[[#This Row],[Sulf]]-INDEX(crudeBD.lkup[Mean_Sulf],MATCH(vp.data[[#This Row],[Crude_Breakdown]],crudeBD.lkup[Crude Breakdown],0)))^2</f>
        <v>8.0072682137103807E-2</v>
      </c>
      <c r="AM1497" s="4">
        <f>IF(AND(vp.data[[#This Row],[SDate]]&gt;=DATE(YEAR(vp.data[[#This Row],[SDate]]),5,1),vp.data[[#This Row],[SDate]]&lt;=DATE(YEAR(vp.data[[#This Row],[SDate]]),9,15)),1,0)</f>
        <v>1</v>
      </c>
      <c r="AN1497" s="4">
        <f>IF(vp.data[[#This Row],[SDate]]&lt;DATE(2016,12,1),0,1)</f>
        <v>1</v>
      </c>
      <c r="AO1497" s="4">
        <f>IFERROR(vp.data[[#This Row],[Sulf]]*vp.data[[#This Row],[Net Dens]],"")</f>
        <v>12982203.367360001</v>
      </c>
      <c r="AP1497">
        <f>IFERROR(vp.data[[#This Row],[Dens]]*vp.data[[#This Row],[VolumeM3]],"")</f>
        <v>20284692.761500001</v>
      </c>
      <c r="AQ1497" s="15">
        <f>IFERROR(vp.data[[#This Row],[VP]]*vp.data[[#This Row],[VolumeM3]],"")</f>
        <v>1782646.5134999999</v>
      </c>
    </row>
    <row r="1498" spans="1:43" x14ac:dyDescent="0.25">
      <c r="A1498">
        <v>1497</v>
      </c>
      <c r="B1498" t="s">
        <v>51</v>
      </c>
      <c r="C1498" t="s">
        <v>51</v>
      </c>
      <c r="D1498" t="s">
        <v>58</v>
      </c>
      <c r="F1498" s="1">
        <v>42872</v>
      </c>
      <c r="G1498" s="2">
        <v>85.4</v>
      </c>
      <c r="H1498" s="2"/>
      <c r="I1498" s="2">
        <f t="array" ref="I1498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498" s="2"/>
      <c r="K1498" s="2"/>
      <c r="L1498" s="2"/>
      <c r="M1498" s="2">
        <f t="array" ref="M1498">_xlfn.IFNA(IF(vp.data[[#This Row],[Dens Input]]="",INDEX([1]DATA!$O$3:$O$9826,MATCH(1,(vp.data[[#This Row],[Battery]]=[1]DATA!$L$3:$L$9826)*(EOMONTH(vp.data[[#This Row],[SDate]],-1)+1=[1]DATA!$G$3:$G$9826),0)),vp.data[[#This Row],[Dens Input]]),"")</f>
        <v>836.4</v>
      </c>
      <c r="N1498" s="2">
        <f ca="1">INDEX(INDIRECT(_xlfn.CONCAT("weather.tbl[",N$1,"]")),MATCH(vp.data[[#This Row],[SDate]],weather.tbl[Date],0))</f>
        <v>7.0666666666666655</v>
      </c>
      <c r="O1498" s="2">
        <f ca="1">INDEX(INDIRECT(_xlfn.CONCAT("weather.tbl[",O$1,"]")),MATCH(vp.data[[#This Row],[SDate]],weather.tbl[Date],0))</f>
        <v>11.778571428571427</v>
      </c>
      <c r="P1498" s="2">
        <f ca="1">INDEX(INDIRECT(_xlfn.CONCAT("weather.tbl[",P$1,"]")),MATCH(vp.data[[#This Row],[SDate]],weather.tbl[Date],0))</f>
        <v>7</v>
      </c>
      <c r="Q1498" s="2">
        <f ca="1">INDEX(INDIRECT(_xlfn.CONCAT("weather.tbl[",Q$1,"]")),MATCH(vp.data[[#This Row],[SDate]],weather.tbl[Date],0))</f>
        <v>6.4</v>
      </c>
      <c r="R1498" s="2">
        <f ca="1">INDEX(INDIRECT(_xlfn.CONCAT("weather.tbl[",R$1,"]")),MATCH(vp.data[[#This Row],[SDate]],weather.tbl[Date],0))</f>
        <v>8</v>
      </c>
      <c r="S1498" s="2">
        <f ca="1">INDEX(INDIRECT(_xlfn.CONCAT("weather.tbl[",S$1,"]")),MATCH(vp.data[[#This Row],[SDate]],weather.tbl[Date],0))</f>
        <v>5.9</v>
      </c>
      <c r="T1498" s="2">
        <f ca="1">INDEX(INDIRECT(_xlfn.CONCAT("weather.tbl[",T$1,"]")),MATCH(vp.data[[#This Row],[SDate]],weather.tbl[Date],0))</f>
        <v>7.3</v>
      </c>
      <c r="U1498" s="2">
        <f ca="1">INDEX(INDIRECT(_xlfn.CONCAT("weather.tbl[",U$1,"]")),MATCH(vp.data[[#This Row],[SDate]],weather.tbl[Date],0))</f>
        <v>7.8</v>
      </c>
      <c r="V1498" s="2">
        <f t="array" ref="V14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5887.6930000000002</v>
      </c>
      <c r="W1498" t="s">
        <v>48</v>
      </c>
      <c r="X1498">
        <f>IF(OR(vp.data[[#This Row],[Sulf]]="",vp.data[[#This Row],[Dens]]=""),1,0)</f>
        <v>0</v>
      </c>
      <c r="Y1498">
        <f>IF(vp.data[[#This Row],[CrudeType]]="C5+",1,0)</f>
        <v>0</v>
      </c>
      <c r="Z1498">
        <f>IF(AND(vp.data[[#This Row],[CrudeType]]="Crude",vp.data[[#This Row],[Dens]]&lt;=825,vp.data[[#This Row],[Sulf]]&gt;0.5,vp.data[[#This Row],[Unknown]]=0),1,0)</f>
        <v>0</v>
      </c>
      <c r="AA1498">
        <f>IF(AND(vp.data[[#This Row],[CrudeType]]="Crude",vp.data[[#This Row],[Dens]]&lt;=825,vp.data[[#This Row],[Sulf]]&lt;=0.5,vp.data[[#This Row],[Unknown]]=0),1,0)</f>
        <v>0</v>
      </c>
      <c r="AB14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8">
        <f>IF(AND(vp.data[[#This Row],[CrudeType]]="Crude",vp.data[[#This Row],[Dens]]&gt;825,vp.data[[#This Row],[Dens]]&lt;=900,vp.data[[#This Row],[Sulf]]&lt;=0.5,vp.data[[#This Row],[Unknown]]=0),1,0)</f>
        <v>0</v>
      </c>
      <c r="AD1498">
        <f>IF(AND(vp.data[[#This Row],[CrudeType]]="Crude",vp.data[[#This Row],[Dens]]&gt;865,vp.data[[#This Row],[Dens]]&lt;=900,vp.data[[#This Row],[Sulf]]&gt;2,vp.data[[#This Row],[Unknown]]=0),1,0)</f>
        <v>0</v>
      </c>
      <c r="AE1498">
        <f>IF(AND(vp.data[[#This Row],[CrudeType]]="Crude",vp.data[[#This Row],[Dens]]&gt;900,vp.data[[#This Row],[Sulf]]&lt;=0.5,vp.data[[#This Row],[Unknown]]=0),1,0)</f>
        <v>0</v>
      </c>
      <c r="AF1498">
        <f>IF(AND(vp.data[[#This Row],[CrudeType]]="Crude",vp.data[[#This Row],[Dens]]&gt;900,vp.data[[#This Row],[Sulf]]&lt;=0.5,vp.data[[#This Row],[Unknown]]=0),1,0)</f>
        <v>0</v>
      </c>
      <c r="AG1498" t="str">
        <f>INDEX(vp.data[[#Headers],[Unknown]:[Heavy_SW]],MATCH(1,vp.data[[#This Row],[Unknown]:[Heavy_SW]],0))</f>
        <v>Medium_LSB</v>
      </c>
      <c r="AH1498">
        <f>INDEX([3]!crudeBD.lkup[Number],MATCH(vp.data[[#This Row],[Crude_Breakdown]],crudeBD.lkup[Crude Breakdown],0))</f>
        <v>3</v>
      </c>
      <c r="AI1498">
        <f>MONTH(vp.data[[#This Row],[SDate]])</f>
        <v>5</v>
      </c>
      <c r="AJ1498" s="5">
        <f>(vp.data[[#This Row],[VP]]-INDEX(crudeBD.lkup[Mean_VP],MATCH(vp.data[[#This Row],[Crude_Breakdown]],crudeBD.lkup[Crude Breakdown],0)))^2</f>
        <v>22.660679349903745</v>
      </c>
      <c r="AK1498" s="5">
        <f>(vp.data[[#This Row],[Dens]]-INDEX(crudeBD.lkup[Mean_Dens],MATCH(vp.data[[#This Row],[Crude_Breakdown]],crudeBD.lkup[Crude Breakdown],0)))^2</f>
        <v>56.550399999992884</v>
      </c>
      <c r="AL1498" s="5">
        <f>(vp.data[[#This Row],[Sulf]]-INDEX(crudeBD.lkup[Mean_Sulf],MATCH(vp.data[[#This Row],[Crude_Breakdown]],crudeBD.lkup[Crude Breakdown],0)))^2</f>
        <v>1.5523134896231305E-2</v>
      </c>
      <c r="AM1498" s="4">
        <f>IF(AND(vp.data[[#This Row],[SDate]]&gt;=DATE(YEAR(vp.data[[#This Row],[SDate]]),5,1),vp.data[[#This Row],[SDate]]&lt;=DATE(YEAR(vp.data[[#This Row],[SDate]]),9,15)),1,0)</f>
        <v>1</v>
      </c>
      <c r="AN1498" s="4">
        <f>IF(vp.data[[#This Row],[SDate]]&lt;DATE(2016,12,1),0,1)</f>
        <v>1</v>
      </c>
      <c r="AO1498" s="4">
        <f>IFERROR(vp.data[[#This Row],[Sulf]]*vp.data[[#This Row],[Net Dens]],"")</f>
        <v>7435944.3020520005</v>
      </c>
      <c r="AP1498">
        <f>IFERROR(vp.data[[#This Row],[Dens]]*vp.data[[#This Row],[VolumeM3]],"")</f>
        <v>4924466.4252000004</v>
      </c>
      <c r="AQ1498" s="15">
        <f>IFERROR(vp.data[[#This Row],[VP]]*vp.data[[#This Row],[VolumeM3]],"")</f>
        <v>502808.98220000003</v>
      </c>
    </row>
    <row r="1499" spans="1:43" x14ac:dyDescent="0.25">
      <c r="A1499">
        <v>1498</v>
      </c>
      <c r="B1499" t="s">
        <v>292</v>
      </c>
      <c r="C1499" t="s">
        <v>292</v>
      </c>
      <c r="D1499" t="s">
        <v>57</v>
      </c>
      <c r="F1499" s="1">
        <v>42872</v>
      </c>
      <c r="G1499" s="2">
        <v>74.5</v>
      </c>
      <c r="H1499" s="2"/>
      <c r="I1499" s="2">
        <f t="array" ref="I1499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499" s="2"/>
      <c r="K1499" s="2"/>
      <c r="L1499" s="2"/>
      <c r="M1499" s="2">
        <f t="array" ref="M1499">_xlfn.IFNA(IF(vp.data[[#This Row],[Dens Input]]="",INDEX([1]DATA!$O$3:$O$9826,MATCH(1,(vp.data[[#This Row],[Battery]]=[1]DATA!$L$3:$L$9826)*(EOMONTH(vp.data[[#This Row],[SDate]],-1)+1=[1]DATA!$G$3:$G$9826),0)),vp.data[[#This Row],[Dens Input]]),"")</f>
        <v>851.1</v>
      </c>
      <c r="N1499" s="2">
        <f ca="1">INDEX(INDIRECT(_xlfn.CONCAT("weather.tbl[",N$1,"]")),MATCH(vp.data[[#This Row],[SDate]],weather.tbl[Date],0))</f>
        <v>7.0666666666666655</v>
      </c>
      <c r="O1499" s="2">
        <f ca="1">INDEX(INDIRECT(_xlfn.CONCAT("weather.tbl[",O$1,"]")),MATCH(vp.data[[#This Row],[SDate]],weather.tbl[Date],0))</f>
        <v>11.778571428571427</v>
      </c>
      <c r="P1499" s="2">
        <f ca="1">INDEX(INDIRECT(_xlfn.CONCAT("weather.tbl[",P$1,"]")),MATCH(vp.data[[#This Row],[SDate]],weather.tbl[Date],0))</f>
        <v>7</v>
      </c>
      <c r="Q1499" s="2">
        <f ca="1">INDEX(INDIRECT(_xlfn.CONCAT("weather.tbl[",Q$1,"]")),MATCH(vp.data[[#This Row],[SDate]],weather.tbl[Date],0))</f>
        <v>6.4</v>
      </c>
      <c r="R1499" s="2">
        <f ca="1">INDEX(INDIRECT(_xlfn.CONCAT("weather.tbl[",R$1,"]")),MATCH(vp.data[[#This Row],[SDate]],weather.tbl[Date],0))</f>
        <v>8</v>
      </c>
      <c r="S1499" s="2">
        <f ca="1">INDEX(INDIRECT(_xlfn.CONCAT("weather.tbl[",S$1,"]")),MATCH(vp.data[[#This Row],[SDate]],weather.tbl[Date],0))</f>
        <v>5.9</v>
      </c>
      <c r="T1499" s="2">
        <f ca="1">INDEX(INDIRECT(_xlfn.CONCAT("weather.tbl[",T$1,"]")),MATCH(vp.data[[#This Row],[SDate]],weather.tbl[Date],0))</f>
        <v>7.3</v>
      </c>
      <c r="U1499" s="2">
        <f ca="1">INDEX(INDIRECT(_xlfn.CONCAT("weather.tbl[",U$1,"]")),MATCH(vp.data[[#This Row],[SDate]],weather.tbl[Date],0))</f>
        <v>7.8</v>
      </c>
      <c r="V1499" s="2">
        <f t="array" ref="V14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3038.6930000000002</v>
      </c>
      <c r="W1499" t="s">
        <v>48</v>
      </c>
      <c r="X1499">
        <f>IF(OR(vp.data[[#This Row],[Sulf]]="",vp.data[[#This Row],[Dens]]=""),1,0)</f>
        <v>0</v>
      </c>
      <c r="Y1499">
        <f>IF(vp.data[[#This Row],[CrudeType]]="C5+",1,0)</f>
        <v>0</v>
      </c>
      <c r="Z1499">
        <f>IF(AND(vp.data[[#This Row],[CrudeType]]="Crude",vp.data[[#This Row],[Dens]]&lt;=825,vp.data[[#This Row],[Sulf]]&gt;0.5,vp.data[[#This Row],[Unknown]]=0),1,0)</f>
        <v>0</v>
      </c>
      <c r="AA1499">
        <f>IF(AND(vp.data[[#This Row],[CrudeType]]="Crude",vp.data[[#This Row],[Dens]]&lt;=825,vp.data[[#This Row],[Sulf]]&lt;=0.5,vp.data[[#This Row],[Unknown]]=0),1,0)</f>
        <v>0</v>
      </c>
      <c r="AB14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499">
        <f>IF(AND(vp.data[[#This Row],[CrudeType]]="Crude",vp.data[[#This Row],[Dens]]&gt;825,vp.data[[#This Row],[Dens]]&lt;=900,vp.data[[#This Row],[Sulf]]&lt;=0.5,vp.data[[#This Row],[Unknown]]=0),1,0)</f>
        <v>0</v>
      </c>
      <c r="AD1499">
        <f>IF(AND(vp.data[[#This Row],[CrudeType]]="Crude",vp.data[[#This Row],[Dens]]&gt;865,vp.data[[#This Row],[Dens]]&lt;=900,vp.data[[#This Row],[Sulf]]&gt;2,vp.data[[#This Row],[Unknown]]=0),1,0)</f>
        <v>0</v>
      </c>
      <c r="AE1499">
        <f>IF(AND(vp.data[[#This Row],[CrudeType]]="Crude",vp.data[[#This Row],[Dens]]&gt;900,vp.data[[#This Row],[Sulf]]&lt;=0.5,vp.data[[#This Row],[Unknown]]=0),1,0)</f>
        <v>0</v>
      </c>
      <c r="AF1499">
        <f>IF(AND(vp.data[[#This Row],[CrudeType]]="Crude",vp.data[[#This Row],[Dens]]&gt;900,vp.data[[#This Row],[Sulf]]&lt;=0.5,vp.data[[#This Row],[Unknown]]=0),1,0)</f>
        <v>0</v>
      </c>
      <c r="AG1499" t="str">
        <f>INDEX(vp.data[[#Headers],[Unknown]:[Heavy_SW]],MATCH(1,vp.data[[#This Row],[Unknown]:[Heavy_SW]],0))</f>
        <v>Medium_LSB</v>
      </c>
      <c r="AH1499">
        <f>INDEX([3]!crudeBD.lkup[Number],MATCH(vp.data[[#This Row],[Crude_Breakdown]],crudeBD.lkup[Crude Breakdown],0))</f>
        <v>3</v>
      </c>
      <c r="AI1499">
        <f>MONTH(vp.data[[#This Row],[SDate]])</f>
        <v>5</v>
      </c>
      <c r="AJ1499" s="5">
        <f>(vp.data[[#This Row],[VP]]-INDEX(crudeBD.lkup[Mean_VP],MATCH(vp.data[[#This Row],[Crude_Breakdown]],crudeBD.lkup[Crude Breakdown],0)))^2</f>
        <v>37.695628136964125</v>
      </c>
      <c r="AK1499" s="5">
        <f>(vp.data[[#This Row],[Dens]]-INDEX(crudeBD.lkup[Mean_Dens],MATCH(vp.data[[#This Row],[Crude_Breakdown]],crudeBD.lkup[Crude Breakdown],0)))^2</f>
        <v>51.552400000007445</v>
      </c>
      <c r="AL1499" s="5">
        <f>(vp.data[[#This Row],[Sulf]]-INDEX(crudeBD.lkup[Mean_Sulf],MATCH(vp.data[[#This Row],[Crude_Breakdown]],crudeBD.lkup[Crude Breakdown],0)))^2</f>
        <v>0.15570274648652699</v>
      </c>
      <c r="AM1499" s="4">
        <f>IF(AND(vp.data[[#This Row],[SDate]]&gt;=DATE(YEAR(vp.data[[#This Row],[SDate]]),5,1),vp.data[[#This Row],[SDate]]&lt;=DATE(YEAR(vp.data[[#This Row],[SDate]]),9,15)),1,0)</f>
        <v>1</v>
      </c>
      <c r="AN1499" s="4">
        <f>IF(vp.data[[#This Row],[SDate]]&lt;DATE(2016,12,1),0,1)</f>
        <v>1</v>
      </c>
      <c r="AO1499" s="4">
        <f>IFERROR(vp.data[[#This Row],[Sulf]]*vp.data[[#This Row],[Net Dens]],"")</f>
        <v>4603492.2698940001</v>
      </c>
      <c r="AP1499">
        <f>IFERROR(vp.data[[#This Row],[Dens]]*vp.data[[#This Row],[VolumeM3]],"")</f>
        <v>2586231.6123000002</v>
      </c>
      <c r="AQ1499" s="15">
        <f>IFERROR(vp.data[[#This Row],[VP]]*vp.data[[#This Row],[VolumeM3]],"")</f>
        <v>226382.62850000002</v>
      </c>
    </row>
    <row r="1500" spans="1:43" x14ac:dyDescent="0.25">
      <c r="A1500">
        <v>1499</v>
      </c>
      <c r="B1500" t="s">
        <v>51</v>
      </c>
      <c r="C1500" t="s">
        <v>51</v>
      </c>
      <c r="D1500" t="s">
        <v>52</v>
      </c>
      <c r="F1500" s="1">
        <v>42872</v>
      </c>
      <c r="G1500" s="2">
        <v>68.599999999999994</v>
      </c>
      <c r="H1500" s="2"/>
      <c r="I1500" s="2">
        <f t="array" ref="I1500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500" s="2"/>
      <c r="K1500" s="2"/>
      <c r="L1500" s="2"/>
      <c r="M1500" s="2">
        <f t="array" ref="M1500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500" s="2">
        <f ca="1">INDEX(INDIRECT(_xlfn.CONCAT("weather.tbl[",N$1,"]")),MATCH(vp.data[[#This Row],[SDate]],weather.tbl[Date],0))</f>
        <v>7.0666666666666655</v>
      </c>
      <c r="O1500" s="2">
        <f ca="1">INDEX(INDIRECT(_xlfn.CONCAT("weather.tbl[",O$1,"]")),MATCH(vp.data[[#This Row],[SDate]],weather.tbl[Date],0))</f>
        <v>11.778571428571427</v>
      </c>
      <c r="P1500" s="2">
        <f ca="1">INDEX(INDIRECT(_xlfn.CONCAT("weather.tbl[",P$1,"]")),MATCH(vp.data[[#This Row],[SDate]],weather.tbl[Date],0))</f>
        <v>7</v>
      </c>
      <c r="Q1500" s="2">
        <f ca="1">INDEX(INDIRECT(_xlfn.CONCAT("weather.tbl[",Q$1,"]")),MATCH(vp.data[[#This Row],[SDate]],weather.tbl[Date],0))</f>
        <v>6.4</v>
      </c>
      <c r="R1500" s="2">
        <f ca="1">INDEX(INDIRECT(_xlfn.CONCAT("weather.tbl[",R$1,"]")),MATCH(vp.data[[#This Row],[SDate]],weather.tbl[Date],0))</f>
        <v>8</v>
      </c>
      <c r="S1500" s="2">
        <f ca="1">INDEX(INDIRECT(_xlfn.CONCAT("weather.tbl[",S$1,"]")),MATCH(vp.data[[#This Row],[SDate]],weather.tbl[Date],0))</f>
        <v>5.9</v>
      </c>
      <c r="T1500" s="2">
        <f ca="1">INDEX(INDIRECT(_xlfn.CONCAT("weather.tbl[",T$1,"]")),MATCH(vp.data[[#This Row],[SDate]],weather.tbl[Date],0))</f>
        <v>7.3</v>
      </c>
      <c r="U1500" s="2">
        <f ca="1">INDEX(INDIRECT(_xlfn.CONCAT("weather.tbl[",U$1,"]")),MATCH(vp.data[[#This Row],[SDate]],weather.tbl[Date],0))</f>
        <v>7.8</v>
      </c>
      <c r="V1500" s="2">
        <f t="array" ref="V15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7049.7860000000001</v>
      </c>
      <c r="W1500" t="s">
        <v>48</v>
      </c>
      <c r="X1500">
        <f>IF(OR(vp.data[[#This Row],[Sulf]]="",vp.data[[#This Row],[Dens]]=""),1,0)</f>
        <v>0</v>
      </c>
      <c r="Y1500">
        <f>IF(vp.data[[#This Row],[CrudeType]]="C5+",1,0)</f>
        <v>0</v>
      </c>
      <c r="Z1500">
        <f>IF(AND(vp.data[[#This Row],[CrudeType]]="Crude",vp.data[[#This Row],[Dens]]&lt;=825,vp.data[[#This Row],[Sulf]]&gt;0.5,vp.data[[#This Row],[Unknown]]=0),1,0)</f>
        <v>0</v>
      </c>
      <c r="AA1500">
        <f>IF(AND(vp.data[[#This Row],[CrudeType]]="Crude",vp.data[[#This Row],[Dens]]&lt;=825,vp.data[[#This Row],[Sulf]]&lt;=0.5,vp.data[[#This Row],[Unknown]]=0),1,0)</f>
        <v>0</v>
      </c>
      <c r="AB15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0">
        <f>IF(AND(vp.data[[#This Row],[CrudeType]]="Crude",vp.data[[#This Row],[Dens]]&gt;825,vp.data[[#This Row],[Dens]]&lt;=900,vp.data[[#This Row],[Sulf]]&lt;=0.5,vp.data[[#This Row],[Unknown]]=0),1,0)</f>
        <v>0</v>
      </c>
      <c r="AD1500">
        <f>IF(AND(vp.data[[#This Row],[CrudeType]]="Crude",vp.data[[#This Row],[Dens]]&gt;865,vp.data[[#This Row],[Dens]]&lt;=900,vp.data[[#This Row],[Sulf]]&gt;2,vp.data[[#This Row],[Unknown]]=0),1,0)</f>
        <v>1</v>
      </c>
      <c r="AE1500">
        <f>IF(AND(vp.data[[#This Row],[CrudeType]]="Crude",vp.data[[#This Row],[Dens]]&gt;900,vp.data[[#This Row],[Sulf]]&lt;=0.5,vp.data[[#This Row],[Unknown]]=0),1,0)</f>
        <v>0</v>
      </c>
      <c r="AF1500">
        <f>IF(AND(vp.data[[#This Row],[CrudeType]]="Crude",vp.data[[#This Row],[Dens]]&gt;900,vp.data[[#This Row],[Sulf]]&lt;=0.5,vp.data[[#This Row],[Unknown]]=0),1,0)</f>
        <v>0</v>
      </c>
      <c r="AG1500" t="str">
        <f>INDEX(vp.data[[#Headers],[Unknown]:[Heavy_SW]],MATCH(1,vp.data[[#This Row],[Unknown]:[Heavy_SW]],0))</f>
        <v>Midale</v>
      </c>
      <c r="AH1500">
        <f>INDEX([3]!crudeBD.lkup[Number],MATCH(vp.data[[#This Row],[Crude_Breakdown]],crudeBD.lkup[Crude Breakdown],0))</f>
        <v>5</v>
      </c>
      <c r="AI1500">
        <f>MONTH(vp.data[[#This Row],[SDate]])</f>
        <v>5</v>
      </c>
      <c r="AJ1500" s="5">
        <f>(vp.data[[#This Row],[VP]]-INDEX(crudeBD.lkup[Mean_VP],MATCH(vp.data[[#This Row],[Crude_Breakdown]],crudeBD.lkup[Crude Breakdown],0)))^2</f>
        <v>0.65409740673828931</v>
      </c>
      <c r="AK1500" s="5">
        <f>(vp.data[[#This Row],[Dens]]-INDEX(crudeBD.lkup[Mean_Dens],MATCH(vp.data[[#This Row],[Crude_Breakdown]],crudeBD.lkup[Crude Breakdown],0)))^2</f>
        <v>15.342969762995462</v>
      </c>
      <c r="AL1500" s="5">
        <f>(vp.data[[#This Row],[Sulf]]-INDEX(crudeBD.lkup[Mean_Sulf],MATCH(vp.data[[#This Row],[Crude_Breakdown]],crudeBD.lkup[Crude Breakdown],0)))^2</f>
        <v>1.9023176856306674E-3</v>
      </c>
      <c r="AM1500" s="4">
        <f>IF(AND(vp.data[[#This Row],[SDate]]&gt;=DATE(YEAR(vp.data[[#This Row],[SDate]]),5,1),vp.data[[#This Row],[SDate]]&lt;=DATE(YEAR(vp.data[[#This Row],[SDate]]),9,15)),1,0)</f>
        <v>1</v>
      </c>
      <c r="AN1500" s="4">
        <f>IF(vp.data[[#This Row],[SDate]]&lt;DATE(2016,12,1),0,1)</f>
        <v>1</v>
      </c>
      <c r="AO1500" s="4">
        <f>IFERROR(vp.data[[#This Row],[Sulf]]*vp.data[[#This Row],[Net Dens]],"")</f>
        <v>14735180.705759998</v>
      </c>
      <c r="AP1500">
        <f>IFERROR(vp.data[[#This Row],[Dens]]*vp.data[[#This Row],[VolumeM3]],"")</f>
        <v>6139658.6273999996</v>
      </c>
      <c r="AQ1500" s="15">
        <f>IFERROR(vp.data[[#This Row],[VP]]*vp.data[[#This Row],[VolumeM3]],"")</f>
        <v>483615.31959999999</v>
      </c>
    </row>
    <row r="1501" spans="1:43" x14ac:dyDescent="0.25">
      <c r="A1501">
        <v>1500</v>
      </c>
      <c r="B1501" t="s">
        <v>292</v>
      </c>
      <c r="C1501" t="s">
        <v>292</v>
      </c>
      <c r="D1501" t="s">
        <v>94</v>
      </c>
      <c r="F1501" s="1">
        <v>42872</v>
      </c>
      <c r="G1501" s="2">
        <v>67</v>
      </c>
      <c r="H1501" s="2"/>
      <c r="I1501" s="2">
        <f t="array" ref="I1501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501" s="2"/>
      <c r="K1501" s="2"/>
      <c r="L1501" s="2"/>
      <c r="M1501" s="2">
        <f t="array" ref="M1501">_xlfn.IFNA(IF(vp.data[[#This Row],[Dens Input]]="",INDEX([1]DATA!$O$3:$O$9826,MATCH(1,(vp.data[[#This Row],[Battery]]=[1]DATA!$L$3:$L$9826)*(EOMONTH(vp.data[[#This Row],[SDate]],-1)+1=[1]DATA!$G$3:$G$9826),0)),vp.data[[#This Row],[Dens Input]]),"")</f>
        <v>865.5</v>
      </c>
      <c r="N1501" s="2">
        <f ca="1">INDEX(INDIRECT(_xlfn.CONCAT("weather.tbl[",N$1,"]")),MATCH(vp.data[[#This Row],[SDate]],weather.tbl[Date],0))</f>
        <v>7.0666666666666655</v>
      </c>
      <c r="O1501" s="2">
        <f ca="1">INDEX(INDIRECT(_xlfn.CONCAT("weather.tbl[",O$1,"]")),MATCH(vp.data[[#This Row],[SDate]],weather.tbl[Date],0))</f>
        <v>11.778571428571427</v>
      </c>
      <c r="P1501" s="2">
        <f ca="1">INDEX(INDIRECT(_xlfn.CONCAT("weather.tbl[",P$1,"]")),MATCH(vp.data[[#This Row],[SDate]],weather.tbl[Date],0))</f>
        <v>7</v>
      </c>
      <c r="Q1501" s="2">
        <f ca="1">INDEX(INDIRECT(_xlfn.CONCAT("weather.tbl[",Q$1,"]")),MATCH(vp.data[[#This Row],[SDate]],weather.tbl[Date],0))</f>
        <v>6.4</v>
      </c>
      <c r="R1501" s="2">
        <f ca="1">INDEX(INDIRECT(_xlfn.CONCAT("weather.tbl[",R$1,"]")),MATCH(vp.data[[#This Row],[SDate]],weather.tbl[Date],0))</f>
        <v>8</v>
      </c>
      <c r="S1501" s="2">
        <f ca="1">INDEX(INDIRECT(_xlfn.CONCAT("weather.tbl[",S$1,"]")),MATCH(vp.data[[#This Row],[SDate]],weather.tbl[Date],0))</f>
        <v>5.9</v>
      </c>
      <c r="T1501" s="2">
        <f ca="1">INDEX(INDIRECT(_xlfn.CONCAT("weather.tbl[",T$1,"]")),MATCH(vp.data[[#This Row],[SDate]],weather.tbl[Date],0))</f>
        <v>7.3</v>
      </c>
      <c r="U1501" s="2">
        <f ca="1">INDEX(INDIRECT(_xlfn.CONCAT("weather.tbl[",U$1,"]")),MATCH(vp.data[[#This Row],[SDate]],weather.tbl[Date],0))</f>
        <v>7.8</v>
      </c>
      <c r="V1501" s="2">
        <f t="array" ref="V15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4763.951</v>
      </c>
      <c r="W1501" t="s">
        <v>48</v>
      </c>
      <c r="X1501">
        <f>IF(OR(vp.data[[#This Row],[Sulf]]="",vp.data[[#This Row],[Dens]]=""),1,0)</f>
        <v>0</v>
      </c>
      <c r="Y1501">
        <f>IF(vp.data[[#This Row],[CrudeType]]="C5+",1,0)</f>
        <v>0</v>
      </c>
      <c r="Z1501">
        <f>IF(AND(vp.data[[#This Row],[CrudeType]]="Crude",vp.data[[#This Row],[Dens]]&lt;=825,vp.data[[#This Row],[Sulf]]&gt;0.5,vp.data[[#This Row],[Unknown]]=0),1,0)</f>
        <v>0</v>
      </c>
      <c r="AA1501">
        <f>IF(AND(vp.data[[#This Row],[CrudeType]]="Crude",vp.data[[#This Row],[Dens]]&lt;=825,vp.data[[#This Row],[Sulf]]&lt;=0.5,vp.data[[#This Row],[Unknown]]=0),1,0)</f>
        <v>0</v>
      </c>
      <c r="AB15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01">
        <f>IF(AND(vp.data[[#This Row],[CrudeType]]="Crude",vp.data[[#This Row],[Dens]]&gt;825,vp.data[[#This Row],[Dens]]&lt;=900,vp.data[[#This Row],[Sulf]]&lt;=0.5,vp.data[[#This Row],[Unknown]]=0),1,0)</f>
        <v>0</v>
      </c>
      <c r="AD1501">
        <f>IF(AND(vp.data[[#This Row],[CrudeType]]="Crude",vp.data[[#This Row],[Dens]]&gt;865,vp.data[[#This Row],[Dens]]&lt;=900,vp.data[[#This Row],[Sulf]]&gt;2,vp.data[[#This Row],[Unknown]]=0),1,0)</f>
        <v>0</v>
      </c>
      <c r="AE1501">
        <f>IF(AND(vp.data[[#This Row],[CrudeType]]="Crude",vp.data[[#This Row],[Dens]]&gt;900,vp.data[[#This Row],[Sulf]]&lt;=0.5,vp.data[[#This Row],[Unknown]]=0),1,0)</f>
        <v>0</v>
      </c>
      <c r="AF1501">
        <f>IF(AND(vp.data[[#This Row],[CrudeType]]="Crude",vp.data[[#This Row],[Dens]]&gt;900,vp.data[[#This Row],[Sulf]]&lt;=0.5,vp.data[[#This Row],[Unknown]]=0),1,0)</f>
        <v>0</v>
      </c>
      <c r="AG1501" t="str">
        <f>INDEX(vp.data[[#Headers],[Unknown]:[Heavy_SW]],MATCH(1,vp.data[[#This Row],[Unknown]:[Heavy_SW]],0))</f>
        <v>Medium_LSB</v>
      </c>
      <c r="AH1501">
        <f>INDEX([3]!crudeBD.lkup[Number],MATCH(vp.data[[#This Row],[Crude_Breakdown]],crudeBD.lkup[Crude Breakdown],0))</f>
        <v>3</v>
      </c>
      <c r="AI1501">
        <f>MONTH(vp.data[[#This Row],[SDate]])</f>
        <v>5</v>
      </c>
      <c r="AJ1501" s="5">
        <f>(vp.data[[#This Row],[VP]]-INDEX(crudeBD.lkup[Mean_VP],MATCH(vp.data[[#This Row],[Crude_Breakdown]],crudeBD.lkup[Crude Breakdown],0)))^2</f>
        <v>186.04077638494149</v>
      </c>
      <c r="AK1501" s="5">
        <f>(vp.data[[#This Row],[Dens]]-INDEX(crudeBD.lkup[Mean_Dens],MATCH(vp.data[[#This Row],[Crude_Breakdown]],crudeBD.lkup[Crude Breakdown],0)))^2</f>
        <v>465.69640000002141</v>
      </c>
      <c r="AL1501" s="5">
        <f>(vp.data[[#This Row],[Sulf]]-INDEX(crudeBD.lkup[Mean_Sulf],MATCH(vp.data[[#This Row],[Crude_Breakdown]],crudeBD.lkup[Crude Breakdown],0)))^2</f>
        <v>0.3301558208800574</v>
      </c>
      <c r="AM1501" s="4">
        <f>IF(AND(vp.data[[#This Row],[SDate]]&gt;=DATE(YEAR(vp.data[[#This Row],[SDate]]),5,1),vp.data[[#This Row],[SDate]]&lt;=DATE(YEAR(vp.data[[#This Row],[SDate]]),9,15)),1,0)</f>
        <v>1</v>
      </c>
      <c r="AN1501" s="4">
        <f>IF(vp.data[[#This Row],[SDate]]&lt;DATE(2016,12,1),0,1)</f>
        <v>1</v>
      </c>
      <c r="AO1501" s="4">
        <f>IFERROR(vp.data[[#This Row],[Sulf]]*vp.data[[#This Row],[Net Dens]],"")</f>
        <v>8081471.1973799998</v>
      </c>
      <c r="AP1501">
        <f>IFERROR(vp.data[[#This Row],[Dens]]*vp.data[[#This Row],[VolumeM3]],"")</f>
        <v>4123199.5904999999</v>
      </c>
      <c r="AQ1501" s="15">
        <f>IFERROR(vp.data[[#This Row],[VP]]*vp.data[[#This Row],[VolumeM3]],"")</f>
        <v>319184.717</v>
      </c>
    </row>
    <row r="1502" spans="1:43" x14ac:dyDescent="0.25">
      <c r="A1502">
        <v>1501</v>
      </c>
      <c r="B1502" t="s">
        <v>51</v>
      </c>
      <c r="C1502" t="s">
        <v>51</v>
      </c>
      <c r="D1502" t="s">
        <v>71</v>
      </c>
      <c r="F1502" s="1">
        <v>42872</v>
      </c>
      <c r="G1502" s="2">
        <v>78.400000000000006</v>
      </c>
      <c r="H1502" s="2"/>
      <c r="I1502" s="2">
        <f t="array" ref="I1502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1502" s="2"/>
      <c r="K1502" s="2"/>
      <c r="L1502" s="2"/>
      <c r="M1502" s="2">
        <f t="array" ref="M1502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1502" s="2">
        <f ca="1">INDEX(INDIRECT(_xlfn.CONCAT("weather.tbl[",N$1,"]")),MATCH(vp.data[[#This Row],[SDate]],weather.tbl[Date],0))</f>
        <v>7.0666666666666655</v>
      </c>
      <c r="O1502" s="2">
        <f ca="1">INDEX(INDIRECT(_xlfn.CONCAT("weather.tbl[",O$1,"]")),MATCH(vp.data[[#This Row],[SDate]],weather.tbl[Date],0))</f>
        <v>11.778571428571427</v>
      </c>
      <c r="P1502" s="2">
        <f ca="1">INDEX(INDIRECT(_xlfn.CONCAT("weather.tbl[",P$1,"]")),MATCH(vp.data[[#This Row],[SDate]],weather.tbl[Date],0))</f>
        <v>7</v>
      </c>
      <c r="Q1502" s="2">
        <f ca="1">INDEX(INDIRECT(_xlfn.CONCAT("weather.tbl[",Q$1,"]")),MATCH(vp.data[[#This Row],[SDate]],weather.tbl[Date],0))</f>
        <v>6.4</v>
      </c>
      <c r="R1502" s="2">
        <f ca="1">INDEX(INDIRECT(_xlfn.CONCAT("weather.tbl[",R$1,"]")),MATCH(vp.data[[#This Row],[SDate]],weather.tbl[Date],0))</f>
        <v>8</v>
      </c>
      <c r="S1502" s="2">
        <f ca="1">INDEX(INDIRECT(_xlfn.CONCAT("weather.tbl[",S$1,"]")),MATCH(vp.data[[#This Row],[SDate]],weather.tbl[Date],0))</f>
        <v>5.9</v>
      </c>
      <c r="T1502" s="2">
        <f ca="1">INDEX(INDIRECT(_xlfn.CONCAT("weather.tbl[",T$1,"]")),MATCH(vp.data[[#This Row],[SDate]],weather.tbl[Date],0))</f>
        <v>7.3</v>
      </c>
      <c r="U1502" s="2">
        <f ca="1">INDEX(INDIRECT(_xlfn.CONCAT("weather.tbl[",U$1,"]")),MATCH(vp.data[[#This Row],[SDate]],weather.tbl[Date],0))</f>
        <v>7.8</v>
      </c>
      <c r="V1502" s="2">
        <f t="array" ref="V15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9610.1779999999999</v>
      </c>
      <c r="W1502" t="s">
        <v>48</v>
      </c>
      <c r="X1502">
        <f>IF(OR(vp.data[[#This Row],[Sulf]]="",vp.data[[#This Row],[Dens]]=""),1,0)</f>
        <v>0</v>
      </c>
      <c r="Y1502">
        <f>IF(vp.data[[#This Row],[CrudeType]]="C5+",1,0)</f>
        <v>0</v>
      </c>
      <c r="Z1502">
        <f>IF(AND(vp.data[[#This Row],[CrudeType]]="Crude",vp.data[[#This Row],[Dens]]&lt;=825,vp.data[[#This Row],[Sulf]]&gt;0.5,vp.data[[#This Row],[Unknown]]=0),1,0)</f>
        <v>0</v>
      </c>
      <c r="AA1502">
        <f>IF(AND(vp.data[[#This Row],[CrudeType]]="Crude",vp.data[[#This Row],[Dens]]&lt;=825,vp.data[[#This Row],[Sulf]]&lt;=0.5,vp.data[[#This Row],[Unknown]]=0),1,0)</f>
        <v>0</v>
      </c>
      <c r="AB15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02">
        <f>IF(AND(vp.data[[#This Row],[CrudeType]]="Crude",vp.data[[#This Row],[Dens]]&gt;825,vp.data[[#This Row],[Dens]]&lt;=900,vp.data[[#This Row],[Sulf]]&lt;=0.5,vp.data[[#This Row],[Unknown]]=0),1,0)</f>
        <v>0</v>
      </c>
      <c r="AD1502">
        <f>IF(AND(vp.data[[#This Row],[CrudeType]]="Crude",vp.data[[#This Row],[Dens]]&gt;865,vp.data[[#This Row],[Dens]]&lt;=900,vp.data[[#This Row],[Sulf]]&gt;2,vp.data[[#This Row],[Unknown]]=0),1,0)</f>
        <v>0</v>
      </c>
      <c r="AE1502">
        <f>IF(AND(vp.data[[#This Row],[CrudeType]]="Crude",vp.data[[#This Row],[Dens]]&gt;900,vp.data[[#This Row],[Sulf]]&lt;=0.5,vp.data[[#This Row],[Unknown]]=0),1,0)</f>
        <v>0</v>
      </c>
      <c r="AF1502">
        <f>IF(AND(vp.data[[#This Row],[CrudeType]]="Crude",vp.data[[#This Row],[Dens]]&gt;900,vp.data[[#This Row],[Sulf]]&lt;=0.5,vp.data[[#This Row],[Unknown]]=0),1,0)</f>
        <v>0</v>
      </c>
      <c r="AG1502" t="str">
        <f>INDEX(vp.data[[#Headers],[Unknown]:[Heavy_SW]],MATCH(1,vp.data[[#This Row],[Unknown]:[Heavy_SW]],0))</f>
        <v>Medium_LSB</v>
      </c>
      <c r="AH1502">
        <f>INDEX([3]!crudeBD.lkup[Number],MATCH(vp.data[[#This Row],[Crude_Breakdown]],crudeBD.lkup[Crude Breakdown],0))</f>
        <v>3</v>
      </c>
      <c r="AI1502">
        <f>MONTH(vp.data[[#This Row],[SDate]])</f>
        <v>5</v>
      </c>
      <c r="AJ1502" s="5">
        <f>(vp.data[[#This Row],[VP]]-INDEX(crudeBD.lkup[Mean_VP],MATCH(vp.data[[#This Row],[Crude_Breakdown]],crudeBD.lkup[Crude Breakdown],0)))^2</f>
        <v>5.0161510480158702</v>
      </c>
      <c r="AK1502" s="5">
        <f>(vp.data[[#This Row],[Dens]]-INDEX(crudeBD.lkup[Mean_Dens],MATCH(vp.data[[#This Row],[Crude_Breakdown]],crudeBD.lkup[Crude Breakdown],0)))^2</f>
        <v>253.44639999998421</v>
      </c>
      <c r="AL1502" s="5">
        <f>(vp.data[[#This Row],[Sulf]]-INDEX(crudeBD.lkup[Mean_Sulf],MATCH(vp.data[[#This Row],[Crude_Breakdown]],crudeBD.lkup[Crude Breakdown],0)))^2</f>
        <v>3.786599716038206E-2</v>
      </c>
      <c r="AM1502" s="4">
        <f>IF(AND(vp.data[[#This Row],[SDate]]&gt;=DATE(YEAR(vp.data[[#This Row],[SDate]]),5,1),vp.data[[#This Row],[SDate]]&lt;=DATE(YEAR(vp.data[[#This Row],[SDate]]),9,15)),1,0)</f>
        <v>1</v>
      </c>
      <c r="AN1502" s="4">
        <f>IF(vp.data[[#This Row],[SDate]]&lt;DATE(2016,12,1),0,1)</f>
        <v>1</v>
      </c>
      <c r="AO1502" s="4">
        <f>IFERROR(vp.data[[#This Row],[Sulf]]*vp.data[[#This Row],[Net Dens]],"")</f>
        <v>12572419.266720001</v>
      </c>
      <c r="AP1502">
        <f>IFERROR(vp.data[[#This Row],[Dens]]*vp.data[[#This Row],[VolumeM3]],"")</f>
        <v>7957227.3839999996</v>
      </c>
      <c r="AQ1502" s="15">
        <f>IFERROR(vp.data[[#This Row],[VP]]*vp.data[[#This Row],[VolumeM3]],"")</f>
        <v>753437.95520000008</v>
      </c>
    </row>
    <row r="1503" spans="1:43" x14ac:dyDescent="0.25">
      <c r="A1503">
        <v>1502</v>
      </c>
      <c r="B1503" t="s">
        <v>111</v>
      </c>
      <c r="C1503" t="s">
        <v>111</v>
      </c>
      <c r="D1503" t="s">
        <v>112</v>
      </c>
      <c r="F1503" s="1">
        <v>42872</v>
      </c>
      <c r="G1503" s="2">
        <v>77.5</v>
      </c>
      <c r="H1503" s="2"/>
      <c r="I1503" s="2">
        <f t="array" ref="I1503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503" s="2"/>
      <c r="K1503" s="2"/>
      <c r="L1503" s="2"/>
      <c r="M1503" s="2">
        <f t="array" ref="M1503">_xlfn.IFNA(IF(vp.data[[#This Row],[Dens Input]]="",INDEX([1]DATA!$O$3:$O$9826,MATCH(1,(vp.data[[#This Row],[Battery]]=[1]DATA!$L$3:$L$9826)*(EOMONTH(vp.data[[#This Row],[SDate]],-1)+1=[1]DATA!$G$3:$G$9826),0)),vp.data[[#This Row],[Dens Input]]),"")</f>
        <v>856.7</v>
      </c>
      <c r="N1503" s="2">
        <f ca="1">INDEX(INDIRECT(_xlfn.CONCAT("weather.tbl[",N$1,"]")),MATCH(vp.data[[#This Row],[SDate]],weather.tbl[Date],0))</f>
        <v>7.0666666666666655</v>
      </c>
      <c r="O1503" s="2">
        <f ca="1">INDEX(INDIRECT(_xlfn.CONCAT("weather.tbl[",O$1,"]")),MATCH(vp.data[[#This Row],[SDate]],weather.tbl[Date],0))</f>
        <v>11.778571428571427</v>
      </c>
      <c r="P1503" s="2">
        <f ca="1">INDEX(INDIRECT(_xlfn.CONCAT("weather.tbl[",P$1,"]")),MATCH(vp.data[[#This Row],[SDate]],weather.tbl[Date],0))</f>
        <v>7</v>
      </c>
      <c r="Q1503" s="2">
        <f ca="1">INDEX(INDIRECT(_xlfn.CONCAT("weather.tbl[",Q$1,"]")),MATCH(vp.data[[#This Row],[SDate]],weather.tbl[Date],0))</f>
        <v>6.4</v>
      </c>
      <c r="R1503" s="2">
        <f ca="1">INDEX(INDIRECT(_xlfn.CONCAT("weather.tbl[",R$1,"]")),MATCH(vp.data[[#This Row],[SDate]],weather.tbl[Date],0))</f>
        <v>8</v>
      </c>
      <c r="S1503" s="2">
        <f ca="1">INDEX(INDIRECT(_xlfn.CONCAT("weather.tbl[",S$1,"]")),MATCH(vp.data[[#This Row],[SDate]],weather.tbl[Date],0))</f>
        <v>5.9</v>
      </c>
      <c r="T1503" s="2">
        <f ca="1">INDEX(INDIRECT(_xlfn.CONCAT("weather.tbl[",T$1,"]")),MATCH(vp.data[[#This Row],[SDate]],weather.tbl[Date],0))</f>
        <v>7.3</v>
      </c>
      <c r="U1503" s="2">
        <f ca="1">INDEX(INDIRECT(_xlfn.CONCAT("weather.tbl[",U$1,"]")),MATCH(vp.data[[#This Row],[SDate]],weather.tbl[Date],0))</f>
        <v>7.8</v>
      </c>
      <c r="V1503" s="2">
        <f t="array" ref="V15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8074.473</v>
      </c>
      <c r="W1503" t="s">
        <v>48</v>
      </c>
      <c r="X1503">
        <f>IF(OR(vp.data[[#This Row],[Sulf]]="",vp.data[[#This Row],[Dens]]=""),1,0)</f>
        <v>0</v>
      </c>
      <c r="Y1503">
        <f>IF(vp.data[[#This Row],[CrudeType]]="C5+",1,0)</f>
        <v>0</v>
      </c>
      <c r="Z1503">
        <f>IF(AND(vp.data[[#This Row],[CrudeType]]="Crude",vp.data[[#This Row],[Dens]]&lt;=825,vp.data[[#This Row],[Sulf]]&gt;0.5,vp.data[[#This Row],[Unknown]]=0),1,0)</f>
        <v>0</v>
      </c>
      <c r="AA1503">
        <f>IF(AND(vp.data[[#This Row],[CrudeType]]="Crude",vp.data[[#This Row],[Dens]]&lt;=825,vp.data[[#This Row],[Sulf]]&lt;=0.5,vp.data[[#This Row],[Unknown]]=0),1,0)</f>
        <v>0</v>
      </c>
      <c r="AB15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03">
        <f>IF(AND(vp.data[[#This Row],[CrudeType]]="Crude",vp.data[[#This Row],[Dens]]&gt;825,vp.data[[#This Row],[Dens]]&lt;=900,vp.data[[#This Row],[Sulf]]&lt;=0.5,vp.data[[#This Row],[Unknown]]=0),1,0)</f>
        <v>0</v>
      </c>
      <c r="AD1503">
        <f>IF(AND(vp.data[[#This Row],[CrudeType]]="Crude",vp.data[[#This Row],[Dens]]&gt;865,vp.data[[#This Row],[Dens]]&lt;=900,vp.data[[#This Row],[Sulf]]&gt;2,vp.data[[#This Row],[Unknown]]=0),1,0)</f>
        <v>0</v>
      </c>
      <c r="AE1503">
        <f>IF(AND(vp.data[[#This Row],[CrudeType]]="Crude",vp.data[[#This Row],[Dens]]&gt;900,vp.data[[#This Row],[Sulf]]&lt;=0.5,vp.data[[#This Row],[Unknown]]=0),1,0)</f>
        <v>0</v>
      </c>
      <c r="AF1503">
        <f>IF(AND(vp.data[[#This Row],[CrudeType]]="Crude",vp.data[[#This Row],[Dens]]&gt;900,vp.data[[#This Row],[Sulf]]&lt;=0.5,vp.data[[#This Row],[Unknown]]=0),1,0)</f>
        <v>0</v>
      </c>
      <c r="AG1503" t="str">
        <f>INDEX(vp.data[[#Headers],[Unknown]:[Heavy_SW]],MATCH(1,vp.data[[#This Row],[Unknown]:[Heavy_SW]],0))</f>
        <v>Medium_LSB</v>
      </c>
      <c r="AH1503">
        <f>INDEX([3]!crudeBD.lkup[Number],MATCH(vp.data[[#This Row],[Crude_Breakdown]],crudeBD.lkup[Crude Breakdown],0))</f>
        <v>3</v>
      </c>
      <c r="AI1503">
        <f>MONTH(vp.data[[#This Row],[SDate]])</f>
        <v>5</v>
      </c>
      <c r="AJ1503" s="5">
        <f>(vp.data[[#This Row],[VP]]-INDEX(crudeBD.lkup[Mean_VP],MATCH(vp.data[[#This Row],[Crude_Breakdown]],crudeBD.lkup[Crude Breakdown],0)))^2</f>
        <v>9.8575688377731794</v>
      </c>
      <c r="AK1503" s="5">
        <f>(vp.data[[#This Row],[Dens]]-INDEX(crudeBD.lkup[Mean_Dens],MATCH(vp.data[[#This Row],[Crude_Breakdown]],crudeBD.lkup[Crude Breakdown],0)))^2</f>
        <v>163.32840000001383</v>
      </c>
      <c r="AL1503" s="5">
        <f>(vp.data[[#This Row],[Sulf]]-INDEX(crudeBD.lkup[Mean_Sulf],MATCH(vp.data[[#This Row],[Crude_Breakdown]],crudeBD.lkup[Crude Breakdown],0)))^2</f>
        <v>0.14791090902021975</v>
      </c>
      <c r="AM1503" s="4">
        <f>IF(AND(vp.data[[#This Row],[SDate]]&gt;=DATE(YEAR(vp.data[[#This Row],[SDate]]),5,1),vp.data[[#This Row],[SDate]]&lt;=DATE(YEAR(vp.data[[#This Row],[SDate]]),9,15)),1,0)</f>
        <v>1</v>
      </c>
      <c r="AN1503" s="4">
        <f>IF(vp.data[[#This Row],[SDate]]&lt;DATE(2016,12,1),0,1)</f>
        <v>1</v>
      </c>
      <c r="AO1503" s="4">
        <f>IFERROR(vp.data[[#This Row],[Sulf]]*vp.data[[#This Row],[Net Dens]],"")</f>
        <v>12243799.803807</v>
      </c>
      <c r="AP1503">
        <f>IFERROR(vp.data[[#This Row],[Dens]]*vp.data[[#This Row],[VolumeM3]],"")</f>
        <v>6917401.0191000002</v>
      </c>
      <c r="AQ1503" s="15">
        <f>IFERROR(vp.data[[#This Row],[VP]]*vp.data[[#This Row],[VolumeM3]],"")</f>
        <v>625771.65749999997</v>
      </c>
    </row>
    <row r="1504" spans="1:43" x14ac:dyDescent="0.25">
      <c r="A1504">
        <v>1503</v>
      </c>
      <c r="B1504" t="s">
        <v>111</v>
      </c>
      <c r="C1504" t="s">
        <v>111</v>
      </c>
      <c r="D1504" t="s">
        <v>234</v>
      </c>
      <c r="F1504" s="1">
        <v>42872</v>
      </c>
      <c r="G1504" s="2">
        <v>63.2</v>
      </c>
      <c r="H1504" s="2"/>
      <c r="I1504" s="2">
        <f t="array" ref="I1504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504" s="2"/>
      <c r="K1504" s="2"/>
      <c r="L1504" s="2"/>
      <c r="M1504" s="2">
        <f t="array" ref="M1504">_xlfn.IFNA(IF(vp.data[[#This Row],[Dens Input]]="",INDEX([1]DATA!$O$3:$O$9826,MATCH(1,(vp.data[[#This Row],[Battery]]=[1]DATA!$L$3:$L$9826)*(EOMONTH(vp.data[[#This Row],[SDate]],-1)+1=[1]DATA!$G$3:$G$9826),0)),vp.data[[#This Row],[Dens Input]]),"")</f>
        <v>884.4</v>
      </c>
      <c r="N1504" s="2">
        <f ca="1">INDEX(INDIRECT(_xlfn.CONCAT("weather.tbl[",N$1,"]")),MATCH(vp.data[[#This Row],[SDate]],weather.tbl[Date],0))</f>
        <v>7.0666666666666655</v>
      </c>
      <c r="O1504" s="2">
        <f ca="1">INDEX(INDIRECT(_xlfn.CONCAT("weather.tbl[",O$1,"]")),MATCH(vp.data[[#This Row],[SDate]],weather.tbl[Date],0))</f>
        <v>11.778571428571427</v>
      </c>
      <c r="P1504" s="2">
        <f ca="1">INDEX(INDIRECT(_xlfn.CONCAT("weather.tbl[",P$1,"]")),MATCH(vp.data[[#This Row],[SDate]],weather.tbl[Date],0))</f>
        <v>7</v>
      </c>
      <c r="Q1504" s="2">
        <f ca="1">INDEX(INDIRECT(_xlfn.CONCAT("weather.tbl[",Q$1,"]")),MATCH(vp.data[[#This Row],[SDate]],weather.tbl[Date],0))</f>
        <v>6.4</v>
      </c>
      <c r="R1504" s="2">
        <f ca="1">INDEX(INDIRECT(_xlfn.CONCAT("weather.tbl[",R$1,"]")),MATCH(vp.data[[#This Row],[SDate]],weather.tbl[Date],0))</f>
        <v>8</v>
      </c>
      <c r="S1504" s="2">
        <f ca="1">INDEX(INDIRECT(_xlfn.CONCAT("weather.tbl[",S$1,"]")),MATCH(vp.data[[#This Row],[SDate]],weather.tbl[Date],0))</f>
        <v>5.9</v>
      </c>
      <c r="T1504" s="2">
        <f ca="1">INDEX(INDIRECT(_xlfn.CONCAT("weather.tbl[",T$1,"]")),MATCH(vp.data[[#This Row],[SDate]],weather.tbl[Date],0))</f>
        <v>7.3</v>
      </c>
      <c r="U1504" s="2">
        <f ca="1">INDEX(INDIRECT(_xlfn.CONCAT("weather.tbl[",U$1,"]")),MATCH(vp.data[[#This Row],[SDate]],weather.tbl[Date],0))</f>
        <v>7.8</v>
      </c>
      <c r="V1504" s="2">
        <f t="array" ref="V15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2844.9769999999999</v>
      </c>
      <c r="W1504" t="s">
        <v>48</v>
      </c>
      <c r="X1504">
        <f>IF(OR(vp.data[[#This Row],[Sulf]]="",vp.data[[#This Row],[Dens]]=""),1,0)</f>
        <v>0</v>
      </c>
      <c r="Y1504">
        <f>IF(vp.data[[#This Row],[CrudeType]]="C5+",1,0)</f>
        <v>0</v>
      </c>
      <c r="Z1504">
        <f>IF(AND(vp.data[[#This Row],[CrudeType]]="Crude",vp.data[[#This Row],[Dens]]&lt;=825,vp.data[[#This Row],[Sulf]]&gt;0.5,vp.data[[#This Row],[Unknown]]=0),1,0)</f>
        <v>0</v>
      </c>
      <c r="AA1504">
        <f>IF(AND(vp.data[[#This Row],[CrudeType]]="Crude",vp.data[[#This Row],[Dens]]&lt;=825,vp.data[[#This Row],[Sulf]]&lt;=0.5,vp.data[[#This Row],[Unknown]]=0),1,0)</f>
        <v>0</v>
      </c>
      <c r="AB15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4">
        <f>IF(AND(vp.data[[#This Row],[CrudeType]]="Crude",vp.data[[#This Row],[Dens]]&gt;825,vp.data[[#This Row],[Dens]]&lt;=900,vp.data[[#This Row],[Sulf]]&lt;=0.5,vp.data[[#This Row],[Unknown]]=0),1,0)</f>
        <v>0</v>
      </c>
      <c r="AD1504">
        <f>IF(AND(vp.data[[#This Row],[CrudeType]]="Crude",vp.data[[#This Row],[Dens]]&gt;865,vp.data[[#This Row],[Dens]]&lt;=900,vp.data[[#This Row],[Sulf]]&gt;2,vp.data[[#This Row],[Unknown]]=0),1,0)</f>
        <v>1</v>
      </c>
      <c r="AE1504">
        <f>IF(AND(vp.data[[#This Row],[CrudeType]]="Crude",vp.data[[#This Row],[Dens]]&gt;900,vp.data[[#This Row],[Sulf]]&lt;=0.5,vp.data[[#This Row],[Unknown]]=0),1,0)</f>
        <v>0</v>
      </c>
      <c r="AF1504">
        <f>IF(AND(vp.data[[#This Row],[CrudeType]]="Crude",vp.data[[#This Row],[Dens]]&gt;900,vp.data[[#This Row],[Sulf]]&lt;=0.5,vp.data[[#This Row],[Unknown]]=0),1,0)</f>
        <v>0</v>
      </c>
      <c r="AG1504" t="str">
        <f>INDEX(vp.data[[#Headers],[Unknown]:[Heavy_SW]],MATCH(1,vp.data[[#This Row],[Unknown]:[Heavy_SW]],0))</f>
        <v>Midale</v>
      </c>
      <c r="AH1504">
        <f>INDEX([3]!crudeBD.lkup[Number],MATCH(vp.data[[#This Row],[Crude_Breakdown]],crudeBD.lkup[Crude Breakdown],0))</f>
        <v>5</v>
      </c>
      <c r="AI1504">
        <f>MONTH(vp.data[[#This Row],[SDate]])</f>
        <v>5</v>
      </c>
      <c r="AJ1504" s="5">
        <f>(vp.data[[#This Row],[VP]]-INDEX(crudeBD.lkup[Mean_VP],MATCH(vp.data[[#This Row],[Crude_Breakdown]],crudeBD.lkup[Crude Breakdown],0)))^2</f>
        <v>38.548736581996316</v>
      </c>
      <c r="AK1504" s="5">
        <f>(vp.data[[#This Row],[Dens]]-INDEX(crudeBD.lkup[Mean_Dens],MATCH(vp.data[[#This Row],[Crude_Breakdown]],crudeBD.lkup[Crude Breakdown],0)))^2</f>
        <v>91.833691412471097</v>
      </c>
      <c r="AL1504" s="5">
        <f>(vp.data[[#This Row],[Sulf]]-INDEX(crudeBD.lkup[Mean_Sulf],MATCH(vp.data[[#This Row],[Crude_Breakdown]],crudeBD.lkup[Crude Breakdown],0)))^2</f>
        <v>9.3871420778415121E-2</v>
      </c>
      <c r="AM1504" s="4">
        <f>IF(AND(vp.data[[#This Row],[SDate]]&gt;=DATE(YEAR(vp.data[[#This Row],[SDate]]),5,1),vp.data[[#This Row],[SDate]]&lt;=DATE(YEAR(vp.data[[#This Row],[SDate]]),9,15)),1,0)</f>
        <v>1</v>
      </c>
      <c r="AN1504" s="4">
        <f>IF(vp.data[[#This Row],[SDate]]&lt;DATE(2016,12,1),0,1)</f>
        <v>1</v>
      </c>
      <c r="AO1504" s="4">
        <f>IFERROR(vp.data[[#This Row],[Sulf]]*vp.data[[#This Row],[Net Dens]],"")</f>
        <v>6919268.5616999995</v>
      </c>
      <c r="AP1504">
        <f>IFERROR(vp.data[[#This Row],[Dens]]*vp.data[[#This Row],[VolumeM3]],"")</f>
        <v>2516097.6587999999</v>
      </c>
      <c r="AQ1504" s="15">
        <f>IFERROR(vp.data[[#This Row],[VP]]*vp.data[[#This Row],[VolumeM3]],"")</f>
        <v>179802.54639999999</v>
      </c>
    </row>
    <row r="1505" spans="1:43" x14ac:dyDescent="0.25">
      <c r="A1505">
        <v>1504</v>
      </c>
      <c r="B1505" t="s">
        <v>49</v>
      </c>
      <c r="C1505" t="s">
        <v>49</v>
      </c>
      <c r="D1505" t="s">
        <v>78</v>
      </c>
      <c r="F1505" s="1">
        <v>42872</v>
      </c>
      <c r="G1505" s="2">
        <v>77.7</v>
      </c>
      <c r="H1505" s="2"/>
      <c r="I1505" s="2">
        <f t="array" ref="I1505">_xlfn.IFNA(IF(vp.data[[#This Row],[Sulf Input]]="",INDEX([1]DATA!$Q$3:$Q$9826,MATCH(1,(vp.data[[#This Row],[Battery]]=[1]DATA!$L$3:$L$9826)*(EOMONTH(vp.data[[#This Row],[SDate]],-1)+1=[1]DATA!$G$3:$G$9826),0)),vp.data[[#This Row],[Sulf Input]]),"")</f>
        <v>0.24</v>
      </c>
      <c r="J1505" s="2"/>
      <c r="K1505" s="2"/>
      <c r="L1505" s="2"/>
      <c r="M1505" s="2">
        <f t="array" ref="M1505">_xlfn.IFNA(IF(vp.data[[#This Row],[Dens Input]]="",INDEX([1]DATA!$O$3:$O$9826,MATCH(1,(vp.data[[#This Row],[Battery]]=[1]DATA!$L$3:$L$9826)*(EOMONTH(vp.data[[#This Row],[SDate]],-1)+1=[1]DATA!$G$3:$G$9826),0)),vp.data[[#This Row],[Dens Input]]),"")</f>
        <v>810.9</v>
      </c>
      <c r="N1505" s="2">
        <f ca="1">INDEX(INDIRECT(_xlfn.CONCAT("weather.tbl[",N$1,"]")),MATCH(vp.data[[#This Row],[SDate]],weather.tbl[Date],0))</f>
        <v>7.0666666666666655</v>
      </c>
      <c r="O1505" s="2">
        <f ca="1">INDEX(INDIRECT(_xlfn.CONCAT("weather.tbl[",O$1,"]")),MATCH(vp.data[[#This Row],[SDate]],weather.tbl[Date],0))</f>
        <v>11.778571428571427</v>
      </c>
      <c r="P1505" s="2">
        <f ca="1">INDEX(INDIRECT(_xlfn.CONCAT("weather.tbl[",P$1,"]")),MATCH(vp.data[[#This Row],[SDate]],weather.tbl[Date],0))</f>
        <v>7</v>
      </c>
      <c r="Q1505" s="2">
        <f ca="1">INDEX(INDIRECT(_xlfn.CONCAT("weather.tbl[",Q$1,"]")),MATCH(vp.data[[#This Row],[SDate]],weather.tbl[Date],0))</f>
        <v>6.4</v>
      </c>
      <c r="R1505" s="2">
        <f ca="1">INDEX(INDIRECT(_xlfn.CONCAT("weather.tbl[",R$1,"]")),MATCH(vp.data[[#This Row],[SDate]],weather.tbl[Date],0))</f>
        <v>8</v>
      </c>
      <c r="S1505" s="2">
        <f ca="1">INDEX(INDIRECT(_xlfn.CONCAT("weather.tbl[",S$1,"]")),MATCH(vp.data[[#This Row],[SDate]],weather.tbl[Date],0))</f>
        <v>5.9</v>
      </c>
      <c r="T1505" s="2">
        <f ca="1">INDEX(INDIRECT(_xlfn.CONCAT("weather.tbl[",T$1,"]")),MATCH(vp.data[[#This Row],[SDate]],weather.tbl[Date],0))</f>
        <v>7.3</v>
      </c>
      <c r="U1505" s="2">
        <f ca="1">INDEX(INDIRECT(_xlfn.CONCAT("weather.tbl[",U$1,"]")),MATCH(vp.data[[#This Row],[SDate]],weather.tbl[Date],0))</f>
        <v>7.8</v>
      </c>
      <c r="V1505" s="2">
        <f t="array" ref="V15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20016.702000000001</v>
      </c>
      <c r="W1505" t="s">
        <v>48</v>
      </c>
      <c r="X1505">
        <f>IF(OR(vp.data[[#This Row],[Sulf]]="",vp.data[[#This Row],[Dens]]=""),1,0)</f>
        <v>0</v>
      </c>
      <c r="Y1505">
        <f>IF(vp.data[[#This Row],[CrudeType]]="C5+",1,0)</f>
        <v>0</v>
      </c>
      <c r="Z1505">
        <f>IF(AND(vp.data[[#This Row],[CrudeType]]="Crude",vp.data[[#This Row],[Dens]]&lt;=825,vp.data[[#This Row],[Sulf]]&gt;0.5,vp.data[[#This Row],[Unknown]]=0),1,0)</f>
        <v>0</v>
      </c>
      <c r="AA1505">
        <f>IF(AND(vp.data[[#This Row],[CrudeType]]="Crude",vp.data[[#This Row],[Dens]]&lt;=825,vp.data[[#This Row],[Sulf]]&lt;=0.5,vp.data[[#This Row],[Unknown]]=0),1,0)</f>
        <v>1</v>
      </c>
      <c r="AB15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5">
        <f>IF(AND(vp.data[[#This Row],[CrudeType]]="Crude",vp.data[[#This Row],[Dens]]&gt;825,vp.data[[#This Row],[Dens]]&lt;=900,vp.data[[#This Row],[Sulf]]&lt;=0.5,vp.data[[#This Row],[Unknown]]=0),1,0)</f>
        <v>0</v>
      </c>
      <c r="AD1505">
        <f>IF(AND(vp.data[[#This Row],[CrudeType]]="Crude",vp.data[[#This Row],[Dens]]&gt;865,vp.data[[#This Row],[Dens]]&lt;=900,vp.data[[#This Row],[Sulf]]&gt;2,vp.data[[#This Row],[Unknown]]=0),1,0)</f>
        <v>0</v>
      </c>
      <c r="AE1505">
        <f>IF(AND(vp.data[[#This Row],[CrudeType]]="Crude",vp.data[[#This Row],[Dens]]&gt;900,vp.data[[#This Row],[Sulf]]&lt;=0.5,vp.data[[#This Row],[Unknown]]=0),1,0)</f>
        <v>0</v>
      </c>
      <c r="AF1505">
        <f>IF(AND(vp.data[[#This Row],[CrudeType]]="Crude",vp.data[[#This Row],[Dens]]&gt;900,vp.data[[#This Row],[Sulf]]&lt;=0.5,vp.data[[#This Row],[Unknown]]=0),1,0)</f>
        <v>0</v>
      </c>
      <c r="AG1505" t="str">
        <f>INDEX(vp.data[[#Headers],[Unknown]:[Heavy_SW]],MATCH(1,vp.data[[#This Row],[Unknown]:[Heavy_SW]],0))</f>
        <v>Light_SW</v>
      </c>
      <c r="AH1505">
        <f>INDEX([3]!crudeBD.lkup[Number],MATCH(vp.data[[#This Row],[Crude_Breakdown]],crudeBD.lkup[Crude Breakdown],0))</f>
        <v>2</v>
      </c>
      <c r="AI1505">
        <f>MONTH(vp.data[[#This Row],[SDate]])</f>
        <v>5</v>
      </c>
      <c r="AJ1505" s="5">
        <f>(vp.data[[#This Row],[VP]]-INDEX(crudeBD.lkup[Mean_VP],MATCH(vp.data[[#This Row],[Crude_Breakdown]],crudeBD.lkup[Crude Breakdown],0)))^2</f>
        <v>220.53181368718717</v>
      </c>
      <c r="AK1505" s="5">
        <f>(vp.data[[#This Row],[Dens]]-INDEX(crudeBD.lkup[Mean_Dens],MATCH(vp.data[[#This Row],[Crude_Breakdown]],crudeBD.lkup[Crude Breakdown],0)))^2</f>
        <v>6.7003412691678106</v>
      </c>
      <c r="AL1505" s="5">
        <f>(vp.data[[#This Row],[Sulf]]-INDEX(crudeBD.lkup[Mean_Sulf],MATCH(vp.data[[#This Row],[Crude_Breakdown]],crudeBD.lkup[Crude Breakdown],0)))^2</f>
        <v>1.4123978195681499E-5</v>
      </c>
      <c r="AM1505" s="4">
        <f>IF(AND(vp.data[[#This Row],[SDate]]&gt;=DATE(YEAR(vp.data[[#This Row],[SDate]]),5,1),vp.data[[#This Row],[SDate]]&lt;=DATE(YEAR(vp.data[[#This Row],[SDate]]),9,15)),1,0)</f>
        <v>1</v>
      </c>
      <c r="AN1505" s="4">
        <f>IF(vp.data[[#This Row],[SDate]]&lt;DATE(2016,12,1),0,1)</f>
        <v>1</v>
      </c>
      <c r="AO1505" s="4">
        <f>IFERROR(vp.data[[#This Row],[Sulf]]*vp.data[[#This Row],[Net Dens]],"")</f>
        <v>3895570.4764320003</v>
      </c>
      <c r="AP1505">
        <f>IFERROR(vp.data[[#This Row],[Dens]]*vp.data[[#This Row],[VolumeM3]],"")</f>
        <v>16231543.651800001</v>
      </c>
      <c r="AQ1505" s="15">
        <f>IFERROR(vp.data[[#This Row],[VP]]*vp.data[[#This Row],[VolumeM3]],"")</f>
        <v>1555297.7454000001</v>
      </c>
    </row>
    <row r="1506" spans="1:43" x14ac:dyDescent="0.25">
      <c r="A1506">
        <v>1505</v>
      </c>
      <c r="B1506" t="s">
        <v>292</v>
      </c>
      <c r="C1506" t="s">
        <v>292</v>
      </c>
      <c r="D1506" t="s">
        <v>316</v>
      </c>
      <c r="F1506" s="1">
        <v>42874</v>
      </c>
      <c r="G1506" s="2">
        <v>76.2</v>
      </c>
      <c r="H1506" s="2"/>
      <c r="I1506" s="2">
        <f t="array" ref="I1506">_xlfn.IFNA(IF(vp.data[[#This Row],[Sulf Input]]="",INDEX([1]DATA!$Q$3:$Q$9826,MATCH(1,(vp.data[[#This Row],[Battery]]=[1]DATA!$L$3:$L$9826)*(EOMONTH(vp.data[[#This Row],[SDate]],-1)+1=[1]DATA!$G$3:$G$9826),0)),vp.data[[#This Row],[Sulf Input]]),"")</f>
        <v>1.57</v>
      </c>
      <c r="J1506" s="2"/>
      <c r="K1506" s="2"/>
      <c r="L1506" s="2"/>
      <c r="M1506" s="2">
        <f t="array" ref="M1506">_xlfn.IFNA(IF(vp.data[[#This Row],[Dens Input]]="",INDEX([1]DATA!$O$3:$O$9826,MATCH(1,(vp.data[[#This Row],[Battery]]=[1]DATA!$L$3:$L$9826)*(EOMONTH(vp.data[[#This Row],[SDate]],-1)+1=[1]DATA!$G$3:$G$9826),0)),vp.data[[#This Row],[Dens Input]]),"")</f>
        <v>847.9</v>
      </c>
      <c r="N1506" s="2">
        <f ca="1">INDEX(INDIRECT(_xlfn.CONCAT("weather.tbl[",N$1,"]")),MATCH(vp.data[[#This Row],[SDate]],weather.tbl[Date],0))</f>
        <v>7.8000000000000007</v>
      </c>
      <c r="O1506" s="2">
        <f ca="1">INDEX(INDIRECT(_xlfn.CONCAT("weather.tbl[",O$1,"]")),MATCH(vp.data[[#This Row],[SDate]],weather.tbl[Date],0))</f>
        <v>10.078571428571427</v>
      </c>
      <c r="P1506" s="2">
        <f ca="1">INDEX(INDIRECT(_xlfn.CONCAT("weather.tbl[",P$1,"]")),MATCH(vp.data[[#This Row],[SDate]],weather.tbl[Date],0))</f>
        <v>8.5</v>
      </c>
      <c r="Q1506" s="2">
        <f ca="1">INDEX(INDIRECT(_xlfn.CONCAT("weather.tbl[",Q$1,"]")),MATCH(vp.data[[#This Row],[SDate]],weather.tbl[Date],0))</f>
        <v>7.8</v>
      </c>
      <c r="R1506" s="2">
        <f ca="1">INDEX(INDIRECT(_xlfn.CONCAT("weather.tbl[",R$1,"]")),MATCH(vp.data[[#This Row],[SDate]],weather.tbl[Date],0))</f>
        <v>6.3</v>
      </c>
      <c r="S1506" s="2">
        <f ca="1">INDEX(INDIRECT(_xlfn.CONCAT("weather.tbl[",S$1,"]")),MATCH(vp.data[[#This Row],[SDate]],weather.tbl[Date],0))</f>
        <v>8</v>
      </c>
      <c r="T1506" s="2">
        <f ca="1">INDEX(INDIRECT(_xlfn.CONCAT("weather.tbl[",T$1,"]")),MATCH(vp.data[[#This Row],[SDate]],weather.tbl[Date],0))</f>
        <v>7.7</v>
      </c>
      <c r="U1506" s="2">
        <f ca="1">INDEX(INDIRECT(_xlfn.CONCAT("weather.tbl[",U$1,"]")),MATCH(vp.data[[#This Row],[SDate]],weather.tbl[Date],0))</f>
        <v>8.5</v>
      </c>
      <c r="V1506" s="2">
        <f t="array" ref="V15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1670.1079999999999</v>
      </c>
      <c r="W1506" t="s">
        <v>48</v>
      </c>
      <c r="X1506">
        <f>IF(OR(vp.data[[#This Row],[Sulf]]="",vp.data[[#This Row],[Dens]]=""),1,0)</f>
        <v>0</v>
      </c>
      <c r="Y1506">
        <f>IF(vp.data[[#This Row],[CrudeType]]="C5+",1,0)</f>
        <v>0</v>
      </c>
      <c r="Z1506">
        <f>IF(AND(vp.data[[#This Row],[CrudeType]]="Crude",vp.data[[#This Row],[Dens]]&lt;=825,vp.data[[#This Row],[Sulf]]&gt;0.5,vp.data[[#This Row],[Unknown]]=0),1,0)</f>
        <v>0</v>
      </c>
      <c r="AA1506">
        <f>IF(AND(vp.data[[#This Row],[CrudeType]]="Crude",vp.data[[#This Row],[Dens]]&lt;=825,vp.data[[#This Row],[Sulf]]&lt;=0.5,vp.data[[#This Row],[Unknown]]=0),1,0)</f>
        <v>0</v>
      </c>
      <c r="AB15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06">
        <f>IF(AND(vp.data[[#This Row],[CrudeType]]="Crude",vp.data[[#This Row],[Dens]]&gt;825,vp.data[[#This Row],[Dens]]&lt;=900,vp.data[[#This Row],[Sulf]]&lt;=0.5,vp.data[[#This Row],[Unknown]]=0),1,0)</f>
        <v>0</v>
      </c>
      <c r="AD1506">
        <f>IF(AND(vp.data[[#This Row],[CrudeType]]="Crude",vp.data[[#This Row],[Dens]]&gt;865,vp.data[[#This Row],[Dens]]&lt;=900,vp.data[[#This Row],[Sulf]]&gt;2,vp.data[[#This Row],[Unknown]]=0),1,0)</f>
        <v>0</v>
      </c>
      <c r="AE1506">
        <f>IF(AND(vp.data[[#This Row],[CrudeType]]="Crude",vp.data[[#This Row],[Dens]]&gt;900,vp.data[[#This Row],[Sulf]]&lt;=0.5,vp.data[[#This Row],[Unknown]]=0),1,0)</f>
        <v>0</v>
      </c>
      <c r="AF1506">
        <f>IF(AND(vp.data[[#This Row],[CrudeType]]="Crude",vp.data[[#This Row],[Dens]]&gt;900,vp.data[[#This Row],[Sulf]]&lt;=0.5,vp.data[[#This Row],[Unknown]]=0),1,0)</f>
        <v>0</v>
      </c>
      <c r="AG1506" t="str">
        <f>INDEX(vp.data[[#Headers],[Unknown]:[Heavy_SW]],MATCH(1,vp.data[[#This Row],[Unknown]:[Heavy_SW]],0))</f>
        <v>Medium_LSB</v>
      </c>
      <c r="AH1506">
        <f>INDEX([3]!crudeBD.lkup[Number],MATCH(vp.data[[#This Row],[Crude_Breakdown]],crudeBD.lkup[Crude Breakdown],0))</f>
        <v>3</v>
      </c>
      <c r="AI1506">
        <f>MONTH(vp.data[[#This Row],[SDate]])</f>
        <v>5</v>
      </c>
      <c r="AJ1506" s="5">
        <f>(vp.data[[#This Row],[VP]]-INDEX(crudeBD.lkup[Mean_VP],MATCH(vp.data[[#This Row],[Crude_Breakdown]],crudeBD.lkup[Crude Breakdown],0)))^2</f>
        <v>19.710727867422563</v>
      </c>
      <c r="AK1506" s="5">
        <f>(vp.data[[#This Row],[Dens]]-INDEX(crudeBD.lkup[Mean_Dens],MATCH(vp.data[[#This Row],[Crude_Breakdown]],crudeBD.lkup[Crude Breakdown],0)))^2</f>
        <v>15.840400000003765</v>
      </c>
      <c r="AL1506" s="5">
        <f>(vp.data[[#This Row],[Sulf]]-INDEX(crudeBD.lkup[Mean_Sulf],MATCH(vp.data[[#This Row],[Crude_Breakdown]],crudeBD.lkup[Crude Breakdown],0)))^2</f>
        <v>3.4074159694074811E-2</v>
      </c>
      <c r="AM1506" s="4">
        <f>IF(AND(vp.data[[#This Row],[SDate]]&gt;=DATE(YEAR(vp.data[[#This Row],[SDate]]),5,1),vp.data[[#This Row],[SDate]]&lt;=DATE(YEAR(vp.data[[#This Row],[SDate]]),9,15)),1,0)</f>
        <v>1</v>
      </c>
      <c r="AN1506" s="4">
        <f>IF(vp.data[[#This Row],[SDate]]&lt;DATE(2016,12,1),0,1)</f>
        <v>1</v>
      </c>
      <c r="AO1506" s="4">
        <f>IFERROR(vp.data[[#This Row],[Sulf]]*vp.data[[#This Row],[Net Dens]],"")</f>
        <v>2223252.7799240001</v>
      </c>
      <c r="AP1506">
        <f>IFERROR(vp.data[[#This Row],[Dens]]*vp.data[[#This Row],[VolumeM3]],"")</f>
        <v>1416084.5732</v>
      </c>
      <c r="AQ1506" s="15">
        <f>IFERROR(vp.data[[#This Row],[VP]]*vp.data[[#This Row],[VolumeM3]],"")</f>
        <v>127262.22960000001</v>
      </c>
    </row>
    <row r="1507" spans="1:43" x14ac:dyDescent="0.25">
      <c r="A1507">
        <v>1506</v>
      </c>
      <c r="B1507" t="s">
        <v>68</v>
      </c>
      <c r="C1507" t="s">
        <v>68</v>
      </c>
      <c r="D1507" t="s">
        <v>110</v>
      </c>
      <c r="F1507" s="1">
        <v>42874</v>
      </c>
      <c r="G1507" s="2">
        <v>66.599999999999994</v>
      </c>
      <c r="H1507" s="2"/>
      <c r="I1507" s="2">
        <f t="array" ref="I1507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507" s="2"/>
      <c r="K1507" s="2"/>
      <c r="L1507" s="2"/>
      <c r="M1507" s="2">
        <f t="array" ref="M1507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507" s="2">
        <f ca="1">INDEX(INDIRECT(_xlfn.CONCAT("weather.tbl[",N$1,"]")),MATCH(vp.data[[#This Row],[SDate]],weather.tbl[Date],0))</f>
        <v>7.8000000000000007</v>
      </c>
      <c r="O1507" s="2">
        <f ca="1">INDEX(INDIRECT(_xlfn.CONCAT("weather.tbl[",O$1,"]")),MATCH(vp.data[[#This Row],[SDate]],weather.tbl[Date],0))</f>
        <v>10.078571428571427</v>
      </c>
      <c r="P1507" s="2">
        <f ca="1">INDEX(INDIRECT(_xlfn.CONCAT("weather.tbl[",P$1,"]")),MATCH(vp.data[[#This Row],[SDate]],weather.tbl[Date],0))</f>
        <v>8.5</v>
      </c>
      <c r="Q1507" s="2">
        <f ca="1">INDEX(INDIRECT(_xlfn.CONCAT("weather.tbl[",Q$1,"]")),MATCH(vp.data[[#This Row],[SDate]],weather.tbl[Date],0))</f>
        <v>7.8</v>
      </c>
      <c r="R1507" s="2">
        <f ca="1">INDEX(INDIRECT(_xlfn.CONCAT("weather.tbl[",R$1,"]")),MATCH(vp.data[[#This Row],[SDate]],weather.tbl[Date],0))</f>
        <v>6.3</v>
      </c>
      <c r="S1507" s="2">
        <f ca="1">INDEX(INDIRECT(_xlfn.CONCAT("weather.tbl[",S$1,"]")),MATCH(vp.data[[#This Row],[SDate]],weather.tbl[Date],0))</f>
        <v>8</v>
      </c>
      <c r="T1507" s="2">
        <f ca="1">INDEX(INDIRECT(_xlfn.CONCAT("weather.tbl[",T$1,"]")),MATCH(vp.data[[#This Row],[SDate]],weather.tbl[Date],0))</f>
        <v>7.7</v>
      </c>
      <c r="U1507" s="2">
        <f ca="1">INDEX(INDIRECT(_xlfn.CONCAT("weather.tbl[",U$1,"]")),MATCH(vp.data[[#This Row],[SDate]],weather.tbl[Date],0))</f>
        <v>8.5</v>
      </c>
      <c r="V1507" s="2">
        <f t="array" ref="V15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3812.1930000000002</v>
      </c>
      <c r="W1507" t="s">
        <v>48</v>
      </c>
      <c r="X1507">
        <f>IF(OR(vp.data[[#This Row],[Sulf]]="",vp.data[[#This Row],[Dens]]=""),1,0)</f>
        <v>0</v>
      </c>
      <c r="Y1507">
        <f>IF(vp.data[[#This Row],[CrudeType]]="C5+",1,0)</f>
        <v>0</v>
      </c>
      <c r="Z1507">
        <f>IF(AND(vp.data[[#This Row],[CrudeType]]="Crude",vp.data[[#This Row],[Dens]]&lt;=825,vp.data[[#This Row],[Sulf]]&gt;0.5,vp.data[[#This Row],[Unknown]]=0),1,0)</f>
        <v>0</v>
      </c>
      <c r="AA1507">
        <f>IF(AND(vp.data[[#This Row],[CrudeType]]="Crude",vp.data[[#This Row],[Dens]]&lt;=825,vp.data[[#This Row],[Sulf]]&lt;=0.5,vp.data[[#This Row],[Unknown]]=0),1,0)</f>
        <v>0</v>
      </c>
      <c r="AB15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07">
        <f>IF(AND(vp.data[[#This Row],[CrudeType]]="Crude",vp.data[[#This Row],[Dens]]&gt;825,vp.data[[#This Row],[Dens]]&lt;=900,vp.data[[#This Row],[Sulf]]&lt;=0.5,vp.data[[#This Row],[Unknown]]=0),1,0)</f>
        <v>0</v>
      </c>
      <c r="AD1507">
        <f>IF(AND(vp.data[[#This Row],[CrudeType]]="Crude",vp.data[[#This Row],[Dens]]&gt;865,vp.data[[#This Row],[Dens]]&lt;=900,vp.data[[#This Row],[Sulf]]&gt;2,vp.data[[#This Row],[Unknown]]=0),1,0)</f>
        <v>0</v>
      </c>
      <c r="AE1507">
        <f>IF(AND(vp.data[[#This Row],[CrudeType]]="Crude",vp.data[[#This Row],[Dens]]&gt;900,vp.data[[#This Row],[Sulf]]&lt;=0.5,vp.data[[#This Row],[Unknown]]=0),1,0)</f>
        <v>0</v>
      </c>
      <c r="AF1507">
        <f>IF(AND(vp.data[[#This Row],[CrudeType]]="Crude",vp.data[[#This Row],[Dens]]&gt;900,vp.data[[#This Row],[Sulf]]&lt;=0.5,vp.data[[#This Row],[Unknown]]=0),1,0)</f>
        <v>0</v>
      </c>
      <c r="AG1507" t="str">
        <f>INDEX(vp.data[[#Headers],[Unknown]:[Heavy_SW]],MATCH(1,vp.data[[#This Row],[Unknown]:[Heavy_SW]],0))</f>
        <v>Medium_LSB</v>
      </c>
      <c r="AH1507">
        <f>INDEX([3]!crudeBD.lkup[Number],MATCH(vp.data[[#This Row],[Crude_Breakdown]],crudeBD.lkup[Crude Breakdown],0))</f>
        <v>3</v>
      </c>
      <c r="AI1507">
        <f>MONTH(vp.data[[#This Row],[SDate]])</f>
        <v>5</v>
      </c>
      <c r="AJ1507" s="5">
        <f>(vp.data[[#This Row],[VP]]-INDEX(crudeBD.lkup[Mean_VP],MATCH(vp.data[[#This Row],[Crude_Breakdown]],crudeBD.lkup[Crude Breakdown],0)))^2</f>
        <v>197.11251762483377</v>
      </c>
      <c r="AK1507" s="5">
        <f>(vp.data[[#This Row],[Dens]]-INDEX(crudeBD.lkup[Mean_Dens],MATCH(vp.data[[#This Row],[Crude_Breakdown]],crudeBD.lkup[Crude Breakdown],0)))^2</f>
        <v>105.67840000001112</v>
      </c>
      <c r="AL1507" s="5">
        <f>(vp.data[[#This Row],[Sulf]]-INDEX(crudeBD.lkup[Mean_Sulf],MATCH(vp.data[[#This Row],[Crude_Breakdown]],crudeBD.lkup[Crude Breakdown],0)))^2</f>
        <v>4.1721100983878141E-3</v>
      </c>
      <c r="AM1507" s="4">
        <f>IF(AND(vp.data[[#This Row],[SDate]]&gt;=DATE(YEAR(vp.data[[#This Row],[SDate]]),5,1),vp.data[[#This Row],[SDate]]&lt;=DATE(YEAR(vp.data[[#This Row],[SDate]]),9,15)),1,0)</f>
        <v>1</v>
      </c>
      <c r="AN1507" s="4">
        <f>IF(vp.data[[#This Row],[SDate]]&lt;DATE(2016,12,1),0,1)</f>
        <v>1</v>
      </c>
      <c r="AO1507" s="4">
        <f>IFERROR(vp.data[[#This Row],[Sulf]]*vp.data[[#This Row],[Net Dens]],"")</f>
        <v>4721744.12787</v>
      </c>
      <c r="AP1507">
        <f>IFERROR(vp.data[[#This Row],[Dens]]*vp.data[[#This Row],[VolumeM3]],"")</f>
        <v>3256375.2606000002</v>
      </c>
      <c r="AQ1507" s="15">
        <f>IFERROR(vp.data[[#This Row],[VP]]*vp.data[[#This Row],[VolumeM3]],"")</f>
        <v>253892.05379999999</v>
      </c>
    </row>
    <row r="1508" spans="1:43" x14ac:dyDescent="0.25">
      <c r="A1508">
        <v>1507</v>
      </c>
      <c r="B1508" t="s">
        <v>49</v>
      </c>
      <c r="C1508" t="s">
        <v>49</v>
      </c>
      <c r="D1508" t="s">
        <v>101</v>
      </c>
      <c r="F1508" s="1">
        <v>42874</v>
      </c>
      <c r="G1508" s="2">
        <v>69.2</v>
      </c>
      <c r="H1508" s="2"/>
      <c r="I1508" s="2">
        <f t="array" ref="I1508">_xlfn.IFNA(IF(vp.data[[#This Row],[Sulf Input]]="",INDEX([1]DATA!$Q$3:$Q$9826,MATCH(1,(vp.data[[#This Row],[Battery]]=[1]DATA!$L$3:$L$9826)*(EOMONTH(vp.data[[#This Row],[SDate]],-1)+1=[1]DATA!$G$3:$G$9826),0)),vp.data[[#This Row],[Sulf Input]]),"")</f>
        <v>0.23</v>
      </c>
      <c r="J1508" s="2"/>
      <c r="K1508" s="2"/>
      <c r="L1508" s="2"/>
      <c r="M1508" s="2">
        <f t="array" ref="M1508">_xlfn.IFNA(IF(vp.data[[#This Row],[Dens Input]]="",INDEX([1]DATA!$O$3:$O$9826,MATCH(1,(vp.data[[#This Row],[Battery]]=[1]DATA!$L$3:$L$9826)*(EOMONTH(vp.data[[#This Row],[SDate]],-1)+1=[1]DATA!$G$3:$G$9826),0)),vp.data[[#This Row],[Dens Input]]),"")</f>
        <v>815</v>
      </c>
      <c r="N1508" s="2">
        <f ca="1">INDEX(INDIRECT(_xlfn.CONCAT("weather.tbl[",N$1,"]")),MATCH(vp.data[[#This Row],[SDate]],weather.tbl[Date],0))</f>
        <v>7.8000000000000007</v>
      </c>
      <c r="O1508" s="2">
        <f ca="1">INDEX(INDIRECT(_xlfn.CONCAT("weather.tbl[",O$1,"]")),MATCH(vp.data[[#This Row],[SDate]],weather.tbl[Date],0))</f>
        <v>10.078571428571427</v>
      </c>
      <c r="P1508" s="2">
        <f ca="1">INDEX(INDIRECT(_xlfn.CONCAT("weather.tbl[",P$1,"]")),MATCH(vp.data[[#This Row],[SDate]],weather.tbl[Date],0))</f>
        <v>8.5</v>
      </c>
      <c r="Q1508" s="2">
        <f ca="1">INDEX(INDIRECT(_xlfn.CONCAT("weather.tbl[",Q$1,"]")),MATCH(vp.data[[#This Row],[SDate]],weather.tbl[Date],0))</f>
        <v>7.8</v>
      </c>
      <c r="R1508" s="2">
        <f ca="1">INDEX(INDIRECT(_xlfn.CONCAT("weather.tbl[",R$1,"]")),MATCH(vp.data[[#This Row],[SDate]],weather.tbl[Date],0))</f>
        <v>6.3</v>
      </c>
      <c r="S1508" s="2">
        <f ca="1">INDEX(INDIRECT(_xlfn.CONCAT("weather.tbl[",S$1,"]")),MATCH(vp.data[[#This Row],[SDate]],weather.tbl[Date],0))</f>
        <v>8</v>
      </c>
      <c r="T1508" s="2">
        <f ca="1">INDEX(INDIRECT(_xlfn.CONCAT("weather.tbl[",T$1,"]")),MATCH(vp.data[[#This Row],[SDate]],weather.tbl[Date],0))</f>
        <v>7.7</v>
      </c>
      <c r="U1508" s="2">
        <f ca="1">INDEX(INDIRECT(_xlfn.CONCAT("weather.tbl[",U$1,"]")),MATCH(vp.data[[#This Row],[SDate]],weather.tbl[Date],0))</f>
        <v>8.5</v>
      </c>
      <c r="V1508" s="2">
        <f t="array" ref="V15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410.363</v>
      </c>
      <c r="W1508" t="s">
        <v>48</v>
      </c>
      <c r="X1508">
        <f>IF(OR(vp.data[[#This Row],[Sulf]]="",vp.data[[#This Row],[Dens]]=""),1,0)</f>
        <v>0</v>
      </c>
      <c r="Y1508">
        <f>IF(vp.data[[#This Row],[CrudeType]]="C5+",1,0)</f>
        <v>0</v>
      </c>
      <c r="Z1508">
        <f>IF(AND(vp.data[[#This Row],[CrudeType]]="Crude",vp.data[[#This Row],[Dens]]&lt;=825,vp.data[[#This Row],[Sulf]]&gt;0.5,vp.data[[#This Row],[Unknown]]=0),1,0)</f>
        <v>0</v>
      </c>
      <c r="AA1508">
        <f>IF(AND(vp.data[[#This Row],[CrudeType]]="Crude",vp.data[[#This Row],[Dens]]&lt;=825,vp.data[[#This Row],[Sulf]]&lt;=0.5,vp.data[[#This Row],[Unknown]]=0),1,0)</f>
        <v>1</v>
      </c>
      <c r="AB15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8">
        <f>IF(AND(vp.data[[#This Row],[CrudeType]]="Crude",vp.data[[#This Row],[Dens]]&gt;825,vp.data[[#This Row],[Dens]]&lt;=900,vp.data[[#This Row],[Sulf]]&lt;=0.5,vp.data[[#This Row],[Unknown]]=0),1,0)</f>
        <v>0</v>
      </c>
      <c r="AD1508">
        <f>IF(AND(vp.data[[#This Row],[CrudeType]]="Crude",vp.data[[#This Row],[Dens]]&gt;865,vp.data[[#This Row],[Dens]]&lt;=900,vp.data[[#This Row],[Sulf]]&gt;2,vp.data[[#This Row],[Unknown]]=0),1,0)</f>
        <v>0</v>
      </c>
      <c r="AE1508">
        <f>IF(AND(vp.data[[#This Row],[CrudeType]]="Crude",vp.data[[#This Row],[Dens]]&gt;900,vp.data[[#This Row],[Sulf]]&lt;=0.5,vp.data[[#This Row],[Unknown]]=0),1,0)</f>
        <v>0</v>
      </c>
      <c r="AF1508">
        <f>IF(AND(vp.data[[#This Row],[CrudeType]]="Crude",vp.data[[#This Row],[Dens]]&gt;900,vp.data[[#This Row],[Sulf]]&lt;=0.5,vp.data[[#This Row],[Unknown]]=0),1,0)</f>
        <v>0</v>
      </c>
      <c r="AG1508" t="str">
        <f>INDEX(vp.data[[#Headers],[Unknown]:[Heavy_SW]],MATCH(1,vp.data[[#This Row],[Unknown]:[Heavy_SW]],0))</f>
        <v>Light_SW</v>
      </c>
      <c r="AH1508">
        <f>INDEX([3]!crudeBD.lkup[Number],MATCH(vp.data[[#This Row],[Crude_Breakdown]],crudeBD.lkup[Crude Breakdown],0))</f>
        <v>2</v>
      </c>
      <c r="AI1508">
        <f>MONTH(vp.data[[#This Row],[SDate]])</f>
        <v>5</v>
      </c>
      <c r="AJ1508" s="5">
        <f>(vp.data[[#This Row],[VP]]-INDEX(crudeBD.lkup[Mean_VP],MATCH(vp.data[[#This Row],[Crude_Breakdown]],crudeBD.lkup[Crude Breakdown],0)))^2</f>
        <v>545.23714469763956</v>
      </c>
      <c r="AK1508" s="5">
        <f>(vp.data[[#This Row],[Dens]]-INDEX(crudeBD.lkup[Mean_Dens],MATCH(vp.data[[#This Row],[Crude_Breakdown]],crudeBD.lkup[Crude Breakdown],0)))^2</f>
        <v>44.736055554884004</v>
      </c>
      <c r="AL1508" s="5">
        <f>(vp.data[[#This Row],[Sulf]]-INDEX(crudeBD.lkup[Mean_Sulf],MATCH(vp.data[[#This Row],[Crude_Breakdown]],crudeBD.lkup[Crude Breakdown],0)))^2</f>
        <v>3.8960215129476285E-5</v>
      </c>
      <c r="AM1508" s="4">
        <f>IF(AND(vp.data[[#This Row],[SDate]]&gt;=DATE(YEAR(vp.data[[#This Row],[SDate]]),5,1),vp.data[[#This Row],[SDate]]&lt;=DATE(YEAR(vp.data[[#This Row],[SDate]]),9,15)),1,0)</f>
        <v>1</v>
      </c>
      <c r="AN1508" s="4">
        <f>IF(vp.data[[#This Row],[SDate]]&lt;DATE(2016,12,1),0,1)</f>
        <v>1</v>
      </c>
      <c r="AO1508" s="4">
        <f>IFERROR(vp.data[[#This Row],[Sulf]]*vp.data[[#This Row],[Net Dens]],"")</f>
        <v>76922.544349999996</v>
      </c>
      <c r="AP1508">
        <f>IFERROR(vp.data[[#This Row],[Dens]]*vp.data[[#This Row],[VolumeM3]],"")</f>
        <v>334445.84499999997</v>
      </c>
      <c r="AQ1508" s="15">
        <f>IFERROR(vp.data[[#This Row],[VP]]*vp.data[[#This Row],[VolumeM3]],"")</f>
        <v>28397.119600000002</v>
      </c>
    </row>
    <row r="1509" spans="1:43" x14ac:dyDescent="0.25">
      <c r="A1509">
        <v>1508</v>
      </c>
      <c r="B1509" t="s">
        <v>51</v>
      </c>
      <c r="C1509" t="s">
        <v>51</v>
      </c>
      <c r="D1509" t="s">
        <v>317</v>
      </c>
      <c r="F1509" s="1">
        <v>42874</v>
      </c>
      <c r="G1509" s="2">
        <v>44.9</v>
      </c>
      <c r="H1509" s="2"/>
      <c r="I1509" s="2">
        <f t="array" ref="I1509">_xlfn.IFNA(IF(vp.data[[#This Row],[Sulf Input]]="",INDEX([1]DATA!$Q$3:$Q$9826,MATCH(1,(vp.data[[#This Row],[Battery]]=[1]DATA!$L$3:$L$9826)*(EOMONTH(vp.data[[#This Row],[SDate]],-1)+1=[1]DATA!$G$3:$G$9826),0)),vp.data[[#This Row],[Sulf Input]]),"")</f>
        <v>2.5299999999999998</v>
      </c>
      <c r="J1509" s="2"/>
      <c r="K1509" s="2"/>
      <c r="L1509" s="2"/>
      <c r="M1509" s="2">
        <f t="array" ref="M1509">_xlfn.IFNA(IF(vp.data[[#This Row],[Dens Input]]="",INDEX([1]DATA!$O$3:$O$9826,MATCH(1,(vp.data[[#This Row],[Battery]]=[1]DATA!$L$3:$L$9826)*(EOMONTH(vp.data[[#This Row],[SDate]],-1)+1=[1]DATA!$G$3:$G$9826),0)),vp.data[[#This Row],[Dens Input]]),"")</f>
        <v>890.2</v>
      </c>
      <c r="N1509" s="2">
        <f ca="1">INDEX(INDIRECT(_xlfn.CONCAT("weather.tbl[",N$1,"]")),MATCH(vp.data[[#This Row],[SDate]],weather.tbl[Date],0))</f>
        <v>7.8000000000000007</v>
      </c>
      <c r="O1509" s="2">
        <f ca="1">INDEX(INDIRECT(_xlfn.CONCAT("weather.tbl[",O$1,"]")),MATCH(vp.data[[#This Row],[SDate]],weather.tbl[Date],0))</f>
        <v>10.078571428571427</v>
      </c>
      <c r="P1509" s="2">
        <f ca="1">INDEX(INDIRECT(_xlfn.CONCAT("weather.tbl[",P$1,"]")),MATCH(vp.data[[#This Row],[SDate]],weather.tbl[Date],0))</f>
        <v>8.5</v>
      </c>
      <c r="Q1509" s="2">
        <f ca="1">INDEX(INDIRECT(_xlfn.CONCAT("weather.tbl[",Q$1,"]")),MATCH(vp.data[[#This Row],[SDate]],weather.tbl[Date],0))</f>
        <v>7.8</v>
      </c>
      <c r="R1509" s="2">
        <f ca="1">INDEX(INDIRECT(_xlfn.CONCAT("weather.tbl[",R$1,"]")),MATCH(vp.data[[#This Row],[SDate]],weather.tbl[Date],0))</f>
        <v>6.3</v>
      </c>
      <c r="S1509" s="2">
        <f ca="1">INDEX(INDIRECT(_xlfn.CONCAT("weather.tbl[",S$1,"]")),MATCH(vp.data[[#This Row],[SDate]],weather.tbl[Date],0))</f>
        <v>8</v>
      </c>
      <c r="T1509" s="2">
        <f ca="1">INDEX(INDIRECT(_xlfn.CONCAT("weather.tbl[",T$1,"]")),MATCH(vp.data[[#This Row],[SDate]],weather.tbl[Date],0))</f>
        <v>7.7</v>
      </c>
      <c r="U1509" s="2">
        <f ca="1">INDEX(INDIRECT(_xlfn.CONCAT("weather.tbl[",U$1,"]")),MATCH(vp.data[[#This Row],[SDate]],weather.tbl[Date],0))</f>
        <v>8.5</v>
      </c>
      <c r="V1509" s="2">
        <f t="array" ref="V15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231.809</v>
      </c>
      <c r="W1509" t="s">
        <v>48</v>
      </c>
      <c r="X1509">
        <f>IF(OR(vp.data[[#This Row],[Sulf]]="",vp.data[[#This Row],[Dens]]=""),1,0)</f>
        <v>0</v>
      </c>
      <c r="Y1509">
        <f>IF(vp.data[[#This Row],[CrudeType]]="C5+",1,0)</f>
        <v>0</v>
      </c>
      <c r="Z1509">
        <f>IF(AND(vp.data[[#This Row],[CrudeType]]="Crude",vp.data[[#This Row],[Dens]]&lt;=825,vp.data[[#This Row],[Sulf]]&gt;0.5,vp.data[[#This Row],[Unknown]]=0),1,0)</f>
        <v>0</v>
      </c>
      <c r="AA1509">
        <f>IF(AND(vp.data[[#This Row],[CrudeType]]="Crude",vp.data[[#This Row],[Dens]]&lt;=825,vp.data[[#This Row],[Sulf]]&lt;=0.5,vp.data[[#This Row],[Unknown]]=0),1,0)</f>
        <v>0</v>
      </c>
      <c r="AB15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09">
        <f>IF(AND(vp.data[[#This Row],[CrudeType]]="Crude",vp.data[[#This Row],[Dens]]&gt;825,vp.data[[#This Row],[Dens]]&lt;=900,vp.data[[#This Row],[Sulf]]&lt;=0.5,vp.data[[#This Row],[Unknown]]=0),1,0)</f>
        <v>0</v>
      </c>
      <c r="AD1509">
        <f>IF(AND(vp.data[[#This Row],[CrudeType]]="Crude",vp.data[[#This Row],[Dens]]&gt;865,vp.data[[#This Row],[Dens]]&lt;=900,vp.data[[#This Row],[Sulf]]&gt;2,vp.data[[#This Row],[Unknown]]=0),1,0)</f>
        <v>1</v>
      </c>
      <c r="AE1509">
        <f>IF(AND(vp.data[[#This Row],[CrudeType]]="Crude",vp.data[[#This Row],[Dens]]&gt;900,vp.data[[#This Row],[Sulf]]&lt;=0.5,vp.data[[#This Row],[Unknown]]=0),1,0)</f>
        <v>0</v>
      </c>
      <c r="AF1509">
        <f>IF(AND(vp.data[[#This Row],[CrudeType]]="Crude",vp.data[[#This Row],[Dens]]&gt;900,vp.data[[#This Row],[Sulf]]&lt;=0.5,vp.data[[#This Row],[Unknown]]=0),1,0)</f>
        <v>0</v>
      </c>
      <c r="AG1509" t="str">
        <f>INDEX(vp.data[[#Headers],[Unknown]:[Heavy_SW]],MATCH(1,vp.data[[#This Row],[Unknown]:[Heavy_SW]],0))</f>
        <v>Midale</v>
      </c>
      <c r="AH1509">
        <f>INDEX([3]!crudeBD.lkup[Number],MATCH(vp.data[[#This Row],[Crude_Breakdown]],crudeBD.lkup[Crude Breakdown],0))</f>
        <v>5</v>
      </c>
      <c r="AI1509">
        <f>MONTH(vp.data[[#This Row],[SDate]])</f>
        <v>5</v>
      </c>
      <c r="AJ1509" s="5">
        <f>(vp.data[[#This Row],[VP]]-INDEX(crudeBD.lkup[Mean_VP],MATCH(vp.data[[#This Row],[Crude_Breakdown]],crudeBD.lkup[Crude Breakdown],0)))^2</f>
        <v>600.67945823148216</v>
      </c>
      <c r="AK1509" s="5">
        <f>(vp.data[[#This Row],[Dens]]-INDEX(crudeBD.lkup[Mean_Dens],MATCH(vp.data[[#This Row],[Crude_Breakdown]],crudeBD.lkup[Crude Breakdown],0)))^2</f>
        <v>236.6363718248405</v>
      </c>
      <c r="AL1509" s="5">
        <f>(vp.data[[#This Row],[Sulf]]-INDEX(crudeBD.lkup[Mean_Sulf],MATCH(vp.data[[#This Row],[Crude_Breakdown]],crudeBD.lkup[Crude Breakdown],0)))^2</f>
        <v>7.4622702629505693E-3</v>
      </c>
      <c r="AM1509" s="4">
        <f>IF(AND(vp.data[[#This Row],[SDate]]&gt;=DATE(YEAR(vp.data[[#This Row],[SDate]]),5,1),vp.data[[#This Row],[SDate]]&lt;=DATE(YEAR(vp.data[[#This Row],[SDate]]),9,15)),1,0)</f>
        <v>1</v>
      </c>
      <c r="AN1509" s="4">
        <f>IF(vp.data[[#This Row],[SDate]]&lt;DATE(2016,12,1),0,1)</f>
        <v>1</v>
      </c>
      <c r="AO1509" s="4">
        <f>IFERROR(vp.data[[#This Row],[Sulf]]*vp.data[[#This Row],[Net Dens]],"")</f>
        <v>522081.62065400003</v>
      </c>
      <c r="AP1509">
        <f>IFERROR(vp.data[[#This Row],[Dens]]*vp.data[[#This Row],[VolumeM3]],"")</f>
        <v>206356.37180000002</v>
      </c>
      <c r="AQ1509" s="15">
        <f>IFERROR(vp.data[[#This Row],[VP]]*vp.data[[#This Row],[VolumeM3]],"")</f>
        <v>10408.224099999999</v>
      </c>
    </row>
    <row r="1510" spans="1:43" x14ac:dyDescent="0.25">
      <c r="A1510">
        <v>1509</v>
      </c>
      <c r="B1510" t="s">
        <v>49</v>
      </c>
      <c r="C1510" t="s">
        <v>49</v>
      </c>
      <c r="D1510" t="s">
        <v>318</v>
      </c>
      <c r="F1510" s="1">
        <v>42874</v>
      </c>
      <c r="G1510" s="2">
        <v>54.3</v>
      </c>
      <c r="H1510" s="2"/>
      <c r="I1510" s="2">
        <f t="array" ref="I1510">_xlfn.IFNA(IF(vp.data[[#This Row],[Sulf Input]]="",INDEX([1]DATA!$Q$3:$Q$9826,MATCH(1,(vp.data[[#This Row],[Battery]]=[1]DATA!$L$3:$L$9826)*(EOMONTH(vp.data[[#This Row],[SDate]],-1)+1=[1]DATA!$G$3:$G$9826),0)),vp.data[[#This Row],[Sulf Input]]),"")</f>
        <v>1.25</v>
      </c>
      <c r="J1510" s="2"/>
      <c r="K1510" s="2"/>
      <c r="L1510" s="2"/>
      <c r="M1510" s="2">
        <f t="array" ref="M1510">_xlfn.IFNA(IF(vp.data[[#This Row],[Dens Input]]="",INDEX([1]DATA!$O$3:$O$9826,MATCH(1,(vp.data[[#This Row],[Battery]]=[1]DATA!$L$3:$L$9826)*(EOMONTH(vp.data[[#This Row],[SDate]],-1)+1=[1]DATA!$G$3:$G$9826),0)),vp.data[[#This Row],[Dens Input]]),"")</f>
        <v>863.9</v>
      </c>
      <c r="N1510" s="2">
        <f ca="1">INDEX(INDIRECT(_xlfn.CONCAT("weather.tbl[",N$1,"]")),MATCH(vp.data[[#This Row],[SDate]],weather.tbl[Date],0))</f>
        <v>7.8000000000000007</v>
      </c>
      <c r="O1510" s="2">
        <f ca="1">INDEX(INDIRECT(_xlfn.CONCAT("weather.tbl[",O$1,"]")),MATCH(vp.data[[#This Row],[SDate]],weather.tbl[Date],0))</f>
        <v>10.078571428571427</v>
      </c>
      <c r="P1510" s="2">
        <f ca="1">INDEX(INDIRECT(_xlfn.CONCAT("weather.tbl[",P$1,"]")),MATCH(vp.data[[#This Row],[SDate]],weather.tbl[Date],0))</f>
        <v>8.5</v>
      </c>
      <c r="Q1510" s="2">
        <f ca="1">INDEX(INDIRECT(_xlfn.CONCAT("weather.tbl[",Q$1,"]")),MATCH(vp.data[[#This Row],[SDate]],weather.tbl[Date],0))</f>
        <v>7.8</v>
      </c>
      <c r="R1510" s="2">
        <f ca="1">INDEX(INDIRECT(_xlfn.CONCAT("weather.tbl[",R$1,"]")),MATCH(vp.data[[#This Row],[SDate]],weather.tbl[Date],0))</f>
        <v>6.3</v>
      </c>
      <c r="S1510" s="2">
        <f ca="1">INDEX(INDIRECT(_xlfn.CONCAT("weather.tbl[",S$1,"]")),MATCH(vp.data[[#This Row],[SDate]],weather.tbl[Date],0))</f>
        <v>8</v>
      </c>
      <c r="T1510" s="2">
        <f ca="1">INDEX(INDIRECT(_xlfn.CONCAT("weather.tbl[",T$1,"]")),MATCH(vp.data[[#This Row],[SDate]],weather.tbl[Date],0))</f>
        <v>7.7</v>
      </c>
      <c r="U1510" s="2">
        <f ca="1">INDEX(INDIRECT(_xlfn.CONCAT("weather.tbl[",U$1,"]")),MATCH(vp.data[[#This Row],[SDate]],weather.tbl[Date],0))</f>
        <v>8.5</v>
      </c>
      <c r="V1510" s="2">
        <f t="array" ref="V15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296.60599999999999</v>
      </c>
      <c r="W1510" t="s">
        <v>48</v>
      </c>
      <c r="X1510">
        <f>IF(OR(vp.data[[#This Row],[Sulf]]="",vp.data[[#This Row],[Dens]]=""),1,0)</f>
        <v>0</v>
      </c>
      <c r="Y1510">
        <f>IF(vp.data[[#This Row],[CrudeType]]="C5+",1,0)</f>
        <v>0</v>
      </c>
      <c r="Z1510">
        <f>IF(AND(vp.data[[#This Row],[CrudeType]]="Crude",vp.data[[#This Row],[Dens]]&lt;=825,vp.data[[#This Row],[Sulf]]&gt;0.5,vp.data[[#This Row],[Unknown]]=0),1,0)</f>
        <v>0</v>
      </c>
      <c r="AA1510">
        <f>IF(AND(vp.data[[#This Row],[CrudeType]]="Crude",vp.data[[#This Row],[Dens]]&lt;=825,vp.data[[#This Row],[Sulf]]&lt;=0.5,vp.data[[#This Row],[Unknown]]=0),1,0)</f>
        <v>0</v>
      </c>
      <c r="AB15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0">
        <f>IF(AND(vp.data[[#This Row],[CrudeType]]="Crude",vp.data[[#This Row],[Dens]]&gt;825,vp.data[[#This Row],[Dens]]&lt;=900,vp.data[[#This Row],[Sulf]]&lt;=0.5,vp.data[[#This Row],[Unknown]]=0),1,0)</f>
        <v>0</v>
      </c>
      <c r="AD1510">
        <f>IF(AND(vp.data[[#This Row],[CrudeType]]="Crude",vp.data[[#This Row],[Dens]]&gt;865,vp.data[[#This Row],[Dens]]&lt;=900,vp.data[[#This Row],[Sulf]]&gt;2,vp.data[[#This Row],[Unknown]]=0),1,0)</f>
        <v>0</v>
      </c>
      <c r="AE1510">
        <f>IF(AND(vp.data[[#This Row],[CrudeType]]="Crude",vp.data[[#This Row],[Dens]]&gt;900,vp.data[[#This Row],[Sulf]]&lt;=0.5,vp.data[[#This Row],[Unknown]]=0),1,0)</f>
        <v>0</v>
      </c>
      <c r="AF1510">
        <f>IF(AND(vp.data[[#This Row],[CrudeType]]="Crude",vp.data[[#This Row],[Dens]]&gt;900,vp.data[[#This Row],[Sulf]]&lt;=0.5,vp.data[[#This Row],[Unknown]]=0),1,0)</f>
        <v>0</v>
      </c>
      <c r="AG1510" t="str">
        <f>INDEX(vp.data[[#Headers],[Unknown]:[Heavy_SW]],MATCH(1,vp.data[[#This Row],[Unknown]:[Heavy_SW]],0))</f>
        <v>Medium_LSB</v>
      </c>
      <c r="AH1510">
        <f>INDEX([3]!crudeBD.lkup[Number],MATCH(vp.data[[#This Row],[Crude_Breakdown]],crudeBD.lkup[Crude Breakdown],0))</f>
        <v>3</v>
      </c>
      <c r="AI1510">
        <f>MONTH(vp.data[[#This Row],[SDate]])</f>
        <v>5</v>
      </c>
      <c r="AJ1510" s="5">
        <f>(vp.data[[#This Row],[VP]]-INDEX(crudeBD.lkup[Mean_VP],MATCH(vp.data[[#This Row],[Crude_Breakdown]],crudeBD.lkup[Crude Breakdown],0)))^2</f>
        <v>693.77856075151669</v>
      </c>
      <c r="AK1510" s="5">
        <f>(vp.data[[#This Row],[Dens]]-INDEX(crudeBD.lkup[Mean_Dens],MATCH(vp.data[[#This Row],[Crude_Breakdown]],crudeBD.lkup[Crude Breakdown],0)))^2</f>
        <v>399.20040000001887</v>
      </c>
      <c r="AL1510" s="5">
        <f>(vp.data[[#This Row],[Sulf]]-INDEX(crudeBD.lkup[Mean_Sulf],MATCH(vp.data[[#This Row],[Crude_Breakdown]],crudeBD.lkup[Crude Breakdown],0)))^2</f>
        <v>1.8335360772242876E-2</v>
      </c>
      <c r="AM1510" s="4">
        <f>IF(AND(vp.data[[#This Row],[SDate]]&gt;=DATE(YEAR(vp.data[[#This Row],[SDate]]),5,1),vp.data[[#This Row],[SDate]]&lt;=DATE(YEAR(vp.data[[#This Row],[SDate]]),9,15)),1,0)</f>
        <v>1</v>
      </c>
      <c r="AN1510" s="4">
        <f>IF(vp.data[[#This Row],[SDate]]&lt;DATE(2016,12,1),0,1)</f>
        <v>1</v>
      </c>
      <c r="AO1510" s="4">
        <f>IFERROR(vp.data[[#This Row],[Sulf]]*vp.data[[#This Row],[Net Dens]],"")</f>
        <v>320297.40425000002</v>
      </c>
      <c r="AP1510">
        <f>IFERROR(vp.data[[#This Row],[Dens]]*vp.data[[#This Row],[VolumeM3]],"")</f>
        <v>256237.9234</v>
      </c>
      <c r="AQ1510" s="15">
        <f>IFERROR(vp.data[[#This Row],[VP]]*vp.data[[#This Row],[VolumeM3]],"")</f>
        <v>16105.7058</v>
      </c>
    </row>
    <row r="1511" spans="1:43" x14ac:dyDescent="0.25">
      <c r="A1511">
        <v>1510</v>
      </c>
      <c r="B1511" t="s">
        <v>49</v>
      </c>
      <c r="C1511" t="s">
        <v>49</v>
      </c>
      <c r="D1511" t="s">
        <v>319</v>
      </c>
      <c r="F1511" s="1">
        <v>42874</v>
      </c>
      <c r="G1511" s="2">
        <v>51.8</v>
      </c>
      <c r="H1511" s="2"/>
      <c r="I1511" s="2">
        <f t="array" ref="I1511">_xlfn.IFNA(IF(vp.data[[#This Row],[Sulf Input]]="",INDEX([1]DATA!$Q$3:$Q$9826,MATCH(1,(vp.data[[#This Row],[Battery]]=[1]DATA!$L$3:$L$9826)*(EOMONTH(vp.data[[#This Row],[SDate]],-1)+1=[1]DATA!$G$3:$G$9826),0)),vp.data[[#This Row],[Sulf Input]]),"")</f>
        <v>1.87</v>
      </c>
      <c r="J1511" s="2"/>
      <c r="K1511" s="2"/>
      <c r="L1511" s="2"/>
      <c r="M1511" s="2">
        <f t="array" ref="M1511">_xlfn.IFNA(IF(vp.data[[#This Row],[Dens Input]]="",INDEX([1]DATA!$O$3:$O$9826,MATCH(1,(vp.data[[#This Row],[Battery]]=[1]DATA!$L$3:$L$9826)*(EOMONTH(vp.data[[#This Row],[SDate]],-1)+1=[1]DATA!$G$3:$G$9826),0)),vp.data[[#This Row],[Dens Input]]),"")</f>
        <v>872.9</v>
      </c>
      <c r="N1511" s="2">
        <f ca="1">INDEX(INDIRECT(_xlfn.CONCAT("weather.tbl[",N$1,"]")),MATCH(vp.data[[#This Row],[SDate]],weather.tbl[Date],0))</f>
        <v>7.8000000000000007</v>
      </c>
      <c r="O1511" s="2">
        <f ca="1">INDEX(INDIRECT(_xlfn.CONCAT("weather.tbl[",O$1,"]")),MATCH(vp.data[[#This Row],[SDate]],weather.tbl[Date],0))</f>
        <v>10.078571428571427</v>
      </c>
      <c r="P1511" s="2">
        <f ca="1">INDEX(INDIRECT(_xlfn.CONCAT("weather.tbl[",P$1,"]")),MATCH(vp.data[[#This Row],[SDate]],weather.tbl[Date],0))</f>
        <v>8.5</v>
      </c>
      <c r="Q1511" s="2">
        <f ca="1">INDEX(INDIRECT(_xlfn.CONCAT("weather.tbl[",Q$1,"]")),MATCH(vp.data[[#This Row],[SDate]],weather.tbl[Date],0))</f>
        <v>7.8</v>
      </c>
      <c r="R1511" s="2">
        <f ca="1">INDEX(INDIRECT(_xlfn.CONCAT("weather.tbl[",R$1,"]")),MATCH(vp.data[[#This Row],[SDate]],weather.tbl[Date],0))</f>
        <v>6.3</v>
      </c>
      <c r="S1511" s="2">
        <f ca="1">INDEX(INDIRECT(_xlfn.CONCAT("weather.tbl[",S$1,"]")),MATCH(vp.data[[#This Row],[SDate]],weather.tbl[Date],0))</f>
        <v>8</v>
      </c>
      <c r="T1511" s="2">
        <f ca="1">INDEX(INDIRECT(_xlfn.CONCAT("weather.tbl[",T$1,"]")),MATCH(vp.data[[#This Row],[SDate]],weather.tbl[Date],0))</f>
        <v>7.7</v>
      </c>
      <c r="U1511" s="2">
        <f ca="1">INDEX(INDIRECT(_xlfn.CONCAT("weather.tbl[",U$1,"]")),MATCH(vp.data[[#This Row],[SDate]],weather.tbl[Date],0))</f>
        <v>8.5</v>
      </c>
      <c r="V1511" s="2">
        <f t="array" ref="V15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1699.62</v>
      </c>
      <c r="W1511" t="s">
        <v>48</v>
      </c>
      <c r="X1511">
        <f>IF(OR(vp.data[[#This Row],[Sulf]]="",vp.data[[#This Row],[Dens]]=""),1,0)</f>
        <v>0</v>
      </c>
      <c r="Y1511">
        <f>IF(vp.data[[#This Row],[CrudeType]]="C5+",1,0)</f>
        <v>0</v>
      </c>
      <c r="Z1511">
        <f>IF(AND(vp.data[[#This Row],[CrudeType]]="Crude",vp.data[[#This Row],[Dens]]&lt;=825,vp.data[[#This Row],[Sulf]]&gt;0.5,vp.data[[#This Row],[Unknown]]=0),1,0)</f>
        <v>0</v>
      </c>
      <c r="AA1511">
        <f>IF(AND(vp.data[[#This Row],[CrudeType]]="Crude",vp.data[[#This Row],[Dens]]&lt;=825,vp.data[[#This Row],[Sulf]]&lt;=0.5,vp.data[[#This Row],[Unknown]]=0),1,0)</f>
        <v>0</v>
      </c>
      <c r="AB15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1">
        <f>IF(AND(vp.data[[#This Row],[CrudeType]]="Crude",vp.data[[#This Row],[Dens]]&gt;825,vp.data[[#This Row],[Dens]]&lt;=900,vp.data[[#This Row],[Sulf]]&lt;=0.5,vp.data[[#This Row],[Unknown]]=0),1,0)</f>
        <v>0</v>
      </c>
      <c r="AD1511">
        <f>IF(AND(vp.data[[#This Row],[CrudeType]]="Crude",vp.data[[#This Row],[Dens]]&gt;865,vp.data[[#This Row],[Dens]]&lt;=900,vp.data[[#This Row],[Sulf]]&gt;2,vp.data[[#This Row],[Unknown]]=0),1,0)</f>
        <v>0</v>
      </c>
      <c r="AE1511">
        <f>IF(AND(vp.data[[#This Row],[CrudeType]]="Crude",vp.data[[#This Row],[Dens]]&gt;900,vp.data[[#This Row],[Sulf]]&lt;=0.5,vp.data[[#This Row],[Unknown]]=0),1,0)</f>
        <v>0</v>
      </c>
      <c r="AF1511">
        <f>IF(AND(vp.data[[#This Row],[CrudeType]]="Crude",vp.data[[#This Row],[Dens]]&gt;900,vp.data[[#This Row],[Sulf]]&lt;=0.5,vp.data[[#This Row],[Unknown]]=0),1,0)</f>
        <v>0</v>
      </c>
      <c r="AG1511" t="str">
        <f>INDEX(vp.data[[#Headers],[Unknown]:[Heavy_SW]],MATCH(1,vp.data[[#This Row],[Unknown]:[Heavy_SW]],0))</f>
        <v>Medium_LSB</v>
      </c>
      <c r="AH1511">
        <f>INDEX([3]!crudeBD.lkup[Number],MATCH(vp.data[[#This Row],[Crude_Breakdown]],crudeBD.lkup[Crude Breakdown],0))</f>
        <v>3</v>
      </c>
      <c r="AI1511">
        <f>MONTH(vp.data[[#This Row],[SDate]])</f>
        <v>5</v>
      </c>
      <c r="AJ1511" s="5">
        <f>(vp.data[[#This Row],[VP]]-INDEX(crudeBD.lkup[Mean_VP],MATCH(vp.data[[#This Row],[Crude_Breakdown]],crudeBD.lkup[Crude Breakdown],0)))^2</f>
        <v>831.72694350084248</v>
      </c>
      <c r="AK1511" s="5">
        <f>(vp.data[[#This Row],[Dens]]-INDEX(crudeBD.lkup[Mean_Dens],MATCH(vp.data[[#This Row],[Crude_Breakdown]],crudeBD.lkup[Crude Breakdown],0)))^2</f>
        <v>839.84040000002744</v>
      </c>
      <c r="AL1511" s="5">
        <f>(vp.data[[#This Row],[Sulf]]-INDEX(crudeBD.lkup[Mean_Sulf],MATCH(vp.data[[#This Row],[Crude_Breakdown]],crudeBD.lkup[Crude Breakdown],0)))^2</f>
        <v>0.23482928368329231</v>
      </c>
      <c r="AM1511" s="4">
        <f>IF(AND(vp.data[[#This Row],[SDate]]&gt;=DATE(YEAR(vp.data[[#This Row],[SDate]]),5,1),vp.data[[#This Row],[SDate]]&lt;=DATE(YEAR(vp.data[[#This Row],[SDate]]),9,15)),1,0)</f>
        <v>1</v>
      </c>
      <c r="AN1511" s="4">
        <f>IF(vp.data[[#This Row],[SDate]]&lt;DATE(2016,12,1),0,1)</f>
        <v>1</v>
      </c>
      <c r="AO1511" s="4">
        <f>IFERROR(vp.data[[#This Row],[Sulf]]*vp.data[[#This Row],[Net Dens]],"")</f>
        <v>2774328.8172599999</v>
      </c>
      <c r="AP1511">
        <f>IFERROR(vp.data[[#This Row],[Dens]]*vp.data[[#This Row],[VolumeM3]],"")</f>
        <v>1483598.298</v>
      </c>
      <c r="AQ1511" s="15">
        <f>IFERROR(vp.data[[#This Row],[VP]]*vp.data[[#This Row],[VolumeM3]],"")</f>
        <v>88040.315999999992</v>
      </c>
    </row>
    <row r="1512" spans="1:43" x14ac:dyDescent="0.25">
      <c r="A1512">
        <v>1511</v>
      </c>
      <c r="B1512" t="s">
        <v>111</v>
      </c>
      <c r="C1512" t="s">
        <v>111</v>
      </c>
      <c r="D1512" t="s">
        <v>262</v>
      </c>
      <c r="F1512" s="1">
        <v>42874</v>
      </c>
      <c r="G1512" s="2">
        <v>59.7</v>
      </c>
      <c r="H1512" s="2"/>
      <c r="I1512" s="2">
        <f t="array" ref="I1512">_xlfn.IFNA(IF(vp.data[[#This Row],[Sulf Input]]="",INDEX([1]DATA!$Q$3:$Q$9826,MATCH(1,(vp.data[[#This Row],[Battery]]=[1]DATA!$L$3:$L$9826)*(EOMONTH(vp.data[[#This Row],[SDate]],-1)+1=[1]DATA!$G$3:$G$9826),0)),vp.data[[#This Row],[Sulf Input]]),"")</f>
        <v>2.78</v>
      </c>
      <c r="J1512" s="2"/>
      <c r="K1512" s="2"/>
      <c r="L1512" s="2"/>
      <c r="M1512" s="2">
        <f t="array" ref="M1512">_xlfn.IFNA(IF(vp.data[[#This Row],[Dens Input]]="",INDEX([1]DATA!$O$3:$O$9826,MATCH(1,(vp.data[[#This Row],[Battery]]=[1]DATA!$L$3:$L$9826)*(EOMONTH(vp.data[[#This Row],[SDate]],-1)+1=[1]DATA!$G$3:$G$9826),0)),vp.data[[#This Row],[Dens Input]]),"")</f>
        <v>891.1</v>
      </c>
      <c r="N1512" s="2">
        <f ca="1">INDEX(INDIRECT(_xlfn.CONCAT("weather.tbl[",N$1,"]")),MATCH(vp.data[[#This Row],[SDate]],weather.tbl[Date],0))</f>
        <v>7.8000000000000007</v>
      </c>
      <c r="O1512" s="2">
        <f ca="1">INDEX(INDIRECT(_xlfn.CONCAT("weather.tbl[",O$1,"]")),MATCH(vp.data[[#This Row],[SDate]],weather.tbl[Date],0))</f>
        <v>10.078571428571427</v>
      </c>
      <c r="P1512" s="2">
        <f ca="1">INDEX(INDIRECT(_xlfn.CONCAT("weather.tbl[",P$1,"]")),MATCH(vp.data[[#This Row],[SDate]],weather.tbl[Date],0))</f>
        <v>8.5</v>
      </c>
      <c r="Q1512" s="2">
        <f ca="1">INDEX(INDIRECT(_xlfn.CONCAT("weather.tbl[",Q$1,"]")),MATCH(vp.data[[#This Row],[SDate]],weather.tbl[Date],0))</f>
        <v>7.8</v>
      </c>
      <c r="R1512" s="2">
        <f ca="1">INDEX(INDIRECT(_xlfn.CONCAT("weather.tbl[",R$1,"]")),MATCH(vp.data[[#This Row],[SDate]],weather.tbl[Date],0))</f>
        <v>6.3</v>
      </c>
      <c r="S1512" s="2">
        <f ca="1">INDEX(INDIRECT(_xlfn.CONCAT("weather.tbl[",S$1,"]")),MATCH(vp.data[[#This Row],[SDate]],weather.tbl[Date],0))</f>
        <v>8</v>
      </c>
      <c r="T1512" s="2">
        <f ca="1">INDEX(INDIRECT(_xlfn.CONCAT("weather.tbl[",T$1,"]")),MATCH(vp.data[[#This Row],[SDate]],weather.tbl[Date],0))</f>
        <v>7.7</v>
      </c>
      <c r="U1512" s="2">
        <f ca="1">INDEX(INDIRECT(_xlfn.CONCAT("weather.tbl[",U$1,"]")),MATCH(vp.data[[#This Row],[SDate]],weather.tbl[Date],0))</f>
        <v>8.5</v>
      </c>
      <c r="V1512" s="2">
        <f t="array" ref="V15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1089.597</v>
      </c>
      <c r="W1512" t="s">
        <v>48</v>
      </c>
      <c r="X1512">
        <f>IF(OR(vp.data[[#This Row],[Sulf]]="",vp.data[[#This Row],[Dens]]=""),1,0)</f>
        <v>0</v>
      </c>
      <c r="Y1512">
        <f>IF(vp.data[[#This Row],[CrudeType]]="C5+",1,0)</f>
        <v>0</v>
      </c>
      <c r="Z1512">
        <f>IF(AND(vp.data[[#This Row],[CrudeType]]="Crude",vp.data[[#This Row],[Dens]]&lt;=825,vp.data[[#This Row],[Sulf]]&gt;0.5,vp.data[[#This Row],[Unknown]]=0),1,0)</f>
        <v>0</v>
      </c>
      <c r="AA1512">
        <f>IF(AND(vp.data[[#This Row],[CrudeType]]="Crude",vp.data[[#This Row],[Dens]]&lt;=825,vp.data[[#This Row],[Sulf]]&lt;=0.5,vp.data[[#This Row],[Unknown]]=0),1,0)</f>
        <v>0</v>
      </c>
      <c r="AB15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12">
        <f>IF(AND(vp.data[[#This Row],[CrudeType]]="Crude",vp.data[[#This Row],[Dens]]&gt;825,vp.data[[#This Row],[Dens]]&lt;=900,vp.data[[#This Row],[Sulf]]&lt;=0.5,vp.data[[#This Row],[Unknown]]=0),1,0)</f>
        <v>0</v>
      </c>
      <c r="AD1512">
        <f>IF(AND(vp.data[[#This Row],[CrudeType]]="Crude",vp.data[[#This Row],[Dens]]&gt;865,vp.data[[#This Row],[Dens]]&lt;=900,vp.data[[#This Row],[Sulf]]&gt;2,vp.data[[#This Row],[Unknown]]=0),1,0)</f>
        <v>1</v>
      </c>
      <c r="AE1512">
        <f>IF(AND(vp.data[[#This Row],[CrudeType]]="Crude",vp.data[[#This Row],[Dens]]&gt;900,vp.data[[#This Row],[Sulf]]&lt;=0.5,vp.data[[#This Row],[Unknown]]=0),1,0)</f>
        <v>0</v>
      </c>
      <c r="AF1512">
        <f>IF(AND(vp.data[[#This Row],[CrudeType]]="Crude",vp.data[[#This Row],[Dens]]&gt;900,vp.data[[#This Row],[Sulf]]&lt;=0.5,vp.data[[#This Row],[Unknown]]=0),1,0)</f>
        <v>0</v>
      </c>
      <c r="AG1512" t="str">
        <f>INDEX(vp.data[[#Headers],[Unknown]:[Heavy_SW]],MATCH(1,vp.data[[#This Row],[Unknown]:[Heavy_SW]],0))</f>
        <v>Midale</v>
      </c>
      <c r="AH1512">
        <f>INDEX([3]!crudeBD.lkup[Number],MATCH(vp.data[[#This Row],[Crude_Breakdown]],crudeBD.lkup[Crude Breakdown],0))</f>
        <v>5</v>
      </c>
      <c r="AI1512">
        <f>MONTH(vp.data[[#This Row],[SDate]])</f>
        <v>5</v>
      </c>
      <c r="AJ1512" s="5">
        <f>(vp.data[[#This Row],[VP]]-INDEX(crudeBD.lkup[Mean_VP],MATCH(vp.data[[#This Row],[Crude_Breakdown]],crudeBD.lkup[Crude Breakdown],0)))^2</f>
        <v>94.26007678818209</v>
      </c>
      <c r="AK1512" s="5">
        <f>(vp.data[[#This Row],[Dens]]-INDEX(crudeBD.lkup[Mean_Dens],MATCH(vp.data[[#This Row],[Crude_Breakdown]],crudeBD.lkup[Crude Breakdown],0)))^2</f>
        <v>265.13575326813827</v>
      </c>
      <c r="AL1512" s="5">
        <f>(vp.data[[#This Row],[Sulf]]-INDEX(crudeBD.lkup[Mean_Sulf],MATCH(vp.data[[#This Row],[Crude_Breakdown]],crudeBD.lkup[Crude Breakdown],0)))^2</f>
        <v>0.11315448675779652</v>
      </c>
      <c r="AM1512" s="4">
        <f>IF(AND(vp.data[[#This Row],[SDate]]&gt;=DATE(YEAR(vp.data[[#This Row],[SDate]]),5,1),vp.data[[#This Row],[SDate]]&lt;=DATE(YEAR(vp.data[[#This Row],[SDate]]),9,15)),1,0)</f>
        <v>1</v>
      </c>
      <c r="AN1512" s="4">
        <f>IF(vp.data[[#This Row],[SDate]]&lt;DATE(2016,12,1),0,1)</f>
        <v>1</v>
      </c>
      <c r="AO1512" s="4">
        <f>IFERROR(vp.data[[#This Row],[Sulf]]*vp.data[[#This Row],[Net Dens]],"")</f>
        <v>2699212.885026</v>
      </c>
      <c r="AP1512">
        <f>IFERROR(vp.data[[#This Row],[Dens]]*vp.data[[#This Row],[VolumeM3]],"")</f>
        <v>970939.88670000003</v>
      </c>
      <c r="AQ1512" s="15">
        <f>IFERROR(vp.data[[#This Row],[VP]]*vp.data[[#This Row],[VolumeM3]],"")</f>
        <v>65048.940900000001</v>
      </c>
    </row>
    <row r="1513" spans="1:43" x14ac:dyDescent="0.25">
      <c r="A1513">
        <v>1512</v>
      </c>
      <c r="B1513" t="s">
        <v>127</v>
      </c>
      <c r="C1513" t="s">
        <v>127</v>
      </c>
      <c r="D1513" t="s">
        <v>320</v>
      </c>
      <c r="F1513" s="1">
        <v>42874</v>
      </c>
      <c r="G1513" s="2">
        <v>72.099999999999994</v>
      </c>
      <c r="H1513" s="2"/>
      <c r="I1513" s="2">
        <f t="array" ref="I1513">_xlfn.IFNA(IF(vp.data[[#This Row],[Sulf Input]]="",INDEX([1]DATA!$Q$3:$Q$9826,MATCH(1,(vp.data[[#This Row],[Battery]]=[1]DATA!$L$3:$L$9826)*(EOMONTH(vp.data[[#This Row],[SDate]],-1)+1=[1]DATA!$G$3:$G$9826),0)),vp.data[[#This Row],[Sulf Input]]),"")</f>
        <v>2</v>
      </c>
      <c r="J1513" s="2"/>
      <c r="K1513" s="2"/>
      <c r="L1513" s="2"/>
      <c r="M1513" s="2">
        <f t="array" ref="M1513">_xlfn.IFNA(IF(vp.data[[#This Row],[Dens Input]]="",INDEX([1]DATA!$O$3:$O$9826,MATCH(1,(vp.data[[#This Row],[Battery]]=[1]DATA!$L$3:$L$9826)*(EOMONTH(vp.data[[#This Row],[SDate]],-1)+1=[1]DATA!$G$3:$G$9826),0)),vp.data[[#This Row],[Dens Input]]),"")</f>
        <v>866.4</v>
      </c>
      <c r="N1513" s="2">
        <f ca="1">INDEX(INDIRECT(_xlfn.CONCAT("weather.tbl[",N$1,"]")),MATCH(vp.data[[#This Row],[SDate]],weather.tbl[Date],0))</f>
        <v>7.8000000000000007</v>
      </c>
      <c r="O1513" s="2">
        <f ca="1">INDEX(INDIRECT(_xlfn.CONCAT("weather.tbl[",O$1,"]")),MATCH(vp.data[[#This Row],[SDate]],weather.tbl[Date],0))</f>
        <v>10.078571428571427</v>
      </c>
      <c r="P1513" s="2">
        <f ca="1">INDEX(INDIRECT(_xlfn.CONCAT("weather.tbl[",P$1,"]")),MATCH(vp.data[[#This Row],[SDate]],weather.tbl[Date],0))</f>
        <v>8.5</v>
      </c>
      <c r="Q1513" s="2">
        <f ca="1">INDEX(INDIRECT(_xlfn.CONCAT("weather.tbl[",Q$1,"]")),MATCH(vp.data[[#This Row],[SDate]],weather.tbl[Date],0))</f>
        <v>7.8</v>
      </c>
      <c r="R1513" s="2">
        <f ca="1">INDEX(INDIRECT(_xlfn.CONCAT("weather.tbl[",R$1,"]")),MATCH(vp.data[[#This Row],[SDate]],weather.tbl[Date],0))</f>
        <v>6.3</v>
      </c>
      <c r="S1513" s="2">
        <f ca="1">INDEX(INDIRECT(_xlfn.CONCAT("weather.tbl[",S$1,"]")),MATCH(vp.data[[#This Row],[SDate]],weather.tbl[Date],0))</f>
        <v>8</v>
      </c>
      <c r="T1513" s="2">
        <f ca="1">INDEX(INDIRECT(_xlfn.CONCAT("weather.tbl[",T$1,"]")),MATCH(vp.data[[#This Row],[SDate]],weather.tbl[Date],0))</f>
        <v>7.7</v>
      </c>
      <c r="U1513" s="2">
        <f ca="1">INDEX(INDIRECT(_xlfn.CONCAT("weather.tbl[",U$1,"]")),MATCH(vp.data[[#This Row],[SDate]],weather.tbl[Date],0))</f>
        <v>8.5</v>
      </c>
      <c r="V1513" s="2">
        <f t="array" ref="V15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4499.3100000000004</v>
      </c>
      <c r="W1513" t="s">
        <v>48</v>
      </c>
      <c r="X1513">
        <f>IF(OR(vp.data[[#This Row],[Sulf]]="",vp.data[[#This Row],[Dens]]=""),1,0)</f>
        <v>0</v>
      </c>
      <c r="Y1513">
        <f>IF(vp.data[[#This Row],[CrudeType]]="C5+",1,0)</f>
        <v>0</v>
      </c>
      <c r="Z1513">
        <f>IF(AND(vp.data[[#This Row],[CrudeType]]="Crude",vp.data[[#This Row],[Dens]]&lt;=825,vp.data[[#This Row],[Sulf]]&gt;0.5,vp.data[[#This Row],[Unknown]]=0),1,0)</f>
        <v>0</v>
      </c>
      <c r="AA1513">
        <f>IF(AND(vp.data[[#This Row],[CrudeType]]="Crude",vp.data[[#This Row],[Dens]]&lt;=825,vp.data[[#This Row],[Sulf]]&lt;=0.5,vp.data[[#This Row],[Unknown]]=0),1,0)</f>
        <v>0</v>
      </c>
      <c r="AB15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3">
        <f>IF(AND(vp.data[[#This Row],[CrudeType]]="Crude",vp.data[[#This Row],[Dens]]&gt;825,vp.data[[#This Row],[Dens]]&lt;=900,vp.data[[#This Row],[Sulf]]&lt;=0.5,vp.data[[#This Row],[Unknown]]=0),1,0)</f>
        <v>0</v>
      </c>
      <c r="AD1513">
        <f>IF(AND(vp.data[[#This Row],[CrudeType]]="Crude",vp.data[[#This Row],[Dens]]&gt;865,vp.data[[#This Row],[Dens]]&lt;=900,vp.data[[#This Row],[Sulf]]&gt;2,vp.data[[#This Row],[Unknown]]=0),1,0)</f>
        <v>0</v>
      </c>
      <c r="AE1513">
        <f>IF(AND(vp.data[[#This Row],[CrudeType]]="Crude",vp.data[[#This Row],[Dens]]&gt;900,vp.data[[#This Row],[Sulf]]&lt;=0.5,vp.data[[#This Row],[Unknown]]=0),1,0)</f>
        <v>0</v>
      </c>
      <c r="AF1513">
        <f>IF(AND(vp.data[[#This Row],[CrudeType]]="Crude",vp.data[[#This Row],[Dens]]&gt;900,vp.data[[#This Row],[Sulf]]&lt;=0.5,vp.data[[#This Row],[Unknown]]=0),1,0)</f>
        <v>0</v>
      </c>
      <c r="AG1513" t="str">
        <f>INDEX(vp.data[[#Headers],[Unknown]:[Heavy_SW]],MATCH(1,vp.data[[#This Row],[Unknown]:[Heavy_SW]],0))</f>
        <v>Medium_LSB</v>
      </c>
      <c r="AH1513">
        <f>INDEX([3]!crudeBD.lkup[Number],MATCH(vp.data[[#This Row],[Crude_Breakdown]],crudeBD.lkup[Crude Breakdown],0))</f>
        <v>3</v>
      </c>
      <c r="AI1513">
        <f>MONTH(vp.data[[#This Row],[SDate]])</f>
        <v>5</v>
      </c>
      <c r="AJ1513" s="5">
        <f>(vp.data[[#This Row],[VP]]-INDEX(crudeBD.lkup[Mean_VP],MATCH(vp.data[[#This Row],[Crude_Breakdown]],crudeBD.lkup[Crude Breakdown],0)))^2</f>
        <v>72.926075576316975</v>
      </c>
      <c r="AK1513" s="5">
        <f>(vp.data[[#This Row],[Dens]]-INDEX(crudeBD.lkup[Mean_Dens],MATCH(vp.data[[#This Row],[Crude_Breakdown]],crudeBD.lkup[Crude Breakdown],0)))^2</f>
        <v>505.35040000002124</v>
      </c>
      <c r="AL1513" s="5">
        <f>(vp.data[[#This Row],[Sulf]]-INDEX(crudeBD.lkup[Mean_Sulf],MATCH(vp.data[[#This Row],[Crude_Breakdown]],crudeBD.lkup[Crude Breakdown],0)))^2</f>
        <v>0.37772317074528644</v>
      </c>
      <c r="AM1513" s="4">
        <f>IF(AND(vp.data[[#This Row],[SDate]]&gt;=DATE(YEAR(vp.data[[#This Row],[SDate]]),5,1),vp.data[[#This Row],[SDate]]&lt;=DATE(YEAR(vp.data[[#This Row],[SDate]]),9,15)),1,0)</f>
        <v>1</v>
      </c>
      <c r="AN1513" s="4">
        <f>IF(vp.data[[#This Row],[SDate]]&lt;DATE(2016,12,1),0,1)</f>
        <v>1</v>
      </c>
      <c r="AO1513" s="4">
        <f>IFERROR(vp.data[[#This Row],[Sulf]]*vp.data[[#This Row],[Net Dens]],"")</f>
        <v>7796404.3680000007</v>
      </c>
      <c r="AP1513">
        <f>IFERROR(vp.data[[#This Row],[Dens]]*vp.data[[#This Row],[VolumeM3]],"")</f>
        <v>3898202.1840000004</v>
      </c>
      <c r="AQ1513" s="15">
        <f>IFERROR(vp.data[[#This Row],[VP]]*vp.data[[#This Row],[VolumeM3]],"")</f>
        <v>324400.25099999999</v>
      </c>
    </row>
    <row r="1514" spans="1:43" x14ac:dyDescent="0.25">
      <c r="A1514">
        <v>1513</v>
      </c>
      <c r="B1514" t="s">
        <v>134</v>
      </c>
      <c r="C1514" t="s">
        <v>134</v>
      </c>
      <c r="D1514" t="s">
        <v>321</v>
      </c>
      <c r="F1514" s="1">
        <v>42874</v>
      </c>
      <c r="G1514" s="2">
        <v>79.599999999999994</v>
      </c>
      <c r="H1514" s="2"/>
      <c r="I1514" s="2">
        <f t="array" ref="I1514">_xlfn.IFNA(IF(vp.data[[#This Row],[Sulf Input]]="",INDEX([1]DATA!$Q$3:$Q$9826,MATCH(1,(vp.data[[#This Row],[Battery]]=[1]DATA!$L$3:$L$9826)*(EOMONTH(vp.data[[#This Row],[SDate]],-1)+1=[1]DATA!$G$3:$G$9826),0)),vp.data[[#This Row],[Sulf Input]]),"")</f>
        <v>2.2400000000000002</v>
      </c>
      <c r="J1514" s="2"/>
      <c r="K1514" s="2"/>
      <c r="L1514" s="2"/>
      <c r="M1514" s="2">
        <f t="array" ref="M1514">_xlfn.IFNA(IF(vp.data[[#This Row],[Dens Input]]="",INDEX([1]DATA!$O$3:$O$9826,MATCH(1,(vp.data[[#This Row],[Battery]]=[1]DATA!$L$3:$L$9826)*(EOMONTH(vp.data[[#This Row],[SDate]],-1)+1=[1]DATA!$G$3:$G$9826),0)),vp.data[[#This Row],[Dens Input]]),"")</f>
        <v>863.8</v>
      </c>
      <c r="N1514" s="2">
        <f ca="1">INDEX(INDIRECT(_xlfn.CONCAT("weather.tbl[",N$1,"]")),MATCH(vp.data[[#This Row],[SDate]],weather.tbl[Date],0))</f>
        <v>7.8000000000000007</v>
      </c>
      <c r="O1514" s="2">
        <f ca="1">INDEX(INDIRECT(_xlfn.CONCAT("weather.tbl[",O$1,"]")),MATCH(vp.data[[#This Row],[SDate]],weather.tbl[Date],0))</f>
        <v>10.078571428571427</v>
      </c>
      <c r="P1514" s="2">
        <f ca="1">INDEX(INDIRECT(_xlfn.CONCAT("weather.tbl[",P$1,"]")),MATCH(vp.data[[#This Row],[SDate]],weather.tbl[Date],0))</f>
        <v>8.5</v>
      </c>
      <c r="Q1514" s="2">
        <f ca="1">INDEX(INDIRECT(_xlfn.CONCAT("weather.tbl[",Q$1,"]")),MATCH(vp.data[[#This Row],[SDate]],weather.tbl[Date],0))</f>
        <v>7.8</v>
      </c>
      <c r="R1514" s="2">
        <f ca="1">INDEX(INDIRECT(_xlfn.CONCAT("weather.tbl[",R$1,"]")),MATCH(vp.data[[#This Row],[SDate]],weather.tbl[Date],0))</f>
        <v>6.3</v>
      </c>
      <c r="S1514" s="2">
        <f ca="1">INDEX(INDIRECT(_xlfn.CONCAT("weather.tbl[",S$1,"]")),MATCH(vp.data[[#This Row],[SDate]],weather.tbl[Date],0))</f>
        <v>8</v>
      </c>
      <c r="T1514" s="2">
        <f ca="1">INDEX(INDIRECT(_xlfn.CONCAT("weather.tbl[",T$1,"]")),MATCH(vp.data[[#This Row],[SDate]],weather.tbl[Date],0))</f>
        <v>7.7</v>
      </c>
      <c r="U1514" s="2">
        <f ca="1">INDEX(INDIRECT(_xlfn.CONCAT("weather.tbl[",U$1,"]")),MATCH(vp.data[[#This Row],[SDate]],weather.tbl[Date],0))</f>
        <v>8.5</v>
      </c>
      <c r="V1514" s="2">
        <f t="array" ref="V15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772.96500000000003</v>
      </c>
      <c r="W1514" t="s">
        <v>48</v>
      </c>
      <c r="X1514">
        <f>IF(OR(vp.data[[#This Row],[Sulf]]="",vp.data[[#This Row],[Dens]]=""),1,0)</f>
        <v>0</v>
      </c>
      <c r="Y1514">
        <f>IF(vp.data[[#This Row],[CrudeType]]="C5+",1,0)</f>
        <v>0</v>
      </c>
      <c r="Z1514">
        <f>IF(AND(vp.data[[#This Row],[CrudeType]]="Crude",vp.data[[#This Row],[Dens]]&lt;=825,vp.data[[#This Row],[Sulf]]&gt;0.5,vp.data[[#This Row],[Unknown]]=0),1,0)</f>
        <v>0</v>
      </c>
      <c r="AA1514">
        <f>IF(AND(vp.data[[#This Row],[CrudeType]]="Crude",vp.data[[#This Row],[Dens]]&lt;=825,vp.data[[#This Row],[Sulf]]&lt;=0.5,vp.data[[#This Row],[Unknown]]=0),1,0)</f>
        <v>0</v>
      </c>
      <c r="AB15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4">
        <f>IF(AND(vp.data[[#This Row],[CrudeType]]="Crude",vp.data[[#This Row],[Dens]]&gt;825,vp.data[[#This Row],[Dens]]&lt;=900,vp.data[[#This Row],[Sulf]]&lt;=0.5,vp.data[[#This Row],[Unknown]]=0),1,0)</f>
        <v>0</v>
      </c>
      <c r="AD1514">
        <f>IF(AND(vp.data[[#This Row],[CrudeType]]="Crude",vp.data[[#This Row],[Dens]]&gt;865,vp.data[[#This Row],[Dens]]&lt;=900,vp.data[[#This Row],[Sulf]]&gt;2,vp.data[[#This Row],[Unknown]]=0),1,0)</f>
        <v>0</v>
      </c>
      <c r="AE1514">
        <f>IF(AND(vp.data[[#This Row],[CrudeType]]="Crude",vp.data[[#This Row],[Dens]]&gt;900,vp.data[[#This Row],[Sulf]]&lt;=0.5,vp.data[[#This Row],[Unknown]]=0),1,0)</f>
        <v>0</v>
      </c>
      <c r="AF1514">
        <f>IF(AND(vp.data[[#This Row],[CrudeType]]="Crude",vp.data[[#This Row],[Dens]]&gt;900,vp.data[[#This Row],[Sulf]]&lt;=0.5,vp.data[[#This Row],[Unknown]]=0),1,0)</f>
        <v>0</v>
      </c>
      <c r="AG1514" t="str">
        <f>INDEX(vp.data[[#Headers],[Unknown]:[Heavy_SW]],MATCH(1,vp.data[[#This Row],[Unknown]:[Heavy_SW]],0))</f>
        <v>Medium_LSB</v>
      </c>
      <c r="AH1514">
        <f>INDEX([3]!crudeBD.lkup[Number],MATCH(vp.data[[#This Row],[Crude_Breakdown]],crudeBD.lkup[Crude Breakdown],0))</f>
        <v>3</v>
      </c>
      <c r="AI1514">
        <f>MONTH(vp.data[[#This Row],[SDate]])</f>
        <v>5</v>
      </c>
      <c r="AJ1514" s="5">
        <f>(vp.data[[#This Row],[VP]]-INDEX(crudeBD.lkup[Mean_VP],MATCH(vp.data[[#This Row],[Crude_Breakdown]],crudeBD.lkup[Crude Breakdown],0)))^2</f>
        <v>1.0809273283395293</v>
      </c>
      <c r="AK1514" s="5">
        <f>(vp.data[[#This Row],[Dens]]-INDEX(crudeBD.lkup[Mean_Dens],MATCH(vp.data[[#This Row],[Crude_Breakdown]],crudeBD.lkup[Crude Breakdown],0)))^2</f>
        <v>395.21440000001792</v>
      </c>
      <c r="AL1514" s="5">
        <f>(vp.data[[#This Row],[Sulf]]-INDEX(crudeBD.lkup[Mean_Sulf],MATCH(vp.data[[#This Row],[Crude_Breakdown]],crudeBD.lkup[Crude Breakdown],0)))^2</f>
        <v>0.73032726993666075</v>
      </c>
      <c r="AM1514" s="4">
        <f>IF(AND(vp.data[[#This Row],[SDate]]&gt;=DATE(YEAR(vp.data[[#This Row],[SDate]]),5,1),vp.data[[#This Row],[SDate]]&lt;=DATE(YEAR(vp.data[[#This Row],[SDate]]),9,15)),1,0)</f>
        <v>1</v>
      </c>
      <c r="AN1514" s="4">
        <f>IF(vp.data[[#This Row],[SDate]]&lt;DATE(2016,12,1),0,1)</f>
        <v>1</v>
      </c>
      <c r="AO1514" s="4">
        <f>IFERROR(vp.data[[#This Row],[Sulf]]*vp.data[[#This Row],[Net Dens]],"")</f>
        <v>1495619.2540800001</v>
      </c>
      <c r="AP1514">
        <f>IFERROR(vp.data[[#This Row],[Dens]]*vp.data[[#This Row],[VolumeM3]],"")</f>
        <v>667687.16700000002</v>
      </c>
      <c r="AQ1514" s="15">
        <f>IFERROR(vp.data[[#This Row],[VP]]*vp.data[[#This Row],[VolumeM3]],"")</f>
        <v>61528.013999999996</v>
      </c>
    </row>
    <row r="1515" spans="1:43" x14ac:dyDescent="0.25">
      <c r="A1515">
        <v>1514</v>
      </c>
      <c r="B1515" t="s">
        <v>49</v>
      </c>
      <c r="C1515" t="s">
        <v>49</v>
      </c>
      <c r="D1515" t="s">
        <v>322</v>
      </c>
      <c r="F1515" s="1">
        <v>42874</v>
      </c>
      <c r="G1515" s="2">
        <v>50.1</v>
      </c>
      <c r="H1515" s="2"/>
      <c r="I1515" s="2">
        <f t="array" ref="I1515">_xlfn.IFNA(IF(vp.data[[#This Row],[Sulf Input]]="",INDEX([1]DATA!$Q$3:$Q$9826,MATCH(1,(vp.data[[#This Row],[Battery]]=[1]DATA!$L$3:$L$9826)*(EOMONTH(vp.data[[#This Row],[SDate]],-1)+1=[1]DATA!$G$3:$G$9826),0)),vp.data[[#This Row],[Sulf Input]]),"")</f>
        <v>2.13</v>
      </c>
      <c r="J1515" s="2"/>
      <c r="K1515" s="2"/>
      <c r="L1515" s="2"/>
      <c r="M1515" s="2">
        <f t="array" ref="M1515">_xlfn.IFNA(IF(vp.data[[#This Row],[Dens Input]]="",INDEX([1]DATA!$O$3:$O$9826,MATCH(1,(vp.data[[#This Row],[Battery]]=[1]DATA!$L$3:$L$9826)*(EOMONTH(vp.data[[#This Row],[SDate]],-1)+1=[1]DATA!$G$3:$G$9826),0)),vp.data[[#This Row],[Dens Input]]),"")</f>
        <v>888.4</v>
      </c>
      <c r="N1515" s="2">
        <f ca="1">INDEX(INDIRECT(_xlfn.CONCAT("weather.tbl[",N$1,"]")),MATCH(vp.data[[#This Row],[SDate]],weather.tbl[Date],0))</f>
        <v>7.8000000000000007</v>
      </c>
      <c r="O1515" s="2">
        <f ca="1">INDEX(INDIRECT(_xlfn.CONCAT("weather.tbl[",O$1,"]")),MATCH(vp.data[[#This Row],[SDate]],weather.tbl[Date],0))</f>
        <v>10.078571428571427</v>
      </c>
      <c r="P1515" s="2">
        <f ca="1">INDEX(INDIRECT(_xlfn.CONCAT("weather.tbl[",P$1,"]")),MATCH(vp.data[[#This Row],[SDate]],weather.tbl[Date],0))</f>
        <v>8.5</v>
      </c>
      <c r="Q1515" s="2">
        <f ca="1">INDEX(INDIRECT(_xlfn.CONCAT("weather.tbl[",Q$1,"]")),MATCH(vp.data[[#This Row],[SDate]],weather.tbl[Date],0))</f>
        <v>7.8</v>
      </c>
      <c r="R1515" s="2">
        <f ca="1">INDEX(INDIRECT(_xlfn.CONCAT("weather.tbl[",R$1,"]")),MATCH(vp.data[[#This Row],[SDate]],weather.tbl[Date],0))</f>
        <v>6.3</v>
      </c>
      <c r="S1515" s="2">
        <f ca="1">INDEX(INDIRECT(_xlfn.CONCAT("weather.tbl[",S$1,"]")),MATCH(vp.data[[#This Row],[SDate]],weather.tbl[Date],0))</f>
        <v>8</v>
      </c>
      <c r="T1515" s="2">
        <f ca="1">INDEX(INDIRECT(_xlfn.CONCAT("weather.tbl[",T$1,"]")),MATCH(vp.data[[#This Row],[SDate]],weather.tbl[Date],0))</f>
        <v>7.7</v>
      </c>
      <c r="U1515" s="2">
        <f ca="1">INDEX(INDIRECT(_xlfn.CONCAT("weather.tbl[",U$1,"]")),MATCH(vp.data[[#This Row],[SDate]],weather.tbl[Date],0))</f>
        <v>8.5</v>
      </c>
      <c r="V1515" s="2">
        <f t="array" ref="V15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640.95000000000005</v>
      </c>
      <c r="W1515" t="s">
        <v>48</v>
      </c>
      <c r="X1515">
        <f>IF(OR(vp.data[[#This Row],[Sulf]]="",vp.data[[#This Row],[Dens]]=""),1,0)</f>
        <v>0</v>
      </c>
      <c r="Y1515">
        <f>IF(vp.data[[#This Row],[CrudeType]]="C5+",1,0)</f>
        <v>0</v>
      </c>
      <c r="Z1515">
        <f>IF(AND(vp.data[[#This Row],[CrudeType]]="Crude",vp.data[[#This Row],[Dens]]&lt;=825,vp.data[[#This Row],[Sulf]]&gt;0.5,vp.data[[#This Row],[Unknown]]=0),1,0)</f>
        <v>0</v>
      </c>
      <c r="AA1515">
        <f>IF(AND(vp.data[[#This Row],[CrudeType]]="Crude",vp.data[[#This Row],[Dens]]&lt;=825,vp.data[[#This Row],[Sulf]]&lt;=0.5,vp.data[[#This Row],[Unknown]]=0),1,0)</f>
        <v>0</v>
      </c>
      <c r="AB15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15">
        <f>IF(AND(vp.data[[#This Row],[CrudeType]]="Crude",vp.data[[#This Row],[Dens]]&gt;825,vp.data[[#This Row],[Dens]]&lt;=900,vp.data[[#This Row],[Sulf]]&lt;=0.5,vp.data[[#This Row],[Unknown]]=0),1,0)</f>
        <v>0</v>
      </c>
      <c r="AD1515">
        <f>IF(AND(vp.data[[#This Row],[CrudeType]]="Crude",vp.data[[#This Row],[Dens]]&gt;865,vp.data[[#This Row],[Dens]]&lt;=900,vp.data[[#This Row],[Sulf]]&gt;2,vp.data[[#This Row],[Unknown]]=0),1,0)</f>
        <v>1</v>
      </c>
      <c r="AE1515">
        <f>IF(AND(vp.data[[#This Row],[CrudeType]]="Crude",vp.data[[#This Row],[Dens]]&gt;900,vp.data[[#This Row],[Sulf]]&lt;=0.5,vp.data[[#This Row],[Unknown]]=0),1,0)</f>
        <v>0</v>
      </c>
      <c r="AF1515">
        <f>IF(AND(vp.data[[#This Row],[CrudeType]]="Crude",vp.data[[#This Row],[Dens]]&gt;900,vp.data[[#This Row],[Sulf]]&lt;=0.5,vp.data[[#This Row],[Unknown]]=0),1,0)</f>
        <v>0</v>
      </c>
      <c r="AG1515" t="str">
        <f>INDEX(vp.data[[#Headers],[Unknown]:[Heavy_SW]],MATCH(1,vp.data[[#This Row],[Unknown]:[Heavy_SW]],0))</f>
        <v>Midale</v>
      </c>
      <c r="AH1515">
        <f>INDEX([3]!crudeBD.lkup[Number],MATCH(vp.data[[#This Row],[Crude_Breakdown]],crudeBD.lkup[Crude Breakdown],0))</f>
        <v>5</v>
      </c>
      <c r="AI1515">
        <f>MONTH(vp.data[[#This Row],[SDate]])</f>
        <v>5</v>
      </c>
      <c r="AJ1515" s="5">
        <f>(vp.data[[#This Row],[VP]]-INDEX(crudeBD.lkup[Mean_VP],MATCH(vp.data[[#This Row],[Crude_Breakdown]],crudeBD.lkup[Crude Breakdown],0)))^2</f>
        <v>372.82832421086312</v>
      </c>
      <c r="AK1515" s="5">
        <f>(vp.data[[#This Row],[Dens]]-INDEX(crudeBD.lkup[Mean_Dens],MATCH(vp.data[[#This Row],[Crude_Breakdown]],crudeBD.lkup[Crude Breakdown],0)))^2</f>
        <v>184.49760893824165</v>
      </c>
      <c r="AL1515" s="5">
        <f>(vp.data[[#This Row],[Sulf]]-INDEX(crudeBD.lkup[Mean_Sulf],MATCH(vp.data[[#This Row],[Crude_Breakdown]],crudeBD.lkup[Crude Breakdown],0)))^2</f>
        <v>9.8354723871196995E-2</v>
      </c>
      <c r="AM1515" s="4">
        <f>IF(AND(vp.data[[#This Row],[SDate]]&gt;=DATE(YEAR(vp.data[[#This Row],[SDate]]),5,1),vp.data[[#This Row],[SDate]]&lt;=DATE(YEAR(vp.data[[#This Row],[SDate]]),9,15)),1,0)</f>
        <v>1</v>
      </c>
      <c r="AN1515" s="4">
        <f>IF(vp.data[[#This Row],[SDate]]&lt;DATE(2016,12,1),0,1)</f>
        <v>1</v>
      </c>
      <c r="AO1515" s="4">
        <f>IFERROR(vp.data[[#This Row],[Sulf]]*vp.data[[#This Row],[Net Dens]],"")</f>
        <v>1212864.5573999998</v>
      </c>
      <c r="AP1515">
        <f>IFERROR(vp.data[[#This Row],[Dens]]*vp.data[[#This Row],[VolumeM3]],"")</f>
        <v>569419.98</v>
      </c>
      <c r="AQ1515" s="15">
        <f>IFERROR(vp.data[[#This Row],[VP]]*vp.data[[#This Row],[VolumeM3]],"")</f>
        <v>32111.595000000005</v>
      </c>
    </row>
    <row r="1516" spans="1:43" x14ac:dyDescent="0.25">
      <c r="A1516">
        <v>1515</v>
      </c>
      <c r="B1516" t="s">
        <v>51</v>
      </c>
      <c r="C1516" t="s">
        <v>51</v>
      </c>
      <c r="D1516" t="s">
        <v>72</v>
      </c>
      <c r="F1516" s="1">
        <v>42877</v>
      </c>
      <c r="G1516" s="2">
        <v>86.2</v>
      </c>
      <c r="H1516" s="2"/>
      <c r="I1516" s="2">
        <f t="array" ref="I1516">_xlfn.IFNA(IF(vp.data[[#This Row],[Sulf Input]]="",INDEX([1]DATA!$Q$3:$Q$9826,MATCH(1,(vp.data[[#This Row],[Battery]]=[1]DATA!$L$3:$L$9826)*(EOMONTH(vp.data[[#This Row],[SDate]],-1)+1=[1]DATA!$G$3:$G$9826),0)),vp.data[[#This Row],[Sulf Input]]),"")</f>
        <v>1.06</v>
      </c>
      <c r="J1516" s="2"/>
      <c r="K1516" s="2"/>
      <c r="L1516" s="2"/>
      <c r="M1516" s="2">
        <f t="array" ref="M1516">_xlfn.IFNA(IF(vp.data[[#This Row],[Dens Input]]="",INDEX([1]DATA!$O$3:$O$9826,MATCH(1,(vp.data[[#This Row],[Battery]]=[1]DATA!$L$3:$L$9826)*(EOMONTH(vp.data[[#This Row],[SDate]],-1)+1=[1]DATA!$G$3:$G$9826),0)),vp.data[[#This Row],[Dens Input]]),"")</f>
        <v>829.4</v>
      </c>
      <c r="N1516" s="2">
        <f ca="1">INDEX(INDIRECT(_xlfn.CONCAT("weather.tbl[",N$1,"]")),MATCH(vp.data[[#This Row],[SDate]],weather.tbl[Date],0))</f>
        <v>12.633333333333333</v>
      </c>
      <c r="O1516" s="2">
        <f ca="1">INDEX(INDIRECT(_xlfn.CONCAT("weather.tbl[",O$1,"]")),MATCH(vp.data[[#This Row],[SDate]],weather.tbl[Date],0))</f>
        <v>9.6880952380952383</v>
      </c>
      <c r="P1516" s="2">
        <f ca="1">INDEX(INDIRECT(_xlfn.CONCAT("weather.tbl[",P$1,"]")),MATCH(vp.data[[#This Row],[SDate]],weather.tbl[Date],0))</f>
        <v>12.9</v>
      </c>
      <c r="Q1516" s="2">
        <f ca="1">INDEX(INDIRECT(_xlfn.CONCAT("weather.tbl[",Q$1,"]")),MATCH(vp.data[[#This Row],[SDate]],weather.tbl[Date],0))</f>
        <v>13.1</v>
      </c>
      <c r="R1516" s="2">
        <f ca="1">INDEX(INDIRECT(_xlfn.CONCAT("weather.tbl[",R$1,"]")),MATCH(vp.data[[#This Row],[SDate]],weather.tbl[Date],0))</f>
        <v>12</v>
      </c>
      <c r="S1516" s="2">
        <f ca="1">INDEX(INDIRECT(_xlfn.CONCAT("weather.tbl[",S$1,"]")),MATCH(vp.data[[#This Row],[SDate]],weather.tbl[Date],0))</f>
        <v>12.4</v>
      </c>
      <c r="T1516" s="2">
        <f ca="1">INDEX(INDIRECT(_xlfn.CONCAT("weather.tbl[",T$1,"]")),MATCH(vp.data[[#This Row],[SDate]],weather.tbl[Date],0))</f>
        <v>12.6</v>
      </c>
      <c r="U1516" s="2">
        <f ca="1">INDEX(INDIRECT(_xlfn.CONCAT("weather.tbl[",U$1,"]")),MATCH(vp.data[[#This Row],[SDate]],weather.tbl[Date],0))</f>
        <v>12.8</v>
      </c>
      <c r="V1516" s="2">
        <f t="array" ref="V15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14195.075000000001</v>
      </c>
      <c r="W1516" t="s">
        <v>48</v>
      </c>
      <c r="X1516">
        <f>IF(OR(vp.data[[#This Row],[Sulf]]="",vp.data[[#This Row],[Dens]]=""),1,0)</f>
        <v>0</v>
      </c>
      <c r="Y1516">
        <f>IF(vp.data[[#This Row],[CrudeType]]="C5+",1,0)</f>
        <v>0</v>
      </c>
      <c r="Z1516">
        <f>IF(AND(vp.data[[#This Row],[CrudeType]]="Crude",vp.data[[#This Row],[Dens]]&lt;=825,vp.data[[#This Row],[Sulf]]&gt;0.5,vp.data[[#This Row],[Unknown]]=0),1,0)</f>
        <v>0</v>
      </c>
      <c r="AA1516">
        <f>IF(AND(vp.data[[#This Row],[CrudeType]]="Crude",vp.data[[#This Row],[Dens]]&lt;=825,vp.data[[#This Row],[Sulf]]&lt;=0.5,vp.data[[#This Row],[Unknown]]=0),1,0)</f>
        <v>0</v>
      </c>
      <c r="AB15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6">
        <f>IF(AND(vp.data[[#This Row],[CrudeType]]="Crude",vp.data[[#This Row],[Dens]]&gt;825,vp.data[[#This Row],[Dens]]&lt;=900,vp.data[[#This Row],[Sulf]]&lt;=0.5,vp.data[[#This Row],[Unknown]]=0),1,0)</f>
        <v>0</v>
      </c>
      <c r="AD1516">
        <f>IF(AND(vp.data[[#This Row],[CrudeType]]="Crude",vp.data[[#This Row],[Dens]]&gt;865,vp.data[[#This Row],[Dens]]&lt;=900,vp.data[[#This Row],[Sulf]]&gt;2,vp.data[[#This Row],[Unknown]]=0),1,0)</f>
        <v>0</v>
      </c>
      <c r="AE1516">
        <f>IF(AND(vp.data[[#This Row],[CrudeType]]="Crude",vp.data[[#This Row],[Dens]]&gt;900,vp.data[[#This Row],[Sulf]]&lt;=0.5,vp.data[[#This Row],[Unknown]]=0),1,0)</f>
        <v>0</v>
      </c>
      <c r="AF1516">
        <f>IF(AND(vp.data[[#This Row],[CrudeType]]="Crude",vp.data[[#This Row],[Dens]]&gt;900,vp.data[[#This Row],[Sulf]]&lt;=0.5,vp.data[[#This Row],[Unknown]]=0),1,0)</f>
        <v>0</v>
      </c>
      <c r="AG1516" t="str">
        <f>INDEX(vp.data[[#Headers],[Unknown]:[Heavy_SW]],MATCH(1,vp.data[[#This Row],[Unknown]:[Heavy_SW]],0))</f>
        <v>Medium_LSB</v>
      </c>
      <c r="AH1516">
        <f>INDEX([3]!crudeBD.lkup[Number],MATCH(vp.data[[#This Row],[Crude_Breakdown]],crudeBD.lkup[Crude Breakdown],0))</f>
        <v>3</v>
      </c>
      <c r="AI1516">
        <f>MONTH(vp.data[[#This Row],[SDate]])</f>
        <v>5</v>
      </c>
      <c r="AJ1516" s="5">
        <f>(vp.data[[#This Row],[VP]]-INDEX(crudeBD.lkup[Mean_VP],MATCH(vp.data[[#This Row],[Crude_Breakdown]],crudeBD.lkup[Crude Breakdown],0)))^2</f>
        <v>30.917196870119469</v>
      </c>
      <c r="AK1516" s="5">
        <f>(vp.data[[#This Row],[Dens]]-INDEX(crudeBD.lkup[Mean_Dens],MATCH(vp.data[[#This Row],[Crude_Breakdown]],crudeBD.lkup[Crude Breakdown],0)))^2</f>
        <v>210.83039999998627</v>
      </c>
      <c r="AL1516" s="5">
        <f>(vp.data[[#This Row],[Sulf]]-INDEX(crudeBD.lkup[Mean_Sulf],MATCH(vp.data[[#This Row],[Crude_Breakdown]],crudeBD.lkup[Crude Breakdown],0)))^2</f>
        <v>0.10589044891240515</v>
      </c>
      <c r="AM1516" s="4">
        <f>IF(AND(vp.data[[#This Row],[SDate]]&gt;=DATE(YEAR(vp.data[[#This Row],[SDate]]),5,1),vp.data[[#This Row],[SDate]]&lt;=DATE(YEAR(vp.data[[#This Row],[SDate]]),9,15)),1,0)</f>
        <v>1</v>
      </c>
      <c r="AN1516" s="4">
        <f>IF(vp.data[[#This Row],[SDate]]&lt;DATE(2016,12,1),0,1)</f>
        <v>1</v>
      </c>
      <c r="AO1516" s="4">
        <f>IFERROR(vp.data[[#This Row],[Sulf]]*vp.data[[#This Row],[Net Dens]],"")</f>
        <v>12479798.917300001</v>
      </c>
      <c r="AP1516">
        <f>IFERROR(vp.data[[#This Row],[Dens]]*vp.data[[#This Row],[VolumeM3]],"")</f>
        <v>11773395.205</v>
      </c>
      <c r="AQ1516" s="15">
        <f>IFERROR(vp.data[[#This Row],[VP]]*vp.data[[#This Row],[VolumeM3]],"")</f>
        <v>1223615.4650000001</v>
      </c>
    </row>
    <row r="1517" spans="1:43" x14ac:dyDescent="0.25">
      <c r="A1517">
        <v>1516</v>
      </c>
      <c r="B1517" t="s">
        <v>60</v>
      </c>
      <c r="C1517" t="s">
        <v>60</v>
      </c>
      <c r="D1517" t="s">
        <v>61</v>
      </c>
      <c r="E1517" t="s">
        <v>289</v>
      </c>
      <c r="F1517" s="1">
        <v>42877</v>
      </c>
      <c r="G1517" s="2">
        <v>87.1</v>
      </c>
      <c r="H1517" s="2"/>
      <c r="I1517" s="2">
        <f t="array" ref="I1517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17" s="2"/>
      <c r="K1517" s="2"/>
      <c r="L1517" s="2"/>
      <c r="M1517" s="2">
        <f t="array" ref="M1517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17" s="2">
        <f ca="1">INDEX(INDIRECT(_xlfn.CONCAT("weather.tbl[",N$1,"]")),MATCH(vp.data[[#This Row],[SDate]],weather.tbl[Date],0))</f>
        <v>12.633333333333333</v>
      </c>
      <c r="O1517" s="2">
        <f ca="1">INDEX(INDIRECT(_xlfn.CONCAT("weather.tbl[",O$1,"]")),MATCH(vp.data[[#This Row],[SDate]],weather.tbl[Date],0))</f>
        <v>9.6880952380952383</v>
      </c>
      <c r="P1517" s="2">
        <f ca="1">INDEX(INDIRECT(_xlfn.CONCAT("weather.tbl[",P$1,"]")),MATCH(vp.data[[#This Row],[SDate]],weather.tbl[Date],0))</f>
        <v>12.9</v>
      </c>
      <c r="Q1517" s="2">
        <f ca="1">INDEX(INDIRECT(_xlfn.CONCAT("weather.tbl[",Q$1,"]")),MATCH(vp.data[[#This Row],[SDate]],weather.tbl[Date],0))</f>
        <v>13.1</v>
      </c>
      <c r="R1517" s="2">
        <f ca="1">INDEX(INDIRECT(_xlfn.CONCAT("weather.tbl[",R$1,"]")),MATCH(vp.data[[#This Row],[SDate]],weather.tbl[Date],0))</f>
        <v>12</v>
      </c>
      <c r="S1517" s="2">
        <f ca="1">INDEX(INDIRECT(_xlfn.CONCAT("weather.tbl[",S$1,"]")),MATCH(vp.data[[#This Row],[SDate]],weather.tbl[Date],0))</f>
        <v>12.4</v>
      </c>
      <c r="T1517" s="2">
        <f ca="1">INDEX(INDIRECT(_xlfn.CONCAT("weather.tbl[",T$1,"]")),MATCH(vp.data[[#This Row],[SDate]],weather.tbl[Date],0))</f>
        <v>12.6</v>
      </c>
      <c r="U1517" s="2">
        <f ca="1">INDEX(INDIRECT(_xlfn.CONCAT("weather.tbl[",U$1,"]")),MATCH(vp.data[[#This Row],[SDate]],weather.tbl[Date],0))</f>
        <v>12.8</v>
      </c>
      <c r="V1517" s="2">
        <f t="array" ref="V15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17" t="s">
        <v>48</v>
      </c>
      <c r="X1517">
        <f>IF(OR(vp.data[[#This Row],[Sulf]]="",vp.data[[#This Row],[Dens]]=""),1,0)</f>
        <v>0</v>
      </c>
      <c r="Y1517">
        <f>IF(vp.data[[#This Row],[CrudeType]]="C5+",1,0)</f>
        <v>0</v>
      </c>
      <c r="Z1517">
        <f>IF(AND(vp.data[[#This Row],[CrudeType]]="Crude",vp.data[[#This Row],[Dens]]&lt;=825,vp.data[[#This Row],[Sulf]]&gt;0.5,vp.data[[#This Row],[Unknown]]=0),1,0)</f>
        <v>1</v>
      </c>
      <c r="AA1517">
        <f>IF(AND(vp.data[[#This Row],[CrudeType]]="Crude",vp.data[[#This Row],[Dens]]&lt;=825,vp.data[[#This Row],[Sulf]]&lt;=0.5,vp.data[[#This Row],[Unknown]]=0),1,0)</f>
        <v>0</v>
      </c>
      <c r="AB15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17">
        <f>IF(AND(vp.data[[#This Row],[CrudeType]]="Crude",vp.data[[#This Row],[Dens]]&gt;825,vp.data[[#This Row],[Dens]]&lt;=900,vp.data[[#This Row],[Sulf]]&lt;=0.5,vp.data[[#This Row],[Unknown]]=0),1,0)</f>
        <v>0</v>
      </c>
      <c r="AD1517">
        <f>IF(AND(vp.data[[#This Row],[CrudeType]]="Crude",vp.data[[#This Row],[Dens]]&gt;865,vp.data[[#This Row],[Dens]]&lt;=900,vp.data[[#This Row],[Sulf]]&gt;2,vp.data[[#This Row],[Unknown]]=0),1,0)</f>
        <v>0</v>
      </c>
      <c r="AE1517">
        <f>IF(AND(vp.data[[#This Row],[CrudeType]]="Crude",vp.data[[#This Row],[Dens]]&gt;900,vp.data[[#This Row],[Sulf]]&lt;=0.5,vp.data[[#This Row],[Unknown]]=0),1,0)</f>
        <v>0</v>
      </c>
      <c r="AF1517">
        <f>IF(AND(vp.data[[#This Row],[CrudeType]]="Crude",vp.data[[#This Row],[Dens]]&gt;900,vp.data[[#This Row],[Sulf]]&lt;=0.5,vp.data[[#This Row],[Unknown]]=0),1,0)</f>
        <v>0</v>
      </c>
      <c r="AG1517" t="str">
        <f>INDEX(vp.data[[#Headers],[Unknown]:[Heavy_SW]],MATCH(1,vp.data[[#This Row],[Unknown]:[Heavy_SW]],0))</f>
        <v>Light_LSB</v>
      </c>
      <c r="AH1517">
        <f>INDEX([3]!crudeBD.lkup[Number],MATCH(vp.data[[#This Row],[Crude_Breakdown]],crudeBD.lkup[Crude Breakdown],0))</f>
        <v>1</v>
      </c>
      <c r="AI1517">
        <f>MONTH(vp.data[[#This Row],[SDate]])</f>
        <v>5</v>
      </c>
      <c r="AJ1517" s="5">
        <f>(vp.data[[#This Row],[VP]]-INDEX(crudeBD.lkup[Mean_VP],MATCH(vp.data[[#This Row],[Crude_Breakdown]],crudeBD.lkup[Crude Breakdown],0)))^2</f>
        <v>19.768566096291114</v>
      </c>
      <c r="AK1517" s="5">
        <f>(vp.data[[#This Row],[Dens]]-INDEX(crudeBD.lkup[Mean_Dens],MATCH(vp.data[[#This Row],[Crude_Breakdown]],crudeBD.lkup[Crude Breakdown],0)))^2</f>
        <v>32.299105967104147</v>
      </c>
      <c r="AL1517" s="5">
        <f>(vp.data[[#This Row],[Sulf]]-INDEX(crudeBD.lkup[Mean_Sulf],MATCH(vp.data[[#This Row],[Crude_Breakdown]],crudeBD.lkup[Crude Breakdown],0)))^2</f>
        <v>2.7898630590712313E-2</v>
      </c>
      <c r="AM1517" s="4">
        <f>IF(AND(vp.data[[#This Row],[SDate]]&gt;=DATE(YEAR(vp.data[[#This Row],[SDate]]),5,1),vp.data[[#This Row],[SDate]]&lt;=DATE(YEAR(vp.data[[#This Row],[SDate]]),9,15)),1,0)</f>
        <v>1</v>
      </c>
      <c r="AN1517" s="4">
        <f>IF(vp.data[[#This Row],[SDate]]&lt;DATE(2016,12,1),0,1)</f>
        <v>1</v>
      </c>
      <c r="AO1517" s="4">
        <f>IFERROR(vp.data[[#This Row],[Sulf]]*vp.data[[#This Row],[Net Dens]],"")</f>
        <v>106270937.56302401</v>
      </c>
      <c r="AP1517">
        <f>IFERROR(vp.data[[#This Row],[Dens]]*vp.data[[#This Row],[VolumeM3]],"")</f>
        <v>97496272.993600011</v>
      </c>
      <c r="AQ1517" s="15">
        <f>IFERROR(vp.data[[#This Row],[VP]]*vp.data[[#This Row],[VolumeM3]],"")</f>
        <v>10303233.8968</v>
      </c>
    </row>
    <row r="1518" spans="1:43" x14ac:dyDescent="0.25">
      <c r="A1518">
        <v>1517</v>
      </c>
      <c r="B1518" t="s">
        <v>60</v>
      </c>
      <c r="C1518" t="s">
        <v>60</v>
      </c>
      <c r="D1518" t="s">
        <v>61</v>
      </c>
      <c r="E1518" t="s">
        <v>290</v>
      </c>
      <c r="F1518" s="1">
        <v>42877</v>
      </c>
      <c r="G1518" s="2">
        <v>74.7</v>
      </c>
      <c r="H1518" s="2"/>
      <c r="I1518" s="2">
        <f t="array" ref="I1518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18" s="2"/>
      <c r="K1518" s="2"/>
      <c r="L1518" s="2"/>
      <c r="M1518" s="2">
        <f t="array" ref="M1518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18" s="2">
        <f ca="1">INDEX(INDIRECT(_xlfn.CONCAT("weather.tbl[",N$1,"]")),MATCH(vp.data[[#This Row],[SDate]],weather.tbl[Date],0))</f>
        <v>12.633333333333333</v>
      </c>
      <c r="O1518" s="2">
        <f ca="1">INDEX(INDIRECT(_xlfn.CONCAT("weather.tbl[",O$1,"]")),MATCH(vp.data[[#This Row],[SDate]],weather.tbl[Date],0))</f>
        <v>9.6880952380952383</v>
      </c>
      <c r="P1518" s="2">
        <f ca="1">INDEX(INDIRECT(_xlfn.CONCAT("weather.tbl[",P$1,"]")),MATCH(vp.data[[#This Row],[SDate]],weather.tbl[Date],0))</f>
        <v>12.9</v>
      </c>
      <c r="Q1518" s="2">
        <f ca="1">INDEX(INDIRECT(_xlfn.CONCAT("weather.tbl[",Q$1,"]")),MATCH(vp.data[[#This Row],[SDate]],weather.tbl[Date],0))</f>
        <v>13.1</v>
      </c>
      <c r="R1518" s="2">
        <f ca="1">INDEX(INDIRECT(_xlfn.CONCAT("weather.tbl[",R$1,"]")),MATCH(vp.data[[#This Row],[SDate]],weather.tbl[Date],0))</f>
        <v>12</v>
      </c>
      <c r="S1518" s="2">
        <f ca="1">INDEX(INDIRECT(_xlfn.CONCAT("weather.tbl[",S$1,"]")),MATCH(vp.data[[#This Row],[SDate]],weather.tbl[Date],0))</f>
        <v>12.4</v>
      </c>
      <c r="T1518" s="2">
        <f ca="1">INDEX(INDIRECT(_xlfn.CONCAT("weather.tbl[",T$1,"]")),MATCH(vp.data[[#This Row],[SDate]],weather.tbl[Date],0))</f>
        <v>12.6</v>
      </c>
      <c r="U1518" s="2">
        <f ca="1">INDEX(INDIRECT(_xlfn.CONCAT("weather.tbl[",U$1,"]")),MATCH(vp.data[[#This Row],[SDate]],weather.tbl[Date],0))</f>
        <v>12.8</v>
      </c>
      <c r="V1518" s="2">
        <f t="array" ref="V15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18" t="s">
        <v>48</v>
      </c>
      <c r="X1518">
        <f>IF(OR(vp.data[[#This Row],[Sulf]]="",vp.data[[#This Row],[Dens]]=""),1,0)</f>
        <v>0</v>
      </c>
      <c r="Y1518">
        <f>IF(vp.data[[#This Row],[CrudeType]]="C5+",1,0)</f>
        <v>0</v>
      </c>
      <c r="Z1518">
        <f>IF(AND(vp.data[[#This Row],[CrudeType]]="Crude",vp.data[[#This Row],[Dens]]&lt;=825,vp.data[[#This Row],[Sulf]]&gt;0.5,vp.data[[#This Row],[Unknown]]=0),1,0)</f>
        <v>1</v>
      </c>
      <c r="AA1518">
        <f>IF(AND(vp.data[[#This Row],[CrudeType]]="Crude",vp.data[[#This Row],[Dens]]&lt;=825,vp.data[[#This Row],[Sulf]]&lt;=0.5,vp.data[[#This Row],[Unknown]]=0),1,0)</f>
        <v>0</v>
      </c>
      <c r="AB15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18">
        <f>IF(AND(vp.data[[#This Row],[CrudeType]]="Crude",vp.data[[#This Row],[Dens]]&gt;825,vp.data[[#This Row],[Dens]]&lt;=900,vp.data[[#This Row],[Sulf]]&lt;=0.5,vp.data[[#This Row],[Unknown]]=0),1,0)</f>
        <v>0</v>
      </c>
      <c r="AD1518">
        <f>IF(AND(vp.data[[#This Row],[CrudeType]]="Crude",vp.data[[#This Row],[Dens]]&gt;865,vp.data[[#This Row],[Dens]]&lt;=900,vp.data[[#This Row],[Sulf]]&gt;2,vp.data[[#This Row],[Unknown]]=0),1,0)</f>
        <v>0</v>
      </c>
      <c r="AE1518">
        <f>IF(AND(vp.data[[#This Row],[CrudeType]]="Crude",vp.data[[#This Row],[Dens]]&gt;900,vp.data[[#This Row],[Sulf]]&lt;=0.5,vp.data[[#This Row],[Unknown]]=0),1,0)</f>
        <v>0</v>
      </c>
      <c r="AF1518">
        <f>IF(AND(vp.data[[#This Row],[CrudeType]]="Crude",vp.data[[#This Row],[Dens]]&gt;900,vp.data[[#This Row],[Sulf]]&lt;=0.5,vp.data[[#This Row],[Unknown]]=0),1,0)</f>
        <v>0</v>
      </c>
      <c r="AG1518" t="str">
        <f>INDEX(vp.data[[#Headers],[Unknown]:[Heavy_SW]],MATCH(1,vp.data[[#This Row],[Unknown]:[Heavy_SW]],0))</f>
        <v>Light_LSB</v>
      </c>
      <c r="AH1518">
        <f>INDEX([3]!crudeBD.lkup[Number],MATCH(vp.data[[#This Row],[Crude_Breakdown]],crudeBD.lkup[Crude Breakdown],0))</f>
        <v>1</v>
      </c>
      <c r="AI1518">
        <f>MONTH(vp.data[[#This Row],[SDate]])</f>
        <v>5</v>
      </c>
      <c r="AJ1518" s="5">
        <f>(vp.data[[#This Row],[VP]]-INDEX(crudeBD.lkup[Mean_VP],MATCH(vp.data[[#This Row],[Crude_Breakdown]],crudeBD.lkup[Crude Breakdown],0)))^2</f>
        <v>283.79396815814738</v>
      </c>
      <c r="AK1518" s="5">
        <f>(vp.data[[#This Row],[Dens]]-INDEX(crudeBD.lkup[Mean_Dens],MATCH(vp.data[[#This Row],[Crude_Breakdown]],crudeBD.lkup[Crude Breakdown],0)))^2</f>
        <v>32.299105967104147</v>
      </c>
      <c r="AL1518" s="5">
        <f>(vp.data[[#This Row],[Sulf]]-INDEX(crudeBD.lkup[Mean_Sulf],MATCH(vp.data[[#This Row],[Crude_Breakdown]],crudeBD.lkup[Crude Breakdown],0)))^2</f>
        <v>2.7898630590712313E-2</v>
      </c>
      <c r="AM1518" s="4">
        <f>IF(AND(vp.data[[#This Row],[SDate]]&gt;=DATE(YEAR(vp.data[[#This Row],[SDate]]),5,1),vp.data[[#This Row],[SDate]]&lt;=DATE(YEAR(vp.data[[#This Row],[SDate]]),9,15)),1,0)</f>
        <v>1</v>
      </c>
      <c r="AN1518" s="4">
        <f>IF(vp.data[[#This Row],[SDate]]&lt;DATE(2016,12,1),0,1)</f>
        <v>1</v>
      </c>
      <c r="AO1518" s="4">
        <f>IFERROR(vp.data[[#This Row],[Sulf]]*vp.data[[#This Row],[Net Dens]],"")</f>
        <v>106270937.56302401</v>
      </c>
      <c r="AP1518">
        <f>IFERROR(vp.data[[#This Row],[Dens]]*vp.data[[#This Row],[VolumeM3]],"")</f>
        <v>97496272.993600011</v>
      </c>
      <c r="AQ1518" s="15">
        <f>IFERROR(vp.data[[#This Row],[VP]]*vp.data[[#This Row],[VolumeM3]],"")</f>
        <v>8836412.9976000004</v>
      </c>
    </row>
    <row r="1519" spans="1:43" x14ac:dyDescent="0.25">
      <c r="A1519">
        <v>1518</v>
      </c>
      <c r="B1519" t="s">
        <v>49</v>
      </c>
      <c r="C1519" t="s">
        <v>49</v>
      </c>
      <c r="D1519" t="s">
        <v>90</v>
      </c>
      <c r="F1519" s="1">
        <v>42877</v>
      </c>
      <c r="G1519" s="2">
        <v>66.5</v>
      </c>
      <c r="H1519" s="2"/>
      <c r="I1519" s="2">
        <f t="array" ref="I1519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519" s="2"/>
      <c r="K1519" s="2"/>
      <c r="L1519" s="2"/>
      <c r="M1519" s="2">
        <f t="array" ref="M1519">_xlfn.IFNA(IF(vp.data[[#This Row],[Dens Input]]="",INDEX([1]DATA!$O$3:$O$9826,MATCH(1,(vp.data[[#This Row],[Battery]]=[1]DATA!$L$3:$L$9826)*(EOMONTH(vp.data[[#This Row],[SDate]],-1)+1=[1]DATA!$G$3:$G$9826),0)),vp.data[[#This Row],[Dens Input]]),"")</f>
        <v>847.4</v>
      </c>
      <c r="N1519" s="2">
        <f ca="1">INDEX(INDIRECT(_xlfn.CONCAT("weather.tbl[",N$1,"]")),MATCH(vp.data[[#This Row],[SDate]],weather.tbl[Date],0))</f>
        <v>12.633333333333333</v>
      </c>
      <c r="O1519" s="2">
        <f ca="1">INDEX(INDIRECT(_xlfn.CONCAT("weather.tbl[",O$1,"]")),MATCH(vp.data[[#This Row],[SDate]],weather.tbl[Date],0))</f>
        <v>9.6880952380952383</v>
      </c>
      <c r="P1519" s="2">
        <f ca="1">INDEX(INDIRECT(_xlfn.CONCAT("weather.tbl[",P$1,"]")),MATCH(vp.data[[#This Row],[SDate]],weather.tbl[Date],0))</f>
        <v>12.9</v>
      </c>
      <c r="Q1519" s="2">
        <f ca="1">INDEX(INDIRECT(_xlfn.CONCAT("weather.tbl[",Q$1,"]")),MATCH(vp.data[[#This Row],[SDate]],weather.tbl[Date],0))</f>
        <v>13.1</v>
      </c>
      <c r="R1519" s="2">
        <f ca="1">INDEX(INDIRECT(_xlfn.CONCAT("weather.tbl[",R$1,"]")),MATCH(vp.data[[#This Row],[SDate]],weather.tbl[Date],0))</f>
        <v>12</v>
      </c>
      <c r="S1519" s="2">
        <f ca="1">INDEX(INDIRECT(_xlfn.CONCAT("weather.tbl[",S$1,"]")),MATCH(vp.data[[#This Row],[SDate]],weather.tbl[Date],0))</f>
        <v>12.4</v>
      </c>
      <c r="T1519" s="2">
        <f ca="1">INDEX(INDIRECT(_xlfn.CONCAT("weather.tbl[",T$1,"]")),MATCH(vp.data[[#This Row],[SDate]],weather.tbl[Date],0))</f>
        <v>12.6</v>
      </c>
      <c r="U1519" s="2">
        <f ca="1">INDEX(INDIRECT(_xlfn.CONCAT("weather.tbl[",U$1,"]")),MATCH(vp.data[[#This Row],[SDate]],weather.tbl[Date],0))</f>
        <v>12.8</v>
      </c>
      <c r="V1519" s="2">
        <f t="array" ref="V15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4681.2809999999999</v>
      </c>
      <c r="W1519" t="s">
        <v>48</v>
      </c>
      <c r="X1519">
        <f>IF(OR(vp.data[[#This Row],[Sulf]]="",vp.data[[#This Row],[Dens]]=""),1,0)</f>
        <v>0</v>
      </c>
      <c r="Y1519">
        <f>IF(vp.data[[#This Row],[CrudeType]]="C5+",1,0)</f>
        <v>0</v>
      </c>
      <c r="Z1519">
        <f>IF(AND(vp.data[[#This Row],[CrudeType]]="Crude",vp.data[[#This Row],[Dens]]&lt;=825,vp.data[[#This Row],[Sulf]]&gt;0.5,vp.data[[#This Row],[Unknown]]=0),1,0)</f>
        <v>0</v>
      </c>
      <c r="AA1519">
        <f>IF(AND(vp.data[[#This Row],[CrudeType]]="Crude",vp.data[[#This Row],[Dens]]&lt;=825,vp.data[[#This Row],[Sulf]]&lt;=0.5,vp.data[[#This Row],[Unknown]]=0),1,0)</f>
        <v>0</v>
      </c>
      <c r="AB15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19">
        <f>IF(AND(vp.data[[#This Row],[CrudeType]]="Crude",vp.data[[#This Row],[Dens]]&gt;825,vp.data[[#This Row],[Dens]]&lt;=900,vp.data[[#This Row],[Sulf]]&lt;=0.5,vp.data[[#This Row],[Unknown]]=0),1,0)</f>
        <v>0</v>
      </c>
      <c r="AD1519">
        <f>IF(AND(vp.data[[#This Row],[CrudeType]]="Crude",vp.data[[#This Row],[Dens]]&gt;865,vp.data[[#This Row],[Dens]]&lt;=900,vp.data[[#This Row],[Sulf]]&gt;2,vp.data[[#This Row],[Unknown]]=0),1,0)</f>
        <v>0</v>
      </c>
      <c r="AE1519">
        <f>IF(AND(vp.data[[#This Row],[CrudeType]]="Crude",vp.data[[#This Row],[Dens]]&gt;900,vp.data[[#This Row],[Sulf]]&lt;=0.5,vp.data[[#This Row],[Unknown]]=0),1,0)</f>
        <v>0</v>
      </c>
      <c r="AF1519">
        <f>IF(AND(vp.data[[#This Row],[CrudeType]]="Crude",vp.data[[#This Row],[Dens]]&gt;900,vp.data[[#This Row],[Sulf]]&lt;=0.5,vp.data[[#This Row],[Unknown]]=0),1,0)</f>
        <v>0</v>
      </c>
      <c r="AG1519" t="str">
        <f>INDEX(vp.data[[#Headers],[Unknown]:[Heavy_SW]],MATCH(1,vp.data[[#This Row],[Unknown]:[Heavy_SW]],0))</f>
        <v>Medium_LSB</v>
      </c>
      <c r="AH1519">
        <f>INDEX([3]!crudeBD.lkup[Number],MATCH(vp.data[[#This Row],[Crude_Breakdown]],crudeBD.lkup[Crude Breakdown],0))</f>
        <v>3</v>
      </c>
      <c r="AI1519">
        <f>MONTH(vp.data[[#This Row],[SDate]])</f>
        <v>5</v>
      </c>
      <c r="AJ1519" s="5">
        <f>(vp.data[[#This Row],[VP]]-INDEX(crudeBD.lkup[Mean_VP],MATCH(vp.data[[#This Row],[Crude_Breakdown]],crudeBD.lkup[Crude Breakdown],0)))^2</f>
        <v>199.93045293480665</v>
      </c>
      <c r="AK1519" s="5">
        <f>(vp.data[[#This Row],[Dens]]-INDEX(crudeBD.lkup[Mean_Dens],MATCH(vp.data[[#This Row],[Crude_Breakdown]],crudeBD.lkup[Crude Breakdown],0)))^2</f>
        <v>12.110400000003292</v>
      </c>
      <c r="AL1519" s="5">
        <f>(vp.data[[#This Row],[Sulf]]-INDEX(crudeBD.lkup[Mean_Sulf],MATCH(vp.data[[#This Row],[Crude_Breakdown]],crudeBD.lkup[Crude Breakdown],0)))^2</f>
        <v>1.1110873171164612E-2</v>
      </c>
      <c r="AM1519" s="4">
        <f>IF(AND(vp.data[[#This Row],[SDate]]&gt;=DATE(YEAR(vp.data[[#This Row],[SDate]]),5,1),vp.data[[#This Row],[SDate]]&lt;=DATE(YEAR(vp.data[[#This Row],[SDate]]),9,15)),1,0)</f>
        <v>1</v>
      </c>
      <c r="AN1519" s="4">
        <f>IF(vp.data[[#This Row],[SDate]]&lt;DATE(2016,12,1),0,1)</f>
        <v>1</v>
      </c>
      <c r="AO1519" s="4">
        <f>IFERROR(vp.data[[#This Row],[Sulf]]*vp.data[[#This Row],[Net Dens]],"")</f>
        <v>5077654.4248319995</v>
      </c>
      <c r="AP1519">
        <f>IFERROR(vp.data[[#This Row],[Dens]]*vp.data[[#This Row],[VolumeM3]],"")</f>
        <v>3966917.5193999996</v>
      </c>
      <c r="AQ1519" s="15">
        <f>IFERROR(vp.data[[#This Row],[VP]]*vp.data[[#This Row],[VolumeM3]],"")</f>
        <v>311305.18650000001</v>
      </c>
    </row>
    <row r="1520" spans="1:43" x14ac:dyDescent="0.25">
      <c r="A1520">
        <v>1519</v>
      </c>
      <c r="B1520" t="s">
        <v>49</v>
      </c>
      <c r="C1520" t="s">
        <v>49</v>
      </c>
      <c r="D1520" t="s">
        <v>59</v>
      </c>
      <c r="F1520" s="1">
        <v>42877</v>
      </c>
      <c r="G1520" s="2">
        <v>75.599999999999994</v>
      </c>
      <c r="H1520" s="2"/>
      <c r="I1520" s="2">
        <f t="array" ref="I1520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520" s="2"/>
      <c r="K1520" s="2"/>
      <c r="L1520" s="2"/>
      <c r="M1520" s="2">
        <f t="array" ref="M1520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1520" s="2">
        <f ca="1">INDEX(INDIRECT(_xlfn.CONCAT("weather.tbl[",N$1,"]")),MATCH(vp.data[[#This Row],[SDate]],weather.tbl[Date],0))</f>
        <v>12.633333333333333</v>
      </c>
      <c r="O1520" s="2">
        <f ca="1">INDEX(INDIRECT(_xlfn.CONCAT("weather.tbl[",O$1,"]")),MATCH(vp.data[[#This Row],[SDate]],weather.tbl[Date],0))</f>
        <v>9.6880952380952383</v>
      </c>
      <c r="P1520" s="2">
        <f ca="1">INDEX(INDIRECT(_xlfn.CONCAT("weather.tbl[",P$1,"]")),MATCH(vp.data[[#This Row],[SDate]],weather.tbl[Date],0))</f>
        <v>12.9</v>
      </c>
      <c r="Q1520" s="2">
        <f ca="1">INDEX(INDIRECT(_xlfn.CONCAT("weather.tbl[",Q$1,"]")),MATCH(vp.data[[#This Row],[SDate]],weather.tbl[Date],0))</f>
        <v>13.1</v>
      </c>
      <c r="R1520" s="2">
        <f ca="1">INDEX(INDIRECT(_xlfn.CONCAT("weather.tbl[",R$1,"]")),MATCH(vp.data[[#This Row],[SDate]],weather.tbl[Date],0))</f>
        <v>12</v>
      </c>
      <c r="S1520" s="2">
        <f ca="1">INDEX(INDIRECT(_xlfn.CONCAT("weather.tbl[",S$1,"]")),MATCH(vp.data[[#This Row],[SDate]],weather.tbl[Date],0))</f>
        <v>12.4</v>
      </c>
      <c r="T1520" s="2">
        <f ca="1">INDEX(INDIRECT(_xlfn.CONCAT("weather.tbl[",T$1,"]")),MATCH(vp.data[[#This Row],[SDate]],weather.tbl[Date],0))</f>
        <v>12.6</v>
      </c>
      <c r="U1520" s="2">
        <f ca="1">INDEX(INDIRECT(_xlfn.CONCAT("weather.tbl[",U$1,"]")),MATCH(vp.data[[#This Row],[SDate]],weather.tbl[Date],0))</f>
        <v>12.8</v>
      </c>
      <c r="V1520" s="2">
        <f t="array" ref="V15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1309.8610000000001</v>
      </c>
      <c r="W1520" t="s">
        <v>48</v>
      </c>
      <c r="X1520">
        <f>IF(OR(vp.data[[#This Row],[Sulf]]="",vp.data[[#This Row],[Dens]]=""),1,0)</f>
        <v>0</v>
      </c>
      <c r="Y1520">
        <f>IF(vp.data[[#This Row],[CrudeType]]="C5+",1,0)</f>
        <v>0</v>
      </c>
      <c r="Z1520">
        <f>IF(AND(vp.data[[#This Row],[CrudeType]]="Crude",vp.data[[#This Row],[Dens]]&lt;=825,vp.data[[#This Row],[Sulf]]&gt;0.5,vp.data[[#This Row],[Unknown]]=0),1,0)</f>
        <v>0</v>
      </c>
      <c r="AA1520">
        <f>IF(AND(vp.data[[#This Row],[CrudeType]]="Crude",vp.data[[#This Row],[Dens]]&lt;=825,vp.data[[#This Row],[Sulf]]&lt;=0.5,vp.data[[#This Row],[Unknown]]=0),1,0)</f>
        <v>0</v>
      </c>
      <c r="AB15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0">
        <f>IF(AND(vp.data[[#This Row],[CrudeType]]="Crude",vp.data[[#This Row],[Dens]]&gt;825,vp.data[[#This Row],[Dens]]&lt;=900,vp.data[[#This Row],[Sulf]]&lt;=0.5,vp.data[[#This Row],[Unknown]]=0),1,0)</f>
        <v>0</v>
      </c>
      <c r="AD1520">
        <f>IF(AND(vp.data[[#This Row],[CrudeType]]="Crude",vp.data[[#This Row],[Dens]]&gt;865,vp.data[[#This Row],[Dens]]&lt;=900,vp.data[[#This Row],[Sulf]]&gt;2,vp.data[[#This Row],[Unknown]]=0),1,0)</f>
        <v>0</v>
      </c>
      <c r="AE1520">
        <f>IF(AND(vp.data[[#This Row],[CrudeType]]="Crude",vp.data[[#This Row],[Dens]]&gt;900,vp.data[[#This Row],[Sulf]]&lt;=0.5,vp.data[[#This Row],[Unknown]]=0),1,0)</f>
        <v>0</v>
      </c>
      <c r="AF1520">
        <f>IF(AND(vp.data[[#This Row],[CrudeType]]="Crude",vp.data[[#This Row],[Dens]]&gt;900,vp.data[[#This Row],[Sulf]]&lt;=0.5,vp.data[[#This Row],[Unknown]]=0),1,0)</f>
        <v>0</v>
      </c>
      <c r="AG1520" t="str">
        <f>INDEX(vp.data[[#Headers],[Unknown]:[Heavy_SW]],MATCH(1,vp.data[[#This Row],[Unknown]:[Heavy_SW]],0))</f>
        <v>Medium_LSB</v>
      </c>
      <c r="AH1520">
        <f>INDEX([3]!crudeBD.lkup[Number],MATCH(vp.data[[#This Row],[Crude_Breakdown]],crudeBD.lkup[Crude Breakdown],0))</f>
        <v>3</v>
      </c>
      <c r="AI1520">
        <f>MONTH(vp.data[[#This Row],[SDate]])</f>
        <v>5</v>
      </c>
      <c r="AJ1520" s="5">
        <f>(vp.data[[#This Row],[VP]]-INDEX(crudeBD.lkup[Mean_VP],MATCH(vp.data[[#This Row],[Crude_Breakdown]],crudeBD.lkup[Crude Breakdown],0)))^2</f>
        <v>25.398339727260836</v>
      </c>
      <c r="AK1520" s="5">
        <f>(vp.data[[#This Row],[Dens]]-INDEX(crudeBD.lkup[Mean_Dens],MATCH(vp.data[[#This Row],[Crude_Breakdown]],crudeBD.lkup[Crude Breakdown],0)))^2</f>
        <v>1.1664000000010706</v>
      </c>
      <c r="AL1520" s="5">
        <f>(vp.data[[#This Row],[Sulf]]-INDEX(crudeBD.lkup[Mean_Sulf],MATCH(vp.data[[#This Row],[Crude_Breakdown]],crudeBD.lkup[Crude Breakdown],0)))^2</f>
        <v>1.9884351657733202E-3</v>
      </c>
      <c r="AM1520" s="4">
        <f>IF(AND(vp.data[[#This Row],[SDate]]&gt;=DATE(YEAR(vp.data[[#This Row],[SDate]]),5,1),vp.data[[#This Row],[SDate]]&lt;=DATE(YEAR(vp.data[[#This Row],[SDate]]),9,15)),1,0)</f>
        <v>1</v>
      </c>
      <c r="AN1520" s="4">
        <f>IF(vp.data[[#This Row],[SDate]]&lt;DATE(2016,12,1),0,1)</f>
        <v>1</v>
      </c>
      <c r="AO1520" s="4">
        <f>IFERROR(vp.data[[#This Row],[Sulf]]*vp.data[[#This Row],[Net Dens]],"")</f>
        <v>1582770.5393500002</v>
      </c>
      <c r="AP1520">
        <f>IFERROR(vp.data[[#This Row],[Dens]]*vp.data[[#This Row],[VolumeM3]],"")</f>
        <v>1106832.5450000002</v>
      </c>
      <c r="AQ1520" s="15">
        <f>IFERROR(vp.data[[#This Row],[VP]]*vp.data[[#This Row],[VolumeM3]],"")</f>
        <v>99025.491599999994</v>
      </c>
    </row>
    <row r="1521" spans="1:43" x14ac:dyDescent="0.25">
      <c r="A1521">
        <v>1520</v>
      </c>
      <c r="B1521" t="s">
        <v>49</v>
      </c>
      <c r="C1521" t="s">
        <v>49</v>
      </c>
      <c r="D1521" t="s">
        <v>81</v>
      </c>
      <c r="F1521" s="1">
        <v>42877</v>
      </c>
      <c r="G1521" s="2">
        <v>69.900000000000006</v>
      </c>
      <c r="H1521" s="2"/>
      <c r="I1521" s="2">
        <f t="array" ref="I1521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521" s="2"/>
      <c r="K1521" s="2"/>
      <c r="L1521" s="2"/>
      <c r="M1521" s="2">
        <f t="array" ref="M1521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521" s="2">
        <f ca="1">INDEX(INDIRECT(_xlfn.CONCAT("weather.tbl[",N$1,"]")),MATCH(vp.data[[#This Row],[SDate]],weather.tbl[Date],0))</f>
        <v>12.633333333333333</v>
      </c>
      <c r="O1521" s="2">
        <f ca="1">INDEX(INDIRECT(_xlfn.CONCAT("weather.tbl[",O$1,"]")),MATCH(vp.data[[#This Row],[SDate]],weather.tbl[Date],0))</f>
        <v>9.6880952380952383</v>
      </c>
      <c r="P1521" s="2">
        <f ca="1">INDEX(INDIRECT(_xlfn.CONCAT("weather.tbl[",P$1,"]")),MATCH(vp.data[[#This Row],[SDate]],weather.tbl[Date],0))</f>
        <v>12.9</v>
      </c>
      <c r="Q1521" s="2">
        <f ca="1">INDEX(INDIRECT(_xlfn.CONCAT("weather.tbl[",Q$1,"]")),MATCH(vp.data[[#This Row],[SDate]],weather.tbl[Date],0))</f>
        <v>13.1</v>
      </c>
      <c r="R1521" s="2">
        <f ca="1">INDEX(INDIRECT(_xlfn.CONCAT("weather.tbl[",R$1,"]")),MATCH(vp.data[[#This Row],[SDate]],weather.tbl[Date],0))</f>
        <v>12</v>
      </c>
      <c r="S1521" s="2">
        <f ca="1">INDEX(INDIRECT(_xlfn.CONCAT("weather.tbl[",S$1,"]")),MATCH(vp.data[[#This Row],[SDate]],weather.tbl[Date],0))</f>
        <v>12.4</v>
      </c>
      <c r="T1521" s="2">
        <f ca="1">INDEX(INDIRECT(_xlfn.CONCAT("weather.tbl[",T$1,"]")),MATCH(vp.data[[#This Row],[SDate]],weather.tbl[Date],0))</f>
        <v>12.6</v>
      </c>
      <c r="U1521" s="2">
        <f ca="1">INDEX(INDIRECT(_xlfn.CONCAT("weather.tbl[",U$1,"]")),MATCH(vp.data[[#This Row],[SDate]],weather.tbl[Date],0))</f>
        <v>12.8</v>
      </c>
      <c r="V1521" s="2">
        <f t="array" ref="V15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19932.741000000002</v>
      </c>
      <c r="W1521" t="s">
        <v>48</v>
      </c>
      <c r="X1521">
        <f>IF(OR(vp.data[[#This Row],[Sulf]]="",vp.data[[#This Row],[Dens]]=""),1,0)</f>
        <v>0</v>
      </c>
      <c r="Y1521">
        <f>IF(vp.data[[#This Row],[CrudeType]]="C5+",1,0)</f>
        <v>0</v>
      </c>
      <c r="Z1521">
        <f>IF(AND(vp.data[[#This Row],[CrudeType]]="Crude",vp.data[[#This Row],[Dens]]&lt;=825,vp.data[[#This Row],[Sulf]]&gt;0.5,vp.data[[#This Row],[Unknown]]=0),1,0)</f>
        <v>1</v>
      </c>
      <c r="AA1521">
        <f>IF(AND(vp.data[[#This Row],[CrudeType]]="Crude",vp.data[[#This Row],[Dens]]&lt;=825,vp.data[[#This Row],[Sulf]]&lt;=0.5,vp.data[[#This Row],[Unknown]]=0),1,0)</f>
        <v>0</v>
      </c>
      <c r="AB15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21">
        <f>IF(AND(vp.data[[#This Row],[CrudeType]]="Crude",vp.data[[#This Row],[Dens]]&gt;825,vp.data[[#This Row],[Dens]]&lt;=900,vp.data[[#This Row],[Sulf]]&lt;=0.5,vp.data[[#This Row],[Unknown]]=0),1,0)</f>
        <v>0</v>
      </c>
      <c r="AD1521">
        <f>IF(AND(vp.data[[#This Row],[CrudeType]]="Crude",vp.data[[#This Row],[Dens]]&gt;865,vp.data[[#This Row],[Dens]]&lt;=900,vp.data[[#This Row],[Sulf]]&gt;2,vp.data[[#This Row],[Unknown]]=0),1,0)</f>
        <v>0</v>
      </c>
      <c r="AE1521">
        <f>IF(AND(vp.data[[#This Row],[CrudeType]]="Crude",vp.data[[#This Row],[Dens]]&gt;900,vp.data[[#This Row],[Sulf]]&lt;=0.5,vp.data[[#This Row],[Unknown]]=0),1,0)</f>
        <v>0</v>
      </c>
      <c r="AF1521">
        <f>IF(AND(vp.data[[#This Row],[CrudeType]]="Crude",vp.data[[#This Row],[Dens]]&gt;900,vp.data[[#This Row],[Sulf]]&lt;=0.5,vp.data[[#This Row],[Unknown]]=0),1,0)</f>
        <v>0</v>
      </c>
      <c r="AG1521" t="str">
        <f>INDEX(vp.data[[#Headers],[Unknown]:[Heavy_SW]],MATCH(1,vp.data[[#This Row],[Unknown]:[Heavy_SW]],0))</f>
        <v>Light_LSB</v>
      </c>
      <c r="AH1521">
        <f>INDEX([3]!crudeBD.lkup[Number],MATCH(vp.data[[#This Row],[Crude_Breakdown]],crudeBD.lkup[Crude Breakdown],0))</f>
        <v>1</v>
      </c>
      <c r="AI1521">
        <f>MONTH(vp.data[[#This Row],[SDate]])</f>
        <v>5</v>
      </c>
      <c r="AJ1521" s="5">
        <f>(vp.data[[#This Row],[VP]]-INDEX(crudeBD.lkup[Mean_VP],MATCH(vp.data[[#This Row],[Crude_Breakdown]],crudeBD.lkup[Crude Breakdown],0)))^2</f>
        <v>468.5573496014465</v>
      </c>
      <c r="AK1521" s="5">
        <f>(vp.data[[#This Row],[Dens]]-INDEX(crudeBD.lkup[Mean_Dens],MATCH(vp.data[[#This Row],[Crude_Breakdown]],crudeBD.lkup[Crude Breakdown],0)))^2</f>
        <v>38.232336207654335</v>
      </c>
      <c r="AL1521" s="5">
        <f>(vp.data[[#This Row],[Sulf]]-INDEX(crudeBD.lkup[Mean_Sulf],MATCH(vp.data[[#This Row],[Crude_Breakdown]],crudeBD.lkup[Crude Breakdown],0)))^2</f>
        <v>0.15442633918177728</v>
      </c>
      <c r="AM1521" s="4">
        <f>IF(AND(vp.data[[#This Row],[SDate]]&gt;=DATE(YEAR(vp.data[[#This Row],[SDate]]),5,1),vp.data[[#This Row],[SDate]]&lt;=DATE(YEAR(vp.data[[#This Row],[SDate]]),9,15)),1,0)</f>
        <v>1</v>
      </c>
      <c r="AN1521" s="4">
        <f>IF(vp.data[[#This Row],[SDate]]&lt;DATE(2016,12,1),0,1)</f>
        <v>1</v>
      </c>
      <c r="AO1521" s="4">
        <f>IFERROR(vp.data[[#This Row],[Sulf]]*vp.data[[#This Row],[Net Dens]],"")</f>
        <v>8712421.6964310016</v>
      </c>
      <c r="AP1521">
        <f>IFERROR(vp.data[[#This Row],[Dens]]*vp.data[[#This Row],[VolumeM3]],"")</f>
        <v>16438531.502700003</v>
      </c>
      <c r="AQ1521" s="15">
        <f>IFERROR(vp.data[[#This Row],[VP]]*vp.data[[#This Row],[VolumeM3]],"")</f>
        <v>1393298.5959000003</v>
      </c>
    </row>
    <row r="1522" spans="1:43" x14ac:dyDescent="0.25">
      <c r="A1522">
        <v>1521</v>
      </c>
      <c r="B1522" t="s">
        <v>49</v>
      </c>
      <c r="C1522" t="s">
        <v>49</v>
      </c>
      <c r="D1522" t="s">
        <v>70</v>
      </c>
      <c r="F1522" s="1">
        <v>42877</v>
      </c>
      <c r="G1522" s="2">
        <v>74</v>
      </c>
      <c r="H1522" s="2"/>
      <c r="I1522" s="2">
        <f t="array" ref="I1522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522" s="2"/>
      <c r="K1522" s="2"/>
      <c r="L1522" s="2"/>
      <c r="M1522" s="2">
        <f t="array" ref="M1522">_xlfn.IFNA(IF(vp.data[[#This Row],[Dens Input]]="",INDEX([1]DATA!$O$3:$O$9826,MATCH(1,(vp.data[[#This Row],[Battery]]=[1]DATA!$L$3:$L$9826)*(EOMONTH(vp.data[[#This Row],[SDate]],-1)+1=[1]DATA!$G$3:$G$9826),0)),vp.data[[#This Row],[Dens Input]]),"")</f>
        <v>834.5</v>
      </c>
      <c r="N1522" s="2">
        <f ca="1">INDEX(INDIRECT(_xlfn.CONCAT("weather.tbl[",N$1,"]")),MATCH(vp.data[[#This Row],[SDate]],weather.tbl[Date],0))</f>
        <v>12.633333333333333</v>
      </c>
      <c r="O1522" s="2">
        <f ca="1">INDEX(INDIRECT(_xlfn.CONCAT("weather.tbl[",O$1,"]")),MATCH(vp.data[[#This Row],[SDate]],weather.tbl[Date],0))</f>
        <v>9.6880952380952383</v>
      </c>
      <c r="P1522" s="2">
        <f ca="1">INDEX(INDIRECT(_xlfn.CONCAT("weather.tbl[",P$1,"]")),MATCH(vp.data[[#This Row],[SDate]],weather.tbl[Date],0))</f>
        <v>12.9</v>
      </c>
      <c r="Q1522" s="2">
        <f ca="1">INDEX(INDIRECT(_xlfn.CONCAT("weather.tbl[",Q$1,"]")),MATCH(vp.data[[#This Row],[SDate]],weather.tbl[Date],0))</f>
        <v>13.1</v>
      </c>
      <c r="R1522" s="2">
        <f ca="1">INDEX(INDIRECT(_xlfn.CONCAT("weather.tbl[",R$1,"]")),MATCH(vp.data[[#This Row],[SDate]],weather.tbl[Date],0))</f>
        <v>12</v>
      </c>
      <c r="S1522" s="2">
        <f ca="1">INDEX(INDIRECT(_xlfn.CONCAT("weather.tbl[",S$1,"]")),MATCH(vp.data[[#This Row],[SDate]],weather.tbl[Date],0))</f>
        <v>12.4</v>
      </c>
      <c r="T1522" s="2">
        <f ca="1">INDEX(INDIRECT(_xlfn.CONCAT("weather.tbl[",T$1,"]")),MATCH(vp.data[[#This Row],[SDate]],weather.tbl[Date],0))</f>
        <v>12.6</v>
      </c>
      <c r="U1522" s="2">
        <f ca="1">INDEX(INDIRECT(_xlfn.CONCAT("weather.tbl[",U$1,"]")),MATCH(vp.data[[#This Row],[SDate]],weather.tbl[Date],0))</f>
        <v>12.8</v>
      </c>
      <c r="V1522" s="2">
        <f t="array" ref="V15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2413.8069999999998</v>
      </c>
      <c r="W1522" t="s">
        <v>48</v>
      </c>
      <c r="X1522">
        <f>IF(OR(vp.data[[#This Row],[Sulf]]="",vp.data[[#This Row],[Dens]]=""),1,0)</f>
        <v>0</v>
      </c>
      <c r="Y1522">
        <f>IF(vp.data[[#This Row],[CrudeType]]="C5+",1,0)</f>
        <v>0</v>
      </c>
      <c r="Z1522">
        <f>IF(AND(vp.data[[#This Row],[CrudeType]]="Crude",vp.data[[#This Row],[Dens]]&lt;=825,vp.data[[#This Row],[Sulf]]&gt;0.5,vp.data[[#This Row],[Unknown]]=0),1,0)</f>
        <v>0</v>
      </c>
      <c r="AA1522">
        <f>IF(AND(vp.data[[#This Row],[CrudeType]]="Crude",vp.data[[#This Row],[Dens]]&lt;=825,vp.data[[#This Row],[Sulf]]&lt;=0.5,vp.data[[#This Row],[Unknown]]=0),1,0)</f>
        <v>0</v>
      </c>
      <c r="AB15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2">
        <f>IF(AND(vp.data[[#This Row],[CrudeType]]="Crude",vp.data[[#This Row],[Dens]]&gt;825,vp.data[[#This Row],[Dens]]&lt;=900,vp.data[[#This Row],[Sulf]]&lt;=0.5,vp.data[[#This Row],[Unknown]]=0),1,0)</f>
        <v>0</v>
      </c>
      <c r="AD1522">
        <f>IF(AND(vp.data[[#This Row],[CrudeType]]="Crude",vp.data[[#This Row],[Dens]]&gt;865,vp.data[[#This Row],[Dens]]&lt;=900,vp.data[[#This Row],[Sulf]]&gt;2,vp.data[[#This Row],[Unknown]]=0),1,0)</f>
        <v>0</v>
      </c>
      <c r="AE1522">
        <f>IF(AND(vp.data[[#This Row],[CrudeType]]="Crude",vp.data[[#This Row],[Dens]]&gt;900,vp.data[[#This Row],[Sulf]]&lt;=0.5,vp.data[[#This Row],[Unknown]]=0),1,0)</f>
        <v>0</v>
      </c>
      <c r="AF1522">
        <f>IF(AND(vp.data[[#This Row],[CrudeType]]="Crude",vp.data[[#This Row],[Dens]]&gt;900,vp.data[[#This Row],[Sulf]]&lt;=0.5,vp.data[[#This Row],[Unknown]]=0),1,0)</f>
        <v>0</v>
      </c>
      <c r="AG1522" t="str">
        <f>INDEX(vp.data[[#Headers],[Unknown]:[Heavy_SW]],MATCH(1,vp.data[[#This Row],[Unknown]:[Heavy_SW]],0))</f>
        <v>Medium_LSB</v>
      </c>
      <c r="AH1522">
        <f>INDEX([3]!crudeBD.lkup[Number],MATCH(vp.data[[#This Row],[Crude_Breakdown]],crudeBD.lkup[Crude Breakdown],0))</f>
        <v>3</v>
      </c>
      <c r="AI1522">
        <f>MONTH(vp.data[[#This Row],[SDate]])</f>
        <v>5</v>
      </c>
      <c r="AJ1522" s="5">
        <f>(vp.data[[#This Row],[VP]]-INDEX(crudeBD.lkup[Mean_VP],MATCH(vp.data[[#This Row],[Crude_Breakdown]],crudeBD.lkup[Crude Breakdown],0)))^2</f>
        <v>44.085304686829282</v>
      </c>
      <c r="AK1522" s="5">
        <f>(vp.data[[#This Row],[Dens]]-INDEX(crudeBD.lkup[Mean_Dens],MATCH(vp.data[[#This Row],[Crude_Breakdown]],crudeBD.lkup[Crude Breakdown],0)))^2</f>
        <v>88.736399999990667</v>
      </c>
      <c r="AL1522" s="5">
        <f>(vp.data[[#This Row],[Sulf]]-INDEX(crudeBD.lkup[Mean_Sulf],MATCH(vp.data[[#This Row],[Crude_Breakdown]],crudeBD.lkup[Crude Breakdown],0)))^2</f>
        <v>0.19838839931671826</v>
      </c>
      <c r="AM1522" s="4">
        <f>IF(AND(vp.data[[#This Row],[SDate]]&gt;=DATE(YEAR(vp.data[[#This Row],[SDate]]),5,1),vp.data[[#This Row],[SDate]]&lt;=DATE(YEAR(vp.data[[#This Row],[SDate]]),9,15)),1,0)</f>
        <v>1</v>
      </c>
      <c r="AN1522" s="4">
        <f>IF(vp.data[[#This Row],[SDate]]&lt;DATE(2016,12,1),0,1)</f>
        <v>1</v>
      </c>
      <c r="AO1522" s="4">
        <f>IFERROR(vp.data[[#This Row],[Sulf]]*vp.data[[#This Row],[Net Dens]],"")</f>
        <v>1893462.6250099996</v>
      </c>
      <c r="AP1522">
        <f>IFERROR(vp.data[[#This Row],[Dens]]*vp.data[[#This Row],[VolumeM3]],"")</f>
        <v>2014321.9414999997</v>
      </c>
      <c r="AQ1522" s="15">
        <f>IFERROR(vp.data[[#This Row],[VP]]*vp.data[[#This Row],[VolumeM3]],"")</f>
        <v>178621.71799999999</v>
      </c>
    </row>
    <row r="1523" spans="1:43" x14ac:dyDescent="0.25">
      <c r="A1523">
        <v>1522</v>
      </c>
      <c r="B1523" t="s">
        <v>49</v>
      </c>
      <c r="C1523" t="s">
        <v>49</v>
      </c>
      <c r="D1523" t="s">
        <v>188</v>
      </c>
      <c r="F1523" s="1">
        <v>42877</v>
      </c>
      <c r="G1523" s="2">
        <v>66.900000000000006</v>
      </c>
      <c r="H1523" s="2"/>
      <c r="I1523" s="2">
        <f t="array" ref="I1523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1523" s="2"/>
      <c r="K1523" s="2"/>
      <c r="L1523" s="2"/>
      <c r="M1523" s="2">
        <f t="array" ref="M1523">_xlfn.IFNA(IF(vp.data[[#This Row],[Dens Input]]="",INDEX([1]DATA!$O$3:$O$9826,MATCH(1,(vp.data[[#This Row],[Battery]]=[1]DATA!$L$3:$L$9826)*(EOMONTH(vp.data[[#This Row],[SDate]],-1)+1=[1]DATA!$G$3:$G$9826),0)),vp.data[[#This Row],[Dens Input]]),"")</f>
        <v>833.2</v>
      </c>
      <c r="N1523" s="2">
        <f ca="1">INDEX(INDIRECT(_xlfn.CONCAT("weather.tbl[",N$1,"]")),MATCH(vp.data[[#This Row],[SDate]],weather.tbl[Date],0))</f>
        <v>12.633333333333333</v>
      </c>
      <c r="O1523" s="2">
        <f ca="1">INDEX(INDIRECT(_xlfn.CONCAT("weather.tbl[",O$1,"]")),MATCH(vp.data[[#This Row],[SDate]],weather.tbl[Date],0))</f>
        <v>9.6880952380952383</v>
      </c>
      <c r="P1523" s="2">
        <f ca="1">INDEX(INDIRECT(_xlfn.CONCAT("weather.tbl[",P$1,"]")),MATCH(vp.data[[#This Row],[SDate]],weather.tbl[Date],0))</f>
        <v>12.9</v>
      </c>
      <c r="Q1523" s="2">
        <f ca="1">INDEX(INDIRECT(_xlfn.CONCAT("weather.tbl[",Q$1,"]")),MATCH(vp.data[[#This Row],[SDate]],weather.tbl[Date],0))</f>
        <v>13.1</v>
      </c>
      <c r="R1523" s="2">
        <f ca="1">INDEX(INDIRECT(_xlfn.CONCAT("weather.tbl[",R$1,"]")),MATCH(vp.data[[#This Row],[SDate]],weather.tbl[Date],0))</f>
        <v>12</v>
      </c>
      <c r="S1523" s="2">
        <f ca="1">INDEX(INDIRECT(_xlfn.CONCAT("weather.tbl[",S$1,"]")),MATCH(vp.data[[#This Row],[SDate]],weather.tbl[Date],0))</f>
        <v>12.4</v>
      </c>
      <c r="T1523" s="2">
        <f ca="1">INDEX(INDIRECT(_xlfn.CONCAT("weather.tbl[",T$1,"]")),MATCH(vp.data[[#This Row],[SDate]],weather.tbl[Date],0))</f>
        <v>12.6</v>
      </c>
      <c r="U1523" s="2">
        <f ca="1">INDEX(INDIRECT(_xlfn.CONCAT("weather.tbl[",U$1,"]")),MATCH(vp.data[[#This Row],[SDate]],weather.tbl[Date],0))</f>
        <v>12.8</v>
      </c>
      <c r="V1523" s="2">
        <f t="array" ref="V15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924.40700000000004</v>
      </c>
      <c r="W1523" t="s">
        <v>48</v>
      </c>
      <c r="X1523">
        <f>IF(OR(vp.data[[#This Row],[Sulf]]="",vp.data[[#This Row],[Dens]]=""),1,0)</f>
        <v>0</v>
      </c>
      <c r="Y1523">
        <f>IF(vp.data[[#This Row],[CrudeType]]="C5+",1,0)</f>
        <v>0</v>
      </c>
      <c r="Z1523">
        <f>IF(AND(vp.data[[#This Row],[CrudeType]]="Crude",vp.data[[#This Row],[Dens]]&lt;=825,vp.data[[#This Row],[Sulf]]&gt;0.5,vp.data[[#This Row],[Unknown]]=0),1,0)</f>
        <v>0</v>
      </c>
      <c r="AA1523">
        <f>IF(AND(vp.data[[#This Row],[CrudeType]]="Crude",vp.data[[#This Row],[Dens]]&lt;=825,vp.data[[#This Row],[Sulf]]&lt;=0.5,vp.data[[#This Row],[Unknown]]=0),1,0)</f>
        <v>0</v>
      </c>
      <c r="AB15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3">
        <f>IF(AND(vp.data[[#This Row],[CrudeType]]="Crude",vp.data[[#This Row],[Dens]]&gt;825,vp.data[[#This Row],[Dens]]&lt;=900,vp.data[[#This Row],[Sulf]]&lt;=0.5,vp.data[[#This Row],[Unknown]]=0),1,0)</f>
        <v>0</v>
      </c>
      <c r="AD1523">
        <f>IF(AND(vp.data[[#This Row],[CrudeType]]="Crude",vp.data[[#This Row],[Dens]]&gt;865,vp.data[[#This Row],[Dens]]&lt;=900,vp.data[[#This Row],[Sulf]]&gt;2,vp.data[[#This Row],[Unknown]]=0),1,0)</f>
        <v>0</v>
      </c>
      <c r="AE1523">
        <f>IF(AND(vp.data[[#This Row],[CrudeType]]="Crude",vp.data[[#This Row],[Dens]]&gt;900,vp.data[[#This Row],[Sulf]]&lt;=0.5,vp.data[[#This Row],[Unknown]]=0),1,0)</f>
        <v>0</v>
      </c>
      <c r="AF1523">
        <f>IF(AND(vp.data[[#This Row],[CrudeType]]="Crude",vp.data[[#This Row],[Dens]]&gt;900,vp.data[[#This Row],[Sulf]]&lt;=0.5,vp.data[[#This Row],[Unknown]]=0),1,0)</f>
        <v>0</v>
      </c>
      <c r="AG1523" t="str">
        <f>INDEX(vp.data[[#Headers],[Unknown]:[Heavy_SW]],MATCH(1,vp.data[[#This Row],[Unknown]:[Heavy_SW]],0))</f>
        <v>Medium_LSB</v>
      </c>
      <c r="AH1523">
        <f>INDEX([3]!crudeBD.lkup[Number],MATCH(vp.data[[#This Row],[Crude_Breakdown]],crudeBD.lkup[Crude Breakdown],0))</f>
        <v>3</v>
      </c>
      <c r="AI1523">
        <f>MONTH(vp.data[[#This Row],[SDate]])</f>
        <v>5</v>
      </c>
      <c r="AJ1523" s="5">
        <f>(vp.data[[#This Row],[VP]]-INDEX(crudeBD.lkup[Mean_VP],MATCH(vp.data[[#This Row],[Crude_Breakdown]],crudeBD.lkup[Crude Breakdown],0)))^2</f>
        <v>188.77871169491436</v>
      </c>
      <c r="AK1523" s="5">
        <f>(vp.data[[#This Row],[Dens]]-INDEX(crudeBD.lkup[Mean_Dens],MATCH(vp.data[[#This Row],[Crude_Breakdown]],crudeBD.lkup[Crude Breakdown],0)))^2</f>
        <v>114.9183999999884</v>
      </c>
      <c r="AL1523" s="5">
        <f>(vp.data[[#This Row],[Sulf]]-INDEX(crudeBD.lkup[Mean_Sulf],MATCH(vp.data[[#This Row],[Crude_Breakdown]],crudeBD.lkup[Crude Breakdown],0)))^2</f>
        <v>0.18097207424933273</v>
      </c>
      <c r="AM1523" s="4">
        <f>IF(AND(vp.data[[#This Row],[SDate]]&gt;=DATE(YEAR(vp.data[[#This Row],[SDate]]),5,1),vp.data[[#This Row],[SDate]]&lt;=DATE(YEAR(vp.data[[#This Row],[SDate]]),9,15)),1,0)</f>
        <v>1</v>
      </c>
      <c r="AN1523" s="4">
        <f>IF(vp.data[[#This Row],[SDate]]&lt;DATE(2016,12,1),0,1)</f>
        <v>1</v>
      </c>
      <c r="AO1523" s="4">
        <f>IFERROR(vp.data[[#This Row],[Sulf]]*vp.data[[#This Row],[Net Dens]],"")</f>
        <v>739407.27590400004</v>
      </c>
      <c r="AP1523">
        <f>IFERROR(vp.data[[#This Row],[Dens]]*vp.data[[#This Row],[VolumeM3]],"")</f>
        <v>770215.91240000003</v>
      </c>
      <c r="AQ1523" s="15">
        <f>IFERROR(vp.data[[#This Row],[VP]]*vp.data[[#This Row],[VolumeM3]],"")</f>
        <v>61842.828300000008</v>
      </c>
    </row>
    <row r="1524" spans="1:43" x14ac:dyDescent="0.25">
      <c r="A1524">
        <v>1523</v>
      </c>
      <c r="B1524" t="s">
        <v>51</v>
      </c>
      <c r="C1524" t="s">
        <v>51</v>
      </c>
      <c r="D1524" t="s">
        <v>95</v>
      </c>
      <c r="F1524" s="1">
        <v>42877</v>
      </c>
      <c r="G1524" s="2">
        <v>74</v>
      </c>
      <c r="H1524" s="2"/>
      <c r="I1524" s="2">
        <f t="array" ref="I1524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524" s="2"/>
      <c r="K1524" s="2"/>
      <c r="L1524" s="2"/>
      <c r="M1524" s="2">
        <f t="array" ref="M1524">_xlfn.IFNA(IF(vp.data[[#This Row],[Dens Input]]="",INDEX([1]DATA!$O$3:$O$9826,MATCH(1,(vp.data[[#This Row],[Battery]]=[1]DATA!$L$3:$L$9826)*(EOMONTH(vp.data[[#This Row],[SDate]],-1)+1=[1]DATA!$G$3:$G$9826),0)),vp.data[[#This Row],[Dens Input]]),"")</f>
        <v>848.6</v>
      </c>
      <c r="N1524" s="2">
        <f ca="1">INDEX(INDIRECT(_xlfn.CONCAT("weather.tbl[",N$1,"]")),MATCH(vp.data[[#This Row],[SDate]],weather.tbl[Date],0))</f>
        <v>12.633333333333333</v>
      </c>
      <c r="O1524" s="2">
        <f ca="1">INDEX(INDIRECT(_xlfn.CONCAT("weather.tbl[",O$1,"]")),MATCH(vp.data[[#This Row],[SDate]],weather.tbl[Date],0))</f>
        <v>9.6880952380952383</v>
      </c>
      <c r="P1524" s="2">
        <f ca="1">INDEX(INDIRECT(_xlfn.CONCAT("weather.tbl[",P$1,"]")),MATCH(vp.data[[#This Row],[SDate]],weather.tbl[Date],0))</f>
        <v>12.9</v>
      </c>
      <c r="Q1524" s="2">
        <f ca="1">INDEX(INDIRECT(_xlfn.CONCAT("weather.tbl[",Q$1,"]")),MATCH(vp.data[[#This Row],[SDate]],weather.tbl[Date],0))</f>
        <v>13.1</v>
      </c>
      <c r="R1524" s="2">
        <f ca="1">INDEX(INDIRECT(_xlfn.CONCAT("weather.tbl[",R$1,"]")),MATCH(vp.data[[#This Row],[SDate]],weather.tbl[Date],0))</f>
        <v>12</v>
      </c>
      <c r="S1524" s="2">
        <f ca="1">INDEX(INDIRECT(_xlfn.CONCAT("weather.tbl[",S$1,"]")),MATCH(vp.data[[#This Row],[SDate]],weather.tbl[Date],0))</f>
        <v>12.4</v>
      </c>
      <c r="T1524" s="2">
        <f ca="1">INDEX(INDIRECT(_xlfn.CONCAT("weather.tbl[",T$1,"]")),MATCH(vp.data[[#This Row],[SDate]],weather.tbl[Date],0))</f>
        <v>12.6</v>
      </c>
      <c r="U1524" s="2">
        <f ca="1">INDEX(INDIRECT(_xlfn.CONCAT("weather.tbl[",U$1,"]")),MATCH(vp.data[[#This Row],[SDate]],weather.tbl[Date],0))</f>
        <v>12.8</v>
      </c>
      <c r="V1524" s="2">
        <f t="array" ref="V15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5507.5879999999997</v>
      </c>
      <c r="W1524" t="s">
        <v>48</v>
      </c>
      <c r="X1524">
        <f>IF(OR(vp.data[[#This Row],[Sulf]]="",vp.data[[#This Row],[Dens]]=""),1,0)</f>
        <v>0</v>
      </c>
      <c r="Y1524">
        <f>IF(vp.data[[#This Row],[CrudeType]]="C5+",1,0)</f>
        <v>0</v>
      </c>
      <c r="Z1524">
        <f>IF(AND(vp.data[[#This Row],[CrudeType]]="Crude",vp.data[[#This Row],[Dens]]&lt;=825,vp.data[[#This Row],[Sulf]]&gt;0.5,vp.data[[#This Row],[Unknown]]=0),1,0)</f>
        <v>0</v>
      </c>
      <c r="AA1524">
        <f>IF(AND(vp.data[[#This Row],[CrudeType]]="Crude",vp.data[[#This Row],[Dens]]&lt;=825,vp.data[[#This Row],[Sulf]]&lt;=0.5,vp.data[[#This Row],[Unknown]]=0),1,0)</f>
        <v>0</v>
      </c>
      <c r="AB15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4">
        <f>IF(AND(vp.data[[#This Row],[CrudeType]]="Crude",vp.data[[#This Row],[Dens]]&gt;825,vp.data[[#This Row],[Dens]]&lt;=900,vp.data[[#This Row],[Sulf]]&lt;=0.5,vp.data[[#This Row],[Unknown]]=0),1,0)</f>
        <v>0</v>
      </c>
      <c r="AD1524">
        <f>IF(AND(vp.data[[#This Row],[CrudeType]]="Crude",vp.data[[#This Row],[Dens]]&gt;865,vp.data[[#This Row],[Dens]]&lt;=900,vp.data[[#This Row],[Sulf]]&gt;2,vp.data[[#This Row],[Unknown]]=0),1,0)</f>
        <v>0</v>
      </c>
      <c r="AE1524">
        <f>IF(AND(vp.data[[#This Row],[CrudeType]]="Crude",vp.data[[#This Row],[Dens]]&gt;900,vp.data[[#This Row],[Sulf]]&lt;=0.5,vp.data[[#This Row],[Unknown]]=0),1,0)</f>
        <v>0</v>
      </c>
      <c r="AF1524">
        <f>IF(AND(vp.data[[#This Row],[CrudeType]]="Crude",vp.data[[#This Row],[Dens]]&gt;900,vp.data[[#This Row],[Sulf]]&lt;=0.5,vp.data[[#This Row],[Unknown]]=0),1,0)</f>
        <v>0</v>
      </c>
      <c r="AG1524" t="str">
        <f>INDEX(vp.data[[#Headers],[Unknown]:[Heavy_SW]],MATCH(1,vp.data[[#This Row],[Unknown]:[Heavy_SW]],0))</f>
        <v>Medium_LSB</v>
      </c>
      <c r="AH1524">
        <f>INDEX([3]!crudeBD.lkup[Number],MATCH(vp.data[[#This Row],[Crude_Breakdown]],crudeBD.lkup[Crude Breakdown],0))</f>
        <v>3</v>
      </c>
      <c r="AI1524">
        <f>MONTH(vp.data[[#This Row],[SDate]])</f>
        <v>5</v>
      </c>
      <c r="AJ1524" s="5">
        <f>(vp.data[[#This Row],[VP]]-INDEX(crudeBD.lkup[Mean_VP],MATCH(vp.data[[#This Row],[Crude_Breakdown]],crudeBD.lkup[Crude Breakdown],0)))^2</f>
        <v>44.085304686829282</v>
      </c>
      <c r="AK1524" s="5">
        <f>(vp.data[[#This Row],[Dens]]-INDEX(crudeBD.lkup[Mean_Dens],MATCH(vp.data[[#This Row],[Crude_Breakdown]],crudeBD.lkup[Crude Breakdown],0)))^2</f>
        <v>21.902400000004853</v>
      </c>
      <c r="AL1524" s="5">
        <f>(vp.data[[#This Row],[Sulf]]-INDEX(crudeBD.lkup[Mean_Sulf],MATCH(vp.data[[#This Row],[Crude_Breakdown]],crudeBD.lkup[Crude Breakdown],0)))^2</f>
        <v>3.8184335974399415E-2</v>
      </c>
      <c r="AM1524" s="4">
        <f>IF(AND(vp.data[[#This Row],[SDate]]&gt;=DATE(YEAR(vp.data[[#This Row],[SDate]]),5,1),vp.data[[#This Row],[SDate]]&lt;=DATE(YEAR(vp.data[[#This Row],[SDate]]),9,15)),1,0)</f>
        <v>1</v>
      </c>
      <c r="AN1524" s="4">
        <f>IF(vp.data[[#This Row],[SDate]]&lt;DATE(2016,12,1),0,1)</f>
        <v>1</v>
      </c>
      <c r="AO1524" s="4">
        <f>IFERROR(vp.data[[#This Row],[Sulf]]*vp.data[[#This Row],[Net Dens]],"")</f>
        <v>5561749.6203919994</v>
      </c>
      <c r="AP1524">
        <f>IFERROR(vp.data[[#This Row],[Dens]]*vp.data[[#This Row],[VolumeM3]],"")</f>
        <v>4673739.1767999995</v>
      </c>
      <c r="AQ1524" s="15">
        <f>IFERROR(vp.data[[#This Row],[VP]]*vp.data[[#This Row],[VolumeM3]],"")</f>
        <v>407561.51199999999</v>
      </c>
    </row>
    <row r="1525" spans="1:43" x14ac:dyDescent="0.25">
      <c r="A1525">
        <v>1524</v>
      </c>
      <c r="B1525" t="s">
        <v>51</v>
      </c>
      <c r="C1525" t="s">
        <v>51</v>
      </c>
      <c r="D1525" t="s">
        <v>66</v>
      </c>
      <c r="F1525" s="1">
        <v>42877</v>
      </c>
      <c r="G1525" s="2">
        <v>95.6</v>
      </c>
      <c r="H1525" s="2"/>
      <c r="I1525" s="2">
        <f t="array" ref="I1525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1525" s="2"/>
      <c r="K1525" s="2"/>
      <c r="L1525" s="2"/>
      <c r="M1525" s="2">
        <f t="array" ref="M1525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525" s="2">
        <f ca="1">INDEX(INDIRECT(_xlfn.CONCAT("weather.tbl[",N$1,"]")),MATCH(vp.data[[#This Row],[SDate]],weather.tbl[Date],0))</f>
        <v>12.633333333333333</v>
      </c>
      <c r="O1525" s="2">
        <f ca="1">INDEX(INDIRECT(_xlfn.CONCAT("weather.tbl[",O$1,"]")),MATCH(vp.data[[#This Row],[SDate]],weather.tbl[Date],0))</f>
        <v>9.6880952380952383</v>
      </c>
      <c r="P1525" s="2">
        <f ca="1">INDEX(INDIRECT(_xlfn.CONCAT("weather.tbl[",P$1,"]")),MATCH(vp.data[[#This Row],[SDate]],weather.tbl[Date],0))</f>
        <v>12.9</v>
      </c>
      <c r="Q1525" s="2">
        <f ca="1">INDEX(INDIRECT(_xlfn.CONCAT("weather.tbl[",Q$1,"]")),MATCH(vp.data[[#This Row],[SDate]],weather.tbl[Date],0))</f>
        <v>13.1</v>
      </c>
      <c r="R1525" s="2">
        <f ca="1">INDEX(INDIRECT(_xlfn.CONCAT("weather.tbl[",R$1,"]")),MATCH(vp.data[[#This Row],[SDate]],weather.tbl[Date],0))</f>
        <v>12</v>
      </c>
      <c r="S1525" s="2">
        <f ca="1">INDEX(INDIRECT(_xlfn.CONCAT("weather.tbl[",S$1,"]")),MATCH(vp.data[[#This Row],[SDate]],weather.tbl[Date],0))</f>
        <v>12.4</v>
      </c>
      <c r="T1525" s="2">
        <f ca="1">INDEX(INDIRECT(_xlfn.CONCAT("weather.tbl[",T$1,"]")),MATCH(vp.data[[#This Row],[SDate]],weather.tbl[Date],0))</f>
        <v>12.6</v>
      </c>
      <c r="U1525" s="2">
        <f ca="1">INDEX(INDIRECT(_xlfn.CONCAT("weather.tbl[",U$1,"]")),MATCH(vp.data[[#This Row],[SDate]],weather.tbl[Date],0))</f>
        <v>12.8</v>
      </c>
      <c r="V1525" s="2">
        <f t="array" ref="V15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5197.7240000000002</v>
      </c>
      <c r="W1525" t="s">
        <v>48</v>
      </c>
      <c r="X1525">
        <f>IF(OR(vp.data[[#This Row],[Sulf]]="",vp.data[[#This Row],[Dens]]=""),1,0)</f>
        <v>0</v>
      </c>
      <c r="Y1525">
        <f>IF(vp.data[[#This Row],[CrudeType]]="C5+",1,0)</f>
        <v>0</v>
      </c>
      <c r="Z1525">
        <f>IF(AND(vp.data[[#This Row],[CrudeType]]="Crude",vp.data[[#This Row],[Dens]]&lt;=825,vp.data[[#This Row],[Sulf]]&gt;0.5,vp.data[[#This Row],[Unknown]]=0),1,0)</f>
        <v>1</v>
      </c>
      <c r="AA1525">
        <f>IF(AND(vp.data[[#This Row],[CrudeType]]="Crude",vp.data[[#This Row],[Dens]]&lt;=825,vp.data[[#This Row],[Sulf]]&lt;=0.5,vp.data[[#This Row],[Unknown]]=0),1,0)</f>
        <v>0</v>
      </c>
      <c r="AB15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25">
        <f>IF(AND(vp.data[[#This Row],[CrudeType]]="Crude",vp.data[[#This Row],[Dens]]&gt;825,vp.data[[#This Row],[Dens]]&lt;=900,vp.data[[#This Row],[Sulf]]&lt;=0.5,vp.data[[#This Row],[Unknown]]=0),1,0)</f>
        <v>0</v>
      </c>
      <c r="AD1525">
        <f>IF(AND(vp.data[[#This Row],[CrudeType]]="Crude",vp.data[[#This Row],[Dens]]&gt;865,vp.data[[#This Row],[Dens]]&lt;=900,vp.data[[#This Row],[Sulf]]&gt;2,vp.data[[#This Row],[Unknown]]=0),1,0)</f>
        <v>0</v>
      </c>
      <c r="AE1525">
        <f>IF(AND(vp.data[[#This Row],[CrudeType]]="Crude",vp.data[[#This Row],[Dens]]&gt;900,vp.data[[#This Row],[Sulf]]&lt;=0.5,vp.data[[#This Row],[Unknown]]=0),1,0)</f>
        <v>0</v>
      </c>
      <c r="AF1525">
        <f>IF(AND(vp.data[[#This Row],[CrudeType]]="Crude",vp.data[[#This Row],[Dens]]&gt;900,vp.data[[#This Row],[Sulf]]&lt;=0.5,vp.data[[#This Row],[Unknown]]=0),1,0)</f>
        <v>0</v>
      </c>
      <c r="AG1525" t="str">
        <f>INDEX(vp.data[[#Headers],[Unknown]:[Heavy_SW]],MATCH(1,vp.data[[#This Row],[Unknown]:[Heavy_SW]],0))</f>
        <v>Light_LSB</v>
      </c>
      <c r="AH1525">
        <f>INDEX([3]!crudeBD.lkup[Number],MATCH(vp.data[[#This Row],[Crude_Breakdown]],crudeBD.lkup[Crude Breakdown],0))</f>
        <v>1</v>
      </c>
      <c r="AI1525">
        <f>MONTH(vp.data[[#This Row],[SDate]])</f>
        <v>5</v>
      </c>
      <c r="AJ1525" s="5">
        <f>(vp.data[[#This Row],[VP]]-INDEX(crudeBD.lkup[Mean_VP],MATCH(vp.data[[#This Row],[Crude_Breakdown]],crudeBD.lkup[Crude Breakdown],0)))^2</f>
        <v>16.433411457115231</v>
      </c>
      <c r="AK1525" s="5">
        <f>(vp.data[[#This Row],[Dens]]-INDEX(crudeBD.lkup[Mean_Dens],MATCH(vp.data[[#This Row],[Crude_Breakdown]],crudeBD.lkup[Crude Breakdown],0)))^2</f>
        <v>34.612398063323418</v>
      </c>
      <c r="AL1525" s="5">
        <f>(vp.data[[#This Row],[Sulf]]-INDEX(crudeBD.lkup[Mean_Sulf],MATCH(vp.data[[#This Row],[Crude_Breakdown]],crudeBD.lkup[Crude Breakdown],0)))^2</f>
        <v>0.75173899485188111</v>
      </c>
      <c r="AM1525" s="4">
        <f>IF(AND(vp.data[[#This Row],[SDate]]&gt;=DATE(YEAR(vp.data[[#This Row],[SDate]]),5,1),vp.data[[#This Row],[SDate]]&lt;=DATE(YEAR(vp.data[[#This Row],[SDate]]),9,15)),1,0)</f>
        <v>1</v>
      </c>
      <c r="AN1525" s="4">
        <f>IF(vp.data[[#This Row],[SDate]]&lt;DATE(2016,12,1),0,1)</f>
        <v>1</v>
      </c>
      <c r="AO1525" s="4">
        <f>IFERROR(vp.data[[#This Row],[Sulf]]*vp.data[[#This Row],[Net Dens]],"")</f>
        <v>7670156.5614240002</v>
      </c>
      <c r="AP1525">
        <f>IFERROR(vp.data[[#This Row],[Dens]]*vp.data[[#This Row],[VolumeM3]],"")</f>
        <v>4285003.6655999999</v>
      </c>
      <c r="AQ1525" s="15">
        <f>IFERROR(vp.data[[#This Row],[VP]]*vp.data[[#This Row],[VolumeM3]],"")</f>
        <v>496902.41440000001</v>
      </c>
    </row>
    <row r="1526" spans="1:43" x14ac:dyDescent="0.25">
      <c r="A1526">
        <v>1525</v>
      </c>
      <c r="B1526" t="s">
        <v>68</v>
      </c>
      <c r="C1526" t="s">
        <v>68</v>
      </c>
      <c r="D1526" t="s">
        <v>110</v>
      </c>
      <c r="F1526" s="1">
        <v>42877</v>
      </c>
      <c r="G1526" s="2">
        <v>69.5</v>
      </c>
      <c r="H1526" s="2"/>
      <c r="I1526" s="2">
        <f t="array" ref="I1526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526" s="2"/>
      <c r="K1526" s="2"/>
      <c r="L1526" s="2"/>
      <c r="M1526" s="2">
        <f t="array" ref="M1526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526" s="2">
        <f ca="1">INDEX(INDIRECT(_xlfn.CONCAT("weather.tbl[",N$1,"]")),MATCH(vp.data[[#This Row],[SDate]],weather.tbl[Date],0))</f>
        <v>12.633333333333333</v>
      </c>
      <c r="O1526" s="2">
        <f ca="1">INDEX(INDIRECT(_xlfn.CONCAT("weather.tbl[",O$1,"]")),MATCH(vp.data[[#This Row],[SDate]],weather.tbl[Date],0))</f>
        <v>9.6880952380952383</v>
      </c>
      <c r="P1526" s="2">
        <f ca="1">INDEX(INDIRECT(_xlfn.CONCAT("weather.tbl[",P$1,"]")),MATCH(vp.data[[#This Row],[SDate]],weather.tbl[Date],0))</f>
        <v>12.9</v>
      </c>
      <c r="Q1526" s="2">
        <f ca="1">INDEX(INDIRECT(_xlfn.CONCAT("weather.tbl[",Q$1,"]")),MATCH(vp.data[[#This Row],[SDate]],weather.tbl[Date],0))</f>
        <v>13.1</v>
      </c>
      <c r="R1526" s="2">
        <f ca="1">INDEX(INDIRECT(_xlfn.CONCAT("weather.tbl[",R$1,"]")),MATCH(vp.data[[#This Row],[SDate]],weather.tbl[Date],0))</f>
        <v>12</v>
      </c>
      <c r="S1526" s="2">
        <f ca="1">INDEX(INDIRECT(_xlfn.CONCAT("weather.tbl[",S$1,"]")),MATCH(vp.data[[#This Row],[SDate]],weather.tbl[Date],0))</f>
        <v>12.4</v>
      </c>
      <c r="T1526" s="2">
        <f ca="1">INDEX(INDIRECT(_xlfn.CONCAT("weather.tbl[",T$1,"]")),MATCH(vp.data[[#This Row],[SDate]],weather.tbl[Date],0))</f>
        <v>12.6</v>
      </c>
      <c r="U1526" s="2">
        <f ca="1">INDEX(INDIRECT(_xlfn.CONCAT("weather.tbl[",U$1,"]")),MATCH(vp.data[[#This Row],[SDate]],weather.tbl[Date],0))</f>
        <v>12.8</v>
      </c>
      <c r="V1526" s="2">
        <f t="array" ref="V15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3812.1930000000002</v>
      </c>
      <c r="W1526" t="s">
        <v>48</v>
      </c>
      <c r="X1526">
        <f>IF(OR(vp.data[[#This Row],[Sulf]]="",vp.data[[#This Row],[Dens]]=""),1,0)</f>
        <v>0</v>
      </c>
      <c r="Y1526">
        <f>IF(vp.data[[#This Row],[CrudeType]]="C5+",1,0)</f>
        <v>0</v>
      </c>
      <c r="Z1526">
        <f>IF(AND(vp.data[[#This Row],[CrudeType]]="Crude",vp.data[[#This Row],[Dens]]&lt;=825,vp.data[[#This Row],[Sulf]]&gt;0.5,vp.data[[#This Row],[Unknown]]=0),1,0)</f>
        <v>0</v>
      </c>
      <c r="AA1526">
        <f>IF(AND(vp.data[[#This Row],[CrudeType]]="Crude",vp.data[[#This Row],[Dens]]&lt;=825,vp.data[[#This Row],[Sulf]]&lt;=0.5,vp.data[[#This Row],[Unknown]]=0),1,0)</f>
        <v>0</v>
      </c>
      <c r="AB15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6">
        <f>IF(AND(vp.data[[#This Row],[CrudeType]]="Crude",vp.data[[#This Row],[Dens]]&gt;825,vp.data[[#This Row],[Dens]]&lt;=900,vp.data[[#This Row],[Sulf]]&lt;=0.5,vp.data[[#This Row],[Unknown]]=0),1,0)</f>
        <v>0</v>
      </c>
      <c r="AD1526">
        <f>IF(AND(vp.data[[#This Row],[CrudeType]]="Crude",vp.data[[#This Row],[Dens]]&gt;865,vp.data[[#This Row],[Dens]]&lt;=900,vp.data[[#This Row],[Sulf]]&gt;2,vp.data[[#This Row],[Unknown]]=0),1,0)</f>
        <v>0</v>
      </c>
      <c r="AE1526">
        <f>IF(AND(vp.data[[#This Row],[CrudeType]]="Crude",vp.data[[#This Row],[Dens]]&gt;900,vp.data[[#This Row],[Sulf]]&lt;=0.5,vp.data[[#This Row],[Unknown]]=0),1,0)</f>
        <v>0</v>
      </c>
      <c r="AF1526">
        <f>IF(AND(vp.data[[#This Row],[CrudeType]]="Crude",vp.data[[#This Row],[Dens]]&gt;900,vp.data[[#This Row],[Sulf]]&lt;=0.5,vp.data[[#This Row],[Unknown]]=0),1,0)</f>
        <v>0</v>
      </c>
      <c r="AG1526" t="str">
        <f>INDEX(vp.data[[#Headers],[Unknown]:[Heavy_SW]],MATCH(1,vp.data[[#This Row],[Unknown]:[Heavy_SW]],0))</f>
        <v>Medium_LSB</v>
      </c>
      <c r="AH1526">
        <f>INDEX([3]!crudeBD.lkup[Number],MATCH(vp.data[[#This Row],[Crude_Breakdown]],crudeBD.lkup[Crude Breakdown],0))</f>
        <v>3</v>
      </c>
      <c r="AI1526">
        <f>MONTH(vp.data[[#This Row],[SDate]])</f>
        <v>5</v>
      </c>
      <c r="AJ1526" s="5">
        <f>(vp.data[[#This Row],[VP]]-INDEX(crudeBD.lkup[Mean_VP],MATCH(vp.data[[#This Row],[Crude_Breakdown]],crudeBD.lkup[Crude Breakdown],0)))^2</f>
        <v>124.09239363561569</v>
      </c>
      <c r="AK1526" s="5">
        <f>(vp.data[[#This Row],[Dens]]-INDEX(crudeBD.lkup[Mean_Dens],MATCH(vp.data[[#This Row],[Crude_Breakdown]],crudeBD.lkup[Crude Breakdown],0)))^2</f>
        <v>105.67840000001112</v>
      </c>
      <c r="AL1526" s="5">
        <f>(vp.data[[#This Row],[Sulf]]-INDEX(crudeBD.lkup[Mean_Sulf],MATCH(vp.data[[#This Row],[Crude_Breakdown]],crudeBD.lkup[Crude Breakdown],0)))^2</f>
        <v>4.1721100983878141E-3</v>
      </c>
      <c r="AM1526" s="4">
        <f>IF(AND(vp.data[[#This Row],[SDate]]&gt;=DATE(YEAR(vp.data[[#This Row],[SDate]]),5,1),vp.data[[#This Row],[SDate]]&lt;=DATE(YEAR(vp.data[[#This Row],[SDate]]),9,15)),1,0)</f>
        <v>1</v>
      </c>
      <c r="AN1526" s="4">
        <f>IF(vp.data[[#This Row],[SDate]]&lt;DATE(2016,12,1),0,1)</f>
        <v>1</v>
      </c>
      <c r="AO1526" s="4">
        <f>IFERROR(vp.data[[#This Row],[Sulf]]*vp.data[[#This Row],[Net Dens]],"")</f>
        <v>4721744.12787</v>
      </c>
      <c r="AP1526">
        <f>IFERROR(vp.data[[#This Row],[Dens]]*vp.data[[#This Row],[VolumeM3]],"")</f>
        <v>3256375.2606000002</v>
      </c>
      <c r="AQ1526" s="15">
        <f>IFERROR(vp.data[[#This Row],[VP]]*vp.data[[#This Row],[VolumeM3]],"")</f>
        <v>264947.41350000002</v>
      </c>
    </row>
    <row r="1527" spans="1:43" x14ac:dyDescent="0.25">
      <c r="A1527">
        <v>1526</v>
      </c>
      <c r="B1527" t="s">
        <v>68</v>
      </c>
      <c r="C1527" t="s">
        <v>68</v>
      </c>
      <c r="D1527" t="s">
        <v>98</v>
      </c>
      <c r="F1527" s="1">
        <v>42877</v>
      </c>
      <c r="G1527" s="2">
        <v>60.8</v>
      </c>
      <c r="H1527" s="2"/>
      <c r="I1527" s="2">
        <f t="array" ref="I1527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527" s="2"/>
      <c r="K1527" s="2"/>
      <c r="L1527" s="2"/>
      <c r="M1527" s="2">
        <f t="array" ref="M1527">_xlfn.IFNA(IF(vp.data[[#This Row],[Dens Input]]="",INDEX([1]DATA!$O$3:$O$9826,MATCH(1,(vp.data[[#This Row],[Battery]]=[1]DATA!$L$3:$L$9826)*(EOMONTH(vp.data[[#This Row],[SDate]],-1)+1=[1]DATA!$G$3:$G$9826),0)),vp.data[[#This Row],[Dens Input]]),"")</f>
        <v>850.4</v>
      </c>
      <c r="N1527" s="2">
        <f ca="1">INDEX(INDIRECT(_xlfn.CONCAT("weather.tbl[",N$1,"]")),MATCH(vp.data[[#This Row],[SDate]],weather.tbl[Date],0))</f>
        <v>12.633333333333333</v>
      </c>
      <c r="O1527" s="2">
        <f ca="1">INDEX(INDIRECT(_xlfn.CONCAT("weather.tbl[",O$1,"]")),MATCH(vp.data[[#This Row],[SDate]],weather.tbl[Date],0))</f>
        <v>9.6880952380952383</v>
      </c>
      <c r="P1527" s="2">
        <f ca="1">INDEX(INDIRECT(_xlfn.CONCAT("weather.tbl[",P$1,"]")),MATCH(vp.data[[#This Row],[SDate]],weather.tbl[Date],0))</f>
        <v>12.9</v>
      </c>
      <c r="Q1527" s="2">
        <f ca="1">INDEX(INDIRECT(_xlfn.CONCAT("weather.tbl[",Q$1,"]")),MATCH(vp.data[[#This Row],[SDate]],weather.tbl[Date],0))</f>
        <v>13.1</v>
      </c>
      <c r="R1527" s="2">
        <f ca="1">INDEX(INDIRECT(_xlfn.CONCAT("weather.tbl[",R$1,"]")),MATCH(vp.data[[#This Row],[SDate]],weather.tbl[Date],0))</f>
        <v>12</v>
      </c>
      <c r="S1527" s="2">
        <f ca="1">INDEX(INDIRECT(_xlfn.CONCAT("weather.tbl[",S$1,"]")),MATCH(vp.data[[#This Row],[SDate]],weather.tbl[Date],0))</f>
        <v>12.4</v>
      </c>
      <c r="T1527" s="2">
        <f ca="1">INDEX(INDIRECT(_xlfn.CONCAT("weather.tbl[",T$1,"]")),MATCH(vp.data[[#This Row],[SDate]],weather.tbl[Date],0))</f>
        <v>12.6</v>
      </c>
      <c r="U1527" s="2">
        <f ca="1">INDEX(INDIRECT(_xlfn.CONCAT("weather.tbl[",U$1,"]")),MATCH(vp.data[[#This Row],[SDate]],weather.tbl[Date],0))</f>
        <v>12.8</v>
      </c>
      <c r="V1527" s="2">
        <f t="array" ref="V15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4675.3909999999996</v>
      </c>
      <c r="W1527" t="s">
        <v>48</v>
      </c>
      <c r="X1527">
        <f>IF(OR(vp.data[[#This Row],[Sulf]]="",vp.data[[#This Row],[Dens]]=""),1,0)</f>
        <v>0</v>
      </c>
      <c r="Y1527">
        <f>IF(vp.data[[#This Row],[CrudeType]]="C5+",1,0)</f>
        <v>0</v>
      </c>
      <c r="Z1527">
        <f>IF(AND(vp.data[[#This Row],[CrudeType]]="Crude",vp.data[[#This Row],[Dens]]&lt;=825,vp.data[[#This Row],[Sulf]]&gt;0.5,vp.data[[#This Row],[Unknown]]=0),1,0)</f>
        <v>0</v>
      </c>
      <c r="AA1527">
        <f>IF(AND(vp.data[[#This Row],[CrudeType]]="Crude",vp.data[[#This Row],[Dens]]&lt;=825,vp.data[[#This Row],[Sulf]]&lt;=0.5,vp.data[[#This Row],[Unknown]]=0),1,0)</f>
        <v>0</v>
      </c>
      <c r="AB15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7">
        <f>IF(AND(vp.data[[#This Row],[CrudeType]]="Crude",vp.data[[#This Row],[Dens]]&gt;825,vp.data[[#This Row],[Dens]]&lt;=900,vp.data[[#This Row],[Sulf]]&lt;=0.5,vp.data[[#This Row],[Unknown]]=0),1,0)</f>
        <v>0</v>
      </c>
      <c r="AD1527">
        <f>IF(AND(vp.data[[#This Row],[CrudeType]]="Crude",vp.data[[#This Row],[Dens]]&gt;865,vp.data[[#This Row],[Dens]]&lt;=900,vp.data[[#This Row],[Sulf]]&gt;2,vp.data[[#This Row],[Unknown]]=0),1,0)</f>
        <v>0</v>
      </c>
      <c r="AE1527">
        <f>IF(AND(vp.data[[#This Row],[CrudeType]]="Crude",vp.data[[#This Row],[Dens]]&gt;900,vp.data[[#This Row],[Sulf]]&lt;=0.5,vp.data[[#This Row],[Unknown]]=0),1,0)</f>
        <v>0</v>
      </c>
      <c r="AF1527">
        <f>IF(AND(vp.data[[#This Row],[CrudeType]]="Crude",vp.data[[#This Row],[Dens]]&gt;900,vp.data[[#This Row],[Sulf]]&lt;=0.5,vp.data[[#This Row],[Unknown]]=0),1,0)</f>
        <v>0</v>
      </c>
      <c r="AG1527" t="str">
        <f>INDEX(vp.data[[#Headers],[Unknown]:[Heavy_SW]],MATCH(1,vp.data[[#This Row],[Unknown]:[Heavy_SW]],0))</f>
        <v>Medium_LSB</v>
      </c>
      <c r="AH1527">
        <f>INDEX([3]!crudeBD.lkup[Number],MATCH(vp.data[[#This Row],[Crude_Breakdown]],crudeBD.lkup[Crude Breakdown],0))</f>
        <v>3</v>
      </c>
      <c r="AI1527">
        <f>MONTH(vp.data[[#This Row],[SDate]])</f>
        <v>5</v>
      </c>
      <c r="AJ1527" s="5">
        <f>(vp.data[[#This Row],[VP]]-INDEX(crudeBD.lkup[Mean_VP],MATCH(vp.data[[#This Row],[Crude_Breakdown]],crudeBD.lkup[Crude Breakdown],0)))^2</f>
        <v>393.61276560326957</v>
      </c>
      <c r="AK1527" s="5">
        <f>(vp.data[[#This Row],[Dens]]-INDEX(crudeBD.lkup[Mean_Dens],MATCH(vp.data[[#This Row],[Crude_Breakdown]],crudeBD.lkup[Crude Breakdown],0)))^2</f>
        <v>41.990400000006126</v>
      </c>
      <c r="AL1527" s="5">
        <f>(vp.data[[#This Row],[Sulf]]-INDEX(crudeBD.lkup[Mean_Sulf],MATCH(vp.data[[#This Row],[Crude_Breakdown]],crudeBD.lkup[Crude Breakdown],0)))^2</f>
        <v>4.2782230363935985E-3</v>
      </c>
      <c r="AM1527" s="4">
        <f>IF(AND(vp.data[[#This Row],[SDate]]&gt;=DATE(YEAR(vp.data[[#This Row],[SDate]]),5,1),vp.data[[#This Row],[SDate]]&lt;=DATE(YEAR(vp.data[[#This Row],[SDate]]),9,15)),1,0)</f>
        <v>1</v>
      </c>
      <c r="AN1527" s="4">
        <f>IF(vp.data[[#This Row],[SDate]]&lt;DATE(2016,12,1),0,1)</f>
        <v>1</v>
      </c>
      <c r="AO1527" s="4">
        <f>IFERROR(vp.data[[#This Row],[Sulf]]*vp.data[[#This Row],[Net Dens]],"")</f>
        <v>5248257.3084479999</v>
      </c>
      <c r="AP1527">
        <f>IFERROR(vp.data[[#This Row],[Dens]]*vp.data[[#This Row],[VolumeM3]],"")</f>
        <v>3975952.5063999994</v>
      </c>
      <c r="AQ1527" s="15">
        <f>IFERROR(vp.data[[#This Row],[VP]]*vp.data[[#This Row],[VolumeM3]],"")</f>
        <v>284263.77279999998</v>
      </c>
    </row>
    <row r="1528" spans="1:43" x14ac:dyDescent="0.25">
      <c r="A1528">
        <v>1527</v>
      </c>
      <c r="B1528" t="s">
        <v>68</v>
      </c>
      <c r="C1528" t="s">
        <v>68</v>
      </c>
      <c r="D1528" t="s">
        <v>188</v>
      </c>
      <c r="F1528" s="1">
        <v>42877</v>
      </c>
      <c r="G1528" s="2">
        <v>79.599999999999994</v>
      </c>
      <c r="H1528" s="2"/>
      <c r="I1528" s="2">
        <f t="array" ref="I1528">_xlfn.IFNA(IF(vp.data[[#This Row],[Sulf Input]]="",INDEX([1]DATA!$Q$3:$Q$9826,MATCH(1,(vp.data[[#This Row],[Battery]]=[1]DATA!$L$3:$L$9826)*(EOMONTH(vp.data[[#This Row],[SDate]],-1)+1=[1]DATA!$G$3:$G$9826),0)),vp.data[[#This Row],[Sulf Input]]),"")</f>
        <v>0.96</v>
      </c>
      <c r="J1528" s="2"/>
      <c r="K1528" s="2"/>
      <c r="L1528" s="2"/>
      <c r="M1528" s="2">
        <f t="array" ref="M1528">_xlfn.IFNA(IF(vp.data[[#This Row],[Dens Input]]="",INDEX([1]DATA!$O$3:$O$9826,MATCH(1,(vp.data[[#This Row],[Battery]]=[1]DATA!$L$3:$L$9826)*(EOMONTH(vp.data[[#This Row],[SDate]],-1)+1=[1]DATA!$G$3:$G$9826),0)),vp.data[[#This Row],[Dens Input]]),"")</f>
        <v>833.2</v>
      </c>
      <c r="N1528" s="2">
        <f ca="1">INDEX(INDIRECT(_xlfn.CONCAT("weather.tbl[",N$1,"]")),MATCH(vp.data[[#This Row],[SDate]],weather.tbl[Date],0))</f>
        <v>12.633333333333333</v>
      </c>
      <c r="O1528" s="2">
        <f ca="1">INDEX(INDIRECT(_xlfn.CONCAT("weather.tbl[",O$1,"]")),MATCH(vp.data[[#This Row],[SDate]],weather.tbl[Date],0))</f>
        <v>9.6880952380952383</v>
      </c>
      <c r="P1528" s="2">
        <f ca="1">INDEX(INDIRECT(_xlfn.CONCAT("weather.tbl[",P$1,"]")),MATCH(vp.data[[#This Row],[SDate]],weather.tbl[Date],0))</f>
        <v>12.9</v>
      </c>
      <c r="Q1528" s="2">
        <f ca="1">INDEX(INDIRECT(_xlfn.CONCAT("weather.tbl[",Q$1,"]")),MATCH(vp.data[[#This Row],[SDate]],weather.tbl[Date],0))</f>
        <v>13.1</v>
      </c>
      <c r="R1528" s="2">
        <f ca="1">INDEX(INDIRECT(_xlfn.CONCAT("weather.tbl[",R$1,"]")),MATCH(vp.data[[#This Row],[SDate]],weather.tbl[Date],0))</f>
        <v>12</v>
      </c>
      <c r="S1528" s="2">
        <f ca="1">INDEX(INDIRECT(_xlfn.CONCAT("weather.tbl[",S$1,"]")),MATCH(vp.data[[#This Row],[SDate]],weather.tbl[Date],0))</f>
        <v>12.4</v>
      </c>
      <c r="T1528" s="2">
        <f ca="1">INDEX(INDIRECT(_xlfn.CONCAT("weather.tbl[",T$1,"]")),MATCH(vp.data[[#This Row],[SDate]],weather.tbl[Date],0))</f>
        <v>12.6</v>
      </c>
      <c r="U1528" s="2">
        <f ca="1">INDEX(INDIRECT(_xlfn.CONCAT("weather.tbl[",U$1,"]")),MATCH(vp.data[[#This Row],[SDate]],weather.tbl[Date],0))</f>
        <v>12.8</v>
      </c>
      <c r="V1528" s="2">
        <f t="array" ref="V15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924.40700000000004</v>
      </c>
      <c r="W1528" t="s">
        <v>48</v>
      </c>
      <c r="X1528">
        <f>IF(OR(vp.data[[#This Row],[Sulf]]="",vp.data[[#This Row],[Dens]]=""),1,0)</f>
        <v>0</v>
      </c>
      <c r="Y1528">
        <f>IF(vp.data[[#This Row],[CrudeType]]="C5+",1,0)</f>
        <v>0</v>
      </c>
      <c r="Z1528">
        <f>IF(AND(vp.data[[#This Row],[CrudeType]]="Crude",vp.data[[#This Row],[Dens]]&lt;=825,vp.data[[#This Row],[Sulf]]&gt;0.5,vp.data[[#This Row],[Unknown]]=0),1,0)</f>
        <v>0</v>
      </c>
      <c r="AA1528">
        <f>IF(AND(vp.data[[#This Row],[CrudeType]]="Crude",vp.data[[#This Row],[Dens]]&lt;=825,vp.data[[#This Row],[Sulf]]&lt;=0.5,vp.data[[#This Row],[Unknown]]=0),1,0)</f>
        <v>0</v>
      </c>
      <c r="AB15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28">
        <f>IF(AND(vp.data[[#This Row],[CrudeType]]="Crude",vp.data[[#This Row],[Dens]]&gt;825,vp.data[[#This Row],[Dens]]&lt;=900,vp.data[[#This Row],[Sulf]]&lt;=0.5,vp.data[[#This Row],[Unknown]]=0),1,0)</f>
        <v>0</v>
      </c>
      <c r="AD1528">
        <f>IF(AND(vp.data[[#This Row],[CrudeType]]="Crude",vp.data[[#This Row],[Dens]]&gt;865,vp.data[[#This Row],[Dens]]&lt;=900,vp.data[[#This Row],[Sulf]]&gt;2,vp.data[[#This Row],[Unknown]]=0),1,0)</f>
        <v>0</v>
      </c>
      <c r="AE1528">
        <f>IF(AND(vp.data[[#This Row],[CrudeType]]="Crude",vp.data[[#This Row],[Dens]]&gt;900,vp.data[[#This Row],[Sulf]]&lt;=0.5,vp.data[[#This Row],[Unknown]]=0),1,0)</f>
        <v>0</v>
      </c>
      <c r="AF1528">
        <f>IF(AND(vp.data[[#This Row],[CrudeType]]="Crude",vp.data[[#This Row],[Dens]]&gt;900,vp.data[[#This Row],[Sulf]]&lt;=0.5,vp.data[[#This Row],[Unknown]]=0),1,0)</f>
        <v>0</v>
      </c>
      <c r="AG1528" t="str">
        <f>INDEX(vp.data[[#Headers],[Unknown]:[Heavy_SW]],MATCH(1,vp.data[[#This Row],[Unknown]:[Heavy_SW]],0))</f>
        <v>Medium_LSB</v>
      </c>
      <c r="AH1528">
        <f>INDEX([3]!crudeBD.lkup[Number],MATCH(vp.data[[#This Row],[Crude_Breakdown]],crudeBD.lkup[Crude Breakdown],0))</f>
        <v>3</v>
      </c>
      <c r="AI1528">
        <f>MONTH(vp.data[[#This Row],[SDate]])</f>
        <v>5</v>
      </c>
      <c r="AJ1528" s="5">
        <f>(vp.data[[#This Row],[VP]]-INDEX(crudeBD.lkup[Mean_VP],MATCH(vp.data[[#This Row],[Crude_Breakdown]],crudeBD.lkup[Crude Breakdown],0)))^2</f>
        <v>1.0809273283395293</v>
      </c>
      <c r="AK1528" s="5">
        <f>(vp.data[[#This Row],[Dens]]-INDEX(crudeBD.lkup[Mean_Dens],MATCH(vp.data[[#This Row],[Crude_Breakdown]],crudeBD.lkup[Crude Breakdown],0)))^2</f>
        <v>114.9183999999884</v>
      </c>
      <c r="AL1528" s="5">
        <f>(vp.data[[#This Row],[Sulf]]-INDEX(crudeBD.lkup[Mean_Sulf],MATCH(vp.data[[#This Row],[Crude_Breakdown]],crudeBD.lkup[Crude Breakdown],0)))^2</f>
        <v>0.18097207424933273</v>
      </c>
      <c r="AM1528" s="4">
        <f>IF(AND(vp.data[[#This Row],[SDate]]&gt;=DATE(YEAR(vp.data[[#This Row],[SDate]]),5,1),vp.data[[#This Row],[SDate]]&lt;=DATE(YEAR(vp.data[[#This Row],[SDate]]),9,15)),1,0)</f>
        <v>1</v>
      </c>
      <c r="AN1528" s="4">
        <f>IF(vp.data[[#This Row],[SDate]]&lt;DATE(2016,12,1),0,1)</f>
        <v>1</v>
      </c>
      <c r="AO1528" s="4">
        <f>IFERROR(vp.data[[#This Row],[Sulf]]*vp.data[[#This Row],[Net Dens]],"")</f>
        <v>739407.27590400004</v>
      </c>
      <c r="AP1528">
        <f>IFERROR(vp.data[[#This Row],[Dens]]*vp.data[[#This Row],[VolumeM3]],"")</f>
        <v>770215.91240000003</v>
      </c>
      <c r="AQ1528" s="15">
        <f>IFERROR(vp.data[[#This Row],[VP]]*vp.data[[#This Row],[VolumeM3]],"")</f>
        <v>73582.797200000001</v>
      </c>
    </row>
    <row r="1529" spans="1:43" x14ac:dyDescent="0.25">
      <c r="A1529">
        <v>1528</v>
      </c>
      <c r="B1529" t="s">
        <v>96</v>
      </c>
      <c r="C1529" t="s">
        <v>96</v>
      </c>
      <c r="D1529" t="s">
        <v>97</v>
      </c>
      <c r="F1529" s="1">
        <v>42877</v>
      </c>
      <c r="G1529" s="2">
        <v>79.2</v>
      </c>
      <c r="H1529" s="2"/>
      <c r="I1529" s="2">
        <f t="array" ref="I1529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529" s="2"/>
      <c r="K1529" s="2"/>
      <c r="L1529" s="2"/>
      <c r="M1529" s="2">
        <f t="array" ref="M1529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1529" s="2">
        <f ca="1">INDEX(INDIRECT(_xlfn.CONCAT("weather.tbl[",N$1,"]")),MATCH(vp.data[[#This Row],[SDate]],weather.tbl[Date],0))</f>
        <v>12.633333333333333</v>
      </c>
      <c r="O1529" s="2">
        <f ca="1">INDEX(INDIRECT(_xlfn.CONCAT("weather.tbl[",O$1,"]")),MATCH(vp.data[[#This Row],[SDate]],weather.tbl[Date],0))</f>
        <v>9.6880952380952383</v>
      </c>
      <c r="P1529" s="2">
        <f ca="1">INDEX(INDIRECT(_xlfn.CONCAT("weather.tbl[",P$1,"]")),MATCH(vp.data[[#This Row],[SDate]],weather.tbl[Date],0))</f>
        <v>12.9</v>
      </c>
      <c r="Q1529" s="2">
        <f ca="1">INDEX(INDIRECT(_xlfn.CONCAT("weather.tbl[",Q$1,"]")),MATCH(vp.data[[#This Row],[SDate]],weather.tbl[Date],0))</f>
        <v>13.1</v>
      </c>
      <c r="R1529" s="2">
        <f ca="1">INDEX(INDIRECT(_xlfn.CONCAT("weather.tbl[",R$1,"]")),MATCH(vp.data[[#This Row],[SDate]],weather.tbl[Date],0))</f>
        <v>12</v>
      </c>
      <c r="S1529" s="2">
        <f ca="1">INDEX(INDIRECT(_xlfn.CONCAT("weather.tbl[",S$1,"]")),MATCH(vp.data[[#This Row],[SDate]],weather.tbl[Date],0))</f>
        <v>12.4</v>
      </c>
      <c r="T1529" s="2">
        <f ca="1">INDEX(INDIRECT(_xlfn.CONCAT("weather.tbl[",T$1,"]")),MATCH(vp.data[[#This Row],[SDate]],weather.tbl[Date],0))</f>
        <v>12.6</v>
      </c>
      <c r="U1529" s="2">
        <f ca="1">INDEX(INDIRECT(_xlfn.CONCAT("weather.tbl[",U$1,"]")),MATCH(vp.data[[#This Row],[SDate]],weather.tbl[Date],0))</f>
        <v>12.8</v>
      </c>
      <c r="V1529" s="2">
        <f t="array" ref="V15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7702.1589999999997</v>
      </c>
      <c r="W1529" t="s">
        <v>48</v>
      </c>
      <c r="X1529">
        <f>IF(OR(vp.data[[#This Row],[Sulf]]="",vp.data[[#This Row],[Dens]]=""),1,0)</f>
        <v>0</v>
      </c>
      <c r="Y1529">
        <f>IF(vp.data[[#This Row],[CrudeType]]="C5+",1,0)</f>
        <v>0</v>
      </c>
      <c r="Z1529">
        <f>IF(AND(vp.data[[#This Row],[CrudeType]]="Crude",vp.data[[#This Row],[Dens]]&lt;=825,vp.data[[#This Row],[Sulf]]&gt;0.5,vp.data[[#This Row],[Unknown]]=0),1,0)</f>
        <v>1</v>
      </c>
      <c r="AA1529">
        <f>IF(AND(vp.data[[#This Row],[CrudeType]]="Crude",vp.data[[#This Row],[Dens]]&lt;=825,vp.data[[#This Row],[Sulf]]&lt;=0.5,vp.data[[#This Row],[Unknown]]=0),1,0)</f>
        <v>0</v>
      </c>
      <c r="AB15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29">
        <f>IF(AND(vp.data[[#This Row],[CrudeType]]="Crude",vp.data[[#This Row],[Dens]]&gt;825,vp.data[[#This Row],[Dens]]&lt;=900,vp.data[[#This Row],[Sulf]]&lt;=0.5,vp.data[[#This Row],[Unknown]]=0),1,0)</f>
        <v>0</v>
      </c>
      <c r="AD1529">
        <f>IF(AND(vp.data[[#This Row],[CrudeType]]="Crude",vp.data[[#This Row],[Dens]]&gt;865,vp.data[[#This Row],[Dens]]&lt;=900,vp.data[[#This Row],[Sulf]]&gt;2,vp.data[[#This Row],[Unknown]]=0),1,0)</f>
        <v>0</v>
      </c>
      <c r="AE1529">
        <f>IF(AND(vp.data[[#This Row],[CrudeType]]="Crude",vp.data[[#This Row],[Dens]]&gt;900,vp.data[[#This Row],[Sulf]]&lt;=0.5,vp.data[[#This Row],[Unknown]]=0),1,0)</f>
        <v>0</v>
      </c>
      <c r="AF1529">
        <f>IF(AND(vp.data[[#This Row],[CrudeType]]="Crude",vp.data[[#This Row],[Dens]]&gt;900,vp.data[[#This Row],[Sulf]]&lt;=0.5,vp.data[[#This Row],[Unknown]]=0),1,0)</f>
        <v>0</v>
      </c>
      <c r="AG1529" t="str">
        <f>INDEX(vp.data[[#Headers],[Unknown]:[Heavy_SW]],MATCH(1,vp.data[[#This Row],[Unknown]:[Heavy_SW]],0))</f>
        <v>Light_LSB</v>
      </c>
      <c r="AH1529">
        <f>INDEX([3]!crudeBD.lkup[Number],MATCH(vp.data[[#This Row],[Crude_Breakdown]],crudeBD.lkup[Crude Breakdown],0))</f>
        <v>1</v>
      </c>
      <c r="AI1529">
        <f>MONTH(vp.data[[#This Row],[SDate]])</f>
        <v>5</v>
      </c>
      <c r="AJ1529" s="5">
        <f>(vp.data[[#This Row],[VP]]-INDEX(crudeBD.lkup[Mean_VP],MATCH(vp.data[[#This Row],[Crude_Breakdown]],crudeBD.lkup[Crude Breakdown],0)))^2</f>
        <v>152.42829805505437</v>
      </c>
      <c r="AK1529" s="5">
        <f>(vp.data[[#This Row],[Dens]]-INDEX(crudeBD.lkup[Mean_Dens],MATCH(vp.data[[#This Row],[Crude_Breakdown]],crudeBD.lkup[Crude Breakdown],0)))^2</f>
        <v>10.779600812462647</v>
      </c>
      <c r="AL1529" s="5">
        <f>(vp.data[[#This Row],[Sulf]]-INDEX(crudeBD.lkup[Mean_Sulf],MATCH(vp.data[[#This Row],[Crude_Breakdown]],crudeBD.lkup[Crude Breakdown],0)))^2</f>
        <v>3.7237871827825515E-2</v>
      </c>
      <c r="AM1529" s="4">
        <f>IF(AND(vp.data[[#This Row],[SDate]]&gt;=DATE(YEAR(vp.data[[#This Row],[SDate]]),5,1),vp.data[[#This Row],[SDate]]&lt;=DATE(YEAR(vp.data[[#This Row],[SDate]]),9,15)),1,0)</f>
        <v>1</v>
      </c>
      <c r="AN1529" s="4">
        <f>IF(vp.data[[#This Row],[SDate]]&lt;DATE(2016,12,1),0,1)</f>
        <v>1</v>
      </c>
      <c r="AO1529" s="4">
        <f>IFERROR(vp.data[[#This Row],[Sulf]]*vp.data[[#This Row],[Net Dens]],"")</f>
        <v>4620633.0143259997</v>
      </c>
      <c r="AP1529">
        <f>IFERROR(vp.data[[#This Row],[Dens]]*vp.data[[#This Row],[VolumeM3]],"")</f>
        <v>6329634.2661999995</v>
      </c>
      <c r="AQ1529" s="15">
        <f>IFERROR(vp.data[[#This Row],[VP]]*vp.data[[#This Row],[VolumeM3]],"")</f>
        <v>610010.99280000001</v>
      </c>
    </row>
    <row r="1530" spans="1:43" x14ac:dyDescent="0.25">
      <c r="A1530">
        <v>1529</v>
      </c>
      <c r="B1530" t="s">
        <v>291</v>
      </c>
      <c r="C1530" t="s">
        <v>291</v>
      </c>
      <c r="D1530" t="s">
        <v>323</v>
      </c>
      <c r="F1530" s="1">
        <v>42877</v>
      </c>
      <c r="G1530" s="2">
        <v>45</v>
      </c>
      <c r="H1530" s="2"/>
      <c r="I1530" s="2">
        <f t="array" ref="I1530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530" s="2"/>
      <c r="K1530" s="2"/>
      <c r="L1530" s="2"/>
      <c r="M1530" s="2">
        <f t="array" ref="M1530">_xlfn.IFNA(IF(vp.data[[#This Row],[Dens Input]]="",INDEX([1]DATA!$O$3:$O$9826,MATCH(1,(vp.data[[#This Row],[Battery]]=[1]DATA!$L$3:$L$9826)*(EOMONTH(vp.data[[#This Row],[SDate]],-1)+1=[1]DATA!$G$3:$G$9826),0)),vp.data[[#This Row],[Dens Input]]),"")</f>
        <v>838</v>
      </c>
      <c r="N1530" s="2">
        <f ca="1">INDEX(INDIRECT(_xlfn.CONCAT("weather.tbl[",N$1,"]")),MATCH(vp.data[[#This Row],[SDate]],weather.tbl[Date],0))</f>
        <v>12.633333333333333</v>
      </c>
      <c r="O1530" s="2">
        <f ca="1">INDEX(INDIRECT(_xlfn.CONCAT("weather.tbl[",O$1,"]")),MATCH(vp.data[[#This Row],[SDate]],weather.tbl[Date],0))</f>
        <v>9.6880952380952383</v>
      </c>
      <c r="P1530" s="2">
        <f ca="1">INDEX(INDIRECT(_xlfn.CONCAT("weather.tbl[",P$1,"]")),MATCH(vp.data[[#This Row],[SDate]],weather.tbl[Date],0))</f>
        <v>12.9</v>
      </c>
      <c r="Q1530" s="2">
        <f ca="1">INDEX(INDIRECT(_xlfn.CONCAT("weather.tbl[",Q$1,"]")),MATCH(vp.data[[#This Row],[SDate]],weather.tbl[Date],0))</f>
        <v>13.1</v>
      </c>
      <c r="R1530" s="2">
        <f ca="1">INDEX(INDIRECT(_xlfn.CONCAT("weather.tbl[",R$1,"]")),MATCH(vp.data[[#This Row],[SDate]],weather.tbl[Date],0))</f>
        <v>12</v>
      </c>
      <c r="S1530" s="2">
        <f ca="1">INDEX(INDIRECT(_xlfn.CONCAT("weather.tbl[",S$1,"]")),MATCH(vp.data[[#This Row],[SDate]],weather.tbl[Date],0))</f>
        <v>12.4</v>
      </c>
      <c r="T1530" s="2">
        <f ca="1">INDEX(INDIRECT(_xlfn.CONCAT("weather.tbl[",T$1,"]")),MATCH(vp.data[[#This Row],[SDate]],weather.tbl[Date],0))</f>
        <v>12.6</v>
      </c>
      <c r="U1530" s="2">
        <f ca="1">INDEX(INDIRECT(_xlfn.CONCAT("weather.tbl[",U$1,"]")),MATCH(vp.data[[#This Row],[SDate]],weather.tbl[Date],0))</f>
        <v>12.8</v>
      </c>
      <c r="V1530" s="2">
        <f t="array" ref="V15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69.897000000000006</v>
      </c>
      <c r="W1530" t="s">
        <v>48</v>
      </c>
      <c r="X1530">
        <f>IF(OR(vp.data[[#This Row],[Sulf]]="",vp.data[[#This Row],[Dens]]=""),1,0)</f>
        <v>0</v>
      </c>
      <c r="Y1530">
        <f>IF(vp.data[[#This Row],[CrudeType]]="C5+",1,0)</f>
        <v>0</v>
      </c>
      <c r="Z1530">
        <f>IF(AND(vp.data[[#This Row],[CrudeType]]="Crude",vp.data[[#This Row],[Dens]]&lt;=825,vp.data[[#This Row],[Sulf]]&gt;0.5,vp.data[[#This Row],[Unknown]]=0),1,0)</f>
        <v>0</v>
      </c>
      <c r="AA1530">
        <f>IF(AND(vp.data[[#This Row],[CrudeType]]="Crude",vp.data[[#This Row],[Dens]]&lt;=825,vp.data[[#This Row],[Sulf]]&lt;=0.5,vp.data[[#This Row],[Unknown]]=0),1,0)</f>
        <v>0</v>
      </c>
      <c r="AB15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30">
        <f>IF(AND(vp.data[[#This Row],[CrudeType]]="Crude",vp.data[[#This Row],[Dens]]&gt;825,vp.data[[#This Row],[Dens]]&lt;=900,vp.data[[#This Row],[Sulf]]&lt;=0.5,vp.data[[#This Row],[Unknown]]=0),1,0)</f>
        <v>0</v>
      </c>
      <c r="AD1530">
        <f>IF(AND(vp.data[[#This Row],[CrudeType]]="Crude",vp.data[[#This Row],[Dens]]&gt;865,vp.data[[#This Row],[Dens]]&lt;=900,vp.data[[#This Row],[Sulf]]&gt;2,vp.data[[#This Row],[Unknown]]=0),1,0)</f>
        <v>0</v>
      </c>
      <c r="AE1530">
        <f>IF(AND(vp.data[[#This Row],[CrudeType]]="Crude",vp.data[[#This Row],[Dens]]&gt;900,vp.data[[#This Row],[Sulf]]&lt;=0.5,vp.data[[#This Row],[Unknown]]=0),1,0)</f>
        <v>0</v>
      </c>
      <c r="AF1530">
        <f>IF(AND(vp.data[[#This Row],[CrudeType]]="Crude",vp.data[[#This Row],[Dens]]&gt;900,vp.data[[#This Row],[Sulf]]&lt;=0.5,vp.data[[#This Row],[Unknown]]=0),1,0)</f>
        <v>0</v>
      </c>
      <c r="AG1530" t="str">
        <f>INDEX(vp.data[[#Headers],[Unknown]:[Heavy_SW]],MATCH(1,vp.data[[#This Row],[Unknown]:[Heavy_SW]],0))</f>
        <v>Medium_LSB</v>
      </c>
      <c r="AH1530">
        <f>INDEX([3]!crudeBD.lkup[Number],MATCH(vp.data[[#This Row],[Crude_Breakdown]],crudeBD.lkup[Crude Breakdown],0))</f>
        <v>3</v>
      </c>
      <c r="AI1530">
        <f>MONTH(vp.data[[#This Row],[SDate]])</f>
        <v>5</v>
      </c>
      <c r="AJ1530" s="5">
        <f>(vp.data[[#This Row],[VP]]-INDEX(crudeBD.lkup[Mean_VP],MATCH(vp.data[[#This Row],[Crude_Breakdown]],crudeBD.lkup[Crude Breakdown],0)))^2</f>
        <v>1270.1865445790083</v>
      </c>
      <c r="AK1530" s="5">
        <f>(vp.data[[#This Row],[Dens]]-INDEX(crudeBD.lkup[Mean_Dens],MATCH(vp.data[[#This Row],[Crude_Breakdown]],crudeBD.lkup[Crude Breakdown],0)))^2</f>
        <v>35.046399999994129</v>
      </c>
      <c r="AL1530" s="5">
        <f>(vp.data[[#This Row],[Sulf]]-INDEX(crudeBD.lkup[Mean_Sulf],MATCH(vp.data[[#This Row],[Crude_Breakdown]],crudeBD.lkup[Crude Breakdown],0)))^2</f>
        <v>0.49760062519272974</v>
      </c>
      <c r="AM1530" s="4">
        <f>IF(AND(vp.data[[#This Row],[SDate]]&gt;=DATE(YEAR(vp.data[[#This Row],[SDate]]),5,1),vp.data[[#This Row],[SDate]]&lt;=DATE(YEAR(vp.data[[#This Row],[SDate]]),9,15)),1,0)</f>
        <v>1</v>
      </c>
      <c r="AN1530" s="4">
        <f>IF(vp.data[[#This Row],[SDate]]&lt;DATE(2016,12,1),0,1)</f>
        <v>1</v>
      </c>
      <c r="AO1530" s="4">
        <f>IFERROR(vp.data[[#This Row],[Sulf]]*vp.data[[#This Row],[Net Dens]],"")</f>
        <v>39830.106480000002</v>
      </c>
      <c r="AP1530">
        <f>IFERROR(vp.data[[#This Row],[Dens]]*vp.data[[#This Row],[VolumeM3]],"")</f>
        <v>58573.686000000002</v>
      </c>
      <c r="AQ1530" s="15">
        <f>IFERROR(vp.data[[#This Row],[VP]]*vp.data[[#This Row],[VolumeM3]],"")</f>
        <v>3145.3650000000002</v>
      </c>
    </row>
    <row r="1531" spans="1:43" x14ac:dyDescent="0.25">
      <c r="A1531">
        <v>1530</v>
      </c>
      <c r="B1531" t="s">
        <v>49</v>
      </c>
      <c r="C1531" t="s">
        <v>49</v>
      </c>
      <c r="D1531" t="s">
        <v>67</v>
      </c>
      <c r="F1531" s="1">
        <v>42878</v>
      </c>
      <c r="G1531" s="2">
        <v>81.3</v>
      </c>
      <c r="H1531" s="2"/>
      <c r="I1531" s="2">
        <f t="array" ref="I1531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531" s="2"/>
      <c r="K1531" s="2"/>
      <c r="L1531" s="2"/>
      <c r="M1531" s="2">
        <f t="array" ref="M1531">_xlfn.IFNA(IF(vp.data[[#This Row],[Dens Input]]="",INDEX([1]DATA!$O$3:$O$9826,MATCH(1,(vp.data[[#This Row],[Battery]]=[1]DATA!$L$3:$L$9826)*(EOMONTH(vp.data[[#This Row],[SDate]],-1)+1=[1]DATA!$G$3:$G$9826),0)),vp.data[[#This Row],[Dens Input]]),"")</f>
        <v>822.8</v>
      </c>
      <c r="N1531" s="2">
        <f ca="1">INDEX(INDIRECT(_xlfn.CONCAT("weather.tbl[",N$1,"]")),MATCH(vp.data[[#This Row],[SDate]],weather.tbl[Date],0))</f>
        <v>12</v>
      </c>
      <c r="O1531" s="2">
        <f ca="1">INDEX(INDIRECT(_xlfn.CONCAT("weather.tbl[",O$1,"]")),MATCH(vp.data[[#This Row],[SDate]],weather.tbl[Date],0))</f>
        <v>9.742857142857142</v>
      </c>
      <c r="P1531" s="2">
        <f ca="1">INDEX(INDIRECT(_xlfn.CONCAT("weather.tbl[",P$1,"]")),MATCH(vp.data[[#This Row],[SDate]],weather.tbl[Date],0))</f>
        <v>12</v>
      </c>
      <c r="Q1531" s="2">
        <f ca="1">INDEX(INDIRECT(_xlfn.CONCAT("weather.tbl[",Q$1,"]")),MATCH(vp.data[[#This Row],[SDate]],weather.tbl[Date],0))</f>
        <v>12.6</v>
      </c>
      <c r="R1531" s="2">
        <f ca="1">INDEX(INDIRECT(_xlfn.CONCAT("weather.tbl[",R$1,"]")),MATCH(vp.data[[#This Row],[SDate]],weather.tbl[Date],0))</f>
        <v>11.3</v>
      </c>
      <c r="S1531" s="2">
        <f ca="1">INDEX(INDIRECT(_xlfn.CONCAT("weather.tbl[",S$1,"]")),MATCH(vp.data[[#This Row],[SDate]],weather.tbl[Date],0))</f>
        <v>12.5</v>
      </c>
      <c r="T1531" s="2">
        <f ca="1">INDEX(INDIRECT(_xlfn.CONCAT("weather.tbl[",T$1,"]")),MATCH(vp.data[[#This Row],[SDate]],weather.tbl[Date],0))</f>
        <v>11.3</v>
      </c>
      <c r="U1531" s="2">
        <f ca="1">INDEX(INDIRECT(_xlfn.CONCAT("weather.tbl[",U$1,"]")),MATCH(vp.data[[#This Row],[SDate]],weather.tbl[Date],0))</f>
        <v>12.3</v>
      </c>
      <c r="V1531" s="2">
        <f t="array" ref="V15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152210.65299999999</v>
      </c>
      <c r="W1531" t="s">
        <v>48</v>
      </c>
      <c r="X1531">
        <f>IF(OR(vp.data[[#This Row],[Sulf]]="",vp.data[[#This Row],[Dens]]=""),1,0)</f>
        <v>0</v>
      </c>
      <c r="Y1531">
        <f>IF(vp.data[[#This Row],[CrudeType]]="C5+",1,0)</f>
        <v>0</v>
      </c>
      <c r="Z1531">
        <f>IF(AND(vp.data[[#This Row],[CrudeType]]="Crude",vp.data[[#This Row],[Dens]]&lt;=825,vp.data[[#This Row],[Sulf]]&gt;0.5,vp.data[[#This Row],[Unknown]]=0),1,0)</f>
        <v>1</v>
      </c>
      <c r="AA1531">
        <f>IF(AND(vp.data[[#This Row],[CrudeType]]="Crude",vp.data[[#This Row],[Dens]]&lt;=825,vp.data[[#This Row],[Sulf]]&lt;=0.5,vp.data[[#This Row],[Unknown]]=0),1,0)</f>
        <v>0</v>
      </c>
      <c r="AB15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1">
        <f>IF(AND(vp.data[[#This Row],[CrudeType]]="Crude",vp.data[[#This Row],[Dens]]&gt;825,vp.data[[#This Row],[Dens]]&lt;=900,vp.data[[#This Row],[Sulf]]&lt;=0.5,vp.data[[#This Row],[Unknown]]=0),1,0)</f>
        <v>0</v>
      </c>
      <c r="AD1531">
        <f>IF(AND(vp.data[[#This Row],[CrudeType]]="Crude",vp.data[[#This Row],[Dens]]&gt;865,vp.data[[#This Row],[Dens]]&lt;=900,vp.data[[#This Row],[Sulf]]&gt;2,vp.data[[#This Row],[Unknown]]=0),1,0)</f>
        <v>0</v>
      </c>
      <c r="AE1531">
        <f>IF(AND(vp.data[[#This Row],[CrudeType]]="Crude",vp.data[[#This Row],[Dens]]&gt;900,vp.data[[#This Row],[Sulf]]&lt;=0.5,vp.data[[#This Row],[Unknown]]=0),1,0)</f>
        <v>0</v>
      </c>
      <c r="AF1531">
        <f>IF(AND(vp.data[[#This Row],[CrudeType]]="Crude",vp.data[[#This Row],[Dens]]&gt;900,vp.data[[#This Row],[Sulf]]&lt;=0.5,vp.data[[#This Row],[Unknown]]=0),1,0)</f>
        <v>0</v>
      </c>
      <c r="AG1531" t="str">
        <f>INDEX(vp.data[[#Headers],[Unknown]:[Heavy_SW]],MATCH(1,vp.data[[#This Row],[Unknown]:[Heavy_SW]],0))</f>
        <v>Light_LSB</v>
      </c>
      <c r="AH1531">
        <f>INDEX([3]!crudeBD.lkup[Number],MATCH(vp.data[[#This Row],[Crude_Breakdown]],crudeBD.lkup[Crude Breakdown],0))</f>
        <v>1</v>
      </c>
      <c r="AI1531">
        <f>MONTH(vp.data[[#This Row],[SDate]])</f>
        <v>5</v>
      </c>
      <c r="AJ1531" s="5">
        <f>(vp.data[[#This Row],[VP]]-INDEX(crudeBD.lkup[Mean_VP],MATCH(vp.data[[#This Row],[Crude_Breakdown]],crudeBD.lkup[Crude Breakdown],0)))^2</f>
        <v>104.98431867361107</v>
      </c>
      <c r="AK1531" s="5">
        <f>(vp.data[[#This Row],[Dens]]-INDEX(crudeBD.lkup[Mean_Dens],MATCH(vp.data[[#This Row],[Crude_Breakdown]],crudeBD.lkup[Crude Breakdown],0)))^2</f>
        <v>18.34606129356284</v>
      </c>
      <c r="AL1531" s="5">
        <f>(vp.data[[#This Row],[Sulf]]-INDEX(crudeBD.lkup[Mean_Sulf],MATCH(vp.data[[#This Row],[Crude_Breakdown]],crudeBD.lkup[Crude Breakdown],0)))^2</f>
        <v>8.5832105504801401E-2</v>
      </c>
      <c r="AM1531" s="4">
        <f>IF(AND(vp.data[[#This Row],[SDate]]&gt;=DATE(YEAR(vp.data[[#This Row],[SDate]]),5,1),vp.data[[#This Row],[SDate]]&lt;=DATE(YEAR(vp.data[[#This Row],[SDate]]),9,15)),1,0)</f>
        <v>1</v>
      </c>
      <c r="AN1531" s="4">
        <f>IF(vp.data[[#This Row],[SDate]]&lt;DATE(2016,12,1),0,1)</f>
        <v>1</v>
      </c>
      <c r="AO1531" s="4">
        <f>IFERROR(vp.data[[#This Row],[Sulf]]*vp.data[[#This Row],[Net Dens]],"")</f>
        <v>78900522.931691989</v>
      </c>
      <c r="AP1531">
        <f>IFERROR(vp.data[[#This Row],[Dens]]*vp.data[[#This Row],[VolumeM3]],"")</f>
        <v>125238925.28839998</v>
      </c>
      <c r="AQ1531" s="15">
        <f>IFERROR(vp.data[[#This Row],[VP]]*vp.data[[#This Row],[VolumeM3]],"")</f>
        <v>12374726.088899998</v>
      </c>
    </row>
    <row r="1532" spans="1:43" x14ac:dyDescent="0.25">
      <c r="A1532">
        <v>1531</v>
      </c>
      <c r="B1532" t="s">
        <v>49</v>
      </c>
      <c r="C1532" t="s">
        <v>49</v>
      </c>
      <c r="D1532" t="s">
        <v>80</v>
      </c>
      <c r="F1532" s="1">
        <v>42878</v>
      </c>
      <c r="G1532" s="2">
        <v>85</v>
      </c>
      <c r="H1532" s="2"/>
      <c r="I1532" s="2">
        <f t="array" ref="I1532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532" s="2"/>
      <c r="K1532" s="2"/>
      <c r="L1532" s="2"/>
      <c r="M1532" s="2">
        <f t="array" ref="M1532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532" s="2">
        <f ca="1">INDEX(INDIRECT(_xlfn.CONCAT("weather.tbl[",N$1,"]")),MATCH(vp.data[[#This Row],[SDate]],weather.tbl[Date],0))</f>
        <v>12</v>
      </c>
      <c r="O1532" s="2">
        <f ca="1">INDEX(INDIRECT(_xlfn.CONCAT("weather.tbl[",O$1,"]")),MATCH(vp.data[[#This Row],[SDate]],weather.tbl[Date],0))</f>
        <v>9.742857142857142</v>
      </c>
      <c r="P1532" s="2">
        <f ca="1">INDEX(INDIRECT(_xlfn.CONCAT("weather.tbl[",P$1,"]")),MATCH(vp.data[[#This Row],[SDate]],weather.tbl[Date],0))</f>
        <v>12</v>
      </c>
      <c r="Q1532" s="2">
        <f ca="1">INDEX(INDIRECT(_xlfn.CONCAT("weather.tbl[",Q$1,"]")),MATCH(vp.data[[#This Row],[SDate]],weather.tbl[Date],0))</f>
        <v>12.6</v>
      </c>
      <c r="R1532" s="2">
        <f ca="1">INDEX(INDIRECT(_xlfn.CONCAT("weather.tbl[",R$1,"]")),MATCH(vp.data[[#This Row],[SDate]],weather.tbl[Date],0))</f>
        <v>11.3</v>
      </c>
      <c r="S1532" s="2">
        <f ca="1">INDEX(INDIRECT(_xlfn.CONCAT("weather.tbl[",S$1,"]")),MATCH(vp.data[[#This Row],[SDate]],weather.tbl[Date],0))</f>
        <v>12.5</v>
      </c>
      <c r="T1532" s="2">
        <f ca="1">INDEX(INDIRECT(_xlfn.CONCAT("weather.tbl[",T$1,"]")),MATCH(vp.data[[#This Row],[SDate]],weather.tbl[Date],0))</f>
        <v>11.3</v>
      </c>
      <c r="U1532" s="2">
        <f ca="1">INDEX(INDIRECT(_xlfn.CONCAT("weather.tbl[",U$1,"]")),MATCH(vp.data[[#This Row],[SDate]],weather.tbl[Date],0))</f>
        <v>12.3</v>
      </c>
      <c r="V1532" s="2">
        <f t="array" ref="V15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22699.566999999999</v>
      </c>
      <c r="W1532" t="s">
        <v>48</v>
      </c>
      <c r="X1532">
        <f>IF(OR(vp.data[[#This Row],[Sulf]]="",vp.data[[#This Row],[Dens]]=""),1,0)</f>
        <v>0</v>
      </c>
      <c r="Y1532">
        <f>IF(vp.data[[#This Row],[CrudeType]]="C5+",1,0)</f>
        <v>0</v>
      </c>
      <c r="Z1532">
        <f>IF(AND(vp.data[[#This Row],[CrudeType]]="Crude",vp.data[[#This Row],[Dens]]&lt;=825,vp.data[[#This Row],[Sulf]]&gt;0.5,vp.data[[#This Row],[Unknown]]=0),1,0)</f>
        <v>1</v>
      </c>
      <c r="AA1532">
        <f>IF(AND(vp.data[[#This Row],[CrudeType]]="Crude",vp.data[[#This Row],[Dens]]&lt;=825,vp.data[[#This Row],[Sulf]]&lt;=0.5,vp.data[[#This Row],[Unknown]]=0),1,0)</f>
        <v>0</v>
      </c>
      <c r="AB15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2">
        <f>IF(AND(vp.data[[#This Row],[CrudeType]]="Crude",vp.data[[#This Row],[Dens]]&gt;825,vp.data[[#This Row],[Dens]]&lt;=900,vp.data[[#This Row],[Sulf]]&lt;=0.5,vp.data[[#This Row],[Unknown]]=0),1,0)</f>
        <v>0</v>
      </c>
      <c r="AD1532">
        <f>IF(AND(vp.data[[#This Row],[CrudeType]]="Crude",vp.data[[#This Row],[Dens]]&gt;865,vp.data[[#This Row],[Dens]]&lt;=900,vp.data[[#This Row],[Sulf]]&gt;2,vp.data[[#This Row],[Unknown]]=0),1,0)</f>
        <v>0</v>
      </c>
      <c r="AE1532">
        <f>IF(AND(vp.data[[#This Row],[CrudeType]]="Crude",vp.data[[#This Row],[Dens]]&gt;900,vp.data[[#This Row],[Sulf]]&lt;=0.5,vp.data[[#This Row],[Unknown]]=0),1,0)</f>
        <v>0</v>
      </c>
      <c r="AF1532">
        <f>IF(AND(vp.data[[#This Row],[CrudeType]]="Crude",vp.data[[#This Row],[Dens]]&gt;900,vp.data[[#This Row],[Sulf]]&lt;=0.5,vp.data[[#This Row],[Unknown]]=0),1,0)</f>
        <v>0</v>
      </c>
      <c r="AG1532" t="str">
        <f>INDEX(vp.data[[#Headers],[Unknown]:[Heavy_SW]],MATCH(1,vp.data[[#This Row],[Unknown]:[Heavy_SW]],0))</f>
        <v>Light_LSB</v>
      </c>
      <c r="AH1532">
        <f>INDEX([3]!crudeBD.lkup[Number],MATCH(vp.data[[#This Row],[Crude_Breakdown]],crudeBD.lkup[Crude Breakdown],0))</f>
        <v>1</v>
      </c>
      <c r="AI1532">
        <f>MONTH(vp.data[[#This Row],[SDate]])</f>
        <v>5</v>
      </c>
      <c r="AJ1532" s="5">
        <f>(vp.data[[#This Row],[VP]]-INDEX(crudeBD.lkup[Mean_VP],MATCH(vp.data[[#This Row],[Crude_Breakdown]],crudeBD.lkup[Crude Breakdown],0)))^2</f>
        <v>42.852545477734495</v>
      </c>
      <c r="AK1532" s="5">
        <f>(vp.data[[#This Row],[Dens]]-INDEX(crudeBD.lkup[Mean_Dens],MATCH(vp.data[[#This Row],[Crude_Breakdown]],crudeBD.lkup[Crude Breakdown],0)))^2</f>
        <v>15.07947710112294</v>
      </c>
      <c r="AL1532" s="5">
        <f>(vp.data[[#This Row],[Sulf]]-INDEX(crudeBD.lkup[Mean_Sulf],MATCH(vp.data[[#This Row],[Crude_Breakdown]],crudeBD.lkup[Crude Breakdown],0)))^2</f>
        <v>2.6559601724732734E-2</v>
      </c>
      <c r="AM1532" s="4">
        <f>IF(AND(vp.data[[#This Row],[SDate]]&gt;=DATE(YEAR(vp.data[[#This Row],[SDate]]),5,1),vp.data[[#This Row],[SDate]]&lt;=DATE(YEAR(vp.data[[#This Row],[SDate]]),9,15)),1,0)</f>
        <v>1</v>
      </c>
      <c r="AN1532" s="4">
        <f>IF(vp.data[[#This Row],[SDate]]&lt;DATE(2016,12,1),0,1)</f>
        <v>1</v>
      </c>
      <c r="AO1532" s="4">
        <f>IFERROR(vp.data[[#This Row],[Sulf]]*vp.data[[#This Row],[Net Dens]],"")</f>
        <v>14187774.164607998</v>
      </c>
      <c r="AP1532">
        <f>IFERROR(vp.data[[#This Row],[Dens]]*vp.data[[#This Row],[VolumeM3]],"")</f>
        <v>18668123.900799997</v>
      </c>
      <c r="AQ1532" s="15">
        <f>IFERROR(vp.data[[#This Row],[VP]]*vp.data[[#This Row],[VolumeM3]],"")</f>
        <v>1929463.1949999998</v>
      </c>
    </row>
    <row r="1533" spans="1:43" x14ac:dyDescent="0.25">
      <c r="A1533">
        <v>1532</v>
      </c>
      <c r="B1533" t="s">
        <v>49</v>
      </c>
      <c r="C1533" t="s">
        <v>49</v>
      </c>
      <c r="D1533" t="s">
        <v>100</v>
      </c>
      <c r="F1533" s="1">
        <v>42878</v>
      </c>
      <c r="G1533" s="2">
        <v>97.7</v>
      </c>
      <c r="H1533" s="2"/>
      <c r="I1533" s="2">
        <f t="array" ref="I1533">_xlfn.IFNA(IF(vp.data[[#This Row],[Sulf Input]]="",INDEX([1]DATA!$Q$3:$Q$9826,MATCH(1,(vp.data[[#This Row],[Battery]]=[1]DATA!$L$3:$L$9826)*(EOMONTH(vp.data[[#This Row],[SDate]],-1)+1=[1]DATA!$G$3:$G$9826),0)),vp.data[[#This Row],[Sulf Input]]),"")</f>
        <v>0.75</v>
      </c>
      <c r="J1533" s="2"/>
      <c r="K1533" s="2"/>
      <c r="L1533" s="2"/>
      <c r="M1533" s="2">
        <f t="array" ref="M1533">_xlfn.IFNA(IF(vp.data[[#This Row],[Dens Input]]="",INDEX([1]DATA!$O$3:$O$9826,MATCH(1,(vp.data[[#This Row],[Battery]]=[1]DATA!$L$3:$L$9826)*(EOMONTH(vp.data[[#This Row],[SDate]],-1)+1=[1]DATA!$G$3:$G$9826),0)),vp.data[[#This Row],[Dens Input]]),"")</f>
        <v>823.6</v>
      </c>
      <c r="N1533" s="2">
        <f ca="1">INDEX(INDIRECT(_xlfn.CONCAT("weather.tbl[",N$1,"]")),MATCH(vp.data[[#This Row],[SDate]],weather.tbl[Date],0))</f>
        <v>12</v>
      </c>
      <c r="O1533" s="2">
        <f ca="1">INDEX(INDIRECT(_xlfn.CONCAT("weather.tbl[",O$1,"]")),MATCH(vp.data[[#This Row],[SDate]],weather.tbl[Date],0))</f>
        <v>9.742857142857142</v>
      </c>
      <c r="P1533" s="2">
        <f ca="1">INDEX(INDIRECT(_xlfn.CONCAT("weather.tbl[",P$1,"]")),MATCH(vp.data[[#This Row],[SDate]],weather.tbl[Date],0))</f>
        <v>12</v>
      </c>
      <c r="Q1533" s="2">
        <f ca="1">INDEX(INDIRECT(_xlfn.CONCAT("weather.tbl[",Q$1,"]")),MATCH(vp.data[[#This Row],[SDate]],weather.tbl[Date],0))</f>
        <v>12.6</v>
      </c>
      <c r="R1533" s="2">
        <f ca="1">INDEX(INDIRECT(_xlfn.CONCAT("weather.tbl[",R$1,"]")),MATCH(vp.data[[#This Row],[SDate]],weather.tbl[Date],0))</f>
        <v>11.3</v>
      </c>
      <c r="S1533" s="2">
        <f ca="1">INDEX(INDIRECT(_xlfn.CONCAT("weather.tbl[",S$1,"]")),MATCH(vp.data[[#This Row],[SDate]],weather.tbl[Date],0))</f>
        <v>12.5</v>
      </c>
      <c r="T1533" s="2">
        <f ca="1">INDEX(INDIRECT(_xlfn.CONCAT("weather.tbl[",T$1,"]")),MATCH(vp.data[[#This Row],[SDate]],weather.tbl[Date],0))</f>
        <v>11.3</v>
      </c>
      <c r="U1533" s="2">
        <f ca="1">INDEX(INDIRECT(_xlfn.CONCAT("weather.tbl[",U$1,"]")),MATCH(vp.data[[#This Row],[SDate]],weather.tbl[Date],0))</f>
        <v>12.3</v>
      </c>
      <c r="V1533" s="2">
        <f t="array" ref="V15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12872.544</v>
      </c>
      <c r="W1533" t="s">
        <v>48</v>
      </c>
      <c r="X1533">
        <f>IF(OR(vp.data[[#This Row],[Sulf]]="",vp.data[[#This Row],[Dens]]=""),1,0)</f>
        <v>0</v>
      </c>
      <c r="Y1533">
        <f>IF(vp.data[[#This Row],[CrudeType]]="C5+",1,0)</f>
        <v>0</v>
      </c>
      <c r="Z1533">
        <f>IF(AND(vp.data[[#This Row],[CrudeType]]="Crude",vp.data[[#This Row],[Dens]]&lt;=825,vp.data[[#This Row],[Sulf]]&gt;0.5,vp.data[[#This Row],[Unknown]]=0),1,0)</f>
        <v>1</v>
      </c>
      <c r="AA1533">
        <f>IF(AND(vp.data[[#This Row],[CrudeType]]="Crude",vp.data[[#This Row],[Dens]]&lt;=825,vp.data[[#This Row],[Sulf]]&lt;=0.5,vp.data[[#This Row],[Unknown]]=0),1,0)</f>
        <v>0</v>
      </c>
      <c r="AB15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3">
        <f>IF(AND(vp.data[[#This Row],[CrudeType]]="Crude",vp.data[[#This Row],[Dens]]&gt;825,vp.data[[#This Row],[Dens]]&lt;=900,vp.data[[#This Row],[Sulf]]&lt;=0.5,vp.data[[#This Row],[Unknown]]=0),1,0)</f>
        <v>0</v>
      </c>
      <c r="AD1533">
        <f>IF(AND(vp.data[[#This Row],[CrudeType]]="Crude",vp.data[[#This Row],[Dens]]&gt;865,vp.data[[#This Row],[Dens]]&lt;=900,vp.data[[#This Row],[Sulf]]&gt;2,vp.data[[#This Row],[Unknown]]=0),1,0)</f>
        <v>0</v>
      </c>
      <c r="AE1533">
        <f>IF(AND(vp.data[[#This Row],[CrudeType]]="Crude",vp.data[[#This Row],[Dens]]&gt;900,vp.data[[#This Row],[Sulf]]&lt;=0.5,vp.data[[#This Row],[Unknown]]=0),1,0)</f>
        <v>0</v>
      </c>
      <c r="AF1533">
        <f>IF(AND(vp.data[[#This Row],[CrudeType]]="Crude",vp.data[[#This Row],[Dens]]&gt;900,vp.data[[#This Row],[Sulf]]&lt;=0.5,vp.data[[#This Row],[Unknown]]=0),1,0)</f>
        <v>0</v>
      </c>
      <c r="AG1533" t="str">
        <f>INDEX(vp.data[[#Headers],[Unknown]:[Heavy_SW]],MATCH(1,vp.data[[#This Row],[Unknown]:[Heavy_SW]],0))</f>
        <v>Light_LSB</v>
      </c>
      <c r="AH1533">
        <f>INDEX([3]!crudeBD.lkup[Number],MATCH(vp.data[[#This Row],[Crude_Breakdown]],crudeBD.lkup[Crude Breakdown],0))</f>
        <v>1</v>
      </c>
      <c r="AI1533">
        <f>MONTH(vp.data[[#This Row],[SDate]])</f>
        <v>5</v>
      </c>
      <c r="AJ1533" s="5">
        <f>(vp.data[[#This Row],[VP]]-INDEX(crudeBD.lkup[Mean_VP],MATCH(vp.data[[#This Row],[Crude_Breakdown]],crudeBD.lkup[Crude Breakdown],0)))^2</f>
        <v>37.869432075671881</v>
      </c>
      <c r="AK1533" s="5">
        <f>(vp.data[[#This Row],[Dens]]-INDEX(crudeBD.lkup[Mean_Dens],MATCH(vp.data[[#This Row],[Crude_Breakdown]],crudeBD.lkup[Crude Breakdown],0)))^2</f>
        <v>25.83922967844369</v>
      </c>
      <c r="AL1533" s="5">
        <f>(vp.data[[#This Row],[Sulf]]-INDEX(crudeBD.lkup[Mean_Sulf],MATCH(vp.data[[#This Row],[Crude_Breakdown]],crudeBD.lkup[Crude Breakdown],0)))^2</f>
        <v>2.9919025092430326E-2</v>
      </c>
      <c r="AM1533" s="4">
        <f>IF(AND(vp.data[[#This Row],[SDate]]&gt;=DATE(YEAR(vp.data[[#This Row],[SDate]]),5,1),vp.data[[#This Row],[SDate]]&lt;=DATE(YEAR(vp.data[[#This Row],[SDate]]),9,15)),1,0)</f>
        <v>1</v>
      </c>
      <c r="AN1533" s="4">
        <f>IF(vp.data[[#This Row],[SDate]]&lt;DATE(2016,12,1),0,1)</f>
        <v>1</v>
      </c>
      <c r="AO1533" s="4">
        <f>IFERROR(vp.data[[#This Row],[Sulf]]*vp.data[[#This Row],[Net Dens]],"")</f>
        <v>7951370.4288000008</v>
      </c>
      <c r="AP1533">
        <f>IFERROR(vp.data[[#This Row],[Dens]]*vp.data[[#This Row],[VolumeM3]],"")</f>
        <v>10601827.238400001</v>
      </c>
      <c r="AQ1533" s="15">
        <f>IFERROR(vp.data[[#This Row],[VP]]*vp.data[[#This Row],[VolumeM3]],"")</f>
        <v>1257647.5488</v>
      </c>
    </row>
    <row r="1534" spans="1:43" x14ac:dyDescent="0.25">
      <c r="A1534">
        <v>1533</v>
      </c>
      <c r="B1534" t="s">
        <v>49</v>
      </c>
      <c r="C1534" t="s">
        <v>49</v>
      </c>
      <c r="D1534" t="s">
        <v>324</v>
      </c>
      <c r="F1534" s="1">
        <v>42878</v>
      </c>
      <c r="G1534" s="2">
        <v>63.5</v>
      </c>
      <c r="H1534" s="2"/>
      <c r="I1534" s="2">
        <f t="array" ref="I1534">_xlfn.IFNA(IF(vp.data[[#This Row],[Sulf Input]]="",INDEX([1]DATA!$Q$3:$Q$9826,MATCH(1,(vp.data[[#This Row],[Battery]]=[1]DATA!$L$3:$L$9826)*(EOMONTH(vp.data[[#This Row],[SDate]],-1)+1=[1]DATA!$G$3:$G$9826),0)),vp.data[[#This Row],[Sulf Input]]),"")</f>
        <v>1.36</v>
      </c>
      <c r="J1534" s="2"/>
      <c r="K1534" s="2"/>
      <c r="L1534" s="2"/>
      <c r="M1534" s="2">
        <f t="array" ref="M1534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534" s="2">
        <f ca="1">INDEX(INDIRECT(_xlfn.CONCAT("weather.tbl[",N$1,"]")),MATCH(vp.data[[#This Row],[SDate]],weather.tbl[Date],0))</f>
        <v>12</v>
      </c>
      <c r="O1534" s="2">
        <f ca="1">INDEX(INDIRECT(_xlfn.CONCAT("weather.tbl[",O$1,"]")),MATCH(vp.data[[#This Row],[SDate]],weather.tbl[Date],0))</f>
        <v>9.742857142857142</v>
      </c>
      <c r="P1534" s="2">
        <f ca="1">INDEX(INDIRECT(_xlfn.CONCAT("weather.tbl[",P$1,"]")),MATCH(vp.data[[#This Row],[SDate]],weather.tbl[Date],0))</f>
        <v>12</v>
      </c>
      <c r="Q1534" s="2">
        <f ca="1">INDEX(INDIRECT(_xlfn.CONCAT("weather.tbl[",Q$1,"]")),MATCH(vp.data[[#This Row],[SDate]],weather.tbl[Date],0))</f>
        <v>12.6</v>
      </c>
      <c r="R1534" s="2">
        <f ca="1">INDEX(INDIRECT(_xlfn.CONCAT("weather.tbl[",R$1,"]")),MATCH(vp.data[[#This Row],[SDate]],weather.tbl[Date],0))</f>
        <v>11.3</v>
      </c>
      <c r="S1534" s="2">
        <f ca="1">INDEX(INDIRECT(_xlfn.CONCAT("weather.tbl[",S$1,"]")),MATCH(vp.data[[#This Row],[SDate]],weather.tbl[Date],0))</f>
        <v>12.5</v>
      </c>
      <c r="T1534" s="2">
        <f ca="1">INDEX(INDIRECT(_xlfn.CONCAT("weather.tbl[",T$1,"]")),MATCH(vp.data[[#This Row],[SDate]],weather.tbl[Date],0))</f>
        <v>11.3</v>
      </c>
      <c r="U1534" s="2">
        <f ca="1">INDEX(INDIRECT(_xlfn.CONCAT("weather.tbl[",U$1,"]")),MATCH(vp.data[[#This Row],[SDate]],weather.tbl[Date],0))</f>
        <v>12.3</v>
      </c>
      <c r="V1534" s="2">
        <f t="array" ref="V15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1088.376</v>
      </c>
      <c r="W1534" t="s">
        <v>48</v>
      </c>
      <c r="X1534">
        <f>IF(OR(vp.data[[#This Row],[Sulf]]="",vp.data[[#This Row],[Dens]]=""),1,0)</f>
        <v>0</v>
      </c>
      <c r="Y1534">
        <f>IF(vp.data[[#This Row],[CrudeType]]="C5+",1,0)</f>
        <v>0</v>
      </c>
      <c r="Z1534">
        <f>IF(AND(vp.data[[#This Row],[CrudeType]]="Crude",vp.data[[#This Row],[Dens]]&lt;=825,vp.data[[#This Row],[Sulf]]&gt;0.5,vp.data[[#This Row],[Unknown]]=0),1,0)</f>
        <v>0</v>
      </c>
      <c r="AA1534">
        <f>IF(AND(vp.data[[#This Row],[CrudeType]]="Crude",vp.data[[#This Row],[Dens]]&lt;=825,vp.data[[#This Row],[Sulf]]&lt;=0.5,vp.data[[#This Row],[Unknown]]=0),1,0)</f>
        <v>0</v>
      </c>
      <c r="AB15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34">
        <f>IF(AND(vp.data[[#This Row],[CrudeType]]="Crude",vp.data[[#This Row],[Dens]]&gt;825,vp.data[[#This Row],[Dens]]&lt;=900,vp.data[[#This Row],[Sulf]]&lt;=0.5,vp.data[[#This Row],[Unknown]]=0),1,0)</f>
        <v>0</v>
      </c>
      <c r="AD1534">
        <f>IF(AND(vp.data[[#This Row],[CrudeType]]="Crude",vp.data[[#This Row],[Dens]]&gt;865,vp.data[[#This Row],[Dens]]&lt;=900,vp.data[[#This Row],[Sulf]]&gt;2,vp.data[[#This Row],[Unknown]]=0),1,0)</f>
        <v>0</v>
      </c>
      <c r="AE1534">
        <f>IF(AND(vp.data[[#This Row],[CrudeType]]="Crude",vp.data[[#This Row],[Dens]]&gt;900,vp.data[[#This Row],[Sulf]]&lt;=0.5,vp.data[[#This Row],[Unknown]]=0),1,0)</f>
        <v>0</v>
      </c>
      <c r="AF1534">
        <f>IF(AND(vp.data[[#This Row],[CrudeType]]="Crude",vp.data[[#This Row],[Dens]]&gt;900,vp.data[[#This Row],[Sulf]]&lt;=0.5,vp.data[[#This Row],[Unknown]]=0),1,0)</f>
        <v>0</v>
      </c>
      <c r="AG1534" t="str">
        <f>INDEX(vp.data[[#Headers],[Unknown]:[Heavy_SW]],MATCH(1,vp.data[[#This Row],[Unknown]:[Heavy_SW]],0))</f>
        <v>Medium_LSB</v>
      </c>
      <c r="AH1534">
        <f>INDEX([3]!crudeBD.lkup[Number],MATCH(vp.data[[#This Row],[Crude_Breakdown]],crudeBD.lkup[Crude Breakdown],0))</f>
        <v>3</v>
      </c>
      <c r="AI1534">
        <f>MONTH(vp.data[[#This Row],[SDate]])</f>
        <v>5</v>
      </c>
      <c r="AJ1534" s="5">
        <f>(vp.data[[#This Row],[VP]]-INDEX(crudeBD.lkup[Mean_VP],MATCH(vp.data[[#This Row],[Crude_Breakdown]],crudeBD.lkup[Crude Breakdown],0)))^2</f>
        <v>293.76851223399757</v>
      </c>
      <c r="AK1534" s="5">
        <f>(vp.data[[#This Row],[Dens]]-INDEX(crudeBD.lkup[Mean_Dens],MATCH(vp.data[[#This Row],[Crude_Breakdown]],crudeBD.lkup[Crude Breakdown],0)))^2</f>
        <v>105.67840000001112</v>
      </c>
      <c r="AL1534" s="5">
        <f>(vp.data[[#This Row],[Sulf]]-INDEX(crudeBD.lkup[Mean_Sulf],MATCH(vp.data[[#This Row],[Crude_Breakdown]],crudeBD.lkup[Crude Breakdown],0)))^2</f>
        <v>6.4557290162259046E-4</v>
      </c>
      <c r="AM1534" s="4">
        <f>IF(AND(vp.data[[#This Row],[SDate]]&gt;=DATE(YEAR(vp.data[[#This Row],[SDate]]),5,1),vp.data[[#This Row],[SDate]]&lt;=DATE(YEAR(vp.data[[#This Row],[SDate]]),9,15)),1,0)</f>
        <v>1</v>
      </c>
      <c r="AN1534" s="4">
        <f>IF(vp.data[[#This Row],[SDate]]&lt;DATE(2016,12,1),0,1)</f>
        <v>1</v>
      </c>
      <c r="AO1534" s="4">
        <f>IFERROR(vp.data[[#This Row],[Sulf]]*vp.data[[#This Row],[Net Dens]],"")</f>
        <v>1264379.4597120001</v>
      </c>
      <c r="AP1534">
        <f>IFERROR(vp.data[[#This Row],[Dens]]*vp.data[[#This Row],[VolumeM3]],"")</f>
        <v>929690.77919999999</v>
      </c>
      <c r="AQ1534" s="15">
        <f>IFERROR(vp.data[[#This Row],[VP]]*vp.data[[#This Row],[VolumeM3]],"")</f>
        <v>69111.876000000004</v>
      </c>
    </row>
    <row r="1535" spans="1:43" x14ac:dyDescent="0.25">
      <c r="A1535">
        <v>1534</v>
      </c>
      <c r="B1535" t="s">
        <v>62</v>
      </c>
      <c r="C1535" t="s">
        <v>62</v>
      </c>
      <c r="D1535" t="s">
        <v>87</v>
      </c>
      <c r="F1535" s="1">
        <v>42878</v>
      </c>
      <c r="G1535" s="2">
        <v>82</v>
      </c>
      <c r="H1535" s="2"/>
      <c r="I1535" s="2">
        <f t="array" ref="I1535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535" s="2"/>
      <c r="K1535" s="2"/>
      <c r="L1535" s="2"/>
      <c r="M1535" s="2">
        <f t="array" ref="M1535">_xlfn.IFNA(IF(vp.data[[#This Row],[Dens Input]]="",INDEX([1]DATA!$O$3:$O$9826,MATCH(1,(vp.data[[#This Row],[Battery]]=[1]DATA!$L$3:$L$9826)*(EOMONTH(vp.data[[#This Row],[SDate]],-1)+1=[1]DATA!$G$3:$G$9826),0)),vp.data[[#This Row],[Dens Input]]),"")</f>
        <v>811.8</v>
      </c>
      <c r="N1535" s="2">
        <f ca="1">INDEX(INDIRECT(_xlfn.CONCAT("weather.tbl[",N$1,"]")),MATCH(vp.data[[#This Row],[SDate]],weather.tbl[Date],0))</f>
        <v>12</v>
      </c>
      <c r="O1535" s="2">
        <f ca="1">INDEX(INDIRECT(_xlfn.CONCAT("weather.tbl[",O$1,"]")),MATCH(vp.data[[#This Row],[SDate]],weather.tbl[Date],0))</f>
        <v>9.742857142857142</v>
      </c>
      <c r="P1535" s="2">
        <f ca="1">INDEX(INDIRECT(_xlfn.CONCAT("weather.tbl[",P$1,"]")),MATCH(vp.data[[#This Row],[SDate]],weather.tbl[Date],0))</f>
        <v>12</v>
      </c>
      <c r="Q1535" s="2">
        <f ca="1">INDEX(INDIRECT(_xlfn.CONCAT("weather.tbl[",Q$1,"]")),MATCH(vp.data[[#This Row],[SDate]],weather.tbl[Date],0))</f>
        <v>12.6</v>
      </c>
      <c r="R1535" s="2">
        <f ca="1">INDEX(INDIRECT(_xlfn.CONCAT("weather.tbl[",R$1,"]")),MATCH(vp.data[[#This Row],[SDate]],weather.tbl[Date],0))</f>
        <v>11.3</v>
      </c>
      <c r="S1535" s="2">
        <f ca="1">INDEX(INDIRECT(_xlfn.CONCAT("weather.tbl[",S$1,"]")),MATCH(vp.data[[#This Row],[SDate]],weather.tbl[Date],0))</f>
        <v>12.5</v>
      </c>
      <c r="T1535" s="2">
        <f ca="1">INDEX(INDIRECT(_xlfn.CONCAT("weather.tbl[",T$1,"]")),MATCH(vp.data[[#This Row],[SDate]],weather.tbl[Date],0))</f>
        <v>11.3</v>
      </c>
      <c r="U1535" s="2">
        <f ca="1">INDEX(INDIRECT(_xlfn.CONCAT("weather.tbl[",U$1,"]")),MATCH(vp.data[[#This Row],[SDate]],weather.tbl[Date],0))</f>
        <v>12.3</v>
      </c>
      <c r="V1535" s="2">
        <f t="array" ref="V15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3329.3429999999998</v>
      </c>
      <c r="W1535" t="s">
        <v>48</v>
      </c>
      <c r="X1535">
        <f>IF(OR(vp.data[[#This Row],[Sulf]]="",vp.data[[#This Row],[Dens]]=""),1,0)</f>
        <v>0</v>
      </c>
      <c r="Y1535">
        <f>IF(vp.data[[#This Row],[CrudeType]]="C5+",1,0)</f>
        <v>0</v>
      </c>
      <c r="Z1535">
        <f>IF(AND(vp.data[[#This Row],[CrudeType]]="Crude",vp.data[[#This Row],[Dens]]&lt;=825,vp.data[[#This Row],[Sulf]]&gt;0.5,vp.data[[#This Row],[Unknown]]=0),1,0)</f>
        <v>0</v>
      </c>
      <c r="AA1535">
        <f>IF(AND(vp.data[[#This Row],[CrudeType]]="Crude",vp.data[[#This Row],[Dens]]&lt;=825,vp.data[[#This Row],[Sulf]]&lt;=0.5,vp.data[[#This Row],[Unknown]]=0),1,0)</f>
        <v>1</v>
      </c>
      <c r="AB15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5">
        <f>IF(AND(vp.data[[#This Row],[CrudeType]]="Crude",vp.data[[#This Row],[Dens]]&gt;825,vp.data[[#This Row],[Dens]]&lt;=900,vp.data[[#This Row],[Sulf]]&lt;=0.5,vp.data[[#This Row],[Unknown]]=0),1,0)</f>
        <v>0</v>
      </c>
      <c r="AD1535">
        <f>IF(AND(vp.data[[#This Row],[CrudeType]]="Crude",vp.data[[#This Row],[Dens]]&gt;865,vp.data[[#This Row],[Dens]]&lt;=900,vp.data[[#This Row],[Sulf]]&gt;2,vp.data[[#This Row],[Unknown]]=0),1,0)</f>
        <v>0</v>
      </c>
      <c r="AE1535">
        <f>IF(AND(vp.data[[#This Row],[CrudeType]]="Crude",vp.data[[#This Row],[Dens]]&gt;900,vp.data[[#This Row],[Sulf]]&lt;=0.5,vp.data[[#This Row],[Unknown]]=0),1,0)</f>
        <v>0</v>
      </c>
      <c r="AF1535">
        <f>IF(AND(vp.data[[#This Row],[CrudeType]]="Crude",vp.data[[#This Row],[Dens]]&gt;900,vp.data[[#This Row],[Sulf]]&lt;=0.5,vp.data[[#This Row],[Unknown]]=0),1,0)</f>
        <v>0</v>
      </c>
      <c r="AG1535" t="str">
        <f>INDEX(vp.data[[#Headers],[Unknown]:[Heavy_SW]],MATCH(1,vp.data[[#This Row],[Unknown]:[Heavy_SW]],0))</f>
        <v>Light_SW</v>
      </c>
      <c r="AH1535">
        <f>INDEX([3]!crudeBD.lkup[Number],MATCH(vp.data[[#This Row],[Crude_Breakdown]],crudeBD.lkup[Crude Breakdown],0))</f>
        <v>2</v>
      </c>
      <c r="AI1535">
        <f>MONTH(vp.data[[#This Row],[SDate]])</f>
        <v>5</v>
      </c>
      <c r="AJ1535" s="5">
        <f>(vp.data[[#This Row],[VP]]-INDEX(crudeBD.lkup[Mean_VP],MATCH(vp.data[[#This Row],[Crude_Breakdown]],crudeBD.lkup[Crude Breakdown],0)))^2</f>
        <v>111.30911682307602</v>
      </c>
      <c r="AK1535" s="5">
        <f>(vp.data[[#This Row],[Dens]]-INDEX(crudeBD.lkup[Mean_Dens],MATCH(vp.data[[#This Row],[Crude_Breakdown]],crudeBD.lkup[Crude Breakdown],0)))^2</f>
        <v>12.169644405056506</v>
      </c>
      <c r="AL1535" s="5">
        <f>(vp.data[[#This Row],[Sulf]]-INDEX(crudeBD.lkup[Mean_Sulf],MATCH(vp.data[[#This Row],[Crude_Breakdown]],crudeBD.lkup[Crude Breakdown],0)))^2</f>
        <v>5.644515043280923E-4</v>
      </c>
      <c r="AM1535" s="4">
        <f>IF(AND(vp.data[[#This Row],[SDate]]&gt;=DATE(YEAR(vp.data[[#This Row],[SDate]]),5,1),vp.data[[#This Row],[SDate]]&lt;=DATE(YEAR(vp.data[[#This Row],[SDate]]),9,15)),1,0)</f>
        <v>1</v>
      </c>
      <c r="AN1535" s="4">
        <f>IF(vp.data[[#This Row],[SDate]]&lt;DATE(2016,12,1),0,1)</f>
        <v>1</v>
      </c>
      <c r="AO1535" s="4">
        <f>IFERROR(vp.data[[#This Row],[Sulf]]*vp.data[[#This Row],[Net Dens]],"")</f>
        <v>702717.76832399995</v>
      </c>
      <c r="AP1535">
        <f>IFERROR(vp.data[[#This Row],[Dens]]*vp.data[[#This Row],[VolumeM3]],"")</f>
        <v>2702760.6473999997</v>
      </c>
      <c r="AQ1535" s="15">
        <f>IFERROR(vp.data[[#This Row],[VP]]*vp.data[[#This Row],[VolumeM3]],"")</f>
        <v>273006.12599999999</v>
      </c>
    </row>
    <row r="1536" spans="1:43" x14ac:dyDescent="0.25">
      <c r="A1536">
        <v>1535</v>
      </c>
      <c r="B1536" t="s">
        <v>62</v>
      </c>
      <c r="C1536" t="s">
        <v>62</v>
      </c>
      <c r="D1536" t="s">
        <v>83</v>
      </c>
      <c r="F1536" s="1">
        <v>42878</v>
      </c>
      <c r="G1536" s="2">
        <v>76.2</v>
      </c>
      <c r="H1536" s="2"/>
      <c r="I1536" s="2">
        <f t="array" ref="I1536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536" s="2"/>
      <c r="K1536" s="2"/>
      <c r="L1536" s="2"/>
      <c r="M1536" s="2">
        <f t="array" ref="M1536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1536" s="2">
        <f ca="1">INDEX(INDIRECT(_xlfn.CONCAT("weather.tbl[",N$1,"]")),MATCH(vp.data[[#This Row],[SDate]],weather.tbl[Date],0))</f>
        <v>12</v>
      </c>
      <c r="O1536" s="2">
        <f ca="1">INDEX(INDIRECT(_xlfn.CONCAT("weather.tbl[",O$1,"]")),MATCH(vp.data[[#This Row],[SDate]],weather.tbl[Date],0))</f>
        <v>9.742857142857142</v>
      </c>
      <c r="P1536" s="2">
        <f ca="1">INDEX(INDIRECT(_xlfn.CONCAT("weather.tbl[",P$1,"]")),MATCH(vp.data[[#This Row],[SDate]],weather.tbl[Date],0))</f>
        <v>12</v>
      </c>
      <c r="Q1536" s="2">
        <f ca="1">INDEX(INDIRECT(_xlfn.CONCAT("weather.tbl[",Q$1,"]")),MATCH(vp.data[[#This Row],[SDate]],weather.tbl[Date],0))</f>
        <v>12.6</v>
      </c>
      <c r="R1536" s="2">
        <f ca="1">INDEX(INDIRECT(_xlfn.CONCAT("weather.tbl[",R$1,"]")),MATCH(vp.data[[#This Row],[SDate]],weather.tbl[Date],0))</f>
        <v>11.3</v>
      </c>
      <c r="S1536" s="2">
        <f ca="1">INDEX(INDIRECT(_xlfn.CONCAT("weather.tbl[",S$1,"]")),MATCH(vp.data[[#This Row],[SDate]],weather.tbl[Date],0))</f>
        <v>12.5</v>
      </c>
      <c r="T1536" s="2">
        <f ca="1">INDEX(INDIRECT(_xlfn.CONCAT("weather.tbl[",T$1,"]")),MATCH(vp.data[[#This Row],[SDate]],weather.tbl[Date],0))</f>
        <v>11.3</v>
      </c>
      <c r="U1536" s="2">
        <f ca="1">INDEX(INDIRECT(_xlfn.CONCAT("weather.tbl[",U$1,"]")),MATCH(vp.data[[#This Row],[SDate]],weather.tbl[Date],0))</f>
        <v>12.3</v>
      </c>
      <c r="V1536" s="2">
        <f t="array" ref="V15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8729.3289999999997</v>
      </c>
      <c r="W1536" t="s">
        <v>48</v>
      </c>
      <c r="X1536">
        <f>IF(OR(vp.data[[#This Row],[Sulf]]="",vp.data[[#This Row],[Dens]]=""),1,0)</f>
        <v>0</v>
      </c>
      <c r="Y1536">
        <f>IF(vp.data[[#This Row],[CrudeType]]="C5+",1,0)</f>
        <v>0</v>
      </c>
      <c r="Z1536">
        <f>IF(AND(vp.data[[#This Row],[CrudeType]]="Crude",vp.data[[#This Row],[Dens]]&lt;=825,vp.data[[#This Row],[Sulf]]&gt;0.5,vp.data[[#This Row],[Unknown]]=0),1,0)</f>
        <v>0</v>
      </c>
      <c r="AA1536">
        <f>IF(AND(vp.data[[#This Row],[CrudeType]]="Crude",vp.data[[#This Row],[Dens]]&lt;=825,vp.data[[#This Row],[Sulf]]&lt;=0.5,vp.data[[#This Row],[Unknown]]=0),1,0)</f>
        <v>1</v>
      </c>
      <c r="AB15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6">
        <f>IF(AND(vp.data[[#This Row],[CrudeType]]="Crude",vp.data[[#This Row],[Dens]]&gt;825,vp.data[[#This Row],[Dens]]&lt;=900,vp.data[[#This Row],[Sulf]]&lt;=0.5,vp.data[[#This Row],[Unknown]]=0),1,0)</f>
        <v>0</v>
      </c>
      <c r="AD1536">
        <f>IF(AND(vp.data[[#This Row],[CrudeType]]="Crude",vp.data[[#This Row],[Dens]]&gt;865,vp.data[[#This Row],[Dens]]&lt;=900,vp.data[[#This Row],[Sulf]]&gt;2,vp.data[[#This Row],[Unknown]]=0),1,0)</f>
        <v>0</v>
      </c>
      <c r="AE1536">
        <f>IF(AND(vp.data[[#This Row],[CrudeType]]="Crude",vp.data[[#This Row],[Dens]]&gt;900,vp.data[[#This Row],[Sulf]]&lt;=0.5,vp.data[[#This Row],[Unknown]]=0),1,0)</f>
        <v>0</v>
      </c>
      <c r="AF1536">
        <f>IF(AND(vp.data[[#This Row],[CrudeType]]="Crude",vp.data[[#This Row],[Dens]]&gt;900,vp.data[[#This Row],[Sulf]]&lt;=0.5,vp.data[[#This Row],[Unknown]]=0),1,0)</f>
        <v>0</v>
      </c>
      <c r="AG1536" t="str">
        <f>INDEX(vp.data[[#Headers],[Unknown]:[Heavy_SW]],MATCH(1,vp.data[[#This Row],[Unknown]:[Heavy_SW]],0))</f>
        <v>Light_SW</v>
      </c>
      <c r="AH1536">
        <f>INDEX([3]!crudeBD.lkup[Number],MATCH(vp.data[[#This Row],[Crude_Breakdown]],crudeBD.lkup[Crude Breakdown],0))</f>
        <v>2</v>
      </c>
      <c r="AI1536">
        <f>MONTH(vp.data[[#This Row],[SDate]])</f>
        <v>5</v>
      </c>
      <c r="AJ1536" s="5">
        <f>(vp.data[[#This Row],[VP]]-INDEX(crudeBD.lkup[Mean_VP],MATCH(vp.data[[#This Row],[Crude_Breakdown]],crudeBD.lkup[Crude Breakdown],0)))^2</f>
        <v>267.33275445373761</v>
      </c>
      <c r="AK1536" s="5">
        <f>(vp.data[[#This Row],[Dens]]-INDEX(crudeBD.lkup[Mean_Dens],MATCH(vp.data[[#This Row],[Crude_Breakdown]],crudeBD.lkup[Crude Breakdown],0)))^2</f>
        <v>3.1987384817112146</v>
      </c>
      <c r="AL1536" s="5">
        <f>(vp.data[[#This Row],[Sulf]]-INDEX(crudeBD.lkup[Mean_Sulf],MATCH(vp.data[[#This Row],[Crude_Breakdown]],crudeBD.lkup[Crude Breakdown],0)))^2</f>
        <v>2.1383051628646554E-3</v>
      </c>
      <c r="AM1536" s="4">
        <f>IF(AND(vp.data[[#This Row],[SDate]]&gt;=DATE(YEAR(vp.data[[#This Row],[SDate]]),5,1),vp.data[[#This Row],[SDate]]&lt;=DATE(YEAR(vp.data[[#This Row],[SDate]]),9,15)),1,0)</f>
        <v>1</v>
      </c>
      <c r="AN1536" s="4">
        <f>IF(vp.data[[#This Row],[SDate]]&lt;DATE(2016,12,1),0,1)</f>
        <v>1</v>
      </c>
      <c r="AO1536" s="4">
        <f>IFERROR(vp.data[[#This Row],[Sulf]]*vp.data[[#This Row],[Net Dens]],"")</f>
        <v>1343609.590351</v>
      </c>
      <c r="AP1536">
        <f>IFERROR(vp.data[[#This Row],[Dens]]*vp.data[[#This Row],[VolumeM3]],"")</f>
        <v>7071629.4228999997</v>
      </c>
      <c r="AQ1536" s="15">
        <f>IFERROR(vp.data[[#This Row],[VP]]*vp.data[[#This Row],[VolumeM3]],"")</f>
        <v>665174.86979999999</v>
      </c>
    </row>
    <row r="1537" spans="1:43" x14ac:dyDescent="0.25">
      <c r="A1537">
        <v>1536</v>
      </c>
      <c r="B1537" t="s">
        <v>62</v>
      </c>
      <c r="C1537" t="s">
        <v>62</v>
      </c>
      <c r="D1537" t="s">
        <v>79</v>
      </c>
      <c r="F1537" s="1">
        <v>42878</v>
      </c>
      <c r="G1537" s="2">
        <v>79.3</v>
      </c>
      <c r="H1537" s="2"/>
      <c r="I1537" s="2">
        <f t="array" ref="I1537">_xlfn.IFNA(IF(vp.data[[#This Row],[Sulf Input]]="",INDEX([1]DATA!$Q$3:$Q$9826,MATCH(1,(vp.data[[#This Row],[Battery]]=[1]DATA!$L$3:$L$9826)*(EOMONTH(vp.data[[#This Row],[SDate]],-1)+1=[1]DATA!$G$3:$G$9826),0)),vp.data[[#This Row],[Sulf Input]]),"")</f>
        <v>0.35</v>
      </c>
      <c r="J1537" s="2"/>
      <c r="K1537" s="2"/>
      <c r="L1537" s="2"/>
      <c r="M1537" s="2">
        <f t="array" ref="M1537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1537" s="2">
        <f ca="1">INDEX(INDIRECT(_xlfn.CONCAT("weather.tbl[",N$1,"]")),MATCH(vp.data[[#This Row],[SDate]],weather.tbl[Date],0))</f>
        <v>12</v>
      </c>
      <c r="O1537" s="2">
        <f ca="1">INDEX(INDIRECT(_xlfn.CONCAT("weather.tbl[",O$1,"]")),MATCH(vp.data[[#This Row],[SDate]],weather.tbl[Date],0))</f>
        <v>9.742857142857142</v>
      </c>
      <c r="P1537" s="2">
        <f ca="1">INDEX(INDIRECT(_xlfn.CONCAT("weather.tbl[",P$1,"]")),MATCH(vp.data[[#This Row],[SDate]],weather.tbl[Date],0))</f>
        <v>12</v>
      </c>
      <c r="Q1537" s="2">
        <f ca="1">INDEX(INDIRECT(_xlfn.CONCAT("weather.tbl[",Q$1,"]")),MATCH(vp.data[[#This Row],[SDate]],weather.tbl[Date],0))</f>
        <v>12.6</v>
      </c>
      <c r="R1537" s="2">
        <f ca="1">INDEX(INDIRECT(_xlfn.CONCAT("weather.tbl[",R$1,"]")),MATCH(vp.data[[#This Row],[SDate]],weather.tbl[Date],0))</f>
        <v>11.3</v>
      </c>
      <c r="S1537" s="2">
        <f ca="1">INDEX(INDIRECT(_xlfn.CONCAT("weather.tbl[",S$1,"]")),MATCH(vp.data[[#This Row],[SDate]],weather.tbl[Date],0))</f>
        <v>12.5</v>
      </c>
      <c r="T1537" s="2">
        <f ca="1">INDEX(INDIRECT(_xlfn.CONCAT("weather.tbl[",T$1,"]")),MATCH(vp.data[[#This Row],[SDate]],weather.tbl[Date],0))</f>
        <v>11.3</v>
      </c>
      <c r="U1537" s="2">
        <f ca="1">INDEX(INDIRECT(_xlfn.CONCAT("weather.tbl[",U$1,"]")),MATCH(vp.data[[#This Row],[SDate]],weather.tbl[Date],0))</f>
        <v>12.3</v>
      </c>
      <c r="V1537" s="2">
        <f t="array" ref="V15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12983.781000000001</v>
      </c>
      <c r="W1537" t="s">
        <v>48</v>
      </c>
      <c r="X1537">
        <f>IF(OR(vp.data[[#This Row],[Sulf]]="",vp.data[[#This Row],[Dens]]=""),1,0)</f>
        <v>0</v>
      </c>
      <c r="Y1537">
        <f>IF(vp.data[[#This Row],[CrudeType]]="C5+",1,0)</f>
        <v>0</v>
      </c>
      <c r="Z1537">
        <f>IF(AND(vp.data[[#This Row],[CrudeType]]="Crude",vp.data[[#This Row],[Dens]]&lt;=825,vp.data[[#This Row],[Sulf]]&gt;0.5,vp.data[[#This Row],[Unknown]]=0),1,0)</f>
        <v>0</v>
      </c>
      <c r="AA1537">
        <f>IF(AND(vp.data[[#This Row],[CrudeType]]="Crude",vp.data[[#This Row],[Dens]]&lt;=825,vp.data[[#This Row],[Sulf]]&lt;=0.5,vp.data[[#This Row],[Unknown]]=0),1,0)</f>
        <v>1</v>
      </c>
      <c r="AB15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7">
        <f>IF(AND(vp.data[[#This Row],[CrudeType]]="Crude",vp.data[[#This Row],[Dens]]&gt;825,vp.data[[#This Row],[Dens]]&lt;=900,vp.data[[#This Row],[Sulf]]&lt;=0.5,vp.data[[#This Row],[Unknown]]=0),1,0)</f>
        <v>0</v>
      </c>
      <c r="AD1537">
        <f>IF(AND(vp.data[[#This Row],[CrudeType]]="Crude",vp.data[[#This Row],[Dens]]&gt;865,vp.data[[#This Row],[Dens]]&lt;=900,vp.data[[#This Row],[Sulf]]&gt;2,vp.data[[#This Row],[Unknown]]=0),1,0)</f>
        <v>0</v>
      </c>
      <c r="AE1537">
        <f>IF(AND(vp.data[[#This Row],[CrudeType]]="Crude",vp.data[[#This Row],[Dens]]&gt;900,vp.data[[#This Row],[Sulf]]&lt;=0.5,vp.data[[#This Row],[Unknown]]=0),1,0)</f>
        <v>0</v>
      </c>
      <c r="AF1537">
        <f>IF(AND(vp.data[[#This Row],[CrudeType]]="Crude",vp.data[[#This Row],[Dens]]&gt;900,vp.data[[#This Row],[Sulf]]&lt;=0.5,vp.data[[#This Row],[Unknown]]=0),1,0)</f>
        <v>0</v>
      </c>
      <c r="AG1537" t="str">
        <f>INDEX(vp.data[[#Headers],[Unknown]:[Heavy_SW]],MATCH(1,vp.data[[#This Row],[Unknown]:[Heavy_SW]],0))</f>
        <v>Light_SW</v>
      </c>
      <c r="AH1537">
        <f>INDEX([3]!crudeBD.lkup[Number],MATCH(vp.data[[#This Row],[Crude_Breakdown]],crudeBD.lkup[Crude Breakdown],0))</f>
        <v>2</v>
      </c>
      <c r="AI1537">
        <f>MONTH(vp.data[[#This Row],[SDate]])</f>
        <v>5</v>
      </c>
      <c r="AJ1537" s="5">
        <f>(vp.data[[#This Row],[VP]]-INDEX(crudeBD.lkup[Mean_VP],MATCH(vp.data[[#This Row],[Crude_Breakdown]],crudeBD.lkup[Crude Breakdown],0)))^2</f>
        <v>175.57081020286688</v>
      </c>
      <c r="AK1537" s="5">
        <f>(vp.data[[#This Row],[Dens]]-INDEX(crudeBD.lkup[Mean_Dens],MATCH(vp.data[[#This Row],[Crude_Breakdown]],crudeBD.lkup[Crude Breakdown],0)))^2</f>
        <v>0.4740346489580396</v>
      </c>
      <c r="AL1537" s="5">
        <f>(vp.data[[#This Row],[Sulf]]-INDEX(crudeBD.lkup[Mean_Sulf],MATCH(vp.data[[#This Row],[Crude_Breakdown]],crudeBD.lkup[Crude Breakdown],0)))^2</f>
        <v>1.2940925371923933E-2</v>
      </c>
      <c r="AM1537" s="4">
        <f>IF(AND(vp.data[[#This Row],[SDate]]&gt;=DATE(YEAR(vp.data[[#This Row],[SDate]]),5,1),vp.data[[#This Row],[SDate]]&lt;=DATE(YEAR(vp.data[[#This Row],[SDate]]),9,15)),1,0)</f>
        <v>1</v>
      </c>
      <c r="AN1537" s="4">
        <f>IF(vp.data[[#This Row],[SDate]]&lt;DATE(2016,12,1),0,1)</f>
        <v>1</v>
      </c>
      <c r="AO1537" s="4">
        <f>IFERROR(vp.data[[#This Row],[Sulf]]*vp.data[[#This Row],[Net Dens]],"")</f>
        <v>3676357.5901499996</v>
      </c>
      <c r="AP1537">
        <f>IFERROR(vp.data[[#This Row],[Dens]]*vp.data[[#This Row],[VolumeM3]],"")</f>
        <v>10503878.829</v>
      </c>
      <c r="AQ1537" s="15">
        <f>IFERROR(vp.data[[#This Row],[VP]]*vp.data[[#This Row],[VolumeM3]],"")</f>
        <v>1029613.8333000001</v>
      </c>
    </row>
    <row r="1538" spans="1:43" x14ac:dyDescent="0.25">
      <c r="A1538">
        <v>1537</v>
      </c>
      <c r="B1538" t="s">
        <v>62</v>
      </c>
      <c r="C1538" t="s">
        <v>62</v>
      </c>
      <c r="D1538" t="s">
        <v>325</v>
      </c>
      <c r="F1538" s="1">
        <v>42878</v>
      </c>
      <c r="G1538" s="2">
        <v>66.599999999999994</v>
      </c>
      <c r="H1538" s="2"/>
      <c r="I1538" s="2">
        <f t="array" ref="I1538">_xlfn.IFNA(IF(vp.data[[#This Row],[Sulf Input]]="",INDEX([1]DATA!$Q$3:$Q$9826,MATCH(1,(vp.data[[#This Row],[Battery]]=[1]DATA!$L$3:$L$9826)*(EOMONTH(vp.data[[#This Row],[SDate]],-1)+1=[1]DATA!$G$3:$G$9826),0)),vp.data[[#This Row],[Sulf Input]]),"")</f>
        <v>1.7</v>
      </c>
      <c r="J1538" s="2"/>
      <c r="K1538" s="2"/>
      <c r="L1538" s="2"/>
      <c r="M1538" s="2">
        <f t="array" ref="M1538">_xlfn.IFNA(IF(vp.data[[#This Row],[Dens Input]]="",INDEX([1]DATA!$O$3:$O$9826,MATCH(1,(vp.data[[#This Row],[Battery]]=[1]DATA!$L$3:$L$9826)*(EOMONTH(vp.data[[#This Row],[SDate]],-1)+1=[1]DATA!$G$3:$G$9826),0)),vp.data[[#This Row],[Dens Input]]),"")</f>
        <v>853.8</v>
      </c>
      <c r="N1538" s="2">
        <f ca="1">INDEX(INDIRECT(_xlfn.CONCAT("weather.tbl[",N$1,"]")),MATCH(vp.data[[#This Row],[SDate]],weather.tbl[Date],0))</f>
        <v>12</v>
      </c>
      <c r="O1538" s="2">
        <f ca="1">INDEX(INDIRECT(_xlfn.CONCAT("weather.tbl[",O$1,"]")),MATCH(vp.data[[#This Row],[SDate]],weather.tbl[Date],0))</f>
        <v>9.742857142857142</v>
      </c>
      <c r="P1538" s="2">
        <f ca="1">INDEX(INDIRECT(_xlfn.CONCAT("weather.tbl[",P$1,"]")),MATCH(vp.data[[#This Row],[SDate]],weather.tbl[Date],0))</f>
        <v>12</v>
      </c>
      <c r="Q1538" s="2">
        <f ca="1">INDEX(INDIRECT(_xlfn.CONCAT("weather.tbl[",Q$1,"]")),MATCH(vp.data[[#This Row],[SDate]],weather.tbl[Date],0))</f>
        <v>12.6</v>
      </c>
      <c r="R1538" s="2">
        <f ca="1">INDEX(INDIRECT(_xlfn.CONCAT("weather.tbl[",R$1,"]")),MATCH(vp.data[[#This Row],[SDate]],weather.tbl[Date],0))</f>
        <v>11.3</v>
      </c>
      <c r="S1538" s="2">
        <f ca="1">INDEX(INDIRECT(_xlfn.CONCAT("weather.tbl[",S$1,"]")),MATCH(vp.data[[#This Row],[SDate]],weather.tbl[Date],0))</f>
        <v>12.5</v>
      </c>
      <c r="T1538" s="2">
        <f ca="1">INDEX(INDIRECT(_xlfn.CONCAT("weather.tbl[",T$1,"]")),MATCH(vp.data[[#This Row],[SDate]],weather.tbl[Date],0))</f>
        <v>11.3</v>
      </c>
      <c r="U1538" s="2">
        <f ca="1">INDEX(INDIRECT(_xlfn.CONCAT("weather.tbl[",U$1,"]")),MATCH(vp.data[[#This Row],[SDate]],weather.tbl[Date],0))</f>
        <v>12.3</v>
      </c>
      <c r="V1538" s="2">
        <f t="array" ref="V15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665.48599999999999</v>
      </c>
      <c r="W1538" t="s">
        <v>48</v>
      </c>
      <c r="X1538">
        <f>IF(OR(vp.data[[#This Row],[Sulf]]="",vp.data[[#This Row],[Dens]]=""),1,0)</f>
        <v>0</v>
      </c>
      <c r="Y1538">
        <f>IF(vp.data[[#This Row],[CrudeType]]="C5+",1,0)</f>
        <v>0</v>
      </c>
      <c r="Z1538">
        <f>IF(AND(vp.data[[#This Row],[CrudeType]]="Crude",vp.data[[#This Row],[Dens]]&lt;=825,vp.data[[#This Row],[Sulf]]&gt;0.5,vp.data[[#This Row],[Unknown]]=0),1,0)</f>
        <v>0</v>
      </c>
      <c r="AA1538">
        <f>IF(AND(vp.data[[#This Row],[CrudeType]]="Crude",vp.data[[#This Row],[Dens]]&lt;=825,vp.data[[#This Row],[Sulf]]&lt;=0.5,vp.data[[#This Row],[Unknown]]=0),1,0)</f>
        <v>0</v>
      </c>
      <c r="AB15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38">
        <f>IF(AND(vp.data[[#This Row],[CrudeType]]="Crude",vp.data[[#This Row],[Dens]]&gt;825,vp.data[[#This Row],[Dens]]&lt;=900,vp.data[[#This Row],[Sulf]]&lt;=0.5,vp.data[[#This Row],[Unknown]]=0),1,0)</f>
        <v>0</v>
      </c>
      <c r="AD1538">
        <f>IF(AND(vp.data[[#This Row],[CrudeType]]="Crude",vp.data[[#This Row],[Dens]]&gt;865,vp.data[[#This Row],[Dens]]&lt;=900,vp.data[[#This Row],[Sulf]]&gt;2,vp.data[[#This Row],[Unknown]]=0),1,0)</f>
        <v>0</v>
      </c>
      <c r="AE1538">
        <f>IF(AND(vp.data[[#This Row],[CrudeType]]="Crude",vp.data[[#This Row],[Dens]]&gt;900,vp.data[[#This Row],[Sulf]]&lt;=0.5,vp.data[[#This Row],[Unknown]]=0),1,0)</f>
        <v>0</v>
      </c>
      <c r="AF1538">
        <f>IF(AND(vp.data[[#This Row],[CrudeType]]="Crude",vp.data[[#This Row],[Dens]]&gt;900,vp.data[[#This Row],[Sulf]]&lt;=0.5,vp.data[[#This Row],[Unknown]]=0),1,0)</f>
        <v>0</v>
      </c>
      <c r="AG1538" t="str">
        <f>INDEX(vp.data[[#Headers],[Unknown]:[Heavy_SW]],MATCH(1,vp.data[[#This Row],[Unknown]:[Heavy_SW]],0))</f>
        <v>Medium_LSB</v>
      </c>
      <c r="AH1538">
        <f>INDEX([3]!crudeBD.lkup[Number],MATCH(vp.data[[#This Row],[Crude_Breakdown]],crudeBD.lkup[Crude Breakdown],0))</f>
        <v>3</v>
      </c>
      <c r="AI1538">
        <f>MONTH(vp.data[[#This Row],[SDate]])</f>
        <v>5</v>
      </c>
      <c r="AJ1538" s="5">
        <f>(vp.data[[#This Row],[VP]]-INDEX(crudeBD.lkup[Mean_VP],MATCH(vp.data[[#This Row],[Crude_Breakdown]],crudeBD.lkup[Crude Breakdown],0)))^2</f>
        <v>197.11251762483377</v>
      </c>
      <c r="AK1538" s="5">
        <f>(vp.data[[#This Row],[Dens]]-INDEX(crudeBD.lkup[Mean_Dens],MATCH(vp.data[[#This Row],[Crude_Breakdown]],crudeBD.lkup[Crude Breakdown],0)))^2</f>
        <v>97.614400000008899</v>
      </c>
      <c r="AL1538" s="5">
        <f>(vp.data[[#This Row],[Sulf]]-INDEX(crudeBD.lkup[Mean_Sulf],MATCH(vp.data[[#This Row],[Crude_Breakdown]],crudeBD.lkup[Crude Breakdown],0)))^2</f>
        <v>9.8968046756068975E-2</v>
      </c>
      <c r="AM1538" s="4">
        <f>IF(AND(vp.data[[#This Row],[SDate]]&gt;=DATE(YEAR(vp.data[[#This Row],[SDate]]),5,1),vp.data[[#This Row],[SDate]]&lt;=DATE(YEAR(vp.data[[#This Row],[SDate]]),9,15)),1,0)</f>
        <v>1</v>
      </c>
      <c r="AN1538" s="4">
        <f>IF(vp.data[[#This Row],[SDate]]&lt;DATE(2016,12,1),0,1)</f>
        <v>1</v>
      </c>
      <c r="AO1538" s="4">
        <f>IFERROR(vp.data[[#This Row],[Sulf]]*vp.data[[#This Row],[Net Dens]],"")</f>
        <v>965926.30955999985</v>
      </c>
      <c r="AP1538">
        <f>IFERROR(vp.data[[#This Row],[Dens]]*vp.data[[#This Row],[VolumeM3]],"")</f>
        <v>568191.94679999992</v>
      </c>
      <c r="AQ1538" s="15">
        <f>IFERROR(vp.data[[#This Row],[VP]]*vp.data[[#This Row],[VolumeM3]],"")</f>
        <v>44321.367599999998</v>
      </c>
    </row>
    <row r="1539" spans="1:43" x14ac:dyDescent="0.25">
      <c r="A1539">
        <v>1538</v>
      </c>
      <c r="B1539" t="s">
        <v>62</v>
      </c>
      <c r="C1539" t="s">
        <v>62</v>
      </c>
      <c r="D1539" t="s">
        <v>63</v>
      </c>
      <c r="F1539" s="1">
        <v>42878</v>
      </c>
      <c r="G1539" s="2">
        <v>71.8</v>
      </c>
      <c r="H1539" s="2"/>
      <c r="I1539" s="2">
        <f t="array" ref="I1539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1539" s="2"/>
      <c r="K1539" s="2"/>
      <c r="L1539" s="2"/>
      <c r="M1539" s="2">
        <f t="array" ref="M1539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1539" s="2">
        <f ca="1">INDEX(INDIRECT(_xlfn.CONCAT("weather.tbl[",N$1,"]")),MATCH(vp.data[[#This Row],[SDate]],weather.tbl[Date],0))</f>
        <v>12</v>
      </c>
      <c r="O1539" s="2">
        <f ca="1">INDEX(INDIRECT(_xlfn.CONCAT("weather.tbl[",O$1,"]")),MATCH(vp.data[[#This Row],[SDate]],weather.tbl[Date],0))</f>
        <v>9.742857142857142</v>
      </c>
      <c r="P1539" s="2">
        <f ca="1">INDEX(INDIRECT(_xlfn.CONCAT("weather.tbl[",P$1,"]")),MATCH(vp.data[[#This Row],[SDate]],weather.tbl[Date],0))</f>
        <v>12</v>
      </c>
      <c r="Q1539" s="2">
        <f ca="1">INDEX(INDIRECT(_xlfn.CONCAT("weather.tbl[",Q$1,"]")),MATCH(vp.data[[#This Row],[SDate]],weather.tbl[Date],0))</f>
        <v>12.6</v>
      </c>
      <c r="R1539" s="2">
        <f ca="1">INDEX(INDIRECT(_xlfn.CONCAT("weather.tbl[",R$1,"]")),MATCH(vp.data[[#This Row],[SDate]],weather.tbl[Date],0))</f>
        <v>11.3</v>
      </c>
      <c r="S1539" s="2">
        <f ca="1">INDEX(INDIRECT(_xlfn.CONCAT("weather.tbl[",S$1,"]")),MATCH(vp.data[[#This Row],[SDate]],weather.tbl[Date],0))</f>
        <v>12.5</v>
      </c>
      <c r="T1539" s="2">
        <f ca="1">INDEX(INDIRECT(_xlfn.CONCAT("weather.tbl[",T$1,"]")),MATCH(vp.data[[#This Row],[SDate]],weather.tbl[Date],0))</f>
        <v>11.3</v>
      </c>
      <c r="U1539" s="2">
        <f ca="1">INDEX(INDIRECT(_xlfn.CONCAT("weather.tbl[",U$1,"]")),MATCH(vp.data[[#This Row],[SDate]],weather.tbl[Date],0))</f>
        <v>12.3</v>
      </c>
      <c r="V1539" s="2">
        <f t="array" ref="V15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9174.1849999999995</v>
      </c>
      <c r="W1539" t="s">
        <v>48</v>
      </c>
      <c r="X1539">
        <f>IF(OR(vp.data[[#This Row],[Sulf]]="",vp.data[[#This Row],[Dens]]=""),1,0)</f>
        <v>0</v>
      </c>
      <c r="Y1539">
        <f>IF(vp.data[[#This Row],[CrudeType]]="C5+",1,0)</f>
        <v>0</v>
      </c>
      <c r="Z1539">
        <f>IF(AND(vp.data[[#This Row],[CrudeType]]="Crude",vp.data[[#This Row],[Dens]]&lt;=825,vp.data[[#This Row],[Sulf]]&gt;0.5,vp.data[[#This Row],[Unknown]]=0),1,0)</f>
        <v>1</v>
      </c>
      <c r="AA1539">
        <f>IF(AND(vp.data[[#This Row],[CrudeType]]="Crude",vp.data[[#This Row],[Dens]]&lt;=825,vp.data[[#This Row],[Sulf]]&lt;=0.5,vp.data[[#This Row],[Unknown]]=0),1,0)</f>
        <v>0</v>
      </c>
      <c r="AB15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39">
        <f>IF(AND(vp.data[[#This Row],[CrudeType]]="Crude",vp.data[[#This Row],[Dens]]&gt;825,vp.data[[#This Row],[Dens]]&lt;=900,vp.data[[#This Row],[Sulf]]&lt;=0.5,vp.data[[#This Row],[Unknown]]=0),1,0)</f>
        <v>0</v>
      </c>
      <c r="AD1539">
        <f>IF(AND(vp.data[[#This Row],[CrudeType]]="Crude",vp.data[[#This Row],[Dens]]&gt;865,vp.data[[#This Row],[Dens]]&lt;=900,vp.data[[#This Row],[Sulf]]&gt;2,vp.data[[#This Row],[Unknown]]=0),1,0)</f>
        <v>0</v>
      </c>
      <c r="AE1539">
        <f>IF(AND(vp.data[[#This Row],[CrudeType]]="Crude",vp.data[[#This Row],[Dens]]&gt;900,vp.data[[#This Row],[Sulf]]&lt;=0.5,vp.data[[#This Row],[Unknown]]=0),1,0)</f>
        <v>0</v>
      </c>
      <c r="AF1539">
        <f>IF(AND(vp.data[[#This Row],[CrudeType]]="Crude",vp.data[[#This Row],[Dens]]&gt;900,vp.data[[#This Row],[Sulf]]&lt;=0.5,vp.data[[#This Row],[Unknown]]=0),1,0)</f>
        <v>0</v>
      </c>
      <c r="AG1539" t="str">
        <f>INDEX(vp.data[[#Headers],[Unknown]:[Heavy_SW]],MATCH(1,vp.data[[#This Row],[Unknown]:[Heavy_SW]],0))</f>
        <v>Light_LSB</v>
      </c>
      <c r="AH1539">
        <f>INDEX([3]!crudeBD.lkup[Number],MATCH(vp.data[[#This Row],[Crude_Breakdown]],crudeBD.lkup[Crude Breakdown],0))</f>
        <v>1</v>
      </c>
      <c r="AI1539">
        <f>MONTH(vp.data[[#This Row],[SDate]])</f>
        <v>5</v>
      </c>
      <c r="AJ1539" s="5">
        <f>(vp.data[[#This Row],[VP]]-INDEX(crudeBD.lkup[Mean_VP],MATCH(vp.data[[#This Row],[Crude_Breakdown]],crudeBD.lkup[Crude Breakdown],0)))^2</f>
        <v>389.91184444680761</v>
      </c>
      <c r="AK1539" s="5">
        <f>(vp.data[[#This Row],[Dens]]-INDEX(crudeBD.lkup[Mean_Dens],MATCH(vp.data[[#This Row],[Crude_Breakdown]],crudeBD.lkup[Crude Breakdown],0)))^2</f>
        <v>8.3130166200227009</v>
      </c>
      <c r="AL1539" s="5">
        <f>(vp.data[[#This Row],[Sulf]]-INDEX(crudeBD.lkup[Mean_Sulf],MATCH(vp.data[[#This Row],[Crude_Breakdown]],crudeBD.lkup[Crude Breakdown],0)))^2</f>
        <v>1.5121908253942369E-2</v>
      </c>
      <c r="AM1539" s="4">
        <f>IF(AND(vp.data[[#This Row],[SDate]]&gt;=DATE(YEAR(vp.data[[#This Row],[SDate]]),5,1),vp.data[[#This Row],[SDate]]&lt;=DATE(YEAR(vp.data[[#This Row],[SDate]]),9,15)),1,0)</f>
        <v>1</v>
      </c>
      <c r="AN1539" s="4">
        <f>IF(vp.data[[#This Row],[SDate]]&lt;DATE(2016,12,1),0,1)</f>
        <v>1</v>
      </c>
      <c r="AO1539" s="4">
        <f>IFERROR(vp.data[[#This Row],[Sulf]]*vp.data[[#This Row],[Net Dens]],"")</f>
        <v>6028540.4472000003</v>
      </c>
      <c r="AP1539">
        <f>IFERROR(vp.data[[#This Row],[Dens]]*vp.data[[#This Row],[VolumeM3]],"")</f>
        <v>7535675.5589999994</v>
      </c>
      <c r="AQ1539" s="15">
        <f>IFERROR(vp.data[[#This Row],[VP]]*vp.data[[#This Row],[VolumeM3]],"")</f>
        <v>658706.48299999989</v>
      </c>
    </row>
    <row r="1540" spans="1:43" x14ac:dyDescent="0.25">
      <c r="A1540">
        <v>1539</v>
      </c>
      <c r="B1540" t="s">
        <v>64</v>
      </c>
      <c r="C1540" t="s">
        <v>64</v>
      </c>
      <c r="D1540" t="s">
        <v>65</v>
      </c>
      <c r="F1540" s="1">
        <v>42878</v>
      </c>
      <c r="G1540" s="2">
        <v>44.8</v>
      </c>
      <c r="H1540" s="2"/>
      <c r="I1540" s="2">
        <f t="array" ref="I1540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1540" s="2"/>
      <c r="K1540" s="2"/>
      <c r="L1540" s="2"/>
      <c r="M1540" s="2">
        <f t="array" ref="M1540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1540" s="2">
        <f ca="1">INDEX(INDIRECT(_xlfn.CONCAT("weather.tbl[",N$1,"]")),MATCH(vp.data[[#This Row],[SDate]],weather.tbl[Date],0))</f>
        <v>12</v>
      </c>
      <c r="O1540" s="2">
        <f ca="1">INDEX(INDIRECT(_xlfn.CONCAT("weather.tbl[",O$1,"]")),MATCH(vp.data[[#This Row],[SDate]],weather.tbl[Date],0))</f>
        <v>9.742857142857142</v>
      </c>
      <c r="P1540" s="2">
        <f ca="1">INDEX(INDIRECT(_xlfn.CONCAT("weather.tbl[",P$1,"]")),MATCH(vp.data[[#This Row],[SDate]],weather.tbl[Date],0))</f>
        <v>12</v>
      </c>
      <c r="Q1540" s="2">
        <f ca="1">INDEX(INDIRECT(_xlfn.CONCAT("weather.tbl[",Q$1,"]")),MATCH(vp.data[[#This Row],[SDate]],weather.tbl[Date],0))</f>
        <v>12.6</v>
      </c>
      <c r="R1540" s="2">
        <f ca="1">INDEX(INDIRECT(_xlfn.CONCAT("weather.tbl[",R$1,"]")),MATCH(vp.data[[#This Row],[SDate]],weather.tbl[Date],0))</f>
        <v>11.3</v>
      </c>
      <c r="S1540" s="2">
        <f ca="1">INDEX(INDIRECT(_xlfn.CONCAT("weather.tbl[",S$1,"]")),MATCH(vp.data[[#This Row],[SDate]],weather.tbl[Date],0))</f>
        <v>12.5</v>
      </c>
      <c r="T1540" s="2">
        <f ca="1">INDEX(INDIRECT(_xlfn.CONCAT("weather.tbl[",T$1,"]")),MATCH(vp.data[[#This Row],[SDate]],weather.tbl[Date],0))</f>
        <v>11.3</v>
      </c>
      <c r="U1540" s="2">
        <f ca="1">INDEX(INDIRECT(_xlfn.CONCAT("weather.tbl[",U$1,"]")),MATCH(vp.data[[#This Row],[SDate]],weather.tbl[Date],0))</f>
        <v>12.3</v>
      </c>
      <c r="V1540" s="2">
        <f t="array" ref="V15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21822.753000000001</v>
      </c>
      <c r="W1540" t="s">
        <v>48</v>
      </c>
      <c r="X1540">
        <f>IF(OR(vp.data[[#This Row],[Sulf]]="",vp.data[[#This Row],[Dens]]=""),1,0)</f>
        <v>0</v>
      </c>
      <c r="Y1540">
        <f>IF(vp.data[[#This Row],[CrudeType]]="C5+",1,0)</f>
        <v>0</v>
      </c>
      <c r="Z1540">
        <f>IF(AND(vp.data[[#This Row],[CrudeType]]="Crude",vp.data[[#This Row],[Dens]]&lt;=825,vp.data[[#This Row],[Sulf]]&gt;0.5,vp.data[[#This Row],[Unknown]]=0),1,0)</f>
        <v>0</v>
      </c>
      <c r="AA1540">
        <f>IF(AND(vp.data[[#This Row],[CrudeType]]="Crude",vp.data[[#This Row],[Dens]]&lt;=825,vp.data[[#This Row],[Sulf]]&lt;=0.5,vp.data[[#This Row],[Unknown]]=0),1,0)</f>
        <v>0</v>
      </c>
      <c r="AB15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0">
        <f>IF(AND(vp.data[[#This Row],[CrudeType]]="Crude",vp.data[[#This Row],[Dens]]&gt;825,vp.data[[#This Row],[Dens]]&lt;=900,vp.data[[#This Row],[Sulf]]&lt;=0.5,vp.data[[#This Row],[Unknown]]=0),1,0)</f>
        <v>0</v>
      </c>
      <c r="AD1540">
        <f>IF(AND(vp.data[[#This Row],[CrudeType]]="Crude",vp.data[[#This Row],[Dens]]&gt;865,vp.data[[#This Row],[Dens]]&lt;=900,vp.data[[#This Row],[Sulf]]&gt;2,vp.data[[#This Row],[Unknown]]=0),1,0)</f>
        <v>1</v>
      </c>
      <c r="AE1540">
        <f>IF(AND(vp.data[[#This Row],[CrudeType]]="Crude",vp.data[[#This Row],[Dens]]&gt;900,vp.data[[#This Row],[Sulf]]&lt;=0.5,vp.data[[#This Row],[Unknown]]=0),1,0)</f>
        <v>0</v>
      </c>
      <c r="AF1540">
        <f>IF(AND(vp.data[[#This Row],[CrudeType]]="Crude",vp.data[[#This Row],[Dens]]&gt;900,vp.data[[#This Row],[Sulf]]&lt;=0.5,vp.data[[#This Row],[Unknown]]=0),1,0)</f>
        <v>0</v>
      </c>
      <c r="AG1540" t="str">
        <f>INDEX(vp.data[[#Headers],[Unknown]:[Heavy_SW]],MATCH(1,vp.data[[#This Row],[Unknown]:[Heavy_SW]],0))</f>
        <v>Midale</v>
      </c>
      <c r="AH1540">
        <f>INDEX([3]!crudeBD.lkup[Number],MATCH(vp.data[[#This Row],[Crude_Breakdown]],crudeBD.lkup[Crude Breakdown],0))</f>
        <v>5</v>
      </c>
      <c r="AI1540">
        <f>MONTH(vp.data[[#This Row],[SDate]])</f>
        <v>5</v>
      </c>
      <c r="AJ1540" s="5">
        <f>(vp.data[[#This Row],[VP]]-INDEX(crudeBD.lkup[Mean_VP],MATCH(vp.data[[#This Row],[Crude_Breakdown]],crudeBD.lkup[Crude Breakdown],0)))^2</f>
        <v>605.59121080880175</v>
      </c>
      <c r="AK1540" s="5">
        <f>(vp.data[[#This Row],[Dens]]-INDEX(crudeBD.lkup[Mean_Dens],MATCH(vp.data[[#This Row],[Crude_Breakdown]],crudeBD.lkup[Crude Breakdown],0)))^2</f>
        <v>2.8324542990743198</v>
      </c>
      <c r="AL1540" s="5">
        <f>(vp.data[[#This Row],[Sulf]]-INDEX(crudeBD.lkup[Mean_Sulf],MATCH(vp.data[[#This Row],[Crude_Breakdown]],crudeBD.lkup[Crude Breakdown],0)))^2</f>
        <v>0.139588591912434</v>
      </c>
      <c r="AM1540" s="4">
        <f>IF(AND(vp.data[[#This Row],[SDate]]&gt;=DATE(YEAR(vp.data[[#This Row],[SDate]]),5,1),vp.data[[#This Row],[SDate]]&lt;=DATE(YEAR(vp.data[[#This Row],[SDate]]),9,15)),1,0)</f>
        <v>1</v>
      </c>
      <c r="AN1540" s="4">
        <f>IF(vp.data[[#This Row],[SDate]]&lt;DATE(2016,12,1),0,1)</f>
        <v>1</v>
      </c>
      <c r="AO1540" s="4">
        <f>IFERROR(vp.data[[#This Row],[Sulf]]*vp.data[[#This Row],[Net Dens]],"")</f>
        <v>39594221.019314997</v>
      </c>
      <c r="AP1540">
        <f>IFERROR(vp.data[[#This Row],[Dens]]*vp.data[[#This Row],[VolumeM3]],"")</f>
        <v>19127643.004500002</v>
      </c>
      <c r="AQ1540" s="15">
        <f>IFERROR(vp.data[[#This Row],[VP]]*vp.data[[#This Row],[VolumeM3]],"")</f>
        <v>977659.33439999993</v>
      </c>
    </row>
    <row r="1541" spans="1:43" x14ac:dyDescent="0.25">
      <c r="A1541">
        <v>1540</v>
      </c>
      <c r="B1541" t="s">
        <v>84</v>
      </c>
      <c r="C1541" t="s">
        <v>84</v>
      </c>
      <c r="D1541" t="s">
        <v>326</v>
      </c>
      <c r="F1541" s="1">
        <v>42878</v>
      </c>
      <c r="G1541" s="2">
        <v>80</v>
      </c>
      <c r="H1541" s="2"/>
      <c r="I1541" s="2">
        <f t="array" ref="I1541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541" s="2"/>
      <c r="K1541" s="2"/>
      <c r="L1541" s="2"/>
      <c r="M1541" s="2">
        <f t="array" ref="M1541">_xlfn.IFNA(IF(vp.data[[#This Row],[Dens Input]]="",INDEX([1]DATA!$O$3:$O$9826,MATCH(1,(vp.data[[#This Row],[Battery]]=[1]DATA!$L$3:$L$9826)*(EOMONTH(vp.data[[#This Row],[SDate]],-1)+1=[1]DATA!$G$3:$G$9826),0)),vp.data[[#This Row],[Dens Input]]),"")</f>
        <v>854.8</v>
      </c>
      <c r="N1541" s="2">
        <f ca="1">INDEX(INDIRECT(_xlfn.CONCAT("weather.tbl[",N$1,"]")),MATCH(vp.data[[#This Row],[SDate]],weather.tbl[Date],0))</f>
        <v>12</v>
      </c>
      <c r="O1541" s="2">
        <f ca="1">INDEX(INDIRECT(_xlfn.CONCAT("weather.tbl[",O$1,"]")),MATCH(vp.data[[#This Row],[SDate]],weather.tbl[Date],0))</f>
        <v>9.742857142857142</v>
      </c>
      <c r="P1541" s="2">
        <f ca="1">INDEX(INDIRECT(_xlfn.CONCAT("weather.tbl[",P$1,"]")),MATCH(vp.data[[#This Row],[SDate]],weather.tbl[Date],0))</f>
        <v>12</v>
      </c>
      <c r="Q1541" s="2">
        <f ca="1">INDEX(INDIRECT(_xlfn.CONCAT("weather.tbl[",Q$1,"]")),MATCH(vp.data[[#This Row],[SDate]],weather.tbl[Date],0))</f>
        <v>12.6</v>
      </c>
      <c r="R1541" s="2">
        <f ca="1">INDEX(INDIRECT(_xlfn.CONCAT("weather.tbl[",R$1,"]")),MATCH(vp.data[[#This Row],[SDate]],weather.tbl[Date],0))</f>
        <v>11.3</v>
      </c>
      <c r="S1541" s="2">
        <f ca="1">INDEX(INDIRECT(_xlfn.CONCAT("weather.tbl[",S$1,"]")),MATCH(vp.data[[#This Row],[SDate]],weather.tbl[Date],0))</f>
        <v>12.5</v>
      </c>
      <c r="T1541" s="2">
        <f ca="1">INDEX(INDIRECT(_xlfn.CONCAT("weather.tbl[",T$1,"]")),MATCH(vp.data[[#This Row],[SDate]],weather.tbl[Date],0))</f>
        <v>11.3</v>
      </c>
      <c r="U1541" s="2">
        <f ca="1">INDEX(INDIRECT(_xlfn.CONCAT("weather.tbl[",U$1,"]")),MATCH(vp.data[[#This Row],[SDate]],weather.tbl[Date],0))</f>
        <v>12.3</v>
      </c>
      <c r="V1541" s="2">
        <f t="array" ref="V15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1197.825</v>
      </c>
      <c r="W1541" t="s">
        <v>48</v>
      </c>
      <c r="X1541">
        <f>IF(OR(vp.data[[#This Row],[Sulf]]="",vp.data[[#This Row],[Dens]]=""),1,0)</f>
        <v>0</v>
      </c>
      <c r="Y1541">
        <f>IF(vp.data[[#This Row],[CrudeType]]="C5+",1,0)</f>
        <v>0</v>
      </c>
      <c r="Z1541">
        <f>IF(AND(vp.data[[#This Row],[CrudeType]]="Crude",vp.data[[#This Row],[Dens]]&lt;=825,vp.data[[#This Row],[Sulf]]&gt;0.5,vp.data[[#This Row],[Unknown]]=0),1,0)</f>
        <v>0</v>
      </c>
      <c r="AA1541">
        <f>IF(AND(vp.data[[#This Row],[CrudeType]]="Crude",vp.data[[#This Row],[Dens]]&lt;=825,vp.data[[#This Row],[Sulf]]&lt;=0.5,vp.data[[#This Row],[Unknown]]=0),1,0)</f>
        <v>0</v>
      </c>
      <c r="AB15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41">
        <f>IF(AND(vp.data[[#This Row],[CrudeType]]="Crude",vp.data[[#This Row],[Dens]]&gt;825,vp.data[[#This Row],[Dens]]&lt;=900,vp.data[[#This Row],[Sulf]]&lt;=0.5,vp.data[[#This Row],[Unknown]]=0),1,0)</f>
        <v>0</v>
      </c>
      <c r="AD1541">
        <f>IF(AND(vp.data[[#This Row],[CrudeType]]="Crude",vp.data[[#This Row],[Dens]]&gt;865,vp.data[[#This Row],[Dens]]&lt;=900,vp.data[[#This Row],[Sulf]]&gt;2,vp.data[[#This Row],[Unknown]]=0),1,0)</f>
        <v>0</v>
      </c>
      <c r="AE1541">
        <f>IF(AND(vp.data[[#This Row],[CrudeType]]="Crude",vp.data[[#This Row],[Dens]]&gt;900,vp.data[[#This Row],[Sulf]]&lt;=0.5,vp.data[[#This Row],[Unknown]]=0),1,0)</f>
        <v>0</v>
      </c>
      <c r="AF1541">
        <f>IF(AND(vp.data[[#This Row],[CrudeType]]="Crude",vp.data[[#This Row],[Dens]]&gt;900,vp.data[[#This Row],[Sulf]]&lt;=0.5,vp.data[[#This Row],[Unknown]]=0),1,0)</f>
        <v>0</v>
      </c>
      <c r="AG1541" t="str">
        <f>INDEX(vp.data[[#Headers],[Unknown]:[Heavy_SW]],MATCH(1,vp.data[[#This Row],[Unknown]:[Heavy_SW]],0))</f>
        <v>Medium_LSB</v>
      </c>
      <c r="AH1541">
        <f>INDEX([3]!crudeBD.lkup[Number],MATCH(vp.data[[#This Row],[Crude_Breakdown]],crudeBD.lkup[Crude Breakdown],0))</f>
        <v>3</v>
      </c>
      <c r="AI1541">
        <f>MONTH(vp.data[[#This Row],[SDate]])</f>
        <v>5</v>
      </c>
      <c r="AJ1541" s="5">
        <f>(vp.data[[#This Row],[VP]]-INDEX(crudeBD.lkup[Mean_VP],MATCH(vp.data[[#This Row],[Crude_Breakdown]],crudeBD.lkup[Crude Breakdown],0)))^2</f>
        <v>0.40918608844739141</v>
      </c>
      <c r="AK1541" s="5">
        <f>(vp.data[[#This Row],[Dens]]-INDEX(crudeBD.lkup[Mean_Dens],MATCH(vp.data[[#This Row],[Crude_Breakdown]],crudeBD.lkup[Crude Breakdown],0)))^2</f>
        <v>118.3744000000098</v>
      </c>
      <c r="AL1541" s="5">
        <f>(vp.data[[#This Row],[Sulf]]-INDEX(crudeBD.lkup[Mean_Sulf],MATCH(vp.data[[#This Row],[Crude_Breakdown]],crudeBD.lkup[Crude Breakdown],0)))^2</f>
        <v>0.14791090902021975</v>
      </c>
      <c r="AM1541" s="4">
        <f>IF(AND(vp.data[[#This Row],[SDate]]&gt;=DATE(YEAR(vp.data[[#This Row],[SDate]]),5,1),vp.data[[#This Row],[SDate]]&lt;=DATE(YEAR(vp.data[[#This Row],[SDate]]),9,15)),1,0)</f>
        <v>1</v>
      </c>
      <c r="AN1541" s="4">
        <f>IF(vp.data[[#This Row],[SDate]]&lt;DATE(2016,12,1),0,1)</f>
        <v>1</v>
      </c>
      <c r="AO1541" s="4">
        <f>IFERROR(vp.data[[#This Row],[Sulf]]*vp.data[[#This Row],[Net Dens]],"")</f>
        <v>1812304.4336999999</v>
      </c>
      <c r="AP1541">
        <f>IFERROR(vp.data[[#This Row],[Dens]]*vp.data[[#This Row],[VolumeM3]],"")</f>
        <v>1023900.8099999999</v>
      </c>
      <c r="AQ1541" s="15">
        <f>IFERROR(vp.data[[#This Row],[VP]]*vp.data[[#This Row],[VolumeM3]],"")</f>
        <v>95826</v>
      </c>
    </row>
    <row r="1542" spans="1:43" x14ac:dyDescent="0.25">
      <c r="A1542">
        <v>1541</v>
      </c>
      <c r="B1542" t="s">
        <v>49</v>
      </c>
      <c r="C1542" t="s">
        <v>49</v>
      </c>
      <c r="D1542" t="s">
        <v>89</v>
      </c>
      <c r="F1542" s="1">
        <v>42878</v>
      </c>
      <c r="G1542" s="2">
        <v>90.1</v>
      </c>
      <c r="H1542" s="2"/>
      <c r="I1542" s="2">
        <f t="array" ref="I1542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542" s="2"/>
      <c r="K1542" s="2"/>
      <c r="L1542" s="2"/>
      <c r="M1542" s="2">
        <f t="array" ref="M1542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542" s="2">
        <f ca="1">INDEX(INDIRECT(_xlfn.CONCAT("weather.tbl[",N$1,"]")),MATCH(vp.data[[#This Row],[SDate]],weather.tbl[Date],0))</f>
        <v>12</v>
      </c>
      <c r="O1542" s="2">
        <f ca="1">INDEX(INDIRECT(_xlfn.CONCAT("weather.tbl[",O$1,"]")),MATCH(vp.data[[#This Row],[SDate]],weather.tbl[Date],0))</f>
        <v>9.742857142857142</v>
      </c>
      <c r="P1542" s="2">
        <f ca="1">INDEX(INDIRECT(_xlfn.CONCAT("weather.tbl[",P$1,"]")),MATCH(vp.data[[#This Row],[SDate]],weather.tbl[Date],0))</f>
        <v>12</v>
      </c>
      <c r="Q1542" s="2">
        <f ca="1">INDEX(INDIRECT(_xlfn.CONCAT("weather.tbl[",Q$1,"]")),MATCH(vp.data[[#This Row],[SDate]],weather.tbl[Date],0))</f>
        <v>12.6</v>
      </c>
      <c r="R1542" s="2">
        <f ca="1">INDEX(INDIRECT(_xlfn.CONCAT("weather.tbl[",R$1,"]")),MATCH(vp.data[[#This Row],[SDate]],weather.tbl[Date],0))</f>
        <v>11.3</v>
      </c>
      <c r="S1542" s="2">
        <f ca="1">INDEX(INDIRECT(_xlfn.CONCAT("weather.tbl[",S$1,"]")),MATCH(vp.data[[#This Row],[SDate]],weather.tbl[Date],0))</f>
        <v>12.5</v>
      </c>
      <c r="T1542" s="2">
        <f ca="1">INDEX(INDIRECT(_xlfn.CONCAT("weather.tbl[",T$1,"]")),MATCH(vp.data[[#This Row],[SDate]],weather.tbl[Date],0))</f>
        <v>11.3</v>
      </c>
      <c r="U1542" s="2">
        <f ca="1">INDEX(INDIRECT(_xlfn.CONCAT("weather.tbl[",U$1,"]")),MATCH(vp.data[[#This Row],[SDate]],weather.tbl[Date],0))</f>
        <v>12.3</v>
      </c>
      <c r="V1542" s="2">
        <f t="array" ref="V15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6839.1149999999998</v>
      </c>
      <c r="W1542" t="s">
        <v>48</v>
      </c>
      <c r="X1542">
        <f>IF(OR(vp.data[[#This Row],[Sulf]]="",vp.data[[#This Row],[Dens]]=""),1,0)</f>
        <v>0</v>
      </c>
      <c r="Y1542">
        <f>IF(vp.data[[#This Row],[CrudeType]]="C5+",1,0)</f>
        <v>0</v>
      </c>
      <c r="Z1542">
        <f>IF(AND(vp.data[[#This Row],[CrudeType]]="Crude",vp.data[[#This Row],[Dens]]&lt;=825,vp.data[[#This Row],[Sulf]]&gt;0.5,vp.data[[#This Row],[Unknown]]=0),1,0)</f>
        <v>0</v>
      </c>
      <c r="AA1542">
        <f>IF(AND(vp.data[[#This Row],[CrudeType]]="Crude",vp.data[[#This Row],[Dens]]&lt;=825,vp.data[[#This Row],[Sulf]]&lt;=0.5,vp.data[[#This Row],[Unknown]]=0),1,0)</f>
        <v>0</v>
      </c>
      <c r="AB15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42">
        <f>IF(AND(vp.data[[#This Row],[CrudeType]]="Crude",vp.data[[#This Row],[Dens]]&gt;825,vp.data[[#This Row],[Dens]]&lt;=900,vp.data[[#This Row],[Sulf]]&lt;=0.5,vp.data[[#This Row],[Unknown]]=0),1,0)</f>
        <v>0</v>
      </c>
      <c r="AD1542">
        <f>IF(AND(vp.data[[#This Row],[CrudeType]]="Crude",vp.data[[#This Row],[Dens]]&gt;865,vp.data[[#This Row],[Dens]]&lt;=900,vp.data[[#This Row],[Sulf]]&gt;2,vp.data[[#This Row],[Unknown]]=0),1,0)</f>
        <v>0</v>
      </c>
      <c r="AE1542">
        <f>IF(AND(vp.data[[#This Row],[CrudeType]]="Crude",vp.data[[#This Row],[Dens]]&gt;900,vp.data[[#This Row],[Sulf]]&lt;=0.5,vp.data[[#This Row],[Unknown]]=0),1,0)</f>
        <v>0</v>
      </c>
      <c r="AF1542">
        <f>IF(AND(vp.data[[#This Row],[CrudeType]]="Crude",vp.data[[#This Row],[Dens]]&gt;900,vp.data[[#This Row],[Sulf]]&lt;=0.5,vp.data[[#This Row],[Unknown]]=0),1,0)</f>
        <v>0</v>
      </c>
      <c r="AG1542" t="str">
        <f>INDEX(vp.data[[#Headers],[Unknown]:[Heavy_SW]],MATCH(1,vp.data[[#This Row],[Unknown]:[Heavy_SW]],0))</f>
        <v>Medium_LSB</v>
      </c>
      <c r="AH1542">
        <f>INDEX([3]!crudeBD.lkup[Number],MATCH(vp.data[[#This Row],[Crude_Breakdown]],crudeBD.lkup[Crude Breakdown],0))</f>
        <v>3</v>
      </c>
      <c r="AI1542">
        <f>MONTH(vp.data[[#This Row],[SDate]])</f>
        <v>5</v>
      </c>
      <c r="AJ1542" s="5">
        <f>(vp.data[[#This Row],[VP]]-INDEX(crudeBD.lkup[Mean_VP],MATCH(vp.data[[#This Row],[Crude_Breakdown]],crudeBD.lkup[Crude Breakdown],0)))^2</f>
        <v>89.497719781171099</v>
      </c>
      <c r="AK1542" s="5">
        <f>(vp.data[[#This Row],[Dens]]-INDEX(crudeBD.lkup[Mean_Dens],MATCH(vp.data[[#This Row],[Crude_Breakdown]],crudeBD.lkup[Crude Breakdown],0)))^2</f>
        <v>303.45639999998275</v>
      </c>
      <c r="AL1542" s="5">
        <f>(vp.data[[#This Row],[Sulf]]-INDEX(crudeBD.lkup[Mean_Sulf],MATCH(vp.data[[#This Row],[Crude_Breakdown]],crudeBD.lkup[Crude Breakdown],0)))^2</f>
        <v>0.49760062519272974</v>
      </c>
      <c r="AM1542" s="4">
        <f>IF(AND(vp.data[[#This Row],[SDate]]&gt;=DATE(YEAR(vp.data[[#This Row],[SDate]]),5,1),vp.data[[#This Row],[SDate]]&lt;=DATE(YEAR(vp.data[[#This Row],[SDate]]),9,15)),1,0)</f>
        <v>1</v>
      </c>
      <c r="AN1542" s="4">
        <f>IF(vp.data[[#This Row],[SDate]]&lt;DATE(2016,12,1),0,1)</f>
        <v>1</v>
      </c>
      <c r="AO1542" s="4">
        <f>IFERROR(vp.data[[#This Row],[Sulf]]*vp.data[[#This Row],[Net Dens]],"")</f>
        <v>3843719.4123</v>
      </c>
      <c r="AP1542">
        <f>IFERROR(vp.data[[#This Row],[Dens]]*vp.data[[#This Row],[VolumeM3]],"")</f>
        <v>5652528.5474999994</v>
      </c>
      <c r="AQ1542" s="15">
        <f>IFERROR(vp.data[[#This Row],[VP]]*vp.data[[#This Row],[VolumeM3]],"")</f>
        <v>616204.26149999991</v>
      </c>
    </row>
    <row r="1543" spans="1:43" x14ac:dyDescent="0.25">
      <c r="A1543">
        <v>1542</v>
      </c>
      <c r="B1543" t="s">
        <v>68</v>
      </c>
      <c r="C1543" t="s">
        <v>68</v>
      </c>
      <c r="D1543" t="s">
        <v>327</v>
      </c>
      <c r="F1543" s="1">
        <v>42878</v>
      </c>
      <c r="G1543" s="2">
        <v>45.1</v>
      </c>
      <c r="H1543" s="2"/>
      <c r="I1543" s="2">
        <f t="array" ref="I1543">_xlfn.IFNA(IF(vp.data[[#This Row],[Sulf Input]]="",INDEX([1]DATA!$Q$3:$Q$9826,MATCH(1,(vp.data[[#This Row],[Battery]]=[1]DATA!$L$3:$L$9826)*(EOMONTH(vp.data[[#This Row],[SDate]],-1)+1=[1]DATA!$G$3:$G$9826),0)),vp.data[[#This Row],[Sulf Input]]),"")</f>
        <v>2.63</v>
      </c>
      <c r="J1543" s="2"/>
      <c r="K1543" s="2"/>
      <c r="L1543" s="2"/>
      <c r="M1543" s="2">
        <f t="array" ref="M1543">_xlfn.IFNA(IF(vp.data[[#This Row],[Dens Input]]="",INDEX([1]DATA!$O$3:$O$9826,MATCH(1,(vp.data[[#This Row],[Battery]]=[1]DATA!$L$3:$L$9826)*(EOMONTH(vp.data[[#This Row],[SDate]],-1)+1=[1]DATA!$G$3:$G$9826),0)),vp.data[[#This Row],[Dens Input]]),"")</f>
        <v>885.1</v>
      </c>
      <c r="N1543" s="2">
        <f ca="1">INDEX(INDIRECT(_xlfn.CONCAT("weather.tbl[",N$1,"]")),MATCH(vp.data[[#This Row],[SDate]],weather.tbl[Date],0))</f>
        <v>12</v>
      </c>
      <c r="O1543" s="2">
        <f ca="1">INDEX(INDIRECT(_xlfn.CONCAT("weather.tbl[",O$1,"]")),MATCH(vp.data[[#This Row],[SDate]],weather.tbl[Date],0))</f>
        <v>9.742857142857142</v>
      </c>
      <c r="P1543" s="2">
        <f ca="1">INDEX(INDIRECT(_xlfn.CONCAT("weather.tbl[",P$1,"]")),MATCH(vp.data[[#This Row],[SDate]],weather.tbl[Date],0))</f>
        <v>12</v>
      </c>
      <c r="Q1543" s="2">
        <f ca="1">INDEX(INDIRECT(_xlfn.CONCAT("weather.tbl[",Q$1,"]")),MATCH(vp.data[[#This Row],[SDate]],weather.tbl[Date],0))</f>
        <v>12.6</v>
      </c>
      <c r="R1543" s="2">
        <f ca="1">INDEX(INDIRECT(_xlfn.CONCAT("weather.tbl[",R$1,"]")),MATCH(vp.data[[#This Row],[SDate]],weather.tbl[Date],0))</f>
        <v>11.3</v>
      </c>
      <c r="S1543" s="2">
        <f ca="1">INDEX(INDIRECT(_xlfn.CONCAT("weather.tbl[",S$1,"]")),MATCH(vp.data[[#This Row],[SDate]],weather.tbl[Date],0))</f>
        <v>12.5</v>
      </c>
      <c r="T1543" s="2">
        <f ca="1">INDEX(INDIRECT(_xlfn.CONCAT("weather.tbl[",T$1,"]")),MATCH(vp.data[[#This Row],[SDate]],weather.tbl[Date],0))</f>
        <v>11.3</v>
      </c>
      <c r="U1543" s="2">
        <f ca="1">INDEX(INDIRECT(_xlfn.CONCAT("weather.tbl[",U$1,"]")),MATCH(vp.data[[#This Row],[SDate]],weather.tbl[Date],0))</f>
        <v>12.3</v>
      </c>
      <c r="V1543" s="2">
        <f t="array" ref="V15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91.41</v>
      </c>
      <c r="W1543" t="s">
        <v>48</v>
      </c>
      <c r="X1543">
        <f>IF(OR(vp.data[[#This Row],[Sulf]]="",vp.data[[#This Row],[Dens]]=""),1,0)</f>
        <v>0</v>
      </c>
      <c r="Y1543">
        <f>IF(vp.data[[#This Row],[CrudeType]]="C5+",1,0)</f>
        <v>0</v>
      </c>
      <c r="Z1543">
        <f>IF(AND(vp.data[[#This Row],[CrudeType]]="Crude",vp.data[[#This Row],[Dens]]&lt;=825,vp.data[[#This Row],[Sulf]]&gt;0.5,vp.data[[#This Row],[Unknown]]=0),1,0)</f>
        <v>0</v>
      </c>
      <c r="AA1543">
        <f>IF(AND(vp.data[[#This Row],[CrudeType]]="Crude",vp.data[[#This Row],[Dens]]&lt;=825,vp.data[[#This Row],[Sulf]]&lt;=0.5,vp.data[[#This Row],[Unknown]]=0),1,0)</f>
        <v>0</v>
      </c>
      <c r="AB15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3">
        <f>IF(AND(vp.data[[#This Row],[CrudeType]]="Crude",vp.data[[#This Row],[Dens]]&gt;825,vp.data[[#This Row],[Dens]]&lt;=900,vp.data[[#This Row],[Sulf]]&lt;=0.5,vp.data[[#This Row],[Unknown]]=0),1,0)</f>
        <v>0</v>
      </c>
      <c r="AD1543">
        <f>IF(AND(vp.data[[#This Row],[CrudeType]]="Crude",vp.data[[#This Row],[Dens]]&gt;865,vp.data[[#This Row],[Dens]]&lt;=900,vp.data[[#This Row],[Sulf]]&gt;2,vp.data[[#This Row],[Unknown]]=0),1,0)</f>
        <v>1</v>
      </c>
      <c r="AE1543">
        <f>IF(AND(vp.data[[#This Row],[CrudeType]]="Crude",vp.data[[#This Row],[Dens]]&gt;900,vp.data[[#This Row],[Sulf]]&lt;=0.5,vp.data[[#This Row],[Unknown]]=0),1,0)</f>
        <v>0</v>
      </c>
      <c r="AF1543">
        <f>IF(AND(vp.data[[#This Row],[CrudeType]]="Crude",vp.data[[#This Row],[Dens]]&gt;900,vp.data[[#This Row],[Sulf]]&lt;=0.5,vp.data[[#This Row],[Unknown]]=0),1,0)</f>
        <v>0</v>
      </c>
      <c r="AG1543" t="str">
        <f>INDEX(vp.data[[#Headers],[Unknown]:[Heavy_SW]],MATCH(1,vp.data[[#This Row],[Unknown]:[Heavy_SW]],0))</f>
        <v>Midale</v>
      </c>
      <c r="AH1543">
        <f>INDEX([3]!crudeBD.lkup[Number],MATCH(vp.data[[#This Row],[Crude_Breakdown]],crudeBD.lkup[Crude Breakdown],0))</f>
        <v>5</v>
      </c>
      <c r="AI1543">
        <f>MONTH(vp.data[[#This Row],[SDate]])</f>
        <v>5</v>
      </c>
      <c r="AJ1543" s="5">
        <f>(vp.data[[#This Row],[VP]]-INDEX(crudeBD.lkup[Mean_VP],MATCH(vp.data[[#This Row],[Crude_Breakdown]],crudeBD.lkup[Crude Breakdown],0)))^2</f>
        <v>590.91595307684281</v>
      </c>
      <c r="AK1543" s="5">
        <f>(vp.data[[#This Row],[Dens]]-INDEX(crudeBD.lkup[Mean_Dens],MATCH(vp.data[[#This Row],[Crude_Breakdown]],crudeBD.lkup[Crude Breakdown],0)))^2</f>
        <v>105.73987697948188</v>
      </c>
      <c r="AL1543" s="5">
        <f>(vp.data[[#This Row],[Sulf]]-INDEX(crudeBD.lkup[Mean_Sulf],MATCH(vp.data[[#This Row],[Crude_Breakdown]],crudeBD.lkup[Crude Breakdown],0)))^2</f>
        <v>3.4739156860888978E-2</v>
      </c>
      <c r="AM1543" s="4">
        <f>IF(AND(vp.data[[#This Row],[SDate]]&gt;=DATE(YEAR(vp.data[[#This Row],[SDate]]),5,1),vp.data[[#This Row],[SDate]]&lt;=DATE(YEAR(vp.data[[#This Row],[SDate]]),9,15)),1,0)</f>
        <v>1</v>
      </c>
      <c r="AN1543" s="4">
        <f>IF(vp.data[[#This Row],[SDate]]&lt;DATE(2016,12,1),0,1)</f>
        <v>1</v>
      </c>
      <c r="AO1543" s="4">
        <f>IFERROR(vp.data[[#This Row],[Sulf]]*vp.data[[#This Row],[Net Dens]],"")</f>
        <v>212785.38632999998</v>
      </c>
      <c r="AP1543">
        <f>IFERROR(vp.data[[#This Row],[Dens]]*vp.data[[#This Row],[VolumeM3]],"")</f>
        <v>80906.990999999995</v>
      </c>
      <c r="AQ1543" s="15">
        <f>IFERROR(vp.data[[#This Row],[VP]]*vp.data[[#This Row],[VolumeM3]],"")</f>
        <v>4122.5910000000003</v>
      </c>
    </row>
    <row r="1544" spans="1:43" x14ac:dyDescent="0.25">
      <c r="A1544">
        <v>1543</v>
      </c>
      <c r="B1544" t="s">
        <v>49</v>
      </c>
      <c r="C1544" t="s">
        <v>49</v>
      </c>
      <c r="D1544" t="s">
        <v>78</v>
      </c>
      <c r="F1544" s="1">
        <v>42879</v>
      </c>
      <c r="G1544" s="2">
        <v>75.7</v>
      </c>
      <c r="H1544" s="2"/>
      <c r="I1544" s="2">
        <f t="array" ref="I1544">_xlfn.IFNA(IF(vp.data[[#This Row],[Sulf Input]]="",INDEX([1]DATA!$Q$3:$Q$9826,MATCH(1,(vp.data[[#This Row],[Battery]]=[1]DATA!$L$3:$L$9826)*(EOMONTH(vp.data[[#This Row],[SDate]],-1)+1=[1]DATA!$G$3:$G$9826),0)),vp.data[[#This Row],[Sulf Input]]),"")</f>
        <v>0.24</v>
      </c>
      <c r="J1544" s="2"/>
      <c r="K1544" s="2"/>
      <c r="L1544" s="2"/>
      <c r="M1544" s="2">
        <f t="array" ref="M1544">_xlfn.IFNA(IF(vp.data[[#This Row],[Dens Input]]="",INDEX([1]DATA!$O$3:$O$9826,MATCH(1,(vp.data[[#This Row],[Battery]]=[1]DATA!$L$3:$L$9826)*(EOMONTH(vp.data[[#This Row],[SDate]],-1)+1=[1]DATA!$G$3:$G$9826),0)),vp.data[[#This Row],[Dens Input]]),"")</f>
        <v>810.9</v>
      </c>
      <c r="N1544" s="2">
        <f ca="1">INDEX(INDIRECT(_xlfn.CONCAT("weather.tbl[",N$1,"]")),MATCH(vp.data[[#This Row],[SDate]],weather.tbl[Date],0))</f>
        <v>16.116666666666667</v>
      </c>
      <c r="O1544" s="2">
        <f ca="1">INDEX(INDIRECT(_xlfn.CONCAT("weather.tbl[",O$1,"]")),MATCH(vp.data[[#This Row],[SDate]],weather.tbl[Date],0))</f>
        <v>11.035714285714286</v>
      </c>
      <c r="P1544" s="2">
        <f ca="1">INDEX(INDIRECT(_xlfn.CONCAT("weather.tbl[",P$1,"]")),MATCH(vp.data[[#This Row],[SDate]],weather.tbl[Date],0))</f>
        <v>16.2</v>
      </c>
      <c r="Q1544" s="2">
        <f ca="1">INDEX(INDIRECT(_xlfn.CONCAT("weather.tbl[",Q$1,"]")),MATCH(vp.data[[#This Row],[SDate]],weather.tbl[Date],0))</f>
        <v>16.7</v>
      </c>
      <c r="R1544" s="2">
        <f ca="1">INDEX(INDIRECT(_xlfn.CONCAT("weather.tbl[",R$1,"]")),MATCH(vp.data[[#This Row],[SDate]],weather.tbl[Date],0))</f>
        <v>15.5</v>
      </c>
      <c r="S1544" s="2">
        <f ca="1">INDEX(INDIRECT(_xlfn.CONCAT("weather.tbl[",S$1,"]")),MATCH(vp.data[[#This Row],[SDate]],weather.tbl[Date],0))</f>
        <v>17.8</v>
      </c>
      <c r="T1544" s="2">
        <f ca="1">INDEX(INDIRECT(_xlfn.CONCAT("weather.tbl[",T$1,"]")),MATCH(vp.data[[#This Row],[SDate]],weather.tbl[Date],0))</f>
        <v>14.5</v>
      </c>
      <c r="U1544" s="2">
        <f ca="1">INDEX(INDIRECT(_xlfn.CONCAT("weather.tbl[",U$1,"]")),MATCH(vp.data[[#This Row],[SDate]],weather.tbl[Date],0))</f>
        <v>16</v>
      </c>
      <c r="V1544" s="2">
        <f t="array" ref="V15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20016.702000000001</v>
      </c>
      <c r="W1544" t="s">
        <v>48</v>
      </c>
      <c r="X1544">
        <f>IF(OR(vp.data[[#This Row],[Sulf]]="",vp.data[[#This Row],[Dens]]=""),1,0)</f>
        <v>0</v>
      </c>
      <c r="Y1544">
        <f>IF(vp.data[[#This Row],[CrudeType]]="C5+",1,0)</f>
        <v>0</v>
      </c>
      <c r="Z1544">
        <f>IF(AND(vp.data[[#This Row],[CrudeType]]="Crude",vp.data[[#This Row],[Dens]]&lt;=825,vp.data[[#This Row],[Sulf]]&gt;0.5,vp.data[[#This Row],[Unknown]]=0),1,0)</f>
        <v>0</v>
      </c>
      <c r="AA1544">
        <f>IF(AND(vp.data[[#This Row],[CrudeType]]="Crude",vp.data[[#This Row],[Dens]]&lt;=825,vp.data[[#This Row],[Sulf]]&lt;=0.5,vp.data[[#This Row],[Unknown]]=0),1,0)</f>
        <v>1</v>
      </c>
      <c r="AB15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4">
        <f>IF(AND(vp.data[[#This Row],[CrudeType]]="Crude",vp.data[[#This Row],[Dens]]&gt;825,vp.data[[#This Row],[Dens]]&lt;=900,vp.data[[#This Row],[Sulf]]&lt;=0.5,vp.data[[#This Row],[Unknown]]=0),1,0)</f>
        <v>0</v>
      </c>
      <c r="AD1544">
        <f>IF(AND(vp.data[[#This Row],[CrudeType]]="Crude",vp.data[[#This Row],[Dens]]&gt;865,vp.data[[#This Row],[Dens]]&lt;=900,vp.data[[#This Row],[Sulf]]&gt;2,vp.data[[#This Row],[Unknown]]=0),1,0)</f>
        <v>0</v>
      </c>
      <c r="AE1544">
        <f>IF(AND(vp.data[[#This Row],[CrudeType]]="Crude",vp.data[[#This Row],[Dens]]&gt;900,vp.data[[#This Row],[Sulf]]&lt;=0.5,vp.data[[#This Row],[Unknown]]=0),1,0)</f>
        <v>0</v>
      </c>
      <c r="AF1544">
        <f>IF(AND(vp.data[[#This Row],[CrudeType]]="Crude",vp.data[[#This Row],[Dens]]&gt;900,vp.data[[#This Row],[Sulf]]&lt;=0.5,vp.data[[#This Row],[Unknown]]=0),1,0)</f>
        <v>0</v>
      </c>
      <c r="AG1544" t="str">
        <f>INDEX(vp.data[[#Headers],[Unknown]:[Heavy_SW]],MATCH(1,vp.data[[#This Row],[Unknown]:[Heavy_SW]],0))</f>
        <v>Light_SW</v>
      </c>
      <c r="AH1544">
        <f>INDEX([3]!crudeBD.lkup[Number],MATCH(vp.data[[#This Row],[Crude_Breakdown]],crudeBD.lkup[Crude Breakdown],0))</f>
        <v>2</v>
      </c>
      <c r="AI1544">
        <f>MONTH(vp.data[[#This Row],[SDate]])</f>
        <v>5</v>
      </c>
      <c r="AJ1544" s="5">
        <f>(vp.data[[#This Row],[VP]]-INDEX(crudeBD.lkup[Mean_VP],MATCH(vp.data[[#This Row],[Crude_Breakdown]],crudeBD.lkup[Crude Breakdown],0)))^2</f>
        <v>283.93306804258776</v>
      </c>
      <c r="AK1544" s="5">
        <f>(vp.data[[#This Row],[Dens]]-INDEX(crudeBD.lkup[Mean_Dens],MATCH(vp.data[[#This Row],[Crude_Breakdown]],crudeBD.lkup[Crude Breakdown],0)))^2</f>
        <v>6.7003412691678106</v>
      </c>
      <c r="AL1544" s="5">
        <f>(vp.data[[#This Row],[Sulf]]-INDEX(crudeBD.lkup[Mean_Sulf],MATCH(vp.data[[#This Row],[Crude_Breakdown]],crudeBD.lkup[Crude Breakdown],0)))^2</f>
        <v>1.4123978195681499E-5</v>
      </c>
      <c r="AM1544" s="4">
        <f>IF(AND(vp.data[[#This Row],[SDate]]&gt;=DATE(YEAR(vp.data[[#This Row],[SDate]]),5,1),vp.data[[#This Row],[SDate]]&lt;=DATE(YEAR(vp.data[[#This Row],[SDate]]),9,15)),1,0)</f>
        <v>1</v>
      </c>
      <c r="AN1544" s="4">
        <f>IF(vp.data[[#This Row],[SDate]]&lt;DATE(2016,12,1),0,1)</f>
        <v>1</v>
      </c>
      <c r="AO1544" s="4">
        <f>IFERROR(vp.data[[#This Row],[Sulf]]*vp.data[[#This Row],[Net Dens]],"")</f>
        <v>3895570.4764320003</v>
      </c>
      <c r="AP1544">
        <f>IFERROR(vp.data[[#This Row],[Dens]]*vp.data[[#This Row],[VolumeM3]],"")</f>
        <v>16231543.651800001</v>
      </c>
      <c r="AQ1544" s="15">
        <f>IFERROR(vp.data[[#This Row],[VP]]*vp.data[[#This Row],[VolumeM3]],"")</f>
        <v>1515264.3414</v>
      </c>
    </row>
    <row r="1545" spans="1:43" x14ac:dyDescent="0.25">
      <c r="A1545">
        <v>1544</v>
      </c>
      <c r="B1545" t="s">
        <v>49</v>
      </c>
      <c r="C1545" t="s">
        <v>49</v>
      </c>
      <c r="D1545" t="s">
        <v>92</v>
      </c>
      <c r="F1545" s="1">
        <v>42879</v>
      </c>
      <c r="G1545" s="2">
        <v>92.5</v>
      </c>
      <c r="H1545" s="2"/>
      <c r="I1545" s="2">
        <f t="array" ref="I1545">_xlfn.IFNA(IF(vp.data[[#This Row],[Sulf Input]]="",INDEX([1]DATA!$Q$3:$Q$9826,MATCH(1,(vp.data[[#This Row],[Battery]]=[1]DATA!$L$3:$L$9826)*(EOMONTH(vp.data[[#This Row],[SDate]],-1)+1=[1]DATA!$G$3:$G$9826),0)),vp.data[[#This Row],[Sulf Input]]),"")</f>
        <v>0.64</v>
      </c>
      <c r="J1545" s="2"/>
      <c r="K1545" s="2"/>
      <c r="L1545" s="2"/>
      <c r="M1545" s="2">
        <f t="array" ref="M1545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1545" s="2">
        <f ca="1">INDEX(INDIRECT(_xlfn.CONCAT("weather.tbl[",N$1,"]")),MATCH(vp.data[[#This Row],[SDate]],weather.tbl[Date],0))</f>
        <v>16.116666666666667</v>
      </c>
      <c r="O1545" s="2">
        <f ca="1">INDEX(INDIRECT(_xlfn.CONCAT("weather.tbl[",O$1,"]")),MATCH(vp.data[[#This Row],[SDate]],weather.tbl[Date],0))</f>
        <v>11.035714285714286</v>
      </c>
      <c r="P1545" s="2">
        <f ca="1">INDEX(INDIRECT(_xlfn.CONCAT("weather.tbl[",P$1,"]")),MATCH(vp.data[[#This Row],[SDate]],weather.tbl[Date],0))</f>
        <v>16.2</v>
      </c>
      <c r="Q1545" s="2">
        <f ca="1">INDEX(INDIRECT(_xlfn.CONCAT("weather.tbl[",Q$1,"]")),MATCH(vp.data[[#This Row],[SDate]],weather.tbl[Date],0))</f>
        <v>16.7</v>
      </c>
      <c r="R1545" s="2">
        <f ca="1">INDEX(INDIRECT(_xlfn.CONCAT("weather.tbl[",R$1,"]")),MATCH(vp.data[[#This Row],[SDate]],weather.tbl[Date],0))</f>
        <v>15.5</v>
      </c>
      <c r="S1545" s="2">
        <f ca="1">INDEX(INDIRECT(_xlfn.CONCAT("weather.tbl[",S$1,"]")),MATCH(vp.data[[#This Row],[SDate]],weather.tbl[Date],0))</f>
        <v>17.8</v>
      </c>
      <c r="T1545" s="2">
        <f ca="1">INDEX(INDIRECT(_xlfn.CONCAT("weather.tbl[",T$1,"]")),MATCH(vp.data[[#This Row],[SDate]],weather.tbl[Date],0))</f>
        <v>14.5</v>
      </c>
      <c r="U1545" s="2">
        <f ca="1">INDEX(INDIRECT(_xlfn.CONCAT("weather.tbl[",U$1,"]")),MATCH(vp.data[[#This Row],[SDate]],weather.tbl[Date],0))</f>
        <v>16</v>
      </c>
      <c r="V1545" s="2">
        <f t="array" ref="V15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24656.244999999999</v>
      </c>
      <c r="W1545" t="s">
        <v>48</v>
      </c>
      <c r="X1545">
        <f>IF(OR(vp.data[[#This Row],[Sulf]]="",vp.data[[#This Row],[Dens]]=""),1,0)</f>
        <v>0</v>
      </c>
      <c r="Y1545">
        <f>IF(vp.data[[#This Row],[CrudeType]]="C5+",1,0)</f>
        <v>0</v>
      </c>
      <c r="Z1545">
        <f>IF(AND(vp.data[[#This Row],[CrudeType]]="Crude",vp.data[[#This Row],[Dens]]&lt;=825,vp.data[[#This Row],[Sulf]]&gt;0.5,vp.data[[#This Row],[Unknown]]=0),1,0)</f>
        <v>1</v>
      </c>
      <c r="AA1545">
        <f>IF(AND(vp.data[[#This Row],[CrudeType]]="Crude",vp.data[[#This Row],[Dens]]&lt;=825,vp.data[[#This Row],[Sulf]]&lt;=0.5,vp.data[[#This Row],[Unknown]]=0),1,0)</f>
        <v>0</v>
      </c>
      <c r="AB15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5">
        <f>IF(AND(vp.data[[#This Row],[CrudeType]]="Crude",vp.data[[#This Row],[Dens]]&gt;825,vp.data[[#This Row],[Dens]]&lt;=900,vp.data[[#This Row],[Sulf]]&lt;=0.5,vp.data[[#This Row],[Unknown]]=0),1,0)</f>
        <v>0</v>
      </c>
      <c r="AD1545">
        <f>IF(AND(vp.data[[#This Row],[CrudeType]]="Crude",vp.data[[#This Row],[Dens]]&gt;865,vp.data[[#This Row],[Dens]]&lt;=900,vp.data[[#This Row],[Sulf]]&gt;2,vp.data[[#This Row],[Unknown]]=0),1,0)</f>
        <v>0</v>
      </c>
      <c r="AE1545">
        <f>IF(AND(vp.data[[#This Row],[CrudeType]]="Crude",vp.data[[#This Row],[Dens]]&gt;900,vp.data[[#This Row],[Sulf]]&lt;=0.5,vp.data[[#This Row],[Unknown]]=0),1,0)</f>
        <v>0</v>
      </c>
      <c r="AF1545">
        <f>IF(AND(vp.data[[#This Row],[CrudeType]]="Crude",vp.data[[#This Row],[Dens]]&gt;900,vp.data[[#This Row],[Sulf]]&lt;=0.5,vp.data[[#This Row],[Unknown]]=0),1,0)</f>
        <v>0</v>
      </c>
      <c r="AG1545" t="str">
        <f>INDEX(vp.data[[#Headers],[Unknown]:[Heavy_SW]],MATCH(1,vp.data[[#This Row],[Unknown]:[Heavy_SW]],0))</f>
        <v>Light_LSB</v>
      </c>
      <c r="AH1545">
        <f>INDEX([3]!crudeBD.lkup[Number],MATCH(vp.data[[#This Row],[Crude_Breakdown]],crudeBD.lkup[Crude Breakdown],0))</f>
        <v>1</v>
      </c>
      <c r="AI1545">
        <f>MONTH(vp.data[[#This Row],[SDate]])</f>
        <v>5</v>
      </c>
      <c r="AJ1545" s="5">
        <f>(vp.data[[#This Row],[VP]]-INDEX(crudeBD.lkup[Mean_VP],MATCH(vp.data[[#This Row],[Crude_Breakdown]],crudeBD.lkup[Crude Breakdown],0)))^2</f>
        <v>0.90976197257938585</v>
      </c>
      <c r="AK1545" s="5">
        <f>(vp.data[[#This Row],[Dens]]-INDEX(crudeBD.lkup[Mean_Dens],MATCH(vp.data[[#This Row],[Crude_Breakdown]],crudeBD.lkup[Crude Breakdown],0)))^2</f>
        <v>17.499415245453584</v>
      </c>
      <c r="AL1545" s="5">
        <f>(vp.data[[#This Row],[Sulf]]-INDEX(crudeBD.lkup[Mean_Sulf],MATCH(vp.data[[#This Row],[Crude_Breakdown]],crudeBD.lkup[Crude Breakdown],0)))^2</f>
        <v>8.0072682137103807E-2</v>
      </c>
      <c r="AM1545" s="4">
        <f>IF(AND(vp.data[[#This Row],[SDate]]&gt;=DATE(YEAR(vp.data[[#This Row],[SDate]]),5,1),vp.data[[#This Row],[SDate]]&lt;=DATE(YEAR(vp.data[[#This Row],[SDate]]),9,15)),1,0)</f>
        <v>1</v>
      </c>
      <c r="AN1545" s="4">
        <f>IF(vp.data[[#This Row],[SDate]]&lt;DATE(2016,12,1),0,1)</f>
        <v>1</v>
      </c>
      <c r="AO1545" s="4">
        <f>IFERROR(vp.data[[#This Row],[Sulf]]*vp.data[[#This Row],[Net Dens]],"")</f>
        <v>12982203.367360001</v>
      </c>
      <c r="AP1545">
        <f>IFERROR(vp.data[[#This Row],[Dens]]*vp.data[[#This Row],[VolumeM3]],"")</f>
        <v>20284692.761500001</v>
      </c>
      <c r="AQ1545" s="15">
        <f>IFERROR(vp.data[[#This Row],[VP]]*vp.data[[#This Row],[VolumeM3]],"")</f>
        <v>2280702.6625000001</v>
      </c>
    </row>
    <row r="1546" spans="1:43" x14ac:dyDescent="0.25">
      <c r="A1546">
        <v>1545</v>
      </c>
      <c r="B1546" t="s">
        <v>49</v>
      </c>
      <c r="C1546" t="s">
        <v>49</v>
      </c>
      <c r="D1546" t="s">
        <v>50</v>
      </c>
      <c r="F1546" s="1">
        <v>42879</v>
      </c>
      <c r="G1546" s="2">
        <v>65.2</v>
      </c>
      <c r="H1546" s="2"/>
      <c r="I1546" s="2">
        <f t="array" ref="I1546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546" s="2"/>
      <c r="K1546" s="2"/>
      <c r="L1546" s="2"/>
      <c r="M1546" s="2">
        <f t="array" ref="M1546">_xlfn.IFNA(IF(vp.data[[#This Row],[Dens Input]]="",INDEX([1]DATA!$O$3:$O$9826,MATCH(1,(vp.data[[#This Row],[Battery]]=[1]DATA!$L$3:$L$9826)*(EOMONTH(vp.data[[#This Row],[SDate]],-1)+1=[1]DATA!$G$3:$G$9826),0)),vp.data[[#This Row],[Dens Input]]),"")</f>
        <v>865</v>
      </c>
      <c r="N1546" s="2">
        <f ca="1">INDEX(INDIRECT(_xlfn.CONCAT("weather.tbl[",N$1,"]")),MATCH(vp.data[[#This Row],[SDate]],weather.tbl[Date],0))</f>
        <v>16.116666666666667</v>
      </c>
      <c r="O1546" s="2">
        <f ca="1">INDEX(INDIRECT(_xlfn.CONCAT("weather.tbl[",O$1,"]")),MATCH(vp.data[[#This Row],[SDate]],weather.tbl[Date],0))</f>
        <v>11.035714285714286</v>
      </c>
      <c r="P1546" s="2">
        <f ca="1">INDEX(INDIRECT(_xlfn.CONCAT("weather.tbl[",P$1,"]")),MATCH(vp.data[[#This Row],[SDate]],weather.tbl[Date],0))</f>
        <v>16.2</v>
      </c>
      <c r="Q1546" s="2">
        <f ca="1">INDEX(INDIRECT(_xlfn.CONCAT("weather.tbl[",Q$1,"]")),MATCH(vp.data[[#This Row],[SDate]],weather.tbl[Date],0))</f>
        <v>16.7</v>
      </c>
      <c r="R1546" s="2">
        <f ca="1">INDEX(INDIRECT(_xlfn.CONCAT("weather.tbl[",R$1,"]")),MATCH(vp.data[[#This Row],[SDate]],weather.tbl[Date],0))</f>
        <v>15.5</v>
      </c>
      <c r="S1546" s="2">
        <f ca="1">INDEX(INDIRECT(_xlfn.CONCAT("weather.tbl[",S$1,"]")),MATCH(vp.data[[#This Row],[SDate]],weather.tbl[Date],0))</f>
        <v>17.8</v>
      </c>
      <c r="T1546" s="2">
        <f ca="1">INDEX(INDIRECT(_xlfn.CONCAT("weather.tbl[",T$1,"]")),MATCH(vp.data[[#This Row],[SDate]],weather.tbl[Date],0))</f>
        <v>14.5</v>
      </c>
      <c r="U1546" s="2">
        <f ca="1">INDEX(INDIRECT(_xlfn.CONCAT("weather.tbl[",U$1,"]")),MATCH(vp.data[[#This Row],[SDate]],weather.tbl[Date],0))</f>
        <v>16</v>
      </c>
      <c r="V1546" s="2">
        <f t="array" ref="V15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5265.8419999999996</v>
      </c>
      <c r="W1546" t="s">
        <v>48</v>
      </c>
      <c r="X1546">
        <f>IF(OR(vp.data[[#This Row],[Sulf]]="",vp.data[[#This Row],[Dens]]=""),1,0)</f>
        <v>0</v>
      </c>
      <c r="Y1546">
        <f>IF(vp.data[[#This Row],[CrudeType]]="C5+",1,0)</f>
        <v>0</v>
      </c>
      <c r="Z1546">
        <f>IF(AND(vp.data[[#This Row],[CrudeType]]="Crude",vp.data[[#This Row],[Dens]]&lt;=825,vp.data[[#This Row],[Sulf]]&gt;0.5,vp.data[[#This Row],[Unknown]]=0),1,0)</f>
        <v>0</v>
      </c>
      <c r="AA1546">
        <f>IF(AND(vp.data[[#This Row],[CrudeType]]="Crude",vp.data[[#This Row],[Dens]]&lt;=825,vp.data[[#This Row],[Sulf]]&lt;=0.5,vp.data[[#This Row],[Unknown]]=0),1,0)</f>
        <v>0</v>
      </c>
      <c r="AB15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46">
        <f>IF(AND(vp.data[[#This Row],[CrudeType]]="Crude",vp.data[[#This Row],[Dens]]&gt;825,vp.data[[#This Row],[Dens]]&lt;=900,vp.data[[#This Row],[Sulf]]&lt;=0.5,vp.data[[#This Row],[Unknown]]=0),1,0)</f>
        <v>0</v>
      </c>
      <c r="AD1546">
        <f>IF(AND(vp.data[[#This Row],[CrudeType]]="Crude",vp.data[[#This Row],[Dens]]&gt;865,vp.data[[#This Row],[Dens]]&lt;=900,vp.data[[#This Row],[Sulf]]&gt;2,vp.data[[#This Row],[Unknown]]=0),1,0)</f>
        <v>0</v>
      </c>
      <c r="AE1546">
        <f>IF(AND(vp.data[[#This Row],[CrudeType]]="Crude",vp.data[[#This Row],[Dens]]&gt;900,vp.data[[#This Row],[Sulf]]&lt;=0.5,vp.data[[#This Row],[Unknown]]=0),1,0)</f>
        <v>0</v>
      </c>
      <c r="AF1546">
        <f>IF(AND(vp.data[[#This Row],[CrudeType]]="Crude",vp.data[[#This Row],[Dens]]&gt;900,vp.data[[#This Row],[Sulf]]&lt;=0.5,vp.data[[#This Row],[Unknown]]=0),1,0)</f>
        <v>0</v>
      </c>
      <c r="AG1546" t="str">
        <f>INDEX(vp.data[[#Headers],[Unknown]:[Heavy_SW]],MATCH(1,vp.data[[#This Row],[Unknown]:[Heavy_SW]],0))</f>
        <v>Medium_LSB</v>
      </c>
      <c r="AH1546">
        <f>INDEX([3]!crudeBD.lkup[Number],MATCH(vp.data[[#This Row],[Crude_Breakdown]],crudeBD.lkup[Crude Breakdown],0))</f>
        <v>3</v>
      </c>
      <c r="AI1546">
        <f>MONTH(vp.data[[#This Row],[SDate]])</f>
        <v>5</v>
      </c>
      <c r="AJ1546" s="5">
        <f>(vp.data[[#This Row],[VP]]-INDEX(crudeBD.lkup[Mean_VP],MATCH(vp.data[[#This Row],[Crude_Breakdown]],crudeBD.lkup[Crude Breakdown],0)))^2</f>
        <v>238.38361196445598</v>
      </c>
      <c r="AK1546" s="5">
        <f>(vp.data[[#This Row],[Dens]]-INDEX(crudeBD.lkup[Mean_Dens],MATCH(vp.data[[#This Row],[Crude_Breakdown]],crudeBD.lkup[Crude Breakdown],0)))^2</f>
        <v>444.36640000002092</v>
      </c>
      <c r="AL1546" s="5">
        <f>(vp.data[[#This Row],[Sulf]]-INDEX(crudeBD.lkup[Mean_Sulf],MATCH(vp.data[[#This Row],[Crude_Breakdown]],crudeBD.lkup[Crude Breakdown],0)))^2</f>
        <v>1.86211098071833</v>
      </c>
      <c r="AM1546" s="4">
        <f>IF(AND(vp.data[[#This Row],[SDate]]&gt;=DATE(YEAR(vp.data[[#This Row],[SDate]]),5,1),vp.data[[#This Row],[SDate]]&lt;=DATE(YEAR(vp.data[[#This Row],[SDate]]),9,15)),1,0)</f>
        <v>1</v>
      </c>
      <c r="AN1546" s="4">
        <f>IF(vp.data[[#This Row],[SDate]]&lt;DATE(2016,12,1),0,1)</f>
        <v>1</v>
      </c>
      <c r="AO1546" s="4">
        <f>IFERROR(vp.data[[#This Row],[Sulf]]*vp.data[[#This Row],[Net Dens]],"")</f>
        <v>12526121.657500001</v>
      </c>
      <c r="AP1546">
        <f>IFERROR(vp.data[[#This Row],[Dens]]*vp.data[[#This Row],[VolumeM3]],"")</f>
        <v>4554953.33</v>
      </c>
      <c r="AQ1546" s="15">
        <f>IFERROR(vp.data[[#This Row],[VP]]*vp.data[[#This Row],[VolumeM3]],"")</f>
        <v>343332.89840000001</v>
      </c>
    </row>
    <row r="1547" spans="1:43" x14ac:dyDescent="0.25">
      <c r="A1547">
        <v>1546</v>
      </c>
      <c r="B1547" t="s">
        <v>51</v>
      </c>
      <c r="C1547" t="s">
        <v>51</v>
      </c>
      <c r="D1547" t="s">
        <v>52</v>
      </c>
      <c r="F1547" s="1">
        <v>42879</v>
      </c>
      <c r="G1547" s="2">
        <v>71.8</v>
      </c>
      <c r="H1547" s="2"/>
      <c r="I1547" s="2">
        <f t="array" ref="I1547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547" s="2"/>
      <c r="K1547" s="2"/>
      <c r="L1547" s="2"/>
      <c r="M1547" s="2">
        <f t="array" ref="M1547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547" s="2">
        <f ca="1">INDEX(INDIRECT(_xlfn.CONCAT("weather.tbl[",N$1,"]")),MATCH(vp.data[[#This Row],[SDate]],weather.tbl[Date],0))</f>
        <v>16.116666666666667</v>
      </c>
      <c r="O1547" s="2">
        <f ca="1">INDEX(INDIRECT(_xlfn.CONCAT("weather.tbl[",O$1,"]")),MATCH(vp.data[[#This Row],[SDate]],weather.tbl[Date],0))</f>
        <v>11.035714285714286</v>
      </c>
      <c r="P1547" s="2">
        <f ca="1">INDEX(INDIRECT(_xlfn.CONCAT("weather.tbl[",P$1,"]")),MATCH(vp.data[[#This Row],[SDate]],weather.tbl[Date],0))</f>
        <v>16.2</v>
      </c>
      <c r="Q1547" s="2">
        <f ca="1">INDEX(INDIRECT(_xlfn.CONCAT("weather.tbl[",Q$1,"]")),MATCH(vp.data[[#This Row],[SDate]],weather.tbl[Date],0))</f>
        <v>16.7</v>
      </c>
      <c r="R1547" s="2">
        <f ca="1">INDEX(INDIRECT(_xlfn.CONCAT("weather.tbl[",R$1,"]")),MATCH(vp.data[[#This Row],[SDate]],weather.tbl[Date],0))</f>
        <v>15.5</v>
      </c>
      <c r="S1547" s="2">
        <f ca="1">INDEX(INDIRECT(_xlfn.CONCAT("weather.tbl[",S$1,"]")),MATCH(vp.data[[#This Row],[SDate]],weather.tbl[Date],0))</f>
        <v>17.8</v>
      </c>
      <c r="T1547" s="2">
        <f ca="1">INDEX(INDIRECT(_xlfn.CONCAT("weather.tbl[",T$1,"]")),MATCH(vp.data[[#This Row],[SDate]],weather.tbl[Date],0))</f>
        <v>14.5</v>
      </c>
      <c r="U1547" s="2">
        <f ca="1">INDEX(INDIRECT(_xlfn.CONCAT("weather.tbl[",U$1,"]")),MATCH(vp.data[[#This Row],[SDate]],weather.tbl[Date],0))</f>
        <v>16</v>
      </c>
      <c r="V1547" s="2">
        <f t="array" ref="V15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7049.7860000000001</v>
      </c>
      <c r="W1547" t="s">
        <v>48</v>
      </c>
      <c r="X1547">
        <f>IF(OR(vp.data[[#This Row],[Sulf]]="",vp.data[[#This Row],[Dens]]=""),1,0)</f>
        <v>0</v>
      </c>
      <c r="Y1547">
        <f>IF(vp.data[[#This Row],[CrudeType]]="C5+",1,0)</f>
        <v>0</v>
      </c>
      <c r="Z1547">
        <f>IF(AND(vp.data[[#This Row],[CrudeType]]="Crude",vp.data[[#This Row],[Dens]]&lt;=825,vp.data[[#This Row],[Sulf]]&gt;0.5,vp.data[[#This Row],[Unknown]]=0),1,0)</f>
        <v>0</v>
      </c>
      <c r="AA1547">
        <f>IF(AND(vp.data[[#This Row],[CrudeType]]="Crude",vp.data[[#This Row],[Dens]]&lt;=825,vp.data[[#This Row],[Sulf]]&lt;=0.5,vp.data[[#This Row],[Unknown]]=0),1,0)</f>
        <v>0</v>
      </c>
      <c r="AB15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47">
        <f>IF(AND(vp.data[[#This Row],[CrudeType]]="Crude",vp.data[[#This Row],[Dens]]&gt;825,vp.data[[#This Row],[Dens]]&lt;=900,vp.data[[#This Row],[Sulf]]&lt;=0.5,vp.data[[#This Row],[Unknown]]=0),1,0)</f>
        <v>0</v>
      </c>
      <c r="AD1547">
        <f>IF(AND(vp.data[[#This Row],[CrudeType]]="Crude",vp.data[[#This Row],[Dens]]&gt;865,vp.data[[#This Row],[Dens]]&lt;=900,vp.data[[#This Row],[Sulf]]&gt;2,vp.data[[#This Row],[Unknown]]=0),1,0)</f>
        <v>1</v>
      </c>
      <c r="AE1547">
        <f>IF(AND(vp.data[[#This Row],[CrudeType]]="Crude",vp.data[[#This Row],[Dens]]&gt;900,vp.data[[#This Row],[Sulf]]&lt;=0.5,vp.data[[#This Row],[Unknown]]=0),1,0)</f>
        <v>0</v>
      </c>
      <c r="AF1547">
        <f>IF(AND(vp.data[[#This Row],[CrudeType]]="Crude",vp.data[[#This Row],[Dens]]&gt;900,vp.data[[#This Row],[Sulf]]&lt;=0.5,vp.data[[#This Row],[Unknown]]=0),1,0)</f>
        <v>0</v>
      </c>
      <c r="AG1547" t="str">
        <f>INDEX(vp.data[[#Headers],[Unknown]:[Heavy_SW]],MATCH(1,vp.data[[#This Row],[Unknown]:[Heavy_SW]],0))</f>
        <v>Midale</v>
      </c>
      <c r="AH1547">
        <f>INDEX([3]!crudeBD.lkup[Number],MATCH(vp.data[[#This Row],[Crude_Breakdown]],crudeBD.lkup[Crude Breakdown],0))</f>
        <v>5</v>
      </c>
      <c r="AI1547">
        <f>MONTH(vp.data[[#This Row],[SDate]])</f>
        <v>5</v>
      </c>
      <c r="AJ1547" s="5">
        <f>(vp.data[[#This Row],[VP]]-INDEX(crudeBD.lkup[Mean_VP],MATCH(vp.data[[#This Row],[Crude_Breakdown]],crudeBD.lkup[Crude Breakdown],0)))^2</f>
        <v>5.7180149325112613</v>
      </c>
      <c r="AK1547" s="5">
        <f>(vp.data[[#This Row],[Dens]]-INDEX(crudeBD.lkup[Mean_Dens],MATCH(vp.data[[#This Row],[Crude_Breakdown]],crudeBD.lkup[Crude Breakdown],0)))^2</f>
        <v>15.342969762995462</v>
      </c>
      <c r="AL1547" s="5">
        <f>(vp.data[[#This Row],[Sulf]]-INDEX(crudeBD.lkup[Mean_Sulf],MATCH(vp.data[[#This Row],[Crude_Breakdown]],crudeBD.lkup[Crude Breakdown],0)))^2</f>
        <v>1.9023176856306674E-3</v>
      </c>
      <c r="AM1547" s="4">
        <f>IF(AND(vp.data[[#This Row],[SDate]]&gt;=DATE(YEAR(vp.data[[#This Row],[SDate]]),5,1),vp.data[[#This Row],[SDate]]&lt;=DATE(YEAR(vp.data[[#This Row],[SDate]]),9,15)),1,0)</f>
        <v>1</v>
      </c>
      <c r="AN1547" s="4">
        <f>IF(vp.data[[#This Row],[SDate]]&lt;DATE(2016,12,1),0,1)</f>
        <v>1</v>
      </c>
      <c r="AO1547" s="4">
        <f>IFERROR(vp.data[[#This Row],[Sulf]]*vp.data[[#This Row],[Net Dens]],"")</f>
        <v>14735180.705759998</v>
      </c>
      <c r="AP1547">
        <f>IFERROR(vp.data[[#This Row],[Dens]]*vp.data[[#This Row],[VolumeM3]],"")</f>
        <v>6139658.6273999996</v>
      </c>
      <c r="AQ1547" s="15">
        <f>IFERROR(vp.data[[#This Row],[VP]]*vp.data[[#This Row],[VolumeM3]],"")</f>
        <v>506174.6348</v>
      </c>
    </row>
    <row r="1548" spans="1:43" x14ac:dyDescent="0.25">
      <c r="A1548">
        <v>1547</v>
      </c>
      <c r="B1548" t="s">
        <v>51</v>
      </c>
      <c r="C1548" t="s">
        <v>51</v>
      </c>
      <c r="D1548" t="s">
        <v>58</v>
      </c>
      <c r="F1548" s="1">
        <v>42879</v>
      </c>
      <c r="G1548" s="2">
        <v>106.8</v>
      </c>
      <c r="H1548" s="2"/>
      <c r="I1548" s="2">
        <f t="array" ref="I1548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548" s="2"/>
      <c r="K1548" s="2"/>
      <c r="L1548" s="2"/>
      <c r="M1548" s="2">
        <f t="array" ref="M1548">_xlfn.IFNA(IF(vp.data[[#This Row],[Dens Input]]="",INDEX([1]DATA!$O$3:$O$9826,MATCH(1,(vp.data[[#This Row],[Battery]]=[1]DATA!$L$3:$L$9826)*(EOMONTH(vp.data[[#This Row],[SDate]],-1)+1=[1]DATA!$G$3:$G$9826),0)),vp.data[[#This Row],[Dens Input]]),"")</f>
        <v>836.4</v>
      </c>
      <c r="N1548" s="2">
        <f ca="1">INDEX(INDIRECT(_xlfn.CONCAT("weather.tbl[",N$1,"]")),MATCH(vp.data[[#This Row],[SDate]],weather.tbl[Date],0))</f>
        <v>16.116666666666667</v>
      </c>
      <c r="O1548" s="2">
        <f ca="1">INDEX(INDIRECT(_xlfn.CONCAT("weather.tbl[",O$1,"]")),MATCH(vp.data[[#This Row],[SDate]],weather.tbl[Date],0))</f>
        <v>11.035714285714286</v>
      </c>
      <c r="P1548" s="2">
        <f ca="1">INDEX(INDIRECT(_xlfn.CONCAT("weather.tbl[",P$1,"]")),MATCH(vp.data[[#This Row],[SDate]],weather.tbl[Date],0))</f>
        <v>16.2</v>
      </c>
      <c r="Q1548" s="2">
        <f ca="1">INDEX(INDIRECT(_xlfn.CONCAT("weather.tbl[",Q$1,"]")),MATCH(vp.data[[#This Row],[SDate]],weather.tbl[Date],0))</f>
        <v>16.7</v>
      </c>
      <c r="R1548" s="2">
        <f ca="1">INDEX(INDIRECT(_xlfn.CONCAT("weather.tbl[",R$1,"]")),MATCH(vp.data[[#This Row],[SDate]],weather.tbl[Date],0))</f>
        <v>15.5</v>
      </c>
      <c r="S1548" s="2">
        <f ca="1">INDEX(INDIRECT(_xlfn.CONCAT("weather.tbl[",S$1,"]")),MATCH(vp.data[[#This Row],[SDate]],weather.tbl[Date],0))</f>
        <v>17.8</v>
      </c>
      <c r="T1548" s="2">
        <f ca="1">INDEX(INDIRECT(_xlfn.CONCAT("weather.tbl[",T$1,"]")),MATCH(vp.data[[#This Row],[SDate]],weather.tbl[Date],0))</f>
        <v>14.5</v>
      </c>
      <c r="U1548" s="2">
        <f ca="1">INDEX(INDIRECT(_xlfn.CONCAT("weather.tbl[",U$1,"]")),MATCH(vp.data[[#This Row],[SDate]],weather.tbl[Date],0))</f>
        <v>16</v>
      </c>
      <c r="V1548" s="2">
        <f t="array" ref="V15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5887.6930000000002</v>
      </c>
      <c r="W1548" t="s">
        <v>48</v>
      </c>
      <c r="X1548">
        <f>IF(OR(vp.data[[#This Row],[Sulf]]="",vp.data[[#This Row],[Dens]]=""),1,0)</f>
        <v>0</v>
      </c>
      <c r="Y1548">
        <f>IF(vp.data[[#This Row],[CrudeType]]="C5+",1,0)</f>
        <v>0</v>
      </c>
      <c r="Z1548">
        <f>IF(AND(vp.data[[#This Row],[CrudeType]]="Crude",vp.data[[#This Row],[Dens]]&lt;=825,vp.data[[#This Row],[Sulf]]&gt;0.5,vp.data[[#This Row],[Unknown]]=0),1,0)</f>
        <v>0</v>
      </c>
      <c r="AA1548">
        <f>IF(AND(vp.data[[#This Row],[CrudeType]]="Crude",vp.data[[#This Row],[Dens]]&lt;=825,vp.data[[#This Row],[Sulf]]&lt;=0.5,vp.data[[#This Row],[Unknown]]=0),1,0)</f>
        <v>0</v>
      </c>
      <c r="AB15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48">
        <f>IF(AND(vp.data[[#This Row],[CrudeType]]="Crude",vp.data[[#This Row],[Dens]]&gt;825,vp.data[[#This Row],[Dens]]&lt;=900,vp.data[[#This Row],[Sulf]]&lt;=0.5,vp.data[[#This Row],[Unknown]]=0),1,0)</f>
        <v>0</v>
      </c>
      <c r="AD1548">
        <f>IF(AND(vp.data[[#This Row],[CrudeType]]="Crude",vp.data[[#This Row],[Dens]]&gt;865,vp.data[[#This Row],[Dens]]&lt;=900,vp.data[[#This Row],[Sulf]]&gt;2,vp.data[[#This Row],[Unknown]]=0),1,0)</f>
        <v>0</v>
      </c>
      <c r="AE1548">
        <f>IF(AND(vp.data[[#This Row],[CrudeType]]="Crude",vp.data[[#This Row],[Dens]]&gt;900,vp.data[[#This Row],[Sulf]]&lt;=0.5,vp.data[[#This Row],[Unknown]]=0),1,0)</f>
        <v>0</v>
      </c>
      <c r="AF1548">
        <f>IF(AND(vp.data[[#This Row],[CrudeType]]="Crude",vp.data[[#This Row],[Dens]]&gt;900,vp.data[[#This Row],[Sulf]]&lt;=0.5,vp.data[[#This Row],[Unknown]]=0),1,0)</f>
        <v>0</v>
      </c>
      <c r="AG1548" t="str">
        <f>INDEX(vp.data[[#Headers],[Unknown]:[Heavy_SW]],MATCH(1,vp.data[[#This Row],[Unknown]:[Heavy_SW]],0))</f>
        <v>Medium_LSB</v>
      </c>
      <c r="AH1548">
        <f>INDEX([3]!crudeBD.lkup[Number],MATCH(vp.data[[#This Row],[Crude_Breakdown]],crudeBD.lkup[Crude Breakdown],0))</f>
        <v>3</v>
      </c>
      <c r="AI1548">
        <f>MONTH(vp.data[[#This Row],[SDate]])</f>
        <v>5</v>
      </c>
      <c r="AJ1548" s="5">
        <f>(vp.data[[#This Row],[VP]]-INDEX(crudeBD.lkup[Mean_VP],MATCH(vp.data[[#This Row],[Crude_Breakdown]],crudeBD.lkup[Crude Breakdown],0)))^2</f>
        <v>684.36252301567481</v>
      </c>
      <c r="AK1548" s="5">
        <f>(vp.data[[#This Row],[Dens]]-INDEX(crudeBD.lkup[Mean_Dens],MATCH(vp.data[[#This Row],[Crude_Breakdown]],crudeBD.lkup[Crude Breakdown],0)))^2</f>
        <v>56.550399999992884</v>
      </c>
      <c r="AL1548" s="5">
        <f>(vp.data[[#This Row],[Sulf]]-INDEX(crudeBD.lkup[Mean_Sulf],MATCH(vp.data[[#This Row],[Crude_Breakdown]],crudeBD.lkup[Crude Breakdown],0)))^2</f>
        <v>1.5523134896231305E-2</v>
      </c>
      <c r="AM1548" s="4">
        <f>IF(AND(vp.data[[#This Row],[SDate]]&gt;=DATE(YEAR(vp.data[[#This Row],[SDate]]),5,1),vp.data[[#This Row],[SDate]]&lt;=DATE(YEAR(vp.data[[#This Row],[SDate]]),9,15)),1,0)</f>
        <v>1</v>
      </c>
      <c r="AN1548" s="4">
        <f>IF(vp.data[[#This Row],[SDate]]&lt;DATE(2016,12,1),0,1)</f>
        <v>1</v>
      </c>
      <c r="AO1548" s="4">
        <f>IFERROR(vp.data[[#This Row],[Sulf]]*vp.data[[#This Row],[Net Dens]],"")</f>
        <v>7435944.3020520005</v>
      </c>
      <c r="AP1548">
        <f>IFERROR(vp.data[[#This Row],[Dens]]*vp.data[[#This Row],[VolumeM3]],"")</f>
        <v>4924466.4252000004</v>
      </c>
      <c r="AQ1548" s="15">
        <f>IFERROR(vp.data[[#This Row],[VP]]*vp.data[[#This Row],[VolumeM3]],"")</f>
        <v>628805.61239999998</v>
      </c>
    </row>
    <row r="1549" spans="1:43" x14ac:dyDescent="0.25">
      <c r="A1549">
        <v>1548</v>
      </c>
      <c r="B1549" t="s">
        <v>51</v>
      </c>
      <c r="C1549" t="s">
        <v>51</v>
      </c>
      <c r="D1549" t="s">
        <v>71</v>
      </c>
      <c r="F1549" s="1">
        <v>42879</v>
      </c>
      <c r="G1549" s="2">
        <v>75.2</v>
      </c>
      <c r="H1549" s="2"/>
      <c r="I1549" s="2">
        <f t="array" ref="I1549">_xlfn.IFNA(IF(vp.data[[#This Row],[Sulf Input]]="",INDEX([1]DATA!$Q$3:$Q$9826,MATCH(1,(vp.data[[#This Row],[Battery]]=[1]DATA!$L$3:$L$9826)*(EOMONTH(vp.data[[#This Row],[SDate]],-1)+1=[1]DATA!$G$3:$G$9826),0)),vp.data[[#This Row],[Sulf Input]]),"")</f>
        <v>1.58</v>
      </c>
      <c r="J1549" s="2"/>
      <c r="K1549" s="2"/>
      <c r="L1549" s="2"/>
      <c r="M1549" s="2">
        <f t="array" ref="M1549">_xlfn.IFNA(IF(vp.data[[#This Row],[Dens Input]]="",INDEX([1]DATA!$O$3:$O$9826,MATCH(1,(vp.data[[#This Row],[Battery]]=[1]DATA!$L$3:$L$9826)*(EOMONTH(vp.data[[#This Row],[SDate]],-1)+1=[1]DATA!$G$3:$G$9826),0)),vp.data[[#This Row],[Dens Input]]),"")</f>
        <v>828</v>
      </c>
      <c r="N1549" s="2">
        <f ca="1">INDEX(INDIRECT(_xlfn.CONCAT("weather.tbl[",N$1,"]")),MATCH(vp.data[[#This Row],[SDate]],weather.tbl[Date],0))</f>
        <v>16.116666666666667</v>
      </c>
      <c r="O1549" s="2">
        <f ca="1">INDEX(INDIRECT(_xlfn.CONCAT("weather.tbl[",O$1,"]")),MATCH(vp.data[[#This Row],[SDate]],weather.tbl[Date],0))</f>
        <v>11.035714285714286</v>
      </c>
      <c r="P1549" s="2">
        <f ca="1">INDEX(INDIRECT(_xlfn.CONCAT("weather.tbl[",P$1,"]")),MATCH(vp.data[[#This Row],[SDate]],weather.tbl[Date],0))</f>
        <v>16.2</v>
      </c>
      <c r="Q1549" s="2">
        <f ca="1">INDEX(INDIRECT(_xlfn.CONCAT("weather.tbl[",Q$1,"]")),MATCH(vp.data[[#This Row],[SDate]],weather.tbl[Date],0))</f>
        <v>16.7</v>
      </c>
      <c r="R1549" s="2">
        <f ca="1">INDEX(INDIRECT(_xlfn.CONCAT("weather.tbl[",R$1,"]")),MATCH(vp.data[[#This Row],[SDate]],weather.tbl[Date],0))</f>
        <v>15.5</v>
      </c>
      <c r="S1549" s="2">
        <f ca="1">INDEX(INDIRECT(_xlfn.CONCAT("weather.tbl[",S$1,"]")),MATCH(vp.data[[#This Row],[SDate]],weather.tbl[Date],0))</f>
        <v>17.8</v>
      </c>
      <c r="T1549" s="2">
        <f ca="1">INDEX(INDIRECT(_xlfn.CONCAT("weather.tbl[",T$1,"]")),MATCH(vp.data[[#This Row],[SDate]],weather.tbl[Date],0))</f>
        <v>14.5</v>
      </c>
      <c r="U1549" s="2">
        <f ca="1">INDEX(INDIRECT(_xlfn.CONCAT("weather.tbl[",U$1,"]")),MATCH(vp.data[[#This Row],[SDate]],weather.tbl[Date],0))</f>
        <v>16</v>
      </c>
      <c r="V1549" s="2">
        <f t="array" ref="V15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9610.1779999999999</v>
      </c>
      <c r="W1549" t="s">
        <v>48</v>
      </c>
      <c r="X1549">
        <f>IF(OR(vp.data[[#This Row],[Sulf]]="",vp.data[[#This Row],[Dens]]=""),1,0)</f>
        <v>0</v>
      </c>
      <c r="Y1549">
        <f>IF(vp.data[[#This Row],[CrudeType]]="C5+",1,0)</f>
        <v>0</v>
      </c>
      <c r="Z1549">
        <f>IF(AND(vp.data[[#This Row],[CrudeType]]="Crude",vp.data[[#This Row],[Dens]]&lt;=825,vp.data[[#This Row],[Sulf]]&gt;0.5,vp.data[[#This Row],[Unknown]]=0),1,0)</f>
        <v>0</v>
      </c>
      <c r="AA1549">
        <f>IF(AND(vp.data[[#This Row],[CrudeType]]="Crude",vp.data[[#This Row],[Dens]]&lt;=825,vp.data[[#This Row],[Sulf]]&lt;=0.5,vp.data[[#This Row],[Unknown]]=0),1,0)</f>
        <v>0</v>
      </c>
      <c r="AB15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49">
        <f>IF(AND(vp.data[[#This Row],[CrudeType]]="Crude",vp.data[[#This Row],[Dens]]&gt;825,vp.data[[#This Row],[Dens]]&lt;=900,vp.data[[#This Row],[Sulf]]&lt;=0.5,vp.data[[#This Row],[Unknown]]=0),1,0)</f>
        <v>0</v>
      </c>
      <c r="AD1549">
        <f>IF(AND(vp.data[[#This Row],[CrudeType]]="Crude",vp.data[[#This Row],[Dens]]&gt;865,vp.data[[#This Row],[Dens]]&lt;=900,vp.data[[#This Row],[Sulf]]&gt;2,vp.data[[#This Row],[Unknown]]=0),1,0)</f>
        <v>0</v>
      </c>
      <c r="AE1549">
        <f>IF(AND(vp.data[[#This Row],[CrudeType]]="Crude",vp.data[[#This Row],[Dens]]&gt;900,vp.data[[#This Row],[Sulf]]&lt;=0.5,vp.data[[#This Row],[Unknown]]=0),1,0)</f>
        <v>0</v>
      </c>
      <c r="AF1549">
        <f>IF(AND(vp.data[[#This Row],[CrudeType]]="Crude",vp.data[[#This Row],[Dens]]&gt;900,vp.data[[#This Row],[Sulf]]&lt;=0.5,vp.data[[#This Row],[Unknown]]=0),1,0)</f>
        <v>0</v>
      </c>
      <c r="AG1549" t="str">
        <f>INDEX(vp.data[[#Headers],[Unknown]:[Heavy_SW]],MATCH(1,vp.data[[#This Row],[Unknown]:[Heavy_SW]],0))</f>
        <v>Medium_LSB</v>
      </c>
      <c r="AH1549">
        <f>INDEX([3]!crudeBD.lkup[Number],MATCH(vp.data[[#This Row],[Crude_Breakdown]],crudeBD.lkup[Crude Breakdown],0))</f>
        <v>3</v>
      </c>
      <c r="AI1549">
        <f>MONTH(vp.data[[#This Row],[SDate]])</f>
        <v>5</v>
      </c>
      <c r="AJ1549" s="5">
        <f>(vp.data[[#This Row],[VP]]-INDEX(crudeBD.lkup[Mean_VP],MATCH(vp.data[[#This Row],[Crude_Breakdown]],crudeBD.lkup[Crude Breakdown],0)))^2</f>
        <v>29.590080967152872</v>
      </c>
      <c r="AK1549" s="5">
        <f>(vp.data[[#This Row],[Dens]]-INDEX(crudeBD.lkup[Mean_Dens],MATCH(vp.data[[#This Row],[Crude_Breakdown]],crudeBD.lkup[Crude Breakdown],0)))^2</f>
        <v>253.44639999998421</v>
      </c>
      <c r="AL1549" s="5">
        <f>(vp.data[[#This Row],[Sulf]]-INDEX(crudeBD.lkup[Mean_Sulf],MATCH(vp.data[[#This Row],[Crude_Breakdown]],crudeBD.lkup[Crude Breakdown],0)))^2</f>
        <v>3.786599716038206E-2</v>
      </c>
      <c r="AM1549" s="4">
        <f>IF(AND(vp.data[[#This Row],[SDate]]&gt;=DATE(YEAR(vp.data[[#This Row],[SDate]]),5,1),vp.data[[#This Row],[SDate]]&lt;=DATE(YEAR(vp.data[[#This Row],[SDate]]),9,15)),1,0)</f>
        <v>1</v>
      </c>
      <c r="AN1549" s="4">
        <f>IF(vp.data[[#This Row],[SDate]]&lt;DATE(2016,12,1),0,1)</f>
        <v>1</v>
      </c>
      <c r="AO1549" s="4">
        <f>IFERROR(vp.data[[#This Row],[Sulf]]*vp.data[[#This Row],[Net Dens]],"")</f>
        <v>12572419.266720001</v>
      </c>
      <c r="AP1549">
        <f>IFERROR(vp.data[[#This Row],[Dens]]*vp.data[[#This Row],[VolumeM3]],"")</f>
        <v>7957227.3839999996</v>
      </c>
      <c r="AQ1549" s="15">
        <f>IFERROR(vp.data[[#This Row],[VP]]*vp.data[[#This Row],[VolumeM3]],"")</f>
        <v>722685.38560000004</v>
      </c>
    </row>
    <row r="1550" spans="1:43" x14ac:dyDescent="0.25">
      <c r="A1550">
        <v>1549</v>
      </c>
      <c r="B1550" t="s">
        <v>111</v>
      </c>
      <c r="C1550" t="s">
        <v>111</v>
      </c>
      <c r="D1550" t="s">
        <v>112</v>
      </c>
      <c r="F1550" s="1">
        <v>42879</v>
      </c>
      <c r="G1550" s="2">
        <v>75.900000000000006</v>
      </c>
      <c r="H1550" s="2"/>
      <c r="I1550" s="2">
        <f t="array" ref="I1550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550" s="2"/>
      <c r="K1550" s="2"/>
      <c r="L1550" s="2"/>
      <c r="M1550" s="2">
        <f t="array" ref="M1550">_xlfn.IFNA(IF(vp.data[[#This Row],[Dens Input]]="",INDEX([1]DATA!$O$3:$O$9826,MATCH(1,(vp.data[[#This Row],[Battery]]=[1]DATA!$L$3:$L$9826)*(EOMONTH(vp.data[[#This Row],[SDate]],-1)+1=[1]DATA!$G$3:$G$9826),0)),vp.data[[#This Row],[Dens Input]]),"")</f>
        <v>856.7</v>
      </c>
      <c r="N1550" s="2">
        <f ca="1">INDEX(INDIRECT(_xlfn.CONCAT("weather.tbl[",N$1,"]")),MATCH(vp.data[[#This Row],[SDate]],weather.tbl[Date],0))</f>
        <v>16.116666666666667</v>
      </c>
      <c r="O1550" s="2">
        <f ca="1">INDEX(INDIRECT(_xlfn.CONCAT("weather.tbl[",O$1,"]")),MATCH(vp.data[[#This Row],[SDate]],weather.tbl[Date],0))</f>
        <v>11.035714285714286</v>
      </c>
      <c r="P1550" s="2">
        <f ca="1">INDEX(INDIRECT(_xlfn.CONCAT("weather.tbl[",P$1,"]")),MATCH(vp.data[[#This Row],[SDate]],weather.tbl[Date],0))</f>
        <v>16.2</v>
      </c>
      <c r="Q1550" s="2">
        <f ca="1">INDEX(INDIRECT(_xlfn.CONCAT("weather.tbl[",Q$1,"]")),MATCH(vp.data[[#This Row],[SDate]],weather.tbl[Date],0))</f>
        <v>16.7</v>
      </c>
      <c r="R1550" s="2">
        <f ca="1">INDEX(INDIRECT(_xlfn.CONCAT("weather.tbl[",R$1,"]")),MATCH(vp.data[[#This Row],[SDate]],weather.tbl[Date],0))</f>
        <v>15.5</v>
      </c>
      <c r="S1550" s="2">
        <f ca="1">INDEX(INDIRECT(_xlfn.CONCAT("weather.tbl[",S$1,"]")),MATCH(vp.data[[#This Row],[SDate]],weather.tbl[Date],0))</f>
        <v>17.8</v>
      </c>
      <c r="T1550" s="2">
        <f ca="1">INDEX(INDIRECT(_xlfn.CONCAT("weather.tbl[",T$1,"]")),MATCH(vp.data[[#This Row],[SDate]],weather.tbl[Date],0))</f>
        <v>14.5</v>
      </c>
      <c r="U1550" s="2">
        <f ca="1">INDEX(INDIRECT(_xlfn.CONCAT("weather.tbl[",U$1,"]")),MATCH(vp.data[[#This Row],[SDate]],weather.tbl[Date],0))</f>
        <v>16</v>
      </c>
      <c r="V1550" s="2">
        <f t="array" ref="V15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8074.473</v>
      </c>
      <c r="W1550" t="s">
        <v>48</v>
      </c>
      <c r="X1550">
        <f>IF(OR(vp.data[[#This Row],[Sulf]]="",vp.data[[#This Row],[Dens]]=""),1,0)</f>
        <v>0</v>
      </c>
      <c r="Y1550">
        <f>IF(vp.data[[#This Row],[CrudeType]]="C5+",1,0)</f>
        <v>0</v>
      </c>
      <c r="Z1550">
        <f>IF(AND(vp.data[[#This Row],[CrudeType]]="Crude",vp.data[[#This Row],[Dens]]&lt;=825,vp.data[[#This Row],[Sulf]]&gt;0.5,vp.data[[#This Row],[Unknown]]=0),1,0)</f>
        <v>0</v>
      </c>
      <c r="AA1550">
        <f>IF(AND(vp.data[[#This Row],[CrudeType]]="Crude",vp.data[[#This Row],[Dens]]&lt;=825,vp.data[[#This Row],[Sulf]]&lt;=0.5,vp.data[[#This Row],[Unknown]]=0),1,0)</f>
        <v>0</v>
      </c>
      <c r="AB15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50">
        <f>IF(AND(vp.data[[#This Row],[CrudeType]]="Crude",vp.data[[#This Row],[Dens]]&gt;825,vp.data[[#This Row],[Dens]]&lt;=900,vp.data[[#This Row],[Sulf]]&lt;=0.5,vp.data[[#This Row],[Unknown]]=0),1,0)</f>
        <v>0</v>
      </c>
      <c r="AD1550">
        <f>IF(AND(vp.data[[#This Row],[CrudeType]]="Crude",vp.data[[#This Row],[Dens]]&gt;865,vp.data[[#This Row],[Dens]]&lt;=900,vp.data[[#This Row],[Sulf]]&gt;2,vp.data[[#This Row],[Unknown]]=0),1,0)</f>
        <v>0</v>
      </c>
      <c r="AE1550">
        <f>IF(AND(vp.data[[#This Row],[CrudeType]]="Crude",vp.data[[#This Row],[Dens]]&gt;900,vp.data[[#This Row],[Sulf]]&lt;=0.5,vp.data[[#This Row],[Unknown]]=0),1,0)</f>
        <v>0</v>
      </c>
      <c r="AF1550">
        <f>IF(AND(vp.data[[#This Row],[CrudeType]]="Crude",vp.data[[#This Row],[Dens]]&gt;900,vp.data[[#This Row],[Sulf]]&lt;=0.5,vp.data[[#This Row],[Unknown]]=0),1,0)</f>
        <v>0</v>
      </c>
      <c r="AG1550" t="str">
        <f>INDEX(vp.data[[#Headers],[Unknown]:[Heavy_SW]],MATCH(1,vp.data[[#This Row],[Unknown]:[Heavy_SW]],0))</f>
        <v>Medium_LSB</v>
      </c>
      <c r="AH1550">
        <f>INDEX([3]!crudeBD.lkup[Number],MATCH(vp.data[[#This Row],[Crude_Breakdown]],crudeBD.lkup[Crude Breakdown],0))</f>
        <v>3</v>
      </c>
      <c r="AI1550">
        <f>MONTH(vp.data[[#This Row],[SDate]])</f>
        <v>5</v>
      </c>
      <c r="AJ1550" s="5">
        <f>(vp.data[[#This Row],[VP]]-INDEX(crudeBD.lkup[Mean_VP],MATCH(vp.data[[#This Row],[Crude_Breakdown]],crudeBD.lkup[Crude Breakdown],0)))^2</f>
        <v>22.46453379734163</v>
      </c>
      <c r="AK1550" s="5">
        <f>(vp.data[[#This Row],[Dens]]-INDEX(crudeBD.lkup[Mean_Dens],MATCH(vp.data[[#This Row],[Crude_Breakdown]],crudeBD.lkup[Crude Breakdown],0)))^2</f>
        <v>163.32840000001383</v>
      </c>
      <c r="AL1550" s="5">
        <f>(vp.data[[#This Row],[Sulf]]-INDEX(crudeBD.lkup[Mean_Sulf],MATCH(vp.data[[#This Row],[Crude_Breakdown]],crudeBD.lkup[Crude Breakdown],0)))^2</f>
        <v>0.14791090902021975</v>
      </c>
      <c r="AM1550" s="4">
        <f>IF(AND(vp.data[[#This Row],[SDate]]&gt;=DATE(YEAR(vp.data[[#This Row],[SDate]]),5,1),vp.data[[#This Row],[SDate]]&lt;=DATE(YEAR(vp.data[[#This Row],[SDate]]),9,15)),1,0)</f>
        <v>1</v>
      </c>
      <c r="AN1550" s="4">
        <f>IF(vp.data[[#This Row],[SDate]]&lt;DATE(2016,12,1),0,1)</f>
        <v>1</v>
      </c>
      <c r="AO1550" s="4">
        <f>IFERROR(vp.data[[#This Row],[Sulf]]*vp.data[[#This Row],[Net Dens]],"")</f>
        <v>12243799.803807</v>
      </c>
      <c r="AP1550">
        <f>IFERROR(vp.data[[#This Row],[Dens]]*vp.data[[#This Row],[VolumeM3]],"")</f>
        <v>6917401.0191000002</v>
      </c>
      <c r="AQ1550" s="15">
        <f>IFERROR(vp.data[[#This Row],[VP]]*vp.data[[#This Row],[VolumeM3]],"")</f>
        <v>612852.50070000009</v>
      </c>
    </row>
    <row r="1551" spans="1:43" x14ac:dyDescent="0.25">
      <c r="A1551">
        <v>1550</v>
      </c>
      <c r="B1551" t="s">
        <v>111</v>
      </c>
      <c r="C1551" t="s">
        <v>111</v>
      </c>
      <c r="D1551" t="s">
        <v>234</v>
      </c>
      <c r="F1551" s="1">
        <v>42879</v>
      </c>
      <c r="G1551" s="2">
        <v>66.2</v>
      </c>
      <c r="H1551" s="2"/>
      <c r="I1551" s="2">
        <f t="array" ref="I1551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551" s="2"/>
      <c r="K1551" s="2"/>
      <c r="L1551" s="2"/>
      <c r="M1551" s="2">
        <f t="array" ref="M1551">_xlfn.IFNA(IF(vp.data[[#This Row],[Dens Input]]="",INDEX([1]DATA!$O$3:$O$9826,MATCH(1,(vp.data[[#This Row],[Battery]]=[1]DATA!$L$3:$L$9826)*(EOMONTH(vp.data[[#This Row],[SDate]],-1)+1=[1]DATA!$G$3:$G$9826),0)),vp.data[[#This Row],[Dens Input]]),"")</f>
        <v>884.4</v>
      </c>
      <c r="N1551" s="2">
        <f ca="1">INDEX(INDIRECT(_xlfn.CONCAT("weather.tbl[",N$1,"]")),MATCH(vp.data[[#This Row],[SDate]],weather.tbl[Date],0))</f>
        <v>16.116666666666667</v>
      </c>
      <c r="O1551" s="2">
        <f ca="1">INDEX(INDIRECT(_xlfn.CONCAT("weather.tbl[",O$1,"]")),MATCH(vp.data[[#This Row],[SDate]],weather.tbl[Date],0))</f>
        <v>11.035714285714286</v>
      </c>
      <c r="P1551" s="2">
        <f ca="1">INDEX(INDIRECT(_xlfn.CONCAT("weather.tbl[",P$1,"]")),MATCH(vp.data[[#This Row],[SDate]],weather.tbl[Date],0))</f>
        <v>16.2</v>
      </c>
      <c r="Q1551" s="2">
        <f ca="1">INDEX(INDIRECT(_xlfn.CONCAT("weather.tbl[",Q$1,"]")),MATCH(vp.data[[#This Row],[SDate]],weather.tbl[Date],0))</f>
        <v>16.7</v>
      </c>
      <c r="R1551" s="2">
        <f ca="1">INDEX(INDIRECT(_xlfn.CONCAT("weather.tbl[",R$1,"]")),MATCH(vp.data[[#This Row],[SDate]],weather.tbl[Date],0))</f>
        <v>15.5</v>
      </c>
      <c r="S1551" s="2">
        <f ca="1">INDEX(INDIRECT(_xlfn.CONCAT("weather.tbl[",S$1,"]")),MATCH(vp.data[[#This Row],[SDate]],weather.tbl[Date],0))</f>
        <v>17.8</v>
      </c>
      <c r="T1551" s="2">
        <f ca="1">INDEX(INDIRECT(_xlfn.CONCAT("weather.tbl[",T$1,"]")),MATCH(vp.data[[#This Row],[SDate]],weather.tbl[Date],0))</f>
        <v>14.5</v>
      </c>
      <c r="U1551" s="2">
        <f ca="1">INDEX(INDIRECT(_xlfn.CONCAT("weather.tbl[",U$1,"]")),MATCH(vp.data[[#This Row],[SDate]],weather.tbl[Date],0))</f>
        <v>16</v>
      </c>
      <c r="V1551" s="2">
        <f t="array" ref="V15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2844.9769999999999</v>
      </c>
      <c r="W1551" t="s">
        <v>48</v>
      </c>
      <c r="X1551">
        <f>IF(OR(vp.data[[#This Row],[Sulf]]="",vp.data[[#This Row],[Dens]]=""),1,0)</f>
        <v>0</v>
      </c>
      <c r="Y1551">
        <f>IF(vp.data[[#This Row],[CrudeType]]="C5+",1,0)</f>
        <v>0</v>
      </c>
      <c r="Z1551">
        <f>IF(AND(vp.data[[#This Row],[CrudeType]]="Crude",vp.data[[#This Row],[Dens]]&lt;=825,vp.data[[#This Row],[Sulf]]&gt;0.5,vp.data[[#This Row],[Unknown]]=0),1,0)</f>
        <v>0</v>
      </c>
      <c r="AA1551">
        <f>IF(AND(vp.data[[#This Row],[CrudeType]]="Crude",vp.data[[#This Row],[Dens]]&lt;=825,vp.data[[#This Row],[Sulf]]&lt;=0.5,vp.data[[#This Row],[Unknown]]=0),1,0)</f>
        <v>0</v>
      </c>
      <c r="AB15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1">
        <f>IF(AND(vp.data[[#This Row],[CrudeType]]="Crude",vp.data[[#This Row],[Dens]]&gt;825,vp.data[[#This Row],[Dens]]&lt;=900,vp.data[[#This Row],[Sulf]]&lt;=0.5,vp.data[[#This Row],[Unknown]]=0),1,0)</f>
        <v>0</v>
      </c>
      <c r="AD1551">
        <f>IF(AND(vp.data[[#This Row],[CrudeType]]="Crude",vp.data[[#This Row],[Dens]]&gt;865,vp.data[[#This Row],[Dens]]&lt;=900,vp.data[[#This Row],[Sulf]]&gt;2,vp.data[[#This Row],[Unknown]]=0),1,0)</f>
        <v>1</v>
      </c>
      <c r="AE1551">
        <f>IF(AND(vp.data[[#This Row],[CrudeType]]="Crude",vp.data[[#This Row],[Dens]]&gt;900,vp.data[[#This Row],[Sulf]]&lt;=0.5,vp.data[[#This Row],[Unknown]]=0),1,0)</f>
        <v>0</v>
      </c>
      <c r="AF1551">
        <f>IF(AND(vp.data[[#This Row],[CrudeType]]="Crude",vp.data[[#This Row],[Dens]]&gt;900,vp.data[[#This Row],[Sulf]]&lt;=0.5,vp.data[[#This Row],[Unknown]]=0),1,0)</f>
        <v>0</v>
      </c>
      <c r="AG1551" t="str">
        <f>INDEX(vp.data[[#Headers],[Unknown]:[Heavy_SW]],MATCH(1,vp.data[[#This Row],[Unknown]:[Heavy_SW]],0))</f>
        <v>Midale</v>
      </c>
      <c r="AH1551">
        <f>INDEX([3]!crudeBD.lkup[Number],MATCH(vp.data[[#This Row],[Crude_Breakdown]],crudeBD.lkup[Crude Breakdown],0))</f>
        <v>5</v>
      </c>
      <c r="AI1551">
        <f>MONTH(vp.data[[#This Row],[SDate]])</f>
        <v>5</v>
      </c>
      <c r="AJ1551" s="5">
        <f>(vp.data[[#This Row],[VP]]-INDEX(crudeBD.lkup[Mean_VP],MATCH(vp.data[[#This Row],[Crude_Breakdown]],crudeBD.lkup[Crude Breakdown],0)))^2</f>
        <v>10.296159262408516</v>
      </c>
      <c r="AK1551" s="5">
        <f>(vp.data[[#This Row],[Dens]]-INDEX(crudeBD.lkup[Mean_Dens],MATCH(vp.data[[#This Row],[Crude_Breakdown]],crudeBD.lkup[Crude Breakdown],0)))^2</f>
        <v>91.833691412471097</v>
      </c>
      <c r="AL1551" s="5">
        <f>(vp.data[[#This Row],[Sulf]]-INDEX(crudeBD.lkup[Mean_Sulf],MATCH(vp.data[[#This Row],[Crude_Breakdown]],crudeBD.lkup[Crude Breakdown],0)))^2</f>
        <v>9.3871420778415121E-2</v>
      </c>
      <c r="AM1551" s="4">
        <f>IF(AND(vp.data[[#This Row],[SDate]]&gt;=DATE(YEAR(vp.data[[#This Row],[SDate]]),5,1),vp.data[[#This Row],[SDate]]&lt;=DATE(YEAR(vp.data[[#This Row],[SDate]]),9,15)),1,0)</f>
        <v>1</v>
      </c>
      <c r="AN1551" s="4">
        <f>IF(vp.data[[#This Row],[SDate]]&lt;DATE(2016,12,1),0,1)</f>
        <v>1</v>
      </c>
      <c r="AO1551" s="4">
        <f>IFERROR(vp.data[[#This Row],[Sulf]]*vp.data[[#This Row],[Net Dens]],"")</f>
        <v>6919268.5616999995</v>
      </c>
      <c r="AP1551">
        <f>IFERROR(vp.data[[#This Row],[Dens]]*vp.data[[#This Row],[VolumeM3]],"")</f>
        <v>2516097.6587999999</v>
      </c>
      <c r="AQ1551" s="15">
        <f>IFERROR(vp.data[[#This Row],[VP]]*vp.data[[#This Row],[VolumeM3]],"")</f>
        <v>188337.4774</v>
      </c>
    </row>
    <row r="1552" spans="1:43" x14ac:dyDescent="0.25">
      <c r="A1552">
        <v>1551</v>
      </c>
      <c r="B1552" t="s">
        <v>292</v>
      </c>
      <c r="C1552" t="s">
        <v>292</v>
      </c>
      <c r="D1552" t="s">
        <v>94</v>
      </c>
      <c r="F1552" s="1">
        <v>42879</v>
      </c>
      <c r="G1552" s="2">
        <v>66.099999999999994</v>
      </c>
      <c r="H1552" s="2"/>
      <c r="I1552" s="2">
        <f t="array" ref="I1552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552" s="2"/>
      <c r="K1552" s="2"/>
      <c r="L1552" s="2"/>
      <c r="M1552" s="2">
        <f t="array" ref="M1552">_xlfn.IFNA(IF(vp.data[[#This Row],[Dens Input]]="",INDEX([1]DATA!$O$3:$O$9826,MATCH(1,(vp.data[[#This Row],[Battery]]=[1]DATA!$L$3:$L$9826)*(EOMONTH(vp.data[[#This Row],[SDate]],-1)+1=[1]DATA!$G$3:$G$9826),0)),vp.data[[#This Row],[Dens Input]]),"")</f>
        <v>865.5</v>
      </c>
      <c r="N1552" s="2">
        <f ca="1">INDEX(INDIRECT(_xlfn.CONCAT("weather.tbl[",N$1,"]")),MATCH(vp.data[[#This Row],[SDate]],weather.tbl[Date],0))</f>
        <v>16.116666666666667</v>
      </c>
      <c r="O1552" s="2">
        <f ca="1">INDEX(INDIRECT(_xlfn.CONCAT("weather.tbl[",O$1,"]")),MATCH(vp.data[[#This Row],[SDate]],weather.tbl[Date],0))</f>
        <v>11.035714285714286</v>
      </c>
      <c r="P1552" s="2">
        <f ca="1">INDEX(INDIRECT(_xlfn.CONCAT("weather.tbl[",P$1,"]")),MATCH(vp.data[[#This Row],[SDate]],weather.tbl[Date],0))</f>
        <v>16.2</v>
      </c>
      <c r="Q1552" s="2">
        <f ca="1">INDEX(INDIRECT(_xlfn.CONCAT("weather.tbl[",Q$1,"]")),MATCH(vp.data[[#This Row],[SDate]],weather.tbl[Date],0))</f>
        <v>16.7</v>
      </c>
      <c r="R1552" s="2">
        <f ca="1">INDEX(INDIRECT(_xlfn.CONCAT("weather.tbl[",R$1,"]")),MATCH(vp.data[[#This Row],[SDate]],weather.tbl[Date],0))</f>
        <v>15.5</v>
      </c>
      <c r="S1552" s="2">
        <f ca="1">INDEX(INDIRECT(_xlfn.CONCAT("weather.tbl[",S$1,"]")),MATCH(vp.data[[#This Row],[SDate]],weather.tbl[Date],0))</f>
        <v>17.8</v>
      </c>
      <c r="T1552" s="2">
        <f ca="1">INDEX(INDIRECT(_xlfn.CONCAT("weather.tbl[",T$1,"]")),MATCH(vp.data[[#This Row],[SDate]],weather.tbl[Date],0))</f>
        <v>14.5</v>
      </c>
      <c r="U1552" s="2">
        <f ca="1">INDEX(INDIRECT(_xlfn.CONCAT("weather.tbl[",U$1,"]")),MATCH(vp.data[[#This Row],[SDate]],weather.tbl[Date],0))</f>
        <v>16</v>
      </c>
      <c r="V1552" s="2">
        <f t="array" ref="V15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4763.951</v>
      </c>
      <c r="W1552" t="s">
        <v>48</v>
      </c>
      <c r="X1552">
        <f>IF(OR(vp.data[[#This Row],[Sulf]]="",vp.data[[#This Row],[Dens]]=""),1,0)</f>
        <v>0</v>
      </c>
      <c r="Y1552">
        <f>IF(vp.data[[#This Row],[CrudeType]]="C5+",1,0)</f>
        <v>0</v>
      </c>
      <c r="Z1552">
        <f>IF(AND(vp.data[[#This Row],[CrudeType]]="Crude",vp.data[[#This Row],[Dens]]&lt;=825,vp.data[[#This Row],[Sulf]]&gt;0.5,vp.data[[#This Row],[Unknown]]=0),1,0)</f>
        <v>0</v>
      </c>
      <c r="AA1552">
        <f>IF(AND(vp.data[[#This Row],[CrudeType]]="Crude",vp.data[[#This Row],[Dens]]&lt;=825,vp.data[[#This Row],[Sulf]]&lt;=0.5,vp.data[[#This Row],[Unknown]]=0),1,0)</f>
        <v>0</v>
      </c>
      <c r="AB15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52">
        <f>IF(AND(vp.data[[#This Row],[CrudeType]]="Crude",vp.data[[#This Row],[Dens]]&gt;825,vp.data[[#This Row],[Dens]]&lt;=900,vp.data[[#This Row],[Sulf]]&lt;=0.5,vp.data[[#This Row],[Unknown]]=0),1,0)</f>
        <v>0</v>
      </c>
      <c r="AD1552">
        <f>IF(AND(vp.data[[#This Row],[CrudeType]]="Crude",vp.data[[#This Row],[Dens]]&gt;865,vp.data[[#This Row],[Dens]]&lt;=900,vp.data[[#This Row],[Sulf]]&gt;2,vp.data[[#This Row],[Unknown]]=0),1,0)</f>
        <v>0</v>
      </c>
      <c r="AE1552">
        <f>IF(AND(vp.data[[#This Row],[CrudeType]]="Crude",vp.data[[#This Row],[Dens]]&gt;900,vp.data[[#This Row],[Sulf]]&lt;=0.5,vp.data[[#This Row],[Unknown]]=0),1,0)</f>
        <v>0</v>
      </c>
      <c r="AF1552">
        <f>IF(AND(vp.data[[#This Row],[CrudeType]]="Crude",vp.data[[#This Row],[Dens]]&gt;900,vp.data[[#This Row],[Sulf]]&lt;=0.5,vp.data[[#This Row],[Unknown]]=0),1,0)</f>
        <v>0</v>
      </c>
      <c r="AG1552" t="str">
        <f>INDEX(vp.data[[#Headers],[Unknown]:[Heavy_SW]],MATCH(1,vp.data[[#This Row],[Unknown]:[Heavy_SW]],0))</f>
        <v>Medium_LSB</v>
      </c>
      <c r="AH1552">
        <f>INDEX([3]!crudeBD.lkup[Number],MATCH(vp.data[[#This Row],[Crude_Breakdown]],crudeBD.lkup[Crude Breakdown],0))</f>
        <v>3</v>
      </c>
      <c r="AI1552">
        <f>MONTH(vp.data[[#This Row],[SDate]])</f>
        <v>5</v>
      </c>
      <c r="AJ1552" s="5">
        <f>(vp.data[[#This Row],[VP]]-INDEX(crudeBD.lkup[Mean_VP],MATCH(vp.data[[#This Row],[Crude_Breakdown]],crudeBD.lkup[Crude Breakdown],0)))^2</f>
        <v>211.40219417469893</v>
      </c>
      <c r="AK1552" s="5">
        <f>(vp.data[[#This Row],[Dens]]-INDEX(crudeBD.lkup[Mean_Dens],MATCH(vp.data[[#This Row],[Crude_Breakdown]],crudeBD.lkup[Crude Breakdown],0)))^2</f>
        <v>465.69640000002141</v>
      </c>
      <c r="AL1552" s="5">
        <f>(vp.data[[#This Row],[Sulf]]-INDEX(crudeBD.lkup[Mean_Sulf],MATCH(vp.data[[#This Row],[Crude_Breakdown]],crudeBD.lkup[Crude Breakdown],0)))^2</f>
        <v>0.3301558208800574</v>
      </c>
      <c r="AM1552" s="4">
        <f>IF(AND(vp.data[[#This Row],[SDate]]&gt;=DATE(YEAR(vp.data[[#This Row],[SDate]]),5,1),vp.data[[#This Row],[SDate]]&lt;=DATE(YEAR(vp.data[[#This Row],[SDate]]),9,15)),1,0)</f>
        <v>1</v>
      </c>
      <c r="AN1552" s="4">
        <f>IF(vp.data[[#This Row],[SDate]]&lt;DATE(2016,12,1),0,1)</f>
        <v>1</v>
      </c>
      <c r="AO1552" s="4">
        <f>IFERROR(vp.data[[#This Row],[Sulf]]*vp.data[[#This Row],[Net Dens]],"")</f>
        <v>8081471.1973799998</v>
      </c>
      <c r="AP1552">
        <f>IFERROR(vp.data[[#This Row],[Dens]]*vp.data[[#This Row],[VolumeM3]],"")</f>
        <v>4123199.5904999999</v>
      </c>
      <c r="AQ1552" s="15">
        <f>IFERROR(vp.data[[#This Row],[VP]]*vp.data[[#This Row],[VolumeM3]],"")</f>
        <v>314897.16109999997</v>
      </c>
    </row>
    <row r="1553" spans="1:43" x14ac:dyDescent="0.25">
      <c r="A1553">
        <v>1552</v>
      </c>
      <c r="B1553" t="s">
        <v>292</v>
      </c>
      <c r="C1553" t="s">
        <v>292</v>
      </c>
      <c r="D1553" t="s">
        <v>57</v>
      </c>
      <c r="F1553" s="1">
        <v>42879</v>
      </c>
      <c r="G1553" s="2">
        <v>76</v>
      </c>
      <c r="H1553" s="2"/>
      <c r="I1553" s="2">
        <f t="array" ref="I1553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553" s="2"/>
      <c r="K1553" s="2"/>
      <c r="L1553" s="2"/>
      <c r="M1553" s="2">
        <f t="array" ref="M1553">_xlfn.IFNA(IF(vp.data[[#This Row],[Dens Input]]="",INDEX([1]DATA!$O$3:$O$9826,MATCH(1,(vp.data[[#This Row],[Battery]]=[1]DATA!$L$3:$L$9826)*(EOMONTH(vp.data[[#This Row],[SDate]],-1)+1=[1]DATA!$G$3:$G$9826),0)),vp.data[[#This Row],[Dens Input]]),"")</f>
        <v>851.1</v>
      </c>
      <c r="N1553" s="2">
        <f ca="1">INDEX(INDIRECT(_xlfn.CONCAT("weather.tbl[",N$1,"]")),MATCH(vp.data[[#This Row],[SDate]],weather.tbl[Date],0))</f>
        <v>16.116666666666667</v>
      </c>
      <c r="O1553" s="2">
        <f ca="1">INDEX(INDIRECT(_xlfn.CONCAT("weather.tbl[",O$1,"]")),MATCH(vp.data[[#This Row],[SDate]],weather.tbl[Date],0))</f>
        <v>11.035714285714286</v>
      </c>
      <c r="P1553" s="2">
        <f ca="1">INDEX(INDIRECT(_xlfn.CONCAT("weather.tbl[",P$1,"]")),MATCH(vp.data[[#This Row],[SDate]],weather.tbl[Date],0))</f>
        <v>16.2</v>
      </c>
      <c r="Q1553" s="2">
        <f ca="1">INDEX(INDIRECT(_xlfn.CONCAT("weather.tbl[",Q$1,"]")),MATCH(vp.data[[#This Row],[SDate]],weather.tbl[Date],0))</f>
        <v>16.7</v>
      </c>
      <c r="R1553" s="2">
        <f ca="1">INDEX(INDIRECT(_xlfn.CONCAT("weather.tbl[",R$1,"]")),MATCH(vp.data[[#This Row],[SDate]],weather.tbl[Date],0))</f>
        <v>15.5</v>
      </c>
      <c r="S1553" s="2">
        <f ca="1">INDEX(INDIRECT(_xlfn.CONCAT("weather.tbl[",S$1,"]")),MATCH(vp.data[[#This Row],[SDate]],weather.tbl[Date],0))</f>
        <v>17.8</v>
      </c>
      <c r="T1553" s="2">
        <f ca="1">INDEX(INDIRECT(_xlfn.CONCAT("weather.tbl[",T$1,"]")),MATCH(vp.data[[#This Row],[SDate]],weather.tbl[Date],0))</f>
        <v>14.5</v>
      </c>
      <c r="U1553" s="2">
        <f ca="1">INDEX(INDIRECT(_xlfn.CONCAT("weather.tbl[",U$1,"]")),MATCH(vp.data[[#This Row],[SDate]],weather.tbl[Date],0))</f>
        <v>16</v>
      </c>
      <c r="V1553" s="2">
        <f t="array" ref="V15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3038.6930000000002</v>
      </c>
      <c r="W1553" t="s">
        <v>48</v>
      </c>
      <c r="X1553">
        <f>IF(OR(vp.data[[#This Row],[Sulf]]="",vp.data[[#This Row],[Dens]]=""),1,0)</f>
        <v>0</v>
      </c>
      <c r="Y1553">
        <f>IF(vp.data[[#This Row],[CrudeType]]="C5+",1,0)</f>
        <v>0</v>
      </c>
      <c r="Z1553">
        <f>IF(AND(vp.data[[#This Row],[CrudeType]]="Crude",vp.data[[#This Row],[Dens]]&lt;=825,vp.data[[#This Row],[Sulf]]&gt;0.5,vp.data[[#This Row],[Unknown]]=0),1,0)</f>
        <v>0</v>
      </c>
      <c r="AA1553">
        <f>IF(AND(vp.data[[#This Row],[CrudeType]]="Crude",vp.data[[#This Row],[Dens]]&lt;=825,vp.data[[#This Row],[Sulf]]&lt;=0.5,vp.data[[#This Row],[Unknown]]=0),1,0)</f>
        <v>0</v>
      </c>
      <c r="AB15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53">
        <f>IF(AND(vp.data[[#This Row],[CrudeType]]="Crude",vp.data[[#This Row],[Dens]]&gt;825,vp.data[[#This Row],[Dens]]&lt;=900,vp.data[[#This Row],[Sulf]]&lt;=0.5,vp.data[[#This Row],[Unknown]]=0),1,0)</f>
        <v>0</v>
      </c>
      <c r="AD1553">
        <f>IF(AND(vp.data[[#This Row],[CrudeType]]="Crude",vp.data[[#This Row],[Dens]]&gt;865,vp.data[[#This Row],[Dens]]&lt;=900,vp.data[[#This Row],[Sulf]]&gt;2,vp.data[[#This Row],[Unknown]]=0),1,0)</f>
        <v>0</v>
      </c>
      <c r="AE1553">
        <f>IF(AND(vp.data[[#This Row],[CrudeType]]="Crude",vp.data[[#This Row],[Dens]]&gt;900,vp.data[[#This Row],[Sulf]]&lt;=0.5,vp.data[[#This Row],[Unknown]]=0),1,0)</f>
        <v>0</v>
      </c>
      <c r="AF1553">
        <f>IF(AND(vp.data[[#This Row],[CrudeType]]="Crude",vp.data[[#This Row],[Dens]]&gt;900,vp.data[[#This Row],[Sulf]]&lt;=0.5,vp.data[[#This Row],[Unknown]]=0),1,0)</f>
        <v>0</v>
      </c>
      <c r="AG1553" t="str">
        <f>INDEX(vp.data[[#Headers],[Unknown]:[Heavy_SW]],MATCH(1,vp.data[[#This Row],[Unknown]:[Heavy_SW]],0))</f>
        <v>Medium_LSB</v>
      </c>
      <c r="AH1553">
        <f>INDEX([3]!crudeBD.lkup[Number],MATCH(vp.data[[#This Row],[Crude_Breakdown]],crudeBD.lkup[Crude Breakdown],0))</f>
        <v>3</v>
      </c>
      <c r="AI1553">
        <f>MONTH(vp.data[[#This Row],[SDate]])</f>
        <v>5</v>
      </c>
      <c r="AJ1553" s="5">
        <f>(vp.data[[#This Row],[VP]]-INDEX(crudeBD.lkup[Mean_VP],MATCH(vp.data[[#This Row],[Crude_Breakdown]],crudeBD.lkup[Crude Breakdown],0)))^2</f>
        <v>21.526598487368652</v>
      </c>
      <c r="AK1553" s="5">
        <f>(vp.data[[#This Row],[Dens]]-INDEX(crudeBD.lkup[Mean_Dens],MATCH(vp.data[[#This Row],[Crude_Breakdown]],crudeBD.lkup[Crude Breakdown],0)))^2</f>
        <v>51.552400000007445</v>
      </c>
      <c r="AL1553" s="5">
        <f>(vp.data[[#This Row],[Sulf]]-INDEX(crudeBD.lkup[Mean_Sulf],MATCH(vp.data[[#This Row],[Crude_Breakdown]],crudeBD.lkup[Crude Breakdown],0)))^2</f>
        <v>0.15570274648652699</v>
      </c>
      <c r="AM1553" s="4">
        <f>IF(AND(vp.data[[#This Row],[SDate]]&gt;=DATE(YEAR(vp.data[[#This Row],[SDate]]),5,1),vp.data[[#This Row],[SDate]]&lt;=DATE(YEAR(vp.data[[#This Row],[SDate]]),9,15)),1,0)</f>
        <v>1</v>
      </c>
      <c r="AN1553" s="4">
        <f>IF(vp.data[[#This Row],[SDate]]&lt;DATE(2016,12,1),0,1)</f>
        <v>1</v>
      </c>
      <c r="AO1553" s="4">
        <f>IFERROR(vp.data[[#This Row],[Sulf]]*vp.data[[#This Row],[Net Dens]],"")</f>
        <v>4603492.2698940001</v>
      </c>
      <c r="AP1553">
        <f>IFERROR(vp.data[[#This Row],[Dens]]*vp.data[[#This Row],[VolumeM3]],"")</f>
        <v>2586231.6123000002</v>
      </c>
      <c r="AQ1553" s="15">
        <f>IFERROR(vp.data[[#This Row],[VP]]*vp.data[[#This Row],[VolumeM3]],"")</f>
        <v>230940.66800000001</v>
      </c>
    </row>
    <row r="1554" spans="1:43" x14ac:dyDescent="0.25">
      <c r="A1554">
        <v>1553</v>
      </c>
      <c r="B1554" t="s">
        <v>46</v>
      </c>
      <c r="C1554" t="s">
        <v>46</v>
      </c>
      <c r="D1554" t="s">
        <v>47</v>
      </c>
      <c r="F1554" s="1">
        <v>42879</v>
      </c>
      <c r="G1554" s="2">
        <v>54.4</v>
      </c>
      <c r="H1554" s="2"/>
      <c r="I1554" s="2">
        <f t="array" ref="I1554">_xlfn.IFNA(IF(vp.data[[#This Row],[Sulf Input]]="",INDEX([1]DATA!$Q$3:$Q$9826,MATCH(1,(vp.data[[#This Row],[Battery]]=[1]DATA!$L$3:$L$9826)*(EOMONTH(vp.data[[#This Row],[SDate]],-1)+1=[1]DATA!$G$3:$G$9826),0)),vp.data[[#This Row],[Sulf Input]]),"")</f>
        <v>2.25</v>
      </c>
      <c r="J1554" s="2"/>
      <c r="K1554" s="2"/>
      <c r="L1554" s="2"/>
      <c r="M1554" s="2">
        <f t="array" ref="M1554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554" s="2">
        <f ca="1">INDEX(INDIRECT(_xlfn.CONCAT("weather.tbl[",N$1,"]")),MATCH(vp.data[[#This Row],[SDate]],weather.tbl[Date],0))</f>
        <v>16.116666666666667</v>
      </c>
      <c r="O1554" s="2">
        <f ca="1">INDEX(INDIRECT(_xlfn.CONCAT("weather.tbl[",O$1,"]")),MATCH(vp.data[[#This Row],[SDate]],weather.tbl[Date],0))</f>
        <v>11.035714285714286</v>
      </c>
      <c r="P1554" s="2">
        <f ca="1">INDEX(INDIRECT(_xlfn.CONCAT("weather.tbl[",P$1,"]")),MATCH(vp.data[[#This Row],[SDate]],weather.tbl[Date],0))</f>
        <v>16.2</v>
      </c>
      <c r="Q1554" s="2">
        <f ca="1">INDEX(INDIRECT(_xlfn.CONCAT("weather.tbl[",Q$1,"]")),MATCH(vp.data[[#This Row],[SDate]],weather.tbl[Date],0))</f>
        <v>16.7</v>
      </c>
      <c r="R1554" s="2">
        <f ca="1">INDEX(INDIRECT(_xlfn.CONCAT("weather.tbl[",R$1,"]")),MATCH(vp.data[[#This Row],[SDate]],weather.tbl[Date],0))</f>
        <v>15.5</v>
      </c>
      <c r="S1554" s="2">
        <f ca="1">INDEX(INDIRECT(_xlfn.CONCAT("weather.tbl[",S$1,"]")),MATCH(vp.data[[#This Row],[SDate]],weather.tbl[Date],0))</f>
        <v>17.8</v>
      </c>
      <c r="T1554" s="2">
        <f ca="1">INDEX(INDIRECT(_xlfn.CONCAT("weather.tbl[",T$1,"]")),MATCH(vp.data[[#This Row],[SDate]],weather.tbl[Date],0))</f>
        <v>14.5</v>
      </c>
      <c r="U1554" s="2">
        <f ca="1">INDEX(INDIRECT(_xlfn.CONCAT("weather.tbl[",U$1,"]")),MATCH(vp.data[[#This Row],[SDate]],weather.tbl[Date],0))</f>
        <v>16</v>
      </c>
      <c r="V1554" s="2">
        <f t="array" ref="V15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115996.79399999999</v>
      </c>
      <c r="W1554" t="s">
        <v>48</v>
      </c>
      <c r="X1554">
        <f>IF(OR(vp.data[[#This Row],[Sulf]]="",vp.data[[#This Row],[Dens]]=""),1,0)</f>
        <v>0</v>
      </c>
      <c r="Y1554">
        <f>IF(vp.data[[#This Row],[CrudeType]]="C5+",1,0)</f>
        <v>0</v>
      </c>
      <c r="Z1554">
        <f>IF(AND(vp.data[[#This Row],[CrudeType]]="Crude",vp.data[[#This Row],[Dens]]&lt;=825,vp.data[[#This Row],[Sulf]]&gt;0.5,vp.data[[#This Row],[Unknown]]=0),1,0)</f>
        <v>0</v>
      </c>
      <c r="AA1554">
        <f>IF(AND(vp.data[[#This Row],[CrudeType]]="Crude",vp.data[[#This Row],[Dens]]&lt;=825,vp.data[[#This Row],[Sulf]]&lt;=0.5,vp.data[[#This Row],[Unknown]]=0),1,0)</f>
        <v>0</v>
      </c>
      <c r="AB15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4">
        <f>IF(AND(vp.data[[#This Row],[CrudeType]]="Crude",vp.data[[#This Row],[Dens]]&gt;825,vp.data[[#This Row],[Dens]]&lt;=900,vp.data[[#This Row],[Sulf]]&lt;=0.5,vp.data[[#This Row],[Unknown]]=0),1,0)</f>
        <v>0</v>
      </c>
      <c r="AD1554">
        <f>IF(AND(vp.data[[#This Row],[CrudeType]]="Crude",vp.data[[#This Row],[Dens]]&gt;865,vp.data[[#This Row],[Dens]]&lt;=900,vp.data[[#This Row],[Sulf]]&gt;2,vp.data[[#This Row],[Unknown]]=0),1,0)</f>
        <v>1</v>
      </c>
      <c r="AE1554">
        <f>IF(AND(vp.data[[#This Row],[CrudeType]]="Crude",vp.data[[#This Row],[Dens]]&gt;900,vp.data[[#This Row],[Sulf]]&lt;=0.5,vp.data[[#This Row],[Unknown]]=0),1,0)</f>
        <v>0</v>
      </c>
      <c r="AF1554">
        <f>IF(AND(vp.data[[#This Row],[CrudeType]]="Crude",vp.data[[#This Row],[Dens]]&gt;900,vp.data[[#This Row],[Sulf]]&lt;=0.5,vp.data[[#This Row],[Unknown]]=0),1,0)</f>
        <v>0</v>
      </c>
      <c r="AG1554" t="str">
        <f>INDEX(vp.data[[#Headers],[Unknown]:[Heavy_SW]],MATCH(1,vp.data[[#This Row],[Unknown]:[Heavy_SW]],0))</f>
        <v>Midale</v>
      </c>
      <c r="AH1554">
        <f>INDEX([3]!crudeBD.lkup[Number],MATCH(vp.data[[#This Row],[Crude_Breakdown]],crudeBD.lkup[Crude Breakdown],0))</f>
        <v>5</v>
      </c>
      <c r="AI1554">
        <f>MONTH(vp.data[[#This Row],[SDate]])</f>
        <v>5</v>
      </c>
      <c r="AJ1554" s="5">
        <f>(vp.data[[#This Row],[VP]]-INDEX(crudeBD.lkup[Mean_VP],MATCH(vp.data[[#This Row],[Crude_Breakdown]],crudeBD.lkup[Crude Breakdown],0)))^2</f>
        <v>225.26296338612065</v>
      </c>
      <c r="AK1554" s="5">
        <f>(vp.data[[#This Row],[Dens]]-INDEX(crudeBD.lkup[Mean_Dens],MATCH(vp.data[[#This Row],[Crude_Breakdown]],crudeBD.lkup[Crude Breakdown],0)))^2</f>
        <v>37.417815123820823</v>
      </c>
      <c r="AL1554" s="5">
        <f>(vp.data[[#This Row],[Sulf]]-INDEX(crudeBD.lkup[Mean_Sulf],MATCH(vp.data[[#This Row],[Crude_Breakdown]],crudeBD.lkup[Crude Breakdown],0)))^2</f>
        <v>3.7486987788723031E-2</v>
      </c>
      <c r="AM1554" s="4">
        <f>IF(AND(vp.data[[#This Row],[SDate]]&gt;=DATE(YEAR(vp.data[[#This Row],[SDate]]),5,1),vp.data[[#This Row],[SDate]]&lt;=DATE(YEAR(vp.data[[#This Row],[SDate]]),9,15)),1,0)</f>
        <v>1</v>
      </c>
      <c r="AN1554" s="4">
        <f>IF(vp.data[[#This Row],[SDate]]&lt;DATE(2016,12,1),0,1)</f>
        <v>1</v>
      </c>
      <c r="AO1554" s="4">
        <f>IFERROR(vp.data[[#This Row],[Sulf]]*vp.data[[#This Row],[Net Dens]],"")</f>
        <v>226724433.63255</v>
      </c>
      <c r="AP1554">
        <f>IFERROR(vp.data[[#This Row],[Dens]]*vp.data[[#This Row],[VolumeM3]],"")</f>
        <v>100766414.9478</v>
      </c>
      <c r="AQ1554" s="15">
        <f>IFERROR(vp.data[[#This Row],[VP]]*vp.data[[#This Row],[VolumeM3]],"")</f>
        <v>6310225.5935999993</v>
      </c>
    </row>
    <row r="1555" spans="1:43" x14ac:dyDescent="0.25">
      <c r="A1555">
        <v>1554</v>
      </c>
      <c r="B1555" t="s">
        <v>60</v>
      </c>
      <c r="C1555" t="s">
        <v>60</v>
      </c>
      <c r="D1555" t="s">
        <v>61</v>
      </c>
      <c r="E1555" t="s">
        <v>289</v>
      </c>
      <c r="F1555" s="1">
        <v>42885</v>
      </c>
      <c r="G1555" s="2">
        <v>92.6</v>
      </c>
      <c r="H1555" s="2"/>
      <c r="I1555" s="2">
        <f t="array" ref="I1555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55" s="2"/>
      <c r="K1555" s="2"/>
      <c r="L1555" s="2"/>
      <c r="M1555" s="2">
        <f t="array" ref="M1555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55" s="2">
        <f ca="1">INDEX(INDIRECT(_xlfn.CONCAT("weather.tbl[",N$1,"]")),MATCH(vp.data[[#This Row],[SDate]],weather.tbl[Date],0))</f>
        <v>11.366666666666667</v>
      </c>
      <c r="O1555" s="2">
        <f ca="1">INDEX(INDIRECT(_xlfn.CONCAT("weather.tbl[",O$1,"]")),MATCH(vp.data[[#This Row],[SDate]],weather.tbl[Date],0))</f>
        <v>13.104761904761906</v>
      </c>
      <c r="P1555" s="2">
        <f ca="1">INDEX(INDIRECT(_xlfn.CONCAT("weather.tbl[",P$1,"]")),MATCH(vp.data[[#This Row],[SDate]],weather.tbl[Date],0))</f>
        <v>10.199999999999999</v>
      </c>
      <c r="Q1555" s="2">
        <f ca="1">INDEX(INDIRECT(_xlfn.CONCAT("weather.tbl[",Q$1,"]")),MATCH(vp.data[[#This Row],[SDate]],weather.tbl[Date],0))</f>
        <v>12.8</v>
      </c>
      <c r="R1555" s="2">
        <f ca="1">INDEX(INDIRECT(_xlfn.CONCAT("weather.tbl[",R$1,"]")),MATCH(vp.data[[#This Row],[SDate]],weather.tbl[Date],0))</f>
        <v>11.3</v>
      </c>
      <c r="S1555" s="2">
        <f ca="1">INDEX(INDIRECT(_xlfn.CONCAT("weather.tbl[",S$1,"]")),MATCH(vp.data[[#This Row],[SDate]],weather.tbl[Date],0))</f>
        <v>9.6999999999999993</v>
      </c>
      <c r="T1555" s="2">
        <f ca="1">INDEX(INDIRECT(_xlfn.CONCAT("weather.tbl[",T$1,"]")),MATCH(vp.data[[#This Row],[SDate]],weather.tbl[Date],0))</f>
        <v>13.2</v>
      </c>
      <c r="U1555" s="2">
        <f ca="1">INDEX(INDIRECT(_xlfn.CONCAT("weather.tbl[",U$1,"]")),MATCH(vp.data[[#This Row],[SDate]],weather.tbl[Date],0))</f>
        <v>11</v>
      </c>
      <c r="V1555" s="2">
        <f t="array" ref="V15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55" t="s">
        <v>48</v>
      </c>
      <c r="X1555">
        <f>IF(OR(vp.data[[#This Row],[Sulf]]="",vp.data[[#This Row],[Dens]]=""),1,0)</f>
        <v>0</v>
      </c>
      <c r="Y1555">
        <f>IF(vp.data[[#This Row],[CrudeType]]="C5+",1,0)</f>
        <v>0</v>
      </c>
      <c r="Z1555">
        <f>IF(AND(vp.data[[#This Row],[CrudeType]]="Crude",vp.data[[#This Row],[Dens]]&lt;=825,vp.data[[#This Row],[Sulf]]&gt;0.5,vp.data[[#This Row],[Unknown]]=0),1,0)</f>
        <v>1</v>
      </c>
      <c r="AA1555">
        <f>IF(AND(vp.data[[#This Row],[CrudeType]]="Crude",vp.data[[#This Row],[Dens]]&lt;=825,vp.data[[#This Row],[Sulf]]&lt;=0.5,vp.data[[#This Row],[Unknown]]=0),1,0)</f>
        <v>0</v>
      </c>
      <c r="AB15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5">
        <f>IF(AND(vp.data[[#This Row],[CrudeType]]="Crude",vp.data[[#This Row],[Dens]]&gt;825,vp.data[[#This Row],[Dens]]&lt;=900,vp.data[[#This Row],[Sulf]]&lt;=0.5,vp.data[[#This Row],[Unknown]]=0),1,0)</f>
        <v>0</v>
      </c>
      <c r="AD1555">
        <f>IF(AND(vp.data[[#This Row],[CrudeType]]="Crude",vp.data[[#This Row],[Dens]]&gt;865,vp.data[[#This Row],[Dens]]&lt;=900,vp.data[[#This Row],[Sulf]]&gt;2,vp.data[[#This Row],[Unknown]]=0),1,0)</f>
        <v>0</v>
      </c>
      <c r="AE1555">
        <f>IF(AND(vp.data[[#This Row],[CrudeType]]="Crude",vp.data[[#This Row],[Dens]]&gt;900,vp.data[[#This Row],[Sulf]]&lt;=0.5,vp.data[[#This Row],[Unknown]]=0),1,0)</f>
        <v>0</v>
      </c>
      <c r="AF1555">
        <f>IF(AND(vp.data[[#This Row],[CrudeType]]="Crude",vp.data[[#This Row],[Dens]]&gt;900,vp.data[[#This Row],[Sulf]]&lt;=0.5,vp.data[[#This Row],[Unknown]]=0),1,0)</f>
        <v>0</v>
      </c>
      <c r="AG1555" t="str">
        <f>INDEX(vp.data[[#Headers],[Unknown]:[Heavy_SW]],MATCH(1,vp.data[[#This Row],[Unknown]:[Heavy_SW]],0))</f>
        <v>Light_LSB</v>
      </c>
      <c r="AH1555">
        <f>INDEX([3]!crudeBD.lkup[Number],MATCH(vp.data[[#This Row],[Crude_Breakdown]],crudeBD.lkup[Crude Breakdown],0))</f>
        <v>1</v>
      </c>
      <c r="AI1555">
        <f>MONTH(vp.data[[#This Row],[SDate]])</f>
        <v>5</v>
      </c>
      <c r="AJ1555" s="5">
        <f>(vp.data[[#This Row],[VP]]-INDEX(crudeBD.lkup[Mean_VP],MATCH(vp.data[[#This Row],[Crude_Breakdown]],crudeBD.lkup[Crude Breakdown],0)))^2</f>
        <v>1.1105248591773058</v>
      </c>
      <c r="AK1555" s="5">
        <f>(vp.data[[#This Row],[Dens]]-INDEX(crudeBD.lkup[Mean_Dens],MATCH(vp.data[[#This Row],[Crude_Breakdown]],crudeBD.lkup[Crude Breakdown],0)))^2</f>
        <v>32.299105967104147</v>
      </c>
      <c r="AL1555" s="5">
        <f>(vp.data[[#This Row],[Sulf]]-INDEX(crudeBD.lkup[Mean_Sulf],MATCH(vp.data[[#This Row],[Crude_Breakdown]],crudeBD.lkup[Crude Breakdown],0)))^2</f>
        <v>2.7898630590712313E-2</v>
      </c>
      <c r="AM1555" s="4">
        <f>IF(AND(vp.data[[#This Row],[SDate]]&gt;=DATE(YEAR(vp.data[[#This Row],[SDate]]),5,1),vp.data[[#This Row],[SDate]]&lt;=DATE(YEAR(vp.data[[#This Row],[SDate]]),9,15)),1,0)</f>
        <v>1</v>
      </c>
      <c r="AN1555" s="4">
        <f>IF(vp.data[[#This Row],[SDate]]&lt;DATE(2016,12,1),0,1)</f>
        <v>1</v>
      </c>
      <c r="AO1555" s="4">
        <f>IFERROR(vp.data[[#This Row],[Sulf]]*vp.data[[#This Row],[Net Dens]],"")</f>
        <v>106270937.56302401</v>
      </c>
      <c r="AP1555">
        <f>IFERROR(vp.data[[#This Row],[Dens]]*vp.data[[#This Row],[VolumeM3]],"")</f>
        <v>97496272.993600011</v>
      </c>
      <c r="AQ1555" s="15">
        <f>IFERROR(vp.data[[#This Row],[VP]]*vp.data[[#This Row],[VolumeM3]],"")</f>
        <v>10953839.9408</v>
      </c>
    </row>
    <row r="1556" spans="1:43" x14ac:dyDescent="0.25">
      <c r="A1556">
        <v>1555</v>
      </c>
      <c r="B1556" t="s">
        <v>60</v>
      </c>
      <c r="C1556" t="s">
        <v>60</v>
      </c>
      <c r="D1556" t="s">
        <v>61</v>
      </c>
      <c r="E1556" t="s">
        <v>290</v>
      </c>
      <c r="F1556" s="1">
        <v>42885</v>
      </c>
      <c r="G1556" s="2">
        <v>72.7</v>
      </c>
      <c r="H1556" s="2"/>
      <c r="I1556" s="2">
        <f t="array" ref="I1556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56" s="2"/>
      <c r="K1556" s="2"/>
      <c r="L1556" s="2"/>
      <c r="M1556" s="2">
        <f t="array" ref="M1556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56" s="2">
        <f ca="1">INDEX(INDIRECT(_xlfn.CONCAT("weather.tbl[",N$1,"]")),MATCH(vp.data[[#This Row],[SDate]],weather.tbl[Date],0))</f>
        <v>11.366666666666667</v>
      </c>
      <c r="O1556" s="2">
        <f ca="1">INDEX(INDIRECT(_xlfn.CONCAT("weather.tbl[",O$1,"]")),MATCH(vp.data[[#This Row],[SDate]],weather.tbl[Date],0))</f>
        <v>13.104761904761906</v>
      </c>
      <c r="P1556" s="2">
        <f ca="1">INDEX(INDIRECT(_xlfn.CONCAT("weather.tbl[",P$1,"]")),MATCH(vp.data[[#This Row],[SDate]],weather.tbl[Date],0))</f>
        <v>10.199999999999999</v>
      </c>
      <c r="Q1556" s="2">
        <f ca="1">INDEX(INDIRECT(_xlfn.CONCAT("weather.tbl[",Q$1,"]")),MATCH(vp.data[[#This Row],[SDate]],weather.tbl[Date],0))</f>
        <v>12.8</v>
      </c>
      <c r="R1556" s="2">
        <f ca="1">INDEX(INDIRECT(_xlfn.CONCAT("weather.tbl[",R$1,"]")),MATCH(vp.data[[#This Row],[SDate]],weather.tbl[Date],0))</f>
        <v>11.3</v>
      </c>
      <c r="S1556" s="2">
        <f ca="1">INDEX(INDIRECT(_xlfn.CONCAT("weather.tbl[",S$1,"]")),MATCH(vp.data[[#This Row],[SDate]],weather.tbl[Date],0))</f>
        <v>9.6999999999999993</v>
      </c>
      <c r="T1556" s="2">
        <f ca="1">INDEX(INDIRECT(_xlfn.CONCAT("weather.tbl[",T$1,"]")),MATCH(vp.data[[#This Row],[SDate]],weather.tbl[Date],0))</f>
        <v>13.2</v>
      </c>
      <c r="U1556" s="2">
        <f ca="1">INDEX(INDIRECT(_xlfn.CONCAT("weather.tbl[",U$1,"]")),MATCH(vp.data[[#This Row],[SDate]],weather.tbl[Date],0))</f>
        <v>11</v>
      </c>
      <c r="V1556" s="2">
        <f t="array" ref="V15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56" t="s">
        <v>48</v>
      </c>
      <c r="X1556">
        <f>IF(OR(vp.data[[#This Row],[Sulf]]="",vp.data[[#This Row],[Dens]]=""),1,0)</f>
        <v>0</v>
      </c>
      <c r="Y1556">
        <f>IF(vp.data[[#This Row],[CrudeType]]="C5+",1,0)</f>
        <v>0</v>
      </c>
      <c r="Z1556">
        <f>IF(AND(vp.data[[#This Row],[CrudeType]]="Crude",vp.data[[#This Row],[Dens]]&lt;=825,vp.data[[#This Row],[Sulf]]&gt;0.5,vp.data[[#This Row],[Unknown]]=0),1,0)</f>
        <v>1</v>
      </c>
      <c r="AA1556">
        <f>IF(AND(vp.data[[#This Row],[CrudeType]]="Crude",vp.data[[#This Row],[Dens]]&lt;=825,vp.data[[#This Row],[Sulf]]&lt;=0.5,vp.data[[#This Row],[Unknown]]=0),1,0)</f>
        <v>0</v>
      </c>
      <c r="AB15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6">
        <f>IF(AND(vp.data[[#This Row],[CrudeType]]="Crude",vp.data[[#This Row],[Dens]]&gt;825,vp.data[[#This Row],[Dens]]&lt;=900,vp.data[[#This Row],[Sulf]]&lt;=0.5,vp.data[[#This Row],[Unknown]]=0),1,0)</f>
        <v>0</v>
      </c>
      <c r="AD1556">
        <f>IF(AND(vp.data[[#This Row],[CrudeType]]="Crude",vp.data[[#This Row],[Dens]]&gt;865,vp.data[[#This Row],[Dens]]&lt;=900,vp.data[[#This Row],[Sulf]]&gt;2,vp.data[[#This Row],[Unknown]]=0),1,0)</f>
        <v>0</v>
      </c>
      <c r="AE1556">
        <f>IF(AND(vp.data[[#This Row],[CrudeType]]="Crude",vp.data[[#This Row],[Dens]]&gt;900,vp.data[[#This Row],[Sulf]]&lt;=0.5,vp.data[[#This Row],[Unknown]]=0),1,0)</f>
        <v>0</v>
      </c>
      <c r="AF1556">
        <f>IF(AND(vp.data[[#This Row],[CrudeType]]="Crude",vp.data[[#This Row],[Dens]]&gt;900,vp.data[[#This Row],[Sulf]]&lt;=0.5,vp.data[[#This Row],[Unknown]]=0),1,0)</f>
        <v>0</v>
      </c>
      <c r="AG1556" t="str">
        <f>INDEX(vp.data[[#Headers],[Unknown]:[Heavy_SW]],MATCH(1,vp.data[[#This Row],[Unknown]:[Heavy_SW]],0))</f>
        <v>Light_LSB</v>
      </c>
      <c r="AH1556">
        <f>INDEX([3]!crudeBD.lkup[Number],MATCH(vp.data[[#This Row],[Crude_Breakdown]],crudeBD.lkup[Crude Breakdown],0))</f>
        <v>1</v>
      </c>
      <c r="AI1556">
        <f>MONTH(vp.data[[#This Row],[SDate]])</f>
        <v>5</v>
      </c>
      <c r="AJ1556" s="5">
        <f>(vp.data[[#This Row],[VP]]-INDEX(crudeBD.lkup[Mean_VP],MATCH(vp.data[[#This Row],[Crude_Breakdown]],crudeBD.lkup[Crude Breakdown],0)))^2</f>
        <v>355.17871042618873</v>
      </c>
      <c r="AK1556" s="5">
        <f>(vp.data[[#This Row],[Dens]]-INDEX(crudeBD.lkup[Mean_Dens],MATCH(vp.data[[#This Row],[Crude_Breakdown]],crudeBD.lkup[Crude Breakdown],0)))^2</f>
        <v>32.299105967104147</v>
      </c>
      <c r="AL1556" s="5">
        <f>(vp.data[[#This Row],[Sulf]]-INDEX(crudeBD.lkup[Mean_Sulf],MATCH(vp.data[[#This Row],[Crude_Breakdown]],crudeBD.lkup[Crude Breakdown],0)))^2</f>
        <v>2.7898630590712313E-2</v>
      </c>
      <c r="AM1556" s="4">
        <f>IF(AND(vp.data[[#This Row],[SDate]]&gt;=DATE(YEAR(vp.data[[#This Row],[SDate]]),5,1),vp.data[[#This Row],[SDate]]&lt;=DATE(YEAR(vp.data[[#This Row],[SDate]]),9,15)),1,0)</f>
        <v>1</v>
      </c>
      <c r="AN1556" s="4">
        <f>IF(vp.data[[#This Row],[SDate]]&lt;DATE(2016,12,1),0,1)</f>
        <v>1</v>
      </c>
      <c r="AO1556" s="4">
        <f>IFERROR(vp.data[[#This Row],[Sulf]]*vp.data[[#This Row],[Net Dens]],"")</f>
        <v>106270937.56302401</v>
      </c>
      <c r="AP1556">
        <f>IFERROR(vp.data[[#This Row],[Dens]]*vp.data[[#This Row],[VolumeM3]],"")</f>
        <v>97496272.993600011</v>
      </c>
      <c r="AQ1556" s="15">
        <f>IFERROR(vp.data[[#This Row],[VP]]*vp.data[[#This Row],[VolumeM3]],"")</f>
        <v>8599828.9815999996</v>
      </c>
    </row>
    <row r="1557" spans="1:43" x14ac:dyDescent="0.25">
      <c r="A1557">
        <v>1556</v>
      </c>
      <c r="B1557" t="s">
        <v>49</v>
      </c>
      <c r="C1557" t="s">
        <v>49</v>
      </c>
      <c r="D1557" t="s">
        <v>78</v>
      </c>
      <c r="F1557" s="1">
        <v>42885</v>
      </c>
      <c r="G1557" s="2">
        <v>74.5</v>
      </c>
      <c r="H1557" s="2"/>
      <c r="I1557" s="2">
        <f t="array" ref="I1557">_xlfn.IFNA(IF(vp.data[[#This Row],[Sulf Input]]="",INDEX([1]DATA!$Q$3:$Q$9826,MATCH(1,(vp.data[[#This Row],[Battery]]=[1]DATA!$L$3:$L$9826)*(EOMONTH(vp.data[[#This Row],[SDate]],-1)+1=[1]DATA!$G$3:$G$9826),0)),vp.data[[#This Row],[Sulf Input]]),"")</f>
        <v>0.24</v>
      </c>
      <c r="J1557" s="2"/>
      <c r="K1557" s="2"/>
      <c r="L1557" s="2"/>
      <c r="M1557" s="2">
        <f t="array" ref="M1557">_xlfn.IFNA(IF(vp.data[[#This Row],[Dens Input]]="",INDEX([1]DATA!$O$3:$O$9826,MATCH(1,(vp.data[[#This Row],[Battery]]=[1]DATA!$L$3:$L$9826)*(EOMONTH(vp.data[[#This Row],[SDate]],-1)+1=[1]DATA!$G$3:$G$9826),0)),vp.data[[#This Row],[Dens Input]]),"")</f>
        <v>810.9</v>
      </c>
      <c r="N1557" s="2">
        <f ca="1">INDEX(INDIRECT(_xlfn.CONCAT("weather.tbl[",N$1,"]")),MATCH(vp.data[[#This Row],[SDate]],weather.tbl[Date],0))</f>
        <v>11.366666666666667</v>
      </c>
      <c r="O1557" s="2">
        <f ca="1">INDEX(INDIRECT(_xlfn.CONCAT("weather.tbl[",O$1,"]")),MATCH(vp.data[[#This Row],[SDate]],weather.tbl[Date],0))</f>
        <v>13.104761904761906</v>
      </c>
      <c r="P1557" s="2">
        <f ca="1">INDEX(INDIRECT(_xlfn.CONCAT("weather.tbl[",P$1,"]")),MATCH(vp.data[[#This Row],[SDate]],weather.tbl[Date],0))</f>
        <v>10.199999999999999</v>
      </c>
      <c r="Q1557" s="2">
        <f ca="1">INDEX(INDIRECT(_xlfn.CONCAT("weather.tbl[",Q$1,"]")),MATCH(vp.data[[#This Row],[SDate]],weather.tbl[Date],0))</f>
        <v>12.8</v>
      </c>
      <c r="R1557" s="2">
        <f ca="1">INDEX(INDIRECT(_xlfn.CONCAT("weather.tbl[",R$1,"]")),MATCH(vp.data[[#This Row],[SDate]],weather.tbl[Date],0))</f>
        <v>11.3</v>
      </c>
      <c r="S1557" s="2">
        <f ca="1">INDEX(INDIRECT(_xlfn.CONCAT("weather.tbl[",S$1,"]")),MATCH(vp.data[[#This Row],[SDate]],weather.tbl[Date],0))</f>
        <v>9.6999999999999993</v>
      </c>
      <c r="T1557" s="2">
        <f ca="1">INDEX(INDIRECT(_xlfn.CONCAT("weather.tbl[",T$1,"]")),MATCH(vp.data[[#This Row],[SDate]],weather.tbl[Date],0))</f>
        <v>13.2</v>
      </c>
      <c r="U1557" s="2">
        <f ca="1">INDEX(INDIRECT(_xlfn.CONCAT("weather.tbl[",U$1,"]")),MATCH(vp.data[[#This Row],[SDate]],weather.tbl[Date],0))</f>
        <v>11</v>
      </c>
      <c r="V1557" s="2">
        <f t="array" ref="V15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20016.702000000001</v>
      </c>
      <c r="W1557" t="s">
        <v>48</v>
      </c>
      <c r="X1557">
        <f>IF(OR(vp.data[[#This Row],[Sulf]]="",vp.data[[#This Row],[Dens]]=""),1,0)</f>
        <v>0</v>
      </c>
      <c r="Y1557">
        <f>IF(vp.data[[#This Row],[CrudeType]]="C5+",1,0)</f>
        <v>0</v>
      </c>
      <c r="Z1557">
        <f>IF(AND(vp.data[[#This Row],[CrudeType]]="Crude",vp.data[[#This Row],[Dens]]&lt;=825,vp.data[[#This Row],[Sulf]]&gt;0.5,vp.data[[#This Row],[Unknown]]=0),1,0)</f>
        <v>0</v>
      </c>
      <c r="AA1557">
        <f>IF(AND(vp.data[[#This Row],[CrudeType]]="Crude",vp.data[[#This Row],[Dens]]&lt;=825,vp.data[[#This Row],[Sulf]]&lt;=0.5,vp.data[[#This Row],[Unknown]]=0),1,0)</f>
        <v>1</v>
      </c>
      <c r="AB15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7">
        <f>IF(AND(vp.data[[#This Row],[CrudeType]]="Crude",vp.data[[#This Row],[Dens]]&gt;825,vp.data[[#This Row],[Dens]]&lt;=900,vp.data[[#This Row],[Sulf]]&lt;=0.5,vp.data[[#This Row],[Unknown]]=0),1,0)</f>
        <v>0</v>
      </c>
      <c r="AD1557">
        <f>IF(AND(vp.data[[#This Row],[CrudeType]]="Crude",vp.data[[#This Row],[Dens]]&gt;865,vp.data[[#This Row],[Dens]]&lt;=900,vp.data[[#This Row],[Sulf]]&gt;2,vp.data[[#This Row],[Unknown]]=0),1,0)</f>
        <v>0</v>
      </c>
      <c r="AE1557">
        <f>IF(AND(vp.data[[#This Row],[CrudeType]]="Crude",vp.data[[#This Row],[Dens]]&gt;900,vp.data[[#This Row],[Sulf]]&lt;=0.5,vp.data[[#This Row],[Unknown]]=0),1,0)</f>
        <v>0</v>
      </c>
      <c r="AF1557">
        <f>IF(AND(vp.data[[#This Row],[CrudeType]]="Crude",vp.data[[#This Row],[Dens]]&gt;900,vp.data[[#This Row],[Sulf]]&lt;=0.5,vp.data[[#This Row],[Unknown]]=0),1,0)</f>
        <v>0</v>
      </c>
      <c r="AG1557" t="str">
        <f>INDEX(vp.data[[#Headers],[Unknown]:[Heavy_SW]],MATCH(1,vp.data[[#This Row],[Unknown]:[Heavy_SW]],0))</f>
        <v>Light_SW</v>
      </c>
      <c r="AH1557">
        <f>INDEX([3]!crudeBD.lkup[Number],MATCH(vp.data[[#This Row],[Crude_Breakdown]],crudeBD.lkup[Crude Breakdown],0))</f>
        <v>2</v>
      </c>
      <c r="AI1557">
        <f>MONTH(vp.data[[#This Row],[SDate]])</f>
        <v>5</v>
      </c>
      <c r="AJ1557" s="5">
        <f>(vp.data[[#This Row],[VP]]-INDEX(crudeBD.lkup[Mean_VP],MATCH(vp.data[[#This Row],[Crude_Breakdown]],crudeBD.lkup[Crude Breakdown],0)))^2</f>
        <v>325.81382065582818</v>
      </c>
      <c r="AK1557" s="5">
        <f>(vp.data[[#This Row],[Dens]]-INDEX(crudeBD.lkup[Mean_Dens],MATCH(vp.data[[#This Row],[Crude_Breakdown]],crudeBD.lkup[Crude Breakdown],0)))^2</f>
        <v>6.7003412691678106</v>
      </c>
      <c r="AL1557" s="5">
        <f>(vp.data[[#This Row],[Sulf]]-INDEX(crudeBD.lkup[Mean_Sulf],MATCH(vp.data[[#This Row],[Crude_Breakdown]],crudeBD.lkup[Crude Breakdown],0)))^2</f>
        <v>1.4123978195681499E-5</v>
      </c>
      <c r="AM1557" s="4">
        <f>IF(AND(vp.data[[#This Row],[SDate]]&gt;=DATE(YEAR(vp.data[[#This Row],[SDate]]),5,1),vp.data[[#This Row],[SDate]]&lt;=DATE(YEAR(vp.data[[#This Row],[SDate]]),9,15)),1,0)</f>
        <v>1</v>
      </c>
      <c r="AN1557" s="4">
        <f>IF(vp.data[[#This Row],[SDate]]&lt;DATE(2016,12,1),0,1)</f>
        <v>1</v>
      </c>
      <c r="AO1557" s="4">
        <f>IFERROR(vp.data[[#This Row],[Sulf]]*vp.data[[#This Row],[Net Dens]],"")</f>
        <v>3895570.4764320003</v>
      </c>
      <c r="AP1557">
        <f>IFERROR(vp.data[[#This Row],[Dens]]*vp.data[[#This Row],[VolumeM3]],"")</f>
        <v>16231543.651800001</v>
      </c>
      <c r="AQ1557" s="15">
        <f>IFERROR(vp.data[[#This Row],[VP]]*vp.data[[#This Row],[VolumeM3]],"")</f>
        <v>1491244.2990000001</v>
      </c>
    </row>
    <row r="1558" spans="1:43" x14ac:dyDescent="0.25">
      <c r="A1558">
        <v>1557</v>
      </c>
      <c r="B1558" t="s">
        <v>49</v>
      </c>
      <c r="C1558" t="s">
        <v>49</v>
      </c>
      <c r="D1558" t="s">
        <v>92</v>
      </c>
      <c r="F1558" s="1">
        <v>42885</v>
      </c>
      <c r="G1558" s="2">
        <v>74.7</v>
      </c>
      <c r="H1558" s="2"/>
      <c r="I1558" s="2">
        <f t="array" ref="I1558">_xlfn.IFNA(IF(vp.data[[#This Row],[Sulf Input]]="",INDEX([1]DATA!$Q$3:$Q$9826,MATCH(1,(vp.data[[#This Row],[Battery]]=[1]DATA!$L$3:$L$9826)*(EOMONTH(vp.data[[#This Row],[SDate]],-1)+1=[1]DATA!$G$3:$G$9826),0)),vp.data[[#This Row],[Sulf Input]]),"")</f>
        <v>0.64</v>
      </c>
      <c r="J1558" s="2"/>
      <c r="K1558" s="2"/>
      <c r="L1558" s="2"/>
      <c r="M1558" s="2">
        <f t="array" ref="M1558">_xlfn.IFNA(IF(vp.data[[#This Row],[Dens Input]]="",INDEX([1]DATA!$O$3:$O$9826,MATCH(1,(vp.data[[#This Row],[Battery]]=[1]DATA!$L$3:$L$9826)*(EOMONTH(vp.data[[#This Row],[SDate]],-1)+1=[1]DATA!$G$3:$G$9826),0)),vp.data[[#This Row],[Dens Input]]),"")</f>
        <v>822.7</v>
      </c>
      <c r="N1558" s="2">
        <f ca="1">INDEX(INDIRECT(_xlfn.CONCAT("weather.tbl[",N$1,"]")),MATCH(vp.data[[#This Row],[SDate]],weather.tbl[Date],0))</f>
        <v>11.366666666666667</v>
      </c>
      <c r="O1558" s="2">
        <f ca="1">INDEX(INDIRECT(_xlfn.CONCAT("weather.tbl[",O$1,"]")),MATCH(vp.data[[#This Row],[SDate]],weather.tbl[Date],0))</f>
        <v>13.104761904761906</v>
      </c>
      <c r="P1558" s="2">
        <f ca="1">INDEX(INDIRECT(_xlfn.CONCAT("weather.tbl[",P$1,"]")),MATCH(vp.data[[#This Row],[SDate]],weather.tbl[Date],0))</f>
        <v>10.199999999999999</v>
      </c>
      <c r="Q1558" s="2">
        <f ca="1">INDEX(INDIRECT(_xlfn.CONCAT("weather.tbl[",Q$1,"]")),MATCH(vp.data[[#This Row],[SDate]],weather.tbl[Date],0))</f>
        <v>12.8</v>
      </c>
      <c r="R1558" s="2">
        <f ca="1">INDEX(INDIRECT(_xlfn.CONCAT("weather.tbl[",R$1,"]")),MATCH(vp.data[[#This Row],[SDate]],weather.tbl[Date],0))</f>
        <v>11.3</v>
      </c>
      <c r="S1558" s="2">
        <f ca="1">INDEX(INDIRECT(_xlfn.CONCAT("weather.tbl[",S$1,"]")),MATCH(vp.data[[#This Row],[SDate]],weather.tbl[Date],0))</f>
        <v>9.6999999999999993</v>
      </c>
      <c r="T1558" s="2">
        <f ca="1">INDEX(INDIRECT(_xlfn.CONCAT("weather.tbl[",T$1,"]")),MATCH(vp.data[[#This Row],[SDate]],weather.tbl[Date],0))</f>
        <v>13.2</v>
      </c>
      <c r="U1558" s="2">
        <f ca="1">INDEX(INDIRECT(_xlfn.CONCAT("weather.tbl[",U$1,"]")),MATCH(vp.data[[#This Row],[SDate]],weather.tbl[Date],0))</f>
        <v>11</v>
      </c>
      <c r="V1558" s="2">
        <f t="array" ref="V15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24656.244999999999</v>
      </c>
      <c r="W1558" t="s">
        <v>48</v>
      </c>
      <c r="X1558">
        <f>IF(OR(vp.data[[#This Row],[Sulf]]="",vp.data[[#This Row],[Dens]]=""),1,0)</f>
        <v>0</v>
      </c>
      <c r="Y1558">
        <f>IF(vp.data[[#This Row],[CrudeType]]="C5+",1,0)</f>
        <v>0</v>
      </c>
      <c r="Z1558">
        <f>IF(AND(vp.data[[#This Row],[CrudeType]]="Crude",vp.data[[#This Row],[Dens]]&lt;=825,vp.data[[#This Row],[Sulf]]&gt;0.5,vp.data[[#This Row],[Unknown]]=0),1,0)</f>
        <v>1</v>
      </c>
      <c r="AA1558">
        <f>IF(AND(vp.data[[#This Row],[CrudeType]]="Crude",vp.data[[#This Row],[Dens]]&lt;=825,vp.data[[#This Row],[Sulf]]&lt;=0.5,vp.data[[#This Row],[Unknown]]=0),1,0)</f>
        <v>0</v>
      </c>
      <c r="AB15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58">
        <f>IF(AND(vp.data[[#This Row],[CrudeType]]="Crude",vp.data[[#This Row],[Dens]]&gt;825,vp.data[[#This Row],[Dens]]&lt;=900,vp.data[[#This Row],[Sulf]]&lt;=0.5,vp.data[[#This Row],[Unknown]]=0),1,0)</f>
        <v>0</v>
      </c>
      <c r="AD1558">
        <f>IF(AND(vp.data[[#This Row],[CrudeType]]="Crude",vp.data[[#This Row],[Dens]]&gt;865,vp.data[[#This Row],[Dens]]&lt;=900,vp.data[[#This Row],[Sulf]]&gt;2,vp.data[[#This Row],[Unknown]]=0),1,0)</f>
        <v>0</v>
      </c>
      <c r="AE1558">
        <f>IF(AND(vp.data[[#This Row],[CrudeType]]="Crude",vp.data[[#This Row],[Dens]]&gt;900,vp.data[[#This Row],[Sulf]]&lt;=0.5,vp.data[[#This Row],[Unknown]]=0),1,0)</f>
        <v>0</v>
      </c>
      <c r="AF1558">
        <f>IF(AND(vp.data[[#This Row],[CrudeType]]="Crude",vp.data[[#This Row],[Dens]]&gt;900,vp.data[[#This Row],[Sulf]]&lt;=0.5,vp.data[[#This Row],[Unknown]]=0),1,0)</f>
        <v>0</v>
      </c>
      <c r="AG1558" t="str">
        <f>INDEX(vp.data[[#Headers],[Unknown]:[Heavy_SW]],MATCH(1,vp.data[[#This Row],[Unknown]:[Heavy_SW]],0))</f>
        <v>Light_LSB</v>
      </c>
      <c r="AH1558">
        <f>INDEX([3]!crudeBD.lkup[Number],MATCH(vp.data[[#This Row],[Crude_Breakdown]],crudeBD.lkup[Crude Breakdown],0))</f>
        <v>1</v>
      </c>
      <c r="AI1558">
        <f>MONTH(vp.data[[#This Row],[SDate]])</f>
        <v>5</v>
      </c>
      <c r="AJ1558" s="5">
        <f>(vp.data[[#This Row],[VP]]-INDEX(crudeBD.lkup[Mean_VP],MATCH(vp.data[[#This Row],[Crude_Breakdown]],crudeBD.lkup[Crude Breakdown],0)))^2</f>
        <v>283.79396815814738</v>
      </c>
      <c r="AK1558" s="5">
        <f>(vp.data[[#This Row],[Dens]]-INDEX(crudeBD.lkup[Mean_Dens],MATCH(vp.data[[#This Row],[Crude_Breakdown]],crudeBD.lkup[Crude Breakdown],0)))^2</f>
        <v>17.499415245453584</v>
      </c>
      <c r="AL1558" s="5">
        <f>(vp.data[[#This Row],[Sulf]]-INDEX(crudeBD.lkup[Mean_Sulf],MATCH(vp.data[[#This Row],[Crude_Breakdown]],crudeBD.lkup[Crude Breakdown],0)))^2</f>
        <v>8.0072682137103807E-2</v>
      </c>
      <c r="AM1558" s="4">
        <f>IF(AND(vp.data[[#This Row],[SDate]]&gt;=DATE(YEAR(vp.data[[#This Row],[SDate]]),5,1),vp.data[[#This Row],[SDate]]&lt;=DATE(YEAR(vp.data[[#This Row],[SDate]]),9,15)),1,0)</f>
        <v>1</v>
      </c>
      <c r="AN1558" s="4">
        <f>IF(vp.data[[#This Row],[SDate]]&lt;DATE(2016,12,1),0,1)</f>
        <v>1</v>
      </c>
      <c r="AO1558" s="4">
        <f>IFERROR(vp.data[[#This Row],[Sulf]]*vp.data[[#This Row],[Net Dens]],"")</f>
        <v>12982203.367360001</v>
      </c>
      <c r="AP1558">
        <f>IFERROR(vp.data[[#This Row],[Dens]]*vp.data[[#This Row],[VolumeM3]],"")</f>
        <v>20284692.761500001</v>
      </c>
      <c r="AQ1558" s="15">
        <f>IFERROR(vp.data[[#This Row],[VP]]*vp.data[[#This Row],[VolumeM3]],"")</f>
        <v>1841821.5015</v>
      </c>
    </row>
    <row r="1559" spans="1:43" x14ac:dyDescent="0.25">
      <c r="A1559">
        <v>1558</v>
      </c>
      <c r="B1559" t="s">
        <v>51</v>
      </c>
      <c r="C1559" t="s">
        <v>51</v>
      </c>
      <c r="D1559" t="s">
        <v>58</v>
      </c>
      <c r="F1559" s="1">
        <v>42885</v>
      </c>
      <c r="G1559" s="2">
        <v>69.3</v>
      </c>
      <c r="H1559" s="2"/>
      <c r="I1559" s="2">
        <f t="array" ref="I1559">_xlfn.IFNA(IF(vp.data[[#This Row],[Sulf Input]]="",INDEX([1]DATA!$Q$3:$Q$9826,MATCH(1,(vp.data[[#This Row],[Battery]]=[1]DATA!$L$3:$L$9826)*(EOMONTH(vp.data[[#This Row],[SDate]],-1)+1=[1]DATA!$G$3:$G$9826),0)),vp.data[[#This Row],[Sulf Input]]),"")</f>
        <v>1.51</v>
      </c>
      <c r="J1559" s="2"/>
      <c r="K1559" s="2"/>
      <c r="L1559" s="2"/>
      <c r="M1559" s="2">
        <f t="array" ref="M1559">_xlfn.IFNA(IF(vp.data[[#This Row],[Dens Input]]="",INDEX([1]DATA!$O$3:$O$9826,MATCH(1,(vp.data[[#This Row],[Battery]]=[1]DATA!$L$3:$L$9826)*(EOMONTH(vp.data[[#This Row],[SDate]],-1)+1=[1]DATA!$G$3:$G$9826),0)),vp.data[[#This Row],[Dens Input]]),"")</f>
        <v>836.4</v>
      </c>
      <c r="N1559" s="2">
        <f ca="1">INDEX(INDIRECT(_xlfn.CONCAT("weather.tbl[",N$1,"]")),MATCH(vp.data[[#This Row],[SDate]],weather.tbl[Date],0))</f>
        <v>11.366666666666667</v>
      </c>
      <c r="O1559" s="2">
        <f ca="1">INDEX(INDIRECT(_xlfn.CONCAT("weather.tbl[",O$1,"]")),MATCH(vp.data[[#This Row],[SDate]],weather.tbl[Date],0))</f>
        <v>13.104761904761906</v>
      </c>
      <c r="P1559" s="2">
        <f ca="1">INDEX(INDIRECT(_xlfn.CONCAT("weather.tbl[",P$1,"]")),MATCH(vp.data[[#This Row],[SDate]],weather.tbl[Date],0))</f>
        <v>10.199999999999999</v>
      </c>
      <c r="Q1559" s="2">
        <f ca="1">INDEX(INDIRECT(_xlfn.CONCAT("weather.tbl[",Q$1,"]")),MATCH(vp.data[[#This Row],[SDate]],weather.tbl[Date],0))</f>
        <v>12.8</v>
      </c>
      <c r="R1559" s="2">
        <f ca="1">INDEX(INDIRECT(_xlfn.CONCAT("weather.tbl[",R$1,"]")),MATCH(vp.data[[#This Row],[SDate]],weather.tbl[Date],0))</f>
        <v>11.3</v>
      </c>
      <c r="S1559" s="2">
        <f ca="1">INDEX(INDIRECT(_xlfn.CONCAT("weather.tbl[",S$1,"]")),MATCH(vp.data[[#This Row],[SDate]],weather.tbl[Date],0))</f>
        <v>9.6999999999999993</v>
      </c>
      <c r="T1559" s="2">
        <f ca="1">INDEX(INDIRECT(_xlfn.CONCAT("weather.tbl[",T$1,"]")),MATCH(vp.data[[#This Row],[SDate]],weather.tbl[Date],0))</f>
        <v>13.2</v>
      </c>
      <c r="U1559" s="2">
        <f ca="1">INDEX(INDIRECT(_xlfn.CONCAT("weather.tbl[",U$1,"]")),MATCH(vp.data[[#This Row],[SDate]],weather.tbl[Date],0))</f>
        <v>11</v>
      </c>
      <c r="V1559" s="2">
        <f t="array" ref="V15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5887.6930000000002</v>
      </c>
      <c r="W1559" t="s">
        <v>48</v>
      </c>
      <c r="X1559">
        <f>IF(OR(vp.data[[#This Row],[Sulf]]="",vp.data[[#This Row],[Dens]]=""),1,0)</f>
        <v>0</v>
      </c>
      <c r="Y1559">
        <f>IF(vp.data[[#This Row],[CrudeType]]="C5+",1,0)</f>
        <v>0</v>
      </c>
      <c r="Z1559">
        <f>IF(AND(vp.data[[#This Row],[CrudeType]]="Crude",vp.data[[#This Row],[Dens]]&lt;=825,vp.data[[#This Row],[Sulf]]&gt;0.5,vp.data[[#This Row],[Unknown]]=0),1,0)</f>
        <v>0</v>
      </c>
      <c r="AA1559">
        <f>IF(AND(vp.data[[#This Row],[CrudeType]]="Crude",vp.data[[#This Row],[Dens]]&lt;=825,vp.data[[#This Row],[Sulf]]&lt;=0.5,vp.data[[#This Row],[Unknown]]=0),1,0)</f>
        <v>0</v>
      </c>
      <c r="AB15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59">
        <f>IF(AND(vp.data[[#This Row],[CrudeType]]="Crude",vp.data[[#This Row],[Dens]]&gt;825,vp.data[[#This Row],[Dens]]&lt;=900,vp.data[[#This Row],[Sulf]]&lt;=0.5,vp.data[[#This Row],[Unknown]]=0),1,0)</f>
        <v>0</v>
      </c>
      <c r="AD1559">
        <f>IF(AND(vp.data[[#This Row],[CrudeType]]="Crude",vp.data[[#This Row],[Dens]]&gt;865,vp.data[[#This Row],[Dens]]&lt;=900,vp.data[[#This Row],[Sulf]]&gt;2,vp.data[[#This Row],[Unknown]]=0),1,0)</f>
        <v>0</v>
      </c>
      <c r="AE1559">
        <f>IF(AND(vp.data[[#This Row],[CrudeType]]="Crude",vp.data[[#This Row],[Dens]]&gt;900,vp.data[[#This Row],[Sulf]]&lt;=0.5,vp.data[[#This Row],[Unknown]]=0),1,0)</f>
        <v>0</v>
      </c>
      <c r="AF1559">
        <f>IF(AND(vp.data[[#This Row],[CrudeType]]="Crude",vp.data[[#This Row],[Dens]]&gt;900,vp.data[[#This Row],[Sulf]]&lt;=0.5,vp.data[[#This Row],[Unknown]]=0),1,0)</f>
        <v>0</v>
      </c>
      <c r="AG1559" t="str">
        <f>INDEX(vp.data[[#Headers],[Unknown]:[Heavy_SW]],MATCH(1,vp.data[[#This Row],[Unknown]:[Heavy_SW]],0))</f>
        <v>Medium_LSB</v>
      </c>
      <c r="AH1559">
        <f>INDEX([3]!crudeBD.lkup[Number],MATCH(vp.data[[#This Row],[Crude_Breakdown]],crudeBD.lkup[Crude Breakdown],0))</f>
        <v>3</v>
      </c>
      <c r="AI1559">
        <f>MONTH(vp.data[[#This Row],[SDate]])</f>
        <v>5</v>
      </c>
      <c r="AJ1559" s="5">
        <f>(vp.data[[#This Row],[VP]]-INDEX(crudeBD.lkup[Mean_VP],MATCH(vp.data[[#This Row],[Crude_Breakdown]],crudeBD.lkup[Crude Breakdown],0)))^2</f>
        <v>128.58826425556182</v>
      </c>
      <c r="AK1559" s="5">
        <f>(vp.data[[#This Row],[Dens]]-INDEX(crudeBD.lkup[Mean_Dens],MATCH(vp.data[[#This Row],[Crude_Breakdown]],crudeBD.lkup[Crude Breakdown],0)))^2</f>
        <v>56.550399999992884</v>
      </c>
      <c r="AL1559" s="5">
        <f>(vp.data[[#This Row],[Sulf]]-INDEX(crudeBD.lkup[Mean_Sulf],MATCH(vp.data[[#This Row],[Crude_Breakdown]],crudeBD.lkup[Crude Breakdown],0)))^2</f>
        <v>1.5523134896231305E-2</v>
      </c>
      <c r="AM1559" s="4">
        <f>IF(AND(vp.data[[#This Row],[SDate]]&gt;=DATE(YEAR(vp.data[[#This Row],[SDate]]),5,1),vp.data[[#This Row],[SDate]]&lt;=DATE(YEAR(vp.data[[#This Row],[SDate]]),9,15)),1,0)</f>
        <v>1</v>
      </c>
      <c r="AN1559" s="4">
        <f>IF(vp.data[[#This Row],[SDate]]&lt;DATE(2016,12,1),0,1)</f>
        <v>1</v>
      </c>
      <c r="AO1559" s="4">
        <f>IFERROR(vp.data[[#This Row],[Sulf]]*vp.data[[#This Row],[Net Dens]],"")</f>
        <v>7435944.3020520005</v>
      </c>
      <c r="AP1559">
        <f>IFERROR(vp.data[[#This Row],[Dens]]*vp.data[[#This Row],[VolumeM3]],"")</f>
        <v>4924466.4252000004</v>
      </c>
      <c r="AQ1559" s="15">
        <f>IFERROR(vp.data[[#This Row],[VP]]*vp.data[[#This Row],[VolumeM3]],"")</f>
        <v>408017.1249</v>
      </c>
    </row>
    <row r="1560" spans="1:43" x14ac:dyDescent="0.25">
      <c r="A1560">
        <v>1559</v>
      </c>
      <c r="B1560" t="s">
        <v>292</v>
      </c>
      <c r="C1560" t="s">
        <v>292</v>
      </c>
      <c r="D1560" t="s">
        <v>57</v>
      </c>
      <c r="F1560" s="1">
        <v>42885</v>
      </c>
      <c r="G1560" s="2">
        <v>74.099999999999994</v>
      </c>
      <c r="H1560" s="2"/>
      <c r="I1560" s="2">
        <f t="array" ref="I1560">_xlfn.IFNA(IF(vp.data[[#This Row],[Sulf Input]]="",INDEX([1]DATA!$Q$3:$Q$9826,MATCH(1,(vp.data[[#This Row],[Battery]]=[1]DATA!$L$3:$L$9826)*(EOMONTH(vp.data[[#This Row],[SDate]],-1)+1=[1]DATA!$G$3:$G$9826),0)),vp.data[[#This Row],[Sulf Input]]),"")</f>
        <v>1.78</v>
      </c>
      <c r="J1560" s="2"/>
      <c r="K1560" s="2"/>
      <c r="L1560" s="2"/>
      <c r="M1560" s="2">
        <f t="array" ref="M1560">_xlfn.IFNA(IF(vp.data[[#This Row],[Dens Input]]="",INDEX([1]DATA!$O$3:$O$9826,MATCH(1,(vp.data[[#This Row],[Battery]]=[1]DATA!$L$3:$L$9826)*(EOMONTH(vp.data[[#This Row],[SDate]],-1)+1=[1]DATA!$G$3:$G$9826),0)),vp.data[[#This Row],[Dens Input]]),"")</f>
        <v>851.1</v>
      </c>
      <c r="N1560" s="2">
        <f ca="1">INDEX(INDIRECT(_xlfn.CONCAT("weather.tbl[",N$1,"]")),MATCH(vp.data[[#This Row],[SDate]],weather.tbl[Date],0))</f>
        <v>11.366666666666667</v>
      </c>
      <c r="O1560" s="2">
        <f ca="1">INDEX(INDIRECT(_xlfn.CONCAT("weather.tbl[",O$1,"]")),MATCH(vp.data[[#This Row],[SDate]],weather.tbl[Date],0))</f>
        <v>13.104761904761906</v>
      </c>
      <c r="P1560" s="2">
        <f ca="1">INDEX(INDIRECT(_xlfn.CONCAT("weather.tbl[",P$1,"]")),MATCH(vp.data[[#This Row],[SDate]],weather.tbl[Date],0))</f>
        <v>10.199999999999999</v>
      </c>
      <c r="Q1560" s="2">
        <f ca="1">INDEX(INDIRECT(_xlfn.CONCAT("weather.tbl[",Q$1,"]")),MATCH(vp.data[[#This Row],[SDate]],weather.tbl[Date],0))</f>
        <v>12.8</v>
      </c>
      <c r="R1560" s="2">
        <f ca="1">INDEX(INDIRECT(_xlfn.CONCAT("weather.tbl[",R$1,"]")),MATCH(vp.data[[#This Row],[SDate]],weather.tbl[Date],0))</f>
        <v>11.3</v>
      </c>
      <c r="S1560" s="2">
        <f ca="1">INDEX(INDIRECT(_xlfn.CONCAT("weather.tbl[",S$1,"]")),MATCH(vp.data[[#This Row],[SDate]],weather.tbl[Date],0))</f>
        <v>9.6999999999999993</v>
      </c>
      <c r="T1560" s="2">
        <f ca="1">INDEX(INDIRECT(_xlfn.CONCAT("weather.tbl[",T$1,"]")),MATCH(vp.data[[#This Row],[SDate]],weather.tbl[Date],0))</f>
        <v>13.2</v>
      </c>
      <c r="U1560" s="2">
        <f ca="1">INDEX(INDIRECT(_xlfn.CONCAT("weather.tbl[",U$1,"]")),MATCH(vp.data[[#This Row],[SDate]],weather.tbl[Date],0))</f>
        <v>11</v>
      </c>
      <c r="V1560" s="2">
        <f t="array" ref="V15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3038.6930000000002</v>
      </c>
      <c r="W1560" t="s">
        <v>48</v>
      </c>
      <c r="X1560">
        <f>IF(OR(vp.data[[#This Row],[Sulf]]="",vp.data[[#This Row],[Dens]]=""),1,0)</f>
        <v>0</v>
      </c>
      <c r="Y1560">
        <f>IF(vp.data[[#This Row],[CrudeType]]="C5+",1,0)</f>
        <v>0</v>
      </c>
      <c r="Z1560">
        <f>IF(AND(vp.data[[#This Row],[CrudeType]]="Crude",vp.data[[#This Row],[Dens]]&lt;=825,vp.data[[#This Row],[Sulf]]&gt;0.5,vp.data[[#This Row],[Unknown]]=0),1,0)</f>
        <v>0</v>
      </c>
      <c r="AA1560">
        <f>IF(AND(vp.data[[#This Row],[CrudeType]]="Crude",vp.data[[#This Row],[Dens]]&lt;=825,vp.data[[#This Row],[Sulf]]&lt;=0.5,vp.data[[#This Row],[Unknown]]=0),1,0)</f>
        <v>0</v>
      </c>
      <c r="AB15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60">
        <f>IF(AND(vp.data[[#This Row],[CrudeType]]="Crude",vp.data[[#This Row],[Dens]]&gt;825,vp.data[[#This Row],[Dens]]&lt;=900,vp.data[[#This Row],[Sulf]]&lt;=0.5,vp.data[[#This Row],[Unknown]]=0),1,0)</f>
        <v>0</v>
      </c>
      <c r="AD1560">
        <f>IF(AND(vp.data[[#This Row],[CrudeType]]="Crude",vp.data[[#This Row],[Dens]]&gt;865,vp.data[[#This Row],[Dens]]&lt;=900,vp.data[[#This Row],[Sulf]]&gt;2,vp.data[[#This Row],[Unknown]]=0),1,0)</f>
        <v>0</v>
      </c>
      <c r="AE1560">
        <f>IF(AND(vp.data[[#This Row],[CrudeType]]="Crude",vp.data[[#This Row],[Dens]]&gt;900,vp.data[[#This Row],[Sulf]]&lt;=0.5,vp.data[[#This Row],[Unknown]]=0),1,0)</f>
        <v>0</v>
      </c>
      <c r="AF1560">
        <f>IF(AND(vp.data[[#This Row],[CrudeType]]="Crude",vp.data[[#This Row],[Dens]]&gt;900,vp.data[[#This Row],[Sulf]]&lt;=0.5,vp.data[[#This Row],[Unknown]]=0),1,0)</f>
        <v>0</v>
      </c>
      <c r="AG1560" t="str">
        <f>INDEX(vp.data[[#Headers],[Unknown]:[Heavy_SW]],MATCH(1,vp.data[[#This Row],[Unknown]:[Heavy_SW]],0))</f>
        <v>Medium_LSB</v>
      </c>
      <c r="AH1560">
        <f>INDEX([3]!crudeBD.lkup[Number],MATCH(vp.data[[#This Row],[Crude_Breakdown]],crudeBD.lkup[Crude Breakdown],0))</f>
        <v>3</v>
      </c>
      <c r="AI1560">
        <f>MONTH(vp.data[[#This Row],[SDate]])</f>
        <v>5</v>
      </c>
      <c r="AJ1560" s="5">
        <f>(vp.data[[#This Row],[VP]]-INDEX(crudeBD.lkup[Mean_VP],MATCH(vp.data[[#This Row],[Crude_Breakdown]],crudeBD.lkup[Crude Breakdown],0)))^2</f>
        <v>42.767369376856323</v>
      </c>
      <c r="AK1560" s="5">
        <f>(vp.data[[#This Row],[Dens]]-INDEX(crudeBD.lkup[Mean_Dens],MATCH(vp.data[[#This Row],[Crude_Breakdown]],crudeBD.lkup[Crude Breakdown],0)))^2</f>
        <v>51.552400000007445</v>
      </c>
      <c r="AL1560" s="5">
        <f>(vp.data[[#This Row],[Sulf]]-INDEX(crudeBD.lkup[Mean_Sulf],MATCH(vp.data[[#This Row],[Crude_Breakdown]],crudeBD.lkup[Crude Breakdown],0)))^2</f>
        <v>0.15570274648652699</v>
      </c>
      <c r="AM1560" s="4">
        <f>IF(AND(vp.data[[#This Row],[SDate]]&gt;=DATE(YEAR(vp.data[[#This Row],[SDate]]),5,1),vp.data[[#This Row],[SDate]]&lt;=DATE(YEAR(vp.data[[#This Row],[SDate]]),9,15)),1,0)</f>
        <v>1</v>
      </c>
      <c r="AN1560" s="4">
        <f>IF(vp.data[[#This Row],[SDate]]&lt;DATE(2016,12,1),0,1)</f>
        <v>1</v>
      </c>
      <c r="AO1560" s="4">
        <f>IFERROR(vp.data[[#This Row],[Sulf]]*vp.data[[#This Row],[Net Dens]],"")</f>
        <v>4603492.2698940001</v>
      </c>
      <c r="AP1560">
        <f>IFERROR(vp.data[[#This Row],[Dens]]*vp.data[[#This Row],[VolumeM3]],"")</f>
        <v>2586231.6123000002</v>
      </c>
      <c r="AQ1560" s="15">
        <f>IFERROR(vp.data[[#This Row],[VP]]*vp.data[[#This Row],[VolumeM3]],"")</f>
        <v>225167.1513</v>
      </c>
    </row>
    <row r="1561" spans="1:43" x14ac:dyDescent="0.25">
      <c r="A1561">
        <v>1560</v>
      </c>
      <c r="B1561" t="s">
        <v>292</v>
      </c>
      <c r="C1561" t="s">
        <v>292</v>
      </c>
      <c r="D1561" t="s">
        <v>94</v>
      </c>
      <c r="F1561" s="1">
        <v>42885</v>
      </c>
      <c r="G1561" s="2">
        <v>71.5</v>
      </c>
      <c r="H1561" s="2"/>
      <c r="I1561" s="2">
        <f t="array" ref="I1561">_xlfn.IFNA(IF(vp.data[[#This Row],[Sulf Input]]="",INDEX([1]DATA!$Q$3:$Q$9826,MATCH(1,(vp.data[[#This Row],[Battery]]=[1]DATA!$L$3:$L$9826)*(EOMONTH(vp.data[[#This Row],[SDate]],-1)+1=[1]DATA!$G$3:$G$9826),0)),vp.data[[#This Row],[Sulf Input]]),"")</f>
        <v>1.96</v>
      </c>
      <c r="J1561" s="2"/>
      <c r="K1561" s="2"/>
      <c r="L1561" s="2"/>
      <c r="M1561" s="2">
        <f t="array" ref="M1561">_xlfn.IFNA(IF(vp.data[[#This Row],[Dens Input]]="",INDEX([1]DATA!$O$3:$O$9826,MATCH(1,(vp.data[[#This Row],[Battery]]=[1]DATA!$L$3:$L$9826)*(EOMONTH(vp.data[[#This Row],[SDate]],-1)+1=[1]DATA!$G$3:$G$9826),0)),vp.data[[#This Row],[Dens Input]]),"")</f>
        <v>865.5</v>
      </c>
      <c r="N1561" s="2">
        <f ca="1">INDEX(INDIRECT(_xlfn.CONCAT("weather.tbl[",N$1,"]")),MATCH(vp.data[[#This Row],[SDate]],weather.tbl[Date],0))</f>
        <v>11.366666666666667</v>
      </c>
      <c r="O1561" s="2">
        <f ca="1">INDEX(INDIRECT(_xlfn.CONCAT("weather.tbl[",O$1,"]")),MATCH(vp.data[[#This Row],[SDate]],weather.tbl[Date],0))</f>
        <v>13.104761904761906</v>
      </c>
      <c r="P1561" s="2">
        <f ca="1">INDEX(INDIRECT(_xlfn.CONCAT("weather.tbl[",P$1,"]")),MATCH(vp.data[[#This Row],[SDate]],weather.tbl[Date],0))</f>
        <v>10.199999999999999</v>
      </c>
      <c r="Q1561" s="2">
        <f ca="1">INDEX(INDIRECT(_xlfn.CONCAT("weather.tbl[",Q$1,"]")),MATCH(vp.data[[#This Row],[SDate]],weather.tbl[Date],0))</f>
        <v>12.8</v>
      </c>
      <c r="R1561" s="2">
        <f ca="1">INDEX(INDIRECT(_xlfn.CONCAT("weather.tbl[",R$1,"]")),MATCH(vp.data[[#This Row],[SDate]],weather.tbl[Date],0))</f>
        <v>11.3</v>
      </c>
      <c r="S1561" s="2">
        <f ca="1">INDEX(INDIRECT(_xlfn.CONCAT("weather.tbl[",S$1,"]")),MATCH(vp.data[[#This Row],[SDate]],weather.tbl[Date],0))</f>
        <v>9.6999999999999993</v>
      </c>
      <c r="T1561" s="2">
        <f ca="1">INDEX(INDIRECT(_xlfn.CONCAT("weather.tbl[",T$1,"]")),MATCH(vp.data[[#This Row],[SDate]],weather.tbl[Date],0))</f>
        <v>13.2</v>
      </c>
      <c r="U1561" s="2">
        <f ca="1">INDEX(INDIRECT(_xlfn.CONCAT("weather.tbl[",U$1,"]")),MATCH(vp.data[[#This Row],[SDate]],weather.tbl[Date],0))</f>
        <v>11</v>
      </c>
      <c r="V1561" s="2">
        <f t="array" ref="V15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4763.951</v>
      </c>
      <c r="W1561" t="s">
        <v>48</v>
      </c>
      <c r="X1561">
        <f>IF(OR(vp.data[[#This Row],[Sulf]]="",vp.data[[#This Row],[Dens]]=""),1,0)</f>
        <v>0</v>
      </c>
      <c r="Y1561">
        <f>IF(vp.data[[#This Row],[CrudeType]]="C5+",1,0)</f>
        <v>0</v>
      </c>
      <c r="Z1561">
        <f>IF(AND(vp.data[[#This Row],[CrudeType]]="Crude",vp.data[[#This Row],[Dens]]&lt;=825,vp.data[[#This Row],[Sulf]]&gt;0.5,vp.data[[#This Row],[Unknown]]=0),1,0)</f>
        <v>0</v>
      </c>
      <c r="AA1561">
        <f>IF(AND(vp.data[[#This Row],[CrudeType]]="Crude",vp.data[[#This Row],[Dens]]&lt;=825,vp.data[[#This Row],[Sulf]]&lt;=0.5,vp.data[[#This Row],[Unknown]]=0),1,0)</f>
        <v>0</v>
      </c>
      <c r="AB15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61">
        <f>IF(AND(vp.data[[#This Row],[CrudeType]]="Crude",vp.data[[#This Row],[Dens]]&gt;825,vp.data[[#This Row],[Dens]]&lt;=900,vp.data[[#This Row],[Sulf]]&lt;=0.5,vp.data[[#This Row],[Unknown]]=0),1,0)</f>
        <v>0</v>
      </c>
      <c r="AD1561">
        <f>IF(AND(vp.data[[#This Row],[CrudeType]]="Crude",vp.data[[#This Row],[Dens]]&gt;865,vp.data[[#This Row],[Dens]]&lt;=900,vp.data[[#This Row],[Sulf]]&gt;2,vp.data[[#This Row],[Unknown]]=0),1,0)</f>
        <v>0</v>
      </c>
      <c r="AE1561">
        <f>IF(AND(vp.data[[#This Row],[CrudeType]]="Crude",vp.data[[#This Row],[Dens]]&gt;900,vp.data[[#This Row],[Sulf]]&lt;=0.5,vp.data[[#This Row],[Unknown]]=0),1,0)</f>
        <v>0</v>
      </c>
      <c r="AF1561">
        <f>IF(AND(vp.data[[#This Row],[CrudeType]]="Crude",vp.data[[#This Row],[Dens]]&gt;900,vp.data[[#This Row],[Sulf]]&lt;=0.5,vp.data[[#This Row],[Unknown]]=0),1,0)</f>
        <v>0</v>
      </c>
      <c r="AG1561" t="str">
        <f>INDEX(vp.data[[#Headers],[Unknown]:[Heavy_SW]],MATCH(1,vp.data[[#This Row],[Unknown]:[Heavy_SW]],0))</f>
        <v>Medium_LSB</v>
      </c>
      <c r="AH1561">
        <f>INDEX([3]!crudeBD.lkup[Number],MATCH(vp.data[[#This Row],[Crude_Breakdown]],crudeBD.lkup[Crude Breakdown],0))</f>
        <v>3</v>
      </c>
      <c r="AI1561">
        <f>MONTH(vp.data[[#This Row],[SDate]])</f>
        <v>5</v>
      </c>
      <c r="AJ1561" s="5">
        <f>(vp.data[[#This Row],[VP]]-INDEX(crudeBD.lkup[Mean_VP],MATCH(vp.data[[#This Row],[Crude_Breakdown]],crudeBD.lkup[Crude Breakdown],0)))^2</f>
        <v>83.533687436155063</v>
      </c>
      <c r="AK1561" s="5">
        <f>(vp.data[[#This Row],[Dens]]-INDEX(crudeBD.lkup[Mean_Dens],MATCH(vp.data[[#This Row],[Crude_Breakdown]],crudeBD.lkup[Crude Breakdown],0)))^2</f>
        <v>465.69640000002141</v>
      </c>
      <c r="AL1561" s="5">
        <f>(vp.data[[#This Row],[Sulf]]-INDEX(crudeBD.lkup[Mean_Sulf],MATCH(vp.data[[#This Row],[Crude_Breakdown]],crudeBD.lkup[Crude Breakdown],0)))^2</f>
        <v>0.3301558208800574</v>
      </c>
      <c r="AM1561" s="4">
        <f>IF(AND(vp.data[[#This Row],[SDate]]&gt;=DATE(YEAR(vp.data[[#This Row],[SDate]]),5,1),vp.data[[#This Row],[SDate]]&lt;=DATE(YEAR(vp.data[[#This Row],[SDate]]),9,15)),1,0)</f>
        <v>1</v>
      </c>
      <c r="AN1561" s="4">
        <f>IF(vp.data[[#This Row],[SDate]]&lt;DATE(2016,12,1),0,1)</f>
        <v>1</v>
      </c>
      <c r="AO1561" s="4">
        <f>IFERROR(vp.data[[#This Row],[Sulf]]*vp.data[[#This Row],[Net Dens]],"")</f>
        <v>8081471.1973799998</v>
      </c>
      <c r="AP1561">
        <f>IFERROR(vp.data[[#This Row],[Dens]]*vp.data[[#This Row],[VolumeM3]],"")</f>
        <v>4123199.5904999999</v>
      </c>
      <c r="AQ1561" s="15">
        <f>IFERROR(vp.data[[#This Row],[VP]]*vp.data[[#This Row],[VolumeM3]],"")</f>
        <v>340622.49650000001</v>
      </c>
    </row>
    <row r="1562" spans="1:43" x14ac:dyDescent="0.25">
      <c r="A1562">
        <v>1561</v>
      </c>
      <c r="B1562" t="s">
        <v>62</v>
      </c>
      <c r="C1562" t="s">
        <v>62</v>
      </c>
      <c r="D1562" t="s">
        <v>63</v>
      </c>
      <c r="F1562" s="1">
        <v>42885</v>
      </c>
      <c r="G1562" s="2">
        <v>74</v>
      </c>
      <c r="H1562" s="2"/>
      <c r="I1562" s="2">
        <f t="array" ref="I1562">_xlfn.IFNA(IF(vp.data[[#This Row],[Sulf Input]]="",INDEX([1]DATA!$Q$3:$Q$9826,MATCH(1,(vp.data[[#This Row],[Battery]]=[1]DATA!$L$3:$L$9826)*(EOMONTH(vp.data[[#This Row],[SDate]],-1)+1=[1]DATA!$G$3:$G$9826),0)),vp.data[[#This Row],[Sulf Input]]),"")</f>
        <v>0.8</v>
      </c>
      <c r="J1562" s="2"/>
      <c r="K1562" s="2"/>
      <c r="L1562" s="2"/>
      <c r="M1562" s="2">
        <f t="array" ref="M1562">_xlfn.IFNA(IF(vp.data[[#This Row],[Dens Input]]="",INDEX([1]DATA!$O$3:$O$9826,MATCH(1,(vp.data[[#This Row],[Battery]]=[1]DATA!$L$3:$L$9826)*(EOMONTH(vp.data[[#This Row],[SDate]],-1)+1=[1]DATA!$G$3:$G$9826),0)),vp.data[[#This Row],[Dens Input]]),"")</f>
        <v>821.4</v>
      </c>
      <c r="N1562" s="2">
        <f ca="1">INDEX(INDIRECT(_xlfn.CONCAT("weather.tbl[",N$1,"]")),MATCH(vp.data[[#This Row],[SDate]],weather.tbl[Date],0))</f>
        <v>11.366666666666667</v>
      </c>
      <c r="O1562" s="2">
        <f ca="1">INDEX(INDIRECT(_xlfn.CONCAT("weather.tbl[",O$1,"]")),MATCH(vp.data[[#This Row],[SDate]],weather.tbl[Date],0))</f>
        <v>13.104761904761906</v>
      </c>
      <c r="P1562" s="2">
        <f ca="1">INDEX(INDIRECT(_xlfn.CONCAT("weather.tbl[",P$1,"]")),MATCH(vp.data[[#This Row],[SDate]],weather.tbl[Date],0))</f>
        <v>10.199999999999999</v>
      </c>
      <c r="Q1562" s="2">
        <f ca="1">INDEX(INDIRECT(_xlfn.CONCAT("weather.tbl[",Q$1,"]")),MATCH(vp.data[[#This Row],[SDate]],weather.tbl[Date],0))</f>
        <v>12.8</v>
      </c>
      <c r="R1562" s="2">
        <f ca="1">INDEX(INDIRECT(_xlfn.CONCAT("weather.tbl[",R$1,"]")),MATCH(vp.data[[#This Row],[SDate]],weather.tbl[Date],0))</f>
        <v>11.3</v>
      </c>
      <c r="S1562" s="2">
        <f ca="1">INDEX(INDIRECT(_xlfn.CONCAT("weather.tbl[",S$1,"]")),MATCH(vp.data[[#This Row],[SDate]],weather.tbl[Date],0))</f>
        <v>9.6999999999999993</v>
      </c>
      <c r="T1562" s="2">
        <f ca="1">INDEX(INDIRECT(_xlfn.CONCAT("weather.tbl[",T$1,"]")),MATCH(vp.data[[#This Row],[SDate]],weather.tbl[Date],0))</f>
        <v>13.2</v>
      </c>
      <c r="U1562" s="2">
        <f ca="1">INDEX(INDIRECT(_xlfn.CONCAT("weather.tbl[",U$1,"]")),MATCH(vp.data[[#This Row],[SDate]],weather.tbl[Date],0))</f>
        <v>11</v>
      </c>
      <c r="V1562" s="2">
        <f t="array" ref="V15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9174.1849999999995</v>
      </c>
      <c r="W1562" t="s">
        <v>48</v>
      </c>
      <c r="X1562">
        <f>IF(OR(vp.data[[#This Row],[Sulf]]="",vp.data[[#This Row],[Dens]]=""),1,0)</f>
        <v>0</v>
      </c>
      <c r="Y1562">
        <f>IF(vp.data[[#This Row],[CrudeType]]="C5+",1,0)</f>
        <v>0</v>
      </c>
      <c r="Z1562">
        <f>IF(AND(vp.data[[#This Row],[CrudeType]]="Crude",vp.data[[#This Row],[Dens]]&lt;=825,vp.data[[#This Row],[Sulf]]&gt;0.5,vp.data[[#This Row],[Unknown]]=0),1,0)</f>
        <v>1</v>
      </c>
      <c r="AA1562">
        <f>IF(AND(vp.data[[#This Row],[CrudeType]]="Crude",vp.data[[#This Row],[Dens]]&lt;=825,vp.data[[#This Row],[Sulf]]&lt;=0.5,vp.data[[#This Row],[Unknown]]=0),1,0)</f>
        <v>0</v>
      </c>
      <c r="AB15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2">
        <f>IF(AND(vp.data[[#This Row],[CrudeType]]="Crude",vp.data[[#This Row],[Dens]]&gt;825,vp.data[[#This Row],[Dens]]&lt;=900,vp.data[[#This Row],[Sulf]]&lt;=0.5,vp.data[[#This Row],[Unknown]]=0),1,0)</f>
        <v>0</v>
      </c>
      <c r="AD1562">
        <f>IF(AND(vp.data[[#This Row],[CrudeType]]="Crude",vp.data[[#This Row],[Dens]]&gt;865,vp.data[[#This Row],[Dens]]&lt;=900,vp.data[[#This Row],[Sulf]]&gt;2,vp.data[[#This Row],[Unknown]]=0),1,0)</f>
        <v>0</v>
      </c>
      <c r="AE1562">
        <f>IF(AND(vp.data[[#This Row],[CrudeType]]="Crude",vp.data[[#This Row],[Dens]]&gt;900,vp.data[[#This Row],[Sulf]]&lt;=0.5,vp.data[[#This Row],[Unknown]]=0),1,0)</f>
        <v>0</v>
      </c>
      <c r="AF1562">
        <f>IF(AND(vp.data[[#This Row],[CrudeType]]="Crude",vp.data[[#This Row],[Dens]]&gt;900,vp.data[[#This Row],[Sulf]]&lt;=0.5,vp.data[[#This Row],[Unknown]]=0),1,0)</f>
        <v>0</v>
      </c>
      <c r="AG1562" t="str">
        <f>INDEX(vp.data[[#Headers],[Unknown]:[Heavy_SW]],MATCH(1,vp.data[[#This Row],[Unknown]:[Heavy_SW]],0))</f>
        <v>Light_LSB</v>
      </c>
      <c r="AH1562">
        <f>INDEX([3]!crudeBD.lkup[Number],MATCH(vp.data[[#This Row],[Crude_Breakdown]],crudeBD.lkup[Crude Breakdown],0))</f>
        <v>1</v>
      </c>
      <c r="AI1562">
        <f>MONTH(vp.data[[#This Row],[SDate]])</f>
        <v>5</v>
      </c>
      <c r="AJ1562" s="5">
        <f>(vp.data[[#This Row],[VP]]-INDEX(crudeBD.lkup[Mean_VP],MATCH(vp.data[[#This Row],[Crude_Breakdown]],crudeBD.lkup[Crude Breakdown],0)))^2</f>
        <v>307.86862795196197</v>
      </c>
      <c r="AK1562" s="5">
        <f>(vp.data[[#This Row],[Dens]]-INDEX(crudeBD.lkup[Mean_Dens],MATCH(vp.data[[#This Row],[Crude_Breakdown]],crudeBD.lkup[Crude Breakdown],0)))^2</f>
        <v>8.3130166200227009</v>
      </c>
      <c r="AL1562" s="5">
        <f>(vp.data[[#This Row],[Sulf]]-INDEX(crudeBD.lkup[Mean_Sulf],MATCH(vp.data[[#This Row],[Crude_Breakdown]],crudeBD.lkup[Crude Breakdown],0)))^2</f>
        <v>1.5121908253942369E-2</v>
      </c>
      <c r="AM1562" s="4">
        <f>IF(AND(vp.data[[#This Row],[SDate]]&gt;=DATE(YEAR(vp.data[[#This Row],[SDate]]),5,1),vp.data[[#This Row],[SDate]]&lt;=DATE(YEAR(vp.data[[#This Row],[SDate]]),9,15)),1,0)</f>
        <v>1</v>
      </c>
      <c r="AN1562" s="4">
        <f>IF(vp.data[[#This Row],[SDate]]&lt;DATE(2016,12,1),0,1)</f>
        <v>1</v>
      </c>
      <c r="AO1562" s="4">
        <f>IFERROR(vp.data[[#This Row],[Sulf]]*vp.data[[#This Row],[Net Dens]],"")</f>
        <v>6028540.4472000003</v>
      </c>
      <c r="AP1562">
        <f>IFERROR(vp.data[[#This Row],[Dens]]*vp.data[[#This Row],[VolumeM3]],"")</f>
        <v>7535675.5589999994</v>
      </c>
      <c r="AQ1562" s="15">
        <f>IFERROR(vp.data[[#This Row],[VP]]*vp.data[[#This Row],[VolumeM3]],"")</f>
        <v>678889.69</v>
      </c>
    </row>
    <row r="1563" spans="1:43" x14ac:dyDescent="0.25">
      <c r="A1563">
        <v>1562</v>
      </c>
      <c r="B1563" t="s">
        <v>51</v>
      </c>
      <c r="C1563" t="s">
        <v>51</v>
      </c>
      <c r="D1563" t="s">
        <v>72</v>
      </c>
      <c r="F1563" s="1">
        <v>42886</v>
      </c>
      <c r="G1563" s="2">
        <v>87.7</v>
      </c>
      <c r="H1563" s="2"/>
      <c r="I1563" s="2">
        <f t="array" ref="I1563">_xlfn.IFNA(IF(vp.data[[#This Row],[Sulf Input]]="",INDEX([1]DATA!$Q$3:$Q$9826,MATCH(1,(vp.data[[#This Row],[Battery]]=[1]DATA!$L$3:$L$9826)*(EOMONTH(vp.data[[#This Row],[SDate]],-1)+1=[1]DATA!$G$3:$G$9826),0)),vp.data[[#This Row],[Sulf Input]]),"")</f>
        <v>1.06</v>
      </c>
      <c r="J1563" s="2"/>
      <c r="K1563" s="2"/>
      <c r="L1563" s="2"/>
      <c r="M1563" s="2">
        <f t="array" ref="M1563">_xlfn.IFNA(IF(vp.data[[#This Row],[Dens Input]]="",INDEX([1]DATA!$O$3:$O$9826,MATCH(1,(vp.data[[#This Row],[Battery]]=[1]DATA!$L$3:$L$9826)*(EOMONTH(vp.data[[#This Row],[SDate]],-1)+1=[1]DATA!$G$3:$G$9826),0)),vp.data[[#This Row],[Dens Input]]),"")</f>
        <v>829.4</v>
      </c>
      <c r="N1563" s="2">
        <f ca="1">INDEX(INDIRECT(_xlfn.CONCAT("weather.tbl[",N$1,"]")),MATCH(vp.data[[#This Row],[SDate]],weather.tbl[Date],0))</f>
        <v>13.600000000000001</v>
      </c>
      <c r="O1563" s="2">
        <f ca="1">INDEX(INDIRECT(_xlfn.CONCAT("weather.tbl[",O$1,"]")),MATCH(vp.data[[#This Row],[SDate]],weather.tbl[Date],0))</f>
        <v>12.745238095238095</v>
      </c>
      <c r="P1563" s="2">
        <f ca="1">INDEX(INDIRECT(_xlfn.CONCAT("weather.tbl[",P$1,"]")),MATCH(vp.data[[#This Row],[SDate]],weather.tbl[Date],0))</f>
        <v>13.9</v>
      </c>
      <c r="Q1563" s="2">
        <f ca="1">INDEX(INDIRECT(_xlfn.CONCAT("weather.tbl[",Q$1,"]")),MATCH(vp.data[[#This Row],[SDate]],weather.tbl[Date],0))</f>
        <v>13.7</v>
      </c>
      <c r="R1563" s="2">
        <f ca="1">INDEX(INDIRECT(_xlfn.CONCAT("weather.tbl[",R$1,"]")),MATCH(vp.data[[#This Row],[SDate]],weather.tbl[Date],0))</f>
        <v>12.8</v>
      </c>
      <c r="S1563" s="2">
        <f ca="1">INDEX(INDIRECT(_xlfn.CONCAT("weather.tbl[",S$1,"]")),MATCH(vp.data[[#This Row],[SDate]],weather.tbl[Date],0))</f>
        <v>13.5</v>
      </c>
      <c r="T1563" s="2">
        <f ca="1">INDEX(INDIRECT(_xlfn.CONCAT("weather.tbl[",T$1,"]")),MATCH(vp.data[[#This Row],[SDate]],weather.tbl[Date],0))</f>
        <v>14.2</v>
      </c>
      <c r="U1563" s="2">
        <f ca="1">INDEX(INDIRECT(_xlfn.CONCAT("weather.tbl[",U$1,"]")),MATCH(vp.data[[#This Row],[SDate]],weather.tbl[Date],0))</f>
        <v>13.5</v>
      </c>
      <c r="V1563" s="2">
        <f t="array" ref="V15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14195.075000000001</v>
      </c>
      <c r="W1563" t="s">
        <v>48</v>
      </c>
      <c r="X1563">
        <f>IF(OR(vp.data[[#This Row],[Sulf]]="",vp.data[[#This Row],[Dens]]=""),1,0)</f>
        <v>0</v>
      </c>
      <c r="Y1563">
        <f>IF(vp.data[[#This Row],[CrudeType]]="C5+",1,0)</f>
        <v>0</v>
      </c>
      <c r="Z1563">
        <f>IF(AND(vp.data[[#This Row],[CrudeType]]="Crude",vp.data[[#This Row],[Dens]]&lt;=825,vp.data[[#This Row],[Sulf]]&gt;0.5,vp.data[[#This Row],[Unknown]]=0),1,0)</f>
        <v>0</v>
      </c>
      <c r="AA1563">
        <f>IF(AND(vp.data[[#This Row],[CrudeType]]="Crude",vp.data[[#This Row],[Dens]]&lt;=825,vp.data[[#This Row],[Sulf]]&lt;=0.5,vp.data[[#This Row],[Unknown]]=0),1,0)</f>
        <v>0</v>
      </c>
      <c r="AB15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63">
        <f>IF(AND(vp.data[[#This Row],[CrudeType]]="Crude",vp.data[[#This Row],[Dens]]&gt;825,vp.data[[#This Row],[Dens]]&lt;=900,vp.data[[#This Row],[Sulf]]&lt;=0.5,vp.data[[#This Row],[Unknown]]=0),1,0)</f>
        <v>0</v>
      </c>
      <c r="AD1563">
        <f>IF(AND(vp.data[[#This Row],[CrudeType]]="Crude",vp.data[[#This Row],[Dens]]&gt;865,vp.data[[#This Row],[Dens]]&lt;=900,vp.data[[#This Row],[Sulf]]&gt;2,vp.data[[#This Row],[Unknown]]=0),1,0)</f>
        <v>0</v>
      </c>
      <c r="AE1563">
        <f>IF(AND(vp.data[[#This Row],[CrudeType]]="Crude",vp.data[[#This Row],[Dens]]&gt;900,vp.data[[#This Row],[Sulf]]&lt;=0.5,vp.data[[#This Row],[Unknown]]=0),1,0)</f>
        <v>0</v>
      </c>
      <c r="AF1563">
        <f>IF(AND(vp.data[[#This Row],[CrudeType]]="Crude",vp.data[[#This Row],[Dens]]&gt;900,vp.data[[#This Row],[Sulf]]&lt;=0.5,vp.data[[#This Row],[Unknown]]=0),1,0)</f>
        <v>0</v>
      </c>
      <c r="AG1563" t="str">
        <f>INDEX(vp.data[[#Headers],[Unknown]:[Heavy_SW]],MATCH(1,vp.data[[#This Row],[Unknown]:[Heavy_SW]],0))</f>
        <v>Medium_LSB</v>
      </c>
      <c r="AH1563">
        <f>INDEX([3]!crudeBD.lkup[Number],MATCH(vp.data[[#This Row],[Crude_Breakdown]],crudeBD.lkup[Crude Breakdown],0))</f>
        <v>3</v>
      </c>
      <c r="AI1563">
        <f>MONTH(vp.data[[#This Row],[SDate]])</f>
        <v>5</v>
      </c>
      <c r="AJ1563" s="5">
        <f>(vp.data[[#This Row],[VP]]-INDEX(crudeBD.lkup[Mean_VP],MATCH(vp.data[[#This Row],[Crude_Breakdown]],crudeBD.lkup[Crude Breakdown],0)))^2</f>
        <v>49.848167220524005</v>
      </c>
      <c r="AK1563" s="5">
        <f>(vp.data[[#This Row],[Dens]]-INDEX(crudeBD.lkup[Mean_Dens],MATCH(vp.data[[#This Row],[Crude_Breakdown]],crudeBD.lkup[Crude Breakdown],0)))^2</f>
        <v>210.83039999998627</v>
      </c>
      <c r="AL1563" s="5">
        <f>(vp.data[[#This Row],[Sulf]]-INDEX(crudeBD.lkup[Mean_Sulf],MATCH(vp.data[[#This Row],[Crude_Breakdown]],crudeBD.lkup[Crude Breakdown],0)))^2</f>
        <v>0.10589044891240515</v>
      </c>
      <c r="AM1563" s="4">
        <f>IF(AND(vp.data[[#This Row],[SDate]]&gt;=DATE(YEAR(vp.data[[#This Row],[SDate]]),5,1),vp.data[[#This Row],[SDate]]&lt;=DATE(YEAR(vp.data[[#This Row],[SDate]]),9,15)),1,0)</f>
        <v>1</v>
      </c>
      <c r="AN1563" s="4">
        <f>IF(vp.data[[#This Row],[SDate]]&lt;DATE(2016,12,1),0,1)</f>
        <v>1</v>
      </c>
      <c r="AO1563" s="4">
        <f>IFERROR(vp.data[[#This Row],[Sulf]]*vp.data[[#This Row],[Net Dens]],"")</f>
        <v>12479798.917300001</v>
      </c>
      <c r="AP1563">
        <f>IFERROR(vp.data[[#This Row],[Dens]]*vp.data[[#This Row],[VolumeM3]],"")</f>
        <v>11773395.205</v>
      </c>
      <c r="AQ1563" s="15">
        <f>IFERROR(vp.data[[#This Row],[VP]]*vp.data[[#This Row],[VolumeM3]],"")</f>
        <v>1244908.0775000001</v>
      </c>
    </row>
    <row r="1564" spans="1:43" x14ac:dyDescent="0.25">
      <c r="A1564">
        <v>1563</v>
      </c>
      <c r="B1564" t="s">
        <v>60</v>
      </c>
      <c r="C1564" t="s">
        <v>60</v>
      </c>
      <c r="D1564" t="s">
        <v>61</v>
      </c>
      <c r="E1564" t="s">
        <v>289</v>
      </c>
      <c r="F1564" s="1">
        <v>42886</v>
      </c>
      <c r="G1564" s="2">
        <v>89.8</v>
      </c>
      <c r="H1564" s="2"/>
      <c r="I1564" s="2">
        <f t="array" ref="I1564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64" s="2"/>
      <c r="K1564" s="2"/>
      <c r="L1564" s="2"/>
      <c r="M1564" s="2">
        <f t="array" ref="M1564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64" s="2">
        <f ca="1">INDEX(INDIRECT(_xlfn.CONCAT("weather.tbl[",N$1,"]")),MATCH(vp.data[[#This Row],[SDate]],weather.tbl[Date],0))</f>
        <v>13.600000000000001</v>
      </c>
      <c r="O1564" s="2">
        <f ca="1">INDEX(INDIRECT(_xlfn.CONCAT("weather.tbl[",O$1,"]")),MATCH(vp.data[[#This Row],[SDate]],weather.tbl[Date],0))</f>
        <v>12.745238095238095</v>
      </c>
      <c r="P1564" s="2">
        <f ca="1">INDEX(INDIRECT(_xlfn.CONCAT("weather.tbl[",P$1,"]")),MATCH(vp.data[[#This Row],[SDate]],weather.tbl[Date],0))</f>
        <v>13.9</v>
      </c>
      <c r="Q1564" s="2">
        <f ca="1">INDEX(INDIRECT(_xlfn.CONCAT("weather.tbl[",Q$1,"]")),MATCH(vp.data[[#This Row],[SDate]],weather.tbl[Date],0))</f>
        <v>13.7</v>
      </c>
      <c r="R1564" s="2">
        <f ca="1">INDEX(INDIRECT(_xlfn.CONCAT("weather.tbl[",R$1,"]")),MATCH(vp.data[[#This Row],[SDate]],weather.tbl[Date],0))</f>
        <v>12.8</v>
      </c>
      <c r="S1564" s="2">
        <f ca="1">INDEX(INDIRECT(_xlfn.CONCAT("weather.tbl[",S$1,"]")),MATCH(vp.data[[#This Row],[SDate]],weather.tbl[Date],0))</f>
        <v>13.5</v>
      </c>
      <c r="T1564" s="2">
        <f ca="1">INDEX(INDIRECT(_xlfn.CONCAT("weather.tbl[",T$1,"]")),MATCH(vp.data[[#This Row],[SDate]],weather.tbl[Date],0))</f>
        <v>14.2</v>
      </c>
      <c r="U1564" s="2">
        <f ca="1">INDEX(INDIRECT(_xlfn.CONCAT("weather.tbl[",U$1,"]")),MATCH(vp.data[[#This Row],[SDate]],weather.tbl[Date],0))</f>
        <v>13.5</v>
      </c>
      <c r="V1564" s="2">
        <f t="array" ref="V15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64" t="s">
        <v>48</v>
      </c>
      <c r="X1564">
        <f>IF(OR(vp.data[[#This Row],[Sulf]]="",vp.data[[#This Row],[Dens]]=""),1,0)</f>
        <v>0</v>
      </c>
      <c r="Y1564">
        <f>IF(vp.data[[#This Row],[CrudeType]]="C5+",1,0)</f>
        <v>0</v>
      </c>
      <c r="Z1564">
        <f>IF(AND(vp.data[[#This Row],[CrudeType]]="Crude",vp.data[[#This Row],[Dens]]&lt;=825,vp.data[[#This Row],[Sulf]]&gt;0.5,vp.data[[#This Row],[Unknown]]=0),1,0)</f>
        <v>1</v>
      </c>
      <c r="AA1564">
        <f>IF(AND(vp.data[[#This Row],[CrudeType]]="Crude",vp.data[[#This Row],[Dens]]&lt;=825,vp.data[[#This Row],[Sulf]]&lt;=0.5,vp.data[[#This Row],[Unknown]]=0),1,0)</f>
        <v>0</v>
      </c>
      <c r="AB15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4">
        <f>IF(AND(vp.data[[#This Row],[CrudeType]]="Crude",vp.data[[#This Row],[Dens]]&gt;825,vp.data[[#This Row],[Dens]]&lt;=900,vp.data[[#This Row],[Sulf]]&lt;=0.5,vp.data[[#This Row],[Unknown]]=0),1,0)</f>
        <v>0</v>
      </c>
      <c r="AD1564">
        <f>IF(AND(vp.data[[#This Row],[CrudeType]]="Crude",vp.data[[#This Row],[Dens]]&gt;865,vp.data[[#This Row],[Dens]]&lt;=900,vp.data[[#This Row],[Sulf]]&gt;2,vp.data[[#This Row],[Unknown]]=0),1,0)</f>
        <v>0</v>
      </c>
      <c r="AE1564">
        <f>IF(AND(vp.data[[#This Row],[CrudeType]]="Crude",vp.data[[#This Row],[Dens]]&gt;900,vp.data[[#This Row],[Sulf]]&lt;=0.5,vp.data[[#This Row],[Unknown]]=0),1,0)</f>
        <v>0</v>
      </c>
      <c r="AF1564">
        <f>IF(AND(vp.data[[#This Row],[CrudeType]]="Crude",vp.data[[#This Row],[Dens]]&gt;900,vp.data[[#This Row],[Sulf]]&lt;=0.5,vp.data[[#This Row],[Unknown]]=0),1,0)</f>
        <v>0</v>
      </c>
      <c r="AG1564" t="str">
        <f>INDEX(vp.data[[#Headers],[Unknown]:[Heavy_SW]],MATCH(1,vp.data[[#This Row],[Unknown]:[Heavy_SW]],0))</f>
        <v>Light_LSB</v>
      </c>
      <c r="AH1564">
        <f>INDEX([3]!crudeBD.lkup[Number],MATCH(vp.data[[#This Row],[Crude_Breakdown]],crudeBD.lkup[Crude Breakdown],0))</f>
        <v>1</v>
      </c>
      <c r="AI1564">
        <f>MONTH(vp.data[[#This Row],[SDate]])</f>
        <v>5</v>
      </c>
      <c r="AJ1564" s="5">
        <f>(vp.data[[#This Row],[VP]]-INDEX(crudeBD.lkup[Mean_VP],MATCH(vp.data[[#This Row],[Crude_Breakdown]],crudeBD.lkup[Crude Breakdown],0)))^2</f>
        <v>3.049164034435234</v>
      </c>
      <c r="AK1564" s="5">
        <f>(vp.data[[#This Row],[Dens]]-INDEX(crudeBD.lkup[Mean_Dens],MATCH(vp.data[[#This Row],[Crude_Breakdown]],crudeBD.lkup[Crude Breakdown],0)))^2</f>
        <v>32.299105967104147</v>
      </c>
      <c r="AL1564" s="5">
        <f>(vp.data[[#This Row],[Sulf]]-INDEX(crudeBD.lkup[Mean_Sulf],MATCH(vp.data[[#This Row],[Crude_Breakdown]],crudeBD.lkup[Crude Breakdown],0)))^2</f>
        <v>2.7898630590712313E-2</v>
      </c>
      <c r="AM1564" s="4">
        <f>IF(AND(vp.data[[#This Row],[SDate]]&gt;=DATE(YEAR(vp.data[[#This Row],[SDate]]),5,1),vp.data[[#This Row],[SDate]]&lt;=DATE(YEAR(vp.data[[#This Row],[SDate]]),9,15)),1,0)</f>
        <v>1</v>
      </c>
      <c r="AN1564" s="4">
        <f>IF(vp.data[[#This Row],[SDate]]&lt;DATE(2016,12,1),0,1)</f>
        <v>1</v>
      </c>
      <c r="AO1564" s="4">
        <f>IFERROR(vp.data[[#This Row],[Sulf]]*vp.data[[#This Row],[Net Dens]],"")</f>
        <v>106270937.56302401</v>
      </c>
      <c r="AP1564">
        <f>IFERROR(vp.data[[#This Row],[Dens]]*vp.data[[#This Row],[VolumeM3]],"")</f>
        <v>97496272.993600011</v>
      </c>
      <c r="AQ1564" s="15">
        <f>IFERROR(vp.data[[#This Row],[VP]]*vp.data[[#This Row],[VolumeM3]],"")</f>
        <v>10622622.318399999</v>
      </c>
    </row>
    <row r="1565" spans="1:43" x14ac:dyDescent="0.25">
      <c r="A1565">
        <v>1564</v>
      </c>
      <c r="B1565" t="s">
        <v>60</v>
      </c>
      <c r="C1565" t="s">
        <v>60</v>
      </c>
      <c r="D1565" t="s">
        <v>61</v>
      </c>
      <c r="E1565" t="s">
        <v>290</v>
      </c>
      <c r="F1565" s="1">
        <v>42886</v>
      </c>
      <c r="G1565" s="2">
        <v>72.900000000000006</v>
      </c>
      <c r="H1565" s="2"/>
      <c r="I1565" s="2">
        <f t="array" ref="I1565">_xlfn.IFNA(IF(vp.data[[#This Row],[Sulf Input]]="",INDEX([1]DATA!$Q$3:$Q$9826,MATCH(1,(vp.data[[#This Row],[Battery]]=[1]DATA!$L$3:$L$9826)*(EOMONTH(vp.data[[#This Row],[SDate]],-1)+1=[1]DATA!$G$3:$G$9826),0)),vp.data[[#This Row],[Sulf Input]]),"")</f>
        <v>1.0900000000000001</v>
      </c>
      <c r="J1565" s="2"/>
      <c r="K1565" s="2"/>
      <c r="L1565" s="2"/>
      <c r="M1565" s="2">
        <f t="array" ref="M1565">_xlfn.IFNA(IF(vp.data[[#This Row],[Dens Input]]="",INDEX([1]DATA!$O$3:$O$9826,MATCH(1,(vp.data[[#This Row],[Battery]]=[1]DATA!$L$3:$L$9826)*(EOMONTH(vp.data[[#This Row],[SDate]],-1)+1=[1]DATA!$G$3:$G$9826),0)),vp.data[[#This Row],[Dens Input]]),"")</f>
        <v>824.2</v>
      </c>
      <c r="N1565" s="2">
        <f ca="1">INDEX(INDIRECT(_xlfn.CONCAT("weather.tbl[",N$1,"]")),MATCH(vp.data[[#This Row],[SDate]],weather.tbl[Date],0))</f>
        <v>13.600000000000001</v>
      </c>
      <c r="O1565" s="2">
        <f ca="1">INDEX(INDIRECT(_xlfn.CONCAT("weather.tbl[",O$1,"]")),MATCH(vp.data[[#This Row],[SDate]],weather.tbl[Date],0))</f>
        <v>12.745238095238095</v>
      </c>
      <c r="P1565" s="2">
        <f ca="1">INDEX(INDIRECT(_xlfn.CONCAT("weather.tbl[",P$1,"]")),MATCH(vp.data[[#This Row],[SDate]],weather.tbl[Date],0))</f>
        <v>13.9</v>
      </c>
      <c r="Q1565" s="2">
        <f ca="1">INDEX(INDIRECT(_xlfn.CONCAT("weather.tbl[",Q$1,"]")),MATCH(vp.data[[#This Row],[SDate]],weather.tbl[Date],0))</f>
        <v>13.7</v>
      </c>
      <c r="R1565" s="2">
        <f ca="1">INDEX(INDIRECT(_xlfn.CONCAT("weather.tbl[",R$1,"]")),MATCH(vp.data[[#This Row],[SDate]],weather.tbl[Date],0))</f>
        <v>12.8</v>
      </c>
      <c r="S1565" s="2">
        <f ca="1">INDEX(INDIRECT(_xlfn.CONCAT("weather.tbl[",S$1,"]")),MATCH(vp.data[[#This Row],[SDate]],weather.tbl[Date],0))</f>
        <v>13.5</v>
      </c>
      <c r="T1565" s="2">
        <f ca="1">INDEX(INDIRECT(_xlfn.CONCAT("weather.tbl[",T$1,"]")),MATCH(vp.data[[#This Row],[SDate]],weather.tbl[Date],0))</f>
        <v>14.2</v>
      </c>
      <c r="U1565" s="2">
        <f ca="1">INDEX(INDIRECT(_xlfn.CONCAT("weather.tbl[",U$1,"]")),MATCH(vp.data[[#This Row],[SDate]],weather.tbl[Date],0))</f>
        <v>13.5</v>
      </c>
      <c r="V1565" s="2">
        <f t="array" ref="V15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118292.008</v>
      </c>
      <c r="W1565" t="s">
        <v>48</v>
      </c>
      <c r="X1565">
        <f>IF(OR(vp.data[[#This Row],[Sulf]]="",vp.data[[#This Row],[Dens]]=""),1,0)</f>
        <v>0</v>
      </c>
      <c r="Y1565">
        <f>IF(vp.data[[#This Row],[CrudeType]]="C5+",1,0)</f>
        <v>0</v>
      </c>
      <c r="Z1565">
        <f>IF(AND(vp.data[[#This Row],[CrudeType]]="Crude",vp.data[[#This Row],[Dens]]&lt;=825,vp.data[[#This Row],[Sulf]]&gt;0.5,vp.data[[#This Row],[Unknown]]=0),1,0)</f>
        <v>1</v>
      </c>
      <c r="AA1565">
        <f>IF(AND(vp.data[[#This Row],[CrudeType]]="Crude",vp.data[[#This Row],[Dens]]&lt;=825,vp.data[[#This Row],[Sulf]]&lt;=0.5,vp.data[[#This Row],[Unknown]]=0),1,0)</f>
        <v>0</v>
      </c>
      <c r="AB15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5">
        <f>IF(AND(vp.data[[#This Row],[CrudeType]]="Crude",vp.data[[#This Row],[Dens]]&gt;825,vp.data[[#This Row],[Dens]]&lt;=900,vp.data[[#This Row],[Sulf]]&lt;=0.5,vp.data[[#This Row],[Unknown]]=0),1,0)</f>
        <v>0</v>
      </c>
      <c r="AD1565">
        <f>IF(AND(vp.data[[#This Row],[CrudeType]]="Crude",vp.data[[#This Row],[Dens]]&gt;865,vp.data[[#This Row],[Dens]]&lt;=900,vp.data[[#This Row],[Sulf]]&gt;2,vp.data[[#This Row],[Unknown]]=0),1,0)</f>
        <v>0</v>
      </c>
      <c r="AE1565">
        <f>IF(AND(vp.data[[#This Row],[CrudeType]]="Crude",vp.data[[#This Row],[Dens]]&gt;900,vp.data[[#This Row],[Sulf]]&lt;=0.5,vp.data[[#This Row],[Unknown]]=0),1,0)</f>
        <v>0</v>
      </c>
      <c r="AF1565">
        <f>IF(AND(vp.data[[#This Row],[CrudeType]]="Crude",vp.data[[#This Row],[Dens]]&gt;900,vp.data[[#This Row],[Sulf]]&lt;=0.5,vp.data[[#This Row],[Unknown]]=0),1,0)</f>
        <v>0</v>
      </c>
      <c r="AG1565" t="str">
        <f>INDEX(vp.data[[#Headers],[Unknown]:[Heavy_SW]],MATCH(1,vp.data[[#This Row],[Unknown]:[Heavy_SW]],0))</f>
        <v>Light_LSB</v>
      </c>
      <c r="AH1565">
        <f>INDEX([3]!crudeBD.lkup[Number],MATCH(vp.data[[#This Row],[Crude_Breakdown]],crudeBD.lkup[Crude Breakdown],0))</f>
        <v>1</v>
      </c>
      <c r="AI1565">
        <f>MONTH(vp.data[[#This Row],[SDate]])</f>
        <v>5</v>
      </c>
      <c r="AJ1565" s="5">
        <f>(vp.data[[#This Row],[VP]]-INDEX(crudeBD.lkup[Mean_VP],MATCH(vp.data[[#This Row],[Crude_Breakdown]],crudeBD.lkup[Crude Breakdown],0)))^2</f>
        <v>347.68023619938452</v>
      </c>
      <c r="AK1565" s="5">
        <f>(vp.data[[#This Row],[Dens]]-INDEX(crudeBD.lkup[Mean_Dens],MATCH(vp.data[[#This Row],[Crude_Breakdown]],crudeBD.lkup[Crude Breakdown],0)))^2</f>
        <v>32.299105967104147</v>
      </c>
      <c r="AL1565" s="5">
        <f>(vp.data[[#This Row],[Sulf]]-INDEX(crudeBD.lkup[Mean_Sulf],MATCH(vp.data[[#This Row],[Crude_Breakdown]],crudeBD.lkup[Crude Breakdown],0)))^2</f>
        <v>2.7898630590712313E-2</v>
      </c>
      <c r="AM1565" s="4">
        <f>IF(AND(vp.data[[#This Row],[SDate]]&gt;=DATE(YEAR(vp.data[[#This Row],[SDate]]),5,1),vp.data[[#This Row],[SDate]]&lt;=DATE(YEAR(vp.data[[#This Row],[SDate]]),9,15)),1,0)</f>
        <v>1</v>
      </c>
      <c r="AN1565" s="4">
        <f>IF(vp.data[[#This Row],[SDate]]&lt;DATE(2016,12,1),0,1)</f>
        <v>1</v>
      </c>
      <c r="AO1565" s="4">
        <f>IFERROR(vp.data[[#This Row],[Sulf]]*vp.data[[#This Row],[Net Dens]],"")</f>
        <v>106270937.56302401</v>
      </c>
      <c r="AP1565">
        <f>IFERROR(vp.data[[#This Row],[Dens]]*vp.data[[#This Row],[VolumeM3]],"")</f>
        <v>97496272.993600011</v>
      </c>
      <c r="AQ1565" s="15">
        <f>IFERROR(vp.data[[#This Row],[VP]]*vp.data[[#This Row],[VolumeM3]],"")</f>
        <v>8623487.383200001</v>
      </c>
    </row>
    <row r="1566" spans="1:43" x14ac:dyDescent="0.25">
      <c r="A1566">
        <v>1565</v>
      </c>
      <c r="B1566" t="s">
        <v>49</v>
      </c>
      <c r="C1566" t="s">
        <v>49</v>
      </c>
      <c r="D1566" t="s">
        <v>90</v>
      </c>
      <c r="F1566" s="1">
        <v>42886</v>
      </c>
      <c r="G1566" s="2">
        <v>66.2</v>
      </c>
      <c r="H1566" s="2"/>
      <c r="I1566" s="2">
        <f t="array" ref="I1566">_xlfn.IFNA(IF(vp.data[[#This Row],[Sulf Input]]="",INDEX([1]DATA!$Q$3:$Q$9826,MATCH(1,(vp.data[[#This Row],[Battery]]=[1]DATA!$L$3:$L$9826)*(EOMONTH(vp.data[[#This Row],[SDate]],-1)+1=[1]DATA!$G$3:$G$9826),0)),vp.data[[#This Row],[Sulf Input]]),"")</f>
        <v>1.28</v>
      </c>
      <c r="J1566" s="2"/>
      <c r="K1566" s="2"/>
      <c r="L1566" s="2"/>
      <c r="M1566" s="2">
        <f t="array" ref="M1566">_xlfn.IFNA(IF(vp.data[[#This Row],[Dens Input]]="",INDEX([1]DATA!$O$3:$O$9826,MATCH(1,(vp.data[[#This Row],[Battery]]=[1]DATA!$L$3:$L$9826)*(EOMONTH(vp.data[[#This Row],[SDate]],-1)+1=[1]DATA!$G$3:$G$9826),0)),vp.data[[#This Row],[Dens Input]]),"")</f>
        <v>847.4</v>
      </c>
      <c r="N1566" s="2">
        <f ca="1">INDEX(INDIRECT(_xlfn.CONCAT("weather.tbl[",N$1,"]")),MATCH(vp.data[[#This Row],[SDate]],weather.tbl[Date],0))</f>
        <v>13.600000000000001</v>
      </c>
      <c r="O1566" s="2">
        <f ca="1">INDEX(INDIRECT(_xlfn.CONCAT("weather.tbl[",O$1,"]")),MATCH(vp.data[[#This Row],[SDate]],weather.tbl[Date],0))</f>
        <v>12.745238095238095</v>
      </c>
      <c r="P1566" s="2">
        <f ca="1">INDEX(INDIRECT(_xlfn.CONCAT("weather.tbl[",P$1,"]")),MATCH(vp.data[[#This Row],[SDate]],weather.tbl[Date],0))</f>
        <v>13.9</v>
      </c>
      <c r="Q1566" s="2">
        <f ca="1">INDEX(INDIRECT(_xlfn.CONCAT("weather.tbl[",Q$1,"]")),MATCH(vp.data[[#This Row],[SDate]],weather.tbl[Date],0))</f>
        <v>13.7</v>
      </c>
      <c r="R1566" s="2">
        <f ca="1">INDEX(INDIRECT(_xlfn.CONCAT("weather.tbl[",R$1,"]")),MATCH(vp.data[[#This Row],[SDate]],weather.tbl[Date],0))</f>
        <v>12.8</v>
      </c>
      <c r="S1566" s="2">
        <f ca="1">INDEX(INDIRECT(_xlfn.CONCAT("weather.tbl[",S$1,"]")),MATCH(vp.data[[#This Row],[SDate]],weather.tbl[Date],0))</f>
        <v>13.5</v>
      </c>
      <c r="T1566" s="2">
        <f ca="1">INDEX(INDIRECT(_xlfn.CONCAT("weather.tbl[",T$1,"]")),MATCH(vp.data[[#This Row],[SDate]],weather.tbl[Date],0))</f>
        <v>14.2</v>
      </c>
      <c r="U1566" s="2">
        <f ca="1">INDEX(INDIRECT(_xlfn.CONCAT("weather.tbl[",U$1,"]")),MATCH(vp.data[[#This Row],[SDate]],weather.tbl[Date],0))</f>
        <v>13.5</v>
      </c>
      <c r="V1566" s="2">
        <f t="array" ref="V15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4681.2809999999999</v>
      </c>
      <c r="W1566" t="s">
        <v>48</v>
      </c>
      <c r="X1566">
        <f>IF(OR(vp.data[[#This Row],[Sulf]]="",vp.data[[#This Row],[Dens]]=""),1,0)</f>
        <v>0</v>
      </c>
      <c r="Y1566">
        <f>IF(vp.data[[#This Row],[CrudeType]]="C5+",1,0)</f>
        <v>0</v>
      </c>
      <c r="Z1566">
        <f>IF(AND(vp.data[[#This Row],[CrudeType]]="Crude",vp.data[[#This Row],[Dens]]&lt;=825,vp.data[[#This Row],[Sulf]]&gt;0.5,vp.data[[#This Row],[Unknown]]=0),1,0)</f>
        <v>0</v>
      </c>
      <c r="AA1566">
        <f>IF(AND(vp.data[[#This Row],[CrudeType]]="Crude",vp.data[[#This Row],[Dens]]&lt;=825,vp.data[[#This Row],[Sulf]]&lt;=0.5,vp.data[[#This Row],[Unknown]]=0),1,0)</f>
        <v>0</v>
      </c>
      <c r="AB15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66">
        <f>IF(AND(vp.data[[#This Row],[CrudeType]]="Crude",vp.data[[#This Row],[Dens]]&gt;825,vp.data[[#This Row],[Dens]]&lt;=900,vp.data[[#This Row],[Sulf]]&lt;=0.5,vp.data[[#This Row],[Unknown]]=0),1,0)</f>
        <v>0</v>
      </c>
      <c r="AD1566">
        <f>IF(AND(vp.data[[#This Row],[CrudeType]]="Crude",vp.data[[#This Row],[Dens]]&gt;865,vp.data[[#This Row],[Dens]]&lt;=900,vp.data[[#This Row],[Sulf]]&gt;2,vp.data[[#This Row],[Unknown]]=0),1,0)</f>
        <v>0</v>
      </c>
      <c r="AE1566">
        <f>IF(AND(vp.data[[#This Row],[CrudeType]]="Crude",vp.data[[#This Row],[Dens]]&gt;900,vp.data[[#This Row],[Sulf]]&lt;=0.5,vp.data[[#This Row],[Unknown]]=0),1,0)</f>
        <v>0</v>
      </c>
      <c r="AF1566">
        <f>IF(AND(vp.data[[#This Row],[CrudeType]]="Crude",vp.data[[#This Row],[Dens]]&gt;900,vp.data[[#This Row],[Sulf]]&lt;=0.5,vp.data[[#This Row],[Unknown]]=0),1,0)</f>
        <v>0</v>
      </c>
      <c r="AG1566" t="str">
        <f>INDEX(vp.data[[#Headers],[Unknown]:[Heavy_SW]],MATCH(1,vp.data[[#This Row],[Unknown]:[Heavy_SW]],0))</f>
        <v>Medium_LSB</v>
      </c>
      <c r="AH1566">
        <f>INDEX([3]!crudeBD.lkup[Number],MATCH(vp.data[[#This Row],[Crude_Breakdown]],crudeBD.lkup[Crude Breakdown],0))</f>
        <v>3</v>
      </c>
      <c r="AI1566">
        <f>MONTH(vp.data[[#This Row],[SDate]])</f>
        <v>5</v>
      </c>
      <c r="AJ1566" s="5">
        <f>(vp.data[[#This Row],[VP]]-INDEX(crudeBD.lkup[Mean_VP],MATCH(vp.data[[#This Row],[Crude_Breakdown]],crudeBD.lkup[Crude Breakdown],0)))^2</f>
        <v>208.50425886472567</v>
      </c>
      <c r="AK1566" s="5">
        <f>(vp.data[[#This Row],[Dens]]-INDEX(crudeBD.lkup[Mean_Dens],MATCH(vp.data[[#This Row],[Crude_Breakdown]],crudeBD.lkup[Crude Breakdown],0)))^2</f>
        <v>12.110400000003292</v>
      </c>
      <c r="AL1566" s="5">
        <f>(vp.data[[#This Row],[Sulf]]-INDEX(crudeBD.lkup[Mean_Sulf],MATCH(vp.data[[#This Row],[Crude_Breakdown]],crudeBD.lkup[Crude Breakdown],0)))^2</f>
        <v>1.1110873171164612E-2</v>
      </c>
      <c r="AM1566" s="4">
        <f>IF(AND(vp.data[[#This Row],[SDate]]&gt;=DATE(YEAR(vp.data[[#This Row],[SDate]]),5,1),vp.data[[#This Row],[SDate]]&lt;=DATE(YEAR(vp.data[[#This Row],[SDate]]),9,15)),1,0)</f>
        <v>1</v>
      </c>
      <c r="AN1566" s="4">
        <f>IF(vp.data[[#This Row],[SDate]]&lt;DATE(2016,12,1),0,1)</f>
        <v>1</v>
      </c>
      <c r="AO1566" s="4">
        <f>IFERROR(vp.data[[#This Row],[Sulf]]*vp.data[[#This Row],[Net Dens]],"")</f>
        <v>5077654.4248319995</v>
      </c>
      <c r="AP1566">
        <f>IFERROR(vp.data[[#This Row],[Dens]]*vp.data[[#This Row],[VolumeM3]],"")</f>
        <v>3966917.5193999996</v>
      </c>
      <c r="AQ1566" s="15">
        <f>IFERROR(vp.data[[#This Row],[VP]]*vp.data[[#This Row],[VolumeM3]],"")</f>
        <v>309900.80220000003</v>
      </c>
    </row>
    <row r="1567" spans="1:43" x14ac:dyDescent="0.25">
      <c r="A1567">
        <v>1566</v>
      </c>
      <c r="B1567" t="s">
        <v>49</v>
      </c>
      <c r="C1567" t="s">
        <v>49</v>
      </c>
      <c r="D1567" t="s">
        <v>100</v>
      </c>
      <c r="F1567" s="1">
        <v>42886</v>
      </c>
      <c r="G1567" s="2">
        <v>81.900000000000006</v>
      </c>
      <c r="H1567" s="2"/>
      <c r="I1567" s="2">
        <f t="array" ref="I1567">_xlfn.IFNA(IF(vp.data[[#This Row],[Sulf Input]]="",INDEX([1]DATA!$Q$3:$Q$9826,MATCH(1,(vp.data[[#This Row],[Battery]]=[1]DATA!$L$3:$L$9826)*(EOMONTH(vp.data[[#This Row],[SDate]],-1)+1=[1]DATA!$G$3:$G$9826),0)),vp.data[[#This Row],[Sulf Input]]),"")</f>
        <v>0.75</v>
      </c>
      <c r="J1567" s="2"/>
      <c r="K1567" s="2"/>
      <c r="L1567" s="2"/>
      <c r="M1567" s="2">
        <f t="array" ref="M1567">_xlfn.IFNA(IF(vp.data[[#This Row],[Dens Input]]="",INDEX([1]DATA!$O$3:$O$9826,MATCH(1,(vp.data[[#This Row],[Battery]]=[1]DATA!$L$3:$L$9826)*(EOMONTH(vp.data[[#This Row],[SDate]],-1)+1=[1]DATA!$G$3:$G$9826),0)),vp.data[[#This Row],[Dens Input]]),"")</f>
        <v>823.6</v>
      </c>
      <c r="N1567" s="2">
        <f ca="1">INDEX(INDIRECT(_xlfn.CONCAT("weather.tbl[",N$1,"]")),MATCH(vp.data[[#This Row],[SDate]],weather.tbl[Date],0))</f>
        <v>13.600000000000001</v>
      </c>
      <c r="O1567" s="2">
        <f ca="1">INDEX(INDIRECT(_xlfn.CONCAT("weather.tbl[",O$1,"]")),MATCH(vp.data[[#This Row],[SDate]],weather.tbl[Date],0))</f>
        <v>12.745238095238095</v>
      </c>
      <c r="P1567" s="2">
        <f ca="1">INDEX(INDIRECT(_xlfn.CONCAT("weather.tbl[",P$1,"]")),MATCH(vp.data[[#This Row],[SDate]],weather.tbl[Date],0))</f>
        <v>13.9</v>
      </c>
      <c r="Q1567" s="2">
        <f ca="1">INDEX(INDIRECT(_xlfn.CONCAT("weather.tbl[",Q$1,"]")),MATCH(vp.data[[#This Row],[SDate]],weather.tbl[Date],0))</f>
        <v>13.7</v>
      </c>
      <c r="R1567" s="2">
        <f ca="1">INDEX(INDIRECT(_xlfn.CONCAT("weather.tbl[",R$1,"]")),MATCH(vp.data[[#This Row],[SDate]],weather.tbl[Date],0))</f>
        <v>12.8</v>
      </c>
      <c r="S1567" s="2">
        <f ca="1">INDEX(INDIRECT(_xlfn.CONCAT("weather.tbl[",S$1,"]")),MATCH(vp.data[[#This Row],[SDate]],weather.tbl[Date],0))</f>
        <v>13.5</v>
      </c>
      <c r="T1567" s="2">
        <f ca="1">INDEX(INDIRECT(_xlfn.CONCAT("weather.tbl[",T$1,"]")),MATCH(vp.data[[#This Row],[SDate]],weather.tbl[Date],0))</f>
        <v>14.2</v>
      </c>
      <c r="U1567" s="2">
        <f ca="1">INDEX(INDIRECT(_xlfn.CONCAT("weather.tbl[",U$1,"]")),MATCH(vp.data[[#This Row],[SDate]],weather.tbl[Date],0))</f>
        <v>13.5</v>
      </c>
      <c r="V1567" s="2">
        <f t="array" ref="V15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12872.544</v>
      </c>
      <c r="W1567" t="s">
        <v>48</v>
      </c>
      <c r="X1567">
        <f>IF(OR(vp.data[[#This Row],[Sulf]]="",vp.data[[#This Row],[Dens]]=""),1,0)</f>
        <v>0</v>
      </c>
      <c r="Y1567">
        <f>IF(vp.data[[#This Row],[CrudeType]]="C5+",1,0)</f>
        <v>0</v>
      </c>
      <c r="Z1567">
        <f>IF(AND(vp.data[[#This Row],[CrudeType]]="Crude",vp.data[[#This Row],[Dens]]&lt;=825,vp.data[[#This Row],[Sulf]]&gt;0.5,vp.data[[#This Row],[Unknown]]=0),1,0)</f>
        <v>1</v>
      </c>
      <c r="AA1567">
        <f>IF(AND(vp.data[[#This Row],[CrudeType]]="Crude",vp.data[[#This Row],[Dens]]&lt;=825,vp.data[[#This Row],[Sulf]]&lt;=0.5,vp.data[[#This Row],[Unknown]]=0),1,0)</f>
        <v>0</v>
      </c>
      <c r="AB15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7">
        <f>IF(AND(vp.data[[#This Row],[CrudeType]]="Crude",vp.data[[#This Row],[Dens]]&gt;825,vp.data[[#This Row],[Dens]]&lt;=900,vp.data[[#This Row],[Sulf]]&lt;=0.5,vp.data[[#This Row],[Unknown]]=0),1,0)</f>
        <v>0</v>
      </c>
      <c r="AD1567">
        <f>IF(AND(vp.data[[#This Row],[CrudeType]]="Crude",vp.data[[#This Row],[Dens]]&gt;865,vp.data[[#This Row],[Dens]]&lt;=900,vp.data[[#This Row],[Sulf]]&gt;2,vp.data[[#This Row],[Unknown]]=0),1,0)</f>
        <v>0</v>
      </c>
      <c r="AE1567">
        <f>IF(AND(vp.data[[#This Row],[CrudeType]]="Crude",vp.data[[#This Row],[Dens]]&gt;900,vp.data[[#This Row],[Sulf]]&lt;=0.5,vp.data[[#This Row],[Unknown]]=0),1,0)</f>
        <v>0</v>
      </c>
      <c r="AF1567">
        <f>IF(AND(vp.data[[#This Row],[CrudeType]]="Crude",vp.data[[#This Row],[Dens]]&gt;900,vp.data[[#This Row],[Sulf]]&lt;=0.5,vp.data[[#This Row],[Unknown]]=0),1,0)</f>
        <v>0</v>
      </c>
      <c r="AG1567" t="str">
        <f>INDEX(vp.data[[#Headers],[Unknown]:[Heavy_SW]],MATCH(1,vp.data[[#This Row],[Unknown]:[Heavy_SW]],0))</f>
        <v>Light_LSB</v>
      </c>
      <c r="AH1567">
        <f>INDEX([3]!crudeBD.lkup[Number],MATCH(vp.data[[#This Row],[Crude_Breakdown]],crudeBD.lkup[Crude Breakdown],0))</f>
        <v>1</v>
      </c>
      <c r="AI1567">
        <f>MONTH(vp.data[[#This Row],[SDate]])</f>
        <v>5</v>
      </c>
      <c r="AJ1567" s="5">
        <f>(vp.data[[#This Row],[VP]]-INDEX(crudeBD.lkup[Mean_VP],MATCH(vp.data[[#This Row],[Crude_Breakdown]],crudeBD.lkup[Crude Breakdown],0)))^2</f>
        <v>93.048895993198485</v>
      </c>
      <c r="AK1567" s="5">
        <f>(vp.data[[#This Row],[Dens]]-INDEX(crudeBD.lkup[Mean_Dens],MATCH(vp.data[[#This Row],[Crude_Breakdown]],crudeBD.lkup[Crude Breakdown],0)))^2</f>
        <v>25.83922967844369</v>
      </c>
      <c r="AL1567" s="5">
        <f>(vp.data[[#This Row],[Sulf]]-INDEX(crudeBD.lkup[Mean_Sulf],MATCH(vp.data[[#This Row],[Crude_Breakdown]],crudeBD.lkup[Crude Breakdown],0)))^2</f>
        <v>2.9919025092430326E-2</v>
      </c>
      <c r="AM1567" s="4">
        <f>IF(AND(vp.data[[#This Row],[SDate]]&gt;=DATE(YEAR(vp.data[[#This Row],[SDate]]),5,1),vp.data[[#This Row],[SDate]]&lt;=DATE(YEAR(vp.data[[#This Row],[SDate]]),9,15)),1,0)</f>
        <v>1</v>
      </c>
      <c r="AN1567" s="4">
        <f>IF(vp.data[[#This Row],[SDate]]&lt;DATE(2016,12,1),0,1)</f>
        <v>1</v>
      </c>
      <c r="AO1567" s="4">
        <f>IFERROR(vp.data[[#This Row],[Sulf]]*vp.data[[#This Row],[Net Dens]],"")</f>
        <v>7951370.4288000008</v>
      </c>
      <c r="AP1567">
        <f>IFERROR(vp.data[[#This Row],[Dens]]*vp.data[[#This Row],[VolumeM3]],"")</f>
        <v>10601827.238400001</v>
      </c>
      <c r="AQ1567" s="15">
        <f>IFERROR(vp.data[[#This Row],[VP]]*vp.data[[#This Row],[VolumeM3]],"")</f>
        <v>1054261.3536</v>
      </c>
    </row>
    <row r="1568" spans="1:43" x14ac:dyDescent="0.25">
      <c r="A1568">
        <v>1567</v>
      </c>
      <c r="B1568" t="s">
        <v>49</v>
      </c>
      <c r="C1568" t="s">
        <v>49</v>
      </c>
      <c r="D1568" t="s">
        <v>80</v>
      </c>
      <c r="F1568" s="1">
        <v>42886</v>
      </c>
      <c r="G1568" s="2">
        <v>82.2</v>
      </c>
      <c r="H1568" s="2"/>
      <c r="I1568" s="2">
        <f t="array" ref="I1568">_xlfn.IFNA(IF(vp.data[[#This Row],[Sulf Input]]="",INDEX([1]DATA!$Q$3:$Q$9826,MATCH(1,(vp.data[[#This Row],[Battery]]=[1]DATA!$L$3:$L$9826)*(EOMONTH(vp.data[[#This Row],[SDate]],-1)+1=[1]DATA!$G$3:$G$9826),0)),vp.data[[#This Row],[Sulf Input]]),"")</f>
        <v>0.76</v>
      </c>
      <c r="J1568" s="2"/>
      <c r="K1568" s="2"/>
      <c r="L1568" s="2"/>
      <c r="M1568" s="2">
        <f t="array" ref="M1568">_xlfn.IFNA(IF(vp.data[[#This Row],[Dens Input]]="",INDEX([1]DATA!$O$3:$O$9826,MATCH(1,(vp.data[[#This Row],[Battery]]=[1]DATA!$L$3:$L$9826)*(EOMONTH(vp.data[[#This Row],[SDate]],-1)+1=[1]DATA!$G$3:$G$9826),0)),vp.data[[#This Row],[Dens Input]]),"")</f>
        <v>822.4</v>
      </c>
      <c r="N1568" s="2">
        <f ca="1">INDEX(INDIRECT(_xlfn.CONCAT("weather.tbl[",N$1,"]")),MATCH(vp.data[[#This Row],[SDate]],weather.tbl[Date],0))</f>
        <v>13.600000000000001</v>
      </c>
      <c r="O1568" s="2">
        <f ca="1">INDEX(INDIRECT(_xlfn.CONCAT("weather.tbl[",O$1,"]")),MATCH(vp.data[[#This Row],[SDate]],weather.tbl[Date],0))</f>
        <v>12.745238095238095</v>
      </c>
      <c r="P1568" s="2">
        <f ca="1">INDEX(INDIRECT(_xlfn.CONCAT("weather.tbl[",P$1,"]")),MATCH(vp.data[[#This Row],[SDate]],weather.tbl[Date],0))</f>
        <v>13.9</v>
      </c>
      <c r="Q1568" s="2">
        <f ca="1">INDEX(INDIRECT(_xlfn.CONCAT("weather.tbl[",Q$1,"]")),MATCH(vp.data[[#This Row],[SDate]],weather.tbl[Date],0))</f>
        <v>13.7</v>
      </c>
      <c r="R1568" s="2">
        <f ca="1">INDEX(INDIRECT(_xlfn.CONCAT("weather.tbl[",R$1,"]")),MATCH(vp.data[[#This Row],[SDate]],weather.tbl[Date],0))</f>
        <v>12.8</v>
      </c>
      <c r="S1568" s="2">
        <f ca="1">INDEX(INDIRECT(_xlfn.CONCAT("weather.tbl[",S$1,"]")),MATCH(vp.data[[#This Row],[SDate]],weather.tbl[Date],0))</f>
        <v>13.5</v>
      </c>
      <c r="T1568" s="2">
        <f ca="1">INDEX(INDIRECT(_xlfn.CONCAT("weather.tbl[",T$1,"]")),MATCH(vp.data[[#This Row],[SDate]],weather.tbl[Date],0))</f>
        <v>14.2</v>
      </c>
      <c r="U1568" s="2">
        <f ca="1">INDEX(INDIRECT(_xlfn.CONCAT("weather.tbl[",U$1,"]")),MATCH(vp.data[[#This Row],[SDate]],weather.tbl[Date],0))</f>
        <v>13.5</v>
      </c>
      <c r="V1568" s="2">
        <f t="array" ref="V15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22699.566999999999</v>
      </c>
      <c r="W1568" t="s">
        <v>48</v>
      </c>
      <c r="X1568">
        <f>IF(OR(vp.data[[#This Row],[Sulf]]="",vp.data[[#This Row],[Dens]]=""),1,0)</f>
        <v>0</v>
      </c>
      <c r="Y1568">
        <f>IF(vp.data[[#This Row],[CrudeType]]="C5+",1,0)</f>
        <v>0</v>
      </c>
      <c r="Z1568">
        <f>IF(AND(vp.data[[#This Row],[CrudeType]]="Crude",vp.data[[#This Row],[Dens]]&lt;=825,vp.data[[#This Row],[Sulf]]&gt;0.5,vp.data[[#This Row],[Unknown]]=0),1,0)</f>
        <v>1</v>
      </c>
      <c r="AA1568">
        <f>IF(AND(vp.data[[#This Row],[CrudeType]]="Crude",vp.data[[#This Row],[Dens]]&lt;=825,vp.data[[#This Row],[Sulf]]&lt;=0.5,vp.data[[#This Row],[Unknown]]=0),1,0)</f>
        <v>0</v>
      </c>
      <c r="AB15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8">
        <f>IF(AND(vp.data[[#This Row],[CrudeType]]="Crude",vp.data[[#This Row],[Dens]]&gt;825,vp.data[[#This Row],[Dens]]&lt;=900,vp.data[[#This Row],[Sulf]]&lt;=0.5,vp.data[[#This Row],[Unknown]]=0),1,0)</f>
        <v>0</v>
      </c>
      <c r="AD1568">
        <f>IF(AND(vp.data[[#This Row],[CrudeType]]="Crude",vp.data[[#This Row],[Dens]]&gt;865,vp.data[[#This Row],[Dens]]&lt;=900,vp.data[[#This Row],[Sulf]]&gt;2,vp.data[[#This Row],[Unknown]]=0),1,0)</f>
        <v>0</v>
      </c>
      <c r="AE1568">
        <f>IF(AND(vp.data[[#This Row],[CrudeType]]="Crude",vp.data[[#This Row],[Dens]]&gt;900,vp.data[[#This Row],[Sulf]]&lt;=0.5,vp.data[[#This Row],[Unknown]]=0),1,0)</f>
        <v>0</v>
      </c>
      <c r="AF1568">
        <f>IF(AND(vp.data[[#This Row],[CrudeType]]="Crude",vp.data[[#This Row],[Dens]]&gt;900,vp.data[[#This Row],[Sulf]]&lt;=0.5,vp.data[[#This Row],[Unknown]]=0),1,0)</f>
        <v>0</v>
      </c>
      <c r="AG1568" t="str">
        <f>INDEX(vp.data[[#Headers],[Unknown]:[Heavy_SW]],MATCH(1,vp.data[[#This Row],[Unknown]:[Heavy_SW]],0))</f>
        <v>Light_LSB</v>
      </c>
      <c r="AH1568">
        <f>INDEX([3]!crudeBD.lkup[Number],MATCH(vp.data[[#This Row],[Crude_Breakdown]],crudeBD.lkup[Crude Breakdown],0))</f>
        <v>1</v>
      </c>
      <c r="AI1568">
        <f>MONTH(vp.data[[#This Row],[SDate]])</f>
        <v>5</v>
      </c>
      <c r="AJ1568" s="5">
        <f>(vp.data[[#This Row],[VP]]-INDEX(crudeBD.lkup[Mean_VP],MATCH(vp.data[[#This Row],[Crude_Breakdown]],crudeBD.lkup[Crude Breakdown],0)))^2</f>
        <v>87.351184652992345</v>
      </c>
      <c r="AK1568" s="5">
        <f>(vp.data[[#This Row],[Dens]]-INDEX(crudeBD.lkup[Mean_Dens],MATCH(vp.data[[#This Row],[Crude_Breakdown]],crudeBD.lkup[Crude Breakdown],0)))^2</f>
        <v>15.07947710112294</v>
      </c>
      <c r="AL1568" s="5">
        <f>(vp.data[[#This Row],[Sulf]]-INDEX(crudeBD.lkup[Mean_Sulf],MATCH(vp.data[[#This Row],[Crude_Breakdown]],crudeBD.lkup[Crude Breakdown],0)))^2</f>
        <v>2.6559601724732734E-2</v>
      </c>
      <c r="AM1568" s="4">
        <f>IF(AND(vp.data[[#This Row],[SDate]]&gt;=DATE(YEAR(vp.data[[#This Row],[SDate]]),5,1),vp.data[[#This Row],[SDate]]&lt;=DATE(YEAR(vp.data[[#This Row],[SDate]]),9,15)),1,0)</f>
        <v>1</v>
      </c>
      <c r="AN1568" s="4">
        <f>IF(vp.data[[#This Row],[SDate]]&lt;DATE(2016,12,1),0,1)</f>
        <v>1</v>
      </c>
      <c r="AO1568" s="4">
        <f>IFERROR(vp.data[[#This Row],[Sulf]]*vp.data[[#This Row],[Net Dens]],"")</f>
        <v>14187774.164607998</v>
      </c>
      <c r="AP1568">
        <f>IFERROR(vp.data[[#This Row],[Dens]]*vp.data[[#This Row],[VolumeM3]],"")</f>
        <v>18668123.900799997</v>
      </c>
      <c r="AQ1568" s="15">
        <f>IFERROR(vp.data[[#This Row],[VP]]*vp.data[[#This Row],[VolumeM3]],"")</f>
        <v>1865904.4073999999</v>
      </c>
    </row>
    <row r="1569" spans="1:43" x14ac:dyDescent="0.25">
      <c r="A1569">
        <v>1568</v>
      </c>
      <c r="B1569" t="s">
        <v>49</v>
      </c>
      <c r="C1569" t="s">
        <v>49</v>
      </c>
      <c r="D1569" t="s">
        <v>67</v>
      </c>
      <c r="F1569" s="1">
        <v>42886</v>
      </c>
      <c r="G1569" s="2">
        <v>82.5</v>
      </c>
      <c r="H1569" s="2"/>
      <c r="I1569" s="2">
        <f t="array" ref="I1569">_xlfn.IFNA(IF(vp.data[[#This Row],[Sulf Input]]="",INDEX([1]DATA!$Q$3:$Q$9826,MATCH(1,(vp.data[[#This Row],[Battery]]=[1]DATA!$L$3:$L$9826)*(EOMONTH(vp.data[[#This Row],[SDate]],-1)+1=[1]DATA!$G$3:$G$9826),0)),vp.data[[#This Row],[Sulf Input]]),"")</f>
        <v>0.63</v>
      </c>
      <c r="J1569" s="2"/>
      <c r="K1569" s="2"/>
      <c r="L1569" s="2"/>
      <c r="M1569" s="2">
        <f t="array" ref="M1569">_xlfn.IFNA(IF(vp.data[[#This Row],[Dens Input]]="",INDEX([1]DATA!$O$3:$O$9826,MATCH(1,(vp.data[[#This Row],[Battery]]=[1]DATA!$L$3:$L$9826)*(EOMONTH(vp.data[[#This Row],[SDate]],-1)+1=[1]DATA!$G$3:$G$9826),0)),vp.data[[#This Row],[Dens Input]]),"")</f>
        <v>822.8</v>
      </c>
      <c r="N1569" s="2">
        <f ca="1">INDEX(INDIRECT(_xlfn.CONCAT("weather.tbl[",N$1,"]")),MATCH(vp.data[[#This Row],[SDate]],weather.tbl[Date],0))</f>
        <v>13.600000000000001</v>
      </c>
      <c r="O1569" s="2">
        <f ca="1">INDEX(INDIRECT(_xlfn.CONCAT("weather.tbl[",O$1,"]")),MATCH(vp.data[[#This Row],[SDate]],weather.tbl[Date],0))</f>
        <v>12.745238095238095</v>
      </c>
      <c r="P1569" s="2">
        <f ca="1">INDEX(INDIRECT(_xlfn.CONCAT("weather.tbl[",P$1,"]")),MATCH(vp.data[[#This Row],[SDate]],weather.tbl[Date],0))</f>
        <v>13.9</v>
      </c>
      <c r="Q1569" s="2">
        <f ca="1">INDEX(INDIRECT(_xlfn.CONCAT("weather.tbl[",Q$1,"]")),MATCH(vp.data[[#This Row],[SDate]],weather.tbl[Date],0))</f>
        <v>13.7</v>
      </c>
      <c r="R1569" s="2">
        <f ca="1">INDEX(INDIRECT(_xlfn.CONCAT("weather.tbl[",R$1,"]")),MATCH(vp.data[[#This Row],[SDate]],weather.tbl[Date],0))</f>
        <v>12.8</v>
      </c>
      <c r="S1569" s="2">
        <f ca="1">INDEX(INDIRECT(_xlfn.CONCAT("weather.tbl[",S$1,"]")),MATCH(vp.data[[#This Row],[SDate]],weather.tbl[Date],0))</f>
        <v>13.5</v>
      </c>
      <c r="T1569" s="2">
        <f ca="1">INDEX(INDIRECT(_xlfn.CONCAT("weather.tbl[",T$1,"]")),MATCH(vp.data[[#This Row],[SDate]],weather.tbl[Date],0))</f>
        <v>14.2</v>
      </c>
      <c r="U1569" s="2">
        <f ca="1">INDEX(INDIRECT(_xlfn.CONCAT("weather.tbl[",U$1,"]")),MATCH(vp.data[[#This Row],[SDate]],weather.tbl[Date],0))</f>
        <v>13.5</v>
      </c>
      <c r="V1569" s="2">
        <f t="array" ref="V15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152210.65299999999</v>
      </c>
      <c r="W1569" t="s">
        <v>48</v>
      </c>
      <c r="X1569">
        <f>IF(OR(vp.data[[#This Row],[Sulf]]="",vp.data[[#This Row],[Dens]]=""),1,0)</f>
        <v>0</v>
      </c>
      <c r="Y1569">
        <f>IF(vp.data[[#This Row],[CrudeType]]="C5+",1,0)</f>
        <v>0</v>
      </c>
      <c r="Z1569">
        <f>IF(AND(vp.data[[#This Row],[CrudeType]]="Crude",vp.data[[#This Row],[Dens]]&lt;=825,vp.data[[#This Row],[Sulf]]&gt;0.5,vp.data[[#This Row],[Unknown]]=0),1,0)</f>
        <v>1</v>
      </c>
      <c r="AA1569">
        <f>IF(AND(vp.data[[#This Row],[CrudeType]]="Crude",vp.data[[#This Row],[Dens]]&lt;=825,vp.data[[#This Row],[Sulf]]&lt;=0.5,vp.data[[#This Row],[Unknown]]=0),1,0)</f>
        <v>0</v>
      </c>
      <c r="AB15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69">
        <f>IF(AND(vp.data[[#This Row],[CrudeType]]="Crude",vp.data[[#This Row],[Dens]]&gt;825,vp.data[[#This Row],[Dens]]&lt;=900,vp.data[[#This Row],[Sulf]]&lt;=0.5,vp.data[[#This Row],[Unknown]]=0),1,0)</f>
        <v>0</v>
      </c>
      <c r="AD1569">
        <f>IF(AND(vp.data[[#This Row],[CrudeType]]="Crude",vp.data[[#This Row],[Dens]]&gt;865,vp.data[[#This Row],[Dens]]&lt;=900,vp.data[[#This Row],[Sulf]]&gt;2,vp.data[[#This Row],[Unknown]]=0),1,0)</f>
        <v>0</v>
      </c>
      <c r="AE1569">
        <f>IF(AND(vp.data[[#This Row],[CrudeType]]="Crude",vp.data[[#This Row],[Dens]]&gt;900,vp.data[[#This Row],[Sulf]]&lt;=0.5,vp.data[[#This Row],[Unknown]]=0),1,0)</f>
        <v>0</v>
      </c>
      <c r="AF1569">
        <f>IF(AND(vp.data[[#This Row],[CrudeType]]="Crude",vp.data[[#This Row],[Dens]]&gt;900,vp.data[[#This Row],[Sulf]]&lt;=0.5,vp.data[[#This Row],[Unknown]]=0),1,0)</f>
        <v>0</v>
      </c>
      <c r="AG1569" t="str">
        <f>INDEX(vp.data[[#Headers],[Unknown]:[Heavy_SW]],MATCH(1,vp.data[[#This Row],[Unknown]:[Heavy_SW]],0))</f>
        <v>Light_LSB</v>
      </c>
      <c r="AH1569">
        <f>INDEX([3]!crudeBD.lkup[Number],MATCH(vp.data[[#This Row],[Crude_Breakdown]],crudeBD.lkup[Crude Breakdown],0))</f>
        <v>1</v>
      </c>
      <c r="AI1569">
        <f>MONTH(vp.data[[#This Row],[SDate]])</f>
        <v>5</v>
      </c>
      <c r="AJ1569" s="5">
        <f>(vp.data[[#This Row],[VP]]-INDEX(crudeBD.lkup[Mean_VP],MATCH(vp.data[[#This Row],[Crude_Breakdown]],crudeBD.lkup[Crude Breakdown],0)))^2</f>
        <v>81.833473312786197</v>
      </c>
      <c r="AK1569" s="5">
        <f>(vp.data[[#This Row],[Dens]]-INDEX(crudeBD.lkup[Mean_Dens],MATCH(vp.data[[#This Row],[Crude_Breakdown]],crudeBD.lkup[Crude Breakdown],0)))^2</f>
        <v>18.34606129356284</v>
      </c>
      <c r="AL1569" s="5">
        <f>(vp.data[[#This Row],[Sulf]]-INDEX(crudeBD.lkup[Mean_Sulf],MATCH(vp.data[[#This Row],[Crude_Breakdown]],crudeBD.lkup[Crude Breakdown],0)))^2</f>
        <v>8.5832105504801401E-2</v>
      </c>
      <c r="AM1569" s="4">
        <f>IF(AND(vp.data[[#This Row],[SDate]]&gt;=DATE(YEAR(vp.data[[#This Row],[SDate]]),5,1),vp.data[[#This Row],[SDate]]&lt;=DATE(YEAR(vp.data[[#This Row],[SDate]]),9,15)),1,0)</f>
        <v>1</v>
      </c>
      <c r="AN1569" s="4">
        <f>IF(vp.data[[#This Row],[SDate]]&lt;DATE(2016,12,1),0,1)</f>
        <v>1</v>
      </c>
      <c r="AO1569" s="4">
        <f>IFERROR(vp.data[[#This Row],[Sulf]]*vp.data[[#This Row],[Net Dens]],"")</f>
        <v>78900522.931691989</v>
      </c>
      <c r="AP1569">
        <f>IFERROR(vp.data[[#This Row],[Dens]]*vp.data[[#This Row],[VolumeM3]],"")</f>
        <v>125238925.28839998</v>
      </c>
      <c r="AQ1569" s="15">
        <f>IFERROR(vp.data[[#This Row],[VP]]*vp.data[[#This Row],[VolumeM3]],"")</f>
        <v>12557378.872499999</v>
      </c>
    </row>
    <row r="1570" spans="1:43" x14ac:dyDescent="0.25">
      <c r="A1570">
        <v>1569</v>
      </c>
      <c r="B1570" t="s">
        <v>49</v>
      </c>
      <c r="C1570" t="s">
        <v>49</v>
      </c>
      <c r="D1570" t="s">
        <v>59</v>
      </c>
      <c r="F1570" s="1">
        <v>42886</v>
      </c>
      <c r="G1570" s="2">
        <v>72.2</v>
      </c>
      <c r="H1570" s="2"/>
      <c r="I1570" s="2">
        <f t="array" ref="I1570">_xlfn.IFNA(IF(vp.data[[#This Row],[Sulf Input]]="",INDEX([1]DATA!$Q$3:$Q$9826,MATCH(1,(vp.data[[#This Row],[Battery]]=[1]DATA!$L$3:$L$9826)*(EOMONTH(vp.data[[#This Row],[SDate]],-1)+1=[1]DATA!$G$3:$G$9826),0)),vp.data[[#This Row],[Sulf Input]]),"")</f>
        <v>1.43</v>
      </c>
      <c r="J1570" s="2"/>
      <c r="K1570" s="2"/>
      <c r="L1570" s="2"/>
      <c r="M1570" s="2">
        <f t="array" ref="M1570">_xlfn.IFNA(IF(vp.data[[#This Row],[Dens Input]]="",INDEX([1]DATA!$O$3:$O$9826,MATCH(1,(vp.data[[#This Row],[Battery]]=[1]DATA!$L$3:$L$9826)*(EOMONTH(vp.data[[#This Row],[SDate]],-1)+1=[1]DATA!$G$3:$G$9826),0)),vp.data[[#This Row],[Dens Input]]),"")</f>
        <v>845</v>
      </c>
      <c r="N1570" s="2">
        <f ca="1">INDEX(INDIRECT(_xlfn.CONCAT("weather.tbl[",N$1,"]")),MATCH(vp.data[[#This Row],[SDate]],weather.tbl[Date],0))</f>
        <v>13.600000000000001</v>
      </c>
      <c r="O1570" s="2">
        <f ca="1">INDEX(INDIRECT(_xlfn.CONCAT("weather.tbl[",O$1,"]")),MATCH(vp.data[[#This Row],[SDate]],weather.tbl[Date],0))</f>
        <v>12.745238095238095</v>
      </c>
      <c r="P1570" s="2">
        <f ca="1">INDEX(INDIRECT(_xlfn.CONCAT("weather.tbl[",P$1,"]")),MATCH(vp.data[[#This Row],[SDate]],weather.tbl[Date],0))</f>
        <v>13.9</v>
      </c>
      <c r="Q1570" s="2">
        <f ca="1">INDEX(INDIRECT(_xlfn.CONCAT("weather.tbl[",Q$1,"]")),MATCH(vp.data[[#This Row],[SDate]],weather.tbl[Date],0))</f>
        <v>13.7</v>
      </c>
      <c r="R1570" s="2">
        <f ca="1">INDEX(INDIRECT(_xlfn.CONCAT("weather.tbl[",R$1,"]")),MATCH(vp.data[[#This Row],[SDate]],weather.tbl[Date],0))</f>
        <v>12.8</v>
      </c>
      <c r="S1570" s="2">
        <f ca="1">INDEX(INDIRECT(_xlfn.CONCAT("weather.tbl[",S$1,"]")),MATCH(vp.data[[#This Row],[SDate]],weather.tbl[Date],0))</f>
        <v>13.5</v>
      </c>
      <c r="T1570" s="2">
        <f ca="1">INDEX(INDIRECT(_xlfn.CONCAT("weather.tbl[",T$1,"]")),MATCH(vp.data[[#This Row],[SDate]],weather.tbl[Date],0))</f>
        <v>14.2</v>
      </c>
      <c r="U1570" s="2">
        <f ca="1">INDEX(INDIRECT(_xlfn.CONCAT("weather.tbl[",U$1,"]")),MATCH(vp.data[[#This Row],[SDate]],weather.tbl[Date],0))</f>
        <v>13.5</v>
      </c>
      <c r="V1570" s="2">
        <f t="array" ref="V15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1309.8610000000001</v>
      </c>
      <c r="W1570" t="s">
        <v>48</v>
      </c>
      <c r="X1570">
        <f>IF(OR(vp.data[[#This Row],[Sulf]]="",vp.data[[#This Row],[Dens]]=""),1,0)</f>
        <v>0</v>
      </c>
      <c r="Y1570">
        <f>IF(vp.data[[#This Row],[CrudeType]]="C5+",1,0)</f>
        <v>0</v>
      </c>
      <c r="Z1570">
        <f>IF(AND(vp.data[[#This Row],[CrudeType]]="Crude",vp.data[[#This Row],[Dens]]&lt;=825,vp.data[[#This Row],[Sulf]]&gt;0.5,vp.data[[#This Row],[Unknown]]=0),1,0)</f>
        <v>0</v>
      </c>
      <c r="AA1570">
        <f>IF(AND(vp.data[[#This Row],[CrudeType]]="Crude",vp.data[[#This Row],[Dens]]&lt;=825,vp.data[[#This Row],[Sulf]]&lt;=0.5,vp.data[[#This Row],[Unknown]]=0),1,0)</f>
        <v>0</v>
      </c>
      <c r="AB15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70">
        <f>IF(AND(vp.data[[#This Row],[CrudeType]]="Crude",vp.data[[#This Row],[Dens]]&gt;825,vp.data[[#This Row],[Dens]]&lt;=900,vp.data[[#This Row],[Sulf]]&lt;=0.5,vp.data[[#This Row],[Unknown]]=0),1,0)</f>
        <v>0</v>
      </c>
      <c r="AD1570">
        <f>IF(AND(vp.data[[#This Row],[CrudeType]]="Crude",vp.data[[#This Row],[Dens]]&gt;865,vp.data[[#This Row],[Dens]]&lt;=900,vp.data[[#This Row],[Sulf]]&gt;2,vp.data[[#This Row],[Unknown]]=0),1,0)</f>
        <v>0</v>
      </c>
      <c r="AE1570">
        <f>IF(AND(vp.data[[#This Row],[CrudeType]]="Crude",vp.data[[#This Row],[Dens]]&gt;900,vp.data[[#This Row],[Sulf]]&lt;=0.5,vp.data[[#This Row],[Unknown]]=0),1,0)</f>
        <v>0</v>
      </c>
      <c r="AF1570">
        <f>IF(AND(vp.data[[#This Row],[CrudeType]]="Crude",vp.data[[#This Row],[Dens]]&gt;900,vp.data[[#This Row],[Sulf]]&lt;=0.5,vp.data[[#This Row],[Unknown]]=0),1,0)</f>
        <v>0</v>
      </c>
      <c r="AG1570" t="str">
        <f>INDEX(vp.data[[#Headers],[Unknown]:[Heavy_SW]],MATCH(1,vp.data[[#This Row],[Unknown]:[Heavy_SW]],0))</f>
        <v>Medium_LSB</v>
      </c>
      <c r="AH1570">
        <f>INDEX([3]!crudeBD.lkup[Number],MATCH(vp.data[[#This Row],[Crude_Breakdown]],crudeBD.lkup[Crude Breakdown],0))</f>
        <v>3</v>
      </c>
      <c r="AI1570">
        <f>MONTH(vp.data[[#This Row],[SDate]])</f>
        <v>5</v>
      </c>
      <c r="AJ1570" s="5">
        <f>(vp.data[[#This Row],[VP]]-INDEX(crudeBD.lkup[Mean_VP],MATCH(vp.data[[#This Row],[Crude_Breakdown]],crudeBD.lkup[Crude Breakdown],0)))^2</f>
        <v>71.2281402663438</v>
      </c>
      <c r="AK1570" s="5">
        <f>(vp.data[[#This Row],[Dens]]-INDEX(crudeBD.lkup[Mean_Dens],MATCH(vp.data[[#This Row],[Crude_Breakdown]],crudeBD.lkup[Crude Breakdown],0)))^2</f>
        <v>1.1664000000010706</v>
      </c>
      <c r="AL1570" s="5">
        <f>(vp.data[[#This Row],[Sulf]]-INDEX(crudeBD.lkup[Mean_Sulf],MATCH(vp.data[[#This Row],[Crude_Breakdown]],crudeBD.lkup[Crude Breakdown],0)))^2</f>
        <v>1.9884351657733202E-3</v>
      </c>
      <c r="AM1570" s="4">
        <f>IF(AND(vp.data[[#This Row],[SDate]]&gt;=DATE(YEAR(vp.data[[#This Row],[SDate]]),5,1),vp.data[[#This Row],[SDate]]&lt;=DATE(YEAR(vp.data[[#This Row],[SDate]]),9,15)),1,0)</f>
        <v>1</v>
      </c>
      <c r="AN1570" s="4">
        <f>IF(vp.data[[#This Row],[SDate]]&lt;DATE(2016,12,1),0,1)</f>
        <v>1</v>
      </c>
      <c r="AO1570" s="4">
        <f>IFERROR(vp.data[[#This Row],[Sulf]]*vp.data[[#This Row],[Net Dens]],"")</f>
        <v>1582770.5393500002</v>
      </c>
      <c r="AP1570">
        <f>IFERROR(vp.data[[#This Row],[Dens]]*vp.data[[#This Row],[VolumeM3]],"")</f>
        <v>1106832.5450000002</v>
      </c>
      <c r="AQ1570" s="15">
        <f>IFERROR(vp.data[[#This Row],[VP]]*vp.data[[#This Row],[VolumeM3]],"")</f>
        <v>94571.964200000017</v>
      </c>
    </row>
    <row r="1571" spans="1:43" x14ac:dyDescent="0.25">
      <c r="A1571">
        <v>1570</v>
      </c>
      <c r="B1571" t="s">
        <v>49</v>
      </c>
      <c r="C1571" t="s">
        <v>49</v>
      </c>
      <c r="D1571" t="s">
        <v>81</v>
      </c>
      <c r="F1571" s="1">
        <v>42886</v>
      </c>
      <c r="G1571" s="2">
        <v>80.599999999999994</v>
      </c>
      <c r="H1571" s="2"/>
      <c r="I1571" s="2">
        <f t="array" ref="I1571">_xlfn.IFNA(IF(vp.data[[#This Row],[Sulf Input]]="",INDEX([1]DATA!$Q$3:$Q$9826,MATCH(1,(vp.data[[#This Row],[Battery]]=[1]DATA!$L$3:$L$9826)*(EOMONTH(vp.data[[#This Row],[SDate]],-1)+1=[1]DATA!$G$3:$G$9826),0)),vp.data[[#This Row],[Sulf Input]]),"")</f>
        <v>0.53</v>
      </c>
      <c r="J1571" s="2"/>
      <c r="K1571" s="2"/>
      <c r="L1571" s="2"/>
      <c r="M1571" s="2">
        <f t="array" ref="M1571">_xlfn.IFNA(IF(vp.data[[#This Row],[Dens Input]]="",INDEX([1]DATA!$O$3:$O$9826,MATCH(1,(vp.data[[#This Row],[Battery]]=[1]DATA!$L$3:$L$9826)*(EOMONTH(vp.data[[#This Row],[SDate]],-1)+1=[1]DATA!$G$3:$G$9826),0)),vp.data[[#This Row],[Dens Input]]),"")</f>
        <v>824.7</v>
      </c>
      <c r="N1571" s="2">
        <f ca="1">INDEX(INDIRECT(_xlfn.CONCAT("weather.tbl[",N$1,"]")),MATCH(vp.data[[#This Row],[SDate]],weather.tbl[Date],0))</f>
        <v>13.600000000000001</v>
      </c>
      <c r="O1571" s="2">
        <f ca="1">INDEX(INDIRECT(_xlfn.CONCAT("weather.tbl[",O$1,"]")),MATCH(vp.data[[#This Row],[SDate]],weather.tbl[Date],0))</f>
        <v>12.745238095238095</v>
      </c>
      <c r="P1571" s="2">
        <f ca="1">INDEX(INDIRECT(_xlfn.CONCAT("weather.tbl[",P$1,"]")),MATCH(vp.data[[#This Row],[SDate]],weather.tbl[Date],0))</f>
        <v>13.9</v>
      </c>
      <c r="Q1571" s="2">
        <f ca="1">INDEX(INDIRECT(_xlfn.CONCAT("weather.tbl[",Q$1,"]")),MATCH(vp.data[[#This Row],[SDate]],weather.tbl[Date],0))</f>
        <v>13.7</v>
      </c>
      <c r="R1571" s="2">
        <f ca="1">INDEX(INDIRECT(_xlfn.CONCAT("weather.tbl[",R$1,"]")),MATCH(vp.data[[#This Row],[SDate]],weather.tbl[Date],0))</f>
        <v>12.8</v>
      </c>
      <c r="S1571" s="2">
        <f ca="1">INDEX(INDIRECT(_xlfn.CONCAT("weather.tbl[",S$1,"]")),MATCH(vp.data[[#This Row],[SDate]],weather.tbl[Date],0))</f>
        <v>13.5</v>
      </c>
      <c r="T1571" s="2">
        <f ca="1">INDEX(INDIRECT(_xlfn.CONCAT("weather.tbl[",T$1,"]")),MATCH(vp.data[[#This Row],[SDate]],weather.tbl[Date],0))</f>
        <v>14.2</v>
      </c>
      <c r="U1571" s="2">
        <f ca="1">INDEX(INDIRECT(_xlfn.CONCAT("weather.tbl[",U$1,"]")),MATCH(vp.data[[#This Row],[SDate]],weather.tbl[Date],0))</f>
        <v>13.5</v>
      </c>
      <c r="V1571" s="2">
        <f t="array" ref="V15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19932.741000000002</v>
      </c>
      <c r="W1571" t="s">
        <v>48</v>
      </c>
      <c r="X1571">
        <f>IF(OR(vp.data[[#This Row],[Sulf]]="",vp.data[[#This Row],[Dens]]=""),1,0)</f>
        <v>0</v>
      </c>
      <c r="Y1571">
        <f>IF(vp.data[[#This Row],[CrudeType]]="C5+",1,0)</f>
        <v>0</v>
      </c>
      <c r="Z1571">
        <f>IF(AND(vp.data[[#This Row],[CrudeType]]="Crude",vp.data[[#This Row],[Dens]]&lt;=825,vp.data[[#This Row],[Sulf]]&gt;0.5,vp.data[[#This Row],[Unknown]]=0),1,0)</f>
        <v>1</v>
      </c>
      <c r="AA1571">
        <f>IF(AND(vp.data[[#This Row],[CrudeType]]="Crude",vp.data[[#This Row],[Dens]]&lt;=825,vp.data[[#This Row],[Sulf]]&lt;=0.5,vp.data[[#This Row],[Unknown]]=0),1,0)</f>
        <v>0</v>
      </c>
      <c r="AB15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1">
        <f>IF(AND(vp.data[[#This Row],[CrudeType]]="Crude",vp.data[[#This Row],[Dens]]&gt;825,vp.data[[#This Row],[Dens]]&lt;=900,vp.data[[#This Row],[Sulf]]&lt;=0.5,vp.data[[#This Row],[Unknown]]=0),1,0)</f>
        <v>0</v>
      </c>
      <c r="AD1571">
        <f>IF(AND(vp.data[[#This Row],[CrudeType]]="Crude",vp.data[[#This Row],[Dens]]&gt;865,vp.data[[#This Row],[Dens]]&lt;=900,vp.data[[#This Row],[Sulf]]&gt;2,vp.data[[#This Row],[Unknown]]=0),1,0)</f>
        <v>0</v>
      </c>
      <c r="AE1571">
        <f>IF(AND(vp.data[[#This Row],[CrudeType]]="Crude",vp.data[[#This Row],[Dens]]&gt;900,vp.data[[#This Row],[Sulf]]&lt;=0.5,vp.data[[#This Row],[Unknown]]=0),1,0)</f>
        <v>0</v>
      </c>
      <c r="AF1571">
        <f>IF(AND(vp.data[[#This Row],[CrudeType]]="Crude",vp.data[[#This Row],[Dens]]&gt;900,vp.data[[#This Row],[Sulf]]&lt;=0.5,vp.data[[#This Row],[Unknown]]=0),1,0)</f>
        <v>0</v>
      </c>
      <c r="AG1571" t="str">
        <f>INDEX(vp.data[[#Headers],[Unknown]:[Heavy_SW]],MATCH(1,vp.data[[#This Row],[Unknown]:[Heavy_SW]],0))</f>
        <v>Light_LSB</v>
      </c>
      <c r="AH1571">
        <f>INDEX([3]!crudeBD.lkup[Number],MATCH(vp.data[[#This Row],[Crude_Breakdown]],crudeBD.lkup[Crude Breakdown],0))</f>
        <v>1</v>
      </c>
      <c r="AI1571">
        <f>MONTH(vp.data[[#This Row],[SDate]])</f>
        <v>5</v>
      </c>
      <c r="AJ1571" s="5">
        <f>(vp.data[[#This Row],[VP]]-INDEX(crudeBD.lkup[Mean_VP],MATCH(vp.data[[#This Row],[Crude_Breakdown]],crudeBD.lkup[Crude Breakdown],0)))^2</f>
        <v>119.81897846742561</v>
      </c>
      <c r="AK1571" s="5">
        <f>(vp.data[[#This Row],[Dens]]-INDEX(crudeBD.lkup[Mean_Dens],MATCH(vp.data[[#This Row],[Crude_Breakdown]],crudeBD.lkup[Crude Breakdown],0)))^2</f>
        <v>38.232336207654335</v>
      </c>
      <c r="AL1571" s="5">
        <f>(vp.data[[#This Row],[Sulf]]-INDEX(crudeBD.lkup[Mean_Sulf],MATCH(vp.data[[#This Row],[Crude_Breakdown]],crudeBD.lkup[Crude Breakdown],0)))^2</f>
        <v>0.15442633918177728</v>
      </c>
      <c r="AM1571" s="4">
        <f>IF(AND(vp.data[[#This Row],[SDate]]&gt;=DATE(YEAR(vp.data[[#This Row],[SDate]]),5,1),vp.data[[#This Row],[SDate]]&lt;=DATE(YEAR(vp.data[[#This Row],[SDate]]),9,15)),1,0)</f>
        <v>1</v>
      </c>
      <c r="AN1571" s="4">
        <f>IF(vp.data[[#This Row],[SDate]]&lt;DATE(2016,12,1),0,1)</f>
        <v>1</v>
      </c>
      <c r="AO1571" s="4">
        <f>IFERROR(vp.data[[#This Row],[Sulf]]*vp.data[[#This Row],[Net Dens]],"")</f>
        <v>8712421.6964310016</v>
      </c>
      <c r="AP1571">
        <f>IFERROR(vp.data[[#This Row],[Dens]]*vp.data[[#This Row],[VolumeM3]],"")</f>
        <v>16438531.502700003</v>
      </c>
      <c r="AQ1571" s="15">
        <f>IFERROR(vp.data[[#This Row],[VP]]*vp.data[[#This Row],[VolumeM3]],"")</f>
        <v>1606578.9246</v>
      </c>
    </row>
    <row r="1572" spans="1:43" x14ac:dyDescent="0.25">
      <c r="A1572">
        <v>1571</v>
      </c>
      <c r="B1572" t="s">
        <v>49</v>
      </c>
      <c r="C1572" t="s">
        <v>49</v>
      </c>
      <c r="D1572" t="s">
        <v>70</v>
      </c>
      <c r="F1572" s="1">
        <v>42886</v>
      </c>
      <c r="G1572" s="2">
        <v>73</v>
      </c>
      <c r="H1572" s="2"/>
      <c r="I1572" s="2">
        <f t="array" ref="I1572">_xlfn.IFNA(IF(vp.data[[#This Row],[Sulf Input]]="",INDEX([1]DATA!$Q$3:$Q$9826,MATCH(1,(vp.data[[#This Row],[Battery]]=[1]DATA!$L$3:$L$9826)*(EOMONTH(vp.data[[#This Row],[SDate]],-1)+1=[1]DATA!$G$3:$G$9826),0)),vp.data[[#This Row],[Sulf Input]]),"")</f>
        <v>0.94</v>
      </c>
      <c r="J1572" s="2"/>
      <c r="K1572" s="2"/>
      <c r="L1572" s="2"/>
      <c r="M1572" s="2">
        <f t="array" ref="M1572">_xlfn.IFNA(IF(vp.data[[#This Row],[Dens Input]]="",INDEX([1]DATA!$O$3:$O$9826,MATCH(1,(vp.data[[#This Row],[Battery]]=[1]DATA!$L$3:$L$9826)*(EOMONTH(vp.data[[#This Row],[SDate]],-1)+1=[1]DATA!$G$3:$G$9826),0)),vp.data[[#This Row],[Dens Input]]),"")</f>
        <v>834.5</v>
      </c>
      <c r="N1572" s="2">
        <f ca="1">INDEX(INDIRECT(_xlfn.CONCAT("weather.tbl[",N$1,"]")),MATCH(vp.data[[#This Row],[SDate]],weather.tbl[Date],0))</f>
        <v>13.600000000000001</v>
      </c>
      <c r="O1572" s="2">
        <f ca="1">INDEX(INDIRECT(_xlfn.CONCAT("weather.tbl[",O$1,"]")),MATCH(vp.data[[#This Row],[SDate]],weather.tbl[Date],0))</f>
        <v>12.745238095238095</v>
      </c>
      <c r="P1572" s="2">
        <f ca="1">INDEX(INDIRECT(_xlfn.CONCAT("weather.tbl[",P$1,"]")),MATCH(vp.data[[#This Row],[SDate]],weather.tbl[Date],0))</f>
        <v>13.9</v>
      </c>
      <c r="Q1572" s="2">
        <f ca="1">INDEX(INDIRECT(_xlfn.CONCAT("weather.tbl[",Q$1,"]")),MATCH(vp.data[[#This Row],[SDate]],weather.tbl[Date],0))</f>
        <v>13.7</v>
      </c>
      <c r="R1572" s="2">
        <f ca="1">INDEX(INDIRECT(_xlfn.CONCAT("weather.tbl[",R$1,"]")),MATCH(vp.data[[#This Row],[SDate]],weather.tbl[Date],0))</f>
        <v>12.8</v>
      </c>
      <c r="S1572" s="2">
        <f ca="1">INDEX(INDIRECT(_xlfn.CONCAT("weather.tbl[",S$1,"]")),MATCH(vp.data[[#This Row],[SDate]],weather.tbl[Date],0))</f>
        <v>13.5</v>
      </c>
      <c r="T1572" s="2">
        <f ca="1">INDEX(INDIRECT(_xlfn.CONCAT("weather.tbl[",T$1,"]")),MATCH(vp.data[[#This Row],[SDate]],weather.tbl[Date],0))</f>
        <v>14.2</v>
      </c>
      <c r="U1572" s="2">
        <f ca="1">INDEX(INDIRECT(_xlfn.CONCAT("weather.tbl[",U$1,"]")),MATCH(vp.data[[#This Row],[SDate]],weather.tbl[Date],0))</f>
        <v>13.5</v>
      </c>
      <c r="V1572" s="2">
        <f t="array" ref="V15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2413.8069999999998</v>
      </c>
      <c r="W1572" t="s">
        <v>48</v>
      </c>
      <c r="X1572">
        <f>IF(OR(vp.data[[#This Row],[Sulf]]="",vp.data[[#This Row],[Dens]]=""),1,0)</f>
        <v>0</v>
      </c>
      <c r="Y1572">
        <f>IF(vp.data[[#This Row],[CrudeType]]="C5+",1,0)</f>
        <v>0</v>
      </c>
      <c r="Z1572">
        <f>IF(AND(vp.data[[#This Row],[CrudeType]]="Crude",vp.data[[#This Row],[Dens]]&lt;=825,vp.data[[#This Row],[Sulf]]&gt;0.5,vp.data[[#This Row],[Unknown]]=0),1,0)</f>
        <v>0</v>
      </c>
      <c r="AA1572">
        <f>IF(AND(vp.data[[#This Row],[CrudeType]]="Crude",vp.data[[#This Row],[Dens]]&lt;=825,vp.data[[#This Row],[Sulf]]&lt;=0.5,vp.data[[#This Row],[Unknown]]=0),1,0)</f>
        <v>0</v>
      </c>
      <c r="AB15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72">
        <f>IF(AND(vp.data[[#This Row],[CrudeType]]="Crude",vp.data[[#This Row],[Dens]]&gt;825,vp.data[[#This Row],[Dens]]&lt;=900,vp.data[[#This Row],[Sulf]]&lt;=0.5,vp.data[[#This Row],[Unknown]]=0),1,0)</f>
        <v>0</v>
      </c>
      <c r="AD1572">
        <f>IF(AND(vp.data[[#This Row],[CrudeType]]="Crude",vp.data[[#This Row],[Dens]]&gt;865,vp.data[[#This Row],[Dens]]&lt;=900,vp.data[[#This Row],[Sulf]]&gt;2,vp.data[[#This Row],[Unknown]]=0),1,0)</f>
        <v>0</v>
      </c>
      <c r="AE1572">
        <f>IF(AND(vp.data[[#This Row],[CrudeType]]="Crude",vp.data[[#This Row],[Dens]]&gt;900,vp.data[[#This Row],[Sulf]]&lt;=0.5,vp.data[[#This Row],[Unknown]]=0),1,0)</f>
        <v>0</v>
      </c>
      <c r="AF1572">
        <f>IF(AND(vp.data[[#This Row],[CrudeType]]="Crude",vp.data[[#This Row],[Dens]]&gt;900,vp.data[[#This Row],[Sulf]]&lt;=0.5,vp.data[[#This Row],[Unknown]]=0),1,0)</f>
        <v>0</v>
      </c>
      <c r="AG1572" t="str">
        <f>INDEX(vp.data[[#Headers],[Unknown]:[Heavy_SW]],MATCH(1,vp.data[[#This Row],[Unknown]:[Heavy_SW]],0))</f>
        <v>Medium_LSB</v>
      </c>
      <c r="AH1572">
        <f>INDEX([3]!crudeBD.lkup[Number],MATCH(vp.data[[#This Row],[Crude_Breakdown]],crudeBD.lkup[Crude Breakdown],0))</f>
        <v>3</v>
      </c>
      <c r="AI1572">
        <f>MONTH(vp.data[[#This Row],[SDate]])</f>
        <v>5</v>
      </c>
      <c r="AJ1572" s="5">
        <f>(vp.data[[#This Row],[VP]]-INDEX(crudeBD.lkup[Mean_VP],MATCH(vp.data[[#This Row],[Crude_Breakdown]],crudeBD.lkup[Crude Breakdown],0)))^2</f>
        <v>58.364657786559597</v>
      </c>
      <c r="AK1572" s="5">
        <f>(vp.data[[#This Row],[Dens]]-INDEX(crudeBD.lkup[Mean_Dens],MATCH(vp.data[[#This Row],[Crude_Breakdown]],crudeBD.lkup[Crude Breakdown],0)))^2</f>
        <v>88.736399999990667</v>
      </c>
      <c r="AL1572" s="5">
        <f>(vp.data[[#This Row],[Sulf]]-INDEX(crudeBD.lkup[Mean_Sulf],MATCH(vp.data[[#This Row],[Crude_Breakdown]],crudeBD.lkup[Crude Breakdown],0)))^2</f>
        <v>0.19838839931671826</v>
      </c>
      <c r="AM1572" s="4">
        <f>IF(AND(vp.data[[#This Row],[SDate]]&gt;=DATE(YEAR(vp.data[[#This Row],[SDate]]),5,1),vp.data[[#This Row],[SDate]]&lt;=DATE(YEAR(vp.data[[#This Row],[SDate]]),9,15)),1,0)</f>
        <v>1</v>
      </c>
      <c r="AN1572" s="4">
        <f>IF(vp.data[[#This Row],[SDate]]&lt;DATE(2016,12,1),0,1)</f>
        <v>1</v>
      </c>
      <c r="AO1572" s="4">
        <f>IFERROR(vp.data[[#This Row],[Sulf]]*vp.data[[#This Row],[Net Dens]],"")</f>
        <v>1893462.6250099996</v>
      </c>
      <c r="AP1572">
        <f>IFERROR(vp.data[[#This Row],[Dens]]*vp.data[[#This Row],[VolumeM3]],"")</f>
        <v>2014321.9414999997</v>
      </c>
      <c r="AQ1572" s="15">
        <f>IFERROR(vp.data[[#This Row],[VP]]*vp.data[[#This Row],[VolumeM3]],"")</f>
        <v>176207.91099999999</v>
      </c>
    </row>
    <row r="1573" spans="1:43" x14ac:dyDescent="0.25">
      <c r="A1573">
        <v>1572</v>
      </c>
      <c r="B1573" t="s">
        <v>51</v>
      </c>
      <c r="C1573" t="s">
        <v>51</v>
      </c>
      <c r="D1573" t="s">
        <v>95</v>
      </c>
      <c r="F1573" s="1">
        <v>42886</v>
      </c>
      <c r="G1573" s="2">
        <v>67.7</v>
      </c>
      <c r="H1573" s="2"/>
      <c r="I1573" s="2">
        <f t="array" ref="I1573">_xlfn.IFNA(IF(vp.data[[#This Row],[Sulf Input]]="",INDEX([1]DATA!$Q$3:$Q$9826,MATCH(1,(vp.data[[#This Row],[Battery]]=[1]DATA!$L$3:$L$9826)*(EOMONTH(vp.data[[#This Row],[SDate]],-1)+1=[1]DATA!$G$3:$G$9826),0)),vp.data[[#This Row],[Sulf Input]]),"")</f>
        <v>1.19</v>
      </c>
      <c r="J1573" s="2"/>
      <c r="K1573" s="2"/>
      <c r="L1573" s="2"/>
      <c r="M1573" s="2">
        <f t="array" ref="M1573">_xlfn.IFNA(IF(vp.data[[#This Row],[Dens Input]]="",INDEX([1]DATA!$O$3:$O$9826,MATCH(1,(vp.data[[#This Row],[Battery]]=[1]DATA!$L$3:$L$9826)*(EOMONTH(vp.data[[#This Row],[SDate]],-1)+1=[1]DATA!$G$3:$G$9826),0)),vp.data[[#This Row],[Dens Input]]),"")</f>
        <v>848.6</v>
      </c>
      <c r="N1573" s="2">
        <f ca="1">INDEX(INDIRECT(_xlfn.CONCAT("weather.tbl[",N$1,"]")),MATCH(vp.data[[#This Row],[SDate]],weather.tbl[Date],0))</f>
        <v>13.600000000000001</v>
      </c>
      <c r="O1573" s="2">
        <f ca="1">INDEX(INDIRECT(_xlfn.CONCAT("weather.tbl[",O$1,"]")),MATCH(vp.data[[#This Row],[SDate]],weather.tbl[Date],0))</f>
        <v>12.745238095238095</v>
      </c>
      <c r="P1573" s="2">
        <f ca="1">INDEX(INDIRECT(_xlfn.CONCAT("weather.tbl[",P$1,"]")),MATCH(vp.data[[#This Row],[SDate]],weather.tbl[Date],0))</f>
        <v>13.9</v>
      </c>
      <c r="Q1573" s="2">
        <f ca="1">INDEX(INDIRECT(_xlfn.CONCAT("weather.tbl[",Q$1,"]")),MATCH(vp.data[[#This Row],[SDate]],weather.tbl[Date],0))</f>
        <v>13.7</v>
      </c>
      <c r="R1573" s="2">
        <f ca="1">INDEX(INDIRECT(_xlfn.CONCAT("weather.tbl[",R$1,"]")),MATCH(vp.data[[#This Row],[SDate]],weather.tbl[Date],0))</f>
        <v>12.8</v>
      </c>
      <c r="S1573" s="2">
        <f ca="1">INDEX(INDIRECT(_xlfn.CONCAT("weather.tbl[",S$1,"]")),MATCH(vp.data[[#This Row],[SDate]],weather.tbl[Date],0))</f>
        <v>13.5</v>
      </c>
      <c r="T1573" s="2">
        <f ca="1">INDEX(INDIRECT(_xlfn.CONCAT("weather.tbl[",T$1,"]")),MATCH(vp.data[[#This Row],[SDate]],weather.tbl[Date],0))</f>
        <v>14.2</v>
      </c>
      <c r="U1573" s="2">
        <f ca="1">INDEX(INDIRECT(_xlfn.CONCAT("weather.tbl[",U$1,"]")),MATCH(vp.data[[#This Row],[SDate]],weather.tbl[Date],0))</f>
        <v>13.5</v>
      </c>
      <c r="V1573" s="2">
        <f t="array" ref="V15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5507.5879999999997</v>
      </c>
      <c r="W1573" t="s">
        <v>48</v>
      </c>
      <c r="X1573">
        <f>IF(OR(vp.data[[#This Row],[Sulf]]="",vp.data[[#This Row],[Dens]]=""),1,0)</f>
        <v>0</v>
      </c>
      <c r="Y1573">
        <f>IF(vp.data[[#This Row],[CrudeType]]="C5+",1,0)</f>
        <v>0</v>
      </c>
      <c r="Z1573">
        <f>IF(AND(vp.data[[#This Row],[CrudeType]]="Crude",vp.data[[#This Row],[Dens]]&lt;=825,vp.data[[#This Row],[Sulf]]&gt;0.5,vp.data[[#This Row],[Unknown]]=0),1,0)</f>
        <v>0</v>
      </c>
      <c r="AA1573">
        <f>IF(AND(vp.data[[#This Row],[CrudeType]]="Crude",vp.data[[#This Row],[Dens]]&lt;=825,vp.data[[#This Row],[Sulf]]&lt;=0.5,vp.data[[#This Row],[Unknown]]=0),1,0)</f>
        <v>0</v>
      </c>
      <c r="AB15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73">
        <f>IF(AND(vp.data[[#This Row],[CrudeType]]="Crude",vp.data[[#This Row],[Dens]]&gt;825,vp.data[[#This Row],[Dens]]&lt;=900,vp.data[[#This Row],[Sulf]]&lt;=0.5,vp.data[[#This Row],[Unknown]]=0),1,0)</f>
        <v>0</v>
      </c>
      <c r="AD1573">
        <f>IF(AND(vp.data[[#This Row],[CrudeType]]="Crude",vp.data[[#This Row],[Dens]]&gt;865,vp.data[[#This Row],[Dens]]&lt;=900,vp.data[[#This Row],[Sulf]]&gt;2,vp.data[[#This Row],[Unknown]]=0),1,0)</f>
        <v>0</v>
      </c>
      <c r="AE1573">
        <f>IF(AND(vp.data[[#This Row],[CrudeType]]="Crude",vp.data[[#This Row],[Dens]]&gt;900,vp.data[[#This Row],[Sulf]]&lt;=0.5,vp.data[[#This Row],[Unknown]]=0),1,0)</f>
        <v>0</v>
      </c>
      <c r="AF1573">
        <f>IF(AND(vp.data[[#This Row],[CrudeType]]="Crude",vp.data[[#This Row],[Dens]]&gt;900,vp.data[[#This Row],[Sulf]]&lt;=0.5,vp.data[[#This Row],[Unknown]]=0),1,0)</f>
        <v>0</v>
      </c>
      <c r="AG1573" t="str">
        <f>INDEX(vp.data[[#Headers],[Unknown]:[Heavy_SW]],MATCH(1,vp.data[[#This Row],[Unknown]:[Heavy_SW]],0))</f>
        <v>Medium_LSB</v>
      </c>
      <c r="AH1573">
        <f>INDEX([3]!crudeBD.lkup[Number],MATCH(vp.data[[#This Row],[Crude_Breakdown]],crudeBD.lkup[Crude Breakdown],0))</f>
        <v>3</v>
      </c>
      <c r="AI1573">
        <f>MONTH(vp.data[[#This Row],[SDate]])</f>
        <v>5</v>
      </c>
      <c r="AJ1573" s="5">
        <f>(vp.data[[#This Row],[VP]]-INDEX(crudeBD.lkup[Mean_VP],MATCH(vp.data[[#This Row],[Crude_Breakdown]],crudeBD.lkup[Crude Breakdown],0)))^2</f>
        <v>167.43522921513019</v>
      </c>
      <c r="AK1573" s="5">
        <f>(vp.data[[#This Row],[Dens]]-INDEX(crudeBD.lkup[Mean_Dens],MATCH(vp.data[[#This Row],[Crude_Breakdown]],crudeBD.lkup[Crude Breakdown],0)))^2</f>
        <v>21.902400000004853</v>
      </c>
      <c r="AL1573" s="5">
        <f>(vp.data[[#This Row],[Sulf]]-INDEX(crudeBD.lkup[Mean_Sulf],MATCH(vp.data[[#This Row],[Crude_Breakdown]],crudeBD.lkup[Crude Breakdown],0)))^2</f>
        <v>3.8184335974399415E-2</v>
      </c>
      <c r="AM1573" s="4">
        <f>IF(AND(vp.data[[#This Row],[SDate]]&gt;=DATE(YEAR(vp.data[[#This Row],[SDate]]),5,1),vp.data[[#This Row],[SDate]]&lt;=DATE(YEAR(vp.data[[#This Row],[SDate]]),9,15)),1,0)</f>
        <v>1</v>
      </c>
      <c r="AN1573" s="4">
        <f>IF(vp.data[[#This Row],[SDate]]&lt;DATE(2016,12,1),0,1)</f>
        <v>1</v>
      </c>
      <c r="AO1573" s="4">
        <f>IFERROR(vp.data[[#This Row],[Sulf]]*vp.data[[#This Row],[Net Dens]],"")</f>
        <v>5561749.6203919994</v>
      </c>
      <c r="AP1573">
        <f>IFERROR(vp.data[[#This Row],[Dens]]*vp.data[[#This Row],[VolumeM3]],"")</f>
        <v>4673739.1767999995</v>
      </c>
      <c r="AQ1573" s="15">
        <f>IFERROR(vp.data[[#This Row],[VP]]*vp.data[[#This Row],[VolumeM3]],"")</f>
        <v>372863.70760000002</v>
      </c>
    </row>
    <row r="1574" spans="1:43" x14ac:dyDescent="0.25">
      <c r="A1574">
        <v>1573</v>
      </c>
      <c r="B1574" t="s">
        <v>51</v>
      </c>
      <c r="C1574" t="s">
        <v>51</v>
      </c>
      <c r="D1574" t="s">
        <v>52</v>
      </c>
      <c r="F1574" s="1">
        <v>42886</v>
      </c>
      <c r="G1574" s="2">
        <v>73.2</v>
      </c>
      <c r="H1574" s="2"/>
      <c r="I1574" s="2">
        <f t="array" ref="I1574">_xlfn.IFNA(IF(vp.data[[#This Row],[Sulf Input]]="",INDEX([1]DATA!$Q$3:$Q$9826,MATCH(1,(vp.data[[#This Row],[Battery]]=[1]DATA!$L$3:$L$9826)*(EOMONTH(vp.data[[#This Row],[SDate]],-1)+1=[1]DATA!$G$3:$G$9826),0)),vp.data[[#This Row],[Sulf Input]]),"")</f>
        <v>2.4</v>
      </c>
      <c r="J1574" s="2"/>
      <c r="K1574" s="2"/>
      <c r="L1574" s="2"/>
      <c r="M1574" s="2">
        <f t="array" ref="M1574">_xlfn.IFNA(IF(vp.data[[#This Row],[Dens Input]]="",INDEX([1]DATA!$O$3:$O$9826,MATCH(1,(vp.data[[#This Row],[Battery]]=[1]DATA!$L$3:$L$9826)*(EOMONTH(vp.data[[#This Row],[SDate]],-1)+1=[1]DATA!$G$3:$G$9826),0)),vp.data[[#This Row],[Dens Input]]),"")</f>
        <v>870.9</v>
      </c>
      <c r="N1574" s="2">
        <f ca="1">INDEX(INDIRECT(_xlfn.CONCAT("weather.tbl[",N$1,"]")),MATCH(vp.data[[#This Row],[SDate]],weather.tbl[Date],0))</f>
        <v>13.600000000000001</v>
      </c>
      <c r="O1574" s="2">
        <f ca="1">INDEX(INDIRECT(_xlfn.CONCAT("weather.tbl[",O$1,"]")),MATCH(vp.data[[#This Row],[SDate]],weather.tbl[Date],0))</f>
        <v>12.745238095238095</v>
      </c>
      <c r="P1574" s="2">
        <f ca="1">INDEX(INDIRECT(_xlfn.CONCAT("weather.tbl[",P$1,"]")),MATCH(vp.data[[#This Row],[SDate]],weather.tbl[Date],0))</f>
        <v>13.9</v>
      </c>
      <c r="Q1574" s="2">
        <f ca="1">INDEX(INDIRECT(_xlfn.CONCAT("weather.tbl[",Q$1,"]")),MATCH(vp.data[[#This Row],[SDate]],weather.tbl[Date],0))</f>
        <v>13.7</v>
      </c>
      <c r="R1574" s="2">
        <f ca="1">INDEX(INDIRECT(_xlfn.CONCAT("weather.tbl[",R$1,"]")),MATCH(vp.data[[#This Row],[SDate]],weather.tbl[Date],0))</f>
        <v>12.8</v>
      </c>
      <c r="S1574" s="2">
        <f ca="1">INDEX(INDIRECT(_xlfn.CONCAT("weather.tbl[",S$1,"]")),MATCH(vp.data[[#This Row],[SDate]],weather.tbl[Date],0))</f>
        <v>13.5</v>
      </c>
      <c r="T1574" s="2">
        <f ca="1">INDEX(INDIRECT(_xlfn.CONCAT("weather.tbl[",T$1,"]")),MATCH(vp.data[[#This Row],[SDate]],weather.tbl[Date],0))</f>
        <v>14.2</v>
      </c>
      <c r="U1574" s="2">
        <f ca="1">INDEX(INDIRECT(_xlfn.CONCAT("weather.tbl[",U$1,"]")),MATCH(vp.data[[#This Row],[SDate]],weather.tbl[Date],0))</f>
        <v>13.5</v>
      </c>
      <c r="V1574" s="2">
        <f t="array" ref="V15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7049.7860000000001</v>
      </c>
      <c r="W1574" t="s">
        <v>48</v>
      </c>
      <c r="X1574">
        <f>IF(OR(vp.data[[#This Row],[Sulf]]="",vp.data[[#This Row],[Dens]]=""),1,0)</f>
        <v>0</v>
      </c>
      <c r="Y1574">
        <f>IF(vp.data[[#This Row],[CrudeType]]="C5+",1,0)</f>
        <v>0</v>
      </c>
      <c r="Z1574">
        <f>IF(AND(vp.data[[#This Row],[CrudeType]]="Crude",vp.data[[#This Row],[Dens]]&lt;=825,vp.data[[#This Row],[Sulf]]&gt;0.5,vp.data[[#This Row],[Unknown]]=0),1,0)</f>
        <v>0</v>
      </c>
      <c r="AA1574">
        <f>IF(AND(vp.data[[#This Row],[CrudeType]]="Crude",vp.data[[#This Row],[Dens]]&lt;=825,vp.data[[#This Row],[Sulf]]&lt;=0.5,vp.data[[#This Row],[Unknown]]=0),1,0)</f>
        <v>0</v>
      </c>
      <c r="AB15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4">
        <f>IF(AND(vp.data[[#This Row],[CrudeType]]="Crude",vp.data[[#This Row],[Dens]]&gt;825,vp.data[[#This Row],[Dens]]&lt;=900,vp.data[[#This Row],[Sulf]]&lt;=0.5,vp.data[[#This Row],[Unknown]]=0),1,0)</f>
        <v>0</v>
      </c>
      <c r="AD1574">
        <f>IF(AND(vp.data[[#This Row],[CrudeType]]="Crude",vp.data[[#This Row],[Dens]]&gt;865,vp.data[[#This Row],[Dens]]&lt;=900,vp.data[[#This Row],[Sulf]]&gt;2,vp.data[[#This Row],[Unknown]]=0),1,0)</f>
        <v>1</v>
      </c>
      <c r="AE1574">
        <f>IF(AND(vp.data[[#This Row],[CrudeType]]="Crude",vp.data[[#This Row],[Dens]]&gt;900,vp.data[[#This Row],[Sulf]]&lt;=0.5,vp.data[[#This Row],[Unknown]]=0),1,0)</f>
        <v>0</v>
      </c>
      <c r="AF1574">
        <f>IF(AND(vp.data[[#This Row],[CrudeType]]="Crude",vp.data[[#This Row],[Dens]]&gt;900,vp.data[[#This Row],[Sulf]]&lt;=0.5,vp.data[[#This Row],[Unknown]]=0),1,0)</f>
        <v>0</v>
      </c>
      <c r="AG1574" t="str">
        <f>INDEX(vp.data[[#Headers],[Unknown]:[Heavy_SW]],MATCH(1,vp.data[[#This Row],[Unknown]:[Heavy_SW]],0))</f>
        <v>Midale</v>
      </c>
      <c r="AH1574">
        <f>INDEX([3]!crudeBD.lkup[Number],MATCH(vp.data[[#This Row],[Crude_Breakdown]],crudeBD.lkup[Crude Breakdown],0))</f>
        <v>5</v>
      </c>
      <c r="AI1574">
        <f>MONTH(vp.data[[#This Row],[SDate]])</f>
        <v>5</v>
      </c>
      <c r="AJ1574" s="5">
        <f>(vp.data[[#This Row],[VP]]-INDEX(crudeBD.lkup[Mean_VP],MATCH(vp.data[[#This Row],[Crude_Breakdown]],crudeBD.lkup[Crude Breakdown],0)))^2</f>
        <v>14.373478850036982</v>
      </c>
      <c r="AK1574" s="5">
        <f>(vp.data[[#This Row],[Dens]]-INDEX(crudeBD.lkup[Mean_Dens],MATCH(vp.data[[#This Row],[Crude_Breakdown]],crudeBD.lkup[Crude Breakdown],0)))^2</f>
        <v>15.342969762995462</v>
      </c>
      <c r="AL1574" s="5">
        <f>(vp.data[[#This Row],[Sulf]]-INDEX(crudeBD.lkup[Mean_Sulf],MATCH(vp.data[[#This Row],[Crude_Breakdown]],crudeBD.lkup[Crude Breakdown],0)))^2</f>
        <v>1.9023176856306674E-3</v>
      </c>
      <c r="AM1574" s="4">
        <f>IF(AND(vp.data[[#This Row],[SDate]]&gt;=DATE(YEAR(vp.data[[#This Row],[SDate]]),5,1),vp.data[[#This Row],[SDate]]&lt;=DATE(YEAR(vp.data[[#This Row],[SDate]]),9,15)),1,0)</f>
        <v>1</v>
      </c>
      <c r="AN1574" s="4">
        <f>IF(vp.data[[#This Row],[SDate]]&lt;DATE(2016,12,1),0,1)</f>
        <v>1</v>
      </c>
      <c r="AO1574" s="4">
        <f>IFERROR(vp.data[[#This Row],[Sulf]]*vp.data[[#This Row],[Net Dens]],"")</f>
        <v>14735180.705759998</v>
      </c>
      <c r="AP1574">
        <f>IFERROR(vp.data[[#This Row],[Dens]]*vp.data[[#This Row],[VolumeM3]],"")</f>
        <v>6139658.6273999996</v>
      </c>
      <c r="AQ1574" s="15">
        <f>IFERROR(vp.data[[#This Row],[VP]]*vp.data[[#This Row],[VolumeM3]],"")</f>
        <v>516044.33520000003</v>
      </c>
    </row>
    <row r="1575" spans="1:43" x14ac:dyDescent="0.25">
      <c r="A1575">
        <v>1574</v>
      </c>
      <c r="B1575" t="s">
        <v>51</v>
      </c>
      <c r="C1575" t="s">
        <v>51</v>
      </c>
      <c r="D1575" t="s">
        <v>66</v>
      </c>
      <c r="F1575" s="1">
        <v>42886</v>
      </c>
      <c r="G1575" s="2">
        <v>94.9</v>
      </c>
      <c r="H1575" s="2"/>
      <c r="I1575" s="2">
        <f t="array" ref="I1575">_xlfn.IFNA(IF(vp.data[[#This Row],[Sulf Input]]="",INDEX([1]DATA!$Q$3:$Q$9826,MATCH(1,(vp.data[[#This Row],[Battery]]=[1]DATA!$L$3:$L$9826)*(EOMONTH(vp.data[[#This Row],[SDate]],-1)+1=[1]DATA!$G$3:$G$9826),0)),vp.data[[#This Row],[Sulf Input]]),"")</f>
        <v>1.79</v>
      </c>
      <c r="J1575" s="2"/>
      <c r="K1575" s="2"/>
      <c r="L1575" s="2"/>
      <c r="M1575" s="2">
        <f t="array" ref="M1575">_xlfn.IFNA(IF(vp.data[[#This Row],[Dens Input]]="",INDEX([1]DATA!$O$3:$O$9826,MATCH(1,(vp.data[[#This Row],[Battery]]=[1]DATA!$L$3:$L$9826)*(EOMONTH(vp.data[[#This Row],[SDate]],-1)+1=[1]DATA!$G$3:$G$9826),0)),vp.data[[#This Row],[Dens Input]]),"")</f>
        <v>824.4</v>
      </c>
      <c r="N1575" s="2">
        <f ca="1">INDEX(INDIRECT(_xlfn.CONCAT("weather.tbl[",N$1,"]")),MATCH(vp.data[[#This Row],[SDate]],weather.tbl[Date],0))</f>
        <v>13.600000000000001</v>
      </c>
      <c r="O1575" s="2">
        <f ca="1">INDEX(INDIRECT(_xlfn.CONCAT("weather.tbl[",O$1,"]")),MATCH(vp.data[[#This Row],[SDate]],weather.tbl[Date],0))</f>
        <v>12.745238095238095</v>
      </c>
      <c r="P1575" s="2">
        <f ca="1">INDEX(INDIRECT(_xlfn.CONCAT("weather.tbl[",P$1,"]")),MATCH(vp.data[[#This Row],[SDate]],weather.tbl[Date],0))</f>
        <v>13.9</v>
      </c>
      <c r="Q1575" s="2">
        <f ca="1">INDEX(INDIRECT(_xlfn.CONCAT("weather.tbl[",Q$1,"]")),MATCH(vp.data[[#This Row],[SDate]],weather.tbl[Date],0))</f>
        <v>13.7</v>
      </c>
      <c r="R1575" s="2">
        <f ca="1">INDEX(INDIRECT(_xlfn.CONCAT("weather.tbl[",R$1,"]")),MATCH(vp.data[[#This Row],[SDate]],weather.tbl[Date],0))</f>
        <v>12.8</v>
      </c>
      <c r="S1575" s="2">
        <f ca="1">INDEX(INDIRECT(_xlfn.CONCAT("weather.tbl[",S$1,"]")),MATCH(vp.data[[#This Row],[SDate]],weather.tbl[Date],0))</f>
        <v>13.5</v>
      </c>
      <c r="T1575" s="2">
        <f ca="1">INDEX(INDIRECT(_xlfn.CONCAT("weather.tbl[",T$1,"]")),MATCH(vp.data[[#This Row],[SDate]],weather.tbl[Date],0))</f>
        <v>14.2</v>
      </c>
      <c r="U1575" s="2">
        <f ca="1">INDEX(INDIRECT(_xlfn.CONCAT("weather.tbl[",U$1,"]")),MATCH(vp.data[[#This Row],[SDate]],weather.tbl[Date],0))</f>
        <v>13.5</v>
      </c>
      <c r="V1575" s="2">
        <f t="array" ref="V15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5197.7240000000002</v>
      </c>
      <c r="W1575" t="s">
        <v>48</v>
      </c>
      <c r="X1575">
        <f>IF(OR(vp.data[[#This Row],[Sulf]]="",vp.data[[#This Row],[Dens]]=""),1,0)</f>
        <v>0</v>
      </c>
      <c r="Y1575">
        <f>IF(vp.data[[#This Row],[CrudeType]]="C5+",1,0)</f>
        <v>0</v>
      </c>
      <c r="Z1575">
        <f>IF(AND(vp.data[[#This Row],[CrudeType]]="Crude",vp.data[[#This Row],[Dens]]&lt;=825,vp.data[[#This Row],[Sulf]]&gt;0.5,vp.data[[#This Row],[Unknown]]=0),1,0)</f>
        <v>1</v>
      </c>
      <c r="AA1575">
        <f>IF(AND(vp.data[[#This Row],[CrudeType]]="Crude",vp.data[[#This Row],[Dens]]&lt;=825,vp.data[[#This Row],[Sulf]]&lt;=0.5,vp.data[[#This Row],[Unknown]]=0),1,0)</f>
        <v>0</v>
      </c>
      <c r="AB15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5">
        <f>IF(AND(vp.data[[#This Row],[CrudeType]]="Crude",vp.data[[#This Row],[Dens]]&gt;825,vp.data[[#This Row],[Dens]]&lt;=900,vp.data[[#This Row],[Sulf]]&lt;=0.5,vp.data[[#This Row],[Unknown]]=0),1,0)</f>
        <v>0</v>
      </c>
      <c r="AD1575">
        <f>IF(AND(vp.data[[#This Row],[CrudeType]]="Crude",vp.data[[#This Row],[Dens]]&gt;865,vp.data[[#This Row],[Dens]]&lt;=900,vp.data[[#This Row],[Sulf]]&gt;2,vp.data[[#This Row],[Unknown]]=0),1,0)</f>
        <v>0</v>
      </c>
      <c r="AE1575">
        <f>IF(AND(vp.data[[#This Row],[CrudeType]]="Crude",vp.data[[#This Row],[Dens]]&gt;900,vp.data[[#This Row],[Sulf]]&lt;=0.5,vp.data[[#This Row],[Unknown]]=0),1,0)</f>
        <v>0</v>
      </c>
      <c r="AF1575">
        <f>IF(AND(vp.data[[#This Row],[CrudeType]]="Crude",vp.data[[#This Row],[Dens]]&gt;900,vp.data[[#This Row],[Sulf]]&lt;=0.5,vp.data[[#This Row],[Unknown]]=0),1,0)</f>
        <v>0</v>
      </c>
      <c r="AG1575" t="str">
        <f>INDEX(vp.data[[#Headers],[Unknown]:[Heavy_SW]],MATCH(1,vp.data[[#This Row],[Unknown]:[Heavy_SW]],0))</f>
        <v>Light_LSB</v>
      </c>
      <c r="AH1575">
        <f>INDEX([3]!crudeBD.lkup[Number],MATCH(vp.data[[#This Row],[Crude_Breakdown]],crudeBD.lkup[Crude Breakdown],0))</f>
        <v>1</v>
      </c>
      <c r="AI1575">
        <f>MONTH(vp.data[[#This Row],[SDate]])</f>
        <v>5</v>
      </c>
      <c r="AJ1575" s="5">
        <f>(vp.data[[#This Row],[VP]]-INDEX(crudeBD.lkup[Mean_VP],MATCH(vp.data[[#This Row],[Crude_Breakdown]],crudeBD.lkup[Crude Breakdown],0)))^2</f>
        <v>11.24807125092979</v>
      </c>
      <c r="AK1575" s="5">
        <f>(vp.data[[#This Row],[Dens]]-INDEX(crudeBD.lkup[Mean_Dens],MATCH(vp.data[[#This Row],[Crude_Breakdown]],crudeBD.lkup[Crude Breakdown],0)))^2</f>
        <v>34.612398063323418</v>
      </c>
      <c r="AL1575" s="5">
        <f>(vp.data[[#This Row],[Sulf]]-INDEX(crudeBD.lkup[Mean_Sulf],MATCH(vp.data[[#This Row],[Crude_Breakdown]],crudeBD.lkup[Crude Breakdown],0)))^2</f>
        <v>0.75173899485188111</v>
      </c>
      <c r="AM1575" s="4">
        <f>IF(AND(vp.data[[#This Row],[SDate]]&gt;=DATE(YEAR(vp.data[[#This Row],[SDate]]),5,1),vp.data[[#This Row],[SDate]]&lt;=DATE(YEAR(vp.data[[#This Row],[SDate]]),9,15)),1,0)</f>
        <v>1</v>
      </c>
      <c r="AN1575" s="4">
        <f>IF(vp.data[[#This Row],[SDate]]&lt;DATE(2016,12,1),0,1)</f>
        <v>1</v>
      </c>
      <c r="AO1575" s="4">
        <f>IFERROR(vp.data[[#This Row],[Sulf]]*vp.data[[#This Row],[Net Dens]],"")</f>
        <v>7670156.5614240002</v>
      </c>
      <c r="AP1575">
        <f>IFERROR(vp.data[[#This Row],[Dens]]*vp.data[[#This Row],[VolumeM3]],"")</f>
        <v>4285003.6655999999</v>
      </c>
      <c r="AQ1575" s="15">
        <f>IFERROR(vp.data[[#This Row],[VP]]*vp.data[[#This Row],[VolumeM3]],"")</f>
        <v>493264.00760000007</v>
      </c>
    </row>
    <row r="1576" spans="1:43" x14ac:dyDescent="0.25">
      <c r="A1576">
        <v>1575</v>
      </c>
      <c r="B1576" t="s">
        <v>62</v>
      </c>
      <c r="C1576" t="s">
        <v>62</v>
      </c>
      <c r="D1576" t="s">
        <v>79</v>
      </c>
      <c r="F1576" s="1">
        <v>42886</v>
      </c>
      <c r="G1576" s="2">
        <v>78.599999999999994</v>
      </c>
      <c r="H1576" s="2"/>
      <c r="I1576" s="2">
        <f t="array" ref="I1576">_xlfn.IFNA(IF(vp.data[[#This Row],[Sulf Input]]="",INDEX([1]DATA!$Q$3:$Q$9826,MATCH(1,(vp.data[[#This Row],[Battery]]=[1]DATA!$L$3:$L$9826)*(EOMONTH(vp.data[[#This Row],[SDate]],-1)+1=[1]DATA!$G$3:$G$9826),0)),vp.data[[#This Row],[Sulf Input]]),"")</f>
        <v>0.35</v>
      </c>
      <c r="J1576" s="2"/>
      <c r="K1576" s="2"/>
      <c r="L1576" s="2"/>
      <c r="M1576" s="2">
        <f t="array" ref="M1576">_xlfn.IFNA(IF(vp.data[[#This Row],[Dens Input]]="",INDEX([1]DATA!$O$3:$O$9826,MATCH(1,(vp.data[[#This Row],[Battery]]=[1]DATA!$L$3:$L$9826)*(EOMONTH(vp.data[[#This Row],[SDate]],-1)+1=[1]DATA!$G$3:$G$9826),0)),vp.data[[#This Row],[Dens Input]]),"")</f>
        <v>809</v>
      </c>
      <c r="N1576" s="2">
        <f ca="1">INDEX(INDIRECT(_xlfn.CONCAT("weather.tbl[",N$1,"]")),MATCH(vp.data[[#This Row],[SDate]],weather.tbl[Date],0))</f>
        <v>13.600000000000001</v>
      </c>
      <c r="O1576" s="2">
        <f ca="1">INDEX(INDIRECT(_xlfn.CONCAT("weather.tbl[",O$1,"]")),MATCH(vp.data[[#This Row],[SDate]],weather.tbl[Date],0))</f>
        <v>12.745238095238095</v>
      </c>
      <c r="P1576" s="2">
        <f ca="1">INDEX(INDIRECT(_xlfn.CONCAT("weather.tbl[",P$1,"]")),MATCH(vp.data[[#This Row],[SDate]],weather.tbl[Date],0))</f>
        <v>13.9</v>
      </c>
      <c r="Q1576" s="2">
        <f ca="1">INDEX(INDIRECT(_xlfn.CONCAT("weather.tbl[",Q$1,"]")),MATCH(vp.data[[#This Row],[SDate]],weather.tbl[Date],0))</f>
        <v>13.7</v>
      </c>
      <c r="R1576" s="2">
        <f ca="1">INDEX(INDIRECT(_xlfn.CONCAT("weather.tbl[",R$1,"]")),MATCH(vp.data[[#This Row],[SDate]],weather.tbl[Date],0))</f>
        <v>12.8</v>
      </c>
      <c r="S1576" s="2">
        <f ca="1">INDEX(INDIRECT(_xlfn.CONCAT("weather.tbl[",S$1,"]")),MATCH(vp.data[[#This Row],[SDate]],weather.tbl[Date],0))</f>
        <v>13.5</v>
      </c>
      <c r="T1576" s="2">
        <f ca="1">INDEX(INDIRECT(_xlfn.CONCAT("weather.tbl[",T$1,"]")),MATCH(vp.data[[#This Row],[SDate]],weather.tbl[Date],0))</f>
        <v>14.2</v>
      </c>
      <c r="U1576" s="2">
        <f ca="1">INDEX(INDIRECT(_xlfn.CONCAT("weather.tbl[",U$1,"]")),MATCH(vp.data[[#This Row],[SDate]],weather.tbl[Date],0))</f>
        <v>13.5</v>
      </c>
      <c r="V1576" s="2">
        <f t="array" ref="V15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12983.781000000001</v>
      </c>
      <c r="W1576" t="s">
        <v>48</v>
      </c>
      <c r="X1576">
        <f>IF(OR(vp.data[[#This Row],[Sulf]]="",vp.data[[#This Row],[Dens]]=""),1,0)</f>
        <v>0</v>
      </c>
      <c r="Y1576">
        <f>IF(vp.data[[#This Row],[CrudeType]]="C5+",1,0)</f>
        <v>0</v>
      </c>
      <c r="Z1576">
        <f>IF(AND(vp.data[[#This Row],[CrudeType]]="Crude",vp.data[[#This Row],[Dens]]&lt;=825,vp.data[[#This Row],[Sulf]]&gt;0.5,vp.data[[#This Row],[Unknown]]=0),1,0)</f>
        <v>0</v>
      </c>
      <c r="AA1576">
        <f>IF(AND(vp.data[[#This Row],[CrudeType]]="Crude",vp.data[[#This Row],[Dens]]&lt;=825,vp.data[[#This Row],[Sulf]]&lt;=0.5,vp.data[[#This Row],[Unknown]]=0),1,0)</f>
        <v>1</v>
      </c>
      <c r="AB15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6">
        <f>IF(AND(vp.data[[#This Row],[CrudeType]]="Crude",vp.data[[#This Row],[Dens]]&gt;825,vp.data[[#This Row],[Dens]]&lt;=900,vp.data[[#This Row],[Sulf]]&lt;=0.5,vp.data[[#This Row],[Unknown]]=0),1,0)</f>
        <v>0</v>
      </c>
      <c r="AD1576">
        <f>IF(AND(vp.data[[#This Row],[CrudeType]]="Crude",vp.data[[#This Row],[Dens]]&gt;865,vp.data[[#This Row],[Dens]]&lt;=900,vp.data[[#This Row],[Sulf]]&gt;2,vp.data[[#This Row],[Unknown]]=0),1,0)</f>
        <v>0</v>
      </c>
      <c r="AE1576">
        <f>IF(AND(vp.data[[#This Row],[CrudeType]]="Crude",vp.data[[#This Row],[Dens]]&gt;900,vp.data[[#This Row],[Sulf]]&lt;=0.5,vp.data[[#This Row],[Unknown]]=0),1,0)</f>
        <v>0</v>
      </c>
      <c r="AF1576">
        <f>IF(AND(vp.data[[#This Row],[CrudeType]]="Crude",vp.data[[#This Row],[Dens]]&gt;900,vp.data[[#This Row],[Sulf]]&lt;=0.5,vp.data[[#This Row],[Unknown]]=0),1,0)</f>
        <v>0</v>
      </c>
      <c r="AG1576" t="str">
        <f>INDEX(vp.data[[#Headers],[Unknown]:[Heavy_SW]],MATCH(1,vp.data[[#This Row],[Unknown]:[Heavy_SW]],0))</f>
        <v>Light_SW</v>
      </c>
      <c r="AH1576">
        <f>INDEX([3]!crudeBD.lkup[Number],MATCH(vp.data[[#This Row],[Crude_Breakdown]],crudeBD.lkup[Crude Breakdown],0))</f>
        <v>2</v>
      </c>
      <c r="AI1576">
        <f>MONTH(vp.data[[#This Row],[SDate]])</f>
        <v>5</v>
      </c>
      <c r="AJ1576" s="5">
        <f>(vp.data[[#This Row],[VP]]-INDEX(crudeBD.lkup[Mean_VP],MATCH(vp.data[[#This Row],[Crude_Breakdown]],crudeBD.lkup[Crude Breakdown],0)))^2</f>
        <v>194.61124922725716</v>
      </c>
      <c r="AK1576" s="5">
        <f>(vp.data[[#This Row],[Dens]]-INDEX(crudeBD.lkup[Mean_Dens],MATCH(vp.data[[#This Row],[Crude_Breakdown]],crudeBD.lkup[Crude Breakdown],0)))^2</f>
        <v>0.4740346489580396</v>
      </c>
      <c r="AL1576" s="5">
        <f>(vp.data[[#This Row],[Sulf]]-INDEX(crudeBD.lkup[Mean_Sulf],MATCH(vp.data[[#This Row],[Crude_Breakdown]],crudeBD.lkup[Crude Breakdown],0)))^2</f>
        <v>1.2940925371923933E-2</v>
      </c>
      <c r="AM1576" s="4">
        <f>IF(AND(vp.data[[#This Row],[SDate]]&gt;=DATE(YEAR(vp.data[[#This Row],[SDate]]),5,1),vp.data[[#This Row],[SDate]]&lt;=DATE(YEAR(vp.data[[#This Row],[SDate]]),9,15)),1,0)</f>
        <v>1</v>
      </c>
      <c r="AN1576" s="4">
        <f>IF(vp.data[[#This Row],[SDate]]&lt;DATE(2016,12,1),0,1)</f>
        <v>1</v>
      </c>
      <c r="AO1576" s="4">
        <f>IFERROR(vp.data[[#This Row],[Sulf]]*vp.data[[#This Row],[Net Dens]],"")</f>
        <v>3676357.5901499996</v>
      </c>
      <c r="AP1576">
        <f>IFERROR(vp.data[[#This Row],[Dens]]*vp.data[[#This Row],[VolumeM3]],"")</f>
        <v>10503878.829</v>
      </c>
      <c r="AQ1576" s="15">
        <f>IFERROR(vp.data[[#This Row],[VP]]*vp.data[[#This Row],[VolumeM3]],"")</f>
        <v>1020525.1866</v>
      </c>
    </row>
    <row r="1577" spans="1:43" x14ac:dyDescent="0.25">
      <c r="A1577">
        <v>1576</v>
      </c>
      <c r="B1577" t="s">
        <v>62</v>
      </c>
      <c r="C1577" t="s">
        <v>62</v>
      </c>
      <c r="D1577" t="s">
        <v>87</v>
      </c>
      <c r="F1577" s="1">
        <v>42886</v>
      </c>
      <c r="G1577" s="2">
        <v>76.8</v>
      </c>
      <c r="H1577" s="2"/>
      <c r="I1577" s="2">
        <f t="array" ref="I1577">_xlfn.IFNA(IF(vp.data[[#This Row],[Sulf Input]]="",INDEX([1]DATA!$Q$3:$Q$9826,MATCH(1,(vp.data[[#This Row],[Battery]]=[1]DATA!$L$3:$L$9826)*(EOMONTH(vp.data[[#This Row],[SDate]],-1)+1=[1]DATA!$G$3:$G$9826),0)),vp.data[[#This Row],[Sulf Input]]),"")</f>
        <v>0.26</v>
      </c>
      <c r="J1577" s="2"/>
      <c r="K1577" s="2"/>
      <c r="L1577" s="2"/>
      <c r="M1577" s="2">
        <f t="array" ref="M1577">_xlfn.IFNA(IF(vp.data[[#This Row],[Dens Input]]="",INDEX([1]DATA!$O$3:$O$9826,MATCH(1,(vp.data[[#This Row],[Battery]]=[1]DATA!$L$3:$L$9826)*(EOMONTH(vp.data[[#This Row],[SDate]],-1)+1=[1]DATA!$G$3:$G$9826),0)),vp.data[[#This Row],[Dens Input]]),"")</f>
        <v>811.8</v>
      </c>
      <c r="N1577" s="2">
        <f ca="1">INDEX(INDIRECT(_xlfn.CONCAT("weather.tbl[",N$1,"]")),MATCH(vp.data[[#This Row],[SDate]],weather.tbl[Date],0))</f>
        <v>13.600000000000001</v>
      </c>
      <c r="O1577" s="2">
        <f ca="1">INDEX(INDIRECT(_xlfn.CONCAT("weather.tbl[",O$1,"]")),MATCH(vp.data[[#This Row],[SDate]],weather.tbl[Date],0))</f>
        <v>12.745238095238095</v>
      </c>
      <c r="P1577" s="2">
        <f ca="1">INDEX(INDIRECT(_xlfn.CONCAT("weather.tbl[",P$1,"]")),MATCH(vp.data[[#This Row],[SDate]],weather.tbl[Date],0))</f>
        <v>13.9</v>
      </c>
      <c r="Q1577" s="2">
        <f ca="1">INDEX(INDIRECT(_xlfn.CONCAT("weather.tbl[",Q$1,"]")),MATCH(vp.data[[#This Row],[SDate]],weather.tbl[Date],0))</f>
        <v>13.7</v>
      </c>
      <c r="R1577" s="2">
        <f ca="1">INDEX(INDIRECT(_xlfn.CONCAT("weather.tbl[",R$1,"]")),MATCH(vp.data[[#This Row],[SDate]],weather.tbl[Date],0))</f>
        <v>12.8</v>
      </c>
      <c r="S1577" s="2">
        <f ca="1">INDEX(INDIRECT(_xlfn.CONCAT("weather.tbl[",S$1,"]")),MATCH(vp.data[[#This Row],[SDate]],weather.tbl[Date],0))</f>
        <v>13.5</v>
      </c>
      <c r="T1577" s="2">
        <f ca="1">INDEX(INDIRECT(_xlfn.CONCAT("weather.tbl[",T$1,"]")),MATCH(vp.data[[#This Row],[SDate]],weather.tbl[Date],0))</f>
        <v>14.2</v>
      </c>
      <c r="U1577" s="2">
        <f ca="1">INDEX(INDIRECT(_xlfn.CONCAT("weather.tbl[",U$1,"]")),MATCH(vp.data[[#This Row],[SDate]],weather.tbl[Date],0))</f>
        <v>13.5</v>
      </c>
      <c r="V1577" s="2">
        <f t="array" ref="V15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3329.3429999999998</v>
      </c>
      <c r="W1577" t="s">
        <v>48</v>
      </c>
      <c r="X1577">
        <f>IF(OR(vp.data[[#This Row],[Sulf]]="",vp.data[[#This Row],[Dens]]=""),1,0)</f>
        <v>0</v>
      </c>
      <c r="Y1577">
        <f>IF(vp.data[[#This Row],[CrudeType]]="C5+",1,0)</f>
        <v>0</v>
      </c>
      <c r="Z1577">
        <f>IF(AND(vp.data[[#This Row],[CrudeType]]="Crude",vp.data[[#This Row],[Dens]]&lt;=825,vp.data[[#This Row],[Sulf]]&gt;0.5,vp.data[[#This Row],[Unknown]]=0),1,0)</f>
        <v>0</v>
      </c>
      <c r="AA1577">
        <f>IF(AND(vp.data[[#This Row],[CrudeType]]="Crude",vp.data[[#This Row],[Dens]]&lt;=825,vp.data[[#This Row],[Sulf]]&lt;=0.5,vp.data[[#This Row],[Unknown]]=0),1,0)</f>
        <v>1</v>
      </c>
      <c r="AB15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7">
        <f>IF(AND(vp.data[[#This Row],[CrudeType]]="Crude",vp.data[[#This Row],[Dens]]&gt;825,vp.data[[#This Row],[Dens]]&lt;=900,vp.data[[#This Row],[Sulf]]&lt;=0.5,vp.data[[#This Row],[Unknown]]=0),1,0)</f>
        <v>0</v>
      </c>
      <c r="AD1577">
        <f>IF(AND(vp.data[[#This Row],[CrudeType]]="Crude",vp.data[[#This Row],[Dens]]&gt;865,vp.data[[#This Row],[Dens]]&lt;=900,vp.data[[#This Row],[Sulf]]&gt;2,vp.data[[#This Row],[Unknown]]=0),1,0)</f>
        <v>0</v>
      </c>
      <c r="AE1577">
        <f>IF(AND(vp.data[[#This Row],[CrudeType]]="Crude",vp.data[[#This Row],[Dens]]&gt;900,vp.data[[#This Row],[Sulf]]&lt;=0.5,vp.data[[#This Row],[Unknown]]=0),1,0)</f>
        <v>0</v>
      </c>
      <c r="AF1577">
        <f>IF(AND(vp.data[[#This Row],[CrudeType]]="Crude",vp.data[[#This Row],[Dens]]&gt;900,vp.data[[#This Row],[Sulf]]&lt;=0.5,vp.data[[#This Row],[Unknown]]=0),1,0)</f>
        <v>0</v>
      </c>
      <c r="AG1577" t="str">
        <f>INDEX(vp.data[[#Headers],[Unknown]:[Heavy_SW]],MATCH(1,vp.data[[#This Row],[Unknown]:[Heavy_SW]],0))</f>
        <v>Light_SW</v>
      </c>
      <c r="AH1577">
        <f>INDEX([3]!crudeBD.lkup[Number],MATCH(vp.data[[#This Row],[Crude_Breakdown]],crudeBD.lkup[Crude Breakdown],0))</f>
        <v>2</v>
      </c>
      <c r="AI1577">
        <f>MONTH(vp.data[[#This Row],[SDate]])</f>
        <v>5</v>
      </c>
      <c r="AJ1577" s="5">
        <f>(vp.data[[#This Row],[VP]]-INDEX(crudeBD.lkup[Mean_VP],MATCH(vp.data[[#This Row],[Crude_Breakdown]],crudeBD.lkup[Crude Breakdown],0)))^2</f>
        <v>248.0723781471176</v>
      </c>
      <c r="AK1577" s="5">
        <f>(vp.data[[#This Row],[Dens]]-INDEX(crudeBD.lkup[Mean_Dens],MATCH(vp.data[[#This Row],[Crude_Breakdown]],crudeBD.lkup[Crude Breakdown],0)))^2</f>
        <v>12.169644405056506</v>
      </c>
      <c r="AL1577" s="5">
        <f>(vp.data[[#This Row],[Sulf]]-INDEX(crudeBD.lkup[Mean_Sulf],MATCH(vp.data[[#This Row],[Crude_Breakdown]],crudeBD.lkup[Crude Breakdown],0)))^2</f>
        <v>5.644515043280923E-4</v>
      </c>
      <c r="AM1577" s="4">
        <f>IF(AND(vp.data[[#This Row],[SDate]]&gt;=DATE(YEAR(vp.data[[#This Row],[SDate]]),5,1),vp.data[[#This Row],[SDate]]&lt;=DATE(YEAR(vp.data[[#This Row],[SDate]]),9,15)),1,0)</f>
        <v>1</v>
      </c>
      <c r="AN1577" s="4">
        <f>IF(vp.data[[#This Row],[SDate]]&lt;DATE(2016,12,1),0,1)</f>
        <v>1</v>
      </c>
      <c r="AO1577" s="4">
        <f>IFERROR(vp.data[[#This Row],[Sulf]]*vp.data[[#This Row],[Net Dens]],"")</f>
        <v>702717.76832399995</v>
      </c>
      <c r="AP1577">
        <f>IFERROR(vp.data[[#This Row],[Dens]]*vp.data[[#This Row],[VolumeM3]],"")</f>
        <v>2702760.6473999997</v>
      </c>
      <c r="AQ1577" s="15">
        <f>IFERROR(vp.data[[#This Row],[VP]]*vp.data[[#This Row],[VolumeM3]],"")</f>
        <v>255693.54239999998</v>
      </c>
    </row>
    <row r="1578" spans="1:43" x14ac:dyDescent="0.25">
      <c r="A1578">
        <v>1577</v>
      </c>
      <c r="B1578" t="s">
        <v>62</v>
      </c>
      <c r="C1578" t="s">
        <v>62</v>
      </c>
      <c r="D1578" t="s">
        <v>83</v>
      </c>
      <c r="F1578" s="1">
        <v>42886</v>
      </c>
      <c r="G1578" s="2">
        <v>77</v>
      </c>
      <c r="H1578" s="2"/>
      <c r="I1578" s="2">
        <f t="array" ref="I1578">_xlfn.IFNA(IF(vp.data[[#This Row],[Sulf Input]]="",INDEX([1]DATA!$Q$3:$Q$9826,MATCH(1,(vp.data[[#This Row],[Battery]]=[1]DATA!$L$3:$L$9826)*(EOMONTH(vp.data[[#This Row],[SDate]],-1)+1=[1]DATA!$G$3:$G$9826),0)),vp.data[[#This Row],[Sulf Input]]),"")</f>
        <v>0.19</v>
      </c>
      <c r="J1578" s="2"/>
      <c r="K1578" s="2"/>
      <c r="L1578" s="2"/>
      <c r="M1578" s="2">
        <f t="array" ref="M1578">_xlfn.IFNA(IF(vp.data[[#This Row],[Dens Input]]="",INDEX([1]DATA!$O$3:$O$9826,MATCH(1,(vp.data[[#This Row],[Battery]]=[1]DATA!$L$3:$L$9826)*(EOMONTH(vp.data[[#This Row],[SDate]],-1)+1=[1]DATA!$G$3:$G$9826),0)),vp.data[[#This Row],[Dens Input]]),"")</f>
        <v>810.1</v>
      </c>
      <c r="N1578" s="2">
        <f ca="1">INDEX(INDIRECT(_xlfn.CONCAT("weather.tbl[",N$1,"]")),MATCH(vp.data[[#This Row],[SDate]],weather.tbl[Date],0))</f>
        <v>13.600000000000001</v>
      </c>
      <c r="O1578" s="2">
        <f ca="1">INDEX(INDIRECT(_xlfn.CONCAT("weather.tbl[",O$1,"]")),MATCH(vp.data[[#This Row],[SDate]],weather.tbl[Date],0))</f>
        <v>12.745238095238095</v>
      </c>
      <c r="P1578" s="2">
        <f ca="1">INDEX(INDIRECT(_xlfn.CONCAT("weather.tbl[",P$1,"]")),MATCH(vp.data[[#This Row],[SDate]],weather.tbl[Date],0))</f>
        <v>13.9</v>
      </c>
      <c r="Q1578" s="2">
        <f ca="1">INDEX(INDIRECT(_xlfn.CONCAT("weather.tbl[",Q$1,"]")),MATCH(vp.data[[#This Row],[SDate]],weather.tbl[Date],0))</f>
        <v>13.7</v>
      </c>
      <c r="R1578" s="2">
        <f ca="1">INDEX(INDIRECT(_xlfn.CONCAT("weather.tbl[",R$1,"]")),MATCH(vp.data[[#This Row],[SDate]],weather.tbl[Date],0))</f>
        <v>12.8</v>
      </c>
      <c r="S1578" s="2">
        <f ca="1">INDEX(INDIRECT(_xlfn.CONCAT("weather.tbl[",S$1,"]")),MATCH(vp.data[[#This Row],[SDate]],weather.tbl[Date],0))</f>
        <v>13.5</v>
      </c>
      <c r="T1578" s="2">
        <f ca="1">INDEX(INDIRECT(_xlfn.CONCAT("weather.tbl[",T$1,"]")),MATCH(vp.data[[#This Row],[SDate]],weather.tbl[Date],0))</f>
        <v>14.2</v>
      </c>
      <c r="U1578" s="2">
        <f ca="1">INDEX(INDIRECT(_xlfn.CONCAT("weather.tbl[",U$1,"]")),MATCH(vp.data[[#This Row],[SDate]],weather.tbl[Date],0))</f>
        <v>13.5</v>
      </c>
      <c r="V1578" s="2">
        <f t="array" ref="V15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8729.3289999999997</v>
      </c>
      <c r="W1578" t="s">
        <v>48</v>
      </c>
      <c r="X1578">
        <f>IF(OR(vp.data[[#This Row],[Sulf]]="",vp.data[[#This Row],[Dens]]=""),1,0)</f>
        <v>0</v>
      </c>
      <c r="Y1578">
        <f>IF(vp.data[[#This Row],[CrudeType]]="C5+",1,0)</f>
        <v>0</v>
      </c>
      <c r="Z1578">
        <f>IF(AND(vp.data[[#This Row],[CrudeType]]="Crude",vp.data[[#This Row],[Dens]]&lt;=825,vp.data[[#This Row],[Sulf]]&gt;0.5,vp.data[[#This Row],[Unknown]]=0),1,0)</f>
        <v>0</v>
      </c>
      <c r="AA1578">
        <f>IF(AND(vp.data[[#This Row],[CrudeType]]="Crude",vp.data[[#This Row],[Dens]]&lt;=825,vp.data[[#This Row],[Sulf]]&lt;=0.5,vp.data[[#This Row],[Unknown]]=0),1,0)</f>
        <v>1</v>
      </c>
      <c r="AB15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8">
        <f>IF(AND(vp.data[[#This Row],[CrudeType]]="Crude",vp.data[[#This Row],[Dens]]&gt;825,vp.data[[#This Row],[Dens]]&lt;=900,vp.data[[#This Row],[Sulf]]&lt;=0.5,vp.data[[#This Row],[Unknown]]=0),1,0)</f>
        <v>0</v>
      </c>
      <c r="AD1578">
        <f>IF(AND(vp.data[[#This Row],[CrudeType]]="Crude",vp.data[[#This Row],[Dens]]&gt;865,vp.data[[#This Row],[Dens]]&lt;=900,vp.data[[#This Row],[Sulf]]&gt;2,vp.data[[#This Row],[Unknown]]=0),1,0)</f>
        <v>0</v>
      </c>
      <c r="AE1578">
        <f>IF(AND(vp.data[[#This Row],[CrudeType]]="Crude",vp.data[[#This Row],[Dens]]&gt;900,vp.data[[#This Row],[Sulf]]&lt;=0.5,vp.data[[#This Row],[Unknown]]=0),1,0)</f>
        <v>0</v>
      </c>
      <c r="AF1578">
        <f>IF(AND(vp.data[[#This Row],[CrudeType]]="Crude",vp.data[[#This Row],[Dens]]&gt;900,vp.data[[#This Row],[Sulf]]&lt;=0.5,vp.data[[#This Row],[Unknown]]=0),1,0)</f>
        <v>0</v>
      </c>
      <c r="AG1578" t="str">
        <f>INDEX(vp.data[[#Headers],[Unknown]:[Heavy_SW]],MATCH(1,vp.data[[#This Row],[Unknown]:[Heavy_SW]],0))</f>
        <v>Light_SW</v>
      </c>
      <c r="AH1578">
        <f>INDEX([3]!crudeBD.lkup[Number],MATCH(vp.data[[#This Row],[Crude_Breakdown]],crudeBD.lkup[Crude Breakdown],0))</f>
        <v>2</v>
      </c>
      <c r="AI1578">
        <f>MONTH(vp.data[[#This Row],[SDate]])</f>
        <v>5</v>
      </c>
      <c r="AJ1578" s="5">
        <f>(vp.data[[#This Row],[VP]]-INDEX(crudeBD.lkup[Mean_VP],MATCH(vp.data[[#This Row],[Crude_Breakdown]],crudeBD.lkup[Crude Breakdown],0)))^2</f>
        <v>241.81225271157746</v>
      </c>
      <c r="AK1578" s="5">
        <f>(vp.data[[#This Row],[Dens]]-INDEX(crudeBD.lkup[Mean_Dens],MATCH(vp.data[[#This Row],[Crude_Breakdown]],crudeBD.lkup[Crude Breakdown],0)))^2</f>
        <v>3.1987384817112146</v>
      </c>
      <c r="AL1578" s="5">
        <f>(vp.data[[#This Row],[Sulf]]-INDEX(crudeBD.lkup[Mean_Sulf],MATCH(vp.data[[#This Row],[Crude_Breakdown]],crudeBD.lkup[Crude Breakdown],0)))^2</f>
        <v>2.1383051628646554E-3</v>
      </c>
      <c r="AM1578" s="4">
        <f>IF(AND(vp.data[[#This Row],[SDate]]&gt;=DATE(YEAR(vp.data[[#This Row],[SDate]]),5,1),vp.data[[#This Row],[SDate]]&lt;=DATE(YEAR(vp.data[[#This Row],[SDate]]),9,15)),1,0)</f>
        <v>1</v>
      </c>
      <c r="AN1578" s="4">
        <f>IF(vp.data[[#This Row],[SDate]]&lt;DATE(2016,12,1),0,1)</f>
        <v>1</v>
      </c>
      <c r="AO1578" s="4">
        <f>IFERROR(vp.data[[#This Row],[Sulf]]*vp.data[[#This Row],[Net Dens]],"")</f>
        <v>1343609.590351</v>
      </c>
      <c r="AP1578">
        <f>IFERROR(vp.data[[#This Row],[Dens]]*vp.data[[#This Row],[VolumeM3]],"")</f>
        <v>7071629.4228999997</v>
      </c>
      <c r="AQ1578" s="15">
        <f>IFERROR(vp.data[[#This Row],[VP]]*vp.data[[#This Row],[VolumeM3]],"")</f>
        <v>672158.33299999998</v>
      </c>
    </row>
    <row r="1579" spans="1:43" x14ac:dyDescent="0.25">
      <c r="A1579">
        <v>1578</v>
      </c>
      <c r="B1579" t="s">
        <v>64</v>
      </c>
      <c r="C1579" t="s">
        <v>64</v>
      </c>
      <c r="D1579" t="s">
        <v>65</v>
      </c>
      <c r="F1579" s="1">
        <v>42886</v>
      </c>
      <c r="G1579" s="2">
        <v>47.2</v>
      </c>
      <c r="H1579" s="2"/>
      <c r="I1579" s="2">
        <f t="array" ref="I1579">_xlfn.IFNA(IF(vp.data[[#This Row],[Sulf Input]]="",INDEX([1]DATA!$Q$3:$Q$9826,MATCH(1,(vp.data[[#This Row],[Battery]]=[1]DATA!$L$3:$L$9826)*(EOMONTH(vp.data[[#This Row],[SDate]],-1)+1=[1]DATA!$G$3:$G$9826),0)),vp.data[[#This Row],[Sulf Input]]),"")</f>
        <v>2.0699999999999998</v>
      </c>
      <c r="J1579" s="2"/>
      <c r="K1579" s="2"/>
      <c r="L1579" s="2"/>
      <c r="M1579" s="2">
        <f t="array" ref="M1579">_xlfn.IFNA(IF(vp.data[[#This Row],[Dens Input]]="",INDEX([1]DATA!$O$3:$O$9826,MATCH(1,(vp.data[[#This Row],[Battery]]=[1]DATA!$L$3:$L$9826)*(EOMONTH(vp.data[[#This Row],[SDate]],-1)+1=[1]DATA!$G$3:$G$9826),0)),vp.data[[#This Row],[Dens Input]]),"")</f>
        <v>876.5</v>
      </c>
      <c r="N1579" s="2">
        <f ca="1">INDEX(INDIRECT(_xlfn.CONCAT("weather.tbl[",N$1,"]")),MATCH(vp.data[[#This Row],[SDate]],weather.tbl[Date],0))</f>
        <v>13.600000000000001</v>
      </c>
      <c r="O1579" s="2">
        <f ca="1">INDEX(INDIRECT(_xlfn.CONCAT("weather.tbl[",O$1,"]")),MATCH(vp.data[[#This Row],[SDate]],weather.tbl[Date],0))</f>
        <v>12.745238095238095</v>
      </c>
      <c r="P1579" s="2">
        <f ca="1">INDEX(INDIRECT(_xlfn.CONCAT("weather.tbl[",P$1,"]")),MATCH(vp.data[[#This Row],[SDate]],weather.tbl[Date],0))</f>
        <v>13.9</v>
      </c>
      <c r="Q1579" s="2">
        <f ca="1">INDEX(INDIRECT(_xlfn.CONCAT("weather.tbl[",Q$1,"]")),MATCH(vp.data[[#This Row],[SDate]],weather.tbl[Date],0))</f>
        <v>13.7</v>
      </c>
      <c r="R1579" s="2">
        <f ca="1">INDEX(INDIRECT(_xlfn.CONCAT("weather.tbl[",R$1,"]")),MATCH(vp.data[[#This Row],[SDate]],weather.tbl[Date],0))</f>
        <v>12.8</v>
      </c>
      <c r="S1579" s="2">
        <f ca="1">INDEX(INDIRECT(_xlfn.CONCAT("weather.tbl[",S$1,"]")),MATCH(vp.data[[#This Row],[SDate]],weather.tbl[Date],0))</f>
        <v>13.5</v>
      </c>
      <c r="T1579" s="2">
        <f ca="1">INDEX(INDIRECT(_xlfn.CONCAT("weather.tbl[",T$1,"]")),MATCH(vp.data[[#This Row],[SDate]],weather.tbl[Date],0))</f>
        <v>14.2</v>
      </c>
      <c r="U1579" s="2">
        <f ca="1">INDEX(INDIRECT(_xlfn.CONCAT("weather.tbl[",U$1,"]")),MATCH(vp.data[[#This Row],[SDate]],weather.tbl[Date],0))</f>
        <v>13.5</v>
      </c>
      <c r="V1579" s="2">
        <f t="array" ref="V15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21822.753000000001</v>
      </c>
      <c r="W1579" t="s">
        <v>48</v>
      </c>
      <c r="X1579">
        <f>IF(OR(vp.data[[#This Row],[Sulf]]="",vp.data[[#This Row],[Dens]]=""),1,0)</f>
        <v>0</v>
      </c>
      <c r="Y1579">
        <f>IF(vp.data[[#This Row],[CrudeType]]="C5+",1,0)</f>
        <v>0</v>
      </c>
      <c r="Z1579">
        <f>IF(AND(vp.data[[#This Row],[CrudeType]]="Crude",vp.data[[#This Row],[Dens]]&lt;=825,vp.data[[#This Row],[Sulf]]&gt;0.5,vp.data[[#This Row],[Unknown]]=0),1,0)</f>
        <v>0</v>
      </c>
      <c r="AA1579">
        <f>IF(AND(vp.data[[#This Row],[CrudeType]]="Crude",vp.data[[#This Row],[Dens]]&lt;=825,vp.data[[#This Row],[Sulf]]&lt;=0.5,vp.data[[#This Row],[Unknown]]=0),1,0)</f>
        <v>0</v>
      </c>
      <c r="AB15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79">
        <f>IF(AND(vp.data[[#This Row],[CrudeType]]="Crude",vp.data[[#This Row],[Dens]]&gt;825,vp.data[[#This Row],[Dens]]&lt;=900,vp.data[[#This Row],[Sulf]]&lt;=0.5,vp.data[[#This Row],[Unknown]]=0),1,0)</f>
        <v>0</v>
      </c>
      <c r="AD1579">
        <f>IF(AND(vp.data[[#This Row],[CrudeType]]="Crude",vp.data[[#This Row],[Dens]]&gt;865,vp.data[[#This Row],[Dens]]&lt;=900,vp.data[[#This Row],[Sulf]]&gt;2,vp.data[[#This Row],[Unknown]]=0),1,0)</f>
        <v>1</v>
      </c>
      <c r="AE1579">
        <f>IF(AND(vp.data[[#This Row],[CrudeType]]="Crude",vp.data[[#This Row],[Dens]]&gt;900,vp.data[[#This Row],[Sulf]]&lt;=0.5,vp.data[[#This Row],[Unknown]]=0),1,0)</f>
        <v>0</v>
      </c>
      <c r="AF1579">
        <f>IF(AND(vp.data[[#This Row],[CrudeType]]="Crude",vp.data[[#This Row],[Dens]]&gt;900,vp.data[[#This Row],[Sulf]]&lt;=0.5,vp.data[[#This Row],[Unknown]]=0),1,0)</f>
        <v>0</v>
      </c>
      <c r="AG1579" t="str">
        <f>INDEX(vp.data[[#Headers],[Unknown]:[Heavy_SW]],MATCH(1,vp.data[[#This Row],[Unknown]:[Heavy_SW]],0))</f>
        <v>Midale</v>
      </c>
      <c r="AH1579">
        <f>INDEX([3]!crudeBD.lkup[Number],MATCH(vp.data[[#This Row],[Crude_Breakdown]],crudeBD.lkup[Crude Breakdown],0))</f>
        <v>5</v>
      </c>
      <c r="AI1579">
        <f>MONTH(vp.data[[#This Row],[SDate]])</f>
        <v>5</v>
      </c>
      <c r="AJ1579" s="5">
        <f>(vp.data[[#This Row],[VP]]-INDEX(crudeBD.lkup[Mean_VP],MATCH(vp.data[[#This Row],[Crude_Breakdown]],crudeBD.lkup[Crude Breakdown],0)))^2</f>
        <v>493.22914895313124</v>
      </c>
      <c r="AK1579" s="5">
        <f>(vp.data[[#This Row],[Dens]]-INDEX(crudeBD.lkup[Mean_Dens],MATCH(vp.data[[#This Row],[Crude_Breakdown]],crudeBD.lkup[Crude Breakdown],0)))^2</f>
        <v>2.8324542990743198</v>
      </c>
      <c r="AL1579" s="5">
        <f>(vp.data[[#This Row],[Sulf]]-INDEX(crudeBD.lkup[Mean_Sulf],MATCH(vp.data[[#This Row],[Crude_Breakdown]],crudeBD.lkup[Crude Breakdown],0)))^2</f>
        <v>0.139588591912434</v>
      </c>
      <c r="AM1579" s="4">
        <f>IF(AND(vp.data[[#This Row],[SDate]]&gt;=DATE(YEAR(vp.data[[#This Row],[SDate]]),5,1),vp.data[[#This Row],[SDate]]&lt;=DATE(YEAR(vp.data[[#This Row],[SDate]]),9,15)),1,0)</f>
        <v>1</v>
      </c>
      <c r="AN1579" s="4">
        <f>IF(vp.data[[#This Row],[SDate]]&lt;DATE(2016,12,1),0,1)</f>
        <v>1</v>
      </c>
      <c r="AO1579" s="4">
        <f>IFERROR(vp.data[[#This Row],[Sulf]]*vp.data[[#This Row],[Net Dens]],"")</f>
        <v>39594221.019314997</v>
      </c>
      <c r="AP1579">
        <f>IFERROR(vp.data[[#This Row],[Dens]]*vp.data[[#This Row],[VolumeM3]],"")</f>
        <v>19127643.004500002</v>
      </c>
      <c r="AQ1579" s="15">
        <f>IFERROR(vp.data[[#This Row],[VP]]*vp.data[[#This Row],[VolumeM3]],"")</f>
        <v>1030033.9416000001</v>
      </c>
    </row>
    <row r="1580" spans="1:43" x14ac:dyDescent="0.25">
      <c r="A1580">
        <v>1579</v>
      </c>
      <c r="B1580" t="s">
        <v>46</v>
      </c>
      <c r="C1580" t="s">
        <v>46</v>
      </c>
      <c r="D1580" t="s">
        <v>47</v>
      </c>
      <c r="F1580" s="1">
        <v>42886</v>
      </c>
      <c r="G1580" s="2">
        <v>53.3</v>
      </c>
      <c r="H1580" s="2"/>
      <c r="I1580" s="2">
        <f t="array" ref="I1580">_xlfn.IFNA(IF(vp.data[[#This Row],[Sulf Input]]="",INDEX([1]DATA!$Q$3:$Q$9826,MATCH(1,(vp.data[[#This Row],[Battery]]=[1]DATA!$L$3:$L$9826)*(EOMONTH(vp.data[[#This Row],[SDate]],-1)+1=[1]DATA!$G$3:$G$9826),0)),vp.data[[#This Row],[Sulf Input]]),"")</f>
        <v>2.25</v>
      </c>
      <c r="J1580" s="2"/>
      <c r="K1580" s="2"/>
      <c r="L1580" s="2"/>
      <c r="M1580" s="2">
        <f t="array" ref="M1580">_xlfn.IFNA(IF(vp.data[[#This Row],[Dens Input]]="",INDEX([1]DATA!$O$3:$O$9826,MATCH(1,(vp.data[[#This Row],[Battery]]=[1]DATA!$L$3:$L$9826)*(EOMONTH(vp.data[[#This Row],[SDate]],-1)+1=[1]DATA!$G$3:$G$9826),0)),vp.data[[#This Row],[Dens Input]]),"")</f>
        <v>868.7</v>
      </c>
      <c r="N1580" s="2">
        <f ca="1">INDEX(INDIRECT(_xlfn.CONCAT("weather.tbl[",N$1,"]")),MATCH(vp.data[[#This Row],[SDate]],weather.tbl[Date],0))</f>
        <v>13.600000000000001</v>
      </c>
      <c r="O1580" s="2">
        <f ca="1">INDEX(INDIRECT(_xlfn.CONCAT("weather.tbl[",O$1,"]")),MATCH(vp.data[[#This Row],[SDate]],weather.tbl[Date],0))</f>
        <v>12.745238095238095</v>
      </c>
      <c r="P1580" s="2">
        <f ca="1">INDEX(INDIRECT(_xlfn.CONCAT("weather.tbl[",P$1,"]")),MATCH(vp.data[[#This Row],[SDate]],weather.tbl[Date],0))</f>
        <v>13.9</v>
      </c>
      <c r="Q1580" s="2">
        <f ca="1">INDEX(INDIRECT(_xlfn.CONCAT("weather.tbl[",Q$1,"]")),MATCH(vp.data[[#This Row],[SDate]],weather.tbl[Date],0))</f>
        <v>13.7</v>
      </c>
      <c r="R1580" s="2">
        <f ca="1">INDEX(INDIRECT(_xlfn.CONCAT("weather.tbl[",R$1,"]")),MATCH(vp.data[[#This Row],[SDate]],weather.tbl[Date],0))</f>
        <v>12.8</v>
      </c>
      <c r="S1580" s="2">
        <f ca="1">INDEX(INDIRECT(_xlfn.CONCAT("weather.tbl[",S$1,"]")),MATCH(vp.data[[#This Row],[SDate]],weather.tbl[Date],0))</f>
        <v>13.5</v>
      </c>
      <c r="T1580" s="2">
        <f ca="1">INDEX(INDIRECT(_xlfn.CONCAT("weather.tbl[",T$1,"]")),MATCH(vp.data[[#This Row],[SDate]],weather.tbl[Date],0))</f>
        <v>14.2</v>
      </c>
      <c r="U1580" s="2">
        <f ca="1">INDEX(INDIRECT(_xlfn.CONCAT("weather.tbl[",U$1,"]")),MATCH(vp.data[[#This Row],[SDate]],weather.tbl[Date],0))</f>
        <v>13.5</v>
      </c>
      <c r="V1580" s="2">
        <f t="array" ref="V15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115996.79399999999</v>
      </c>
      <c r="W1580" t="s">
        <v>48</v>
      </c>
      <c r="X1580">
        <f>IF(OR(vp.data[[#This Row],[Sulf]]="",vp.data[[#This Row],[Dens]]=""),1,0)</f>
        <v>0</v>
      </c>
      <c r="Y1580">
        <f>IF(vp.data[[#This Row],[CrudeType]]="C5+",1,0)</f>
        <v>0</v>
      </c>
      <c r="Z1580">
        <f>IF(AND(vp.data[[#This Row],[CrudeType]]="Crude",vp.data[[#This Row],[Dens]]&lt;=825,vp.data[[#This Row],[Sulf]]&gt;0.5,vp.data[[#This Row],[Unknown]]=0),1,0)</f>
        <v>0</v>
      </c>
      <c r="AA1580">
        <f>IF(AND(vp.data[[#This Row],[CrudeType]]="Crude",vp.data[[#This Row],[Dens]]&lt;=825,vp.data[[#This Row],[Sulf]]&lt;=0.5,vp.data[[#This Row],[Unknown]]=0),1,0)</f>
        <v>0</v>
      </c>
      <c r="AB15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80">
        <f>IF(AND(vp.data[[#This Row],[CrudeType]]="Crude",vp.data[[#This Row],[Dens]]&gt;825,vp.data[[#This Row],[Dens]]&lt;=900,vp.data[[#This Row],[Sulf]]&lt;=0.5,vp.data[[#This Row],[Unknown]]=0),1,0)</f>
        <v>0</v>
      </c>
      <c r="AD1580">
        <f>IF(AND(vp.data[[#This Row],[CrudeType]]="Crude",vp.data[[#This Row],[Dens]]&gt;865,vp.data[[#This Row],[Dens]]&lt;=900,vp.data[[#This Row],[Sulf]]&gt;2,vp.data[[#This Row],[Unknown]]=0),1,0)</f>
        <v>1</v>
      </c>
      <c r="AE1580">
        <f>IF(AND(vp.data[[#This Row],[CrudeType]]="Crude",vp.data[[#This Row],[Dens]]&gt;900,vp.data[[#This Row],[Sulf]]&lt;=0.5,vp.data[[#This Row],[Unknown]]=0),1,0)</f>
        <v>0</v>
      </c>
      <c r="AF1580">
        <f>IF(AND(vp.data[[#This Row],[CrudeType]]="Crude",vp.data[[#This Row],[Dens]]&gt;900,vp.data[[#This Row],[Sulf]]&lt;=0.5,vp.data[[#This Row],[Unknown]]=0),1,0)</f>
        <v>0</v>
      </c>
      <c r="AG1580" t="str">
        <f>INDEX(vp.data[[#Headers],[Unknown]:[Heavy_SW]],MATCH(1,vp.data[[#This Row],[Unknown]:[Heavy_SW]],0))</f>
        <v>Midale</v>
      </c>
      <c r="AH1580">
        <f>INDEX([3]!crudeBD.lkup[Number],MATCH(vp.data[[#This Row],[Crude_Breakdown]],crudeBD.lkup[Crude Breakdown],0))</f>
        <v>5</v>
      </c>
      <c r="AI1580">
        <f>MONTH(vp.data[[#This Row],[SDate]])</f>
        <v>5</v>
      </c>
      <c r="AJ1580" s="5">
        <f>(vp.data[[#This Row],[VP]]-INDEX(crudeBD.lkup[Mean_VP],MATCH(vp.data[[#This Row],[Crude_Breakdown]],crudeBD.lkup[Crude Breakdown],0)))^2</f>
        <v>259.49224173663623</v>
      </c>
      <c r="AK1580" s="5">
        <f>(vp.data[[#This Row],[Dens]]-INDEX(crudeBD.lkup[Mean_Dens],MATCH(vp.data[[#This Row],[Crude_Breakdown]],crudeBD.lkup[Crude Breakdown],0)))^2</f>
        <v>37.417815123820823</v>
      </c>
      <c r="AL1580" s="5">
        <f>(vp.data[[#This Row],[Sulf]]-INDEX(crudeBD.lkup[Mean_Sulf],MATCH(vp.data[[#This Row],[Crude_Breakdown]],crudeBD.lkup[Crude Breakdown],0)))^2</f>
        <v>3.7486987788723031E-2</v>
      </c>
      <c r="AM1580" s="4">
        <f>IF(AND(vp.data[[#This Row],[SDate]]&gt;=DATE(YEAR(vp.data[[#This Row],[SDate]]),5,1),vp.data[[#This Row],[SDate]]&lt;=DATE(YEAR(vp.data[[#This Row],[SDate]]),9,15)),1,0)</f>
        <v>1</v>
      </c>
      <c r="AN1580" s="4">
        <f>IF(vp.data[[#This Row],[SDate]]&lt;DATE(2016,12,1),0,1)</f>
        <v>1</v>
      </c>
      <c r="AO1580" s="4">
        <f>IFERROR(vp.data[[#This Row],[Sulf]]*vp.data[[#This Row],[Net Dens]],"")</f>
        <v>226724433.63255</v>
      </c>
      <c r="AP1580">
        <f>IFERROR(vp.data[[#This Row],[Dens]]*vp.data[[#This Row],[VolumeM3]],"")</f>
        <v>100766414.9478</v>
      </c>
      <c r="AQ1580" s="15">
        <f>IFERROR(vp.data[[#This Row],[VP]]*vp.data[[#This Row],[VolumeM3]],"")</f>
        <v>6182629.1201999998</v>
      </c>
    </row>
    <row r="1581" spans="1:43" x14ac:dyDescent="0.25">
      <c r="A1581">
        <v>1580</v>
      </c>
      <c r="B1581" t="s">
        <v>111</v>
      </c>
      <c r="C1581" t="s">
        <v>111</v>
      </c>
      <c r="D1581" t="s">
        <v>112</v>
      </c>
      <c r="F1581" s="1">
        <v>42886</v>
      </c>
      <c r="G1581" s="2">
        <v>69.5</v>
      </c>
      <c r="H1581" s="2"/>
      <c r="I1581" s="2">
        <f t="array" ref="I1581">_xlfn.IFNA(IF(vp.data[[#This Row],[Sulf Input]]="",INDEX([1]DATA!$Q$3:$Q$9826,MATCH(1,(vp.data[[#This Row],[Battery]]=[1]DATA!$L$3:$L$9826)*(EOMONTH(vp.data[[#This Row],[SDate]],-1)+1=[1]DATA!$G$3:$G$9826),0)),vp.data[[#This Row],[Sulf Input]]),"")</f>
        <v>1.77</v>
      </c>
      <c r="J1581" s="2"/>
      <c r="K1581" s="2"/>
      <c r="L1581" s="2"/>
      <c r="M1581" s="2">
        <f t="array" ref="M1581">_xlfn.IFNA(IF(vp.data[[#This Row],[Dens Input]]="",INDEX([1]DATA!$O$3:$O$9826,MATCH(1,(vp.data[[#This Row],[Battery]]=[1]DATA!$L$3:$L$9826)*(EOMONTH(vp.data[[#This Row],[SDate]],-1)+1=[1]DATA!$G$3:$G$9826),0)),vp.data[[#This Row],[Dens Input]]),"")</f>
        <v>856.7</v>
      </c>
      <c r="N1581" s="2">
        <f ca="1">INDEX(INDIRECT(_xlfn.CONCAT("weather.tbl[",N$1,"]")),MATCH(vp.data[[#This Row],[SDate]],weather.tbl[Date],0))</f>
        <v>13.600000000000001</v>
      </c>
      <c r="O1581" s="2">
        <f ca="1">INDEX(INDIRECT(_xlfn.CONCAT("weather.tbl[",O$1,"]")),MATCH(vp.data[[#This Row],[SDate]],weather.tbl[Date],0))</f>
        <v>12.745238095238095</v>
      </c>
      <c r="P1581" s="2">
        <f ca="1">INDEX(INDIRECT(_xlfn.CONCAT("weather.tbl[",P$1,"]")),MATCH(vp.data[[#This Row],[SDate]],weather.tbl[Date],0))</f>
        <v>13.9</v>
      </c>
      <c r="Q1581" s="2">
        <f ca="1">INDEX(INDIRECT(_xlfn.CONCAT("weather.tbl[",Q$1,"]")),MATCH(vp.data[[#This Row],[SDate]],weather.tbl[Date],0))</f>
        <v>13.7</v>
      </c>
      <c r="R1581" s="2">
        <f ca="1">INDEX(INDIRECT(_xlfn.CONCAT("weather.tbl[",R$1,"]")),MATCH(vp.data[[#This Row],[SDate]],weather.tbl[Date],0))</f>
        <v>12.8</v>
      </c>
      <c r="S1581" s="2">
        <f ca="1">INDEX(INDIRECT(_xlfn.CONCAT("weather.tbl[",S$1,"]")),MATCH(vp.data[[#This Row],[SDate]],weather.tbl[Date],0))</f>
        <v>13.5</v>
      </c>
      <c r="T1581" s="2">
        <f ca="1">INDEX(INDIRECT(_xlfn.CONCAT("weather.tbl[",T$1,"]")),MATCH(vp.data[[#This Row],[SDate]],weather.tbl[Date],0))</f>
        <v>14.2</v>
      </c>
      <c r="U1581" s="2">
        <f ca="1">INDEX(INDIRECT(_xlfn.CONCAT("weather.tbl[",U$1,"]")),MATCH(vp.data[[#This Row],[SDate]],weather.tbl[Date],0))</f>
        <v>13.5</v>
      </c>
      <c r="V1581" s="2">
        <f t="array" ref="V15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8074.473</v>
      </c>
      <c r="W1581" t="s">
        <v>48</v>
      </c>
      <c r="X1581">
        <f>IF(OR(vp.data[[#This Row],[Sulf]]="",vp.data[[#This Row],[Dens]]=""),1,0)</f>
        <v>0</v>
      </c>
      <c r="Y1581">
        <f>IF(vp.data[[#This Row],[CrudeType]]="C5+",1,0)</f>
        <v>0</v>
      </c>
      <c r="Z1581">
        <f>IF(AND(vp.data[[#This Row],[CrudeType]]="Crude",vp.data[[#This Row],[Dens]]&lt;=825,vp.data[[#This Row],[Sulf]]&gt;0.5,vp.data[[#This Row],[Unknown]]=0),1,0)</f>
        <v>0</v>
      </c>
      <c r="AA1581">
        <f>IF(AND(vp.data[[#This Row],[CrudeType]]="Crude",vp.data[[#This Row],[Dens]]&lt;=825,vp.data[[#This Row],[Sulf]]&lt;=0.5,vp.data[[#This Row],[Unknown]]=0),1,0)</f>
        <v>0</v>
      </c>
      <c r="AB15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1">
        <f>IF(AND(vp.data[[#This Row],[CrudeType]]="Crude",vp.data[[#This Row],[Dens]]&gt;825,vp.data[[#This Row],[Dens]]&lt;=900,vp.data[[#This Row],[Sulf]]&lt;=0.5,vp.data[[#This Row],[Unknown]]=0),1,0)</f>
        <v>0</v>
      </c>
      <c r="AD1581">
        <f>IF(AND(vp.data[[#This Row],[CrudeType]]="Crude",vp.data[[#This Row],[Dens]]&gt;865,vp.data[[#This Row],[Dens]]&lt;=900,vp.data[[#This Row],[Sulf]]&gt;2,vp.data[[#This Row],[Unknown]]=0),1,0)</f>
        <v>0</v>
      </c>
      <c r="AE1581">
        <f>IF(AND(vp.data[[#This Row],[CrudeType]]="Crude",vp.data[[#This Row],[Dens]]&gt;900,vp.data[[#This Row],[Sulf]]&lt;=0.5,vp.data[[#This Row],[Unknown]]=0),1,0)</f>
        <v>0</v>
      </c>
      <c r="AF1581">
        <f>IF(AND(vp.data[[#This Row],[CrudeType]]="Crude",vp.data[[#This Row],[Dens]]&gt;900,vp.data[[#This Row],[Sulf]]&lt;=0.5,vp.data[[#This Row],[Unknown]]=0),1,0)</f>
        <v>0</v>
      </c>
      <c r="AG1581" t="str">
        <f>INDEX(vp.data[[#Headers],[Unknown]:[Heavy_SW]],MATCH(1,vp.data[[#This Row],[Unknown]:[Heavy_SW]],0))</f>
        <v>Medium_LSB</v>
      </c>
      <c r="AH1581">
        <f>INDEX([3]!crudeBD.lkup[Number],MATCH(vp.data[[#This Row],[Crude_Breakdown]],crudeBD.lkup[Crude Breakdown],0))</f>
        <v>3</v>
      </c>
      <c r="AI1581">
        <f>MONTH(vp.data[[#This Row],[SDate]])</f>
        <v>5</v>
      </c>
      <c r="AJ1581" s="5">
        <f>(vp.data[[#This Row],[VP]]-INDEX(crudeBD.lkup[Mean_VP],MATCH(vp.data[[#This Row],[Crude_Breakdown]],crudeBD.lkup[Crude Breakdown],0)))^2</f>
        <v>124.09239363561569</v>
      </c>
      <c r="AK1581" s="5">
        <f>(vp.data[[#This Row],[Dens]]-INDEX(crudeBD.lkup[Mean_Dens],MATCH(vp.data[[#This Row],[Crude_Breakdown]],crudeBD.lkup[Crude Breakdown],0)))^2</f>
        <v>163.32840000001383</v>
      </c>
      <c r="AL1581" s="5">
        <f>(vp.data[[#This Row],[Sulf]]-INDEX(crudeBD.lkup[Mean_Sulf],MATCH(vp.data[[#This Row],[Crude_Breakdown]],crudeBD.lkup[Crude Breakdown],0)))^2</f>
        <v>0.14791090902021975</v>
      </c>
      <c r="AM1581" s="4">
        <f>IF(AND(vp.data[[#This Row],[SDate]]&gt;=DATE(YEAR(vp.data[[#This Row],[SDate]]),5,1),vp.data[[#This Row],[SDate]]&lt;=DATE(YEAR(vp.data[[#This Row],[SDate]]),9,15)),1,0)</f>
        <v>1</v>
      </c>
      <c r="AN1581" s="4">
        <f>IF(vp.data[[#This Row],[SDate]]&lt;DATE(2016,12,1),0,1)</f>
        <v>1</v>
      </c>
      <c r="AO1581" s="4">
        <f>IFERROR(vp.data[[#This Row],[Sulf]]*vp.data[[#This Row],[Net Dens]],"")</f>
        <v>12243799.803807</v>
      </c>
      <c r="AP1581">
        <f>IFERROR(vp.data[[#This Row],[Dens]]*vp.data[[#This Row],[VolumeM3]],"")</f>
        <v>6917401.0191000002</v>
      </c>
      <c r="AQ1581" s="15">
        <f>IFERROR(vp.data[[#This Row],[VP]]*vp.data[[#This Row],[VolumeM3]],"")</f>
        <v>561175.87349999999</v>
      </c>
    </row>
    <row r="1582" spans="1:43" x14ac:dyDescent="0.25">
      <c r="A1582">
        <v>1581</v>
      </c>
      <c r="B1582" t="s">
        <v>111</v>
      </c>
      <c r="C1582" t="s">
        <v>111</v>
      </c>
      <c r="D1582" t="s">
        <v>234</v>
      </c>
      <c r="F1582" s="1">
        <v>42886</v>
      </c>
      <c r="G1582" s="2">
        <v>64.5</v>
      </c>
      <c r="H1582" s="2"/>
      <c r="I1582" s="2">
        <f t="array" ref="I1582">_xlfn.IFNA(IF(vp.data[[#This Row],[Sulf Input]]="",INDEX([1]DATA!$Q$3:$Q$9826,MATCH(1,(vp.data[[#This Row],[Battery]]=[1]DATA!$L$3:$L$9826)*(EOMONTH(vp.data[[#This Row],[SDate]],-1)+1=[1]DATA!$G$3:$G$9826),0)),vp.data[[#This Row],[Sulf Input]]),"")</f>
        <v>2.75</v>
      </c>
      <c r="J1582" s="2"/>
      <c r="K1582" s="2"/>
      <c r="L1582" s="2"/>
      <c r="M1582" s="2">
        <f t="array" ref="M1582">_xlfn.IFNA(IF(vp.data[[#This Row],[Dens Input]]="",INDEX([1]DATA!$O$3:$O$9826,MATCH(1,(vp.data[[#This Row],[Battery]]=[1]DATA!$L$3:$L$9826)*(EOMONTH(vp.data[[#This Row],[SDate]],-1)+1=[1]DATA!$G$3:$G$9826),0)),vp.data[[#This Row],[Dens Input]]),"")</f>
        <v>884.4</v>
      </c>
      <c r="N1582" s="2">
        <f ca="1">INDEX(INDIRECT(_xlfn.CONCAT("weather.tbl[",N$1,"]")),MATCH(vp.data[[#This Row],[SDate]],weather.tbl[Date],0))</f>
        <v>13.600000000000001</v>
      </c>
      <c r="O1582" s="2">
        <f ca="1">INDEX(INDIRECT(_xlfn.CONCAT("weather.tbl[",O$1,"]")),MATCH(vp.data[[#This Row],[SDate]],weather.tbl[Date],0))</f>
        <v>12.745238095238095</v>
      </c>
      <c r="P1582" s="2">
        <f ca="1">INDEX(INDIRECT(_xlfn.CONCAT("weather.tbl[",P$1,"]")),MATCH(vp.data[[#This Row],[SDate]],weather.tbl[Date],0))</f>
        <v>13.9</v>
      </c>
      <c r="Q1582" s="2">
        <f ca="1">INDEX(INDIRECT(_xlfn.CONCAT("weather.tbl[",Q$1,"]")),MATCH(vp.data[[#This Row],[SDate]],weather.tbl[Date],0))</f>
        <v>13.7</v>
      </c>
      <c r="R1582" s="2">
        <f ca="1">INDEX(INDIRECT(_xlfn.CONCAT("weather.tbl[",R$1,"]")),MATCH(vp.data[[#This Row],[SDate]],weather.tbl[Date],0))</f>
        <v>12.8</v>
      </c>
      <c r="S1582" s="2">
        <f ca="1">INDEX(INDIRECT(_xlfn.CONCAT("weather.tbl[",S$1,"]")),MATCH(vp.data[[#This Row],[SDate]],weather.tbl[Date],0))</f>
        <v>13.5</v>
      </c>
      <c r="T1582" s="2">
        <f ca="1">INDEX(INDIRECT(_xlfn.CONCAT("weather.tbl[",T$1,"]")),MATCH(vp.data[[#This Row],[SDate]],weather.tbl[Date],0))</f>
        <v>14.2</v>
      </c>
      <c r="U1582" s="2">
        <f ca="1">INDEX(INDIRECT(_xlfn.CONCAT("weather.tbl[",U$1,"]")),MATCH(vp.data[[#This Row],[SDate]],weather.tbl[Date],0))</f>
        <v>13.5</v>
      </c>
      <c r="V1582" s="2">
        <f t="array" ref="V15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2844.9769999999999</v>
      </c>
      <c r="W1582" t="s">
        <v>48</v>
      </c>
      <c r="X1582">
        <f>IF(OR(vp.data[[#This Row],[Sulf]]="",vp.data[[#This Row],[Dens]]=""),1,0)</f>
        <v>0</v>
      </c>
      <c r="Y1582">
        <f>IF(vp.data[[#This Row],[CrudeType]]="C5+",1,0)</f>
        <v>0</v>
      </c>
      <c r="Z1582">
        <f>IF(AND(vp.data[[#This Row],[CrudeType]]="Crude",vp.data[[#This Row],[Dens]]&lt;=825,vp.data[[#This Row],[Sulf]]&gt;0.5,vp.data[[#This Row],[Unknown]]=0),1,0)</f>
        <v>0</v>
      </c>
      <c r="AA1582">
        <f>IF(AND(vp.data[[#This Row],[CrudeType]]="Crude",vp.data[[#This Row],[Dens]]&lt;=825,vp.data[[#This Row],[Sulf]]&lt;=0.5,vp.data[[#This Row],[Unknown]]=0),1,0)</f>
        <v>0</v>
      </c>
      <c r="AB15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82">
        <f>IF(AND(vp.data[[#This Row],[CrudeType]]="Crude",vp.data[[#This Row],[Dens]]&gt;825,vp.data[[#This Row],[Dens]]&lt;=900,vp.data[[#This Row],[Sulf]]&lt;=0.5,vp.data[[#This Row],[Unknown]]=0),1,0)</f>
        <v>0</v>
      </c>
      <c r="AD1582">
        <f>IF(AND(vp.data[[#This Row],[CrudeType]]="Crude",vp.data[[#This Row],[Dens]]&gt;865,vp.data[[#This Row],[Dens]]&lt;=900,vp.data[[#This Row],[Sulf]]&gt;2,vp.data[[#This Row],[Unknown]]=0),1,0)</f>
        <v>1</v>
      </c>
      <c r="AE1582">
        <f>IF(AND(vp.data[[#This Row],[CrudeType]]="Crude",vp.data[[#This Row],[Dens]]&gt;900,vp.data[[#This Row],[Sulf]]&lt;=0.5,vp.data[[#This Row],[Unknown]]=0),1,0)</f>
        <v>0</v>
      </c>
      <c r="AF1582">
        <f>IF(AND(vp.data[[#This Row],[CrudeType]]="Crude",vp.data[[#This Row],[Dens]]&gt;900,vp.data[[#This Row],[Sulf]]&lt;=0.5,vp.data[[#This Row],[Unknown]]=0),1,0)</f>
        <v>0</v>
      </c>
      <c r="AG1582" t="str">
        <f>INDEX(vp.data[[#Headers],[Unknown]:[Heavy_SW]],MATCH(1,vp.data[[#This Row],[Unknown]:[Heavy_SW]],0))</f>
        <v>Midale</v>
      </c>
      <c r="AH1582">
        <f>INDEX([3]!crudeBD.lkup[Number],MATCH(vp.data[[#This Row],[Crude_Breakdown]],crudeBD.lkup[Crude Breakdown],0))</f>
        <v>5</v>
      </c>
      <c r="AI1582">
        <f>MONTH(vp.data[[#This Row],[SDate]])</f>
        <v>5</v>
      </c>
      <c r="AJ1582" s="5">
        <f>(vp.data[[#This Row],[VP]]-INDEX(crudeBD.lkup[Mean_VP],MATCH(vp.data[[#This Row],[Crude_Breakdown]],crudeBD.lkup[Crude Breakdown],0)))^2</f>
        <v>24.095953076841631</v>
      </c>
      <c r="AK1582" s="5">
        <f>(vp.data[[#This Row],[Dens]]-INDEX(crudeBD.lkup[Mean_Dens],MATCH(vp.data[[#This Row],[Crude_Breakdown]],crudeBD.lkup[Crude Breakdown],0)))^2</f>
        <v>91.833691412471097</v>
      </c>
      <c r="AL1582" s="5">
        <f>(vp.data[[#This Row],[Sulf]]-INDEX(crudeBD.lkup[Mean_Sulf],MATCH(vp.data[[#This Row],[Crude_Breakdown]],crudeBD.lkup[Crude Breakdown],0)))^2</f>
        <v>9.3871420778415121E-2</v>
      </c>
      <c r="AM1582" s="4">
        <f>IF(AND(vp.data[[#This Row],[SDate]]&gt;=DATE(YEAR(vp.data[[#This Row],[SDate]]),5,1),vp.data[[#This Row],[SDate]]&lt;=DATE(YEAR(vp.data[[#This Row],[SDate]]),9,15)),1,0)</f>
        <v>1</v>
      </c>
      <c r="AN1582" s="4">
        <f>IF(vp.data[[#This Row],[SDate]]&lt;DATE(2016,12,1),0,1)</f>
        <v>1</v>
      </c>
      <c r="AO1582" s="4">
        <f>IFERROR(vp.data[[#This Row],[Sulf]]*vp.data[[#This Row],[Net Dens]],"")</f>
        <v>6919268.5616999995</v>
      </c>
      <c r="AP1582">
        <f>IFERROR(vp.data[[#This Row],[Dens]]*vp.data[[#This Row],[VolumeM3]],"")</f>
        <v>2516097.6587999999</v>
      </c>
      <c r="AQ1582" s="15">
        <f>IFERROR(vp.data[[#This Row],[VP]]*vp.data[[#This Row],[VolumeM3]],"")</f>
        <v>183501.0165</v>
      </c>
    </row>
    <row r="1583" spans="1:43" x14ac:dyDescent="0.25">
      <c r="A1583">
        <v>1582</v>
      </c>
      <c r="B1583" t="s">
        <v>68</v>
      </c>
      <c r="C1583" t="s">
        <v>68</v>
      </c>
      <c r="D1583" t="s">
        <v>98</v>
      </c>
      <c r="F1583" s="1">
        <v>42886</v>
      </c>
      <c r="G1583" s="2">
        <v>58.4</v>
      </c>
      <c r="H1583" s="2"/>
      <c r="I1583" s="2">
        <f t="array" ref="I1583">_xlfn.IFNA(IF(vp.data[[#This Row],[Sulf Input]]="",INDEX([1]DATA!$Q$3:$Q$9826,MATCH(1,(vp.data[[#This Row],[Battery]]=[1]DATA!$L$3:$L$9826)*(EOMONTH(vp.data[[#This Row],[SDate]],-1)+1=[1]DATA!$G$3:$G$9826),0)),vp.data[[#This Row],[Sulf Input]]),"")</f>
        <v>1.32</v>
      </c>
      <c r="J1583" s="2"/>
      <c r="K1583" s="2"/>
      <c r="L1583" s="2"/>
      <c r="M1583" s="2">
        <f t="array" ref="M1583">_xlfn.IFNA(IF(vp.data[[#This Row],[Dens Input]]="",INDEX([1]DATA!$O$3:$O$9826,MATCH(1,(vp.data[[#This Row],[Battery]]=[1]DATA!$L$3:$L$9826)*(EOMONTH(vp.data[[#This Row],[SDate]],-1)+1=[1]DATA!$G$3:$G$9826),0)),vp.data[[#This Row],[Dens Input]]),"")</f>
        <v>850.4</v>
      </c>
      <c r="N1583" s="2">
        <f ca="1">INDEX(INDIRECT(_xlfn.CONCAT("weather.tbl[",N$1,"]")),MATCH(vp.data[[#This Row],[SDate]],weather.tbl[Date],0))</f>
        <v>13.600000000000001</v>
      </c>
      <c r="O1583" s="2">
        <f ca="1">INDEX(INDIRECT(_xlfn.CONCAT("weather.tbl[",O$1,"]")),MATCH(vp.data[[#This Row],[SDate]],weather.tbl[Date],0))</f>
        <v>12.745238095238095</v>
      </c>
      <c r="P1583" s="2">
        <f ca="1">INDEX(INDIRECT(_xlfn.CONCAT("weather.tbl[",P$1,"]")),MATCH(vp.data[[#This Row],[SDate]],weather.tbl[Date],0))</f>
        <v>13.9</v>
      </c>
      <c r="Q1583" s="2">
        <f ca="1">INDEX(INDIRECT(_xlfn.CONCAT("weather.tbl[",Q$1,"]")),MATCH(vp.data[[#This Row],[SDate]],weather.tbl[Date],0))</f>
        <v>13.7</v>
      </c>
      <c r="R1583" s="2">
        <f ca="1">INDEX(INDIRECT(_xlfn.CONCAT("weather.tbl[",R$1,"]")),MATCH(vp.data[[#This Row],[SDate]],weather.tbl[Date],0))</f>
        <v>12.8</v>
      </c>
      <c r="S1583" s="2">
        <f ca="1">INDEX(INDIRECT(_xlfn.CONCAT("weather.tbl[",S$1,"]")),MATCH(vp.data[[#This Row],[SDate]],weather.tbl[Date],0))</f>
        <v>13.5</v>
      </c>
      <c r="T1583" s="2">
        <f ca="1">INDEX(INDIRECT(_xlfn.CONCAT("weather.tbl[",T$1,"]")),MATCH(vp.data[[#This Row],[SDate]],weather.tbl[Date],0))</f>
        <v>14.2</v>
      </c>
      <c r="U1583" s="2">
        <f ca="1">INDEX(INDIRECT(_xlfn.CONCAT("weather.tbl[",U$1,"]")),MATCH(vp.data[[#This Row],[SDate]],weather.tbl[Date],0))</f>
        <v>13.5</v>
      </c>
      <c r="V1583" s="2">
        <f t="array" ref="V15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4675.3909999999996</v>
      </c>
      <c r="W1583" t="s">
        <v>48</v>
      </c>
      <c r="X1583">
        <f>IF(OR(vp.data[[#This Row],[Sulf]]="",vp.data[[#This Row],[Dens]]=""),1,0)</f>
        <v>0</v>
      </c>
      <c r="Y1583">
        <f>IF(vp.data[[#This Row],[CrudeType]]="C5+",1,0)</f>
        <v>0</v>
      </c>
      <c r="Z1583">
        <f>IF(AND(vp.data[[#This Row],[CrudeType]]="Crude",vp.data[[#This Row],[Dens]]&lt;=825,vp.data[[#This Row],[Sulf]]&gt;0.5,vp.data[[#This Row],[Unknown]]=0),1,0)</f>
        <v>0</v>
      </c>
      <c r="AA1583">
        <f>IF(AND(vp.data[[#This Row],[CrudeType]]="Crude",vp.data[[#This Row],[Dens]]&lt;=825,vp.data[[#This Row],[Sulf]]&lt;=0.5,vp.data[[#This Row],[Unknown]]=0),1,0)</f>
        <v>0</v>
      </c>
      <c r="AB15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3">
        <f>IF(AND(vp.data[[#This Row],[CrudeType]]="Crude",vp.data[[#This Row],[Dens]]&gt;825,vp.data[[#This Row],[Dens]]&lt;=900,vp.data[[#This Row],[Sulf]]&lt;=0.5,vp.data[[#This Row],[Unknown]]=0),1,0)</f>
        <v>0</v>
      </c>
      <c r="AD1583">
        <f>IF(AND(vp.data[[#This Row],[CrudeType]]="Crude",vp.data[[#This Row],[Dens]]&gt;865,vp.data[[#This Row],[Dens]]&lt;=900,vp.data[[#This Row],[Sulf]]&gt;2,vp.data[[#This Row],[Unknown]]=0),1,0)</f>
        <v>0</v>
      </c>
      <c r="AE1583">
        <f>IF(AND(vp.data[[#This Row],[CrudeType]]="Crude",vp.data[[#This Row],[Dens]]&gt;900,vp.data[[#This Row],[Sulf]]&lt;=0.5,vp.data[[#This Row],[Unknown]]=0),1,0)</f>
        <v>0</v>
      </c>
      <c r="AF1583">
        <f>IF(AND(vp.data[[#This Row],[CrudeType]]="Crude",vp.data[[#This Row],[Dens]]&gt;900,vp.data[[#This Row],[Sulf]]&lt;=0.5,vp.data[[#This Row],[Unknown]]=0),1,0)</f>
        <v>0</v>
      </c>
      <c r="AG1583" t="str">
        <f>INDEX(vp.data[[#Headers],[Unknown]:[Heavy_SW]],MATCH(1,vp.data[[#This Row],[Unknown]:[Heavy_SW]],0))</f>
        <v>Medium_LSB</v>
      </c>
      <c r="AH1583">
        <f>INDEX([3]!crudeBD.lkup[Number],MATCH(vp.data[[#This Row],[Crude_Breakdown]],crudeBD.lkup[Crude Breakdown],0))</f>
        <v>3</v>
      </c>
      <c r="AI1583">
        <f>MONTH(vp.data[[#This Row],[SDate]])</f>
        <v>5</v>
      </c>
      <c r="AJ1583" s="5">
        <f>(vp.data[[#This Row],[VP]]-INDEX(crudeBD.lkup[Mean_VP],MATCH(vp.data[[#This Row],[Crude_Breakdown]],crudeBD.lkup[Crude Breakdown],0)))^2</f>
        <v>494.60321304262226</v>
      </c>
      <c r="AK1583" s="5">
        <f>(vp.data[[#This Row],[Dens]]-INDEX(crudeBD.lkup[Mean_Dens],MATCH(vp.data[[#This Row],[Crude_Breakdown]],crudeBD.lkup[Crude Breakdown],0)))^2</f>
        <v>41.990400000006126</v>
      </c>
      <c r="AL1583" s="5">
        <f>(vp.data[[#This Row],[Sulf]]-INDEX(crudeBD.lkup[Mean_Sulf],MATCH(vp.data[[#This Row],[Crude_Breakdown]],crudeBD.lkup[Crude Breakdown],0)))^2</f>
        <v>4.2782230363935985E-3</v>
      </c>
      <c r="AM1583" s="4">
        <f>IF(AND(vp.data[[#This Row],[SDate]]&gt;=DATE(YEAR(vp.data[[#This Row],[SDate]]),5,1),vp.data[[#This Row],[SDate]]&lt;=DATE(YEAR(vp.data[[#This Row],[SDate]]),9,15)),1,0)</f>
        <v>1</v>
      </c>
      <c r="AN1583" s="4">
        <f>IF(vp.data[[#This Row],[SDate]]&lt;DATE(2016,12,1),0,1)</f>
        <v>1</v>
      </c>
      <c r="AO1583" s="4">
        <f>IFERROR(vp.data[[#This Row],[Sulf]]*vp.data[[#This Row],[Net Dens]],"")</f>
        <v>5248257.3084479999</v>
      </c>
      <c r="AP1583">
        <f>IFERROR(vp.data[[#This Row],[Dens]]*vp.data[[#This Row],[VolumeM3]],"")</f>
        <v>3975952.5063999994</v>
      </c>
      <c r="AQ1583" s="15">
        <f>IFERROR(vp.data[[#This Row],[VP]]*vp.data[[#This Row],[VolumeM3]],"")</f>
        <v>273042.83439999999</v>
      </c>
    </row>
    <row r="1584" spans="1:43" x14ac:dyDescent="0.25">
      <c r="A1584">
        <v>1583</v>
      </c>
      <c r="B1584" t="s">
        <v>68</v>
      </c>
      <c r="C1584" t="s">
        <v>68</v>
      </c>
      <c r="D1584" t="s">
        <v>110</v>
      </c>
      <c r="F1584" s="1">
        <v>42886</v>
      </c>
      <c r="G1584" s="2">
        <v>66</v>
      </c>
      <c r="H1584" s="2"/>
      <c r="I1584" s="2">
        <f t="array" ref="I1584">_xlfn.IFNA(IF(vp.data[[#This Row],[Sulf Input]]="",INDEX([1]DATA!$Q$3:$Q$9826,MATCH(1,(vp.data[[#This Row],[Battery]]=[1]DATA!$L$3:$L$9826)*(EOMONTH(vp.data[[#This Row],[SDate]],-1)+1=[1]DATA!$G$3:$G$9826),0)),vp.data[[#This Row],[Sulf Input]]),"")</f>
        <v>1.45</v>
      </c>
      <c r="J1584" s="2"/>
      <c r="K1584" s="2"/>
      <c r="L1584" s="2"/>
      <c r="M1584" s="2">
        <f t="array" ref="M1584">_xlfn.IFNA(IF(vp.data[[#This Row],[Dens Input]]="",INDEX([1]DATA!$O$3:$O$9826,MATCH(1,(vp.data[[#This Row],[Battery]]=[1]DATA!$L$3:$L$9826)*(EOMONTH(vp.data[[#This Row],[SDate]],-1)+1=[1]DATA!$G$3:$G$9826),0)),vp.data[[#This Row],[Dens Input]]),"")</f>
        <v>854.2</v>
      </c>
      <c r="N1584" s="2">
        <f ca="1">INDEX(INDIRECT(_xlfn.CONCAT("weather.tbl[",N$1,"]")),MATCH(vp.data[[#This Row],[SDate]],weather.tbl[Date],0))</f>
        <v>13.600000000000001</v>
      </c>
      <c r="O1584" s="2">
        <f ca="1">INDEX(INDIRECT(_xlfn.CONCAT("weather.tbl[",O$1,"]")),MATCH(vp.data[[#This Row],[SDate]],weather.tbl[Date],0))</f>
        <v>12.745238095238095</v>
      </c>
      <c r="P1584" s="2">
        <f ca="1">INDEX(INDIRECT(_xlfn.CONCAT("weather.tbl[",P$1,"]")),MATCH(vp.data[[#This Row],[SDate]],weather.tbl[Date],0))</f>
        <v>13.9</v>
      </c>
      <c r="Q1584" s="2">
        <f ca="1">INDEX(INDIRECT(_xlfn.CONCAT("weather.tbl[",Q$1,"]")),MATCH(vp.data[[#This Row],[SDate]],weather.tbl[Date],0))</f>
        <v>13.7</v>
      </c>
      <c r="R1584" s="2">
        <f ca="1">INDEX(INDIRECT(_xlfn.CONCAT("weather.tbl[",R$1,"]")),MATCH(vp.data[[#This Row],[SDate]],weather.tbl[Date],0))</f>
        <v>12.8</v>
      </c>
      <c r="S1584" s="2">
        <f ca="1">INDEX(INDIRECT(_xlfn.CONCAT("weather.tbl[",S$1,"]")),MATCH(vp.data[[#This Row],[SDate]],weather.tbl[Date],0))</f>
        <v>13.5</v>
      </c>
      <c r="T1584" s="2">
        <f ca="1">INDEX(INDIRECT(_xlfn.CONCAT("weather.tbl[",T$1,"]")),MATCH(vp.data[[#This Row],[SDate]],weather.tbl[Date],0))</f>
        <v>14.2</v>
      </c>
      <c r="U1584" s="2">
        <f ca="1">INDEX(INDIRECT(_xlfn.CONCAT("weather.tbl[",U$1,"]")),MATCH(vp.data[[#This Row],[SDate]],weather.tbl[Date],0))</f>
        <v>13.5</v>
      </c>
      <c r="V1584" s="2">
        <f t="array" ref="V15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3812.1930000000002</v>
      </c>
      <c r="W1584" t="s">
        <v>48</v>
      </c>
      <c r="X1584">
        <f>IF(OR(vp.data[[#This Row],[Sulf]]="",vp.data[[#This Row],[Dens]]=""),1,0)</f>
        <v>0</v>
      </c>
      <c r="Y1584">
        <f>IF(vp.data[[#This Row],[CrudeType]]="C5+",1,0)</f>
        <v>0</v>
      </c>
      <c r="Z1584">
        <f>IF(AND(vp.data[[#This Row],[CrudeType]]="Crude",vp.data[[#This Row],[Dens]]&lt;=825,vp.data[[#This Row],[Sulf]]&gt;0.5,vp.data[[#This Row],[Unknown]]=0),1,0)</f>
        <v>0</v>
      </c>
      <c r="AA1584">
        <f>IF(AND(vp.data[[#This Row],[CrudeType]]="Crude",vp.data[[#This Row],[Dens]]&lt;=825,vp.data[[#This Row],[Sulf]]&lt;=0.5,vp.data[[#This Row],[Unknown]]=0),1,0)</f>
        <v>0</v>
      </c>
      <c r="AB15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4">
        <f>IF(AND(vp.data[[#This Row],[CrudeType]]="Crude",vp.data[[#This Row],[Dens]]&gt;825,vp.data[[#This Row],[Dens]]&lt;=900,vp.data[[#This Row],[Sulf]]&lt;=0.5,vp.data[[#This Row],[Unknown]]=0),1,0)</f>
        <v>0</v>
      </c>
      <c r="AD1584">
        <f>IF(AND(vp.data[[#This Row],[CrudeType]]="Crude",vp.data[[#This Row],[Dens]]&gt;865,vp.data[[#This Row],[Dens]]&lt;=900,vp.data[[#This Row],[Sulf]]&gt;2,vp.data[[#This Row],[Unknown]]=0),1,0)</f>
        <v>0</v>
      </c>
      <c r="AE1584">
        <f>IF(AND(vp.data[[#This Row],[CrudeType]]="Crude",vp.data[[#This Row],[Dens]]&gt;900,vp.data[[#This Row],[Sulf]]&lt;=0.5,vp.data[[#This Row],[Unknown]]=0),1,0)</f>
        <v>0</v>
      </c>
      <c r="AF1584">
        <f>IF(AND(vp.data[[#This Row],[CrudeType]]="Crude",vp.data[[#This Row],[Dens]]&gt;900,vp.data[[#This Row],[Sulf]]&lt;=0.5,vp.data[[#This Row],[Unknown]]=0),1,0)</f>
        <v>0</v>
      </c>
      <c r="AG1584" t="str">
        <f>INDEX(vp.data[[#Headers],[Unknown]:[Heavy_SW]],MATCH(1,vp.data[[#This Row],[Unknown]:[Heavy_SW]],0))</f>
        <v>Medium_LSB</v>
      </c>
      <c r="AH1584">
        <f>INDEX([3]!crudeBD.lkup[Number],MATCH(vp.data[[#This Row],[Crude_Breakdown]],crudeBD.lkup[Crude Breakdown],0))</f>
        <v>3</v>
      </c>
      <c r="AI1584">
        <f>MONTH(vp.data[[#This Row],[SDate]])</f>
        <v>5</v>
      </c>
      <c r="AJ1584" s="5">
        <f>(vp.data[[#This Row],[VP]]-INDEX(crudeBD.lkup[Mean_VP],MATCH(vp.data[[#This Row],[Crude_Breakdown]],crudeBD.lkup[Crude Breakdown],0)))^2</f>
        <v>214.32012948467181</v>
      </c>
      <c r="AK1584" s="5">
        <f>(vp.data[[#This Row],[Dens]]-INDEX(crudeBD.lkup[Mean_Dens],MATCH(vp.data[[#This Row],[Crude_Breakdown]],crudeBD.lkup[Crude Breakdown],0)))^2</f>
        <v>105.67840000001112</v>
      </c>
      <c r="AL1584" s="5">
        <f>(vp.data[[#This Row],[Sulf]]-INDEX(crudeBD.lkup[Mean_Sulf],MATCH(vp.data[[#This Row],[Crude_Breakdown]],crudeBD.lkup[Crude Breakdown],0)))^2</f>
        <v>4.1721100983878141E-3</v>
      </c>
      <c r="AM1584" s="4">
        <f>IF(AND(vp.data[[#This Row],[SDate]]&gt;=DATE(YEAR(vp.data[[#This Row],[SDate]]),5,1),vp.data[[#This Row],[SDate]]&lt;=DATE(YEAR(vp.data[[#This Row],[SDate]]),9,15)),1,0)</f>
        <v>1</v>
      </c>
      <c r="AN1584" s="4">
        <f>IF(vp.data[[#This Row],[SDate]]&lt;DATE(2016,12,1),0,1)</f>
        <v>1</v>
      </c>
      <c r="AO1584" s="4">
        <f>IFERROR(vp.data[[#This Row],[Sulf]]*vp.data[[#This Row],[Net Dens]],"")</f>
        <v>4721744.12787</v>
      </c>
      <c r="AP1584">
        <f>IFERROR(vp.data[[#This Row],[Dens]]*vp.data[[#This Row],[VolumeM3]],"")</f>
        <v>3256375.2606000002</v>
      </c>
      <c r="AQ1584" s="15">
        <f>IFERROR(vp.data[[#This Row],[VP]]*vp.data[[#This Row],[VolumeM3]],"")</f>
        <v>251604.73800000001</v>
      </c>
    </row>
    <row r="1585" spans="1:43" x14ac:dyDescent="0.25">
      <c r="A1585">
        <v>1584</v>
      </c>
      <c r="B1585" t="s">
        <v>68</v>
      </c>
      <c r="C1585" t="s">
        <v>68</v>
      </c>
      <c r="D1585" t="s">
        <v>69</v>
      </c>
      <c r="F1585" s="1">
        <v>42886</v>
      </c>
      <c r="G1585" s="2">
        <v>69.5</v>
      </c>
      <c r="H1585" s="2"/>
      <c r="I1585" s="2">
        <f t="array" ref="I1585">_xlfn.IFNA(IF(vp.data[[#This Row],[Sulf Input]]="",INDEX([1]DATA!$Q$3:$Q$9826,MATCH(1,(vp.data[[#This Row],[Battery]]=[1]DATA!$L$3:$L$9826)*(EOMONTH(vp.data[[#This Row],[SDate]],-1)+1=[1]DATA!$G$3:$G$9826),0)),vp.data[[#This Row],[Sulf Input]]),"")</f>
        <v>1.61</v>
      </c>
      <c r="J1585" s="2"/>
      <c r="K1585" s="2"/>
      <c r="L1585" s="2"/>
      <c r="M1585" s="2">
        <f t="array" ref="M1585">_xlfn.IFNA(IF(vp.data[[#This Row],[Dens Input]]="",INDEX([1]DATA!$O$3:$O$9826,MATCH(1,(vp.data[[#This Row],[Battery]]=[1]DATA!$L$3:$L$9826)*(EOMONTH(vp.data[[#This Row],[SDate]],-1)+1=[1]DATA!$G$3:$G$9826),0)),vp.data[[#This Row],[Dens Input]]),"")</f>
        <v>859.3</v>
      </c>
      <c r="N1585" s="2">
        <f ca="1">INDEX(INDIRECT(_xlfn.CONCAT("weather.tbl[",N$1,"]")),MATCH(vp.data[[#This Row],[SDate]],weather.tbl[Date],0))</f>
        <v>13.600000000000001</v>
      </c>
      <c r="O1585" s="2">
        <f ca="1">INDEX(INDIRECT(_xlfn.CONCAT("weather.tbl[",O$1,"]")),MATCH(vp.data[[#This Row],[SDate]],weather.tbl[Date],0))</f>
        <v>12.745238095238095</v>
      </c>
      <c r="P1585" s="2">
        <f ca="1">INDEX(INDIRECT(_xlfn.CONCAT("weather.tbl[",P$1,"]")),MATCH(vp.data[[#This Row],[SDate]],weather.tbl[Date],0))</f>
        <v>13.9</v>
      </c>
      <c r="Q1585" s="2">
        <f ca="1">INDEX(INDIRECT(_xlfn.CONCAT("weather.tbl[",Q$1,"]")),MATCH(vp.data[[#This Row],[SDate]],weather.tbl[Date],0))</f>
        <v>13.7</v>
      </c>
      <c r="R1585" s="2">
        <f ca="1">INDEX(INDIRECT(_xlfn.CONCAT("weather.tbl[",R$1,"]")),MATCH(vp.data[[#This Row],[SDate]],weather.tbl[Date],0))</f>
        <v>12.8</v>
      </c>
      <c r="S1585" s="2">
        <f ca="1">INDEX(INDIRECT(_xlfn.CONCAT("weather.tbl[",S$1,"]")),MATCH(vp.data[[#This Row],[SDate]],weather.tbl[Date],0))</f>
        <v>13.5</v>
      </c>
      <c r="T1585" s="2">
        <f ca="1">INDEX(INDIRECT(_xlfn.CONCAT("weather.tbl[",T$1,"]")),MATCH(vp.data[[#This Row],[SDate]],weather.tbl[Date],0))</f>
        <v>14.2</v>
      </c>
      <c r="U1585" s="2">
        <f ca="1">INDEX(INDIRECT(_xlfn.CONCAT("weather.tbl[",U$1,"]")),MATCH(vp.data[[#This Row],[SDate]],weather.tbl[Date],0))</f>
        <v>13.5</v>
      </c>
      <c r="V1585" s="2">
        <f t="array" ref="V15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1702.229</v>
      </c>
      <c r="W1585" t="s">
        <v>48</v>
      </c>
      <c r="X1585">
        <f>IF(OR(vp.data[[#This Row],[Sulf]]="",vp.data[[#This Row],[Dens]]=""),1,0)</f>
        <v>0</v>
      </c>
      <c r="Y1585">
        <f>IF(vp.data[[#This Row],[CrudeType]]="C5+",1,0)</f>
        <v>0</v>
      </c>
      <c r="Z1585">
        <f>IF(AND(vp.data[[#This Row],[CrudeType]]="Crude",vp.data[[#This Row],[Dens]]&lt;=825,vp.data[[#This Row],[Sulf]]&gt;0.5,vp.data[[#This Row],[Unknown]]=0),1,0)</f>
        <v>0</v>
      </c>
      <c r="AA1585">
        <f>IF(AND(vp.data[[#This Row],[CrudeType]]="Crude",vp.data[[#This Row],[Dens]]&lt;=825,vp.data[[#This Row],[Sulf]]&lt;=0.5,vp.data[[#This Row],[Unknown]]=0),1,0)</f>
        <v>0</v>
      </c>
      <c r="AB15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5">
        <f>IF(AND(vp.data[[#This Row],[CrudeType]]="Crude",vp.data[[#This Row],[Dens]]&gt;825,vp.data[[#This Row],[Dens]]&lt;=900,vp.data[[#This Row],[Sulf]]&lt;=0.5,vp.data[[#This Row],[Unknown]]=0),1,0)</f>
        <v>0</v>
      </c>
      <c r="AD1585">
        <f>IF(AND(vp.data[[#This Row],[CrudeType]]="Crude",vp.data[[#This Row],[Dens]]&gt;865,vp.data[[#This Row],[Dens]]&lt;=900,vp.data[[#This Row],[Sulf]]&gt;2,vp.data[[#This Row],[Unknown]]=0),1,0)</f>
        <v>0</v>
      </c>
      <c r="AE1585">
        <f>IF(AND(vp.data[[#This Row],[CrudeType]]="Crude",vp.data[[#This Row],[Dens]]&gt;900,vp.data[[#This Row],[Sulf]]&lt;=0.5,vp.data[[#This Row],[Unknown]]=0),1,0)</f>
        <v>0</v>
      </c>
      <c r="AF1585">
        <f>IF(AND(vp.data[[#This Row],[CrudeType]]="Crude",vp.data[[#This Row],[Dens]]&gt;900,vp.data[[#This Row],[Sulf]]&lt;=0.5,vp.data[[#This Row],[Unknown]]=0),1,0)</f>
        <v>0</v>
      </c>
      <c r="AG1585" t="str">
        <f>INDEX(vp.data[[#Headers],[Unknown]:[Heavy_SW]],MATCH(1,vp.data[[#This Row],[Unknown]:[Heavy_SW]],0))</f>
        <v>Medium_LSB</v>
      </c>
      <c r="AH1585">
        <f>INDEX([3]!crudeBD.lkup[Number],MATCH(vp.data[[#This Row],[Crude_Breakdown]],crudeBD.lkup[Crude Breakdown],0))</f>
        <v>3</v>
      </c>
      <c r="AI1585">
        <f>MONTH(vp.data[[#This Row],[SDate]])</f>
        <v>5</v>
      </c>
      <c r="AJ1585" s="5">
        <f>(vp.data[[#This Row],[VP]]-INDEX(crudeBD.lkup[Mean_VP],MATCH(vp.data[[#This Row],[Crude_Breakdown]],crudeBD.lkup[Crude Breakdown],0)))^2</f>
        <v>124.09239363561569</v>
      </c>
      <c r="AK1585" s="5">
        <f>(vp.data[[#This Row],[Dens]]-INDEX(crudeBD.lkup[Mean_Dens],MATCH(vp.data[[#This Row],[Crude_Breakdown]],crudeBD.lkup[Crude Breakdown],0)))^2</f>
        <v>236.54440000001384</v>
      </c>
      <c r="AL1585" s="5">
        <f>(vp.data[[#This Row],[Sulf]]-INDEX(crudeBD.lkup[Mean_Sulf],MATCH(vp.data[[#This Row],[Crude_Breakdown]],crudeBD.lkup[Crude Breakdown],0)))^2</f>
        <v>5.0441509559303821E-2</v>
      </c>
      <c r="AM1585" s="4">
        <f>IF(AND(vp.data[[#This Row],[SDate]]&gt;=DATE(YEAR(vp.data[[#This Row],[SDate]]),5,1),vp.data[[#This Row],[SDate]]&lt;=DATE(YEAR(vp.data[[#This Row],[SDate]]),9,15)),1,0)</f>
        <v>1</v>
      </c>
      <c r="AN1585" s="4">
        <f>IF(vp.data[[#This Row],[SDate]]&lt;DATE(2016,12,1),0,1)</f>
        <v>1</v>
      </c>
      <c r="AO1585" s="4">
        <f>IFERROR(vp.data[[#This Row],[Sulf]]*vp.data[[#This Row],[Net Dens]],"")</f>
        <v>2354987.8613169999</v>
      </c>
      <c r="AP1585">
        <f>IFERROR(vp.data[[#This Row],[Dens]]*vp.data[[#This Row],[VolumeM3]],"")</f>
        <v>1462725.3796999999</v>
      </c>
      <c r="AQ1585" s="15">
        <f>IFERROR(vp.data[[#This Row],[VP]]*vp.data[[#This Row],[VolumeM3]],"")</f>
        <v>118304.9155</v>
      </c>
    </row>
    <row r="1586" spans="1:43" x14ac:dyDescent="0.25">
      <c r="A1586">
        <v>1585</v>
      </c>
      <c r="B1586" t="s">
        <v>96</v>
      </c>
      <c r="C1586" t="s">
        <v>96</v>
      </c>
      <c r="D1586" t="s">
        <v>97</v>
      </c>
      <c r="F1586" s="1">
        <v>42886</v>
      </c>
      <c r="G1586" s="2">
        <v>73.2</v>
      </c>
      <c r="H1586" s="2"/>
      <c r="I1586" s="2">
        <f t="array" ref="I1586">_xlfn.IFNA(IF(vp.data[[#This Row],[Sulf Input]]="",INDEX([1]DATA!$Q$3:$Q$9826,MATCH(1,(vp.data[[#This Row],[Battery]]=[1]DATA!$L$3:$L$9826)*(EOMONTH(vp.data[[#This Row],[SDate]],-1)+1=[1]DATA!$G$3:$G$9826),0)),vp.data[[#This Row],[Sulf Input]]),"")</f>
        <v>0.73</v>
      </c>
      <c r="J1586" s="2"/>
      <c r="K1586" s="2"/>
      <c r="L1586" s="2"/>
      <c r="M1586" s="2">
        <f t="array" ref="M1586">_xlfn.IFNA(IF(vp.data[[#This Row],[Dens Input]]="",INDEX([1]DATA!$O$3:$O$9826,MATCH(1,(vp.data[[#This Row],[Battery]]=[1]DATA!$L$3:$L$9826)*(EOMONTH(vp.data[[#This Row],[SDate]],-1)+1=[1]DATA!$G$3:$G$9826),0)),vp.data[[#This Row],[Dens Input]]),"")</f>
        <v>821.8</v>
      </c>
      <c r="N1586" s="2">
        <f ca="1">INDEX(INDIRECT(_xlfn.CONCAT("weather.tbl[",N$1,"]")),MATCH(vp.data[[#This Row],[SDate]],weather.tbl[Date],0))</f>
        <v>13.600000000000001</v>
      </c>
      <c r="O1586" s="2">
        <f ca="1">INDEX(INDIRECT(_xlfn.CONCAT("weather.tbl[",O$1,"]")),MATCH(vp.data[[#This Row],[SDate]],weather.tbl[Date],0))</f>
        <v>12.745238095238095</v>
      </c>
      <c r="P1586" s="2">
        <f ca="1">INDEX(INDIRECT(_xlfn.CONCAT("weather.tbl[",P$1,"]")),MATCH(vp.data[[#This Row],[SDate]],weather.tbl[Date],0))</f>
        <v>13.9</v>
      </c>
      <c r="Q1586" s="2">
        <f ca="1">INDEX(INDIRECT(_xlfn.CONCAT("weather.tbl[",Q$1,"]")),MATCH(vp.data[[#This Row],[SDate]],weather.tbl[Date],0))</f>
        <v>13.7</v>
      </c>
      <c r="R1586" s="2">
        <f ca="1">INDEX(INDIRECT(_xlfn.CONCAT("weather.tbl[",R$1,"]")),MATCH(vp.data[[#This Row],[SDate]],weather.tbl[Date],0))</f>
        <v>12.8</v>
      </c>
      <c r="S1586" s="2">
        <f ca="1">INDEX(INDIRECT(_xlfn.CONCAT("weather.tbl[",S$1,"]")),MATCH(vp.data[[#This Row],[SDate]],weather.tbl[Date],0))</f>
        <v>13.5</v>
      </c>
      <c r="T1586" s="2">
        <f ca="1">INDEX(INDIRECT(_xlfn.CONCAT("weather.tbl[",T$1,"]")),MATCH(vp.data[[#This Row],[SDate]],weather.tbl[Date],0))</f>
        <v>14.2</v>
      </c>
      <c r="U1586" s="2">
        <f ca="1">INDEX(INDIRECT(_xlfn.CONCAT("weather.tbl[",U$1,"]")),MATCH(vp.data[[#This Row],[SDate]],weather.tbl[Date],0))</f>
        <v>13.5</v>
      </c>
      <c r="V1586" s="2">
        <f t="array" ref="V15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7702.1589999999997</v>
      </c>
      <c r="W1586" t="s">
        <v>48</v>
      </c>
      <c r="X1586">
        <f>IF(OR(vp.data[[#This Row],[Sulf]]="",vp.data[[#This Row],[Dens]]=""),1,0)</f>
        <v>0</v>
      </c>
      <c r="Y1586">
        <f>IF(vp.data[[#This Row],[CrudeType]]="C5+",1,0)</f>
        <v>0</v>
      </c>
      <c r="Z1586">
        <f>IF(AND(vp.data[[#This Row],[CrudeType]]="Crude",vp.data[[#This Row],[Dens]]&lt;=825,vp.data[[#This Row],[Sulf]]&gt;0.5,vp.data[[#This Row],[Unknown]]=0),1,0)</f>
        <v>1</v>
      </c>
      <c r="AA1586">
        <f>IF(AND(vp.data[[#This Row],[CrudeType]]="Crude",vp.data[[#This Row],[Dens]]&lt;=825,vp.data[[#This Row],[Sulf]]&lt;=0.5,vp.data[[#This Row],[Unknown]]=0),1,0)</f>
        <v>0</v>
      </c>
      <c r="AB15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86">
        <f>IF(AND(vp.data[[#This Row],[CrudeType]]="Crude",vp.data[[#This Row],[Dens]]&gt;825,vp.data[[#This Row],[Dens]]&lt;=900,vp.data[[#This Row],[Sulf]]&lt;=0.5,vp.data[[#This Row],[Unknown]]=0),1,0)</f>
        <v>0</v>
      </c>
      <c r="AD1586">
        <f>IF(AND(vp.data[[#This Row],[CrudeType]]="Crude",vp.data[[#This Row],[Dens]]&gt;865,vp.data[[#This Row],[Dens]]&lt;=900,vp.data[[#This Row],[Sulf]]&gt;2,vp.data[[#This Row],[Unknown]]=0),1,0)</f>
        <v>0</v>
      </c>
      <c r="AE1586">
        <f>IF(AND(vp.data[[#This Row],[CrudeType]]="Crude",vp.data[[#This Row],[Dens]]&gt;900,vp.data[[#This Row],[Sulf]]&lt;=0.5,vp.data[[#This Row],[Unknown]]=0),1,0)</f>
        <v>0</v>
      </c>
      <c r="AF1586">
        <f>IF(AND(vp.data[[#This Row],[CrudeType]]="Crude",vp.data[[#This Row],[Dens]]&gt;900,vp.data[[#This Row],[Sulf]]&lt;=0.5,vp.data[[#This Row],[Unknown]]=0),1,0)</f>
        <v>0</v>
      </c>
      <c r="AG1586" t="str">
        <f>INDEX(vp.data[[#Headers],[Unknown]:[Heavy_SW]],MATCH(1,vp.data[[#This Row],[Unknown]:[Heavy_SW]],0))</f>
        <v>Light_LSB</v>
      </c>
      <c r="AH1586">
        <f>INDEX([3]!crudeBD.lkup[Number],MATCH(vp.data[[#This Row],[Crude_Breakdown]],crudeBD.lkup[Crude Breakdown],0))</f>
        <v>1</v>
      </c>
      <c r="AI1586">
        <f>MONTH(vp.data[[#This Row],[SDate]])</f>
        <v>5</v>
      </c>
      <c r="AJ1586" s="5">
        <f>(vp.data[[#This Row],[VP]]-INDEX(crudeBD.lkup[Mean_VP],MATCH(vp.data[[#This Row],[Crude_Breakdown]],crudeBD.lkup[Crude Breakdown],0)))^2</f>
        <v>336.58252485917842</v>
      </c>
      <c r="AK1586" s="5">
        <f>(vp.data[[#This Row],[Dens]]-INDEX(crudeBD.lkup[Mean_Dens],MATCH(vp.data[[#This Row],[Crude_Breakdown]],crudeBD.lkup[Crude Breakdown],0)))^2</f>
        <v>10.779600812462647</v>
      </c>
      <c r="AL1586" s="5">
        <f>(vp.data[[#This Row],[Sulf]]-INDEX(crudeBD.lkup[Mean_Sulf],MATCH(vp.data[[#This Row],[Crude_Breakdown]],crudeBD.lkup[Crude Breakdown],0)))^2</f>
        <v>3.7237871827825515E-2</v>
      </c>
      <c r="AM1586" s="4">
        <f>IF(AND(vp.data[[#This Row],[SDate]]&gt;=DATE(YEAR(vp.data[[#This Row],[SDate]]),5,1),vp.data[[#This Row],[SDate]]&lt;=DATE(YEAR(vp.data[[#This Row],[SDate]]),9,15)),1,0)</f>
        <v>1</v>
      </c>
      <c r="AN1586" s="4">
        <f>IF(vp.data[[#This Row],[SDate]]&lt;DATE(2016,12,1),0,1)</f>
        <v>1</v>
      </c>
      <c r="AO1586" s="4">
        <f>IFERROR(vp.data[[#This Row],[Sulf]]*vp.data[[#This Row],[Net Dens]],"")</f>
        <v>4620633.0143259997</v>
      </c>
      <c r="AP1586">
        <f>IFERROR(vp.data[[#This Row],[Dens]]*vp.data[[#This Row],[VolumeM3]],"")</f>
        <v>6329634.2661999995</v>
      </c>
      <c r="AQ1586" s="15">
        <f>IFERROR(vp.data[[#This Row],[VP]]*vp.data[[#This Row],[VolumeM3]],"")</f>
        <v>563798.03879999998</v>
      </c>
    </row>
    <row r="1587" spans="1:43" x14ac:dyDescent="0.25">
      <c r="A1587">
        <v>1586</v>
      </c>
      <c r="B1587" t="s">
        <v>291</v>
      </c>
      <c r="C1587" t="s">
        <v>291</v>
      </c>
      <c r="D1587" t="s">
        <v>109</v>
      </c>
      <c r="F1587" s="1">
        <v>42886</v>
      </c>
      <c r="G1587" s="2">
        <v>78.5</v>
      </c>
      <c r="H1587" s="2"/>
      <c r="I1587" s="2">
        <f t="array" ref="I1587">_xlfn.IFNA(IF(vp.data[[#This Row],[Sulf Input]]="",INDEX([1]DATA!$Q$3:$Q$9826,MATCH(1,(vp.data[[#This Row],[Battery]]=[1]DATA!$L$3:$L$9826)*(EOMONTH(vp.data[[#This Row],[SDate]],-1)+1=[1]DATA!$G$3:$G$9826),0)),vp.data[[#This Row],[Sulf Input]]),"")</f>
        <v>0.77</v>
      </c>
      <c r="J1587" s="2"/>
      <c r="K1587" s="2"/>
      <c r="L1587" s="2"/>
      <c r="M1587" s="2">
        <f t="array" ref="M1587">_xlfn.IFNA(IF(vp.data[[#This Row],[Dens Input]]="",INDEX([1]DATA!$O$3:$O$9826,MATCH(1,(vp.data[[#This Row],[Battery]]=[1]DATA!$L$3:$L$9826)*(EOMONTH(vp.data[[#This Row],[SDate]],-1)+1=[1]DATA!$G$3:$G$9826),0)),vp.data[[#This Row],[Dens Input]]),"")</f>
        <v>837.8</v>
      </c>
      <c r="N1587" s="2">
        <f ca="1">INDEX(INDIRECT(_xlfn.CONCAT("weather.tbl[",N$1,"]")),MATCH(vp.data[[#This Row],[SDate]],weather.tbl[Date],0))</f>
        <v>13.600000000000001</v>
      </c>
      <c r="O1587" s="2">
        <f ca="1">INDEX(INDIRECT(_xlfn.CONCAT("weather.tbl[",O$1,"]")),MATCH(vp.data[[#This Row],[SDate]],weather.tbl[Date],0))</f>
        <v>12.745238095238095</v>
      </c>
      <c r="P1587" s="2">
        <f ca="1">INDEX(INDIRECT(_xlfn.CONCAT("weather.tbl[",P$1,"]")),MATCH(vp.data[[#This Row],[SDate]],weather.tbl[Date],0))</f>
        <v>13.9</v>
      </c>
      <c r="Q1587" s="2">
        <f ca="1">INDEX(INDIRECT(_xlfn.CONCAT("weather.tbl[",Q$1,"]")),MATCH(vp.data[[#This Row],[SDate]],weather.tbl[Date],0))</f>
        <v>13.7</v>
      </c>
      <c r="R1587" s="2">
        <f ca="1">INDEX(INDIRECT(_xlfn.CONCAT("weather.tbl[",R$1,"]")),MATCH(vp.data[[#This Row],[SDate]],weather.tbl[Date],0))</f>
        <v>12.8</v>
      </c>
      <c r="S1587" s="2">
        <f ca="1">INDEX(INDIRECT(_xlfn.CONCAT("weather.tbl[",S$1,"]")),MATCH(vp.data[[#This Row],[SDate]],weather.tbl[Date],0))</f>
        <v>13.5</v>
      </c>
      <c r="T1587" s="2">
        <f ca="1">INDEX(INDIRECT(_xlfn.CONCAT("weather.tbl[",T$1,"]")),MATCH(vp.data[[#This Row],[SDate]],weather.tbl[Date],0))</f>
        <v>14.2</v>
      </c>
      <c r="U1587" s="2">
        <f ca="1">INDEX(INDIRECT(_xlfn.CONCAT("weather.tbl[",U$1,"]")),MATCH(vp.data[[#This Row],[SDate]],weather.tbl[Date],0))</f>
        <v>13.5</v>
      </c>
      <c r="V1587" s="2">
        <f t="array" ref="V15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13057.414000000001</v>
      </c>
      <c r="W1587" t="s">
        <v>48</v>
      </c>
      <c r="X1587">
        <f>IF(OR(vp.data[[#This Row],[Sulf]]="",vp.data[[#This Row],[Dens]]=""),1,0)</f>
        <v>0</v>
      </c>
      <c r="Y1587">
        <f>IF(vp.data[[#This Row],[CrudeType]]="C5+",1,0)</f>
        <v>0</v>
      </c>
      <c r="Z1587">
        <f>IF(AND(vp.data[[#This Row],[CrudeType]]="Crude",vp.data[[#This Row],[Dens]]&lt;=825,vp.data[[#This Row],[Sulf]]&gt;0.5,vp.data[[#This Row],[Unknown]]=0),1,0)</f>
        <v>0</v>
      </c>
      <c r="AA1587">
        <f>IF(AND(vp.data[[#This Row],[CrudeType]]="Crude",vp.data[[#This Row],[Dens]]&lt;=825,vp.data[[#This Row],[Sulf]]&lt;=0.5,vp.data[[#This Row],[Unknown]]=0),1,0)</f>
        <v>0</v>
      </c>
      <c r="AB15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7">
        <f>IF(AND(vp.data[[#This Row],[CrudeType]]="Crude",vp.data[[#This Row],[Dens]]&gt;825,vp.data[[#This Row],[Dens]]&lt;=900,vp.data[[#This Row],[Sulf]]&lt;=0.5,vp.data[[#This Row],[Unknown]]=0),1,0)</f>
        <v>0</v>
      </c>
      <c r="AD1587">
        <f>IF(AND(vp.data[[#This Row],[CrudeType]]="Crude",vp.data[[#This Row],[Dens]]&gt;865,vp.data[[#This Row],[Dens]]&lt;=900,vp.data[[#This Row],[Sulf]]&gt;2,vp.data[[#This Row],[Unknown]]=0),1,0)</f>
        <v>0</v>
      </c>
      <c r="AE1587">
        <f>IF(AND(vp.data[[#This Row],[CrudeType]]="Crude",vp.data[[#This Row],[Dens]]&gt;900,vp.data[[#This Row],[Sulf]]&lt;=0.5,vp.data[[#This Row],[Unknown]]=0),1,0)</f>
        <v>0</v>
      </c>
      <c r="AF1587">
        <f>IF(AND(vp.data[[#This Row],[CrudeType]]="Crude",vp.data[[#This Row],[Dens]]&gt;900,vp.data[[#This Row],[Sulf]]&lt;=0.5,vp.data[[#This Row],[Unknown]]=0),1,0)</f>
        <v>0</v>
      </c>
      <c r="AG1587" t="str">
        <f>INDEX(vp.data[[#Headers],[Unknown]:[Heavy_SW]],MATCH(1,vp.data[[#This Row],[Unknown]:[Heavy_SW]],0))</f>
        <v>Medium_LSB</v>
      </c>
      <c r="AH1587">
        <f>INDEX([3]!crudeBD.lkup[Number],MATCH(vp.data[[#This Row],[Crude_Breakdown]],crudeBD.lkup[Crude Breakdown],0))</f>
        <v>3</v>
      </c>
      <c r="AI1587">
        <f>MONTH(vp.data[[#This Row],[SDate]])</f>
        <v>5</v>
      </c>
      <c r="AJ1587" s="5">
        <f>(vp.data[[#This Row],[VP]]-INDEX(crudeBD.lkup[Mean_VP],MATCH(vp.data[[#This Row],[Crude_Breakdown]],crudeBD.lkup[Crude Breakdown],0)))^2</f>
        <v>4.5782157380428643</v>
      </c>
      <c r="AK1587" s="5">
        <f>(vp.data[[#This Row],[Dens]]-INDEX(crudeBD.lkup[Mean_Dens],MATCH(vp.data[[#This Row],[Crude_Breakdown]],crudeBD.lkup[Crude Breakdown],0)))^2</f>
        <v>37.454399999994493</v>
      </c>
      <c r="AL1587" s="5">
        <f>(vp.data[[#This Row],[Sulf]]-INDEX(crudeBD.lkup[Mean_Sulf],MATCH(vp.data[[#This Row],[Crude_Breakdown]],crudeBD.lkup[Crude Breakdown],0)))^2</f>
        <v>0.378727162389495</v>
      </c>
      <c r="AM1587" s="4">
        <f>IF(AND(vp.data[[#This Row],[SDate]]&gt;=DATE(YEAR(vp.data[[#This Row],[SDate]]),5,1),vp.data[[#This Row],[SDate]]&lt;=DATE(YEAR(vp.data[[#This Row],[SDate]]),9,15)),1,0)</f>
        <v>1</v>
      </c>
      <c r="AN1587" s="4">
        <f>IF(vp.data[[#This Row],[SDate]]&lt;DATE(2016,12,1),0,1)</f>
        <v>1</v>
      </c>
      <c r="AO1587" s="4">
        <f>IFERROR(vp.data[[#This Row],[Sulf]]*vp.data[[#This Row],[Net Dens]],"")</f>
        <v>8423416.1158840004</v>
      </c>
      <c r="AP1587">
        <f>IFERROR(vp.data[[#This Row],[Dens]]*vp.data[[#This Row],[VolumeM3]],"")</f>
        <v>10939501.449200001</v>
      </c>
      <c r="AQ1587" s="15">
        <f>IFERROR(vp.data[[#This Row],[VP]]*vp.data[[#This Row],[VolumeM3]],"")</f>
        <v>1025006.9990000001</v>
      </c>
    </row>
    <row r="1588" spans="1:43" x14ac:dyDescent="0.25">
      <c r="A1588">
        <v>1587</v>
      </c>
      <c r="B1588" t="s">
        <v>49</v>
      </c>
      <c r="C1588" t="s">
        <v>49</v>
      </c>
      <c r="D1588" t="s">
        <v>89</v>
      </c>
      <c r="F1588" s="1">
        <v>42886</v>
      </c>
      <c r="G1588" s="2">
        <v>91.6</v>
      </c>
      <c r="H1588" s="2"/>
      <c r="I1588" s="2">
        <f t="array" ref="I1588">_xlfn.IFNA(IF(vp.data[[#This Row],[Sulf Input]]="",INDEX([1]DATA!$Q$3:$Q$9826,MATCH(1,(vp.data[[#This Row],[Battery]]=[1]DATA!$L$3:$L$9826)*(EOMONTH(vp.data[[#This Row],[SDate]],-1)+1=[1]DATA!$G$3:$G$9826),0)),vp.data[[#This Row],[Sulf Input]]),"")</f>
        <v>0.68</v>
      </c>
      <c r="J1588" s="2"/>
      <c r="K1588" s="2"/>
      <c r="L1588" s="2"/>
      <c r="M1588" s="2">
        <f t="array" ref="M1588">_xlfn.IFNA(IF(vp.data[[#This Row],[Dens Input]]="",INDEX([1]DATA!$O$3:$O$9826,MATCH(1,(vp.data[[#This Row],[Battery]]=[1]DATA!$L$3:$L$9826)*(EOMONTH(vp.data[[#This Row],[SDate]],-1)+1=[1]DATA!$G$3:$G$9826),0)),vp.data[[#This Row],[Dens Input]]),"")</f>
        <v>826.5</v>
      </c>
      <c r="N1588" s="2">
        <f ca="1">INDEX(INDIRECT(_xlfn.CONCAT("weather.tbl[",N$1,"]")),MATCH(vp.data[[#This Row],[SDate]],weather.tbl[Date],0))</f>
        <v>13.600000000000001</v>
      </c>
      <c r="O1588" s="2">
        <f ca="1">INDEX(INDIRECT(_xlfn.CONCAT("weather.tbl[",O$1,"]")),MATCH(vp.data[[#This Row],[SDate]],weather.tbl[Date],0))</f>
        <v>12.745238095238095</v>
      </c>
      <c r="P1588" s="2">
        <f ca="1">INDEX(INDIRECT(_xlfn.CONCAT("weather.tbl[",P$1,"]")),MATCH(vp.data[[#This Row],[SDate]],weather.tbl[Date],0))</f>
        <v>13.9</v>
      </c>
      <c r="Q1588" s="2">
        <f ca="1">INDEX(INDIRECT(_xlfn.CONCAT("weather.tbl[",Q$1,"]")),MATCH(vp.data[[#This Row],[SDate]],weather.tbl[Date],0))</f>
        <v>13.7</v>
      </c>
      <c r="R1588" s="2">
        <f ca="1">INDEX(INDIRECT(_xlfn.CONCAT("weather.tbl[",R$1,"]")),MATCH(vp.data[[#This Row],[SDate]],weather.tbl[Date],0))</f>
        <v>12.8</v>
      </c>
      <c r="S1588" s="2">
        <f ca="1">INDEX(INDIRECT(_xlfn.CONCAT("weather.tbl[",S$1,"]")),MATCH(vp.data[[#This Row],[SDate]],weather.tbl[Date],0))</f>
        <v>13.5</v>
      </c>
      <c r="T1588" s="2">
        <f ca="1">INDEX(INDIRECT(_xlfn.CONCAT("weather.tbl[",T$1,"]")),MATCH(vp.data[[#This Row],[SDate]],weather.tbl[Date],0))</f>
        <v>14.2</v>
      </c>
      <c r="U1588" s="2">
        <f ca="1">INDEX(INDIRECT(_xlfn.CONCAT("weather.tbl[",U$1,"]")),MATCH(vp.data[[#This Row],[SDate]],weather.tbl[Date],0))</f>
        <v>13.5</v>
      </c>
      <c r="V1588" s="2">
        <f t="array" ref="V15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>6839.1149999999998</v>
      </c>
      <c r="W1588" t="s">
        <v>48</v>
      </c>
      <c r="X1588">
        <f>IF(OR(vp.data[[#This Row],[Sulf]]="",vp.data[[#This Row],[Dens]]=""),1,0)</f>
        <v>0</v>
      </c>
      <c r="Y1588">
        <f>IF(vp.data[[#This Row],[CrudeType]]="C5+",1,0)</f>
        <v>0</v>
      </c>
      <c r="Z1588">
        <f>IF(AND(vp.data[[#This Row],[CrudeType]]="Crude",vp.data[[#This Row],[Dens]]&lt;=825,vp.data[[#This Row],[Sulf]]&gt;0.5,vp.data[[#This Row],[Unknown]]=0),1,0)</f>
        <v>0</v>
      </c>
      <c r="AA1588">
        <f>IF(AND(vp.data[[#This Row],[CrudeType]]="Crude",vp.data[[#This Row],[Dens]]&lt;=825,vp.data[[#This Row],[Sulf]]&lt;=0.5,vp.data[[#This Row],[Unknown]]=0),1,0)</f>
        <v>0</v>
      </c>
      <c r="AB15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1</v>
      </c>
      <c r="AC1588">
        <f>IF(AND(vp.data[[#This Row],[CrudeType]]="Crude",vp.data[[#This Row],[Dens]]&gt;825,vp.data[[#This Row],[Dens]]&lt;=900,vp.data[[#This Row],[Sulf]]&lt;=0.5,vp.data[[#This Row],[Unknown]]=0),1,0)</f>
        <v>0</v>
      </c>
      <c r="AD1588">
        <f>IF(AND(vp.data[[#This Row],[CrudeType]]="Crude",vp.data[[#This Row],[Dens]]&gt;865,vp.data[[#This Row],[Dens]]&lt;=900,vp.data[[#This Row],[Sulf]]&gt;2,vp.data[[#This Row],[Unknown]]=0),1,0)</f>
        <v>0</v>
      </c>
      <c r="AE1588">
        <f>IF(AND(vp.data[[#This Row],[CrudeType]]="Crude",vp.data[[#This Row],[Dens]]&gt;900,vp.data[[#This Row],[Sulf]]&lt;=0.5,vp.data[[#This Row],[Unknown]]=0),1,0)</f>
        <v>0</v>
      </c>
      <c r="AF1588">
        <f>IF(AND(vp.data[[#This Row],[CrudeType]]="Crude",vp.data[[#This Row],[Dens]]&gt;900,vp.data[[#This Row],[Sulf]]&lt;=0.5,vp.data[[#This Row],[Unknown]]=0),1,0)</f>
        <v>0</v>
      </c>
      <c r="AG1588" t="str">
        <f>INDEX(vp.data[[#Headers],[Unknown]:[Heavy_SW]],MATCH(1,vp.data[[#This Row],[Unknown]:[Heavy_SW]],0))</f>
        <v>Medium_LSB</v>
      </c>
      <c r="AH1588">
        <f>INDEX([3]!crudeBD.lkup[Number],MATCH(vp.data[[#This Row],[Crude_Breakdown]],crudeBD.lkup[Crude Breakdown],0))</f>
        <v>3</v>
      </c>
      <c r="AI1588">
        <f>MONTH(vp.data[[#This Row],[SDate]])</f>
        <v>5</v>
      </c>
      <c r="AJ1588" s="5">
        <f>(vp.data[[#This Row],[VP]]-INDEX(crudeBD.lkup[Mean_VP],MATCH(vp.data[[#This Row],[Crude_Breakdown]],crudeBD.lkup[Crude Breakdown],0)))^2</f>
        <v>120.12869013157561</v>
      </c>
      <c r="AK1588" s="5">
        <f>(vp.data[[#This Row],[Dens]]-INDEX(crudeBD.lkup[Mean_Dens],MATCH(vp.data[[#This Row],[Crude_Breakdown]],crudeBD.lkup[Crude Breakdown],0)))^2</f>
        <v>303.45639999998275</v>
      </c>
      <c r="AL1588" s="5">
        <f>(vp.data[[#This Row],[Sulf]]-INDEX(crudeBD.lkup[Mean_Sulf],MATCH(vp.data[[#This Row],[Crude_Breakdown]],crudeBD.lkup[Crude Breakdown],0)))^2</f>
        <v>0.49760062519272974</v>
      </c>
      <c r="AM1588" s="4">
        <f>IF(AND(vp.data[[#This Row],[SDate]]&gt;=DATE(YEAR(vp.data[[#This Row],[SDate]]),5,1),vp.data[[#This Row],[SDate]]&lt;=DATE(YEAR(vp.data[[#This Row],[SDate]]),9,15)),1,0)</f>
        <v>1</v>
      </c>
      <c r="AN1588" s="4">
        <f>IF(vp.data[[#This Row],[SDate]]&lt;DATE(2016,12,1),0,1)</f>
        <v>1</v>
      </c>
      <c r="AO1588" s="4">
        <f>IFERROR(vp.data[[#This Row],[Sulf]]*vp.data[[#This Row],[Net Dens]],"")</f>
        <v>3843719.4123</v>
      </c>
      <c r="AP1588">
        <f>IFERROR(vp.data[[#This Row],[Dens]]*vp.data[[#This Row],[VolumeM3]],"")</f>
        <v>5652528.5474999994</v>
      </c>
      <c r="AQ1588" s="15">
        <f>IFERROR(vp.data[[#This Row],[VP]]*vp.data[[#This Row],[VolumeM3]],"")</f>
        <v>626462.93399999989</v>
      </c>
    </row>
    <row r="1589" spans="1:43" x14ac:dyDescent="0.25">
      <c r="A1589">
        <v>1588</v>
      </c>
      <c r="B1589" t="s">
        <v>49</v>
      </c>
      <c r="C1589" t="s">
        <v>49</v>
      </c>
      <c r="D1589" t="s">
        <v>50</v>
      </c>
      <c r="F1589" s="1">
        <v>42888</v>
      </c>
      <c r="G1589" s="2">
        <v>76.400000000000006</v>
      </c>
      <c r="H1589" s="2"/>
      <c r="I1589" s="2" t="str">
        <f t="array" ref="I158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89" s="2"/>
      <c r="K1589" s="2"/>
      <c r="L1589" s="2"/>
      <c r="M1589" s="2" t="str">
        <f t="array" ref="M158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89" s="2">
        <f ca="1">INDEX(INDIRECT(_xlfn.CONCAT("weather.tbl[",N$1,"]")),MATCH(vp.data[[#This Row],[SDate]],weather.tbl[Date],0))</f>
        <v>21.95</v>
      </c>
      <c r="O1589" s="2">
        <f ca="1">INDEX(INDIRECT(_xlfn.CONCAT("weather.tbl[",O$1,"]")),MATCH(vp.data[[#This Row],[SDate]],weather.tbl[Date],0))</f>
        <v>14.923809523809526</v>
      </c>
      <c r="P1589" s="2">
        <f ca="1">INDEX(INDIRECT(_xlfn.CONCAT("weather.tbl[",P$1,"]")),MATCH(vp.data[[#This Row],[SDate]],weather.tbl[Date],0))</f>
        <v>22.7</v>
      </c>
      <c r="Q1589" s="2">
        <f ca="1">INDEX(INDIRECT(_xlfn.CONCAT("weather.tbl[",Q$1,"]")),MATCH(vp.data[[#This Row],[SDate]],weather.tbl[Date],0))</f>
        <v>20.9</v>
      </c>
      <c r="R1589" s="2">
        <f ca="1">INDEX(INDIRECT(_xlfn.CONCAT("weather.tbl[",R$1,"]")),MATCH(vp.data[[#This Row],[SDate]],weather.tbl[Date],0))</f>
        <v>21.3</v>
      </c>
      <c r="S1589" s="2">
        <f ca="1">INDEX(INDIRECT(_xlfn.CONCAT("weather.tbl[",S$1,"]")),MATCH(vp.data[[#This Row],[SDate]],weather.tbl[Date],0))</f>
        <v>20.5</v>
      </c>
      <c r="T1589" s="2">
        <f ca="1">INDEX(INDIRECT(_xlfn.CONCAT("weather.tbl[",T$1,"]")),MATCH(vp.data[[#This Row],[SDate]],weather.tbl[Date],0))</f>
        <v>24.8</v>
      </c>
      <c r="U1589" s="2">
        <f ca="1">INDEX(INDIRECT(_xlfn.CONCAT("weather.tbl[",U$1,"]")),MATCH(vp.data[[#This Row],[SDate]],weather.tbl[Date],0))</f>
        <v>21.5</v>
      </c>
      <c r="V1589" s="2" t="str">
        <f t="array" ref="V15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89" t="s">
        <v>48</v>
      </c>
      <c r="X1589">
        <f>IF(OR(vp.data[[#This Row],[Sulf]]="",vp.data[[#This Row],[Dens]]=""),1,0)</f>
        <v>1</v>
      </c>
      <c r="Y1589">
        <f>IF(vp.data[[#This Row],[CrudeType]]="C5+",1,0)</f>
        <v>0</v>
      </c>
      <c r="Z1589">
        <f>IF(AND(vp.data[[#This Row],[CrudeType]]="Crude",vp.data[[#This Row],[Dens]]&lt;=825,vp.data[[#This Row],[Sulf]]&gt;0.5,vp.data[[#This Row],[Unknown]]=0),1,0)</f>
        <v>0</v>
      </c>
      <c r="AA1589">
        <f>IF(AND(vp.data[[#This Row],[CrudeType]]="Crude",vp.data[[#This Row],[Dens]]&lt;=825,vp.data[[#This Row],[Sulf]]&lt;=0.5,vp.data[[#This Row],[Unknown]]=0),1,0)</f>
        <v>0</v>
      </c>
      <c r="AB15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89">
        <f>IF(AND(vp.data[[#This Row],[CrudeType]]="Crude",vp.data[[#This Row],[Dens]]&gt;825,vp.data[[#This Row],[Dens]]&lt;=900,vp.data[[#This Row],[Sulf]]&lt;=0.5,vp.data[[#This Row],[Unknown]]=0),1,0)</f>
        <v>0</v>
      </c>
      <c r="AD1589">
        <f>IF(AND(vp.data[[#This Row],[CrudeType]]="Crude",vp.data[[#This Row],[Dens]]&gt;865,vp.data[[#This Row],[Dens]]&lt;=900,vp.data[[#This Row],[Sulf]]&gt;2,vp.data[[#This Row],[Unknown]]=0),1,0)</f>
        <v>0</v>
      </c>
      <c r="AE1589">
        <f>IF(AND(vp.data[[#This Row],[CrudeType]]="Crude",vp.data[[#This Row],[Dens]]&gt;900,vp.data[[#This Row],[Sulf]]&lt;=0.5,vp.data[[#This Row],[Unknown]]=0),1,0)</f>
        <v>0</v>
      </c>
      <c r="AF1589">
        <f>IF(AND(vp.data[[#This Row],[CrudeType]]="Crude",vp.data[[#This Row],[Dens]]&gt;900,vp.data[[#This Row],[Sulf]]&lt;=0.5,vp.data[[#This Row],[Unknown]]=0),1,0)</f>
        <v>0</v>
      </c>
      <c r="AG1589" t="str">
        <f>INDEX(vp.data[[#Headers],[Unknown]:[Heavy_SW]],MATCH(1,vp.data[[#This Row],[Unknown]:[Heavy_SW]],0))</f>
        <v>Unknown</v>
      </c>
      <c r="AH1589">
        <f>INDEX([3]!crudeBD.lkup[Number],MATCH(vp.data[[#This Row],[Crude_Breakdown]],crudeBD.lkup[Crude Breakdown],0))</f>
        <v>-1</v>
      </c>
      <c r="AI1589">
        <f>MONTH(vp.data[[#This Row],[SDate]])</f>
        <v>6</v>
      </c>
      <c r="AJ1589" s="5">
        <f>(vp.data[[#This Row],[VP]]-INDEX(crudeBD.lkup[Mean_VP],MATCH(vp.data[[#This Row],[Crude_Breakdown]],crudeBD.lkup[Crude Breakdown],0)))^2</f>
        <v>6.5273250187654224</v>
      </c>
      <c r="AK1589" s="5" t="e">
        <f>(vp.data[[#This Row],[Dens]]-INDEX(crudeBD.lkup[Mean_Dens],MATCH(vp.data[[#This Row],[Crude_Breakdown]],crudeBD.lkup[Crude Breakdown],0)))^2</f>
        <v>#VALUE!</v>
      </c>
      <c r="AL1589" s="5" t="e">
        <f>(vp.data[[#This Row],[Sulf]]-INDEX(crudeBD.lkup[Mean_Sulf],MATCH(vp.data[[#This Row],[Crude_Breakdown]],crudeBD.lkup[Crude Breakdown],0)))^2</f>
        <v>#VALUE!</v>
      </c>
      <c r="AM1589" s="4">
        <f>IF(AND(vp.data[[#This Row],[SDate]]&gt;=DATE(YEAR(vp.data[[#This Row],[SDate]]),5,1),vp.data[[#This Row],[SDate]]&lt;=DATE(YEAR(vp.data[[#This Row],[SDate]]),9,15)),1,0)</f>
        <v>1</v>
      </c>
      <c r="AN1589" s="4">
        <f>IF(vp.data[[#This Row],[SDate]]&lt;DATE(2016,12,1),0,1)</f>
        <v>1</v>
      </c>
      <c r="AO1589" s="4" t="str">
        <f>IFERROR(vp.data[[#This Row],[Sulf]]*vp.data[[#This Row],[Net Dens]],"")</f>
        <v/>
      </c>
      <c r="AP1589" t="str">
        <f>IFERROR(vp.data[[#This Row],[Dens]]*vp.data[[#This Row],[VolumeM3]],"")</f>
        <v/>
      </c>
      <c r="AQ1589" s="15" t="str">
        <f>IFERROR(vp.data[[#This Row],[VP]]*vp.data[[#This Row],[VolumeM3]],"")</f>
        <v/>
      </c>
    </row>
    <row r="1590" spans="1:43" x14ac:dyDescent="0.25">
      <c r="A1590">
        <v>1589</v>
      </c>
      <c r="B1590" t="s">
        <v>51</v>
      </c>
      <c r="C1590" t="s">
        <v>51</v>
      </c>
      <c r="D1590" t="s">
        <v>71</v>
      </c>
      <c r="F1590" s="1">
        <v>42888</v>
      </c>
      <c r="G1590" s="2">
        <v>73.599999999999994</v>
      </c>
      <c r="H1590" s="2"/>
      <c r="I1590" s="2" t="str">
        <f t="array" ref="I159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0" s="2"/>
      <c r="K1590" s="2"/>
      <c r="L1590" s="2"/>
      <c r="M1590" s="2" t="str">
        <f t="array" ref="M159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0" s="2">
        <f ca="1">INDEX(INDIRECT(_xlfn.CONCAT("weather.tbl[",N$1,"]")),MATCH(vp.data[[#This Row],[SDate]],weather.tbl[Date],0))</f>
        <v>21.95</v>
      </c>
      <c r="O1590" s="2">
        <f ca="1">INDEX(INDIRECT(_xlfn.CONCAT("weather.tbl[",O$1,"]")),MATCH(vp.data[[#This Row],[SDate]],weather.tbl[Date],0))</f>
        <v>14.923809523809526</v>
      </c>
      <c r="P1590" s="2">
        <f ca="1">INDEX(INDIRECT(_xlfn.CONCAT("weather.tbl[",P$1,"]")),MATCH(vp.data[[#This Row],[SDate]],weather.tbl[Date],0))</f>
        <v>22.7</v>
      </c>
      <c r="Q1590" s="2">
        <f ca="1">INDEX(INDIRECT(_xlfn.CONCAT("weather.tbl[",Q$1,"]")),MATCH(vp.data[[#This Row],[SDate]],weather.tbl[Date],0))</f>
        <v>20.9</v>
      </c>
      <c r="R1590" s="2">
        <f ca="1">INDEX(INDIRECT(_xlfn.CONCAT("weather.tbl[",R$1,"]")),MATCH(vp.data[[#This Row],[SDate]],weather.tbl[Date],0))</f>
        <v>21.3</v>
      </c>
      <c r="S1590" s="2">
        <f ca="1">INDEX(INDIRECT(_xlfn.CONCAT("weather.tbl[",S$1,"]")),MATCH(vp.data[[#This Row],[SDate]],weather.tbl[Date],0))</f>
        <v>20.5</v>
      </c>
      <c r="T1590" s="2">
        <f ca="1">INDEX(INDIRECT(_xlfn.CONCAT("weather.tbl[",T$1,"]")),MATCH(vp.data[[#This Row],[SDate]],weather.tbl[Date],0))</f>
        <v>24.8</v>
      </c>
      <c r="U1590" s="2">
        <f ca="1">INDEX(INDIRECT(_xlfn.CONCAT("weather.tbl[",U$1,"]")),MATCH(vp.data[[#This Row],[SDate]],weather.tbl[Date],0))</f>
        <v>21.5</v>
      </c>
      <c r="V1590" s="2" t="str">
        <f t="array" ref="V15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0" t="s">
        <v>48</v>
      </c>
      <c r="X1590">
        <f>IF(OR(vp.data[[#This Row],[Sulf]]="",vp.data[[#This Row],[Dens]]=""),1,0)</f>
        <v>1</v>
      </c>
      <c r="Y1590">
        <f>IF(vp.data[[#This Row],[CrudeType]]="C5+",1,0)</f>
        <v>0</v>
      </c>
      <c r="Z1590">
        <f>IF(AND(vp.data[[#This Row],[CrudeType]]="Crude",vp.data[[#This Row],[Dens]]&lt;=825,vp.data[[#This Row],[Sulf]]&gt;0.5,vp.data[[#This Row],[Unknown]]=0),1,0)</f>
        <v>0</v>
      </c>
      <c r="AA1590">
        <f>IF(AND(vp.data[[#This Row],[CrudeType]]="Crude",vp.data[[#This Row],[Dens]]&lt;=825,vp.data[[#This Row],[Sulf]]&lt;=0.5,vp.data[[#This Row],[Unknown]]=0),1,0)</f>
        <v>0</v>
      </c>
      <c r="AB15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0">
        <f>IF(AND(vp.data[[#This Row],[CrudeType]]="Crude",vp.data[[#This Row],[Dens]]&gt;825,vp.data[[#This Row],[Dens]]&lt;=900,vp.data[[#This Row],[Sulf]]&lt;=0.5,vp.data[[#This Row],[Unknown]]=0),1,0)</f>
        <v>0</v>
      </c>
      <c r="AD1590">
        <f>IF(AND(vp.data[[#This Row],[CrudeType]]="Crude",vp.data[[#This Row],[Dens]]&gt;865,vp.data[[#This Row],[Dens]]&lt;=900,vp.data[[#This Row],[Sulf]]&gt;2,vp.data[[#This Row],[Unknown]]=0),1,0)</f>
        <v>0</v>
      </c>
      <c r="AE1590">
        <f>IF(AND(vp.data[[#This Row],[CrudeType]]="Crude",vp.data[[#This Row],[Dens]]&gt;900,vp.data[[#This Row],[Sulf]]&lt;=0.5,vp.data[[#This Row],[Unknown]]=0),1,0)</f>
        <v>0</v>
      </c>
      <c r="AF1590">
        <f>IF(AND(vp.data[[#This Row],[CrudeType]]="Crude",vp.data[[#This Row],[Dens]]&gt;900,vp.data[[#This Row],[Sulf]]&lt;=0.5,vp.data[[#This Row],[Unknown]]=0),1,0)</f>
        <v>0</v>
      </c>
      <c r="AG1590" t="str">
        <f>INDEX(vp.data[[#Headers],[Unknown]:[Heavy_SW]],MATCH(1,vp.data[[#This Row],[Unknown]:[Heavy_SW]],0))</f>
        <v>Unknown</v>
      </c>
      <c r="AH1590">
        <f>INDEX([3]!crudeBD.lkup[Number],MATCH(vp.data[[#This Row],[Crude_Breakdown]],crudeBD.lkup[Crude Breakdown],0))</f>
        <v>-1</v>
      </c>
      <c r="AI1590">
        <f>MONTH(vp.data[[#This Row],[SDate]])</f>
        <v>6</v>
      </c>
      <c r="AJ1590" s="5">
        <f>(vp.data[[#This Row],[VP]]-INDEX(crudeBD.lkup[Mean_VP],MATCH(vp.data[[#This Row],[Crude_Breakdown]],crudeBD.lkup[Crude Breakdown],0)))^2</f>
        <v>6.0092142052906708E-2</v>
      </c>
      <c r="AK1590" s="5" t="e">
        <f>(vp.data[[#This Row],[Dens]]-INDEX(crudeBD.lkup[Mean_Dens],MATCH(vp.data[[#This Row],[Crude_Breakdown]],crudeBD.lkup[Crude Breakdown],0)))^2</f>
        <v>#VALUE!</v>
      </c>
      <c r="AL1590" s="5" t="e">
        <f>(vp.data[[#This Row],[Sulf]]-INDEX(crudeBD.lkup[Mean_Sulf],MATCH(vp.data[[#This Row],[Crude_Breakdown]],crudeBD.lkup[Crude Breakdown],0)))^2</f>
        <v>#VALUE!</v>
      </c>
      <c r="AM1590" s="4">
        <f>IF(AND(vp.data[[#This Row],[SDate]]&gt;=DATE(YEAR(vp.data[[#This Row],[SDate]]),5,1),vp.data[[#This Row],[SDate]]&lt;=DATE(YEAR(vp.data[[#This Row],[SDate]]),9,15)),1,0)</f>
        <v>1</v>
      </c>
      <c r="AN1590" s="4">
        <f>IF(vp.data[[#This Row],[SDate]]&lt;DATE(2016,12,1),0,1)</f>
        <v>1</v>
      </c>
      <c r="AO1590" s="4" t="str">
        <f>IFERROR(vp.data[[#This Row],[Sulf]]*vp.data[[#This Row],[Net Dens]],"")</f>
        <v/>
      </c>
      <c r="AP1590" t="str">
        <f>IFERROR(vp.data[[#This Row],[Dens]]*vp.data[[#This Row],[VolumeM3]],"")</f>
        <v/>
      </c>
      <c r="AQ1590" s="15" t="str">
        <f>IFERROR(vp.data[[#This Row],[VP]]*vp.data[[#This Row],[VolumeM3]],"")</f>
        <v/>
      </c>
    </row>
    <row r="1591" spans="1:43" x14ac:dyDescent="0.25">
      <c r="A1591">
        <v>1590</v>
      </c>
      <c r="B1591" t="s">
        <v>328</v>
      </c>
      <c r="C1591" t="s">
        <v>328</v>
      </c>
      <c r="D1591" t="s">
        <v>329</v>
      </c>
      <c r="F1591" s="1">
        <v>42888</v>
      </c>
      <c r="G1591" s="2">
        <v>79.3</v>
      </c>
      <c r="H1591" s="2"/>
      <c r="I1591" s="2" t="str">
        <f t="array" ref="I159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1" s="2"/>
      <c r="K1591" s="2"/>
      <c r="L1591" s="2"/>
      <c r="M1591" s="2" t="str">
        <f t="array" ref="M159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1" s="2">
        <f ca="1">INDEX(INDIRECT(_xlfn.CONCAT("weather.tbl[",N$1,"]")),MATCH(vp.data[[#This Row],[SDate]],weather.tbl[Date],0))</f>
        <v>21.95</v>
      </c>
      <c r="O1591" s="2">
        <f ca="1">INDEX(INDIRECT(_xlfn.CONCAT("weather.tbl[",O$1,"]")),MATCH(vp.data[[#This Row],[SDate]],weather.tbl[Date],0))</f>
        <v>14.923809523809526</v>
      </c>
      <c r="P1591" s="2">
        <f ca="1">INDEX(INDIRECT(_xlfn.CONCAT("weather.tbl[",P$1,"]")),MATCH(vp.data[[#This Row],[SDate]],weather.tbl[Date],0))</f>
        <v>22.7</v>
      </c>
      <c r="Q1591" s="2">
        <f ca="1">INDEX(INDIRECT(_xlfn.CONCAT("weather.tbl[",Q$1,"]")),MATCH(vp.data[[#This Row],[SDate]],weather.tbl[Date],0))</f>
        <v>20.9</v>
      </c>
      <c r="R1591" s="2">
        <f ca="1">INDEX(INDIRECT(_xlfn.CONCAT("weather.tbl[",R$1,"]")),MATCH(vp.data[[#This Row],[SDate]],weather.tbl[Date],0))</f>
        <v>21.3</v>
      </c>
      <c r="S1591" s="2">
        <f ca="1">INDEX(INDIRECT(_xlfn.CONCAT("weather.tbl[",S$1,"]")),MATCH(vp.data[[#This Row],[SDate]],weather.tbl[Date],0))</f>
        <v>20.5</v>
      </c>
      <c r="T1591" s="2">
        <f ca="1">INDEX(INDIRECT(_xlfn.CONCAT("weather.tbl[",T$1,"]")),MATCH(vp.data[[#This Row],[SDate]],weather.tbl[Date],0))</f>
        <v>24.8</v>
      </c>
      <c r="U1591" s="2">
        <f ca="1">INDEX(INDIRECT(_xlfn.CONCAT("weather.tbl[",U$1,"]")),MATCH(vp.data[[#This Row],[SDate]],weather.tbl[Date],0))</f>
        <v>21.5</v>
      </c>
      <c r="V1591" s="2" t="str">
        <f t="array" ref="V15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1" t="s">
        <v>48</v>
      </c>
      <c r="X1591">
        <f>IF(OR(vp.data[[#This Row],[Sulf]]="",vp.data[[#This Row],[Dens]]=""),1,0)</f>
        <v>1</v>
      </c>
      <c r="Y1591">
        <f>IF(vp.data[[#This Row],[CrudeType]]="C5+",1,0)</f>
        <v>0</v>
      </c>
      <c r="Z1591">
        <f>IF(AND(vp.data[[#This Row],[CrudeType]]="Crude",vp.data[[#This Row],[Dens]]&lt;=825,vp.data[[#This Row],[Sulf]]&gt;0.5,vp.data[[#This Row],[Unknown]]=0),1,0)</f>
        <v>0</v>
      </c>
      <c r="AA1591">
        <f>IF(AND(vp.data[[#This Row],[CrudeType]]="Crude",vp.data[[#This Row],[Dens]]&lt;=825,vp.data[[#This Row],[Sulf]]&lt;=0.5,vp.data[[#This Row],[Unknown]]=0),1,0)</f>
        <v>0</v>
      </c>
      <c r="AB15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1">
        <f>IF(AND(vp.data[[#This Row],[CrudeType]]="Crude",vp.data[[#This Row],[Dens]]&gt;825,vp.data[[#This Row],[Dens]]&lt;=900,vp.data[[#This Row],[Sulf]]&lt;=0.5,vp.data[[#This Row],[Unknown]]=0),1,0)</f>
        <v>0</v>
      </c>
      <c r="AD1591">
        <f>IF(AND(vp.data[[#This Row],[CrudeType]]="Crude",vp.data[[#This Row],[Dens]]&gt;865,vp.data[[#This Row],[Dens]]&lt;=900,vp.data[[#This Row],[Sulf]]&gt;2,vp.data[[#This Row],[Unknown]]=0),1,0)</f>
        <v>0</v>
      </c>
      <c r="AE1591">
        <f>IF(AND(vp.data[[#This Row],[CrudeType]]="Crude",vp.data[[#This Row],[Dens]]&gt;900,vp.data[[#This Row],[Sulf]]&lt;=0.5,vp.data[[#This Row],[Unknown]]=0),1,0)</f>
        <v>0</v>
      </c>
      <c r="AF1591">
        <f>IF(AND(vp.data[[#This Row],[CrudeType]]="Crude",vp.data[[#This Row],[Dens]]&gt;900,vp.data[[#This Row],[Sulf]]&lt;=0.5,vp.data[[#This Row],[Unknown]]=0),1,0)</f>
        <v>0</v>
      </c>
      <c r="AG1591" t="str">
        <f>INDEX(vp.data[[#Headers],[Unknown]:[Heavy_SW]],MATCH(1,vp.data[[#This Row],[Unknown]:[Heavy_SW]],0))</f>
        <v>Unknown</v>
      </c>
      <c r="AH1591">
        <f>INDEX([3]!crudeBD.lkup[Number],MATCH(vp.data[[#This Row],[Crude_Breakdown]],crudeBD.lkup[Crude Breakdown],0))</f>
        <v>-1</v>
      </c>
      <c r="AI1591">
        <f>MONTH(vp.data[[#This Row],[SDate]])</f>
        <v>6</v>
      </c>
      <c r="AJ1591" s="5">
        <f>(vp.data[[#This Row],[VP]]-INDEX(crudeBD.lkup[Mean_VP],MATCH(vp.data[[#This Row],[Crude_Breakdown]],crudeBD.lkup[Crude Breakdown],0)))^2</f>
        <v>29.755530498217585</v>
      </c>
      <c r="AK1591" s="5" t="e">
        <f>(vp.data[[#This Row],[Dens]]-INDEX(crudeBD.lkup[Mean_Dens],MATCH(vp.data[[#This Row],[Crude_Breakdown]],crudeBD.lkup[Crude Breakdown],0)))^2</f>
        <v>#VALUE!</v>
      </c>
      <c r="AL1591" s="5" t="e">
        <f>(vp.data[[#This Row],[Sulf]]-INDEX(crudeBD.lkup[Mean_Sulf],MATCH(vp.data[[#This Row],[Crude_Breakdown]],crudeBD.lkup[Crude Breakdown],0)))^2</f>
        <v>#VALUE!</v>
      </c>
      <c r="AM1591" s="4">
        <f>IF(AND(vp.data[[#This Row],[SDate]]&gt;=DATE(YEAR(vp.data[[#This Row],[SDate]]),5,1),vp.data[[#This Row],[SDate]]&lt;=DATE(YEAR(vp.data[[#This Row],[SDate]]),9,15)),1,0)</f>
        <v>1</v>
      </c>
      <c r="AN1591" s="4">
        <f>IF(vp.data[[#This Row],[SDate]]&lt;DATE(2016,12,1),0,1)</f>
        <v>1</v>
      </c>
      <c r="AO1591" s="4" t="str">
        <f>IFERROR(vp.data[[#This Row],[Sulf]]*vp.data[[#This Row],[Net Dens]],"")</f>
        <v/>
      </c>
      <c r="AP1591" t="str">
        <f>IFERROR(vp.data[[#This Row],[Dens]]*vp.data[[#This Row],[VolumeM3]],"")</f>
        <v/>
      </c>
      <c r="AQ1591" s="15" t="str">
        <f>IFERROR(vp.data[[#This Row],[VP]]*vp.data[[#This Row],[VolumeM3]],"")</f>
        <v/>
      </c>
    </row>
    <row r="1592" spans="1:43" x14ac:dyDescent="0.25">
      <c r="A1592">
        <v>1591</v>
      </c>
      <c r="B1592" t="s">
        <v>49</v>
      </c>
      <c r="C1592" t="s">
        <v>49</v>
      </c>
      <c r="D1592" t="s">
        <v>175</v>
      </c>
      <c r="F1592" s="1">
        <v>42892</v>
      </c>
      <c r="G1592" s="2">
        <v>75.8</v>
      </c>
      <c r="H1592" s="2"/>
      <c r="I1592" s="2" t="str">
        <f t="array" ref="I159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2" s="2"/>
      <c r="K1592" s="2"/>
      <c r="L1592" s="2"/>
      <c r="M1592" s="2" t="str">
        <f t="array" ref="M159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2" s="2">
        <f ca="1">INDEX(INDIRECT(_xlfn.CONCAT("weather.tbl[",N$1,"]")),MATCH(vp.data[[#This Row],[SDate]],weather.tbl[Date],0))</f>
        <v>14.583333333333334</v>
      </c>
      <c r="O1592" s="2">
        <f ca="1">INDEX(INDIRECT(_xlfn.CONCAT("weather.tbl[",O$1,"]")),MATCH(vp.data[[#This Row],[SDate]],weather.tbl[Date],0))</f>
        <v>18.273809523809526</v>
      </c>
      <c r="P1592" s="2">
        <f ca="1">INDEX(INDIRECT(_xlfn.CONCAT("weather.tbl[",P$1,"]")),MATCH(vp.data[[#This Row],[SDate]],weather.tbl[Date],0))</f>
        <v>14.7</v>
      </c>
      <c r="Q1592" s="2">
        <f ca="1">INDEX(INDIRECT(_xlfn.CONCAT("weather.tbl[",Q$1,"]")),MATCH(vp.data[[#This Row],[SDate]],weather.tbl[Date],0))</f>
        <v>13.1</v>
      </c>
      <c r="R1592" s="2">
        <f ca="1">INDEX(INDIRECT(_xlfn.CONCAT("weather.tbl[",R$1,"]")),MATCH(vp.data[[#This Row],[SDate]],weather.tbl[Date],0))</f>
        <v>14.8</v>
      </c>
      <c r="S1592" s="2">
        <f ca="1">INDEX(INDIRECT(_xlfn.CONCAT("weather.tbl[",S$1,"]")),MATCH(vp.data[[#This Row],[SDate]],weather.tbl[Date],0))</f>
        <v>13.4</v>
      </c>
      <c r="T1592" s="2">
        <f ca="1">INDEX(INDIRECT(_xlfn.CONCAT("weather.tbl[",T$1,"]")),MATCH(vp.data[[#This Row],[SDate]],weather.tbl[Date],0))</f>
        <v>18</v>
      </c>
      <c r="U1592" s="2">
        <f ca="1">INDEX(INDIRECT(_xlfn.CONCAT("weather.tbl[",U$1,"]")),MATCH(vp.data[[#This Row],[SDate]],weather.tbl[Date],0))</f>
        <v>13.5</v>
      </c>
      <c r="V1592" s="2" t="str">
        <f t="array" ref="V15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2" t="s">
        <v>48</v>
      </c>
      <c r="X1592">
        <f>IF(OR(vp.data[[#This Row],[Sulf]]="",vp.data[[#This Row],[Dens]]=""),1,0)</f>
        <v>1</v>
      </c>
      <c r="Y1592">
        <f>IF(vp.data[[#This Row],[CrudeType]]="C5+",1,0)</f>
        <v>0</v>
      </c>
      <c r="Z1592">
        <f>IF(AND(vp.data[[#This Row],[CrudeType]]="Crude",vp.data[[#This Row],[Dens]]&lt;=825,vp.data[[#This Row],[Sulf]]&gt;0.5,vp.data[[#This Row],[Unknown]]=0),1,0)</f>
        <v>0</v>
      </c>
      <c r="AA1592">
        <f>IF(AND(vp.data[[#This Row],[CrudeType]]="Crude",vp.data[[#This Row],[Dens]]&lt;=825,vp.data[[#This Row],[Sulf]]&lt;=0.5,vp.data[[#This Row],[Unknown]]=0),1,0)</f>
        <v>0</v>
      </c>
      <c r="AB15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2">
        <f>IF(AND(vp.data[[#This Row],[CrudeType]]="Crude",vp.data[[#This Row],[Dens]]&gt;825,vp.data[[#This Row],[Dens]]&lt;=900,vp.data[[#This Row],[Sulf]]&lt;=0.5,vp.data[[#This Row],[Unknown]]=0),1,0)</f>
        <v>0</v>
      </c>
      <c r="AD1592">
        <f>IF(AND(vp.data[[#This Row],[CrudeType]]="Crude",vp.data[[#This Row],[Dens]]&gt;865,vp.data[[#This Row],[Dens]]&lt;=900,vp.data[[#This Row],[Sulf]]&gt;2,vp.data[[#This Row],[Unknown]]=0),1,0)</f>
        <v>0</v>
      </c>
      <c r="AE1592">
        <f>IF(AND(vp.data[[#This Row],[CrudeType]]="Crude",vp.data[[#This Row],[Dens]]&gt;900,vp.data[[#This Row],[Sulf]]&lt;=0.5,vp.data[[#This Row],[Unknown]]=0),1,0)</f>
        <v>0</v>
      </c>
      <c r="AF1592">
        <f>IF(AND(vp.data[[#This Row],[CrudeType]]="Crude",vp.data[[#This Row],[Dens]]&gt;900,vp.data[[#This Row],[Sulf]]&lt;=0.5,vp.data[[#This Row],[Unknown]]=0),1,0)</f>
        <v>0</v>
      </c>
      <c r="AG1592" t="str">
        <f>INDEX(vp.data[[#Headers],[Unknown]:[Heavy_SW]],MATCH(1,vp.data[[#This Row],[Unknown]:[Heavy_SW]],0))</f>
        <v>Unknown</v>
      </c>
      <c r="AH1592">
        <f>INDEX([3]!crudeBD.lkup[Number],MATCH(vp.data[[#This Row],[Crude_Breakdown]],crudeBD.lkup[Crude Breakdown],0))</f>
        <v>-1</v>
      </c>
      <c r="AI1592">
        <f>MONTH(vp.data[[#This Row],[SDate]])</f>
        <v>6</v>
      </c>
      <c r="AJ1592" s="5">
        <f>(vp.data[[#This Row],[VP]]-INDEX(crudeBD.lkup[Mean_VP],MATCH(vp.data[[#This Row],[Crude_Breakdown]],crudeBD.lkup[Crude Breakdown],0)))^2</f>
        <v>3.8214894023269919</v>
      </c>
      <c r="AK1592" s="5" t="e">
        <f>(vp.data[[#This Row],[Dens]]-INDEX(crudeBD.lkup[Mean_Dens],MATCH(vp.data[[#This Row],[Crude_Breakdown]],crudeBD.lkup[Crude Breakdown],0)))^2</f>
        <v>#VALUE!</v>
      </c>
      <c r="AL1592" s="5" t="e">
        <f>(vp.data[[#This Row],[Sulf]]-INDEX(crudeBD.lkup[Mean_Sulf],MATCH(vp.data[[#This Row],[Crude_Breakdown]],crudeBD.lkup[Crude Breakdown],0)))^2</f>
        <v>#VALUE!</v>
      </c>
      <c r="AM1592" s="4">
        <f>IF(AND(vp.data[[#This Row],[SDate]]&gt;=DATE(YEAR(vp.data[[#This Row],[SDate]]),5,1),vp.data[[#This Row],[SDate]]&lt;=DATE(YEAR(vp.data[[#This Row],[SDate]]),9,15)),1,0)</f>
        <v>1</v>
      </c>
      <c r="AN1592" s="4">
        <f>IF(vp.data[[#This Row],[SDate]]&lt;DATE(2016,12,1),0,1)</f>
        <v>1</v>
      </c>
      <c r="AO1592" s="4" t="str">
        <f>IFERROR(vp.data[[#This Row],[Sulf]]*vp.data[[#This Row],[Net Dens]],"")</f>
        <v/>
      </c>
      <c r="AP1592" t="str">
        <f>IFERROR(vp.data[[#This Row],[Dens]]*vp.data[[#This Row],[VolumeM3]],"")</f>
        <v/>
      </c>
      <c r="AQ1592" s="15" t="str">
        <f>IFERROR(vp.data[[#This Row],[VP]]*vp.data[[#This Row],[VolumeM3]],"")</f>
        <v/>
      </c>
    </row>
    <row r="1593" spans="1:43" x14ac:dyDescent="0.25">
      <c r="A1593">
        <v>1592</v>
      </c>
      <c r="B1593" t="s">
        <v>49</v>
      </c>
      <c r="C1593" t="s">
        <v>49</v>
      </c>
      <c r="D1593" t="s">
        <v>90</v>
      </c>
      <c r="F1593" s="1">
        <v>42892</v>
      </c>
      <c r="G1593" s="2">
        <v>65</v>
      </c>
      <c r="H1593" s="2"/>
      <c r="I1593" s="2" t="str">
        <f t="array" ref="I159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3" s="2"/>
      <c r="K1593" s="2"/>
      <c r="L1593" s="2"/>
      <c r="M1593" s="2" t="str">
        <f t="array" ref="M159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3" s="2">
        <f ca="1">INDEX(INDIRECT(_xlfn.CONCAT("weather.tbl[",N$1,"]")),MATCH(vp.data[[#This Row],[SDate]],weather.tbl[Date],0))</f>
        <v>14.583333333333334</v>
      </c>
      <c r="O1593" s="2">
        <f ca="1">INDEX(INDIRECT(_xlfn.CONCAT("weather.tbl[",O$1,"]")),MATCH(vp.data[[#This Row],[SDate]],weather.tbl[Date],0))</f>
        <v>18.273809523809526</v>
      </c>
      <c r="P1593" s="2">
        <f ca="1">INDEX(INDIRECT(_xlfn.CONCAT("weather.tbl[",P$1,"]")),MATCH(vp.data[[#This Row],[SDate]],weather.tbl[Date],0))</f>
        <v>14.7</v>
      </c>
      <c r="Q1593" s="2">
        <f ca="1">INDEX(INDIRECT(_xlfn.CONCAT("weather.tbl[",Q$1,"]")),MATCH(vp.data[[#This Row],[SDate]],weather.tbl[Date],0))</f>
        <v>13.1</v>
      </c>
      <c r="R1593" s="2">
        <f ca="1">INDEX(INDIRECT(_xlfn.CONCAT("weather.tbl[",R$1,"]")),MATCH(vp.data[[#This Row],[SDate]],weather.tbl[Date],0))</f>
        <v>14.8</v>
      </c>
      <c r="S1593" s="2">
        <f ca="1">INDEX(INDIRECT(_xlfn.CONCAT("weather.tbl[",S$1,"]")),MATCH(vp.data[[#This Row],[SDate]],weather.tbl[Date],0))</f>
        <v>13.4</v>
      </c>
      <c r="T1593" s="2">
        <f ca="1">INDEX(INDIRECT(_xlfn.CONCAT("weather.tbl[",T$1,"]")),MATCH(vp.data[[#This Row],[SDate]],weather.tbl[Date],0))</f>
        <v>18</v>
      </c>
      <c r="U1593" s="2">
        <f ca="1">INDEX(INDIRECT(_xlfn.CONCAT("weather.tbl[",U$1,"]")),MATCH(vp.data[[#This Row],[SDate]],weather.tbl[Date],0))</f>
        <v>13.5</v>
      </c>
      <c r="V1593" s="2" t="str">
        <f t="array" ref="V15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3" t="s">
        <v>48</v>
      </c>
      <c r="X1593">
        <f>IF(OR(vp.data[[#This Row],[Sulf]]="",vp.data[[#This Row],[Dens]]=""),1,0)</f>
        <v>1</v>
      </c>
      <c r="Y1593">
        <f>IF(vp.data[[#This Row],[CrudeType]]="C5+",1,0)</f>
        <v>0</v>
      </c>
      <c r="Z1593">
        <f>IF(AND(vp.data[[#This Row],[CrudeType]]="Crude",vp.data[[#This Row],[Dens]]&lt;=825,vp.data[[#This Row],[Sulf]]&gt;0.5,vp.data[[#This Row],[Unknown]]=0),1,0)</f>
        <v>0</v>
      </c>
      <c r="AA1593">
        <f>IF(AND(vp.data[[#This Row],[CrudeType]]="Crude",vp.data[[#This Row],[Dens]]&lt;=825,vp.data[[#This Row],[Sulf]]&lt;=0.5,vp.data[[#This Row],[Unknown]]=0),1,0)</f>
        <v>0</v>
      </c>
      <c r="AB15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3">
        <f>IF(AND(vp.data[[#This Row],[CrudeType]]="Crude",vp.data[[#This Row],[Dens]]&gt;825,vp.data[[#This Row],[Dens]]&lt;=900,vp.data[[#This Row],[Sulf]]&lt;=0.5,vp.data[[#This Row],[Unknown]]=0),1,0)</f>
        <v>0</v>
      </c>
      <c r="AD1593">
        <f>IF(AND(vp.data[[#This Row],[CrudeType]]="Crude",vp.data[[#This Row],[Dens]]&gt;865,vp.data[[#This Row],[Dens]]&lt;=900,vp.data[[#This Row],[Sulf]]&gt;2,vp.data[[#This Row],[Unknown]]=0),1,0)</f>
        <v>0</v>
      </c>
      <c r="AE1593">
        <f>IF(AND(vp.data[[#This Row],[CrudeType]]="Crude",vp.data[[#This Row],[Dens]]&gt;900,vp.data[[#This Row],[Sulf]]&lt;=0.5,vp.data[[#This Row],[Unknown]]=0),1,0)</f>
        <v>0</v>
      </c>
      <c r="AF1593">
        <f>IF(AND(vp.data[[#This Row],[CrudeType]]="Crude",vp.data[[#This Row],[Dens]]&gt;900,vp.data[[#This Row],[Sulf]]&lt;=0.5,vp.data[[#This Row],[Unknown]]=0),1,0)</f>
        <v>0</v>
      </c>
      <c r="AG1593" t="str">
        <f>INDEX(vp.data[[#Headers],[Unknown]:[Heavy_SW]],MATCH(1,vp.data[[#This Row],[Unknown]:[Heavy_SW]],0))</f>
        <v>Unknown</v>
      </c>
      <c r="AH1593">
        <f>INDEX([3]!crudeBD.lkup[Number],MATCH(vp.data[[#This Row],[Crude_Breakdown]],crudeBD.lkup[Crude Breakdown],0))</f>
        <v>-1</v>
      </c>
      <c r="AI1593">
        <f>MONTH(vp.data[[#This Row],[SDate]])</f>
        <v>6</v>
      </c>
      <c r="AJ1593" s="5">
        <f>(vp.data[[#This Row],[VP]]-INDEX(crudeBD.lkup[Mean_VP],MATCH(vp.data[[#This Row],[Crude_Breakdown]],crudeBD.lkup[Crude Breakdown],0)))^2</f>
        <v>78.236448306435975</v>
      </c>
      <c r="AK1593" s="5" t="e">
        <f>(vp.data[[#This Row],[Dens]]-INDEX(crudeBD.lkup[Mean_Dens],MATCH(vp.data[[#This Row],[Crude_Breakdown]],crudeBD.lkup[Crude Breakdown],0)))^2</f>
        <v>#VALUE!</v>
      </c>
      <c r="AL1593" s="5" t="e">
        <f>(vp.data[[#This Row],[Sulf]]-INDEX(crudeBD.lkup[Mean_Sulf],MATCH(vp.data[[#This Row],[Crude_Breakdown]],crudeBD.lkup[Crude Breakdown],0)))^2</f>
        <v>#VALUE!</v>
      </c>
      <c r="AM1593" s="4">
        <f>IF(AND(vp.data[[#This Row],[SDate]]&gt;=DATE(YEAR(vp.data[[#This Row],[SDate]]),5,1),vp.data[[#This Row],[SDate]]&lt;=DATE(YEAR(vp.data[[#This Row],[SDate]]),9,15)),1,0)</f>
        <v>1</v>
      </c>
      <c r="AN1593" s="4">
        <f>IF(vp.data[[#This Row],[SDate]]&lt;DATE(2016,12,1),0,1)</f>
        <v>1</v>
      </c>
      <c r="AO1593" s="4" t="str">
        <f>IFERROR(vp.data[[#This Row],[Sulf]]*vp.data[[#This Row],[Net Dens]],"")</f>
        <v/>
      </c>
      <c r="AP1593" t="str">
        <f>IFERROR(vp.data[[#This Row],[Dens]]*vp.data[[#This Row],[VolumeM3]],"")</f>
        <v/>
      </c>
      <c r="AQ1593" s="15" t="str">
        <f>IFERROR(vp.data[[#This Row],[VP]]*vp.data[[#This Row],[VolumeM3]],"")</f>
        <v/>
      </c>
    </row>
    <row r="1594" spans="1:43" x14ac:dyDescent="0.25">
      <c r="A1594">
        <v>1593</v>
      </c>
      <c r="B1594" t="s">
        <v>49</v>
      </c>
      <c r="C1594" t="s">
        <v>49</v>
      </c>
      <c r="D1594" t="s">
        <v>80</v>
      </c>
      <c r="F1594" s="1">
        <v>42892</v>
      </c>
      <c r="G1594" s="2">
        <v>78.2</v>
      </c>
      <c r="H1594" s="2"/>
      <c r="I1594" s="2" t="str">
        <f t="array" ref="I159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4" s="2"/>
      <c r="K1594" s="2"/>
      <c r="L1594" s="2"/>
      <c r="M1594" s="2" t="str">
        <f t="array" ref="M159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4" s="2">
        <f ca="1">INDEX(INDIRECT(_xlfn.CONCAT("weather.tbl[",N$1,"]")),MATCH(vp.data[[#This Row],[SDate]],weather.tbl[Date],0))</f>
        <v>14.583333333333334</v>
      </c>
      <c r="O1594" s="2">
        <f ca="1">INDEX(INDIRECT(_xlfn.CONCAT("weather.tbl[",O$1,"]")),MATCH(vp.data[[#This Row],[SDate]],weather.tbl[Date],0))</f>
        <v>18.273809523809526</v>
      </c>
      <c r="P1594" s="2">
        <f ca="1">INDEX(INDIRECT(_xlfn.CONCAT("weather.tbl[",P$1,"]")),MATCH(vp.data[[#This Row],[SDate]],weather.tbl[Date],0))</f>
        <v>14.7</v>
      </c>
      <c r="Q1594" s="2">
        <f ca="1">INDEX(INDIRECT(_xlfn.CONCAT("weather.tbl[",Q$1,"]")),MATCH(vp.data[[#This Row],[SDate]],weather.tbl[Date],0))</f>
        <v>13.1</v>
      </c>
      <c r="R1594" s="2">
        <f ca="1">INDEX(INDIRECT(_xlfn.CONCAT("weather.tbl[",R$1,"]")),MATCH(vp.data[[#This Row],[SDate]],weather.tbl[Date],0))</f>
        <v>14.8</v>
      </c>
      <c r="S1594" s="2">
        <f ca="1">INDEX(INDIRECT(_xlfn.CONCAT("weather.tbl[",S$1,"]")),MATCH(vp.data[[#This Row],[SDate]],weather.tbl[Date],0))</f>
        <v>13.4</v>
      </c>
      <c r="T1594" s="2">
        <f ca="1">INDEX(INDIRECT(_xlfn.CONCAT("weather.tbl[",T$1,"]")),MATCH(vp.data[[#This Row],[SDate]],weather.tbl[Date],0))</f>
        <v>18</v>
      </c>
      <c r="U1594" s="2">
        <f ca="1">INDEX(INDIRECT(_xlfn.CONCAT("weather.tbl[",U$1,"]")),MATCH(vp.data[[#This Row],[SDate]],weather.tbl[Date],0))</f>
        <v>13.5</v>
      </c>
      <c r="V1594" s="2" t="str">
        <f t="array" ref="V15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4" t="s">
        <v>48</v>
      </c>
      <c r="X1594">
        <f>IF(OR(vp.data[[#This Row],[Sulf]]="",vp.data[[#This Row],[Dens]]=""),1,0)</f>
        <v>1</v>
      </c>
      <c r="Y1594">
        <f>IF(vp.data[[#This Row],[CrudeType]]="C5+",1,0)</f>
        <v>0</v>
      </c>
      <c r="Z1594">
        <f>IF(AND(vp.data[[#This Row],[CrudeType]]="Crude",vp.data[[#This Row],[Dens]]&lt;=825,vp.data[[#This Row],[Sulf]]&gt;0.5,vp.data[[#This Row],[Unknown]]=0),1,0)</f>
        <v>0</v>
      </c>
      <c r="AA1594">
        <f>IF(AND(vp.data[[#This Row],[CrudeType]]="Crude",vp.data[[#This Row],[Dens]]&lt;=825,vp.data[[#This Row],[Sulf]]&lt;=0.5,vp.data[[#This Row],[Unknown]]=0),1,0)</f>
        <v>0</v>
      </c>
      <c r="AB15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4">
        <f>IF(AND(vp.data[[#This Row],[CrudeType]]="Crude",vp.data[[#This Row],[Dens]]&gt;825,vp.data[[#This Row],[Dens]]&lt;=900,vp.data[[#This Row],[Sulf]]&lt;=0.5,vp.data[[#This Row],[Unknown]]=0),1,0)</f>
        <v>0</v>
      </c>
      <c r="AD1594">
        <f>IF(AND(vp.data[[#This Row],[CrudeType]]="Crude",vp.data[[#This Row],[Dens]]&gt;865,vp.data[[#This Row],[Dens]]&lt;=900,vp.data[[#This Row],[Sulf]]&gt;2,vp.data[[#This Row],[Unknown]]=0),1,0)</f>
        <v>0</v>
      </c>
      <c r="AE1594">
        <f>IF(AND(vp.data[[#This Row],[CrudeType]]="Crude",vp.data[[#This Row],[Dens]]&gt;900,vp.data[[#This Row],[Sulf]]&lt;=0.5,vp.data[[#This Row],[Unknown]]=0),1,0)</f>
        <v>0</v>
      </c>
      <c r="AF1594">
        <f>IF(AND(vp.data[[#This Row],[CrudeType]]="Crude",vp.data[[#This Row],[Dens]]&gt;900,vp.data[[#This Row],[Sulf]]&lt;=0.5,vp.data[[#This Row],[Unknown]]=0),1,0)</f>
        <v>0</v>
      </c>
      <c r="AG1594" t="str">
        <f>INDEX(vp.data[[#Headers],[Unknown]:[Heavy_SW]],MATCH(1,vp.data[[#This Row],[Unknown]:[Heavy_SW]],0))</f>
        <v>Unknown</v>
      </c>
      <c r="AH1594">
        <f>INDEX([3]!crudeBD.lkup[Number],MATCH(vp.data[[#This Row],[Crude_Breakdown]],crudeBD.lkup[Crude Breakdown],0))</f>
        <v>-1</v>
      </c>
      <c r="AI1594">
        <f>MONTH(vp.data[[#This Row],[SDate]])</f>
        <v>6</v>
      </c>
      <c r="AJ1594" s="5">
        <f>(vp.data[[#This Row],[VP]]-INDEX(crudeBD.lkup[Mean_VP],MATCH(vp.data[[#This Row],[Crude_Breakdown]],crudeBD.lkup[Crude Breakdown],0)))^2</f>
        <v>18.964831868080591</v>
      </c>
      <c r="AK1594" s="5" t="e">
        <f>(vp.data[[#This Row],[Dens]]-INDEX(crudeBD.lkup[Mean_Dens],MATCH(vp.data[[#This Row],[Crude_Breakdown]],crudeBD.lkup[Crude Breakdown],0)))^2</f>
        <v>#VALUE!</v>
      </c>
      <c r="AL1594" s="5" t="e">
        <f>(vp.data[[#This Row],[Sulf]]-INDEX(crudeBD.lkup[Mean_Sulf],MATCH(vp.data[[#This Row],[Crude_Breakdown]],crudeBD.lkup[Crude Breakdown],0)))^2</f>
        <v>#VALUE!</v>
      </c>
      <c r="AM1594" s="4">
        <f>IF(AND(vp.data[[#This Row],[SDate]]&gt;=DATE(YEAR(vp.data[[#This Row],[SDate]]),5,1),vp.data[[#This Row],[SDate]]&lt;=DATE(YEAR(vp.data[[#This Row],[SDate]]),9,15)),1,0)</f>
        <v>1</v>
      </c>
      <c r="AN1594" s="4">
        <f>IF(vp.data[[#This Row],[SDate]]&lt;DATE(2016,12,1),0,1)</f>
        <v>1</v>
      </c>
      <c r="AO1594" s="4" t="str">
        <f>IFERROR(vp.data[[#This Row],[Sulf]]*vp.data[[#This Row],[Net Dens]],"")</f>
        <v/>
      </c>
      <c r="AP1594" t="str">
        <f>IFERROR(vp.data[[#This Row],[Dens]]*vp.data[[#This Row],[VolumeM3]],"")</f>
        <v/>
      </c>
      <c r="AQ1594" s="15" t="str">
        <f>IFERROR(vp.data[[#This Row],[VP]]*vp.data[[#This Row],[VolumeM3]],"")</f>
        <v/>
      </c>
    </row>
    <row r="1595" spans="1:43" x14ac:dyDescent="0.25">
      <c r="A1595">
        <v>1594</v>
      </c>
      <c r="B1595" t="s">
        <v>49</v>
      </c>
      <c r="C1595" t="s">
        <v>49</v>
      </c>
      <c r="D1595" t="s">
        <v>100</v>
      </c>
      <c r="F1595" s="1">
        <v>42892</v>
      </c>
      <c r="G1595" s="2">
        <v>79.400000000000006</v>
      </c>
      <c r="H1595" s="2"/>
      <c r="I1595" s="2" t="str">
        <f t="array" ref="I159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5" s="2"/>
      <c r="K1595" s="2"/>
      <c r="L1595" s="2"/>
      <c r="M1595" s="2" t="str">
        <f t="array" ref="M159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5" s="2">
        <f ca="1">INDEX(INDIRECT(_xlfn.CONCAT("weather.tbl[",N$1,"]")),MATCH(vp.data[[#This Row],[SDate]],weather.tbl[Date],0))</f>
        <v>14.583333333333334</v>
      </c>
      <c r="O1595" s="2">
        <f ca="1">INDEX(INDIRECT(_xlfn.CONCAT("weather.tbl[",O$1,"]")),MATCH(vp.data[[#This Row],[SDate]],weather.tbl[Date],0))</f>
        <v>18.273809523809526</v>
      </c>
      <c r="P1595" s="2">
        <f ca="1">INDEX(INDIRECT(_xlfn.CONCAT("weather.tbl[",P$1,"]")),MATCH(vp.data[[#This Row],[SDate]],weather.tbl[Date],0))</f>
        <v>14.7</v>
      </c>
      <c r="Q1595" s="2">
        <f ca="1">INDEX(INDIRECT(_xlfn.CONCAT("weather.tbl[",Q$1,"]")),MATCH(vp.data[[#This Row],[SDate]],weather.tbl[Date],0))</f>
        <v>13.1</v>
      </c>
      <c r="R1595" s="2">
        <f ca="1">INDEX(INDIRECT(_xlfn.CONCAT("weather.tbl[",R$1,"]")),MATCH(vp.data[[#This Row],[SDate]],weather.tbl[Date],0))</f>
        <v>14.8</v>
      </c>
      <c r="S1595" s="2">
        <f ca="1">INDEX(INDIRECT(_xlfn.CONCAT("weather.tbl[",S$1,"]")),MATCH(vp.data[[#This Row],[SDate]],weather.tbl[Date],0))</f>
        <v>13.4</v>
      </c>
      <c r="T1595" s="2">
        <f ca="1">INDEX(INDIRECT(_xlfn.CONCAT("weather.tbl[",T$1,"]")),MATCH(vp.data[[#This Row],[SDate]],weather.tbl[Date],0))</f>
        <v>18</v>
      </c>
      <c r="U1595" s="2">
        <f ca="1">INDEX(INDIRECT(_xlfn.CONCAT("weather.tbl[",U$1,"]")),MATCH(vp.data[[#This Row],[SDate]],weather.tbl[Date],0))</f>
        <v>13.5</v>
      </c>
      <c r="V1595" s="2" t="str">
        <f t="array" ref="V15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5" t="s">
        <v>48</v>
      </c>
      <c r="X1595">
        <f>IF(OR(vp.data[[#This Row],[Sulf]]="",vp.data[[#This Row],[Dens]]=""),1,0)</f>
        <v>1</v>
      </c>
      <c r="Y1595">
        <f>IF(vp.data[[#This Row],[CrudeType]]="C5+",1,0)</f>
        <v>0</v>
      </c>
      <c r="Z1595">
        <f>IF(AND(vp.data[[#This Row],[CrudeType]]="Crude",vp.data[[#This Row],[Dens]]&lt;=825,vp.data[[#This Row],[Sulf]]&gt;0.5,vp.data[[#This Row],[Unknown]]=0),1,0)</f>
        <v>0</v>
      </c>
      <c r="AA1595">
        <f>IF(AND(vp.data[[#This Row],[CrudeType]]="Crude",vp.data[[#This Row],[Dens]]&lt;=825,vp.data[[#This Row],[Sulf]]&lt;=0.5,vp.data[[#This Row],[Unknown]]=0),1,0)</f>
        <v>0</v>
      </c>
      <c r="AB15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5">
        <f>IF(AND(vp.data[[#This Row],[CrudeType]]="Crude",vp.data[[#This Row],[Dens]]&gt;825,vp.data[[#This Row],[Dens]]&lt;=900,vp.data[[#This Row],[Sulf]]&lt;=0.5,vp.data[[#This Row],[Unknown]]=0),1,0)</f>
        <v>0</v>
      </c>
      <c r="AD1595">
        <f>IF(AND(vp.data[[#This Row],[CrudeType]]="Crude",vp.data[[#This Row],[Dens]]&gt;865,vp.data[[#This Row],[Dens]]&lt;=900,vp.data[[#This Row],[Sulf]]&gt;2,vp.data[[#This Row],[Unknown]]=0),1,0)</f>
        <v>0</v>
      </c>
      <c r="AE1595">
        <f>IF(AND(vp.data[[#This Row],[CrudeType]]="Crude",vp.data[[#This Row],[Dens]]&gt;900,vp.data[[#This Row],[Sulf]]&lt;=0.5,vp.data[[#This Row],[Unknown]]=0),1,0)</f>
        <v>0</v>
      </c>
      <c r="AF1595">
        <f>IF(AND(vp.data[[#This Row],[CrudeType]]="Crude",vp.data[[#This Row],[Dens]]&gt;900,vp.data[[#This Row],[Sulf]]&lt;=0.5,vp.data[[#This Row],[Unknown]]=0),1,0)</f>
        <v>0</v>
      </c>
      <c r="AG1595" t="str">
        <f>INDEX(vp.data[[#Headers],[Unknown]:[Heavy_SW]],MATCH(1,vp.data[[#This Row],[Unknown]:[Heavy_SW]],0))</f>
        <v>Unknown</v>
      </c>
      <c r="AH1595">
        <f>INDEX([3]!crudeBD.lkup[Number],MATCH(vp.data[[#This Row],[Crude_Breakdown]],crudeBD.lkup[Crude Breakdown],0))</f>
        <v>-1</v>
      </c>
      <c r="AI1595">
        <f>MONTH(vp.data[[#This Row],[SDate]])</f>
        <v>6</v>
      </c>
      <c r="AJ1595" s="5">
        <f>(vp.data[[#This Row],[VP]]-INDEX(crudeBD.lkup[Mean_VP],MATCH(vp.data[[#This Row],[Crude_Breakdown]],crudeBD.lkup[Crude Breakdown],0)))^2</f>
        <v>30.856503100957411</v>
      </c>
      <c r="AK1595" s="5" t="e">
        <f>(vp.data[[#This Row],[Dens]]-INDEX(crudeBD.lkup[Mean_Dens],MATCH(vp.data[[#This Row],[Crude_Breakdown]],crudeBD.lkup[Crude Breakdown],0)))^2</f>
        <v>#VALUE!</v>
      </c>
      <c r="AL1595" s="5" t="e">
        <f>(vp.data[[#This Row],[Sulf]]-INDEX(crudeBD.lkup[Mean_Sulf],MATCH(vp.data[[#This Row],[Crude_Breakdown]],crudeBD.lkup[Crude Breakdown],0)))^2</f>
        <v>#VALUE!</v>
      </c>
      <c r="AM1595" s="4">
        <f>IF(AND(vp.data[[#This Row],[SDate]]&gt;=DATE(YEAR(vp.data[[#This Row],[SDate]]),5,1),vp.data[[#This Row],[SDate]]&lt;=DATE(YEAR(vp.data[[#This Row],[SDate]]),9,15)),1,0)</f>
        <v>1</v>
      </c>
      <c r="AN1595" s="4">
        <f>IF(vp.data[[#This Row],[SDate]]&lt;DATE(2016,12,1),0,1)</f>
        <v>1</v>
      </c>
      <c r="AO1595" s="4" t="str">
        <f>IFERROR(vp.data[[#This Row],[Sulf]]*vp.data[[#This Row],[Net Dens]],"")</f>
        <v/>
      </c>
      <c r="AP1595" t="str">
        <f>IFERROR(vp.data[[#This Row],[Dens]]*vp.data[[#This Row],[VolumeM3]],"")</f>
        <v/>
      </c>
      <c r="AQ1595" s="15" t="str">
        <f>IFERROR(vp.data[[#This Row],[VP]]*vp.data[[#This Row],[VolumeM3]],"")</f>
        <v/>
      </c>
    </row>
    <row r="1596" spans="1:43" x14ac:dyDescent="0.25">
      <c r="A1596">
        <v>1595</v>
      </c>
      <c r="B1596" t="s">
        <v>49</v>
      </c>
      <c r="C1596" t="s">
        <v>49</v>
      </c>
      <c r="D1596" t="s">
        <v>67</v>
      </c>
      <c r="F1596" s="1">
        <v>42892</v>
      </c>
      <c r="G1596" s="2">
        <v>82.8</v>
      </c>
      <c r="H1596" s="2"/>
      <c r="I1596" s="2" t="str">
        <f t="array" ref="I159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6" s="2"/>
      <c r="K1596" s="2"/>
      <c r="L1596" s="2"/>
      <c r="M1596" s="2" t="str">
        <f t="array" ref="M159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6" s="2">
        <f ca="1">INDEX(INDIRECT(_xlfn.CONCAT("weather.tbl[",N$1,"]")),MATCH(vp.data[[#This Row],[SDate]],weather.tbl[Date],0))</f>
        <v>14.583333333333334</v>
      </c>
      <c r="O1596" s="2">
        <f ca="1">INDEX(INDIRECT(_xlfn.CONCAT("weather.tbl[",O$1,"]")),MATCH(vp.data[[#This Row],[SDate]],weather.tbl[Date],0))</f>
        <v>18.273809523809526</v>
      </c>
      <c r="P1596" s="2">
        <f ca="1">INDEX(INDIRECT(_xlfn.CONCAT("weather.tbl[",P$1,"]")),MATCH(vp.data[[#This Row],[SDate]],weather.tbl[Date],0))</f>
        <v>14.7</v>
      </c>
      <c r="Q1596" s="2">
        <f ca="1">INDEX(INDIRECT(_xlfn.CONCAT("weather.tbl[",Q$1,"]")),MATCH(vp.data[[#This Row],[SDate]],weather.tbl[Date],0))</f>
        <v>13.1</v>
      </c>
      <c r="R1596" s="2">
        <f ca="1">INDEX(INDIRECT(_xlfn.CONCAT("weather.tbl[",R$1,"]")),MATCH(vp.data[[#This Row],[SDate]],weather.tbl[Date],0))</f>
        <v>14.8</v>
      </c>
      <c r="S1596" s="2">
        <f ca="1">INDEX(INDIRECT(_xlfn.CONCAT("weather.tbl[",S$1,"]")),MATCH(vp.data[[#This Row],[SDate]],weather.tbl[Date],0))</f>
        <v>13.4</v>
      </c>
      <c r="T1596" s="2">
        <f ca="1">INDEX(INDIRECT(_xlfn.CONCAT("weather.tbl[",T$1,"]")),MATCH(vp.data[[#This Row],[SDate]],weather.tbl[Date],0))</f>
        <v>18</v>
      </c>
      <c r="U1596" s="2">
        <f ca="1">INDEX(INDIRECT(_xlfn.CONCAT("weather.tbl[",U$1,"]")),MATCH(vp.data[[#This Row],[SDate]],weather.tbl[Date],0))</f>
        <v>13.5</v>
      </c>
      <c r="V1596" s="2" t="str">
        <f t="array" ref="V15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6" t="s">
        <v>48</v>
      </c>
      <c r="X1596">
        <f>IF(OR(vp.data[[#This Row],[Sulf]]="",vp.data[[#This Row],[Dens]]=""),1,0)</f>
        <v>1</v>
      </c>
      <c r="Y1596">
        <f>IF(vp.data[[#This Row],[CrudeType]]="C5+",1,0)</f>
        <v>0</v>
      </c>
      <c r="Z1596">
        <f>IF(AND(vp.data[[#This Row],[CrudeType]]="Crude",vp.data[[#This Row],[Dens]]&lt;=825,vp.data[[#This Row],[Sulf]]&gt;0.5,vp.data[[#This Row],[Unknown]]=0),1,0)</f>
        <v>0</v>
      </c>
      <c r="AA1596">
        <f>IF(AND(vp.data[[#This Row],[CrudeType]]="Crude",vp.data[[#This Row],[Dens]]&lt;=825,vp.data[[#This Row],[Sulf]]&lt;=0.5,vp.data[[#This Row],[Unknown]]=0),1,0)</f>
        <v>0</v>
      </c>
      <c r="AB15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6">
        <f>IF(AND(vp.data[[#This Row],[CrudeType]]="Crude",vp.data[[#This Row],[Dens]]&gt;825,vp.data[[#This Row],[Dens]]&lt;=900,vp.data[[#This Row],[Sulf]]&lt;=0.5,vp.data[[#This Row],[Unknown]]=0),1,0)</f>
        <v>0</v>
      </c>
      <c r="AD1596">
        <f>IF(AND(vp.data[[#This Row],[CrudeType]]="Crude",vp.data[[#This Row],[Dens]]&gt;865,vp.data[[#This Row],[Dens]]&lt;=900,vp.data[[#This Row],[Sulf]]&gt;2,vp.data[[#This Row],[Unknown]]=0),1,0)</f>
        <v>0</v>
      </c>
      <c r="AE1596">
        <f>IF(AND(vp.data[[#This Row],[CrudeType]]="Crude",vp.data[[#This Row],[Dens]]&gt;900,vp.data[[#This Row],[Sulf]]&lt;=0.5,vp.data[[#This Row],[Unknown]]=0),1,0)</f>
        <v>0</v>
      </c>
      <c r="AF1596">
        <f>IF(AND(vp.data[[#This Row],[CrudeType]]="Crude",vp.data[[#This Row],[Dens]]&gt;900,vp.data[[#This Row],[Sulf]]&lt;=0.5,vp.data[[#This Row],[Unknown]]=0),1,0)</f>
        <v>0</v>
      </c>
      <c r="AG1596" t="str">
        <f>INDEX(vp.data[[#Headers],[Unknown]:[Heavy_SW]],MATCH(1,vp.data[[#This Row],[Unknown]:[Heavy_SW]],0))</f>
        <v>Unknown</v>
      </c>
      <c r="AH1596">
        <f>INDEX([3]!crudeBD.lkup[Number],MATCH(vp.data[[#This Row],[Crude_Breakdown]],crudeBD.lkup[Crude Breakdown],0))</f>
        <v>-1</v>
      </c>
      <c r="AI1596">
        <f>MONTH(vp.data[[#This Row],[SDate]])</f>
        <v>6</v>
      </c>
      <c r="AJ1596" s="5">
        <f>(vp.data[[#This Row],[VP]]-INDEX(crudeBD.lkup[Mean_VP],MATCH(vp.data[[#This Row],[Crude_Breakdown]],crudeBD.lkup[Crude Breakdown],0)))^2</f>
        <v>80.189571594108173</v>
      </c>
      <c r="AK1596" s="5" t="e">
        <f>(vp.data[[#This Row],[Dens]]-INDEX(crudeBD.lkup[Mean_Dens],MATCH(vp.data[[#This Row],[Crude_Breakdown]],crudeBD.lkup[Crude Breakdown],0)))^2</f>
        <v>#VALUE!</v>
      </c>
      <c r="AL1596" s="5" t="e">
        <f>(vp.data[[#This Row],[Sulf]]-INDEX(crudeBD.lkup[Mean_Sulf],MATCH(vp.data[[#This Row],[Crude_Breakdown]],crudeBD.lkup[Crude Breakdown],0)))^2</f>
        <v>#VALUE!</v>
      </c>
      <c r="AM1596" s="4">
        <f>IF(AND(vp.data[[#This Row],[SDate]]&gt;=DATE(YEAR(vp.data[[#This Row],[SDate]]),5,1),vp.data[[#This Row],[SDate]]&lt;=DATE(YEAR(vp.data[[#This Row],[SDate]]),9,15)),1,0)</f>
        <v>1</v>
      </c>
      <c r="AN1596" s="4">
        <f>IF(vp.data[[#This Row],[SDate]]&lt;DATE(2016,12,1),0,1)</f>
        <v>1</v>
      </c>
      <c r="AO1596" s="4" t="str">
        <f>IFERROR(vp.data[[#This Row],[Sulf]]*vp.data[[#This Row],[Net Dens]],"")</f>
        <v/>
      </c>
      <c r="AP1596" t="str">
        <f>IFERROR(vp.data[[#This Row],[Dens]]*vp.data[[#This Row],[VolumeM3]],"")</f>
        <v/>
      </c>
      <c r="AQ1596" s="15" t="str">
        <f>IFERROR(vp.data[[#This Row],[VP]]*vp.data[[#This Row],[VolumeM3]],"")</f>
        <v/>
      </c>
    </row>
    <row r="1597" spans="1:43" x14ac:dyDescent="0.25">
      <c r="A1597">
        <v>1596</v>
      </c>
      <c r="B1597" t="s">
        <v>60</v>
      </c>
      <c r="C1597" t="s">
        <v>60</v>
      </c>
      <c r="D1597" t="s">
        <v>61</v>
      </c>
      <c r="E1597" t="s">
        <v>289</v>
      </c>
      <c r="F1597" s="1">
        <v>42892</v>
      </c>
      <c r="G1597" s="2">
        <v>92.1</v>
      </c>
      <c r="H1597" s="2"/>
      <c r="I1597" s="2" t="str">
        <f t="array" ref="I159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7" s="2"/>
      <c r="K1597" s="2"/>
      <c r="L1597" s="2"/>
      <c r="M1597" s="2" t="str">
        <f t="array" ref="M159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7" s="2">
        <f ca="1">INDEX(INDIRECT(_xlfn.CONCAT("weather.tbl[",N$1,"]")),MATCH(vp.data[[#This Row],[SDate]],weather.tbl[Date],0))</f>
        <v>14.583333333333334</v>
      </c>
      <c r="O1597" s="2">
        <f ca="1">INDEX(INDIRECT(_xlfn.CONCAT("weather.tbl[",O$1,"]")),MATCH(vp.data[[#This Row],[SDate]],weather.tbl[Date],0))</f>
        <v>18.273809523809526</v>
      </c>
      <c r="P1597" s="2">
        <f ca="1">INDEX(INDIRECT(_xlfn.CONCAT("weather.tbl[",P$1,"]")),MATCH(vp.data[[#This Row],[SDate]],weather.tbl[Date],0))</f>
        <v>14.7</v>
      </c>
      <c r="Q1597" s="2">
        <f ca="1">INDEX(INDIRECT(_xlfn.CONCAT("weather.tbl[",Q$1,"]")),MATCH(vp.data[[#This Row],[SDate]],weather.tbl[Date],0))</f>
        <v>13.1</v>
      </c>
      <c r="R1597" s="2">
        <f ca="1">INDEX(INDIRECT(_xlfn.CONCAT("weather.tbl[",R$1,"]")),MATCH(vp.data[[#This Row],[SDate]],weather.tbl[Date],0))</f>
        <v>14.8</v>
      </c>
      <c r="S1597" s="2">
        <f ca="1">INDEX(INDIRECT(_xlfn.CONCAT("weather.tbl[",S$1,"]")),MATCH(vp.data[[#This Row],[SDate]],weather.tbl[Date],0))</f>
        <v>13.4</v>
      </c>
      <c r="T1597" s="2">
        <f ca="1">INDEX(INDIRECT(_xlfn.CONCAT("weather.tbl[",T$1,"]")),MATCH(vp.data[[#This Row],[SDate]],weather.tbl[Date],0))</f>
        <v>18</v>
      </c>
      <c r="U1597" s="2">
        <f ca="1">INDEX(INDIRECT(_xlfn.CONCAT("weather.tbl[",U$1,"]")),MATCH(vp.data[[#This Row],[SDate]],weather.tbl[Date],0))</f>
        <v>13.5</v>
      </c>
      <c r="V1597" s="2" t="str">
        <f t="array" ref="V15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7" t="s">
        <v>48</v>
      </c>
      <c r="X1597">
        <f>IF(OR(vp.data[[#This Row],[Sulf]]="",vp.data[[#This Row],[Dens]]=""),1,0)</f>
        <v>1</v>
      </c>
      <c r="Y1597">
        <f>IF(vp.data[[#This Row],[CrudeType]]="C5+",1,0)</f>
        <v>0</v>
      </c>
      <c r="Z1597">
        <f>IF(AND(vp.data[[#This Row],[CrudeType]]="Crude",vp.data[[#This Row],[Dens]]&lt;=825,vp.data[[#This Row],[Sulf]]&gt;0.5,vp.data[[#This Row],[Unknown]]=0),1,0)</f>
        <v>0</v>
      </c>
      <c r="AA1597">
        <f>IF(AND(vp.data[[#This Row],[CrudeType]]="Crude",vp.data[[#This Row],[Dens]]&lt;=825,vp.data[[#This Row],[Sulf]]&lt;=0.5,vp.data[[#This Row],[Unknown]]=0),1,0)</f>
        <v>0</v>
      </c>
      <c r="AB15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7">
        <f>IF(AND(vp.data[[#This Row],[CrudeType]]="Crude",vp.data[[#This Row],[Dens]]&gt;825,vp.data[[#This Row],[Dens]]&lt;=900,vp.data[[#This Row],[Sulf]]&lt;=0.5,vp.data[[#This Row],[Unknown]]=0),1,0)</f>
        <v>0</v>
      </c>
      <c r="AD1597">
        <f>IF(AND(vp.data[[#This Row],[CrudeType]]="Crude",vp.data[[#This Row],[Dens]]&gt;865,vp.data[[#This Row],[Dens]]&lt;=900,vp.data[[#This Row],[Sulf]]&gt;2,vp.data[[#This Row],[Unknown]]=0),1,0)</f>
        <v>0</v>
      </c>
      <c r="AE1597">
        <f>IF(AND(vp.data[[#This Row],[CrudeType]]="Crude",vp.data[[#This Row],[Dens]]&gt;900,vp.data[[#This Row],[Sulf]]&lt;=0.5,vp.data[[#This Row],[Unknown]]=0),1,0)</f>
        <v>0</v>
      </c>
      <c r="AF1597">
        <f>IF(AND(vp.data[[#This Row],[CrudeType]]="Crude",vp.data[[#This Row],[Dens]]&gt;900,vp.data[[#This Row],[Sulf]]&lt;=0.5,vp.data[[#This Row],[Unknown]]=0),1,0)</f>
        <v>0</v>
      </c>
      <c r="AG1597" t="str">
        <f>INDEX(vp.data[[#Headers],[Unknown]:[Heavy_SW]],MATCH(1,vp.data[[#This Row],[Unknown]:[Heavy_SW]],0))</f>
        <v>Unknown</v>
      </c>
      <c r="AH1597">
        <f>INDEX([3]!crudeBD.lkup[Number],MATCH(vp.data[[#This Row],[Crude_Breakdown]],crudeBD.lkup[Crude Breakdown],0))</f>
        <v>-1</v>
      </c>
      <c r="AI1597">
        <f>MONTH(vp.data[[#This Row],[SDate]])</f>
        <v>6</v>
      </c>
      <c r="AJ1597" s="5">
        <f>(vp.data[[#This Row],[VP]]-INDEX(crudeBD.lkup[Mean_VP],MATCH(vp.data[[#This Row],[Crude_Breakdown]],crudeBD.lkup[Crude Breakdown],0)))^2</f>
        <v>333.24002364890305</v>
      </c>
      <c r="AK1597" s="5" t="e">
        <f>(vp.data[[#This Row],[Dens]]-INDEX(crudeBD.lkup[Mean_Dens],MATCH(vp.data[[#This Row],[Crude_Breakdown]],crudeBD.lkup[Crude Breakdown],0)))^2</f>
        <v>#VALUE!</v>
      </c>
      <c r="AL1597" s="5" t="e">
        <f>(vp.data[[#This Row],[Sulf]]-INDEX(crudeBD.lkup[Mean_Sulf],MATCH(vp.data[[#This Row],[Crude_Breakdown]],crudeBD.lkup[Crude Breakdown],0)))^2</f>
        <v>#VALUE!</v>
      </c>
      <c r="AM1597" s="4">
        <f>IF(AND(vp.data[[#This Row],[SDate]]&gt;=DATE(YEAR(vp.data[[#This Row],[SDate]]),5,1),vp.data[[#This Row],[SDate]]&lt;=DATE(YEAR(vp.data[[#This Row],[SDate]]),9,15)),1,0)</f>
        <v>1</v>
      </c>
      <c r="AN1597" s="4">
        <f>IF(vp.data[[#This Row],[SDate]]&lt;DATE(2016,12,1),0,1)</f>
        <v>1</v>
      </c>
      <c r="AO1597" s="4" t="str">
        <f>IFERROR(vp.data[[#This Row],[Sulf]]*vp.data[[#This Row],[Net Dens]],"")</f>
        <v/>
      </c>
      <c r="AP1597" t="str">
        <f>IFERROR(vp.data[[#This Row],[Dens]]*vp.data[[#This Row],[VolumeM3]],"")</f>
        <v/>
      </c>
      <c r="AQ1597" s="15" t="str">
        <f>IFERROR(vp.data[[#This Row],[VP]]*vp.data[[#This Row],[VolumeM3]],"")</f>
        <v/>
      </c>
    </row>
    <row r="1598" spans="1:43" x14ac:dyDescent="0.25">
      <c r="A1598">
        <v>1597</v>
      </c>
      <c r="B1598" t="s">
        <v>60</v>
      </c>
      <c r="C1598" t="s">
        <v>60</v>
      </c>
      <c r="D1598" t="s">
        <v>61</v>
      </c>
      <c r="E1598" t="s">
        <v>290</v>
      </c>
      <c r="F1598" s="1">
        <v>42892</v>
      </c>
      <c r="G1598" s="2">
        <v>69</v>
      </c>
      <c r="H1598" s="2"/>
      <c r="I1598" s="2" t="str">
        <f t="array" ref="I159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8" s="2"/>
      <c r="K1598" s="2"/>
      <c r="L1598" s="2"/>
      <c r="M1598" s="2" t="str">
        <f t="array" ref="M159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8" s="2">
        <f ca="1">INDEX(INDIRECT(_xlfn.CONCAT("weather.tbl[",N$1,"]")),MATCH(vp.data[[#This Row],[SDate]],weather.tbl[Date],0))</f>
        <v>14.583333333333334</v>
      </c>
      <c r="O1598" s="2">
        <f ca="1">INDEX(INDIRECT(_xlfn.CONCAT("weather.tbl[",O$1,"]")),MATCH(vp.data[[#This Row],[SDate]],weather.tbl[Date],0))</f>
        <v>18.273809523809526</v>
      </c>
      <c r="P1598" s="2">
        <f ca="1">INDEX(INDIRECT(_xlfn.CONCAT("weather.tbl[",P$1,"]")),MATCH(vp.data[[#This Row],[SDate]],weather.tbl[Date],0))</f>
        <v>14.7</v>
      </c>
      <c r="Q1598" s="2">
        <f ca="1">INDEX(INDIRECT(_xlfn.CONCAT("weather.tbl[",Q$1,"]")),MATCH(vp.data[[#This Row],[SDate]],weather.tbl[Date],0))</f>
        <v>13.1</v>
      </c>
      <c r="R1598" s="2">
        <f ca="1">INDEX(INDIRECT(_xlfn.CONCAT("weather.tbl[",R$1,"]")),MATCH(vp.data[[#This Row],[SDate]],weather.tbl[Date],0))</f>
        <v>14.8</v>
      </c>
      <c r="S1598" s="2">
        <f ca="1">INDEX(INDIRECT(_xlfn.CONCAT("weather.tbl[",S$1,"]")),MATCH(vp.data[[#This Row],[SDate]],weather.tbl[Date],0))</f>
        <v>13.4</v>
      </c>
      <c r="T1598" s="2">
        <f ca="1">INDEX(INDIRECT(_xlfn.CONCAT("weather.tbl[",T$1,"]")),MATCH(vp.data[[#This Row],[SDate]],weather.tbl[Date],0))</f>
        <v>18</v>
      </c>
      <c r="U1598" s="2">
        <f ca="1">INDEX(INDIRECT(_xlfn.CONCAT("weather.tbl[",U$1,"]")),MATCH(vp.data[[#This Row],[SDate]],weather.tbl[Date],0))</f>
        <v>13.5</v>
      </c>
      <c r="V1598" s="2" t="str">
        <f t="array" ref="V15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8" t="s">
        <v>48</v>
      </c>
      <c r="X1598">
        <f>IF(OR(vp.data[[#This Row],[Sulf]]="",vp.data[[#This Row],[Dens]]=""),1,0)</f>
        <v>1</v>
      </c>
      <c r="Y1598">
        <f>IF(vp.data[[#This Row],[CrudeType]]="C5+",1,0)</f>
        <v>0</v>
      </c>
      <c r="Z1598">
        <f>IF(AND(vp.data[[#This Row],[CrudeType]]="Crude",vp.data[[#This Row],[Dens]]&lt;=825,vp.data[[#This Row],[Sulf]]&gt;0.5,vp.data[[#This Row],[Unknown]]=0),1,0)</f>
        <v>0</v>
      </c>
      <c r="AA1598">
        <f>IF(AND(vp.data[[#This Row],[CrudeType]]="Crude",vp.data[[#This Row],[Dens]]&lt;=825,vp.data[[#This Row],[Sulf]]&lt;=0.5,vp.data[[#This Row],[Unknown]]=0),1,0)</f>
        <v>0</v>
      </c>
      <c r="AB15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8">
        <f>IF(AND(vp.data[[#This Row],[CrudeType]]="Crude",vp.data[[#This Row],[Dens]]&gt;825,vp.data[[#This Row],[Dens]]&lt;=900,vp.data[[#This Row],[Sulf]]&lt;=0.5,vp.data[[#This Row],[Unknown]]=0),1,0)</f>
        <v>0</v>
      </c>
      <c r="AD1598">
        <f>IF(AND(vp.data[[#This Row],[CrudeType]]="Crude",vp.data[[#This Row],[Dens]]&gt;865,vp.data[[#This Row],[Dens]]&lt;=900,vp.data[[#This Row],[Sulf]]&gt;2,vp.data[[#This Row],[Unknown]]=0),1,0)</f>
        <v>0</v>
      </c>
      <c r="AE1598">
        <f>IF(AND(vp.data[[#This Row],[CrudeType]]="Crude",vp.data[[#This Row],[Dens]]&gt;900,vp.data[[#This Row],[Sulf]]&lt;=0.5,vp.data[[#This Row],[Unknown]]=0),1,0)</f>
        <v>0</v>
      </c>
      <c r="AF1598">
        <f>IF(AND(vp.data[[#This Row],[CrudeType]]="Crude",vp.data[[#This Row],[Dens]]&gt;900,vp.data[[#This Row],[Sulf]]&lt;=0.5,vp.data[[#This Row],[Unknown]]=0),1,0)</f>
        <v>0</v>
      </c>
      <c r="AG1598" t="str">
        <f>INDEX(vp.data[[#Headers],[Unknown]:[Heavy_SW]],MATCH(1,vp.data[[#This Row],[Unknown]:[Heavy_SW]],0))</f>
        <v>Unknown</v>
      </c>
      <c r="AH1598">
        <f>INDEX([3]!crudeBD.lkup[Number],MATCH(vp.data[[#This Row],[Crude_Breakdown]],crudeBD.lkup[Crude Breakdown],0))</f>
        <v>-1</v>
      </c>
      <c r="AI1598">
        <f>MONTH(vp.data[[#This Row],[SDate]])</f>
        <v>6</v>
      </c>
      <c r="AJ1598" s="5">
        <f>(vp.data[[#This Row],[VP]]-INDEX(crudeBD.lkup[Mean_VP],MATCH(vp.data[[#This Row],[Crude_Breakdown]],crudeBD.lkup[Crude Breakdown],0)))^2</f>
        <v>23.475352416025242</v>
      </c>
      <c r="AK1598" s="5" t="e">
        <f>(vp.data[[#This Row],[Dens]]-INDEX(crudeBD.lkup[Mean_Dens],MATCH(vp.data[[#This Row],[Crude_Breakdown]],crudeBD.lkup[Crude Breakdown],0)))^2</f>
        <v>#VALUE!</v>
      </c>
      <c r="AL1598" s="5" t="e">
        <f>(vp.data[[#This Row],[Sulf]]-INDEX(crudeBD.lkup[Mean_Sulf],MATCH(vp.data[[#This Row],[Crude_Breakdown]],crudeBD.lkup[Crude Breakdown],0)))^2</f>
        <v>#VALUE!</v>
      </c>
      <c r="AM1598" s="4">
        <f>IF(AND(vp.data[[#This Row],[SDate]]&gt;=DATE(YEAR(vp.data[[#This Row],[SDate]]),5,1),vp.data[[#This Row],[SDate]]&lt;=DATE(YEAR(vp.data[[#This Row],[SDate]]),9,15)),1,0)</f>
        <v>1</v>
      </c>
      <c r="AN1598" s="4">
        <f>IF(vp.data[[#This Row],[SDate]]&lt;DATE(2016,12,1),0,1)</f>
        <v>1</v>
      </c>
      <c r="AO1598" s="4" t="str">
        <f>IFERROR(vp.data[[#This Row],[Sulf]]*vp.data[[#This Row],[Net Dens]],"")</f>
        <v/>
      </c>
      <c r="AP1598" t="str">
        <f>IFERROR(vp.data[[#This Row],[Dens]]*vp.data[[#This Row],[VolumeM3]],"")</f>
        <v/>
      </c>
      <c r="AQ1598" s="15" t="str">
        <f>IFERROR(vp.data[[#This Row],[VP]]*vp.data[[#This Row],[VolumeM3]],"")</f>
        <v/>
      </c>
    </row>
    <row r="1599" spans="1:43" x14ac:dyDescent="0.25">
      <c r="A1599">
        <v>1598</v>
      </c>
      <c r="B1599" t="s">
        <v>62</v>
      </c>
      <c r="C1599" t="s">
        <v>62</v>
      </c>
      <c r="D1599" t="s">
        <v>63</v>
      </c>
      <c r="F1599" s="1">
        <v>42892</v>
      </c>
      <c r="G1599" s="2">
        <v>73</v>
      </c>
      <c r="H1599" s="2"/>
      <c r="I1599" s="2" t="str">
        <f t="array" ref="I159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599" s="2"/>
      <c r="K1599" s="2"/>
      <c r="L1599" s="2"/>
      <c r="M1599" s="2" t="str">
        <f t="array" ref="M159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599" s="2">
        <f ca="1">INDEX(INDIRECT(_xlfn.CONCAT("weather.tbl[",N$1,"]")),MATCH(vp.data[[#This Row],[SDate]],weather.tbl[Date],0))</f>
        <v>14.583333333333334</v>
      </c>
      <c r="O1599" s="2">
        <f ca="1">INDEX(INDIRECT(_xlfn.CONCAT("weather.tbl[",O$1,"]")),MATCH(vp.data[[#This Row],[SDate]],weather.tbl[Date],0))</f>
        <v>18.273809523809526</v>
      </c>
      <c r="P1599" s="2">
        <f ca="1">INDEX(INDIRECT(_xlfn.CONCAT("weather.tbl[",P$1,"]")),MATCH(vp.data[[#This Row],[SDate]],weather.tbl[Date],0))</f>
        <v>14.7</v>
      </c>
      <c r="Q1599" s="2">
        <f ca="1">INDEX(INDIRECT(_xlfn.CONCAT("weather.tbl[",Q$1,"]")),MATCH(vp.data[[#This Row],[SDate]],weather.tbl[Date],0))</f>
        <v>13.1</v>
      </c>
      <c r="R1599" s="2">
        <f ca="1">INDEX(INDIRECT(_xlfn.CONCAT("weather.tbl[",R$1,"]")),MATCH(vp.data[[#This Row],[SDate]],weather.tbl[Date],0))</f>
        <v>14.8</v>
      </c>
      <c r="S1599" s="2">
        <f ca="1">INDEX(INDIRECT(_xlfn.CONCAT("weather.tbl[",S$1,"]")),MATCH(vp.data[[#This Row],[SDate]],weather.tbl[Date],0))</f>
        <v>13.4</v>
      </c>
      <c r="T1599" s="2">
        <f ca="1">INDEX(INDIRECT(_xlfn.CONCAT("weather.tbl[",T$1,"]")),MATCH(vp.data[[#This Row],[SDate]],weather.tbl[Date],0))</f>
        <v>18</v>
      </c>
      <c r="U1599" s="2">
        <f ca="1">INDEX(INDIRECT(_xlfn.CONCAT("weather.tbl[",U$1,"]")),MATCH(vp.data[[#This Row],[SDate]],weather.tbl[Date],0))</f>
        <v>13.5</v>
      </c>
      <c r="V1599" s="2" t="str">
        <f t="array" ref="V15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599" t="s">
        <v>48</v>
      </c>
      <c r="X1599">
        <f>IF(OR(vp.data[[#This Row],[Sulf]]="",vp.data[[#This Row],[Dens]]=""),1,0)</f>
        <v>1</v>
      </c>
      <c r="Y1599">
        <f>IF(vp.data[[#This Row],[CrudeType]]="C5+",1,0)</f>
        <v>0</v>
      </c>
      <c r="Z1599">
        <f>IF(AND(vp.data[[#This Row],[CrudeType]]="Crude",vp.data[[#This Row],[Dens]]&lt;=825,vp.data[[#This Row],[Sulf]]&gt;0.5,vp.data[[#This Row],[Unknown]]=0),1,0)</f>
        <v>0</v>
      </c>
      <c r="AA1599">
        <f>IF(AND(vp.data[[#This Row],[CrudeType]]="Crude",vp.data[[#This Row],[Dens]]&lt;=825,vp.data[[#This Row],[Sulf]]&lt;=0.5,vp.data[[#This Row],[Unknown]]=0),1,0)</f>
        <v>0</v>
      </c>
      <c r="AB15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599">
        <f>IF(AND(vp.data[[#This Row],[CrudeType]]="Crude",vp.data[[#This Row],[Dens]]&gt;825,vp.data[[#This Row],[Dens]]&lt;=900,vp.data[[#This Row],[Sulf]]&lt;=0.5,vp.data[[#This Row],[Unknown]]=0),1,0)</f>
        <v>0</v>
      </c>
      <c r="AD1599">
        <f>IF(AND(vp.data[[#This Row],[CrudeType]]="Crude",vp.data[[#This Row],[Dens]]&gt;865,vp.data[[#This Row],[Dens]]&lt;=900,vp.data[[#This Row],[Sulf]]&gt;2,vp.data[[#This Row],[Unknown]]=0),1,0)</f>
        <v>0</v>
      </c>
      <c r="AE1599">
        <f>IF(AND(vp.data[[#This Row],[CrudeType]]="Crude",vp.data[[#This Row],[Dens]]&gt;900,vp.data[[#This Row],[Sulf]]&lt;=0.5,vp.data[[#This Row],[Unknown]]=0),1,0)</f>
        <v>0</v>
      </c>
      <c r="AF1599">
        <f>IF(AND(vp.data[[#This Row],[CrudeType]]="Crude",vp.data[[#This Row],[Dens]]&gt;900,vp.data[[#This Row],[Sulf]]&lt;=0.5,vp.data[[#This Row],[Unknown]]=0),1,0)</f>
        <v>0</v>
      </c>
      <c r="AG1599" t="str">
        <f>INDEX(vp.data[[#Headers],[Unknown]:[Heavy_SW]],MATCH(1,vp.data[[#This Row],[Unknown]:[Heavy_SW]],0))</f>
        <v>Unknown</v>
      </c>
      <c r="AH1599">
        <f>INDEX([3]!crudeBD.lkup[Number],MATCH(vp.data[[#This Row],[Crude_Breakdown]],crudeBD.lkup[Crude Breakdown],0))</f>
        <v>-1</v>
      </c>
      <c r="AI1599">
        <f>MONTH(vp.data[[#This Row],[SDate]])</f>
        <v>6</v>
      </c>
      <c r="AJ1599" s="5">
        <f>(vp.data[[#This Row],[VP]]-INDEX(crudeBD.lkup[Mean_VP],MATCH(vp.data[[#This Row],[Crude_Breakdown]],crudeBD.lkup[Crude Breakdown],0)))^2</f>
        <v>0.71425652561451325</v>
      </c>
      <c r="AK1599" s="5" t="e">
        <f>(vp.data[[#This Row],[Dens]]-INDEX(crudeBD.lkup[Mean_Dens],MATCH(vp.data[[#This Row],[Crude_Breakdown]],crudeBD.lkup[Crude Breakdown],0)))^2</f>
        <v>#VALUE!</v>
      </c>
      <c r="AL1599" s="5" t="e">
        <f>(vp.data[[#This Row],[Sulf]]-INDEX(crudeBD.lkup[Mean_Sulf],MATCH(vp.data[[#This Row],[Crude_Breakdown]],crudeBD.lkup[Crude Breakdown],0)))^2</f>
        <v>#VALUE!</v>
      </c>
      <c r="AM1599" s="4">
        <f>IF(AND(vp.data[[#This Row],[SDate]]&gt;=DATE(YEAR(vp.data[[#This Row],[SDate]]),5,1),vp.data[[#This Row],[SDate]]&lt;=DATE(YEAR(vp.data[[#This Row],[SDate]]),9,15)),1,0)</f>
        <v>1</v>
      </c>
      <c r="AN1599" s="4">
        <f>IF(vp.data[[#This Row],[SDate]]&lt;DATE(2016,12,1),0,1)</f>
        <v>1</v>
      </c>
      <c r="AO1599" s="4" t="str">
        <f>IFERROR(vp.data[[#This Row],[Sulf]]*vp.data[[#This Row],[Net Dens]],"")</f>
        <v/>
      </c>
      <c r="AP1599" t="str">
        <f>IFERROR(vp.data[[#This Row],[Dens]]*vp.data[[#This Row],[VolumeM3]],"")</f>
        <v/>
      </c>
      <c r="AQ1599" s="15" t="str">
        <f>IFERROR(vp.data[[#This Row],[VP]]*vp.data[[#This Row],[VolumeM3]],"")</f>
        <v/>
      </c>
    </row>
    <row r="1600" spans="1:43" x14ac:dyDescent="0.25">
      <c r="A1600">
        <v>1599</v>
      </c>
      <c r="B1600" t="s">
        <v>51</v>
      </c>
      <c r="C1600" t="s">
        <v>51</v>
      </c>
      <c r="D1600" t="s">
        <v>95</v>
      </c>
      <c r="F1600" s="1">
        <v>42892</v>
      </c>
      <c r="G1600" s="2">
        <v>69.3</v>
      </c>
      <c r="H1600" s="2"/>
      <c r="I1600" s="2" t="str">
        <f t="array" ref="I160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0" s="2"/>
      <c r="K1600" s="2"/>
      <c r="L1600" s="2"/>
      <c r="M1600" s="2" t="str">
        <f t="array" ref="M160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0" s="2">
        <f ca="1">INDEX(INDIRECT(_xlfn.CONCAT("weather.tbl[",N$1,"]")),MATCH(vp.data[[#This Row],[SDate]],weather.tbl[Date],0))</f>
        <v>14.583333333333334</v>
      </c>
      <c r="O1600" s="2">
        <f ca="1">INDEX(INDIRECT(_xlfn.CONCAT("weather.tbl[",O$1,"]")),MATCH(vp.data[[#This Row],[SDate]],weather.tbl[Date],0))</f>
        <v>18.273809523809526</v>
      </c>
      <c r="P1600" s="2">
        <f ca="1">INDEX(INDIRECT(_xlfn.CONCAT("weather.tbl[",P$1,"]")),MATCH(vp.data[[#This Row],[SDate]],weather.tbl[Date],0))</f>
        <v>14.7</v>
      </c>
      <c r="Q1600" s="2">
        <f ca="1">INDEX(INDIRECT(_xlfn.CONCAT("weather.tbl[",Q$1,"]")),MATCH(vp.data[[#This Row],[SDate]],weather.tbl[Date],0))</f>
        <v>13.1</v>
      </c>
      <c r="R1600" s="2">
        <f ca="1">INDEX(INDIRECT(_xlfn.CONCAT("weather.tbl[",R$1,"]")),MATCH(vp.data[[#This Row],[SDate]],weather.tbl[Date],0))</f>
        <v>14.8</v>
      </c>
      <c r="S1600" s="2">
        <f ca="1">INDEX(INDIRECT(_xlfn.CONCAT("weather.tbl[",S$1,"]")),MATCH(vp.data[[#This Row],[SDate]],weather.tbl[Date],0))</f>
        <v>13.4</v>
      </c>
      <c r="T1600" s="2">
        <f ca="1">INDEX(INDIRECT(_xlfn.CONCAT("weather.tbl[",T$1,"]")),MATCH(vp.data[[#This Row],[SDate]],weather.tbl[Date],0))</f>
        <v>18</v>
      </c>
      <c r="U1600" s="2">
        <f ca="1">INDEX(INDIRECT(_xlfn.CONCAT("weather.tbl[",U$1,"]")),MATCH(vp.data[[#This Row],[SDate]],weather.tbl[Date],0))</f>
        <v>13.5</v>
      </c>
      <c r="V1600" s="2" t="str">
        <f t="array" ref="V16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0" t="s">
        <v>48</v>
      </c>
      <c r="X1600">
        <f>IF(OR(vp.data[[#This Row],[Sulf]]="",vp.data[[#This Row],[Dens]]=""),1,0)</f>
        <v>1</v>
      </c>
      <c r="Y1600">
        <f>IF(vp.data[[#This Row],[CrudeType]]="C5+",1,0)</f>
        <v>0</v>
      </c>
      <c r="Z1600">
        <f>IF(AND(vp.data[[#This Row],[CrudeType]]="Crude",vp.data[[#This Row],[Dens]]&lt;=825,vp.data[[#This Row],[Sulf]]&gt;0.5,vp.data[[#This Row],[Unknown]]=0),1,0)</f>
        <v>0</v>
      </c>
      <c r="AA1600">
        <f>IF(AND(vp.data[[#This Row],[CrudeType]]="Crude",vp.data[[#This Row],[Dens]]&lt;=825,vp.data[[#This Row],[Sulf]]&lt;=0.5,vp.data[[#This Row],[Unknown]]=0),1,0)</f>
        <v>0</v>
      </c>
      <c r="AB16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0">
        <f>IF(AND(vp.data[[#This Row],[CrudeType]]="Crude",vp.data[[#This Row],[Dens]]&gt;825,vp.data[[#This Row],[Dens]]&lt;=900,vp.data[[#This Row],[Sulf]]&lt;=0.5,vp.data[[#This Row],[Unknown]]=0),1,0)</f>
        <v>0</v>
      </c>
      <c r="AD1600">
        <f>IF(AND(vp.data[[#This Row],[CrudeType]]="Crude",vp.data[[#This Row],[Dens]]&gt;865,vp.data[[#This Row],[Dens]]&lt;=900,vp.data[[#This Row],[Sulf]]&gt;2,vp.data[[#This Row],[Unknown]]=0),1,0)</f>
        <v>0</v>
      </c>
      <c r="AE1600">
        <f>IF(AND(vp.data[[#This Row],[CrudeType]]="Crude",vp.data[[#This Row],[Dens]]&gt;900,vp.data[[#This Row],[Sulf]]&lt;=0.5,vp.data[[#This Row],[Unknown]]=0),1,0)</f>
        <v>0</v>
      </c>
      <c r="AF1600">
        <f>IF(AND(vp.data[[#This Row],[CrudeType]]="Crude",vp.data[[#This Row],[Dens]]&gt;900,vp.data[[#This Row],[Sulf]]&lt;=0.5,vp.data[[#This Row],[Unknown]]=0),1,0)</f>
        <v>0</v>
      </c>
      <c r="AG1600" t="str">
        <f>INDEX(vp.data[[#Headers],[Unknown]:[Heavy_SW]],MATCH(1,vp.data[[#This Row],[Unknown]:[Heavy_SW]],0))</f>
        <v>Unknown</v>
      </c>
      <c r="AH1600">
        <f>INDEX([3]!crudeBD.lkup[Number],MATCH(vp.data[[#This Row],[Crude_Breakdown]],crudeBD.lkup[Crude Breakdown],0))</f>
        <v>-1</v>
      </c>
      <c r="AI1600">
        <f>MONTH(vp.data[[#This Row],[SDate]])</f>
        <v>6</v>
      </c>
      <c r="AJ1600" s="5">
        <f>(vp.data[[#This Row],[VP]]-INDEX(crudeBD.lkup[Mean_VP],MATCH(vp.data[[#This Row],[Crude_Breakdown]],crudeBD.lkup[Crude Breakdown],0)))^2</f>
        <v>20.658270224244465</v>
      </c>
      <c r="AK1600" s="5" t="e">
        <f>(vp.data[[#This Row],[Dens]]-INDEX(crudeBD.lkup[Mean_Dens],MATCH(vp.data[[#This Row],[Crude_Breakdown]],crudeBD.lkup[Crude Breakdown],0)))^2</f>
        <v>#VALUE!</v>
      </c>
      <c r="AL1600" s="5" t="e">
        <f>(vp.data[[#This Row],[Sulf]]-INDEX(crudeBD.lkup[Mean_Sulf],MATCH(vp.data[[#This Row],[Crude_Breakdown]],crudeBD.lkup[Crude Breakdown],0)))^2</f>
        <v>#VALUE!</v>
      </c>
      <c r="AM1600" s="4">
        <f>IF(AND(vp.data[[#This Row],[SDate]]&gt;=DATE(YEAR(vp.data[[#This Row],[SDate]]),5,1),vp.data[[#This Row],[SDate]]&lt;=DATE(YEAR(vp.data[[#This Row],[SDate]]),9,15)),1,0)</f>
        <v>1</v>
      </c>
      <c r="AN1600" s="4">
        <f>IF(vp.data[[#This Row],[SDate]]&lt;DATE(2016,12,1),0,1)</f>
        <v>1</v>
      </c>
      <c r="AO1600" s="4" t="str">
        <f>IFERROR(vp.data[[#This Row],[Sulf]]*vp.data[[#This Row],[Net Dens]],"")</f>
        <v/>
      </c>
      <c r="AP1600" t="str">
        <f>IFERROR(vp.data[[#This Row],[Dens]]*vp.data[[#This Row],[VolumeM3]],"")</f>
        <v/>
      </c>
      <c r="AQ1600" s="15" t="str">
        <f>IFERROR(vp.data[[#This Row],[VP]]*vp.data[[#This Row],[VolumeM3]],"")</f>
        <v/>
      </c>
    </row>
    <row r="1601" spans="1:43" x14ac:dyDescent="0.25">
      <c r="A1601">
        <v>1600</v>
      </c>
      <c r="B1601" t="s">
        <v>68</v>
      </c>
      <c r="C1601" t="s">
        <v>68</v>
      </c>
      <c r="D1601" t="s">
        <v>110</v>
      </c>
      <c r="F1601" s="1">
        <v>42892</v>
      </c>
      <c r="G1601" s="2">
        <v>70.099999999999994</v>
      </c>
      <c r="H1601" s="2"/>
      <c r="I1601" s="2" t="str">
        <f t="array" ref="I160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1" s="2"/>
      <c r="K1601" s="2"/>
      <c r="L1601" s="2"/>
      <c r="M1601" s="2" t="str">
        <f t="array" ref="M160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1" s="2">
        <f ca="1">INDEX(INDIRECT(_xlfn.CONCAT("weather.tbl[",N$1,"]")),MATCH(vp.data[[#This Row],[SDate]],weather.tbl[Date],0))</f>
        <v>14.583333333333334</v>
      </c>
      <c r="O1601" s="2">
        <f ca="1">INDEX(INDIRECT(_xlfn.CONCAT("weather.tbl[",O$1,"]")),MATCH(vp.data[[#This Row],[SDate]],weather.tbl[Date],0))</f>
        <v>18.273809523809526</v>
      </c>
      <c r="P1601" s="2">
        <f ca="1">INDEX(INDIRECT(_xlfn.CONCAT("weather.tbl[",P$1,"]")),MATCH(vp.data[[#This Row],[SDate]],weather.tbl[Date],0))</f>
        <v>14.7</v>
      </c>
      <c r="Q1601" s="2">
        <f ca="1">INDEX(INDIRECT(_xlfn.CONCAT("weather.tbl[",Q$1,"]")),MATCH(vp.data[[#This Row],[SDate]],weather.tbl[Date],0))</f>
        <v>13.1</v>
      </c>
      <c r="R1601" s="2">
        <f ca="1">INDEX(INDIRECT(_xlfn.CONCAT("weather.tbl[",R$1,"]")),MATCH(vp.data[[#This Row],[SDate]],weather.tbl[Date],0))</f>
        <v>14.8</v>
      </c>
      <c r="S1601" s="2">
        <f ca="1">INDEX(INDIRECT(_xlfn.CONCAT("weather.tbl[",S$1,"]")),MATCH(vp.data[[#This Row],[SDate]],weather.tbl[Date],0))</f>
        <v>13.4</v>
      </c>
      <c r="T1601" s="2">
        <f ca="1">INDEX(INDIRECT(_xlfn.CONCAT("weather.tbl[",T$1,"]")),MATCH(vp.data[[#This Row],[SDate]],weather.tbl[Date],0))</f>
        <v>18</v>
      </c>
      <c r="U1601" s="2">
        <f ca="1">INDEX(INDIRECT(_xlfn.CONCAT("weather.tbl[",U$1,"]")),MATCH(vp.data[[#This Row],[SDate]],weather.tbl[Date],0))</f>
        <v>13.5</v>
      </c>
      <c r="V1601" s="2" t="str">
        <f t="array" ref="V16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1" t="s">
        <v>48</v>
      </c>
      <c r="X1601">
        <f>IF(OR(vp.data[[#This Row],[Sulf]]="",vp.data[[#This Row],[Dens]]=""),1,0)</f>
        <v>1</v>
      </c>
      <c r="Y1601">
        <f>IF(vp.data[[#This Row],[CrudeType]]="C5+",1,0)</f>
        <v>0</v>
      </c>
      <c r="Z1601">
        <f>IF(AND(vp.data[[#This Row],[CrudeType]]="Crude",vp.data[[#This Row],[Dens]]&lt;=825,vp.data[[#This Row],[Sulf]]&gt;0.5,vp.data[[#This Row],[Unknown]]=0),1,0)</f>
        <v>0</v>
      </c>
      <c r="AA1601">
        <f>IF(AND(vp.data[[#This Row],[CrudeType]]="Crude",vp.data[[#This Row],[Dens]]&lt;=825,vp.data[[#This Row],[Sulf]]&lt;=0.5,vp.data[[#This Row],[Unknown]]=0),1,0)</f>
        <v>0</v>
      </c>
      <c r="AB16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1">
        <f>IF(AND(vp.data[[#This Row],[CrudeType]]="Crude",vp.data[[#This Row],[Dens]]&gt;825,vp.data[[#This Row],[Dens]]&lt;=900,vp.data[[#This Row],[Sulf]]&lt;=0.5,vp.data[[#This Row],[Unknown]]=0),1,0)</f>
        <v>0</v>
      </c>
      <c r="AD1601">
        <f>IF(AND(vp.data[[#This Row],[CrudeType]]="Crude",vp.data[[#This Row],[Dens]]&gt;865,vp.data[[#This Row],[Dens]]&lt;=900,vp.data[[#This Row],[Sulf]]&gt;2,vp.data[[#This Row],[Unknown]]=0),1,0)</f>
        <v>0</v>
      </c>
      <c r="AE1601">
        <f>IF(AND(vp.data[[#This Row],[CrudeType]]="Crude",vp.data[[#This Row],[Dens]]&gt;900,vp.data[[#This Row],[Sulf]]&lt;=0.5,vp.data[[#This Row],[Unknown]]=0),1,0)</f>
        <v>0</v>
      </c>
      <c r="AF1601">
        <f>IF(AND(vp.data[[#This Row],[CrudeType]]="Crude",vp.data[[#This Row],[Dens]]&gt;900,vp.data[[#This Row],[Sulf]]&lt;=0.5,vp.data[[#This Row],[Unknown]]=0),1,0)</f>
        <v>0</v>
      </c>
      <c r="AG1601" t="str">
        <f>INDEX(vp.data[[#Headers],[Unknown]:[Heavy_SW]],MATCH(1,vp.data[[#This Row],[Unknown]:[Heavy_SW]],0))</f>
        <v>Unknown</v>
      </c>
      <c r="AH1601">
        <f>INDEX([3]!crudeBD.lkup[Number],MATCH(vp.data[[#This Row],[Crude_Breakdown]],crudeBD.lkup[Crude Breakdown],0))</f>
        <v>-1</v>
      </c>
      <c r="AI1601">
        <f>MONTH(vp.data[[#This Row],[SDate]])</f>
        <v>6</v>
      </c>
      <c r="AJ1601" s="5">
        <f>(vp.data[[#This Row],[VP]]-INDEX(crudeBD.lkup[Mean_VP],MATCH(vp.data[[#This Row],[Crude_Breakdown]],crudeBD.lkup[Crude Breakdown],0)))^2</f>
        <v>14.026051046162335</v>
      </c>
      <c r="AK1601" s="5" t="e">
        <f>(vp.data[[#This Row],[Dens]]-INDEX(crudeBD.lkup[Mean_Dens],MATCH(vp.data[[#This Row],[Crude_Breakdown]],crudeBD.lkup[Crude Breakdown],0)))^2</f>
        <v>#VALUE!</v>
      </c>
      <c r="AL1601" s="5" t="e">
        <f>(vp.data[[#This Row],[Sulf]]-INDEX(crudeBD.lkup[Mean_Sulf],MATCH(vp.data[[#This Row],[Crude_Breakdown]],crudeBD.lkup[Crude Breakdown],0)))^2</f>
        <v>#VALUE!</v>
      </c>
      <c r="AM1601" s="4">
        <f>IF(AND(vp.data[[#This Row],[SDate]]&gt;=DATE(YEAR(vp.data[[#This Row],[SDate]]),5,1),vp.data[[#This Row],[SDate]]&lt;=DATE(YEAR(vp.data[[#This Row],[SDate]]),9,15)),1,0)</f>
        <v>1</v>
      </c>
      <c r="AN1601" s="4">
        <f>IF(vp.data[[#This Row],[SDate]]&lt;DATE(2016,12,1),0,1)</f>
        <v>1</v>
      </c>
      <c r="AO1601" s="4" t="str">
        <f>IFERROR(vp.data[[#This Row],[Sulf]]*vp.data[[#This Row],[Net Dens]],"")</f>
        <v/>
      </c>
      <c r="AP1601" t="str">
        <f>IFERROR(vp.data[[#This Row],[Dens]]*vp.data[[#This Row],[VolumeM3]],"")</f>
        <v/>
      </c>
      <c r="AQ1601" s="15" t="str">
        <f>IFERROR(vp.data[[#This Row],[VP]]*vp.data[[#This Row],[VolumeM3]],"")</f>
        <v/>
      </c>
    </row>
    <row r="1602" spans="1:43" x14ac:dyDescent="0.25">
      <c r="A1602">
        <v>1601</v>
      </c>
      <c r="B1602" t="s">
        <v>49</v>
      </c>
      <c r="C1602" t="s">
        <v>49</v>
      </c>
      <c r="D1602" t="s">
        <v>89</v>
      </c>
      <c r="F1602" s="1">
        <v>42892</v>
      </c>
      <c r="G1602" s="2">
        <v>86.7</v>
      </c>
      <c r="H1602" s="2"/>
      <c r="I1602" s="2" t="str">
        <f t="array" ref="I160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2" s="2"/>
      <c r="K1602" s="2"/>
      <c r="L1602" s="2"/>
      <c r="M1602" s="2" t="str">
        <f t="array" ref="M160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2" s="2">
        <f ca="1">INDEX(INDIRECT(_xlfn.CONCAT("weather.tbl[",N$1,"]")),MATCH(vp.data[[#This Row],[SDate]],weather.tbl[Date],0))</f>
        <v>14.583333333333334</v>
      </c>
      <c r="O1602" s="2">
        <f ca="1">INDEX(INDIRECT(_xlfn.CONCAT("weather.tbl[",O$1,"]")),MATCH(vp.data[[#This Row],[SDate]],weather.tbl[Date],0))</f>
        <v>18.273809523809526</v>
      </c>
      <c r="P1602" s="2">
        <f ca="1">INDEX(INDIRECT(_xlfn.CONCAT("weather.tbl[",P$1,"]")),MATCH(vp.data[[#This Row],[SDate]],weather.tbl[Date],0))</f>
        <v>14.7</v>
      </c>
      <c r="Q1602" s="2">
        <f ca="1">INDEX(INDIRECT(_xlfn.CONCAT("weather.tbl[",Q$1,"]")),MATCH(vp.data[[#This Row],[SDate]],weather.tbl[Date],0))</f>
        <v>13.1</v>
      </c>
      <c r="R1602" s="2">
        <f ca="1">INDEX(INDIRECT(_xlfn.CONCAT("weather.tbl[",R$1,"]")),MATCH(vp.data[[#This Row],[SDate]],weather.tbl[Date],0))</f>
        <v>14.8</v>
      </c>
      <c r="S1602" s="2">
        <f ca="1">INDEX(INDIRECT(_xlfn.CONCAT("weather.tbl[",S$1,"]")),MATCH(vp.data[[#This Row],[SDate]],weather.tbl[Date],0))</f>
        <v>13.4</v>
      </c>
      <c r="T1602" s="2">
        <f ca="1">INDEX(INDIRECT(_xlfn.CONCAT("weather.tbl[",T$1,"]")),MATCH(vp.data[[#This Row],[SDate]],weather.tbl[Date],0))</f>
        <v>18</v>
      </c>
      <c r="U1602" s="2">
        <f ca="1">INDEX(INDIRECT(_xlfn.CONCAT("weather.tbl[",U$1,"]")),MATCH(vp.data[[#This Row],[SDate]],weather.tbl[Date],0))</f>
        <v>13.5</v>
      </c>
      <c r="V1602" s="2" t="str">
        <f t="array" ref="V16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2" t="s">
        <v>48</v>
      </c>
      <c r="X1602">
        <f>IF(OR(vp.data[[#This Row],[Sulf]]="",vp.data[[#This Row],[Dens]]=""),1,0)</f>
        <v>1</v>
      </c>
      <c r="Y1602">
        <f>IF(vp.data[[#This Row],[CrudeType]]="C5+",1,0)</f>
        <v>0</v>
      </c>
      <c r="Z1602">
        <f>IF(AND(vp.data[[#This Row],[CrudeType]]="Crude",vp.data[[#This Row],[Dens]]&lt;=825,vp.data[[#This Row],[Sulf]]&gt;0.5,vp.data[[#This Row],[Unknown]]=0),1,0)</f>
        <v>0</v>
      </c>
      <c r="AA1602">
        <f>IF(AND(vp.data[[#This Row],[CrudeType]]="Crude",vp.data[[#This Row],[Dens]]&lt;=825,vp.data[[#This Row],[Sulf]]&lt;=0.5,vp.data[[#This Row],[Unknown]]=0),1,0)</f>
        <v>0</v>
      </c>
      <c r="AB16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2">
        <f>IF(AND(vp.data[[#This Row],[CrudeType]]="Crude",vp.data[[#This Row],[Dens]]&gt;825,vp.data[[#This Row],[Dens]]&lt;=900,vp.data[[#This Row],[Sulf]]&lt;=0.5,vp.data[[#This Row],[Unknown]]=0),1,0)</f>
        <v>0</v>
      </c>
      <c r="AD1602">
        <f>IF(AND(vp.data[[#This Row],[CrudeType]]="Crude",vp.data[[#This Row],[Dens]]&gt;865,vp.data[[#This Row],[Dens]]&lt;=900,vp.data[[#This Row],[Sulf]]&gt;2,vp.data[[#This Row],[Unknown]]=0),1,0)</f>
        <v>0</v>
      </c>
      <c r="AE1602">
        <f>IF(AND(vp.data[[#This Row],[CrudeType]]="Crude",vp.data[[#This Row],[Dens]]&gt;900,vp.data[[#This Row],[Sulf]]&lt;=0.5,vp.data[[#This Row],[Unknown]]=0),1,0)</f>
        <v>0</v>
      </c>
      <c r="AF1602">
        <f>IF(AND(vp.data[[#This Row],[CrudeType]]="Crude",vp.data[[#This Row],[Dens]]&gt;900,vp.data[[#This Row],[Sulf]]&lt;=0.5,vp.data[[#This Row],[Unknown]]=0),1,0)</f>
        <v>0</v>
      </c>
      <c r="AG1602" t="str">
        <f>INDEX(vp.data[[#Headers],[Unknown]:[Heavy_SW]],MATCH(1,vp.data[[#This Row],[Unknown]:[Heavy_SW]],0))</f>
        <v>Unknown</v>
      </c>
      <c r="AH1602">
        <f>INDEX([3]!crudeBD.lkup[Number],MATCH(vp.data[[#This Row],[Crude_Breakdown]],crudeBD.lkup[Crude Breakdown],0))</f>
        <v>-1</v>
      </c>
      <c r="AI1602">
        <f>MONTH(vp.data[[#This Row],[SDate]])</f>
        <v>6</v>
      </c>
      <c r="AJ1602" s="5">
        <f>(vp.data[[#This Row],[VP]]-INDEX(crudeBD.lkup[Mean_VP],MATCH(vp.data[[#This Row],[Crude_Breakdown]],crudeBD.lkup[Crude Breakdown],0)))^2</f>
        <v>165.24750310095783</v>
      </c>
      <c r="AK1602" s="5" t="e">
        <f>(vp.data[[#This Row],[Dens]]-INDEX(crudeBD.lkup[Mean_Dens],MATCH(vp.data[[#This Row],[Crude_Breakdown]],crudeBD.lkup[Crude Breakdown],0)))^2</f>
        <v>#VALUE!</v>
      </c>
      <c r="AL1602" s="5" t="e">
        <f>(vp.data[[#This Row],[Sulf]]-INDEX(crudeBD.lkup[Mean_Sulf],MATCH(vp.data[[#This Row],[Crude_Breakdown]],crudeBD.lkup[Crude Breakdown],0)))^2</f>
        <v>#VALUE!</v>
      </c>
      <c r="AM1602" s="4">
        <f>IF(AND(vp.data[[#This Row],[SDate]]&gt;=DATE(YEAR(vp.data[[#This Row],[SDate]]),5,1),vp.data[[#This Row],[SDate]]&lt;=DATE(YEAR(vp.data[[#This Row],[SDate]]),9,15)),1,0)</f>
        <v>1</v>
      </c>
      <c r="AN1602" s="4">
        <f>IF(vp.data[[#This Row],[SDate]]&lt;DATE(2016,12,1),0,1)</f>
        <v>1</v>
      </c>
      <c r="AO1602" s="4" t="str">
        <f>IFERROR(vp.data[[#This Row],[Sulf]]*vp.data[[#This Row],[Net Dens]],"")</f>
        <v/>
      </c>
      <c r="AP1602" t="str">
        <f>IFERROR(vp.data[[#This Row],[Dens]]*vp.data[[#This Row],[VolumeM3]],"")</f>
        <v/>
      </c>
      <c r="AQ1602" s="15" t="str">
        <f>IFERROR(vp.data[[#This Row],[VP]]*vp.data[[#This Row],[VolumeM3]],"")</f>
        <v/>
      </c>
    </row>
    <row r="1603" spans="1:43" x14ac:dyDescent="0.25">
      <c r="A1603">
        <v>1602</v>
      </c>
      <c r="B1603" t="s">
        <v>51</v>
      </c>
      <c r="C1603" t="s">
        <v>51</v>
      </c>
      <c r="D1603" t="s">
        <v>72</v>
      </c>
      <c r="F1603" s="1">
        <v>42893</v>
      </c>
      <c r="G1603" s="2">
        <v>95.6</v>
      </c>
      <c r="H1603" s="2"/>
      <c r="I1603" s="2" t="str">
        <f t="array" ref="I160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3" s="2"/>
      <c r="K1603" s="2"/>
      <c r="L1603" s="2"/>
      <c r="M1603" s="2" t="str">
        <f t="array" ref="M160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3" s="2">
        <f ca="1">INDEX(INDIRECT(_xlfn.CONCAT("weather.tbl[",N$1,"]")),MATCH(vp.data[[#This Row],[SDate]],weather.tbl[Date],0))</f>
        <v>16.900000000000002</v>
      </c>
      <c r="O1603" s="2">
        <f ca="1">INDEX(INDIRECT(_xlfn.CONCAT("weather.tbl[",O$1,"]")),MATCH(vp.data[[#This Row],[SDate]],weather.tbl[Date],0))</f>
        <v>18.745238095238097</v>
      </c>
      <c r="P1603" s="2">
        <f ca="1">INDEX(INDIRECT(_xlfn.CONCAT("weather.tbl[",P$1,"]")),MATCH(vp.data[[#This Row],[SDate]],weather.tbl[Date],0))</f>
        <v>17.100000000000001</v>
      </c>
      <c r="Q1603" s="2">
        <f ca="1">INDEX(INDIRECT(_xlfn.CONCAT("weather.tbl[",Q$1,"]")),MATCH(vp.data[[#This Row],[SDate]],weather.tbl[Date],0))</f>
        <v>15.6</v>
      </c>
      <c r="R1603" s="2">
        <f ca="1">INDEX(INDIRECT(_xlfn.CONCAT("weather.tbl[",R$1,"]")),MATCH(vp.data[[#This Row],[SDate]],weather.tbl[Date],0))</f>
        <v>18</v>
      </c>
      <c r="S1603" s="2">
        <f ca="1">INDEX(INDIRECT(_xlfn.CONCAT("weather.tbl[",S$1,"]")),MATCH(vp.data[[#This Row],[SDate]],weather.tbl[Date],0))</f>
        <v>15.7</v>
      </c>
      <c r="T1603" s="2">
        <f ca="1">INDEX(INDIRECT(_xlfn.CONCAT("weather.tbl[",T$1,"]")),MATCH(vp.data[[#This Row],[SDate]],weather.tbl[Date],0))</f>
        <v>18</v>
      </c>
      <c r="U1603" s="2">
        <f ca="1">INDEX(INDIRECT(_xlfn.CONCAT("weather.tbl[",U$1,"]")),MATCH(vp.data[[#This Row],[SDate]],weather.tbl[Date],0))</f>
        <v>17</v>
      </c>
      <c r="V1603" s="2" t="str">
        <f t="array" ref="V16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3" t="s">
        <v>48</v>
      </c>
      <c r="X1603">
        <f>IF(OR(vp.data[[#This Row],[Sulf]]="",vp.data[[#This Row],[Dens]]=""),1,0)</f>
        <v>1</v>
      </c>
      <c r="Y1603">
        <f>IF(vp.data[[#This Row],[CrudeType]]="C5+",1,0)</f>
        <v>0</v>
      </c>
      <c r="Z1603">
        <f>IF(AND(vp.data[[#This Row],[CrudeType]]="Crude",vp.data[[#This Row],[Dens]]&lt;=825,vp.data[[#This Row],[Sulf]]&gt;0.5,vp.data[[#This Row],[Unknown]]=0),1,0)</f>
        <v>0</v>
      </c>
      <c r="AA1603">
        <f>IF(AND(vp.data[[#This Row],[CrudeType]]="Crude",vp.data[[#This Row],[Dens]]&lt;=825,vp.data[[#This Row],[Sulf]]&lt;=0.5,vp.data[[#This Row],[Unknown]]=0),1,0)</f>
        <v>0</v>
      </c>
      <c r="AB16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3">
        <f>IF(AND(vp.data[[#This Row],[CrudeType]]="Crude",vp.data[[#This Row],[Dens]]&gt;825,vp.data[[#This Row],[Dens]]&lt;=900,vp.data[[#This Row],[Sulf]]&lt;=0.5,vp.data[[#This Row],[Unknown]]=0),1,0)</f>
        <v>0</v>
      </c>
      <c r="AD1603">
        <f>IF(AND(vp.data[[#This Row],[CrudeType]]="Crude",vp.data[[#This Row],[Dens]]&gt;865,vp.data[[#This Row],[Dens]]&lt;=900,vp.data[[#This Row],[Sulf]]&gt;2,vp.data[[#This Row],[Unknown]]=0),1,0)</f>
        <v>0</v>
      </c>
      <c r="AE1603">
        <f>IF(AND(vp.data[[#This Row],[CrudeType]]="Crude",vp.data[[#This Row],[Dens]]&gt;900,vp.data[[#This Row],[Sulf]]&lt;=0.5,vp.data[[#This Row],[Unknown]]=0),1,0)</f>
        <v>0</v>
      </c>
      <c r="AF1603">
        <f>IF(AND(vp.data[[#This Row],[CrudeType]]="Crude",vp.data[[#This Row],[Dens]]&gt;900,vp.data[[#This Row],[Sulf]]&lt;=0.5,vp.data[[#This Row],[Unknown]]=0),1,0)</f>
        <v>0</v>
      </c>
      <c r="AG1603" t="str">
        <f>INDEX(vp.data[[#Headers],[Unknown]:[Heavy_SW]],MATCH(1,vp.data[[#This Row],[Unknown]:[Heavy_SW]],0))</f>
        <v>Unknown</v>
      </c>
      <c r="AH1603">
        <f>INDEX([3]!crudeBD.lkup[Number],MATCH(vp.data[[#This Row],[Crude_Breakdown]],crudeBD.lkup[Crude Breakdown],0))</f>
        <v>-1</v>
      </c>
      <c r="AI1603">
        <f>MONTH(vp.data[[#This Row],[SDate]])</f>
        <v>6</v>
      </c>
      <c r="AJ1603" s="5">
        <f>(vp.data[[#This Row],[VP]]-INDEX(crudeBD.lkup[Mean_VP],MATCH(vp.data[[#This Row],[Crude_Breakdown]],crudeBD.lkup[Crude Breakdown],0)))^2</f>
        <v>473.27406474479363</v>
      </c>
      <c r="AK1603" s="5" t="e">
        <f>(vp.data[[#This Row],[Dens]]-INDEX(crudeBD.lkup[Mean_Dens],MATCH(vp.data[[#This Row],[Crude_Breakdown]],crudeBD.lkup[Crude Breakdown],0)))^2</f>
        <v>#VALUE!</v>
      </c>
      <c r="AL1603" s="5" t="e">
        <f>(vp.data[[#This Row],[Sulf]]-INDEX(crudeBD.lkup[Mean_Sulf],MATCH(vp.data[[#This Row],[Crude_Breakdown]],crudeBD.lkup[Crude Breakdown],0)))^2</f>
        <v>#VALUE!</v>
      </c>
      <c r="AM1603" s="4">
        <f>IF(AND(vp.data[[#This Row],[SDate]]&gt;=DATE(YEAR(vp.data[[#This Row],[SDate]]),5,1),vp.data[[#This Row],[SDate]]&lt;=DATE(YEAR(vp.data[[#This Row],[SDate]]),9,15)),1,0)</f>
        <v>1</v>
      </c>
      <c r="AN1603" s="4">
        <f>IF(vp.data[[#This Row],[SDate]]&lt;DATE(2016,12,1),0,1)</f>
        <v>1</v>
      </c>
      <c r="AO1603" s="4" t="str">
        <f>IFERROR(vp.data[[#This Row],[Sulf]]*vp.data[[#This Row],[Net Dens]],"")</f>
        <v/>
      </c>
      <c r="AP1603" t="str">
        <f>IFERROR(vp.data[[#This Row],[Dens]]*vp.data[[#This Row],[VolumeM3]],"")</f>
        <v/>
      </c>
      <c r="AQ1603" s="15" t="str">
        <f>IFERROR(vp.data[[#This Row],[VP]]*vp.data[[#This Row],[VolumeM3]],"")</f>
        <v/>
      </c>
    </row>
    <row r="1604" spans="1:43" x14ac:dyDescent="0.25">
      <c r="A1604">
        <v>1603</v>
      </c>
      <c r="B1604" t="s">
        <v>49</v>
      </c>
      <c r="C1604" t="s">
        <v>49</v>
      </c>
      <c r="D1604" t="s">
        <v>70</v>
      </c>
      <c r="F1604" s="1">
        <v>42893</v>
      </c>
      <c r="G1604" s="2">
        <v>75.099999999999994</v>
      </c>
      <c r="H1604" s="2"/>
      <c r="I1604" s="2" t="str">
        <f t="array" ref="I160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4" s="2"/>
      <c r="K1604" s="2"/>
      <c r="L1604" s="2"/>
      <c r="M1604" s="2" t="str">
        <f t="array" ref="M160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4" s="2">
        <f ca="1">INDEX(INDIRECT(_xlfn.CONCAT("weather.tbl[",N$1,"]")),MATCH(vp.data[[#This Row],[SDate]],weather.tbl[Date],0))</f>
        <v>16.900000000000002</v>
      </c>
      <c r="O1604" s="2">
        <f ca="1">INDEX(INDIRECT(_xlfn.CONCAT("weather.tbl[",O$1,"]")),MATCH(vp.data[[#This Row],[SDate]],weather.tbl[Date],0))</f>
        <v>18.745238095238097</v>
      </c>
      <c r="P1604" s="2">
        <f ca="1">INDEX(INDIRECT(_xlfn.CONCAT("weather.tbl[",P$1,"]")),MATCH(vp.data[[#This Row],[SDate]],weather.tbl[Date],0))</f>
        <v>17.100000000000001</v>
      </c>
      <c r="Q1604" s="2">
        <f ca="1">INDEX(INDIRECT(_xlfn.CONCAT("weather.tbl[",Q$1,"]")),MATCH(vp.data[[#This Row],[SDate]],weather.tbl[Date],0))</f>
        <v>15.6</v>
      </c>
      <c r="R1604" s="2">
        <f ca="1">INDEX(INDIRECT(_xlfn.CONCAT("weather.tbl[",R$1,"]")),MATCH(vp.data[[#This Row],[SDate]],weather.tbl[Date],0))</f>
        <v>18</v>
      </c>
      <c r="S1604" s="2">
        <f ca="1">INDEX(INDIRECT(_xlfn.CONCAT("weather.tbl[",S$1,"]")),MATCH(vp.data[[#This Row],[SDate]],weather.tbl[Date],0))</f>
        <v>15.7</v>
      </c>
      <c r="T1604" s="2">
        <f ca="1">INDEX(INDIRECT(_xlfn.CONCAT("weather.tbl[",T$1,"]")),MATCH(vp.data[[#This Row],[SDate]],weather.tbl[Date],0))</f>
        <v>18</v>
      </c>
      <c r="U1604" s="2">
        <f ca="1">INDEX(INDIRECT(_xlfn.CONCAT("weather.tbl[",U$1,"]")),MATCH(vp.data[[#This Row],[SDate]],weather.tbl[Date],0))</f>
        <v>17</v>
      </c>
      <c r="V1604" s="2" t="str">
        <f t="array" ref="V16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4" t="s">
        <v>48</v>
      </c>
      <c r="X1604">
        <f>IF(OR(vp.data[[#This Row],[Sulf]]="",vp.data[[#This Row],[Dens]]=""),1,0)</f>
        <v>1</v>
      </c>
      <c r="Y1604">
        <f>IF(vp.data[[#This Row],[CrudeType]]="C5+",1,0)</f>
        <v>0</v>
      </c>
      <c r="Z1604">
        <f>IF(AND(vp.data[[#This Row],[CrudeType]]="Crude",vp.data[[#This Row],[Dens]]&lt;=825,vp.data[[#This Row],[Sulf]]&gt;0.5,vp.data[[#This Row],[Unknown]]=0),1,0)</f>
        <v>0</v>
      </c>
      <c r="AA1604">
        <f>IF(AND(vp.data[[#This Row],[CrudeType]]="Crude",vp.data[[#This Row],[Dens]]&lt;=825,vp.data[[#This Row],[Sulf]]&lt;=0.5,vp.data[[#This Row],[Unknown]]=0),1,0)</f>
        <v>0</v>
      </c>
      <c r="AB16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4">
        <f>IF(AND(vp.data[[#This Row],[CrudeType]]="Crude",vp.data[[#This Row],[Dens]]&gt;825,vp.data[[#This Row],[Dens]]&lt;=900,vp.data[[#This Row],[Sulf]]&lt;=0.5,vp.data[[#This Row],[Unknown]]=0),1,0)</f>
        <v>0</v>
      </c>
      <c r="AD1604">
        <f>IF(AND(vp.data[[#This Row],[CrudeType]]="Crude",vp.data[[#This Row],[Dens]]&gt;865,vp.data[[#This Row],[Dens]]&lt;=900,vp.data[[#This Row],[Sulf]]&gt;2,vp.data[[#This Row],[Unknown]]=0),1,0)</f>
        <v>0</v>
      </c>
      <c r="AE1604">
        <f>IF(AND(vp.data[[#This Row],[CrudeType]]="Crude",vp.data[[#This Row],[Dens]]&gt;900,vp.data[[#This Row],[Sulf]]&lt;=0.5,vp.data[[#This Row],[Unknown]]=0),1,0)</f>
        <v>0</v>
      </c>
      <c r="AF1604">
        <f>IF(AND(vp.data[[#This Row],[CrudeType]]="Crude",vp.data[[#This Row],[Dens]]&gt;900,vp.data[[#This Row],[Sulf]]&lt;=0.5,vp.data[[#This Row],[Unknown]]=0),1,0)</f>
        <v>0</v>
      </c>
      <c r="AG1604" t="str">
        <f>INDEX(vp.data[[#Headers],[Unknown]:[Heavy_SW]],MATCH(1,vp.data[[#This Row],[Unknown]:[Heavy_SW]],0))</f>
        <v>Unknown</v>
      </c>
      <c r="AH1604">
        <f>INDEX([3]!crudeBD.lkup[Number],MATCH(vp.data[[#This Row],[Crude_Breakdown]],crudeBD.lkup[Crude Breakdown],0))</f>
        <v>-1</v>
      </c>
      <c r="AI1604">
        <f>MONTH(vp.data[[#This Row],[SDate]])</f>
        <v>6</v>
      </c>
      <c r="AJ1604" s="5">
        <f>(vp.data[[#This Row],[VP]]-INDEX(crudeBD.lkup[Mean_VP],MATCH(vp.data[[#This Row],[Crude_Breakdown]],crudeBD.lkup[Crude Breakdown],0)))^2</f>
        <v>1.5746811831488663</v>
      </c>
      <c r="AK1604" s="5" t="e">
        <f>(vp.data[[#This Row],[Dens]]-INDEX(crudeBD.lkup[Mean_Dens],MATCH(vp.data[[#This Row],[Crude_Breakdown]],crudeBD.lkup[Crude Breakdown],0)))^2</f>
        <v>#VALUE!</v>
      </c>
      <c r="AL1604" s="5" t="e">
        <f>(vp.data[[#This Row],[Sulf]]-INDEX(crudeBD.lkup[Mean_Sulf],MATCH(vp.data[[#This Row],[Crude_Breakdown]],crudeBD.lkup[Crude Breakdown],0)))^2</f>
        <v>#VALUE!</v>
      </c>
      <c r="AM1604" s="4">
        <f>IF(AND(vp.data[[#This Row],[SDate]]&gt;=DATE(YEAR(vp.data[[#This Row],[SDate]]),5,1),vp.data[[#This Row],[SDate]]&lt;=DATE(YEAR(vp.data[[#This Row],[SDate]]),9,15)),1,0)</f>
        <v>1</v>
      </c>
      <c r="AN1604" s="4">
        <f>IF(vp.data[[#This Row],[SDate]]&lt;DATE(2016,12,1),0,1)</f>
        <v>1</v>
      </c>
      <c r="AO1604" s="4" t="str">
        <f>IFERROR(vp.data[[#This Row],[Sulf]]*vp.data[[#This Row],[Net Dens]],"")</f>
        <v/>
      </c>
      <c r="AP1604" t="str">
        <f>IFERROR(vp.data[[#This Row],[Dens]]*vp.data[[#This Row],[VolumeM3]],"")</f>
        <v/>
      </c>
      <c r="AQ1604" s="15" t="str">
        <f>IFERROR(vp.data[[#This Row],[VP]]*vp.data[[#This Row],[VolumeM3]],"")</f>
        <v/>
      </c>
    </row>
    <row r="1605" spans="1:43" x14ac:dyDescent="0.25">
      <c r="A1605">
        <v>1604</v>
      </c>
      <c r="B1605" t="s">
        <v>49</v>
      </c>
      <c r="C1605" t="s">
        <v>49</v>
      </c>
      <c r="D1605" t="s">
        <v>81</v>
      </c>
      <c r="F1605" s="1">
        <v>42893</v>
      </c>
      <c r="G1605" s="2">
        <v>72.8</v>
      </c>
      <c r="H1605" s="2"/>
      <c r="I1605" s="2" t="str">
        <f t="array" ref="I160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5" s="2"/>
      <c r="K1605" s="2"/>
      <c r="L1605" s="2"/>
      <c r="M1605" s="2" t="str">
        <f t="array" ref="M160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5" s="2">
        <f ca="1">INDEX(INDIRECT(_xlfn.CONCAT("weather.tbl[",N$1,"]")),MATCH(vp.data[[#This Row],[SDate]],weather.tbl[Date],0))</f>
        <v>16.900000000000002</v>
      </c>
      <c r="O1605" s="2">
        <f ca="1">INDEX(INDIRECT(_xlfn.CONCAT("weather.tbl[",O$1,"]")),MATCH(vp.data[[#This Row],[SDate]],weather.tbl[Date],0))</f>
        <v>18.745238095238097</v>
      </c>
      <c r="P1605" s="2">
        <f ca="1">INDEX(INDIRECT(_xlfn.CONCAT("weather.tbl[",P$1,"]")),MATCH(vp.data[[#This Row],[SDate]],weather.tbl[Date],0))</f>
        <v>17.100000000000001</v>
      </c>
      <c r="Q1605" s="2">
        <f ca="1">INDEX(INDIRECT(_xlfn.CONCAT("weather.tbl[",Q$1,"]")),MATCH(vp.data[[#This Row],[SDate]],weather.tbl[Date],0))</f>
        <v>15.6</v>
      </c>
      <c r="R1605" s="2">
        <f ca="1">INDEX(INDIRECT(_xlfn.CONCAT("weather.tbl[",R$1,"]")),MATCH(vp.data[[#This Row],[SDate]],weather.tbl[Date],0))</f>
        <v>18</v>
      </c>
      <c r="S1605" s="2">
        <f ca="1">INDEX(INDIRECT(_xlfn.CONCAT("weather.tbl[",S$1,"]")),MATCH(vp.data[[#This Row],[SDate]],weather.tbl[Date],0))</f>
        <v>15.7</v>
      </c>
      <c r="T1605" s="2">
        <f ca="1">INDEX(INDIRECT(_xlfn.CONCAT("weather.tbl[",T$1,"]")),MATCH(vp.data[[#This Row],[SDate]],weather.tbl[Date],0))</f>
        <v>18</v>
      </c>
      <c r="U1605" s="2">
        <f ca="1">INDEX(INDIRECT(_xlfn.CONCAT("weather.tbl[",U$1,"]")),MATCH(vp.data[[#This Row],[SDate]],weather.tbl[Date],0))</f>
        <v>17</v>
      </c>
      <c r="V1605" s="2" t="str">
        <f t="array" ref="V16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5" t="s">
        <v>48</v>
      </c>
      <c r="X1605">
        <f>IF(OR(vp.data[[#This Row],[Sulf]]="",vp.data[[#This Row],[Dens]]=""),1,0)</f>
        <v>1</v>
      </c>
      <c r="Y1605">
        <f>IF(vp.data[[#This Row],[CrudeType]]="C5+",1,0)</f>
        <v>0</v>
      </c>
      <c r="Z1605">
        <f>IF(AND(vp.data[[#This Row],[CrudeType]]="Crude",vp.data[[#This Row],[Dens]]&lt;=825,vp.data[[#This Row],[Sulf]]&gt;0.5,vp.data[[#This Row],[Unknown]]=0),1,0)</f>
        <v>0</v>
      </c>
      <c r="AA1605">
        <f>IF(AND(vp.data[[#This Row],[CrudeType]]="Crude",vp.data[[#This Row],[Dens]]&lt;=825,vp.data[[#This Row],[Sulf]]&lt;=0.5,vp.data[[#This Row],[Unknown]]=0),1,0)</f>
        <v>0</v>
      </c>
      <c r="AB16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5">
        <f>IF(AND(vp.data[[#This Row],[CrudeType]]="Crude",vp.data[[#This Row],[Dens]]&gt;825,vp.data[[#This Row],[Dens]]&lt;=900,vp.data[[#This Row],[Sulf]]&lt;=0.5,vp.data[[#This Row],[Unknown]]=0),1,0)</f>
        <v>0</v>
      </c>
      <c r="AD1605">
        <f>IF(AND(vp.data[[#This Row],[CrudeType]]="Crude",vp.data[[#This Row],[Dens]]&gt;865,vp.data[[#This Row],[Dens]]&lt;=900,vp.data[[#This Row],[Sulf]]&gt;2,vp.data[[#This Row],[Unknown]]=0),1,0)</f>
        <v>0</v>
      </c>
      <c r="AE1605">
        <f>IF(AND(vp.data[[#This Row],[CrudeType]]="Crude",vp.data[[#This Row],[Dens]]&gt;900,vp.data[[#This Row],[Sulf]]&lt;=0.5,vp.data[[#This Row],[Unknown]]=0),1,0)</f>
        <v>0</v>
      </c>
      <c r="AF1605">
        <f>IF(AND(vp.data[[#This Row],[CrudeType]]="Crude",vp.data[[#This Row],[Dens]]&gt;900,vp.data[[#This Row],[Sulf]]&lt;=0.5,vp.data[[#This Row],[Unknown]]=0),1,0)</f>
        <v>0</v>
      </c>
      <c r="AG1605" t="str">
        <f>INDEX(vp.data[[#Headers],[Unknown]:[Heavy_SW]],MATCH(1,vp.data[[#This Row],[Unknown]:[Heavy_SW]],0))</f>
        <v>Unknown</v>
      </c>
      <c r="AH1605">
        <f>INDEX([3]!crudeBD.lkup[Number],MATCH(vp.data[[#This Row],[Crude_Breakdown]],crudeBD.lkup[Crude Breakdown],0))</f>
        <v>-1</v>
      </c>
      <c r="AI1605">
        <f>MONTH(vp.data[[#This Row],[SDate]])</f>
        <v>6</v>
      </c>
      <c r="AJ1605" s="5">
        <f>(vp.data[[#This Row],[VP]]-INDEX(crudeBD.lkup[Mean_VP],MATCH(vp.data[[#This Row],[Crude_Breakdown]],crudeBD.lkup[Crude Breakdown],0)))^2</f>
        <v>1.0923113201350556</v>
      </c>
      <c r="AK1605" s="5" t="e">
        <f>(vp.data[[#This Row],[Dens]]-INDEX(crudeBD.lkup[Mean_Dens],MATCH(vp.data[[#This Row],[Crude_Breakdown]],crudeBD.lkup[Crude Breakdown],0)))^2</f>
        <v>#VALUE!</v>
      </c>
      <c r="AL1605" s="5" t="e">
        <f>(vp.data[[#This Row],[Sulf]]-INDEX(crudeBD.lkup[Mean_Sulf],MATCH(vp.data[[#This Row],[Crude_Breakdown]],crudeBD.lkup[Crude Breakdown],0)))^2</f>
        <v>#VALUE!</v>
      </c>
      <c r="AM1605" s="4">
        <f>IF(AND(vp.data[[#This Row],[SDate]]&gt;=DATE(YEAR(vp.data[[#This Row],[SDate]]),5,1),vp.data[[#This Row],[SDate]]&lt;=DATE(YEAR(vp.data[[#This Row],[SDate]]),9,15)),1,0)</f>
        <v>1</v>
      </c>
      <c r="AN1605" s="4">
        <f>IF(vp.data[[#This Row],[SDate]]&lt;DATE(2016,12,1),0,1)</f>
        <v>1</v>
      </c>
      <c r="AO1605" s="4" t="str">
        <f>IFERROR(vp.data[[#This Row],[Sulf]]*vp.data[[#This Row],[Net Dens]],"")</f>
        <v/>
      </c>
      <c r="AP1605" t="str">
        <f>IFERROR(vp.data[[#This Row],[Dens]]*vp.data[[#This Row],[VolumeM3]],"")</f>
        <v/>
      </c>
      <c r="AQ1605" s="15" t="str">
        <f>IFERROR(vp.data[[#This Row],[VP]]*vp.data[[#This Row],[VolumeM3]],"")</f>
        <v/>
      </c>
    </row>
    <row r="1606" spans="1:43" x14ac:dyDescent="0.25">
      <c r="A1606">
        <v>1605</v>
      </c>
      <c r="B1606" t="s">
        <v>49</v>
      </c>
      <c r="C1606" t="s">
        <v>49</v>
      </c>
      <c r="D1606" t="s">
        <v>59</v>
      </c>
      <c r="F1606" s="1">
        <v>42893</v>
      </c>
      <c r="G1606" s="2">
        <v>75.5</v>
      </c>
      <c r="H1606" s="2"/>
      <c r="I1606" s="2" t="str">
        <f t="array" ref="I160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6" s="2"/>
      <c r="K1606" s="2"/>
      <c r="L1606" s="2"/>
      <c r="M1606" s="2" t="str">
        <f t="array" ref="M160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6" s="2">
        <f ca="1">INDEX(INDIRECT(_xlfn.CONCAT("weather.tbl[",N$1,"]")),MATCH(vp.data[[#This Row],[SDate]],weather.tbl[Date],0))</f>
        <v>16.900000000000002</v>
      </c>
      <c r="O1606" s="2">
        <f ca="1">INDEX(INDIRECT(_xlfn.CONCAT("weather.tbl[",O$1,"]")),MATCH(vp.data[[#This Row],[SDate]],weather.tbl[Date],0))</f>
        <v>18.745238095238097</v>
      </c>
      <c r="P1606" s="2">
        <f ca="1">INDEX(INDIRECT(_xlfn.CONCAT("weather.tbl[",P$1,"]")),MATCH(vp.data[[#This Row],[SDate]],weather.tbl[Date],0))</f>
        <v>17.100000000000001</v>
      </c>
      <c r="Q1606" s="2">
        <f ca="1">INDEX(INDIRECT(_xlfn.CONCAT("weather.tbl[",Q$1,"]")),MATCH(vp.data[[#This Row],[SDate]],weather.tbl[Date],0))</f>
        <v>15.6</v>
      </c>
      <c r="R1606" s="2">
        <f ca="1">INDEX(INDIRECT(_xlfn.CONCAT("weather.tbl[",R$1,"]")),MATCH(vp.data[[#This Row],[SDate]],weather.tbl[Date],0))</f>
        <v>18</v>
      </c>
      <c r="S1606" s="2">
        <f ca="1">INDEX(INDIRECT(_xlfn.CONCAT("weather.tbl[",S$1,"]")),MATCH(vp.data[[#This Row],[SDate]],weather.tbl[Date],0))</f>
        <v>15.7</v>
      </c>
      <c r="T1606" s="2">
        <f ca="1">INDEX(INDIRECT(_xlfn.CONCAT("weather.tbl[",T$1,"]")),MATCH(vp.data[[#This Row],[SDate]],weather.tbl[Date],0))</f>
        <v>18</v>
      </c>
      <c r="U1606" s="2">
        <f ca="1">INDEX(INDIRECT(_xlfn.CONCAT("weather.tbl[",U$1,"]")),MATCH(vp.data[[#This Row],[SDate]],weather.tbl[Date],0))</f>
        <v>17</v>
      </c>
      <c r="V1606" s="2" t="str">
        <f t="array" ref="V16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6" t="s">
        <v>48</v>
      </c>
      <c r="X1606">
        <f>IF(OR(vp.data[[#This Row],[Sulf]]="",vp.data[[#This Row],[Dens]]=""),1,0)</f>
        <v>1</v>
      </c>
      <c r="Y1606">
        <f>IF(vp.data[[#This Row],[CrudeType]]="C5+",1,0)</f>
        <v>0</v>
      </c>
      <c r="Z1606">
        <f>IF(AND(vp.data[[#This Row],[CrudeType]]="Crude",vp.data[[#This Row],[Dens]]&lt;=825,vp.data[[#This Row],[Sulf]]&gt;0.5,vp.data[[#This Row],[Unknown]]=0),1,0)</f>
        <v>0</v>
      </c>
      <c r="AA1606">
        <f>IF(AND(vp.data[[#This Row],[CrudeType]]="Crude",vp.data[[#This Row],[Dens]]&lt;=825,vp.data[[#This Row],[Sulf]]&lt;=0.5,vp.data[[#This Row],[Unknown]]=0),1,0)</f>
        <v>0</v>
      </c>
      <c r="AB16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6">
        <f>IF(AND(vp.data[[#This Row],[CrudeType]]="Crude",vp.data[[#This Row],[Dens]]&gt;825,vp.data[[#This Row],[Dens]]&lt;=900,vp.data[[#This Row],[Sulf]]&lt;=0.5,vp.data[[#This Row],[Unknown]]=0),1,0)</f>
        <v>0</v>
      </c>
      <c r="AD1606">
        <f>IF(AND(vp.data[[#This Row],[CrudeType]]="Crude",vp.data[[#This Row],[Dens]]&gt;865,vp.data[[#This Row],[Dens]]&lt;=900,vp.data[[#This Row],[Sulf]]&gt;2,vp.data[[#This Row],[Unknown]]=0),1,0)</f>
        <v>0</v>
      </c>
      <c r="AE1606">
        <f>IF(AND(vp.data[[#This Row],[CrudeType]]="Crude",vp.data[[#This Row],[Dens]]&gt;900,vp.data[[#This Row],[Sulf]]&lt;=0.5,vp.data[[#This Row],[Unknown]]=0),1,0)</f>
        <v>0</v>
      </c>
      <c r="AF1606">
        <f>IF(AND(vp.data[[#This Row],[CrudeType]]="Crude",vp.data[[#This Row],[Dens]]&gt;900,vp.data[[#This Row],[Sulf]]&lt;=0.5,vp.data[[#This Row],[Unknown]]=0),1,0)</f>
        <v>0</v>
      </c>
      <c r="AG1606" t="str">
        <f>INDEX(vp.data[[#Headers],[Unknown]:[Heavy_SW]],MATCH(1,vp.data[[#This Row],[Unknown]:[Heavy_SW]],0))</f>
        <v>Unknown</v>
      </c>
      <c r="AH1606">
        <f>INDEX([3]!crudeBD.lkup[Number],MATCH(vp.data[[#This Row],[Crude_Breakdown]],crudeBD.lkup[Crude Breakdown],0))</f>
        <v>-1</v>
      </c>
      <c r="AI1606">
        <f>MONTH(vp.data[[#This Row],[SDate]])</f>
        <v>6</v>
      </c>
      <c r="AJ1606" s="5">
        <f>(vp.data[[#This Row],[VP]]-INDEX(crudeBD.lkup[Mean_VP],MATCH(vp.data[[#This Row],[Crude_Breakdown]],crudeBD.lkup[Crude Breakdown],0)))^2</f>
        <v>2.7385715941078077</v>
      </c>
      <c r="AK1606" s="5" t="e">
        <f>(vp.data[[#This Row],[Dens]]-INDEX(crudeBD.lkup[Mean_Dens],MATCH(vp.data[[#This Row],[Crude_Breakdown]],crudeBD.lkup[Crude Breakdown],0)))^2</f>
        <v>#VALUE!</v>
      </c>
      <c r="AL1606" s="5" t="e">
        <f>(vp.data[[#This Row],[Sulf]]-INDEX(crudeBD.lkup[Mean_Sulf],MATCH(vp.data[[#This Row],[Crude_Breakdown]],crudeBD.lkup[Crude Breakdown],0)))^2</f>
        <v>#VALUE!</v>
      </c>
      <c r="AM1606" s="4">
        <f>IF(AND(vp.data[[#This Row],[SDate]]&gt;=DATE(YEAR(vp.data[[#This Row],[SDate]]),5,1),vp.data[[#This Row],[SDate]]&lt;=DATE(YEAR(vp.data[[#This Row],[SDate]]),9,15)),1,0)</f>
        <v>1</v>
      </c>
      <c r="AN1606" s="4">
        <f>IF(vp.data[[#This Row],[SDate]]&lt;DATE(2016,12,1),0,1)</f>
        <v>1</v>
      </c>
      <c r="AO1606" s="4" t="str">
        <f>IFERROR(vp.data[[#This Row],[Sulf]]*vp.data[[#This Row],[Net Dens]],"")</f>
        <v/>
      </c>
      <c r="AP1606" t="str">
        <f>IFERROR(vp.data[[#This Row],[Dens]]*vp.data[[#This Row],[VolumeM3]],"")</f>
        <v/>
      </c>
      <c r="AQ1606" s="15" t="str">
        <f>IFERROR(vp.data[[#This Row],[VP]]*vp.data[[#This Row],[VolumeM3]],"")</f>
        <v/>
      </c>
    </row>
    <row r="1607" spans="1:43" x14ac:dyDescent="0.25">
      <c r="A1607">
        <v>1606</v>
      </c>
      <c r="B1607" t="s">
        <v>49</v>
      </c>
      <c r="C1607" t="s">
        <v>49</v>
      </c>
      <c r="D1607" t="s">
        <v>50</v>
      </c>
      <c r="F1607" s="1">
        <v>42893</v>
      </c>
      <c r="G1607" s="2">
        <v>75.2</v>
      </c>
      <c r="H1607" s="2"/>
      <c r="I1607" s="2" t="str">
        <f t="array" ref="I160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7" s="2"/>
      <c r="K1607" s="2"/>
      <c r="L1607" s="2"/>
      <c r="M1607" s="2" t="str">
        <f t="array" ref="M160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7" s="2">
        <f ca="1">INDEX(INDIRECT(_xlfn.CONCAT("weather.tbl[",N$1,"]")),MATCH(vp.data[[#This Row],[SDate]],weather.tbl[Date],0))</f>
        <v>16.900000000000002</v>
      </c>
      <c r="O1607" s="2">
        <f ca="1">INDEX(INDIRECT(_xlfn.CONCAT("weather.tbl[",O$1,"]")),MATCH(vp.data[[#This Row],[SDate]],weather.tbl[Date],0))</f>
        <v>18.745238095238097</v>
      </c>
      <c r="P1607" s="2">
        <f ca="1">INDEX(INDIRECT(_xlfn.CONCAT("weather.tbl[",P$1,"]")),MATCH(vp.data[[#This Row],[SDate]],weather.tbl[Date],0))</f>
        <v>17.100000000000001</v>
      </c>
      <c r="Q1607" s="2">
        <f ca="1">INDEX(INDIRECT(_xlfn.CONCAT("weather.tbl[",Q$1,"]")),MATCH(vp.data[[#This Row],[SDate]],weather.tbl[Date],0))</f>
        <v>15.6</v>
      </c>
      <c r="R1607" s="2">
        <f ca="1">INDEX(INDIRECT(_xlfn.CONCAT("weather.tbl[",R$1,"]")),MATCH(vp.data[[#This Row],[SDate]],weather.tbl[Date],0))</f>
        <v>18</v>
      </c>
      <c r="S1607" s="2">
        <f ca="1">INDEX(INDIRECT(_xlfn.CONCAT("weather.tbl[",S$1,"]")),MATCH(vp.data[[#This Row],[SDate]],weather.tbl[Date],0))</f>
        <v>15.7</v>
      </c>
      <c r="T1607" s="2">
        <f ca="1">INDEX(INDIRECT(_xlfn.CONCAT("weather.tbl[",T$1,"]")),MATCH(vp.data[[#This Row],[SDate]],weather.tbl[Date],0))</f>
        <v>18</v>
      </c>
      <c r="U1607" s="2">
        <f ca="1">INDEX(INDIRECT(_xlfn.CONCAT("weather.tbl[",U$1,"]")),MATCH(vp.data[[#This Row],[SDate]],weather.tbl[Date],0))</f>
        <v>17</v>
      </c>
      <c r="V1607" s="2" t="str">
        <f t="array" ref="V16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7" t="s">
        <v>48</v>
      </c>
      <c r="X1607">
        <f>IF(OR(vp.data[[#This Row],[Sulf]]="",vp.data[[#This Row],[Dens]]=""),1,0)</f>
        <v>1</v>
      </c>
      <c r="Y1607">
        <f>IF(vp.data[[#This Row],[CrudeType]]="C5+",1,0)</f>
        <v>0</v>
      </c>
      <c r="Z1607">
        <f>IF(AND(vp.data[[#This Row],[CrudeType]]="Crude",vp.data[[#This Row],[Dens]]&lt;=825,vp.data[[#This Row],[Sulf]]&gt;0.5,vp.data[[#This Row],[Unknown]]=0),1,0)</f>
        <v>0</v>
      </c>
      <c r="AA1607">
        <f>IF(AND(vp.data[[#This Row],[CrudeType]]="Crude",vp.data[[#This Row],[Dens]]&lt;=825,vp.data[[#This Row],[Sulf]]&lt;=0.5,vp.data[[#This Row],[Unknown]]=0),1,0)</f>
        <v>0</v>
      </c>
      <c r="AB16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7">
        <f>IF(AND(vp.data[[#This Row],[CrudeType]]="Crude",vp.data[[#This Row],[Dens]]&gt;825,vp.data[[#This Row],[Dens]]&lt;=900,vp.data[[#This Row],[Sulf]]&lt;=0.5,vp.data[[#This Row],[Unknown]]=0),1,0)</f>
        <v>0</v>
      </c>
      <c r="AD1607">
        <f>IF(AND(vp.data[[#This Row],[CrudeType]]="Crude",vp.data[[#This Row],[Dens]]&gt;865,vp.data[[#This Row],[Dens]]&lt;=900,vp.data[[#This Row],[Sulf]]&gt;2,vp.data[[#This Row],[Unknown]]=0),1,0)</f>
        <v>0</v>
      </c>
      <c r="AE1607">
        <f>IF(AND(vp.data[[#This Row],[CrudeType]]="Crude",vp.data[[#This Row],[Dens]]&gt;900,vp.data[[#This Row],[Sulf]]&lt;=0.5,vp.data[[#This Row],[Unknown]]=0),1,0)</f>
        <v>0</v>
      </c>
      <c r="AF1607">
        <f>IF(AND(vp.data[[#This Row],[CrudeType]]="Crude",vp.data[[#This Row],[Dens]]&gt;900,vp.data[[#This Row],[Sulf]]&lt;=0.5,vp.data[[#This Row],[Unknown]]=0),1,0)</f>
        <v>0</v>
      </c>
      <c r="AG1607" t="str">
        <f>INDEX(vp.data[[#Headers],[Unknown]:[Heavy_SW]],MATCH(1,vp.data[[#This Row],[Unknown]:[Heavy_SW]],0))</f>
        <v>Unknown</v>
      </c>
      <c r="AH1607">
        <f>INDEX([3]!crudeBD.lkup[Number],MATCH(vp.data[[#This Row],[Crude_Breakdown]],crudeBD.lkup[Crude Breakdown],0))</f>
        <v>-1</v>
      </c>
      <c r="AI1607">
        <f>MONTH(vp.data[[#This Row],[SDate]])</f>
        <v>6</v>
      </c>
      <c r="AJ1607" s="5">
        <f>(vp.data[[#This Row],[VP]]-INDEX(crudeBD.lkup[Mean_VP],MATCH(vp.data[[#This Row],[Crude_Breakdown]],crudeBD.lkup[Crude Breakdown],0)))^2</f>
        <v>1.8356537858886199</v>
      </c>
      <c r="AK1607" s="5" t="e">
        <f>(vp.data[[#This Row],[Dens]]-INDEX(crudeBD.lkup[Mean_Dens],MATCH(vp.data[[#This Row],[Crude_Breakdown]],crudeBD.lkup[Crude Breakdown],0)))^2</f>
        <v>#VALUE!</v>
      </c>
      <c r="AL1607" s="5" t="e">
        <f>(vp.data[[#This Row],[Sulf]]-INDEX(crudeBD.lkup[Mean_Sulf],MATCH(vp.data[[#This Row],[Crude_Breakdown]],crudeBD.lkup[Crude Breakdown],0)))^2</f>
        <v>#VALUE!</v>
      </c>
      <c r="AM1607" s="4">
        <f>IF(AND(vp.data[[#This Row],[SDate]]&gt;=DATE(YEAR(vp.data[[#This Row],[SDate]]),5,1),vp.data[[#This Row],[SDate]]&lt;=DATE(YEAR(vp.data[[#This Row],[SDate]]),9,15)),1,0)</f>
        <v>1</v>
      </c>
      <c r="AN1607" s="4">
        <f>IF(vp.data[[#This Row],[SDate]]&lt;DATE(2016,12,1),0,1)</f>
        <v>1</v>
      </c>
      <c r="AO1607" s="4" t="str">
        <f>IFERROR(vp.data[[#This Row],[Sulf]]*vp.data[[#This Row],[Net Dens]],"")</f>
        <v/>
      </c>
      <c r="AP1607" t="str">
        <f>IFERROR(vp.data[[#This Row],[Dens]]*vp.data[[#This Row],[VolumeM3]],"")</f>
        <v/>
      </c>
      <c r="AQ1607" s="15" t="str">
        <f>IFERROR(vp.data[[#This Row],[VP]]*vp.data[[#This Row],[VolumeM3]],"")</f>
        <v/>
      </c>
    </row>
    <row r="1608" spans="1:43" x14ac:dyDescent="0.25">
      <c r="A1608">
        <v>1607</v>
      </c>
      <c r="B1608" t="s">
        <v>49</v>
      </c>
      <c r="C1608" t="s">
        <v>49</v>
      </c>
      <c r="D1608" t="s">
        <v>92</v>
      </c>
      <c r="F1608" s="1">
        <v>42893</v>
      </c>
      <c r="G1608" s="2">
        <v>69.599999999999994</v>
      </c>
      <c r="H1608" s="2"/>
      <c r="I1608" s="2" t="str">
        <f t="array" ref="I160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8" s="2"/>
      <c r="K1608" s="2"/>
      <c r="L1608" s="2"/>
      <c r="M1608" s="2" t="str">
        <f t="array" ref="M160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8" s="2">
        <f ca="1">INDEX(INDIRECT(_xlfn.CONCAT("weather.tbl[",N$1,"]")),MATCH(vp.data[[#This Row],[SDate]],weather.tbl[Date],0))</f>
        <v>16.900000000000002</v>
      </c>
      <c r="O1608" s="2">
        <f ca="1">INDEX(INDIRECT(_xlfn.CONCAT("weather.tbl[",O$1,"]")),MATCH(vp.data[[#This Row],[SDate]],weather.tbl[Date],0))</f>
        <v>18.745238095238097</v>
      </c>
      <c r="P1608" s="2">
        <f ca="1">INDEX(INDIRECT(_xlfn.CONCAT("weather.tbl[",P$1,"]")),MATCH(vp.data[[#This Row],[SDate]],weather.tbl[Date],0))</f>
        <v>17.100000000000001</v>
      </c>
      <c r="Q1608" s="2">
        <f ca="1">INDEX(INDIRECT(_xlfn.CONCAT("weather.tbl[",Q$1,"]")),MATCH(vp.data[[#This Row],[SDate]],weather.tbl[Date],0))</f>
        <v>15.6</v>
      </c>
      <c r="R1608" s="2">
        <f ca="1">INDEX(INDIRECT(_xlfn.CONCAT("weather.tbl[",R$1,"]")),MATCH(vp.data[[#This Row],[SDate]],weather.tbl[Date],0))</f>
        <v>18</v>
      </c>
      <c r="S1608" s="2">
        <f ca="1">INDEX(INDIRECT(_xlfn.CONCAT("weather.tbl[",S$1,"]")),MATCH(vp.data[[#This Row],[SDate]],weather.tbl[Date],0))</f>
        <v>15.7</v>
      </c>
      <c r="T1608" s="2">
        <f ca="1">INDEX(INDIRECT(_xlfn.CONCAT("weather.tbl[",T$1,"]")),MATCH(vp.data[[#This Row],[SDate]],weather.tbl[Date],0))</f>
        <v>18</v>
      </c>
      <c r="U1608" s="2">
        <f ca="1">INDEX(INDIRECT(_xlfn.CONCAT("weather.tbl[",U$1,"]")),MATCH(vp.data[[#This Row],[SDate]],weather.tbl[Date],0))</f>
        <v>17</v>
      </c>
      <c r="V1608" s="2" t="str">
        <f t="array" ref="V16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8" t="s">
        <v>48</v>
      </c>
      <c r="X1608">
        <f>IF(OR(vp.data[[#This Row],[Sulf]]="",vp.data[[#This Row],[Dens]]=""),1,0)</f>
        <v>1</v>
      </c>
      <c r="Y1608">
        <f>IF(vp.data[[#This Row],[CrudeType]]="C5+",1,0)</f>
        <v>0</v>
      </c>
      <c r="Z1608">
        <f>IF(AND(vp.data[[#This Row],[CrudeType]]="Crude",vp.data[[#This Row],[Dens]]&lt;=825,vp.data[[#This Row],[Sulf]]&gt;0.5,vp.data[[#This Row],[Unknown]]=0),1,0)</f>
        <v>0</v>
      </c>
      <c r="AA1608">
        <f>IF(AND(vp.data[[#This Row],[CrudeType]]="Crude",vp.data[[#This Row],[Dens]]&lt;=825,vp.data[[#This Row],[Sulf]]&lt;=0.5,vp.data[[#This Row],[Unknown]]=0),1,0)</f>
        <v>0</v>
      </c>
      <c r="AB16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8">
        <f>IF(AND(vp.data[[#This Row],[CrudeType]]="Crude",vp.data[[#This Row],[Dens]]&gt;825,vp.data[[#This Row],[Dens]]&lt;=900,vp.data[[#This Row],[Sulf]]&lt;=0.5,vp.data[[#This Row],[Unknown]]=0),1,0)</f>
        <v>0</v>
      </c>
      <c r="AD1608">
        <f>IF(AND(vp.data[[#This Row],[CrudeType]]="Crude",vp.data[[#This Row],[Dens]]&gt;865,vp.data[[#This Row],[Dens]]&lt;=900,vp.data[[#This Row],[Sulf]]&gt;2,vp.data[[#This Row],[Unknown]]=0),1,0)</f>
        <v>0</v>
      </c>
      <c r="AE1608">
        <f>IF(AND(vp.data[[#This Row],[CrudeType]]="Crude",vp.data[[#This Row],[Dens]]&gt;900,vp.data[[#This Row],[Sulf]]&lt;=0.5,vp.data[[#This Row],[Unknown]]=0),1,0)</f>
        <v>0</v>
      </c>
      <c r="AF1608">
        <f>IF(AND(vp.data[[#This Row],[CrudeType]]="Crude",vp.data[[#This Row],[Dens]]&gt;900,vp.data[[#This Row],[Sulf]]&lt;=0.5,vp.data[[#This Row],[Unknown]]=0),1,0)</f>
        <v>0</v>
      </c>
      <c r="AG1608" t="str">
        <f>INDEX(vp.data[[#Headers],[Unknown]:[Heavy_SW]],MATCH(1,vp.data[[#This Row],[Unknown]:[Heavy_SW]],0))</f>
        <v>Unknown</v>
      </c>
      <c r="AH1608">
        <f>INDEX([3]!crudeBD.lkup[Number],MATCH(vp.data[[#This Row],[Crude_Breakdown]],crudeBD.lkup[Crude Breakdown],0))</f>
        <v>-1</v>
      </c>
      <c r="AI1608">
        <f>MONTH(vp.data[[#This Row],[SDate]])</f>
        <v>6</v>
      </c>
      <c r="AJ1608" s="5">
        <f>(vp.data[[#This Row],[VP]]-INDEX(crudeBD.lkup[Mean_VP],MATCH(vp.data[[#This Row],[Crude_Breakdown]],crudeBD.lkup[Crude Breakdown],0)))^2</f>
        <v>18.02118803246368</v>
      </c>
      <c r="AK1608" s="5" t="e">
        <f>(vp.data[[#This Row],[Dens]]-INDEX(crudeBD.lkup[Mean_Dens],MATCH(vp.data[[#This Row],[Crude_Breakdown]],crudeBD.lkup[Crude Breakdown],0)))^2</f>
        <v>#VALUE!</v>
      </c>
      <c r="AL1608" s="5" t="e">
        <f>(vp.data[[#This Row],[Sulf]]-INDEX(crudeBD.lkup[Mean_Sulf],MATCH(vp.data[[#This Row],[Crude_Breakdown]],crudeBD.lkup[Crude Breakdown],0)))^2</f>
        <v>#VALUE!</v>
      </c>
      <c r="AM1608" s="4">
        <f>IF(AND(vp.data[[#This Row],[SDate]]&gt;=DATE(YEAR(vp.data[[#This Row],[SDate]]),5,1),vp.data[[#This Row],[SDate]]&lt;=DATE(YEAR(vp.data[[#This Row],[SDate]]),9,15)),1,0)</f>
        <v>1</v>
      </c>
      <c r="AN1608" s="4">
        <f>IF(vp.data[[#This Row],[SDate]]&lt;DATE(2016,12,1),0,1)</f>
        <v>1</v>
      </c>
      <c r="AO1608" s="4" t="str">
        <f>IFERROR(vp.data[[#This Row],[Sulf]]*vp.data[[#This Row],[Net Dens]],"")</f>
        <v/>
      </c>
      <c r="AP1608" t="str">
        <f>IFERROR(vp.data[[#This Row],[Dens]]*vp.data[[#This Row],[VolumeM3]],"")</f>
        <v/>
      </c>
      <c r="AQ1608" s="15" t="str">
        <f>IFERROR(vp.data[[#This Row],[VP]]*vp.data[[#This Row],[VolumeM3]],"")</f>
        <v/>
      </c>
    </row>
    <row r="1609" spans="1:43" x14ac:dyDescent="0.25">
      <c r="A1609">
        <v>1608</v>
      </c>
      <c r="B1609" t="s">
        <v>51</v>
      </c>
      <c r="C1609" t="s">
        <v>51</v>
      </c>
      <c r="D1609" t="s">
        <v>66</v>
      </c>
      <c r="F1609" s="1">
        <v>42893</v>
      </c>
      <c r="G1609" s="2">
        <v>91.4</v>
      </c>
      <c r="H1609" s="2"/>
      <c r="I1609" s="2" t="str">
        <f t="array" ref="I160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09" s="2"/>
      <c r="K1609" s="2"/>
      <c r="L1609" s="2"/>
      <c r="M1609" s="2" t="str">
        <f t="array" ref="M160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09" s="2">
        <f ca="1">INDEX(INDIRECT(_xlfn.CONCAT("weather.tbl[",N$1,"]")),MATCH(vp.data[[#This Row],[SDate]],weather.tbl[Date],0))</f>
        <v>16.900000000000002</v>
      </c>
      <c r="O1609" s="2">
        <f ca="1">INDEX(INDIRECT(_xlfn.CONCAT("weather.tbl[",O$1,"]")),MATCH(vp.data[[#This Row],[SDate]],weather.tbl[Date],0))</f>
        <v>18.745238095238097</v>
      </c>
      <c r="P1609" s="2">
        <f ca="1">INDEX(INDIRECT(_xlfn.CONCAT("weather.tbl[",P$1,"]")),MATCH(vp.data[[#This Row],[SDate]],weather.tbl[Date],0))</f>
        <v>17.100000000000001</v>
      </c>
      <c r="Q1609" s="2">
        <f ca="1">INDEX(INDIRECT(_xlfn.CONCAT("weather.tbl[",Q$1,"]")),MATCH(vp.data[[#This Row],[SDate]],weather.tbl[Date],0))</f>
        <v>15.6</v>
      </c>
      <c r="R1609" s="2">
        <f ca="1">INDEX(INDIRECT(_xlfn.CONCAT("weather.tbl[",R$1,"]")),MATCH(vp.data[[#This Row],[SDate]],weather.tbl[Date],0))</f>
        <v>18</v>
      </c>
      <c r="S1609" s="2">
        <f ca="1">INDEX(INDIRECT(_xlfn.CONCAT("weather.tbl[",S$1,"]")),MATCH(vp.data[[#This Row],[SDate]],weather.tbl[Date],0))</f>
        <v>15.7</v>
      </c>
      <c r="T1609" s="2">
        <f ca="1">INDEX(INDIRECT(_xlfn.CONCAT("weather.tbl[",T$1,"]")),MATCH(vp.data[[#This Row],[SDate]],weather.tbl[Date],0))</f>
        <v>18</v>
      </c>
      <c r="U1609" s="2">
        <f ca="1">INDEX(INDIRECT(_xlfn.CONCAT("weather.tbl[",U$1,"]")),MATCH(vp.data[[#This Row],[SDate]],weather.tbl[Date],0))</f>
        <v>17</v>
      </c>
      <c r="V1609" s="2" t="str">
        <f t="array" ref="V16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09" t="s">
        <v>48</v>
      </c>
      <c r="X1609">
        <f>IF(OR(vp.data[[#This Row],[Sulf]]="",vp.data[[#This Row],[Dens]]=""),1,0)</f>
        <v>1</v>
      </c>
      <c r="Y1609">
        <f>IF(vp.data[[#This Row],[CrudeType]]="C5+",1,0)</f>
        <v>0</v>
      </c>
      <c r="Z1609">
        <f>IF(AND(vp.data[[#This Row],[CrudeType]]="Crude",vp.data[[#This Row],[Dens]]&lt;=825,vp.data[[#This Row],[Sulf]]&gt;0.5,vp.data[[#This Row],[Unknown]]=0),1,0)</f>
        <v>0</v>
      </c>
      <c r="AA1609">
        <f>IF(AND(vp.data[[#This Row],[CrudeType]]="Crude",vp.data[[#This Row],[Dens]]&lt;=825,vp.data[[#This Row],[Sulf]]&lt;=0.5,vp.data[[#This Row],[Unknown]]=0),1,0)</f>
        <v>0</v>
      </c>
      <c r="AB16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09">
        <f>IF(AND(vp.data[[#This Row],[CrudeType]]="Crude",vp.data[[#This Row],[Dens]]&gt;825,vp.data[[#This Row],[Dens]]&lt;=900,vp.data[[#This Row],[Sulf]]&lt;=0.5,vp.data[[#This Row],[Unknown]]=0),1,0)</f>
        <v>0</v>
      </c>
      <c r="AD1609">
        <f>IF(AND(vp.data[[#This Row],[CrudeType]]="Crude",vp.data[[#This Row],[Dens]]&gt;865,vp.data[[#This Row],[Dens]]&lt;=900,vp.data[[#This Row],[Sulf]]&gt;2,vp.data[[#This Row],[Unknown]]=0),1,0)</f>
        <v>0</v>
      </c>
      <c r="AE1609">
        <f>IF(AND(vp.data[[#This Row],[CrudeType]]="Crude",vp.data[[#This Row],[Dens]]&gt;900,vp.data[[#This Row],[Sulf]]&lt;=0.5,vp.data[[#This Row],[Unknown]]=0),1,0)</f>
        <v>0</v>
      </c>
      <c r="AF1609">
        <f>IF(AND(vp.data[[#This Row],[CrudeType]]="Crude",vp.data[[#This Row],[Dens]]&gt;900,vp.data[[#This Row],[Sulf]]&lt;=0.5,vp.data[[#This Row],[Unknown]]=0),1,0)</f>
        <v>0</v>
      </c>
      <c r="AG1609" t="str">
        <f>INDEX(vp.data[[#Headers],[Unknown]:[Heavy_SW]],MATCH(1,vp.data[[#This Row],[Unknown]:[Heavy_SW]],0))</f>
        <v>Unknown</v>
      </c>
      <c r="AH1609">
        <f>INDEX([3]!crudeBD.lkup[Number],MATCH(vp.data[[#This Row],[Crude_Breakdown]],crudeBD.lkup[Crude Breakdown],0))</f>
        <v>-1</v>
      </c>
      <c r="AI1609">
        <f>MONTH(vp.data[[#This Row],[SDate]])</f>
        <v>6</v>
      </c>
      <c r="AJ1609" s="5">
        <f>(vp.data[[#This Row],[VP]]-INDEX(crudeBD.lkup[Mean_VP],MATCH(vp.data[[#This Row],[Crude_Breakdown]],crudeBD.lkup[Crude Breakdown],0)))^2</f>
        <v>308.17321542972536</v>
      </c>
      <c r="AK1609" s="5" t="e">
        <f>(vp.data[[#This Row],[Dens]]-INDEX(crudeBD.lkup[Mean_Dens],MATCH(vp.data[[#This Row],[Crude_Breakdown]],crudeBD.lkup[Crude Breakdown],0)))^2</f>
        <v>#VALUE!</v>
      </c>
      <c r="AL1609" s="5" t="e">
        <f>(vp.data[[#This Row],[Sulf]]-INDEX(crudeBD.lkup[Mean_Sulf],MATCH(vp.data[[#This Row],[Crude_Breakdown]],crudeBD.lkup[Crude Breakdown],0)))^2</f>
        <v>#VALUE!</v>
      </c>
      <c r="AM1609" s="4">
        <f>IF(AND(vp.data[[#This Row],[SDate]]&gt;=DATE(YEAR(vp.data[[#This Row],[SDate]]),5,1),vp.data[[#This Row],[SDate]]&lt;=DATE(YEAR(vp.data[[#This Row],[SDate]]),9,15)),1,0)</f>
        <v>1</v>
      </c>
      <c r="AN1609" s="4">
        <f>IF(vp.data[[#This Row],[SDate]]&lt;DATE(2016,12,1),0,1)</f>
        <v>1</v>
      </c>
      <c r="AO1609" s="4" t="str">
        <f>IFERROR(vp.data[[#This Row],[Sulf]]*vp.data[[#This Row],[Net Dens]],"")</f>
        <v/>
      </c>
      <c r="AP1609" t="str">
        <f>IFERROR(vp.data[[#This Row],[Dens]]*vp.data[[#This Row],[VolumeM3]],"")</f>
        <v/>
      </c>
      <c r="AQ1609" s="15" t="str">
        <f>IFERROR(vp.data[[#This Row],[VP]]*vp.data[[#This Row],[VolumeM3]],"")</f>
        <v/>
      </c>
    </row>
    <row r="1610" spans="1:43" x14ac:dyDescent="0.25">
      <c r="A1610">
        <v>1609</v>
      </c>
      <c r="B1610" t="s">
        <v>51</v>
      </c>
      <c r="C1610" t="s">
        <v>51</v>
      </c>
      <c r="D1610" t="s">
        <v>52</v>
      </c>
      <c r="F1610" s="1">
        <v>42893</v>
      </c>
      <c r="G1610" s="2">
        <v>68.599999999999994</v>
      </c>
      <c r="H1610" s="2"/>
      <c r="I1610" s="2" t="str">
        <f t="array" ref="I161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0" s="2"/>
      <c r="K1610" s="2"/>
      <c r="L1610" s="2"/>
      <c r="M1610" s="2" t="str">
        <f t="array" ref="M161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0" s="2">
        <f ca="1">INDEX(INDIRECT(_xlfn.CONCAT("weather.tbl[",N$1,"]")),MATCH(vp.data[[#This Row],[SDate]],weather.tbl[Date],0))</f>
        <v>16.900000000000002</v>
      </c>
      <c r="O1610" s="2">
        <f ca="1">INDEX(INDIRECT(_xlfn.CONCAT("weather.tbl[",O$1,"]")),MATCH(vp.data[[#This Row],[SDate]],weather.tbl[Date],0))</f>
        <v>18.745238095238097</v>
      </c>
      <c r="P1610" s="2">
        <f ca="1">INDEX(INDIRECT(_xlfn.CONCAT("weather.tbl[",P$1,"]")),MATCH(vp.data[[#This Row],[SDate]],weather.tbl[Date],0))</f>
        <v>17.100000000000001</v>
      </c>
      <c r="Q1610" s="2">
        <f ca="1">INDEX(INDIRECT(_xlfn.CONCAT("weather.tbl[",Q$1,"]")),MATCH(vp.data[[#This Row],[SDate]],weather.tbl[Date],0))</f>
        <v>15.6</v>
      </c>
      <c r="R1610" s="2">
        <f ca="1">INDEX(INDIRECT(_xlfn.CONCAT("weather.tbl[",R$1,"]")),MATCH(vp.data[[#This Row],[SDate]],weather.tbl[Date],0))</f>
        <v>18</v>
      </c>
      <c r="S1610" s="2">
        <f ca="1">INDEX(INDIRECT(_xlfn.CONCAT("weather.tbl[",S$1,"]")),MATCH(vp.data[[#This Row],[SDate]],weather.tbl[Date],0))</f>
        <v>15.7</v>
      </c>
      <c r="T1610" s="2">
        <f ca="1">INDEX(INDIRECT(_xlfn.CONCAT("weather.tbl[",T$1,"]")),MATCH(vp.data[[#This Row],[SDate]],weather.tbl[Date],0))</f>
        <v>18</v>
      </c>
      <c r="U1610" s="2">
        <f ca="1">INDEX(INDIRECT(_xlfn.CONCAT("weather.tbl[",U$1,"]")),MATCH(vp.data[[#This Row],[SDate]],weather.tbl[Date],0))</f>
        <v>17</v>
      </c>
      <c r="V1610" s="2" t="str">
        <f t="array" ref="V16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0" t="s">
        <v>48</v>
      </c>
      <c r="X1610">
        <f>IF(OR(vp.data[[#This Row],[Sulf]]="",vp.data[[#This Row],[Dens]]=""),1,0)</f>
        <v>1</v>
      </c>
      <c r="Y1610">
        <f>IF(vp.data[[#This Row],[CrudeType]]="C5+",1,0)</f>
        <v>0</v>
      </c>
      <c r="Z1610">
        <f>IF(AND(vp.data[[#This Row],[CrudeType]]="Crude",vp.data[[#This Row],[Dens]]&lt;=825,vp.data[[#This Row],[Sulf]]&gt;0.5,vp.data[[#This Row],[Unknown]]=0),1,0)</f>
        <v>0</v>
      </c>
      <c r="AA1610">
        <f>IF(AND(vp.data[[#This Row],[CrudeType]]="Crude",vp.data[[#This Row],[Dens]]&lt;=825,vp.data[[#This Row],[Sulf]]&lt;=0.5,vp.data[[#This Row],[Unknown]]=0),1,0)</f>
        <v>0</v>
      </c>
      <c r="AB16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0">
        <f>IF(AND(vp.data[[#This Row],[CrudeType]]="Crude",vp.data[[#This Row],[Dens]]&gt;825,vp.data[[#This Row],[Dens]]&lt;=900,vp.data[[#This Row],[Sulf]]&lt;=0.5,vp.data[[#This Row],[Unknown]]=0),1,0)</f>
        <v>0</v>
      </c>
      <c r="AD1610">
        <f>IF(AND(vp.data[[#This Row],[CrudeType]]="Crude",vp.data[[#This Row],[Dens]]&gt;865,vp.data[[#This Row],[Dens]]&lt;=900,vp.data[[#This Row],[Sulf]]&gt;2,vp.data[[#This Row],[Unknown]]=0),1,0)</f>
        <v>0</v>
      </c>
      <c r="AE1610">
        <f>IF(AND(vp.data[[#This Row],[CrudeType]]="Crude",vp.data[[#This Row],[Dens]]&gt;900,vp.data[[#This Row],[Sulf]]&lt;=0.5,vp.data[[#This Row],[Unknown]]=0),1,0)</f>
        <v>0</v>
      </c>
      <c r="AF1610">
        <f>IF(AND(vp.data[[#This Row],[CrudeType]]="Crude",vp.data[[#This Row],[Dens]]&gt;900,vp.data[[#This Row],[Sulf]]&lt;=0.5,vp.data[[#This Row],[Unknown]]=0),1,0)</f>
        <v>0</v>
      </c>
      <c r="AG1610" t="str">
        <f>INDEX(vp.data[[#Headers],[Unknown]:[Heavy_SW]],MATCH(1,vp.data[[#This Row],[Unknown]:[Heavy_SW]],0))</f>
        <v>Unknown</v>
      </c>
      <c r="AH1610">
        <f>INDEX([3]!crudeBD.lkup[Number],MATCH(vp.data[[#This Row],[Crude_Breakdown]],crudeBD.lkup[Crude Breakdown],0))</f>
        <v>-1</v>
      </c>
      <c r="AI1610">
        <f>MONTH(vp.data[[#This Row],[SDate]])</f>
        <v>6</v>
      </c>
      <c r="AJ1610" s="5">
        <f>(vp.data[[#This Row],[VP]]-INDEX(crudeBD.lkup[Mean_VP],MATCH(vp.data[[#This Row],[Crude_Breakdown]],crudeBD.lkup[Crude Breakdown],0)))^2</f>
        <v>27.511462005066374</v>
      </c>
      <c r="AK1610" s="5" t="e">
        <f>(vp.data[[#This Row],[Dens]]-INDEX(crudeBD.lkup[Mean_Dens],MATCH(vp.data[[#This Row],[Crude_Breakdown]],crudeBD.lkup[Crude Breakdown],0)))^2</f>
        <v>#VALUE!</v>
      </c>
      <c r="AL1610" s="5" t="e">
        <f>(vp.data[[#This Row],[Sulf]]-INDEX(crudeBD.lkup[Mean_Sulf],MATCH(vp.data[[#This Row],[Crude_Breakdown]],crudeBD.lkup[Crude Breakdown],0)))^2</f>
        <v>#VALUE!</v>
      </c>
      <c r="AM1610" s="4">
        <f>IF(AND(vp.data[[#This Row],[SDate]]&gt;=DATE(YEAR(vp.data[[#This Row],[SDate]]),5,1),vp.data[[#This Row],[SDate]]&lt;=DATE(YEAR(vp.data[[#This Row],[SDate]]),9,15)),1,0)</f>
        <v>1</v>
      </c>
      <c r="AN1610" s="4">
        <f>IF(vp.data[[#This Row],[SDate]]&lt;DATE(2016,12,1),0,1)</f>
        <v>1</v>
      </c>
      <c r="AO1610" s="4" t="str">
        <f>IFERROR(vp.data[[#This Row],[Sulf]]*vp.data[[#This Row],[Net Dens]],"")</f>
        <v/>
      </c>
      <c r="AP1610" t="str">
        <f>IFERROR(vp.data[[#This Row],[Dens]]*vp.data[[#This Row],[VolumeM3]],"")</f>
        <v/>
      </c>
      <c r="AQ1610" s="15" t="str">
        <f>IFERROR(vp.data[[#This Row],[VP]]*vp.data[[#This Row],[VolumeM3]],"")</f>
        <v/>
      </c>
    </row>
    <row r="1611" spans="1:43" x14ac:dyDescent="0.25">
      <c r="A1611">
        <v>1610</v>
      </c>
      <c r="B1611" t="s">
        <v>51</v>
      </c>
      <c r="C1611" t="s">
        <v>51</v>
      </c>
      <c r="D1611" t="s">
        <v>58</v>
      </c>
      <c r="F1611" s="1">
        <v>42893</v>
      </c>
      <c r="G1611" s="2">
        <v>81.5</v>
      </c>
      <c r="H1611" s="2"/>
      <c r="I1611" s="2" t="str">
        <f t="array" ref="I161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1" s="2"/>
      <c r="K1611" s="2"/>
      <c r="L1611" s="2"/>
      <c r="M1611" s="2" t="str">
        <f t="array" ref="M161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1" s="2">
        <f ca="1">INDEX(INDIRECT(_xlfn.CONCAT("weather.tbl[",N$1,"]")),MATCH(vp.data[[#This Row],[SDate]],weather.tbl[Date],0))</f>
        <v>16.900000000000002</v>
      </c>
      <c r="O1611" s="2">
        <f ca="1">INDEX(INDIRECT(_xlfn.CONCAT("weather.tbl[",O$1,"]")),MATCH(vp.data[[#This Row],[SDate]],weather.tbl[Date],0))</f>
        <v>18.745238095238097</v>
      </c>
      <c r="P1611" s="2">
        <f ca="1">INDEX(INDIRECT(_xlfn.CONCAT("weather.tbl[",P$1,"]")),MATCH(vp.data[[#This Row],[SDate]],weather.tbl[Date],0))</f>
        <v>17.100000000000001</v>
      </c>
      <c r="Q1611" s="2">
        <f ca="1">INDEX(INDIRECT(_xlfn.CONCAT("weather.tbl[",Q$1,"]")),MATCH(vp.data[[#This Row],[SDate]],weather.tbl[Date],0))</f>
        <v>15.6</v>
      </c>
      <c r="R1611" s="2">
        <f ca="1">INDEX(INDIRECT(_xlfn.CONCAT("weather.tbl[",R$1,"]")),MATCH(vp.data[[#This Row],[SDate]],weather.tbl[Date],0))</f>
        <v>18</v>
      </c>
      <c r="S1611" s="2">
        <f ca="1">INDEX(INDIRECT(_xlfn.CONCAT("weather.tbl[",S$1,"]")),MATCH(vp.data[[#This Row],[SDate]],weather.tbl[Date],0))</f>
        <v>15.7</v>
      </c>
      <c r="T1611" s="2">
        <f ca="1">INDEX(INDIRECT(_xlfn.CONCAT("weather.tbl[",T$1,"]")),MATCH(vp.data[[#This Row],[SDate]],weather.tbl[Date],0))</f>
        <v>18</v>
      </c>
      <c r="U1611" s="2">
        <f ca="1">INDEX(INDIRECT(_xlfn.CONCAT("weather.tbl[",U$1,"]")),MATCH(vp.data[[#This Row],[SDate]],weather.tbl[Date],0))</f>
        <v>17</v>
      </c>
      <c r="V1611" s="2" t="str">
        <f t="array" ref="V16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1" t="s">
        <v>48</v>
      </c>
      <c r="X1611">
        <f>IF(OR(vp.data[[#This Row],[Sulf]]="",vp.data[[#This Row],[Dens]]=""),1,0)</f>
        <v>1</v>
      </c>
      <c r="Y1611">
        <f>IF(vp.data[[#This Row],[CrudeType]]="C5+",1,0)</f>
        <v>0</v>
      </c>
      <c r="Z1611">
        <f>IF(AND(vp.data[[#This Row],[CrudeType]]="Crude",vp.data[[#This Row],[Dens]]&lt;=825,vp.data[[#This Row],[Sulf]]&gt;0.5,vp.data[[#This Row],[Unknown]]=0),1,0)</f>
        <v>0</v>
      </c>
      <c r="AA1611">
        <f>IF(AND(vp.data[[#This Row],[CrudeType]]="Crude",vp.data[[#This Row],[Dens]]&lt;=825,vp.data[[#This Row],[Sulf]]&lt;=0.5,vp.data[[#This Row],[Unknown]]=0),1,0)</f>
        <v>0</v>
      </c>
      <c r="AB16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1">
        <f>IF(AND(vp.data[[#This Row],[CrudeType]]="Crude",vp.data[[#This Row],[Dens]]&gt;825,vp.data[[#This Row],[Dens]]&lt;=900,vp.data[[#This Row],[Sulf]]&lt;=0.5,vp.data[[#This Row],[Unknown]]=0),1,0)</f>
        <v>0</v>
      </c>
      <c r="AD1611">
        <f>IF(AND(vp.data[[#This Row],[CrudeType]]="Crude",vp.data[[#This Row],[Dens]]&gt;865,vp.data[[#This Row],[Dens]]&lt;=900,vp.data[[#This Row],[Sulf]]&gt;2,vp.data[[#This Row],[Unknown]]=0),1,0)</f>
        <v>0</v>
      </c>
      <c r="AE1611">
        <f>IF(AND(vp.data[[#This Row],[CrudeType]]="Crude",vp.data[[#This Row],[Dens]]&gt;900,vp.data[[#This Row],[Sulf]]&lt;=0.5,vp.data[[#This Row],[Unknown]]=0),1,0)</f>
        <v>0</v>
      </c>
      <c r="AF1611">
        <f>IF(AND(vp.data[[#This Row],[CrudeType]]="Crude",vp.data[[#This Row],[Dens]]&gt;900,vp.data[[#This Row],[Sulf]]&lt;=0.5,vp.data[[#This Row],[Unknown]]=0),1,0)</f>
        <v>0</v>
      </c>
      <c r="AG1611" t="str">
        <f>INDEX(vp.data[[#Headers],[Unknown]:[Heavy_SW]],MATCH(1,vp.data[[#This Row],[Unknown]:[Heavy_SW]],0))</f>
        <v>Unknown</v>
      </c>
      <c r="AH1611">
        <f>INDEX([3]!crudeBD.lkup[Number],MATCH(vp.data[[#This Row],[Crude_Breakdown]],crudeBD.lkup[Crude Breakdown],0))</f>
        <v>-1</v>
      </c>
      <c r="AI1611">
        <f>MONTH(vp.data[[#This Row],[SDate]])</f>
        <v>6</v>
      </c>
      <c r="AJ1611" s="5">
        <f>(vp.data[[#This Row],[VP]]-INDEX(crudeBD.lkup[Mean_VP],MATCH(vp.data[[#This Row],[Crude_Breakdown]],crudeBD.lkup[Crude Breakdown],0)))^2</f>
        <v>58.596927758491717</v>
      </c>
      <c r="AK1611" s="5" t="e">
        <f>(vp.data[[#This Row],[Dens]]-INDEX(crudeBD.lkup[Mean_Dens],MATCH(vp.data[[#This Row],[Crude_Breakdown]],crudeBD.lkup[Crude Breakdown],0)))^2</f>
        <v>#VALUE!</v>
      </c>
      <c r="AL1611" s="5" t="e">
        <f>(vp.data[[#This Row],[Sulf]]-INDEX(crudeBD.lkup[Mean_Sulf],MATCH(vp.data[[#This Row],[Crude_Breakdown]],crudeBD.lkup[Crude Breakdown],0)))^2</f>
        <v>#VALUE!</v>
      </c>
      <c r="AM1611" s="4">
        <f>IF(AND(vp.data[[#This Row],[SDate]]&gt;=DATE(YEAR(vp.data[[#This Row],[SDate]]),5,1),vp.data[[#This Row],[SDate]]&lt;=DATE(YEAR(vp.data[[#This Row],[SDate]]),9,15)),1,0)</f>
        <v>1</v>
      </c>
      <c r="AN1611" s="4">
        <f>IF(vp.data[[#This Row],[SDate]]&lt;DATE(2016,12,1),0,1)</f>
        <v>1</v>
      </c>
      <c r="AO1611" s="4" t="str">
        <f>IFERROR(vp.data[[#This Row],[Sulf]]*vp.data[[#This Row],[Net Dens]],"")</f>
        <v/>
      </c>
      <c r="AP1611" t="str">
        <f>IFERROR(vp.data[[#This Row],[Dens]]*vp.data[[#This Row],[VolumeM3]],"")</f>
        <v/>
      </c>
      <c r="AQ1611" s="15" t="str">
        <f>IFERROR(vp.data[[#This Row],[VP]]*vp.data[[#This Row],[VolumeM3]],"")</f>
        <v/>
      </c>
    </row>
    <row r="1612" spans="1:43" x14ac:dyDescent="0.25">
      <c r="A1612">
        <v>1611</v>
      </c>
      <c r="B1612" t="s">
        <v>62</v>
      </c>
      <c r="C1612" t="s">
        <v>62</v>
      </c>
      <c r="D1612" t="s">
        <v>79</v>
      </c>
      <c r="F1612" s="1">
        <v>42893</v>
      </c>
      <c r="G1612" s="2">
        <v>81.599999999999994</v>
      </c>
      <c r="H1612" s="2"/>
      <c r="I1612" s="2" t="str">
        <f t="array" ref="I161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2" s="2"/>
      <c r="K1612" s="2"/>
      <c r="L1612" s="2"/>
      <c r="M1612" s="2" t="str">
        <f t="array" ref="M161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2" s="2">
        <f ca="1">INDEX(INDIRECT(_xlfn.CONCAT("weather.tbl[",N$1,"]")),MATCH(vp.data[[#This Row],[SDate]],weather.tbl[Date],0))</f>
        <v>16.900000000000002</v>
      </c>
      <c r="O1612" s="2">
        <f ca="1">INDEX(INDIRECT(_xlfn.CONCAT("weather.tbl[",O$1,"]")),MATCH(vp.data[[#This Row],[SDate]],weather.tbl[Date],0))</f>
        <v>18.745238095238097</v>
      </c>
      <c r="P1612" s="2">
        <f ca="1">INDEX(INDIRECT(_xlfn.CONCAT("weather.tbl[",P$1,"]")),MATCH(vp.data[[#This Row],[SDate]],weather.tbl[Date],0))</f>
        <v>17.100000000000001</v>
      </c>
      <c r="Q1612" s="2">
        <f ca="1">INDEX(INDIRECT(_xlfn.CONCAT("weather.tbl[",Q$1,"]")),MATCH(vp.data[[#This Row],[SDate]],weather.tbl[Date],0))</f>
        <v>15.6</v>
      </c>
      <c r="R1612" s="2">
        <f ca="1">INDEX(INDIRECT(_xlfn.CONCAT("weather.tbl[",R$1,"]")),MATCH(vp.data[[#This Row],[SDate]],weather.tbl[Date],0))</f>
        <v>18</v>
      </c>
      <c r="S1612" s="2">
        <f ca="1">INDEX(INDIRECT(_xlfn.CONCAT("weather.tbl[",S$1,"]")),MATCH(vp.data[[#This Row],[SDate]],weather.tbl[Date],0))</f>
        <v>15.7</v>
      </c>
      <c r="T1612" s="2">
        <f ca="1">INDEX(INDIRECT(_xlfn.CONCAT("weather.tbl[",T$1,"]")),MATCH(vp.data[[#This Row],[SDate]],weather.tbl[Date],0))</f>
        <v>18</v>
      </c>
      <c r="U1612" s="2">
        <f ca="1">INDEX(INDIRECT(_xlfn.CONCAT("weather.tbl[",U$1,"]")),MATCH(vp.data[[#This Row],[SDate]],weather.tbl[Date],0))</f>
        <v>17</v>
      </c>
      <c r="V1612" s="2" t="str">
        <f t="array" ref="V16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2" t="s">
        <v>48</v>
      </c>
      <c r="X1612">
        <f>IF(OR(vp.data[[#This Row],[Sulf]]="",vp.data[[#This Row],[Dens]]=""),1,0)</f>
        <v>1</v>
      </c>
      <c r="Y1612">
        <f>IF(vp.data[[#This Row],[CrudeType]]="C5+",1,0)</f>
        <v>0</v>
      </c>
      <c r="Z1612">
        <f>IF(AND(vp.data[[#This Row],[CrudeType]]="Crude",vp.data[[#This Row],[Dens]]&lt;=825,vp.data[[#This Row],[Sulf]]&gt;0.5,vp.data[[#This Row],[Unknown]]=0),1,0)</f>
        <v>0</v>
      </c>
      <c r="AA1612">
        <f>IF(AND(vp.data[[#This Row],[CrudeType]]="Crude",vp.data[[#This Row],[Dens]]&lt;=825,vp.data[[#This Row],[Sulf]]&lt;=0.5,vp.data[[#This Row],[Unknown]]=0),1,0)</f>
        <v>0</v>
      </c>
      <c r="AB16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2">
        <f>IF(AND(vp.data[[#This Row],[CrudeType]]="Crude",vp.data[[#This Row],[Dens]]&gt;825,vp.data[[#This Row],[Dens]]&lt;=900,vp.data[[#This Row],[Sulf]]&lt;=0.5,vp.data[[#This Row],[Unknown]]=0),1,0)</f>
        <v>0</v>
      </c>
      <c r="AD1612">
        <f>IF(AND(vp.data[[#This Row],[CrudeType]]="Crude",vp.data[[#This Row],[Dens]]&gt;865,vp.data[[#This Row],[Dens]]&lt;=900,vp.data[[#This Row],[Sulf]]&gt;2,vp.data[[#This Row],[Unknown]]=0),1,0)</f>
        <v>0</v>
      </c>
      <c r="AE1612">
        <f>IF(AND(vp.data[[#This Row],[CrudeType]]="Crude",vp.data[[#This Row],[Dens]]&gt;900,vp.data[[#This Row],[Sulf]]&lt;=0.5,vp.data[[#This Row],[Unknown]]=0),1,0)</f>
        <v>0</v>
      </c>
      <c r="AF1612">
        <f>IF(AND(vp.data[[#This Row],[CrudeType]]="Crude",vp.data[[#This Row],[Dens]]&gt;900,vp.data[[#This Row],[Sulf]]&lt;=0.5,vp.data[[#This Row],[Unknown]]=0),1,0)</f>
        <v>0</v>
      </c>
      <c r="AG1612" t="str">
        <f>INDEX(vp.data[[#Headers],[Unknown]:[Heavy_SW]],MATCH(1,vp.data[[#This Row],[Unknown]:[Heavy_SW]],0))</f>
        <v>Unknown</v>
      </c>
      <c r="AH1612">
        <f>INDEX([3]!crudeBD.lkup[Number],MATCH(vp.data[[#This Row],[Crude_Breakdown]],crudeBD.lkup[Crude Breakdown],0))</f>
        <v>-1</v>
      </c>
      <c r="AI1612">
        <f>MONTH(vp.data[[#This Row],[SDate]])</f>
        <v>6</v>
      </c>
      <c r="AJ1612" s="5">
        <f>(vp.data[[#This Row],[VP]]-INDEX(crudeBD.lkup[Mean_VP],MATCH(vp.data[[#This Row],[Crude_Breakdown]],crudeBD.lkup[Crude Breakdown],0)))^2</f>
        <v>60.13790036123136</v>
      </c>
      <c r="AK1612" s="5" t="e">
        <f>(vp.data[[#This Row],[Dens]]-INDEX(crudeBD.lkup[Mean_Dens],MATCH(vp.data[[#This Row],[Crude_Breakdown]],crudeBD.lkup[Crude Breakdown],0)))^2</f>
        <v>#VALUE!</v>
      </c>
      <c r="AL1612" s="5" t="e">
        <f>(vp.data[[#This Row],[Sulf]]-INDEX(crudeBD.lkup[Mean_Sulf],MATCH(vp.data[[#This Row],[Crude_Breakdown]],crudeBD.lkup[Crude Breakdown],0)))^2</f>
        <v>#VALUE!</v>
      </c>
      <c r="AM1612" s="4">
        <f>IF(AND(vp.data[[#This Row],[SDate]]&gt;=DATE(YEAR(vp.data[[#This Row],[SDate]]),5,1),vp.data[[#This Row],[SDate]]&lt;=DATE(YEAR(vp.data[[#This Row],[SDate]]),9,15)),1,0)</f>
        <v>1</v>
      </c>
      <c r="AN1612" s="4">
        <f>IF(vp.data[[#This Row],[SDate]]&lt;DATE(2016,12,1),0,1)</f>
        <v>1</v>
      </c>
      <c r="AO1612" s="4" t="str">
        <f>IFERROR(vp.data[[#This Row],[Sulf]]*vp.data[[#This Row],[Net Dens]],"")</f>
        <v/>
      </c>
      <c r="AP1612" t="str">
        <f>IFERROR(vp.data[[#This Row],[Dens]]*vp.data[[#This Row],[VolumeM3]],"")</f>
        <v/>
      </c>
      <c r="AQ1612" s="15" t="str">
        <f>IFERROR(vp.data[[#This Row],[VP]]*vp.data[[#This Row],[VolumeM3]],"")</f>
        <v/>
      </c>
    </row>
    <row r="1613" spans="1:43" x14ac:dyDescent="0.25">
      <c r="A1613">
        <v>1612</v>
      </c>
      <c r="B1613" t="s">
        <v>62</v>
      </c>
      <c r="C1613" t="s">
        <v>62</v>
      </c>
      <c r="D1613" t="s">
        <v>83</v>
      </c>
      <c r="F1613" s="1">
        <v>42893</v>
      </c>
      <c r="G1613" s="2">
        <v>76.2</v>
      </c>
      <c r="H1613" s="2"/>
      <c r="I1613" s="2" t="str">
        <f t="array" ref="I161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3" s="2"/>
      <c r="K1613" s="2"/>
      <c r="L1613" s="2"/>
      <c r="M1613" s="2" t="str">
        <f t="array" ref="M161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3" s="2">
        <f ca="1">INDEX(INDIRECT(_xlfn.CONCAT("weather.tbl[",N$1,"]")),MATCH(vp.data[[#This Row],[SDate]],weather.tbl[Date],0))</f>
        <v>16.900000000000002</v>
      </c>
      <c r="O1613" s="2">
        <f ca="1">INDEX(INDIRECT(_xlfn.CONCAT("weather.tbl[",O$1,"]")),MATCH(vp.data[[#This Row],[SDate]],weather.tbl[Date],0))</f>
        <v>18.745238095238097</v>
      </c>
      <c r="P1613" s="2">
        <f ca="1">INDEX(INDIRECT(_xlfn.CONCAT("weather.tbl[",P$1,"]")),MATCH(vp.data[[#This Row],[SDate]],weather.tbl[Date],0))</f>
        <v>17.100000000000001</v>
      </c>
      <c r="Q1613" s="2">
        <f ca="1">INDEX(INDIRECT(_xlfn.CONCAT("weather.tbl[",Q$1,"]")),MATCH(vp.data[[#This Row],[SDate]],weather.tbl[Date],0))</f>
        <v>15.6</v>
      </c>
      <c r="R1613" s="2">
        <f ca="1">INDEX(INDIRECT(_xlfn.CONCAT("weather.tbl[",R$1,"]")),MATCH(vp.data[[#This Row],[SDate]],weather.tbl[Date],0))</f>
        <v>18</v>
      </c>
      <c r="S1613" s="2">
        <f ca="1">INDEX(INDIRECT(_xlfn.CONCAT("weather.tbl[",S$1,"]")),MATCH(vp.data[[#This Row],[SDate]],weather.tbl[Date],0))</f>
        <v>15.7</v>
      </c>
      <c r="T1613" s="2">
        <f ca="1">INDEX(INDIRECT(_xlfn.CONCAT("weather.tbl[",T$1,"]")),MATCH(vp.data[[#This Row],[SDate]],weather.tbl[Date],0))</f>
        <v>18</v>
      </c>
      <c r="U1613" s="2">
        <f ca="1">INDEX(INDIRECT(_xlfn.CONCAT("weather.tbl[",U$1,"]")),MATCH(vp.data[[#This Row],[SDate]],weather.tbl[Date],0))</f>
        <v>17</v>
      </c>
      <c r="V1613" s="2" t="str">
        <f t="array" ref="V16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3" t="s">
        <v>48</v>
      </c>
      <c r="X1613">
        <f>IF(OR(vp.data[[#This Row],[Sulf]]="",vp.data[[#This Row],[Dens]]=""),1,0)</f>
        <v>1</v>
      </c>
      <c r="Y1613">
        <f>IF(vp.data[[#This Row],[CrudeType]]="C5+",1,0)</f>
        <v>0</v>
      </c>
      <c r="Z1613">
        <f>IF(AND(vp.data[[#This Row],[CrudeType]]="Crude",vp.data[[#This Row],[Dens]]&lt;=825,vp.data[[#This Row],[Sulf]]&gt;0.5,vp.data[[#This Row],[Unknown]]=0),1,0)</f>
        <v>0</v>
      </c>
      <c r="AA1613">
        <f>IF(AND(vp.data[[#This Row],[CrudeType]]="Crude",vp.data[[#This Row],[Dens]]&lt;=825,vp.data[[#This Row],[Sulf]]&lt;=0.5,vp.data[[#This Row],[Unknown]]=0),1,0)</f>
        <v>0</v>
      </c>
      <c r="AB16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3">
        <f>IF(AND(vp.data[[#This Row],[CrudeType]]="Crude",vp.data[[#This Row],[Dens]]&gt;825,vp.data[[#This Row],[Dens]]&lt;=900,vp.data[[#This Row],[Sulf]]&lt;=0.5,vp.data[[#This Row],[Unknown]]=0),1,0)</f>
        <v>0</v>
      </c>
      <c r="AD1613">
        <f>IF(AND(vp.data[[#This Row],[CrudeType]]="Crude",vp.data[[#This Row],[Dens]]&gt;865,vp.data[[#This Row],[Dens]]&lt;=900,vp.data[[#This Row],[Sulf]]&gt;2,vp.data[[#This Row],[Unknown]]=0),1,0)</f>
        <v>0</v>
      </c>
      <c r="AE1613">
        <f>IF(AND(vp.data[[#This Row],[CrudeType]]="Crude",vp.data[[#This Row],[Dens]]&gt;900,vp.data[[#This Row],[Sulf]]&lt;=0.5,vp.data[[#This Row],[Unknown]]=0),1,0)</f>
        <v>0</v>
      </c>
      <c r="AF1613">
        <f>IF(AND(vp.data[[#This Row],[CrudeType]]="Crude",vp.data[[#This Row],[Dens]]&gt;900,vp.data[[#This Row],[Sulf]]&lt;=0.5,vp.data[[#This Row],[Unknown]]=0),1,0)</f>
        <v>0</v>
      </c>
      <c r="AG1613" t="str">
        <f>INDEX(vp.data[[#Headers],[Unknown]:[Heavy_SW]],MATCH(1,vp.data[[#This Row],[Unknown]:[Heavy_SW]],0))</f>
        <v>Unknown</v>
      </c>
      <c r="AH1613">
        <f>INDEX([3]!crudeBD.lkup[Number],MATCH(vp.data[[#This Row],[Crude_Breakdown]],crudeBD.lkup[Crude Breakdown],0))</f>
        <v>-1</v>
      </c>
      <c r="AI1613">
        <f>MONTH(vp.data[[#This Row],[SDate]])</f>
        <v>6</v>
      </c>
      <c r="AJ1613" s="5">
        <f>(vp.data[[#This Row],[VP]]-INDEX(crudeBD.lkup[Mean_VP],MATCH(vp.data[[#This Row],[Crude_Breakdown]],crudeBD.lkup[Crude Breakdown],0)))^2</f>
        <v>5.5453798132859431</v>
      </c>
      <c r="AK1613" s="5" t="e">
        <f>(vp.data[[#This Row],[Dens]]-INDEX(crudeBD.lkup[Mean_Dens],MATCH(vp.data[[#This Row],[Crude_Breakdown]],crudeBD.lkup[Crude Breakdown],0)))^2</f>
        <v>#VALUE!</v>
      </c>
      <c r="AL1613" s="5" t="e">
        <f>(vp.data[[#This Row],[Sulf]]-INDEX(crudeBD.lkup[Mean_Sulf],MATCH(vp.data[[#This Row],[Crude_Breakdown]],crudeBD.lkup[Crude Breakdown],0)))^2</f>
        <v>#VALUE!</v>
      </c>
      <c r="AM1613" s="4">
        <f>IF(AND(vp.data[[#This Row],[SDate]]&gt;=DATE(YEAR(vp.data[[#This Row],[SDate]]),5,1),vp.data[[#This Row],[SDate]]&lt;=DATE(YEAR(vp.data[[#This Row],[SDate]]),9,15)),1,0)</f>
        <v>1</v>
      </c>
      <c r="AN1613" s="4">
        <f>IF(vp.data[[#This Row],[SDate]]&lt;DATE(2016,12,1),0,1)</f>
        <v>1</v>
      </c>
      <c r="AO1613" s="4" t="str">
        <f>IFERROR(vp.data[[#This Row],[Sulf]]*vp.data[[#This Row],[Net Dens]],"")</f>
        <v/>
      </c>
      <c r="AP1613" t="str">
        <f>IFERROR(vp.data[[#This Row],[Dens]]*vp.data[[#This Row],[VolumeM3]],"")</f>
        <v/>
      </c>
      <c r="AQ1613" s="15" t="str">
        <f>IFERROR(vp.data[[#This Row],[VP]]*vp.data[[#This Row],[VolumeM3]],"")</f>
        <v/>
      </c>
    </row>
    <row r="1614" spans="1:43" x14ac:dyDescent="0.25">
      <c r="A1614">
        <v>1613</v>
      </c>
      <c r="B1614" t="s">
        <v>62</v>
      </c>
      <c r="C1614" t="s">
        <v>62</v>
      </c>
      <c r="D1614" t="s">
        <v>87</v>
      </c>
      <c r="F1614" s="1">
        <v>42893</v>
      </c>
      <c r="G1614" s="2">
        <v>96.7</v>
      </c>
      <c r="H1614" s="2"/>
      <c r="I1614" s="2" t="str">
        <f t="array" ref="I161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4" s="2"/>
      <c r="K1614" s="2"/>
      <c r="L1614" s="2"/>
      <c r="M1614" s="2" t="str">
        <f t="array" ref="M161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4" s="2">
        <f ca="1">INDEX(INDIRECT(_xlfn.CONCAT("weather.tbl[",N$1,"]")),MATCH(vp.data[[#This Row],[SDate]],weather.tbl[Date],0))</f>
        <v>16.900000000000002</v>
      </c>
      <c r="O1614" s="2">
        <f ca="1">INDEX(INDIRECT(_xlfn.CONCAT("weather.tbl[",O$1,"]")),MATCH(vp.data[[#This Row],[SDate]],weather.tbl[Date],0))</f>
        <v>18.745238095238097</v>
      </c>
      <c r="P1614" s="2">
        <f ca="1">INDEX(INDIRECT(_xlfn.CONCAT("weather.tbl[",P$1,"]")),MATCH(vp.data[[#This Row],[SDate]],weather.tbl[Date],0))</f>
        <v>17.100000000000001</v>
      </c>
      <c r="Q1614" s="2">
        <f ca="1">INDEX(INDIRECT(_xlfn.CONCAT("weather.tbl[",Q$1,"]")),MATCH(vp.data[[#This Row],[SDate]],weather.tbl[Date],0))</f>
        <v>15.6</v>
      </c>
      <c r="R1614" s="2">
        <f ca="1">INDEX(INDIRECT(_xlfn.CONCAT("weather.tbl[",R$1,"]")),MATCH(vp.data[[#This Row],[SDate]],weather.tbl[Date],0))</f>
        <v>18</v>
      </c>
      <c r="S1614" s="2">
        <f ca="1">INDEX(INDIRECT(_xlfn.CONCAT("weather.tbl[",S$1,"]")),MATCH(vp.data[[#This Row],[SDate]],weather.tbl[Date],0))</f>
        <v>15.7</v>
      </c>
      <c r="T1614" s="2">
        <f ca="1">INDEX(INDIRECT(_xlfn.CONCAT("weather.tbl[",T$1,"]")),MATCH(vp.data[[#This Row],[SDate]],weather.tbl[Date],0))</f>
        <v>18</v>
      </c>
      <c r="U1614" s="2">
        <f ca="1">INDEX(INDIRECT(_xlfn.CONCAT("weather.tbl[",U$1,"]")),MATCH(vp.data[[#This Row],[SDate]],weather.tbl[Date],0))</f>
        <v>17</v>
      </c>
      <c r="V1614" s="2" t="str">
        <f t="array" ref="V16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4" t="s">
        <v>48</v>
      </c>
      <c r="X1614">
        <f>IF(OR(vp.data[[#This Row],[Sulf]]="",vp.data[[#This Row],[Dens]]=""),1,0)</f>
        <v>1</v>
      </c>
      <c r="Y1614">
        <f>IF(vp.data[[#This Row],[CrudeType]]="C5+",1,0)</f>
        <v>0</v>
      </c>
      <c r="Z1614">
        <f>IF(AND(vp.data[[#This Row],[CrudeType]]="Crude",vp.data[[#This Row],[Dens]]&lt;=825,vp.data[[#This Row],[Sulf]]&gt;0.5,vp.data[[#This Row],[Unknown]]=0),1,0)</f>
        <v>0</v>
      </c>
      <c r="AA1614">
        <f>IF(AND(vp.data[[#This Row],[CrudeType]]="Crude",vp.data[[#This Row],[Dens]]&lt;=825,vp.data[[#This Row],[Sulf]]&lt;=0.5,vp.data[[#This Row],[Unknown]]=0),1,0)</f>
        <v>0</v>
      </c>
      <c r="AB16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4">
        <f>IF(AND(vp.data[[#This Row],[CrudeType]]="Crude",vp.data[[#This Row],[Dens]]&gt;825,vp.data[[#This Row],[Dens]]&lt;=900,vp.data[[#This Row],[Sulf]]&lt;=0.5,vp.data[[#This Row],[Unknown]]=0),1,0)</f>
        <v>0</v>
      </c>
      <c r="AD1614">
        <f>IF(AND(vp.data[[#This Row],[CrudeType]]="Crude",vp.data[[#This Row],[Dens]]&gt;865,vp.data[[#This Row],[Dens]]&lt;=900,vp.data[[#This Row],[Sulf]]&gt;2,vp.data[[#This Row],[Unknown]]=0),1,0)</f>
        <v>0</v>
      </c>
      <c r="AE1614">
        <f>IF(AND(vp.data[[#This Row],[CrudeType]]="Crude",vp.data[[#This Row],[Dens]]&gt;900,vp.data[[#This Row],[Sulf]]&lt;=0.5,vp.data[[#This Row],[Unknown]]=0),1,0)</f>
        <v>0</v>
      </c>
      <c r="AF1614">
        <f>IF(AND(vp.data[[#This Row],[CrudeType]]="Crude",vp.data[[#This Row],[Dens]]&gt;900,vp.data[[#This Row],[Sulf]]&lt;=0.5,vp.data[[#This Row],[Unknown]]=0),1,0)</f>
        <v>0</v>
      </c>
      <c r="AG1614" t="str">
        <f>INDEX(vp.data[[#Headers],[Unknown]:[Heavy_SW]],MATCH(1,vp.data[[#This Row],[Unknown]:[Heavy_SW]],0))</f>
        <v>Unknown</v>
      </c>
      <c r="AH1614">
        <f>INDEX([3]!crudeBD.lkup[Number],MATCH(vp.data[[#This Row],[Crude_Breakdown]],crudeBD.lkup[Crude Breakdown],0))</f>
        <v>-1</v>
      </c>
      <c r="AI1614">
        <f>MONTH(vp.data[[#This Row],[SDate]])</f>
        <v>6</v>
      </c>
      <c r="AJ1614" s="5">
        <f>(vp.data[[#This Row],[VP]]-INDEX(crudeBD.lkup[Mean_VP],MATCH(vp.data[[#This Row],[Crude_Breakdown]],crudeBD.lkup[Crude Breakdown],0)))^2</f>
        <v>522.34476337493106</v>
      </c>
      <c r="AK1614" s="5" t="e">
        <f>(vp.data[[#This Row],[Dens]]-INDEX(crudeBD.lkup[Mean_Dens],MATCH(vp.data[[#This Row],[Crude_Breakdown]],crudeBD.lkup[Crude Breakdown],0)))^2</f>
        <v>#VALUE!</v>
      </c>
      <c r="AL1614" s="5" t="e">
        <f>(vp.data[[#This Row],[Sulf]]-INDEX(crudeBD.lkup[Mean_Sulf],MATCH(vp.data[[#This Row],[Crude_Breakdown]],crudeBD.lkup[Crude Breakdown],0)))^2</f>
        <v>#VALUE!</v>
      </c>
      <c r="AM1614" s="4">
        <f>IF(AND(vp.data[[#This Row],[SDate]]&gt;=DATE(YEAR(vp.data[[#This Row],[SDate]]),5,1),vp.data[[#This Row],[SDate]]&lt;=DATE(YEAR(vp.data[[#This Row],[SDate]]),9,15)),1,0)</f>
        <v>1</v>
      </c>
      <c r="AN1614" s="4">
        <f>IF(vp.data[[#This Row],[SDate]]&lt;DATE(2016,12,1),0,1)</f>
        <v>1</v>
      </c>
      <c r="AO1614" s="4" t="str">
        <f>IFERROR(vp.data[[#This Row],[Sulf]]*vp.data[[#This Row],[Net Dens]],"")</f>
        <v/>
      </c>
      <c r="AP1614" t="str">
        <f>IFERROR(vp.data[[#This Row],[Dens]]*vp.data[[#This Row],[VolumeM3]],"")</f>
        <v/>
      </c>
      <c r="AQ1614" s="15" t="str">
        <f>IFERROR(vp.data[[#This Row],[VP]]*vp.data[[#This Row],[VolumeM3]],"")</f>
        <v/>
      </c>
    </row>
    <row r="1615" spans="1:43" x14ac:dyDescent="0.25">
      <c r="A1615">
        <v>1614</v>
      </c>
      <c r="B1615" t="s">
        <v>68</v>
      </c>
      <c r="C1615" t="s">
        <v>68</v>
      </c>
      <c r="D1615" t="s">
        <v>69</v>
      </c>
      <c r="F1615" s="1">
        <v>42893</v>
      </c>
      <c r="G1615" s="2">
        <v>66.5</v>
      </c>
      <c r="H1615" s="2"/>
      <c r="I1615" s="2" t="str">
        <f t="array" ref="I161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5" s="2"/>
      <c r="K1615" s="2"/>
      <c r="L1615" s="2"/>
      <c r="M1615" s="2" t="str">
        <f t="array" ref="M161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5" s="2">
        <f ca="1">INDEX(INDIRECT(_xlfn.CONCAT("weather.tbl[",N$1,"]")),MATCH(vp.data[[#This Row],[SDate]],weather.tbl[Date],0))</f>
        <v>16.900000000000002</v>
      </c>
      <c r="O1615" s="2">
        <f ca="1">INDEX(INDIRECT(_xlfn.CONCAT("weather.tbl[",O$1,"]")),MATCH(vp.data[[#This Row],[SDate]],weather.tbl[Date],0))</f>
        <v>18.745238095238097</v>
      </c>
      <c r="P1615" s="2">
        <f ca="1">INDEX(INDIRECT(_xlfn.CONCAT("weather.tbl[",P$1,"]")),MATCH(vp.data[[#This Row],[SDate]],weather.tbl[Date],0))</f>
        <v>17.100000000000001</v>
      </c>
      <c r="Q1615" s="2">
        <f ca="1">INDEX(INDIRECT(_xlfn.CONCAT("weather.tbl[",Q$1,"]")),MATCH(vp.data[[#This Row],[SDate]],weather.tbl[Date],0))</f>
        <v>15.6</v>
      </c>
      <c r="R1615" s="2">
        <f ca="1">INDEX(INDIRECT(_xlfn.CONCAT("weather.tbl[",R$1,"]")),MATCH(vp.data[[#This Row],[SDate]],weather.tbl[Date],0))</f>
        <v>18</v>
      </c>
      <c r="S1615" s="2">
        <f ca="1">INDEX(INDIRECT(_xlfn.CONCAT("weather.tbl[",S$1,"]")),MATCH(vp.data[[#This Row],[SDate]],weather.tbl[Date],0))</f>
        <v>15.7</v>
      </c>
      <c r="T1615" s="2">
        <f ca="1">INDEX(INDIRECT(_xlfn.CONCAT("weather.tbl[",T$1,"]")),MATCH(vp.data[[#This Row],[SDate]],weather.tbl[Date],0))</f>
        <v>18</v>
      </c>
      <c r="U1615" s="2">
        <f ca="1">INDEX(INDIRECT(_xlfn.CONCAT("weather.tbl[",U$1,"]")),MATCH(vp.data[[#This Row],[SDate]],weather.tbl[Date],0))</f>
        <v>17</v>
      </c>
      <c r="V1615" s="2" t="str">
        <f t="array" ref="V16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5" t="s">
        <v>48</v>
      </c>
      <c r="X1615">
        <f>IF(OR(vp.data[[#This Row],[Sulf]]="",vp.data[[#This Row],[Dens]]=""),1,0)</f>
        <v>1</v>
      </c>
      <c r="Y1615">
        <f>IF(vp.data[[#This Row],[CrudeType]]="C5+",1,0)</f>
        <v>0</v>
      </c>
      <c r="Z1615">
        <f>IF(AND(vp.data[[#This Row],[CrudeType]]="Crude",vp.data[[#This Row],[Dens]]&lt;=825,vp.data[[#This Row],[Sulf]]&gt;0.5,vp.data[[#This Row],[Unknown]]=0),1,0)</f>
        <v>0</v>
      </c>
      <c r="AA1615">
        <f>IF(AND(vp.data[[#This Row],[CrudeType]]="Crude",vp.data[[#This Row],[Dens]]&lt;=825,vp.data[[#This Row],[Sulf]]&lt;=0.5,vp.data[[#This Row],[Unknown]]=0),1,0)</f>
        <v>0</v>
      </c>
      <c r="AB16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5">
        <f>IF(AND(vp.data[[#This Row],[CrudeType]]="Crude",vp.data[[#This Row],[Dens]]&gt;825,vp.data[[#This Row],[Dens]]&lt;=900,vp.data[[#This Row],[Sulf]]&lt;=0.5,vp.data[[#This Row],[Unknown]]=0),1,0)</f>
        <v>0</v>
      </c>
      <c r="AD1615">
        <f>IF(AND(vp.data[[#This Row],[CrudeType]]="Crude",vp.data[[#This Row],[Dens]]&gt;865,vp.data[[#This Row],[Dens]]&lt;=900,vp.data[[#This Row],[Sulf]]&gt;2,vp.data[[#This Row],[Unknown]]=0),1,0)</f>
        <v>0</v>
      </c>
      <c r="AE1615">
        <f>IF(AND(vp.data[[#This Row],[CrudeType]]="Crude",vp.data[[#This Row],[Dens]]&gt;900,vp.data[[#This Row],[Sulf]]&lt;=0.5,vp.data[[#This Row],[Unknown]]=0),1,0)</f>
        <v>0</v>
      </c>
      <c r="AF1615">
        <f>IF(AND(vp.data[[#This Row],[CrudeType]]="Crude",vp.data[[#This Row],[Dens]]&gt;900,vp.data[[#This Row],[Sulf]]&lt;=0.5,vp.data[[#This Row],[Unknown]]=0),1,0)</f>
        <v>0</v>
      </c>
      <c r="AG1615" t="str">
        <f>INDEX(vp.data[[#Headers],[Unknown]:[Heavy_SW]],MATCH(1,vp.data[[#This Row],[Unknown]:[Heavy_SW]],0))</f>
        <v>Unknown</v>
      </c>
      <c r="AH1615">
        <f>INDEX([3]!crudeBD.lkup[Number],MATCH(vp.data[[#This Row],[Crude_Breakdown]],crudeBD.lkup[Crude Breakdown],0))</f>
        <v>-1</v>
      </c>
      <c r="AI1615">
        <f>MONTH(vp.data[[#This Row],[SDate]])</f>
        <v>6</v>
      </c>
      <c r="AJ1615" s="5">
        <f>(vp.data[[#This Row],[VP]]-INDEX(crudeBD.lkup[Mean_VP],MATCH(vp.data[[#This Row],[Crude_Breakdown]],crudeBD.lkup[Crude Breakdown],0)))^2</f>
        <v>53.951037347531951</v>
      </c>
      <c r="AK1615" s="5" t="e">
        <f>(vp.data[[#This Row],[Dens]]-INDEX(crudeBD.lkup[Mean_Dens],MATCH(vp.data[[#This Row],[Crude_Breakdown]],crudeBD.lkup[Crude Breakdown],0)))^2</f>
        <v>#VALUE!</v>
      </c>
      <c r="AL1615" s="5" t="e">
        <f>(vp.data[[#This Row],[Sulf]]-INDEX(crudeBD.lkup[Mean_Sulf],MATCH(vp.data[[#This Row],[Crude_Breakdown]],crudeBD.lkup[Crude Breakdown],0)))^2</f>
        <v>#VALUE!</v>
      </c>
      <c r="AM1615" s="4">
        <f>IF(AND(vp.data[[#This Row],[SDate]]&gt;=DATE(YEAR(vp.data[[#This Row],[SDate]]),5,1),vp.data[[#This Row],[SDate]]&lt;=DATE(YEAR(vp.data[[#This Row],[SDate]]),9,15)),1,0)</f>
        <v>1</v>
      </c>
      <c r="AN1615" s="4">
        <f>IF(vp.data[[#This Row],[SDate]]&lt;DATE(2016,12,1),0,1)</f>
        <v>1</v>
      </c>
      <c r="AO1615" s="4" t="str">
        <f>IFERROR(vp.data[[#This Row],[Sulf]]*vp.data[[#This Row],[Net Dens]],"")</f>
        <v/>
      </c>
      <c r="AP1615" t="str">
        <f>IFERROR(vp.data[[#This Row],[Dens]]*vp.data[[#This Row],[VolumeM3]],"")</f>
        <v/>
      </c>
      <c r="AQ1615" s="15" t="str">
        <f>IFERROR(vp.data[[#This Row],[VP]]*vp.data[[#This Row],[VolumeM3]],"")</f>
        <v/>
      </c>
    </row>
    <row r="1616" spans="1:43" x14ac:dyDescent="0.25">
      <c r="A1616">
        <v>1615</v>
      </c>
      <c r="B1616" t="s">
        <v>68</v>
      </c>
      <c r="C1616" t="s">
        <v>68</v>
      </c>
      <c r="D1616" t="s">
        <v>98</v>
      </c>
      <c r="F1616" s="1">
        <v>42893</v>
      </c>
      <c r="G1616" s="2">
        <v>61.2</v>
      </c>
      <c r="H1616" s="2"/>
      <c r="I1616" s="2" t="str">
        <f t="array" ref="I161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6" s="2"/>
      <c r="K1616" s="2"/>
      <c r="L1616" s="2"/>
      <c r="M1616" s="2" t="str">
        <f t="array" ref="M161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6" s="2">
        <f ca="1">INDEX(INDIRECT(_xlfn.CONCAT("weather.tbl[",N$1,"]")),MATCH(vp.data[[#This Row],[SDate]],weather.tbl[Date],0))</f>
        <v>16.900000000000002</v>
      </c>
      <c r="O1616" s="2">
        <f ca="1">INDEX(INDIRECT(_xlfn.CONCAT("weather.tbl[",O$1,"]")),MATCH(vp.data[[#This Row],[SDate]],weather.tbl[Date],0))</f>
        <v>18.745238095238097</v>
      </c>
      <c r="P1616" s="2">
        <f ca="1">INDEX(INDIRECT(_xlfn.CONCAT("weather.tbl[",P$1,"]")),MATCH(vp.data[[#This Row],[SDate]],weather.tbl[Date],0))</f>
        <v>17.100000000000001</v>
      </c>
      <c r="Q1616" s="2">
        <f ca="1">INDEX(INDIRECT(_xlfn.CONCAT("weather.tbl[",Q$1,"]")),MATCH(vp.data[[#This Row],[SDate]],weather.tbl[Date],0))</f>
        <v>15.6</v>
      </c>
      <c r="R1616" s="2">
        <f ca="1">INDEX(INDIRECT(_xlfn.CONCAT("weather.tbl[",R$1,"]")),MATCH(vp.data[[#This Row],[SDate]],weather.tbl[Date],0))</f>
        <v>18</v>
      </c>
      <c r="S1616" s="2">
        <f ca="1">INDEX(INDIRECT(_xlfn.CONCAT("weather.tbl[",S$1,"]")),MATCH(vp.data[[#This Row],[SDate]],weather.tbl[Date],0))</f>
        <v>15.7</v>
      </c>
      <c r="T1616" s="2">
        <f ca="1">INDEX(INDIRECT(_xlfn.CONCAT("weather.tbl[",T$1,"]")),MATCH(vp.data[[#This Row],[SDate]],weather.tbl[Date],0))</f>
        <v>18</v>
      </c>
      <c r="U1616" s="2">
        <f ca="1">INDEX(INDIRECT(_xlfn.CONCAT("weather.tbl[",U$1,"]")),MATCH(vp.data[[#This Row],[SDate]],weather.tbl[Date],0))</f>
        <v>17</v>
      </c>
      <c r="V1616" s="2" t="str">
        <f t="array" ref="V16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6" t="s">
        <v>48</v>
      </c>
      <c r="X1616">
        <f>IF(OR(vp.data[[#This Row],[Sulf]]="",vp.data[[#This Row],[Dens]]=""),1,0)</f>
        <v>1</v>
      </c>
      <c r="Y1616">
        <f>IF(vp.data[[#This Row],[CrudeType]]="C5+",1,0)</f>
        <v>0</v>
      </c>
      <c r="Z1616">
        <f>IF(AND(vp.data[[#This Row],[CrudeType]]="Crude",vp.data[[#This Row],[Dens]]&lt;=825,vp.data[[#This Row],[Sulf]]&gt;0.5,vp.data[[#This Row],[Unknown]]=0),1,0)</f>
        <v>0</v>
      </c>
      <c r="AA1616">
        <f>IF(AND(vp.data[[#This Row],[CrudeType]]="Crude",vp.data[[#This Row],[Dens]]&lt;=825,vp.data[[#This Row],[Sulf]]&lt;=0.5,vp.data[[#This Row],[Unknown]]=0),1,0)</f>
        <v>0</v>
      </c>
      <c r="AB16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6">
        <f>IF(AND(vp.data[[#This Row],[CrudeType]]="Crude",vp.data[[#This Row],[Dens]]&gt;825,vp.data[[#This Row],[Dens]]&lt;=900,vp.data[[#This Row],[Sulf]]&lt;=0.5,vp.data[[#This Row],[Unknown]]=0),1,0)</f>
        <v>0</v>
      </c>
      <c r="AD1616">
        <f>IF(AND(vp.data[[#This Row],[CrudeType]]="Crude",vp.data[[#This Row],[Dens]]&gt;865,vp.data[[#This Row],[Dens]]&lt;=900,vp.data[[#This Row],[Sulf]]&gt;2,vp.data[[#This Row],[Unknown]]=0),1,0)</f>
        <v>0</v>
      </c>
      <c r="AE1616">
        <f>IF(AND(vp.data[[#This Row],[CrudeType]]="Crude",vp.data[[#This Row],[Dens]]&gt;900,vp.data[[#This Row],[Sulf]]&lt;=0.5,vp.data[[#This Row],[Unknown]]=0),1,0)</f>
        <v>0</v>
      </c>
      <c r="AF1616">
        <f>IF(AND(vp.data[[#This Row],[CrudeType]]="Crude",vp.data[[#This Row],[Dens]]&gt;900,vp.data[[#This Row],[Sulf]]&lt;=0.5,vp.data[[#This Row],[Unknown]]=0),1,0)</f>
        <v>0</v>
      </c>
      <c r="AG1616" t="str">
        <f>INDEX(vp.data[[#Headers],[Unknown]:[Heavy_SW]],MATCH(1,vp.data[[#This Row],[Unknown]:[Heavy_SW]],0))</f>
        <v>Unknown</v>
      </c>
      <c r="AH1616">
        <f>INDEX([3]!crudeBD.lkup[Number],MATCH(vp.data[[#This Row],[Crude_Breakdown]],crudeBD.lkup[Crude Breakdown],0))</f>
        <v>-1</v>
      </c>
      <c r="AI1616">
        <f>MONTH(vp.data[[#This Row],[SDate]])</f>
        <v>6</v>
      </c>
      <c r="AJ1616" s="5">
        <f>(vp.data[[#This Row],[VP]]-INDEX(crudeBD.lkup[Mean_VP],MATCH(vp.data[[#This Row],[Crude_Breakdown]],crudeBD.lkup[Crude Breakdown],0)))^2</f>
        <v>159.89948940232608</v>
      </c>
      <c r="AK1616" s="5" t="e">
        <f>(vp.data[[#This Row],[Dens]]-INDEX(crudeBD.lkup[Mean_Dens],MATCH(vp.data[[#This Row],[Crude_Breakdown]],crudeBD.lkup[Crude Breakdown],0)))^2</f>
        <v>#VALUE!</v>
      </c>
      <c r="AL1616" s="5" t="e">
        <f>(vp.data[[#This Row],[Sulf]]-INDEX(crudeBD.lkup[Mean_Sulf],MATCH(vp.data[[#This Row],[Crude_Breakdown]],crudeBD.lkup[Crude Breakdown],0)))^2</f>
        <v>#VALUE!</v>
      </c>
      <c r="AM1616" s="4">
        <f>IF(AND(vp.data[[#This Row],[SDate]]&gt;=DATE(YEAR(vp.data[[#This Row],[SDate]]),5,1),vp.data[[#This Row],[SDate]]&lt;=DATE(YEAR(vp.data[[#This Row],[SDate]]),9,15)),1,0)</f>
        <v>1</v>
      </c>
      <c r="AN1616" s="4">
        <f>IF(vp.data[[#This Row],[SDate]]&lt;DATE(2016,12,1),0,1)</f>
        <v>1</v>
      </c>
      <c r="AO1616" s="4" t="str">
        <f>IFERROR(vp.data[[#This Row],[Sulf]]*vp.data[[#This Row],[Net Dens]],"")</f>
        <v/>
      </c>
      <c r="AP1616" t="str">
        <f>IFERROR(vp.data[[#This Row],[Dens]]*vp.data[[#This Row],[VolumeM3]],"")</f>
        <v/>
      </c>
      <c r="AQ1616" s="15" t="str">
        <f>IFERROR(vp.data[[#This Row],[VP]]*vp.data[[#This Row],[VolumeM3]],"")</f>
        <v/>
      </c>
    </row>
    <row r="1617" spans="1:43" x14ac:dyDescent="0.25">
      <c r="A1617">
        <v>1616</v>
      </c>
      <c r="B1617" t="s">
        <v>292</v>
      </c>
      <c r="C1617" t="s">
        <v>292</v>
      </c>
      <c r="D1617" t="s">
        <v>57</v>
      </c>
      <c r="F1617" s="1">
        <v>42893</v>
      </c>
      <c r="G1617" s="2">
        <v>72.5</v>
      </c>
      <c r="H1617" s="2"/>
      <c r="I1617" s="2" t="str">
        <f t="array" ref="I161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7" s="2"/>
      <c r="K1617" s="2"/>
      <c r="L1617" s="2"/>
      <c r="M1617" s="2" t="str">
        <f t="array" ref="M161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7" s="2">
        <f ca="1">INDEX(INDIRECT(_xlfn.CONCAT("weather.tbl[",N$1,"]")),MATCH(vp.data[[#This Row],[SDate]],weather.tbl[Date],0))</f>
        <v>16.900000000000002</v>
      </c>
      <c r="O1617" s="2">
        <f ca="1">INDEX(INDIRECT(_xlfn.CONCAT("weather.tbl[",O$1,"]")),MATCH(vp.data[[#This Row],[SDate]],weather.tbl[Date],0))</f>
        <v>18.745238095238097</v>
      </c>
      <c r="P1617" s="2">
        <f ca="1">INDEX(INDIRECT(_xlfn.CONCAT("weather.tbl[",P$1,"]")),MATCH(vp.data[[#This Row],[SDate]],weather.tbl[Date],0))</f>
        <v>17.100000000000001</v>
      </c>
      <c r="Q1617" s="2">
        <f ca="1">INDEX(INDIRECT(_xlfn.CONCAT("weather.tbl[",Q$1,"]")),MATCH(vp.data[[#This Row],[SDate]],weather.tbl[Date],0))</f>
        <v>15.6</v>
      </c>
      <c r="R1617" s="2">
        <f ca="1">INDEX(INDIRECT(_xlfn.CONCAT("weather.tbl[",R$1,"]")),MATCH(vp.data[[#This Row],[SDate]],weather.tbl[Date],0))</f>
        <v>18</v>
      </c>
      <c r="S1617" s="2">
        <f ca="1">INDEX(INDIRECT(_xlfn.CONCAT("weather.tbl[",S$1,"]")),MATCH(vp.data[[#This Row],[SDate]],weather.tbl[Date],0))</f>
        <v>15.7</v>
      </c>
      <c r="T1617" s="2">
        <f ca="1">INDEX(INDIRECT(_xlfn.CONCAT("weather.tbl[",T$1,"]")),MATCH(vp.data[[#This Row],[SDate]],weather.tbl[Date],0))</f>
        <v>18</v>
      </c>
      <c r="U1617" s="2">
        <f ca="1">INDEX(INDIRECT(_xlfn.CONCAT("weather.tbl[",U$1,"]")),MATCH(vp.data[[#This Row],[SDate]],weather.tbl[Date],0))</f>
        <v>17</v>
      </c>
      <c r="V1617" s="2" t="str">
        <f t="array" ref="V16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7" t="s">
        <v>48</v>
      </c>
      <c r="X1617">
        <f>IF(OR(vp.data[[#This Row],[Sulf]]="",vp.data[[#This Row],[Dens]]=""),1,0)</f>
        <v>1</v>
      </c>
      <c r="Y1617">
        <f>IF(vp.data[[#This Row],[CrudeType]]="C5+",1,0)</f>
        <v>0</v>
      </c>
      <c r="Z1617">
        <f>IF(AND(vp.data[[#This Row],[CrudeType]]="Crude",vp.data[[#This Row],[Dens]]&lt;=825,vp.data[[#This Row],[Sulf]]&gt;0.5,vp.data[[#This Row],[Unknown]]=0),1,0)</f>
        <v>0</v>
      </c>
      <c r="AA1617">
        <f>IF(AND(vp.data[[#This Row],[CrudeType]]="Crude",vp.data[[#This Row],[Dens]]&lt;=825,vp.data[[#This Row],[Sulf]]&lt;=0.5,vp.data[[#This Row],[Unknown]]=0),1,0)</f>
        <v>0</v>
      </c>
      <c r="AB16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7">
        <f>IF(AND(vp.data[[#This Row],[CrudeType]]="Crude",vp.data[[#This Row],[Dens]]&gt;825,vp.data[[#This Row],[Dens]]&lt;=900,vp.data[[#This Row],[Sulf]]&lt;=0.5,vp.data[[#This Row],[Unknown]]=0),1,0)</f>
        <v>0</v>
      </c>
      <c r="AD1617">
        <f>IF(AND(vp.data[[#This Row],[CrudeType]]="Crude",vp.data[[#This Row],[Dens]]&gt;865,vp.data[[#This Row],[Dens]]&lt;=900,vp.data[[#This Row],[Sulf]]&gt;2,vp.data[[#This Row],[Unknown]]=0),1,0)</f>
        <v>0</v>
      </c>
      <c r="AE1617">
        <f>IF(AND(vp.data[[#This Row],[CrudeType]]="Crude",vp.data[[#This Row],[Dens]]&gt;900,vp.data[[#This Row],[Sulf]]&lt;=0.5,vp.data[[#This Row],[Unknown]]=0),1,0)</f>
        <v>0</v>
      </c>
      <c r="AF1617">
        <f>IF(AND(vp.data[[#This Row],[CrudeType]]="Crude",vp.data[[#This Row],[Dens]]&gt;900,vp.data[[#This Row],[Sulf]]&lt;=0.5,vp.data[[#This Row],[Unknown]]=0),1,0)</f>
        <v>0</v>
      </c>
      <c r="AG1617" t="str">
        <f>INDEX(vp.data[[#Headers],[Unknown]:[Heavy_SW]],MATCH(1,vp.data[[#This Row],[Unknown]:[Heavy_SW]],0))</f>
        <v>Unknown</v>
      </c>
      <c r="AH1617">
        <f>INDEX([3]!crudeBD.lkup[Number],MATCH(vp.data[[#This Row],[Crude_Breakdown]],crudeBD.lkup[Crude Breakdown],0))</f>
        <v>-1</v>
      </c>
      <c r="AI1617">
        <f>MONTH(vp.data[[#This Row],[SDate]])</f>
        <v>6</v>
      </c>
      <c r="AJ1617" s="5">
        <f>(vp.data[[#This Row],[VP]]-INDEX(crudeBD.lkup[Mean_VP],MATCH(vp.data[[#This Row],[Crude_Breakdown]],crudeBD.lkup[Crude Breakdown],0)))^2</f>
        <v>1.8093935119158544</v>
      </c>
      <c r="AK1617" s="5" t="e">
        <f>(vp.data[[#This Row],[Dens]]-INDEX(crudeBD.lkup[Mean_Dens],MATCH(vp.data[[#This Row],[Crude_Breakdown]],crudeBD.lkup[Crude Breakdown],0)))^2</f>
        <v>#VALUE!</v>
      </c>
      <c r="AL1617" s="5" t="e">
        <f>(vp.data[[#This Row],[Sulf]]-INDEX(crudeBD.lkup[Mean_Sulf],MATCH(vp.data[[#This Row],[Crude_Breakdown]],crudeBD.lkup[Crude Breakdown],0)))^2</f>
        <v>#VALUE!</v>
      </c>
      <c r="AM1617" s="4">
        <f>IF(AND(vp.data[[#This Row],[SDate]]&gt;=DATE(YEAR(vp.data[[#This Row],[SDate]]),5,1),vp.data[[#This Row],[SDate]]&lt;=DATE(YEAR(vp.data[[#This Row],[SDate]]),9,15)),1,0)</f>
        <v>1</v>
      </c>
      <c r="AN1617" s="4">
        <f>IF(vp.data[[#This Row],[SDate]]&lt;DATE(2016,12,1),0,1)</f>
        <v>1</v>
      </c>
      <c r="AO1617" s="4" t="str">
        <f>IFERROR(vp.data[[#This Row],[Sulf]]*vp.data[[#This Row],[Net Dens]],"")</f>
        <v/>
      </c>
      <c r="AP1617" t="str">
        <f>IFERROR(vp.data[[#This Row],[Dens]]*vp.data[[#This Row],[VolumeM3]],"")</f>
        <v/>
      </c>
      <c r="AQ1617" s="15" t="str">
        <f>IFERROR(vp.data[[#This Row],[VP]]*vp.data[[#This Row],[VolumeM3]],"")</f>
        <v/>
      </c>
    </row>
    <row r="1618" spans="1:43" x14ac:dyDescent="0.25">
      <c r="A1618">
        <v>1617</v>
      </c>
      <c r="B1618" t="s">
        <v>111</v>
      </c>
      <c r="C1618" t="s">
        <v>111</v>
      </c>
      <c r="D1618" t="s">
        <v>112</v>
      </c>
      <c r="F1618" s="1">
        <v>42893</v>
      </c>
      <c r="G1618" s="2">
        <v>76.099999999999994</v>
      </c>
      <c r="H1618" s="2"/>
      <c r="I1618" s="2" t="str">
        <f t="array" ref="I161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8" s="2"/>
      <c r="K1618" s="2"/>
      <c r="L1618" s="2"/>
      <c r="M1618" s="2" t="str">
        <f t="array" ref="M161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8" s="2">
        <f ca="1">INDEX(INDIRECT(_xlfn.CONCAT("weather.tbl[",N$1,"]")),MATCH(vp.data[[#This Row],[SDate]],weather.tbl[Date],0))</f>
        <v>16.900000000000002</v>
      </c>
      <c r="O1618" s="2">
        <f ca="1">INDEX(INDIRECT(_xlfn.CONCAT("weather.tbl[",O$1,"]")),MATCH(vp.data[[#This Row],[SDate]],weather.tbl[Date],0))</f>
        <v>18.745238095238097</v>
      </c>
      <c r="P1618" s="2">
        <f ca="1">INDEX(INDIRECT(_xlfn.CONCAT("weather.tbl[",P$1,"]")),MATCH(vp.data[[#This Row],[SDate]],weather.tbl[Date],0))</f>
        <v>17.100000000000001</v>
      </c>
      <c r="Q1618" s="2">
        <f ca="1">INDEX(INDIRECT(_xlfn.CONCAT("weather.tbl[",Q$1,"]")),MATCH(vp.data[[#This Row],[SDate]],weather.tbl[Date],0))</f>
        <v>15.6</v>
      </c>
      <c r="R1618" s="2">
        <f ca="1">INDEX(INDIRECT(_xlfn.CONCAT("weather.tbl[",R$1,"]")),MATCH(vp.data[[#This Row],[SDate]],weather.tbl[Date],0))</f>
        <v>18</v>
      </c>
      <c r="S1618" s="2">
        <f ca="1">INDEX(INDIRECT(_xlfn.CONCAT("weather.tbl[",S$1,"]")),MATCH(vp.data[[#This Row],[SDate]],weather.tbl[Date],0))</f>
        <v>15.7</v>
      </c>
      <c r="T1618" s="2">
        <f ca="1">INDEX(INDIRECT(_xlfn.CONCAT("weather.tbl[",T$1,"]")),MATCH(vp.data[[#This Row],[SDate]],weather.tbl[Date],0))</f>
        <v>18</v>
      </c>
      <c r="U1618" s="2">
        <f ca="1">INDEX(INDIRECT(_xlfn.CONCAT("weather.tbl[",U$1,"]")),MATCH(vp.data[[#This Row],[SDate]],weather.tbl[Date],0))</f>
        <v>17</v>
      </c>
      <c r="V1618" s="2" t="str">
        <f t="array" ref="V16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8" t="s">
        <v>48</v>
      </c>
      <c r="X1618">
        <f>IF(OR(vp.data[[#This Row],[Sulf]]="",vp.data[[#This Row],[Dens]]=""),1,0)</f>
        <v>1</v>
      </c>
      <c r="Y1618">
        <f>IF(vp.data[[#This Row],[CrudeType]]="C5+",1,0)</f>
        <v>0</v>
      </c>
      <c r="Z1618">
        <f>IF(AND(vp.data[[#This Row],[CrudeType]]="Crude",vp.data[[#This Row],[Dens]]&lt;=825,vp.data[[#This Row],[Sulf]]&gt;0.5,vp.data[[#This Row],[Unknown]]=0),1,0)</f>
        <v>0</v>
      </c>
      <c r="AA1618">
        <f>IF(AND(vp.data[[#This Row],[CrudeType]]="Crude",vp.data[[#This Row],[Dens]]&lt;=825,vp.data[[#This Row],[Sulf]]&lt;=0.5,vp.data[[#This Row],[Unknown]]=0),1,0)</f>
        <v>0</v>
      </c>
      <c r="AB16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8">
        <f>IF(AND(vp.data[[#This Row],[CrudeType]]="Crude",vp.data[[#This Row],[Dens]]&gt;825,vp.data[[#This Row],[Dens]]&lt;=900,vp.data[[#This Row],[Sulf]]&lt;=0.5,vp.data[[#This Row],[Unknown]]=0),1,0)</f>
        <v>0</v>
      </c>
      <c r="AD1618">
        <f>IF(AND(vp.data[[#This Row],[CrudeType]]="Crude",vp.data[[#This Row],[Dens]]&gt;865,vp.data[[#This Row],[Dens]]&lt;=900,vp.data[[#This Row],[Sulf]]&gt;2,vp.data[[#This Row],[Unknown]]=0),1,0)</f>
        <v>0</v>
      </c>
      <c r="AE1618">
        <f>IF(AND(vp.data[[#This Row],[CrudeType]]="Crude",vp.data[[#This Row],[Dens]]&gt;900,vp.data[[#This Row],[Sulf]]&lt;=0.5,vp.data[[#This Row],[Unknown]]=0),1,0)</f>
        <v>0</v>
      </c>
      <c r="AF1618">
        <f>IF(AND(vp.data[[#This Row],[CrudeType]]="Crude",vp.data[[#This Row],[Dens]]&gt;900,vp.data[[#This Row],[Sulf]]&lt;=0.5,vp.data[[#This Row],[Unknown]]=0),1,0)</f>
        <v>0</v>
      </c>
      <c r="AG1618" t="str">
        <f>INDEX(vp.data[[#Headers],[Unknown]:[Heavy_SW]],MATCH(1,vp.data[[#This Row],[Unknown]:[Heavy_SW]],0))</f>
        <v>Unknown</v>
      </c>
      <c r="AH1618">
        <f>INDEX([3]!crudeBD.lkup[Number],MATCH(vp.data[[#This Row],[Crude_Breakdown]],crudeBD.lkup[Crude Breakdown],0))</f>
        <v>-1</v>
      </c>
      <c r="AI1618">
        <f>MONTH(vp.data[[#This Row],[SDate]])</f>
        <v>6</v>
      </c>
      <c r="AJ1618" s="5">
        <f>(vp.data[[#This Row],[VP]]-INDEX(crudeBD.lkup[Mean_VP],MATCH(vp.data[[#This Row],[Crude_Breakdown]],crudeBD.lkup[Crude Breakdown],0)))^2</f>
        <v>5.0844072105461722</v>
      </c>
      <c r="AK1618" s="5" t="e">
        <f>(vp.data[[#This Row],[Dens]]-INDEX(crudeBD.lkup[Mean_Dens],MATCH(vp.data[[#This Row],[Crude_Breakdown]],crudeBD.lkup[Crude Breakdown],0)))^2</f>
        <v>#VALUE!</v>
      </c>
      <c r="AL1618" s="5" t="e">
        <f>(vp.data[[#This Row],[Sulf]]-INDEX(crudeBD.lkup[Mean_Sulf],MATCH(vp.data[[#This Row],[Crude_Breakdown]],crudeBD.lkup[Crude Breakdown],0)))^2</f>
        <v>#VALUE!</v>
      </c>
      <c r="AM1618" s="4">
        <f>IF(AND(vp.data[[#This Row],[SDate]]&gt;=DATE(YEAR(vp.data[[#This Row],[SDate]]),5,1),vp.data[[#This Row],[SDate]]&lt;=DATE(YEAR(vp.data[[#This Row],[SDate]]),9,15)),1,0)</f>
        <v>1</v>
      </c>
      <c r="AN1618" s="4">
        <f>IF(vp.data[[#This Row],[SDate]]&lt;DATE(2016,12,1),0,1)</f>
        <v>1</v>
      </c>
      <c r="AO1618" s="4" t="str">
        <f>IFERROR(vp.data[[#This Row],[Sulf]]*vp.data[[#This Row],[Net Dens]],"")</f>
        <v/>
      </c>
      <c r="AP1618" t="str">
        <f>IFERROR(vp.data[[#This Row],[Dens]]*vp.data[[#This Row],[VolumeM3]],"")</f>
        <v/>
      </c>
      <c r="AQ1618" s="15" t="str">
        <f>IFERROR(vp.data[[#This Row],[VP]]*vp.data[[#This Row],[VolumeM3]],"")</f>
        <v/>
      </c>
    </row>
    <row r="1619" spans="1:43" x14ac:dyDescent="0.25">
      <c r="A1619">
        <v>1618</v>
      </c>
      <c r="B1619" t="s">
        <v>111</v>
      </c>
      <c r="C1619" t="s">
        <v>111</v>
      </c>
      <c r="D1619" t="s">
        <v>234</v>
      </c>
      <c r="F1619" s="1">
        <v>42893</v>
      </c>
      <c r="G1619" s="2">
        <v>77</v>
      </c>
      <c r="H1619" s="2"/>
      <c r="I1619" s="2" t="str">
        <f t="array" ref="I161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19" s="2"/>
      <c r="K1619" s="2"/>
      <c r="L1619" s="2"/>
      <c r="M1619" s="2" t="str">
        <f t="array" ref="M161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19" s="2">
        <f ca="1">INDEX(INDIRECT(_xlfn.CONCAT("weather.tbl[",N$1,"]")),MATCH(vp.data[[#This Row],[SDate]],weather.tbl[Date],0))</f>
        <v>16.900000000000002</v>
      </c>
      <c r="O1619" s="2">
        <f ca="1">INDEX(INDIRECT(_xlfn.CONCAT("weather.tbl[",O$1,"]")),MATCH(vp.data[[#This Row],[SDate]],weather.tbl[Date],0))</f>
        <v>18.745238095238097</v>
      </c>
      <c r="P1619" s="2">
        <f ca="1">INDEX(INDIRECT(_xlfn.CONCAT("weather.tbl[",P$1,"]")),MATCH(vp.data[[#This Row],[SDate]],weather.tbl[Date],0))</f>
        <v>17.100000000000001</v>
      </c>
      <c r="Q1619" s="2">
        <f ca="1">INDEX(INDIRECT(_xlfn.CONCAT("weather.tbl[",Q$1,"]")),MATCH(vp.data[[#This Row],[SDate]],weather.tbl[Date],0))</f>
        <v>15.6</v>
      </c>
      <c r="R1619" s="2">
        <f ca="1">INDEX(INDIRECT(_xlfn.CONCAT("weather.tbl[",R$1,"]")),MATCH(vp.data[[#This Row],[SDate]],weather.tbl[Date],0))</f>
        <v>18</v>
      </c>
      <c r="S1619" s="2">
        <f ca="1">INDEX(INDIRECT(_xlfn.CONCAT("weather.tbl[",S$1,"]")),MATCH(vp.data[[#This Row],[SDate]],weather.tbl[Date],0))</f>
        <v>15.7</v>
      </c>
      <c r="T1619" s="2">
        <f ca="1">INDEX(INDIRECT(_xlfn.CONCAT("weather.tbl[",T$1,"]")),MATCH(vp.data[[#This Row],[SDate]],weather.tbl[Date],0))</f>
        <v>18</v>
      </c>
      <c r="U1619" s="2">
        <f ca="1">INDEX(INDIRECT(_xlfn.CONCAT("weather.tbl[",U$1,"]")),MATCH(vp.data[[#This Row],[SDate]],weather.tbl[Date],0))</f>
        <v>17</v>
      </c>
      <c r="V1619" s="2" t="str">
        <f t="array" ref="V16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19" t="s">
        <v>48</v>
      </c>
      <c r="X1619">
        <f>IF(OR(vp.data[[#This Row],[Sulf]]="",vp.data[[#This Row],[Dens]]=""),1,0)</f>
        <v>1</v>
      </c>
      <c r="Y1619">
        <f>IF(vp.data[[#This Row],[CrudeType]]="C5+",1,0)</f>
        <v>0</v>
      </c>
      <c r="Z1619">
        <f>IF(AND(vp.data[[#This Row],[CrudeType]]="Crude",vp.data[[#This Row],[Dens]]&lt;=825,vp.data[[#This Row],[Sulf]]&gt;0.5,vp.data[[#This Row],[Unknown]]=0),1,0)</f>
        <v>0</v>
      </c>
      <c r="AA1619">
        <f>IF(AND(vp.data[[#This Row],[CrudeType]]="Crude",vp.data[[#This Row],[Dens]]&lt;=825,vp.data[[#This Row],[Sulf]]&lt;=0.5,vp.data[[#This Row],[Unknown]]=0),1,0)</f>
        <v>0</v>
      </c>
      <c r="AB16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19">
        <f>IF(AND(vp.data[[#This Row],[CrudeType]]="Crude",vp.data[[#This Row],[Dens]]&gt;825,vp.data[[#This Row],[Dens]]&lt;=900,vp.data[[#This Row],[Sulf]]&lt;=0.5,vp.data[[#This Row],[Unknown]]=0),1,0)</f>
        <v>0</v>
      </c>
      <c r="AD1619">
        <f>IF(AND(vp.data[[#This Row],[CrudeType]]="Crude",vp.data[[#This Row],[Dens]]&gt;865,vp.data[[#This Row],[Dens]]&lt;=900,vp.data[[#This Row],[Sulf]]&gt;2,vp.data[[#This Row],[Unknown]]=0),1,0)</f>
        <v>0</v>
      </c>
      <c r="AE1619">
        <f>IF(AND(vp.data[[#This Row],[CrudeType]]="Crude",vp.data[[#This Row],[Dens]]&gt;900,vp.data[[#This Row],[Sulf]]&lt;=0.5,vp.data[[#This Row],[Unknown]]=0),1,0)</f>
        <v>0</v>
      </c>
      <c r="AF1619">
        <f>IF(AND(vp.data[[#This Row],[CrudeType]]="Crude",vp.data[[#This Row],[Dens]]&gt;900,vp.data[[#This Row],[Sulf]]&lt;=0.5,vp.data[[#This Row],[Unknown]]=0),1,0)</f>
        <v>0</v>
      </c>
      <c r="AG1619" t="str">
        <f>INDEX(vp.data[[#Headers],[Unknown]:[Heavy_SW]],MATCH(1,vp.data[[#This Row],[Unknown]:[Heavy_SW]],0))</f>
        <v>Unknown</v>
      </c>
      <c r="AH1619">
        <f>INDEX([3]!crudeBD.lkup[Number],MATCH(vp.data[[#This Row],[Crude_Breakdown]],crudeBD.lkup[Crude Breakdown],0))</f>
        <v>-1</v>
      </c>
      <c r="AI1619">
        <f>MONTH(vp.data[[#This Row],[SDate]])</f>
        <v>6</v>
      </c>
      <c r="AJ1619" s="5">
        <f>(vp.data[[#This Row],[VP]]-INDEX(crudeBD.lkup[Mean_VP],MATCH(vp.data[[#This Row],[Crude_Breakdown]],crudeBD.lkup[Crude Breakdown],0)))^2</f>
        <v>9.9531606352037834</v>
      </c>
      <c r="AK1619" s="5" t="e">
        <f>(vp.data[[#This Row],[Dens]]-INDEX(crudeBD.lkup[Mean_Dens],MATCH(vp.data[[#This Row],[Crude_Breakdown]],crudeBD.lkup[Crude Breakdown],0)))^2</f>
        <v>#VALUE!</v>
      </c>
      <c r="AL1619" s="5" t="e">
        <f>(vp.data[[#This Row],[Sulf]]-INDEX(crudeBD.lkup[Mean_Sulf],MATCH(vp.data[[#This Row],[Crude_Breakdown]],crudeBD.lkup[Crude Breakdown],0)))^2</f>
        <v>#VALUE!</v>
      </c>
      <c r="AM1619" s="4">
        <f>IF(AND(vp.data[[#This Row],[SDate]]&gt;=DATE(YEAR(vp.data[[#This Row],[SDate]]),5,1),vp.data[[#This Row],[SDate]]&lt;=DATE(YEAR(vp.data[[#This Row],[SDate]]),9,15)),1,0)</f>
        <v>1</v>
      </c>
      <c r="AN1619" s="4">
        <f>IF(vp.data[[#This Row],[SDate]]&lt;DATE(2016,12,1),0,1)</f>
        <v>1</v>
      </c>
      <c r="AO1619" s="4" t="str">
        <f>IFERROR(vp.data[[#This Row],[Sulf]]*vp.data[[#This Row],[Net Dens]],"")</f>
        <v/>
      </c>
      <c r="AP1619" t="str">
        <f>IFERROR(vp.data[[#This Row],[Dens]]*vp.data[[#This Row],[VolumeM3]],"")</f>
        <v/>
      </c>
      <c r="AQ1619" s="15" t="str">
        <f>IFERROR(vp.data[[#This Row],[VP]]*vp.data[[#This Row],[VolumeM3]],"")</f>
        <v/>
      </c>
    </row>
    <row r="1620" spans="1:43" x14ac:dyDescent="0.25">
      <c r="A1620">
        <v>1619</v>
      </c>
      <c r="B1620" t="s">
        <v>291</v>
      </c>
      <c r="C1620" t="s">
        <v>291</v>
      </c>
      <c r="D1620" t="s">
        <v>109</v>
      </c>
      <c r="F1620" s="1">
        <v>42893</v>
      </c>
      <c r="G1620" s="2">
        <v>77.8</v>
      </c>
      <c r="H1620" s="2"/>
      <c r="I1620" s="2" t="str">
        <f t="array" ref="I162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0" s="2"/>
      <c r="K1620" s="2"/>
      <c r="L1620" s="2"/>
      <c r="M1620" s="2" t="str">
        <f t="array" ref="M162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0" s="2">
        <f ca="1">INDEX(INDIRECT(_xlfn.CONCAT("weather.tbl[",N$1,"]")),MATCH(vp.data[[#This Row],[SDate]],weather.tbl[Date],0))</f>
        <v>16.900000000000002</v>
      </c>
      <c r="O1620" s="2">
        <f ca="1">INDEX(INDIRECT(_xlfn.CONCAT("weather.tbl[",O$1,"]")),MATCH(vp.data[[#This Row],[SDate]],weather.tbl[Date],0))</f>
        <v>18.745238095238097</v>
      </c>
      <c r="P1620" s="2">
        <f ca="1">INDEX(INDIRECT(_xlfn.CONCAT("weather.tbl[",P$1,"]")),MATCH(vp.data[[#This Row],[SDate]],weather.tbl[Date],0))</f>
        <v>17.100000000000001</v>
      </c>
      <c r="Q1620" s="2">
        <f ca="1">INDEX(INDIRECT(_xlfn.CONCAT("weather.tbl[",Q$1,"]")),MATCH(vp.data[[#This Row],[SDate]],weather.tbl[Date],0))</f>
        <v>15.6</v>
      </c>
      <c r="R1620" s="2">
        <f ca="1">INDEX(INDIRECT(_xlfn.CONCAT("weather.tbl[",R$1,"]")),MATCH(vp.data[[#This Row],[SDate]],weather.tbl[Date],0))</f>
        <v>18</v>
      </c>
      <c r="S1620" s="2">
        <f ca="1">INDEX(INDIRECT(_xlfn.CONCAT("weather.tbl[",S$1,"]")),MATCH(vp.data[[#This Row],[SDate]],weather.tbl[Date],0))</f>
        <v>15.7</v>
      </c>
      <c r="T1620" s="2">
        <f ca="1">INDEX(INDIRECT(_xlfn.CONCAT("weather.tbl[",T$1,"]")),MATCH(vp.data[[#This Row],[SDate]],weather.tbl[Date],0))</f>
        <v>18</v>
      </c>
      <c r="U1620" s="2">
        <f ca="1">INDEX(INDIRECT(_xlfn.CONCAT("weather.tbl[",U$1,"]")),MATCH(vp.data[[#This Row],[SDate]],weather.tbl[Date],0))</f>
        <v>17</v>
      </c>
      <c r="V1620" s="2" t="str">
        <f t="array" ref="V16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0" t="s">
        <v>48</v>
      </c>
      <c r="X1620">
        <f>IF(OR(vp.data[[#This Row],[Sulf]]="",vp.data[[#This Row],[Dens]]=""),1,0)</f>
        <v>1</v>
      </c>
      <c r="Y1620">
        <f>IF(vp.data[[#This Row],[CrudeType]]="C5+",1,0)</f>
        <v>0</v>
      </c>
      <c r="Z1620">
        <f>IF(AND(vp.data[[#This Row],[CrudeType]]="Crude",vp.data[[#This Row],[Dens]]&lt;=825,vp.data[[#This Row],[Sulf]]&gt;0.5,vp.data[[#This Row],[Unknown]]=0),1,0)</f>
        <v>0</v>
      </c>
      <c r="AA1620">
        <f>IF(AND(vp.data[[#This Row],[CrudeType]]="Crude",vp.data[[#This Row],[Dens]]&lt;=825,vp.data[[#This Row],[Sulf]]&lt;=0.5,vp.data[[#This Row],[Unknown]]=0),1,0)</f>
        <v>0</v>
      </c>
      <c r="AB16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0">
        <f>IF(AND(vp.data[[#This Row],[CrudeType]]="Crude",vp.data[[#This Row],[Dens]]&gt;825,vp.data[[#This Row],[Dens]]&lt;=900,vp.data[[#This Row],[Sulf]]&lt;=0.5,vp.data[[#This Row],[Unknown]]=0),1,0)</f>
        <v>0</v>
      </c>
      <c r="AD1620">
        <f>IF(AND(vp.data[[#This Row],[CrudeType]]="Crude",vp.data[[#This Row],[Dens]]&gt;865,vp.data[[#This Row],[Dens]]&lt;=900,vp.data[[#This Row],[Sulf]]&gt;2,vp.data[[#This Row],[Unknown]]=0),1,0)</f>
        <v>0</v>
      </c>
      <c r="AE1620">
        <f>IF(AND(vp.data[[#This Row],[CrudeType]]="Crude",vp.data[[#This Row],[Dens]]&gt;900,vp.data[[#This Row],[Sulf]]&lt;=0.5,vp.data[[#This Row],[Unknown]]=0),1,0)</f>
        <v>0</v>
      </c>
      <c r="AF1620">
        <f>IF(AND(vp.data[[#This Row],[CrudeType]]="Crude",vp.data[[#This Row],[Dens]]&gt;900,vp.data[[#This Row],[Sulf]]&lt;=0.5,vp.data[[#This Row],[Unknown]]=0),1,0)</f>
        <v>0</v>
      </c>
      <c r="AG1620" t="str">
        <f>INDEX(vp.data[[#Headers],[Unknown]:[Heavy_SW]],MATCH(1,vp.data[[#This Row],[Unknown]:[Heavy_SW]],0))</f>
        <v>Unknown</v>
      </c>
      <c r="AH1620">
        <f>INDEX([3]!crudeBD.lkup[Number],MATCH(vp.data[[#This Row],[Crude_Breakdown]],crudeBD.lkup[Crude Breakdown],0))</f>
        <v>-1</v>
      </c>
      <c r="AI1620">
        <f>MONTH(vp.data[[#This Row],[SDate]])</f>
        <v>6</v>
      </c>
      <c r="AJ1620" s="5">
        <f>(vp.data[[#This Row],[VP]]-INDEX(crudeBD.lkup[Mean_VP],MATCH(vp.data[[#This Row],[Crude_Breakdown]],crudeBD.lkup[Crude Breakdown],0)))^2</f>
        <v>15.640941457121615</v>
      </c>
      <c r="AK1620" s="5" t="e">
        <f>(vp.data[[#This Row],[Dens]]-INDEX(crudeBD.lkup[Mean_Dens],MATCH(vp.data[[#This Row],[Crude_Breakdown]],crudeBD.lkup[Crude Breakdown],0)))^2</f>
        <v>#VALUE!</v>
      </c>
      <c r="AL1620" s="5" t="e">
        <f>(vp.data[[#This Row],[Sulf]]-INDEX(crudeBD.lkup[Mean_Sulf],MATCH(vp.data[[#This Row],[Crude_Breakdown]],crudeBD.lkup[Crude Breakdown],0)))^2</f>
        <v>#VALUE!</v>
      </c>
      <c r="AM1620" s="4">
        <f>IF(AND(vp.data[[#This Row],[SDate]]&gt;=DATE(YEAR(vp.data[[#This Row],[SDate]]),5,1),vp.data[[#This Row],[SDate]]&lt;=DATE(YEAR(vp.data[[#This Row],[SDate]]),9,15)),1,0)</f>
        <v>1</v>
      </c>
      <c r="AN1620" s="4">
        <f>IF(vp.data[[#This Row],[SDate]]&lt;DATE(2016,12,1),0,1)</f>
        <v>1</v>
      </c>
      <c r="AO1620" s="4" t="str">
        <f>IFERROR(vp.data[[#This Row],[Sulf]]*vp.data[[#This Row],[Net Dens]],"")</f>
        <v/>
      </c>
      <c r="AP1620" t="str">
        <f>IFERROR(vp.data[[#This Row],[Dens]]*vp.data[[#This Row],[VolumeM3]],"")</f>
        <v/>
      </c>
      <c r="AQ1620" s="15" t="str">
        <f>IFERROR(vp.data[[#This Row],[VP]]*vp.data[[#This Row],[VolumeM3]],"")</f>
        <v/>
      </c>
    </row>
    <row r="1621" spans="1:43" x14ac:dyDescent="0.25">
      <c r="A1621">
        <v>1620</v>
      </c>
      <c r="B1621" t="s">
        <v>96</v>
      </c>
      <c r="C1621" t="s">
        <v>96</v>
      </c>
      <c r="D1621" t="s">
        <v>97</v>
      </c>
      <c r="F1621" s="1">
        <v>42893</v>
      </c>
      <c r="G1621" s="2">
        <v>74.5</v>
      </c>
      <c r="H1621" s="2"/>
      <c r="I1621" s="2" t="str">
        <f t="array" ref="I162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1" s="2"/>
      <c r="K1621" s="2"/>
      <c r="L1621" s="2"/>
      <c r="M1621" s="2" t="str">
        <f t="array" ref="M162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1" s="2">
        <f ca="1">INDEX(INDIRECT(_xlfn.CONCAT("weather.tbl[",N$1,"]")),MATCH(vp.data[[#This Row],[SDate]],weather.tbl[Date],0))</f>
        <v>16.900000000000002</v>
      </c>
      <c r="O1621" s="2">
        <f ca="1">INDEX(INDIRECT(_xlfn.CONCAT("weather.tbl[",O$1,"]")),MATCH(vp.data[[#This Row],[SDate]],weather.tbl[Date],0))</f>
        <v>18.745238095238097</v>
      </c>
      <c r="P1621" s="2">
        <f ca="1">INDEX(INDIRECT(_xlfn.CONCAT("weather.tbl[",P$1,"]")),MATCH(vp.data[[#This Row],[SDate]],weather.tbl[Date],0))</f>
        <v>17.100000000000001</v>
      </c>
      <c r="Q1621" s="2">
        <f ca="1">INDEX(INDIRECT(_xlfn.CONCAT("weather.tbl[",Q$1,"]")),MATCH(vp.data[[#This Row],[SDate]],weather.tbl[Date],0))</f>
        <v>15.6</v>
      </c>
      <c r="R1621" s="2">
        <f ca="1">INDEX(INDIRECT(_xlfn.CONCAT("weather.tbl[",R$1,"]")),MATCH(vp.data[[#This Row],[SDate]],weather.tbl[Date],0))</f>
        <v>18</v>
      </c>
      <c r="S1621" s="2">
        <f ca="1">INDEX(INDIRECT(_xlfn.CONCAT("weather.tbl[",S$1,"]")),MATCH(vp.data[[#This Row],[SDate]],weather.tbl[Date],0))</f>
        <v>15.7</v>
      </c>
      <c r="T1621" s="2">
        <f ca="1">INDEX(INDIRECT(_xlfn.CONCAT("weather.tbl[",T$1,"]")),MATCH(vp.data[[#This Row],[SDate]],weather.tbl[Date],0))</f>
        <v>18</v>
      </c>
      <c r="U1621" s="2">
        <f ca="1">INDEX(INDIRECT(_xlfn.CONCAT("weather.tbl[",U$1,"]")),MATCH(vp.data[[#This Row],[SDate]],weather.tbl[Date],0))</f>
        <v>17</v>
      </c>
      <c r="V1621" s="2" t="str">
        <f t="array" ref="V16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1" t="s">
        <v>48</v>
      </c>
      <c r="X1621">
        <f>IF(OR(vp.data[[#This Row],[Sulf]]="",vp.data[[#This Row],[Dens]]=""),1,0)</f>
        <v>1</v>
      </c>
      <c r="Y1621">
        <f>IF(vp.data[[#This Row],[CrudeType]]="C5+",1,0)</f>
        <v>0</v>
      </c>
      <c r="Z1621">
        <f>IF(AND(vp.data[[#This Row],[CrudeType]]="Crude",vp.data[[#This Row],[Dens]]&lt;=825,vp.data[[#This Row],[Sulf]]&gt;0.5,vp.data[[#This Row],[Unknown]]=0),1,0)</f>
        <v>0</v>
      </c>
      <c r="AA1621">
        <f>IF(AND(vp.data[[#This Row],[CrudeType]]="Crude",vp.data[[#This Row],[Dens]]&lt;=825,vp.data[[#This Row],[Sulf]]&lt;=0.5,vp.data[[#This Row],[Unknown]]=0),1,0)</f>
        <v>0</v>
      </c>
      <c r="AB16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1">
        <f>IF(AND(vp.data[[#This Row],[CrudeType]]="Crude",vp.data[[#This Row],[Dens]]&gt;825,vp.data[[#This Row],[Dens]]&lt;=900,vp.data[[#This Row],[Sulf]]&lt;=0.5,vp.data[[#This Row],[Unknown]]=0),1,0)</f>
        <v>0</v>
      </c>
      <c r="AD1621">
        <f>IF(AND(vp.data[[#This Row],[CrudeType]]="Crude",vp.data[[#This Row],[Dens]]&gt;865,vp.data[[#This Row],[Dens]]&lt;=900,vp.data[[#This Row],[Sulf]]&gt;2,vp.data[[#This Row],[Unknown]]=0),1,0)</f>
        <v>0</v>
      </c>
      <c r="AE1621">
        <f>IF(AND(vp.data[[#This Row],[CrudeType]]="Crude",vp.data[[#This Row],[Dens]]&gt;900,vp.data[[#This Row],[Sulf]]&lt;=0.5,vp.data[[#This Row],[Unknown]]=0),1,0)</f>
        <v>0</v>
      </c>
      <c r="AF1621">
        <f>IF(AND(vp.data[[#This Row],[CrudeType]]="Crude",vp.data[[#This Row],[Dens]]&gt;900,vp.data[[#This Row],[Sulf]]&lt;=0.5,vp.data[[#This Row],[Unknown]]=0),1,0)</f>
        <v>0</v>
      </c>
      <c r="AG1621" t="str">
        <f>INDEX(vp.data[[#Headers],[Unknown]:[Heavy_SW]],MATCH(1,vp.data[[#This Row],[Unknown]:[Heavy_SW]],0))</f>
        <v>Unknown</v>
      </c>
      <c r="AH1621">
        <f>INDEX([3]!crudeBD.lkup[Number],MATCH(vp.data[[#This Row],[Crude_Breakdown]],crudeBD.lkup[Crude Breakdown],0))</f>
        <v>-1</v>
      </c>
      <c r="AI1621">
        <f>MONTH(vp.data[[#This Row],[SDate]])</f>
        <v>6</v>
      </c>
      <c r="AJ1621" s="5">
        <f>(vp.data[[#This Row],[VP]]-INDEX(crudeBD.lkup[Mean_VP],MATCH(vp.data[[#This Row],[Crude_Breakdown]],crudeBD.lkup[Crude Breakdown],0)))^2</f>
        <v>0.42884556671048984</v>
      </c>
      <c r="AK1621" s="5" t="e">
        <f>(vp.data[[#This Row],[Dens]]-INDEX(crudeBD.lkup[Mean_Dens],MATCH(vp.data[[#This Row],[Crude_Breakdown]],crudeBD.lkup[Crude Breakdown],0)))^2</f>
        <v>#VALUE!</v>
      </c>
      <c r="AL1621" s="5" t="e">
        <f>(vp.data[[#This Row],[Sulf]]-INDEX(crudeBD.lkup[Mean_Sulf],MATCH(vp.data[[#This Row],[Crude_Breakdown]],crudeBD.lkup[Crude Breakdown],0)))^2</f>
        <v>#VALUE!</v>
      </c>
      <c r="AM1621" s="4">
        <f>IF(AND(vp.data[[#This Row],[SDate]]&gt;=DATE(YEAR(vp.data[[#This Row],[SDate]]),5,1),vp.data[[#This Row],[SDate]]&lt;=DATE(YEAR(vp.data[[#This Row],[SDate]]),9,15)),1,0)</f>
        <v>1</v>
      </c>
      <c r="AN1621" s="4">
        <f>IF(vp.data[[#This Row],[SDate]]&lt;DATE(2016,12,1),0,1)</f>
        <v>1</v>
      </c>
      <c r="AO1621" s="4" t="str">
        <f>IFERROR(vp.data[[#This Row],[Sulf]]*vp.data[[#This Row],[Net Dens]],"")</f>
        <v/>
      </c>
      <c r="AP1621" t="str">
        <f>IFERROR(vp.data[[#This Row],[Dens]]*vp.data[[#This Row],[VolumeM3]],"")</f>
        <v/>
      </c>
      <c r="AQ1621" s="15" t="str">
        <f>IFERROR(vp.data[[#This Row],[VP]]*vp.data[[#This Row],[VolumeM3]],"")</f>
        <v/>
      </c>
    </row>
    <row r="1622" spans="1:43" x14ac:dyDescent="0.25">
      <c r="A1622">
        <v>1621</v>
      </c>
      <c r="B1622" t="s">
        <v>64</v>
      </c>
      <c r="C1622" t="s">
        <v>64</v>
      </c>
      <c r="D1622" t="s">
        <v>65</v>
      </c>
      <c r="F1622" s="1">
        <v>42893</v>
      </c>
      <c r="G1622" s="2">
        <v>44</v>
      </c>
      <c r="H1622" s="2"/>
      <c r="I1622" s="2" t="str">
        <f t="array" ref="I162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2" s="2"/>
      <c r="K1622" s="2"/>
      <c r="L1622" s="2"/>
      <c r="M1622" s="2" t="str">
        <f t="array" ref="M162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2" s="2">
        <f ca="1">INDEX(INDIRECT(_xlfn.CONCAT("weather.tbl[",N$1,"]")),MATCH(vp.data[[#This Row],[SDate]],weather.tbl[Date],0))</f>
        <v>16.900000000000002</v>
      </c>
      <c r="O1622" s="2">
        <f ca="1">INDEX(INDIRECT(_xlfn.CONCAT("weather.tbl[",O$1,"]")),MATCH(vp.data[[#This Row],[SDate]],weather.tbl[Date],0))</f>
        <v>18.745238095238097</v>
      </c>
      <c r="P1622" s="2">
        <f ca="1">INDEX(INDIRECT(_xlfn.CONCAT("weather.tbl[",P$1,"]")),MATCH(vp.data[[#This Row],[SDate]],weather.tbl[Date],0))</f>
        <v>17.100000000000001</v>
      </c>
      <c r="Q1622" s="2">
        <f ca="1">INDEX(INDIRECT(_xlfn.CONCAT("weather.tbl[",Q$1,"]")),MATCH(vp.data[[#This Row],[SDate]],weather.tbl[Date],0))</f>
        <v>15.6</v>
      </c>
      <c r="R1622" s="2">
        <f ca="1">INDEX(INDIRECT(_xlfn.CONCAT("weather.tbl[",R$1,"]")),MATCH(vp.data[[#This Row],[SDate]],weather.tbl[Date],0))</f>
        <v>18</v>
      </c>
      <c r="S1622" s="2">
        <f ca="1">INDEX(INDIRECT(_xlfn.CONCAT("weather.tbl[",S$1,"]")),MATCH(vp.data[[#This Row],[SDate]],weather.tbl[Date],0))</f>
        <v>15.7</v>
      </c>
      <c r="T1622" s="2">
        <f ca="1">INDEX(INDIRECT(_xlfn.CONCAT("weather.tbl[",T$1,"]")),MATCH(vp.data[[#This Row],[SDate]],weather.tbl[Date],0))</f>
        <v>18</v>
      </c>
      <c r="U1622" s="2">
        <f ca="1">INDEX(INDIRECT(_xlfn.CONCAT("weather.tbl[",U$1,"]")),MATCH(vp.data[[#This Row],[SDate]],weather.tbl[Date],0))</f>
        <v>17</v>
      </c>
      <c r="V1622" s="2" t="str">
        <f t="array" ref="V16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2" t="s">
        <v>48</v>
      </c>
      <c r="X1622">
        <f>IF(OR(vp.data[[#This Row],[Sulf]]="",vp.data[[#This Row],[Dens]]=""),1,0)</f>
        <v>1</v>
      </c>
      <c r="Y1622">
        <f>IF(vp.data[[#This Row],[CrudeType]]="C5+",1,0)</f>
        <v>0</v>
      </c>
      <c r="Z1622">
        <f>IF(AND(vp.data[[#This Row],[CrudeType]]="Crude",vp.data[[#This Row],[Dens]]&lt;=825,vp.data[[#This Row],[Sulf]]&gt;0.5,vp.data[[#This Row],[Unknown]]=0),1,0)</f>
        <v>0</v>
      </c>
      <c r="AA1622">
        <f>IF(AND(vp.data[[#This Row],[CrudeType]]="Crude",vp.data[[#This Row],[Dens]]&lt;=825,vp.data[[#This Row],[Sulf]]&lt;=0.5,vp.data[[#This Row],[Unknown]]=0),1,0)</f>
        <v>0</v>
      </c>
      <c r="AB16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2">
        <f>IF(AND(vp.data[[#This Row],[CrudeType]]="Crude",vp.data[[#This Row],[Dens]]&gt;825,vp.data[[#This Row],[Dens]]&lt;=900,vp.data[[#This Row],[Sulf]]&lt;=0.5,vp.data[[#This Row],[Unknown]]=0),1,0)</f>
        <v>0</v>
      </c>
      <c r="AD1622">
        <f>IF(AND(vp.data[[#This Row],[CrudeType]]="Crude",vp.data[[#This Row],[Dens]]&gt;865,vp.data[[#This Row],[Dens]]&lt;=900,vp.data[[#This Row],[Sulf]]&gt;2,vp.data[[#This Row],[Unknown]]=0),1,0)</f>
        <v>0</v>
      </c>
      <c r="AE1622">
        <f>IF(AND(vp.data[[#This Row],[CrudeType]]="Crude",vp.data[[#This Row],[Dens]]&gt;900,vp.data[[#This Row],[Sulf]]&lt;=0.5,vp.data[[#This Row],[Unknown]]=0),1,0)</f>
        <v>0</v>
      </c>
      <c r="AF1622">
        <f>IF(AND(vp.data[[#This Row],[CrudeType]]="Crude",vp.data[[#This Row],[Dens]]&gt;900,vp.data[[#This Row],[Sulf]]&lt;=0.5,vp.data[[#This Row],[Unknown]]=0),1,0)</f>
        <v>0</v>
      </c>
      <c r="AG1622" t="str">
        <f>INDEX(vp.data[[#Headers],[Unknown]:[Heavy_SW]],MATCH(1,vp.data[[#This Row],[Unknown]:[Heavy_SW]],0))</f>
        <v>Unknown</v>
      </c>
      <c r="AH1622">
        <f>INDEX([3]!crudeBD.lkup[Number],MATCH(vp.data[[#This Row],[Crude_Breakdown]],crudeBD.lkup[Crude Breakdown],0))</f>
        <v>-1</v>
      </c>
      <c r="AI1622">
        <f>MONTH(vp.data[[#This Row],[SDate]])</f>
        <v>6</v>
      </c>
      <c r="AJ1622" s="5">
        <f>(vp.data[[#This Row],[VP]]-INDEX(crudeBD.lkup[Mean_VP],MATCH(vp.data[[#This Row],[Crude_Breakdown]],crudeBD.lkup[Crude Breakdown],0)))^2</f>
        <v>890.73220173109235</v>
      </c>
      <c r="AK1622" s="5" t="e">
        <f>(vp.data[[#This Row],[Dens]]-INDEX(crudeBD.lkup[Mean_Dens],MATCH(vp.data[[#This Row],[Crude_Breakdown]],crudeBD.lkup[Crude Breakdown],0)))^2</f>
        <v>#VALUE!</v>
      </c>
      <c r="AL1622" s="5" t="e">
        <f>(vp.data[[#This Row],[Sulf]]-INDEX(crudeBD.lkup[Mean_Sulf],MATCH(vp.data[[#This Row],[Crude_Breakdown]],crudeBD.lkup[Crude Breakdown],0)))^2</f>
        <v>#VALUE!</v>
      </c>
      <c r="AM1622" s="4">
        <f>IF(AND(vp.data[[#This Row],[SDate]]&gt;=DATE(YEAR(vp.data[[#This Row],[SDate]]),5,1),vp.data[[#This Row],[SDate]]&lt;=DATE(YEAR(vp.data[[#This Row],[SDate]]),9,15)),1,0)</f>
        <v>1</v>
      </c>
      <c r="AN1622" s="4">
        <f>IF(vp.data[[#This Row],[SDate]]&lt;DATE(2016,12,1),0,1)</f>
        <v>1</v>
      </c>
      <c r="AO1622" s="4" t="str">
        <f>IFERROR(vp.data[[#This Row],[Sulf]]*vp.data[[#This Row],[Net Dens]],"")</f>
        <v/>
      </c>
      <c r="AP1622" t="str">
        <f>IFERROR(vp.data[[#This Row],[Dens]]*vp.data[[#This Row],[VolumeM3]],"")</f>
        <v/>
      </c>
      <c r="AQ1622" s="15" t="str">
        <f>IFERROR(vp.data[[#This Row],[VP]]*vp.data[[#This Row],[VolumeM3]],"")</f>
        <v/>
      </c>
    </row>
    <row r="1623" spans="1:43" x14ac:dyDescent="0.25">
      <c r="A1623">
        <v>1622</v>
      </c>
      <c r="B1623" t="s">
        <v>46</v>
      </c>
      <c r="C1623" t="s">
        <v>46</v>
      </c>
      <c r="D1623" t="s">
        <v>47</v>
      </c>
      <c r="F1623" s="1">
        <v>42893</v>
      </c>
      <c r="G1623" s="2">
        <v>51.5</v>
      </c>
      <c r="H1623" s="2"/>
      <c r="I1623" s="2" t="str">
        <f t="array" ref="I162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3" s="2"/>
      <c r="K1623" s="2"/>
      <c r="L1623" s="2"/>
      <c r="M1623" s="2" t="str">
        <f t="array" ref="M162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3" s="2">
        <f ca="1">INDEX(INDIRECT(_xlfn.CONCAT("weather.tbl[",N$1,"]")),MATCH(vp.data[[#This Row],[SDate]],weather.tbl[Date],0))</f>
        <v>16.900000000000002</v>
      </c>
      <c r="O1623" s="2">
        <f ca="1">INDEX(INDIRECT(_xlfn.CONCAT("weather.tbl[",O$1,"]")),MATCH(vp.data[[#This Row],[SDate]],weather.tbl[Date],0))</f>
        <v>18.745238095238097</v>
      </c>
      <c r="P1623" s="2">
        <f ca="1">INDEX(INDIRECT(_xlfn.CONCAT("weather.tbl[",P$1,"]")),MATCH(vp.data[[#This Row],[SDate]],weather.tbl[Date],0))</f>
        <v>17.100000000000001</v>
      </c>
      <c r="Q1623" s="2">
        <f ca="1">INDEX(INDIRECT(_xlfn.CONCAT("weather.tbl[",Q$1,"]")),MATCH(vp.data[[#This Row],[SDate]],weather.tbl[Date],0))</f>
        <v>15.6</v>
      </c>
      <c r="R1623" s="2">
        <f ca="1">INDEX(INDIRECT(_xlfn.CONCAT("weather.tbl[",R$1,"]")),MATCH(vp.data[[#This Row],[SDate]],weather.tbl[Date],0))</f>
        <v>18</v>
      </c>
      <c r="S1623" s="2">
        <f ca="1">INDEX(INDIRECT(_xlfn.CONCAT("weather.tbl[",S$1,"]")),MATCH(vp.data[[#This Row],[SDate]],weather.tbl[Date],0))</f>
        <v>15.7</v>
      </c>
      <c r="T1623" s="2">
        <f ca="1">INDEX(INDIRECT(_xlfn.CONCAT("weather.tbl[",T$1,"]")),MATCH(vp.data[[#This Row],[SDate]],weather.tbl[Date],0))</f>
        <v>18</v>
      </c>
      <c r="U1623" s="2">
        <f ca="1">INDEX(INDIRECT(_xlfn.CONCAT("weather.tbl[",U$1,"]")),MATCH(vp.data[[#This Row],[SDate]],weather.tbl[Date],0))</f>
        <v>17</v>
      </c>
      <c r="V1623" s="2" t="str">
        <f t="array" ref="V16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3" t="s">
        <v>48</v>
      </c>
      <c r="X1623">
        <f>IF(OR(vp.data[[#This Row],[Sulf]]="",vp.data[[#This Row],[Dens]]=""),1,0)</f>
        <v>1</v>
      </c>
      <c r="Y1623">
        <f>IF(vp.data[[#This Row],[CrudeType]]="C5+",1,0)</f>
        <v>0</v>
      </c>
      <c r="Z1623">
        <f>IF(AND(vp.data[[#This Row],[CrudeType]]="Crude",vp.data[[#This Row],[Dens]]&lt;=825,vp.data[[#This Row],[Sulf]]&gt;0.5,vp.data[[#This Row],[Unknown]]=0),1,0)</f>
        <v>0</v>
      </c>
      <c r="AA1623">
        <f>IF(AND(vp.data[[#This Row],[CrudeType]]="Crude",vp.data[[#This Row],[Dens]]&lt;=825,vp.data[[#This Row],[Sulf]]&lt;=0.5,vp.data[[#This Row],[Unknown]]=0),1,0)</f>
        <v>0</v>
      </c>
      <c r="AB16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3">
        <f>IF(AND(vp.data[[#This Row],[CrudeType]]="Crude",vp.data[[#This Row],[Dens]]&gt;825,vp.data[[#This Row],[Dens]]&lt;=900,vp.data[[#This Row],[Sulf]]&lt;=0.5,vp.data[[#This Row],[Unknown]]=0),1,0)</f>
        <v>0</v>
      </c>
      <c r="AD1623">
        <f>IF(AND(vp.data[[#This Row],[CrudeType]]="Crude",vp.data[[#This Row],[Dens]]&gt;865,vp.data[[#This Row],[Dens]]&lt;=900,vp.data[[#This Row],[Sulf]]&gt;2,vp.data[[#This Row],[Unknown]]=0),1,0)</f>
        <v>0</v>
      </c>
      <c r="AE1623">
        <f>IF(AND(vp.data[[#This Row],[CrudeType]]="Crude",vp.data[[#This Row],[Dens]]&gt;900,vp.data[[#This Row],[Sulf]]&lt;=0.5,vp.data[[#This Row],[Unknown]]=0),1,0)</f>
        <v>0</v>
      </c>
      <c r="AF1623">
        <f>IF(AND(vp.data[[#This Row],[CrudeType]]="Crude",vp.data[[#This Row],[Dens]]&gt;900,vp.data[[#This Row],[Sulf]]&lt;=0.5,vp.data[[#This Row],[Unknown]]=0),1,0)</f>
        <v>0</v>
      </c>
      <c r="AG1623" t="str">
        <f>INDEX(vp.data[[#Headers],[Unknown]:[Heavy_SW]],MATCH(1,vp.data[[#This Row],[Unknown]:[Heavy_SW]],0))</f>
        <v>Unknown</v>
      </c>
      <c r="AH1623">
        <f>INDEX([3]!crudeBD.lkup[Number],MATCH(vp.data[[#This Row],[Crude_Breakdown]],crudeBD.lkup[Crude Breakdown],0))</f>
        <v>-1</v>
      </c>
      <c r="AI1623">
        <f>MONTH(vp.data[[#This Row],[SDate]])</f>
        <v>6</v>
      </c>
      <c r="AJ1623" s="5">
        <f>(vp.data[[#This Row],[VP]]-INDEX(crudeBD.lkup[Mean_VP],MATCH(vp.data[[#This Row],[Crude_Breakdown]],crudeBD.lkup[Crude Breakdown],0)))^2</f>
        <v>499.30514693657216</v>
      </c>
      <c r="AK1623" s="5" t="e">
        <f>(vp.data[[#This Row],[Dens]]-INDEX(crudeBD.lkup[Mean_Dens],MATCH(vp.data[[#This Row],[Crude_Breakdown]],crudeBD.lkup[Crude Breakdown],0)))^2</f>
        <v>#VALUE!</v>
      </c>
      <c r="AL1623" s="5" t="e">
        <f>(vp.data[[#This Row],[Sulf]]-INDEX(crudeBD.lkup[Mean_Sulf],MATCH(vp.data[[#This Row],[Crude_Breakdown]],crudeBD.lkup[Crude Breakdown],0)))^2</f>
        <v>#VALUE!</v>
      </c>
      <c r="AM1623" s="4">
        <f>IF(AND(vp.data[[#This Row],[SDate]]&gt;=DATE(YEAR(vp.data[[#This Row],[SDate]]),5,1),vp.data[[#This Row],[SDate]]&lt;=DATE(YEAR(vp.data[[#This Row],[SDate]]),9,15)),1,0)</f>
        <v>1</v>
      </c>
      <c r="AN1623" s="4">
        <f>IF(vp.data[[#This Row],[SDate]]&lt;DATE(2016,12,1),0,1)</f>
        <v>1</v>
      </c>
      <c r="AO1623" s="4" t="str">
        <f>IFERROR(vp.data[[#This Row],[Sulf]]*vp.data[[#This Row],[Net Dens]],"")</f>
        <v/>
      </c>
      <c r="AP1623" t="str">
        <f>IFERROR(vp.data[[#This Row],[Dens]]*vp.data[[#This Row],[VolumeM3]],"")</f>
        <v/>
      </c>
      <c r="AQ1623" s="15" t="str">
        <f>IFERROR(vp.data[[#This Row],[VP]]*vp.data[[#This Row],[VolumeM3]],"")</f>
        <v/>
      </c>
    </row>
    <row r="1624" spans="1:43" x14ac:dyDescent="0.25">
      <c r="A1624">
        <v>1623</v>
      </c>
      <c r="B1624" t="s">
        <v>51</v>
      </c>
      <c r="C1624" t="s">
        <v>51</v>
      </c>
      <c r="D1624" t="s">
        <v>72</v>
      </c>
      <c r="F1624" s="1">
        <v>42895</v>
      </c>
      <c r="G1624" s="2">
        <v>89.7</v>
      </c>
      <c r="H1624" s="2"/>
      <c r="I1624" s="2" t="str">
        <f t="array" ref="I162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4" s="2"/>
      <c r="K1624" s="2"/>
      <c r="L1624" s="2"/>
      <c r="M1624" s="2" t="str">
        <f t="array" ref="M162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4" s="2">
        <f ca="1">INDEX(INDIRECT(_xlfn.CONCAT("weather.tbl[",N$1,"]")),MATCH(vp.data[[#This Row],[SDate]],weather.tbl[Date],0))</f>
        <v>19.233333333333331</v>
      </c>
      <c r="O1624" s="2">
        <f ca="1">INDEX(INDIRECT(_xlfn.CONCAT("weather.tbl[",O$1,"]")),MATCH(vp.data[[#This Row],[SDate]],weather.tbl[Date],0))</f>
        <v>18.188095238095237</v>
      </c>
      <c r="P1624" s="2">
        <f ca="1">INDEX(INDIRECT(_xlfn.CONCAT("weather.tbl[",P$1,"]")),MATCH(vp.data[[#This Row],[SDate]],weather.tbl[Date],0))</f>
        <v>19.899999999999999</v>
      </c>
      <c r="Q1624" s="2">
        <f ca="1">INDEX(INDIRECT(_xlfn.CONCAT("weather.tbl[",Q$1,"]")),MATCH(vp.data[[#This Row],[SDate]],weather.tbl[Date],0))</f>
        <v>20.100000000000001</v>
      </c>
      <c r="R1624" s="2">
        <f ca="1">INDEX(INDIRECT(_xlfn.CONCAT("weather.tbl[",R$1,"]")),MATCH(vp.data[[#This Row],[SDate]],weather.tbl[Date],0))</f>
        <v>19.3</v>
      </c>
      <c r="S1624" s="2">
        <f ca="1">INDEX(INDIRECT(_xlfn.CONCAT("weather.tbl[",S$1,"]")),MATCH(vp.data[[#This Row],[SDate]],weather.tbl[Date],0))</f>
        <v>19.8</v>
      </c>
      <c r="T1624" s="2">
        <f ca="1">INDEX(INDIRECT(_xlfn.CONCAT("weather.tbl[",T$1,"]")),MATCH(vp.data[[#This Row],[SDate]],weather.tbl[Date],0))</f>
        <v>17.8</v>
      </c>
      <c r="U1624" s="2">
        <f ca="1">INDEX(INDIRECT(_xlfn.CONCAT("weather.tbl[",U$1,"]")),MATCH(vp.data[[#This Row],[SDate]],weather.tbl[Date],0))</f>
        <v>18.5</v>
      </c>
      <c r="V1624" s="2" t="str">
        <f t="array" ref="V16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4" t="s">
        <v>48</v>
      </c>
      <c r="X1624">
        <f>IF(OR(vp.data[[#This Row],[Sulf]]="",vp.data[[#This Row],[Dens]]=""),1,0)</f>
        <v>1</v>
      </c>
      <c r="Y1624">
        <f>IF(vp.data[[#This Row],[CrudeType]]="C5+",1,0)</f>
        <v>0</v>
      </c>
      <c r="Z1624">
        <f>IF(AND(vp.data[[#This Row],[CrudeType]]="Crude",vp.data[[#This Row],[Dens]]&lt;=825,vp.data[[#This Row],[Sulf]]&gt;0.5,vp.data[[#This Row],[Unknown]]=0),1,0)</f>
        <v>0</v>
      </c>
      <c r="AA1624">
        <f>IF(AND(vp.data[[#This Row],[CrudeType]]="Crude",vp.data[[#This Row],[Dens]]&lt;=825,vp.data[[#This Row],[Sulf]]&lt;=0.5,vp.data[[#This Row],[Unknown]]=0),1,0)</f>
        <v>0</v>
      </c>
      <c r="AB16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4">
        <f>IF(AND(vp.data[[#This Row],[CrudeType]]="Crude",vp.data[[#This Row],[Dens]]&gt;825,vp.data[[#This Row],[Dens]]&lt;=900,vp.data[[#This Row],[Sulf]]&lt;=0.5,vp.data[[#This Row],[Unknown]]=0),1,0)</f>
        <v>0</v>
      </c>
      <c r="AD1624">
        <f>IF(AND(vp.data[[#This Row],[CrudeType]]="Crude",vp.data[[#This Row],[Dens]]&gt;865,vp.data[[#This Row],[Dens]]&lt;=900,vp.data[[#This Row],[Sulf]]&gt;2,vp.data[[#This Row],[Unknown]]=0),1,0)</f>
        <v>0</v>
      </c>
      <c r="AE1624">
        <f>IF(AND(vp.data[[#This Row],[CrudeType]]="Crude",vp.data[[#This Row],[Dens]]&gt;900,vp.data[[#This Row],[Sulf]]&lt;=0.5,vp.data[[#This Row],[Unknown]]=0),1,0)</f>
        <v>0</v>
      </c>
      <c r="AF1624">
        <f>IF(AND(vp.data[[#This Row],[CrudeType]]="Crude",vp.data[[#This Row],[Dens]]&gt;900,vp.data[[#This Row],[Sulf]]&lt;=0.5,vp.data[[#This Row],[Unknown]]=0),1,0)</f>
        <v>0</v>
      </c>
      <c r="AG1624" t="str">
        <f>INDEX(vp.data[[#Headers],[Unknown]:[Heavy_SW]],MATCH(1,vp.data[[#This Row],[Unknown]:[Heavy_SW]],0))</f>
        <v>Unknown</v>
      </c>
      <c r="AH1624">
        <f>INDEX([3]!crudeBD.lkup[Number],MATCH(vp.data[[#This Row],[Crude_Breakdown]],crudeBD.lkup[Crude Breakdown],0))</f>
        <v>-1</v>
      </c>
      <c r="AI1624">
        <f>MONTH(vp.data[[#This Row],[SDate]])</f>
        <v>6</v>
      </c>
      <c r="AJ1624" s="5">
        <f>(vp.data[[#This Row],[VP]]-INDEX(crudeBD.lkup[Mean_VP],MATCH(vp.data[[#This Row],[Crude_Breakdown]],crudeBD.lkup[Crude Breakdown],0)))^2</f>
        <v>251.3766811831498</v>
      </c>
      <c r="AK1624" s="5" t="e">
        <f>(vp.data[[#This Row],[Dens]]-INDEX(crudeBD.lkup[Mean_Dens],MATCH(vp.data[[#This Row],[Crude_Breakdown]],crudeBD.lkup[Crude Breakdown],0)))^2</f>
        <v>#VALUE!</v>
      </c>
      <c r="AL1624" s="5" t="e">
        <f>(vp.data[[#This Row],[Sulf]]-INDEX(crudeBD.lkup[Mean_Sulf],MATCH(vp.data[[#This Row],[Crude_Breakdown]],crudeBD.lkup[Crude Breakdown],0)))^2</f>
        <v>#VALUE!</v>
      </c>
      <c r="AM1624" s="4">
        <f>IF(AND(vp.data[[#This Row],[SDate]]&gt;=DATE(YEAR(vp.data[[#This Row],[SDate]]),5,1),vp.data[[#This Row],[SDate]]&lt;=DATE(YEAR(vp.data[[#This Row],[SDate]]),9,15)),1,0)</f>
        <v>1</v>
      </c>
      <c r="AN1624" s="4">
        <f>IF(vp.data[[#This Row],[SDate]]&lt;DATE(2016,12,1),0,1)</f>
        <v>1</v>
      </c>
      <c r="AO1624" s="4" t="str">
        <f>IFERROR(vp.data[[#This Row],[Sulf]]*vp.data[[#This Row],[Net Dens]],"")</f>
        <v/>
      </c>
      <c r="AP1624" t="str">
        <f>IFERROR(vp.data[[#This Row],[Dens]]*vp.data[[#This Row],[VolumeM3]],"")</f>
        <v/>
      </c>
      <c r="AQ1624" s="15" t="str">
        <f>IFERROR(vp.data[[#This Row],[VP]]*vp.data[[#This Row],[VolumeM3]],"")</f>
        <v/>
      </c>
    </row>
    <row r="1625" spans="1:43" x14ac:dyDescent="0.25">
      <c r="A1625">
        <v>1624</v>
      </c>
      <c r="B1625" t="s">
        <v>49</v>
      </c>
      <c r="C1625" t="s">
        <v>49</v>
      </c>
      <c r="D1625" t="s">
        <v>115</v>
      </c>
      <c r="F1625" s="1">
        <v>42895</v>
      </c>
      <c r="G1625" s="2">
        <v>52.3</v>
      </c>
      <c r="H1625" s="2"/>
      <c r="I1625" s="2" t="str">
        <f t="array" ref="I162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5" s="2"/>
      <c r="K1625" s="2"/>
      <c r="L1625" s="2"/>
      <c r="M1625" s="2" t="str">
        <f t="array" ref="M162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5" s="2">
        <f ca="1">INDEX(INDIRECT(_xlfn.CONCAT("weather.tbl[",N$1,"]")),MATCH(vp.data[[#This Row],[SDate]],weather.tbl[Date],0))</f>
        <v>19.233333333333331</v>
      </c>
      <c r="O1625" s="2">
        <f ca="1">INDEX(INDIRECT(_xlfn.CONCAT("weather.tbl[",O$1,"]")),MATCH(vp.data[[#This Row],[SDate]],weather.tbl[Date],0))</f>
        <v>18.188095238095237</v>
      </c>
      <c r="P1625" s="2">
        <f ca="1">INDEX(INDIRECT(_xlfn.CONCAT("weather.tbl[",P$1,"]")),MATCH(vp.data[[#This Row],[SDate]],weather.tbl[Date],0))</f>
        <v>19.899999999999999</v>
      </c>
      <c r="Q1625" s="2">
        <f ca="1">INDEX(INDIRECT(_xlfn.CONCAT("weather.tbl[",Q$1,"]")),MATCH(vp.data[[#This Row],[SDate]],weather.tbl[Date],0))</f>
        <v>20.100000000000001</v>
      </c>
      <c r="R1625" s="2">
        <f ca="1">INDEX(INDIRECT(_xlfn.CONCAT("weather.tbl[",R$1,"]")),MATCH(vp.data[[#This Row],[SDate]],weather.tbl[Date],0))</f>
        <v>19.3</v>
      </c>
      <c r="S1625" s="2">
        <f ca="1">INDEX(INDIRECT(_xlfn.CONCAT("weather.tbl[",S$1,"]")),MATCH(vp.data[[#This Row],[SDate]],weather.tbl[Date],0))</f>
        <v>19.8</v>
      </c>
      <c r="T1625" s="2">
        <f ca="1">INDEX(INDIRECT(_xlfn.CONCAT("weather.tbl[",T$1,"]")),MATCH(vp.data[[#This Row],[SDate]],weather.tbl[Date],0))</f>
        <v>17.8</v>
      </c>
      <c r="U1625" s="2">
        <f ca="1">INDEX(INDIRECT(_xlfn.CONCAT("weather.tbl[",U$1,"]")),MATCH(vp.data[[#This Row],[SDate]],weather.tbl[Date],0))</f>
        <v>18.5</v>
      </c>
      <c r="V1625" s="2" t="str">
        <f t="array" ref="V16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5" t="s">
        <v>48</v>
      </c>
      <c r="X1625">
        <f>IF(OR(vp.data[[#This Row],[Sulf]]="",vp.data[[#This Row],[Dens]]=""),1,0)</f>
        <v>1</v>
      </c>
      <c r="Y1625">
        <f>IF(vp.data[[#This Row],[CrudeType]]="C5+",1,0)</f>
        <v>0</v>
      </c>
      <c r="Z1625">
        <f>IF(AND(vp.data[[#This Row],[CrudeType]]="Crude",vp.data[[#This Row],[Dens]]&lt;=825,vp.data[[#This Row],[Sulf]]&gt;0.5,vp.data[[#This Row],[Unknown]]=0),1,0)</f>
        <v>0</v>
      </c>
      <c r="AA1625">
        <f>IF(AND(vp.data[[#This Row],[CrudeType]]="Crude",vp.data[[#This Row],[Dens]]&lt;=825,vp.data[[#This Row],[Sulf]]&lt;=0.5,vp.data[[#This Row],[Unknown]]=0),1,0)</f>
        <v>0</v>
      </c>
      <c r="AB16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5">
        <f>IF(AND(vp.data[[#This Row],[CrudeType]]="Crude",vp.data[[#This Row],[Dens]]&gt;825,vp.data[[#This Row],[Dens]]&lt;=900,vp.data[[#This Row],[Sulf]]&lt;=0.5,vp.data[[#This Row],[Unknown]]=0),1,0)</f>
        <v>0</v>
      </c>
      <c r="AD1625">
        <f>IF(AND(vp.data[[#This Row],[CrudeType]]="Crude",vp.data[[#This Row],[Dens]]&gt;865,vp.data[[#This Row],[Dens]]&lt;=900,vp.data[[#This Row],[Sulf]]&gt;2,vp.data[[#This Row],[Unknown]]=0),1,0)</f>
        <v>0</v>
      </c>
      <c r="AE1625">
        <f>IF(AND(vp.data[[#This Row],[CrudeType]]="Crude",vp.data[[#This Row],[Dens]]&gt;900,vp.data[[#This Row],[Sulf]]&lt;=0.5,vp.data[[#This Row],[Unknown]]=0),1,0)</f>
        <v>0</v>
      </c>
      <c r="AF1625">
        <f>IF(AND(vp.data[[#This Row],[CrudeType]]="Crude",vp.data[[#This Row],[Dens]]&gt;900,vp.data[[#This Row],[Sulf]]&lt;=0.5,vp.data[[#This Row],[Unknown]]=0),1,0)</f>
        <v>0</v>
      </c>
      <c r="AG1625" t="str">
        <f>INDEX(vp.data[[#Headers],[Unknown]:[Heavy_SW]],MATCH(1,vp.data[[#This Row],[Unknown]:[Heavy_SW]],0))</f>
        <v>Unknown</v>
      </c>
      <c r="AH1625">
        <f>INDEX([3]!crudeBD.lkup[Number],MATCH(vp.data[[#This Row],[Crude_Breakdown]],crudeBD.lkup[Crude Breakdown],0))</f>
        <v>-1</v>
      </c>
      <c r="AI1625">
        <f>MONTH(vp.data[[#This Row],[SDate]])</f>
        <v>6</v>
      </c>
      <c r="AJ1625" s="5">
        <f>(vp.data[[#This Row],[VP]]-INDEX(crudeBD.lkup[Mean_VP],MATCH(vp.data[[#This Row],[Crude_Breakdown]],crudeBD.lkup[Crude Breakdown],0)))^2</f>
        <v>464.19292775849016</v>
      </c>
      <c r="AK1625" s="5" t="e">
        <f>(vp.data[[#This Row],[Dens]]-INDEX(crudeBD.lkup[Mean_Dens],MATCH(vp.data[[#This Row],[Crude_Breakdown]],crudeBD.lkup[Crude Breakdown],0)))^2</f>
        <v>#VALUE!</v>
      </c>
      <c r="AL1625" s="5" t="e">
        <f>(vp.data[[#This Row],[Sulf]]-INDEX(crudeBD.lkup[Mean_Sulf],MATCH(vp.data[[#This Row],[Crude_Breakdown]],crudeBD.lkup[Crude Breakdown],0)))^2</f>
        <v>#VALUE!</v>
      </c>
      <c r="AM1625" s="4">
        <f>IF(AND(vp.data[[#This Row],[SDate]]&gt;=DATE(YEAR(vp.data[[#This Row],[SDate]]),5,1),vp.data[[#This Row],[SDate]]&lt;=DATE(YEAR(vp.data[[#This Row],[SDate]]),9,15)),1,0)</f>
        <v>1</v>
      </c>
      <c r="AN1625" s="4">
        <f>IF(vp.data[[#This Row],[SDate]]&lt;DATE(2016,12,1),0,1)</f>
        <v>1</v>
      </c>
      <c r="AO1625" s="4" t="str">
        <f>IFERROR(vp.data[[#This Row],[Sulf]]*vp.data[[#This Row],[Net Dens]],"")</f>
        <v/>
      </c>
      <c r="AP1625" t="str">
        <f>IFERROR(vp.data[[#This Row],[Dens]]*vp.data[[#This Row],[VolumeM3]],"")</f>
        <v/>
      </c>
      <c r="AQ1625" s="15" t="str">
        <f>IFERROR(vp.data[[#This Row],[VP]]*vp.data[[#This Row],[VolumeM3]],"")</f>
        <v/>
      </c>
    </row>
    <row r="1626" spans="1:43" x14ac:dyDescent="0.25">
      <c r="A1626">
        <v>1625</v>
      </c>
      <c r="B1626" t="s">
        <v>49</v>
      </c>
      <c r="C1626" t="s">
        <v>49</v>
      </c>
      <c r="D1626" t="s">
        <v>114</v>
      </c>
      <c r="F1626" s="1">
        <v>42895</v>
      </c>
      <c r="G1626" s="2">
        <v>62.7</v>
      </c>
      <c r="H1626" s="2"/>
      <c r="I1626" s="2" t="str">
        <f t="array" ref="I162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6" s="2"/>
      <c r="K1626" s="2"/>
      <c r="L1626" s="2"/>
      <c r="M1626" s="2" t="str">
        <f t="array" ref="M162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6" s="2">
        <f ca="1">INDEX(INDIRECT(_xlfn.CONCAT("weather.tbl[",N$1,"]")),MATCH(vp.data[[#This Row],[SDate]],weather.tbl[Date],0))</f>
        <v>19.233333333333331</v>
      </c>
      <c r="O1626" s="2">
        <f ca="1">INDEX(INDIRECT(_xlfn.CONCAT("weather.tbl[",O$1,"]")),MATCH(vp.data[[#This Row],[SDate]],weather.tbl[Date],0))</f>
        <v>18.188095238095237</v>
      </c>
      <c r="P1626" s="2">
        <f ca="1">INDEX(INDIRECT(_xlfn.CONCAT("weather.tbl[",P$1,"]")),MATCH(vp.data[[#This Row],[SDate]],weather.tbl[Date],0))</f>
        <v>19.899999999999999</v>
      </c>
      <c r="Q1626" s="2">
        <f ca="1">INDEX(INDIRECT(_xlfn.CONCAT("weather.tbl[",Q$1,"]")),MATCH(vp.data[[#This Row],[SDate]],weather.tbl[Date],0))</f>
        <v>20.100000000000001</v>
      </c>
      <c r="R1626" s="2">
        <f ca="1">INDEX(INDIRECT(_xlfn.CONCAT("weather.tbl[",R$1,"]")),MATCH(vp.data[[#This Row],[SDate]],weather.tbl[Date],0))</f>
        <v>19.3</v>
      </c>
      <c r="S1626" s="2">
        <f ca="1">INDEX(INDIRECT(_xlfn.CONCAT("weather.tbl[",S$1,"]")),MATCH(vp.data[[#This Row],[SDate]],weather.tbl[Date],0))</f>
        <v>19.8</v>
      </c>
      <c r="T1626" s="2">
        <f ca="1">INDEX(INDIRECT(_xlfn.CONCAT("weather.tbl[",T$1,"]")),MATCH(vp.data[[#This Row],[SDate]],weather.tbl[Date],0))</f>
        <v>17.8</v>
      </c>
      <c r="U1626" s="2">
        <f ca="1">INDEX(INDIRECT(_xlfn.CONCAT("weather.tbl[",U$1,"]")),MATCH(vp.data[[#This Row],[SDate]],weather.tbl[Date],0))</f>
        <v>18.5</v>
      </c>
      <c r="V1626" s="2" t="str">
        <f t="array" ref="V16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6" t="s">
        <v>48</v>
      </c>
      <c r="X1626">
        <f>IF(OR(vp.data[[#This Row],[Sulf]]="",vp.data[[#This Row],[Dens]]=""),1,0)</f>
        <v>1</v>
      </c>
      <c r="Y1626">
        <f>IF(vp.data[[#This Row],[CrudeType]]="C5+",1,0)</f>
        <v>0</v>
      </c>
      <c r="Z1626">
        <f>IF(AND(vp.data[[#This Row],[CrudeType]]="Crude",vp.data[[#This Row],[Dens]]&lt;=825,vp.data[[#This Row],[Sulf]]&gt;0.5,vp.data[[#This Row],[Unknown]]=0),1,0)</f>
        <v>0</v>
      </c>
      <c r="AA1626">
        <f>IF(AND(vp.data[[#This Row],[CrudeType]]="Crude",vp.data[[#This Row],[Dens]]&lt;=825,vp.data[[#This Row],[Sulf]]&lt;=0.5,vp.data[[#This Row],[Unknown]]=0),1,0)</f>
        <v>0</v>
      </c>
      <c r="AB16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6">
        <f>IF(AND(vp.data[[#This Row],[CrudeType]]="Crude",vp.data[[#This Row],[Dens]]&gt;825,vp.data[[#This Row],[Dens]]&lt;=900,vp.data[[#This Row],[Sulf]]&lt;=0.5,vp.data[[#This Row],[Unknown]]=0),1,0)</f>
        <v>0</v>
      </c>
      <c r="AD1626">
        <f>IF(AND(vp.data[[#This Row],[CrudeType]]="Crude",vp.data[[#This Row],[Dens]]&gt;865,vp.data[[#This Row],[Dens]]&lt;=900,vp.data[[#This Row],[Sulf]]&gt;2,vp.data[[#This Row],[Unknown]]=0),1,0)</f>
        <v>0</v>
      </c>
      <c r="AE1626">
        <f>IF(AND(vp.data[[#This Row],[CrudeType]]="Crude",vp.data[[#This Row],[Dens]]&gt;900,vp.data[[#This Row],[Sulf]]&lt;=0.5,vp.data[[#This Row],[Unknown]]=0),1,0)</f>
        <v>0</v>
      </c>
      <c r="AF1626">
        <f>IF(AND(vp.data[[#This Row],[CrudeType]]="Crude",vp.data[[#This Row],[Dens]]&gt;900,vp.data[[#This Row],[Sulf]]&lt;=0.5,vp.data[[#This Row],[Unknown]]=0),1,0)</f>
        <v>0</v>
      </c>
      <c r="AG1626" t="str">
        <f>INDEX(vp.data[[#Headers],[Unknown]:[Heavy_SW]],MATCH(1,vp.data[[#This Row],[Unknown]:[Heavy_SW]],0))</f>
        <v>Unknown</v>
      </c>
      <c r="AH1626">
        <f>INDEX([3]!crudeBD.lkup[Number],MATCH(vp.data[[#This Row],[Crude_Breakdown]],crudeBD.lkup[Crude Breakdown],0))</f>
        <v>-1</v>
      </c>
      <c r="AI1626">
        <f>MONTH(vp.data[[#This Row],[SDate]])</f>
        <v>6</v>
      </c>
      <c r="AJ1626" s="5">
        <f>(vp.data[[#This Row],[VP]]-INDEX(crudeBD.lkup[Mean_VP],MATCH(vp.data[[#This Row],[Crude_Breakdown]],crudeBD.lkup[Crude Breakdown],0)))^2</f>
        <v>124.21407844342208</v>
      </c>
      <c r="AK1626" s="5" t="e">
        <f>(vp.data[[#This Row],[Dens]]-INDEX(crudeBD.lkup[Mean_Dens],MATCH(vp.data[[#This Row],[Crude_Breakdown]],crudeBD.lkup[Crude Breakdown],0)))^2</f>
        <v>#VALUE!</v>
      </c>
      <c r="AL1626" s="5" t="e">
        <f>(vp.data[[#This Row],[Sulf]]-INDEX(crudeBD.lkup[Mean_Sulf],MATCH(vp.data[[#This Row],[Crude_Breakdown]],crudeBD.lkup[Crude Breakdown],0)))^2</f>
        <v>#VALUE!</v>
      </c>
      <c r="AM1626" s="4">
        <f>IF(AND(vp.data[[#This Row],[SDate]]&gt;=DATE(YEAR(vp.data[[#This Row],[SDate]]),5,1),vp.data[[#This Row],[SDate]]&lt;=DATE(YEAR(vp.data[[#This Row],[SDate]]),9,15)),1,0)</f>
        <v>1</v>
      </c>
      <c r="AN1626" s="4">
        <f>IF(vp.data[[#This Row],[SDate]]&lt;DATE(2016,12,1),0,1)</f>
        <v>1</v>
      </c>
      <c r="AO1626" s="4" t="str">
        <f>IFERROR(vp.data[[#This Row],[Sulf]]*vp.data[[#This Row],[Net Dens]],"")</f>
        <v/>
      </c>
      <c r="AP1626" t="str">
        <f>IFERROR(vp.data[[#This Row],[Dens]]*vp.data[[#This Row],[VolumeM3]],"")</f>
        <v/>
      </c>
      <c r="AQ1626" s="15" t="str">
        <f>IFERROR(vp.data[[#This Row],[VP]]*vp.data[[#This Row],[VolumeM3]],"")</f>
        <v/>
      </c>
    </row>
    <row r="1627" spans="1:43" x14ac:dyDescent="0.25">
      <c r="A1627">
        <v>1626</v>
      </c>
      <c r="B1627" t="s">
        <v>49</v>
      </c>
      <c r="C1627" t="s">
        <v>49</v>
      </c>
      <c r="D1627" t="s">
        <v>101</v>
      </c>
      <c r="F1627" s="1">
        <v>42895</v>
      </c>
      <c r="G1627" s="2">
        <v>68.400000000000006</v>
      </c>
      <c r="H1627" s="2"/>
      <c r="I1627" s="2" t="str">
        <f t="array" ref="I162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7" s="2"/>
      <c r="K1627" s="2"/>
      <c r="L1627" s="2"/>
      <c r="M1627" s="2" t="str">
        <f t="array" ref="M162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7" s="2">
        <f ca="1">INDEX(INDIRECT(_xlfn.CONCAT("weather.tbl[",N$1,"]")),MATCH(vp.data[[#This Row],[SDate]],weather.tbl[Date],0))</f>
        <v>19.233333333333331</v>
      </c>
      <c r="O1627" s="2">
        <f ca="1">INDEX(INDIRECT(_xlfn.CONCAT("weather.tbl[",O$1,"]")),MATCH(vp.data[[#This Row],[SDate]],weather.tbl[Date],0))</f>
        <v>18.188095238095237</v>
      </c>
      <c r="P1627" s="2">
        <f ca="1">INDEX(INDIRECT(_xlfn.CONCAT("weather.tbl[",P$1,"]")),MATCH(vp.data[[#This Row],[SDate]],weather.tbl[Date],0))</f>
        <v>19.899999999999999</v>
      </c>
      <c r="Q1627" s="2">
        <f ca="1">INDEX(INDIRECT(_xlfn.CONCAT("weather.tbl[",Q$1,"]")),MATCH(vp.data[[#This Row],[SDate]],weather.tbl[Date],0))</f>
        <v>20.100000000000001</v>
      </c>
      <c r="R1627" s="2">
        <f ca="1">INDEX(INDIRECT(_xlfn.CONCAT("weather.tbl[",R$1,"]")),MATCH(vp.data[[#This Row],[SDate]],weather.tbl[Date],0))</f>
        <v>19.3</v>
      </c>
      <c r="S1627" s="2">
        <f ca="1">INDEX(INDIRECT(_xlfn.CONCAT("weather.tbl[",S$1,"]")),MATCH(vp.data[[#This Row],[SDate]],weather.tbl[Date],0))</f>
        <v>19.8</v>
      </c>
      <c r="T1627" s="2">
        <f ca="1">INDEX(INDIRECT(_xlfn.CONCAT("weather.tbl[",T$1,"]")),MATCH(vp.data[[#This Row],[SDate]],weather.tbl[Date],0))</f>
        <v>17.8</v>
      </c>
      <c r="U1627" s="2">
        <f ca="1">INDEX(INDIRECT(_xlfn.CONCAT("weather.tbl[",U$1,"]")),MATCH(vp.data[[#This Row],[SDate]],weather.tbl[Date],0))</f>
        <v>18.5</v>
      </c>
      <c r="V1627" s="2" t="str">
        <f t="array" ref="V16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7" t="s">
        <v>48</v>
      </c>
      <c r="X1627">
        <f>IF(OR(vp.data[[#This Row],[Sulf]]="",vp.data[[#This Row],[Dens]]=""),1,0)</f>
        <v>1</v>
      </c>
      <c r="Y1627">
        <f>IF(vp.data[[#This Row],[CrudeType]]="C5+",1,0)</f>
        <v>0</v>
      </c>
      <c r="Z1627">
        <f>IF(AND(vp.data[[#This Row],[CrudeType]]="Crude",vp.data[[#This Row],[Dens]]&lt;=825,vp.data[[#This Row],[Sulf]]&gt;0.5,vp.data[[#This Row],[Unknown]]=0),1,0)</f>
        <v>0</v>
      </c>
      <c r="AA1627">
        <f>IF(AND(vp.data[[#This Row],[CrudeType]]="Crude",vp.data[[#This Row],[Dens]]&lt;=825,vp.data[[#This Row],[Sulf]]&lt;=0.5,vp.data[[#This Row],[Unknown]]=0),1,0)</f>
        <v>0</v>
      </c>
      <c r="AB16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7">
        <f>IF(AND(vp.data[[#This Row],[CrudeType]]="Crude",vp.data[[#This Row],[Dens]]&gt;825,vp.data[[#This Row],[Dens]]&lt;=900,vp.data[[#This Row],[Sulf]]&lt;=0.5,vp.data[[#This Row],[Unknown]]=0),1,0)</f>
        <v>0</v>
      </c>
      <c r="AD1627">
        <f>IF(AND(vp.data[[#This Row],[CrudeType]]="Crude",vp.data[[#This Row],[Dens]]&gt;865,vp.data[[#This Row],[Dens]]&lt;=900,vp.data[[#This Row],[Sulf]]&gt;2,vp.data[[#This Row],[Unknown]]=0),1,0)</f>
        <v>0</v>
      </c>
      <c r="AE1627">
        <f>IF(AND(vp.data[[#This Row],[CrudeType]]="Crude",vp.data[[#This Row],[Dens]]&gt;900,vp.data[[#This Row],[Sulf]]&lt;=0.5,vp.data[[#This Row],[Unknown]]=0),1,0)</f>
        <v>0</v>
      </c>
      <c r="AF1627">
        <f>IF(AND(vp.data[[#This Row],[CrudeType]]="Crude",vp.data[[#This Row],[Dens]]&gt;900,vp.data[[#This Row],[Sulf]]&lt;=0.5,vp.data[[#This Row],[Unknown]]=0),1,0)</f>
        <v>0</v>
      </c>
      <c r="AG1627" t="str">
        <f>INDEX(vp.data[[#Headers],[Unknown]:[Heavy_SW]],MATCH(1,vp.data[[#This Row],[Unknown]:[Heavy_SW]],0))</f>
        <v>Unknown</v>
      </c>
      <c r="AH1627">
        <f>INDEX([3]!crudeBD.lkup[Number],MATCH(vp.data[[#This Row],[Crude_Breakdown]],crudeBD.lkup[Crude Breakdown],0))</f>
        <v>-1</v>
      </c>
      <c r="AI1627">
        <f>MONTH(vp.data[[#This Row],[SDate]])</f>
        <v>6</v>
      </c>
      <c r="AJ1627" s="5">
        <f>(vp.data[[#This Row],[VP]]-INDEX(crudeBD.lkup[Mean_VP],MATCH(vp.data[[#This Row],[Crude_Breakdown]],crudeBD.lkup[Crude Breakdown],0)))^2</f>
        <v>29.649516799586792</v>
      </c>
      <c r="AK1627" s="5" t="e">
        <f>(vp.data[[#This Row],[Dens]]-INDEX(crudeBD.lkup[Mean_Dens],MATCH(vp.data[[#This Row],[Crude_Breakdown]],crudeBD.lkup[Crude Breakdown],0)))^2</f>
        <v>#VALUE!</v>
      </c>
      <c r="AL1627" s="5" t="e">
        <f>(vp.data[[#This Row],[Sulf]]-INDEX(crudeBD.lkup[Mean_Sulf],MATCH(vp.data[[#This Row],[Crude_Breakdown]],crudeBD.lkup[Crude Breakdown],0)))^2</f>
        <v>#VALUE!</v>
      </c>
      <c r="AM1627" s="4">
        <f>IF(AND(vp.data[[#This Row],[SDate]]&gt;=DATE(YEAR(vp.data[[#This Row],[SDate]]),5,1),vp.data[[#This Row],[SDate]]&lt;=DATE(YEAR(vp.data[[#This Row],[SDate]]),9,15)),1,0)</f>
        <v>1</v>
      </c>
      <c r="AN1627" s="4">
        <f>IF(vp.data[[#This Row],[SDate]]&lt;DATE(2016,12,1),0,1)</f>
        <v>1</v>
      </c>
      <c r="AO1627" s="4" t="str">
        <f>IFERROR(vp.data[[#This Row],[Sulf]]*vp.data[[#This Row],[Net Dens]],"")</f>
        <v/>
      </c>
      <c r="AP1627" t="str">
        <f>IFERROR(vp.data[[#This Row],[Dens]]*vp.data[[#This Row],[VolumeM3]],"")</f>
        <v/>
      </c>
      <c r="AQ1627" s="15" t="str">
        <f>IFERROR(vp.data[[#This Row],[VP]]*vp.data[[#This Row],[VolumeM3]],"")</f>
        <v/>
      </c>
    </row>
    <row r="1628" spans="1:43" x14ac:dyDescent="0.25">
      <c r="A1628">
        <v>1627</v>
      </c>
      <c r="B1628" t="s">
        <v>62</v>
      </c>
      <c r="C1628" t="s">
        <v>62</v>
      </c>
      <c r="D1628" t="s">
        <v>87</v>
      </c>
      <c r="F1628" s="1">
        <v>42895</v>
      </c>
      <c r="G1628" s="2">
        <v>94.8</v>
      </c>
      <c r="H1628" s="2"/>
      <c r="I1628" s="2" t="str">
        <f t="array" ref="I162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8" s="2"/>
      <c r="K1628" s="2"/>
      <c r="L1628" s="2"/>
      <c r="M1628" s="2" t="str">
        <f t="array" ref="M162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8" s="2">
        <f ca="1">INDEX(INDIRECT(_xlfn.CONCAT("weather.tbl[",N$1,"]")),MATCH(vp.data[[#This Row],[SDate]],weather.tbl[Date],0))</f>
        <v>19.233333333333331</v>
      </c>
      <c r="O1628" s="2">
        <f ca="1">INDEX(INDIRECT(_xlfn.CONCAT("weather.tbl[",O$1,"]")),MATCH(vp.data[[#This Row],[SDate]],weather.tbl[Date],0))</f>
        <v>18.188095238095237</v>
      </c>
      <c r="P1628" s="2">
        <f ca="1">INDEX(INDIRECT(_xlfn.CONCAT("weather.tbl[",P$1,"]")),MATCH(vp.data[[#This Row],[SDate]],weather.tbl[Date],0))</f>
        <v>19.899999999999999</v>
      </c>
      <c r="Q1628" s="2">
        <f ca="1">INDEX(INDIRECT(_xlfn.CONCAT("weather.tbl[",Q$1,"]")),MATCH(vp.data[[#This Row],[SDate]],weather.tbl[Date],0))</f>
        <v>20.100000000000001</v>
      </c>
      <c r="R1628" s="2">
        <f ca="1">INDEX(INDIRECT(_xlfn.CONCAT("weather.tbl[",R$1,"]")),MATCH(vp.data[[#This Row],[SDate]],weather.tbl[Date],0))</f>
        <v>19.3</v>
      </c>
      <c r="S1628" s="2">
        <f ca="1">INDEX(INDIRECT(_xlfn.CONCAT("weather.tbl[",S$1,"]")),MATCH(vp.data[[#This Row],[SDate]],weather.tbl[Date],0))</f>
        <v>19.8</v>
      </c>
      <c r="T1628" s="2">
        <f ca="1">INDEX(INDIRECT(_xlfn.CONCAT("weather.tbl[",T$1,"]")),MATCH(vp.data[[#This Row],[SDate]],weather.tbl[Date],0))</f>
        <v>17.8</v>
      </c>
      <c r="U1628" s="2">
        <f ca="1">INDEX(INDIRECT(_xlfn.CONCAT("weather.tbl[",U$1,"]")),MATCH(vp.data[[#This Row],[SDate]],weather.tbl[Date],0))</f>
        <v>18.5</v>
      </c>
      <c r="V1628" s="2" t="str">
        <f t="array" ref="V16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8" t="s">
        <v>48</v>
      </c>
      <c r="X1628">
        <f>IF(OR(vp.data[[#This Row],[Sulf]]="",vp.data[[#This Row],[Dens]]=""),1,0)</f>
        <v>1</v>
      </c>
      <c r="Y1628">
        <f>IF(vp.data[[#This Row],[CrudeType]]="C5+",1,0)</f>
        <v>0</v>
      </c>
      <c r="Z1628">
        <f>IF(AND(vp.data[[#This Row],[CrudeType]]="Crude",vp.data[[#This Row],[Dens]]&lt;=825,vp.data[[#This Row],[Sulf]]&gt;0.5,vp.data[[#This Row],[Unknown]]=0),1,0)</f>
        <v>0</v>
      </c>
      <c r="AA1628">
        <f>IF(AND(vp.data[[#This Row],[CrudeType]]="Crude",vp.data[[#This Row],[Dens]]&lt;=825,vp.data[[#This Row],[Sulf]]&lt;=0.5,vp.data[[#This Row],[Unknown]]=0),1,0)</f>
        <v>0</v>
      </c>
      <c r="AB16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8">
        <f>IF(AND(vp.data[[#This Row],[CrudeType]]="Crude",vp.data[[#This Row],[Dens]]&gt;825,vp.data[[#This Row],[Dens]]&lt;=900,vp.data[[#This Row],[Sulf]]&lt;=0.5,vp.data[[#This Row],[Unknown]]=0),1,0)</f>
        <v>0</v>
      </c>
      <c r="AD1628">
        <f>IF(AND(vp.data[[#This Row],[CrudeType]]="Crude",vp.data[[#This Row],[Dens]]&gt;865,vp.data[[#This Row],[Dens]]&lt;=900,vp.data[[#This Row],[Sulf]]&gt;2,vp.data[[#This Row],[Unknown]]=0),1,0)</f>
        <v>0</v>
      </c>
      <c r="AE1628">
        <f>IF(AND(vp.data[[#This Row],[CrudeType]]="Crude",vp.data[[#This Row],[Dens]]&gt;900,vp.data[[#This Row],[Sulf]]&lt;=0.5,vp.data[[#This Row],[Unknown]]=0),1,0)</f>
        <v>0</v>
      </c>
      <c r="AF1628">
        <f>IF(AND(vp.data[[#This Row],[CrudeType]]="Crude",vp.data[[#This Row],[Dens]]&gt;900,vp.data[[#This Row],[Sulf]]&lt;=0.5,vp.data[[#This Row],[Unknown]]=0),1,0)</f>
        <v>0</v>
      </c>
      <c r="AG1628" t="str">
        <f>INDEX(vp.data[[#Headers],[Unknown]:[Heavy_SW]],MATCH(1,vp.data[[#This Row],[Unknown]:[Heavy_SW]],0))</f>
        <v>Unknown</v>
      </c>
      <c r="AH1628">
        <f>INDEX([3]!crudeBD.lkup[Number],MATCH(vp.data[[#This Row],[Crude_Breakdown]],crudeBD.lkup[Crude Breakdown],0))</f>
        <v>-1</v>
      </c>
      <c r="AI1628">
        <f>MONTH(vp.data[[#This Row],[SDate]])</f>
        <v>6</v>
      </c>
      <c r="AJ1628" s="5">
        <f>(vp.data[[#This Row],[VP]]-INDEX(crudeBD.lkup[Mean_VP],MATCH(vp.data[[#This Row],[Crude_Breakdown]],crudeBD.lkup[Crude Breakdown],0)))^2</f>
        <v>439.10628392287595</v>
      </c>
      <c r="AK1628" s="5" t="e">
        <f>(vp.data[[#This Row],[Dens]]-INDEX(crudeBD.lkup[Mean_Dens],MATCH(vp.data[[#This Row],[Crude_Breakdown]],crudeBD.lkup[Crude Breakdown],0)))^2</f>
        <v>#VALUE!</v>
      </c>
      <c r="AL1628" s="5" t="e">
        <f>(vp.data[[#This Row],[Sulf]]-INDEX(crudeBD.lkup[Mean_Sulf],MATCH(vp.data[[#This Row],[Crude_Breakdown]],crudeBD.lkup[Crude Breakdown],0)))^2</f>
        <v>#VALUE!</v>
      </c>
      <c r="AM1628" s="4">
        <f>IF(AND(vp.data[[#This Row],[SDate]]&gt;=DATE(YEAR(vp.data[[#This Row],[SDate]]),5,1),vp.data[[#This Row],[SDate]]&lt;=DATE(YEAR(vp.data[[#This Row],[SDate]]),9,15)),1,0)</f>
        <v>1</v>
      </c>
      <c r="AN1628" s="4">
        <f>IF(vp.data[[#This Row],[SDate]]&lt;DATE(2016,12,1),0,1)</f>
        <v>1</v>
      </c>
      <c r="AO1628" s="4" t="str">
        <f>IFERROR(vp.data[[#This Row],[Sulf]]*vp.data[[#This Row],[Net Dens]],"")</f>
        <v/>
      </c>
      <c r="AP1628" t="str">
        <f>IFERROR(vp.data[[#This Row],[Dens]]*vp.data[[#This Row],[VolumeM3]],"")</f>
        <v/>
      </c>
      <c r="AQ1628" s="15" t="str">
        <f>IFERROR(vp.data[[#This Row],[VP]]*vp.data[[#This Row],[VolumeM3]],"")</f>
        <v/>
      </c>
    </row>
    <row r="1629" spans="1:43" x14ac:dyDescent="0.25">
      <c r="A1629">
        <v>1628</v>
      </c>
      <c r="B1629" t="s">
        <v>211</v>
      </c>
      <c r="C1629" t="s">
        <v>211</v>
      </c>
      <c r="D1629" t="s">
        <v>212</v>
      </c>
      <c r="F1629" s="1">
        <v>42895</v>
      </c>
      <c r="G1629" s="2">
        <v>74</v>
      </c>
      <c r="H1629" s="2"/>
      <c r="I1629" s="2" t="str">
        <f t="array" ref="I162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29" s="2"/>
      <c r="K1629" s="2"/>
      <c r="L1629" s="2"/>
      <c r="M1629" s="2" t="str">
        <f t="array" ref="M162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29" s="2">
        <f ca="1">INDEX(INDIRECT(_xlfn.CONCAT("weather.tbl[",N$1,"]")),MATCH(vp.data[[#This Row],[SDate]],weather.tbl[Date],0))</f>
        <v>19.233333333333331</v>
      </c>
      <c r="O1629" s="2">
        <f ca="1">INDEX(INDIRECT(_xlfn.CONCAT("weather.tbl[",O$1,"]")),MATCH(vp.data[[#This Row],[SDate]],weather.tbl[Date],0))</f>
        <v>18.188095238095237</v>
      </c>
      <c r="P1629" s="2">
        <f ca="1">INDEX(INDIRECT(_xlfn.CONCAT("weather.tbl[",P$1,"]")),MATCH(vp.data[[#This Row],[SDate]],weather.tbl[Date],0))</f>
        <v>19.899999999999999</v>
      </c>
      <c r="Q1629" s="2">
        <f ca="1">INDEX(INDIRECT(_xlfn.CONCAT("weather.tbl[",Q$1,"]")),MATCH(vp.data[[#This Row],[SDate]],weather.tbl[Date],0))</f>
        <v>20.100000000000001</v>
      </c>
      <c r="R1629" s="2">
        <f ca="1">INDEX(INDIRECT(_xlfn.CONCAT("weather.tbl[",R$1,"]")),MATCH(vp.data[[#This Row],[SDate]],weather.tbl[Date],0))</f>
        <v>19.3</v>
      </c>
      <c r="S1629" s="2">
        <f ca="1">INDEX(INDIRECT(_xlfn.CONCAT("weather.tbl[",S$1,"]")),MATCH(vp.data[[#This Row],[SDate]],weather.tbl[Date],0))</f>
        <v>19.8</v>
      </c>
      <c r="T1629" s="2">
        <f ca="1">INDEX(INDIRECT(_xlfn.CONCAT("weather.tbl[",T$1,"]")),MATCH(vp.data[[#This Row],[SDate]],weather.tbl[Date],0))</f>
        <v>17.8</v>
      </c>
      <c r="U1629" s="2">
        <f ca="1">INDEX(INDIRECT(_xlfn.CONCAT("weather.tbl[",U$1,"]")),MATCH(vp.data[[#This Row],[SDate]],weather.tbl[Date],0))</f>
        <v>18.5</v>
      </c>
      <c r="V1629" s="2" t="str">
        <f t="array" ref="V16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29" t="s">
        <v>48</v>
      </c>
      <c r="X1629">
        <f>IF(OR(vp.data[[#This Row],[Sulf]]="",vp.data[[#This Row],[Dens]]=""),1,0)</f>
        <v>1</v>
      </c>
      <c r="Y1629">
        <f>IF(vp.data[[#This Row],[CrudeType]]="C5+",1,0)</f>
        <v>0</v>
      </c>
      <c r="Z1629">
        <f>IF(AND(vp.data[[#This Row],[CrudeType]]="Crude",vp.data[[#This Row],[Dens]]&lt;=825,vp.data[[#This Row],[Sulf]]&gt;0.5,vp.data[[#This Row],[Unknown]]=0),1,0)</f>
        <v>0</v>
      </c>
      <c r="AA1629">
        <f>IF(AND(vp.data[[#This Row],[CrudeType]]="Crude",vp.data[[#This Row],[Dens]]&lt;=825,vp.data[[#This Row],[Sulf]]&lt;=0.5,vp.data[[#This Row],[Unknown]]=0),1,0)</f>
        <v>0</v>
      </c>
      <c r="AB16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29">
        <f>IF(AND(vp.data[[#This Row],[CrudeType]]="Crude",vp.data[[#This Row],[Dens]]&gt;825,vp.data[[#This Row],[Dens]]&lt;=900,vp.data[[#This Row],[Sulf]]&lt;=0.5,vp.data[[#This Row],[Unknown]]=0),1,0)</f>
        <v>0</v>
      </c>
      <c r="AD1629">
        <f>IF(AND(vp.data[[#This Row],[CrudeType]]="Crude",vp.data[[#This Row],[Dens]]&gt;865,vp.data[[#This Row],[Dens]]&lt;=900,vp.data[[#This Row],[Sulf]]&gt;2,vp.data[[#This Row],[Unknown]]=0),1,0)</f>
        <v>0</v>
      </c>
      <c r="AE1629">
        <f>IF(AND(vp.data[[#This Row],[CrudeType]]="Crude",vp.data[[#This Row],[Dens]]&gt;900,vp.data[[#This Row],[Sulf]]&lt;=0.5,vp.data[[#This Row],[Unknown]]=0),1,0)</f>
        <v>0</v>
      </c>
      <c r="AF1629">
        <f>IF(AND(vp.data[[#This Row],[CrudeType]]="Crude",vp.data[[#This Row],[Dens]]&gt;900,vp.data[[#This Row],[Sulf]]&lt;=0.5,vp.data[[#This Row],[Unknown]]=0),1,0)</f>
        <v>0</v>
      </c>
      <c r="AG1629" t="str">
        <f>INDEX(vp.data[[#Headers],[Unknown]:[Heavy_SW]],MATCH(1,vp.data[[#This Row],[Unknown]:[Heavy_SW]],0))</f>
        <v>Unknown</v>
      </c>
      <c r="AH1629">
        <f>INDEX([3]!crudeBD.lkup[Number],MATCH(vp.data[[#This Row],[Crude_Breakdown]],crudeBD.lkup[Crude Breakdown],0))</f>
        <v>-1</v>
      </c>
      <c r="AI1629">
        <f>MONTH(vp.data[[#This Row],[SDate]])</f>
        <v>6</v>
      </c>
      <c r="AJ1629" s="5">
        <f>(vp.data[[#This Row],[VP]]-INDEX(crudeBD.lkup[Mean_VP],MATCH(vp.data[[#This Row],[Crude_Breakdown]],crudeBD.lkup[Crude Breakdown],0)))^2</f>
        <v>2.3982553011830998E-2</v>
      </c>
      <c r="AK1629" s="5" t="e">
        <f>(vp.data[[#This Row],[Dens]]-INDEX(crudeBD.lkup[Mean_Dens],MATCH(vp.data[[#This Row],[Crude_Breakdown]],crudeBD.lkup[Crude Breakdown],0)))^2</f>
        <v>#VALUE!</v>
      </c>
      <c r="AL1629" s="5" t="e">
        <f>(vp.data[[#This Row],[Sulf]]-INDEX(crudeBD.lkup[Mean_Sulf],MATCH(vp.data[[#This Row],[Crude_Breakdown]],crudeBD.lkup[Crude Breakdown],0)))^2</f>
        <v>#VALUE!</v>
      </c>
      <c r="AM1629" s="4">
        <f>IF(AND(vp.data[[#This Row],[SDate]]&gt;=DATE(YEAR(vp.data[[#This Row],[SDate]]),5,1),vp.data[[#This Row],[SDate]]&lt;=DATE(YEAR(vp.data[[#This Row],[SDate]]),9,15)),1,0)</f>
        <v>1</v>
      </c>
      <c r="AN1629" s="4">
        <f>IF(vp.data[[#This Row],[SDate]]&lt;DATE(2016,12,1),0,1)</f>
        <v>1</v>
      </c>
      <c r="AO1629" s="4" t="str">
        <f>IFERROR(vp.data[[#This Row],[Sulf]]*vp.data[[#This Row],[Net Dens]],"")</f>
        <v/>
      </c>
      <c r="AP1629" t="str">
        <f>IFERROR(vp.data[[#This Row],[Dens]]*vp.data[[#This Row],[VolumeM3]],"")</f>
        <v/>
      </c>
      <c r="AQ1629" s="15" t="str">
        <f>IFERROR(vp.data[[#This Row],[VP]]*vp.data[[#This Row],[VolumeM3]],"")</f>
        <v/>
      </c>
    </row>
    <row r="1630" spans="1:43" x14ac:dyDescent="0.25">
      <c r="A1630">
        <v>1629</v>
      </c>
      <c r="B1630" t="s">
        <v>291</v>
      </c>
      <c r="C1630" t="s">
        <v>291</v>
      </c>
      <c r="D1630" t="s">
        <v>113</v>
      </c>
      <c r="F1630" s="1">
        <v>42895</v>
      </c>
      <c r="G1630" s="2">
        <v>75.099999999999994</v>
      </c>
      <c r="H1630" s="2"/>
      <c r="I1630" s="2" t="str">
        <f t="array" ref="I163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0" s="2"/>
      <c r="K1630" s="2"/>
      <c r="L1630" s="2"/>
      <c r="M1630" s="2" t="str">
        <f t="array" ref="M163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0" s="2">
        <f ca="1">INDEX(INDIRECT(_xlfn.CONCAT("weather.tbl[",N$1,"]")),MATCH(vp.data[[#This Row],[SDate]],weather.tbl[Date],0))</f>
        <v>19.233333333333331</v>
      </c>
      <c r="O1630" s="2">
        <f ca="1">INDEX(INDIRECT(_xlfn.CONCAT("weather.tbl[",O$1,"]")),MATCH(vp.data[[#This Row],[SDate]],weather.tbl[Date],0))</f>
        <v>18.188095238095237</v>
      </c>
      <c r="P1630" s="2">
        <f ca="1">INDEX(INDIRECT(_xlfn.CONCAT("weather.tbl[",P$1,"]")),MATCH(vp.data[[#This Row],[SDate]],weather.tbl[Date],0))</f>
        <v>19.899999999999999</v>
      </c>
      <c r="Q1630" s="2">
        <f ca="1">INDEX(INDIRECT(_xlfn.CONCAT("weather.tbl[",Q$1,"]")),MATCH(vp.data[[#This Row],[SDate]],weather.tbl[Date],0))</f>
        <v>20.100000000000001</v>
      </c>
      <c r="R1630" s="2">
        <f ca="1">INDEX(INDIRECT(_xlfn.CONCAT("weather.tbl[",R$1,"]")),MATCH(vp.data[[#This Row],[SDate]],weather.tbl[Date],0))</f>
        <v>19.3</v>
      </c>
      <c r="S1630" s="2">
        <f ca="1">INDEX(INDIRECT(_xlfn.CONCAT("weather.tbl[",S$1,"]")),MATCH(vp.data[[#This Row],[SDate]],weather.tbl[Date],0))</f>
        <v>19.8</v>
      </c>
      <c r="T1630" s="2">
        <f ca="1">INDEX(INDIRECT(_xlfn.CONCAT("weather.tbl[",T$1,"]")),MATCH(vp.data[[#This Row],[SDate]],weather.tbl[Date],0))</f>
        <v>17.8</v>
      </c>
      <c r="U1630" s="2">
        <f ca="1">INDEX(INDIRECT(_xlfn.CONCAT("weather.tbl[",U$1,"]")),MATCH(vp.data[[#This Row],[SDate]],weather.tbl[Date],0))</f>
        <v>18.5</v>
      </c>
      <c r="V1630" s="2" t="str">
        <f t="array" ref="V16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0" t="s">
        <v>48</v>
      </c>
      <c r="X1630">
        <f>IF(OR(vp.data[[#This Row],[Sulf]]="",vp.data[[#This Row],[Dens]]=""),1,0)</f>
        <v>1</v>
      </c>
      <c r="Y1630">
        <f>IF(vp.data[[#This Row],[CrudeType]]="C5+",1,0)</f>
        <v>0</v>
      </c>
      <c r="Z1630">
        <f>IF(AND(vp.data[[#This Row],[CrudeType]]="Crude",vp.data[[#This Row],[Dens]]&lt;=825,vp.data[[#This Row],[Sulf]]&gt;0.5,vp.data[[#This Row],[Unknown]]=0),1,0)</f>
        <v>0</v>
      </c>
      <c r="AA1630">
        <f>IF(AND(vp.data[[#This Row],[CrudeType]]="Crude",vp.data[[#This Row],[Dens]]&lt;=825,vp.data[[#This Row],[Sulf]]&lt;=0.5,vp.data[[#This Row],[Unknown]]=0),1,0)</f>
        <v>0</v>
      </c>
      <c r="AB16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0">
        <f>IF(AND(vp.data[[#This Row],[CrudeType]]="Crude",vp.data[[#This Row],[Dens]]&gt;825,vp.data[[#This Row],[Dens]]&lt;=900,vp.data[[#This Row],[Sulf]]&lt;=0.5,vp.data[[#This Row],[Unknown]]=0),1,0)</f>
        <v>0</v>
      </c>
      <c r="AD1630">
        <f>IF(AND(vp.data[[#This Row],[CrudeType]]="Crude",vp.data[[#This Row],[Dens]]&gt;865,vp.data[[#This Row],[Dens]]&lt;=900,vp.data[[#This Row],[Sulf]]&gt;2,vp.data[[#This Row],[Unknown]]=0),1,0)</f>
        <v>0</v>
      </c>
      <c r="AE1630">
        <f>IF(AND(vp.data[[#This Row],[CrudeType]]="Crude",vp.data[[#This Row],[Dens]]&gt;900,vp.data[[#This Row],[Sulf]]&lt;=0.5,vp.data[[#This Row],[Unknown]]=0),1,0)</f>
        <v>0</v>
      </c>
      <c r="AF1630">
        <f>IF(AND(vp.data[[#This Row],[CrudeType]]="Crude",vp.data[[#This Row],[Dens]]&gt;900,vp.data[[#This Row],[Sulf]]&lt;=0.5,vp.data[[#This Row],[Unknown]]=0),1,0)</f>
        <v>0</v>
      </c>
      <c r="AG1630" t="str">
        <f>INDEX(vp.data[[#Headers],[Unknown]:[Heavy_SW]],MATCH(1,vp.data[[#This Row],[Unknown]:[Heavy_SW]],0))</f>
        <v>Unknown</v>
      </c>
      <c r="AH1630">
        <f>INDEX([3]!crudeBD.lkup[Number],MATCH(vp.data[[#This Row],[Crude_Breakdown]],crudeBD.lkup[Crude Breakdown],0))</f>
        <v>-1</v>
      </c>
      <c r="AI1630">
        <f>MONTH(vp.data[[#This Row],[SDate]])</f>
        <v>6</v>
      </c>
      <c r="AJ1630" s="5">
        <f>(vp.data[[#This Row],[VP]]-INDEX(crudeBD.lkup[Mean_VP],MATCH(vp.data[[#This Row],[Crude_Breakdown]],crudeBD.lkup[Crude Breakdown],0)))^2</f>
        <v>1.5746811831488663</v>
      </c>
      <c r="AK1630" s="5" t="e">
        <f>(vp.data[[#This Row],[Dens]]-INDEX(crudeBD.lkup[Mean_Dens],MATCH(vp.data[[#This Row],[Crude_Breakdown]],crudeBD.lkup[Crude Breakdown],0)))^2</f>
        <v>#VALUE!</v>
      </c>
      <c r="AL1630" s="5" t="e">
        <f>(vp.data[[#This Row],[Sulf]]-INDEX(crudeBD.lkup[Mean_Sulf],MATCH(vp.data[[#This Row],[Crude_Breakdown]],crudeBD.lkup[Crude Breakdown],0)))^2</f>
        <v>#VALUE!</v>
      </c>
      <c r="AM1630" s="4">
        <f>IF(AND(vp.data[[#This Row],[SDate]]&gt;=DATE(YEAR(vp.data[[#This Row],[SDate]]),5,1),vp.data[[#This Row],[SDate]]&lt;=DATE(YEAR(vp.data[[#This Row],[SDate]]),9,15)),1,0)</f>
        <v>1</v>
      </c>
      <c r="AN1630" s="4">
        <f>IF(vp.data[[#This Row],[SDate]]&lt;DATE(2016,12,1),0,1)</f>
        <v>1</v>
      </c>
      <c r="AO1630" s="4" t="str">
        <f>IFERROR(vp.data[[#This Row],[Sulf]]*vp.data[[#This Row],[Net Dens]],"")</f>
        <v/>
      </c>
      <c r="AP1630" t="str">
        <f>IFERROR(vp.data[[#This Row],[Dens]]*vp.data[[#This Row],[VolumeM3]],"")</f>
        <v/>
      </c>
      <c r="AQ1630" s="15" t="str">
        <f>IFERROR(vp.data[[#This Row],[VP]]*vp.data[[#This Row],[VolumeM3]],"")</f>
        <v/>
      </c>
    </row>
    <row r="1631" spans="1:43" x14ac:dyDescent="0.25">
      <c r="A1631">
        <v>1630</v>
      </c>
      <c r="B1631" t="s">
        <v>51</v>
      </c>
      <c r="C1631" t="s">
        <v>51</v>
      </c>
      <c r="D1631" t="s">
        <v>71</v>
      </c>
      <c r="F1631" s="1">
        <v>42895</v>
      </c>
      <c r="G1631" s="2">
        <v>75.400000000000006</v>
      </c>
      <c r="H1631" s="2"/>
      <c r="I1631" s="2" t="str">
        <f t="array" ref="I163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1" s="2"/>
      <c r="K1631" s="2"/>
      <c r="L1631" s="2"/>
      <c r="M1631" s="2" t="str">
        <f t="array" ref="M163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1" s="2">
        <f ca="1">INDEX(INDIRECT(_xlfn.CONCAT("weather.tbl[",N$1,"]")),MATCH(vp.data[[#This Row],[SDate]],weather.tbl[Date],0))</f>
        <v>19.233333333333331</v>
      </c>
      <c r="O1631" s="2">
        <f ca="1">INDEX(INDIRECT(_xlfn.CONCAT("weather.tbl[",O$1,"]")),MATCH(vp.data[[#This Row],[SDate]],weather.tbl[Date],0))</f>
        <v>18.188095238095237</v>
      </c>
      <c r="P1631" s="2">
        <f ca="1">INDEX(INDIRECT(_xlfn.CONCAT("weather.tbl[",P$1,"]")),MATCH(vp.data[[#This Row],[SDate]],weather.tbl[Date],0))</f>
        <v>19.899999999999999</v>
      </c>
      <c r="Q1631" s="2">
        <f ca="1">INDEX(INDIRECT(_xlfn.CONCAT("weather.tbl[",Q$1,"]")),MATCH(vp.data[[#This Row],[SDate]],weather.tbl[Date],0))</f>
        <v>20.100000000000001</v>
      </c>
      <c r="R1631" s="2">
        <f ca="1">INDEX(INDIRECT(_xlfn.CONCAT("weather.tbl[",R$1,"]")),MATCH(vp.data[[#This Row],[SDate]],weather.tbl[Date],0))</f>
        <v>19.3</v>
      </c>
      <c r="S1631" s="2">
        <f ca="1">INDEX(INDIRECT(_xlfn.CONCAT("weather.tbl[",S$1,"]")),MATCH(vp.data[[#This Row],[SDate]],weather.tbl[Date],0))</f>
        <v>19.8</v>
      </c>
      <c r="T1631" s="2">
        <f ca="1">INDEX(INDIRECT(_xlfn.CONCAT("weather.tbl[",T$1,"]")),MATCH(vp.data[[#This Row],[SDate]],weather.tbl[Date],0))</f>
        <v>17.8</v>
      </c>
      <c r="U1631" s="2">
        <f ca="1">INDEX(INDIRECT(_xlfn.CONCAT("weather.tbl[",U$1,"]")),MATCH(vp.data[[#This Row],[SDate]],weather.tbl[Date],0))</f>
        <v>18.5</v>
      </c>
      <c r="V1631" s="2" t="str">
        <f t="array" ref="V16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1" t="s">
        <v>48</v>
      </c>
      <c r="X1631">
        <f>IF(OR(vp.data[[#This Row],[Sulf]]="",vp.data[[#This Row],[Dens]]=""),1,0)</f>
        <v>1</v>
      </c>
      <c r="Y1631">
        <f>IF(vp.data[[#This Row],[CrudeType]]="C5+",1,0)</f>
        <v>0</v>
      </c>
      <c r="Z1631">
        <f>IF(AND(vp.data[[#This Row],[CrudeType]]="Crude",vp.data[[#This Row],[Dens]]&lt;=825,vp.data[[#This Row],[Sulf]]&gt;0.5,vp.data[[#This Row],[Unknown]]=0),1,0)</f>
        <v>0</v>
      </c>
      <c r="AA1631">
        <f>IF(AND(vp.data[[#This Row],[CrudeType]]="Crude",vp.data[[#This Row],[Dens]]&lt;=825,vp.data[[#This Row],[Sulf]]&lt;=0.5,vp.data[[#This Row],[Unknown]]=0),1,0)</f>
        <v>0</v>
      </c>
      <c r="AB16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1">
        <f>IF(AND(vp.data[[#This Row],[CrudeType]]="Crude",vp.data[[#This Row],[Dens]]&gt;825,vp.data[[#This Row],[Dens]]&lt;=900,vp.data[[#This Row],[Sulf]]&lt;=0.5,vp.data[[#This Row],[Unknown]]=0),1,0)</f>
        <v>0</v>
      </c>
      <c r="AD1631">
        <f>IF(AND(vp.data[[#This Row],[CrudeType]]="Crude",vp.data[[#This Row],[Dens]]&gt;865,vp.data[[#This Row],[Dens]]&lt;=900,vp.data[[#This Row],[Sulf]]&gt;2,vp.data[[#This Row],[Unknown]]=0),1,0)</f>
        <v>0</v>
      </c>
      <c r="AE1631">
        <f>IF(AND(vp.data[[#This Row],[CrudeType]]="Crude",vp.data[[#This Row],[Dens]]&gt;900,vp.data[[#This Row],[Sulf]]&lt;=0.5,vp.data[[#This Row],[Unknown]]=0),1,0)</f>
        <v>0</v>
      </c>
      <c r="AF1631">
        <f>IF(AND(vp.data[[#This Row],[CrudeType]]="Crude",vp.data[[#This Row],[Dens]]&gt;900,vp.data[[#This Row],[Sulf]]&lt;=0.5,vp.data[[#This Row],[Unknown]]=0),1,0)</f>
        <v>0</v>
      </c>
      <c r="AG1631" t="str">
        <f>INDEX(vp.data[[#Headers],[Unknown]:[Heavy_SW]],MATCH(1,vp.data[[#This Row],[Unknown]:[Heavy_SW]],0))</f>
        <v>Unknown</v>
      </c>
      <c r="AH1631">
        <f>INDEX([3]!crudeBD.lkup[Number],MATCH(vp.data[[#This Row],[Crude_Breakdown]],crudeBD.lkup[Crude Breakdown],0))</f>
        <v>-1</v>
      </c>
      <c r="AI1631">
        <f>MONTH(vp.data[[#This Row],[SDate]])</f>
        <v>6</v>
      </c>
      <c r="AJ1631" s="5">
        <f>(vp.data[[#This Row],[VP]]-INDEX(crudeBD.lkup[Mean_VP],MATCH(vp.data[[#This Row],[Crude_Breakdown]],crudeBD.lkup[Crude Breakdown],0)))^2</f>
        <v>2.4175989913680933</v>
      </c>
      <c r="AK1631" s="5" t="e">
        <f>(vp.data[[#This Row],[Dens]]-INDEX(crudeBD.lkup[Mean_Dens],MATCH(vp.data[[#This Row],[Crude_Breakdown]],crudeBD.lkup[Crude Breakdown],0)))^2</f>
        <v>#VALUE!</v>
      </c>
      <c r="AL1631" s="5" t="e">
        <f>(vp.data[[#This Row],[Sulf]]-INDEX(crudeBD.lkup[Mean_Sulf],MATCH(vp.data[[#This Row],[Crude_Breakdown]],crudeBD.lkup[Crude Breakdown],0)))^2</f>
        <v>#VALUE!</v>
      </c>
      <c r="AM1631" s="4">
        <f>IF(AND(vp.data[[#This Row],[SDate]]&gt;=DATE(YEAR(vp.data[[#This Row],[SDate]]),5,1),vp.data[[#This Row],[SDate]]&lt;=DATE(YEAR(vp.data[[#This Row],[SDate]]),9,15)),1,0)</f>
        <v>1</v>
      </c>
      <c r="AN1631" s="4">
        <f>IF(vp.data[[#This Row],[SDate]]&lt;DATE(2016,12,1),0,1)</f>
        <v>1</v>
      </c>
      <c r="AO1631" s="4" t="str">
        <f>IFERROR(vp.data[[#This Row],[Sulf]]*vp.data[[#This Row],[Net Dens]],"")</f>
        <v/>
      </c>
      <c r="AP1631" t="str">
        <f>IFERROR(vp.data[[#This Row],[Dens]]*vp.data[[#This Row],[VolumeM3]],"")</f>
        <v/>
      </c>
      <c r="AQ1631" s="15" t="str">
        <f>IFERROR(vp.data[[#This Row],[VP]]*vp.data[[#This Row],[VolumeM3]],"")</f>
        <v/>
      </c>
    </row>
    <row r="1632" spans="1:43" x14ac:dyDescent="0.25">
      <c r="A1632">
        <v>1631</v>
      </c>
      <c r="B1632" t="s">
        <v>51</v>
      </c>
      <c r="C1632" t="s">
        <v>51</v>
      </c>
      <c r="D1632" t="s">
        <v>72</v>
      </c>
      <c r="F1632" s="1">
        <v>42898</v>
      </c>
      <c r="G1632" s="2">
        <v>94.5</v>
      </c>
      <c r="H1632" s="2"/>
      <c r="I1632" s="2" t="str">
        <f t="array" ref="I163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2" s="2"/>
      <c r="K1632" s="2"/>
      <c r="L1632" s="2"/>
      <c r="M1632" s="2" t="str">
        <f t="array" ref="M163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2" s="2">
        <f ca="1">INDEX(INDIRECT(_xlfn.CONCAT("weather.tbl[",N$1,"]")),MATCH(vp.data[[#This Row],[SDate]],weather.tbl[Date],0))</f>
        <v>16.616666666666664</v>
      </c>
      <c r="O1632" s="2">
        <f ca="1">INDEX(INDIRECT(_xlfn.CONCAT("weather.tbl[",O$1,"]")),MATCH(vp.data[[#This Row],[SDate]],weather.tbl[Date],0))</f>
        <v>17.138095238095236</v>
      </c>
      <c r="P1632" s="2">
        <f ca="1">INDEX(INDIRECT(_xlfn.CONCAT("weather.tbl[",P$1,"]")),MATCH(vp.data[[#This Row],[SDate]],weather.tbl[Date],0))</f>
        <v>16.8</v>
      </c>
      <c r="Q1632" s="2">
        <f ca="1">INDEX(INDIRECT(_xlfn.CONCAT("weather.tbl[",Q$1,"]")),MATCH(vp.data[[#This Row],[SDate]],weather.tbl[Date],0))</f>
        <v>16.899999999999999</v>
      </c>
      <c r="R1632" s="2">
        <f ca="1">INDEX(INDIRECT(_xlfn.CONCAT("weather.tbl[",R$1,"]")),MATCH(vp.data[[#This Row],[SDate]],weather.tbl[Date],0))</f>
        <v>17</v>
      </c>
      <c r="S1632" s="2">
        <f ca="1">INDEX(INDIRECT(_xlfn.CONCAT("weather.tbl[",S$1,"]")),MATCH(vp.data[[#This Row],[SDate]],weather.tbl[Date],0))</f>
        <v>16.399999999999999</v>
      </c>
      <c r="T1632" s="2">
        <f ca="1">INDEX(INDIRECT(_xlfn.CONCAT("weather.tbl[",T$1,"]")),MATCH(vp.data[[#This Row],[SDate]],weather.tbl[Date],0))</f>
        <v>16.100000000000001</v>
      </c>
      <c r="U1632" s="2">
        <f ca="1">INDEX(INDIRECT(_xlfn.CONCAT("weather.tbl[",U$1,"]")),MATCH(vp.data[[#This Row],[SDate]],weather.tbl[Date],0))</f>
        <v>16.5</v>
      </c>
      <c r="V1632" s="2" t="str">
        <f t="array" ref="V16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2" t="s">
        <v>48</v>
      </c>
      <c r="X1632">
        <f>IF(OR(vp.data[[#This Row],[Sulf]]="",vp.data[[#This Row],[Dens]]=""),1,0)</f>
        <v>1</v>
      </c>
      <c r="Y1632">
        <f>IF(vp.data[[#This Row],[CrudeType]]="C5+",1,0)</f>
        <v>0</v>
      </c>
      <c r="Z1632">
        <f>IF(AND(vp.data[[#This Row],[CrudeType]]="Crude",vp.data[[#This Row],[Dens]]&lt;=825,vp.data[[#This Row],[Sulf]]&gt;0.5,vp.data[[#This Row],[Unknown]]=0),1,0)</f>
        <v>0</v>
      </c>
      <c r="AA1632">
        <f>IF(AND(vp.data[[#This Row],[CrudeType]]="Crude",vp.data[[#This Row],[Dens]]&lt;=825,vp.data[[#This Row],[Sulf]]&lt;=0.5,vp.data[[#This Row],[Unknown]]=0),1,0)</f>
        <v>0</v>
      </c>
      <c r="AB16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2">
        <f>IF(AND(vp.data[[#This Row],[CrudeType]]="Crude",vp.data[[#This Row],[Dens]]&gt;825,vp.data[[#This Row],[Dens]]&lt;=900,vp.data[[#This Row],[Sulf]]&lt;=0.5,vp.data[[#This Row],[Unknown]]=0),1,0)</f>
        <v>0</v>
      </c>
      <c r="AD1632">
        <f>IF(AND(vp.data[[#This Row],[CrudeType]]="Crude",vp.data[[#This Row],[Dens]]&gt;865,vp.data[[#This Row],[Dens]]&lt;=900,vp.data[[#This Row],[Sulf]]&gt;2,vp.data[[#This Row],[Unknown]]=0),1,0)</f>
        <v>0</v>
      </c>
      <c r="AE1632">
        <f>IF(AND(vp.data[[#This Row],[CrudeType]]="Crude",vp.data[[#This Row],[Dens]]&gt;900,vp.data[[#This Row],[Sulf]]&lt;=0.5,vp.data[[#This Row],[Unknown]]=0),1,0)</f>
        <v>0</v>
      </c>
      <c r="AF1632">
        <f>IF(AND(vp.data[[#This Row],[CrudeType]]="Crude",vp.data[[#This Row],[Dens]]&gt;900,vp.data[[#This Row],[Sulf]]&lt;=0.5,vp.data[[#This Row],[Unknown]]=0),1,0)</f>
        <v>0</v>
      </c>
      <c r="AG1632" t="str">
        <f>INDEX(vp.data[[#Headers],[Unknown]:[Heavy_SW]],MATCH(1,vp.data[[#This Row],[Unknown]:[Heavy_SW]],0))</f>
        <v>Unknown</v>
      </c>
      <c r="AH1632">
        <f>INDEX([3]!crudeBD.lkup[Number],MATCH(vp.data[[#This Row],[Crude_Breakdown]],crudeBD.lkup[Crude Breakdown],0))</f>
        <v>-1</v>
      </c>
      <c r="AI1632">
        <f>MONTH(vp.data[[#This Row],[SDate]])</f>
        <v>6</v>
      </c>
      <c r="AJ1632" s="5">
        <f>(vp.data[[#This Row],[VP]]-INDEX(crudeBD.lkup[Mean_VP],MATCH(vp.data[[#This Row],[Crude_Breakdown]],crudeBD.lkup[Crude Breakdown],0)))^2</f>
        <v>426.62336611465685</v>
      </c>
      <c r="AK1632" s="5" t="e">
        <f>(vp.data[[#This Row],[Dens]]-INDEX(crudeBD.lkup[Mean_Dens],MATCH(vp.data[[#This Row],[Crude_Breakdown]],crudeBD.lkup[Crude Breakdown],0)))^2</f>
        <v>#VALUE!</v>
      </c>
      <c r="AL1632" s="5" t="e">
        <f>(vp.data[[#This Row],[Sulf]]-INDEX(crudeBD.lkup[Mean_Sulf],MATCH(vp.data[[#This Row],[Crude_Breakdown]],crudeBD.lkup[Crude Breakdown],0)))^2</f>
        <v>#VALUE!</v>
      </c>
      <c r="AM1632" s="4">
        <f>IF(AND(vp.data[[#This Row],[SDate]]&gt;=DATE(YEAR(vp.data[[#This Row],[SDate]]),5,1),vp.data[[#This Row],[SDate]]&lt;=DATE(YEAR(vp.data[[#This Row],[SDate]]),9,15)),1,0)</f>
        <v>1</v>
      </c>
      <c r="AN1632" s="4">
        <f>IF(vp.data[[#This Row],[SDate]]&lt;DATE(2016,12,1),0,1)</f>
        <v>1</v>
      </c>
      <c r="AO1632" s="4" t="str">
        <f>IFERROR(vp.data[[#This Row],[Sulf]]*vp.data[[#This Row],[Net Dens]],"")</f>
        <v/>
      </c>
      <c r="AP1632" t="str">
        <f>IFERROR(vp.data[[#This Row],[Dens]]*vp.data[[#This Row],[VolumeM3]],"")</f>
        <v/>
      </c>
      <c r="AQ1632" s="15" t="str">
        <f>IFERROR(vp.data[[#This Row],[VP]]*vp.data[[#This Row],[VolumeM3]],"")</f>
        <v/>
      </c>
    </row>
    <row r="1633" spans="1:43" x14ac:dyDescent="0.25">
      <c r="A1633">
        <v>1632</v>
      </c>
      <c r="B1633" t="s">
        <v>60</v>
      </c>
      <c r="C1633" t="s">
        <v>60</v>
      </c>
      <c r="D1633" t="s">
        <v>61</v>
      </c>
      <c r="E1633" t="s">
        <v>289</v>
      </c>
      <c r="F1633" s="1">
        <v>42898</v>
      </c>
      <c r="G1633" s="2">
        <v>88.1</v>
      </c>
      <c r="H1633" s="2"/>
      <c r="I1633" s="2" t="str">
        <f t="array" ref="I163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3" s="2"/>
      <c r="K1633" s="2"/>
      <c r="L1633" s="2"/>
      <c r="M1633" s="2" t="str">
        <f t="array" ref="M163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3" s="2">
        <f ca="1">INDEX(INDIRECT(_xlfn.CONCAT("weather.tbl[",N$1,"]")),MATCH(vp.data[[#This Row],[SDate]],weather.tbl[Date],0))</f>
        <v>16.616666666666664</v>
      </c>
      <c r="O1633" s="2">
        <f ca="1">INDEX(INDIRECT(_xlfn.CONCAT("weather.tbl[",O$1,"]")),MATCH(vp.data[[#This Row],[SDate]],weather.tbl[Date],0))</f>
        <v>17.138095238095236</v>
      </c>
      <c r="P1633" s="2">
        <f ca="1">INDEX(INDIRECT(_xlfn.CONCAT("weather.tbl[",P$1,"]")),MATCH(vp.data[[#This Row],[SDate]],weather.tbl[Date],0))</f>
        <v>16.8</v>
      </c>
      <c r="Q1633" s="2">
        <f ca="1">INDEX(INDIRECT(_xlfn.CONCAT("weather.tbl[",Q$1,"]")),MATCH(vp.data[[#This Row],[SDate]],weather.tbl[Date],0))</f>
        <v>16.899999999999999</v>
      </c>
      <c r="R1633" s="2">
        <f ca="1">INDEX(INDIRECT(_xlfn.CONCAT("weather.tbl[",R$1,"]")),MATCH(vp.data[[#This Row],[SDate]],weather.tbl[Date],0))</f>
        <v>17</v>
      </c>
      <c r="S1633" s="2">
        <f ca="1">INDEX(INDIRECT(_xlfn.CONCAT("weather.tbl[",S$1,"]")),MATCH(vp.data[[#This Row],[SDate]],weather.tbl[Date],0))</f>
        <v>16.399999999999999</v>
      </c>
      <c r="T1633" s="2">
        <f ca="1">INDEX(INDIRECT(_xlfn.CONCAT("weather.tbl[",T$1,"]")),MATCH(vp.data[[#This Row],[SDate]],weather.tbl[Date],0))</f>
        <v>16.100000000000001</v>
      </c>
      <c r="U1633" s="2">
        <f ca="1">INDEX(INDIRECT(_xlfn.CONCAT("weather.tbl[",U$1,"]")),MATCH(vp.data[[#This Row],[SDate]],weather.tbl[Date],0))</f>
        <v>16.5</v>
      </c>
      <c r="V1633" s="2" t="str">
        <f t="array" ref="V16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3" t="s">
        <v>48</v>
      </c>
      <c r="X1633">
        <f>IF(OR(vp.data[[#This Row],[Sulf]]="",vp.data[[#This Row],[Dens]]=""),1,0)</f>
        <v>1</v>
      </c>
      <c r="Y1633">
        <f>IF(vp.data[[#This Row],[CrudeType]]="C5+",1,0)</f>
        <v>0</v>
      </c>
      <c r="Z1633">
        <f>IF(AND(vp.data[[#This Row],[CrudeType]]="Crude",vp.data[[#This Row],[Dens]]&lt;=825,vp.data[[#This Row],[Sulf]]&gt;0.5,vp.data[[#This Row],[Unknown]]=0),1,0)</f>
        <v>0</v>
      </c>
      <c r="AA1633">
        <f>IF(AND(vp.data[[#This Row],[CrudeType]]="Crude",vp.data[[#This Row],[Dens]]&lt;=825,vp.data[[#This Row],[Sulf]]&lt;=0.5,vp.data[[#This Row],[Unknown]]=0),1,0)</f>
        <v>0</v>
      </c>
      <c r="AB16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3">
        <f>IF(AND(vp.data[[#This Row],[CrudeType]]="Crude",vp.data[[#This Row],[Dens]]&gt;825,vp.data[[#This Row],[Dens]]&lt;=900,vp.data[[#This Row],[Sulf]]&lt;=0.5,vp.data[[#This Row],[Unknown]]=0),1,0)</f>
        <v>0</v>
      </c>
      <c r="AD1633">
        <f>IF(AND(vp.data[[#This Row],[CrudeType]]="Crude",vp.data[[#This Row],[Dens]]&gt;865,vp.data[[#This Row],[Dens]]&lt;=900,vp.data[[#This Row],[Sulf]]&gt;2,vp.data[[#This Row],[Unknown]]=0),1,0)</f>
        <v>0</v>
      </c>
      <c r="AE1633">
        <f>IF(AND(vp.data[[#This Row],[CrudeType]]="Crude",vp.data[[#This Row],[Dens]]&gt;900,vp.data[[#This Row],[Sulf]]&lt;=0.5,vp.data[[#This Row],[Unknown]]=0),1,0)</f>
        <v>0</v>
      </c>
      <c r="AF1633">
        <f>IF(AND(vp.data[[#This Row],[CrudeType]]="Crude",vp.data[[#This Row],[Dens]]&gt;900,vp.data[[#This Row],[Sulf]]&lt;=0.5,vp.data[[#This Row],[Unknown]]=0),1,0)</f>
        <v>0</v>
      </c>
      <c r="AG1633" t="str">
        <f>INDEX(vp.data[[#Headers],[Unknown]:[Heavy_SW]],MATCH(1,vp.data[[#This Row],[Unknown]:[Heavy_SW]],0))</f>
        <v>Unknown</v>
      </c>
      <c r="AH1633">
        <f>INDEX([3]!crudeBD.lkup[Number],MATCH(vp.data[[#This Row],[Crude_Breakdown]],crudeBD.lkup[Crude Breakdown],0))</f>
        <v>-1</v>
      </c>
      <c r="AI1633">
        <f>MONTH(vp.data[[#This Row],[SDate]])</f>
        <v>6</v>
      </c>
      <c r="AJ1633" s="5">
        <f>(vp.data[[#This Row],[VP]]-INDEX(crudeBD.lkup[Mean_VP],MATCH(vp.data[[#This Row],[Crude_Breakdown]],crudeBD.lkup[Crude Breakdown],0)))^2</f>
        <v>203.20111953931385</v>
      </c>
      <c r="AK1633" s="5" t="e">
        <f>(vp.data[[#This Row],[Dens]]-INDEX(crudeBD.lkup[Mean_Dens],MATCH(vp.data[[#This Row],[Crude_Breakdown]],crudeBD.lkup[Crude Breakdown],0)))^2</f>
        <v>#VALUE!</v>
      </c>
      <c r="AL1633" s="5" t="e">
        <f>(vp.data[[#This Row],[Sulf]]-INDEX(crudeBD.lkup[Mean_Sulf],MATCH(vp.data[[#This Row],[Crude_Breakdown]],crudeBD.lkup[Crude Breakdown],0)))^2</f>
        <v>#VALUE!</v>
      </c>
      <c r="AM1633" s="4">
        <f>IF(AND(vp.data[[#This Row],[SDate]]&gt;=DATE(YEAR(vp.data[[#This Row],[SDate]]),5,1),vp.data[[#This Row],[SDate]]&lt;=DATE(YEAR(vp.data[[#This Row],[SDate]]),9,15)),1,0)</f>
        <v>1</v>
      </c>
      <c r="AN1633" s="4">
        <f>IF(vp.data[[#This Row],[SDate]]&lt;DATE(2016,12,1),0,1)</f>
        <v>1</v>
      </c>
      <c r="AO1633" s="4" t="str">
        <f>IFERROR(vp.data[[#This Row],[Sulf]]*vp.data[[#This Row],[Net Dens]],"")</f>
        <v/>
      </c>
      <c r="AP1633" t="str">
        <f>IFERROR(vp.data[[#This Row],[Dens]]*vp.data[[#This Row],[VolumeM3]],"")</f>
        <v/>
      </c>
      <c r="AQ1633" s="15" t="str">
        <f>IFERROR(vp.data[[#This Row],[VP]]*vp.data[[#This Row],[VolumeM3]],"")</f>
        <v/>
      </c>
    </row>
    <row r="1634" spans="1:43" x14ac:dyDescent="0.25">
      <c r="A1634">
        <v>1633</v>
      </c>
      <c r="B1634" t="s">
        <v>60</v>
      </c>
      <c r="C1634" t="s">
        <v>60</v>
      </c>
      <c r="D1634" t="s">
        <v>61</v>
      </c>
      <c r="E1634" t="s">
        <v>290</v>
      </c>
      <c r="F1634" s="1">
        <v>42898</v>
      </c>
      <c r="G1634" s="2">
        <v>71</v>
      </c>
      <c r="H1634" s="2"/>
      <c r="I1634" s="2" t="str">
        <f t="array" ref="I163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4" s="2"/>
      <c r="K1634" s="2"/>
      <c r="L1634" s="2"/>
      <c r="M1634" s="2" t="str">
        <f t="array" ref="M163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4" s="2">
        <f ca="1">INDEX(INDIRECT(_xlfn.CONCAT("weather.tbl[",N$1,"]")),MATCH(vp.data[[#This Row],[SDate]],weather.tbl[Date],0))</f>
        <v>16.616666666666664</v>
      </c>
      <c r="O1634" s="2">
        <f ca="1">INDEX(INDIRECT(_xlfn.CONCAT("weather.tbl[",O$1,"]")),MATCH(vp.data[[#This Row],[SDate]],weather.tbl[Date],0))</f>
        <v>17.138095238095236</v>
      </c>
      <c r="P1634" s="2">
        <f ca="1">INDEX(INDIRECT(_xlfn.CONCAT("weather.tbl[",P$1,"]")),MATCH(vp.data[[#This Row],[SDate]],weather.tbl[Date],0))</f>
        <v>16.8</v>
      </c>
      <c r="Q1634" s="2">
        <f ca="1">INDEX(INDIRECT(_xlfn.CONCAT("weather.tbl[",Q$1,"]")),MATCH(vp.data[[#This Row],[SDate]],weather.tbl[Date],0))</f>
        <v>16.899999999999999</v>
      </c>
      <c r="R1634" s="2">
        <f ca="1">INDEX(INDIRECT(_xlfn.CONCAT("weather.tbl[",R$1,"]")),MATCH(vp.data[[#This Row],[SDate]],weather.tbl[Date],0))</f>
        <v>17</v>
      </c>
      <c r="S1634" s="2">
        <f ca="1">INDEX(INDIRECT(_xlfn.CONCAT("weather.tbl[",S$1,"]")),MATCH(vp.data[[#This Row],[SDate]],weather.tbl[Date],0))</f>
        <v>16.399999999999999</v>
      </c>
      <c r="T1634" s="2">
        <f ca="1">INDEX(INDIRECT(_xlfn.CONCAT("weather.tbl[",T$1,"]")),MATCH(vp.data[[#This Row],[SDate]],weather.tbl[Date],0))</f>
        <v>16.100000000000001</v>
      </c>
      <c r="U1634" s="2">
        <f ca="1">INDEX(INDIRECT(_xlfn.CONCAT("weather.tbl[",U$1,"]")),MATCH(vp.data[[#This Row],[SDate]],weather.tbl[Date],0))</f>
        <v>16.5</v>
      </c>
      <c r="V1634" s="2" t="str">
        <f t="array" ref="V163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4" t="s">
        <v>48</v>
      </c>
      <c r="X1634">
        <f>IF(OR(vp.data[[#This Row],[Sulf]]="",vp.data[[#This Row],[Dens]]=""),1,0)</f>
        <v>1</v>
      </c>
      <c r="Y1634">
        <f>IF(vp.data[[#This Row],[CrudeType]]="C5+",1,0)</f>
        <v>0</v>
      </c>
      <c r="Z1634">
        <f>IF(AND(vp.data[[#This Row],[CrudeType]]="Crude",vp.data[[#This Row],[Dens]]&lt;=825,vp.data[[#This Row],[Sulf]]&gt;0.5,vp.data[[#This Row],[Unknown]]=0),1,0)</f>
        <v>0</v>
      </c>
      <c r="AA1634">
        <f>IF(AND(vp.data[[#This Row],[CrudeType]]="Crude",vp.data[[#This Row],[Dens]]&lt;=825,vp.data[[#This Row],[Sulf]]&lt;=0.5,vp.data[[#This Row],[Unknown]]=0),1,0)</f>
        <v>0</v>
      </c>
      <c r="AB163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4">
        <f>IF(AND(vp.data[[#This Row],[CrudeType]]="Crude",vp.data[[#This Row],[Dens]]&gt;825,vp.data[[#This Row],[Dens]]&lt;=900,vp.data[[#This Row],[Sulf]]&lt;=0.5,vp.data[[#This Row],[Unknown]]=0),1,0)</f>
        <v>0</v>
      </c>
      <c r="AD1634">
        <f>IF(AND(vp.data[[#This Row],[CrudeType]]="Crude",vp.data[[#This Row],[Dens]]&gt;865,vp.data[[#This Row],[Dens]]&lt;=900,vp.data[[#This Row],[Sulf]]&gt;2,vp.data[[#This Row],[Unknown]]=0),1,0)</f>
        <v>0</v>
      </c>
      <c r="AE1634">
        <f>IF(AND(vp.data[[#This Row],[CrudeType]]="Crude",vp.data[[#This Row],[Dens]]&gt;900,vp.data[[#This Row],[Sulf]]&lt;=0.5,vp.data[[#This Row],[Unknown]]=0),1,0)</f>
        <v>0</v>
      </c>
      <c r="AF1634">
        <f>IF(AND(vp.data[[#This Row],[CrudeType]]="Crude",vp.data[[#This Row],[Dens]]&gt;900,vp.data[[#This Row],[Sulf]]&lt;=0.5,vp.data[[#This Row],[Unknown]]=0),1,0)</f>
        <v>0</v>
      </c>
      <c r="AG1634" t="str">
        <f>INDEX(vp.data[[#Headers],[Unknown]:[Heavy_SW]],MATCH(1,vp.data[[#This Row],[Unknown]:[Heavy_SW]],0))</f>
        <v>Unknown</v>
      </c>
      <c r="AH1634">
        <f>INDEX([3]!crudeBD.lkup[Number],MATCH(vp.data[[#This Row],[Crude_Breakdown]],crudeBD.lkup[Crude Breakdown],0))</f>
        <v>-1</v>
      </c>
      <c r="AI1634">
        <f>MONTH(vp.data[[#This Row],[SDate]])</f>
        <v>6</v>
      </c>
      <c r="AJ1634" s="5">
        <f>(vp.data[[#This Row],[VP]]-INDEX(crudeBD.lkup[Mean_VP],MATCH(vp.data[[#This Row],[Crude_Breakdown]],crudeBD.lkup[Crude Breakdown],0)))^2</f>
        <v>8.0948044708198772</v>
      </c>
      <c r="AK1634" s="5" t="e">
        <f>(vp.data[[#This Row],[Dens]]-INDEX(crudeBD.lkup[Mean_Dens],MATCH(vp.data[[#This Row],[Crude_Breakdown]],crudeBD.lkup[Crude Breakdown],0)))^2</f>
        <v>#VALUE!</v>
      </c>
      <c r="AL1634" s="5" t="e">
        <f>(vp.data[[#This Row],[Sulf]]-INDEX(crudeBD.lkup[Mean_Sulf],MATCH(vp.data[[#This Row],[Crude_Breakdown]],crudeBD.lkup[Crude Breakdown],0)))^2</f>
        <v>#VALUE!</v>
      </c>
      <c r="AM1634" s="4">
        <f>IF(AND(vp.data[[#This Row],[SDate]]&gt;=DATE(YEAR(vp.data[[#This Row],[SDate]]),5,1),vp.data[[#This Row],[SDate]]&lt;=DATE(YEAR(vp.data[[#This Row],[SDate]]),9,15)),1,0)</f>
        <v>1</v>
      </c>
      <c r="AN1634" s="4">
        <f>IF(vp.data[[#This Row],[SDate]]&lt;DATE(2016,12,1),0,1)</f>
        <v>1</v>
      </c>
      <c r="AO1634" s="4" t="str">
        <f>IFERROR(vp.data[[#This Row],[Sulf]]*vp.data[[#This Row],[Net Dens]],"")</f>
        <v/>
      </c>
      <c r="AP1634" t="str">
        <f>IFERROR(vp.data[[#This Row],[Dens]]*vp.data[[#This Row],[VolumeM3]],"")</f>
        <v/>
      </c>
      <c r="AQ1634" s="15" t="str">
        <f>IFERROR(vp.data[[#This Row],[VP]]*vp.data[[#This Row],[VolumeM3]],"")</f>
        <v/>
      </c>
    </row>
    <row r="1635" spans="1:43" x14ac:dyDescent="0.25">
      <c r="A1635">
        <v>1634</v>
      </c>
      <c r="B1635" t="s">
        <v>49</v>
      </c>
      <c r="C1635" t="s">
        <v>49</v>
      </c>
      <c r="D1635" t="s">
        <v>330</v>
      </c>
      <c r="F1635" s="1">
        <v>42898</v>
      </c>
      <c r="G1635" s="2">
        <v>65.400000000000006</v>
      </c>
      <c r="H1635" s="2"/>
      <c r="I1635" s="2" t="str">
        <f t="array" ref="I163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5" s="2"/>
      <c r="K1635" s="2"/>
      <c r="L1635" s="2"/>
      <c r="M1635" s="2" t="str">
        <f t="array" ref="M163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5" s="2">
        <f ca="1">INDEX(INDIRECT(_xlfn.CONCAT("weather.tbl[",N$1,"]")),MATCH(vp.data[[#This Row],[SDate]],weather.tbl[Date],0))</f>
        <v>16.616666666666664</v>
      </c>
      <c r="O1635" s="2">
        <f ca="1">INDEX(INDIRECT(_xlfn.CONCAT("weather.tbl[",O$1,"]")),MATCH(vp.data[[#This Row],[SDate]],weather.tbl[Date],0))</f>
        <v>17.138095238095236</v>
      </c>
      <c r="P1635" s="2">
        <f ca="1">INDEX(INDIRECT(_xlfn.CONCAT("weather.tbl[",P$1,"]")),MATCH(vp.data[[#This Row],[SDate]],weather.tbl[Date],0))</f>
        <v>16.8</v>
      </c>
      <c r="Q1635" s="2">
        <f ca="1">INDEX(INDIRECT(_xlfn.CONCAT("weather.tbl[",Q$1,"]")),MATCH(vp.data[[#This Row],[SDate]],weather.tbl[Date],0))</f>
        <v>16.899999999999999</v>
      </c>
      <c r="R1635" s="2">
        <f ca="1">INDEX(INDIRECT(_xlfn.CONCAT("weather.tbl[",R$1,"]")),MATCH(vp.data[[#This Row],[SDate]],weather.tbl[Date],0))</f>
        <v>17</v>
      </c>
      <c r="S1635" s="2">
        <f ca="1">INDEX(INDIRECT(_xlfn.CONCAT("weather.tbl[",S$1,"]")),MATCH(vp.data[[#This Row],[SDate]],weather.tbl[Date],0))</f>
        <v>16.399999999999999</v>
      </c>
      <c r="T1635" s="2">
        <f ca="1">INDEX(INDIRECT(_xlfn.CONCAT("weather.tbl[",T$1,"]")),MATCH(vp.data[[#This Row],[SDate]],weather.tbl[Date],0))</f>
        <v>16.100000000000001</v>
      </c>
      <c r="U1635" s="2">
        <f ca="1">INDEX(INDIRECT(_xlfn.CONCAT("weather.tbl[",U$1,"]")),MATCH(vp.data[[#This Row],[SDate]],weather.tbl[Date],0))</f>
        <v>16.5</v>
      </c>
      <c r="V1635" s="2" t="str">
        <f t="array" ref="V163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5" t="s">
        <v>48</v>
      </c>
      <c r="X1635">
        <f>IF(OR(vp.data[[#This Row],[Sulf]]="",vp.data[[#This Row],[Dens]]=""),1,0)</f>
        <v>1</v>
      </c>
      <c r="Y1635">
        <f>IF(vp.data[[#This Row],[CrudeType]]="C5+",1,0)</f>
        <v>0</v>
      </c>
      <c r="Z1635">
        <f>IF(AND(vp.data[[#This Row],[CrudeType]]="Crude",vp.data[[#This Row],[Dens]]&lt;=825,vp.data[[#This Row],[Sulf]]&gt;0.5,vp.data[[#This Row],[Unknown]]=0),1,0)</f>
        <v>0</v>
      </c>
      <c r="AA1635">
        <f>IF(AND(vp.data[[#This Row],[CrudeType]]="Crude",vp.data[[#This Row],[Dens]]&lt;=825,vp.data[[#This Row],[Sulf]]&lt;=0.5,vp.data[[#This Row],[Unknown]]=0),1,0)</f>
        <v>0</v>
      </c>
      <c r="AB163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5">
        <f>IF(AND(vp.data[[#This Row],[CrudeType]]="Crude",vp.data[[#This Row],[Dens]]&gt;825,vp.data[[#This Row],[Dens]]&lt;=900,vp.data[[#This Row],[Sulf]]&lt;=0.5,vp.data[[#This Row],[Unknown]]=0),1,0)</f>
        <v>0</v>
      </c>
      <c r="AD1635">
        <f>IF(AND(vp.data[[#This Row],[CrudeType]]="Crude",vp.data[[#This Row],[Dens]]&gt;865,vp.data[[#This Row],[Dens]]&lt;=900,vp.data[[#This Row],[Sulf]]&gt;2,vp.data[[#This Row],[Unknown]]=0),1,0)</f>
        <v>0</v>
      </c>
      <c r="AE1635">
        <f>IF(AND(vp.data[[#This Row],[CrudeType]]="Crude",vp.data[[#This Row],[Dens]]&gt;900,vp.data[[#This Row],[Sulf]]&lt;=0.5,vp.data[[#This Row],[Unknown]]=0),1,0)</f>
        <v>0</v>
      </c>
      <c r="AF1635">
        <f>IF(AND(vp.data[[#This Row],[CrudeType]]="Crude",vp.data[[#This Row],[Dens]]&gt;900,vp.data[[#This Row],[Sulf]]&lt;=0.5,vp.data[[#This Row],[Unknown]]=0),1,0)</f>
        <v>0</v>
      </c>
      <c r="AG1635" t="str">
        <f>INDEX(vp.data[[#Headers],[Unknown]:[Heavy_SW]],MATCH(1,vp.data[[#This Row],[Unknown]:[Heavy_SW]],0))</f>
        <v>Unknown</v>
      </c>
      <c r="AH1635">
        <f>INDEX([3]!crudeBD.lkup[Number],MATCH(vp.data[[#This Row],[Crude_Breakdown]],crudeBD.lkup[Crude Breakdown],0))</f>
        <v>-1</v>
      </c>
      <c r="AI1635">
        <f>MONTH(vp.data[[#This Row],[SDate]])</f>
        <v>6</v>
      </c>
      <c r="AJ1635" s="5">
        <f>(vp.data[[#This Row],[VP]]-INDEX(crudeBD.lkup[Mean_VP],MATCH(vp.data[[#This Row],[Crude_Breakdown]],crudeBD.lkup[Crude Breakdown],0)))^2</f>
        <v>71.320338717394804</v>
      </c>
      <c r="AK1635" s="5" t="e">
        <f>(vp.data[[#This Row],[Dens]]-INDEX(crudeBD.lkup[Mean_Dens],MATCH(vp.data[[#This Row],[Crude_Breakdown]],crudeBD.lkup[Crude Breakdown],0)))^2</f>
        <v>#VALUE!</v>
      </c>
      <c r="AL1635" s="5" t="e">
        <f>(vp.data[[#This Row],[Sulf]]-INDEX(crudeBD.lkup[Mean_Sulf],MATCH(vp.data[[#This Row],[Crude_Breakdown]],crudeBD.lkup[Crude Breakdown],0)))^2</f>
        <v>#VALUE!</v>
      </c>
      <c r="AM1635" s="4">
        <f>IF(AND(vp.data[[#This Row],[SDate]]&gt;=DATE(YEAR(vp.data[[#This Row],[SDate]]),5,1),vp.data[[#This Row],[SDate]]&lt;=DATE(YEAR(vp.data[[#This Row],[SDate]]),9,15)),1,0)</f>
        <v>1</v>
      </c>
      <c r="AN1635" s="4">
        <f>IF(vp.data[[#This Row],[SDate]]&lt;DATE(2016,12,1),0,1)</f>
        <v>1</v>
      </c>
      <c r="AO1635" s="4" t="str">
        <f>IFERROR(vp.data[[#This Row],[Sulf]]*vp.data[[#This Row],[Net Dens]],"")</f>
        <v/>
      </c>
      <c r="AP1635" t="str">
        <f>IFERROR(vp.data[[#This Row],[Dens]]*vp.data[[#This Row],[VolumeM3]],"")</f>
        <v/>
      </c>
      <c r="AQ1635" s="15" t="str">
        <f>IFERROR(vp.data[[#This Row],[VP]]*vp.data[[#This Row],[VolumeM3]],"")</f>
        <v/>
      </c>
    </row>
    <row r="1636" spans="1:43" x14ac:dyDescent="0.25">
      <c r="A1636">
        <v>1635</v>
      </c>
      <c r="B1636" t="s">
        <v>49</v>
      </c>
      <c r="C1636" t="s">
        <v>49</v>
      </c>
      <c r="D1636" t="s">
        <v>59</v>
      </c>
      <c r="F1636" s="1">
        <v>42898</v>
      </c>
      <c r="G1636" s="2">
        <v>75.5</v>
      </c>
      <c r="H1636" s="2"/>
      <c r="I1636" s="2" t="str">
        <f t="array" ref="I163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6" s="2"/>
      <c r="K1636" s="2"/>
      <c r="L1636" s="2"/>
      <c r="M1636" s="2" t="str">
        <f t="array" ref="M163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6" s="2">
        <f ca="1">INDEX(INDIRECT(_xlfn.CONCAT("weather.tbl[",N$1,"]")),MATCH(vp.data[[#This Row],[SDate]],weather.tbl[Date],0))</f>
        <v>16.616666666666664</v>
      </c>
      <c r="O1636" s="2">
        <f ca="1">INDEX(INDIRECT(_xlfn.CONCAT("weather.tbl[",O$1,"]")),MATCH(vp.data[[#This Row],[SDate]],weather.tbl[Date],0))</f>
        <v>17.138095238095236</v>
      </c>
      <c r="P1636" s="2">
        <f ca="1">INDEX(INDIRECT(_xlfn.CONCAT("weather.tbl[",P$1,"]")),MATCH(vp.data[[#This Row],[SDate]],weather.tbl[Date],0))</f>
        <v>16.8</v>
      </c>
      <c r="Q1636" s="2">
        <f ca="1">INDEX(INDIRECT(_xlfn.CONCAT("weather.tbl[",Q$1,"]")),MATCH(vp.data[[#This Row],[SDate]],weather.tbl[Date],0))</f>
        <v>16.899999999999999</v>
      </c>
      <c r="R1636" s="2">
        <f ca="1">INDEX(INDIRECT(_xlfn.CONCAT("weather.tbl[",R$1,"]")),MATCH(vp.data[[#This Row],[SDate]],weather.tbl[Date],0))</f>
        <v>17</v>
      </c>
      <c r="S1636" s="2">
        <f ca="1">INDEX(INDIRECT(_xlfn.CONCAT("weather.tbl[",S$1,"]")),MATCH(vp.data[[#This Row],[SDate]],weather.tbl[Date],0))</f>
        <v>16.399999999999999</v>
      </c>
      <c r="T1636" s="2">
        <f ca="1">INDEX(INDIRECT(_xlfn.CONCAT("weather.tbl[",T$1,"]")),MATCH(vp.data[[#This Row],[SDate]],weather.tbl[Date],0))</f>
        <v>16.100000000000001</v>
      </c>
      <c r="U1636" s="2">
        <f ca="1">INDEX(INDIRECT(_xlfn.CONCAT("weather.tbl[",U$1,"]")),MATCH(vp.data[[#This Row],[SDate]],weather.tbl[Date],0))</f>
        <v>16.5</v>
      </c>
      <c r="V1636" s="2" t="str">
        <f t="array" ref="V163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6" t="s">
        <v>48</v>
      </c>
      <c r="X1636">
        <f>IF(OR(vp.data[[#This Row],[Sulf]]="",vp.data[[#This Row],[Dens]]=""),1,0)</f>
        <v>1</v>
      </c>
      <c r="Y1636">
        <f>IF(vp.data[[#This Row],[CrudeType]]="C5+",1,0)</f>
        <v>0</v>
      </c>
      <c r="Z1636">
        <f>IF(AND(vp.data[[#This Row],[CrudeType]]="Crude",vp.data[[#This Row],[Dens]]&lt;=825,vp.data[[#This Row],[Sulf]]&gt;0.5,vp.data[[#This Row],[Unknown]]=0),1,0)</f>
        <v>0</v>
      </c>
      <c r="AA1636">
        <f>IF(AND(vp.data[[#This Row],[CrudeType]]="Crude",vp.data[[#This Row],[Dens]]&lt;=825,vp.data[[#This Row],[Sulf]]&lt;=0.5,vp.data[[#This Row],[Unknown]]=0),1,0)</f>
        <v>0</v>
      </c>
      <c r="AB163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6">
        <f>IF(AND(vp.data[[#This Row],[CrudeType]]="Crude",vp.data[[#This Row],[Dens]]&gt;825,vp.data[[#This Row],[Dens]]&lt;=900,vp.data[[#This Row],[Sulf]]&lt;=0.5,vp.data[[#This Row],[Unknown]]=0),1,0)</f>
        <v>0</v>
      </c>
      <c r="AD1636">
        <f>IF(AND(vp.data[[#This Row],[CrudeType]]="Crude",vp.data[[#This Row],[Dens]]&gt;865,vp.data[[#This Row],[Dens]]&lt;=900,vp.data[[#This Row],[Sulf]]&gt;2,vp.data[[#This Row],[Unknown]]=0),1,0)</f>
        <v>0</v>
      </c>
      <c r="AE1636">
        <f>IF(AND(vp.data[[#This Row],[CrudeType]]="Crude",vp.data[[#This Row],[Dens]]&gt;900,vp.data[[#This Row],[Sulf]]&lt;=0.5,vp.data[[#This Row],[Unknown]]=0),1,0)</f>
        <v>0</v>
      </c>
      <c r="AF1636">
        <f>IF(AND(vp.data[[#This Row],[CrudeType]]="Crude",vp.data[[#This Row],[Dens]]&gt;900,vp.data[[#This Row],[Sulf]]&lt;=0.5,vp.data[[#This Row],[Unknown]]=0),1,0)</f>
        <v>0</v>
      </c>
      <c r="AG1636" t="str">
        <f>INDEX(vp.data[[#Headers],[Unknown]:[Heavy_SW]],MATCH(1,vp.data[[#This Row],[Unknown]:[Heavy_SW]],0))</f>
        <v>Unknown</v>
      </c>
      <c r="AH1636">
        <f>INDEX([3]!crudeBD.lkup[Number],MATCH(vp.data[[#This Row],[Crude_Breakdown]],crudeBD.lkup[Crude Breakdown],0))</f>
        <v>-1</v>
      </c>
      <c r="AI1636">
        <f>MONTH(vp.data[[#This Row],[SDate]])</f>
        <v>6</v>
      </c>
      <c r="AJ1636" s="5">
        <f>(vp.data[[#This Row],[VP]]-INDEX(crudeBD.lkup[Mean_VP],MATCH(vp.data[[#This Row],[Crude_Breakdown]],crudeBD.lkup[Crude Breakdown],0)))^2</f>
        <v>2.7385715941078077</v>
      </c>
      <c r="AK1636" s="5" t="e">
        <f>(vp.data[[#This Row],[Dens]]-INDEX(crudeBD.lkup[Mean_Dens],MATCH(vp.data[[#This Row],[Crude_Breakdown]],crudeBD.lkup[Crude Breakdown],0)))^2</f>
        <v>#VALUE!</v>
      </c>
      <c r="AL1636" s="5" t="e">
        <f>(vp.data[[#This Row],[Sulf]]-INDEX(crudeBD.lkup[Mean_Sulf],MATCH(vp.data[[#This Row],[Crude_Breakdown]],crudeBD.lkup[Crude Breakdown],0)))^2</f>
        <v>#VALUE!</v>
      </c>
      <c r="AM1636" s="4">
        <f>IF(AND(vp.data[[#This Row],[SDate]]&gt;=DATE(YEAR(vp.data[[#This Row],[SDate]]),5,1),vp.data[[#This Row],[SDate]]&lt;=DATE(YEAR(vp.data[[#This Row],[SDate]]),9,15)),1,0)</f>
        <v>1</v>
      </c>
      <c r="AN1636" s="4">
        <f>IF(vp.data[[#This Row],[SDate]]&lt;DATE(2016,12,1),0,1)</f>
        <v>1</v>
      </c>
      <c r="AO1636" s="4" t="str">
        <f>IFERROR(vp.data[[#This Row],[Sulf]]*vp.data[[#This Row],[Net Dens]],"")</f>
        <v/>
      </c>
      <c r="AP1636" t="str">
        <f>IFERROR(vp.data[[#This Row],[Dens]]*vp.data[[#This Row],[VolumeM3]],"")</f>
        <v/>
      </c>
      <c r="AQ1636" s="15" t="str">
        <f>IFERROR(vp.data[[#This Row],[VP]]*vp.data[[#This Row],[VolumeM3]],"")</f>
        <v/>
      </c>
    </row>
    <row r="1637" spans="1:43" x14ac:dyDescent="0.25">
      <c r="A1637">
        <v>1636</v>
      </c>
      <c r="B1637" t="s">
        <v>49</v>
      </c>
      <c r="C1637" t="s">
        <v>49</v>
      </c>
      <c r="D1637" t="s">
        <v>81</v>
      </c>
      <c r="F1637" s="1">
        <v>42898</v>
      </c>
      <c r="G1637" s="2">
        <v>70.7</v>
      </c>
      <c r="H1637" s="2"/>
      <c r="I1637" s="2" t="str">
        <f t="array" ref="I163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7" s="2"/>
      <c r="K1637" s="2"/>
      <c r="L1637" s="2"/>
      <c r="M1637" s="2" t="str">
        <f t="array" ref="M163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7" s="2">
        <f ca="1">INDEX(INDIRECT(_xlfn.CONCAT("weather.tbl[",N$1,"]")),MATCH(vp.data[[#This Row],[SDate]],weather.tbl[Date],0))</f>
        <v>16.616666666666664</v>
      </c>
      <c r="O1637" s="2">
        <f ca="1">INDEX(INDIRECT(_xlfn.CONCAT("weather.tbl[",O$1,"]")),MATCH(vp.data[[#This Row],[SDate]],weather.tbl[Date],0))</f>
        <v>17.138095238095236</v>
      </c>
      <c r="P1637" s="2">
        <f ca="1">INDEX(INDIRECT(_xlfn.CONCAT("weather.tbl[",P$1,"]")),MATCH(vp.data[[#This Row],[SDate]],weather.tbl[Date],0))</f>
        <v>16.8</v>
      </c>
      <c r="Q1637" s="2">
        <f ca="1">INDEX(INDIRECT(_xlfn.CONCAT("weather.tbl[",Q$1,"]")),MATCH(vp.data[[#This Row],[SDate]],weather.tbl[Date],0))</f>
        <v>16.899999999999999</v>
      </c>
      <c r="R1637" s="2">
        <f ca="1">INDEX(INDIRECT(_xlfn.CONCAT("weather.tbl[",R$1,"]")),MATCH(vp.data[[#This Row],[SDate]],weather.tbl[Date],0))</f>
        <v>17</v>
      </c>
      <c r="S1637" s="2">
        <f ca="1">INDEX(INDIRECT(_xlfn.CONCAT("weather.tbl[",S$1,"]")),MATCH(vp.data[[#This Row],[SDate]],weather.tbl[Date],0))</f>
        <v>16.399999999999999</v>
      </c>
      <c r="T1637" s="2">
        <f ca="1">INDEX(INDIRECT(_xlfn.CONCAT("weather.tbl[",T$1,"]")),MATCH(vp.data[[#This Row],[SDate]],weather.tbl[Date],0))</f>
        <v>16.100000000000001</v>
      </c>
      <c r="U1637" s="2">
        <f ca="1">INDEX(INDIRECT(_xlfn.CONCAT("weather.tbl[",U$1,"]")),MATCH(vp.data[[#This Row],[SDate]],weather.tbl[Date],0))</f>
        <v>16.5</v>
      </c>
      <c r="V1637" s="2" t="str">
        <f t="array" ref="V163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7" t="s">
        <v>48</v>
      </c>
      <c r="X1637">
        <f>IF(OR(vp.data[[#This Row],[Sulf]]="",vp.data[[#This Row],[Dens]]=""),1,0)</f>
        <v>1</v>
      </c>
      <c r="Y1637">
        <f>IF(vp.data[[#This Row],[CrudeType]]="C5+",1,0)</f>
        <v>0</v>
      </c>
      <c r="Z1637">
        <f>IF(AND(vp.data[[#This Row],[CrudeType]]="Crude",vp.data[[#This Row],[Dens]]&lt;=825,vp.data[[#This Row],[Sulf]]&gt;0.5,vp.data[[#This Row],[Unknown]]=0),1,0)</f>
        <v>0</v>
      </c>
      <c r="AA1637">
        <f>IF(AND(vp.data[[#This Row],[CrudeType]]="Crude",vp.data[[#This Row],[Dens]]&lt;=825,vp.data[[#This Row],[Sulf]]&lt;=0.5,vp.data[[#This Row],[Unknown]]=0),1,0)</f>
        <v>0</v>
      </c>
      <c r="AB163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7">
        <f>IF(AND(vp.data[[#This Row],[CrudeType]]="Crude",vp.data[[#This Row],[Dens]]&gt;825,vp.data[[#This Row],[Dens]]&lt;=900,vp.data[[#This Row],[Sulf]]&lt;=0.5,vp.data[[#This Row],[Unknown]]=0),1,0)</f>
        <v>0</v>
      </c>
      <c r="AD1637">
        <f>IF(AND(vp.data[[#This Row],[CrudeType]]="Crude",vp.data[[#This Row],[Dens]]&gt;865,vp.data[[#This Row],[Dens]]&lt;=900,vp.data[[#This Row],[Sulf]]&gt;2,vp.data[[#This Row],[Unknown]]=0),1,0)</f>
        <v>0</v>
      </c>
      <c r="AE1637">
        <f>IF(AND(vp.data[[#This Row],[CrudeType]]="Crude",vp.data[[#This Row],[Dens]]&gt;900,vp.data[[#This Row],[Sulf]]&lt;=0.5,vp.data[[#This Row],[Unknown]]=0),1,0)</f>
        <v>0</v>
      </c>
      <c r="AF1637">
        <f>IF(AND(vp.data[[#This Row],[CrudeType]]="Crude",vp.data[[#This Row],[Dens]]&gt;900,vp.data[[#This Row],[Sulf]]&lt;=0.5,vp.data[[#This Row],[Unknown]]=0),1,0)</f>
        <v>0</v>
      </c>
      <c r="AG1637" t="str">
        <f>INDEX(vp.data[[#Headers],[Unknown]:[Heavy_SW]],MATCH(1,vp.data[[#This Row],[Unknown]:[Heavy_SW]],0))</f>
        <v>Unknown</v>
      </c>
      <c r="AH1637">
        <f>INDEX([3]!crudeBD.lkup[Number],MATCH(vp.data[[#This Row],[Crude_Breakdown]],crudeBD.lkup[Crude Breakdown],0))</f>
        <v>-1</v>
      </c>
      <c r="AI1637">
        <f>MONTH(vp.data[[#This Row],[SDate]])</f>
        <v>6</v>
      </c>
      <c r="AJ1637" s="5">
        <f>(vp.data[[#This Row],[VP]]-INDEX(crudeBD.lkup[Mean_VP],MATCH(vp.data[[#This Row],[Crude_Breakdown]],crudeBD.lkup[Crude Breakdown],0)))^2</f>
        <v>9.8918866626006654</v>
      </c>
      <c r="AK1637" s="5" t="e">
        <f>(vp.data[[#This Row],[Dens]]-INDEX(crudeBD.lkup[Mean_Dens],MATCH(vp.data[[#This Row],[Crude_Breakdown]],crudeBD.lkup[Crude Breakdown],0)))^2</f>
        <v>#VALUE!</v>
      </c>
      <c r="AL1637" s="5" t="e">
        <f>(vp.data[[#This Row],[Sulf]]-INDEX(crudeBD.lkup[Mean_Sulf],MATCH(vp.data[[#This Row],[Crude_Breakdown]],crudeBD.lkup[Crude Breakdown],0)))^2</f>
        <v>#VALUE!</v>
      </c>
      <c r="AM1637" s="4">
        <f>IF(AND(vp.data[[#This Row],[SDate]]&gt;=DATE(YEAR(vp.data[[#This Row],[SDate]]),5,1),vp.data[[#This Row],[SDate]]&lt;=DATE(YEAR(vp.data[[#This Row],[SDate]]),9,15)),1,0)</f>
        <v>1</v>
      </c>
      <c r="AN1637" s="4">
        <f>IF(vp.data[[#This Row],[SDate]]&lt;DATE(2016,12,1),0,1)</f>
        <v>1</v>
      </c>
      <c r="AO1637" s="4" t="str">
        <f>IFERROR(vp.data[[#This Row],[Sulf]]*vp.data[[#This Row],[Net Dens]],"")</f>
        <v/>
      </c>
      <c r="AP1637" t="str">
        <f>IFERROR(vp.data[[#This Row],[Dens]]*vp.data[[#This Row],[VolumeM3]],"")</f>
        <v/>
      </c>
      <c r="AQ1637" s="15" t="str">
        <f>IFERROR(vp.data[[#This Row],[VP]]*vp.data[[#This Row],[VolumeM3]],"")</f>
        <v/>
      </c>
    </row>
    <row r="1638" spans="1:43" x14ac:dyDescent="0.25">
      <c r="A1638">
        <v>1637</v>
      </c>
      <c r="B1638" t="s">
        <v>51</v>
      </c>
      <c r="C1638" t="s">
        <v>51</v>
      </c>
      <c r="D1638" t="s">
        <v>95</v>
      </c>
      <c r="F1638" s="1">
        <v>42898</v>
      </c>
      <c r="G1638" s="2">
        <v>69.3</v>
      </c>
      <c r="H1638" s="2"/>
      <c r="I1638" s="2" t="str">
        <f t="array" ref="I163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8" s="2"/>
      <c r="K1638" s="2"/>
      <c r="L1638" s="2"/>
      <c r="M1638" s="2" t="str">
        <f t="array" ref="M163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8" s="2">
        <f ca="1">INDEX(INDIRECT(_xlfn.CONCAT("weather.tbl[",N$1,"]")),MATCH(vp.data[[#This Row],[SDate]],weather.tbl[Date],0))</f>
        <v>16.616666666666664</v>
      </c>
      <c r="O1638" s="2">
        <f ca="1">INDEX(INDIRECT(_xlfn.CONCAT("weather.tbl[",O$1,"]")),MATCH(vp.data[[#This Row],[SDate]],weather.tbl[Date],0))</f>
        <v>17.138095238095236</v>
      </c>
      <c r="P1638" s="2">
        <f ca="1">INDEX(INDIRECT(_xlfn.CONCAT("weather.tbl[",P$1,"]")),MATCH(vp.data[[#This Row],[SDate]],weather.tbl[Date],0))</f>
        <v>16.8</v>
      </c>
      <c r="Q1638" s="2">
        <f ca="1">INDEX(INDIRECT(_xlfn.CONCAT("weather.tbl[",Q$1,"]")),MATCH(vp.data[[#This Row],[SDate]],weather.tbl[Date],0))</f>
        <v>16.899999999999999</v>
      </c>
      <c r="R1638" s="2">
        <f ca="1">INDEX(INDIRECT(_xlfn.CONCAT("weather.tbl[",R$1,"]")),MATCH(vp.data[[#This Row],[SDate]],weather.tbl[Date],0))</f>
        <v>17</v>
      </c>
      <c r="S1638" s="2">
        <f ca="1">INDEX(INDIRECT(_xlfn.CONCAT("weather.tbl[",S$1,"]")),MATCH(vp.data[[#This Row],[SDate]],weather.tbl[Date],0))</f>
        <v>16.399999999999999</v>
      </c>
      <c r="T1638" s="2">
        <f ca="1">INDEX(INDIRECT(_xlfn.CONCAT("weather.tbl[",T$1,"]")),MATCH(vp.data[[#This Row],[SDate]],weather.tbl[Date],0))</f>
        <v>16.100000000000001</v>
      </c>
      <c r="U1638" s="2">
        <f ca="1">INDEX(INDIRECT(_xlfn.CONCAT("weather.tbl[",U$1,"]")),MATCH(vp.data[[#This Row],[SDate]],weather.tbl[Date],0))</f>
        <v>16.5</v>
      </c>
      <c r="V1638" s="2" t="str">
        <f t="array" ref="V163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8" t="s">
        <v>48</v>
      </c>
      <c r="X1638">
        <f>IF(OR(vp.data[[#This Row],[Sulf]]="",vp.data[[#This Row],[Dens]]=""),1,0)</f>
        <v>1</v>
      </c>
      <c r="Y1638">
        <f>IF(vp.data[[#This Row],[CrudeType]]="C5+",1,0)</f>
        <v>0</v>
      </c>
      <c r="Z1638">
        <f>IF(AND(vp.data[[#This Row],[CrudeType]]="Crude",vp.data[[#This Row],[Dens]]&lt;=825,vp.data[[#This Row],[Sulf]]&gt;0.5,vp.data[[#This Row],[Unknown]]=0),1,0)</f>
        <v>0</v>
      </c>
      <c r="AA1638">
        <f>IF(AND(vp.data[[#This Row],[CrudeType]]="Crude",vp.data[[#This Row],[Dens]]&lt;=825,vp.data[[#This Row],[Sulf]]&lt;=0.5,vp.data[[#This Row],[Unknown]]=0),1,0)</f>
        <v>0</v>
      </c>
      <c r="AB163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8">
        <f>IF(AND(vp.data[[#This Row],[CrudeType]]="Crude",vp.data[[#This Row],[Dens]]&gt;825,vp.data[[#This Row],[Dens]]&lt;=900,vp.data[[#This Row],[Sulf]]&lt;=0.5,vp.data[[#This Row],[Unknown]]=0),1,0)</f>
        <v>0</v>
      </c>
      <c r="AD1638">
        <f>IF(AND(vp.data[[#This Row],[CrudeType]]="Crude",vp.data[[#This Row],[Dens]]&gt;865,vp.data[[#This Row],[Dens]]&lt;=900,vp.data[[#This Row],[Sulf]]&gt;2,vp.data[[#This Row],[Unknown]]=0),1,0)</f>
        <v>0</v>
      </c>
      <c r="AE1638">
        <f>IF(AND(vp.data[[#This Row],[CrudeType]]="Crude",vp.data[[#This Row],[Dens]]&gt;900,vp.data[[#This Row],[Sulf]]&lt;=0.5,vp.data[[#This Row],[Unknown]]=0),1,0)</f>
        <v>0</v>
      </c>
      <c r="AF1638">
        <f>IF(AND(vp.data[[#This Row],[CrudeType]]="Crude",vp.data[[#This Row],[Dens]]&gt;900,vp.data[[#This Row],[Sulf]]&lt;=0.5,vp.data[[#This Row],[Unknown]]=0),1,0)</f>
        <v>0</v>
      </c>
      <c r="AG1638" t="str">
        <f>INDEX(vp.data[[#Headers],[Unknown]:[Heavy_SW]],MATCH(1,vp.data[[#This Row],[Unknown]:[Heavy_SW]],0))</f>
        <v>Unknown</v>
      </c>
      <c r="AH1638">
        <f>INDEX([3]!crudeBD.lkup[Number],MATCH(vp.data[[#This Row],[Crude_Breakdown]],crudeBD.lkup[Crude Breakdown],0))</f>
        <v>-1</v>
      </c>
      <c r="AI1638">
        <f>MONTH(vp.data[[#This Row],[SDate]])</f>
        <v>6</v>
      </c>
      <c r="AJ1638" s="5">
        <f>(vp.data[[#This Row],[VP]]-INDEX(crudeBD.lkup[Mean_VP],MATCH(vp.data[[#This Row],[Crude_Breakdown]],crudeBD.lkup[Crude Breakdown],0)))^2</f>
        <v>20.658270224244465</v>
      </c>
      <c r="AK1638" s="5" t="e">
        <f>(vp.data[[#This Row],[Dens]]-INDEX(crudeBD.lkup[Mean_Dens],MATCH(vp.data[[#This Row],[Crude_Breakdown]],crudeBD.lkup[Crude Breakdown],0)))^2</f>
        <v>#VALUE!</v>
      </c>
      <c r="AL1638" s="5" t="e">
        <f>(vp.data[[#This Row],[Sulf]]-INDEX(crudeBD.lkup[Mean_Sulf],MATCH(vp.data[[#This Row],[Crude_Breakdown]],crudeBD.lkup[Crude Breakdown],0)))^2</f>
        <v>#VALUE!</v>
      </c>
      <c r="AM1638" s="4">
        <f>IF(AND(vp.data[[#This Row],[SDate]]&gt;=DATE(YEAR(vp.data[[#This Row],[SDate]]),5,1),vp.data[[#This Row],[SDate]]&lt;=DATE(YEAR(vp.data[[#This Row],[SDate]]),9,15)),1,0)</f>
        <v>1</v>
      </c>
      <c r="AN1638" s="4">
        <f>IF(vp.data[[#This Row],[SDate]]&lt;DATE(2016,12,1),0,1)</f>
        <v>1</v>
      </c>
      <c r="AO1638" s="4" t="str">
        <f>IFERROR(vp.data[[#This Row],[Sulf]]*vp.data[[#This Row],[Net Dens]],"")</f>
        <v/>
      </c>
      <c r="AP1638" t="str">
        <f>IFERROR(vp.data[[#This Row],[Dens]]*vp.data[[#This Row],[VolumeM3]],"")</f>
        <v/>
      </c>
      <c r="AQ1638" s="15" t="str">
        <f>IFERROR(vp.data[[#This Row],[VP]]*vp.data[[#This Row],[VolumeM3]],"")</f>
        <v/>
      </c>
    </row>
    <row r="1639" spans="1:43" x14ac:dyDescent="0.25">
      <c r="A1639">
        <v>1638</v>
      </c>
      <c r="B1639" t="s">
        <v>68</v>
      </c>
      <c r="C1639" t="s">
        <v>68</v>
      </c>
      <c r="D1639" t="s">
        <v>110</v>
      </c>
      <c r="F1639" s="1">
        <v>42898</v>
      </c>
      <c r="G1639" s="2">
        <v>66.599999999999994</v>
      </c>
      <c r="H1639" s="2"/>
      <c r="I1639" s="2" t="str">
        <f t="array" ref="I163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39" s="2"/>
      <c r="K1639" s="2"/>
      <c r="L1639" s="2"/>
      <c r="M1639" s="2" t="str">
        <f t="array" ref="M163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39" s="2">
        <f ca="1">INDEX(INDIRECT(_xlfn.CONCAT("weather.tbl[",N$1,"]")),MATCH(vp.data[[#This Row],[SDate]],weather.tbl[Date],0))</f>
        <v>16.616666666666664</v>
      </c>
      <c r="O1639" s="2">
        <f ca="1">INDEX(INDIRECT(_xlfn.CONCAT("weather.tbl[",O$1,"]")),MATCH(vp.data[[#This Row],[SDate]],weather.tbl[Date],0))</f>
        <v>17.138095238095236</v>
      </c>
      <c r="P1639" s="2">
        <f ca="1">INDEX(INDIRECT(_xlfn.CONCAT("weather.tbl[",P$1,"]")),MATCH(vp.data[[#This Row],[SDate]],weather.tbl[Date],0))</f>
        <v>16.8</v>
      </c>
      <c r="Q1639" s="2">
        <f ca="1">INDEX(INDIRECT(_xlfn.CONCAT("weather.tbl[",Q$1,"]")),MATCH(vp.data[[#This Row],[SDate]],weather.tbl[Date],0))</f>
        <v>16.899999999999999</v>
      </c>
      <c r="R1639" s="2">
        <f ca="1">INDEX(INDIRECT(_xlfn.CONCAT("weather.tbl[",R$1,"]")),MATCH(vp.data[[#This Row],[SDate]],weather.tbl[Date],0))</f>
        <v>17</v>
      </c>
      <c r="S1639" s="2">
        <f ca="1">INDEX(INDIRECT(_xlfn.CONCAT("weather.tbl[",S$1,"]")),MATCH(vp.data[[#This Row],[SDate]],weather.tbl[Date],0))</f>
        <v>16.399999999999999</v>
      </c>
      <c r="T1639" s="2">
        <f ca="1">INDEX(INDIRECT(_xlfn.CONCAT("weather.tbl[",T$1,"]")),MATCH(vp.data[[#This Row],[SDate]],weather.tbl[Date],0))</f>
        <v>16.100000000000001</v>
      </c>
      <c r="U1639" s="2">
        <f ca="1">INDEX(INDIRECT(_xlfn.CONCAT("weather.tbl[",U$1,"]")),MATCH(vp.data[[#This Row],[SDate]],weather.tbl[Date],0))</f>
        <v>16.5</v>
      </c>
      <c r="V1639" s="2" t="str">
        <f t="array" ref="V163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39" t="s">
        <v>48</v>
      </c>
      <c r="X1639">
        <f>IF(OR(vp.data[[#This Row],[Sulf]]="",vp.data[[#This Row],[Dens]]=""),1,0)</f>
        <v>1</v>
      </c>
      <c r="Y1639">
        <f>IF(vp.data[[#This Row],[CrudeType]]="C5+",1,0)</f>
        <v>0</v>
      </c>
      <c r="Z1639">
        <f>IF(AND(vp.data[[#This Row],[CrudeType]]="Crude",vp.data[[#This Row],[Dens]]&lt;=825,vp.data[[#This Row],[Sulf]]&gt;0.5,vp.data[[#This Row],[Unknown]]=0),1,0)</f>
        <v>0</v>
      </c>
      <c r="AA1639">
        <f>IF(AND(vp.data[[#This Row],[CrudeType]]="Crude",vp.data[[#This Row],[Dens]]&lt;=825,vp.data[[#This Row],[Sulf]]&lt;=0.5,vp.data[[#This Row],[Unknown]]=0),1,0)</f>
        <v>0</v>
      </c>
      <c r="AB163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39">
        <f>IF(AND(vp.data[[#This Row],[CrudeType]]="Crude",vp.data[[#This Row],[Dens]]&gt;825,vp.data[[#This Row],[Dens]]&lt;=900,vp.data[[#This Row],[Sulf]]&lt;=0.5,vp.data[[#This Row],[Unknown]]=0),1,0)</f>
        <v>0</v>
      </c>
      <c r="AD1639">
        <f>IF(AND(vp.data[[#This Row],[CrudeType]]="Crude",vp.data[[#This Row],[Dens]]&gt;865,vp.data[[#This Row],[Dens]]&lt;=900,vp.data[[#This Row],[Sulf]]&gt;2,vp.data[[#This Row],[Unknown]]=0),1,0)</f>
        <v>0</v>
      </c>
      <c r="AE1639">
        <f>IF(AND(vp.data[[#This Row],[CrudeType]]="Crude",vp.data[[#This Row],[Dens]]&gt;900,vp.data[[#This Row],[Sulf]]&lt;=0.5,vp.data[[#This Row],[Unknown]]=0),1,0)</f>
        <v>0</v>
      </c>
      <c r="AF1639">
        <f>IF(AND(vp.data[[#This Row],[CrudeType]]="Crude",vp.data[[#This Row],[Dens]]&gt;900,vp.data[[#This Row],[Sulf]]&lt;=0.5,vp.data[[#This Row],[Unknown]]=0),1,0)</f>
        <v>0</v>
      </c>
      <c r="AG1639" t="str">
        <f>INDEX(vp.data[[#Headers],[Unknown]:[Heavy_SW]],MATCH(1,vp.data[[#This Row],[Unknown]:[Heavy_SW]],0))</f>
        <v>Unknown</v>
      </c>
      <c r="AH1639">
        <f>INDEX([3]!crudeBD.lkup[Number],MATCH(vp.data[[#This Row],[Crude_Breakdown]],crudeBD.lkup[Crude Breakdown],0))</f>
        <v>-1</v>
      </c>
      <c r="AI1639">
        <f>MONTH(vp.data[[#This Row],[SDate]])</f>
        <v>6</v>
      </c>
      <c r="AJ1639" s="5">
        <f>(vp.data[[#This Row],[VP]]-INDEX(crudeBD.lkup[Mean_VP],MATCH(vp.data[[#This Row],[Crude_Breakdown]],crudeBD.lkup[Crude Breakdown],0)))^2</f>
        <v>52.492009950271765</v>
      </c>
      <c r="AK1639" s="5" t="e">
        <f>(vp.data[[#This Row],[Dens]]-INDEX(crudeBD.lkup[Mean_Dens],MATCH(vp.data[[#This Row],[Crude_Breakdown]],crudeBD.lkup[Crude Breakdown],0)))^2</f>
        <v>#VALUE!</v>
      </c>
      <c r="AL1639" s="5" t="e">
        <f>(vp.data[[#This Row],[Sulf]]-INDEX(crudeBD.lkup[Mean_Sulf],MATCH(vp.data[[#This Row],[Crude_Breakdown]],crudeBD.lkup[Crude Breakdown],0)))^2</f>
        <v>#VALUE!</v>
      </c>
      <c r="AM1639" s="4">
        <f>IF(AND(vp.data[[#This Row],[SDate]]&gt;=DATE(YEAR(vp.data[[#This Row],[SDate]]),5,1),vp.data[[#This Row],[SDate]]&lt;=DATE(YEAR(vp.data[[#This Row],[SDate]]),9,15)),1,0)</f>
        <v>1</v>
      </c>
      <c r="AN1639" s="4">
        <f>IF(vp.data[[#This Row],[SDate]]&lt;DATE(2016,12,1),0,1)</f>
        <v>1</v>
      </c>
      <c r="AO1639" s="4" t="str">
        <f>IFERROR(vp.data[[#This Row],[Sulf]]*vp.data[[#This Row],[Net Dens]],"")</f>
        <v/>
      </c>
      <c r="AP1639" t="str">
        <f>IFERROR(vp.data[[#This Row],[Dens]]*vp.data[[#This Row],[VolumeM3]],"")</f>
        <v/>
      </c>
      <c r="AQ1639" s="15" t="str">
        <f>IFERROR(vp.data[[#This Row],[VP]]*vp.data[[#This Row],[VolumeM3]],"")</f>
        <v/>
      </c>
    </row>
    <row r="1640" spans="1:43" x14ac:dyDescent="0.25">
      <c r="A1640">
        <v>1639</v>
      </c>
      <c r="B1640" t="s">
        <v>68</v>
      </c>
      <c r="C1640" t="s">
        <v>68</v>
      </c>
      <c r="D1640" t="s">
        <v>98</v>
      </c>
      <c r="F1640" s="1">
        <v>42898</v>
      </c>
      <c r="G1640" s="2">
        <v>61.3</v>
      </c>
      <c r="H1640" s="2"/>
      <c r="I1640" s="2" t="str">
        <f t="array" ref="I164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0" s="2"/>
      <c r="K1640" s="2"/>
      <c r="L1640" s="2"/>
      <c r="M1640" s="2" t="str">
        <f t="array" ref="M164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0" s="2">
        <f ca="1">INDEX(INDIRECT(_xlfn.CONCAT("weather.tbl[",N$1,"]")),MATCH(vp.data[[#This Row],[SDate]],weather.tbl[Date],0))</f>
        <v>16.616666666666664</v>
      </c>
      <c r="O1640" s="2">
        <f ca="1">INDEX(INDIRECT(_xlfn.CONCAT("weather.tbl[",O$1,"]")),MATCH(vp.data[[#This Row],[SDate]],weather.tbl[Date],0))</f>
        <v>17.138095238095236</v>
      </c>
      <c r="P1640" s="2">
        <f ca="1">INDEX(INDIRECT(_xlfn.CONCAT("weather.tbl[",P$1,"]")),MATCH(vp.data[[#This Row],[SDate]],weather.tbl[Date],0))</f>
        <v>16.8</v>
      </c>
      <c r="Q1640" s="2">
        <f ca="1">INDEX(INDIRECT(_xlfn.CONCAT("weather.tbl[",Q$1,"]")),MATCH(vp.data[[#This Row],[SDate]],weather.tbl[Date],0))</f>
        <v>16.899999999999999</v>
      </c>
      <c r="R1640" s="2">
        <f ca="1">INDEX(INDIRECT(_xlfn.CONCAT("weather.tbl[",R$1,"]")),MATCH(vp.data[[#This Row],[SDate]],weather.tbl[Date],0))</f>
        <v>17</v>
      </c>
      <c r="S1640" s="2">
        <f ca="1">INDEX(INDIRECT(_xlfn.CONCAT("weather.tbl[",S$1,"]")),MATCH(vp.data[[#This Row],[SDate]],weather.tbl[Date],0))</f>
        <v>16.399999999999999</v>
      </c>
      <c r="T1640" s="2">
        <f ca="1">INDEX(INDIRECT(_xlfn.CONCAT("weather.tbl[",T$1,"]")),MATCH(vp.data[[#This Row],[SDate]],weather.tbl[Date],0))</f>
        <v>16.100000000000001</v>
      </c>
      <c r="U1640" s="2">
        <f ca="1">INDEX(INDIRECT(_xlfn.CONCAT("weather.tbl[",U$1,"]")),MATCH(vp.data[[#This Row],[SDate]],weather.tbl[Date],0))</f>
        <v>16.5</v>
      </c>
      <c r="V1640" s="2" t="str">
        <f t="array" ref="V164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0" t="s">
        <v>48</v>
      </c>
      <c r="X1640">
        <f>IF(OR(vp.data[[#This Row],[Sulf]]="",vp.data[[#This Row],[Dens]]=""),1,0)</f>
        <v>1</v>
      </c>
      <c r="Y1640">
        <f>IF(vp.data[[#This Row],[CrudeType]]="C5+",1,0)</f>
        <v>0</v>
      </c>
      <c r="Z1640">
        <f>IF(AND(vp.data[[#This Row],[CrudeType]]="Crude",vp.data[[#This Row],[Dens]]&lt;=825,vp.data[[#This Row],[Sulf]]&gt;0.5,vp.data[[#This Row],[Unknown]]=0),1,0)</f>
        <v>0</v>
      </c>
      <c r="AA1640">
        <f>IF(AND(vp.data[[#This Row],[CrudeType]]="Crude",vp.data[[#This Row],[Dens]]&lt;=825,vp.data[[#This Row],[Sulf]]&lt;=0.5,vp.data[[#This Row],[Unknown]]=0),1,0)</f>
        <v>0</v>
      </c>
      <c r="AB164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0">
        <f>IF(AND(vp.data[[#This Row],[CrudeType]]="Crude",vp.data[[#This Row],[Dens]]&gt;825,vp.data[[#This Row],[Dens]]&lt;=900,vp.data[[#This Row],[Sulf]]&lt;=0.5,vp.data[[#This Row],[Unknown]]=0),1,0)</f>
        <v>0</v>
      </c>
      <c r="AD1640">
        <f>IF(AND(vp.data[[#This Row],[CrudeType]]="Crude",vp.data[[#This Row],[Dens]]&gt;865,vp.data[[#This Row],[Dens]]&lt;=900,vp.data[[#This Row],[Sulf]]&gt;2,vp.data[[#This Row],[Unknown]]=0),1,0)</f>
        <v>0</v>
      </c>
      <c r="AE1640">
        <f>IF(AND(vp.data[[#This Row],[CrudeType]]="Crude",vp.data[[#This Row],[Dens]]&gt;900,vp.data[[#This Row],[Sulf]]&lt;=0.5,vp.data[[#This Row],[Unknown]]=0),1,0)</f>
        <v>0</v>
      </c>
      <c r="AF1640">
        <f>IF(AND(vp.data[[#This Row],[CrudeType]]="Crude",vp.data[[#This Row],[Dens]]&gt;900,vp.data[[#This Row],[Sulf]]&lt;=0.5,vp.data[[#This Row],[Unknown]]=0),1,0)</f>
        <v>0</v>
      </c>
      <c r="AG1640" t="str">
        <f>INDEX(vp.data[[#Headers],[Unknown]:[Heavy_SW]],MATCH(1,vp.data[[#This Row],[Unknown]:[Heavy_SW]],0))</f>
        <v>Unknown</v>
      </c>
      <c r="AH1640">
        <f>INDEX([3]!crudeBD.lkup[Number],MATCH(vp.data[[#This Row],[Crude_Breakdown]],crudeBD.lkup[Crude Breakdown],0))</f>
        <v>-1</v>
      </c>
      <c r="AI1640">
        <f>MONTH(vp.data[[#This Row],[SDate]])</f>
        <v>6</v>
      </c>
      <c r="AJ1640" s="5">
        <f>(vp.data[[#This Row],[VP]]-INDEX(crudeBD.lkup[Mean_VP],MATCH(vp.data[[#This Row],[Crude_Breakdown]],crudeBD.lkup[Crude Breakdown],0)))^2</f>
        <v>157.38046200506597</v>
      </c>
      <c r="AK1640" s="5" t="e">
        <f>(vp.data[[#This Row],[Dens]]-INDEX(crudeBD.lkup[Mean_Dens],MATCH(vp.data[[#This Row],[Crude_Breakdown]],crudeBD.lkup[Crude Breakdown],0)))^2</f>
        <v>#VALUE!</v>
      </c>
      <c r="AL1640" s="5" t="e">
        <f>(vp.data[[#This Row],[Sulf]]-INDEX(crudeBD.lkup[Mean_Sulf],MATCH(vp.data[[#This Row],[Crude_Breakdown]],crudeBD.lkup[Crude Breakdown],0)))^2</f>
        <v>#VALUE!</v>
      </c>
      <c r="AM1640" s="4">
        <f>IF(AND(vp.data[[#This Row],[SDate]]&gt;=DATE(YEAR(vp.data[[#This Row],[SDate]]),5,1),vp.data[[#This Row],[SDate]]&lt;=DATE(YEAR(vp.data[[#This Row],[SDate]]),9,15)),1,0)</f>
        <v>1</v>
      </c>
      <c r="AN1640" s="4">
        <f>IF(vp.data[[#This Row],[SDate]]&lt;DATE(2016,12,1),0,1)</f>
        <v>1</v>
      </c>
      <c r="AO1640" s="4" t="str">
        <f>IFERROR(vp.data[[#This Row],[Sulf]]*vp.data[[#This Row],[Net Dens]],"")</f>
        <v/>
      </c>
      <c r="AP1640" t="str">
        <f>IFERROR(vp.data[[#This Row],[Dens]]*vp.data[[#This Row],[VolumeM3]],"")</f>
        <v/>
      </c>
      <c r="AQ1640" s="15" t="str">
        <f>IFERROR(vp.data[[#This Row],[VP]]*vp.data[[#This Row],[VolumeM3]],"")</f>
        <v/>
      </c>
    </row>
    <row r="1641" spans="1:43" x14ac:dyDescent="0.25">
      <c r="A1641">
        <v>1640</v>
      </c>
      <c r="B1641" t="s">
        <v>49</v>
      </c>
      <c r="C1641" t="s">
        <v>49</v>
      </c>
      <c r="D1641" t="s">
        <v>89</v>
      </c>
      <c r="F1641" s="1">
        <v>42899</v>
      </c>
      <c r="G1641" s="2">
        <v>87</v>
      </c>
      <c r="H1641" s="2"/>
      <c r="I1641" s="2" t="str">
        <f t="array" ref="I164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1" s="2"/>
      <c r="K1641" s="2"/>
      <c r="L1641" s="2"/>
      <c r="M1641" s="2" t="str">
        <f t="array" ref="M164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1" s="2">
        <f ca="1">INDEX(INDIRECT(_xlfn.CONCAT("weather.tbl[",N$1,"]")),MATCH(vp.data[[#This Row],[SDate]],weather.tbl[Date],0))</f>
        <v>15.666666666666666</v>
      </c>
      <c r="O1641" s="2">
        <f ca="1">INDEX(INDIRECT(_xlfn.CONCAT("weather.tbl[",O$1,"]")),MATCH(vp.data[[#This Row],[SDate]],weather.tbl[Date],0))</f>
        <v>17.292857142857144</v>
      </c>
      <c r="P1641" s="2">
        <f ca="1">INDEX(INDIRECT(_xlfn.CONCAT("weather.tbl[",P$1,"]")),MATCH(vp.data[[#This Row],[SDate]],weather.tbl[Date],0))</f>
        <v>15.8</v>
      </c>
      <c r="Q1641" s="2">
        <f ca="1">INDEX(INDIRECT(_xlfn.CONCAT("weather.tbl[",Q$1,"]")),MATCH(vp.data[[#This Row],[SDate]],weather.tbl[Date],0))</f>
        <v>16.7</v>
      </c>
      <c r="R1641" s="2">
        <f ca="1">INDEX(INDIRECT(_xlfn.CONCAT("weather.tbl[",R$1,"]")),MATCH(vp.data[[#This Row],[SDate]],weather.tbl[Date],0))</f>
        <v>13.8</v>
      </c>
      <c r="S1641" s="2">
        <f ca="1">INDEX(INDIRECT(_xlfn.CONCAT("weather.tbl[",S$1,"]")),MATCH(vp.data[[#This Row],[SDate]],weather.tbl[Date],0))</f>
        <v>17.5</v>
      </c>
      <c r="T1641" s="2">
        <f ca="1">INDEX(INDIRECT(_xlfn.CONCAT("weather.tbl[",T$1,"]")),MATCH(vp.data[[#This Row],[SDate]],weather.tbl[Date],0))</f>
        <v>15.7</v>
      </c>
      <c r="U1641" s="2">
        <f ca="1">INDEX(INDIRECT(_xlfn.CONCAT("weather.tbl[",U$1,"]")),MATCH(vp.data[[#This Row],[SDate]],weather.tbl[Date],0))</f>
        <v>14.5</v>
      </c>
      <c r="V1641" s="2" t="str">
        <f t="array" ref="V164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1" t="s">
        <v>48</v>
      </c>
      <c r="X1641">
        <f>IF(OR(vp.data[[#This Row],[Sulf]]="",vp.data[[#This Row],[Dens]]=""),1,0)</f>
        <v>1</v>
      </c>
      <c r="Y1641">
        <f>IF(vp.data[[#This Row],[CrudeType]]="C5+",1,0)</f>
        <v>0</v>
      </c>
      <c r="Z1641">
        <f>IF(AND(vp.data[[#This Row],[CrudeType]]="Crude",vp.data[[#This Row],[Dens]]&lt;=825,vp.data[[#This Row],[Sulf]]&gt;0.5,vp.data[[#This Row],[Unknown]]=0),1,0)</f>
        <v>0</v>
      </c>
      <c r="AA1641">
        <f>IF(AND(vp.data[[#This Row],[CrudeType]]="Crude",vp.data[[#This Row],[Dens]]&lt;=825,vp.data[[#This Row],[Sulf]]&lt;=0.5,vp.data[[#This Row],[Unknown]]=0),1,0)</f>
        <v>0</v>
      </c>
      <c r="AB164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1">
        <f>IF(AND(vp.data[[#This Row],[CrudeType]]="Crude",vp.data[[#This Row],[Dens]]&gt;825,vp.data[[#This Row],[Dens]]&lt;=900,vp.data[[#This Row],[Sulf]]&lt;=0.5,vp.data[[#This Row],[Unknown]]=0),1,0)</f>
        <v>0</v>
      </c>
      <c r="AD1641">
        <f>IF(AND(vp.data[[#This Row],[CrudeType]]="Crude",vp.data[[#This Row],[Dens]]&gt;865,vp.data[[#This Row],[Dens]]&lt;=900,vp.data[[#This Row],[Sulf]]&gt;2,vp.data[[#This Row],[Unknown]]=0),1,0)</f>
        <v>0</v>
      </c>
      <c r="AE1641">
        <f>IF(AND(vp.data[[#This Row],[CrudeType]]="Crude",vp.data[[#This Row],[Dens]]&gt;900,vp.data[[#This Row],[Sulf]]&lt;=0.5,vp.data[[#This Row],[Unknown]]=0),1,0)</f>
        <v>0</v>
      </c>
      <c r="AF1641">
        <f>IF(AND(vp.data[[#This Row],[CrudeType]]="Crude",vp.data[[#This Row],[Dens]]&gt;900,vp.data[[#This Row],[Sulf]]&lt;=0.5,vp.data[[#This Row],[Unknown]]=0),1,0)</f>
        <v>0</v>
      </c>
      <c r="AG1641" t="str">
        <f>INDEX(vp.data[[#Headers],[Unknown]:[Heavy_SW]],MATCH(1,vp.data[[#This Row],[Unknown]:[Heavy_SW]],0))</f>
        <v>Unknown</v>
      </c>
      <c r="AH1641">
        <f>INDEX([3]!crudeBD.lkup[Number],MATCH(vp.data[[#This Row],[Crude_Breakdown]],crudeBD.lkup[Crude Breakdown],0))</f>
        <v>-1</v>
      </c>
      <c r="AI1641">
        <f>MONTH(vp.data[[#This Row],[SDate]])</f>
        <v>6</v>
      </c>
      <c r="AJ1641" s="5">
        <f>(vp.data[[#This Row],[VP]]-INDEX(crudeBD.lkup[Mean_VP],MATCH(vp.data[[#This Row],[Crude_Breakdown]],crudeBD.lkup[Crude Breakdown],0)))^2</f>
        <v>173.05042090917695</v>
      </c>
      <c r="AK1641" s="5" t="e">
        <f>(vp.data[[#This Row],[Dens]]-INDEX(crudeBD.lkup[Mean_Dens],MATCH(vp.data[[#This Row],[Crude_Breakdown]],crudeBD.lkup[Crude Breakdown],0)))^2</f>
        <v>#VALUE!</v>
      </c>
      <c r="AL1641" s="5" t="e">
        <f>(vp.data[[#This Row],[Sulf]]-INDEX(crudeBD.lkup[Mean_Sulf],MATCH(vp.data[[#This Row],[Crude_Breakdown]],crudeBD.lkup[Crude Breakdown],0)))^2</f>
        <v>#VALUE!</v>
      </c>
      <c r="AM1641" s="4">
        <f>IF(AND(vp.data[[#This Row],[SDate]]&gt;=DATE(YEAR(vp.data[[#This Row],[SDate]]),5,1),vp.data[[#This Row],[SDate]]&lt;=DATE(YEAR(vp.data[[#This Row],[SDate]]),9,15)),1,0)</f>
        <v>1</v>
      </c>
      <c r="AN1641" s="4">
        <f>IF(vp.data[[#This Row],[SDate]]&lt;DATE(2016,12,1),0,1)</f>
        <v>1</v>
      </c>
      <c r="AO1641" s="4" t="str">
        <f>IFERROR(vp.data[[#This Row],[Sulf]]*vp.data[[#This Row],[Net Dens]],"")</f>
        <v/>
      </c>
      <c r="AP1641" t="str">
        <f>IFERROR(vp.data[[#This Row],[Dens]]*vp.data[[#This Row],[VolumeM3]],"")</f>
        <v/>
      </c>
      <c r="AQ1641" s="15" t="str">
        <f>IFERROR(vp.data[[#This Row],[VP]]*vp.data[[#This Row],[VolumeM3]],"")</f>
        <v/>
      </c>
    </row>
    <row r="1642" spans="1:43" x14ac:dyDescent="0.25">
      <c r="A1642">
        <v>1641</v>
      </c>
      <c r="B1642" t="s">
        <v>49</v>
      </c>
      <c r="C1642" t="s">
        <v>49</v>
      </c>
      <c r="D1642" t="s">
        <v>70</v>
      </c>
      <c r="F1642" s="1">
        <v>42899</v>
      </c>
      <c r="G1642" s="2">
        <v>63.4</v>
      </c>
      <c r="H1642" s="2"/>
      <c r="I1642" s="2" t="str">
        <f t="array" ref="I164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2" s="2"/>
      <c r="K1642" s="2"/>
      <c r="L1642" s="2"/>
      <c r="M1642" s="2" t="str">
        <f t="array" ref="M164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2" s="2">
        <f ca="1">INDEX(INDIRECT(_xlfn.CONCAT("weather.tbl[",N$1,"]")),MATCH(vp.data[[#This Row],[SDate]],weather.tbl[Date],0))</f>
        <v>15.666666666666666</v>
      </c>
      <c r="O1642" s="2">
        <f ca="1">INDEX(INDIRECT(_xlfn.CONCAT("weather.tbl[",O$1,"]")),MATCH(vp.data[[#This Row],[SDate]],weather.tbl[Date],0))</f>
        <v>17.292857142857144</v>
      </c>
      <c r="P1642" s="2">
        <f ca="1">INDEX(INDIRECT(_xlfn.CONCAT("weather.tbl[",P$1,"]")),MATCH(vp.data[[#This Row],[SDate]],weather.tbl[Date],0))</f>
        <v>15.8</v>
      </c>
      <c r="Q1642" s="2">
        <f ca="1">INDEX(INDIRECT(_xlfn.CONCAT("weather.tbl[",Q$1,"]")),MATCH(vp.data[[#This Row],[SDate]],weather.tbl[Date],0))</f>
        <v>16.7</v>
      </c>
      <c r="R1642" s="2">
        <f ca="1">INDEX(INDIRECT(_xlfn.CONCAT("weather.tbl[",R$1,"]")),MATCH(vp.data[[#This Row],[SDate]],weather.tbl[Date],0))</f>
        <v>13.8</v>
      </c>
      <c r="S1642" s="2">
        <f ca="1">INDEX(INDIRECT(_xlfn.CONCAT("weather.tbl[",S$1,"]")),MATCH(vp.data[[#This Row],[SDate]],weather.tbl[Date],0))</f>
        <v>17.5</v>
      </c>
      <c r="T1642" s="2">
        <f ca="1">INDEX(INDIRECT(_xlfn.CONCAT("weather.tbl[",T$1,"]")),MATCH(vp.data[[#This Row],[SDate]],weather.tbl[Date],0))</f>
        <v>15.7</v>
      </c>
      <c r="U1642" s="2">
        <f ca="1">INDEX(INDIRECT(_xlfn.CONCAT("weather.tbl[",U$1,"]")),MATCH(vp.data[[#This Row],[SDate]],weather.tbl[Date],0))</f>
        <v>14.5</v>
      </c>
      <c r="V1642" s="2" t="str">
        <f t="array" ref="V164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2" t="s">
        <v>48</v>
      </c>
      <c r="X1642">
        <f>IF(OR(vp.data[[#This Row],[Sulf]]="",vp.data[[#This Row],[Dens]]=""),1,0)</f>
        <v>1</v>
      </c>
      <c r="Y1642">
        <f>IF(vp.data[[#This Row],[CrudeType]]="C5+",1,0)</f>
        <v>0</v>
      </c>
      <c r="Z1642">
        <f>IF(AND(vp.data[[#This Row],[CrudeType]]="Crude",vp.data[[#This Row],[Dens]]&lt;=825,vp.data[[#This Row],[Sulf]]&gt;0.5,vp.data[[#This Row],[Unknown]]=0),1,0)</f>
        <v>0</v>
      </c>
      <c r="AA1642">
        <f>IF(AND(vp.data[[#This Row],[CrudeType]]="Crude",vp.data[[#This Row],[Dens]]&lt;=825,vp.data[[#This Row],[Sulf]]&lt;=0.5,vp.data[[#This Row],[Unknown]]=0),1,0)</f>
        <v>0</v>
      </c>
      <c r="AB164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2">
        <f>IF(AND(vp.data[[#This Row],[CrudeType]]="Crude",vp.data[[#This Row],[Dens]]&gt;825,vp.data[[#This Row],[Dens]]&lt;=900,vp.data[[#This Row],[Sulf]]&lt;=0.5,vp.data[[#This Row],[Unknown]]=0),1,0)</f>
        <v>0</v>
      </c>
      <c r="AD1642">
        <f>IF(AND(vp.data[[#This Row],[CrudeType]]="Crude",vp.data[[#This Row],[Dens]]&gt;865,vp.data[[#This Row],[Dens]]&lt;=900,vp.data[[#This Row],[Sulf]]&gt;2,vp.data[[#This Row],[Unknown]]=0),1,0)</f>
        <v>0</v>
      </c>
      <c r="AE1642">
        <f>IF(AND(vp.data[[#This Row],[CrudeType]]="Crude",vp.data[[#This Row],[Dens]]&gt;900,vp.data[[#This Row],[Sulf]]&lt;=0.5,vp.data[[#This Row],[Unknown]]=0),1,0)</f>
        <v>0</v>
      </c>
      <c r="AF1642">
        <f>IF(AND(vp.data[[#This Row],[CrudeType]]="Crude",vp.data[[#This Row],[Dens]]&gt;900,vp.data[[#This Row],[Sulf]]&lt;=0.5,vp.data[[#This Row],[Unknown]]=0),1,0)</f>
        <v>0</v>
      </c>
      <c r="AG1642" t="str">
        <f>INDEX(vp.data[[#Headers],[Unknown]:[Heavy_SW]],MATCH(1,vp.data[[#This Row],[Unknown]:[Heavy_SW]],0))</f>
        <v>Unknown</v>
      </c>
      <c r="AH1642">
        <f>INDEX([3]!crudeBD.lkup[Number],MATCH(vp.data[[#This Row],[Crude_Breakdown]],crudeBD.lkup[Crude Breakdown],0))</f>
        <v>-1</v>
      </c>
      <c r="AI1642">
        <f>MONTH(vp.data[[#This Row],[SDate]])</f>
        <v>6</v>
      </c>
      <c r="AJ1642" s="5">
        <f>(vp.data[[#This Row],[VP]]-INDEX(crudeBD.lkup[Mean_VP],MATCH(vp.data[[#This Row],[Crude_Breakdown]],crudeBD.lkup[Crude Breakdown],0)))^2</f>
        <v>109.10088666260029</v>
      </c>
      <c r="AK1642" s="5" t="e">
        <f>(vp.data[[#This Row],[Dens]]-INDEX(crudeBD.lkup[Mean_Dens],MATCH(vp.data[[#This Row],[Crude_Breakdown]],crudeBD.lkup[Crude Breakdown],0)))^2</f>
        <v>#VALUE!</v>
      </c>
      <c r="AL1642" s="5" t="e">
        <f>(vp.data[[#This Row],[Sulf]]-INDEX(crudeBD.lkup[Mean_Sulf],MATCH(vp.data[[#This Row],[Crude_Breakdown]],crudeBD.lkup[Crude Breakdown],0)))^2</f>
        <v>#VALUE!</v>
      </c>
      <c r="AM1642" s="4">
        <f>IF(AND(vp.data[[#This Row],[SDate]]&gt;=DATE(YEAR(vp.data[[#This Row],[SDate]]),5,1),vp.data[[#This Row],[SDate]]&lt;=DATE(YEAR(vp.data[[#This Row],[SDate]]),9,15)),1,0)</f>
        <v>1</v>
      </c>
      <c r="AN1642" s="4">
        <f>IF(vp.data[[#This Row],[SDate]]&lt;DATE(2016,12,1),0,1)</f>
        <v>1</v>
      </c>
      <c r="AO1642" s="4" t="str">
        <f>IFERROR(vp.data[[#This Row],[Sulf]]*vp.data[[#This Row],[Net Dens]],"")</f>
        <v/>
      </c>
      <c r="AP1642" t="str">
        <f>IFERROR(vp.data[[#This Row],[Dens]]*vp.data[[#This Row],[VolumeM3]],"")</f>
        <v/>
      </c>
      <c r="AQ1642" s="15" t="str">
        <f>IFERROR(vp.data[[#This Row],[VP]]*vp.data[[#This Row],[VolumeM3]],"")</f>
        <v/>
      </c>
    </row>
    <row r="1643" spans="1:43" x14ac:dyDescent="0.25">
      <c r="A1643">
        <v>1642</v>
      </c>
      <c r="B1643" t="s">
        <v>49</v>
      </c>
      <c r="C1643" t="s">
        <v>49</v>
      </c>
      <c r="D1643" t="s">
        <v>80</v>
      </c>
      <c r="F1643" s="1">
        <v>42899</v>
      </c>
      <c r="G1643" s="2">
        <v>76.099999999999994</v>
      </c>
      <c r="H1643" s="2"/>
      <c r="I1643" s="2" t="str">
        <f t="array" ref="I164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3" s="2"/>
      <c r="K1643" s="2"/>
      <c r="L1643" s="2"/>
      <c r="M1643" s="2" t="str">
        <f t="array" ref="M164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3" s="2">
        <f ca="1">INDEX(INDIRECT(_xlfn.CONCAT("weather.tbl[",N$1,"]")),MATCH(vp.data[[#This Row],[SDate]],weather.tbl[Date],0))</f>
        <v>15.666666666666666</v>
      </c>
      <c r="O1643" s="2">
        <f ca="1">INDEX(INDIRECT(_xlfn.CONCAT("weather.tbl[",O$1,"]")),MATCH(vp.data[[#This Row],[SDate]],weather.tbl[Date],0))</f>
        <v>17.292857142857144</v>
      </c>
      <c r="P1643" s="2">
        <f ca="1">INDEX(INDIRECT(_xlfn.CONCAT("weather.tbl[",P$1,"]")),MATCH(vp.data[[#This Row],[SDate]],weather.tbl[Date],0))</f>
        <v>15.8</v>
      </c>
      <c r="Q1643" s="2">
        <f ca="1">INDEX(INDIRECT(_xlfn.CONCAT("weather.tbl[",Q$1,"]")),MATCH(vp.data[[#This Row],[SDate]],weather.tbl[Date],0))</f>
        <v>16.7</v>
      </c>
      <c r="R1643" s="2">
        <f ca="1">INDEX(INDIRECT(_xlfn.CONCAT("weather.tbl[",R$1,"]")),MATCH(vp.data[[#This Row],[SDate]],weather.tbl[Date],0))</f>
        <v>13.8</v>
      </c>
      <c r="S1643" s="2">
        <f ca="1">INDEX(INDIRECT(_xlfn.CONCAT("weather.tbl[",S$1,"]")),MATCH(vp.data[[#This Row],[SDate]],weather.tbl[Date],0))</f>
        <v>17.5</v>
      </c>
      <c r="T1643" s="2">
        <f ca="1">INDEX(INDIRECT(_xlfn.CONCAT("weather.tbl[",T$1,"]")),MATCH(vp.data[[#This Row],[SDate]],weather.tbl[Date],0))</f>
        <v>15.7</v>
      </c>
      <c r="U1643" s="2">
        <f ca="1">INDEX(INDIRECT(_xlfn.CONCAT("weather.tbl[",U$1,"]")),MATCH(vp.data[[#This Row],[SDate]],weather.tbl[Date],0))</f>
        <v>14.5</v>
      </c>
      <c r="V1643" s="2" t="str">
        <f t="array" ref="V164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3" t="s">
        <v>48</v>
      </c>
      <c r="X1643">
        <f>IF(OR(vp.data[[#This Row],[Sulf]]="",vp.data[[#This Row],[Dens]]=""),1,0)</f>
        <v>1</v>
      </c>
      <c r="Y1643">
        <f>IF(vp.data[[#This Row],[CrudeType]]="C5+",1,0)</f>
        <v>0</v>
      </c>
      <c r="Z1643">
        <f>IF(AND(vp.data[[#This Row],[CrudeType]]="Crude",vp.data[[#This Row],[Dens]]&lt;=825,vp.data[[#This Row],[Sulf]]&gt;0.5,vp.data[[#This Row],[Unknown]]=0),1,0)</f>
        <v>0</v>
      </c>
      <c r="AA1643">
        <f>IF(AND(vp.data[[#This Row],[CrudeType]]="Crude",vp.data[[#This Row],[Dens]]&lt;=825,vp.data[[#This Row],[Sulf]]&lt;=0.5,vp.data[[#This Row],[Unknown]]=0),1,0)</f>
        <v>0</v>
      </c>
      <c r="AB164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3">
        <f>IF(AND(vp.data[[#This Row],[CrudeType]]="Crude",vp.data[[#This Row],[Dens]]&gt;825,vp.data[[#This Row],[Dens]]&lt;=900,vp.data[[#This Row],[Sulf]]&lt;=0.5,vp.data[[#This Row],[Unknown]]=0),1,0)</f>
        <v>0</v>
      </c>
      <c r="AD1643">
        <f>IF(AND(vp.data[[#This Row],[CrudeType]]="Crude",vp.data[[#This Row],[Dens]]&gt;865,vp.data[[#This Row],[Dens]]&lt;=900,vp.data[[#This Row],[Sulf]]&gt;2,vp.data[[#This Row],[Unknown]]=0),1,0)</f>
        <v>0</v>
      </c>
      <c r="AE1643">
        <f>IF(AND(vp.data[[#This Row],[CrudeType]]="Crude",vp.data[[#This Row],[Dens]]&gt;900,vp.data[[#This Row],[Sulf]]&lt;=0.5,vp.data[[#This Row],[Unknown]]=0),1,0)</f>
        <v>0</v>
      </c>
      <c r="AF1643">
        <f>IF(AND(vp.data[[#This Row],[CrudeType]]="Crude",vp.data[[#This Row],[Dens]]&gt;900,vp.data[[#This Row],[Sulf]]&lt;=0.5,vp.data[[#This Row],[Unknown]]=0),1,0)</f>
        <v>0</v>
      </c>
      <c r="AG1643" t="str">
        <f>INDEX(vp.data[[#Headers],[Unknown]:[Heavy_SW]],MATCH(1,vp.data[[#This Row],[Unknown]:[Heavy_SW]],0))</f>
        <v>Unknown</v>
      </c>
      <c r="AH1643">
        <f>INDEX([3]!crudeBD.lkup[Number],MATCH(vp.data[[#This Row],[Crude_Breakdown]],crudeBD.lkup[Crude Breakdown],0))</f>
        <v>-1</v>
      </c>
      <c r="AI1643">
        <f>MONTH(vp.data[[#This Row],[SDate]])</f>
        <v>6</v>
      </c>
      <c r="AJ1643" s="5">
        <f>(vp.data[[#This Row],[VP]]-INDEX(crudeBD.lkup[Mean_VP],MATCH(vp.data[[#This Row],[Crude_Breakdown]],crudeBD.lkup[Crude Breakdown],0)))^2</f>
        <v>5.0844072105461722</v>
      </c>
      <c r="AK1643" s="5" t="e">
        <f>(vp.data[[#This Row],[Dens]]-INDEX(crudeBD.lkup[Mean_Dens],MATCH(vp.data[[#This Row],[Crude_Breakdown]],crudeBD.lkup[Crude Breakdown],0)))^2</f>
        <v>#VALUE!</v>
      </c>
      <c r="AL1643" s="5" t="e">
        <f>(vp.data[[#This Row],[Sulf]]-INDEX(crudeBD.lkup[Mean_Sulf],MATCH(vp.data[[#This Row],[Crude_Breakdown]],crudeBD.lkup[Crude Breakdown],0)))^2</f>
        <v>#VALUE!</v>
      </c>
      <c r="AM1643" s="4">
        <f>IF(AND(vp.data[[#This Row],[SDate]]&gt;=DATE(YEAR(vp.data[[#This Row],[SDate]]),5,1),vp.data[[#This Row],[SDate]]&lt;=DATE(YEAR(vp.data[[#This Row],[SDate]]),9,15)),1,0)</f>
        <v>1</v>
      </c>
      <c r="AN1643" s="4">
        <f>IF(vp.data[[#This Row],[SDate]]&lt;DATE(2016,12,1),0,1)</f>
        <v>1</v>
      </c>
      <c r="AO1643" s="4" t="str">
        <f>IFERROR(vp.data[[#This Row],[Sulf]]*vp.data[[#This Row],[Net Dens]],"")</f>
        <v/>
      </c>
      <c r="AP1643" t="str">
        <f>IFERROR(vp.data[[#This Row],[Dens]]*vp.data[[#This Row],[VolumeM3]],"")</f>
        <v/>
      </c>
      <c r="AQ1643" s="15" t="str">
        <f>IFERROR(vp.data[[#This Row],[VP]]*vp.data[[#This Row],[VolumeM3]],"")</f>
        <v/>
      </c>
    </row>
    <row r="1644" spans="1:43" x14ac:dyDescent="0.25">
      <c r="A1644">
        <v>1643</v>
      </c>
      <c r="B1644" t="s">
        <v>49</v>
      </c>
      <c r="C1644" t="s">
        <v>49</v>
      </c>
      <c r="D1644" t="s">
        <v>100</v>
      </c>
      <c r="F1644" s="1">
        <v>42899</v>
      </c>
      <c r="G1644" s="2">
        <v>73.900000000000006</v>
      </c>
      <c r="H1644" s="2"/>
      <c r="I1644" s="2" t="str">
        <f t="array" ref="I164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4" s="2"/>
      <c r="K1644" s="2"/>
      <c r="L1644" s="2"/>
      <c r="M1644" s="2" t="str">
        <f t="array" ref="M164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4" s="2">
        <f ca="1">INDEX(INDIRECT(_xlfn.CONCAT("weather.tbl[",N$1,"]")),MATCH(vp.data[[#This Row],[SDate]],weather.tbl[Date],0))</f>
        <v>15.666666666666666</v>
      </c>
      <c r="O1644" s="2">
        <f ca="1">INDEX(INDIRECT(_xlfn.CONCAT("weather.tbl[",O$1,"]")),MATCH(vp.data[[#This Row],[SDate]],weather.tbl[Date],0))</f>
        <v>17.292857142857144</v>
      </c>
      <c r="P1644" s="2">
        <f ca="1">INDEX(INDIRECT(_xlfn.CONCAT("weather.tbl[",P$1,"]")),MATCH(vp.data[[#This Row],[SDate]],weather.tbl[Date],0))</f>
        <v>15.8</v>
      </c>
      <c r="Q1644" s="2">
        <f ca="1">INDEX(INDIRECT(_xlfn.CONCAT("weather.tbl[",Q$1,"]")),MATCH(vp.data[[#This Row],[SDate]],weather.tbl[Date],0))</f>
        <v>16.7</v>
      </c>
      <c r="R1644" s="2">
        <f ca="1">INDEX(INDIRECT(_xlfn.CONCAT("weather.tbl[",R$1,"]")),MATCH(vp.data[[#This Row],[SDate]],weather.tbl[Date],0))</f>
        <v>13.8</v>
      </c>
      <c r="S1644" s="2">
        <f ca="1">INDEX(INDIRECT(_xlfn.CONCAT("weather.tbl[",S$1,"]")),MATCH(vp.data[[#This Row],[SDate]],weather.tbl[Date],0))</f>
        <v>17.5</v>
      </c>
      <c r="T1644" s="2">
        <f ca="1">INDEX(INDIRECT(_xlfn.CONCAT("weather.tbl[",T$1,"]")),MATCH(vp.data[[#This Row],[SDate]],weather.tbl[Date],0))</f>
        <v>15.7</v>
      </c>
      <c r="U1644" s="2">
        <f ca="1">INDEX(INDIRECT(_xlfn.CONCAT("weather.tbl[",U$1,"]")),MATCH(vp.data[[#This Row],[SDate]],weather.tbl[Date],0))</f>
        <v>14.5</v>
      </c>
      <c r="V1644" s="2" t="str">
        <f t="array" ref="V164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4" t="s">
        <v>48</v>
      </c>
      <c r="X1644">
        <f>IF(OR(vp.data[[#This Row],[Sulf]]="",vp.data[[#This Row],[Dens]]=""),1,0)</f>
        <v>1</v>
      </c>
      <c r="Y1644">
        <f>IF(vp.data[[#This Row],[CrudeType]]="C5+",1,0)</f>
        <v>0</v>
      </c>
      <c r="Z1644">
        <f>IF(AND(vp.data[[#This Row],[CrudeType]]="Crude",vp.data[[#This Row],[Dens]]&lt;=825,vp.data[[#This Row],[Sulf]]&gt;0.5,vp.data[[#This Row],[Unknown]]=0),1,0)</f>
        <v>0</v>
      </c>
      <c r="AA1644">
        <f>IF(AND(vp.data[[#This Row],[CrudeType]]="Crude",vp.data[[#This Row],[Dens]]&lt;=825,vp.data[[#This Row],[Sulf]]&lt;=0.5,vp.data[[#This Row],[Unknown]]=0),1,0)</f>
        <v>0</v>
      </c>
      <c r="AB164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4">
        <f>IF(AND(vp.data[[#This Row],[CrudeType]]="Crude",vp.data[[#This Row],[Dens]]&gt;825,vp.data[[#This Row],[Dens]]&lt;=900,vp.data[[#This Row],[Sulf]]&lt;=0.5,vp.data[[#This Row],[Unknown]]=0),1,0)</f>
        <v>0</v>
      </c>
      <c r="AD1644">
        <f>IF(AND(vp.data[[#This Row],[CrudeType]]="Crude",vp.data[[#This Row],[Dens]]&gt;865,vp.data[[#This Row],[Dens]]&lt;=900,vp.data[[#This Row],[Sulf]]&gt;2,vp.data[[#This Row],[Unknown]]=0),1,0)</f>
        <v>0</v>
      </c>
      <c r="AE1644">
        <f>IF(AND(vp.data[[#This Row],[CrudeType]]="Crude",vp.data[[#This Row],[Dens]]&gt;900,vp.data[[#This Row],[Sulf]]&lt;=0.5,vp.data[[#This Row],[Unknown]]=0),1,0)</f>
        <v>0</v>
      </c>
      <c r="AF1644">
        <f>IF(AND(vp.data[[#This Row],[CrudeType]]="Crude",vp.data[[#This Row],[Dens]]&gt;900,vp.data[[#This Row],[Sulf]]&lt;=0.5,vp.data[[#This Row],[Unknown]]=0),1,0)</f>
        <v>0</v>
      </c>
      <c r="AG1644" t="str">
        <f>INDEX(vp.data[[#Headers],[Unknown]:[Heavy_SW]],MATCH(1,vp.data[[#This Row],[Unknown]:[Heavy_SW]],0))</f>
        <v>Unknown</v>
      </c>
      <c r="AH1644">
        <f>INDEX([3]!crudeBD.lkup[Number],MATCH(vp.data[[#This Row],[Crude_Breakdown]],crudeBD.lkup[Crude Breakdown],0))</f>
        <v>-1</v>
      </c>
      <c r="AI1644">
        <f>MONTH(vp.data[[#This Row],[SDate]])</f>
        <v>6</v>
      </c>
      <c r="AJ1644" s="5">
        <f>(vp.data[[#This Row],[VP]]-INDEX(crudeBD.lkup[Mean_VP],MATCH(vp.data[[#This Row],[Crude_Breakdown]],crudeBD.lkup[Crude Breakdown],0)))^2</f>
        <v>3.0099502720998522E-3</v>
      </c>
      <c r="AK1644" s="5" t="e">
        <f>(vp.data[[#This Row],[Dens]]-INDEX(crudeBD.lkup[Mean_Dens],MATCH(vp.data[[#This Row],[Crude_Breakdown]],crudeBD.lkup[Crude Breakdown],0)))^2</f>
        <v>#VALUE!</v>
      </c>
      <c r="AL1644" s="5" t="e">
        <f>(vp.data[[#This Row],[Sulf]]-INDEX(crudeBD.lkup[Mean_Sulf],MATCH(vp.data[[#This Row],[Crude_Breakdown]],crudeBD.lkup[Crude Breakdown],0)))^2</f>
        <v>#VALUE!</v>
      </c>
      <c r="AM1644" s="4">
        <f>IF(AND(vp.data[[#This Row],[SDate]]&gt;=DATE(YEAR(vp.data[[#This Row],[SDate]]),5,1),vp.data[[#This Row],[SDate]]&lt;=DATE(YEAR(vp.data[[#This Row],[SDate]]),9,15)),1,0)</f>
        <v>1</v>
      </c>
      <c r="AN1644" s="4">
        <f>IF(vp.data[[#This Row],[SDate]]&lt;DATE(2016,12,1),0,1)</f>
        <v>1</v>
      </c>
      <c r="AO1644" s="4" t="str">
        <f>IFERROR(vp.data[[#This Row],[Sulf]]*vp.data[[#This Row],[Net Dens]],"")</f>
        <v/>
      </c>
      <c r="AP1644" t="str">
        <f>IFERROR(vp.data[[#This Row],[Dens]]*vp.data[[#This Row],[VolumeM3]],"")</f>
        <v/>
      </c>
      <c r="AQ1644" s="15" t="str">
        <f>IFERROR(vp.data[[#This Row],[VP]]*vp.data[[#This Row],[VolumeM3]],"")</f>
        <v/>
      </c>
    </row>
    <row r="1645" spans="1:43" x14ac:dyDescent="0.25">
      <c r="A1645">
        <v>1644</v>
      </c>
      <c r="B1645" t="s">
        <v>49</v>
      </c>
      <c r="C1645" t="s">
        <v>49</v>
      </c>
      <c r="D1645" t="s">
        <v>67</v>
      </c>
      <c r="F1645" s="1">
        <v>42899</v>
      </c>
      <c r="G1645" s="2">
        <v>82.4</v>
      </c>
      <c r="H1645" s="2"/>
      <c r="I1645" s="2" t="str">
        <f t="array" ref="I164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5" s="2"/>
      <c r="K1645" s="2"/>
      <c r="L1645" s="2"/>
      <c r="M1645" s="2" t="str">
        <f t="array" ref="M164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5" s="2">
        <f ca="1">INDEX(INDIRECT(_xlfn.CONCAT("weather.tbl[",N$1,"]")),MATCH(vp.data[[#This Row],[SDate]],weather.tbl[Date],0))</f>
        <v>15.666666666666666</v>
      </c>
      <c r="O1645" s="2">
        <f ca="1">INDEX(INDIRECT(_xlfn.CONCAT("weather.tbl[",O$1,"]")),MATCH(vp.data[[#This Row],[SDate]],weather.tbl[Date],0))</f>
        <v>17.292857142857144</v>
      </c>
      <c r="P1645" s="2">
        <f ca="1">INDEX(INDIRECT(_xlfn.CONCAT("weather.tbl[",P$1,"]")),MATCH(vp.data[[#This Row],[SDate]],weather.tbl[Date],0))</f>
        <v>15.8</v>
      </c>
      <c r="Q1645" s="2">
        <f ca="1">INDEX(INDIRECT(_xlfn.CONCAT("weather.tbl[",Q$1,"]")),MATCH(vp.data[[#This Row],[SDate]],weather.tbl[Date],0))</f>
        <v>16.7</v>
      </c>
      <c r="R1645" s="2">
        <f ca="1">INDEX(INDIRECT(_xlfn.CONCAT("weather.tbl[",R$1,"]")),MATCH(vp.data[[#This Row],[SDate]],weather.tbl[Date],0))</f>
        <v>13.8</v>
      </c>
      <c r="S1645" s="2">
        <f ca="1">INDEX(INDIRECT(_xlfn.CONCAT("weather.tbl[",S$1,"]")),MATCH(vp.data[[#This Row],[SDate]],weather.tbl[Date],0))</f>
        <v>17.5</v>
      </c>
      <c r="T1645" s="2">
        <f ca="1">INDEX(INDIRECT(_xlfn.CONCAT("weather.tbl[",T$1,"]")),MATCH(vp.data[[#This Row],[SDate]],weather.tbl[Date],0))</f>
        <v>15.7</v>
      </c>
      <c r="U1645" s="2">
        <f ca="1">INDEX(INDIRECT(_xlfn.CONCAT("weather.tbl[",U$1,"]")),MATCH(vp.data[[#This Row],[SDate]],weather.tbl[Date],0))</f>
        <v>14.5</v>
      </c>
      <c r="V1645" s="2" t="str">
        <f t="array" ref="V164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5" t="s">
        <v>48</v>
      </c>
      <c r="X1645">
        <f>IF(OR(vp.data[[#This Row],[Sulf]]="",vp.data[[#This Row],[Dens]]=""),1,0)</f>
        <v>1</v>
      </c>
      <c r="Y1645">
        <f>IF(vp.data[[#This Row],[CrudeType]]="C5+",1,0)</f>
        <v>0</v>
      </c>
      <c r="Z1645">
        <f>IF(AND(vp.data[[#This Row],[CrudeType]]="Crude",vp.data[[#This Row],[Dens]]&lt;=825,vp.data[[#This Row],[Sulf]]&gt;0.5,vp.data[[#This Row],[Unknown]]=0),1,0)</f>
        <v>0</v>
      </c>
      <c r="AA1645">
        <f>IF(AND(vp.data[[#This Row],[CrudeType]]="Crude",vp.data[[#This Row],[Dens]]&lt;=825,vp.data[[#This Row],[Sulf]]&lt;=0.5,vp.data[[#This Row],[Unknown]]=0),1,0)</f>
        <v>0</v>
      </c>
      <c r="AB164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5">
        <f>IF(AND(vp.data[[#This Row],[CrudeType]]="Crude",vp.data[[#This Row],[Dens]]&gt;825,vp.data[[#This Row],[Dens]]&lt;=900,vp.data[[#This Row],[Sulf]]&lt;=0.5,vp.data[[#This Row],[Unknown]]=0),1,0)</f>
        <v>0</v>
      </c>
      <c r="AD1645">
        <f>IF(AND(vp.data[[#This Row],[CrudeType]]="Crude",vp.data[[#This Row],[Dens]]&gt;865,vp.data[[#This Row],[Dens]]&lt;=900,vp.data[[#This Row],[Sulf]]&gt;2,vp.data[[#This Row],[Unknown]]=0),1,0)</f>
        <v>0</v>
      </c>
      <c r="AE1645">
        <f>IF(AND(vp.data[[#This Row],[CrudeType]]="Crude",vp.data[[#This Row],[Dens]]&gt;900,vp.data[[#This Row],[Sulf]]&lt;=0.5,vp.data[[#This Row],[Unknown]]=0),1,0)</f>
        <v>0</v>
      </c>
      <c r="AF1645">
        <f>IF(AND(vp.data[[#This Row],[CrudeType]]="Crude",vp.data[[#This Row],[Dens]]&gt;900,vp.data[[#This Row],[Sulf]]&lt;=0.5,vp.data[[#This Row],[Unknown]]=0),1,0)</f>
        <v>0</v>
      </c>
      <c r="AG1645" t="str">
        <f>INDEX(vp.data[[#Headers],[Unknown]:[Heavy_SW]],MATCH(1,vp.data[[#This Row],[Unknown]:[Heavy_SW]],0))</f>
        <v>Unknown</v>
      </c>
      <c r="AH1645">
        <f>INDEX([3]!crudeBD.lkup[Number],MATCH(vp.data[[#This Row],[Crude_Breakdown]],crudeBD.lkup[Crude Breakdown],0))</f>
        <v>-1</v>
      </c>
      <c r="AI1645">
        <f>MONTH(vp.data[[#This Row],[SDate]])</f>
        <v>6</v>
      </c>
      <c r="AJ1645" s="5">
        <f>(vp.data[[#This Row],[VP]]-INDEX(crudeBD.lkup[Mean_VP],MATCH(vp.data[[#This Row],[Crude_Breakdown]],crudeBD.lkup[Crude Breakdown],0)))^2</f>
        <v>73.185681183149399</v>
      </c>
      <c r="AK1645" s="5" t="e">
        <f>(vp.data[[#This Row],[Dens]]-INDEX(crudeBD.lkup[Mean_Dens],MATCH(vp.data[[#This Row],[Crude_Breakdown]],crudeBD.lkup[Crude Breakdown],0)))^2</f>
        <v>#VALUE!</v>
      </c>
      <c r="AL1645" s="5" t="e">
        <f>(vp.data[[#This Row],[Sulf]]-INDEX(crudeBD.lkup[Mean_Sulf],MATCH(vp.data[[#This Row],[Crude_Breakdown]],crudeBD.lkup[Crude Breakdown],0)))^2</f>
        <v>#VALUE!</v>
      </c>
      <c r="AM1645" s="4">
        <f>IF(AND(vp.data[[#This Row],[SDate]]&gt;=DATE(YEAR(vp.data[[#This Row],[SDate]]),5,1),vp.data[[#This Row],[SDate]]&lt;=DATE(YEAR(vp.data[[#This Row],[SDate]]),9,15)),1,0)</f>
        <v>1</v>
      </c>
      <c r="AN1645" s="4">
        <f>IF(vp.data[[#This Row],[SDate]]&lt;DATE(2016,12,1),0,1)</f>
        <v>1</v>
      </c>
      <c r="AO1645" s="4" t="str">
        <f>IFERROR(vp.data[[#This Row],[Sulf]]*vp.data[[#This Row],[Net Dens]],"")</f>
        <v/>
      </c>
      <c r="AP1645" t="str">
        <f>IFERROR(vp.data[[#This Row],[Dens]]*vp.data[[#This Row],[VolumeM3]],"")</f>
        <v/>
      </c>
      <c r="AQ1645" s="15" t="str">
        <f>IFERROR(vp.data[[#This Row],[VP]]*vp.data[[#This Row],[VolumeM3]],"")</f>
        <v/>
      </c>
    </row>
    <row r="1646" spans="1:43" x14ac:dyDescent="0.25">
      <c r="A1646">
        <v>1645</v>
      </c>
      <c r="B1646" t="s">
        <v>53</v>
      </c>
      <c r="C1646" t="s">
        <v>53</v>
      </c>
      <c r="D1646" t="s">
        <v>54</v>
      </c>
      <c r="E1646" t="s">
        <v>289</v>
      </c>
      <c r="F1646" s="1">
        <v>42899</v>
      </c>
      <c r="G1646" s="2">
        <v>69.400000000000006</v>
      </c>
      <c r="H1646" s="2"/>
      <c r="I1646" s="2" t="str">
        <f t="array" ref="I164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6" s="2"/>
      <c r="K1646" s="2"/>
      <c r="L1646" s="2"/>
      <c r="M1646" s="2" t="str">
        <f t="array" ref="M164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6" s="2">
        <f ca="1">INDEX(INDIRECT(_xlfn.CONCAT("weather.tbl[",N$1,"]")),MATCH(vp.data[[#This Row],[SDate]],weather.tbl[Date],0))</f>
        <v>15.666666666666666</v>
      </c>
      <c r="O1646" s="2">
        <f ca="1">INDEX(INDIRECT(_xlfn.CONCAT("weather.tbl[",O$1,"]")),MATCH(vp.data[[#This Row],[SDate]],weather.tbl[Date],0))</f>
        <v>17.292857142857144</v>
      </c>
      <c r="P1646" s="2">
        <f ca="1">INDEX(INDIRECT(_xlfn.CONCAT("weather.tbl[",P$1,"]")),MATCH(vp.data[[#This Row],[SDate]],weather.tbl[Date],0))</f>
        <v>15.8</v>
      </c>
      <c r="Q1646" s="2">
        <f ca="1">INDEX(INDIRECT(_xlfn.CONCAT("weather.tbl[",Q$1,"]")),MATCH(vp.data[[#This Row],[SDate]],weather.tbl[Date],0))</f>
        <v>16.7</v>
      </c>
      <c r="R1646" s="2">
        <f ca="1">INDEX(INDIRECT(_xlfn.CONCAT("weather.tbl[",R$1,"]")),MATCH(vp.data[[#This Row],[SDate]],weather.tbl[Date],0))</f>
        <v>13.8</v>
      </c>
      <c r="S1646" s="2">
        <f ca="1">INDEX(INDIRECT(_xlfn.CONCAT("weather.tbl[",S$1,"]")),MATCH(vp.data[[#This Row],[SDate]],weather.tbl[Date],0))</f>
        <v>17.5</v>
      </c>
      <c r="T1646" s="2">
        <f ca="1">INDEX(INDIRECT(_xlfn.CONCAT("weather.tbl[",T$1,"]")),MATCH(vp.data[[#This Row],[SDate]],weather.tbl[Date],0))</f>
        <v>15.7</v>
      </c>
      <c r="U1646" s="2">
        <f ca="1">INDEX(INDIRECT(_xlfn.CONCAT("weather.tbl[",U$1,"]")),MATCH(vp.data[[#This Row],[SDate]],weather.tbl[Date],0))</f>
        <v>14.5</v>
      </c>
      <c r="V1646" s="2" t="str">
        <f t="array" ref="V164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6" t="s">
        <v>48</v>
      </c>
      <c r="X1646">
        <f>IF(OR(vp.data[[#This Row],[Sulf]]="",vp.data[[#This Row],[Dens]]=""),1,0)</f>
        <v>1</v>
      </c>
      <c r="Y1646">
        <f>IF(vp.data[[#This Row],[CrudeType]]="C5+",1,0)</f>
        <v>0</v>
      </c>
      <c r="Z1646">
        <f>IF(AND(vp.data[[#This Row],[CrudeType]]="Crude",vp.data[[#This Row],[Dens]]&lt;=825,vp.data[[#This Row],[Sulf]]&gt;0.5,vp.data[[#This Row],[Unknown]]=0),1,0)</f>
        <v>0</v>
      </c>
      <c r="AA1646">
        <f>IF(AND(vp.data[[#This Row],[CrudeType]]="Crude",vp.data[[#This Row],[Dens]]&lt;=825,vp.data[[#This Row],[Sulf]]&lt;=0.5,vp.data[[#This Row],[Unknown]]=0),1,0)</f>
        <v>0</v>
      </c>
      <c r="AB164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6">
        <f>IF(AND(vp.data[[#This Row],[CrudeType]]="Crude",vp.data[[#This Row],[Dens]]&gt;825,vp.data[[#This Row],[Dens]]&lt;=900,vp.data[[#This Row],[Sulf]]&lt;=0.5,vp.data[[#This Row],[Unknown]]=0),1,0)</f>
        <v>0</v>
      </c>
      <c r="AD1646">
        <f>IF(AND(vp.data[[#This Row],[CrudeType]]="Crude",vp.data[[#This Row],[Dens]]&gt;865,vp.data[[#This Row],[Dens]]&lt;=900,vp.data[[#This Row],[Sulf]]&gt;2,vp.data[[#This Row],[Unknown]]=0),1,0)</f>
        <v>0</v>
      </c>
      <c r="AE1646">
        <f>IF(AND(vp.data[[#This Row],[CrudeType]]="Crude",vp.data[[#This Row],[Dens]]&gt;900,vp.data[[#This Row],[Sulf]]&lt;=0.5,vp.data[[#This Row],[Unknown]]=0),1,0)</f>
        <v>0</v>
      </c>
      <c r="AF1646">
        <f>IF(AND(vp.data[[#This Row],[CrudeType]]="Crude",vp.data[[#This Row],[Dens]]&gt;900,vp.data[[#This Row],[Sulf]]&lt;=0.5,vp.data[[#This Row],[Unknown]]=0),1,0)</f>
        <v>0</v>
      </c>
      <c r="AG1646" t="str">
        <f>INDEX(vp.data[[#Headers],[Unknown]:[Heavy_SW]],MATCH(1,vp.data[[#This Row],[Unknown]:[Heavy_SW]],0))</f>
        <v>Unknown</v>
      </c>
      <c r="AH1646">
        <f>INDEX([3]!crudeBD.lkup[Number],MATCH(vp.data[[#This Row],[Crude_Breakdown]],crudeBD.lkup[Crude Breakdown],0))</f>
        <v>-1</v>
      </c>
      <c r="AI1646">
        <f>MONTH(vp.data[[#This Row],[SDate]])</f>
        <v>6</v>
      </c>
      <c r="AJ1646" s="5">
        <f>(vp.data[[#This Row],[VP]]-INDEX(crudeBD.lkup[Mean_VP],MATCH(vp.data[[#This Row],[Crude_Breakdown]],crudeBD.lkup[Crude Breakdown],0)))^2</f>
        <v>19.759242826984121</v>
      </c>
      <c r="AK1646" s="5" t="e">
        <f>(vp.data[[#This Row],[Dens]]-INDEX(crudeBD.lkup[Mean_Dens],MATCH(vp.data[[#This Row],[Crude_Breakdown]],crudeBD.lkup[Crude Breakdown],0)))^2</f>
        <v>#VALUE!</v>
      </c>
      <c r="AL1646" s="5" t="e">
        <f>(vp.data[[#This Row],[Sulf]]-INDEX(crudeBD.lkup[Mean_Sulf],MATCH(vp.data[[#This Row],[Crude_Breakdown]],crudeBD.lkup[Crude Breakdown],0)))^2</f>
        <v>#VALUE!</v>
      </c>
      <c r="AM1646" s="4">
        <f>IF(AND(vp.data[[#This Row],[SDate]]&gt;=DATE(YEAR(vp.data[[#This Row],[SDate]]),5,1),vp.data[[#This Row],[SDate]]&lt;=DATE(YEAR(vp.data[[#This Row],[SDate]]),9,15)),1,0)</f>
        <v>1</v>
      </c>
      <c r="AN1646" s="4">
        <f>IF(vp.data[[#This Row],[SDate]]&lt;DATE(2016,12,1),0,1)</f>
        <v>1</v>
      </c>
      <c r="AO1646" s="4" t="str">
        <f>IFERROR(vp.data[[#This Row],[Sulf]]*vp.data[[#This Row],[Net Dens]],"")</f>
        <v/>
      </c>
      <c r="AP1646" t="str">
        <f>IFERROR(vp.data[[#This Row],[Dens]]*vp.data[[#This Row],[VolumeM3]],"")</f>
        <v/>
      </c>
      <c r="AQ1646" s="15" t="str">
        <f>IFERROR(vp.data[[#This Row],[VP]]*vp.data[[#This Row],[VolumeM3]],"")</f>
        <v/>
      </c>
    </row>
    <row r="1647" spans="1:43" x14ac:dyDescent="0.25">
      <c r="A1647">
        <v>1646</v>
      </c>
      <c r="B1647" t="s">
        <v>53</v>
      </c>
      <c r="C1647" t="s">
        <v>53</v>
      </c>
      <c r="D1647" t="s">
        <v>54</v>
      </c>
      <c r="E1647" t="s">
        <v>290</v>
      </c>
      <c r="F1647" s="1">
        <v>42899</v>
      </c>
      <c r="G1647" s="2">
        <v>67.900000000000006</v>
      </c>
      <c r="H1647" s="2"/>
      <c r="I1647" s="2" t="str">
        <f t="array" ref="I164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7" s="2"/>
      <c r="K1647" s="2"/>
      <c r="L1647" s="2"/>
      <c r="M1647" s="2" t="str">
        <f t="array" ref="M164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7" s="2">
        <f ca="1">INDEX(INDIRECT(_xlfn.CONCAT("weather.tbl[",N$1,"]")),MATCH(vp.data[[#This Row],[SDate]],weather.tbl[Date],0))</f>
        <v>15.666666666666666</v>
      </c>
      <c r="O1647" s="2">
        <f ca="1">INDEX(INDIRECT(_xlfn.CONCAT("weather.tbl[",O$1,"]")),MATCH(vp.data[[#This Row],[SDate]],weather.tbl[Date],0))</f>
        <v>17.292857142857144</v>
      </c>
      <c r="P1647" s="2">
        <f ca="1">INDEX(INDIRECT(_xlfn.CONCAT("weather.tbl[",P$1,"]")),MATCH(vp.data[[#This Row],[SDate]],weather.tbl[Date],0))</f>
        <v>15.8</v>
      </c>
      <c r="Q1647" s="2">
        <f ca="1">INDEX(INDIRECT(_xlfn.CONCAT("weather.tbl[",Q$1,"]")),MATCH(vp.data[[#This Row],[SDate]],weather.tbl[Date],0))</f>
        <v>16.7</v>
      </c>
      <c r="R1647" s="2">
        <f ca="1">INDEX(INDIRECT(_xlfn.CONCAT("weather.tbl[",R$1,"]")),MATCH(vp.data[[#This Row],[SDate]],weather.tbl[Date],0))</f>
        <v>13.8</v>
      </c>
      <c r="S1647" s="2">
        <f ca="1">INDEX(INDIRECT(_xlfn.CONCAT("weather.tbl[",S$1,"]")),MATCH(vp.data[[#This Row],[SDate]],weather.tbl[Date],0))</f>
        <v>17.5</v>
      </c>
      <c r="T1647" s="2">
        <f ca="1">INDEX(INDIRECT(_xlfn.CONCAT("weather.tbl[",T$1,"]")),MATCH(vp.data[[#This Row],[SDate]],weather.tbl[Date],0))</f>
        <v>15.7</v>
      </c>
      <c r="U1647" s="2">
        <f ca="1">INDEX(INDIRECT(_xlfn.CONCAT("weather.tbl[",U$1,"]")),MATCH(vp.data[[#This Row],[SDate]],weather.tbl[Date],0))</f>
        <v>14.5</v>
      </c>
      <c r="V1647" s="2" t="str">
        <f t="array" ref="V164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7" t="s">
        <v>48</v>
      </c>
      <c r="X1647">
        <f>IF(OR(vp.data[[#This Row],[Sulf]]="",vp.data[[#This Row],[Dens]]=""),1,0)</f>
        <v>1</v>
      </c>
      <c r="Y1647">
        <f>IF(vp.data[[#This Row],[CrudeType]]="C5+",1,0)</f>
        <v>0</v>
      </c>
      <c r="Z1647">
        <f>IF(AND(vp.data[[#This Row],[CrudeType]]="Crude",vp.data[[#This Row],[Dens]]&lt;=825,vp.data[[#This Row],[Sulf]]&gt;0.5,vp.data[[#This Row],[Unknown]]=0),1,0)</f>
        <v>0</v>
      </c>
      <c r="AA1647">
        <f>IF(AND(vp.data[[#This Row],[CrudeType]]="Crude",vp.data[[#This Row],[Dens]]&lt;=825,vp.data[[#This Row],[Sulf]]&lt;=0.5,vp.data[[#This Row],[Unknown]]=0),1,0)</f>
        <v>0</v>
      </c>
      <c r="AB164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7">
        <f>IF(AND(vp.data[[#This Row],[CrudeType]]="Crude",vp.data[[#This Row],[Dens]]&gt;825,vp.data[[#This Row],[Dens]]&lt;=900,vp.data[[#This Row],[Sulf]]&lt;=0.5,vp.data[[#This Row],[Unknown]]=0),1,0)</f>
        <v>0</v>
      </c>
      <c r="AD1647">
        <f>IF(AND(vp.data[[#This Row],[CrudeType]]="Crude",vp.data[[#This Row],[Dens]]&gt;865,vp.data[[#This Row],[Dens]]&lt;=900,vp.data[[#This Row],[Sulf]]&gt;2,vp.data[[#This Row],[Unknown]]=0),1,0)</f>
        <v>0</v>
      </c>
      <c r="AE1647">
        <f>IF(AND(vp.data[[#This Row],[CrudeType]]="Crude",vp.data[[#This Row],[Dens]]&gt;900,vp.data[[#This Row],[Sulf]]&lt;=0.5,vp.data[[#This Row],[Unknown]]=0),1,0)</f>
        <v>0</v>
      </c>
      <c r="AF1647">
        <f>IF(AND(vp.data[[#This Row],[CrudeType]]="Crude",vp.data[[#This Row],[Dens]]&gt;900,vp.data[[#This Row],[Sulf]]&lt;=0.5,vp.data[[#This Row],[Unknown]]=0),1,0)</f>
        <v>0</v>
      </c>
      <c r="AG1647" t="str">
        <f>INDEX(vp.data[[#Headers],[Unknown]:[Heavy_SW]],MATCH(1,vp.data[[#This Row],[Unknown]:[Heavy_SW]],0))</f>
        <v>Unknown</v>
      </c>
      <c r="AH1647">
        <f>INDEX([3]!crudeBD.lkup[Number],MATCH(vp.data[[#This Row],[Crude_Breakdown]],crudeBD.lkup[Crude Breakdown],0))</f>
        <v>-1</v>
      </c>
      <c r="AI1647">
        <f>MONTH(vp.data[[#This Row],[SDate]])</f>
        <v>6</v>
      </c>
      <c r="AJ1647" s="5">
        <f>(vp.data[[#This Row],[VP]]-INDEX(crudeBD.lkup[Mean_VP],MATCH(vp.data[[#This Row],[Crude_Breakdown]],crudeBD.lkup[Crude Breakdown],0)))^2</f>
        <v>35.344653785888127</v>
      </c>
      <c r="AK1647" s="5" t="e">
        <f>(vp.data[[#This Row],[Dens]]-INDEX(crudeBD.lkup[Mean_Dens],MATCH(vp.data[[#This Row],[Crude_Breakdown]],crudeBD.lkup[Crude Breakdown],0)))^2</f>
        <v>#VALUE!</v>
      </c>
      <c r="AL1647" s="5" t="e">
        <f>(vp.data[[#This Row],[Sulf]]-INDEX(crudeBD.lkup[Mean_Sulf],MATCH(vp.data[[#This Row],[Crude_Breakdown]],crudeBD.lkup[Crude Breakdown],0)))^2</f>
        <v>#VALUE!</v>
      </c>
      <c r="AM1647" s="4">
        <f>IF(AND(vp.data[[#This Row],[SDate]]&gt;=DATE(YEAR(vp.data[[#This Row],[SDate]]),5,1),vp.data[[#This Row],[SDate]]&lt;=DATE(YEAR(vp.data[[#This Row],[SDate]]),9,15)),1,0)</f>
        <v>1</v>
      </c>
      <c r="AN1647" s="4">
        <f>IF(vp.data[[#This Row],[SDate]]&lt;DATE(2016,12,1),0,1)</f>
        <v>1</v>
      </c>
      <c r="AO1647" s="4" t="str">
        <f>IFERROR(vp.data[[#This Row],[Sulf]]*vp.data[[#This Row],[Net Dens]],"")</f>
        <v/>
      </c>
      <c r="AP1647" t="str">
        <f>IFERROR(vp.data[[#This Row],[Dens]]*vp.data[[#This Row],[VolumeM3]],"")</f>
        <v/>
      </c>
      <c r="AQ1647" s="15" t="str">
        <f>IFERROR(vp.data[[#This Row],[VP]]*vp.data[[#This Row],[VolumeM3]],"")</f>
        <v/>
      </c>
    </row>
    <row r="1648" spans="1:43" x14ac:dyDescent="0.25">
      <c r="A1648">
        <v>1647</v>
      </c>
      <c r="B1648" t="s">
        <v>62</v>
      </c>
      <c r="C1648" t="s">
        <v>62</v>
      </c>
      <c r="D1648" t="s">
        <v>63</v>
      </c>
      <c r="F1648" s="1">
        <v>42899</v>
      </c>
      <c r="G1648" s="2">
        <v>78</v>
      </c>
      <c r="H1648" s="2"/>
      <c r="I1648" s="2" t="str">
        <f t="array" ref="I164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8" s="2"/>
      <c r="K1648" s="2"/>
      <c r="L1648" s="2"/>
      <c r="M1648" s="2" t="str">
        <f t="array" ref="M164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8" s="2">
        <f ca="1">INDEX(INDIRECT(_xlfn.CONCAT("weather.tbl[",N$1,"]")),MATCH(vp.data[[#This Row],[SDate]],weather.tbl[Date],0))</f>
        <v>15.666666666666666</v>
      </c>
      <c r="O1648" s="2">
        <f ca="1">INDEX(INDIRECT(_xlfn.CONCAT("weather.tbl[",O$1,"]")),MATCH(vp.data[[#This Row],[SDate]],weather.tbl[Date],0))</f>
        <v>17.292857142857144</v>
      </c>
      <c r="P1648" s="2">
        <f ca="1">INDEX(INDIRECT(_xlfn.CONCAT("weather.tbl[",P$1,"]")),MATCH(vp.data[[#This Row],[SDate]],weather.tbl[Date],0))</f>
        <v>15.8</v>
      </c>
      <c r="Q1648" s="2">
        <f ca="1">INDEX(INDIRECT(_xlfn.CONCAT("weather.tbl[",Q$1,"]")),MATCH(vp.data[[#This Row],[SDate]],weather.tbl[Date],0))</f>
        <v>16.7</v>
      </c>
      <c r="R1648" s="2">
        <f ca="1">INDEX(INDIRECT(_xlfn.CONCAT("weather.tbl[",R$1,"]")),MATCH(vp.data[[#This Row],[SDate]],weather.tbl[Date],0))</f>
        <v>13.8</v>
      </c>
      <c r="S1648" s="2">
        <f ca="1">INDEX(INDIRECT(_xlfn.CONCAT("weather.tbl[",S$1,"]")),MATCH(vp.data[[#This Row],[SDate]],weather.tbl[Date],0))</f>
        <v>17.5</v>
      </c>
      <c r="T1648" s="2">
        <f ca="1">INDEX(INDIRECT(_xlfn.CONCAT("weather.tbl[",T$1,"]")),MATCH(vp.data[[#This Row],[SDate]],weather.tbl[Date],0))</f>
        <v>15.7</v>
      </c>
      <c r="U1648" s="2">
        <f ca="1">INDEX(INDIRECT(_xlfn.CONCAT("weather.tbl[",U$1,"]")),MATCH(vp.data[[#This Row],[SDate]],weather.tbl[Date],0))</f>
        <v>14.5</v>
      </c>
      <c r="V1648" s="2" t="str">
        <f t="array" ref="V164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8" t="s">
        <v>48</v>
      </c>
      <c r="X1648">
        <f>IF(OR(vp.data[[#This Row],[Sulf]]="",vp.data[[#This Row],[Dens]]=""),1,0)</f>
        <v>1</v>
      </c>
      <c r="Y1648">
        <f>IF(vp.data[[#This Row],[CrudeType]]="C5+",1,0)</f>
        <v>0</v>
      </c>
      <c r="Z1648">
        <f>IF(AND(vp.data[[#This Row],[CrudeType]]="Crude",vp.data[[#This Row],[Dens]]&lt;=825,vp.data[[#This Row],[Sulf]]&gt;0.5,vp.data[[#This Row],[Unknown]]=0),1,0)</f>
        <v>0</v>
      </c>
      <c r="AA1648">
        <f>IF(AND(vp.data[[#This Row],[CrudeType]]="Crude",vp.data[[#This Row],[Dens]]&lt;=825,vp.data[[#This Row],[Sulf]]&lt;=0.5,vp.data[[#This Row],[Unknown]]=0),1,0)</f>
        <v>0</v>
      </c>
      <c r="AB164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8">
        <f>IF(AND(vp.data[[#This Row],[CrudeType]]="Crude",vp.data[[#This Row],[Dens]]&gt;825,vp.data[[#This Row],[Dens]]&lt;=900,vp.data[[#This Row],[Sulf]]&lt;=0.5,vp.data[[#This Row],[Unknown]]=0),1,0)</f>
        <v>0</v>
      </c>
      <c r="AD1648">
        <f>IF(AND(vp.data[[#This Row],[CrudeType]]="Crude",vp.data[[#This Row],[Dens]]&gt;865,vp.data[[#This Row],[Dens]]&lt;=900,vp.data[[#This Row],[Sulf]]&gt;2,vp.data[[#This Row],[Unknown]]=0),1,0)</f>
        <v>0</v>
      </c>
      <c r="AE1648">
        <f>IF(AND(vp.data[[#This Row],[CrudeType]]="Crude",vp.data[[#This Row],[Dens]]&gt;900,vp.data[[#This Row],[Sulf]]&lt;=0.5,vp.data[[#This Row],[Unknown]]=0),1,0)</f>
        <v>0</v>
      </c>
      <c r="AF1648">
        <f>IF(AND(vp.data[[#This Row],[CrudeType]]="Crude",vp.data[[#This Row],[Dens]]&gt;900,vp.data[[#This Row],[Sulf]]&lt;=0.5,vp.data[[#This Row],[Unknown]]=0),1,0)</f>
        <v>0</v>
      </c>
      <c r="AG1648" t="str">
        <f>INDEX(vp.data[[#Headers],[Unknown]:[Heavy_SW]],MATCH(1,vp.data[[#This Row],[Unknown]:[Heavy_SW]],0))</f>
        <v>Unknown</v>
      </c>
      <c r="AH1648">
        <f>INDEX([3]!crudeBD.lkup[Number],MATCH(vp.data[[#This Row],[Crude_Breakdown]],crudeBD.lkup[Crude Breakdown],0))</f>
        <v>-1</v>
      </c>
      <c r="AI1648">
        <f>MONTH(vp.data[[#This Row],[SDate]])</f>
        <v>6</v>
      </c>
      <c r="AJ1648" s="5">
        <f>(vp.data[[#This Row],[VP]]-INDEX(crudeBD.lkup[Mean_VP],MATCH(vp.data[[#This Row],[Crude_Breakdown]],crudeBD.lkup[Crude Breakdown],0)))^2</f>
        <v>17.262886662601101</v>
      </c>
      <c r="AK1648" s="5" t="e">
        <f>(vp.data[[#This Row],[Dens]]-INDEX(crudeBD.lkup[Mean_Dens],MATCH(vp.data[[#This Row],[Crude_Breakdown]],crudeBD.lkup[Crude Breakdown],0)))^2</f>
        <v>#VALUE!</v>
      </c>
      <c r="AL1648" s="5" t="e">
        <f>(vp.data[[#This Row],[Sulf]]-INDEX(crudeBD.lkup[Mean_Sulf],MATCH(vp.data[[#This Row],[Crude_Breakdown]],crudeBD.lkup[Crude Breakdown],0)))^2</f>
        <v>#VALUE!</v>
      </c>
      <c r="AM1648" s="4">
        <f>IF(AND(vp.data[[#This Row],[SDate]]&gt;=DATE(YEAR(vp.data[[#This Row],[SDate]]),5,1),vp.data[[#This Row],[SDate]]&lt;=DATE(YEAR(vp.data[[#This Row],[SDate]]),9,15)),1,0)</f>
        <v>1</v>
      </c>
      <c r="AN1648" s="4">
        <f>IF(vp.data[[#This Row],[SDate]]&lt;DATE(2016,12,1),0,1)</f>
        <v>1</v>
      </c>
      <c r="AO1648" s="4" t="str">
        <f>IFERROR(vp.data[[#This Row],[Sulf]]*vp.data[[#This Row],[Net Dens]],"")</f>
        <v/>
      </c>
      <c r="AP1648" t="str">
        <f>IFERROR(vp.data[[#This Row],[Dens]]*vp.data[[#This Row],[VolumeM3]],"")</f>
        <v/>
      </c>
      <c r="AQ1648" s="15" t="str">
        <f>IFERROR(vp.data[[#This Row],[VP]]*vp.data[[#This Row],[VolumeM3]],"")</f>
        <v/>
      </c>
    </row>
    <row r="1649" spans="1:43" x14ac:dyDescent="0.25">
      <c r="A1649">
        <v>1648</v>
      </c>
      <c r="B1649" t="s">
        <v>62</v>
      </c>
      <c r="C1649" t="s">
        <v>62</v>
      </c>
      <c r="D1649" t="s">
        <v>87</v>
      </c>
      <c r="F1649" s="1">
        <v>42899</v>
      </c>
      <c r="G1649" s="2">
        <v>96</v>
      </c>
      <c r="H1649" s="2"/>
      <c r="I1649" s="2" t="str">
        <f t="array" ref="I164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49" s="2"/>
      <c r="K1649" s="2"/>
      <c r="L1649" s="2"/>
      <c r="M1649" s="2" t="str">
        <f t="array" ref="M164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49" s="2">
        <f ca="1">INDEX(INDIRECT(_xlfn.CONCAT("weather.tbl[",N$1,"]")),MATCH(vp.data[[#This Row],[SDate]],weather.tbl[Date],0))</f>
        <v>15.666666666666666</v>
      </c>
      <c r="O1649" s="2">
        <f ca="1">INDEX(INDIRECT(_xlfn.CONCAT("weather.tbl[",O$1,"]")),MATCH(vp.data[[#This Row],[SDate]],weather.tbl[Date],0))</f>
        <v>17.292857142857144</v>
      </c>
      <c r="P1649" s="2">
        <f ca="1">INDEX(INDIRECT(_xlfn.CONCAT("weather.tbl[",P$1,"]")),MATCH(vp.data[[#This Row],[SDate]],weather.tbl[Date],0))</f>
        <v>15.8</v>
      </c>
      <c r="Q1649" s="2">
        <f ca="1">INDEX(INDIRECT(_xlfn.CONCAT("weather.tbl[",Q$1,"]")),MATCH(vp.data[[#This Row],[SDate]],weather.tbl[Date],0))</f>
        <v>16.7</v>
      </c>
      <c r="R1649" s="2">
        <f ca="1">INDEX(INDIRECT(_xlfn.CONCAT("weather.tbl[",R$1,"]")),MATCH(vp.data[[#This Row],[SDate]],weather.tbl[Date],0))</f>
        <v>13.8</v>
      </c>
      <c r="S1649" s="2">
        <f ca="1">INDEX(INDIRECT(_xlfn.CONCAT("weather.tbl[",S$1,"]")),MATCH(vp.data[[#This Row],[SDate]],weather.tbl[Date],0))</f>
        <v>17.5</v>
      </c>
      <c r="T1649" s="2">
        <f ca="1">INDEX(INDIRECT(_xlfn.CONCAT("weather.tbl[",T$1,"]")),MATCH(vp.data[[#This Row],[SDate]],weather.tbl[Date],0))</f>
        <v>15.7</v>
      </c>
      <c r="U1649" s="2">
        <f ca="1">INDEX(INDIRECT(_xlfn.CONCAT("weather.tbl[",U$1,"]")),MATCH(vp.data[[#This Row],[SDate]],weather.tbl[Date],0))</f>
        <v>14.5</v>
      </c>
      <c r="V1649" s="2" t="str">
        <f t="array" ref="V164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49" t="s">
        <v>48</v>
      </c>
      <c r="X1649">
        <f>IF(OR(vp.data[[#This Row],[Sulf]]="",vp.data[[#This Row],[Dens]]=""),1,0)</f>
        <v>1</v>
      </c>
      <c r="Y1649">
        <f>IF(vp.data[[#This Row],[CrudeType]]="C5+",1,0)</f>
        <v>0</v>
      </c>
      <c r="Z1649">
        <f>IF(AND(vp.data[[#This Row],[CrudeType]]="Crude",vp.data[[#This Row],[Dens]]&lt;=825,vp.data[[#This Row],[Sulf]]&gt;0.5,vp.data[[#This Row],[Unknown]]=0),1,0)</f>
        <v>0</v>
      </c>
      <c r="AA1649">
        <f>IF(AND(vp.data[[#This Row],[CrudeType]]="Crude",vp.data[[#This Row],[Dens]]&lt;=825,vp.data[[#This Row],[Sulf]]&lt;=0.5,vp.data[[#This Row],[Unknown]]=0),1,0)</f>
        <v>0</v>
      </c>
      <c r="AB164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49">
        <f>IF(AND(vp.data[[#This Row],[CrudeType]]="Crude",vp.data[[#This Row],[Dens]]&gt;825,vp.data[[#This Row],[Dens]]&lt;=900,vp.data[[#This Row],[Sulf]]&lt;=0.5,vp.data[[#This Row],[Unknown]]=0),1,0)</f>
        <v>0</v>
      </c>
      <c r="AD1649">
        <f>IF(AND(vp.data[[#This Row],[CrudeType]]="Crude",vp.data[[#This Row],[Dens]]&gt;865,vp.data[[#This Row],[Dens]]&lt;=900,vp.data[[#This Row],[Sulf]]&gt;2,vp.data[[#This Row],[Unknown]]=0),1,0)</f>
        <v>0</v>
      </c>
      <c r="AE1649">
        <f>IF(AND(vp.data[[#This Row],[CrudeType]]="Crude",vp.data[[#This Row],[Dens]]&gt;900,vp.data[[#This Row],[Sulf]]&lt;=0.5,vp.data[[#This Row],[Unknown]]=0),1,0)</f>
        <v>0</v>
      </c>
      <c r="AF1649">
        <f>IF(AND(vp.data[[#This Row],[CrudeType]]="Crude",vp.data[[#This Row],[Dens]]&gt;900,vp.data[[#This Row],[Sulf]]&lt;=0.5,vp.data[[#This Row],[Unknown]]=0),1,0)</f>
        <v>0</v>
      </c>
      <c r="AG1649" t="str">
        <f>INDEX(vp.data[[#Headers],[Unknown]:[Heavy_SW]],MATCH(1,vp.data[[#This Row],[Unknown]:[Heavy_SW]],0))</f>
        <v>Unknown</v>
      </c>
      <c r="AH1649">
        <f>INDEX([3]!crudeBD.lkup[Number],MATCH(vp.data[[#This Row],[Crude_Breakdown]],crudeBD.lkup[Crude Breakdown],0))</f>
        <v>-1</v>
      </c>
      <c r="AI1649">
        <f>MONTH(vp.data[[#This Row],[SDate]])</f>
        <v>6</v>
      </c>
      <c r="AJ1649" s="5">
        <f>(vp.data[[#This Row],[VP]]-INDEX(crudeBD.lkup[Mean_VP],MATCH(vp.data[[#This Row],[Crude_Breakdown]],crudeBD.lkup[Crude Breakdown],0)))^2</f>
        <v>490.83795515575281</v>
      </c>
      <c r="AK1649" s="5" t="e">
        <f>(vp.data[[#This Row],[Dens]]-INDEX(crudeBD.lkup[Mean_Dens],MATCH(vp.data[[#This Row],[Crude_Breakdown]],crudeBD.lkup[Crude Breakdown],0)))^2</f>
        <v>#VALUE!</v>
      </c>
      <c r="AL1649" s="5" t="e">
        <f>(vp.data[[#This Row],[Sulf]]-INDEX(crudeBD.lkup[Mean_Sulf],MATCH(vp.data[[#This Row],[Crude_Breakdown]],crudeBD.lkup[Crude Breakdown],0)))^2</f>
        <v>#VALUE!</v>
      </c>
      <c r="AM1649" s="4">
        <f>IF(AND(vp.data[[#This Row],[SDate]]&gt;=DATE(YEAR(vp.data[[#This Row],[SDate]]),5,1),vp.data[[#This Row],[SDate]]&lt;=DATE(YEAR(vp.data[[#This Row],[SDate]]),9,15)),1,0)</f>
        <v>1</v>
      </c>
      <c r="AN1649" s="4">
        <f>IF(vp.data[[#This Row],[SDate]]&lt;DATE(2016,12,1),0,1)</f>
        <v>1</v>
      </c>
      <c r="AO1649" s="4" t="str">
        <f>IFERROR(vp.data[[#This Row],[Sulf]]*vp.data[[#This Row],[Net Dens]],"")</f>
        <v/>
      </c>
      <c r="AP1649" t="str">
        <f>IFERROR(vp.data[[#This Row],[Dens]]*vp.data[[#This Row],[VolumeM3]],"")</f>
        <v/>
      </c>
      <c r="AQ1649" s="15" t="str">
        <f>IFERROR(vp.data[[#This Row],[VP]]*vp.data[[#This Row],[VolumeM3]],"")</f>
        <v/>
      </c>
    </row>
    <row r="1650" spans="1:43" x14ac:dyDescent="0.25">
      <c r="A1650">
        <v>1649</v>
      </c>
      <c r="B1650" t="s">
        <v>62</v>
      </c>
      <c r="C1650" t="s">
        <v>62</v>
      </c>
      <c r="D1650" t="s">
        <v>83</v>
      </c>
      <c r="F1650" s="1">
        <v>42899</v>
      </c>
      <c r="G1650" s="2">
        <v>93.8</v>
      </c>
      <c r="H1650" s="2"/>
      <c r="I1650" s="2" t="str">
        <f t="array" ref="I165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0" s="2"/>
      <c r="K1650" s="2"/>
      <c r="L1650" s="2"/>
      <c r="M1650" s="2" t="str">
        <f t="array" ref="M165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0" s="2">
        <f ca="1">INDEX(INDIRECT(_xlfn.CONCAT("weather.tbl[",N$1,"]")),MATCH(vp.data[[#This Row],[SDate]],weather.tbl[Date],0))</f>
        <v>15.666666666666666</v>
      </c>
      <c r="O1650" s="2">
        <f ca="1">INDEX(INDIRECT(_xlfn.CONCAT("weather.tbl[",O$1,"]")),MATCH(vp.data[[#This Row],[SDate]],weather.tbl[Date],0))</f>
        <v>17.292857142857144</v>
      </c>
      <c r="P1650" s="2">
        <f ca="1">INDEX(INDIRECT(_xlfn.CONCAT("weather.tbl[",P$1,"]")),MATCH(vp.data[[#This Row],[SDate]],weather.tbl[Date],0))</f>
        <v>15.8</v>
      </c>
      <c r="Q1650" s="2">
        <f ca="1">INDEX(INDIRECT(_xlfn.CONCAT("weather.tbl[",Q$1,"]")),MATCH(vp.data[[#This Row],[SDate]],weather.tbl[Date],0))</f>
        <v>16.7</v>
      </c>
      <c r="R1650" s="2">
        <f ca="1">INDEX(INDIRECT(_xlfn.CONCAT("weather.tbl[",R$1,"]")),MATCH(vp.data[[#This Row],[SDate]],weather.tbl[Date],0))</f>
        <v>13.8</v>
      </c>
      <c r="S1650" s="2">
        <f ca="1">INDEX(INDIRECT(_xlfn.CONCAT("weather.tbl[",S$1,"]")),MATCH(vp.data[[#This Row],[SDate]],weather.tbl[Date],0))</f>
        <v>17.5</v>
      </c>
      <c r="T1650" s="2">
        <f ca="1">INDEX(INDIRECT(_xlfn.CONCAT("weather.tbl[",T$1,"]")),MATCH(vp.data[[#This Row],[SDate]],weather.tbl[Date],0))</f>
        <v>15.7</v>
      </c>
      <c r="U1650" s="2">
        <f ca="1">INDEX(INDIRECT(_xlfn.CONCAT("weather.tbl[",U$1,"]")),MATCH(vp.data[[#This Row],[SDate]],weather.tbl[Date],0))</f>
        <v>14.5</v>
      </c>
      <c r="V1650" s="2" t="str">
        <f t="array" ref="V165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0" t="s">
        <v>48</v>
      </c>
      <c r="X1650">
        <f>IF(OR(vp.data[[#This Row],[Sulf]]="",vp.data[[#This Row],[Dens]]=""),1,0)</f>
        <v>1</v>
      </c>
      <c r="Y1650">
        <f>IF(vp.data[[#This Row],[CrudeType]]="C5+",1,0)</f>
        <v>0</v>
      </c>
      <c r="Z1650">
        <f>IF(AND(vp.data[[#This Row],[CrudeType]]="Crude",vp.data[[#This Row],[Dens]]&lt;=825,vp.data[[#This Row],[Sulf]]&gt;0.5,vp.data[[#This Row],[Unknown]]=0),1,0)</f>
        <v>0</v>
      </c>
      <c r="AA1650">
        <f>IF(AND(vp.data[[#This Row],[CrudeType]]="Crude",vp.data[[#This Row],[Dens]]&lt;=825,vp.data[[#This Row],[Sulf]]&lt;=0.5,vp.data[[#This Row],[Unknown]]=0),1,0)</f>
        <v>0</v>
      </c>
      <c r="AB165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0">
        <f>IF(AND(vp.data[[#This Row],[CrudeType]]="Crude",vp.data[[#This Row],[Dens]]&gt;825,vp.data[[#This Row],[Dens]]&lt;=900,vp.data[[#This Row],[Sulf]]&lt;=0.5,vp.data[[#This Row],[Unknown]]=0),1,0)</f>
        <v>0</v>
      </c>
      <c r="AD1650">
        <f>IF(AND(vp.data[[#This Row],[CrudeType]]="Crude",vp.data[[#This Row],[Dens]]&gt;865,vp.data[[#This Row],[Dens]]&lt;=900,vp.data[[#This Row],[Sulf]]&gt;2,vp.data[[#This Row],[Unknown]]=0),1,0)</f>
        <v>0</v>
      </c>
      <c r="AE1650">
        <f>IF(AND(vp.data[[#This Row],[CrudeType]]="Crude",vp.data[[#This Row],[Dens]]&gt;900,vp.data[[#This Row],[Sulf]]&lt;=0.5,vp.data[[#This Row],[Unknown]]=0),1,0)</f>
        <v>0</v>
      </c>
      <c r="AF1650">
        <f>IF(AND(vp.data[[#This Row],[CrudeType]]="Crude",vp.data[[#This Row],[Dens]]&gt;900,vp.data[[#This Row],[Sulf]]&lt;=0.5,vp.data[[#This Row],[Unknown]]=0),1,0)</f>
        <v>0</v>
      </c>
      <c r="AG1650" t="str">
        <f>INDEX(vp.data[[#Headers],[Unknown]:[Heavy_SW]],MATCH(1,vp.data[[#This Row],[Unknown]:[Heavy_SW]],0))</f>
        <v>Unknown</v>
      </c>
      <c r="AH1650">
        <f>INDEX([3]!crudeBD.lkup[Number],MATCH(vp.data[[#This Row],[Crude_Breakdown]],crudeBD.lkup[Crude Breakdown],0))</f>
        <v>-1</v>
      </c>
      <c r="AI1650">
        <f>MONTH(vp.data[[#This Row],[SDate]])</f>
        <v>6</v>
      </c>
      <c r="AJ1650" s="5">
        <f>(vp.data[[#This Row],[VP]]-INDEX(crudeBD.lkup[Mean_VP],MATCH(vp.data[[#This Row],[Crude_Breakdown]],crudeBD.lkup[Crude Breakdown],0)))^2</f>
        <v>398.19655789547863</v>
      </c>
      <c r="AK1650" s="5" t="e">
        <f>(vp.data[[#This Row],[Dens]]-INDEX(crudeBD.lkup[Mean_Dens],MATCH(vp.data[[#This Row],[Crude_Breakdown]],crudeBD.lkup[Crude Breakdown],0)))^2</f>
        <v>#VALUE!</v>
      </c>
      <c r="AL1650" s="5" t="e">
        <f>(vp.data[[#This Row],[Sulf]]-INDEX(crudeBD.lkup[Mean_Sulf],MATCH(vp.data[[#This Row],[Crude_Breakdown]],crudeBD.lkup[Crude Breakdown],0)))^2</f>
        <v>#VALUE!</v>
      </c>
      <c r="AM1650" s="4">
        <f>IF(AND(vp.data[[#This Row],[SDate]]&gt;=DATE(YEAR(vp.data[[#This Row],[SDate]]),5,1),vp.data[[#This Row],[SDate]]&lt;=DATE(YEAR(vp.data[[#This Row],[SDate]]),9,15)),1,0)</f>
        <v>1</v>
      </c>
      <c r="AN1650" s="4">
        <f>IF(vp.data[[#This Row],[SDate]]&lt;DATE(2016,12,1),0,1)</f>
        <v>1</v>
      </c>
      <c r="AO1650" s="4" t="str">
        <f>IFERROR(vp.data[[#This Row],[Sulf]]*vp.data[[#This Row],[Net Dens]],"")</f>
        <v/>
      </c>
      <c r="AP1650" t="str">
        <f>IFERROR(vp.data[[#This Row],[Dens]]*vp.data[[#This Row],[VolumeM3]],"")</f>
        <v/>
      </c>
      <c r="AQ1650" s="15" t="str">
        <f>IFERROR(vp.data[[#This Row],[VP]]*vp.data[[#This Row],[VolumeM3]],"")</f>
        <v/>
      </c>
    </row>
    <row r="1651" spans="1:43" x14ac:dyDescent="0.25">
      <c r="A1651">
        <v>1650</v>
      </c>
      <c r="B1651" t="s">
        <v>51</v>
      </c>
      <c r="C1651" t="s">
        <v>51</v>
      </c>
      <c r="D1651" t="s">
        <v>66</v>
      </c>
      <c r="F1651" s="1">
        <v>42899</v>
      </c>
      <c r="G1651" s="2">
        <v>96</v>
      </c>
      <c r="H1651" s="2"/>
      <c r="I1651" s="2" t="str">
        <f t="array" ref="I165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1" s="2"/>
      <c r="K1651" s="2"/>
      <c r="L1651" s="2"/>
      <c r="M1651" s="2" t="str">
        <f t="array" ref="M165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1" s="2">
        <f ca="1">INDEX(INDIRECT(_xlfn.CONCAT("weather.tbl[",N$1,"]")),MATCH(vp.data[[#This Row],[SDate]],weather.tbl[Date],0))</f>
        <v>15.666666666666666</v>
      </c>
      <c r="O1651" s="2">
        <f ca="1">INDEX(INDIRECT(_xlfn.CONCAT("weather.tbl[",O$1,"]")),MATCH(vp.data[[#This Row],[SDate]],weather.tbl[Date],0))</f>
        <v>17.292857142857144</v>
      </c>
      <c r="P1651" s="2">
        <f ca="1">INDEX(INDIRECT(_xlfn.CONCAT("weather.tbl[",P$1,"]")),MATCH(vp.data[[#This Row],[SDate]],weather.tbl[Date],0))</f>
        <v>15.8</v>
      </c>
      <c r="Q1651" s="2">
        <f ca="1">INDEX(INDIRECT(_xlfn.CONCAT("weather.tbl[",Q$1,"]")),MATCH(vp.data[[#This Row],[SDate]],weather.tbl[Date],0))</f>
        <v>16.7</v>
      </c>
      <c r="R1651" s="2">
        <f ca="1">INDEX(INDIRECT(_xlfn.CONCAT("weather.tbl[",R$1,"]")),MATCH(vp.data[[#This Row],[SDate]],weather.tbl[Date],0))</f>
        <v>13.8</v>
      </c>
      <c r="S1651" s="2">
        <f ca="1">INDEX(INDIRECT(_xlfn.CONCAT("weather.tbl[",S$1,"]")),MATCH(vp.data[[#This Row],[SDate]],weather.tbl[Date],0))</f>
        <v>17.5</v>
      </c>
      <c r="T1651" s="2">
        <f ca="1">INDEX(INDIRECT(_xlfn.CONCAT("weather.tbl[",T$1,"]")),MATCH(vp.data[[#This Row],[SDate]],weather.tbl[Date],0))</f>
        <v>15.7</v>
      </c>
      <c r="U1651" s="2">
        <f ca="1">INDEX(INDIRECT(_xlfn.CONCAT("weather.tbl[",U$1,"]")),MATCH(vp.data[[#This Row],[SDate]],weather.tbl[Date],0))</f>
        <v>14.5</v>
      </c>
      <c r="V1651" s="2" t="str">
        <f t="array" ref="V165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1" t="s">
        <v>48</v>
      </c>
      <c r="X1651">
        <f>IF(OR(vp.data[[#This Row],[Sulf]]="",vp.data[[#This Row],[Dens]]=""),1,0)</f>
        <v>1</v>
      </c>
      <c r="Y1651">
        <f>IF(vp.data[[#This Row],[CrudeType]]="C5+",1,0)</f>
        <v>0</v>
      </c>
      <c r="Z1651">
        <f>IF(AND(vp.data[[#This Row],[CrudeType]]="Crude",vp.data[[#This Row],[Dens]]&lt;=825,vp.data[[#This Row],[Sulf]]&gt;0.5,vp.data[[#This Row],[Unknown]]=0),1,0)</f>
        <v>0</v>
      </c>
      <c r="AA1651">
        <f>IF(AND(vp.data[[#This Row],[CrudeType]]="Crude",vp.data[[#This Row],[Dens]]&lt;=825,vp.data[[#This Row],[Sulf]]&lt;=0.5,vp.data[[#This Row],[Unknown]]=0),1,0)</f>
        <v>0</v>
      </c>
      <c r="AB165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1">
        <f>IF(AND(vp.data[[#This Row],[CrudeType]]="Crude",vp.data[[#This Row],[Dens]]&gt;825,vp.data[[#This Row],[Dens]]&lt;=900,vp.data[[#This Row],[Sulf]]&lt;=0.5,vp.data[[#This Row],[Unknown]]=0),1,0)</f>
        <v>0</v>
      </c>
      <c r="AD1651">
        <f>IF(AND(vp.data[[#This Row],[CrudeType]]="Crude",vp.data[[#This Row],[Dens]]&gt;865,vp.data[[#This Row],[Dens]]&lt;=900,vp.data[[#This Row],[Sulf]]&gt;2,vp.data[[#This Row],[Unknown]]=0),1,0)</f>
        <v>0</v>
      </c>
      <c r="AE1651">
        <f>IF(AND(vp.data[[#This Row],[CrudeType]]="Crude",vp.data[[#This Row],[Dens]]&gt;900,vp.data[[#This Row],[Sulf]]&lt;=0.5,vp.data[[#This Row],[Unknown]]=0),1,0)</f>
        <v>0</v>
      </c>
      <c r="AF1651">
        <f>IF(AND(vp.data[[#This Row],[CrudeType]]="Crude",vp.data[[#This Row],[Dens]]&gt;900,vp.data[[#This Row],[Sulf]]&lt;=0.5,vp.data[[#This Row],[Unknown]]=0),1,0)</f>
        <v>0</v>
      </c>
      <c r="AG1651" t="str">
        <f>INDEX(vp.data[[#Headers],[Unknown]:[Heavy_SW]],MATCH(1,vp.data[[#This Row],[Unknown]:[Heavy_SW]],0))</f>
        <v>Unknown</v>
      </c>
      <c r="AH1651">
        <f>INDEX([3]!crudeBD.lkup[Number],MATCH(vp.data[[#This Row],[Crude_Breakdown]],crudeBD.lkup[Crude Breakdown],0))</f>
        <v>-1</v>
      </c>
      <c r="AI1651">
        <f>MONTH(vp.data[[#This Row],[SDate]])</f>
        <v>6</v>
      </c>
      <c r="AJ1651" s="5">
        <f>(vp.data[[#This Row],[VP]]-INDEX(crudeBD.lkup[Mean_VP],MATCH(vp.data[[#This Row],[Crude_Breakdown]],crudeBD.lkup[Crude Breakdown],0)))^2</f>
        <v>490.83795515575281</v>
      </c>
      <c r="AK1651" s="5" t="e">
        <f>(vp.data[[#This Row],[Dens]]-INDEX(crudeBD.lkup[Mean_Dens],MATCH(vp.data[[#This Row],[Crude_Breakdown]],crudeBD.lkup[Crude Breakdown],0)))^2</f>
        <v>#VALUE!</v>
      </c>
      <c r="AL1651" s="5" t="e">
        <f>(vp.data[[#This Row],[Sulf]]-INDEX(crudeBD.lkup[Mean_Sulf],MATCH(vp.data[[#This Row],[Crude_Breakdown]],crudeBD.lkup[Crude Breakdown],0)))^2</f>
        <v>#VALUE!</v>
      </c>
      <c r="AM1651" s="4">
        <f>IF(AND(vp.data[[#This Row],[SDate]]&gt;=DATE(YEAR(vp.data[[#This Row],[SDate]]),5,1),vp.data[[#This Row],[SDate]]&lt;=DATE(YEAR(vp.data[[#This Row],[SDate]]),9,15)),1,0)</f>
        <v>1</v>
      </c>
      <c r="AN1651" s="4">
        <f>IF(vp.data[[#This Row],[SDate]]&lt;DATE(2016,12,1),0,1)</f>
        <v>1</v>
      </c>
      <c r="AO1651" s="4" t="str">
        <f>IFERROR(vp.data[[#This Row],[Sulf]]*vp.data[[#This Row],[Net Dens]],"")</f>
        <v/>
      </c>
      <c r="AP1651" t="str">
        <f>IFERROR(vp.data[[#This Row],[Dens]]*vp.data[[#This Row],[VolumeM3]],"")</f>
        <v/>
      </c>
      <c r="AQ1651" s="15" t="str">
        <f>IFERROR(vp.data[[#This Row],[VP]]*vp.data[[#This Row],[VolumeM3]],"")</f>
        <v/>
      </c>
    </row>
    <row r="1652" spans="1:43" x14ac:dyDescent="0.25">
      <c r="A1652">
        <v>1651</v>
      </c>
      <c r="B1652" t="s">
        <v>96</v>
      </c>
      <c r="C1652" t="s">
        <v>96</v>
      </c>
      <c r="D1652" t="s">
        <v>97</v>
      </c>
      <c r="F1652" s="1">
        <v>42899</v>
      </c>
      <c r="G1652" s="2">
        <v>73.2</v>
      </c>
      <c r="H1652" s="2"/>
      <c r="I1652" s="2" t="str">
        <f t="array" ref="I165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2" s="2"/>
      <c r="K1652" s="2"/>
      <c r="L1652" s="2"/>
      <c r="M1652" s="2" t="str">
        <f t="array" ref="M165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2" s="2">
        <f ca="1">INDEX(INDIRECT(_xlfn.CONCAT("weather.tbl[",N$1,"]")),MATCH(vp.data[[#This Row],[SDate]],weather.tbl[Date],0))</f>
        <v>15.666666666666666</v>
      </c>
      <c r="O1652" s="2">
        <f ca="1">INDEX(INDIRECT(_xlfn.CONCAT("weather.tbl[",O$1,"]")),MATCH(vp.data[[#This Row],[SDate]],weather.tbl[Date],0))</f>
        <v>17.292857142857144</v>
      </c>
      <c r="P1652" s="2">
        <f ca="1">INDEX(INDIRECT(_xlfn.CONCAT("weather.tbl[",P$1,"]")),MATCH(vp.data[[#This Row],[SDate]],weather.tbl[Date],0))</f>
        <v>15.8</v>
      </c>
      <c r="Q1652" s="2">
        <f ca="1">INDEX(INDIRECT(_xlfn.CONCAT("weather.tbl[",Q$1,"]")),MATCH(vp.data[[#This Row],[SDate]],weather.tbl[Date],0))</f>
        <v>16.7</v>
      </c>
      <c r="R1652" s="2">
        <f ca="1">INDEX(INDIRECT(_xlfn.CONCAT("weather.tbl[",R$1,"]")),MATCH(vp.data[[#This Row],[SDate]],weather.tbl[Date],0))</f>
        <v>13.8</v>
      </c>
      <c r="S1652" s="2">
        <f ca="1">INDEX(INDIRECT(_xlfn.CONCAT("weather.tbl[",S$1,"]")),MATCH(vp.data[[#This Row],[SDate]],weather.tbl[Date],0))</f>
        <v>17.5</v>
      </c>
      <c r="T1652" s="2">
        <f ca="1">INDEX(INDIRECT(_xlfn.CONCAT("weather.tbl[",T$1,"]")),MATCH(vp.data[[#This Row],[SDate]],weather.tbl[Date],0))</f>
        <v>15.7</v>
      </c>
      <c r="U1652" s="2">
        <f ca="1">INDEX(INDIRECT(_xlfn.CONCAT("weather.tbl[",U$1,"]")),MATCH(vp.data[[#This Row],[SDate]],weather.tbl[Date],0))</f>
        <v>14.5</v>
      </c>
      <c r="V1652" s="2" t="str">
        <f t="array" ref="V165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2" t="s">
        <v>48</v>
      </c>
      <c r="X1652">
        <f>IF(OR(vp.data[[#This Row],[Sulf]]="",vp.data[[#This Row],[Dens]]=""),1,0)</f>
        <v>1</v>
      </c>
      <c r="Y1652">
        <f>IF(vp.data[[#This Row],[CrudeType]]="C5+",1,0)</f>
        <v>0</v>
      </c>
      <c r="Z1652">
        <f>IF(AND(vp.data[[#This Row],[CrudeType]]="Crude",vp.data[[#This Row],[Dens]]&lt;=825,vp.data[[#This Row],[Sulf]]&gt;0.5,vp.data[[#This Row],[Unknown]]=0),1,0)</f>
        <v>0</v>
      </c>
      <c r="AA1652">
        <f>IF(AND(vp.data[[#This Row],[CrudeType]]="Crude",vp.data[[#This Row],[Dens]]&lt;=825,vp.data[[#This Row],[Sulf]]&lt;=0.5,vp.data[[#This Row],[Unknown]]=0),1,0)</f>
        <v>0</v>
      </c>
      <c r="AB165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2">
        <f>IF(AND(vp.data[[#This Row],[CrudeType]]="Crude",vp.data[[#This Row],[Dens]]&gt;825,vp.data[[#This Row],[Dens]]&lt;=900,vp.data[[#This Row],[Sulf]]&lt;=0.5,vp.data[[#This Row],[Unknown]]=0),1,0)</f>
        <v>0</v>
      </c>
      <c r="AD1652">
        <f>IF(AND(vp.data[[#This Row],[CrudeType]]="Crude",vp.data[[#This Row],[Dens]]&gt;865,vp.data[[#This Row],[Dens]]&lt;=900,vp.data[[#This Row],[Sulf]]&gt;2,vp.data[[#This Row],[Unknown]]=0),1,0)</f>
        <v>0</v>
      </c>
      <c r="AE1652">
        <f>IF(AND(vp.data[[#This Row],[CrudeType]]="Crude",vp.data[[#This Row],[Dens]]&gt;900,vp.data[[#This Row],[Sulf]]&lt;=0.5,vp.data[[#This Row],[Unknown]]=0),1,0)</f>
        <v>0</v>
      </c>
      <c r="AF1652">
        <f>IF(AND(vp.data[[#This Row],[CrudeType]]="Crude",vp.data[[#This Row],[Dens]]&gt;900,vp.data[[#This Row],[Sulf]]&lt;=0.5,vp.data[[#This Row],[Unknown]]=0),1,0)</f>
        <v>0</v>
      </c>
      <c r="AG1652" t="str">
        <f>INDEX(vp.data[[#Headers],[Unknown]:[Heavy_SW]],MATCH(1,vp.data[[#This Row],[Unknown]:[Heavy_SW]],0))</f>
        <v>Unknown</v>
      </c>
      <c r="AH1652">
        <f>INDEX([3]!crudeBD.lkup[Number],MATCH(vp.data[[#This Row],[Crude_Breakdown]],crudeBD.lkup[Crude Breakdown],0))</f>
        <v>-1</v>
      </c>
      <c r="AI1652">
        <f>MONTH(vp.data[[#This Row],[SDate]])</f>
        <v>6</v>
      </c>
      <c r="AJ1652" s="5">
        <f>(vp.data[[#This Row],[VP]]-INDEX(crudeBD.lkup[Mean_VP],MATCH(vp.data[[#This Row],[Crude_Breakdown]],crudeBD.lkup[Crude Breakdown],0)))^2</f>
        <v>0.41620173109397318</v>
      </c>
      <c r="AK1652" s="5" t="e">
        <f>(vp.data[[#This Row],[Dens]]-INDEX(crudeBD.lkup[Mean_Dens],MATCH(vp.data[[#This Row],[Crude_Breakdown]],crudeBD.lkup[Crude Breakdown],0)))^2</f>
        <v>#VALUE!</v>
      </c>
      <c r="AL1652" s="5" t="e">
        <f>(vp.data[[#This Row],[Sulf]]-INDEX(crudeBD.lkup[Mean_Sulf],MATCH(vp.data[[#This Row],[Crude_Breakdown]],crudeBD.lkup[Crude Breakdown],0)))^2</f>
        <v>#VALUE!</v>
      </c>
      <c r="AM1652" s="4">
        <f>IF(AND(vp.data[[#This Row],[SDate]]&gt;=DATE(YEAR(vp.data[[#This Row],[SDate]]),5,1),vp.data[[#This Row],[SDate]]&lt;=DATE(YEAR(vp.data[[#This Row],[SDate]]),9,15)),1,0)</f>
        <v>1</v>
      </c>
      <c r="AN1652" s="4">
        <f>IF(vp.data[[#This Row],[SDate]]&lt;DATE(2016,12,1),0,1)</f>
        <v>1</v>
      </c>
      <c r="AO1652" s="4" t="str">
        <f>IFERROR(vp.data[[#This Row],[Sulf]]*vp.data[[#This Row],[Net Dens]],"")</f>
        <v/>
      </c>
      <c r="AP1652" t="str">
        <f>IFERROR(vp.data[[#This Row],[Dens]]*vp.data[[#This Row],[VolumeM3]],"")</f>
        <v/>
      </c>
      <c r="AQ1652" s="15" t="str">
        <f>IFERROR(vp.data[[#This Row],[VP]]*vp.data[[#This Row],[VolumeM3]],"")</f>
        <v/>
      </c>
    </row>
    <row r="1653" spans="1:43" x14ac:dyDescent="0.25">
      <c r="A1653">
        <v>1652</v>
      </c>
      <c r="B1653" t="s">
        <v>291</v>
      </c>
      <c r="C1653" t="s">
        <v>291</v>
      </c>
      <c r="D1653" t="s">
        <v>109</v>
      </c>
      <c r="F1653" s="1">
        <v>42899</v>
      </c>
      <c r="G1653" s="2">
        <v>78.5</v>
      </c>
      <c r="H1653" s="2"/>
      <c r="I1653" s="2" t="str">
        <f t="array" ref="I165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3" s="2"/>
      <c r="K1653" s="2"/>
      <c r="L1653" s="2"/>
      <c r="M1653" s="2" t="str">
        <f t="array" ref="M165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3" s="2">
        <f ca="1">INDEX(INDIRECT(_xlfn.CONCAT("weather.tbl[",N$1,"]")),MATCH(vp.data[[#This Row],[SDate]],weather.tbl[Date],0))</f>
        <v>15.666666666666666</v>
      </c>
      <c r="O1653" s="2">
        <f ca="1">INDEX(INDIRECT(_xlfn.CONCAT("weather.tbl[",O$1,"]")),MATCH(vp.data[[#This Row],[SDate]],weather.tbl[Date],0))</f>
        <v>17.292857142857144</v>
      </c>
      <c r="P1653" s="2">
        <f ca="1">INDEX(INDIRECT(_xlfn.CONCAT("weather.tbl[",P$1,"]")),MATCH(vp.data[[#This Row],[SDate]],weather.tbl[Date],0))</f>
        <v>15.8</v>
      </c>
      <c r="Q1653" s="2">
        <f ca="1">INDEX(INDIRECT(_xlfn.CONCAT("weather.tbl[",Q$1,"]")),MATCH(vp.data[[#This Row],[SDate]],weather.tbl[Date],0))</f>
        <v>16.7</v>
      </c>
      <c r="R1653" s="2">
        <f ca="1">INDEX(INDIRECT(_xlfn.CONCAT("weather.tbl[",R$1,"]")),MATCH(vp.data[[#This Row],[SDate]],weather.tbl[Date],0))</f>
        <v>13.8</v>
      </c>
      <c r="S1653" s="2">
        <f ca="1">INDEX(INDIRECT(_xlfn.CONCAT("weather.tbl[",S$1,"]")),MATCH(vp.data[[#This Row],[SDate]],weather.tbl[Date],0))</f>
        <v>17.5</v>
      </c>
      <c r="T1653" s="2">
        <f ca="1">INDEX(INDIRECT(_xlfn.CONCAT("weather.tbl[",T$1,"]")),MATCH(vp.data[[#This Row],[SDate]],weather.tbl[Date],0))</f>
        <v>15.7</v>
      </c>
      <c r="U1653" s="2">
        <f ca="1">INDEX(INDIRECT(_xlfn.CONCAT("weather.tbl[",U$1,"]")),MATCH(vp.data[[#This Row],[SDate]],weather.tbl[Date],0))</f>
        <v>14.5</v>
      </c>
      <c r="V1653" s="2" t="str">
        <f t="array" ref="V165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3" t="s">
        <v>48</v>
      </c>
      <c r="X1653">
        <f>IF(OR(vp.data[[#This Row],[Sulf]]="",vp.data[[#This Row],[Dens]]=""),1,0)</f>
        <v>1</v>
      </c>
      <c r="Y1653">
        <f>IF(vp.data[[#This Row],[CrudeType]]="C5+",1,0)</f>
        <v>0</v>
      </c>
      <c r="Z1653">
        <f>IF(AND(vp.data[[#This Row],[CrudeType]]="Crude",vp.data[[#This Row],[Dens]]&lt;=825,vp.data[[#This Row],[Sulf]]&gt;0.5,vp.data[[#This Row],[Unknown]]=0),1,0)</f>
        <v>0</v>
      </c>
      <c r="AA1653">
        <f>IF(AND(vp.data[[#This Row],[CrudeType]]="Crude",vp.data[[#This Row],[Dens]]&lt;=825,vp.data[[#This Row],[Sulf]]&lt;=0.5,vp.data[[#This Row],[Unknown]]=0),1,0)</f>
        <v>0</v>
      </c>
      <c r="AB165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3">
        <f>IF(AND(vp.data[[#This Row],[CrudeType]]="Crude",vp.data[[#This Row],[Dens]]&gt;825,vp.data[[#This Row],[Dens]]&lt;=900,vp.data[[#This Row],[Sulf]]&lt;=0.5,vp.data[[#This Row],[Unknown]]=0),1,0)</f>
        <v>0</v>
      </c>
      <c r="AD1653">
        <f>IF(AND(vp.data[[#This Row],[CrudeType]]="Crude",vp.data[[#This Row],[Dens]]&gt;865,vp.data[[#This Row],[Dens]]&lt;=900,vp.data[[#This Row],[Sulf]]&gt;2,vp.data[[#This Row],[Unknown]]=0),1,0)</f>
        <v>0</v>
      </c>
      <c r="AE1653">
        <f>IF(AND(vp.data[[#This Row],[CrudeType]]="Crude",vp.data[[#This Row],[Dens]]&gt;900,vp.data[[#This Row],[Sulf]]&lt;=0.5,vp.data[[#This Row],[Unknown]]=0),1,0)</f>
        <v>0</v>
      </c>
      <c r="AF1653">
        <f>IF(AND(vp.data[[#This Row],[CrudeType]]="Crude",vp.data[[#This Row],[Dens]]&gt;900,vp.data[[#This Row],[Sulf]]&lt;=0.5,vp.data[[#This Row],[Unknown]]=0),1,0)</f>
        <v>0</v>
      </c>
      <c r="AG1653" t="str">
        <f>INDEX(vp.data[[#Headers],[Unknown]:[Heavy_SW]],MATCH(1,vp.data[[#This Row],[Unknown]:[Heavy_SW]],0))</f>
        <v>Unknown</v>
      </c>
      <c r="AH1653">
        <f>INDEX([3]!crudeBD.lkup[Number],MATCH(vp.data[[#This Row],[Crude_Breakdown]],crudeBD.lkup[Crude Breakdown],0))</f>
        <v>-1</v>
      </c>
      <c r="AI1653">
        <f>MONTH(vp.data[[#This Row],[SDate]])</f>
        <v>6</v>
      </c>
      <c r="AJ1653" s="5">
        <f>(vp.data[[#This Row],[VP]]-INDEX(crudeBD.lkup[Mean_VP],MATCH(vp.data[[#This Row],[Crude_Breakdown]],crudeBD.lkup[Crude Breakdown],0)))^2</f>
        <v>21.66774967629976</v>
      </c>
      <c r="AK1653" s="5" t="e">
        <f>(vp.data[[#This Row],[Dens]]-INDEX(crudeBD.lkup[Mean_Dens],MATCH(vp.data[[#This Row],[Crude_Breakdown]],crudeBD.lkup[Crude Breakdown],0)))^2</f>
        <v>#VALUE!</v>
      </c>
      <c r="AL1653" s="5" t="e">
        <f>(vp.data[[#This Row],[Sulf]]-INDEX(crudeBD.lkup[Mean_Sulf],MATCH(vp.data[[#This Row],[Crude_Breakdown]],crudeBD.lkup[Crude Breakdown],0)))^2</f>
        <v>#VALUE!</v>
      </c>
      <c r="AM1653" s="4">
        <f>IF(AND(vp.data[[#This Row],[SDate]]&gt;=DATE(YEAR(vp.data[[#This Row],[SDate]]),5,1),vp.data[[#This Row],[SDate]]&lt;=DATE(YEAR(vp.data[[#This Row],[SDate]]),9,15)),1,0)</f>
        <v>1</v>
      </c>
      <c r="AN1653" s="4">
        <f>IF(vp.data[[#This Row],[SDate]]&lt;DATE(2016,12,1),0,1)</f>
        <v>1</v>
      </c>
      <c r="AO1653" s="4" t="str">
        <f>IFERROR(vp.data[[#This Row],[Sulf]]*vp.data[[#This Row],[Net Dens]],"")</f>
        <v/>
      </c>
      <c r="AP1653" t="str">
        <f>IFERROR(vp.data[[#This Row],[Dens]]*vp.data[[#This Row],[VolumeM3]],"")</f>
        <v/>
      </c>
      <c r="AQ1653" s="15" t="str">
        <f>IFERROR(vp.data[[#This Row],[VP]]*vp.data[[#This Row],[VolumeM3]],"")</f>
        <v/>
      </c>
    </row>
    <row r="1654" spans="1:43" x14ac:dyDescent="0.25">
      <c r="A1654">
        <v>1653</v>
      </c>
      <c r="B1654" t="s">
        <v>68</v>
      </c>
      <c r="C1654" t="s">
        <v>68</v>
      </c>
      <c r="D1654" t="s">
        <v>69</v>
      </c>
      <c r="F1654" s="1">
        <v>42899</v>
      </c>
      <c r="G1654" s="2">
        <v>65</v>
      </c>
      <c r="H1654" s="2"/>
      <c r="I1654" s="2" t="str">
        <f t="array" ref="I165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4" s="2"/>
      <c r="K1654" s="2"/>
      <c r="L1654" s="2"/>
      <c r="M1654" s="2" t="str">
        <f t="array" ref="M165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4" s="2">
        <f ca="1">INDEX(INDIRECT(_xlfn.CONCAT("weather.tbl[",N$1,"]")),MATCH(vp.data[[#This Row],[SDate]],weather.tbl[Date],0))</f>
        <v>15.666666666666666</v>
      </c>
      <c r="O1654" s="2">
        <f ca="1">INDEX(INDIRECT(_xlfn.CONCAT("weather.tbl[",O$1,"]")),MATCH(vp.data[[#This Row],[SDate]],weather.tbl[Date],0))</f>
        <v>17.292857142857144</v>
      </c>
      <c r="P1654" s="2">
        <f ca="1">INDEX(INDIRECT(_xlfn.CONCAT("weather.tbl[",P$1,"]")),MATCH(vp.data[[#This Row],[SDate]],weather.tbl[Date],0))</f>
        <v>15.8</v>
      </c>
      <c r="Q1654" s="2">
        <f ca="1">INDEX(INDIRECT(_xlfn.CONCAT("weather.tbl[",Q$1,"]")),MATCH(vp.data[[#This Row],[SDate]],weather.tbl[Date],0))</f>
        <v>16.7</v>
      </c>
      <c r="R1654" s="2">
        <f ca="1">INDEX(INDIRECT(_xlfn.CONCAT("weather.tbl[",R$1,"]")),MATCH(vp.data[[#This Row],[SDate]],weather.tbl[Date],0))</f>
        <v>13.8</v>
      </c>
      <c r="S1654" s="2">
        <f ca="1">INDEX(INDIRECT(_xlfn.CONCAT("weather.tbl[",S$1,"]")),MATCH(vp.data[[#This Row],[SDate]],weather.tbl[Date],0))</f>
        <v>17.5</v>
      </c>
      <c r="T1654" s="2">
        <f ca="1">INDEX(INDIRECT(_xlfn.CONCAT("weather.tbl[",T$1,"]")),MATCH(vp.data[[#This Row],[SDate]],weather.tbl[Date],0))</f>
        <v>15.7</v>
      </c>
      <c r="U1654" s="2">
        <f ca="1">INDEX(INDIRECT(_xlfn.CONCAT("weather.tbl[",U$1,"]")),MATCH(vp.data[[#This Row],[SDate]],weather.tbl[Date],0))</f>
        <v>14.5</v>
      </c>
      <c r="V1654" s="2" t="str">
        <f t="array" ref="V165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4" t="s">
        <v>48</v>
      </c>
      <c r="X1654">
        <f>IF(OR(vp.data[[#This Row],[Sulf]]="",vp.data[[#This Row],[Dens]]=""),1,0)</f>
        <v>1</v>
      </c>
      <c r="Y1654">
        <f>IF(vp.data[[#This Row],[CrudeType]]="C5+",1,0)</f>
        <v>0</v>
      </c>
      <c r="Z1654">
        <f>IF(AND(vp.data[[#This Row],[CrudeType]]="Crude",vp.data[[#This Row],[Dens]]&lt;=825,vp.data[[#This Row],[Sulf]]&gt;0.5,vp.data[[#This Row],[Unknown]]=0),1,0)</f>
        <v>0</v>
      </c>
      <c r="AA1654">
        <f>IF(AND(vp.data[[#This Row],[CrudeType]]="Crude",vp.data[[#This Row],[Dens]]&lt;=825,vp.data[[#This Row],[Sulf]]&lt;=0.5,vp.data[[#This Row],[Unknown]]=0),1,0)</f>
        <v>0</v>
      </c>
      <c r="AB165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4">
        <f>IF(AND(vp.data[[#This Row],[CrudeType]]="Crude",vp.data[[#This Row],[Dens]]&gt;825,vp.data[[#This Row],[Dens]]&lt;=900,vp.data[[#This Row],[Sulf]]&lt;=0.5,vp.data[[#This Row],[Unknown]]=0),1,0)</f>
        <v>0</v>
      </c>
      <c r="AD1654">
        <f>IF(AND(vp.data[[#This Row],[CrudeType]]="Crude",vp.data[[#This Row],[Dens]]&gt;865,vp.data[[#This Row],[Dens]]&lt;=900,vp.data[[#This Row],[Sulf]]&gt;2,vp.data[[#This Row],[Unknown]]=0),1,0)</f>
        <v>0</v>
      </c>
      <c r="AE1654">
        <f>IF(AND(vp.data[[#This Row],[CrudeType]]="Crude",vp.data[[#This Row],[Dens]]&gt;900,vp.data[[#This Row],[Sulf]]&lt;=0.5,vp.data[[#This Row],[Unknown]]=0),1,0)</f>
        <v>0</v>
      </c>
      <c r="AF1654">
        <f>IF(AND(vp.data[[#This Row],[CrudeType]]="Crude",vp.data[[#This Row],[Dens]]&gt;900,vp.data[[#This Row],[Sulf]]&lt;=0.5,vp.data[[#This Row],[Unknown]]=0),1,0)</f>
        <v>0</v>
      </c>
      <c r="AG1654" t="str">
        <f>INDEX(vp.data[[#Headers],[Unknown]:[Heavy_SW]],MATCH(1,vp.data[[#This Row],[Unknown]:[Heavy_SW]],0))</f>
        <v>Unknown</v>
      </c>
      <c r="AH1654">
        <f>INDEX([3]!crudeBD.lkup[Number],MATCH(vp.data[[#This Row],[Crude_Breakdown]],crudeBD.lkup[Crude Breakdown],0))</f>
        <v>-1</v>
      </c>
      <c r="AI1654">
        <f>MONTH(vp.data[[#This Row],[SDate]])</f>
        <v>6</v>
      </c>
      <c r="AJ1654" s="5">
        <f>(vp.data[[#This Row],[VP]]-INDEX(crudeBD.lkup[Mean_VP],MATCH(vp.data[[#This Row],[Crude_Breakdown]],crudeBD.lkup[Crude Breakdown],0)))^2</f>
        <v>78.236448306435975</v>
      </c>
      <c r="AK1654" s="5" t="e">
        <f>(vp.data[[#This Row],[Dens]]-INDEX(crudeBD.lkup[Mean_Dens],MATCH(vp.data[[#This Row],[Crude_Breakdown]],crudeBD.lkup[Crude Breakdown],0)))^2</f>
        <v>#VALUE!</v>
      </c>
      <c r="AL1654" s="5" t="e">
        <f>(vp.data[[#This Row],[Sulf]]-INDEX(crudeBD.lkup[Mean_Sulf],MATCH(vp.data[[#This Row],[Crude_Breakdown]],crudeBD.lkup[Crude Breakdown],0)))^2</f>
        <v>#VALUE!</v>
      </c>
      <c r="AM1654" s="4">
        <f>IF(AND(vp.data[[#This Row],[SDate]]&gt;=DATE(YEAR(vp.data[[#This Row],[SDate]]),5,1),vp.data[[#This Row],[SDate]]&lt;=DATE(YEAR(vp.data[[#This Row],[SDate]]),9,15)),1,0)</f>
        <v>1</v>
      </c>
      <c r="AN1654" s="4">
        <f>IF(vp.data[[#This Row],[SDate]]&lt;DATE(2016,12,1),0,1)</f>
        <v>1</v>
      </c>
      <c r="AO1654" s="4" t="str">
        <f>IFERROR(vp.data[[#This Row],[Sulf]]*vp.data[[#This Row],[Net Dens]],"")</f>
        <v/>
      </c>
      <c r="AP1654" t="str">
        <f>IFERROR(vp.data[[#This Row],[Dens]]*vp.data[[#This Row],[VolumeM3]],"")</f>
        <v/>
      </c>
      <c r="AQ1654" s="15" t="str">
        <f>IFERROR(vp.data[[#This Row],[VP]]*vp.data[[#This Row],[VolumeM3]],"")</f>
        <v/>
      </c>
    </row>
    <row r="1655" spans="1:43" x14ac:dyDescent="0.25">
      <c r="A1655">
        <v>1654</v>
      </c>
      <c r="B1655" t="s">
        <v>64</v>
      </c>
      <c r="C1655" t="s">
        <v>64</v>
      </c>
      <c r="D1655" t="s">
        <v>65</v>
      </c>
      <c r="F1655" s="1">
        <v>42899</v>
      </c>
      <c r="G1655" s="2">
        <v>45.9</v>
      </c>
      <c r="H1655" s="2"/>
      <c r="I1655" s="2" t="str">
        <f t="array" ref="I165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5" s="2"/>
      <c r="K1655" s="2"/>
      <c r="L1655" s="2"/>
      <c r="M1655" s="2" t="str">
        <f t="array" ref="M165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5" s="2">
        <f ca="1">INDEX(INDIRECT(_xlfn.CONCAT("weather.tbl[",N$1,"]")),MATCH(vp.data[[#This Row],[SDate]],weather.tbl[Date],0))</f>
        <v>15.666666666666666</v>
      </c>
      <c r="O1655" s="2">
        <f ca="1">INDEX(INDIRECT(_xlfn.CONCAT("weather.tbl[",O$1,"]")),MATCH(vp.data[[#This Row],[SDate]],weather.tbl[Date],0))</f>
        <v>17.292857142857144</v>
      </c>
      <c r="P1655" s="2">
        <f ca="1">INDEX(INDIRECT(_xlfn.CONCAT("weather.tbl[",P$1,"]")),MATCH(vp.data[[#This Row],[SDate]],weather.tbl[Date],0))</f>
        <v>15.8</v>
      </c>
      <c r="Q1655" s="2">
        <f ca="1">INDEX(INDIRECT(_xlfn.CONCAT("weather.tbl[",Q$1,"]")),MATCH(vp.data[[#This Row],[SDate]],weather.tbl[Date],0))</f>
        <v>16.7</v>
      </c>
      <c r="R1655" s="2">
        <f ca="1">INDEX(INDIRECT(_xlfn.CONCAT("weather.tbl[",R$1,"]")),MATCH(vp.data[[#This Row],[SDate]],weather.tbl[Date],0))</f>
        <v>13.8</v>
      </c>
      <c r="S1655" s="2">
        <f ca="1">INDEX(INDIRECT(_xlfn.CONCAT("weather.tbl[",S$1,"]")),MATCH(vp.data[[#This Row],[SDate]],weather.tbl[Date],0))</f>
        <v>17.5</v>
      </c>
      <c r="T1655" s="2">
        <f ca="1">INDEX(INDIRECT(_xlfn.CONCAT("weather.tbl[",T$1,"]")),MATCH(vp.data[[#This Row],[SDate]],weather.tbl[Date],0))</f>
        <v>15.7</v>
      </c>
      <c r="U1655" s="2">
        <f ca="1">INDEX(INDIRECT(_xlfn.CONCAT("weather.tbl[",U$1,"]")),MATCH(vp.data[[#This Row],[SDate]],weather.tbl[Date],0))</f>
        <v>14.5</v>
      </c>
      <c r="V1655" s="2" t="str">
        <f t="array" ref="V165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5" t="s">
        <v>48</v>
      </c>
      <c r="X1655">
        <f>IF(OR(vp.data[[#This Row],[Sulf]]="",vp.data[[#This Row],[Dens]]=""),1,0)</f>
        <v>1</v>
      </c>
      <c r="Y1655">
        <f>IF(vp.data[[#This Row],[CrudeType]]="C5+",1,0)</f>
        <v>0</v>
      </c>
      <c r="Z1655">
        <f>IF(AND(vp.data[[#This Row],[CrudeType]]="Crude",vp.data[[#This Row],[Dens]]&lt;=825,vp.data[[#This Row],[Sulf]]&gt;0.5,vp.data[[#This Row],[Unknown]]=0),1,0)</f>
        <v>0</v>
      </c>
      <c r="AA1655">
        <f>IF(AND(vp.data[[#This Row],[CrudeType]]="Crude",vp.data[[#This Row],[Dens]]&lt;=825,vp.data[[#This Row],[Sulf]]&lt;=0.5,vp.data[[#This Row],[Unknown]]=0),1,0)</f>
        <v>0</v>
      </c>
      <c r="AB165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5">
        <f>IF(AND(vp.data[[#This Row],[CrudeType]]="Crude",vp.data[[#This Row],[Dens]]&gt;825,vp.data[[#This Row],[Dens]]&lt;=900,vp.data[[#This Row],[Sulf]]&lt;=0.5,vp.data[[#This Row],[Unknown]]=0),1,0)</f>
        <v>0</v>
      </c>
      <c r="AD1655">
        <f>IF(AND(vp.data[[#This Row],[CrudeType]]="Crude",vp.data[[#This Row],[Dens]]&gt;865,vp.data[[#This Row],[Dens]]&lt;=900,vp.data[[#This Row],[Sulf]]&gt;2,vp.data[[#This Row],[Unknown]]=0),1,0)</f>
        <v>0</v>
      </c>
      <c r="AE1655">
        <f>IF(AND(vp.data[[#This Row],[CrudeType]]="Crude",vp.data[[#This Row],[Dens]]&gt;900,vp.data[[#This Row],[Sulf]]&lt;=0.5,vp.data[[#This Row],[Unknown]]=0),1,0)</f>
        <v>0</v>
      </c>
      <c r="AF1655">
        <f>IF(AND(vp.data[[#This Row],[CrudeType]]="Crude",vp.data[[#This Row],[Dens]]&gt;900,vp.data[[#This Row],[Sulf]]&lt;=0.5,vp.data[[#This Row],[Unknown]]=0),1,0)</f>
        <v>0</v>
      </c>
      <c r="AG1655" t="str">
        <f>INDEX(vp.data[[#Headers],[Unknown]:[Heavy_SW]],MATCH(1,vp.data[[#This Row],[Unknown]:[Heavy_SW]],0))</f>
        <v>Unknown</v>
      </c>
      <c r="AH1655">
        <f>INDEX([3]!crudeBD.lkup[Number],MATCH(vp.data[[#This Row],[Crude_Breakdown]],crudeBD.lkup[Crude Breakdown],0))</f>
        <v>-1</v>
      </c>
      <c r="AI1655">
        <f>MONTH(vp.data[[#This Row],[SDate]])</f>
        <v>6</v>
      </c>
      <c r="AJ1655" s="5">
        <f>(vp.data[[#This Row],[VP]]-INDEX(crudeBD.lkup[Mean_VP],MATCH(vp.data[[#This Row],[Crude_Breakdown]],crudeBD.lkup[Crude Breakdown],0)))^2</f>
        <v>780.93068118314727</v>
      </c>
      <c r="AK1655" s="5" t="e">
        <f>(vp.data[[#This Row],[Dens]]-INDEX(crudeBD.lkup[Mean_Dens],MATCH(vp.data[[#This Row],[Crude_Breakdown]],crudeBD.lkup[Crude Breakdown],0)))^2</f>
        <v>#VALUE!</v>
      </c>
      <c r="AL1655" s="5" t="e">
        <f>(vp.data[[#This Row],[Sulf]]-INDEX(crudeBD.lkup[Mean_Sulf],MATCH(vp.data[[#This Row],[Crude_Breakdown]],crudeBD.lkup[Crude Breakdown],0)))^2</f>
        <v>#VALUE!</v>
      </c>
      <c r="AM1655" s="4">
        <f>IF(AND(vp.data[[#This Row],[SDate]]&gt;=DATE(YEAR(vp.data[[#This Row],[SDate]]),5,1),vp.data[[#This Row],[SDate]]&lt;=DATE(YEAR(vp.data[[#This Row],[SDate]]),9,15)),1,0)</f>
        <v>1</v>
      </c>
      <c r="AN1655" s="4">
        <f>IF(vp.data[[#This Row],[SDate]]&lt;DATE(2016,12,1),0,1)</f>
        <v>1</v>
      </c>
      <c r="AO1655" s="4" t="str">
        <f>IFERROR(vp.data[[#This Row],[Sulf]]*vp.data[[#This Row],[Net Dens]],"")</f>
        <v/>
      </c>
      <c r="AP1655" t="str">
        <f>IFERROR(vp.data[[#This Row],[Dens]]*vp.data[[#This Row],[VolumeM3]],"")</f>
        <v/>
      </c>
      <c r="AQ1655" s="15" t="str">
        <f>IFERROR(vp.data[[#This Row],[VP]]*vp.data[[#This Row],[VolumeM3]],"")</f>
        <v/>
      </c>
    </row>
    <row r="1656" spans="1:43" x14ac:dyDescent="0.25">
      <c r="A1656">
        <v>1655</v>
      </c>
      <c r="B1656" t="s">
        <v>49</v>
      </c>
      <c r="C1656" t="s">
        <v>49</v>
      </c>
      <c r="D1656" t="s">
        <v>92</v>
      </c>
      <c r="F1656" s="1">
        <v>42900</v>
      </c>
      <c r="G1656" s="2">
        <v>73</v>
      </c>
      <c r="H1656" s="2"/>
      <c r="I1656" s="2" t="str">
        <f t="array" ref="I165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6" s="2"/>
      <c r="K1656" s="2"/>
      <c r="L1656" s="2"/>
      <c r="M1656" s="2" t="str">
        <f t="array" ref="M165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6" s="2">
        <f ca="1">INDEX(INDIRECT(_xlfn.CONCAT("weather.tbl[",N$1,"]")),MATCH(vp.data[[#This Row],[SDate]],weather.tbl[Date],0))</f>
        <v>12.950000000000001</v>
      </c>
      <c r="O1656" s="2">
        <f ca="1">INDEX(INDIRECT(_xlfn.CONCAT("weather.tbl[",O$1,"]")),MATCH(vp.data[[#This Row],[SDate]],weather.tbl[Date],0))</f>
        <v>16.728571428571431</v>
      </c>
      <c r="P1656" s="2">
        <f ca="1">INDEX(INDIRECT(_xlfn.CONCAT("weather.tbl[",P$1,"]")),MATCH(vp.data[[#This Row],[SDate]],weather.tbl[Date],0))</f>
        <v>13</v>
      </c>
      <c r="Q1656" s="2">
        <f ca="1">INDEX(INDIRECT(_xlfn.CONCAT("weather.tbl[",Q$1,"]")),MATCH(vp.data[[#This Row],[SDate]],weather.tbl[Date],0))</f>
        <v>12.3</v>
      </c>
      <c r="R1656" s="2">
        <f ca="1">INDEX(INDIRECT(_xlfn.CONCAT("weather.tbl[",R$1,"]")),MATCH(vp.data[[#This Row],[SDate]],weather.tbl[Date],0))</f>
        <v>13.3</v>
      </c>
      <c r="S1656" s="2">
        <f ca="1">INDEX(INDIRECT(_xlfn.CONCAT("weather.tbl[",S$1,"]")),MATCH(vp.data[[#This Row],[SDate]],weather.tbl[Date],0))</f>
        <v>12.6</v>
      </c>
      <c r="T1656" s="2">
        <f ca="1">INDEX(INDIRECT(_xlfn.CONCAT("weather.tbl[",T$1,"]")),MATCH(vp.data[[#This Row],[SDate]],weather.tbl[Date],0))</f>
        <v>14.7</v>
      </c>
      <c r="U1656" s="2">
        <f ca="1">INDEX(INDIRECT(_xlfn.CONCAT("weather.tbl[",U$1,"]")),MATCH(vp.data[[#This Row],[SDate]],weather.tbl[Date],0))</f>
        <v>11.8</v>
      </c>
      <c r="V1656" s="2" t="str">
        <f t="array" ref="V165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6" t="s">
        <v>48</v>
      </c>
      <c r="X1656">
        <f>IF(OR(vp.data[[#This Row],[Sulf]]="",vp.data[[#This Row],[Dens]]=""),1,0)</f>
        <v>1</v>
      </c>
      <c r="Y1656">
        <f>IF(vp.data[[#This Row],[CrudeType]]="C5+",1,0)</f>
        <v>0</v>
      </c>
      <c r="Z1656">
        <f>IF(AND(vp.data[[#This Row],[CrudeType]]="Crude",vp.data[[#This Row],[Dens]]&lt;=825,vp.data[[#This Row],[Sulf]]&gt;0.5,vp.data[[#This Row],[Unknown]]=0),1,0)</f>
        <v>0</v>
      </c>
      <c r="AA1656">
        <f>IF(AND(vp.data[[#This Row],[CrudeType]]="Crude",vp.data[[#This Row],[Dens]]&lt;=825,vp.data[[#This Row],[Sulf]]&lt;=0.5,vp.data[[#This Row],[Unknown]]=0),1,0)</f>
        <v>0</v>
      </c>
      <c r="AB165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6">
        <f>IF(AND(vp.data[[#This Row],[CrudeType]]="Crude",vp.data[[#This Row],[Dens]]&gt;825,vp.data[[#This Row],[Dens]]&lt;=900,vp.data[[#This Row],[Sulf]]&lt;=0.5,vp.data[[#This Row],[Unknown]]=0),1,0)</f>
        <v>0</v>
      </c>
      <c r="AD1656">
        <f>IF(AND(vp.data[[#This Row],[CrudeType]]="Crude",vp.data[[#This Row],[Dens]]&gt;865,vp.data[[#This Row],[Dens]]&lt;=900,vp.data[[#This Row],[Sulf]]&gt;2,vp.data[[#This Row],[Unknown]]=0),1,0)</f>
        <v>0</v>
      </c>
      <c r="AE1656">
        <f>IF(AND(vp.data[[#This Row],[CrudeType]]="Crude",vp.data[[#This Row],[Dens]]&gt;900,vp.data[[#This Row],[Sulf]]&lt;=0.5,vp.data[[#This Row],[Unknown]]=0),1,0)</f>
        <v>0</v>
      </c>
      <c r="AF1656">
        <f>IF(AND(vp.data[[#This Row],[CrudeType]]="Crude",vp.data[[#This Row],[Dens]]&gt;900,vp.data[[#This Row],[Sulf]]&lt;=0.5,vp.data[[#This Row],[Unknown]]=0),1,0)</f>
        <v>0</v>
      </c>
      <c r="AG1656" t="str">
        <f>INDEX(vp.data[[#Headers],[Unknown]:[Heavy_SW]],MATCH(1,vp.data[[#This Row],[Unknown]:[Heavy_SW]],0))</f>
        <v>Unknown</v>
      </c>
      <c r="AH1656">
        <f>INDEX([3]!crudeBD.lkup[Number],MATCH(vp.data[[#This Row],[Crude_Breakdown]],crudeBD.lkup[Crude Breakdown],0))</f>
        <v>-1</v>
      </c>
      <c r="AI1656">
        <f>MONTH(vp.data[[#This Row],[SDate]])</f>
        <v>6</v>
      </c>
      <c r="AJ1656" s="5">
        <f>(vp.data[[#This Row],[VP]]-INDEX(crudeBD.lkup[Mean_VP],MATCH(vp.data[[#This Row],[Crude_Breakdown]],crudeBD.lkup[Crude Breakdown],0)))^2</f>
        <v>0.71425652561451325</v>
      </c>
      <c r="AK1656" s="5" t="e">
        <f>(vp.data[[#This Row],[Dens]]-INDEX(crudeBD.lkup[Mean_Dens],MATCH(vp.data[[#This Row],[Crude_Breakdown]],crudeBD.lkup[Crude Breakdown],0)))^2</f>
        <v>#VALUE!</v>
      </c>
      <c r="AL1656" s="5" t="e">
        <f>(vp.data[[#This Row],[Sulf]]-INDEX(crudeBD.lkup[Mean_Sulf],MATCH(vp.data[[#This Row],[Crude_Breakdown]],crudeBD.lkup[Crude Breakdown],0)))^2</f>
        <v>#VALUE!</v>
      </c>
      <c r="AM1656" s="4">
        <f>IF(AND(vp.data[[#This Row],[SDate]]&gt;=DATE(YEAR(vp.data[[#This Row],[SDate]]),5,1),vp.data[[#This Row],[SDate]]&lt;=DATE(YEAR(vp.data[[#This Row],[SDate]]),9,15)),1,0)</f>
        <v>1</v>
      </c>
      <c r="AN1656" s="4">
        <f>IF(vp.data[[#This Row],[SDate]]&lt;DATE(2016,12,1),0,1)</f>
        <v>1</v>
      </c>
      <c r="AO1656" s="4" t="str">
        <f>IFERROR(vp.data[[#This Row],[Sulf]]*vp.data[[#This Row],[Net Dens]],"")</f>
        <v/>
      </c>
      <c r="AP1656" t="str">
        <f>IFERROR(vp.data[[#This Row],[Dens]]*vp.data[[#This Row],[VolumeM3]],"")</f>
        <v/>
      </c>
      <c r="AQ1656" s="15" t="str">
        <f>IFERROR(vp.data[[#This Row],[VP]]*vp.data[[#This Row],[VolumeM3]],"")</f>
        <v/>
      </c>
    </row>
    <row r="1657" spans="1:43" x14ac:dyDescent="0.25">
      <c r="A1657">
        <v>1656</v>
      </c>
      <c r="B1657" t="s">
        <v>49</v>
      </c>
      <c r="C1657" t="s">
        <v>49</v>
      </c>
      <c r="D1657" t="s">
        <v>50</v>
      </c>
      <c r="F1657" s="1">
        <v>42900</v>
      </c>
      <c r="G1657" s="2">
        <v>66.599999999999994</v>
      </c>
      <c r="H1657" s="2"/>
      <c r="I1657" s="2" t="str">
        <f t="array" ref="I165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7" s="2"/>
      <c r="K1657" s="2"/>
      <c r="L1657" s="2"/>
      <c r="M1657" s="2" t="str">
        <f t="array" ref="M165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7" s="2">
        <f ca="1">INDEX(INDIRECT(_xlfn.CONCAT("weather.tbl[",N$1,"]")),MATCH(vp.data[[#This Row],[SDate]],weather.tbl[Date],0))</f>
        <v>12.950000000000001</v>
      </c>
      <c r="O1657" s="2">
        <f ca="1">INDEX(INDIRECT(_xlfn.CONCAT("weather.tbl[",O$1,"]")),MATCH(vp.data[[#This Row],[SDate]],weather.tbl[Date],0))</f>
        <v>16.728571428571431</v>
      </c>
      <c r="P1657" s="2">
        <f ca="1">INDEX(INDIRECT(_xlfn.CONCAT("weather.tbl[",P$1,"]")),MATCH(vp.data[[#This Row],[SDate]],weather.tbl[Date],0))</f>
        <v>13</v>
      </c>
      <c r="Q1657" s="2">
        <f ca="1">INDEX(INDIRECT(_xlfn.CONCAT("weather.tbl[",Q$1,"]")),MATCH(vp.data[[#This Row],[SDate]],weather.tbl[Date],0))</f>
        <v>12.3</v>
      </c>
      <c r="R1657" s="2">
        <f ca="1">INDEX(INDIRECT(_xlfn.CONCAT("weather.tbl[",R$1,"]")),MATCH(vp.data[[#This Row],[SDate]],weather.tbl[Date],0))</f>
        <v>13.3</v>
      </c>
      <c r="S1657" s="2">
        <f ca="1">INDEX(INDIRECT(_xlfn.CONCAT("weather.tbl[",S$1,"]")),MATCH(vp.data[[#This Row],[SDate]],weather.tbl[Date],0))</f>
        <v>12.6</v>
      </c>
      <c r="T1657" s="2">
        <f ca="1">INDEX(INDIRECT(_xlfn.CONCAT("weather.tbl[",T$1,"]")),MATCH(vp.data[[#This Row],[SDate]],weather.tbl[Date],0))</f>
        <v>14.7</v>
      </c>
      <c r="U1657" s="2">
        <f ca="1">INDEX(INDIRECT(_xlfn.CONCAT("weather.tbl[",U$1,"]")),MATCH(vp.data[[#This Row],[SDate]],weather.tbl[Date],0))</f>
        <v>11.8</v>
      </c>
      <c r="V1657" s="2" t="str">
        <f t="array" ref="V165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7" t="s">
        <v>48</v>
      </c>
      <c r="X1657">
        <f>IF(OR(vp.data[[#This Row],[Sulf]]="",vp.data[[#This Row],[Dens]]=""),1,0)</f>
        <v>1</v>
      </c>
      <c r="Y1657">
        <f>IF(vp.data[[#This Row],[CrudeType]]="C5+",1,0)</f>
        <v>0</v>
      </c>
      <c r="Z1657">
        <f>IF(AND(vp.data[[#This Row],[CrudeType]]="Crude",vp.data[[#This Row],[Dens]]&lt;=825,vp.data[[#This Row],[Sulf]]&gt;0.5,vp.data[[#This Row],[Unknown]]=0),1,0)</f>
        <v>0</v>
      </c>
      <c r="AA1657">
        <f>IF(AND(vp.data[[#This Row],[CrudeType]]="Crude",vp.data[[#This Row],[Dens]]&lt;=825,vp.data[[#This Row],[Sulf]]&lt;=0.5,vp.data[[#This Row],[Unknown]]=0),1,0)</f>
        <v>0</v>
      </c>
      <c r="AB165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7">
        <f>IF(AND(vp.data[[#This Row],[CrudeType]]="Crude",vp.data[[#This Row],[Dens]]&gt;825,vp.data[[#This Row],[Dens]]&lt;=900,vp.data[[#This Row],[Sulf]]&lt;=0.5,vp.data[[#This Row],[Unknown]]=0),1,0)</f>
        <v>0</v>
      </c>
      <c r="AD1657">
        <f>IF(AND(vp.data[[#This Row],[CrudeType]]="Crude",vp.data[[#This Row],[Dens]]&gt;865,vp.data[[#This Row],[Dens]]&lt;=900,vp.data[[#This Row],[Sulf]]&gt;2,vp.data[[#This Row],[Unknown]]=0),1,0)</f>
        <v>0</v>
      </c>
      <c r="AE1657">
        <f>IF(AND(vp.data[[#This Row],[CrudeType]]="Crude",vp.data[[#This Row],[Dens]]&gt;900,vp.data[[#This Row],[Sulf]]&lt;=0.5,vp.data[[#This Row],[Unknown]]=0),1,0)</f>
        <v>0</v>
      </c>
      <c r="AF1657">
        <f>IF(AND(vp.data[[#This Row],[CrudeType]]="Crude",vp.data[[#This Row],[Dens]]&gt;900,vp.data[[#This Row],[Sulf]]&lt;=0.5,vp.data[[#This Row],[Unknown]]=0),1,0)</f>
        <v>0</v>
      </c>
      <c r="AG1657" t="str">
        <f>INDEX(vp.data[[#Headers],[Unknown]:[Heavy_SW]],MATCH(1,vp.data[[#This Row],[Unknown]:[Heavy_SW]],0))</f>
        <v>Unknown</v>
      </c>
      <c r="AH1657">
        <f>INDEX([3]!crudeBD.lkup[Number],MATCH(vp.data[[#This Row],[Crude_Breakdown]],crudeBD.lkup[Crude Breakdown],0))</f>
        <v>-1</v>
      </c>
      <c r="AI1657">
        <f>MONTH(vp.data[[#This Row],[SDate]])</f>
        <v>6</v>
      </c>
      <c r="AJ1657" s="5">
        <f>(vp.data[[#This Row],[VP]]-INDEX(crudeBD.lkup[Mean_VP],MATCH(vp.data[[#This Row],[Crude_Breakdown]],crudeBD.lkup[Crude Breakdown],0)))^2</f>
        <v>52.492009950271765</v>
      </c>
      <c r="AK1657" s="5" t="e">
        <f>(vp.data[[#This Row],[Dens]]-INDEX(crudeBD.lkup[Mean_Dens],MATCH(vp.data[[#This Row],[Crude_Breakdown]],crudeBD.lkup[Crude Breakdown],0)))^2</f>
        <v>#VALUE!</v>
      </c>
      <c r="AL1657" s="5" t="e">
        <f>(vp.data[[#This Row],[Sulf]]-INDEX(crudeBD.lkup[Mean_Sulf],MATCH(vp.data[[#This Row],[Crude_Breakdown]],crudeBD.lkup[Crude Breakdown],0)))^2</f>
        <v>#VALUE!</v>
      </c>
      <c r="AM1657" s="4">
        <f>IF(AND(vp.data[[#This Row],[SDate]]&gt;=DATE(YEAR(vp.data[[#This Row],[SDate]]),5,1),vp.data[[#This Row],[SDate]]&lt;=DATE(YEAR(vp.data[[#This Row],[SDate]]),9,15)),1,0)</f>
        <v>1</v>
      </c>
      <c r="AN1657" s="4">
        <f>IF(vp.data[[#This Row],[SDate]]&lt;DATE(2016,12,1),0,1)</f>
        <v>1</v>
      </c>
      <c r="AO1657" s="4" t="str">
        <f>IFERROR(vp.data[[#This Row],[Sulf]]*vp.data[[#This Row],[Net Dens]],"")</f>
        <v/>
      </c>
      <c r="AP1657" t="str">
        <f>IFERROR(vp.data[[#This Row],[Dens]]*vp.data[[#This Row],[VolumeM3]],"")</f>
        <v/>
      </c>
      <c r="AQ1657" s="15" t="str">
        <f>IFERROR(vp.data[[#This Row],[VP]]*vp.data[[#This Row],[VolumeM3]],"")</f>
        <v/>
      </c>
    </row>
    <row r="1658" spans="1:43" x14ac:dyDescent="0.25">
      <c r="A1658">
        <v>1657</v>
      </c>
      <c r="B1658" t="s">
        <v>46</v>
      </c>
      <c r="C1658" t="s">
        <v>46</v>
      </c>
      <c r="D1658" t="s">
        <v>47</v>
      </c>
      <c r="F1658" s="1">
        <v>42900</v>
      </c>
      <c r="G1658" s="2">
        <v>55.2</v>
      </c>
      <c r="H1658" s="2"/>
      <c r="I1658" s="2" t="str">
        <f t="array" ref="I165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8" s="2"/>
      <c r="K1658" s="2"/>
      <c r="L1658" s="2"/>
      <c r="M1658" s="2" t="str">
        <f t="array" ref="M165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8" s="2">
        <f ca="1">INDEX(INDIRECT(_xlfn.CONCAT("weather.tbl[",N$1,"]")),MATCH(vp.data[[#This Row],[SDate]],weather.tbl[Date],0))</f>
        <v>12.950000000000001</v>
      </c>
      <c r="O1658" s="2">
        <f ca="1">INDEX(INDIRECT(_xlfn.CONCAT("weather.tbl[",O$1,"]")),MATCH(vp.data[[#This Row],[SDate]],weather.tbl[Date],0))</f>
        <v>16.728571428571431</v>
      </c>
      <c r="P1658" s="2">
        <f ca="1">INDEX(INDIRECT(_xlfn.CONCAT("weather.tbl[",P$1,"]")),MATCH(vp.data[[#This Row],[SDate]],weather.tbl[Date],0))</f>
        <v>13</v>
      </c>
      <c r="Q1658" s="2">
        <f ca="1">INDEX(INDIRECT(_xlfn.CONCAT("weather.tbl[",Q$1,"]")),MATCH(vp.data[[#This Row],[SDate]],weather.tbl[Date],0))</f>
        <v>12.3</v>
      </c>
      <c r="R1658" s="2">
        <f ca="1">INDEX(INDIRECT(_xlfn.CONCAT("weather.tbl[",R$1,"]")),MATCH(vp.data[[#This Row],[SDate]],weather.tbl[Date],0))</f>
        <v>13.3</v>
      </c>
      <c r="S1658" s="2">
        <f ca="1">INDEX(INDIRECT(_xlfn.CONCAT("weather.tbl[",S$1,"]")),MATCH(vp.data[[#This Row],[SDate]],weather.tbl[Date],0))</f>
        <v>12.6</v>
      </c>
      <c r="T1658" s="2">
        <f ca="1">INDEX(INDIRECT(_xlfn.CONCAT("weather.tbl[",T$1,"]")),MATCH(vp.data[[#This Row],[SDate]],weather.tbl[Date],0))</f>
        <v>14.7</v>
      </c>
      <c r="U1658" s="2">
        <f ca="1">INDEX(INDIRECT(_xlfn.CONCAT("weather.tbl[",U$1,"]")),MATCH(vp.data[[#This Row],[SDate]],weather.tbl[Date],0))</f>
        <v>11.8</v>
      </c>
      <c r="V1658" s="2" t="str">
        <f t="array" ref="V165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8" t="s">
        <v>48</v>
      </c>
      <c r="X1658">
        <f>IF(OR(vp.data[[#This Row],[Sulf]]="",vp.data[[#This Row],[Dens]]=""),1,0)</f>
        <v>1</v>
      </c>
      <c r="Y1658">
        <f>IF(vp.data[[#This Row],[CrudeType]]="C5+",1,0)</f>
        <v>0</v>
      </c>
      <c r="Z1658">
        <f>IF(AND(vp.data[[#This Row],[CrudeType]]="Crude",vp.data[[#This Row],[Dens]]&lt;=825,vp.data[[#This Row],[Sulf]]&gt;0.5,vp.data[[#This Row],[Unknown]]=0),1,0)</f>
        <v>0</v>
      </c>
      <c r="AA1658">
        <f>IF(AND(vp.data[[#This Row],[CrudeType]]="Crude",vp.data[[#This Row],[Dens]]&lt;=825,vp.data[[#This Row],[Sulf]]&lt;=0.5,vp.data[[#This Row],[Unknown]]=0),1,0)</f>
        <v>0</v>
      </c>
      <c r="AB165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8">
        <f>IF(AND(vp.data[[#This Row],[CrudeType]]="Crude",vp.data[[#This Row],[Dens]]&gt;825,vp.data[[#This Row],[Dens]]&lt;=900,vp.data[[#This Row],[Sulf]]&lt;=0.5,vp.data[[#This Row],[Unknown]]=0),1,0)</f>
        <v>0</v>
      </c>
      <c r="AD1658">
        <f>IF(AND(vp.data[[#This Row],[CrudeType]]="Crude",vp.data[[#This Row],[Dens]]&gt;865,vp.data[[#This Row],[Dens]]&lt;=900,vp.data[[#This Row],[Sulf]]&gt;2,vp.data[[#This Row],[Unknown]]=0),1,0)</f>
        <v>0</v>
      </c>
      <c r="AE1658">
        <f>IF(AND(vp.data[[#This Row],[CrudeType]]="Crude",vp.data[[#This Row],[Dens]]&gt;900,vp.data[[#This Row],[Sulf]]&lt;=0.5,vp.data[[#This Row],[Unknown]]=0),1,0)</f>
        <v>0</v>
      </c>
      <c r="AF1658">
        <f>IF(AND(vp.data[[#This Row],[CrudeType]]="Crude",vp.data[[#This Row],[Dens]]&gt;900,vp.data[[#This Row],[Sulf]]&lt;=0.5,vp.data[[#This Row],[Unknown]]=0),1,0)</f>
        <v>0</v>
      </c>
      <c r="AG1658" t="str">
        <f>INDEX(vp.data[[#Headers],[Unknown]:[Heavy_SW]],MATCH(1,vp.data[[#This Row],[Unknown]:[Heavy_SW]],0))</f>
        <v>Unknown</v>
      </c>
      <c r="AH1658">
        <f>INDEX([3]!crudeBD.lkup[Number],MATCH(vp.data[[#This Row],[Crude_Breakdown]],crudeBD.lkup[Crude Breakdown],0))</f>
        <v>-1</v>
      </c>
      <c r="AI1658">
        <f>MONTH(vp.data[[#This Row],[SDate]])</f>
        <v>6</v>
      </c>
      <c r="AJ1658" s="5">
        <f>(vp.data[[#This Row],[VP]]-INDEX(crudeBD.lkup[Mean_VP],MATCH(vp.data[[#This Row],[Crude_Breakdown]],crudeBD.lkup[Crude Breakdown],0)))^2</f>
        <v>347.64113323794214</v>
      </c>
      <c r="AK1658" s="5" t="e">
        <f>(vp.data[[#This Row],[Dens]]-INDEX(crudeBD.lkup[Mean_Dens],MATCH(vp.data[[#This Row],[Crude_Breakdown]],crudeBD.lkup[Crude Breakdown],0)))^2</f>
        <v>#VALUE!</v>
      </c>
      <c r="AL1658" s="5" t="e">
        <f>(vp.data[[#This Row],[Sulf]]-INDEX(crudeBD.lkup[Mean_Sulf],MATCH(vp.data[[#This Row],[Crude_Breakdown]],crudeBD.lkup[Crude Breakdown],0)))^2</f>
        <v>#VALUE!</v>
      </c>
      <c r="AM1658" s="4">
        <f>IF(AND(vp.data[[#This Row],[SDate]]&gt;=DATE(YEAR(vp.data[[#This Row],[SDate]]),5,1),vp.data[[#This Row],[SDate]]&lt;=DATE(YEAR(vp.data[[#This Row],[SDate]]),9,15)),1,0)</f>
        <v>1</v>
      </c>
      <c r="AN1658" s="4">
        <f>IF(vp.data[[#This Row],[SDate]]&lt;DATE(2016,12,1),0,1)</f>
        <v>1</v>
      </c>
      <c r="AO1658" s="4" t="str">
        <f>IFERROR(vp.data[[#This Row],[Sulf]]*vp.data[[#This Row],[Net Dens]],"")</f>
        <v/>
      </c>
      <c r="AP1658" t="str">
        <f>IFERROR(vp.data[[#This Row],[Dens]]*vp.data[[#This Row],[VolumeM3]],"")</f>
        <v/>
      </c>
      <c r="AQ1658" s="15" t="str">
        <f>IFERROR(vp.data[[#This Row],[VP]]*vp.data[[#This Row],[VolumeM3]],"")</f>
        <v/>
      </c>
    </row>
    <row r="1659" spans="1:43" x14ac:dyDescent="0.25">
      <c r="A1659">
        <v>1658</v>
      </c>
      <c r="B1659" t="s">
        <v>51</v>
      </c>
      <c r="C1659" t="s">
        <v>51</v>
      </c>
      <c r="D1659" t="s">
        <v>52</v>
      </c>
      <c r="F1659" s="1">
        <v>42900</v>
      </c>
      <c r="G1659" s="2">
        <v>70.599999999999994</v>
      </c>
      <c r="H1659" s="2"/>
      <c r="I1659" s="2" t="str">
        <f t="array" ref="I165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59" s="2"/>
      <c r="K1659" s="2"/>
      <c r="L1659" s="2"/>
      <c r="M1659" s="2" t="str">
        <f t="array" ref="M165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59" s="2">
        <f ca="1">INDEX(INDIRECT(_xlfn.CONCAT("weather.tbl[",N$1,"]")),MATCH(vp.data[[#This Row],[SDate]],weather.tbl[Date],0))</f>
        <v>12.950000000000001</v>
      </c>
      <c r="O1659" s="2">
        <f ca="1">INDEX(INDIRECT(_xlfn.CONCAT("weather.tbl[",O$1,"]")),MATCH(vp.data[[#This Row],[SDate]],weather.tbl[Date],0))</f>
        <v>16.728571428571431</v>
      </c>
      <c r="P1659" s="2">
        <f ca="1">INDEX(INDIRECT(_xlfn.CONCAT("weather.tbl[",P$1,"]")),MATCH(vp.data[[#This Row],[SDate]],weather.tbl[Date],0))</f>
        <v>13</v>
      </c>
      <c r="Q1659" s="2">
        <f ca="1">INDEX(INDIRECT(_xlfn.CONCAT("weather.tbl[",Q$1,"]")),MATCH(vp.data[[#This Row],[SDate]],weather.tbl[Date],0))</f>
        <v>12.3</v>
      </c>
      <c r="R1659" s="2">
        <f ca="1">INDEX(INDIRECT(_xlfn.CONCAT("weather.tbl[",R$1,"]")),MATCH(vp.data[[#This Row],[SDate]],weather.tbl[Date],0))</f>
        <v>13.3</v>
      </c>
      <c r="S1659" s="2">
        <f ca="1">INDEX(INDIRECT(_xlfn.CONCAT("weather.tbl[",S$1,"]")),MATCH(vp.data[[#This Row],[SDate]],weather.tbl[Date],0))</f>
        <v>12.6</v>
      </c>
      <c r="T1659" s="2">
        <f ca="1">INDEX(INDIRECT(_xlfn.CONCAT("weather.tbl[",T$1,"]")),MATCH(vp.data[[#This Row],[SDate]],weather.tbl[Date],0))</f>
        <v>14.7</v>
      </c>
      <c r="U1659" s="2">
        <f ca="1">INDEX(INDIRECT(_xlfn.CONCAT("weather.tbl[",U$1,"]")),MATCH(vp.data[[#This Row],[SDate]],weather.tbl[Date],0))</f>
        <v>11.8</v>
      </c>
      <c r="V1659" s="2" t="str">
        <f t="array" ref="V165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59" t="s">
        <v>48</v>
      </c>
      <c r="X1659">
        <f>IF(OR(vp.data[[#This Row],[Sulf]]="",vp.data[[#This Row],[Dens]]=""),1,0)</f>
        <v>1</v>
      </c>
      <c r="Y1659">
        <f>IF(vp.data[[#This Row],[CrudeType]]="C5+",1,0)</f>
        <v>0</v>
      </c>
      <c r="Z1659">
        <f>IF(AND(vp.data[[#This Row],[CrudeType]]="Crude",vp.data[[#This Row],[Dens]]&lt;=825,vp.data[[#This Row],[Sulf]]&gt;0.5,vp.data[[#This Row],[Unknown]]=0),1,0)</f>
        <v>0</v>
      </c>
      <c r="AA1659">
        <f>IF(AND(vp.data[[#This Row],[CrudeType]]="Crude",vp.data[[#This Row],[Dens]]&lt;=825,vp.data[[#This Row],[Sulf]]&lt;=0.5,vp.data[[#This Row],[Unknown]]=0),1,0)</f>
        <v>0</v>
      </c>
      <c r="AB165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59">
        <f>IF(AND(vp.data[[#This Row],[CrudeType]]="Crude",vp.data[[#This Row],[Dens]]&gt;825,vp.data[[#This Row],[Dens]]&lt;=900,vp.data[[#This Row],[Sulf]]&lt;=0.5,vp.data[[#This Row],[Unknown]]=0),1,0)</f>
        <v>0</v>
      </c>
      <c r="AD1659">
        <f>IF(AND(vp.data[[#This Row],[CrudeType]]="Crude",vp.data[[#This Row],[Dens]]&gt;865,vp.data[[#This Row],[Dens]]&lt;=900,vp.data[[#This Row],[Sulf]]&gt;2,vp.data[[#This Row],[Unknown]]=0),1,0)</f>
        <v>0</v>
      </c>
      <c r="AE1659">
        <f>IF(AND(vp.data[[#This Row],[CrudeType]]="Crude",vp.data[[#This Row],[Dens]]&gt;900,vp.data[[#This Row],[Sulf]]&lt;=0.5,vp.data[[#This Row],[Unknown]]=0),1,0)</f>
        <v>0</v>
      </c>
      <c r="AF1659">
        <f>IF(AND(vp.data[[#This Row],[CrudeType]]="Crude",vp.data[[#This Row],[Dens]]&gt;900,vp.data[[#This Row],[Sulf]]&lt;=0.5,vp.data[[#This Row],[Unknown]]=0),1,0)</f>
        <v>0</v>
      </c>
      <c r="AG1659" t="str">
        <f>INDEX(vp.data[[#Headers],[Unknown]:[Heavy_SW]],MATCH(1,vp.data[[#This Row],[Unknown]:[Heavy_SW]],0))</f>
        <v>Unknown</v>
      </c>
      <c r="AH1659">
        <f>INDEX([3]!crudeBD.lkup[Number],MATCH(vp.data[[#This Row],[Crude_Breakdown]],crudeBD.lkup[Crude Breakdown],0))</f>
        <v>-1</v>
      </c>
      <c r="AI1659">
        <f>MONTH(vp.data[[#This Row],[SDate]])</f>
        <v>6</v>
      </c>
      <c r="AJ1659" s="5">
        <f>(vp.data[[#This Row],[VP]]-INDEX(crudeBD.lkup[Mean_VP],MATCH(vp.data[[#This Row],[Crude_Breakdown]],crudeBD.lkup[Crude Breakdown],0)))^2</f>
        <v>10.530914059860988</v>
      </c>
      <c r="AK1659" s="5" t="e">
        <f>(vp.data[[#This Row],[Dens]]-INDEX(crudeBD.lkup[Mean_Dens],MATCH(vp.data[[#This Row],[Crude_Breakdown]],crudeBD.lkup[Crude Breakdown],0)))^2</f>
        <v>#VALUE!</v>
      </c>
      <c r="AL1659" s="5" t="e">
        <f>(vp.data[[#This Row],[Sulf]]-INDEX(crudeBD.lkup[Mean_Sulf],MATCH(vp.data[[#This Row],[Crude_Breakdown]],crudeBD.lkup[Crude Breakdown],0)))^2</f>
        <v>#VALUE!</v>
      </c>
      <c r="AM1659" s="4">
        <f>IF(AND(vp.data[[#This Row],[SDate]]&gt;=DATE(YEAR(vp.data[[#This Row],[SDate]]),5,1),vp.data[[#This Row],[SDate]]&lt;=DATE(YEAR(vp.data[[#This Row],[SDate]]),9,15)),1,0)</f>
        <v>1</v>
      </c>
      <c r="AN1659" s="4">
        <f>IF(vp.data[[#This Row],[SDate]]&lt;DATE(2016,12,1),0,1)</f>
        <v>1</v>
      </c>
      <c r="AO1659" s="4" t="str">
        <f>IFERROR(vp.data[[#This Row],[Sulf]]*vp.data[[#This Row],[Net Dens]],"")</f>
        <v/>
      </c>
      <c r="AP1659" t="str">
        <f>IFERROR(vp.data[[#This Row],[Dens]]*vp.data[[#This Row],[VolumeM3]],"")</f>
        <v/>
      </c>
      <c r="AQ1659" s="15" t="str">
        <f>IFERROR(vp.data[[#This Row],[VP]]*vp.data[[#This Row],[VolumeM3]],"")</f>
        <v/>
      </c>
    </row>
    <row r="1660" spans="1:43" x14ac:dyDescent="0.25">
      <c r="A1660">
        <v>1659</v>
      </c>
      <c r="B1660" t="s">
        <v>51</v>
      </c>
      <c r="C1660" t="s">
        <v>51</v>
      </c>
      <c r="D1660" t="s">
        <v>58</v>
      </c>
      <c r="F1660" s="1">
        <v>42900</v>
      </c>
      <c r="G1660" s="2">
        <v>85.6</v>
      </c>
      <c r="H1660" s="2"/>
      <c r="I1660" s="2" t="str">
        <f t="array" ref="I166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0" s="2"/>
      <c r="K1660" s="2"/>
      <c r="L1660" s="2"/>
      <c r="M1660" s="2" t="str">
        <f t="array" ref="M166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0" s="2">
        <f ca="1">INDEX(INDIRECT(_xlfn.CONCAT("weather.tbl[",N$1,"]")),MATCH(vp.data[[#This Row],[SDate]],weather.tbl[Date],0))</f>
        <v>12.950000000000001</v>
      </c>
      <c r="O1660" s="2">
        <f ca="1">INDEX(INDIRECT(_xlfn.CONCAT("weather.tbl[",O$1,"]")),MATCH(vp.data[[#This Row],[SDate]],weather.tbl[Date],0))</f>
        <v>16.728571428571431</v>
      </c>
      <c r="P1660" s="2">
        <f ca="1">INDEX(INDIRECT(_xlfn.CONCAT("weather.tbl[",P$1,"]")),MATCH(vp.data[[#This Row],[SDate]],weather.tbl[Date],0))</f>
        <v>13</v>
      </c>
      <c r="Q1660" s="2">
        <f ca="1">INDEX(INDIRECT(_xlfn.CONCAT("weather.tbl[",Q$1,"]")),MATCH(vp.data[[#This Row],[SDate]],weather.tbl[Date],0))</f>
        <v>12.3</v>
      </c>
      <c r="R1660" s="2">
        <f ca="1">INDEX(INDIRECT(_xlfn.CONCAT("weather.tbl[",R$1,"]")),MATCH(vp.data[[#This Row],[SDate]],weather.tbl[Date],0))</f>
        <v>13.3</v>
      </c>
      <c r="S1660" s="2">
        <f ca="1">INDEX(INDIRECT(_xlfn.CONCAT("weather.tbl[",S$1,"]")),MATCH(vp.data[[#This Row],[SDate]],weather.tbl[Date],0))</f>
        <v>12.6</v>
      </c>
      <c r="T1660" s="2">
        <f ca="1">INDEX(INDIRECT(_xlfn.CONCAT("weather.tbl[",T$1,"]")),MATCH(vp.data[[#This Row],[SDate]],weather.tbl[Date],0))</f>
        <v>14.7</v>
      </c>
      <c r="U1660" s="2">
        <f ca="1">INDEX(INDIRECT(_xlfn.CONCAT("weather.tbl[",U$1,"]")),MATCH(vp.data[[#This Row],[SDate]],weather.tbl[Date],0))</f>
        <v>11.8</v>
      </c>
      <c r="V1660" s="2" t="str">
        <f t="array" ref="V166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0" t="s">
        <v>48</v>
      </c>
      <c r="X1660">
        <f>IF(OR(vp.data[[#This Row],[Sulf]]="",vp.data[[#This Row],[Dens]]=""),1,0)</f>
        <v>1</v>
      </c>
      <c r="Y1660">
        <f>IF(vp.data[[#This Row],[CrudeType]]="C5+",1,0)</f>
        <v>0</v>
      </c>
      <c r="Z1660">
        <f>IF(AND(vp.data[[#This Row],[CrudeType]]="Crude",vp.data[[#This Row],[Dens]]&lt;=825,vp.data[[#This Row],[Sulf]]&gt;0.5,vp.data[[#This Row],[Unknown]]=0),1,0)</f>
        <v>0</v>
      </c>
      <c r="AA1660">
        <f>IF(AND(vp.data[[#This Row],[CrudeType]]="Crude",vp.data[[#This Row],[Dens]]&lt;=825,vp.data[[#This Row],[Sulf]]&lt;=0.5,vp.data[[#This Row],[Unknown]]=0),1,0)</f>
        <v>0</v>
      </c>
      <c r="AB166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0">
        <f>IF(AND(vp.data[[#This Row],[CrudeType]]="Crude",vp.data[[#This Row],[Dens]]&gt;825,vp.data[[#This Row],[Dens]]&lt;=900,vp.data[[#This Row],[Sulf]]&lt;=0.5,vp.data[[#This Row],[Unknown]]=0),1,0)</f>
        <v>0</v>
      </c>
      <c r="AD1660">
        <f>IF(AND(vp.data[[#This Row],[CrudeType]]="Crude",vp.data[[#This Row],[Dens]]&gt;865,vp.data[[#This Row],[Dens]]&lt;=900,vp.data[[#This Row],[Sulf]]&gt;2,vp.data[[#This Row],[Unknown]]=0),1,0)</f>
        <v>0</v>
      </c>
      <c r="AE1660">
        <f>IF(AND(vp.data[[#This Row],[CrudeType]]="Crude",vp.data[[#This Row],[Dens]]&gt;900,vp.data[[#This Row],[Sulf]]&lt;=0.5,vp.data[[#This Row],[Unknown]]=0),1,0)</f>
        <v>0</v>
      </c>
      <c r="AF1660">
        <f>IF(AND(vp.data[[#This Row],[CrudeType]]="Crude",vp.data[[#This Row],[Dens]]&gt;900,vp.data[[#This Row],[Sulf]]&lt;=0.5,vp.data[[#This Row],[Unknown]]=0),1,0)</f>
        <v>0</v>
      </c>
      <c r="AG1660" t="str">
        <f>INDEX(vp.data[[#Headers],[Unknown]:[Heavy_SW]],MATCH(1,vp.data[[#This Row],[Unknown]:[Heavy_SW]],0))</f>
        <v>Unknown</v>
      </c>
      <c r="AH1660">
        <f>INDEX([3]!crudeBD.lkup[Number],MATCH(vp.data[[#This Row],[Crude_Breakdown]],crudeBD.lkup[Crude Breakdown],0))</f>
        <v>-1</v>
      </c>
      <c r="AI1660">
        <f>MONTH(vp.data[[#This Row],[SDate]])</f>
        <v>6</v>
      </c>
      <c r="AJ1660" s="5">
        <f>(vp.data[[#This Row],[VP]]-INDEX(crudeBD.lkup[Mean_VP],MATCH(vp.data[[#This Row],[Crude_Breakdown]],crudeBD.lkup[Crude Breakdown],0)))^2</f>
        <v>138.17680447082057</v>
      </c>
      <c r="AK1660" s="5" t="e">
        <f>(vp.data[[#This Row],[Dens]]-INDEX(crudeBD.lkup[Mean_Dens],MATCH(vp.data[[#This Row],[Crude_Breakdown]],crudeBD.lkup[Crude Breakdown],0)))^2</f>
        <v>#VALUE!</v>
      </c>
      <c r="AL1660" s="5" t="e">
        <f>(vp.data[[#This Row],[Sulf]]-INDEX(crudeBD.lkup[Mean_Sulf],MATCH(vp.data[[#This Row],[Crude_Breakdown]],crudeBD.lkup[Crude Breakdown],0)))^2</f>
        <v>#VALUE!</v>
      </c>
      <c r="AM1660" s="4">
        <f>IF(AND(vp.data[[#This Row],[SDate]]&gt;=DATE(YEAR(vp.data[[#This Row],[SDate]]),5,1),vp.data[[#This Row],[SDate]]&lt;=DATE(YEAR(vp.data[[#This Row],[SDate]]),9,15)),1,0)</f>
        <v>1</v>
      </c>
      <c r="AN1660" s="4">
        <f>IF(vp.data[[#This Row],[SDate]]&lt;DATE(2016,12,1),0,1)</f>
        <v>1</v>
      </c>
      <c r="AO1660" s="4" t="str">
        <f>IFERROR(vp.data[[#This Row],[Sulf]]*vp.data[[#This Row],[Net Dens]],"")</f>
        <v/>
      </c>
      <c r="AP1660" t="str">
        <f>IFERROR(vp.data[[#This Row],[Dens]]*vp.data[[#This Row],[VolumeM3]],"")</f>
        <v/>
      </c>
      <c r="AQ1660" s="15" t="str">
        <f>IFERROR(vp.data[[#This Row],[VP]]*vp.data[[#This Row],[VolumeM3]],"")</f>
        <v/>
      </c>
    </row>
    <row r="1661" spans="1:43" x14ac:dyDescent="0.25">
      <c r="A1661">
        <v>1660</v>
      </c>
      <c r="B1661" t="s">
        <v>111</v>
      </c>
      <c r="C1661" t="s">
        <v>111</v>
      </c>
      <c r="D1661" t="s">
        <v>112</v>
      </c>
      <c r="F1661" s="1">
        <v>42900</v>
      </c>
      <c r="G1661" s="2">
        <v>76.8</v>
      </c>
      <c r="H1661" s="2"/>
      <c r="I1661" s="2" t="str">
        <f t="array" ref="I166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1" s="2"/>
      <c r="K1661" s="2"/>
      <c r="L1661" s="2"/>
      <c r="M1661" s="2" t="str">
        <f t="array" ref="M166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1" s="2">
        <f ca="1">INDEX(INDIRECT(_xlfn.CONCAT("weather.tbl[",N$1,"]")),MATCH(vp.data[[#This Row],[SDate]],weather.tbl[Date],0))</f>
        <v>12.950000000000001</v>
      </c>
      <c r="O1661" s="2">
        <f ca="1">INDEX(INDIRECT(_xlfn.CONCAT("weather.tbl[",O$1,"]")),MATCH(vp.data[[#This Row],[SDate]],weather.tbl[Date],0))</f>
        <v>16.728571428571431</v>
      </c>
      <c r="P1661" s="2">
        <f ca="1">INDEX(INDIRECT(_xlfn.CONCAT("weather.tbl[",P$1,"]")),MATCH(vp.data[[#This Row],[SDate]],weather.tbl[Date],0))</f>
        <v>13</v>
      </c>
      <c r="Q1661" s="2">
        <f ca="1">INDEX(INDIRECT(_xlfn.CONCAT("weather.tbl[",Q$1,"]")),MATCH(vp.data[[#This Row],[SDate]],weather.tbl[Date],0))</f>
        <v>12.3</v>
      </c>
      <c r="R1661" s="2">
        <f ca="1">INDEX(INDIRECT(_xlfn.CONCAT("weather.tbl[",R$1,"]")),MATCH(vp.data[[#This Row],[SDate]],weather.tbl[Date],0))</f>
        <v>13.3</v>
      </c>
      <c r="S1661" s="2">
        <f ca="1">INDEX(INDIRECT(_xlfn.CONCAT("weather.tbl[",S$1,"]")),MATCH(vp.data[[#This Row],[SDate]],weather.tbl[Date],0))</f>
        <v>12.6</v>
      </c>
      <c r="T1661" s="2">
        <f ca="1">INDEX(INDIRECT(_xlfn.CONCAT("weather.tbl[",T$1,"]")),MATCH(vp.data[[#This Row],[SDate]],weather.tbl[Date],0))</f>
        <v>14.7</v>
      </c>
      <c r="U1661" s="2">
        <f ca="1">INDEX(INDIRECT(_xlfn.CONCAT("weather.tbl[",U$1,"]")),MATCH(vp.data[[#This Row],[SDate]],weather.tbl[Date],0))</f>
        <v>11.8</v>
      </c>
      <c r="V1661" s="2" t="str">
        <f t="array" ref="V166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1" t="s">
        <v>48</v>
      </c>
      <c r="X1661">
        <f>IF(OR(vp.data[[#This Row],[Sulf]]="",vp.data[[#This Row],[Dens]]=""),1,0)</f>
        <v>1</v>
      </c>
      <c r="Y1661">
        <f>IF(vp.data[[#This Row],[CrudeType]]="C5+",1,0)</f>
        <v>0</v>
      </c>
      <c r="Z1661">
        <f>IF(AND(vp.data[[#This Row],[CrudeType]]="Crude",vp.data[[#This Row],[Dens]]&lt;=825,vp.data[[#This Row],[Sulf]]&gt;0.5,vp.data[[#This Row],[Unknown]]=0),1,0)</f>
        <v>0</v>
      </c>
      <c r="AA1661">
        <f>IF(AND(vp.data[[#This Row],[CrudeType]]="Crude",vp.data[[#This Row],[Dens]]&lt;=825,vp.data[[#This Row],[Sulf]]&lt;=0.5,vp.data[[#This Row],[Unknown]]=0),1,0)</f>
        <v>0</v>
      </c>
      <c r="AB166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1">
        <f>IF(AND(vp.data[[#This Row],[CrudeType]]="Crude",vp.data[[#This Row],[Dens]]&gt;825,vp.data[[#This Row],[Dens]]&lt;=900,vp.data[[#This Row],[Sulf]]&lt;=0.5,vp.data[[#This Row],[Unknown]]=0),1,0)</f>
        <v>0</v>
      </c>
      <c r="AD1661">
        <f>IF(AND(vp.data[[#This Row],[CrudeType]]="Crude",vp.data[[#This Row],[Dens]]&gt;865,vp.data[[#This Row],[Dens]]&lt;=900,vp.data[[#This Row],[Sulf]]&gt;2,vp.data[[#This Row],[Unknown]]=0),1,0)</f>
        <v>0</v>
      </c>
      <c r="AE1661">
        <f>IF(AND(vp.data[[#This Row],[CrudeType]]="Crude",vp.data[[#This Row],[Dens]]&gt;900,vp.data[[#This Row],[Sulf]]&lt;=0.5,vp.data[[#This Row],[Unknown]]=0),1,0)</f>
        <v>0</v>
      </c>
      <c r="AF1661">
        <f>IF(AND(vp.data[[#This Row],[CrudeType]]="Crude",vp.data[[#This Row],[Dens]]&gt;900,vp.data[[#This Row],[Sulf]]&lt;=0.5,vp.data[[#This Row],[Unknown]]=0),1,0)</f>
        <v>0</v>
      </c>
      <c r="AG1661" t="str">
        <f>INDEX(vp.data[[#Headers],[Unknown]:[Heavy_SW]],MATCH(1,vp.data[[#This Row],[Unknown]:[Heavy_SW]],0))</f>
        <v>Unknown</v>
      </c>
      <c r="AH1661">
        <f>INDEX([3]!crudeBD.lkup[Number],MATCH(vp.data[[#This Row],[Crude_Breakdown]],crudeBD.lkup[Crude Breakdown],0))</f>
        <v>-1</v>
      </c>
      <c r="AI1661">
        <f>MONTH(vp.data[[#This Row],[SDate]])</f>
        <v>6</v>
      </c>
      <c r="AJ1661" s="5">
        <f>(vp.data[[#This Row],[VP]]-INDEX(crudeBD.lkup[Mean_VP],MATCH(vp.data[[#This Row],[Crude_Breakdown]],crudeBD.lkup[Crude Breakdown],0)))^2</f>
        <v>8.731215429724303</v>
      </c>
      <c r="AK1661" s="5" t="e">
        <f>(vp.data[[#This Row],[Dens]]-INDEX(crudeBD.lkup[Mean_Dens],MATCH(vp.data[[#This Row],[Crude_Breakdown]],crudeBD.lkup[Crude Breakdown],0)))^2</f>
        <v>#VALUE!</v>
      </c>
      <c r="AL1661" s="5" t="e">
        <f>(vp.data[[#This Row],[Sulf]]-INDEX(crudeBD.lkup[Mean_Sulf],MATCH(vp.data[[#This Row],[Crude_Breakdown]],crudeBD.lkup[Crude Breakdown],0)))^2</f>
        <v>#VALUE!</v>
      </c>
      <c r="AM1661" s="4">
        <f>IF(AND(vp.data[[#This Row],[SDate]]&gt;=DATE(YEAR(vp.data[[#This Row],[SDate]]),5,1),vp.data[[#This Row],[SDate]]&lt;=DATE(YEAR(vp.data[[#This Row],[SDate]]),9,15)),1,0)</f>
        <v>1</v>
      </c>
      <c r="AN1661" s="4">
        <f>IF(vp.data[[#This Row],[SDate]]&lt;DATE(2016,12,1),0,1)</f>
        <v>1</v>
      </c>
      <c r="AO1661" s="4" t="str">
        <f>IFERROR(vp.data[[#This Row],[Sulf]]*vp.data[[#This Row],[Net Dens]],"")</f>
        <v/>
      </c>
      <c r="AP1661" t="str">
        <f>IFERROR(vp.data[[#This Row],[Dens]]*vp.data[[#This Row],[VolumeM3]],"")</f>
        <v/>
      </c>
      <c r="AQ1661" s="15" t="str">
        <f>IFERROR(vp.data[[#This Row],[VP]]*vp.data[[#This Row],[VolumeM3]],"")</f>
        <v/>
      </c>
    </row>
    <row r="1662" spans="1:43" x14ac:dyDescent="0.25">
      <c r="A1662">
        <v>1661</v>
      </c>
      <c r="B1662" t="s">
        <v>111</v>
      </c>
      <c r="C1662" t="s">
        <v>111</v>
      </c>
      <c r="D1662" t="s">
        <v>234</v>
      </c>
      <c r="F1662" s="1">
        <v>42900</v>
      </c>
      <c r="G1662" s="2">
        <v>92.9</v>
      </c>
      <c r="H1662" s="2"/>
      <c r="I1662" s="2" t="str">
        <f t="array" ref="I166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2" s="2"/>
      <c r="K1662" s="2"/>
      <c r="L1662" s="2"/>
      <c r="M1662" s="2" t="str">
        <f t="array" ref="M166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2" s="2">
        <f ca="1">INDEX(INDIRECT(_xlfn.CONCAT("weather.tbl[",N$1,"]")),MATCH(vp.data[[#This Row],[SDate]],weather.tbl[Date],0))</f>
        <v>12.950000000000001</v>
      </c>
      <c r="O1662" s="2">
        <f ca="1">INDEX(INDIRECT(_xlfn.CONCAT("weather.tbl[",O$1,"]")),MATCH(vp.data[[#This Row],[SDate]],weather.tbl[Date],0))</f>
        <v>16.728571428571431</v>
      </c>
      <c r="P1662" s="2">
        <f ca="1">INDEX(INDIRECT(_xlfn.CONCAT("weather.tbl[",P$1,"]")),MATCH(vp.data[[#This Row],[SDate]],weather.tbl[Date],0))</f>
        <v>13</v>
      </c>
      <c r="Q1662" s="2">
        <f ca="1">INDEX(INDIRECT(_xlfn.CONCAT("weather.tbl[",Q$1,"]")),MATCH(vp.data[[#This Row],[SDate]],weather.tbl[Date],0))</f>
        <v>12.3</v>
      </c>
      <c r="R1662" s="2">
        <f ca="1">INDEX(INDIRECT(_xlfn.CONCAT("weather.tbl[",R$1,"]")),MATCH(vp.data[[#This Row],[SDate]],weather.tbl[Date],0))</f>
        <v>13.3</v>
      </c>
      <c r="S1662" s="2">
        <f ca="1">INDEX(INDIRECT(_xlfn.CONCAT("weather.tbl[",S$1,"]")),MATCH(vp.data[[#This Row],[SDate]],weather.tbl[Date],0))</f>
        <v>12.6</v>
      </c>
      <c r="T1662" s="2">
        <f ca="1">INDEX(INDIRECT(_xlfn.CONCAT("weather.tbl[",T$1,"]")),MATCH(vp.data[[#This Row],[SDate]],weather.tbl[Date],0))</f>
        <v>14.7</v>
      </c>
      <c r="U1662" s="2">
        <f ca="1">INDEX(INDIRECT(_xlfn.CONCAT("weather.tbl[",U$1,"]")),MATCH(vp.data[[#This Row],[SDate]],weather.tbl[Date],0))</f>
        <v>11.8</v>
      </c>
      <c r="V1662" s="2" t="str">
        <f t="array" ref="V166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2" t="s">
        <v>48</v>
      </c>
      <c r="X1662">
        <f>IF(OR(vp.data[[#This Row],[Sulf]]="",vp.data[[#This Row],[Dens]]=""),1,0)</f>
        <v>1</v>
      </c>
      <c r="Y1662">
        <f>IF(vp.data[[#This Row],[CrudeType]]="C5+",1,0)</f>
        <v>0</v>
      </c>
      <c r="Z1662">
        <f>IF(AND(vp.data[[#This Row],[CrudeType]]="Crude",vp.data[[#This Row],[Dens]]&lt;=825,vp.data[[#This Row],[Sulf]]&gt;0.5,vp.data[[#This Row],[Unknown]]=0),1,0)</f>
        <v>0</v>
      </c>
      <c r="AA1662">
        <f>IF(AND(vp.data[[#This Row],[CrudeType]]="Crude",vp.data[[#This Row],[Dens]]&lt;=825,vp.data[[#This Row],[Sulf]]&lt;=0.5,vp.data[[#This Row],[Unknown]]=0),1,0)</f>
        <v>0</v>
      </c>
      <c r="AB166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2">
        <f>IF(AND(vp.data[[#This Row],[CrudeType]]="Crude",vp.data[[#This Row],[Dens]]&gt;825,vp.data[[#This Row],[Dens]]&lt;=900,vp.data[[#This Row],[Sulf]]&lt;=0.5,vp.data[[#This Row],[Unknown]]=0),1,0)</f>
        <v>0</v>
      </c>
      <c r="AD1662">
        <f>IF(AND(vp.data[[#This Row],[CrudeType]]="Crude",vp.data[[#This Row],[Dens]]&gt;865,vp.data[[#This Row],[Dens]]&lt;=900,vp.data[[#This Row],[Sulf]]&gt;2,vp.data[[#This Row],[Unknown]]=0),1,0)</f>
        <v>0</v>
      </c>
      <c r="AE1662">
        <f>IF(AND(vp.data[[#This Row],[CrudeType]]="Crude",vp.data[[#This Row],[Dens]]&gt;900,vp.data[[#This Row],[Sulf]]&lt;=0.5,vp.data[[#This Row],[Unknown]]=0),1,0)</f>
        <v>0</v>
      </c>
      <c r="AF1662">
        <f>IF(AND(vp.data[[#This Row],[CrudeType]]="Crude",vp.data[[#This Row],[Dens]]&gt;900,vp.data[[#This Row],[Sulf]]&lt;=0.5,vp.data[[#This Row],[Unknown]]=0),1,0)</f>
        <v>0</v>
      </c>
      <c r="AG1662" t="str">
        <f>INDEX(vp.data[[#Headers],[Unknown]:[Heavy_SW]],MATCH(1,vp.data[[#This Row],[Unknown]:[Heavy_SW]],0))</f>
        <v>Unknown</v>
      </c>
      <c r="AH1662">
        <f>INDEX([3]!crudeBD.lkup[Number],MATCH(vp.data[[#This Row],[Crude_Breakdown]],crudeBD.lkup[Crude Breakdown],0))</f>
        <v>-1</v>
      </c>
      <c r="AI1662">
        <f>MONTH(vp.data[[#This Row],[SDate]])</f>
        <v>6</v>
      </c>
      <c r="AJ1662" s="5">
        <f>(vp.data[[#This Row],[VP]]-INDEX(crudeBD.lkup[Mean_VP],MATCH(vp.data[[#This Row],[Crude_Breakdown]],crudeBD.lkup[Crude Breakdown],0)))^2</f>
        <v>363.08780447082137</v>
      </c>
      <c r="AK1662" s="5" t="e">
        <f>(vp.data[[#This Row],[Dens]]-INDEX(crudeBD.lkup[Mean_Dens],MATCH(vp.data[[#This Row],[Crude_Breakdown]],crudeBD.lkup[Crude Breakdown],0)))^2</f>
        <v>#VALUE!</v>
      </c>
      <c r="AL1662" s="5" t="e">
        <f>(vp.data[[#This Row],[Sulf]]-INDEX(crudeBD.lkup[Mean_Sulf],MATCH(vp.data[[#This Row],[Crude_Breakdown]],crudeBD.lkup[Crude Breakdown],0)))^2</f>
        <v>#VALUE!</v>
      </c>
      <c r="AM1662" s="4">
        <f>IF(AND(vp.data[[#This Row],[SDate]]&gt;=DATE(YEAR(vp.data[[#This Row],[SDate]]),5,1),vp.data[[#This Row],[SDate]]&lt;=DATE(YEAR(vp.data[[#This Row],[SDate]]),9,15)),1,0)</f>
        <v>1</v>
      </c>
      <c r="AN1662" s="4">
        <f>IF(vp.data[[#This Row],[SDate]]&lt;DATE(2016,12,1),0,1)</f>
        <v>1</v>
      </c>
      <c r="AO1662" s="4" t="str">
        <f>IFERROR(vp.data[[#This Row],[Sulf]]*vp.data[[#This Row],[Net Dens]],"")</f>
        <v/>
      </c>
      <c r="AP1662" t="str">
        <f>IFERROR(vp.data[[#This Row],[Dens]]*vp.data[[#This Row],[VolumeM3]],"")</f>
        <v/>
      </c>
      <c r="AQ1662" s="15" t="str">
        <f>IFERROR(vp.data[[#This Row],[VP]]*vp.data[[#This Row],[VolumeM3]],"")</f>
        <v/>
      </c>
    </row>
    <row r="1663" spans="1:43" x14ac:dyDescent="0.25">
      <c r="A1663">
        <v>1662</v>
      </c>
      <c r="B1663" t="s">
        <v>292</v>
      </c>
      <c r="C1663" t="s">
        <v>292</v>
      </c>
      <c r="D1663" t="s">
        <v>94</v>
      </c>
      <c r="F1663" s="1">
        <v>42900</v>
      </c>
      <c r="G1663" s="2">
        <v>72.400000000000006</v>
      </c>
      <c r="H1663" s="2"/>
      <c r="I1663" s="2" t="str">
        <f t="array" ref="I166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3" s="2"/>
      <c r="K1663" s="2"/>
      <c r="L1663" s="2"/>
      <c r="M1663" s="2" t="str">
        <f t="array" ref="M166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3" s="2">
        <f ca="1">INDEX(INDIRECT(_xlfn.CONCAT("weather.tbl[",N$1,"]")),MATCH(vp.data[[#This Row],[SDate]],weather.tbl[Date],0))</f>
        <v>12.950000000000001</v>
      </c>
      <c r="O1663" s="2">
        <f ca="1">INDEX(INDIRECT(_xlfn.CONCAT("weather.tbl[",O$1,"]")),MATCH(vp.data[[#This Row],[SDate]],weather.tbl[Date],0))</f>
        <v>16.728571428571431</v>
      </c>
      <c r="P1663" s="2">
        <f ca="1">INDEX(INDIRECT(_xlfn.CONCAT("weather.tbl[",P$1,"]")),MATCH(vp.data[[#This Row],[SDate]],weather.tbl[Date],0))</f>
        <v>13</v>
      </c>
      <c r="Q1663" s="2">
        <f ca="1">INDEX(INDIRECT(_xlfn.CONCAT("weather.tbl[",Q$1,"]")),MATCH(vp.data[[#This Row],[SDate]],weather.tbl[Date],0))</f>
        <v>12.3</v>
      </c>
      <c r="R1663" s="2">
        <f ca="1">INDEX(INDIRECT(_xlfn.CONCAT("weather.tbl[",R$1,"]")),MATCH(vp.data[[#This Row],[SDate]],weather.tbl[Date],0))</f>
        <v>13.3</v>
      </c>
      <c r="S1663" s="2">
        <f ca="1">INDEX(INDIRECT(_xlfn.CONCAT("weather.tbl[",S$1,"]")),MATCH(vp.data[[#This Row],[SDate]],weather.tbl[Date],0))</f>
        <v>12.6</v>
      </c>
      <c r="T1663" s="2">
        <f ca="1">INDEX(INDIRECT(_xlfn.CONCAT("weather.tbl[",T$1,"]")),MATCH(vp.data[[#This Row],[SDate]],weather.tbl[Date],0))</f>
        <v>14.7</v>
      </c>
      <c r="U1663" s="2">
        <f ca="1">INDEX(INDIRECT(_xlfn.CONCAT("weather.tbl[",U$1,"]")),MATCH(vp.data[[#This Row],[SDate]],weather.tbl[Date],0))</f>
        <v>11.8</v>
      </c>
      <c r="V1663" s="2" t="str">
        <f t="array" ref="V166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3" t="s">
        <v>48</v>
      </c>
      <c r="X1663">
        <f>IF(OR(vp.data[[#This Row],[Sulf]]="",vp.data[[#This Row],[Dens]]=""),1,0)</f>
        <v>1</v>
      </c>
      <c r="Y1663">
        <f>IF(vp.data[[#This Row],[CrudeType]]="C5+",1,0)</f>
        <v>0</v>
      </c>
      <c r="Z1663">
        <f>IF(AND(vp.data[[#This Row],[CrudeType]]="Crude",vp.data[[#This Row],[Dens]]&lt;=825,vp.data[[#This Row],[Sulf]]&gt;0.5,vp.data[[#This Row],[Unknown]]=0),1,0)</f>
        <v>0</v>
      </c>
      <c r="AA1663">
        <f>IF(AND(vp.data[[#This Row],[CrudeType]]="Crude",vp.data[[#This Row],[Dens]]&lt;=825,vp.data[[#This Row],[Sulf]]&lt;=0.5,vp.data[[#This Row],[Unknown]]=0),1,0)</f>
        <v>0</v>
      </c>
      <c r="AB166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3">
        <f>IF(AND(vp.data[[#This Row],[CrudeType]]="Crude",vp.data[[#This Row],[Dens]]&gt;825,vp.data[[#This Row],[Dens]]&lt;=900,vp.data[[#This Row],[Sulf]]&lt;=0.5,vp.data[[#This Row],[Unknown]]=0),1,0)</f>
        <v>0</v>
      </c>
      <c r="AD1663">
        <f>IF(AND(vp.data[[#This Row],[CrudeType]]="Crude",vp.data[[#This Row],[Dens]]&gt;865,vp.data[[#This Row],[Dens]]&lt;=900,vp.data[[#This Row],[Sulf]]&gt;2,vp.data[[#This Row],[Unknown]]=0),1,0)</f>
        <v>0</v>
      </c>
      <c r="AE1663">
        <f>IF(AND(vp.data[[#This Row],[CrudeType]]="Crude",vp.data[[#This Row],[Dens]]&gt;900,vp.data[[#This Row],[Sulf]]&lt;=0.5,vp.data[[#This Row],[Unknown]]=0),1,0)</f>
        <v>0</v>
      </c>
      <c r="AF1663">
        <f>IF(AND(vp.data[[#This Row],[CrudeType]]="Crude",vp.data[[#This Row],[Dens]]&gt;900,vp.data[[#This Row],[Sulf]]&lt;=0.5,vp.data[[#This Row],[Unknown]]=0),1,0)</f>
        <v>0</v>
      </c>
      <c r="AG1663" t="str">
        <f>INDEX(vp.data[[#Headers],[Unknown]:[Heavy_SW]],MATCH(1,vp.data[[#This Row],[Unknown]:[Heavy_SW]],0))</f>
        <v>Unknown</v>
      </c>
      <c r="AH1663">
        <f>INDEX([3]!crudeBD.lkup[Number],MATCH(vp.data[[#This Row],[Crude_Breakdown]],crudeBD.lkup[Crude Breakdown],0))</f>
        <v>-1</v>
      </c>
      <c r="AI1663">
        <f>MONTH(vp.data[[#This Row],[SDate]])</f>
        <v>6</v>
      </c>
      <c r="AJ1663" s="5">
        <f>(vp.data[[#This Row],[VP]]-INDEX(crudeBD.lkup[Mean_VP],MATCH(vp.data[[#This Row],[Crude_Breakdown]],crudeBD.lkup[Crude Breakdown],0)))^2</f>
        <v>2.0884209091761061</v>
      </c>
      <c r="AK1663" s="5" t="e">
        <f>(vp.data[[#This Row],[Dens]]-INDEX(crudeBD.lkup[Mean_Dens],MATCH(vp.data[[#This Row],[Crude_Breakdown]],crudeBD.lkup[Crude Breakdown],0)))^2</f>
        <v>#VALUE!</v>
      </c>
      <c r="AL1663" s="5" t="e">
        <f>(vp.data[[#This Row],[Sulf]]-INDEX(crudeBD.lkup[Mean_Sulf],MATCH(vp.data[[#This Row],[Crude_Breakdown]],crudeBD.lkup[Crude Breakdown],0)))^2</f>
        <v>#VALUE!</v>
      </c>
      <c r="AM1663" s="4">
        <f>IF(AND(vp.data[[#This Row],[SDate]]&gt;=DATE(YEAR(vp.data[[#This Row],[SDate]]),5,1),vp.data[[#This Row],[SDate]]&lt;=DATE(YEAR(vp.data[[#This Row],[SDate]]),9,15)),1,0)</f>
        <v>1</v>
      </c>
      <c r="AN1663" s="4">
        <f>IF(vp.data[[#This Row],[SDate]]&lt;DATE(2016,12,1),0,1)</f>
        <v>1</v>
      </c>
      <c r="AO1663" s="4" t="str">
        <f>IFERROR(vp.data[[#This Row],[Sulf]]*vp.data[[#This Row],[Net Dens]],"")</f>
        <v/>
      </c>
      <c r="AP1663" t="str">
        <f>IFERROR(vp.data[[#This Row],[Dens]]*vp.data[[#This Row],[VolumeM3]],"")</f>
        <v/>
      </c>
      <c r="AQ1663" s="15" t="str">
        <f>IFERROR(vp.data[[#This Row],[VP]]*vp.data[[#This Row],[VolumeM3]],"")</f>
        <v/>
      </c>
    </row>
    <row r="1664" spans="1:43" x14ac:dyDescent="0.25">
      <c r="A1664">
        <v>1663</v>
      </c>
      <c r="B1664" t="s">
        <v>292</v>
      </c>
      <c r="C1664" t="s">
        <v>292</v>
      </c>
      <c r="D1664" t="s">
        <v>57</v>
      </c>
      <c r="F1664" s="1">
        <v>42900</v>
      </c>
      <c r="G1664" s="2">
        <v>75.7</v>
      </c>
      <c r="H1664" s="2"/>
      <c r="I1664" s="2" t="str">
        <f t="array" ref="I166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4" s="2"/>
      <c r="K1664" s="2"/>
      <c r="L1664" s="2"/>
      <c r="M1664" s="2" t="str">
        <f t="array" ref="M166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4" s="2">
        <f ca="1">INDEX(INDIRECT(_xlfn.CONCAT("weather.tbl[",N$1,"]")),MATCH(vp.data[[#This Row],[SDate]],weather.tbl[Date],0))</f>
        <v>12.950000000000001</v>
      </c>
      <c r="O1664" s="2">
        <f ca="1">INDEX(INDIRECT(_xlfn.CONCAT("weather.tbl[",O$1,"]")),MATCH(vp.data[[#This Row],[SDate]],weather.tbl[Date],0))</f>
        <v>16.728571428571431</v>
      </c>
      <c r="P1664" s="2">
        <f ca="1">INDEX(INDIRECT(_xlfn.CONCAT("weather.tbl[",P$1,"]")),MATCH(vp.data[[#This Row],[SDate]],weather.tbl[Date],0))</f>
        <v>13</v>
      </c>
      <c r="Q1664" s="2">
        <f ca="1">INDEX(INDIRECT(_xlfn.CONCAT("weather.tbl[",Q$1,"]")),MATCH(vp.data[[#This Row],[SDate]],weather.tbl[Date],0))</f>
        <v>12.3</v>
      </c>
      <c r="R1664" s="2">
        <f ca="1">INDEX(INDIRECT(_xlfn.CONCAT("weather.tbl[",R$1,"]")),MATCH(vp.data[[#This Row],[SDate]],weather.tbl[Date],0))</f>
        <v>13.3</v>
      </c>
      <c r="S1664" s="2">
        <f ca="1">INDEX(INDIRECT(_xlfn.CONCAT("weather.tbl[",S$1,"]")),MATCH(vp.data[[#This Row],[SDate]],weather.tbl[Date],0))</f>
        <v>12.6</v>
      </c>
      <c r="T1664" s="2">
        <f ca="1">INDEX(INDIRECT(_xlfn.CONCAT("weather.tbl[",T$1,"]")),MATCH(vp.data[[#This Row],[SDate]],weather.tbl[Date],0))</f>
        <v>14.7</v>
      </c>
      <c r="U1664" s="2">
        <f ca="1">INDEX(INDIRECT(_xlfn.CONCAT("weather.tbl[",U$1,"]")),MATCH(vp.data[[#This Row],[SDate]],weather.tbl[Date],0))</f>
        <v>11.8</v>
      </c>
      <c r="V1664" s="2" t="str">
        <f t="array" ref="V166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4" t="s">
        <v>48</v>
      </c>
      <c r="X1664">
        <f>IF(OR(vp.data[[#This Row],[Sulf]]="",vp.data[[#This Row],[Dens]]=""),1,0)</f>
        <v>1</v>
      </c>
      <c r="Y1664">
        <f>IF(vp.data[[#This Row],[CrudeType]]="C5+",1,0)</f>
        <v>0</v>
      </c>
      <c r="Z1664">
        <f>IF(AND(vp.data[[#This Row],[CrudeType]]="Crude",vp.data[[#This Row],[Dens]]&lt;=825,vp.data[[#This Row],[Sulf]]&gt;0.5,vp.data[[#This Row],[Unknown]]=0),1,0)</f>
        <v>0</v>
      </c>
      <c r="AA1664">
        <f>IF(AND(vp.data[[#This Row],[CrudeType]]="Crude",vp.data[[#This Row],[Dens]]&lt;=825,vp.data[[#This Row],[Sulf]]&lt;=0.5,vp.data[[#This Row],[Unknown]]=0),1,0)</f>
        <v>0</v>
      </c>
      <c r="AB166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4">
        <f>IF(AND(vp.data[[#This Row],[CrudeType]]="Crude",vp.data[[#This Row],[Dens]]&gt;825,vp.data[[#This Row],[Dens]]&lt;=900,vp.data[[#This Row],[Sulf]]&lt;=0.5,vp.data[[#This Row],[Unknown]]=0),1,0)</f>
        <v>0</v>
      </c>
      <c r="AD1664">
        <f>IF(AND(vp.data[[#This Row],[CrudeType]]="Crude",vp.data[[#This Row],[Dens]]&gt;865,vp.data[[#This Row],[Dens]]&lt;=900,vp.data[[#This Row],[Sulf]]&gt;2,vp.data[[#This Row],[Unknown]]=0),1,0)</f>
        <v>0</v>
      </c>
      <c r="AE1664">
        <f>IF(AND(vp.data[[#This Row],[CrudeType]]="Crude",vp.data[[#This Row],[Dens]]&gt;900,vp.data[[#This Row],[Sulf]]&lt;=0.5,vp.data[[#This Row],[Unknown]]=0),1,0)</f>
        <v>0</v>
      </c>
      <c r="AF1664">
        <f>IF(AND(vp.data[[#This Row],[CrudeType]]="Crude",vp.data[[#This Row],[Dens]]&gt;900,vp.data[[#This Row],[Sulf]]&lt;=0.5,vp.data[[#This Row],[Unknown]]=0),1,0)</f>
        <v>0</v>
      </c>
      <c r="AG1664" t="str">
        <f>INDEX(vp.data[[#Headers],[Unknown]:[Heavy_SW]],MATCH(1,vp.data[[#This Row],[Unknown]:[Heavy_SW]],0))</f>
        <v>Unknown</v>
      </c>
      <c r="AH1664">
        <f>INDEX([3]!crudeBD.lkup[Number],MATCH(vp.data[[#This Row],[Crude_Breakdown]],crudeBD.lkup[Crude Breakdown],0))</f>
        <v>-1</v>
      </c>
      <c r="AI1664">
        <f>MONTH(vp.data[[#This Row],[SDate]])</f>
        <v>6</v>
      </c>
      <c r="AJ1664" s="5">
        <f>(vp.data[[#This Row],[VP]]-INDEX(crudeBD.lkup[Mean_VP],MATCH(vp.data[[#This Row],[Crude_Breakdown]],crudeBD.lkup[Crude Breakdown],0)))^2</f>
        <v>3.4405167995872814</v>
      </c>
      <c r="AK1664" s="5" t="e">
        <f>(vp.data[[#This Row],[Dens]]-INDEX(crudeBD.lkup[Mean_Dens],MATCH(vp.data[[#This Row],[Crude_Breakdown]],crudeBD.lkup[Crude Breakdown],0)))^2</f>
        <v>#VALUE!</v>
      </c>
      <c r="AL1664" s="5" t="e">
        <f>(vp.data[[#This Row],[Sulf]]-INDEX(crudeBD.lkup[Mean_Sulf],MATCH(vp.data[[#This Row],[Crude_Breakdown]],crudeBD.lkup[Crude Breakdown],0)))^2</f>
        <v>#VALUE!</v>
      </c>
      <c r="AM1664" s="4">
        <f>IF(AND(vp.data[[#This Row],[SDate]]&gt;=DATE(YEAR(vp.data[[#This Row],[SDate]]),5,1),vp.data[[#This Row],[SDate]]&lt;=DATE(YEAR(vp.data[[#This Row],[SDate]]),9,15)),1,0)</f>
        <v>1</v>
      </c>
      <c r="AN1664" s="4">
        <f>IF(vp.data[[#This Row],[SDate]]&lt;DATE(2016,12,1),0,1)</f>
        <v>1</v>
      </c>
      <c r="AO1664" s="4" t="str">
        <f>IFERROR(vp.data[[#This Row],[Sulf]]*vp.data[[#This Row],[Net Dens]],"")</f>
        <v/>
      </c>
      <c r="AP1664" t="str">
        <f>IFERROR(vp.data[[#This Row],[Dens]]*vp.data[[#This Row],[VolumeM3]],"")</f>
        <v/>
      </c>
      <c r="AQ1664" s="15" t="str">
        <f>IFERROR(vp.data[[#This Row],[VP]]*vp.data[[#This Row],[VolumeM3]],"")</f>
        <v/>
      </c>
    </row>
    <row r="1665" spans="1:43" x14ac:dyDescent="0.25">
      <c r="A1665">
        <v>1664</v>
      </c>
      <c r="B1665" t="s">
        <v>62</v>
      </c>
      <c r="C1665" t="s">
        <v>62</v>
      </c>
      <c r="D1665" t="s">
        <v>87</v>
      </c>
      <c r="F1665" s="1">
        <v>42902</v>
      </c>
      <c r="G1665" s="2">
        <v>83.6</v>
      </c>
      <c r="H1665" s="2"/>
      <c r="I1665" s="2" t="str">
        <f t="array" ref="I166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5" s="2"/>
      <c r="K1665" s="2"/>
      <c r="L1665" s="2"/>
      <c r="M1665" s="2" t="str">
        <f t="array" ref="M166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5" s="2">
        <f ca="1">INDEX(INDIRECT(_xlfn.CONCAT("weather.tbl[",N$1,"]")),MATCH(vp.data[[#This Row],[SDate]],weather.tbl[Date],0))</f>
        <v>14.016666666666667</v>
      </c>
      <c r="O1665" s="2">
        <f ca="1">INDEX(INDIRECT(_xlfn.CONCAT("weather.tbl[",O$1,"]")),MATCH(vp.data[[#This Row],[SDate]],weather.tbl[Date],0))</f>
        <v>15.654761904761903</v>
      </c>
      <c r="P1665" s="2">
        <f ca="1">INDEX(INDIRECT(_xlfn.CONCAT("weather.tbl[",P$1,"]")),MATCH(vp.data[[#This Row],[SDate]],weather.tbl[Date],0))</f>
        <v>15.2</v>
      </c>
      <c r="Q1665" s="2">
        <f ca="1">INDEX(INDIRECT(_xlfn.CONCAT("weather.tbl[",Q$1,"]")),MATCH(vp.data[[#This Row],[SDate]],weather.tbl[Date],0))</f>
        <v>13.7</v>
      </c>
      <c r="R1665" s="2">
        <f ca="1">INDEX(INDIRECT(_xlfn.CONCAT("weather.tbl[",R$1,"]")),MATCH(vp.data[[#This Row],[SDate]],weather.tbl[Date],0))</f>
        <v>14.3</v>
      </c>
      <c r="S1665" s="2">
        <f ca="1">INDEX(INDIRECT(_xlfn.CONCAT("weather.tbl[",S$1,"]")),MATCH(vp.data[[#This Row],[SDate]],weather.tbl[Date],0))</f>
        <v>13.2</v>
      </c>
      <c r="T1665" s="2">
        <f ca="1">INDEX(INDIRECT(_xlfn.CONCAT("weather.tbl[",T$1,"]")),MATCH(vp.data[[#This Row],[SDate]],weather.tbl[Date],0))</f>
        <v>15.2</v>
      </c>
      <c r="U1665" s="2">
        <f ca="1">INDEX(INDIRECT(_xlfn.CONCAT("weather.tbl[",U$1,"]")),MATCH(vp.data[[#This Row],[SDate]],weather.tbl[Date],0))</f>
        <v>12.5</v>
      </c>
      <c r="V1665" s="2" t="str">
        <f t="array" ref="V166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5" t="s">
        <v>48</v>
      </c>
      <c r="X1665">
        <f>IF(OR(vp.data[[#This Row],[Sulf]]="",vp.data[[#This Row],[Dens]]=""),1,0)</f>
        <v>1</v>
      </c>
      <c r="Y1665">
        <f>IF(vp.data[[#This Row],[CrudeType]]="C5+",1,0)</f>
        <v>0</v>
      </c>
      <c r="Z1665">
        <f>IF(AND(vp.data[[#This Row],[CrudeType]]="Crude",vp.data[[#This Row],[Dens]]&lt;=825,vp.data[[#This Row],[Sulf]]&gt;0.5,vp.data[[#This Row],[Unknown]]=0),1,0)</f>
        <v>0</v>
      </c>
      <c r="AA1665">
        <f>IF(AND(vp.data[[#This Row],[CrudeType]]="Crude",vp.data[[#This Row],[Dens]]&lt;=825,vp.data[[#This Row],[Sulf]]&lt;=0.5,vp.data[[#This Row],[Unknown]]=0),1,0)</f>
        <v>0</v>
      </c>
      <c r="AB166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5">
        <f>IF(AND(vp.data[[#This Row],[CrudeType]]="Crude",vp.data[[#This Row],[Dens]]&gt;825,vp.data[[#This Row],[Dens]]&lt;=900,vp.data[[#This Row],[Sulf]]&lt;=0.5,vp.data[[#This Row],[Unknown]]=0),1,0)</f>
        <v>0</v>
      </c>
      <c r="AD1665">
        <f>IF(AND(vp.data[[#This Row],[CrudeType]]="Crude",vp.data[[#This Row],[Dens]]&gt;865,vp.data[[#This Row],[Dens]]&lt;=900,vp.data[[#This Row],[Sulf]]&gt;2,vp.data[[#This Row],[Unknown]]=0),1,0)</f>
        <v>0</v>
      </c>
      <c r="AE1665">
        <f>IF(AND(vp.data[[#This Row],[CrudeType]]="Crude",vp.data[[#This Row],[Dens]]&gt;900,vp.data[[#This Row],[Sulf]]&lt;=0.5,vp.data[[#This Row],[Unknown]]=0),1,0)</f>
        <v>0</v>
      </c>
      <c r="AF1665">
        <f>IF(AND(vp.data[[#This Row],[CrudeType]]="Crude",vp.data[[#This Row],[Dens]]&gt;900,vp.data[[#This Row],[Sulf]]&lt;=0.5,vp.data[[#This Row],[Unknown]]=0),1,0)</f>
        <v>0</v>
      </c>
      <c r="AG1665" t="str">
        <f>INDEX(vp.data[[#Headers],[Unknown]:[Heavy_SW]],MATCH(1,vp.data[[#This Row],[Unknown]:[Heavy_SW]],0))</f>
        <v>Unknown</v>
      </c>
      <c r="AH1665">
        <f>INDEX([3]!crudeBD.lkup[Number],MATCH(vp.data[[#This Row],[Crude_Breakdown]],crudeBD.lkup[Crude Breakdown],0))</f>
        <v>-1</v>
      </c>
      <c r="AI1665">
        <f>MONTH(vp.data[[#This Row],[SDate]])</f>
        <v>6</v>
      </c>
      <c r="AJ1665" s="5">
        <f>(vp.data[[#This Row],[VP]]-INDEX(crudeBD.lkup[Mean_VP],MATCH(vp.data[[#This Row],[Crude_Breakdown]],crudeBD.lkup[Crude Breakdown],0)))^2</f>
        <v>95.157352416025972</v>
      </c>
      <c r="AK1665" s="5" t="e">
        <f>(vp.data[[#This Row],[Dens]]-INDEX(crudeBD.lkup[Mean_Dens],MATCH(vp.data[[#This Row],[Crude_Breakdown]],crudeBD.lkup[Crude Breakdown],0)))^2</f>
        <v>#VALUE!</v>
      </c>
      <c r="AL1665" s="5" t="e">
        <f>(vp.data[[#This Row],[Sulf]]-INDEX(crudeBD.lkup[Mean_Sulf],MATCH(vp.data[[#This Row],[Crude_Breakdown]],crudeBD.lkup[Crude Breakdown],0)))^2</f>
        <v>#VALUE!</v>
      </c>
      <c r="AM1665" s="4">
        <f>IF(AND(vp.data[[#This Row],[SDate]]&gt;=DATE(YEAR(vp.data[[#This Row],[SDate]]),5,1),vp.data[[#This Row],[SDate]]&lt;=DATE(YEAR(vp.data[[#This Row],[SDate]]),9,15)),1,0)</f>
        <v>1</v>
      </c>
      <c r="AN1665" s="4">
        <f>IF(vp.data[[#This Row],[SDate]]&lt;DATE(2016,12,1),0,1)</f>
        <v>1</v>
      </c>
      <c r="AO1665" s="4" t="str">
        <f>IFERROR(vp.data[[#This Row],[Sulf]]*vp.data[[#This Row],[Net Dens]],"")</f>
        <v/>
      </c>
      <c r="AP1665" t="str">
        <f>IFERROR(vp.data[[#This Row],[Dens]]*vp.data[[#This Row],[VolumeM3]],"")</f>
        <v/>
      </c>
      <c r="AQ1665" s="15" t="str">
        <f>IFERROR(vp.data[[#This Row],[VP]]*vp.data[[#This Row],[VolumeM3]],"")</f>
        <v/>
      </c>
    </row>
    <row r="1666" spans="1:43" x14ac:dyDescent="0.25">
      <c r="A1666">
        <v>1665</v>
      </c>
      <c r="B1666" t="s">
        <v>62</v>
      </c>
      <c r="C1666" t="s">
        <v>62</v>
      </c>
      <c r="D1666" t="s">
        <v>79</v>
      </c>
      <c r="F1666" s="1">
        <v>42902</v>
      </c>
      <c r="G1666" s="2">
        <v>72.5</v>
      </c>
      <c r="H1666" s="2"/>
      <c r="I1666" s="2" t="str">
        <f t="array" ref="I166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6" s="2"/>
      <c r="K1666" s="2"/>
      <c r="L1666" s="2"/>
      <c r="M1666" s="2" t="str">
        <f t="array" ref="M166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6" s="2">
        <f ca="1">INDEX(INDIRECT(_xlfn.CONCAT("weather.tbl[",N$1,"]")),MATCH(vp.data[[#This Row],[SDate]],weather.tbl[Date],0))</f>
        <v>14.016666666666667</v>
      </c>
      <c r="O1666" s="2">
        <f ca="1">INDEX(INDIRECT(_xlfn.CONCAT("weather.tbl[",O$1,"]")),MATCH(vp.data[[#This Row],[SDate]],weather.tbl[Date],0))</f>
        <v>15.654761904761903</v>
      </c>
      <c r="P1666" s="2">
        <f ca="1">INDEX(INDIRECT(_xlfn.CONCAT("weather.tbl[",P$1,"]")),MATCH(vp.data[[#This Row],[SDate]],weather.tbl[Date],0))</f>
        <v>15.2</v>
      </c>
      <c r="Q1666" s="2">
        <f ca="1">INDEX(INDIRECT(_xlfn.CONCAT("weather.tbl[",Q$1,"]")),MATCH(vp.data[[#This Row],[SDate]],weather.tbl[Date],0))</f>
        <v>13.7</v>
      </c>
      <c r="R1666" s="2">
        <f ca="1">INDEX(INDIRECT(_xlfn.CONCAT("weather.tbl[",R$1,"]")),MATCH(vp.data[[#This Row],[SDate]],weather.tbl[Date],0))</f>
        <v>14.3</v>
      </c>
      <c r="S1666" s="2">
        <f ca="1">INDEX(INDIRECT(_xlfn.CONCAT("weather.tbl[",S$1,"]")),MATCH(vp.data[[#This Row],[SDate]],weather.tbl[Date],0))</f>
        <v>13.2</v>
      </c>
      <c r="T1666" s="2">
        <f ca="1">INDEX(INDIRECT(_xlfn.CONCAT("weather.tbl[",T$1,"]")),MATCH(vp.data[[#This Row],[SDate]],weather.tbl[Date],0))</f>
        <v>15.2</v>
      </c>
      <c r="U1666" s="2">
        <f ca="1">INDEX(INDIRECT(_xlfn.CONCAT("weather.tbl[",U$1,"]")),MATCH(vp.data[[#This Row],[SDate]],weather.tbl[Date],0))</f>
        <v>12.5</v>
      </c>
      <c r="V1666" s="2" t="str">
        <f t="array" ref="V166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6" t="s">
        <v>48</v>
      </c>
      <c r="X1666">
        <f>IF(OR(vp.data[[#This Row],[Sulf]]="",vp.data[[#This Row],[Dens]]=""),1,0)</f>
        <v>1</v>
      </c>
      <c r="Y1666">
        <f>IF(vp.data[[#This Row],[CrudeType]]="C5+",1,0)</f>
        <v>0</v>
      </c>
      <c r="Z1666">
        <f>IF(AND(vp.data[[#This Row],[CrudeType]]="Crude",vp.data[[#This Row],[Dens]]&lt;=825,vp.data[[#This Row],[Sulf]]&gt;0.5,vp.data[[#This Row],[Unknown]]=0),1,0)</f>
        <v>0</v>
      </c>
      <c r="AA1666">
        <f>IF(AND(vp.data[[#This Row],[CrudeType]]="Crude",vp.data[[#This Row],[Dens]]&lt;=825,vp.data[[#This Row],[Sulf]]&lt;=0.5,vp.data[[#This Row],[Unknown]]=0),1,0)</f>
        <v>0</v>
      </c>
      <c r="AB166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6">
        <f>IF(AND(vp.data[[#This Row],[CrudeType]]="Crude",vp.data[[#This Row],[Dens]]&gt;825,vp.data[[#This Row],[Dens]]&lt;=900,vp.data[[#This Row],[Sulf]]&lt;=0.5,vp.data[[#This Row],[Unknown]]=0),1,0)</f>
        <v>0</v>
      </c>
      <c r="AD1666">
        <f>IF(AND(vp.data[[#This Row],[CrudeType]]="Crude",vp.data[[#This Row],[Dens]]&gt;865,vp.data[[#This Row],[Dens]]&lt;=900,vp.data[[#This Row],[Sulf]]&gt;2,vp.data[[#This Row],[Unknown]]=0),1,0)</f>
        <v>0</v>
      </c>
      <c r="AE1666">
        <f>IF(AND(vp.data[[#This Row],[CrudeType]]="Crude",vp.data[[#This Row],[Dens]]&gt;900,vp.data[[#This Row],[Sulf]]&lt;=0.5,vp.data[[#This Row],[Unknown]]=0),1,0)</f>
        <v>0</v>
      </c>
      <c r="AF1666">
        <f>IF(AND(vp.data[[#This Row],[CrudeType]]="Crude",vp.data[[#This Row],[Dens]]&gt;900,vp.data[[#This Row],[Sulf]]&lt;=0.5,vp.data[[#This Row],[Unknown]]=0),1,0)</f>
        <v>0</v>
      </c>
      <c r="AG1666" t="str">
        <f>INDEX(vp.data[[#Headers],[Unknown]:[Heavy_SW]],MATCH(1,vp.data[[#This Row],[Unknown]:[Heavy_SW]],0))</f>
        <v>Unknown</v>
      </c>
      <c r="AH1666">
        <f>INDEX([3]!crudeBD.lkup[Number],MATCH(vp.data[[#This Row],[Crude_Breakdown]],crudeBD.lkup[Crude Breakdown],0))</f>
        <v>-1</v>
      </c>
      <c r="AI1666">
        <f>MONTH(vp.data[[#This Row],[SDate]])</f>
        <v>6</v>
      </c>
      <c r="AJ1666" s="5">
        <f>(vp.data[[#This Row],[VP]]-INDEX(crudeBD.lkup[Mean_VP],MATCH(vp.data[[#This Row],[Crude_Breakdown]],crudeBD.lkup[Crude Breakdown],0)))^2</f>
        <v>1.8093935119158544</v>
      </c>
      <c r="AK1666" s="5" t="e">
        <f>(vp.data[[#This Row],[Dens]]-INDEX(crudeBD.lkup[Mean_Dens],MATCH(vp.data[[#This Row],[Crude_Breakdown]],crudeBD.lkup[Crude Breakdown],0)))^2</f>
        <v>#VALUE!</v>
      </c>
      <c r="AL1666" s="5" t="e">
        <f>(vp.data[[#This Row],[Sulf]]-INDEX(crudeBD.lkup[Mean_Sulf],MATCH(vp.data[[#This Row],[Crude_Breakdown]],crudeBD.lkup[Crude Breakdown],0)))^2</f>
        <v>#VALUE!</v>
      </c>
      <c r="AM1666" s="4">
        <f>IF(AND(vp.data[[#This Row],[SDate]]&gt;=DATE(YEAR(vp.data[[#This Row],[SDate]]),5,1),vp.data[[#This Row],[SDate]]&lt;=DATE(YEAR(vp.data[[#This Row],[SDate]]),9,15)),1,0)</f>
        <v>1</v>
      </c>
      <c r="AN1666" s="4">
        <f>IF(vp.data[[#This Row],[SDate]]&lt;DATE(2016,12,1),0,1)</f>
        <v>1</v>
      </c>
      <c r="AO1666" s="4" t="str">
        <f>IFERROR(vp.data[[#This Row],[Sulf]]*vp.data[[#This Row],[Net Dens]],"")</f>
        <v/>
      </c>
      <c r="AP1666" t="str">
        <f>IFERROR(vp.data[[#This Row],[Dens]]*vp.data[[#This Row],[VolumeM3]],"")</f>
        <v/>
      </c>
      <c r="AQ1666" s="15" t="str">
        <f>IFERROR(vp.data[[#This Row],[VP]]*vp.data[[#This Row],[VolumeM3]],"")</f>
        <v/>
      </c>
    </row>
    <row r="1667" spans="1:43" x14ac:dyDescent="0.25">
      <c r="A1667">
        <v>1666</v>
      </c>
      <c r="B1667" t="s">
        <v>51</v>
      </c>
      <c r="C1667" t="s">
        <v>51</v>
      </c>
      <c r="D1667" t="s">
        <v>66</v>
      </c>
      <c r="F1667" s="1">
        <v>42902</v>
      </c>
      <c r="G1667" s="2">
        <v>95.2</v>
      </c>
      <c r="H1667" s="2"/>
      <c r="I1667" s="2" t="str">
        <f t="array" ref="I166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7" s="2"/>
      <c r="K1667" s="2"/>
      <c r="L1667" s="2"/>
      <c r="M1667" s="2" t="str">
        <f t="array" ref="M166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7" s="2">
        <f ca="1">INDEX(INDIRECT(_xlfn.CONCAT("weather.tbl[",N$1,"]")),MATCH(vp.data[[#This Row],[SDate]],weather.tbl[Date],0))</f>
        <v>14.016666666666667</v>
      </c>
      <c r="O1667" s="2">
        <f ca="1">INDEX(INDIRECT(_xlfn.CONCAT("weather.tbl[",O$1,"]")),MATCH(vp.data[[#This Row],[SDate]],weather.tbl[Date],0))</f>
        <v>15.654761904761903</v>
      </c>
      <c r="P1667" s="2">
        <f ca="1">INDEX(INDIRECT(_xlfn.CONCAT("weather.tbl[",P$1,"]")),MATCH(vp.data[[#This Row],[SDate]],weather.tbl[Date],0))</f>
        <v>15.2</v>
      </c>
      <c r="Q1667" s="2">
        <f ca="1">INDEX(INDIRECT(_xlfn.CONCAT("weather.tbl[",Q$1,"]")),MATCH(vp.data[[#This Row],[SDate]],weather.tbl[Date],0))</f>
        <v>13.7</v>
      </c>
      <c r="R1667" s="2">
        <f ca="1">INDEX(INDIRECT(_xlfn.CONCAT("weather.tbl[",R$1,"]")),MATCH(vp.data[[#This Row],[SDate]],weather.tbl[Date],0))</f>
        <v>14.3</v>
      </c>
      <c r="S1667" s="2">
        <f ca="1">INDEX(INDIRECT(_xlfn.CONCAT("weather.tbl[",S$1,"]")),MATCH(vp.data[[#This Row],[SDate]],weather.tbl[Date],0))</f>
        <v>13.2</v>
      </c>
      <c r="T1667" s="2">
        <f ca="1">INDEX(INDIRECT(_xlfn.CONCAT("weather.tbl[",T$1,"]")),MATCH(vp.data[[#This Row],[SDate]],weather.tbl[Date],0))</f>
        <v>15.2</v>
      </c>
      <c r="U1667" s="2">
        <f ca="1">INDEX(INDIRECT(_xlfn.CONCAT("weather.tbl[",U$1,"]")),MATCH(vp.data[[#This Row],[SDate]],weather.tbl[Date],0))</f>
        <v>12.5</v>
      </c>
      <c r="V1667" s="2" t="str">
        <f t="array" ref="V166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7" t="s">
        <v>48</v>
      </c>
      <c r="X1667">
        <f>IF(OR(vp.data[[#This Row],[Sulf]]="",vp.data[[#This Row],[Dens]]=""),1,0)</f>
        <v>1</v>
      </c>
      <c r="Y1667">
        <f>IF(vp.data[[#This Row],[CrudeType]]="C5+",1,0)</f>
        <v>0</v>
      </c>
      <c r="Z1667">
        <f>IF(AND(vp.data[[#This Row],[CrudeType]]="Crude",vp.data[[#This Row],[Dens]]&lt;=825,vp.data[[#This Row],[Sulf]]&gt;0.5,vp.data[[#This Row],[Unknown]]=0),1,0)</f>
        <v>0</v>
      </c>
      <c r="AA1667">
        <f>IF(AND(vp.data[[#This Row],[CrudeType]]="Crude",vp.data[[#This Row],[Dens]]&lt;=825,vp.data[[#This Row],[Sulf]]&lt;=0.5,vp.data[[#This Row],[Unknown]]=0),1,0)</f>
        <v>0</v>
      </c>
      <c r="AB166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7">
        <f>IF(AND(vp.data[[#This Row],[CrudeType]]="Crude",vp.data[[#This Row],[Dens]]&gt;825,vp.data[[#This Row],[Dens]]&lt;=900,vp.data[[#This Row],[Sulf]]&lt;=0.5,vp.data[[#This Row],[Unknown]]=0),1,0)</f>
        <v>0</v>
      </c>
      <c r="AD1667">
        <f>IF(AND(vp.data[[#This Row],[CrudeType]]="Crude",vp.data[[#This Row],[Dens]]&gt;865,vp.data[[#This Row],[Dens]]&lt;=900,vp.data[[#This Row],[Sulf]]&gt;2,vp.data[[#This Row],[Unknown]]=0),1,0)</f>
        <v>0</v>
      </c>
      <c r="AE1667">
        <f>IF(AND(vp.data[[#This Row],[CrudeType]]="Crude",vp.data[[#This Row],[Dens]]&gt;900,vp.data[[#This Row],[Sulf]]&lt;=0.5,vp.data[[#This Row],[Unknown]]=0),1,0)</f>
        <v>0</v>
      </c>
      <c r="AF1667">
        <f>IF(AND(vp.data[[#This Row],[CrudeType]]="Crude",vp.data[[#This Row],[Dens]]&gt;900,vp.data[[#This Row],[Sulf]]&lt;=0.5,vp.data[[#This Row],[Unknown]]=0),1,0)</f>
        <v>0</v>
      </c>
      <c r="AG1667" t="str">
        <f>INDEX(vp.data[[#Headers],[Unknown]:[Heavy_SW]],MATCH(1,vp.data[[#This Row],[Unknown]:[Heavy_SW]],0))</f>
        <v>Unknown</v>
      </c>
      <c r="AH1667">
        <f>INDEX([3]!crudeBD.lkup[Number],MATCH(vp.data[[#This Row],[Crude_Breakdown]],crudeBD.lkup[Crude Breakdown],0))</f>
        <v>-1</v>
      </c>
      <c r="AI1667">
        <f>MONTH(vp.data[[#This Row],[SDate]])</f>
        <v>6</v>
      </c>
      <c r="AJ1667" s="5">
        <f>(vp.data[[#This Row],[VP]]-INDEX(crudeBD.lkup[Mean_VP],MATCH(vp.data[[#This Row],[Crude_Breakdown]],crudeBD.lkup[Crude Breakdown],0)))^2</f>
        <v>456.03017433383508</v>
      </c>
      <c r="AK1667" s="5" t="e">
        <f>(vp.data[[#This Row],[Dens]]-INDEX(crudeBD.lkup[Mean_Dens],MATCH(vp.data[[#This Row],[Crude_Breakdown]],crudeBD.lkup[Crude Breakdown],0)))^2</f>
        <v>#VALUE!</v>
      </c>
      <c r="AL1667" s="5" t="e">
        <f>(vp.data[[#This Row],[Sulf]]-INDEX(crudeBD.lkup[Mean_Sulf],MATCH(vp.data[[#This Row],[Crude_Breakdown]],crudeBD.lkup[Crude Breakdown],0)))^2</f>
        <v>#VALUE!</v>
      </c>
      <c r="AM1667" s="4">
        <f>IF(AND(vp.data[[#This Row],[SDate]]&gt;=DATE(YEAR(vp.data[[#This Row],[SDate]]),5,1),vp.data[[#This Row],[SDate]]&lt;=DATE(YEAR(vp.data[[#This Row],[SDate]]),9,15)),1,0)</f>
        <v>1</v>
      </c>
      <c r="AN1667" s="4">
        <f>IF(vp.data[[#This Row],[SDate]]&lt;DATE(2016,12,1),0,1)</f>
        <v>1</v>
      </c>
      <c r="AO1667" s="4" t="str">
        <f>IFERROR(vp.data[[#This Row],[Sulf]]*vp.data[[#This Row],[Net Dens]],"")</f>
        <v/>
      </c>
      <c r="AP1667" t="str">
        <f>IFERROR(vp.data[[#This Row],[Dens]]*vp.data[[#This Row],[VolumeM3]],"")</f>
        <v/>
      </c>
      <c r="AQ1667" s="15" t="str">
        <f>IFERROR(vp.data[[#This Row],[VP]]*vp.data[[#This Row],[VolumeM3]],"")</f>
        <v/>
      </c>
    </row>
    <row r="1668" spans="1:43" x14ac:dyDescent="0.25">
      <c r="A1668">
        <v>1667</v>
      </c>
      <c r="B1668" t="s">
        <v>51</v>
      </c>
      <c r="C1668" t="s">
        <v>51</v>
      </c>
      <c r="D1668" t="s">
        <v>71</v>
      </c>
      <c r="F1668" s="1">
        <v>42902</v>
      </c>
      <c r="G1668" s="2">
        <v>74.400000000000006</v>
      </c>
      <c r="H1668" s="2"/>
      <c r="I1668" s="2" t="str">
        <f t="array" ref="I166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8" s="2"/>
      <c r="K1668" s="2"/>
      <c r="L1668" s="2"/>
      <c r="M1668" s="2" t="str">
        <f t="array" ref="M166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8" s="2">
        <f ca="1">INDEX(INDIRECT(_xlfn.CONCAT("weather.tbl[",N$1,"]")),MATCH(vp.data[[#This Row],[SDate]],weather.tbl[Date],0))</f>
        <v>14.016666666666667</v>
      </c>
      <c r="O1668" s="2">
        <f ca="1">INDEX(INDIRECT(_xlfn.CONCAT("weather.tbl[",O$1,"]")),MATCH(vp.data[[#This Row],[SDate]],weather.tbl[Date],0))</f>
        <v>15.654761904761903</v>
      </c>
      <c r="P1668" s="2">
        <f ca="1">INDEX(INDIRECT(_xlfn.CONCAT("weather.tbl[",P$1,"]")),MATCH(vp.data[[#This Row],[SDate]],weather.tbl[Date],0))</f>
        <v>15.2</v>
      </c>
      <c r="Q1668" s="2">
        <f ca="1">INDEX(INDIRECT(_xlfn.CONCAT("weather.tbl[",Q$1,"]")),MATCH(vp.data[[#This Row],[SDate]],weather.tbl[Date],0))</f>
        <v>13.7</v>
      </c>
      <c r="R1668" s="2">
        <f ca="1">INDEX(INDIRECT(_xlfn.CONCAT("weather.tbl[",R$1,"]")),MATCH(vp.data[[#This Row],[SDate]],weather.tbl[Date],0))</f>
        <v>14.3</v>
      </c>
      <c r="S1668" s="2">
        <f ca="1">INDEX(INDIRECT(_xlfn.CONCAT("weather.tbl[",S$1,"]")),MATCH(vp.data[[#This Row],[SDate]],weather.tbl[Date],0))</f>
        <v>13.2</v>
      </c>
      <c r="T1668" s="2">
        <f ca="1">INDEX(INDIRECT(_xlfn.CONCAT("weather.tbl[",T$1,"]")),MATCH(vp.data[[#This Row],[SDate]],weather.tbl[Date],0))</f>
        <v>15.2</v>
      </c>
      <c r="U1668" s="2">
        <f ca="1">INDEX(INDIRECT(_xlfn.CONCAT("weather.tbl[",U$1,"]")),MATCH(vp.data[[#This Row],[SDate]],weather.tbl[Date],0))</f>
        <v>12.5</v>
      </c>
      <c r="V1668" s="2" t="str">
        <f t="array" ref="V166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8" t="s">
        <v>48</v>
      </c>
      <c r="X1668">
        <f>IF(OR(vp.data[[#This Row],[Sulf]]="",vp.data[[#This Row],[Dens]]=""),1,0)</f>
        <v>1</v>
      </c>
      <c r="Y1668">
        <f>IF(vp.data[[#This Row],[CrudeType]]="C5+",1,0)</f>
        <v>0</v>
      </c>
      <c r="Z1668">
        <f>IF(AND(vp.data[[#This Row],[CrudeType]]="Crude",vp.data[[#This Row],[Dens]]&lt;=825,vp.data[[#This Row],[Sulf]]&gt;0.5,vp.data[[#This Row],[Unknown]]=0),1,0)</f>
        <v>0</v>
      </c>
      <c r="AA1668">
        <f>IF(AND(vp.data[[#This Row],[CrudeType]]="Crude",vp.data[[#This Row],[Dens]]&lt;=825,vp.data[[#This Row],[Sulf]]&lt;=0.5,vp.data[[#This Row],[Unknown]]=0),1,0)</f>
        <v>0</v>
      </c>
      <c r="AB166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8">
        <f>IF(AND(vp.data[[#This Row],[CrudeType]]="Crude",vp.data[[#This Row],[Dens]]&gt;825,vp.data[[#This Row],[Dens]]&lt;=900,vp.data[[#This Row],[Sulf]]&lt;=0.5,vp.data[[#This Row],[Unknown]]=0),1,0)</f>
        <v>0</v>
      </c>
      <c r="AD1668">
        <f>IF(AND(vp.data[[#This Row],[CrudeType]]="Crude",vp.data[[#This Row],[Dens]]&gt;865,vp.data[[#This Row],[Dens]]&lt;=900,vp.data[[#This Row],[Sulf]]&gt;2,vp.data[[#This Row],[Unknown]]=0),1,0)</f>
        <v>0</v>
      </c>
      <c r="AE1668">
        <f>IF(AND(vp.data[[#This Row],[CrudeType]]="Crude",vp.data[[#This Row],[Dens]]&gt;900,vp.data[[#This Row],[Sulf]]&lt;=0.5,vp.data[[#This Row],[Unknown]]=0),1,0)</f>
        <v>0</v>
      </c>
      <c r="AF1668">
        <f>IF(AND(vp.data[[#This Row],[CrudeType]]="Crude",vp.data[[#This Row],[Dens]]&gt;900,vp.data[[#This Row],[Sulf]]&lt;=0.5,vp.data[[#This Row],[Unknown]]=0),1,0)</f>
        <v>0</v>
      </c>
      <c r="AG1668" t="str">
        <f>INDEX(vp.data[[#Headers],[Unknown]:[Heavy_SW]],MATCH(1,vp.data[[#This Row],[Unknown]:[Heavy_SW]],0))</f>
        <v>Unknown</v>
      </c>
      <c r="AH1668">
        <f>INDEX([3]!crudeBD.lkup[Number],MATCH(vp.data[[#This Row],[Crude_Breakdown]],crudeBD.lkup[Crude Breakdown],0))</f>
        <v>-1</v>
      </c>
      <c r="AI1668">
        <f>MONTH(vp.data[[#This Row],[SDate]])</f>
        <v>6</v>
      </c>
      <c r="AJ1668" s="5">
        <f>(vp.data[[#This Row],[VP]]-INDEX(crudeBD.lkup[Mean_VP],MATCH(vp.data[[#This Row],[Crude_Breakdown]],crudeBD.lkup[Crude Breakdown],0)))^2</f>
        <v>0.30787296397076436</v>
      </c>
      <c r="AK1668" s="5" t="e">
        <f>(vp.data[[#This Row],[Dens]]-INDEX(crudeBD.lkup[Mean_Dens],MATCH(vp.data[[#This Row],[Crude_Breakdown]],crudeBD.lkup[Crude Breakdown],0)))^2</f>
        <v>#VALUE!</v>
      </c>
      <c r="AL1668" s="5" t="e">
        <f>(vp.data[[#This Row],[Sulf]]-INDEX(crudeBD.lkup[Mean_Sulf],MATCH(vp.data[[#This Row],[Crude_Breakdown]],crudeBD.lkup[Crude Breakdown],0)))^2</f>
        <v>#VALUE!</v>
      </c>
      <c r="AM1668" s="4">
        <f>IF(AND(vp.data[[#This Row],[SDate]]&gt;=DATE(YEAR(vp.data[[#This Row],[SDate]]),5,1),vp.data[[#This Row],[SDate]]&lt;=DATE(YEAR(vp.data[[#This Row],[SDate]]),9,15)),1,0)</f>
        <v>1</v>
      </c>
      <c r="AN1668" s="4">
        <f>IF(vp.data[[#This Row],[SDate]]&lt;DATE(2016,12,1),0,1)</f>
        <v>1</v>
      </c>
      <c r="AO1668" s="4" t="str">
        <f>IFERROR(vp.data[[#This Row],[Sulf]]*vp.data[[#This Row],[Net Dens]],"")</f>
        <v/>
      </c>
      <c r="AP1668" t="str">
        <f>IFERROR(vp.data[[#This Row],[Dens]]*vp.data[[#This Row],[VolumeM3]],"")</f>
        <v/>
      </c>
      <c r="AQ1668" s="15" t="str">
        <f>IFERROR(vp.data[[#This Row],[VP]]*vp.data[[#This Row],[VolumeM3]],"")</f>
        <v/>
      </c>
    </row>
    <row r="1669" spans="1:43" x14ac:dyDescent="0.25">
      <c r="A1669">
        <v>1668</v>
      </c>
      <c r="B1669" t="s">
        <v>46</v>
      </c>
      <c r="C1669" t="s">
        <v>46</v>
      </c>
      <c r="D1669" t="s">
        <v>47</v>
      </c>
      <c r="F1669" s="1">
        <v>42905</v>
      </c>
      <c r="G1669" s="2">
        <v>52.6</v>
      </c>
      <c r="H1669" s="2"/>
      <c r="I1669" s="2" t="str">
        <f t="array" ref="I166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69" s="2"/>
      <c r="K1669" s="2"/>
      <c r="L1669" s="2"/>
      <c r="M1669" s="2" t="str">
        <f t="array" ref="M166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69" s="2">
        <f ca="1">INDEX(INDIRECT(_xlfn.CONCAT("weather.tbl[",N$1,"]")),MATCH(vp.data[[#This Row],[SDate]],weather.tbl[Date],0))</f>
        <v>14.799999999999999</v>
      </c>
      <c r="O1669" s="2">
        <f ca="1">INDEX(INDIRECT(_xlfn.CONCAT("weather.tbl[",O$1,"]")),MATCH(vp.data[[#This Row],[SDate]],weather.tbl[Date],0))</f>
        <v>14.757142857142856</v>
      </c>
      <c r="P1669" s="2">
        <f ca="1">INDEX(INDIRECT(_xlfn.CONCAT("weather.tbl[",P$1,"]")),MATCH(vp.data[[#This Row],[SDate]],weather.tbl[Date],0))</f>
        <v>15.1</v>
      </c>
      <c r="Q1669" s="2">
        <f ca="1">INDEX(INDIRECT(_xlfn.CONCAT("weather.tbl[",Q$1,"]")),MATCH(vp.data[[#This Row],[SDate]],weather.tbl[Date],0))</f>
        <v>15.4</v>
      </c>
      <c r="R1669" s="2">
        <f ca="1">INDEX(INDIRECT(_xlfn.CONCAT("weather.tbl[",R$1,"]")),MATCH(vp.data[[#This Row],[SDate]],weather.tbl[Date],0))</f>
        <v>14.5</v>
      </c>
      <c r="S1669" s="2">
        <f ca="1">INDEX(INDIRECT(_xlfn.CONCAT("weather.tbl[",S$1,"]")),MATCH(vp.data[[#This Row],[SDate]],weather.tbl[Date],0))</f>
        <v>15.2</v>
      </c>
      <c r="T1669" s="2">
        <f ca="1">INDEX(INDIRECT(_xlfn.CONCAT("weather.tbl[",T$1,"]")),MATCH(vp.data[[#This Row],[SDate]],weather.tbl[Date],0))</f>
        <v>14.8</v>
      </c>
      <c r="U1669" s="2">
        <f ca="1">INDEX(INDIRECT(_xlfn.CONCAT("weather.tbl[",U$1,"]")),MATCH(vp.data[[#This Row],[SDate]],weather.tbl[Date],0))</f>
        <v>13.8</v>
      </c>
      <c r="V1669" s="2" t="str">
        <f t="array" ref="V166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69" t="s">
        <v>48</v>
      </c>
      <c r="X1669">
        <f>IF(OR(vp.data[[#This Row],[Sulf]]="",vp.data[[#This Row],[Dens]]=""),1,0)</f>
        <v>1</v>
      </c>
      <c r="Y1669">
        <f>IF(vp.data[[#This Row],[CrudeType]]="C5+",1,0)</f>
        <v>0</v>
      </c>
      <c r="Z1669">
        <f>IF(AND(vp.data[[#This Row],[CrudeType]]="Crude",vp.data[[#This Row],[Dens]]&lt;=825,vp.data[[#This Row],[Sulf]]&gt;0.5,vp.data[[#This Row],[Unknown]]=0),1,0)</f>
        <v>0</v>
      </c>
      <c r="AA1669">
        <f>IF(AND(vp.data[[#This Row],[CrudeType]]="Crude",vp.data[[#This Row],[Dens]]&lt;=825,vp.data[[#This Row],[Sulf]]&lt;=0.5,vp.data[[#This Row],[Unknown]]=0),1,0)</f>
        <v>0</v>
      </c>
      <c r="AB166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69">
        <f>IF(AND(vp.data[[#This Row],[CrudeType]]="Crude",vp.data[[#This Row],[Dens]]&gt;825,vp.data[[#This Row],[Dens]]&lt;=900,vp.data[[#This Row],[Sulf]]&lt;=0.5,vp.data[[#This Row],[Unknown]]=0),1,0)</f>
        <v>0</v>
      </c>
      <c r="AD1669">
        <f>IF(AND(vp.data[[#This Row],[CrudeType]]="Crude",vp.data[[#This Row],[Dens]]&gt;865,vp.data[[#This Row],[Dens]]&lt;=900,vp.data[[#This Row],[Sulf]]&gt;2,vp.data[[#This Row],[Unknown]]=0),1,0)</f>
        <v>0</v>
      </c>
      <c r="AE1669">
        <f>IF(AND(vp.data[[#This Row],[CrudeType]]="Crude",vp.data[[#This Row],[Dens]]&gt;900,vp.data[[#This Row],[Sulf]]&lt;=0.5,vp.data[[#This Row],[Unknown]]=0),1,0)</f>
        <v>0</v>
      </c>
      <c r="AF1669">
        <f>IF(AND(vp.data[[#This Row],[CrudeType]]="Crude",vp.data[[#This Row],[Dens]]&gt;900,vp.data[[#This Row],[Sulf]]&lt;=0.5,vp.data[[#This Row],[Unknown]]=0),1,0)</f>
        <v>0</v>
      </c>
      <c r="AG1669" t="str">
        <f>INDEX(vp.data[[#Headers],[Unknown]:[Heavy_SW]],MATCH(1,vp.data[[#This Row],[Unknown]:[Heavy_SW]],0))</f>
        <v>Unknown</v>
      </c>
      <c r="AH1669">
        <f>INDEX([3]!crudeBD.lkup[Number],MATCH(vp.data[[#This Row],[Crude_Breakdown]],crudeBD.lkup[Crude Breakdown],0))</f>
        <v>-1</v>
      </c>
      <c r="AI1669">
        <f>MONTH(vp.data[[#This Row],[SDate]])</f>
        <v>6</v>
      </c>
      <c r="AJ1669" s="5">
        <f>(vp.data[[#This Row],[VP]]-INDEX(crudeBD.lkup[Mean_VP],MATCH(vp.data[[#This Row],[Crude_Breakdown]],crudeBD.lkup[Crude Breakdown],0)))^2</f>
        <v>451.35584556670915</v>
      </c>
      <c r="AK1669" s="5" t="e">
        <f>(vp.data[[#This Row],[Dens]]-INDEX(crudeBD.lkup[Mean_Dens],MATCH(vp.data[[#This Row],[Crude_Breakdown]],crudeBD.lkup[Crude Breakdown],0)))^2</f>
        <v>#VALUE!</v>
      </c>
      <c r="AL1669" s="5" t="e">
        <f>(vp.data[[#This Row],[Sulf]]-INDEX(crudeBD.lkup[Mean_Sulf],MATCH(vp.data[[#This Row],[Crude_Breakdown]],crudeBD.lkup[Crude Breakdown],0)))^2</f>
        <v>#VALUE!</v>
      </c>
      <c r="AM1669" s="4">
        <f>IF(AND(vp.data[[#This Row],[SDate]]&gt;=DATE(YEAR(vp.data[[#This Row],[SDate]]),5,1),vp.data[[#This Row],[SDate]]&lt;=DATE(YEAR(vp.data[[#This Row],[SDate]]),9,15)),1,0)</f>
        <v>1</v>
      </c>
      <c r="AN1669" s="4">
        <f>IF(vp.data[[#This Row],[SDate]]&lt;DATE(2016,12,1),0,1)</f>
        <v>1</v>
      </c>
      <c r="AO1669" s="4" t="str">
        <f>IFERROR(vp.data[[#This Row],[Sulf]]*vp.data[[#This Row],[Net Dens]],"")</f>
        <v/>
      </c>
      <c r="AP1669" t="str">
        <f>IFERROR(vp.data[[#This Row],[Dens]]*vp.data[[#This Row],[VolumeM3]],"")</f>
        <v/>
      </c>
      <c r="AQ1669" s="15" t="str">
        <f>IFERROR(vp.data[[#This Row],[VP]]*vp.data[[#This Row],[VolumeM3]],"")</f>
        <v/>
      </c>
    </row>
    <row r="1670" spans="1:43" x14ac:dyDescent="0.25">
      <c r="A1670">
        <v>1669</v>
      </c>
      <c r="B1670" t="s">
        <v>51</v>
      </c>
      <c r="C1670" t="s">
        <v>51</v>
      </c>
      <c r="D1670" t="s">
        <v>52</v>
      </c>
      <c r="F1670" s="1">
        <v>42905</v>
      </c>
      <c r="G1670" s="2">
        <v>67.7</v>
      </c>
      <c r="H1670" s="2"/>
      <c r="I1670" s="2" t="str">
        <f t="array" ref="I167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0" s="2"/>
      <c r="K1670" s="2"/>
      <c r="L1670" s="2"/>
      <c r="M1670" s="2" t="str">
        <f t="array" ref="M167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0" s="2">
        <f ca="1">INDEX(INDIRECT(_xlfn.CONCAT("weather.tbl[",N$1,"]")),MATCH(vp.data[[#This Row],[SDate]],weather.tbl[Date],0))</f>
        <v>14.799999999999999</v>
      </c>
      <c r="O1670" s="2">
        <f ca="1">INDEX(INDIRECT(_xlfn.CONCAT("weather.tbl[",O$1,"]")),MATCH(vp.data[[#This Row],[SDate]],weather.tbl[Date],0))</f>
        <v>14.757142857142856</v>
      </c>
      <c r="P1670" s="2">
        <f ca="1">INDEX(INDIRECT(_xlfn.CONCAT("weather.tbl[",P$1,"]")),MATCH(vp.data[[#This Row],[SDate]],weather.tbl[Date],0))</f>
        <v>15.1</v>
      </c>
      <c r="Q1670" s="2">
        <f ca="1">INDEX(INDIRECT(_xlfn.CONCAT("weather.tbl[",Q$1,"]")),MATCH(vp.data[[#This Row],[SDate]],weather.tbl[Date],0))</f>
        <v>15.4</v>
      </c>
      <c r="R1670" s="2">
        <f ca="1">INDEX(INDIRECT(_xlfn.CONCAT("weather.tbl[",R$1,"]")),MATCH(vp.data[[#This Row],[SDate]],weather.tbl[Date],0))</f>
        <v>14.5</v>
      </c>
      <c r="S1670" s="2">
        <f ca="1">INDEX(INDIRECT(_xlfn.CONCAT("weather.tbl[",S$1,"]")),MATCH(vp.data[[#This Row],[SDate]],weather.tbl[Date],0))</f>
        <v>15.2</v>
      </c>
      <c r="T1670" s="2">
        <f ca="1">INDEX(INDIRECT(_xlfn.CONCAT("weather.tbl[",T$1,"]")),MATCH(vp.data[[#This Row],[SDate]],weather.tbl[Date],0))</f>
        <v>14.8</v>
      </c>
      <c r="U1670" s="2">
        <f ca="1">INDEX(INDIRECT(_xlfn.CONCAT("weather.tbl[",U$1,"]")),MATCH(vp.data[[#This Row],[SDate]],weather.tbl[Date],0))</f>
        <v>13.8</v>
      </c>
      <c r="V1670" s="2" t="str">
        <f t="array" ref="V167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0" t="s">
        <v>48</v>
      </c>
      <c r="X1670">
        <f>IF(OR(vp.data[[#This Row],[Sulf]]="",vp.data[[#This Row],[Dens]]=""),1,0)</f>
        <v>1</v>
      </c>
      <c r="Y1670">
        <f>IF(vp.data[[#This Row],[CrudeType]]="C5+",1,0)</f>
        <v>0</v>
      </c>
      <c r="Z1670">
        <f>IF(AND(vp.data[[#This Row],[CrudeType]]="Crude",vp.data[[#This Row],[Dens]]&lt;=825,vp.data[[#This Row],[Sulf]]&gt;0.5,vp.data[[#This Row],[Unknown]]=0),1,0)</f>
        <v>0</v>
      </c>
      <c r="AA1670">
        <f>IF(AND(vp.data[[#This Row],[CrudeType]]="Crude",vp.data[[#This Row],[Dens]]&lt;=825,vp.data[[#This Row],[Sulf]]&lt;=0.5,vp.data[[#This Row],[Unknown]]=0),1,0)</f>
        <v>0</v>
      </c>
      <c r="AB167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0">
        <f>IF(AND(vp.data[[#This Row],[CrudeType]]="Crude",vp.data[[#This Row],[Dens]]&gt;825,vp.data[[#This Row],[Dens]]&lt;=900,vp.data[[#This Row],[Sulf]]&lt;=0.5,vp.data[[#This Row],[Unknown]]=0),1,0)</f>
        <v>0</v>
      </c>
      <c r="AD1670">
        <f>IF(AND(vp.data[[#This Row],[CrudeType]]="Crude",vp.data[[#This Row],[Dens]]&gt;865,vp.data[[#This Row],[Dens]]&lt;=900,vp.data[[#This Row],[Sulf]]&gt;2,vp.data[[#This Row],[Unknown]]=0),1,0)</f>
        <v>0</v>
      </c>
      <c r="AE1670">
        <f>IF(AND(vp.data[[#This Row],[CrudeType]]="Crude",vp.data[[#This Row],[Dens]]&gt;900,vp.data[[#This Row],[Sulf]]&lt;=0.5,vp.data[[#This Row],[Unknown]]=0),1,0)</f>
        <v>0</v>
      </c>
      <c r="AF1670">
        <f>IF(AND(vp.data[[#This Row],[CrudeType]]="Crude",vp.data[[#This Row],[Dens]]&gt;900,vp.data[[#This Row],[Sulf]]&lt;=0.5,vp.data[[#This Row],[Unknown]]=0),1,0)</f>
        <v>0</v>
      </c>
      <c r="AG1670" t="str">
        <f>INDEX(vp.data[[#Headers],[Unknown]:[Heavy_SW]],MATCH(1,vp.data[[#This Row],[Unknown]:[Heavy_SW]],0))</f>
        <v>Unknown</v>
      </c>
      <c r="AH1670">
        <f>INDEX([3]!crudeBD.lkup[Number],MATCH(vp.data[[#This Row],[Crude_Breakdown]],crudeBD.lkup[Crude Breakdown],0))</f>
        <v>-1</v>
      </c>
      <c r="AI1670">
        <f>MONTH(vp.data[[#This Row],[SDate]])</f>
        <v>6</v>
      </c>
      <c r="AJ1670" s="5">
        <f>(vp.data[[#This Row],[VP]]-INDEX(crudeBD.lkup[Mean_VP],MATCH(vp.data[[#This Row],[Crude_Breakdown]],crudeBD.lkup[Crude Breakdown],0)))^2</f>
        <v>37.762708580408692</v>
      </c>
      <c r="AK1670" s="5" t="e">
        <f>(vp.data[[#This Row],[Dens]]-INDEX(crudeBD.lkup[Mean_Dens],MATCH(vp.data[[#This Row],[Crude_Breakdown]],crudeBD.lkup[Crude Breakdown],0)))^2</f>
        <v>#VALUE!</v>
      </c>
      <c r="AL1670" s="5" t="e">
        <f>(vp.data[[#This Row],[Sulf]]-INDEX(crudeBD.lkup[Mean_Sulf],MATCH(vp.data[[#This Row],[Crude_Breakdown]],crudeBD.lkup[Crude Breakdown],0)))^2</f>
        <v>#VALUE!</v>
      </c>
      <c r="AM1670" s="4">
        <f>IF(AND(vp.data[[#This Row],[SDate]]&gt;=DATE(YEAR(vp.data[[#This Row],[SDate]]),5,1),vp.data[[#This Row],[SDate]]&lt;=DATE(YEAR(vp.data[[#This Row],[SDate]]),9,15)),1,0)</f>
        <v>1</v>
      </c>
      <c r="AN1670" s="4">
        <f>IF(vp.data[[#This Row],[SDate]]&lt;DATE(2016,12,1),0,1)</f>
        <v>1</v>
      </c>
      <c r="AO1670" s="4" t="str">
        <f>IFERROR(vp.data[[#This Row],[Sulf]]*vp.data[[#This Row],[Net Dens]],"")</f>
        <v/>
      </c>
      <c r="AP1670" t="str">
        <f>IFERROR(vp.data[[#This Row],[Dens]]*vp.data[[#This Row],[VolumeM3]],"")</f>
        <v/>
      </c>
      <c r="AQ1670" s="15" t="str">
        <f>IFERROR(vp.data[[#This Row],[VP]]*vp.data[[#This Row],[VolumeM3]],"")</f>
        <v/>
      </c>
    </row>
    <row r="1671" spans="1:43" x14ac:dyDescent="0.25">
      <c r="A1671">
        <v>1670</v>
      </c>
      <c r="B1671" t="s">
        <v>49</v>
      </c>
      <c r="C1671" t="s">
        <v>49</v>
      </c>
      <c r="D1671" t="s">
        <v>50</v>
      </c>
      <c r="F1671" s="1">
        <v>42905</v>
      </c>
      <c r="G1671" s="2">
        <v>68.400000000000006</v>
      </c>
      <c r="H1671" s="2"/>
      <c r="I1671" s="2" t="str">
        <f t="array" ref="I167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1" s="2"/>
      <c r="K1671" s="2"/>
      <c r="L1671" s="2"/>
      <c r="M1671" s="2" t="str">
        <f t="array" ref="M167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1" s="2">
        <f ca="1">INDEX(INDIRECT(_xlfn.CONCAT("weather.tbl[",N$1,"]")),MATCH(vp.data[[#This Row],[SDate]],weather.tbl[Date],0))</f>
        <v>14.799999999999999</v>
      </c>
      <c r="O1671" s="2">
        <f ca="1">INDEX(INDIRECT(_xlfn.CONCAT("weather.tbl[",O$1,"]")),MATCH(vp.data[[#This Row],[SDate]],weather.tbl[Date],0))</f>
        <v>14.757142857142856</v>
      </c>
      <c r="P1671" s="2">
        <f ca="1">INDEX(INDIRECT(_xlfn.CONCAT("weather.tbl[",P$1,"]")),MATCH(vp.data[[#This Row],[SDate]],weather.tbl[Date],0))</f>
        <v>15.1</v>
      </c>
      <c r="Q1671" s="2">
        <f ca="1">INDEX(INDIRECT(_xlfn.CONCAT("weather.tbl[",Q$1,"]")),MATCH(vp.data[[#This Row],[SDate]],weather.tbl[Date],0))</f>
        <v>15.4</v>
      </c>
      <c r="R1671" s="2">
        <f ca="1">INDEX(INDIRECT(_xlfn.CONCAT("weather.tbl[",R$1,"]")),MATCH(vp.data[[#This Row],[SDate]],weather.tbl[Date],0))</f>
        <v>14.5</v>
      </c>
      <c r="S1671" s="2">
        <f ca="1">INDEX(INDIRECT(_xlfn.CONCAT("weather.tbl[",S$1,"]")),MATCH(vp.data[[#This Row],[SDate]],weather.tbl[Date],0))</f>
        <v>15.2</v>
      </c>
      <c r="T1671" s="2">
        <f ca="1">INDEX(INDIRECT(_xlfn.CONCAT("weather.tbl[",T$1,"]")),MATCH(vp.data[[#This Row],[SDate]],weather.tbl[Date],0))</f>
        <v>14.8</v>
      </c>
      <c r="U1671" s="2">
        <f ca="1">INDEX(INDIRECT(_xlfn.CONCAT("weather.tbl[",U$1,"]")),MATCH(vp.data[[#This Row],[SDate]],weather.tbl[Date],0))</f>
        <v>13.8</v>
      </c>
      <c r="V1671" s="2" t="str">
        <f t="array" ref="V167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1" t="s">
        <v>48</v>
      </c>
      <c r="X1671">
        <f>IF(OR(vp.data[[#This Row],[Sulf]]="",vp.data[[#This Row],[Dens]]=""),1,0)</f>
        <v>1</v>
      </c>
      <c r="Y1671">
        <f>IF(vp.data[[#This Row],[CrudeType]]="C5+",1,0)</f>
        <v>0</v>
      </c>
      <c r="Z1671">
        <f>IF(AND(vp.data[[#This Row],[CrudeType]]="Crude",vp.data[[#This Row],[Dens]]&lt;=825,vp.data[[#This Row],[Sulf]]&gt;0.5,vp.data[[#This Row],[Unknown]]=0),1,0)</f>
        <v>0</v>
      </c>
      <c r="AA1671">
        <f>IF(AND(vp.data[[#This Row],[CrudeType]]="Crude",vp.data[[#This Row],[Dens]]&lt;=825,vp.data[[#This Row],[Sulf]]&lt;=0.5,vp.data[[#This Row],[Unknown]]=0),1,0)</f>
        <v>0</v>
      </c>
      <c r="AB167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1">
        <f>IF(AND(vp.data[[#This Row],[CrudeType]]="Crude",vp.data[[#This Row],[Dens]]&gt;825,vp.data[[#This Row],[Dens]]&lt;=900,vp.data[[#This Row],[Sulf]]&lt;=0.5,vp.data[[#This Row],[Unknown]]=0),1,0)</f>
        <v>0</v>
      </c>
      <c r="AD1671">
        <f>IF(AND(vp.data[[#This Row],[CrudeType]]="Crude",vp.data[[#This Row],[Dens]]&gt;865,vp.data[[#This Row],[Dens]]&lt;=900,vp.data[[#This Row],[Sulf]]&gt;2,vp.data[[#This Row],[Unknown]]=0),1,0)</f>
        <v>0</v>
      </c>
      <c r="AE1671">
        <f>IF(AND(vp.data[[#This Row],[CrudeType]]="Crude",vp.data[[#This Row],[Dens]]&gt;900,vp.data[[#This Row],[Sulf]]&lt;=0.5,vp.data[[#This Row],[Unknown]]=0),1,0)</f>
        <v>0</v>
      </c>
      <c r="AF1671">
        <f>IF(AND(vp.data[[#This Row],[CrudeType]]="Crude",vp.data[[#This Row],[Dens]]&gt;900,vp.data[[#This Row],[Sulf]]&lt;=0.5,vp.data[[#This Row],[Unknown]]=0),1,0)</f>
        <v>0</v>
      </c>
      <c r="AG1671" t="str">
        <f>INDEX(vp.data[[#Headers],[Unknown]:[Heavy_SW]],MATCH(1,vp.data[[#This Row],[Unknown]:[Heavy_SW]],0))</f>
        <v>Unknown</v>
      </c>
      <c r="AH1671">
        <f>INDEX([3]!crudeBD.lkup[Number],MATCH(vp.data[[#This Row],[Crude_Breakdown]],crudeBD.lkup[Crude Breakdown],0))</f>
        <v>-1</v>
      </c>
      <c r="AI1671">
        <f>MONTH(vp.data[[#This Row],[SDate]])</f>
        <v>6</v>
      </c>
      <c r="AJ1671" s="5">
        <f>(vp.data[[#This Row],[VP]]-INDEX(crudeBD.lkup[Mean_VP],MATCH(vp.data[[#This Row],[Crude_Breakdown]],crudeBD.lkup[Crude Breakdown],0)))^2</f>
        <v>29.649516799586792</v>
      </c>
      <c r="AK1671" s="5" t="e">
        <f>(vp.data[[#This Row],[Dens]]-INDEX(crudeBD.lkup[Mean_Dens],MATCH(vp.data[[#This Row],[Crude_Breakdown]],crudeBD.lkup[Crude Breakdown],0)))^2</f>
        <v>#VALUE!</v>
      </c>
      <c r="AL1671" s="5" t="e">
        <f>(vp.data[[#This Row],[Sulf]]-INDEX(crudeBD.lkup[Mean_Sulf],MATCH(vp.data[[#This Row],[Crude_Breakdown]],crudeBD.lkup[Crude Breakdown],0)))^2</f>
        <v>#VALUE!</v>
      </c>
      <c r="AM1671" s="4">
        <f>IF(AND(vp.data[[#This Row],[SDate]]&gt;=DATE(YEAR(vp.data[[#This Row],[SDate]]),5,1),vp.data[[#This Row],[SDate]]&lt;=DATE(YEAR(vp.data[[#This Row],[SDate]]),9,15)),1,0)</f>
        <v>1</v>
      </c>
      <c r="AN1671" s="4">
        <f>IF(vp.data[[#This Row],[SDate]]&lt;DATE(2016,12,1),0,1)</f>
        <v>1</v>
      </c>
      <c r="AO1671" s="4" t="str">
        <f>IFERROR(vp.data[[#This Row],[Sulf]]*vp.data[[#This Row],[Net Dens]],"")</f>
        <v/>
      </c>
      <c r="AP1671" t="str">
        <f>IFERROR(vp.data[[#This Row],[Dens]]*vp.data[[#This Row],[VolumeM3]],"")</f>
        <v/>
      </c>
      <c r="AQ1671" s="15" t="str">
        <f>IFERROR(vp.data[[#This Row],[VP]]*vp.data[[#This Row],[VolumeM3]],"")</f>
        <v/>
      </c>
    </row>
    <row r="1672" spans="1:43" x14ac:dyDescent="0.25">
      <c r="A1672">
        <v>1671</v>
      </c>
      <c r="B1672" t="s">
        <v>111</v>
      </c>
      <c r="C1672" t="s">
        <v>111</v>
      </c>
      <c r="D1672" t="s">
        <v>112</v>
      </c>
      <c r="F1672" s="1">
        <v>42905</v>
      </c>
      <c r="G1672" s="2">
        <v>71.3</v>
      </c>
      <c r="H1672" s="2"/>
      <c r="I1672" s="2" t="str">
        <f t="array" ref="I167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2" s="2"/>
      <c r="K1672" s="2"/>
      <c r="L1672" s="2"/>
      <c r="M1672" s="2" t="str">
        <f t="array" ref="M167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2" s="2">
        <f ca="1">INDEX(INDIRECT(_xlfn.CONCAT("weather.tbl[",N$1,"]")),MATCH(vp.data[[#This Row],[SDate]],weather.tbl[Date],0))</f>
        <v>14.799999999999999</v>
      </c>
      <c r="O1672" s="2">
        <f ca="1">INDEX(INDIRECT(_xlfn.CONCAT("weather.tbl[",O$1,"]")),MATCH(vp.data[[#This Row],[SDate]],weather.tbl[Date],0))</f>
        <v>14.757142857142856</v>
      </c>
      <c r="P1672" s="2">
        <f ca="1">INDEX(INDIRECT(_xlfn.CONCAT("weather.tbl[",P$1,"]")),MATCH(vp.data[[#This Row],[SDate]],weather.tbl[Date],0))</f>
        <v>15.1</v>
      </c>
      <c r="Q1672" s="2">
        <f ca="1">INDEX(INDIRECT(_xlfn.CONCAT("weather.tbl[",Q$1,"]")),MATCH(vp.data[[#This Row],[SDate]],weather.tbl[Date],0))</f>
        <v>15.4</v>
      </c>
      <c r="R1672" s="2">
        <f ca="1">INDEX(INDIRECT(_xlfn.CONCAT("weather.tbl[",R$1,"]")),MATCH(vp.data[[#This Row],[SDate]],weather.tbl[Date],0))</f>
        <v>14.5</v>
      </c>
      <c r="S1672" s="2">
        <f ca="1">INDEX(INDIRECT(_xlfn.CONCAT("weather.tbl[",S$1,"]")),MATCH(vp.data[[#This Row],[SDate]],weather.tbl[Date],0))</f>
        <v>15.2</v>
      </c>
      <c r="T1672" s="2">
        <f ca="1">INDEX(INDIRECT(_xlfn.CONCAT("weather.tbl[",T$1,"]")),MATCH(vp.data[[#This Row],[SDate]],weather.tbl[Date],0))</f>
        <v>14.8</v>
      </c>
      <c r="U1672" s="2">
        <f ca="1">INDEX(INDIRECT(_xlfn.CONCAT("weather.tbl[",U$1,"]")),MATCH(vp.data[[#This Row],[SDate]],weather.tbl[Date],0))</f>
        <v>13.8</v>
      </c>
      <c r="V1672" s="2" t="str">
        <f t="array" ref="V167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2" t="s">
        <v>48</v>
      </c>
      <c r="X1672">
        <f>IF(OR(vp.data[[#This Row],[Sulf]]="",vp.data[[#This Row],[Dens]]=""),1,0)</f>
        <v>1</v>
      </c>
      <c r="Y1672">
        <f>IF(vp.data[[#This Row],[CrudeType]]="C5+",1,0)</f>
        <v>0</v>
      </c>
      <c r="Z1672">
        <f>IF(AND(vp.data[[#This Row],[CrudeType]]="Crude",vp.data[[#This Row],[Dens]]&lt;=825,vp.data[[#This Row],[Sulf]]&gt;0.5,vp.data[[#This Row],[Unknown]]=0),1,0)</f>
        <v>0</v>
      </c>
      <c r="AA1672">
        <f>IF(AND(vp.data[[#This Row],[CrudeType]]="Crude",vp.data[[#This Row],[Dens]]&lt;=825,vp.data[[#This Row],[Sulf]]&lt;=0.5,vp.data[[#This Row],[Unknown]]=0),1,0)</f>
        <v>0</v>
      </c>
      <c r="AB167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2">
        <f>IF(AND(vp.data[[#This Row],[CrudeType]]="Crude",vp.data[[#This Row],[Dens]]&gt;825,vp.data[[#This Row],[Dens]]&lt;=900,vp.data[[#This Row],[Sulf]]&lt;=0.5,vp.data[[#This Row],[Unknown]]=0),1,0)</f>
        <v>0</v>
      </c>
      <c r="AD1672">
        <f>IF(AND(vp.data[[#This Row],[CrudeType]]="Crude",vp.data[[#This Row],[Dens]]&gt;865,vp.data[[#This Row],[Dens]]&lt;=900,vp.data[[#This Row],[Sulf]]&gt;2,vp.data[[#This Row],[Unknown]]=0),1,0)</f>
        <v>0</v>
      </c>
      <c r="AE1672">
        <f>IF(AND(vp.data[[#This Row],[CrudeType]]="Crude",vp.data[[#This Row],[Dens]]&gt;900,vp.data[[#This Row],[Sulf]]&lt;=0.5,vp.data[[#This Row],[Unknown]]=0),1,0)</f>
        <v>0</v>
      </c>
      <c r="AF1672">
        <f>IF(AND(vp.data[[#This Row],[CrudeType]]="Crude",vp.data[[#This Row],[Dens]]&gt;900,vp.data[[#This Row],[Sulf]]&lt;=0.5,vp.data[[#This Row],[Unknown]]=0),1,0)</f>
        <v>0</v>
      </c>
      <c r="AG1672" t="str">
        <f>INDEX(vp.data[[#Headers],[Unknown]:[Heavy_SW]],MATCH(1,vp.data[[#This Row],[Unknown]:[Heavy_SW]],0))</f>
        <v>Unknown</v>
      </c>
      <c r="AH1672">
        <f>INDEX([3]!crudeBD.lkup[Number],MATCH(vp.data[[#This Row],[Crude_Breakdown]],crudeBD.lkup[Crude Breakdown],0))</f>
        <v>-1</v>
      </c>
      <c r="AI1672">
        <f>MONTH(vp.data[[#This Row],[SDate]])</f>
        <v>6</v>
      </c>
      <c r="AJ1672" s="5">
        <f>(vp.data[[#This Row],[VP]]-INDEX(crudeBD.lkup[Mean_VP],MATCH(vp.data[[#This Row],[Crude_Breakdown]],crudeBD.lkup[Crude Breakdown],0)))^2</f>
        <v>6.4777222790390878</v>
      </c>
      <c r="AK1672" s="5" t="e">
        <f>(vp.data[[#This Row],[Dens]]-INDEX(crudeBD.lkup[Mean_Dens],MATCH(vp.data[[#This Row],[Crude_Breakdown]],crudeBD.lkup[Crude Breakdown],0)))^2</f>
        <v>#VALUE!</v>
      </c>
      <c r="AL1672" s="5" t="e">
        <f>(vp.data[[#This Row],[Sulf]]-INDEX(crudeBD.lkup[Mean_Sulf],MATCH(vp.data[[#This Row],[Crude_Breakdown]],crudeBD.lkup[Crude Breakdown],0)))^2</f>
        <v>#VALUE!</v>
      </c>
      <c r="AM1672" s="4">
        <f>IF(AND(vp.data[[#This Row],[SDate]]&gt;=DATE(YEAR(vp.data[[#This Row],[SDate]]),5,1),vp.data[[#This Row],[SDate]]&lt;=DATE(YEAR(vp.data[[#This Row],[SDate]]),9,15)),1,0)</f>
        <v>1</v>
      </c>
      <c r="AN1672" s="4">
        <f>IF(vp.data[[#This Row],[SDate]]&lt;DATE(2016,12,1),0,1)</f>
        <v>1</v>
      </c>
      <c r="AO1672" s="4" t="str">
        <f>IFERROR(vp.data[[#This Row],[Sulf]]*vp.data[[#This Row],[Net Dens]],"")</f>
        <v/>
      </c>
      <c r="AP1672" t="str">
        <f>IFERROR(vp.data[[#This Row],[Dens]]*vp.data[[#This Row],[VolumeM3]],"")</f>
        <v/>
      </c>
      <c r="AQ1672" s="15" t="str">
        <f>IFERROR(vp.data[[#This Row],[VP]]*vp.data[[#This Row],[VolumeM3]],"")</f>
        <v/>
      </c>
    </row>
    <row r="1673" spans="1:43" x14ac:dyDescent="0.25">
      <c r="A1673">
        <v>1672</v>
      </c>
      <c r="B1673" t="s">
        <v>111</v>
      </c>
      <c r="C1673" t="s">
        <v>111</v>
      </c>
      <c r="D1673" t="s">
        <v>234</v>
      </c>
      <c r="F1673" s="1">
        <v>42905</v>
      </c>
      <c r="G1673" s="2">
        <v>65.400000000000006</v>
      </c>
      <c r="H1673" s="2"/>
      <c r="I1673" s="2" t="str">
        <f t="array" ref="I167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3" s="2"/>
      <c r="K1673" s="2"/>
      <c r="L1673" s="2"/>
      <c r="M1673" s="2" t="str">
        <f t="array" ref="M167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3" s="2">
        <f ca="1">INDEX(INDIRECT(_xlfn.CONCAT("weather.tbl[",N$1,"]")),MATCH(vp.data[[#This Row],[SDate]],weather.tbl[Date],0))</f>
        <v>14.799999999999999</v>
      </c>
      <c r="O1673" s="2">
        <f ca="1">INDEX(INDIRECT(_xlfn.CONCAT("weather.tbl[",O$1,"]")),MATCH(vp.data[[#This Row],[SDate]],weather.tbl[Date],0))</f>
        <v>14.757142857142856</v>
      </c>
      <c r="P1673" s="2">
        <f ca="1">INDEX(INDIRECT(_xlfn.CONCAT("weather.tbl[",P$1,"]")),MATCH(vp.data[[#This Row],[SDate]],weather.tbl[Date],0))</f>
        <v>15.1</v>
      </c>
      <c r="Q1673" s="2">
        <f ca="1">INDEX(INDIRECT(_xlfn.CONCAT("weather.tbl[",Q$1,"]")),MATCH(vp.data[[#This Row],[SDate]],weather.tbl[Date],0))</f>
        <v>15.4</v>
      </c>
      <c r="R1673" s="2">
        <f ca="1">INDEX(INDIRECT(_xlfn.CONCAT("weather.tbl[",R$1,"]")),MATCH(vp.data[[#This Row],[SDate]],weather.tbl[Date],0))</f>
        <v>14.5</v>
      </c>
      <c r="S1673" s="2">
        <f ca="1">INDEX(INDIRECT(_xlfn.CONCAT("weather.tbl[",S$1,"]")),MATCH(vp.data[[#This Row],[SDate]],weather.tbl[Date],0))</f>
        <v>15.2</v>
      </c>
      <c r="T1673" s="2">
        <f ca="1">INDEX(INDIRECT(_xlfn.CONCAT("weather.tbl[",T$1,"]")),MATCH(vp.data[[#This Row],[SDate]],weather.tbl[Date],0))</f>
        <v>14.8</v>
      </c>
      <c r="U1673" s="2">
        <f ca="1">INDEX(INDIRECT(_xlfn.CONCAT("weather.tbl[",U$1,"]")),MATCH(vp.data[[#This Row],[SDate]],weather.tbl[Date],0))</f>
        <v>13.8</v>
      </c>
      <c r="V1673" s="2" t="str">
        <f t="array" ref="V167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3" t="s">
        <v>48</v>
      </c>
      <c r="X1673">
        <f>IF(OR(vp.data[[#This Row],[Sulf]]="",vp.data[[#This Row],[Dens]]=""),1,0)</f>
        <v>1</v>
      </c>
      <c r="Y1673">
        <f>IF(vp.data[[#This Row],[CrudeType]]="C5+",1,0)</f>
        <v>0</v>
      </c>
      <c r="Z1673">
        <f>IF(AND(vp.data[[#This Row],[CrudeType]]="Crude",vp.data[[#This Row],[Dens]]&lt;=825,vp.data[[#This Row],[Sulf]]&gt;0.5,vp.data[[#This Row],[Unknown]]=0),1,0)</f>
        <v>0</v>
      </c>
      <c r="AA1673">
        <f>IF(AND(vp.data[[#This Row],[CrudeType]]="Crude",vp.data[[#This Row],[Dens]]&lt;=825,vp.data[[#This Row],[Sulf]]&lt;=0.5,vp.data[[#This Row],[Unknown]]=0),1,0)</f>
        <v>0</v>
      </c>
      <c r="AB167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3">
        <f>IF(AND(vp.data[[#This Row],[CrudeType]]="Crude",vp.data[[#This Row],[Dens]]&gt;825,vp.data[[#This Row],[Dens]]&lt;=900,vp.data[[#This Row],[Sulf]]&lt;=0.5,vp.data[[#This Row],[Unknown]]=0),1,0)</f>
        <v>0</v>
      </c>
      <c r="AD1673">
        <f>IF(AND(vp.data[[#This Row],[CrudeType]]="Crude",vp.data[[#This Row],[Dens]]&gt;865,vp.data[[#This Row],[Dens]]&lt;=900,vp.data[[#This Row],[Sulf]]&gt;2,vp.data[[#This Row],[Unknown]]=0),1,0)</f>
        <v>0</v>
      </c>
      <c r="AE1673">
        <f>IF(AND(vp.data[[#This Row],[CrudeType]]="Crude",vp.data[[#This Row],[Dens]]&gt;900,vp.data[[#This Row],[Sulf]]&lt;=0.5,vp.data[[#This Row],[Unknown]]=0),1,0)</f>
        <v>0</v>
      </c>
      <c r="AF1673">
        <f>IF(AND(vp.data[[#This Row],[CrudeType]]="Crude",vp.data[[#This Row],[Dens]]&gt;900,vp.data[[#This Row],[Sulf]]&lt;=0.5,vp.data[[#This Row],[Unknown]]=0),1,0)</f>
        <v>0</v>
      </c>
      <c r="AG1673" t="str">
        <f>INDEX(vp.data[[#Headers],[Unknown]:[Heavy_SW]],MATCH(1,vp.data[[#This Row],[Unknown]:[Heavy_SW]],0))</f>
        <v>Unknown</v>
      </c>
      <c r="AH1673">
        <f>INDEX([3]!crudeBD.lkup[Number],MATCH(vp.data[[#This Row],[Crude_Breakdown]],crudeBD.lkup[Crude Breakdown],0))</f>
        <v>-1</v>
      </c>
      <c r="AI1673">
        <f>MONTH(vp.data[[#This Row],[SDate]])</f>
        <v>6</v>
      </c>
      <c r="AJ1673" s="5">
        <f>(vp.data[[#This Row],[VP]]-INDEX(crudeBD.lkup[Mean_VP],MATCH(vp.data[[#This Row],[Crude_Breakdown]],crudeBD.lkup[Crude Breakdown],0)))^2</f>
        <v>71.320338717394804</v>
      </c>
      <c r="AK1673" s="5" t="e">
        <f>(vp.data[[#This Row],[Dens]]-INDEX(crudeBD.lkup[Mean_Dens],MATCH(vp.data[[#This Row],[Crude_Breakdown]],crudeBD.lkup[Crude Breakdown],0)))^2</f>
        <v>#VALUE!</v>
      </c>
      <c r="AL1673" s="5" t="e">
        <f>(vp.data[[#This Row],[Sulf]]-INDEX(crudeBD.lkup[Mean_Sulf],MATCH(vp.data[[#This Row],[Crude_Breakdown]],crudeBD.lkup[Crude Breakdown],0)))^2</f>
        <v>#VALUE!</v>
      </c>
      <c r="AM1673" s="4">
        <f>IF(AND(vp.data[[#This Row],[SDate]]&gt;=DATE(YEAR(vp.data[[#This Row],[SDate]]),5,1),vp.data[[#This Row],[SDate]]&lt;=DATE(YEAR(vp.data[[#This Row],[SDate]]),9,15)),1,0)</f>
        <v>1</v>
      </c>
      <c r="AN1673" s="4">
        <f>IF(vp.data[[#This Row],[SDate]]&lt;DATE(2016,12,1),0,1)</f>
        <v>1</v>
      </c>
      <c r="AO1673" s="4" t="str">
        <f>IFERROR(vp.data[[#This Row],[Sulf]]*vp.data[[#This Row],[Net Dens]],"")</f>
        <v/>
      </c>
      <c r="AP1673" t="str">
        <f>IFERROR(vp.data[[#This Row],[Dens]]*vp.data[[#This Row],[VolumeM3]],"")</f>
        <v/>
      </c>
      <c r="AQ1673" s="15" t="str">
        <f>IFERROR(vp.data[[#This Row],[VP]]*vp.data[[#This Row],[VolumeM3]],"")</f>
        <v/>
      </c>
    </row>
    <row r="1674" spans="1:43" x14ac:dyDescent="0.25">
      <c r="A1674">
        <v>1673</v>
      </c>
      <c r="B1674" t="s">
        <v>292</v>
      </c>
      <c r="C1674" t="s">
        <v>292</v>
      </c>
      <c r="D1674" t="s">
        <v>94</v>
      </c>
      <c r="F1674" s="1">
        <v>42905</v>
      </c>
      <c r="G1674" s="2">
        <v>68.099999999999994</v>
      </c>
      <c r="H1674" s="2"/>
      <c r="I1674" s="2" t="str">
        <f t="array" ref="I167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4" s="2"/>
      <c r="K1674" s="2"/>
      <c r="L1674" s="2"/>
      <c r="M1674" s="2" t="str">
        <f t="array" ref="M167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4" s="2">
        <f ca="1">INDEX(INDIRECT(_xlfn.CONCAT("weather.tbl[",N$1,"]")),MATCH(vp.data[[#This Row],[SDate]],weather.tbl[Date],0))</f>
        <v>14.799999999999999</v>
      </c>
      <c r="O1674" s="2">
        <f ca="1">INDEX(INDIRECT(_xlfn.CONCAT("weather.tbl[",O$1,"]")),MATCH(vp.data[[#This Row],[SDate]],weather.tbl[Date],0))</f>
        <v>14.757142857142856</v>
      </c>
      <c r="P1674" s="2">
        <f ca="1">INDEX(INDIRECT(_xlfn.CONCAT("weather.tbl[",P$1,"]")),MATCH(vp.data[[#This Row],[SDate]],weather.tbl[Date],0))</f>
        <v>15.1</v>
      </c>
      <c r="Q1674" s="2">
        <f ca="1">INDEX(INDIRECT(_xlfn.CONCAT("weather.tbl[",Q$1,"]")),MATCH(vp.data[[#This Row],[SDate]],weather.tbl[Date],0))</f>
        <v>15.4</v>
      </c>
      <c r="R1674" s="2">
        <f ca="1">INDEX(INDIRECT(_xlfn.CONCAT("weather.tbl[",R$1,"]")),MATCH(vp.data[[#This Row],[SDate]],weather.tbl[Date],0))</f>
        <v>14.5</v>
      </c>
      <c r="S1674" s="2">
        <f ca="1">INDEX(INDIRECT(_xlfn.CONCAT("weather.tbl[",S$1,"]")),MATCH(vp.data[[#This Row],[SDate]],weather.tbl[Date],0))</f>
        <v>15.2</v>
      </c>
      <c r="T1674" s="2">
        <f ca="1">INDEX(INDIRECT(_xlfn.CONCAT("weather.tbl[",T$1,"]")),MATCH(vp.data[[#This Row],[SDate]],weather.tbl[Date],0))</f>
        <v>14.8</v>
      </c>
      <c r="U1674" s="2">
        <f ca="1">INDEX(INDIRECT(_xlfn.CONCAT("weather.tbl[",U$1,"]")),MATCH(vp.data[[#This Row],[SDate]],weather.tbl[Date],0))</f>
        <v>13.8</v>
      </c>
      <c r="V1674" s="2" t="str">
        <f t="array" ref="V167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4" t="s">
        <v>48</v>
      </c>
      <c r="X1674">
        <f>IF(OR(vp.data[[#This Row],[Sulf]]="",vp.data[[#This Row],[Dens]]=""),1,0)</f>
        <v>1</v>
      </c>
      <c r="Y1674">
        <f>IF(vp.data[[#This Row],[CrudeType]]="C5+",1,0)</f>
        <v>0</v>
      </c>
      <c r="Z1674">
        <f>IF(AND(vp.data[[#This Row],[CrudeType]]="Crude",vp.data[[#This Row],[Dens]]&lt;=825,vp.data[[#This Row],[Sulf]]&gt;0.5,vp.data[[#This Row],[Unknown]]=0),1,0)</f>
        <v>0</v>
      </c>
      <c r="AA1674">
        <f>IF(AND(vp.data[[#This Row],[CrudeType]]="Crude",vp.data[[#This Row],[Dens]]&lt;=825,vp.data[[#This Row],[Sulf]]&lt;=0.5,vp.data[[#This Row],[Unknown]]=0),1,0)</f>
        <v>0</v>
      </c>
      <c r="AB167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4">
        <f>IF(AND(vp.data[[#This Row],[CrudeType]]="Crude",vp.data[[#This Row],[Dens]]&gt;825,vp.data[[#This Row],[Dens]]&lt;=900,vp.data[[#This Row],[Sulf]]&lt;=0.5,vp.data[[#This Row],[Unknown]]=0),1,0)</f>
        <v>0</v>
      </c>
      <c r="AD1674">
        <f>IF(AND(vp.data[[#This Row],[CrudeType]]="Crude",vp.data[[#This Row],[Dens]]&gt;865,vp.data[[#This Row],[Dens]]&lt;=900,vp.data[[#This Row],[Sulf]]&gt;2,vp.data[[#This Row],[Unknown]]=0),1,0)</f>
        <v>0</v>
      </c>
      <c r="AE1674">
        <f>IF(AND(vp.data[[#This Row],[CrudeType]]="Crude",vp.data[[#This Row],[Dens]]&gt;900,vp.data[[#This Row],[Sulf]]&lt;=0.5,vp.data[[#This Row],[Unknown]]=0),1,0)</f>
        <v>0</v>
      </c>
      <c r="AF1674">
        <f>IF(AND(vp.data[[#This Row],[CrudeType]]="Crude",vp.data[[#This Row],[Dens]]&gt;900,vp.data[[#This Row],[Sulf]]&lt;=0.5,vp.data[[#This Row],[Unknown]]=0),1,0)</f>
        <v>0</v>
      </c>
      <c r="AG1674" t="str">
        <f>INDEX(vp.data[[#Headers],[Unknown]:[Heavy_SW]],MATCH(1,vp.data[[#This Row],[Unknown]:[Heavy_SW]],0))</f>
        <v>Unknown</v>
      </c>
      <c r="AH1674">
        <f>INDEX([3]!crudeBD.lkup[Number],MATCH(vp.data[[#This Row],[Crude_Breakdown]],crudeBD.lkup[Crude Breakdown],0))</f>
        <v>-1</v>
      </c>
      <c r="AI1674">
        <f>MONTH(vp.data[[#This Row],[SDate]])</f>
        <v>6</v>
      </c>
      <c r="AJ1674" s="5">
        <f>(vp.data[[#This Row],[VP]]-INDEX(crudeBD.lkup[Mean_VP],MATCH(vp.data[[#This Row],[Crude_Breakdown]],crudeBD.lkup[Crude Breakdown],0)))^2</f>
        <v>33.006598991367724</v>
      </c>
      <c r="AK1674" s="5" t="e">
        <f>(vp.data[[#This Row],[Dens]]-INDEX(crudeBD.lkup[Mean_Dens],MATCH(vp.data[[#This Row],[Crude_Breakdown]],crudeBD.lkup[Crude Breakdown],0)))^2</f>
        <v>#VALUE!</v>
      </c>
      <c r="AL1674" s="5" t="e">
        <f>(vp.data[[#This Row],[Sulf]]-INDEX(crudeBD.lkup[Mean_Sulf],MATCH(vp.data[[#This Row],[Crude_Breakdown]],crudeBD.lkup[Crude Breakdown],0)))^2</f>
        <v>#VALUE!</v>
      </c>
      <c r="AM1674" s="4">
        <f>IF(AND(vp.data[[#This Row],[SDate]]&gt;=DATE(YEAR(vp.data[[#This Row],[SDate]]),5,1),vp.data[[#This Row],[SDate]]&lt;=DATE(YEAR(vp.data[[#This Row],[SDate]]),9,15)),1,0)</f>
        <v>1</v>
      </c>
      <c r="AN1674" s="4">
        <f>IF(vp.data[[#This Row],[SDate]]&lt;DATE(2016,12,1),0,1)</f>
        <v>1</v>
      </c>
      <c r="AO1674" s="4" t="str">
        <f>IFERROR(vp.data[[#This Row],[Sulf]]*vp.data[[#This Row],[Net Dens]],"")</f>
        <v/>
      </c>
      <c r="AP1674" t="str">
        <f>IFERROR(vp.data[[#This Row],[Dens]]*vp.data[[#This Row],[VolumeM3]],"")</f>
        <v/>
      </c>
      <c r="AQ1674" s="15" t="str">
        <f>IFERROR(vp.data[[#This Row],[VP]]*vp.data[[#This Row],[VolumeM3]],"")</f>
        <v/>
      </c>
    </row>
    <row r="1675" spans="1:43" x14ac:dyDescent="0.25">
      <c r="A1675">
        <v>1674</v>
      </c>
      <c r="B1675" t="s">
        <v>49</v>
      </c>
      <c r="C1675" t="s">
        <v>49</v>
      </c>
      <c r="D1675" t="s">
        <v>78</v>
      </c>
      <c r="F1675" s="1">
        <v>42905</v>
      </c>
      <c r="G1675" s="2">
        <v>73.599999999999994</v>
      </c>
      <c r="H1675" s="2"/>
      <c r="I1675" s="2" t="str">
        <f t="array" ref="I167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5" s="2"/>
      <c r="K1675" s="2"/>
      <c r="L1675" s="2"/>
      <c r="M1675" s="2" t="str">
        <f t="array" ref="M167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5" s="2">
        <f ca="1">INDEX(INDIRECT(_xlfn.CONCAT("weather.tbl[",N$1,"]")),MATCH(vp.data[[#This Row],[SDate]],weather.tbl[Date],0))</f>
        <v>14.799999999999999</v>
      </c>
      <c r="O1675" s="2">
        <f ca="1">INDEX(INDIRECT(_xlfn.CONCAT("weather.tbl[",O$1,"]")),MATCH(vp.data[[#This Row],[SDate]],weather.tbl[Date],0))</f>
        <v>14.757142857142856</v>
      </c>
      <c r="P1675" s="2">
        <f ca="1">INDEX(INDIRECT(_xlfn.CONCAT("weather.tbl[",P$1,"]")),MATCH(vp.data[[#This Row],[SDate]],weather.tbl[Date],0))</f>
        <v>15.1</v>
      </c>
      <c r="Q1675" s="2">
        <f ca="1">INDEX(INDIRECT(_xlfn.CONCAT("weather.tbl[",Q$1,"]")),MATCH(vp.data[[#This Row],[SDate]],weather.tbl[Date],0))</f>
        <v>15.4</v>
      </c>
      <c r="R1675" s="2">
        <f ca="1">INDEX(INDIRECT(_xlfn.CONCAT("weather.tbl[",R$1,"]")),MATCH(vp.data[[#This Row],[SDate]],weather.tbl[Date],0))</f>
        <v>14.5</v>
      </c>
      <c r="S1675" s="2">
        <f ca="1">INDEX(INDIRECT(_xlfn.CONCAT("weather.tbl[",S$1,"]")),MATCH(vp.data[[#This Row],[SDate]],weather.tbl[Date],0))</f>
        <v>15.2</v>
      </c>
      <c r="T1675" s="2">
        <f ca="1">INDEX(INDIRECT(_xlfn.CONCAT("weather.tbl[",T$1,"]")),MATCH(vp.data[[#This Row],[SDate]],weather.tbl[Date],0))</f>
        <v>14.8</v>
      </c>
      <c r="U1675" s="2">
        <f ca="1">INDEX(INDIRECT(_xlfn.CONCAT("weather.tbl[",U$1,"]")),MATCH(vp.data[[#This Row],[SDate]],weather.tbl[Date],0))</f>
        <v>13.8</v>
      </c>
      <c r="V1675" s="2" t="str">
        <f t="array" ref="V167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5" t="s">
        <v>48</v>
      </c>
      <c r="X1675">
        <f>IF(OR(vp.data[[#This Row],[Sulf]]="",vp.data[[#This Row],[Dens]]=""),1,0)</f>
        <v>1</v>
      </c>
      <c r="Y1675">
        <f>IF(vp.data[[#This Row],[CrudeType]]="C5+",1,0)</f>
        <v>0</v>
      </c>
      <c r="Z1675">
        <f>IF(AND(vp.data[[#This Row],[CrudeType]]="Crude",vp.data[[#This Row],[Dens]]&lt;=825,vp.data[[#This Row],[Sulf]]&gt;0.5,vp.data[[#This Row],[Unknown]]=0),1,0)</f>
        <v>0</v>
      </c>
      <c r="AA1675">
        <f>IF(AND(vp.data[[#This Row],[CrudeType]]="Crude",vp.data[[#This Row],[Dens]]&lt;=825,vp.data[[#This Row],[Sulf]]&lt;=0.5,vp.data[[#This Row],[Unknown]]=0),1,0)</f>
        <v>0</v>
      </c>
      <c r="AB167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5">
        <f>IF(AND(vp.data[[#This Row],[CrudeType]]="Crude",vp.data[[#This Row],[Dens]]&gt;825,vp.data[[#This Row],[Dens]]&lt;=900,vp.data[[#This Row],[Sulf]]&lt;=0.5,vp.data[[#This Row],[Unknown]]=0),1,0)</f>
        <v>0</v>
      </c>
      <c r="AD1675">
        <f>IF(AND(vp.data[[#This Row],[CrudeType]]="Crude",vp.data[[#This Row],[Dens]]&gt;865,vp.data[[#This Row],[Dens]]&lt;=900,vp.data[[#This Row],[Sulf]]&gt;2,vp.data[[#This Row],[Unknown]]=0),1,0)</f>
        <v>0</v>
      </c>
      <c r="AE1675">
        <f>IF(AND(vp.data[[#This Row],[CrudeType]]="Crude",vp.data[[#This Row],[Dens]]&gt;900,vp.data[[#This Row],[Sulf]]&lt;=0.5,vp.data[[#This Row],[Unknown]]=0),1,0)</f>
        <v>0</v>
      </c>
      <c r="AF1675">
        <f>IF(AND(vp.data[[#This Row],[CrudeType]]="Crude",vp.data[[#This Row],[Dens]]&gt;900,vp.data[[#This Row],[Sulf]]&lt;=0.5,vp.data[[#This Row],[Unknown]]=0),1,0)</f>
        <v>0</v>
      </c>
      <c r="AG1675" t="str">
        <f>INDEX(vp.data[[#Headers],[Unknown]:[Heavy_SW]],MATCH(1,vp.data[[#This Row],[Unknown]:[Heavy_SW]],0))</f>
        <v>Unknown</v>
      </c>
      <c r="AH1675">
        <f>INDEX([3]!crudeBD.lkup[Number],MATCH(vp.data[[#This Row],[Crude_Breakdown]],crudeBD.lkup[Crude Breakdown],0))</f>
        <v>-1</v>
      </c>
      <c r="AI1675">
        <f>MONTH(vp.data[[#This Row],[SDate]])</f>
        <v>6</v>
      </c>
      <c r="AJ1675" s="5">
        <f>(vp.data[[#This Row],[VP]]-INDEX(crudeBD.lkup[Mean_VP],MATCH(vp.data[[#This Row],[Crude_Breakdown]],crudeBD.lkup[Crude Breakdown],0)))^2</f>
        <v>6.0092142052906708E-2</v>
      </c>
      <c r="AK1675" s="5" t="e">
        <f>(vp.data[[#This Row],[Dens]]-INDEX(crudeBD.lkup[Mean_Dens],MATCH(vp.data[[#This Row],[Crude_Breakdown]],crudeBD.lkup[Crude Breakdown],0)))^2</f>
        <v>#VALUE!</v>
      </c>
      <c r="AL1675" s="5" t="e">
        <f>(vp.data[[#This Row],[Sulf]]-INDEX(crudeBD.lkup[Mean_Sulf],MATCH(vp.data[[#This Row],[Crude_Breakdown]],crudeBD.lkup[Crude Breakdown],0)))^2</f>
        <v>#VALUE!</v>
      </c>
      <c r="AM1675" s="4">
        <f>IF(AND(vp.data[[#This Row],[SDate]]&gt;=DATE(YEAR(vp.data[[#This Row],[SDate]]),5,1),vp.data[[#This Row],[SDate]]&lt;=DATE(YEAR(vp.data[[#This Row],[SDate]]),9,15)),1,0)</f>
        <v>1</v>
      </c>
      <c r="AN1675" s="4">
        <f>IF(vp.data[[#This Row],[SDate]]&lt;DATE(2016,12,1),0,1)</f>
        <v>1</v>
      </c>
      <c r="AO1675" s="4" t="str">
        <f>IFERROR(vp.data[[#This Row],[Sulf]]*vp.data[[#This Row],[Net Dens]],"")</f>
        <v/>
      </c>
      <c r="AP1675" t="str">
        <f>IFERROR(vp.data[[#This Row],[Dens]]*vp.data[[#This Row],[VolumeM3]],"")</f>
        <v/>
      </c>
      <c r="AQ1675" s="15" t="str">
        <f>IFERROR(vp.data[[#This Row],[VP]]*vp.data[[#This Row],[VolumeM3]],"")</f>
        <v/>
      </c>
    </row>
    <row r="1676" spans="1:43" x14ac:dyDescent="0.25">
      <c r="A1676">
        <v>1675</v>
      </c>
      <c r="B1676" t="s">
        <v>49</v>
      </c>
      <c r="C1676" t="s">
        <v>49</v>
      </c>
      <c r="D1676" t="s">
        <v>92</v>
      </c>
      <c r="F1676" s="1">
        <v>42905</v>
      </c>
      <c r="G1676" s="2">
        <v>70.400000000000006</v>
      </c>
      <c r="H1676" s="2"/>
      <c r="I1676" s="2" t="str">
        <f t="array" ref="I167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6" s="2"/>
      <c r="K1676" s="2"/>
      <c r="L1676" s="2"/>
      <c r="M1676" s="2" t="str">
        <f t="array" ref="M167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6" s="2">
        <f ca="1">INDEX(INDIRECT(_xlfn.CONCAT("weather.tbl[",N$1,"]")),MATCH(vp.data[[#This Row],[SDate]],weather.tbl[Date],0))</f>
        <v>14.799999999999999</v>
      </c>
      <c r="O1676" s="2">
        <f ca="1">INDEX(INDIRECT(_xlfn.CONCAT("weather.tbl[",O$1,"]")),MATCH(vp.data[[#This Row],[SDate]],weather.tbl[Date],0))</f>
        <v>14.757142857142856</v>
      </c>
      <c r="P1676" s="2">
        <f ca="1">INDEX(INDIRECT(_xlfn.CONCAT("weather.tbl[",P$1,"]")),MATCH(vp.data[[#This Row],[SDate]],weather.tbl[Date],0))</f>
        <v>15.1</v>
      </c>
      <c r="Q1676" s="2">
        <f ca="1">INDEX(INDIRECT(_xlfn.CONCAT("weather.tbl[",Q$1,"]")),MATCH(vp.data[[#This Row],[SDate]],weather.tbl[Date],0))</f>
        <v>15.4</v>
      </c>
      <c r="R1676" s="2">
        <f ca="1">INDEX(INDIRECT(_xlfn.CONCAT("weather.tbl[",R$1,"]")),MATCH(vp.data[[#This Row],[SDate]],weather.tbl[Date],0))</f>
        <v>14.5</v>
      </c>
      <c r="S1676" s="2">
        <f ca="1">INDEX(INDIRECT(_xlfn.CONCAT("weather.tbl[",S$1,"]")),MATCH(vp.data[[#This Row],[SDate]],weather.tbl[Date],0))</f>
        <v>15.2</v>
      </c>
      <c r="T1676" s="2">
        <f ca="1">INDEX(INDIRECT(_xlfn.CONCAT("weather.tbl[",T$1,"]")),MATCH(vp.data[[#This Row],[SDate]],weather.tbl[Date],0))</f>
        <v>14.8</v>
      </c>
      <c r="U1676" s="2">
        <f ca="1">INDEX(INDIRECT(_xlfn.CONCAT("weather.tbl[",U$1,"]")),MATCH(vp.data[[#This Row],[SDate]],weather.tbl[Date],0))</f>
        <v>13.8</v>
      </c>
      <c r="V1676" s="2" t="str">
        <f t="array" ref="V167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6" t="s">
        <v>48</v>
      </c>
      <c r="X1676">
        <f>IF(OR(vp.data[[#This Row],[Sulf]]="",vp.data[[#This Row],[Dens]]=""),1,0)</f>
        <v>1</v>
      </c>
      <c r="Y1676">
        <f>IF(vp.data[[#This Row],[CrudeType]]="C5+",1,0)</f>
        <v>0</v>
      </c>
      <c r="Z1676">
        <f>IF(AND(vp.data[[#This Row],[CrudeType]]="Crude",vp.data[[#This Row],[Dens]]&lt;=825,vp.data[[#This Row],[Sulf]]&gt;0.5,vp.data[[#This Row],[Unknown]]=0),1,0)</f>
        <v>0</v>
      </c>
      <c r="AA1676">
        <f>IF(AND(vp.data[[#This Row],[CrudeType]]="Crude",vp.data[[#This Row],[Dens]]&lt;=825,vp.data[[#This Row],[Sulf]]&lt;=0.5,vp.data[[#This Row],[Unknown]]=0),1,0)</f>
        <v>0</v>
      </c>
      <c r="AB167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6">
        <f>IF(AND(vp.data[[#This Row],[CrudeType]]="Crude",vp.data[[#This Row],[Dens]]&gt;825,vp.data[[#This Row],[Dens]]&lt;=900,vp.data[[#This Row],[Sulf]]&lt;=0.5,vp.data[[#This Row],[Unknown]]=0),1,0)</f>
        <v>0</v>
      </c>
      <c r="AD1676">
        <f>IF(AND(vp.data[[#This Row],[CrudeType]]="Crude",vp.data[[#This Row],[Dens]]&gt;865,vp.data[[#This Row],[Dens]]&lt;=900,vp.data[[#This Row],[Sulf]]&gt;2,vp.data[[#This Row],[Unknown]]=0),1,0)</f>
        <v>0</v>
      </c>
      <c r="AE1676">
        <f>IF(AND(vp.data[[#This Row],[CrudeType]]="Crude",vp.data[[#This Row],[Dens]]&gt;900,vp.data[[#This Row],[Sulf]]&lt;=0.5,vp.data[[#This Row],[Unknown]]=0),1,0)</f>
        <v>0</v>
      </c>
      <c r="AF1676">
        <f>IF(AND(vp.data[[#This Row],[CrudeType]]="Crude",vp.data[[#This Row],[Dens]]&gt;900,vp.data[[#This Row],[Sulf]]&lt;=0.5,vp.data[[#This Row],[Unknown]]=0),1,0)</f>
        <v>0</v>
      </c>
      <c r="AG1676" t="str">
        <f>INDEX(vp.data[[#Headers],[Unknown]:[Heavy_SW]],MATCH(1,vp.data[[#This Row],[Unknown]:[Heavy_SW]],0))</f>
        <v>Unknown</v>
      </c>
      <c r="AH1676">
        <f>INDEX([3]!crudeBD.lkup[Number],MATCH(vp.data[[#This Row],[Crude_Breakdown]],crudeBD.lkup[Crude Breakdown],0))</f>
        <v>-1</v>
      </c>
      <c r="AI1676">
        <f>MONTH(vp.data[[#This Row],[SDate]])</f>
        <v>6</v>
      </c>
      <c r="AJ1676" s="5">
        <f>(vp.data[[#This Row],[VP]]-INDEX(crudeBD.lkup[Mean_VP],MATCH(vp.data[[#This Row],[Crude_Breakdown]],crudeBD.lkup[Crude Breakdown],0)))^2</f>
        <v>11.868968854381448</v>
      </c>
      <c r="AK1676" s="5" t="e">
        <f>(vp.data[[#This Row],[Dens]]-INDEX(crudeBD.lkup[Mean_Dens],MATCH(vp.data[[#This Row],[Crude_Breakdown]],crudeBD.lkup[Crude Breakdown],0)))^2</f>
        <v>#VALUE!</v>
      </c>
      <c r="AL1676" s="5" t="e">
        <f>(vp.data[[#This Row],[Sulf]]-INDEX(crudeBD.lkup[Mean_Sulf],MATCH(vp.data[[#This Row],[Crude_Breakdown]],crudeBD.lkup[Crude Breakdown],0)))^2</f>
        <v>#VALUE!</v>
      </c>
      <c r="AM1676" s="4">
        <f>IF(AND(vp.data[[#This Row],[SDate]]&gt;=DATE(YEAR(vp.data[[#This Row],[SDate]]),5,1),vp.data[[#This Row],[SDate]]&lt;=DATE(YEAR(vp.data[[#This Row],[SDate]]),9,15)),1,0)</f>
        <v>1</v>
      </c>
      <c r="AN1676" s="4">
        <f>IF(vp.data[[#This Row],[SDate]]&lt;DATE(2016,12,1),0,1)</f>
        <v>1</v>
      </c>
      <c r="AO1676" s="4" t="str">
        <f>IFERROR(vp.data[[#This Row],[Sulf]]*vp.data[[#This Row],[Net Dens]],"")</f>
        <v/>
      </c>
      <c r="AP1676" t="str">
        <f>IFERROR(vp.data[[#This Row],[Dens]]*vp.data[[#This Row],[VolumeM3]],"")</f>
        <v/>
      </c>
      <c r="AQ1676" s="15" t="str">
        <f>IFERROR(vp.data[[#This Row],[VP]]*vp.data[[#This Row],[VolumeM3]],"")</f>
        <v/>
      </c>
    </row>
    <row r="1677" spans="1:43" x14ac:dyDescent="0.25">
      <c r="A1677">
        <v>1676</v>
      </c>
      <c r="B1677" t="s">
        <v>51</v>
      </c>
      <c r="C1677" t="s">
        <v>51</v>
      </c>
      <c r="D1677" t="s">
        <v>58</v>
      </c>
      <c r="F1677" s="1">
        <v>42905</v>
      </c>
      <c r="G1677" s="2">
        <v>70</v>
      </c>
      <c r="H1677" s="2"/>
      <c r="I1677" s="2" t="str">
        <f t="array" ref="I167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7" s="2"/>
      <c r="K1677" s="2"/>
      <c r="L1677" s="2"/>
      <c r="M1677" s="2" t="str">
        <f t="array" ref="M167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7" s="2">
        <f ca="1">INDEX(INDIRECT(_xlfn.CONCAT("weather.tbl[",N$1,"]")),MATCH(vp.data[[#This Row],[SDate]],weather.tbl[Date],0))</f>
        <v>14.799999999999999</v>
      </c>
      <c r="O1677" s="2">
        <f ca="1">INDEX(INDIRECT(_xlfn.CONCAT("weather.tbl[",O$1,"]")),MATCH(vp.data[[#This Row],[SDate]],weather.tbl[Date],0))</f>
        <v>14.757142857142856</v>
      </c>
      <c r="P1677" s="2">
        <f ca="1">INDEX(INDIRECT(_xlfn.CONCAT("weather.tbl[",P$1,"]")),MATCH(vp.data[[#This Row],[SDate]],weather.tbl[Date],0))</f>
        <v>15.1</v>
      </c>
      <c r="Q1677" s="2">
        <f ca="1">INDEX(INDIRECT(_xlfn.CONCAT("weather.tbl[",Q$1,"]")),MATCH(vp.data[[#This Row],[SDate]],weather.tbl[Date],0))</f>
        <v>15.4</v>
      </c>
      <c r="R1677" s="2">
        <f ca="1">INDEX(INDIRECT(_xlfn.CONCAT("weather.tbl[",R$1,"]")),MATCH(vp.data[[#This Row],[SDate]],weather.tbl[Date],0))</f>
        <v>14.5</v>
      </c>
      <c r="S1677" s="2">
        <f ca="1">INDEX(INDIRECT(_xlfn.CONCAT("weather.tbl[",S$1,"]")),MATCH(vp.data[[#This Row],[SDate]],weather.tbl[Date],0))</f>
        <v>15.2</v>
      </c>
      <c r="T1677" s="2">
        <f ca="1">INDEX(INDIRECT(_xlfn.CONCAT("weather.tbl[",T$1,"]")),MATCH(vp.data[[#This Row],[SDate]],weather.tbl[Date],0))</f>
        <v>14.8</v>
      </c>
      <c r="U1677" s="2">
        <f ca="1">INDEX(INDIRECT(_xlfn.CONCAT("weather.tbl[",U$1,"]")),MATCH(vp.data[[#This Row],[SDate]],weather.tbl[Date],0))</f>
        <v>13.8</v>
      </c>
      <c r="V1677" s="2" t="str">
        <f t="array" ref="V167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7" t="s">
        <v>48</v>
      </c>
      <c r="X1677">
        <f>IF(OR(vp.data[[#This Row],[Sulf]]="",vp.data[[#This Row],[Dens]]=""),1,0)</f>
        <v>1</v>
      </c>
      <c r="Y1677">
        <f>IF(vp.data[[#This Row],[CrudeType]]="C5+",1,0)</f>
        <v>0</v>
      </c>
      <c r="Z1677">
        <f>IF(AND(vp.data[[#This Row],[CrudeType]]="Crude",vp.data[[#This Row],[Dens]]&lt;=825,vp.data[[#This Row],[Sulf]]&gt;0.5,vp.data[[#This Row],[Unknown]]=0),1,0)</f>
        <v>0</v>
      </c>
      <c r="AA1677">
        <f>IF(AND(vp.data[[#This Row],[CrudeType]]="Crude",vp.data[[#This Row],[Dens]]&lt;=825,vp.data[[#This Row],[Sulf]]&lt;=0.5,vp.data[[#This Row],[Unknown]]=0),1,0)</f>
        <v>0</v>
      </c>
      <c r="AB167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7">
        <f>IF(AND(vp.data[[#This Row],[CrudeType]]="Crude",vp.data[[#This Row],[Dens]]&gt;825,vp.data[[#This Row],[Dens]]&lt;=900,vp.data[[#This Row],[Sulf]]&lt;=0.5,vp.data[[#This Row],[Unknown]]=0),1,0)</f>
        <v>0</v>
      </c>
      <c r="AD1677">
        <f>IF(AND(vp.data[[#This Row],[CrudeType]]="Crude",vp.data[[#This Row],[Dens]]&gt;865,vp.data[[#This Row],[Dens]]&lt;=900,vp.data[[#This Row],[Sulf]]&gt;2,vp.data[[#This Row],[Unknown]]=0),1,0)</f>
        <v>0</v>
      </c>
      <c r="AE1677">
        <f>IF(AND(vp.data[[#This Row],[CrudeType]]="Crude",vp.data[[#This Row],[Dens]]&gt;900,vp.data[[#This Row],[Sulf]]&lt;=0.5,vp.data[[#This Row],[Unknown]]=0),1,0)</f>
        <v>0</v>
      </c>
      <c r="AF1677">
        <f>IF(AND(vp.data[[#This Row],[CrudeType]]="Crude",vp.data[[#This Row],[Dens]]&gt;900,vp.data[[#This Row],[Sulf]]&lt;=0.5,vp.data[[#This Row],[Unknown]]=0),1,0)</f>
        <v>0</v>
      </c>
      <c r="AG1677" t="str">
        <f>INDEX(vp.data[[#Headers],[Unknown]:[Heavy_SW]],MATCH(1,vp.data[[#This Row],[Unknown]:[Heavy_SW]],0))</f>
        <v>Unknown</v>
      </c>
      <c r="AH1677">
        <f>INDEX([3]!crudeBD.lkup[Number],MATCH(vp.data[[#This Row],[Crude_Breakdown]],crudeBD.lkup[Crude Breakdown],0))</f>
        <v>-1</v>
      </c>
      <c r="AI1677">
        <f>MONTH(vp.data[[#This Row],[SDate]])</f>
        <v>6</v>
      </c>
      <c r="AJ1677" s="5">
        <f>(vp.data[[#This Row],[VP]]-INDEX(crudeBD.lkup[Mean_VP],MATCH(vp.data[[#This Row],[Crude_Breakdown]],crudeBD.lkup[Crude Breakdown],0)))^2</f>
        <v>14.78507844342256</v>
      </c>
      <c r="AK1677" s="5" t="e">
        <f>(vp.data[[#This Row],[Dens]]-INDEX(crudeBD.lkup[Mean_Dens],MATCH(vp.data[[#This Row],[Crude_Breakdown]],crudeBD.lkup[Crude Breakdown],0)))^2</f>
        <v>#VALUE!</v>
      </c>
      <c r="AL1677" s="5" t="e">
        <f>(vp.data[[#This Row],[Sulf]]-INDEX(crudeBD.lkup[Mean_Sulf],MATCH(vp.data[[#This Row],[Crude_Breakdown]],crudeBD.lkup[Crude Breakdown],0)))^2</f>
        <v>#VALUE!</v>
      </c>
      <c r="AM1677" s="4">
        <f>IF(AND(vp.data[[#This Row],[SDate]]&gt;=DATE(YEAR(vp.data[[#This Row],[SDate]]),5,1),vp.data[[#This Row],[SDate]]&lt;=DATE(YEAR(vp.data[[#This Row],[SDate]]),9,15)),1,0)</f>
        <v>1</v>
      </c>
      <c r="AN1677" s="4">
        <f>IF(vp.data[[#This Row],[SDate]]&lt;DATE(2016,12,1),0,1)</f>
        <v>1</v>
      </c>
      <c r="AO1677" s="4" t="str">
        <f>IFERROR(vp.data[[#This Row],[Sulf]]*vp.data[[#This Row],[Net Dens]],"")</f>
        <v/>
      </c>
      <c r="AP1677" t="str">
        <f>IFERROR(vp.data[[#This Row],[Dens]]*vp.data[[#This Row],[VolumeM3]],"")</f>
        <v/>
      </c>
      <c r="AQ1677" s="15" t="str">
        <f>IFERROR(vp.data[[#This Row],[VP]]*vp.data[[#This Row],[VolumeM3]],"")</f>
        <v/>
      </c>
    </row>
    <row r="1678" spans="1:43" x14ac:dyDescent="0.25">
      <c r="A1678">
        <v>1677</v>
      </c>
      <c r="B1678" t="s">
        <v>292</v>
      </c>
      <c r="C1678" t="s">
        <v>292</v>
      </c>
      <c r="D1678" t="s">
        <v>57</v>
      </c>
      <c r="F1678" s="1">
        <v>42905</v>
      </c>
      <c r="G1678" s="2">
        <v>75.7</v>
      </c>
      <c r="H1678" s="2"/>
      <c r="I1678" s="2" t="str">
        <f t="array" ref="I167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8" s="2"/>
      <c r="K1678" s="2"/>
      <c r="L1678" s="2"/>
      <c r="M1678" s="2" t="str">
        <f t="array" ref="M167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8" s="2">
        <f ca="1">INDEX(INDIRECT(_xlfn.CONCAT("weather.tbl[",N$1,"]")),MATCH(vp.data[[#This Row],[SDate]],weather.tbl[Date],0))</f>
        <v>14.799999999999999</v>
      </c>
      <c r="O1678" s="2">
        <f ca="1">INDEX(INDIRECT(_xlfn.CONCAT("weather.tbl[",O$1,"]")),MATCH(vp.data[[#This Row],[SDate]],weather.tbl[Date],0))</f>
        <v>14.757142857142856</v>
      </c>
      <c r="P1678" s="2">
        <f ca="1">INDEX(INDIRECT(_xlfn.CONCAT("weather.tbl[",P$1,"]")),MATCH(vp.data[[#This Row],[SDate]],weather.tbl[Date],0))</f>
        <v>15.1</v>
      </c>
      <c r="Q1678" s="2">
        <f ca="1">INDEX(INDIRECT(_xlfn.CONCAT("weather.tbl[",Q$1,"]")),MATCH(vp.data[[#This Row],[SDate]],weather.tbl[Date],0))</f>
        <v>15.4</v>
      </c>
      <c r="R1678" s="2">
        <f ca="1">INDEX(INDIRECT(_xlfn.CONCAT("weather.tbl[",R$1,"]")),MATCH(vp.data[[#This Row],[SDate]],weather.tbl[Date],0))</f>
        <v>14.5</v>
      </c>
      <c r="S1678" s="2">
        <f ca="1">INDEX(INDIRECT(_xlfn.CONCAT("weather.tbl[",S$1,"]")),MATCH(vp.data[[#This Row],[SDate]],weather.tbl[Date],0))</f>
        <v>15.2</v>
      </c>
      <c r="T1678" s="2">
        <f ca="1">INDEX(INDIRECT(_xlfn.CONCAT("weather.tbl[",T$1,"]")),MATCH(vp.data[[#This Row],[SDate]],weather.tbl[Date],0))</f>
        <v>14.8</v>
      </c>
      <c r="U1678" s="2">
        <f ca="1">INDEX(INDIRECT(_xlfn.CONCAT("weather.tbl[",U$1,"]")),MATCH(vp.data[[#This Row],[SDate]],weather.tbl[Date],0))</f>
        <v>13.8</v>
      </c>
      <c r="V1678" s="2" t="str">
        <f t="array" ref="V167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8" t="s">
        <v>48</v>
      </c>
      <c r="X1678">
        <f>IF(OR(vp.data[[#This Row],[Sulf]]="",vp.data[[#This Row],[Dens]]=""),1,0)</f>
        <v>1</v>
      </c>
      <c r="Y1678">
        <f>IF(vp.data[[#This Row],[CrudeType]]="C5+",1,0)</f>
        <v>0</v>
      </c>
      <c r="Z1678">
        <f>IF(AND(vp.data[[#This Row],[CrudeType]]="Crude",vp.data[[#This Row],[Dens]]&lt;=825,vp.data[[#This Row],[Sulf]]&gt;0.5,vp.data[[#This Row],[Unknown]]=0),1,0)</f>
        <v>0</v>
      </c>
      <c r="AA1678">
        <f>IF(AND(vp.data[[#This Row],[CrudeType]]="Crude",vp.data[[#This Row],[Dens]]&lt;=825,vp.data[[#This Row],[Sulf]]&lt;=0.5,vp.data[[#This Row],[Unknown]]=0),1,0)</f>
        <v>0</v>
      </c>
      <c r="AB167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8">
        <f>IF(AND(vp.data[[#This Row],[CrudeType]]="Crude",vp.data[[#This Row],[Dens]]&gt;825,vp.data[[#This Row],[Dens]]&lt;=900,vp.data[[#This Row],[Sulf]]&lt;=0.5,vp.data[[#This Row],[Unknown]]=0),1,0)</f>
        <v>0</v>
      </c>
      <c r="AD1678">
        <f>IF(AND(vp.data[[#This Row],[CrudeType]]="Crude",vp.data[[#This Row],[Dens]]&gt;865,vp.data[[#This Row],[Dens]]&lt;=900,vp.data[[#This Row],[Sulf]]&gt;2,vp.data[[#This Row],[Unknown]]=0),1,0)</f>
        <v>0</v>
      </c>
      <c r="AE1678">
        <f>IF(AND(vp.data[[#This Row],[CrudeType]]="Crude",vp.data[[#This Row],[Dens]]&gt;900,vp.data[[#This Row],[Sulf]]&lt;=0.5,vp.data[[#This Row],[Unknown]]=0),1,0)</f>
        <v>0</v>
      </c>
      <c r="AF1678">
        <f>IF(AND(vp.data[[#This Row],[CrudeType]]="Crude",vp.data[[#This Row],[Dens]]&gt;900,vp.data[[#This Row],[Sulf]]&lt;=0.5,vp.data[[#This Row],[Unknown]]=0),1,0)</f>
        <v>0</v>
      </c>
      <c r="AG1678" t="str">
        <f>INDEX(vp.data[[#Headers],[Unknown]:[Heavy_SW]],MATCH(1,vp.data[[#This Row],[Unknown]:[Heavy_SW]],0))</f>
        <v>Unknown</v>
      </c>
      <c r="AH1678">
        <f>INDEX([3]!crudeBD.lkup[Number],MATCH(vp.data[[#This Row],[Crude_Breakdown]],crudeBD.lkup[Crude Breakdown],0))</f>
        <v>-1</v>
      </c>
      <c r="AI1678">
        <f>MONTH(vp.data[[#This Row],[SDate]])</f>
        <v>6</v>
      </c>
      <c r="AJ1678" s="5">
        <f>(vp.data[[#This Row],[VP]]-INDEX(crudeBD.lkup[Mean_VP],MATCH(vp.data[[#This Row],[Crude_Breakdown]],crudeBD.lkup[Crude Breakdown],0)))^2</f>
        <v>3.4405167995872814</v>
      </c>
      <c r="AK1678" s="5" t="e">
        <f>(vp.data[[#This Row],[Dens]]-INDEX(crudeBD.lkup[Mean_Dens],MATCH(vp.data[[#This Row],[Crude_Breakdown]],crudeBD.lkup[Crude Breakdown],0)))^2</f>
        <v>#VALUE!</v>
      </c>
      <c r="AL1678" s="5" t="e">
        <f>(vp.data[[#This Row],[Sulf]]-INDEX(crudeBD.lkup[Mean_Sulf],MATCH(vp.data[[#This Row],[Crude_Breakdown]],crudeBD.lkup[Crude Breakdown],0)))^2</f>
        <v>#VALUE!</v>
      </c>
      <c r="AM1678" s="4">
        <f>IF(AND(vp.data[[#This Row],[SDate]]&gt;=DATE(YEAR(vp.data[[#This Row],[SDate]]),5,1),vp.data[[#This Row],[SDate]]&lt;=DATE(YEAR(vp.data[[#This Row],[SDate]]),9,15)),1,0)</f>
        <v>1</v>
      </c>
      <c r="AN1678" s="4">
        <f>IF(vp.data[[#This Row],[SDate]]&lt;DATE(2016,12,1),0,1)</f>
        <v>1</v>
      </c>
      <c r="AO1678" s="4" t="str">
        <f>IFERROR(vp.data[[#This Row],[Sulf]]*vp.data[[#This Row],[Net Dens]],"")</f>
        <v/>
      </c>
      <c r="AP1678" t="str">
        <f>IFERROR(vp.data[[#This Row],[Dens]]*vp.data[[#This Row],[VolumeM3]],"")</f>
        <v/>
      </c>
      <c r="AQ1678" s="15" t="str">
        <f>IFERROR(vp.data[[#This Row],[VP]]*vp.data[[#This Row],[VolumeM3]],"")</f>
        <v/>
      </c>
    </row>
    <row r="1679" spans="1:43" x14ac:dyDescent="0.25">
      <c r="A1679">
        <v>1678</v>
      </c>
      <c r="B1679" t="s">
        <v>51</v>
      </c>
      <c r="C1679" t="s">
        <v>51</v>
      </c>
      <c r="D1679" t="s">
        <v>71</v>
      </c>
      <c r="F1679" s="1">
        <v>42905</v>
      </c>
      <c r="G1679" s="2">
        <v>62</v>
      </c>
      <c r="H1679" s="2"/>
      <c r="I1679" s="2" t="str">
        <f t="array" ref="I167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79" s="2"/>
      <c r="K1679" s="2"/>
      <c r="L1679" s="2"/>
      <c r="M1679" s="2" t="str">
        <f t="array" ref="M167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79" s="2">
        <f ca="1">INDEX(INDIRECT(_xlfn.CONCAT("weather.tbl[",N$1,"]")),MATCH(vp.data[[#This Row],[SDate]],weather.tbl[Date],0))</f>
        <v>14.799999999999999</v>
      </c>
      <c r="O1679" s="2">
        <f ca="1">INDEX(INDIRECT(_xlfn.CONCAT("weather.tbl[",O$1,"]")),MATCH(vp.data[[#This Row],[SDate]],weather.tbl[Date],0))</f>
        <v>14.757142857142856</v>
      </c>
      <c r="P1679" s="2">
        <f ca="1">INDEX(INDIRECT(_xlfn.CONCAT("weather.tbl[",P$1,"]")),MATCH(vp.data[[#This Row],[SDate]],weather.tbl[Date],0))</f>
        <v>15.1</v>
      </c>
      <c r="Q1679" s="2">
        <f ca="1">INDEX(INDIRECT(_xlfn.CONCAT("weather.tbl[",Q$1,"]")),MATCH(vp.data[[#This Row],[SDate]],weather.tbl[Date],0))</f>
        <v>15.4</v>
      </c>
      <c r="R1679" s="2">
        <f ca="1">INDEX(INDIRECT(_xlfn.CONCAT("weather.tbl[",R$1,"]")),MATCH(vp.data[[#This Row],[SDate]],weather.tbl[Date],0))</f>
        <v>14.5</v>
      </c>
      <c r="S1679" s="2">
        <f ca="1">INDEX(INDIRECT(_xlfn.CONCAT("weather.tbl[",S$1,"]")),MATCH(vp.data[[#This Row],[SDate]],weather.tbl[Date],0))</f>
        <v>15.2</v>
      </c>
      <c r="T1679" s="2">
        <f ca="1">INDEX(INDIRECT(_xlfn.CONCAT("weather.tbl[",T$1,"]")),MATCH(vp.data[[#This Row],[SDate]],weather.tbl[Date],0))</f>
        <v>14.8</v>
      </c>
      <c r="U1679" s="2">
        <f ca="1">INDEX(INDIRECT(_xlfn.CONCAT("weather.tbl[",U$1,"]")),MATCH(vp.data[[#This Row],[SDate]],weather.tbl[Date],0))</f>
        <v>13.8</v>
      </c>
      <c r="V1679" s="2" t="str">
        <f t="array" ref="V167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79" t="s">
        <v>48</v>
      </c>
      <c r="X1679">
        <f>IF(OR(vp.data[[#This Row],[Sulf]]="",vp.data[[#This Row],[Dens]]=""),1,0)</f>
        <v>1</v>
      </c>
      <c r="Y1679">
        <f>IF(vp.data[[#This Row],[CrudeType]]="C5+",1,0)</f>
        <v>0</v>
      </c>
      <c r="Z1679">
        <f>IF(AND(vp.data[[#This Row],[CrudeType]]="Crude",vp.data[[#This Row],[Dens]]&lt;=825,vp.data[[#This Row],[Sulf]]&gt;0.5,vp.data[[#This Row],[Unknown]]=0),1,0)</f>
        <v>0</v>
      </c>
      <c r="AA1679">
        <f>IF(AND(vp.data[[#This Row],[CrudeType]]="Crude",vp.data[[#This Row],[Dens]]&lt;=825,vp.data[[#This Row],[Sulf]]&lt;=0.5,vp.data[[#This Row],[Unknown]]=0),1,0)</f>
        <v>0</v>
      </c>
      <c r="AB167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79">
        <f>IF(AND(vp.data[[#This Row],[CrudeType]]="Crude",vp.data[[#This Row],[Dens]]&gt;825,vp.data[[#This Row],[Dens]]&lt;=900,vp.data[[#This Row],[Sulf]]&lt;=0.5,vp.data[[#This Row],[Unknown]]=0),1,0)</f>
        <v>0</v>
      </c>
      <c r="AD1679">
        <f>IF(AND(vp.data[[#This Row],[CrudeType]]="Crude",vp.data[[#This Row],[Dens]]&gt;865,vp.data[[#This Row],[Dens]]&lt;=900,vp.data[[#This Row],[Sulf]]&gt;2,vp.data[[#This Row],[Unknown]]=0),1,0)</f>
        <v>0</v>
      </c>
      <c r="AE1679">
        <f>IF(AND(vp.data[[#This Row],[CrudeType]]="Crude",vp.data[[#This Row],[Dens]]&gt;900,vp.data[[#This Row],[Sulf]]&lt;=0.5,vp.data[[#This Row],[Unknown]]=0),1,0)</f>
        <v>0</v>
      </c>
      <c r="AF1679">
        <f>IF(AND(vp.data[[#This Row],[CrudeType]]="Crude",vp.data[[#This Row],[Dens]]&gt;900,vp.data[[#This Row],[Sulf]]&lt;=0.5,vp.data[[#This Row],[Unknown]]=0),1,0)</f>
        <v>0</v>
      </c>
      <c r="AG1679" t="str">
        <f>INDEX(vp.data[[#Headers],[Unknown]:[Heavy_SW]],MATCH(1,vp.data[[#This Row],[Unknown]:[Heavy_SW]],0))</f>
        <v>Unknown</v>
      </c>
      <c r="AH1679">
        <f>INDEX([3]!crudeBD.lkup[Number],MATCH(vp.data[[#This Row],[Crude_Breakdown]],crudeBD.lkup[Crude Breakdown],0))</f>
        <v>-1</v>
      </c>
      <c r="AI1679">
        <f>MONTH(vp.data[[#This Row],[SDate]])</f>
        <v>6</v>
      </c>
      <c r="AJ1679" s="5">
        <f>(vp.data[[#This Row],[VP]]-INDEX(crudeBD.lkup[Mean_VP],MATCH(vp.data[[#This Row],[Crude_Breakdown]],crudeBD.lkup[Crude Breakdown],0)))^2</f>
        <v>140.30727022424401</v>
      </c>
      <c r="AK1679" s="5" t="e">
        <f>(vp.data[[#This Row],[Dens]]-INDEX(crudeBD.lkup[Mean_Dens],MATCH(vp.data[[#This Row],[Crude_Breakdown]],crudeBD.lkup[Crude Breakdown],0)))^2</f>
        <v>#VALUE!</v>
      </c>
      <c r="AL1679" s="5" t="e">
        <f>(vp.data[[#This Row],[Sulf]]-INDEX(crudeBD.lkup[Mean_Sulf],MATCH(vp.data[[#This Row],[Crude_Breakdown]],crudeBD.lkup[Crude Breakdown],0)))^2</f>
        <v>#VALUE!</v>
      </c>
      <c r="AM1679" s="4">
        <f>IF(AND(vp.data[[#This Row],[SDate]]&gt;=DATE(YEAR(vp.data[[#This Row],[SDate]]),5,1),vp.data[[#This Row],[SDate]]&lt;=DATE(YEAR(vp.data[[#This Row],[SDate]]),9,15)),1,0)</f>
        <v>1</v>
      </c>
      <c r="AN1679" s="4">
        <f>IF(vp.data[[#This Row],[SDate]]&lt;DATE(2016,12,1),0,1)</f>
        <v>1</v>
      </c>
      <c r="AO1679" s="4" t="str">
        <f>IFERROR(vp.data[[#This Row],[Sulf]]*vp.data[[#This Row],[Net Dens]],"")</f>
        <v/>
      </c>
      <c r="AP1679" t="str">
        <f>IFERROR(vp.data[[#This Row],[Dens]]*vp.data[[#This Row],[VolumeM3]],"")</f>
        <v/>
      </c>
      <c r="AQ1679" s="15" t="str">
        <f>IFERROR(vp.data[[#This Row],[VP]]*vp.data[[#This Row],[VolumeM3]],"")</f>
        <v/>
      </c>
    </row>
    <row r="1680" spans="1:43" x14ac:dyDescent="0.25">
      <c r="A1680">
        <v>1679</v>
      </c>
      <c r="B1680" t="s">
        <v>51</v>
      </c>
      <c r="C1680" t="s">
        <v>51</v>
      </c>
      <c r="D1680" t="s">
        <v>72</v>
      </c>
      <c r="F1680" s="1">
        <v>42906</v>
      </c>
      <c r="G1680" s="2">
        <v>87.6</v>
      </c>
      <c r="H1680" s="2"/>
      <c r="I1680" s="2" t="str">
        <f t="array" ref="I168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0" s="2"/>
      <c r="K1680" s="2"/>
      <c r="L1680" s="2"/>
      <c r="M1680" s="2" t="str">
        <f t="array" ref="M168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0" s="2">
        <f ca="1">INDEX(INDIRECT(_xlfn.CONCAT("weather.tbl[",N$1,"]")),MATCH(vp.data[[#This Row],[SDate]],weather.tbl[Date],0))</f>
        <v>14.85</v>
      </c>
      <c r="O1680" s="2">
        <f ca="1">INDEX(INDIRECT(_xlfn.CONCAT("weather.tbl[",O$1,"]")),MATCH(vp.data[[#This Row],[SDate]],weather.tbl[Date],0))</f>
        <v>14.640476190476191</v>
      </c>
      <c r="P1680" s="2">
        <f ca="1">INDEX(INDIRECT(_xlfn.CONCAT("weather.tbl[",P$1,"]")),MATCH(vp.data[[#This Row],[SDate]],weather.tbl[Date],0))</f>
        <v>15</v>
      </c>
      <c r="Q1680" s="2">
        <f ca="1">INDEX(INDIRECT(_xlfn.CONCAT("weather.tbl[",Q$1,"]")),MATCH(vp.data[[#This Row],[SDate]],weather.tbl[Date],0))</f>
        <v>16</v>
      </c>
      <c r="R1680" s="2">
        <f ca="1">INDEX(INDIRECT(_xlfn.CONCAT("weather.tbl[",R$1,"]")),MATCH(vp.data[[#This Row],[SDate]],weather.tbl[Date],0))</f>
        <v>13.5</v>
      </c>
      <c r="S1680" s="2">
        <f ca="1">INDEX(INDIRECT(_xlfn.CONCAT("weather.tbl[",S$1,"]")),MATCH(vp.data[[#This Row],[SDate]],weather.tbl[Date],0))</f>
        <v>15.4</v>
      </c>
      <c r="T1680" s="2">
        <f ca="1">INDEX(INDIRECT(_xlfn.CONCAT("weather.tbl[",T$1,"]")),MATCH(vp.data[[#This Row],[SDate]],weather.tbl[Date],0))</f>
        <v>14.4</v>
      </c>
      <c r="U1680" s="2">
        <f ca="1">INDEX(INDIRECT(_xlfn.CONCAT("weather.tbl[",U$1,"]")),MATCH(vp.data[[#This Row],[SDate]],weather.tbl[Date],0))</f>
        <v>14.8</v>
      </c>
      <c r="V1680" s="2" t="str">
        <f t="array" ref="V168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0" t="s">
        <v>48</v>
      </c>
      <c r="X1680">
        <f>IF(OR(vp.data[[#This Row],[Sulf]]="",vp.data[[#This Row],[Dens]]=""),1,0)</f>
        <v>1</v>
      </c>
      <c r="Y1680">
        <f>IF(vp.data[[#This Row],[CrudeType]]="C5+",1,0)</f>
        <v>0</v>
      </c>
      <c r="Z1680">
        <f>IF(AND(vp.data[[#This Row],[CrudeType]]="Crude",vp.data[[#This Row],[Dens]]&lt;=825,vp.data[[#This Row],[Sulf]]&gt;0.5,vp.data[[#This Row],[Unknown]]=0),1,0)</f>
        <v>0</v>
      </c>
      <c r="AA1680">
        <f>IF(AND(vp.data[[#This Row],[CrudeType]]="Crude",vp.data[[#This Row],[Dens]]&lt;=825,vp.data[[#This Row],[Sulf]]&lt;=0.5,vp.data[[#This Row],[Unknown]]=0),1,0)</f>
        <v>0</v>
      </c>
      <c r="AB168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0">
        <f>IF(AND(vp.data[[#This Row],[CrudeType]]="Crude",vp.data[[#This Row],[Dens]]&gt;825,vp.data[[#This Row],[Dens]]&lt;=900,vp.data[[#This Row],[Sulf]]&lt;=0.5,vp.data[[#This Row],[Unknown]]=0),1,0)</f>
        <v>0</v>
      </c>
      <c r="AD1680">
        <f>IF(AND(vp.data[[#This Row],[CrudeType]]="Crude",vp.data[[#This Row],[Dens]]&gt;865,vp.data[[#This Row],[Dens]]&lt;=900,vp.data[[#This Row],[Sulf]]&gt;2,vp.data[[#This Row],[Unknown]]=0),1,0)</f>
        <v>0</v>
      </c>
      <c r="AE1680">
        <f>IF(AND(vp.data[[#This Row],[CrudeType]]="Crude",vp.data[[#This Row],[Dens]]&gt;900,vp.data[[#This Row],[Sulf]]&lt;=0.5,vp.data[[#This Row],[Unknown]]=0),1,0)</f>
        <v>0</v>
      </c>
      <c r="AF1680">
        <f>IF(AND(vp.data[[#This Row],[CrudeType]]="Crude",vp.data[[#This Row],[Dens]]&gt;900,vp.data[[#This Row],[Sulf]]&lt;=0.5,vp.data[[#This Row],[Unknown]]=0),1,0)</f>
        <v>0</v>
      </c>
      <c r="AG1680" t="str">
        <f>INDEX(vp.data[[#Headers],[Unknown]:[Heavy_SW]],MATCH(1,vp.data[[#This Row],[Unknown]:[Heavy_SW]],0))</f>
        <v>Unknown</v>
      </c>
      <c r="AH1680">
        <f>INDEX([3]!crudeBD.lkup[Number],MATCH(vp.data[[#This Row],[Crude_Breakdown]],crudeBD.lkup[Crude Breakdown],0))</f>
        <v>-1</v>
      </c>
      <c r="AI1680">
        <f>MONTH(vp.data[[#This Row],[SDate]])</f>
        <v>6</v>
      </c>
      <c r="AJ1680" s="5">
        <f>(vp.data[[#This Row],[VP]]-INDEX(crudeBD.lkup[Mean_VP],MATCH(vp.data[[#This Row],[Crude_Breakdown]],crudeBD.lkup[Crude Breakdown],0)))^2</f>
        <v>189.19625652561518</v>
      </c>
      <c r="AK1680" s="5" t="e">
        <f>(vp.data[[#This Row],[Dens]]-INDEX(crudeBD.lkup[Mean_Dens],MATCH(vp.data[[#This Row],[Crude_Breakdown]],crudeBD.lkup[Crude Breakdown],0)))^2</f>
        <v>#VALUE!</v>
      </c>
      <c r="AL1680" s="5" t="e">
        <f>(vp.data[[#This Row],[Sulf]]-INDEX(crudeBD.lkup[Mean_Sulf],MATCH(vp.data[[#This Row],[Crude_Breakdown]],crudeBD.lkup[Crude Breakdown],0)))^2</f>
        <v>#VALUE!</v>
      </c>
      <c r="AM1680" s="4">
        <f>IF(AND(vp.data[[#This Row],[SDate]]&gt;=DATE(YEAR(vp.data[[#This Row],[SDate]]),5,1),vp.data[[#This Row],[SDate]]&lt;=DATE(YEAR(vp.data[[#This Row],[SDate]]),9,15)),1,0)</f>
        <v>1</v>
      </c>
      <c r="AN1680" s="4">
        <f>IF(vp.data[[#This Row],[SDate]]&lt;DATE(2016,12,1),0,1)</f>
        <v>1</v>
      </c>
      <c r="AO1680" s="4" t="str">
        <f>IFERROR(vp.data[[#This Row],[Sulf]]*vp.data[[#This Row],[Net Dens]],"")</f>
        <v/>
      </c>
      <c r="AP1680" t="str">
        <f>IFERROR(vp.data[[#This Row],[Dens]]*vp.data[[#This Row],[VolumeM3]],"")</f>
        <v/>
      </c>
      <c r="AQ1680" s="15" t="str">
        <f>IFERROR(vp.data[[#This Row],[VP]]*vp.data[[#This Row],[VolumeM3]],"")</f>
        <v/>
      </c>
    </row>
    <row r="1681" spans="1:43" x14ac:dyDescent="0.25">
      <c r="A1681">
        <v>1680</v>
      </c>
      <c r="B1681" t="s">
        <v>49</v>
      </c>
      <c r="C1681" t="s">
        <v>49</v>
      </c>
      <c r="D1681" t="s">
        <v>89</v>
      </c>
      <c r="F1681" s="1">
        <v>42906</v>
      </c>
      <c r="G1681" s="2">
        <v>86</v>
      </c>
      <c r="H1681" s="2"/>
      <c r="I1681" s="2" t="str">
        <f t="array" ref="I168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1" s="2"/>
      <c r="K1681" s="2"/>
      <c r="L1681" s="2"/>
      <c r="M1681" s="2" t="str">
        <f t="array" ref="M168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1" s="2">
        <f ca="1">INDEX(INDIRECT(_xlfn.CONCAT("weather.tbl[",N$1,"]")),MATCH(vp.data[[#This Row],[SDate]],weather.tbl[Date],0))</f>
        <v>14.85</v>
      </c>
      <c r="O1681" s="2">
        <f ca="1">INDEX(INDIRECT(_xlfn.CONCAT("weather.tbl[",O$1,"]")),MATCH(vp.data[[#This Row],[SDate]],weather.tbl[Date],0))</f>
        <v>14.640476190476191</v>
      </c>
      <c r="P1681" s="2">
        <f ca="1">INDEX(INDIRECT(_xlfn.CONCAT("weather.tbl[",P$1,"]")),MATCH(vp.data[[#This Row],[SDate]],weather.tbl[Date],0))</f>
        <v>15</v>
      </c>
      <c r="Q1681" s="2">
        <f ca="1">INDEX(INDIRECT(_xlfn.CONCAT("weather.tbl[",Q$1,"]")),MATCH(vp.data[[#This Row],[SDate]],weather.tbl[Date],0))</f>
        <v>16</v>
      </c>
      <c r="R1681" s="2">
        <f ca="1">INDEX(INDIRECT(_xlfn.CONCAT("weather.tbl[",R$1,"]")),MATCH(vp.data[[#This Row],[SDate]],weather.tbl[Date],0))</f>
        <v>13.5</v>
      </c>
      <c r="S1681" s="2">
        <f ca="1">INDEX(INDIRECT(_xlfn.CONCAT("weather.tbl[",S$1,"]")),MATCH(vp.data[[#This Row],[SDate]],weather.tbl[Date],0))</f>
        <v>15.4</v>
      </c>
      <c r="T1681" s="2">
        <f ca="1">INDEX(INDIRECT(_xlfn.CONCAT("weather.tbl[",T$1,"]")),MATCH(vp.data[[#This Row],[SDate]],weather.tbl[Date],0))</f>
        <v>14.4</v>
      </c>
      <c r="U1681" s="2">
        <f ca="1">INDEX(INDIRECT(_xlfn.CONCAT("weather.tbl[",U$1,"]")),MATCH(vp.data[[#This Row],[SDate]],weather.tbl[Date],0))</f>
        <v>14.8</v>
      </c>
      <c r="V1681" s="2" t="str">
        <f t="array" ref="V168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1" t="s">
        <v>48</v>
      </c>
      <c r="X1681">
        <f>IF(OR(vp.data[[#This Row],[Sulf]]="",vp.data[[#This Row],[Dens]]=""),1,0)</f>
        <v>1</v>
      </c>
      <c r="Y1681">
        <f>IF(vp.data[[#This Row],[CrudeType]]="C5+",1,0)</f>
        <v>0</v>
      </c>
      <c r="Z1681">
        <f>IF(AND(vp.data[[#This Row],[CrudeType]]="Crude",vp.data[[#This Row],[Dens]]&lt;=825,vp.data[[#This Row],[Sulf]]&gt;0.5,vp.data[[#This Row],[Unknown]]=0),1,0)</f>
        <v>0</v>
      </c>
      <c r="AA1681">
        <f>IF(AND(vp.data[[#This Row],[CrudeType]]="Crude",vp.data[[#This Row],[Dens]]&lt;=825,vp.data[[#This Row],[Sulf]]&lt;=0.5,vp.data[[#This Row],[Unknown]]=0),1,0)</f>
        <v>0</v>
      </c>
      <c r="AB168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1">
        <f>IF(AND(vp.data[[#This Row],[CrudeType]]="Crude",vp.data[[#This Row],[Dens]]&gt;825,vp.data[[#This Row],[Dens]]&lt;=900,vp.data[[#This Row],[Sulf]]&lt;=0.5,vp.data[[#This Row],[Unknown]]=0),1,0)</f>
        <v>0</v>
      </c>
      <c r="AD1681">
        <f>IF(AND(vp.data[[#This Row],[CrudeType]]="Crude",vp.data[[#This Row],[Dens]]&gt;865,vp.data[[#This Row],[Dens]]&lt;=900,vp.data[[#This Row],[Sulf]]&gt;2,vp.data[[#This Row],[Unknown]]=0),1,0)</f>
        <v>0</v>
      </c>
      <c r="AE1681">
        <f>IF(AND(vp.data[[#This Row],[CrudeType]]="Crude",vp.data[[#This Row],[Dens]]&gt;900,vp.data[[#This Row],[Sulf]]&lt;=0.5,vp.data[[#This Row],[Unknown]]=0),1,0)</f>
        <v>0</v>
      </c>
      <c r="AF1681">
        <f>IF(AND(vp.data[[#This Row],[CrudeType]]="Crude",vp.data[[#This Row],[Dens]]&gt;900,vp.data[[#This Row],[Sulf]]&lt;=0.5,vp.data[[#This Row],[Unknown]]=0),1,0)</f>
        <v>0</v>
      </c>
      <c r="AG1681" t="str">
        <f>INDEX(vp.data[[#Headers],[Unknown]:[Heavy_SW]],MATCH(1,vp.data[[#This Row],[Unknown]:[Heavy_SW]],0))</f>
        <v>Unknown</v>
      </c>
      <c r="AH1681">
        <f>INDEX([3]!crudeBD.lkup[Number],MATCH(vp.data[[#This Row],[Crude_Breakdown]],crudeBD.lkup[Crude Breakdown],0))</f>
        <v>-1</v>
      </c>
      <c r="AI1681">
        <f>MONTH(vp.data[[#This Row],[SDate]])</f>
        <v>6</v>
      </c>
      <c r="AJ1681" s="5">
        <f>(vp.data[[#This Row],[VP]]-INDEX(crudeBD.lkup[Mean_VP],MATCH(vp.data[[#This Row],[Crude_Breakdown]],crudeBD.lkup[Crude Breakdown],0)))^2</f>
        <v>147.74069488177963</v>
      </c>
      <c r="AK1681" s="5" t="e">
        <f>(vp.data[[#This Row],[Dens]]-INDEX(crudeBD.lkup[Mean_Dens],MATCH(vp.data[[#This Row],[Crude_Breakdown]],crudeBD.lkup[Crude Breakdown],0)))^2</f>
        <v>#VALUE!</v>
      </c>
      <c r="AL1681" s="5" t="e">
        <f>(vp.data[[#This Row],[Sulf]]-INDEX(crudeBD.lkup[Mean_Sulf],MATCH(vp.data[[#This Row],[Crude_Breakdown]],crudeBD.lkup[Crude Breakdown],0)))^2</f>
        <v>#VALUE!</v>
      </c>
      <c r="AM1681" s="4">
        <f>IF(AND(vp.data[[#This Row],[SDate]]&gt;=DATE(YEAR(vp.data[[#This Row],[SDate]]),5,1),vp.data[[#This Row],[SDate]]&lt;=DATE(YEAR(vp.data[[#This Row],[SDate]]),9,15)),1,0)</f>
        <v>1</v>
      </c>
      <c r="AN1681" s="4">
        <f>IF(vp.data[[#This Row],[SDate]]&lt;DATE(2016,12,1),0,1)</f>
        <v>1</v>
      </c>
      <c r="AO1681" s="4" t="str">
        <f>IFERROR(vp.data[[#This Row],[Sulf]]*vp.data[[#This Row],[Net Dens]],"")</f>
        <v/>
      </c>
      <c r="AP1681" t="str">
        <f>IFERROR(vp.data[[#This Row],[Dens]]*vp.data[[#This Row],[VolumeM3]],"")</f>
        <v/>
      </c>
      <c r="AQ1681" s="15" t="str">
        <f>IFERROR(vp.data[[#This Row],[VP]]*vp.data[[#This Row],[VolumeM3]],"")</f>
        <v/>
      </c>
    </row>
    <row r="1682" spans="1:43" x14ac:dyDescent="0.25">
      <c r="A1682">
        <v>1681</v>
      </c>
      <c r="B1682" t="s">
        <v>62</v>
      </c>
      <c r="C1682" t="s">
        <v>62</v>
      </c>
      <c r="D1682" t="s">
        <v>79</v>
      </c>
      <c r="F1682" s="1">
        <v>42906</v>
      </c>
      <c r="G1682" s="2">
        <v>78.400000000000006</v>
      </c>
      <c r="H1682" s="2"/>
      <c r="I1682" s="2" t="str">
        <f t="array" ref="I168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2" s="2"/>
      <c r="K1682" s="2"/>
      <c r="L1682" s="2"/>
      <c r="M1682" s="2" t="str">
        <f t="array" ref="M168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2" s="2">
        <f ca="1">INDEX(INDIRECT(_xlfn.CONCAT("weather.tbl[",N$1,"]")),MATCH(vp.data[[#This Row],[SDate]],weather.tbl[Date],0))</f>
        <v>14.85</v>
      </c>
      <c r="O1682" s="2">
        <f ca="1">INDEX(INDIRECT(_xlfn.CONCAT("weather.tbl[",O$1,"]")),MATCH(vp.data[[#This Row],[SDate]],weather.tbl[Date],0))</f>
        <v>14.640476190476191</v>
      </c>
      <c r="P1682" s="2">
        <f ca="1">INDEX(INDIRECT(_xlfn.CONCAT("weather.tbl[",P$1,"]")),MATCH(vp.data[[#This Row],[SDate]],weather.tbl[Date],0))</f>
        <v>15</v>
      </c>
      <c r="Q1682" s="2">
        <f ca="1">INDEX(INDIRECT(_xlfn.CONCAT("weather.tbl[",Q$1,"]")),MATCH(vp.data[[#This Row],[SDate]],weather.tbl[Date],0))</f>
        <v>16</v>
      </c>
      <c r="R1682" s="2">
        <f ca="1">INDEX(INDIRECT(_xlfn.CONCAT("weather.tbl[",R$1,"]")),MATCH(vp.data[[#This Row],[SDate]],weather.tbl[Date],0))</f>
        <v>13.5</v>
      </c>
      <c r="S1682" s="2">
        <f ca="1">INDEX(INDIRECT(_xlfn.CONCAT("weather.tbl[",S$1,"]")),MATCH(vp.data[[#This Row],[SDate]],weather.tbl[Date],0))</f>
        <v>15.4</v>
      </c>
      <c r="T1682" s="2">
        <f ca="1">INDEX(INDIRECT(_xlfn.CONCAT("weather.tbl[",T$1,"]")),MATCH(vp.data[[#This Row],[SDate]],weather.tbl[Date],0))</f>
        <v>14.4</v>
      </c>
      <c r="U1682" s="2">
        <f ca="1">INDEX(INDIRECT(_xlfn.CONCAT("weather.tbl[",U$1,"]")),MATCH(vp.data[[#This Row],[SDate]],weather.tbl[Date],0))</f>
        <v>14.8</v>
      </c>
      <c r="V1682" s="2" t="str">
        <f t="array" ref="V168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2" t="s">
        <v>48</v>
      </c>
      <c r="X1682">
        <f>IF(OR(vp.data[[#This Row],[Sulf]]="",vp.data[[#This Row],[Dens]]=""),1,0)</f>
        <v>1</v>
      </c>
      <c r="Y1682">
        <f>IF(vp.data[[#This Row],[CrudeType]]="C5+",1,0)</f>
        <v>0</v>
      </c>
      <c r="Z1682">
        <f>IF(AND(vp.data[[#This Row],[CrudeType]]="Crude",vp.data[[#This Row],[Dens]]&lt;=825,vp.data[[#This Row],[Sulf]]&gt;0.5,vp.data[[#This Row],[Unknown]]=0),1,0)</f>
        <v>0</v>
      </c>
      <c r="AA1682">
        <f>IF(AND(vp.data[[#This Row],[CrudeType]]="Crude",vp.data[[#This Row],[Dens]]&lt;=825,vp.data[[#This Row],[Sulf]]&lt;=0.5,vp.data[[#This Row],[Unknown]]=0),1,0)</f>
        <v>0</v>
      </c>
      <c r="AB168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2">
        <f>IF(AND(vp.data[[#This Row],[CrudeType]]="Crude",vp.data[[#This Row],[Dens]]&gt;825,vp.data[[#This Row],[Dens]]&lt;=900,vp.data[[#This Row],[Sulf]]&lt;=0.5,vp.data[[#This Row],[Unknown]]=0),1,0)</f>
        <v>0</v>
      </c>
      <c r="AD1682">
        <f>IF(AND(vp.data[[#This Row],[CrudeType]]="Crude",vp.data[[#This Row],[Dens]]&gt;865,vp.data[[#This Row],[Dens]]&lt;=900,vp.data[[#This Row],[Sulf]]&gt;2,vp.data[[#This Row],[Unknown]]=0),1,0)</f>
        <v>0</v>
      </c>
      <c r="AE1682">
        <f>IF(AND(vp.data[[#This Row],[CrudeType]]="Crude",vp.data[[#This Row],[Dens]]&gt;900,vp.data[[#This Row],[Sulf]]&lt;=0.5,vp.data[[#This Row],[Unknown]]=0),1,0)</f>
        <v>0</v>
      </c>
      <c r="AF1682">
        <f>IF(AND(vp.data[[#This Row],[CrudeType]]="Crude",vp.data[[#This Row],[Dens]]&gt;900,vp.data[[#This Row],[Sulf]]&lt;=0.5,vp.data[[#This Row],[Unknown]]=0),1,0)</f>
        <v>0</v>
      </c>
      <c r="AG1682" t="str">
        <f>INDEX(vp.data[[#Headers],[Unknown]:[Heavy_SW]],MATCH(1,vp.data[[#This Row],[Unknown]:[Heavy_SW]],0))</f>
        <v>Unknown</v>
      </c>
      <c r="AH1682">
        <f>INDEX([3]!crudeBD.lkup[Number],MATCH(vp.data[[#This Row],[Crude_Breakdown]],crudeBD.lkup[Crude Breakdown],0))</f>
        <v>-1</v>
      </c>
      <c r="AI1682">
        <f>MONTH(vp.data[[#This Row],[SDate]])</f>
        <v>6</v>
      </c>
      <c r="AJ1682" s="5">
        <f>(vp.data[[#This Row],[VP]]-INDEX(crudeBD.lkup[Mean_VP],MATCH(vp.data[[#This Row],[Crude_Breakdown]],crudeBD.lkup[Crude Breakdown],0)))^2</f>
        <v>20.746777073560082</v>
      </c>
      <c r="AK1682" s="5" t="e">
        <f>(vp.data[[#This Row],[Dens]]-INDEX(crudeBD.lkup[Mean_Dens],MATCH(vp.data[[#This Row],[Crude_Breakdown]],crudeBD.lkup[Crude Breakdown],0)))^2</f>
        <v>#VALUE!</v>
      </c>
      <c r="AL1682" s="5" t="e">
        <f>(vp.data[[#This Row],[Sulf]]-INDEX(crudeBD.lkup[Mean_Sulf],MATCH(vp.data[[#This Row],[Crude_Breakdown]],crudeBD.lkup[Crude Breakdown],0)))^2</f>
        <v>#VALUE!</v>
      </c>
      <c r="AM1682" s="4">
        <f>IF(AND(vp.data[[#This Row],[SDate]]&gt;=DATE(YEAR(vp.data[[#This Row],[SDate]]),5,1),vp.data[[#This Row],[SDate]]&lt;=DATE(YEAR(vp.data[[#This Row],[SDate]]),9,15)),1,0)</f>
        <v>1</v>
      </c>
      <c r="AN1682" s="4">
        <f>IF(vp.data[[#This Row],[SDate]]&lt;DATE(2016,12,1),0,1)</f>
        <v>1</v>
      </c>
      <c r="AO1682" s="4" t="str">
        <f>IFERROR(vp.data[[#This Row],[Sulf]]*vp.data[[#This Row],[Net Dens]],"")</f>
        <v/>
      </c>
      <c r="AP1682" t="str">
        <f>IFERROR(vp.data[[#This Row],[Dens]]*vp.data[[#This Row],[VolumeM3]],"")</f>
        <v/>
      </c>
      <c r="AQ1682" s="15" t="str">
        <f>IFERROR(vp.data[[#This Row],[VP]]*vp.data[[#This Row],[VolumeM3]],"")</f>
        <v/>
      </c>
    </row>
    <row r="1683" spans="1:43" x14ac:dyDescent="0.25">
      <c r="A1683">
        <v>1682</v>
      </c>
      <c r="B1683" t="s">
        <v>62</v>
      </c>
      <c r="C1683" t="s">
        <v>62</v>
      </c>
      <c r="D1683" t="s">
        <v>83</v>
      </c>
      <c r="F1683" s="1">
        <v>42906</v>
      </c>
      <c r="G1683" s="2">
        <v>76.2</v>
      </c>
      <c r="H1683" s="2"/>
      <c r="I1683" s="2" t="str">
        <f t="array" ref="I168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3" s="2"/>
      <c r="K1683" s="2"/>
      <c r="L1683" s="2"/>
      <c r="M1683" s="2" t="str">
        <f t="array" ref="M168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3" s="2">
        <f ca="1">INDEX(INDIRECT(_xlfn.CONCAT("weather.tbl[",N$1,"]")),MATCH(vp.data[[#This Row],[SDate]],weather.tbl[Date],0))</f>
        <v>14.85</v>
      </c>
      <c r="O1683" s="2">
        <f ca="1">INDEX(INDIRECT(_xlfn.CONCAT("weather.tbl[",O$1,"]")),MATCH(vp.data[[#This Row],[SDate]],weather.tbl[Date],0))</f>
        <v>14.640476190476191</v>
      </c>
      <c r="P1683" s="2">
        <f ca="1">INDEX(INDIRECT(_xlfn.CONCAT("weather.tbl[",P$1,"]")),MATCH(vp.data[[#This Row],[SDate]],weather.tbl[Date],0))</f>
        <v>15</v>
      </c>
      <c r="Q1683" s="2">
        <f ca="1">INDEX(INDIRECT(_xlfn.CONCAT("weather.tbl[",Q$1,"]")),MATCH(vp.data[[#This Row],[SDate]],weather.tbl[Date],0))</f>
        <v>16</v>
      </c>
      <c r="R1683" s="2">
        <f ca="1">INDEX(INDIRECT(_xlfn.CONCAT("weather.tbl[",R$1,"]")),MATCH(vp.data[[#This Row],[SDate]],weather.tbl[Date],0))</f>
        <v>13.5</v>
      </c>
      <c r="S1683" s="2">
        <f ca="1">INDEX(INDIRECT(_xlfn.CONCAT("weather.tbl[",S$1,"]")),MATCH(vp.data[[#This Row],[SDate]],weather.tbl[Date],0))</f>
        <v>15.4</v>
      </c>
      <c r="T1683" s="2">
        <f ca="1">INDEX(INDIRECT(_xlfn.CONCAT("weather.tbl[",T$1,"]")),MATCH(vp.data[[#This Row],[SDate]],weather.tbl[Date],0))</f>
        <v>14.4</v>
      </c>
      <c r="U1683" s="2">
        <f ca="1">INDEX(INDIRECT(_xlfn.CONCAT("weather.tbl[",U$1,"]")),MATCH(vp.data[[#This Row],[SDate]],weather.tbl[Date],0))</f>
        <v>14.8</v>
      </c>
      <c r="V1683" s="2" t="str">
        <f t="array" ref="V168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3" t="s">
        <v>48</v>
      </c>
      <c r="X1683">
        <f>IF(OR(vp.data[[#This Row],[Sulf]]="",vp.data[[#This Row],[Dens]]=""),1,0)</f>
        <v>1</v>
      </c>
      <c r="Y1683">
        <f>IF(vp.data[[#This Row],[CrudeType]]="C5+",1,0)</f>
        <v>0</v>
      </c>
      <c r="Z1683">
        <f>IF(AND(vp.data[[#This Row],[CrudeType]]="Crude",vp.data[[#This Row],[Dens]]&lt;=825,vp.data[[#This Row],[Sulf]]&gt;0.5,vp.data[[#This Row],[Unknown]]=0),1,0)</f>
        <v>0</v>
      </c>
      <c r="AA1683">
        <f>IF(AND(vp.data[[#This Row],[CrudeType]]="Crude",vp.data[[#This Row],[Dens]]&lt;=825,vp.data[[#This Row],[Sulf]]&lt;=0.5,vp.data[[#This Row],[Unknown]]=0),1,0)</f>
        <v>0</v>
      </c>
      <c r="AB168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3">
        <f>IF(AND(vp.data[[#This Row],[CrudeType]]="Crude",vp.data[[#This Row],[Dens]]&gt;825,vp.data[[#This Row],[Dens]]&lt;=900,vp.data[[#This Row],[Sulf]]&lt;=0.5,vp.data[[#This Row],[Unknown]]=0),1,0)</f>
        <v>0</v>
      </c>
      <c r="AD1683">
        <f>IF(AND(vp.data[[#This Row],[CrudeType]]="Crude",vp.data[[#This Row],[Dens]]&gt;865,vp.data[[#This Row],[Dens]]&lt;=900,vp.data[[#This Row],[Sulf]]&gt;2,vp.data[[#This Row],[Unknown]]=0),1,0)</f>
        <v>0</v>
      </c>
      <c r="AE1683">
        <f>IF(AND(vp.data[[#This Row],[CrudeType]]="Crude",vp.data[[#This Row],[Dens]]&gt;900,vp.data[[#This Row],[Sulf]]&lt;=0.5,vp.data[[#This Row],[Unknown]]=0),1,0)</f>
        <v>0</v>
      </c>
      <c r="AF1683">
        <f>IF(AND(vp.data[[#This Row],[CrudeType]]="Crude",vp.data[[#This Row],[Dens]]&gt;900,vp.data[[#This Row],[Sulf]]&lt;=0.5,vp.data[[#This Row],[Unknown]]=0),1,0)</f>
        <v>0</v>
      </c>
      <c r="AG1683" t="str">
        <f>INDEX(vp.data[[#Headers],[Unknown]:[Heavy_SW]],MATCH(1,vp.data[[#This Row],[Unknown]:[Heavy_SW]],0))</f>
        <v>Unknown</v>
      </c>
      <c r="AH1683">
        <f>INDEX([3]!crudeBD.lkup[Number],MATCH(vp.data[[#This Row],[Crude_Breakdown]],crudeBD.lkup[Crude Breakdown],0))</f>
        <v>-1</v>
      </c>
      <c r="AI1683">
        <f>MONTH(vp.data[[#This Row],[SDate]])</f>
        <v>6</v>
      </c>
      <c r="AJ1683" s="5">
        <f>(vp.data[[#This Row],[VP]]-INDEX(crudeBD.lkup[Mean_VP],MATCH(vp.data[[#This Row],[Crude_Breakdown]],crudeBD.lkup[Crude Breakdown],0)))^2</f>
        <v>5.5453798132859431</v>
      </c>
      <c r="AK1683" s="5" t="e">
        <f>(vp.data[[#This Row],[Dens]]-INDEX(crudeBD.lkup[Mean_Dens],MATCH(vp.data[[#This Row],[Crude_Breakdown]],crudeBD.lkup[Crude Breakdown],0)))^2</f>
        <v>#VALUE!</v>
      </c>
      <c r="AL1683" s="5" t="e">
        <f>(vp.data[[#This Row],[Sulf]]-INDEX(crudeBD.lkup[Mean_Sulf],MATCH(vp.data[[#This Row],[Crude_Breakdown]],crudeBD.lkup[Crude Breakdown],0)))^2</f>
        <v>#VALUE!</v>
      </c>
      <c r="AM1683" s="4">
        <f>IF(AND(vp.data[[#This Row],[SDate]]&gt;=DATE(YEAR(vp.data[[#This Row],[SDate]]),5,1),vp.data[[#This Row],[SDate]]&lt;=DATE(YEAR(vp.data[[#This Row],[SDate]]),9,15)),1,0)</f>
        <v>1</v>
      </c>
      <c r="AN1683" s="4">
        <f>IF(vp.data[[#This Row],[SDate]]&lt;DATE(2016,12,1),0,1)</f>
        <v>1</v>
      </c>
      <c r="AO1683" s="4" t="str">
        <f>IFERROR(vp.data[[#This Row],[Sulf]]*vp.data[[#This Row],[Net Dens]],"")</f>
        <v/>
      </c>
      <c r="AP1683" t="str">
        <f>IFERROR(vp.data[[#This Row],[Dens]]*vp.data[[#This Row],[VolumeM3]],"")</f>
        <v/>
      </c>
      <c r="AQ1683" s="15" t="str">
        <f>IFERROR(vp.data[[#This Row],[VP]]*vp.data[[#This Row],[VolumeM3]],"")</f>
        <v/>
      </c>
    </row>
    <row r="1684" spans="1:43" x14ac:dyDescent="0.25">
      <c r="A1684">
        <v>1683</v>
      </c>
      <c r="B1684" t="s">
        <v>62</v>
      </c>
      <c r="C1684" t="s">
        <v>62</v>
      </c>
      <c r="D1684" t="s">
        <v>87</v>
      </c>
      <c r="F1684" s="1">
        <v>42906</v>
      </c>
      <c r="G1684" s="2">
        <v>81.7</v>
      </c>
      <c r="H1684" s="2"/>
      <c r="I1684" s="2" t="str">
        <f t="array" ref="I168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4" s="2"/>
      <c r="K1684" s="2"/>
      <c r="L1684" s="2"/>
      <c r="M1684" s="2" t="str">
        <f t="array" ref="M168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4" s="2">
        <f ca="1">INDEX(INDIRECT(_xlfn.CONCAT("weather.tbl[",N$1,"]")),MATCH(vp.data[[#This Row],[SDate]],weather.tbl[Date],0))</f>
        <v>14.85</v>
      </c>
      <c r="O1684" s="2">
        <f ca="1">INDEX(INDIRECT(_xlfn.CONCAT("weather.tbl[",O$1,"]")),MATCH(vp.data[[#This Row],[SDate]],weather.tbl[Date],0))</f>
        <v>14.640476190476191</v>
      </c>
      <c r="P1684" s="2">
        <f ca="1">INDEX(INDIRECT(_xlfn.CONCAT("weather.tbl[",P$1,"]")),MATCH(vp.data[[#This Row],[SDate]],weather.tbl[Date],0))</f>
        <v>15</v>
      </c>
      <c r="Q1684" s="2">
        <f ca="1">INDEX(INDIRECT(_xlfn.CONCAT("weather.tbl[",Q$1,"]")),MATCH(vp.data[[#This Row],[SDate]],weather.tbl[Date],0))</f>
        <v>16</v>
      </c>
      <c r="R1684" s="2">
        <f ca="1">INDEX(INDIRECT(_xlfn.CONCAT("weather.tbl[",R$1,"]")),MATCH(vp.data[[#This Row],[SDate]],weather.tbl[Date],0))</f>
        <v>13.5</v>
      </c>
      <c r="S1684" s="2">
        <f ca="1">INDEX(INDIRECT(_xlfn.CONCAT("weather.tbl[",S$1,"]")),MATCH(vp.data[[#This Row],[SDate]],weather.tbl[Date],0))</f>
        <v>15.4</v>
      </c>
      <c r="T1684" s="2">
        <f ca="1">INDEX(INDIRECT(_xlfn.CONCAT("weather.tbl[",T$1,"]")),MATCH(vp.data[[#This Row],[SDate]],weather.tbl[Date],0))</f>
        <v>14.4</v>
      </c>
      <c r="U1684" s="2">
        <f ca="1">INDEX(INDIRECT(_xlfn.CONCAT("weather.tbl[",U$1,"]")),MATCH(vp.data[[#This Row],[SDate]],weather.tbl[Date],0))</f>
        <v>14.8</v>
      </c>
      <c r="V1684" s="2" t="str">
        <f t="array" ref="V168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4" t="s">
        <v>48</v>
      </c>
      <c r="X1684">
        <f>IF(OR(vp.data[[#This Row],[Sulf]]="",vp.data[[#This Row],[Dens]]=""),1,0)</f>
        <v>1</v>
      </c>
      <c r="Y1684">
        <f>IF(vp.data[[#This Row],[CrudeType]]="C5+",1,0)</f>
        <v>0</v>
      </c>
      <c r="Z1684">
        <f>IF(AND(vp.data[[#This Row],[CrudeType]]="Crude",vp.data[[#This Row],[Dens]]&lt;=825,vp.data[[#This Row],[Sulf]]&gt;0.5,vp.data[[#This Row],[Unknown]]=0),1,0)</f>
        <v>0</v>
      </c>
      <c r="AA1684">
        <f>IF(AND(vp.data[[#This Row],[CrudeType]]="Crude",vp.data[[#This Row],[Dens]]&lt;=825,vp.data[[#This Row],[Sulf]]&lt;=0.5,vp.data[[#This Row],[Unknown]]=0),1,0)</f>
        <v>0</v>
      </c>
      <c r="AB168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4">
        <f>IF(AND(vp.data[[#This Row],[CrudeType]]="Crude",vp.data[[#This Row],[Dens]]&gt;825,vp.data[[#This Row],[Dens]]&lt;=900,vp.data[[#This Row],[Sulf]]&lt;=0.5,vp.data[[#This Row],[Unknown]]=0),1,0)</f>
        <v>0</v>
      </c>
      <c r="AD1684">
        <f>IF(AND(vp.data[[#This Row],[CrudeType]]="Crude",vp.data[[#This Row],[Dens]]&gt;865,vp.data[[#This Row],[Dens]]&lt;=900,vp.data[[#This Row],[Sulf]]&gt;2,vp.data[[#This Row],[Unknown]]=0),1,0)</f>
        <v>0</v>
      </c>
      <c r="AE1684">
        <f>IF(AND(vp.data[[#This Row],[CrudeType]]="Crude",vp.data[[#This Row],[Dens]]&gt;900,vp.data[[#This Row],[Sulf]]&lt;=0.5,vp.data[[#This Row],[Unknown]]=0),1,0)</f>
        <v>0</v>
      </c>
      <c r="AF1684">
        <f>IF(AND(vp.data[[#This Row],[CrudeType]]="Crude",vp.data[[#This Row],[Dens]]&gt;900,vp.data[[#This Row],[Sulf]]&lt;=0.5,vp.data[[#This Row],[Unknown]]=0),1,0)</f>
        <v>0</v>
      </c>
      <c r="AG1684" t="str">
        <f>INDEX(vp.data[[#Headers],[Unknown]:[Heavy_SW]],MATCH(1,vp.data[[#This Row],[Unknown]:[Heavy_SW]],0))</f>
        <v>Unknown</v>
      </c>
      <c r="AH1684">
        <f>INDEX([3]!crudeBD.lkup[Number],MATCH(vp.data[[#This Row],[Crude_Breakdown]],crudeBD.lkup[Crude Breakdown],0))</f>
        <v>-1</v>
      </c>
      <c r="AI1684">
        <f>MONTH(vp.data[[#This Row],[SDate]])</f>
        <v>6</v>
      </c>
      <c r="AJ1684" s="5">
        <f>(vp.data[[#This Row],[VP]]-INDEX(crudeBD.lkup[Mean_VP],MATCH(vp.data[[#This Row],[Crude_Breakdown]],crudeBD.lkup[Crude Breakdown],0)))^2</f>
        <v>61.698872963971219</v>
      </c>
      <c r="AK1684" s="5" t="e">
        <f>(vp.data[[#This Row],[Dens]]-INDEX(crudeBD.lkup[Mean_Dens],MATCH(vp.data[[#This Row],[Crude_Breakdown]],crudeBD.lkup[Crude Breakdown],0)))^2</f>
        <v>#VALUE!</v>
      </c>
      <c r="AL1684" s="5" t="e">
        <f>(vp.data[[#This Row],[Sulf]]-INDEX(crudeBD.lkup[Mean_Sulf],MATCH(vp.data[[#This Row],[Crude_Breakdown]],crudeBD.lkup[Crude Breakdown],0)))^2</f>
        <v>#VALUE!</v>
      </c>
      <c r="AM1684" s="4">
        <f>IF(AND(vp.data[[#This Row],[SDate]]&gt;=DATE(YEAR(vp.data[[#This Row],[SDate]]),5,1),vp.data[[#This Row],[SDate]]&lt;=DATE(YEAR(vp.data[[#This Row],[SDate]]),9,15)),1,0)</f>
        <v>1</v>
      </c>
      <c r="AN1684" s="4">
        <f>IF(vp.data[[#This Row],[SDate]]&lt;DATE(2016,12,1),0,1)</f>
        <v>1</v>
      </c>
      <c r="AO1684" s="4" t="str">
        <f>IFERROR(vp.data[[#This Row],[Sulf]]*vp.data[[#This Row],[Net Dens]],"")</f>
        <v/>
      </c>
      <c r="AP1684" t="str">
        <f>IFERROR(vp.data[[#This Row],[Dens]]*vp.data[[#This Row],[VolumeM3]],"")</f>
        <v/>
      </c>
      <c r="AQ1684" s="15" t="str">
        <f>IFERROR(vp.data[[#This Row],[VP]]*vp.data[[#This Row],[VolumeM3]],"")</f>
        <v/>
      </c>
    </row>
    <row r="1685" spans="1:43" x14ac:dyDescent="0.25">
      <c r="A1685">
        <v>1684</v>
      </c>
      <c r="B1685" t="s">
        <v>62</v>
      </c>
      <c r="C1685" t="s">
        <v>62</v>
      </c>
      <c r="D1685" t="s">
        <v>63</v>
      </c>
      <c r="F1685" s="1">
        <v>42906</v>
      </c>
      <c r="G1685" s="2">
        <v>71.099999999999994</v>
      </c>
      <c r="H1685" s="2"/>
      <c r="I1685" s="2" t="str">
        <f t="array" ref="I168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5" s="2"/>
      <c r="K1685" s="2"/>
      <c r="L1685" s="2"/>
      <c r="M1685" s="2" t="str">
        <f t="array" ref="M168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5" s="2">
        <f ca="1">INDEX(INDIRECT(_xlfn.CONCAT("weather.tbl[",N$1,"]")),MATCH(vp.data[[#This Row],[SDate]],weather.tbl[Date],0))</f>
        <v>14.85</v>
      </c>
      <c r="O1685" s="2">
        <f ca="1">INDEX(INDIRECT(_xlfn.CONCAT("weather.tbl[",O$1,"]")),MATCH(vp.data[[#This Row],[SDate]],weather.tbl[Date],0))</f>
        <v>14.640476190476191</v>
      </c>
      <c r="P1685" s="2">
        <f ca="1">INDEX(INDIRECT(_xlfn.CONCAT("weather.tbl[",P$1,"]")),MATCH(vp.data[[#This Row],[SDate]],weather.tbl[Date],0))</f>
        <v>15</v>
      </c>
      <c r="Q1685" s="2">
        <f ca="1">INDEX(INDIRECT(_xlfn.CONCAT("weather.tbl[",Q$1,"]")),MATCH(vp.data[[#This Row],[SDate]],weather.tbl[Date],0))</f>
        <v>16</v>
      </c>
      <c r="R1685" s="2">
        <f ca="1">INDEX(INDIRECT(_xlfn.CONCAT("weather.tbl[",R$1,"]")),MATCH(vp.data[[#This Row],[SDate]],weather.tbl[Date],0))</f>
        <v>13.5</v>
      </c>
      <c r="S1685" s="2">
        <f ca="1">INDEX(INDIRECT(_xlfn.CONCAT("weather.tbl[",S$1,"]")),MATCH(vp.data[[#This Row],[SDate]],weather.tbl[Date],0))</f>
        <v>15.4</v>
      </c>
      <c r="T1685" s="2">
        <f ca="1">INDEX(INDIRECT(_xlfn.CONCAT("weather.tbl[",T$1,"]")),MATCH(vp.data[[#This Row],[SDate]],weather.tbl[Date],0))</f>
        <v>14.4</v>
      </c>
      <c r="U1685" s="2">
        <f ca="1">INDEX(INDIRECT(_xlfn.CONCAT("weather.tbl[",U$1,"]")),MATCH(vp.data[[#This Row],[SDate]],weather.tbl[Date],0))</f>
        <v>14.8</v>
      </c>
      <c r="V1685" s="2" t="str">
        <f t="array" ref="V168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5" t="s">
        <v>48</v>
      </c>
      <c r="X1685">
        <f>IF(OR(vp.data[[#This Row],[Sulf]]="",vp.data[[#This Row],[Dens]]=""),1,0)</f>
        <v>1</v>
      </c>
      <c r="Y1685">
        <f>IF(vp.data[[#This Row],[CrudeType]]="C5+",1,0)</f>
        <v>0</v>
      </c>
      <c r="Z1685">
        <f>IF(AND(vp.data[[#This Row],[CrudeType]]="Crude",vp.data[[#This Row],[Dens]]&lt;=825,vp.data[[#This Row],[Sulf]]&gt;0.5,vp.data[[#This Row],[Unknown]]=0),1,0)</f>
        <v>0</v>
      </c>
      <c r="AA1685">
        <f>IF(AND(vp.data[[#This Row],[CrudeType]]="Crude",vp.data[[#This Row],[Dens]]&lt;=825,vp.data[[#This Row],[Sulf]]&lt;=0.5,vp.data[[#This Row],[Unknown]]=0),1,0)</f>
        <v>0</v>
      </c>
      <c r="AB168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5">
        <f>IF(AND(vp.data[[#This Row],[CrudeType]]="Crude",vp.data[[#This Row],[Dens]]&gt;825,vp.data[[#This Row],[Dens]]&lt;=900,vp.data[[#This Row],[Sulf]]&lt;=0.5,vp.data[[#This Row],[Unknown]]=0),1,0)</f>
        <v>0</v>
      </c>
      <c r="AD1685">
        <f>IF(AND(vp.data[[#This Row],[CrudeType]]="Crude",vp.data[[#This Row],[Dens]]&gt;865,vp.data[[#This Row],[Dens]]&lt;=900,vp.data[[#This Row],[Sulf]]&gt;2,vp.data[[#This Row],[Unknown]]=0),1,0)</f>
        <v>0</v>
      </c>
      <c r="AE1685">
        <f>IF(AND(vp.data[[#This Row],[CrudeType]]="Crude",vp.data[[#This Row],[Dens]]&gt;900,vp.data[[#This Row],[Sulf]]&lt;=0.5,vp.data[[#This Row],[Unknown]]=0),1,0)</f>
        <v>0</v>
      </c>
      <c r="AF1685">
        <f>IF(AND(vp.data[[#This Row],[CrudeType]]="Crude",vp.data[[#This Row],[Dens]]&gt;900,vp.data[[#This Row],[Sulf]]&lt;=0.5,vp.data[[#This Row],[Unknown]]=0),1,0)</f>
        <v>0</v>
      </c>
      <c r="AG1685" t="str">
        <f>INDEX(vp.data[[#Headers],[Unknown]:[Heavy_SW]],MATCH(1,vp.data[[#This Row],[Unknown]:[Heavy_SW]],0))</f>
        <v>Unknown</v>
      </c>
      <c r="AH1685">
        <f>INDEX([3]!crudeBD.lkup[Number],MATCH(vp.data[[#This Row],[Crude_Breakdown]],crudeBD.lkup[Crude Breakdown],0))</f>
        <v>-1</v>
      </c>
      <c r="AI1685">
        <f>MONTH(vp.data[[#This Row],[SDate]])</f>
        <v>6</v>
      </c>
      <c r="AJ1685" s="5">
        <f>(vp.data[[#This Row],[VP]]-INDEX(crudeBD.lkup[Mean_VP],MATCH(vp.data[[#This Row],[Crude_Breakdown]],crudeBD.lkup[Crude Breakdown],0)))^2</f>
        <v>7.5357770735596405</v>
      </c>
      <c r="AK1685" s="5" t="e">
        <f>(vp.data[[#This Row],[Dens]]-INDEX(crudeBD.lkup[Mean_Dens],MATCH(vp.data[[#This Row],[Crude_Breakdown]],crudeBD.lkup[Crude Breakdown],0)))^2</f>
        <v>#VALUE!</v>
      </c>
      <c r="AL1685" s="5" t="e">
        <f>(vp.data[[#This Row],[Sulf]]-INDEX(crudeBD.lkup[Mean_Sulf],MATCH(vp.data[[#This Row],[Crude_Breakdown]],crudeBD.lkup[Crude Breakdown],0)))^2</f>
        <v>#VALUE!</v>
      </c>
      <c r="AM1685" s="4">
        <f>IF(AND(vp.data[[#This Row],[SDate]]&gt;=DATE(YEAR(vp.data[[#This Row],[SDate]]),5,1),vp.data[[#This Row],[SDate]]&lt;=DATE(YEAR(vp.data[[#This Row],[SDate]]),9,15)),1,0)</f>
        <v>1</v>
      </c>
      <c r="AN1685" s="4">
        <f>IF(vp.data[[#This Row],[SDate]]&lt;DATE(2016,12,1),0,1)</f>
        <v>1</v>
      </c>
      <c r="AO1685" s="4" t="str">
        <f>IFERROR(vp.data[[#This Row],[Sulf]]*vp.data[[#This Row],[Net Dens]],"")</f>
        <v/>
      </c>
      <c r="AP1685" t="str">
        <f>IFERROR(vp.data[[#This Row],[Dens]]*vp.data[[#This Row],[VolumeM3]],"")</f>
        <v/>
      </c>
      <c r="AQ1685" s="15" t="str">
        <f>IFERROR(vp.data[[#This Row],[VP]]*vp.data[[#This Row],[VolumeM3]],"")</f>
        <v/>
      </c>
    </row>
    <row r="1686" spans="1:43" x14ac:dyDescent="0.25">
      <c r="A1686">
        <v>1685</v>
      </c>
      <c r="B1686" t="s">
        <v>64</v>
      </c>
      <c r="C1686" t="s">
        <v>64</v>
      </c>
      <c r="D1686" t="s">
        <v>65</v>
      </c>
      <c r="F1686" s="1">
        <v>42906</v>
      </c>
      <c r="G1686" s="2">
        <v>44.3</v>
      </c>
      <c r="H1686" s="2"/>
      <c r="I1686" s="2" t="str">
        <f t="array" ref="I168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6" s="2"/>
      <c r="K1686" s="2"/>
      <c r="L1686" s="2"/>
      <c r="M1686" s="2" t="str">
        <f t="array" ref="M168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6" s="2">
        <f ca="1">INDEX(INDIRECT(_xlfn.CONCAT("weather.tbl[",N$1,"]")),MATCH(vp.data[[#This Row],[SDate]],weather.tbl[Date],0))</f>
        <v>14.85</v>
      </c>
      <c r="O1686" s="2">
        <f ca="1">INDEX(INDIRECT(_xlfn.CONCAT("weather.tbl[",O$1,"]")),MATCH(vp.data[[#This Row],[SDate]],weather.tbl[Date],0))</f>
        <v>14.640476190476191</v>
      </c>
      <c r="P1686" s="2">
        <f ca="1">INDEX(INDIRECT(_xlfn.CONCAT("weather.tbl[",P$1,"]")),MATCH(vp.data[[#This Row],[SDate]],weather.tbl[Date],0))</f>
        <v>15</v>
      </c>
      <c r="Q1686" s="2">
        <f ca="1">INDEX(INDIRECT(_xlfn.CONCAT("weather.tbl[",Q$1,"]")),MATCH(vp.data[[#This Row],[SDate]],weather.tbl[Date],0))</f>
        <v>16</v>
      </c>
      <c r="R1686" s="2">
        <f ca="1">INDEX(INDIRECT(_xlfn.CONCAT("weather.tbl[",R$1,"]")),MATCH(vp.data[[#This Row],[SDate]],weather.tbl[Date],0))</f>
        <v>13.5</v>
      </c>
      <c r="S1686" s="2">
        <f ca="1">INDEX(INDIRECT(_xlfn.CONCAT("weather.tbl[",S$1,"]")),MATCH(vp.data[[#This Row],[SDate]],weather.tbl[Date],0))</f>
        <v>15.4</v>
      </c>
      <c r="T1686" s="2">
        <f ca="1">INDEX(INDIRECT(_xlfn.CONCAT("weather.tbl[",T$1,"]")),MATCH(vp.data[[#This Row],[SDate]],weather.tbl[Date],0))</f>
        <v>14.4</v>
      </c>
      <c r="U1686" s="2">
        <f ca="1">INDEX(INDIRECT(_xlfn.CONCAT("weather.tbl[",U$1,"]")),MATCH(vp.data[[#This Row],[SDate]],weather.tbl[Date],0))</f>
        <v>14.8</v>
      </c>
      <c r="V1686" s="2" t="str">
        <f t="array" ref="V168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6" t="s">
        <v>48</v>
      </c>
      <c r="X1686">
        <f>IF(OR(vp.data[[#This Row],[Sulf]]="",vp.data[[#This Row],[Dens]]=""),1,0)</f>
        <v>1</v>
      </c>
      <c r="Y1686">
        <f>IF(vp.data[[#This Row],[CrudeType]]="C5+",1,0)</f>
        <v>0</v>
      </c>
      <c r="Z1686">
        <f>IF(AND(vp.data[[#This Row],[CrudeType]]="Crude",vp.data[[#This Row],[Dens]]&lt;=825,vp.data[[#This Row],[Sulf]]&gt;0.5,vp.data[[#This Row],[Unknown]]=0),1,0)</f>
        <v>0</v>
      </c>
      <c r="AA1686">
        <f>IF(AND(vp.data[[#This Row],[CrudeType]]="Crude",vp.data[[#This Row],[Dens]]&lt;=825,vp.data[[#This Row],[Sulf]]&lt;=0.5,vp.data[[#This Row],[Unknown]]=0),1,0)</f>
        <v>0</v>
      </c>
      <c r="AB168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6">
        <f>IF(AND(vp.data[[#This Row],[CrudeType]]="Crude",vp.data[[#This Row],[Dens]]&gt;825,vp.data[[#This Row],[Dens]]&lt;=900,vp.data[[#This Row],[Sulf]]&lt;=0.5,vp.data[[#This Row],[Unknown]]=0),1,0)</f>
        <v>0</v>
      </c>
      <c r="AD1686">
        <f>IF(AND(vp.data[[#This Row],[CrudeType]]="Crude",vp.data[[#This Row],[Dens]]&gt;865,vp.data[[#This Row],[Dens]]&lt;=900,vp.data[[#This Row],[Sulf]]&gt;2,vp.data[[#This Row],[Unknown]]=0),1,0)</f>
        <v>0</v>
      </c>
      <c r="AE1686">
        <f>IF(AND(vp.data[[#This Row],[CrudeType]]="Crude",vp.data[[#This Row],[Dens]]&gt;900,vp.data[[#This Row],[Sulf]]&lt;=0.5,vp.data[[#This Row],[Unknown]]=0),1,0)</f>
        <v>0</v>
      </c>
      <c r="AF1686">
        <f>IF(AND(vp.data[[#This Row],[CrudeType]]="Crude",vp.data[[#This Row],[Dens]]&gt;900,vp.data[[#This Row],[Sulf]]&lt;=0.5,vp.data[[#This Row],[Unknown]]=0),1,0)</f>
        <v>0</v>
      </c>
      <c r="AG1686" t="str">
        <f>INDEX(vp.data[[#Headers],[Unknown]:[Heavy_SW]],MATCH(1,vp.data[[#This Row],[Unknown]:[Heavy_SW]],0))</f>
        <v>Unknown</v>
      </c>
      <c r="AH1686">
        <f>INDEX([3]!crudeBD.lkup[Number],MATCH(vp.data[[#This Row],[Crude_Breakdown]],crudeBD.lkup[Crude Breakdown],0))</f>
        <v>-1</v>
      </c>
      <c r="AI1686">
        <f>MONTH(vp.data[[#This Row],[SDate]])</f>
        <v>6</v>
      </c>
      <c r="AJ1686" s="5">
        <f>(vp.data[[#This Row],[VP]]-INDEX(crudeBD.lkup[Mean_VP],MATCH(vp.data[[#This Row],[Crude_Breakdown]],crudeBD.lkup[Crude Breakdown],0)))^2</f>
        <v>872.91511953931172</v>
      </c>
      <c r="AK1686" s="5" t="e">
        <f>(vp.data[[#This Row],[Dens]]-INDEX(crudeBD.lkup[Mean_Dens],MATCH(vp.data[[#This Row],[Crude_Breakdown]],crudeBD.lkup[Crude Breakdown],0)))^2</f>
        <v>#VALUE!</v>
      </c>
      <c r="AL1686" s="5" t="e">
        <f>(vp.data[[#This Row],[Sulf]]-INDEX(crudeBD.lkup[Mean_Sulf],MATCH(vp.data[[#This Row],[Crude_Breakdown]],crudeBD.lkup[Crude Breakdown],0)))^2</f>
        <v>#VALUE!</v>
      </c>
      <c r="AM1686" s="4">
        <f>IF(AND(vp.data[[#This Row],[SDate]]&gt;=DATE(YEAR(vp.data[[#This Row],[SDate]]),5,1),vp.data[[#This Row],[SDate]]&lt;=DATE(YEAR(vp.data[[#This Row],[SDate]]),9,15)),1,0)</f>
        <v>1</v>
      </c>
      <c r="AN1686" s="4">
        <f>IF(vp.data[[#This Row],[SDate]]&lt;DATE(2016,12,1),0,1)</f>
        <v>1</v>
      </c>
      <c r="AO1686" s="4" t="str">
        <f>IFERROR(vp.data[[#This Row],[Sulf]]*vp.data[[#This Row],[Net Dens]],"")</f>
        <v/>
      </c>
      <c r="AP1686" t="str">
        <f>IFERROR(vp.data[[#This Row],[Dens]]*vp.data[[#This Row],[VolumeM3]],"")</f>
        <v/>
      </c>
      <c r="AQ1686" s="15" t="str">
        <f>IFERROR(vp.data[[#This Row],[VP]]*vp.data[[#This Row],[VolumeM3]],"")</f>
        <v/>
      </c>
    </row>
    <row r="1687" spans="1:43" x14ac:dyDescent="0.25">
      <c r="A1687">
        <v>1686</v>
      </c>
      <c r="B1687" t="s">
        <v>49</v>
      </c>
      <c r="C1687" t="s">
        <v>49</v>
      </c>
      <c r="D1687" t="s">
        <v>80</v>
      </c>
      <c r="F1687" s="1">
        <v>42906</v>
      </c>
      <c r="G1687" s="2">
        <v>78.7</v>
      </c>
      <c r="H1687" s="2"/>
      <c r="I1687" s="2" t="str">
        <f t="array" ref="I168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7" s="2"/>
      <c r="K1687" s="2"/>
      <c r="L1687" s="2"/>
      <c r="M1687" s="2" t="str">
        <f t="array" ref="M168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7" s="2">
        <f ca="1">INDEX(INDIRECT(_xlfn.CONCAT("weather.tbl[",N$1,"]")),MATCH(vp.data[[#This Row],[SDate]],weather.tbl[Date],0))</f>
        <v>14.85</v>
      </c>
      <c r="O1687" s="2">
        <f ca="1">INDEX(INDIRECT(_xlfn.CONCAT("weather.tbl[",O$1,"]")),MATCH(vp.data[[#This Row],[SDate]],weather.tbl[Date],0))</f>
        <v>14.640476190476191</v>
      </c>
      <c r="P1687" s="2">
        <f ca="1">INDEX(INDIRECT(_xlfn.CONCAT("weather.tbl[",P$1,"]")),MATCH(vp.data[[#This Row],[SDate]],weather.tbl[Date],0))</f>
        <v>15</v>
      </c>
      <c r="Q1687" s="2">
        <f ca="1">INDEX(INDIRECT(_xlfn.CONCAT("weather.tbl[",Q$1,"]")),MATCH(vp.data[[#This Row],[SDate]],weather.tbl[Date],0))</f>
        <v>16</v>
      </c>
      <c r="R1687" s="2">
        <f ca="1">INDEX(INDIRECT(_xlfn.CONCAT("weather.tbl[",R$1,"]")),MATCH(vp.data[[#This Row],[SDate]],weather.tbl[Date],0))</f>
        <v>13.5</v>
      </c>
      <c r="S1687" s="2">
        <f ca="1">INDEX(INDIRECT(_xlfn.CONCAT("weather.tbl[",S$1,"]")),MATCH(vp.data[[#This Row],[SDate]],weather.tbl[Date],0))</f>
        <v>15.4</v>
      </c>
      <c r="T1687" s="2">
        <f ca="1">INDEX(INDIRECT(_xlfn.CONCAT("weather.tbl[",T$1,"]")),MATCH(vp.data[[#This Row],[SDate]],weather.tbl[Date],0))</f>
        <v>14.4</v>
      </c>
      <c r="U1687" s="2">
        <f ca="1">INDEX(INDIRECT(_xlfn.CONCAT("weather.tbl[",U$1,"]")),MATCH(vp.data[[#This Row],[SDate]],weather.tbl[Date],0))</f>
        <v>14.8</v>
      </c>
      <c r="V1687" s="2" t="str">
        <f t="array" ref="V168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7" t="s">
        <v>48</v>
      </c>
      <c r="X1687">
        <f>IF(OR(vp.data[[#This Row],[Sulf]]="",vp.data[[#This Row],[Dens]]=""),1,0)</f>
        <v>1</v>
      </c>
      <c r="Y1687">
        <f>IF(vp.data[[#This Row],[CrudeType]]="C5+",1,0)</f>
        <v>0</v>
      </c>
      <c r="Z1687">
        <f>IF(AND(vp.data[[#This Row],[CrudeType]]="Crude",vp.data[[#This Row],[Dens]]&lt;=825,vp.data[[#This Row],[Sulf]]&gt;0.5,vp.data[[#This Row],[Unknown]]=0),1,0)</f>
        <v>0</v>
      </c>
      <c r="AA1687">
        <f>IF(AND(vp.data[[#This Row],[CrudeType]]="Crude",vp.data[[#This Row],[Dens]]&lt;=825,vp.data[[#This Row],[Sulf]]&lt;=0.5,vp.data[[#This Row],[Unknown]]=0),1,0)</f>
        <v>0</v>
      </c>
      <c r="AB168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7">
        <f>IF(AND(vp.data[[#This Row],[CrudeType]]="Crude",vp.data[[#This Row],[Dens]]&gt;825,vp.data[[#This Row],[Dens]]&lt;=900,vp.data[[#This Row],[Sulf]]&lt;=0.5,vp.data[[#This Row],[Unknown]]=0),1,0)</f>
        <v>0</v>
      </c>
      <c r="AD1687">
        <f>IF(AND(vp.data[[#This Row],[CrudeType]]="Crude",vp.data[[#This Row],[Dens]]&gt;865,vp.data[[#This Row],[Dens]]&lt;=900,vp.data[[#This Row],[Sulf]]&gt;2,vp.data[[#This Row],[Unknown]]=0),1,0)</f>
        <v>0</v>
      </c>
      <c r="AE1687">
        <f>IF(AND(vp.data[[#This Row],[CrudeType]]="Crude",vp.data[[#This Row],[Dens]]&gt;900,vp.data[[#This Row],[Sulf]]&lt;=0.5,vp.data[[#This Row],[Unknown]]=0),1,0)</f>
        <v>0</v>
      </c>
      <c r="AF1687">
        <f>IF(AND(vp.data[[#This Row],[CrudeType]]="Crude",vp.data[[#This Row],[Dens]]&gt;900,vp.data[[#This Row],[Sulf]]&lt;=0.5,vp.data[[#This Row],[Unknown]]=0),1,0)</f>
        <v>0</v>
      </c>
      <c r="AG1687" t="str">
        <f>INDEX(vp.data[[#Headers],[Unknown]:[Heavy_SW]],MATCH(1,vp.data[[#This Row],[Unknown]:[Heavy_SW]],0))</f>
        <v>Unknown</v>
      </c>
      <c r="AH1687">
        <f>INDEX([3]!crudeBD.lkup[Number],MATCH(vp.data[[#This Row],[Crude_Breakdown]],crudeBD.lkup[Crude Breakdown],0))</f>
        <v>-1</v>
      </c>
      <c r="AI1687">
        <f>MONTH(vp.data[[#This Row],[SDate]])</f>
        <v>6</v>
      </c>
      <c r="AJ1687" s="5">
        <f>(vp.data[[#This Row],[VP]]-INDEX(crudeBD.lkup[Mean_VP],MATCH(vp.data[[#This Row],[Crude_Breakdown]],crudeBD.lkup[Crude Breakdown],0)))^2</f>
        <v>23.569694881779252</v>
      </c>
      <c r="AK1687" s="5" t="e">
        <f>(vp.data[[#This Row],[Dens]]-INDEX(crudeBD.lkup[Mean_Dens],MATCH(vp.data[[#This Row],[Crude_Breakdown]],crudeBD.lkup[Crude Breakdown],0)))^2</f>
        <v>#VALUE!</v>
      </c>
      <c r="AL1687" s="5" t="e">
        <f>(vp.data[[#This Row],[Sulf]]-INDEX(crudeBD.lkup[Mean_Sulf],MATCH(vp.data[[#This Row],[Crude_Breakdown]],crudeBD.lkup[Crude Breakdown],0)))^2</f>
        <v>#VALUE!</v>
      </c>
      <c r="AM1687" s="4">
        <f>IF(AND(vp.data[[#This Row],[SDate]]&gt;=DATE(YEAR(vp.data[[#This Row],[SDate]]),5,1),vp.data[[#This Row],[SDate]]&lt;=DATE(YEAR(vp.data[[#This Row],[SDate]]),9,15)),1,0)</f>
        <v>1</v>
      </c>
      <c r="AN1687" s="4">
        <f>IF(vp.data[[#This Row],[SDate]]&lt;DATE(2016,12,1),0,1)</f>
        <v>1</v>
      </c>
      <c r="AO1687" s="4" t="str">
        <f>IFERROR(vp.data[[#This Row],[Sulf]]*vp.data[[#This Row],[Net Dens]],"")</f>
        <v/>
      </c>
      <c r="AP1687" t="str">
        <f>IFERROR(vp.data[[#This Row],[Dens]]*vp.data[[#This Row],[VolumeM3]],"")</f>
        <v/>
      </c>
      <c r="AQ1687" s="15" t="str">
        <f>IFERROR(vp.data[[#This Row],[VP]]*vp.data[[#This Row],[VolumeM3]],"")</f>
        <v/>
      </c>
    </row>
    <row r="1688" spans="1:43" x14ac:dyDescent="0.25">
      <c r="A1688">
        <v>1687</v>
      </c>
      <c r="B1688" t="s">
        <v>49</v>
      </c>
      <c r="C1688" t="s">
        <v>49</v>
      </c>
      <c r="D1688" t="s">
        <v>100</v>
      </c>
      <c r="F1688" s="1">
        <v>42906</v>
      </c>
      <c r="G1688" s="2">
        <v>77.3</v>
      </c>
      <c r="H1688" s="2"/>
      <c r="I1688" s="2" t="str">
        <f t="array" ref="I168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8" s="2"/>
      <c r="K1688" s="2"/>
      <c r="L1688" s="2"/>
      <c r="M1688" s="2" t="str">
        <f t="array" ref="M168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8" s="2">
        <f ca="1">INDEX(INDIRECT(_xlfn.CONCAT("weather.tbl[",N$1,"]")),MATCH(vp.data[[#This Row],[SDate]],weather.tbl[Date],0))</f>
        <v>14.85</v>
      </c>
      <c r="O1688" s="2">
        <f ca="1">INDEX(INDIRECT(_xlfn.CONCAT("weather.tbl[",O$1,"]")),MATCH(vp.data[[#This Row],[SDate]],weather.tbl[Date],0))</f>
        <v>14.640476190476191</v>
      </c>
      <c r="P1688" s="2">
        <f ca="1">INDEX(INDIRECT(_xlfn.CONCAT("weather.tbl[",P$1,"]")),MATCH(vp.data[[#This Row],[SDate]],weather.tbl[Date],0))</f>
        <v>15</v>
      </c>
      <c r="Q1688" s="2">
        <f ca="1">INDEX(INDIRECT(_xlfn.CONCAT("weather.tbl[",Q$1,"]")),MATCH(vp.data[[#This Row],[SDate]],weather.tbl[Date],0))</f>
        <v>16</v>
      </c>
      <c r="R1688" s="2">
        <f ca="1">INDEX(INDIRECT(_xlfn.CONCAT("weather.tbl[",R$1,"]")),MATCH(vp.data[[#This Row],[SDate]],weather.tbl[Date],0))</f>
        <v>13.5</v>
      </c>
      <c r="S1688" s="2">
        <f ca="1">INDEX(INDIRECT(_xlfn.CONCAT("weather.tbl[",S$1,"]")),MATCH(vp.data[[#This Row],[SDate]],weather.tbl[Date],0))</f>
        <v>15.4</v>
      </c>
      <c r="T1688" s="2">
        <f ca="1">INDEX(INDIRECT(_xlfn.CONCAT("weather.tbl[",T$1,"]")),MATCH(vp.data[[#This Row],[SDate]],weather.tbl[Date],0))</f>
        <v>14.4</v>
      </c>
      <c r="U1688" s="2">
        <f ca="1">INDEX(INDIRECT(_xlfn.CONCAT("weather.tbl[",U$1,"]")),MATCH(vp.data[[#This Row],[SDate]],weather.tbl[Date],0))</f>
        <v>14.8</v>
      </c>
      <c r="V1688" s="2" t="str">
        <f t="array" ref="V168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8" t="s">
        <v>48</v>
      </c>
      <c r="X1688">
        <f>IF(OR(vp.data[[#This Row],[Sulf]]="",vp.data[[#This Row],[Dens]]=""),1,0)</f>
        <v>1</v>
      </c>
      <c r="Y1688">
        <f>IF(vp.data[[#This Row],[CrudeType]]="C5+",1,0)</f>
        <v>0</v>
      </c>
      <c r="Z1688">
        <f>IF(AND(vp.data[[#This Row],[CrudeType]]="Crude",vp.data[[#This Row],[Dens]]&lt;=825,vp.data[[#This Row],[Sulf]]&gt;0.5,vp.data[[#This Row],[Unknown]]=0),1,0)</f>
        <v>0</v>
      </c>
      <c r="AA1688">
        <f>IF(AND(vp.data[[#This Row],[CrudeType]]="Crude",vp.data[[#This Row],[Dens]]&lt;=825,vp.data[[#This Row],[Sulf]]&lt;=0.5,vp.data[[#This Row],[Unknown]]=0),1,0)</f>
        <v>0</v>
      </c>
      <c r="AB168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8">
        <f>IF(AND(vp.data[[#This Row],[CrudeType]]="Crude",vp.data[[#This Row],[Dens]]&gt;825,vp.data[[#This Row],[Dens]]&lt;=900,vp.data[[#This Row],[Sulf]]&lt;=0.5,vp.data[[#This Row],[Unknown]]=0),1,0)</f>
        <v>0</v>
      </c>
      <c r="AD1688">
        <f>IF(AND(vp.data[[#This Row],[CrudeType]]="Crude",vp.data[[#This Row],[Dens]]&gt;865,vp.data[[#This Row],[Dens]]&lt;=900,vp.data[[#This Row],[Sulf]]&gt;2,vp.data[[#This Row],[Unknown]]=0),1,0)</f>
        <v>0</v>
      </c>
      <c r="AE1688">
        <f>IF(AND(vp.data[[#This Row],[CrudeType]]="Crude",vp.data[[#This Row],[Dens]]&gt;900,vp.data[[#This Row],[Sulf]]&lt;=0.5,vp.data[[#This Row],[Unknown]]=0),1,0)</f>
        <v>0</v>
      </c>
      <c r="AF1688">
        <f>IF(AND(vp.data[[#This Row],[CrudeType]]="Crude",vp.data[[#This Row],[Dens]]&gt;900,vp.data[[#This Row],[Sulf]]&lt;=0.5,vp.data[[#This Row],[Unknown]]=0),1,0)</f>
        <v>0</v>
      </c>
      <c r="AG1688" t="str">
        <f>INDEX(vp.data[[#Headers],[Unknown]:[Heavy_SW]],MATCH(1,vp.data[[#This Row],[Unknown]:[Heavy_SW]],0))</f>
        <v>Unknown</v>
      </c>
      <c r="AH1688">
        <f>INDEX([3]!crudeBD.lkup[Number],MATCH(vp.data[[#This Row],[Crude_Breakdown]],crudeBD.lkup[Crude Breakdown],0))</f>
        <v>-1</v>
      </c>
      <c r="AI1688">
        <f>MONTH(vp.data[[#This Row],[SDate]])</f>
        <v>6</v>
      </c>
      <c r="AJ1688" s="5">
        <f>(vp.data[[#This Row],[VP]]-INDEX(crudeBD.lkup[Mean_VP],MATCH(vp.data[[#This Row],[Crude_Breakdown]],crudeBD.lkup[Crude Breakdown],0)))^2</f>
        <v>11.936078443422959</v>
      </c>
      <c r="AK1688" s="5" t="e">
        <f>(vp.data[[#This Row],[Dens]]-INDEX(crudeBD.lkup[Mean_Dens],MATCH(vp.data[[#This Row],[Crude_Breakdown]],crudeBD.lkup[Crude Breakdown],0)))^2</f>
        <v>#VALUE!</v>
      </c>
      <c r="AL1688" s="5" t="e">
        <f>(vp.data[[#This Row],[Sulf]]-INDEX(crudeBD.lkup[Mean_Sulf],MATCH(vp.data[[#This Row],[Crude_Breakdown]],crudeBD.lkup[Crude Breakdown],0)))^2</f>
        <v>#VALUE!</v>
      </c>
      <c r="AM1688" s="4">
        <f>IF(AND(vp.data[[#This Row],[SDate]]&gt;=DATE(YEAR(vp.data[[#This Row],[SDate]]),5,1),vp.data[[#This Row],[SDate]]&lt;=DATE(YEAR(vp.data[[#This Row],[SDate]]),9,15)),1,0)</f>
        <v>1</v>
      </c>
      <c r="AN1688" s="4">
        <f>IF(vp.data[[#This Row],[SDate]]&lt;DATE(2016,12,1),0,1)</f>
        <v>1</v>
      </c>
      <c r="AO1688" s="4" t="str">
        <f>IFERROR(vp.data[[#This Row],[Sulf]]*vp.data[[#This Row],[Net Dens]],"")</f>
        <v/>
      </c>
      <c r="AP1688" t="str">
        <f>IFERROR(vp.data[[#This Row],[Dens]]*vp.data[[#This Row],[VolumeM3]],"")</f>
        <v/>
      </c>
      <c r="AQ1688" s="15" t="str">
        <f>IFERROR(vp.data[[#This Row],[VP]]*vp.data[[#This Row],[VolumeM3]],"")</f>
        <v/>
      </c>
    </row>
    <row r="1689" spans="1:43" x14ac:dyDescent="0.25">
      <c r="A1689">
        <v>1688</v>
      </c>
      <c r="B1689" t="s">
        <v>49</v>
      </c>
      <c r="C1689" t="s">
        <v>49</v>
      </c>
      <c r="D1689" t="s">
        <v>67</v>
      </c>
      <c r="F1689" s="1">
        <v>42906</v>
      </c>
      <c r="G1689" s="2">
        <v>82.4</v>
      </c>
      <c r="H1689" s="2"/>
      <c r="I1689" s="2" t="str">
        <f t="array" ref="I168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89" s="2"/>
      <c r="K1689" s="2"/>
      <c r="L1689" s="2"/>
      <c r="M1689" s="2" t="str">
        <f t="array" ref="M168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89" s="2">
        <f ca="1">INDEX(INDIRECT(_xlfn.CONCAT("weather.tbl[",N$1,"]")),MATCH(vp.data[[#This Row],[SDate]],weather.tbl[Date],0))</f>
        <v>14.85</v>
      </c>
      <c r="O1689" s="2">
        <f ca="1">INDEX(INDIRECT(_xlfn.CONCAT("weather.tbl[",O$1,"]")),MATCH(vp.data[[#This Row],[SDate]],weather.tbl[Date],0))</f>
        <v>14.640476190476191</v>
      </c>
      <c r="P1689" s="2">
        <f ca="1">INDEX(INDIRECT(_xlfn.CONCAT("weather.tbl[",P$1,"]")),MATCH(vp.data[[#This Row],[SDate]],weather.tbl[Date],0))</f>
        <v>15</v>
      </c>
      <c r="Q1689" s="2">
        <f ca="1">INDEX(INDIRECT(_xlfn.CONCAT("weather.tbl[",Q$1,"]")),MATCH(vp.data[[#This Row],[SDate]],weather.tbl[Date],0))</f>
        <v>16</v>
      </c>
      <c r="R1689" s="2">
        <f ca="1">INDEX(INDIRECT(_xlfn.CONCAT("weather.tbl[",R$1,"]")),MATCH(vp.data[[#This Row],[SDate]],weather.tbl[Date],0))</f>
        <v>13.5</v>
      </c>
      <c r="S1689" s="2">
        <f ca="1">INDEX(INDIRECT(_xlfn.CONCAT("weather.tbl[",S$1,"]")),MATCH(vp.data[[#This Row],[SDate]],weather.tbl[Date],0))</f>
        <v>15.4</v>
      </c>
      <c r="T1689" s="2">
        <f ca="1">INDEX(INDIRECT(_xlfn.CONCAT("weather.tbl[",T$1,"]")),MATCH(vp.data[[#This Row],[SDate]],weather.tbl[Date],0))</f>
        <v>14.4</v>
      </c>
      <c r="U1689" s="2">
        <f ca="1">INDEX(INDIRECT(_xlfn.CONCAT("weather.tbl[",U$1,"]")),MATCH(vp.data[[#This Row],[SDate]],weather.tbl[Date],0))</f>
        <v>14.8</v>
      </c>
      <c r="V1689" s="2" t="str">
        <f t="array" ref="V168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89" t="s">
        <v>48</v>
      </c>
      <c r="X1689">
        <f>IF(OR(vp.data[[#This Row],[Sulf]]="",vp.data[[#This Row],[Dens]]=""),1,0)</f>
        <v>1</v>
      </c>
      <c r="Y1689">
        <f>IF(vp.data[[#This Row],[CrudeType]]="C5+",1,0)</f>
        <v>0</v>
      </c>
      <c r="Z1689">
        <f>IF(AND(vp.data[[#This Row],[CrudeType]]="Crude",vp.data[[#This Row],[Dens]]&lt;=825,vp.data[[#This Row],[Sulf]]&gt;0.5,vp.data[[#This Row],[Unknown]]=0),1,0)</f>
        <v>0</v>
      </c>
      <c r="AA1689">
        <f>IF(AND(vp.data[[#This Row],[CrudeType]]="Crude",vp.data[[#This Row],[Dens]]&lt;=825,vp.data[[#This Row],[Sulf]]&lt;=0.5,vp.data[[#This Row],[Unknown]]=0),1,0)</f>
        <v>0</v>
      </c>
      <c r="AB168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89">
        <f>IF(AND(vp.data[[#This Row],[CrudeType]]="Crude",vp.data[[#This Row],[Dens]]&gt;825,vp.data[[#This Row],[Dens]]&lt;=900,vp.data[[#This Row],[Sulf]]&lt;=0.5,vp.data[[#This Row],[Unknown]]=0),1,0)</f>
        <v>0</v>
      </c>
      <c r="AD1689">
        <f>IF(AND(vp.data[[#This Row],[CrudeType]]="Crude",vp.data[[#This Row],[Dens]]&gt;865,vp.data[[#This Row],[Dens]]&lt;=900,vp.data[[#This Row],[Sulf]]&gt;2,vp.data[[#This Row],[Unknown]]=0),1,0)</f>
        <v>0</v>
      </c>
      <c r="AE1689">
        <f>IF(AND(vp.data[[#This Row],[CrudeType]]="Crude",vp.data[[#This Row],[Dens]]&gt;900,vp.data[[#This Row],[Sulf]]&lt;=0.5,vp.data[[#This Row],[Unknown]]=0),1,0)</f>
        <v>0</v>
      </c>
      <c r="AF1689">
        <f>IF(AND(vp.data[[#This Row],[CrudeType]]="Crude",vp.data[[#This Row],[Dens]]&gt;900,vp.data[[#This Row],[Sulf]]&lt;=0.5,vp.data[[#This Row],[Unknown]]=0),1,0)</f>
        <v>0</v>
      </c>
      <c r="AG1689" t="str">
        <f>INDEX(vp.data[[#Headers],[Unknown]:[Heavy_SW]],MATCH(1,vp.data[[#This Row],[Unknown]:[Heavy_SW]],0))</f>
        <v>Unknown</v>
      </c>
      <c r="AH1689">
        <f>INDEX([3]!crudeBD.lkup[Number],MATCH(vp.data[[#This Row],[Crude_Breakdown]],crudeBD.lkup[Crude Breakdown],0))</f>
        <v>-1</v>
      </c>
      <c r="AI1689">
        <f>MONTH(vp.data[[#This Row],[SDate]])</f>
        <v>6</v>
      </c>
      <c r="AJ1689" s="5">
        <f>(vp.data[[#This Row],[VP]]-INDEX(crudeBD.lkup[Mean_VP],MATCH(vp.data[[#This Row],[Crude_Breakdown]],crudeBD.lkup[Crude Breakdown],0)))^2</f>
        <v>73.185681183149399</v>
      </c>
      <c r="AK1689" s="5" t="e">
        <f>(vp.data[[#This Row],[Dens]]-INDEX(crudeBD.lkup[Mean_Dens],MATCH(vp.data[[#This Row],[Crude_Breakdown]],crudeBD.lkup[Crude Breakdown],0)))^2</f>
        <v>#VALUE!</v>
      </c>
      <c r="AL1689" s="5" t="e">
        <f>(vp.data[[#This Row],[Sulf]]-INDEX(crudeBD.lkup[Mean_Sulf],MATCH(vp.data[[#This Row],[Crude_Breakdown]],crudeBD.lkup[Crude Breakdown],0)))^2</f>
        <v>#VALUE!</v>
      </c>
      <c r="AM1689" s="4">
        <f>IF(AND(vp.data[[#This Row],[SDate]]&gt;=DATE(YEAR(vp.data[[#This Row],[SDate]]),5,1),vp.data[[#This Row],[SDate]]&lt;=DATE(YEAR(vp.data[[#This Row],[SDate]]),9,15)),1,0)</f>
        <v>1</v>
      </c>
      <c r="AN1689" s="4">
        <f>IF(vp.data[[#This Row],[SDate]]&lt;DATE(2016,12,1),0,1)</f>
        <v>1</v>
      </c>
      <c r="AO1689" s="4" t="str">
        <f>IFERROR(vp.data[[#This Row],[Sulf]]*vp.data[[#This Row],[Net Dens]],"")</f>
        <v/>
      </c>
      <c r="AP1689" t="str">
        <f>IFERROR(vp.data[[#This Row],[Dens]]*vp.data[[#This Row],[VolumeM3]],"")</f>
        <v/>
      </c>
      <c r="AQ1689" s="15" t="str">
        <f>IFERROR(vp.data[[#This Row],[VP]]*vp.data[[#This Row],[VolumeM3]],"")</f>
        <v/>
      </c>
    </row>
    <row r="1690" spans="1:43" x14ac:dyDescent="0.25">
      <c r="A1690">
        <v>1689</v>
      </c>
      <c r="B1690" t="s">
        <v>49</v>
      </c>
      <c r="C1690" t="s">
        <v>49</v>
      </c>
      <c r="D1690" t="s">
        <v>59</v>
      </c>
      <c r="F1690" s="1">
        <v>42906</v>
      </c>
      <c r="G1690" s="2">
        <v>75.5</v>
      </c>
      <c r="H1690" s="2"/>
      <c r="I1690" s="2" t="str">
        <f t="array" ref="I169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0" s="2"/>
      <c r="K1690" s="2"/>
      <c r="L1690" s="2"/>
      <c r="M1690" s="2" t="str">
        <f t="array" ref="M169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0" s="2">
        <f ca="1">INDEX(INDIRECT(_xlfn.CONCAT("weather.tbl[",N$1,"]")),MATCH(vp.data[[#This Row],[SDate]],weather.tbl[Date],0))</f>
        <v>14.85</v>
      </c>
      <c r="O1690" s="2">
        <f ca="1">INDEX(INDIRECT(_xlfn.CONCAT("weather.tbl[",O$1,"]")),MATCH(vp.data[[#This Row],[SDate]],weather.tbl[Date],0))</f>
        <v>14.640476190476191</v>
      </c>
      <c r="P1690" s="2">
        <f ca="1">INDEX(INDIRECT(_xlfn.CONCAT("weather.tbl[",P$1,"]")),MATCH(vp.data[[#This Row],[SDate]],weather.tbl[Date],0))</f>
        <v>15</v>
      </c>
      <c r="Q1690" s="2">
        <f ca="1">INDEX(INDIRECT(_xlfn.CONCAT("weather.tbl[",Q$1,"]")),MATCH(vp.data[[#This Row],[SDate]],weather.tbl[Date],0))</f>
        <v>16</v>
      </c>
      <c r="R1690" s="2">
        <f ca="1">INDEX(INDIRECT(_xlfn.CONCAT("weather.tbl[",R$1,"]")),MATCH(vp.data[[#This Row],[SDate]],weather.tbl[Date],0))</f>
        <v>13.5</v>
      </c>
      <c r="S1690" s="2">
        <f ca="1">INDEX(INDIRECT(_xlfn.CONCAT("weather.tbl[",S$1,"]")),MATCH(vp.data[[#This Row],[SDate]],weather.tbl[Date],0))</f>
        <v>15.4</v>
      </c>
      <c r="T1690" s="2">
        <f ca="1">INDEX(INDIRECT(_xlfn.CONCAT("weather.tbl[",T$1,"]")),MATCH(vp.data[[#This Row],[SDate]],weather.tbl[Date],0))</f>
        <v>14.4</v>
      </c>
      <c r="U1690" s="2">
        <f ca="1">INDEX(INDIRECT(_xlfn.CONCAT("weather.tbl[",U$1,"]")),MATCH(vp.data[[#This Row],[SDate]],weather.tbl[Date],0))</f>
        <v>14.8</v>
      </c>
      <c r="V1690" s="2" t="str">
        <f t="array" ref="V169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0" t="s">
        <v>48</v>
      </c>
      <c r="X1690">
        <f>IF(OR(vp.data[[#This Row],[Sulf]]="",vp.data[[#This Row],[Dens]]=""),1,0)</f>
        <v>1</v>
      </c>
      <c r="Y1690">
        <f>IF(vp.data[[#This Row],[CrudeType]]="C5+",1,0)</f>
        <v>0</v>
      </c>
      <c r="Z1690">
        <f>IF(AND(vp.data[[#This Row],[CrudeType]]="Crude",vp.data[[#This Row],[Dens]]&lt;=825,vp.data[[#This Row],[Sulf]]&gt;0.5,vp.data[[#This Row],[Unknown]]=0),1,0)</f>
        <v>0</v>
      </c>
      <c r="AA1690">
        <f>IF(AND(vp.data[[#This Row],[CrudeType]]="Crude",vp.data[[#This Row],[Dens]]&lt;=825,vp.data[[#This Row],[Sulf]]&lt;=0.5,vp.data[[#This Row],[Unknown]]=0),1,0)</f>
        <v>0</v>
      </c>
      <c r="AB169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0">
        <f>IF(AND(vp.data[[#This Row],[CrudeType]]="Crude",vp.data[[#This Row],[Dens]]&gt;825,vp.data[[#This Row],[Dens]]&lt;=900,vp.data[[#This Row],[Sulf]]&lt;=0.5,vp.data[[#This Row],[Unknown]]=0),1,0)</f>
        <v>0</v>
      </c>
      <c r="AD1690">
        <f>IF(AND(vp.data[[#This Row],[CrudeType]]="Crude",vp.data[[#This Row],[Dens]]&gt;865,vp.data[[#This Row],[Dens]]&lt;=900,vp.data[[#This Row],[Sulf]]&gt;2,vp.data[[#This Row],[Unknown]]=0),1,0)</f>
        <v>0</v>
      </c>
      <c r="AE1690">
        <f>IF(AND(vp.data[[#This Row],[CrudeType]]="Crude",vp.data[[#This Row],[Dens]]&gt;900,vp.data[[#This Row],[Sulf]]&lt;=0.5,vp.data[[#This Row],[Unknown]]=0),1,0)</f>
        <v>0</v>
      </c>
      <c r="AF1690">
        <f>IF(AND(vp.data[[#This Row],[CrudeType]]="Crude",vp.data[[#This Row],[Dens]]&gt;900,vp.data[[#This Row],[Sulf]]&lt;=0.5,vp.data[[#This Row],[Unknown]]=0),1,0)</f>
        <v>0</v>
      </c>
      <c r="AG1690" t="str">
        <f>INDEX(vp.data[[#Headers],[Unknown]:[Heavy_SW]],MATCH(1,vp.data[[#This Row],[Unknown]:[Heavy_SW]],0))</f>
        <v>Unknown</v>
      </c>
      <c r="AH1690">
        <f>INDEX([3]!crudeBD.lkup[Number],MATCH(vp.data[[#This Row],[Crude_Breakdown]],crudeBD.lkup[Crude Breakdown],0))</f>
        <v>-1</v>
      </c>
      <c r="AI1690">
        <f>MONTH(vp.data[[#This Row],[SDate]])</f>
        <v>6</v>
      </c>
      <c r="AJ1690" s="5">
        <f>(vp.data[[#This Row],[VP]]-INDEX(crudeBD.lkup[Mean_VP],MATCH(vp.data[[#This Row],[Crude_Breakdown]],crudeBD.lkup[Crude Breakdown],0)))^2</f>
        <v>2.7385715941078077</v>
      </c>
      <c r="AK1690" s="5" t="e">
        <f>(vp.data[[#This Row],[Dens]]-INDEX(crudeBD.lkup[Mean_Dens],MATCH(vp.data[[#This Row],[Crude_Breakdown]],crudeBD.lkup[Crude Breakdown],0)))^2</f>
        <v>#VALUE!</v>
      </c>
      <c r="AL1690" s="5" t="e">
        <f>(vp.data[[#This Row],[Sulf]]-INDEX(crudeBD.lkup[Mean_Sulf],MATCH(vp.data[[#This Row],[Crude_Breakdown]],crudeBD.lkup[Crude Breakdown],0)))^2</f>
        <v>#VALUE!</v>
      </c>
      <c r="AM1690" s="4">
        <f>IF(AND(vp.data[[#This Row],[SDate]]&gt;=DATE(YEAR(vp.data[[#This Row],[SDate]]),5,1),vp.data[[#This Row],[SDate]]&lt;=DATE(YEAR(vp.data[[#This Row],[SDate]]),9,15)),1,0)</f>
        <v>1</v>
      </c>
      <c r="AN1690" s="4">
        <f>IF(vp.data[[#This Row],[SDate]]&lt;DATE(2016,12,1),0,1)</f>
        <v>1</v>
      </c>
      <c r="AO1690" s="4" t="str">
        <f>IFERROR(vp.data[[#This Row],[Sulf]]*vp.data[[#This Row],[Net Dens]],"")</f>
        <v/>
      </c>
      <c r="AP1690" t="str">
        <f>IFERROR(vp.data[[#This Row],[Dens]]*vp.data[[#This Row],[VolumeM3]],"")</f>
        <v/>
      </c>
      <c r="AQ1690" s="15" t="str">
        <f>IFERROR(vp.data[[#This Row],[VP]]*vp.data[[#This Row],[VolumeM3]],"")</f>
        <v/>
      </c>
    </row>
    <row r="1691" spans="1:43" x14ac:dyDescent="0.25">
      <c r="A1691">
        <v>1690</v>
      </c>
      <c r="B1691" t="s">
        <v>68</v>
      </c>
      <c r="C1691" t="s">
        <v>68</v>
      </c>
      <c r="D1691" t="s">
        <v>98</v>
      </c>
      <c r="F1691" s="1">
        <v>42906</v>
      </c>
      <c r="G1691" s="2">
        <v>58.1</v>
      </c>
      <c r="H1691" s="2"/>
      <c r="I1691" s="2" t="str">
        <f t="array" ref="I169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1" s="2"/>
      <c r="K1691" s="2"/>
      <c r="L1691" s="2"/>
      <c r="M1691" s="2" t="str">
        <f t="array" ref="M169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1" s="2">
        <f ca="1">INDEX(INDIRECT(_xlfn.CONCAT("weather.tbl[",N$1,"]")),MATCH(vp.data[[#This Row],[SDate]],weather.tbl[Date],0))</f>
        <v>14.85</v>
      </c>
      <c r="O1691" s="2">
        <f ca="1">INDEX(INDIRECT(_xlfn.CONCAT("weather.tbl[",O$1,"]")),MATCH(vp.data[[#This Row],[SDate]],weather.tbl[Date],0))</f>
        <v>14.640476190476191</v>
      </c>
      <c r="P1691" s="2">
        <f ca="1">INDEX(INDIRECT(_xlfn.CONCAT("weather.tbl[",P$1,"]")),MATCH(vp.data[[#This Row],[SDate]],weather.tbl[Date],0))</f>
        <v>15</v>
      </c>
      <c r="Q1691" s="2">
        <f ca="1">INDEX(INDIRECT(_xlfn.CONCAT("weather.tbl[",Q$1,"]")),MATCH(vp.data[[#This Row],[SDate]],weather.tbl[Date],0))</f>
        <v>16</v>
      </c>
      <c r="R1691" s="2">
        <f ca="1">INDEX(INDIRECT(_xlfn.CONCAT("weather.tbl[",R$1,"]")),MATCH(vp.data[[#This Row],[SDate]],weather.tbl[Date],0))</f>
        <v>13.5</v>
      </c>
      <c r="S1691" s="2">
        <f ca="1">INDEX(INDIRECT(_xlfn.CONCAT("weather.tbl[",S$1,"]")),MATCH(vp.data[[#This Row],[SDate]],weather.tbl[Date],0))</f>
        <v>15.4</v>
      </c>
      <c r="T1691" s="2">
        <f ca="1">INDEX(INDIRECT(_xlfn.CONCAT("weather.tbl[",T$1,"]")),MATCH(vp.data[[#This Row],[SDate]],weather.tbl[Date],0))</f>
        <v>14.4</v>
      </c>
      <c r="U1691" s="2">
        <f ca="1">INDEX(INDIRECT(_xlfn.CONCAT("weather.tbl[",U$1,"]")),MATCH(vp.data[[#This Row],[SDate]],weather.tbl[Date],0))</f>
        <v>14.8</v>
      </c>
      <c r="V1691" s="2" t="str">
        <f t="array" ref="V169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1" t="s">
        <v>48</v>
      </c>
      <c r="X1691">
        <f>IF(OR(vp.data[[#This Row],[Sulf]]="",vp.data[[#This Row],[Dens]]=""),1,0)</f>
        <v>1</v>
      </c>
      <c r="Y1691">
        <f>IF(vp.data[[#This Row],[CrudeType]]="C5+",1,0)</f>
        <v>0</v>
      </c>
      <c r="Z1691">
        <f>IF(AND(vp.data[[#This Row],[CrudeType]]="Crude",vp.data[[#This Row],[Dens]]&lt;=825,vp.data[[#This Row],[Sulf]]&gt;0.5,vp.data[[#This Row],[Unknown]]=0),1,0)</f>
        <v>0</v>
      </c>
      <c r="AA1691">
        <f>IF(AND(vp.data[[#This Row],[CrudeType]]="Crude",vp.data[[#This Row],[Dens]]&lt;=825,vp.data[[#This Row],[Sulf]]&lt;=0.5,vp.data[[#This Row],[Unknown]]=0),1,0)</f>
        <v>0</v>
      </c>
      <c r="AB169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1">
        <f>IF(AND(vp.data[[#This Row],[CrudeType]]="Crude",vp.data[[#This Row],[Dens]]&gt;825,vp.data[[#This Row],[Dens]]&lt;=900,vp.data[[#This Row],[Sulf]]&lt;=0.5,vp.data[[#This Row],[Unknown]]=0),1,0)</f>
        <v>0</v>
      </c>
      <c r="AD1691">
        <f>IF(AND(vp.data[[#This Row],[CrudeType]]="Crude",vp.data[[#This Row],[Dens]]&gt;865,vp.data[[#This Row],[Dens]]&lt;=900,vp.data[[#This Row],[Sulf]]&gt;2,vp.data[[#This Row],[Unknown]]=0),1,0)</f>
        <v>0</v>
      </c>
      <c r="AE1691">
        <f>IF(AND(vp.data[[#This Row],[CrudeType]]="Crude",vp.data[[#This Row],[Dens]]&gt;900,vp.data[[#This Row],[Sulf]]&lt;=0.5,vp.data[[#This Row],[Unknown]]=0),1,0)</f>
        <v>0</v>
      </c>
      <c r="AF1691">
        <f>IF(AND(vp.data[[#This Row],[CrudeType]]="Crude",vp.data[[#This Row],[Dens]]&gt;900,vp.data[[#This Row],[Sulf]]&lt;=0.5,vp.data[[#This Row],[Unknown]]=0),1,0)</f>
        <v>0</v>
      </c>
      <c r="AG1691" t="str">
        <f>INDEX(vp.data[[#Headers],[Unknown]:[Heavy_SW]],MATCH(1,vp.data[[#This Row],[Unknown]:[Heavy_SW]],0))</f>
        <v>Unknown</v>
      </c>
      <c r="AH1691">
        <f>INDEX([3]!crudeBD.lkup[Number],MATCH(vp.data[[#This Row],[Crude_Breakdown]],crudeBD.lkup[Crude Breakdown],0))</f>
        <v>-1</v>
      </c>
      <c r="AI1691">
        <f>MONTH(vp.data[[#This Row],[SDate]])</f>
        <v>6</v>
      </c>
      <c r="AJ1691" s="5">
        <f>(vp.data[[#This Row],[VP]]-INDEX(crudeBD.lkup[Mean_VP],MATCH(vp.data[[#This Row],[Crude_Breakdown]],crudeBD.lkup[Crude Breakdown],0)))^2</f>
        <v>247.90933871739443</v>
      </c>
      <c r="AK1691" s="5" t="e">
        <f>(vp.data[[#This Row],[Dens]]-INDEX(crudeBD.lkup[Mean_Dens],MATCH(vp.data[[#This Row],[Crude_Breakdown]],crudeBD.lkup[Crude Breakdown],0)))^2</f>
        <v>#VALUE!</v>
      </c>
      <c r="AL1691" s="5" t="e">
        <f>(vp.data[[#This Row],[Sulf]]-INDEX(crudeBD.lkup[Mean_Sulf],MATCH(vp.data[[#This Row],[Crude_Breakdown]],crudeBD.lkup[Crude Breakdown],0)))^2</f>
        <v>#VALUE!</v>
      </c>
      <c r="AM1691" s="4">
        <f>IF(AND(vp.data[[#This Row],[SDate]]&gt;=DATE(YEAR(vp.data[[#This Row],[SDate]]),5,1),vp.data[[#This Row],[SDate]]&lt;=DATE(YEAR(vp.data[[#This Row],[SDate]]),9,15)),1,0)</f>
        <v>1</v>
      </c>
      <c r="AN1691" s="4">
        <f>IF(vp.data[[#This Row],[SDate]]&lt;DATE(2016,12,1),0,1)</f>
        <v>1</v>
      </c>
      <c r="AO1691" s="4" t="str">
        <f>IFERROR(vp.data[[#This Row],[Sulf]]*vp.data[[#This Row],[Net Dens]],"")</f>
        <v/>
      </c>
      <c r="AP1691" t="str">
        <f>IFERROR(vp.data[[#This Row],[Dens]]*vp.data[[#This Row],[VolumeM3]],"")</f>
        <v/>
      </c>
      <c r="AQ1691" s="15" t="str">
        <f>IFERROR(vp.data[[#This Row],[VP]]*vp.data[[#This Row],[VolumeM3]],"")</f>
        <v/>
      </c>
    </row>
    <row r="1692" spans="1:43" x14ac:dyDescent="0.25">
      <c r="A1692">
        <v>1691</v>
      </c>
      <c r="B1692" t="s">
        <v>68</v>
      </c>
      <c r="C1692" t="s">
        <v>68</v>
      </c>
      <c r="D1692" t="s">
        <v>110</v>
      </c>
      <c r="F1692" s="1">
        <v>42906</v>
      </c>
      <c r="G1692" s="2">
        <v>65.3</v>
      </c>
      <c r="H1692" s="2"/>
      <c r="I1692" s="2" t="str">
        <f t="array" ref="I169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2" s="2"/>
      <c r="K1692" s="2"/>
      <c r="L1692" s="2"/>
      <c r="M1692" s="2" t="str">
        <f t="array" ref="M169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2" s="2">
        <f ca="1">INDEX(INDIRECT(_xlfn.CONCAT("weather.tbl[",N$1,"]")),MATCH(vp.data[[#This Row],[SDate]],weather.tbl[Date],0))</f>
        <v>14.85</v>
      </c>
      <c r="O1692" s="2">
        <f ca="1">INDEX(INDIRECT(_xlfn.CONCAT("weather.tbl[",O$1,"]")),MATCH(vp.data[[#This Row],[SDate]],weather.tbl[Date],0))</f>
        <v>14.640476190476191</v>
      </c>
      <c r="P1692" s="2">
        <f ca="1">INDEX(INDIRECT(_xlfn.CONCAT("weather.tbl[",P$1,"]")),MATCH(vp.data[[#This Row],[SDate]],weather.tbl[Date],0))</f>
        <v>15</v>
      </c>
      <c r="Q1692" s="2">
        <f ca="1">INDEX(INDIRECT(_xlfn.CONCAT("weather.tbl[",Q$1,"]")),MATCH(vp.data[[#This Row],[SDate]],weather.tbl[Date],0))</f>
        <v>16</v>
      </c>
      <c r="R1692" s="2">
        <f ca="1">INDEX(INDIRECT(_xlfn.CONCAT("weather.tbl[",R$1,"]")),MATCH(vp.data[[#This Row],[SDate]],weather.tbl[Date],0))</f>
        <v>13.5</v>
      </c>
      <c r="S1692" s="2">
        <f ca="1">INDEX(INDIRECT(_xlfn.CONCAT("weather.tbl[",S$1,"]")),MATCH(vp.data[[#This Row],[SDate]],weather.tbl[Date],0))</f>
        <v>15.4</v>
      </c>
      <c r="T1692" s="2">
        <f ca="1">INDEX(INDIRECT(_xlfn.CONCAT("weather.tbl[",T$1,"]")),MATCH(vp.data[[#This Row],[SDate]],weather.tbl[Date],0))</f>
        <v>14.4</v>
      </c>
      <c r="U1692" s="2">
        <f ca="1">INDEX(INDIRECT(_xlfn.CONCAT("weather.tbl[",U$1,"]")),MATCH(vp.data[[#This Row],[SDate]],weather.tbl[Date],0))</f>
        <v>14.8</v>
      </c>
      <c r="V1692" s="2" t="str">
        <f t="array" ref="V169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2" t="s">
        <v>48</v>
      </c>
      <c r="X1692">
        <f>IF(OR(vp.data[[#This Row],[Sulf]]="",vp.data[[#This Row],[Dens]]=""),1,0)</f>
        <v>1</v>
      </c>
      <c r="Y1692">
        <f>IF(vp.data[[#This Row],[CrudeType]]="C5+",1,0)</f>
        <v>0</v>
      </c>
      <c r="Z1692">
        <f>IF(AND(vp.data[[#This Row],[CrudeType]]="Crude",vp.data[[#This Row],[Dens]]&lt;=825,vp.data[[#This Row],[Sulf]]&gt;0.5,vp.data[[#This Row],[Unknown]]=0),1,0)</f>
        <v>0</v>
      </c>
      <c r="AA1692">
        <f>IF(AND(vp.data[[#This Row],[CrudeType]]="Crude",vp.data[[#This Row],[Dens]]&lt;=825,vp.data[[#This Row],[Sulf]]&lt;=0.5,vp.data[[#This Row],[Unknown]]=0),1,0)</f>
        <v>0</v>
      </c>
      <c r="AB169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2">
        <f>IF(AND(vp.data[[#This Row],[CrudeType]]="Crude",vp.data[[#This Row],[Dens]]&gt;825,vp.data[[#This Row],[Dens]]&lt;=900,vp.data[[#This Row],[Sulf]]&lt;=0.5,vp.data[[#This Row],[Unknown]]=0),1,0)</f>
        <v>0</v>
      </c>
      <c r="AD1692">
        <f>IF(AND(vp.data[[#This Row],[CrudeType]]="Crude",vp.data[[#This Row],[Dens]]&gt;865,vp.data[[#This Row],[Dens]]&lt;=900,vp.data[[#This Row],[Sulf]]&gt;2,vp.data[[#This Row],[Unknown]]=0),1,0)</f>
        <v>0</v>
      </c>
      <c r="AE1692">
        <f>IF(AND(vp.data[[#This Row],[CrudeType]]="Crude",vp.data[[#This Row],[Dens]]&gt;900,vp.data[[#This Row],[Sulf]]&lt;=0.5,vp.data[[#This Row],[Unknown]]=0),1,0)</f>
        <v>0</v>
      </c>
      <c r="AF1692">
        <f>IF(AND(vp.data[[#This Row],[CrudeType]]="Crude",vp.data[[#This Row],[Dens]]&gt;900,vp.data[[#This Row],[Sulf]]&lt;=0.5,vp.data[[#This Row],[Unknown]]=0),1,0)</f>
        <v>0</v>
      </c>
      <c r="AG1692" t="str">
        <f>INDEX(vp.data[[#Headers],[Unknown]:[Heavy_SW]],MATCH(1,vp.data[[#This Row],[Unknown]:[Heavy_SW]],0))</f>
        <v>Unknown</v>
      </c>
      <c r="AH1692">
        <f>INDEX([3]!crudeBD.lkup[Number],MATCH(vp.data[[#This Row],[Crude_Breakdown]],crudeBD.lkup[Crude Breakdown],0))</f>
        <v>-1</v>
      </c>
      <c r="AI1692">
        <f>MONTH(vp.data[[#This Row],[SDate]])</f>
        <v>6</v>
      </c>
      <c r="AJ1692" s="5">
        <f>(vp.data[[#This Row],[VP]]-INDEX(crudeBD.lkup[Mean_VP],MATCH(vp.data[[#This Row],[Crude_Breakdown]],crudeBD.lkup[Crude Breakdown],0)))^2</f>
        <v>73.019366114655213</v>
      </c>
      <c r="AK1692" s="5" t="e">
        <f>(vp.data[[#This Row],[Dens]]-INDEX(crudeBD.lkup[Mean_Dens],MATCH(vp.data[[#This Row],[Crude_Breakdown]],crudeBD.lkup[Crude Breakdown],0)))^2</f>
        <v>#VALUE!</v>
      </c>
      <c r="AL1692" s="5" t="e">
        <f>(vp.data[[#This Row],[Sulf]]-INDEX(crudeBD.lkup[Mean_Sulf],MATCH(vp.data[[#This Row],[Crude_Breakdown]],crudeBD.lkup[Crude Breakdown],0)))^2</f>
        <v>#VALUE!</v>
      </c>
      <c r="AM1692" s="4">
        <f>IF(AND(vp.data[[#This Row],[SDate]]&gt;=DATE(YEAR(vp.data[[#This Row],[SDate]]),5,1),vp.data[[#This Row],[SDate]]&lt;=DATE(YEAR(vp.data[[#This Row],[SDate]]),9,15)),1,0)</f>
        <v>1</v>
      </c>
      <c r="AN1692" s="4">
        <f>IF(vp.data[[#This Row],[SDate]]&lt;DATE(2016,12,1),0,1)</f>
        <v>1</v>
      </c>
      <c r="AO1692" s="4" t="str">
        <f>IFERROR(vp.data[[#This Row],[Sulf]]*vp.data[[#This Row],[Net Dens]],"")</f>
        <v/>
      </c>
      <c r="AP1692" t="str">
        <f>IFERROR(vp.data[[#This Row],[Dens]]*vp.data[[#This Row],[VolumeM3]],"")</f>
        <v/>
      </c>
      <c r="AQ1692" s="15" t="str">
        <f>IFERROR(vp.data[[#This Row],[VP]]*vp.data[[#This Row],[VolumeM3]],"")</f>
        <v/>
      </c>
    </row>
    <row r="1693" spans="1:43" x14ac:dyDescent="0.25">
      <c r="A1693">
        <v>1692</v>
      </c>
      <c r="B1693" t="s">
        <v>49</v>
      </c>
      <c r="C1693" t="s">
        <v>49</v>
      </c>
      <c r="D1693" t="s">
        <v>81</v>
      </c>
      <c r="F1693" s="1">
        <v>42906</v>
      </c>
      <c r="G1693" s="2">
        <v>73.3</v>
      </c>
      <c r="H1693" s="2"/>
      <c r="I1693" s="2" t="str">
        <f t="array" ref="I169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3" s="2"/>
      <c r="K1693" s="2"/>
      <c r="L1693" s="2"/>
      <c r="M1693" s="2" t="str">
        <f t="array" ref="M169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3" s="2">
        <f ca="1">INDEX(INDIRECT(_xlfn.CONCAT("weather.tbl[",N$1,"]")),MATCH(vp.data[[#This Row],[SDate]],weather.tbl[Date],0))</f>
        <v>14.85</v>
      </c>
      <c r="O1693" s="2">
        <f ca="1">INDEX(INDIRECT(_xlfn.CONCAT("weather.tbl[",O$1,"]")),MATCH(vp.data[[#This Row],[SDate]],weather.tbl[Date],0))</f>
        <v>14.640476190476191</v>
      </c>
      <c r="P1693" s="2">
        <f ca="1">INDEX(INDIRECT(_xlfn.CONCAT("weather.tbl[",P$1,"]")),MATCH(vp.data[[#This Row],[SDate]],weather.tbl[Date],0))</f>
        <v>15</v>
      </c>
      <c r="Q1693" s="2">
        <f ca="1">INDEX(INDIRECT(_xlfn.CONCAT("weather.tbl[",Q$1,"]")),MATCH(vp.data[[#This Row],[SDate]],weather.tbl[Date],0))</f>
        <v>16</v>
      </c>
      <c r="R1693" s="2">
        <f ca="1">INDEX(INDIRECT(_xlfn.CONCAT("weather.tbl[",R$1,"]")),MATCH(vp.data[[#This Row],[SDate]],weather.tbl[Date],0))</f>
        <v>13.5</v>
      </c>
      <c r="S1693" s="2">
        <f ca="1">INDEX(INDIRECT(_xlfn.CONCAT("weather.tbl[",S$1,"]")),MATCH(vp.data[[#This Row],[SDate]],weather.tbl[Date],0))</f>
        <v>15.4</v>
      </c>
      <c r="T1693" s="2">
        <f ca="1">INDEX(INDIRECT(_xlfn.CONCAT("weather.tbl[",T$1,"]")),MATCH(vp.data[[#This Row],[SDate]],weather.tbl[Date],0))</f>
        <v>14.4</v>
      </c>
      <c r="U1693" s="2">
        <f ca="1">INDEX(INDIRECT(_xlfn.CONCAT("weather.tbl[",U$1,"]")),MATCH(vp.data[[#This Row],[SDate]],weather.tbl[Date],0))</f>
        <v>14.8</v>
      </c>
      <c r="V1693" s="2" t="str">
        <f t="array" ref="V169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3" t="s">
        <v>48</v>
      </c>
      <c r="X1693">
        <f>IF(OR(vp.data[[#This Row],[Sulf]]="",vp.data[[#This Row],[Dens]]=""),1,0)</f>
        <v>1</v>
      </c>
      <c r="Y1693">
        <f>IF(vp.data[[#This Row],[CrudeType]]="C5+",1,0)</f>
        <v>0</v>
      </c>
      <c r="Z1693">
        <f>IF(AND(vp.data[[#This Row],[CrudeType]]="Crude",vp.data[[#This Row],[Dens]]&lt;=825,vp.data[[#This Row],[Sulf]]&gt;0.5,vp.data[[#This Row],[Unknown]]=0),1,0)</f>
        <v>0</v>
      </c>
      <c r="AA1693">
        <f>IF(AND(vp.data[[#This Row],[CrudeType]]="Crude",vp.data[[#This Row],[Dens]]&lt;=825,vp.data[[#This Row],[Sulf]]&lt;=0.5,vp.data[[#This Row],[Unknown]]=0),1,0)</f>
        <v>0</v>
      </c>
      <c r="AB169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3">
        <f>IF(AND(vp.data[[#This Row],[CrudeType]]="Crude",vp.data[[#This Row],[Dens]]&gt;825,vp.data[[#This Row],[Dens]]&lt;=900,vp.data[[#This Row],[Sulf]]&lt;=0.5,vp.data[[#This Row],[Unknown]]=0),1,0)</f>
        <v>0</v>
      </c>
      <c r="AD1693">
        <f>IF(AND(vp.data[[#This Row],[CrudeType]]="Crude",vp.data[[#This Row],[Dens]]&gt;865,vp.data[[#This Row],[Dens]]&lt;=900,vp.data[[#This Row],[Sulf]]&gt;2,vp.data[[#This Row],[Unknown]]=0),1,0)</f>
        <v>0</v>
      </c>
      <c r="AE1693">
        <f>IF(AND(vp.data[[#This Row],[CrudeType]]="Crude",vp.data[[#This Row],[Dens]]&gt;900,vp.data[[#This Row],[Sulf]]&lt;=0.5,vp.data[[#This Row],[Unknown]]=0),1,0)</f>
        <v>0</v>
      </c>
      <c r="AF1693">
        <f>IF(AND(vp.data[[#This Row],[CrudeType]]="Crude",vp.data[[#This Row],[Dens]]&gt;900,vp.data[[#This Row],[Sulf]]&lt;=0.5,vp.data[[#This Row],[Unknown]]=0),1,0)</f>
        <v>0</v>
      </c>
      <c r="AG1693" t="str">
        <f>INDEX(vp.data[[#Headers],[Unknown]:[Heavy_SW]],MATCH(1,vp.data[[#This Row],[Unknown]:[Heavy_SW]],0))</f>
        <v>Unknown</v>
      </c>
      <c r="AH1693">
        <f>INDEX([3]!crudeBD.lkup[Number],MATCH(vp.data[[#This Row],[Crude_Breakdown]],crudeBD.lkup[Crude Breakdown],0))</f>
        <v>-1</v>
      </c>
      <c r="AI1693">
        <f>MONTH(vp.data[[#This Row],[SDate]])</f>
        <v>6</v>
      </c>
      <c r="AJ1693" s="5">
        <f>(vp.data[[#This Row],[VP]]-INDEX(crudeBD.lkup[Mean_VP],MATCH(vp.data[[#This Row],[Crude_Breakdown]],crudeBD.lkup[Crude Breakdown],0)))^2</f>
        <v>0.29717433383371172</v>
      </c>
      <c r="AK1693" s="5" t="e">
        <f>(vp.data[[#This Row],[Dens]]-INDEX(crudeBD.lkup[Mean_Dens],MATCH(vp.data[[#This Row],[Crude_Breakdown]],crudeBD.lkup[Crude Breakdown],0)))^2</f>
        <v>#VALUE!</v>
      </c>
      <c r="AL1693" s="5" t="e">
        <f>(vp.data[[#This Row],[Sulf]]-INDEX(crudeBD.lkup[Mean_Sulf],MATCH(vp.data[[#This Row],[Crude_Breakdown]],crudeBD.lkup[Crude Breakdown],0)))^2</f>
        <v>#VALUE!</v>
      </c>
      <c r="AM1693" s="4">
        <f>IF(AND(vp.data[[#This Row],[SDate]]&gt;=DATE(YEAR(vp.data[[#This Row],[SDate]]),5,1),vp.data[[#This Row],[SDate]]&lt;=DATE(YEAR(vp.data[[#This Row],[SDate]]),9,15)),1,0)</f>
        <v>1</v>
      </c>
      <c r="AN1693" s="4">
        <f>IF(vp.data[[#This Row],[SDate]]&lt;DATE(2016,12,1),0,1)</f>
        <v>1</v>
      </c>
      <c r="AO1693" s="4" t="str">
        <f>IFERROR(vp.data[[#This Row],[Sulf]]*vp.data[[#This Row],[Net Dens]],"")</f>
        <v/>
      </c>
      <c r="AP1693" t="str">
        <f>IFERROR(vp.data[[#This Row],[Dens]]*vp.data[[#This Row],[VolumeM3]],"")</f>
        <v/>
      </c>
      <c r="AQ1693" s="15" t="str">
        <f>IFERROR(vp.data[[#This Row],[VP]]*vp.data[[#This Row],[VolumeM3]],"")</f>
        <v/>
      </c>
    </row>
    <row r="1694" spans="1:43" x14ac:dyDescent="0.25">
      <c r="A1694">
        <v>1693</v>
      </c>
      <c r="B1694" t="s">
        <v>49</v>
      </c>
      <c r="C1694" t="s">
        <v>49</v>
      </c>
      <c r="D1694" t="s">
        <v>90</v>
      </c>
      <c r="F1694" s="1">
        <v>42906</v>
      </c>
      <c r="G1694" s="2">
        <v>62.9</v>
      </c>
      <c r="H1694" s="2"/>
      <c r="I1694" s="2" t="str">
        <f t="array" ref="I169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4" s="2"/>
      <c r="K1694" s="2"/>
      <c r="L1694" s="2"/>
      <c r="M1694" s="2" t="str">
        <f t="array" ref="M169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4" s="2">
        <f ca="1">INDEX(INDIRECT(_xlfn.CONCAT("weather.tbl[",N$1,"]")),MATCH(vp.data[[#This Row],[SDate]],weather.tbl[Date],0))</f>
        <v>14.85</v>
      </c>
      <c r="O1694" s="2">
        <f ca="1">INDEX(INDIRECT(_xlfn.CONCAT("weather.tbl[",O$1,"]")),MATCH(vp.data[[#This Row],[SDate]],weather.tbl[Date],0))</f>
        <v>14.640476190476191</v>
      </c>
      <c r="P1694" s="2">
        <f ca="1">INDEX(INDIRECT(_xlfn.CONCAT("weather.tbl[",P$1,"]")),MATCH(vp.data[[#This Row],[SDate]],weather.tbl[Date],0))</f>
        <v>15</v>
      </c>
      <c r="Q1694" s="2">
        <f ca="1">INDEX(INDIRECT(_xlfn.CONCAT("weather.tbl[",Q$1,"]")),MATCH(vp.data[[#This Row],[SDate]],weather.tbl[Date],0))</f>
        <v>16</v>
      </c>
      <c r="R1694" s="2">
        <f ca="1">INDEX(INDIRECT(_xlfn.CONCAT("weather.tbl[",R$1,"]")),MATCH(vp.data[[#This Row],[SDate]],weather.tbl[Date],0))</f>
        <v>13.5</v>
      </c>
      <c r="S1694" s="2">
        <f ca="1">INDEX(INDIRECT(_xlfn.CONCAT("weather.tbl[",S$1,"]")),MATCH(vp.data[[#This Row],[SDate]],weather.tbl[Date],0))</f>
        <v>15.4</v>
      </c>
      <c r="T1694" s="2">
        <f ca="1">INDEX(INDIRECT(_xlfn.CONCAT("weather.tbl[",T$1,"]")),MATCH(vp.data[[#This Row],[SDate]],weather.tbl[Date],0))</f>
        <v>14.4</v>
      </c>
      <c r="U1694" s="2">
        <f ca="1">INDEX(INDIRECT(_xlfn.CONCAT("weather.tbl[",U$1,"]")),MATCH(vp.data[[#This Row],[SDate]],weather.tbl[Date],0))</f>
        <v>14.8</v>
      </c>
      <c r="V1694" s="2" t="str">
        <f t="array" ref="V169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4" t="s">
        <v>48</v>
      </c>
      <c r="X1694">
        <f>IF(OR(vp.data[[#This Row],[Sulf]]="",vp.data[[#This Row],[Dens]]=""),1,0)</f>
        <v>1</v>
      </c>
      <c r="Y1694">
        <f>IF(vp.data[[#This Row],[CrudeType]]="C5+",1,0)</f>
        <v>0</v>
      </c>
      <c r="Z1694">
        <f>IF(AND(vp.data[[#This Row],[CrudeType]]="Crude",vp.data[[#This Row],[Dens]]&lt;=825,vp.data[[#This Row],[Sulf]]&gt;0.5,vp.data[[#This Row],[Unknown]]=0),1,0)</f>
        <v>0</v>
      </c>
      <c r="AA1694">
        <f>IF(AND(vp.data[[#This Row],[CrudeType]]="Crude",vp.data[[#This Row],[Dens]]&lt;=825,vp.data[[#This Row],[Sulf]]&lt;=0.5,vp.data[[#This Row],[Unknown]]=0),1,0)</f>
        <v>0</v>
      </c>
      <c r="AB169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4">
        <f>IF(AND(vp.data[[#This Row],[CrudeType]]="Crude",vp.data[[#This Row],[Dens]]&gt;825,vp.data[[#This Row],[Dens]]&lt;=900,vp.data[[#This Row],[Sulf]]&lt;=0.5,vp.data[[#This Row],[Unknown]]=0),1,0)</f>
        <v>0</v>
      </c>
      <c r="AD1694">
        <f>IF(AND(vp.data[[#This Row],[CrudeType]]="Crude",vp.data[[#This Row],[Dens]]&gt;865,vp.data[[#This Row],[Dens]]&lt;=900,vp.data[[#This Row],[Sulf]]&gt;2,vp.data[[#This Row],[Unknown]]=0),1,0)</f>
        <v>0</v>
      </c>
      <c r="AE1694">
        <f>IF(AND(vp.data[[#This Row],[CrudeType]]="Crude",vp.data[[#This Row],[Dens]]&gt;900,vp.data[[#This Row],[Sulf]]&lt;=0.5,vp.data[[#This Row],[Unknown]]=0),1,0)</f>
        <v>0</v>
      </c>
      <c r="AF1694">
        <f>IF(AND(vp.data[[#This Row],[CrudeType]]="Crude",vp.data[[#This Row],[Dens]]&gt;900,vp.data[[#This Row],[Sulf]]&lt;=0.5,vp.data[[#This Row],[Unknown]]=0),1,0)</f>
        <v>0</v>
      </c>
      <c r="AG1694" t="str">
        <f>INDEX(vp.data[[#Headers],[Unknown]:[Heavy_SW]],MATCH(1,vp.data[[#This Row],[Unknown]:[Heavy_SW]],0))</f>
        <v>Unknown</v>
      </c>
      <c r="AH1694">
        <f>INDEX([3]!crudeBD.lkup[Number],MATCH(vp.data[[#This Row],[Crude_Breakdown]],crudeBD.lkup[Crude Breakdown],0))</f>
        <v>-1</v>
      </c>
      <c r="AI1694">
        <f>MONTH(vp.data[[#This Row],[SDate]])</f>
        <v>6</v>
      </c>
      <c r="AJ1694" s="5">
        <f>(vp.data[[#This Row],[VP]]-INDEX(crudeBD.lkup[Mean_VP],MATCH(vp.data[[#This Row],[Crude_Breakdown]],crudeBD.lkup[Crude Breakdown],0)))^2</f>
        <v>119.79602364890164</v>
      </c>
      <c r="AK1694" s="5" t="e">
        <f>(vp.data[[#This Row],[Dens]]-INDEX(crudeBD.lkup[Mean_Dens],MATCH(vp.data[[#This Row],[Crude_Breakdown]],crudeBD.lkup[Crude Breakdown],0)))^2</f>
        <v>#VALUE!</v>
      </c>
      <c r="AL1694" s="5" t="e">
        <f>(vp.data[[#This Row],[Sulf]]-INDEX(crudeBD.lkup[Mean_Sulf],MATCH(vp.data[[#This Row],[Crude_Breakdown]],crudeBD.lkup[Crude Breakdown],0)))^2</f>
        <v>#VALUE!</v>
      </c>
      <c r="AM1694" s="4">
        <f>IF(AND(vp.data[[#This Row],[SDate]]&gt;=DATE(YEAR(vp.data[[#This Row],[SDate]]),5,1),vp.data[[#This Row],[SDate]]&lt;=DATE(YEAR(vp.data[[#This Row],[SDate]]),9,15)),1,0)</f>
        <v>1</v>
      </c>
      <c r="AN1694" s="4">
        <f>IF(vp.data[[#This Row],[SDate]]&lt;DATE(2016,12,1),0,1)</f>
        <v>1</v>
      </c>
      <c r="AO1694" s="4" t="str">
        <f>IFERROR(vp.data[[#This Row],[Sulf]]*vp.data[[#This Row],[Net Dens]],"")</f>
        <v/>
      </c>
      <c r="AP1694" t="str">
        <f>IFERROR(vp.data[[#This Row],[Dens]]*vp.data[[#This Row],[VolumeM3]],"")</f>
        <v/>
      </c>
      <c r="AQ1694" s="15" t="str">
        <f>IFERROR(vp.data[[#This Row],[VP]]*vp.data[[#This Row],[VolumeM3]],"")</f>
        <v/>
      </c>
    </row>
    <row r="1695" spans="1:43" x14ac:dyDescent="0.25">
      <c r="A1695">
        <v>1694</v>
      </c>
      <c r="B1695" t="s">
        <v>51</v>
      </c>
      <c r="C1695" t="s">
        <v>51</v>
      </c>
      <c r="D1695" t="s">
        <v>95</v>
      </c>
      <c r="F1695" s="1">
        <v>42907</v>
      </c>
      <c r="G1695" s="2">
        <v>67.89</v>
      </c>
      <c r="H1695" s="2"/>
      <c r="I1695" s="2" t="str">
        <f t="array" ref="I169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5" s="2"/>
      <c r="K1695" s="2"/>
      <c r="L1695" s="2"/>
      <c r="M1695" s="2" t="str">
        <f t="array" ref="M169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5" s="2">
        <f ca="1">INDEX(INDIRECT(_xlfn.CONCAT("weather.tbl[",N$1,"]")),MATCH(vp.data[[#This Row],[SDate]],weather.tbl[Date],0))</f>
        <v>17.766666666666666</v>
      </c>
      <c r="O1695" s="2">
        <f ca="1">INDEX(INDIRECT(_xlfn.CONCAT("weather.tbl[",O$1,"]")),MATCH(vp.data[[#This Row],[SDate]],weather.tbl[Date],0))</f>
        <v>15.328571428571427</v>
      </c>
      <c r="P1695" s="2">
        <f ca="1">INDEX(INDIRECT(_xlfn.CONCAT("weather.tbl[",P$1,"]")),MATCH(vp.data[[#This Row],[SDate]],weather.tbl[Date],0))</f>
        <v>18.5</v>
      </c>
      <c r="Q1695" s="2">
        <f ca="1">INDEX(INDIRECT(_xlfn.CONCAT("weather.tbl[",Q$1,"]")),MATCH(vp.data[[#This Row],[SDate]],weather.tbl[Date],0))</f>
        <v>18.3</v>
      </c>
      <c r="R1695" s="2">
        <f ca="1">INDEX(INDIRECT(_xlfn.CONCAT("weather.tbl[",R$1,"]")),MATCH(vp.data[[#This Row],[SDate]],weather.tbl[Date],0))</f>
        <v>17.5</v>
      </c>
      <c r="S1695" s="2">
        <f ca="1">INDEX(INDIRECT(_xlfn.CONCAT("weather.tbl[",S$1,"]")),MATCH(vp.data[[#This Row],[SDate]],weather.tbl[Date],0))</f>
        <v>16.8</v>
      </c>
      <c r="T1695" s="2">
        <f ca="1">INDEX(INDIRECT(_xlfn.CONCAT("weather.tbl[",T$1,"]")),MATCH(vp.data[[#This Row],[SDate]],weather.tbl[Date],0))</f>
        <v>19</v>
      </c>
      <c r="U1695" s="2">
        <f ca="1">INDEX(INDIRECT(_xlfn.CONCAT("weather.tbl[",U$1,"]")),MATCH(vp.data[[#This Row],[SDate]],weather.tbl[Date],0))</f>
        <v>16.5</v>
      </c>
      <c r="V1695" s="2" t="str">
        <f t="array" ref="V169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5" t="s">
        <v>48</v>
      </c>
      <c r="X1695">
        <f>IF(OR(vp.data[[#This Row],[Sulf]]="",vp.data[[#This Row],[Dens]]=""),1,0)</f>
        <v>1</v>
      </c>
      <c r="Y1695">
        <f>IF(vp.data[[#This Row],[CrudeType]]="C5+",1,0)</f>
        <v>0</v>
      </c>
      <c r="Z1695">
        <f>IF(AND(vp.data[[#This Row],[CrudeType]]="Crude",vp.data[[#This Row],[Dens]]&lt;=825,vp.data[[#This Row],[Sulf]]&gt;0.5,vp.data[[#This Row],[Unknown]]=0),1,0)</f>
        <v>0</v>
      </c>
      <c r="AA1695">
        <f>IF(AND(vp.data[[#This Row],[CrudeType]]="Crude",vp.data[[#This Row],[Dens]]&lt;=825,vp.data[[#This Row],[Sulf]]&lt;=0.5,vp.data[[#This Row],[Unknown]]=0),1,0)</f>
        <v>0</v>
      </c>
      <c r="AB169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5">
        <f>IF(AND(vp.data[[#This Row],[CrudeType]]="Crude",vp.data[[#This Row],[Dens]]&gt;825,vp.data[[#This Row],[Dens]]&lt;=900,vp.data[[#This Row],[Sulf]]&lt;=0.5,vp.data[[#This Row],[Unknown]]=0),1,0)</f>
        <v>0</v>
      </c>
      <c r="AD1695">
        <f>IF(AND(vp.data[[#This Row],[CrudeType]]="Crude",vp.data[[#This Row],[Dens]]&gt;865,vp.data[[#This Row],[Dens]]&lt;=900,vp.data[[#This Row],[Sulf]]&gt;2,vp.data[[#This Row],[Unknown]]=0),1,0)</f>
        <v>0</v>
      </c>
      <c r="AE1695">
        <f>IF(AND(vp.data[[#This Row],[CrudeType]]="Crude",vp.data[[#This Row],[Dens]]&gt;900,vp.data[[#This Row],[Sulf]]&lt;=0.5,vp.data[[#This Row],[Unknown]]=0),1,0)</f>
        <v>0</v>
      </c>
      <c r="AF1695">
        <f>IF(AND(vp.data[[#This Row],[CrudeType]]="Crude",vp.data[[#This Row],[Dens]]&gt;900,vp.data[[#This Row],[Sulf]]&lt;=0.5,vp.data[[#This Row],[Unknown]]=0),1,0)</f>
        <v>0</v>
      </c>
      <c r="AG1695" t="str">
        <f>INDEX(vp.data[[#Headers],[Unknown]:[Heavy_SW]],MATCH(1,vp.data[[#This Row],[Unknown]:[Heavy_SW]],0))</f>
        <v>Unknown</v>
      </c>
      <c r="AH1695">
        <f>INDEX([3]!crudeBD.lkup[Number],MATCH(vp.data[[#This Row],[Crude_Breakdown]],crudeBD.lkup[Crude Breakdown],0))</f>
        <v>-1</v>
      </c>
      <c r="AI1695">
        <f>MONTH(vp.data[[#This Row],[SDate]])</f>
        <v>6</v>
      </c>
      <c r="AJ1695" s="5">
        <f>(vp.data[[#This Row],[VP]]-INDEX(crudeBD.lkup[Mean_VP],MATCH(vp.data[[#This Row],[Crude_Breakdown]],crudeBD.lkup[Crude Breakdown],0)))^2</f>
        <v>35.463656525614212</v>
      </c>
      <c r="AK1695" s="5" t="e">
        <f>(vp.data[[#This Row],[Dens]]-INDEX(crudeBD.lkup[Mean_Dens],MATCH(vp.data[[#This Row],[Crude_Breakdown]],crudeBD.lkup[Crude Breakdown],0)))^2</f>
        <v>#VALUE!</v>
      </c>
      <c r="AL1695" s="5" t="e">
        <f>(vp.data[[#This Row],[Sulf]]-INDEX(crudeBD.lkup[Mean_Sulf],MATCH(vp.data[[#This Row],[Crude_Breakdown]],crudeBD.lkup[Crude Breakdown],0)))^2</f>
        <v>#VALUE!</v>
      </c>
      <c r="AM1695" s="4">
        <f>IF(AND(vp.data[[#This Row],[SDate]]&gt;=DATE(YEAR(vp.data[[#This Row],[SDate]]),5,1),vp.data[[#This Row],[SDate]]&lt;=DATE(YEAR(vp.data[[#This Row],[SDate]]),9,15)),1,0)</f>
        <v>1</v>
      </c>
      <c r="AN1695" s="4">
        <f>IF(vp.data[[#This Row],[SDate]]&lt;DATE(2016,12,1),0,1)</f>
        <v>1</v>
      </c>
      <c r="AO1695" s="4" t="str">
        <f>IFERROR(vp.data[[#This Row],[Sulf]]*vp.data[[#This Row],[Net Dens]],"")</f>
        <v/>
      </c>
      <c r="AP1695" t="str">
        <f>IFERROR(vp.data[[#This Row],[Dens]]*vp.data[[#This Row],[VolumeM3]],"")</f>
        <v/>
      </c>
      <c r="AQ1695" s="15" t="str">
        <f>IFERROR(vp.data[[#This Row],[VP]]*vp.data[[#This Row],[VolumeM3]],"")</f>
        <v/>
      </c>
    </row>
    <row r="1696" spans="1:43" x14ac:dyDescent="0.25">
      <c r="A1696">
        <v>1695</v>
      </c>
      <c r="B1696" t="s">
        <v>68</v>
      </c>
      <c r="C1696" t="s">
        <v>68</v>
      </c>
      <c r="D1696" t="s">
        <v>69</v>
      </c>
      <c r="F1696" s="1">
        <v>42907</v>
      </c>
      <c r="G1696" s="2">
        <v>70.3</v>
      </c>
      <c r="H1696" s="2"/>
      <c r="I1696" s="2" t="str">
        <f t="array" ref="I169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6" s="2"/>
      <c r="K1696" s="2"/>
      <c r="L1696" s="2"/>
      <c r="M1696" s="2" t="str">
        <f t="array" ref="M169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6" s="2">
        <f ca="1">INDEX(INDIRECT(_xlfn.CONCAT("weather.tbl[",N$1,"]")),MATCH(vp.data[[#This Row],[SDate]],weather.tbl[Date],0))</f>
        <v>17.766666666666666</v>
      </c>
      <c r="O1696" s="2">
        <f ca="1">INDEX(INDIRECT(_xlfn.CONCAT("weather.tbl[",O$1,"]")),MATCH(vp.data[[#This Row],[SDate]],weather.tbl[Date],0))</f>
        <v>15.328571428571427</v>
      </c>
      <c r="P1696" s="2">
        <f ca="1">INDEX(INDIRECT(_xlfn.CONCAT("weather.tbl[",P$1,"]")),MATCH(vp.data[[#This Row],[SDate]],weather.tbl[Date],0))</f>
        <v>18.5</v>
      </c>
      <c r="Q1696" s="2">
        <f ca="1">INDEX(INDIRECT(_xlfn.CONCAT("weather.tbl[",Q$1,"]")),MATCH(vp.data[[#This Row],[SDate]],weather.tbl[Date],0))</f>
        <v>18.3</v>
      </c>
      <c r="R1696" s="2">
        <f ca="1">INDEX(INDIRECT(_xlfn.CONCAT("weather.tbl[",R$1,"]")),MATCH(vp.data[[#This Row],[SDate]],weather.tbl[Date],0))</f>
        <v>17.5</v>
      </c>
      <c r="S1696" s="2">
        <f ca="1">INDEX(INDIRECT(_xlfn.CONCAT("weather.tbl[",S$1,"]")),MATCH(vp.data[[#This Row],[SDate]],weather.tbl[Date],0))</f>
        <v>16.8</v>
      </c>
      <c r="T1696" s="2">
        <f ca="1">INDEX(INDIRECT(_xlfn.CONCAT("weather.tbl[",T$1,"]")),MATCH(vp.data[[#This Row],[SDate]],weather.tbl[Date],0))</f>
        <v>19</v>
      </c>
      <c r="U1696" s="2">
        <f ca="1">INDEX(INDIRECT(_xlfn.CONCAT("weather.tbl[",U$1,"]")),MATCH(vp.data[[#This Row],[SDate]],weather.tbl[Date],0))</f>
        <v>16.5</v>
      </c>
      <c r="V1696" s="2" t="str">
        <f t="array" ref="V169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6" t="s">
        <v>48</v>
      </c>
      <c r="X1696">
        <f>IF(OR(vp.data[[#This Row],[Sulf]]="",vp.data[[#This Row],[Dens]]=""),1,0)</f>
        <v>1</v>
      </c>
      <c r="Y1696">
        <f>IF(vp.data[[#This Row],[CrudeType]]="C5+",1,0)</f>
        <v>0</v>
      </c>
      <c r="Z1696">
        <f>IF(AND(vp.data[[#This Row],[CrudeType]]="Crude",vp.data[[#This Row],[Dens]]&lt;=825,vp.data[[#This Row],[Sulf]]&gt;0.5,vp.data[[#This Row],[Unknown]]=0),1,0)</f>
        <v>0</v>
      </c>
      <c r="AA1696">
        <f>IF(AND(vp.data[[#This Row],[CrudeType]]="Crude",vp.data[[#This Row],[Dens]]&lt;=825,vp.data[[#This Row],[Sulf]]&lt;=0.5,vp.data[[#This Row],[Unknown]]=0),1,0)</f>
        <v>0</v>
      </c>
      <c r="AB169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6">
        <f>IF(AND(vp.data[[#This Row],[CrudeType]]="Crude",vp.data[[#This Row],[Dens]]&gt;825,vp.data[[#This Row],[Dens]]&lt;=900,vp.data[[#This Row],[Sulf]]&lt;=0.5,vp.data[[#This Row],[Unknown]]=0),1,0)</f>
        <v>0</v>
      </c>
      <c r="AD1696">
        <f>IF(AND(vp.data[[#This Row],[CrudeType]]="Crude",vp.data[[#This Row],[Dens]]&gt;865,vp.data[[#This Row],[Dens]]&lt;=900,vp.data[[#This Row],[Sulf]]&gt;2,vp.data[[#This Row],[Unknown]]=0),1,0)</f>
        <v>0</v>
      </c>
      <c r="AE1696">
        <f>IF(AND(vp.data[[#This Row],[CrudeType]]="Crude",vp.data[[#This Row],[Dens]]&gt;900,vp.data[[#This Row],[Sulf]]&lt;=0.5,vp.data[[#This Row],[Unknown]]=0),1,0)</f>
        <v>0</v>
      </c>
      <c r="AF1696">
        <f>IF(AND(vp.data[[#This Row],[CrudeType]]="Crude",vp.data[[#This Row],[Dens]]&gt;900,vp.data[[#This Row],[Sulf]]&lt;=0.5,vp.data[[#This Row],[Unknown]]=0),1,0)</f>
        <v>0</v>
      </c>
      <c r="AG1696" t="str">
        <f>INDEX(vp.data[[#Headers],[Unknown]:[Heavy_SW]],MATCH(1,vp.data[[#This Row],[Unknown]:[Heavy_SW]],0))</f>
        <v>Unknown</v>
      </c>
      <c r="AH1696">
        <f>INDEX([3]!crudeBD.lkup[Number],MATCH(vp.data[[#This Row],[Crude_Breakdown]],crudeBD.lkup[Crude Breakdown],0))</f>
        <v>-1</v>
      </c>
      <c r="AI1696">
        <f>MONTH(vp.data[[#This Row],[SDate]])</f>
        <v>6</v>
      </c>
      <c r="AJ1696" s="5">
        <f>(vp.data[[#This Row],[VP]]-INDEX(crudeBD.lkup[Mean_VP],MATCH(vp.data[[#This Row],[Crude_Breakdown]],crudeBD.lkup[Crude Breakdown],0)))^2</f>
        <v>12.567996251641775</v>
      </c>
      <c r="AK1696" s="5" t="e">
        <f>(vp.data[[#This Row],[Dens]]-INDEX(crudeBD.lkup[Mean_Dens],MATCH(vp.data[[#This Row],[Crude_Breakdown]],crudeBD.lkup[Crude Breakdown],0)))^2</f>
        <v>#VALUE!</v>
      </c>
      <c r="AL1696" s="5" t="e">
        <f>(vp.data[[#This Row],[Sulf]]-INDEX(crudeBD.lkup[Mean_Sulf],MATCH(vp.data[[#This Row],[Crude_Breakdown]],crudeBD.lkup[Crude Breakdown],0)))^2</f>
        <v>#VALUE!</v>
      </c>
      <c r="AM1696" s="4">
        <f>IF(AND(vp.data[[#This Row],[SDate]]&gt;=DATE(YEAR(vp.data[[#This Row],[SDate]]),5,1),vp.data[[#This Row],[SDate]]&lt;=DATE(YEAR(vp.data[[#This Row],[SDate]]),9,15)),1,0)</f>
        <v>1</v>
      </c>
      <c r="AN1696" s="4">
        <f>IF(vp.data[[#This Row],[SDate]]&lt;DATE(2016,12,1),0,1)</f>
        <v>1</v>
      </c>
      <c r="AO1696" s="4" t="str">
        <f>IFERROR(vp.data[[#This Row],[Sulf]]*vp.data[[#This Row],[Net Dens]],"")</f>
        <v/>
      </c>
      <c r="AP1696" t="str">
        <f>IFERROR(vp.data[[#This Row],[Dens]]*vp.data[[#This Row],[VolumeM3]],"")</f>
        <v/>
      </c>
      <c r="AQ1696" s="15" t="str">
        <f>IFERROR(vp.data[[#This Row],[VP]]*vp.data[[#This Row],[VolumeM3]],"")</f>
        <v/>
      </c>
    </row>
    <row r="1697" spans="1:43" x14ac:dyDescent="0.25">
      <c r="A1697">
        <v>1696</v>
      </c>
      <c r="B1697" t="s">
        <v>291</v>
      </c>
      <c r="C1697" t="s">
        <v>291</v>
      </c>
      <c r="D1697" t="s">
        <v>109</v>
      </c>
      <c r="F1697" s="1">
        <v>42907</v>
      </c>
      <c r="G1697" s="2">
        <v>78.8</v>
      </c>
      <c r="H1697" s="2"/>
      <c r="I1697" s="2" t="str">
        <f t="array" ref="I169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7" s="2"/>
      <c r="K1697" s="2"/>
      <c r="L1697" s="2"/>
      <c r="M1697" s="2" t="str">
        <f t="array" ref="M169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7" s="2">
        <f ca="1">INDEX(INDIRECT(_xlfn.CONCAT("weather.tbl[",N$1,"]")),MATCH(vp.data[[#This Row],[SDate]],weather.tbl[Date],0))</f>
        <v>17.766666666666666</v>
      </c>
      <c r="O1697" s="2">
        <f ca="1">INDEX(INDIRECT(_xlfn.CONCAT("weather.tbl[",O$1,"]")),MATCH(vp.data[[#This Row],[SDate]],weather.tbl[Date],0))</f>
        <v>15.328571428571427</v>
      </c>
      <c r="P1697" s="2">
        <f ca="1">INDEX(INDIRECT(_xlfn.CONCAT("weather.tbl[",P$1,"]")),MATCH(vp.data[[#This Row],[SDate]],weather.tbl[Date],0))</f>
        <v>18.5</v>
      </c>
      <c r="Q1697" s="2">
        <f ca="1">INDEX(INDIRECT(_xlfn.CONCAT("weather.tbl[",Q$1,"]")),MATCH(vp.data[[#This Row],[SDate]],weather.tbl[Date],0))</f>
        <v>18.3</v>
      </c>
      <c r="R1697" s="2">
        <f ca="1">INDEX(INDIRECT(_xlfn.CONCAT("weather.tbl[",R$1,"]")),MATCH(vp.data[[#This Row],[SDate]],weather.tbl[Date],0))</f>
        <v>17.5</v>
      </c>
      <c r="S1697" s="2">
        <f ca="1">INDEX(INDIRECT(_xlfn.CONCAT("weather.tbl[",S$1,"]")),MATCH(vp.data[[#This Row],[SDate]],weather.tbl[Date],0))</f>
        <v>16.8</v>
      </c>
      <c r="T1697" s="2">
        <f ca="1">INDEX(INDIRECT(_xlfn.CONCAT("weather.tbl[",T$1,"]")),MATCH(vp.data[[#This Row],[SDate]],weather.tbl[Date],0))</f>
        <v>19</v>
      </c>
      <c r="U1697" s="2">
        <f ca="1">INDEX(INDIRECT(_xlfn.CONCAT("weather.tbl[",U$1,"]")),MATCH(vp.data[[#This Row],[SDate]],weather.tbl[Date],0))</f>
        <v>16.5</v>
      </c>
      <c r="V1697" s="2" t="str">
        <f t="array" ref="V169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7" t="s">
        <v>48</v>
      </c>
      <c r="X1697">
        <f>IF(OR(vp.data[[#This Row],[Sulf]]="",vp.data[[#This Row],[Dens]]=""),1,0)</f>
        <v>1</v>
      </c>
      <c r="Y1697">
        <f>IF(vp.data[[#This Row],[CrudeType]]="C5+",1,0)</f>
        <v>0</v>
      </c>
      <c r="Z1697">
        <f>IF(AND(vp.data[[#This Row],[CrudeType]]="Crude",vp.data[[#This Row],[Dens]]&lt;=825,vp.data[[#This Row],[Sulf]]&gt;0.5,vp.data[[#This Row],[Unknown]]=0),1,0)</f>
        <v>0</v>
      </c>
      <c r="AA1697">
        <f>IF(AND(vp.data[[#This Row],[CrudeType]]="Crude",vp.data[[#This Row],[Dens]]&lt;=825,vp.data[[#This Row],[Sulf]]&lt;=0.5,vp.data[[#This Row],[Unknown]]=0),1,0)</f>
        <v>0</v>
      </c>
      <c r="AB169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7">
        <f>IF(AND(vp.data[[#This Row],[CrudeType]]="Crude",vp.data[[#This Row],[Dens]]&gt;825,vp.data[[#This Row],[Dens]]&lt;=900,vp.data[[#This Row],[Sulf]]&lt;=0.5,vp.data[[#This Row],[Unknown]]=0),1,0)</f>
        <v>0</v>
      </c>
      <c r="AD1697">
        <f>IF(AND(vp.data[[#This Row],[CrudeType]]="Crude",vp.data[[#This Row],[Dens]]&gt;865,vp.data[[#This Row],[Dens]]&lt;=900,vp.data[[#This Row],[Sulf]]&gt;2,vp.data[[#This Row],[Unknown]]=0),1,0)</f>
        <v>0</v>
      </c>
      <c r="AE1697">
        <f>IF(AND(vp.data[[#This Row],[CrudeType]]="Crude",vp.data[[#This Row],[Dens]]&gt;900,vp.data[[#This Row],[Sulf]]&lt;=0.5,vp.data[[#This Row],[Unknown]]=0),1,0)</f>
        <v>0</v>
      </c>
      <c r="AF1697">
        <f>IF(AND(vp.data[[#This Row],[CrudeType]]="Crude",vp.data[[#This Row],[Dens]]&gt;900,vp.data[[#This Row],[Sulf]]&lt;=0.5,vp.data[[#This Row],[Unknown]]=0),1,0)</f>
        <v>0</v>
      </c>
      <c r="AG1697" t="str">
        <f>INDEX(vp.data[[#Headers],[Unknown]:[Heavy_SW]],MATCH(1,vp.data[[#This Row],[Unknown]:[Heavy_SW]],0))</f>
        <v>Unknown</v>
      </c>
      <c r="AH1697">
        <f>INDEX([3]!crudeBD.lkup[Number],MATCH(vp.data[[#This Row],[Crude_Breakdown]],crudeBD.lkup[Crude Breakdown],0))</f>
        <v>-1</v>
      </c>
      <c r="AI1697">
        <f>MONTH(vp.data[[#This Row],[SDate]])</f>
        <v>6</v>
      </c>
      <c r="AJ1697" s="5">
        <f>(vp.data[[#This Row],[VP]]-INDEX(crudeBD.lkup[Mean_VP],MATCH(vp.data[[#This Row],[Crude_Breakdown]],crudeBD.lkup[Crude Breakdown],0)))^2</f>
        <v>24.550667484518929</v>
      </c>
      <c r="AK1697" s="5" t="e">
        <f>(vp.data[[#This Row],[Dens]]-INDEX(crudeBD.lkup[Mean_Dens],MATCH(vp.data[[#This Row],[Crude_Breakdown]],crudeBD.lkup[Crude Breakdown],0)))^2</f>
        <v>#VALUE!</v>
      </c>
      <c r="AL1697" s="5" t="e">
        <f>(vp.data[[#This Row],[Sulf]]-INDEX(crudeBD.lkup[Mean_Sulf],MATCH(vp.data[[#This Row],[Crude_Breakdown]],crudeBD.lkup[Crude Breakdown],0)))^2</f>
        <v>#VALUE!</v>
      </c>
      <c r="AM1697" s="4">
        <f>IF(AND(vp.data[[#This Row],[SDate]]&gt;=DATE(YEAR(vp.data[[#This Row],[SDate]]),5,1),vp.data[[#This Row],[SDate]]&lt;=DATE(YEAR(vp.data[[#This Row],[SDate]]),9,15)),1,0)</f>
        <v>1</v>
      </c>
      <c r="AN1697" s="4">
        <f>IF(vp.data[[#This Row],[SDate]]&lt;DATE(2016,12,1),0,1)</f>
        <v>1</v>
      </c>
      <c r="AO1697" s="4" t="str">
        <f>IFERROR(vp.data[[#This Row],[Sulf]]*vp.data[[#This Row],[Net Dens]],"")</f>
        <v/>
      </c>
      <c r="AP1697" t="str">
        <f>IFERROR(vp.data[[#This Row],[Dens]]*vp.data[[#This Row],[VolumeM3]],"")</f>
        <v/>
      </c>
      <c r="AQ1697" s="15" t="str">
        <f>IFERROR(vp.data[[#This Row],[VP]]*vp.data[[#This Row],[VolumeM3]],"")</f>
        <v/>
      </c>
    </row>
    <row r="1698" spans="1:43" x14ac:dyDescent="0.25">
      <c r="A1698">
        <v>1697</v>
      </c>
      <c r="B1698" t="s">
        <v>51</v>
      </c>
      <c r="C1698" t="s">
        <v>51</v>
      </c>
      <c r="D1698" t="s">
        <v>66</v>
      </c>
      <c r="F1698" s="1">
        <v>42907</v>
      </c>
      <c r="G1698" s="2">
        <v>91.8</v>
      </c>
      <c r="H1698" s="2"/>
      <c r="I1698" s="2" t="str">
        <f t="array" ref="I169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8" s="2"/>
      <c r="K1698" s="2"/>
      <c r="L1698" s="2"/>
      <c r="M1698" s="2" t="str">
        <f t="array" ref="M169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8" s="2">
        <f ca="1">INDEX(INDIRECT(_xlfn.CONCAT("weather.tbl[",N$1,"]")),MATCH(vp.data[[#This Row],[SDate]],weather.tbl[Date],0))</f>
        <v>17.766666666666666</v>
      </c>
      <c r="O1698" s="2">
        <f ca="1">INDEX(INDIRECT(_xlfn.CONCAT("weather.tbl[",O$1,"]")),MATCH(vp.data[[#This Row],[SDate]],weather.tbl[Date],0))</f>
        <v>15.328571428571427</v>
      </c>
      <c r="P1698" s="2">
        <f ca="1">INDEX(INDIRECT(_xlfn.CONCAT("weather.tbl[",P$1,"]")),MATCH(vp.data[[#This Row],[SDate]],weather.tbl[Date],0))</f>
        <v>18.5</v>
      </c>
      <c r="Q1698" s="2">
        <f ca="1">INDEX(INDIRECT(_xlfn.CONCAT("weather.tbl[",Q$1,"]")),MATCH(vp.data[[#This Row],[SDate]],weather.tbl[Date],0))</f>
        <v>18.3</v>
      </c>
      <c r="R1698" s="2">
        <f ca="1">INDEX(INDIRECT(_xlfn.CONCAT("weather.tbl[",R$1,"]")),MATCH(vp.data[[#This Row],[SDate]],weather.tbl[Date],0))</f>
        <v>17.5</v>
      </c>
      <c r="S1698" s="2">
        <f ca="1">INDEX(INDIRECT(_xlfn.CONCAT("weather.tbl[",S$1,"]")),MATCH(vp.data[[#This Row],[SDate]],weather.tbl[Date],0))</f>
        <v>16.8</v>
      </c>
      <c r="T1698" s="2">
        <f ca="1">INDEX(INDIRECT(_xlfn.CONCAT("weather.tbl[",T$1,"]")),MATCH(vp.data[[#This Row],[SDate]],weather.tbl[Date],0))</f>
        <v>19</v>
      </c>
      <c r="U1698" s="2">
        <f ca="1">INDEX(INDIRECT(_xlfn.CONCAT("weather.tbl[",U$1,"]")),MATCH(vp.data[[#This Row],[SDate]],weather.tbl[Date],0))</f>
        <v>16.5</v>
      </c>
      <c r="V1698" s="2" t="str">
        <f t="array" ref="V169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8" t="s">
        <v>48</v>
      </c>
      <c r="X1698">
        <f>IF(OR(vp.data[[#This Row],[Sulf]]="",vp.data[[#This Row],[Dens]]=""),1,0)</f>
        <v>1</v>
      </c>
      <c r="Y1698">
        <f>IF(vp.data[[#This Row],[CrudeType]]="C5+",1,0)</f>
        <v>0</v>
      </c>
      <c r="Z1698">
        <f>IF(AND(vp.data[[#This Row],[CrudeType]]="Crude",vp.data[[#This Row],[Dens]]&lt;=825,vp.data[[#This Row],[Sulf]]&gt;0.5,vp.data[[#This Row],[Unknown]]=0),1,0)</f>
        <v>0</v>
      </c>
      <c r="AA1698">
        <f>IF(AND(vp.data[[#This Row],[CrudeType]]="Crude",vp.data[[#This Row],[Dens]]&lt;=825,vp.data[[#This Row],[Sulf]]&lt;=0.5,vp.data[[#This Row],[Unknown]]=0),1,0)</f>
        <v>0</v>
      </c>
      <c r="AB169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8">
        <f>IF(AND(vp.data[[#This Row],[CrudeType]]="Crude",vp.data[[#This Row],[Dens]]&gt;825,vp.data[[#This Row],[Dens]]&lt;=900,vp.data[[#This Row],[Sulf]]&lt;=0.5,vp.data[[#This Row],[Unknown]]=0),1,0)</f>
        <v>0</v>
      </c>
      <c r="AD1698">
        <f>IF(AND(vp.data[[#This Row],[CrudeType]]="Crude",vp.data[[#This Row],[Dens]]&gt;865,vp.data[[#This Row],[Dens]]&lt;=900,vp.data[[#This Row],[Sulf]]&gt;2,vp.data[[#This Row],[Unknown]]=0),1,0)</f>
        <v>0</v>
      </c>
      <c r="AE1698">
        <f>IF(AND(vp.data[[#This Row],[CrudeType]]="Crude",vp.data[[#This Row],[Dens]]&gt;900,vp.data[[#This Row],[Sulf]]&lt;=0.5,vp.data[[#This Row],[Unknown]]=0),1,0)</f>
        <v>0</v>
      </c>
      <c r="AF1698">
        <f>IF(AND(vp.data[[#This Row],[CrudeType]]="Crude",vp.data[[#This Row],[Dens]]&gt;900,vp.data[[#This Row],[Sulf]]&lt;=0.5,vp.data[[#This Row],[Unknown]]=0),1,0)</f>
        <v>0</v>
      </c>
      <c r="AG1698" t="str">
        <f>INDEX(vp.data[[#Headers],[Unknown]:[Heavy_SW]],MATCH(1,vp.data[[#This Row],[Unknown]:[Heavy_SW]],0))</f>
        <v>Unknown</v>
      </c>
      <c r="AH1698">
        <f>INDEX([3]!crudeBD.lkup[Number],MATCH(vp.data[[#This Row],[Crude_Breakdown]],crudeBD.lkup[Crude Breakdown],0))</f>
        <v>-1</v>
      </c>
      <c r="AI1698">
        <f>MONTH(vp.data[[#This Row],[SDate]])</f>
        <v>6</v>
      </c>
      <c r="AJ1698" s="5">
        <f>(vp.data[[#This Row],[VP]]-INDEX(crudeBD.lkup[Mean_VP],MATCH(vp.data[[#This Row],[Crude_Breakdown]],crudeBD.lkup[Crude Breakdown],0)))^2</f>
        <v>322.37710584068401</v>
      </c>
      <c r="AK1698" s="5" t="e">
        <f>(vp.data[[#This Row],[Dens]]-INDEX(crudeBD.lkup[Mean_Dens],MATCH(vp.data[[#This Row],[Crude_Breakdown]],crudeBD.lkup[Crude Breakdown],0)))^2</f>
        <v>#VALUE!</v>
      </c>
      <c r="AL1698" s="5" t="e">
        <f>(vp.data[[#This Row],[Sulf]]-INDEX(crudeBD.lkup[Mean_Sulf],MATCH(vp.data[[#This Row],[Crude_Breakdown]],crudeBD.lkup[Crude Breakdown],0)))^2</f>
        <v>#VALUE!</v>
      </c>
      <c r="AM1698" s="4">
        <f>IF(AND(vp.data[[#This Row],[SDate]]&gt;=DATE(YEAR(vp.data[[#This Row],[SDate]]),5,1),vp.data[[#This Row],[SDate]]&lt;=DATE(YEAR(vp.data[[#This Row],[SDate]]),9,15)),1,0)</f>
        <v>1</v>
      </c>
      <c r="AN1698" s="4">
        <f>IF(vp.data[[#This Row],[SDate]]&lt;DATE(2016,12,1),0,1)</f>
        <v>1</v>
      </c>
      <c r="AO1698" s="4" t="str">
        <f>IFERROR(vp.data[[#This Row],[Sulf]]*vp.data[[#This Row],[Net Dens]],"")</f>
        <v/>
      </c>
      <c r="AP1698" t="str">
        <f>IFERROR(vp.data[[#This Row],[Dens]]*vp.data[[#This Row],[VolumeM3]],"")</f>
        <v/>
      </c>
      <c r="AQ1698" s="15" t="str">
        <f>IFERROR(vp.data[[#This Row],[VP]]*vp.data[[#This Row],[VolumeM3]],"")</f>
        <v/>
      </c>
    </row>
    <row r="1699" spans="1:43" x14ac:dyDescent="0.25">
      <c r="A1699">
        <v>1698</v>
      </c>
      <c r="B1699" t="s">
        <v>49</v>
      </c>
      <c r="C1699" t="s">
        <v>49</v>
      </c>
      <c r="D1699" t="s">
        <v>70</v>
      </c>
      <c r="F1699" s="1">
        <v>42907</v>
      </c>
      <c r="G1699" s="2">
        <v>69.7</v>
      </c>
      <c r="H1699" s="2"/>
      <c r="I1699" s="2" t="str">
        <f t="array" ref="I169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699" s="2"/>
      <c r="K1699" s="2"/>
      <c r="L1699" s="2"/>
      <c r="M1699" s="2" t="str">
        <f t="array" ref="M169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699" s="2">
        <f ca="1">INDEX(INDIRECT(_xlfn.CONCAT("weather.tbl[",N$1,"]")),MATCH(vp.data[[#This Row],[SDate]],weather.tbl[Date],0))</f>
        <v>17.766666666666666</v>
      </c>
      <c r="O1699" s="2">
        <f ca="1">INDEX(INDIRECT(_xlfn.CONCAT("weather.tbl[",O$1,"]")),MATCH(vp.data[[#This Row],[SDate]],weather.tbl[Date],0))</f>
        <v>15.328571428571427</v>
      </c>
      <c r="P1699" s="2">
        <f ca="1">INDEX(INDIRECT(_xlfn.CONCAT("weather.tbl[",P$1,"]")),MATCH(vp.data[[#This Row],[SDate]],weather.tbl[Date],0))</f>
        <v>18.5</v>
      </c>
      <c r="Q1699" s="2">
        <f ca="1">INDEX(INDIRECT(_xlfn.CONCAT("weather.tbl[",Q$1,"]")),MATCH(vp.data[[#This Row],[SDate]],weather.tbl[Date],0))</f>
        <v>18.3</v>
      </c>
      <c r="R1699" s="2">
        <f ca="1">INDEX(INDIRECT(_xlfn.CONCAT("weather.tbl[",R$1,"]")),MATCH(vp.data[[#This Row],[SDate]],weather.tbl[Date],0))</f>
        <v>17.5</v>
      </c>
      <c r="S1699" s="2">
        <f ca="1">INDEX(INDIRECT(_xlfn.CONCAT("weather.tbl[",S$1,"]")),MATCH(vp.data[[#This Row],[SDate]],weather.tbl[Date],0))</f>
        <v>16.8</v>
      </c>
      <c r="T1699" s="2">
        <f ca="1">INDEX(INDIRECT(_xlfn.CONCAT("weather.tbl[",T$1,"]")),MATCH(vp.data[[#This Row],[SDate]],weather.tbl[Date],0))</f>
        <v>19</v>
      </c>
      <c r="U1699" s="2">
        <f ca="1">INDEX(INDIRECT(_xlfn.CONCAT("weather.tbl[",U$1,"]")),MATCH(vp.data[[#This Row],[SDate]],weather.tbl[Date],0))</f>
        <v>16.5</v>
      </c>
      <c r="V1699" s="2" t="str">
        <f t="array" ref="V169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699" t="s">
        <v>48</v>
      </c>
      <c r="X1699">
        <f>IF(OR(vp.data[[#This Row],[Sulf]]="",vp.data[[#This Row],[Dens]]=""),1,0)</f>
        <v>1</v>
      </c>
      <c r="Y1699">
        <f>IF(vp.data[[#This Row],[CrudeType]]="C5+",1,0)</f>
        <v>0</v>
      </c>
      <c r="Z1699">
        <f>IF(AND(vp.data[[#This Row],[CrudeType]]="Crude",vp.data[[#This Row],[Dens]]&lt;=825,vp.data[[#This Row],[Sulf]]&gt;0.5,vp.data[[#This Row],[Unknown]]=0),1,0)</f>
        <v>0</v>
      </c>
      <c r="AA1699">
        <f>IF(AND(vp.data[[#This Row],[CrudeType]]="Crude",vp.data[[#This Row],[Dens]]&lt;=825,vp.data[[#This Row],[Sulf]]&lt;=0.5,vp.data[[#This Row],[Unknown]]=0),1,0)</f>
        <v>0</v>
      </c>
      <c r="AB169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699">
        <f>IF(AND(vp.data[[#This Row],[CrudeType]]="Crude",vp.data[[#This Row],[Dens]]&gt;825,vp.data[[#This Row],[Dens]]&lt;=900,vp.data[[#This Row],[Sulf]]&lt;=0.5,vp.data[[#This Row],[Unknown]]=0),1,0)</f>
        <v>0</v>
      </c>
      <c r="AD1699">
        <f>IF(AND(vp.data[[#This Row],[CrudeType]]="Crude",vp.data[[#This Row],[Dens]]&gt;865,vp.data[[#This Row],[Dens]]&lt;=900,vp.data[[#This Row],[Sulf]]&gt;2,vp.data[[#This Row],[Unknown]]=0),1,0)</f>
        <v>0</v>
      </c>
      <c r="AE1699">
        <f>IF(AND(vp.data[[#This Row],[CrudeType]]="Crude",vp.data[[#This Row],[Dens]]&gt;900,vp.data[[#This Row],[Sulf]]&lt;=0.5,vp.data[[#This Row],[Unknown]]=0),1,0)</f>
        <v>0</v>
      </c>
      <c r="AF1699">
        <f>IF(AND(vp.data[[#This Row],[CrudeType]]="Crude",vp.data[[#This Row],[Dens]]&gt;900,vp.data[[#This Row],[Sulf]]&lt;=0.5,vp.data[[#This Row],[Unknown]]=0),1,0)</f>
        <v>0</v>
      </c>
      <c r="AG1699" t="str">
        <f>INDEX(vp.data[[#Headers],[Unknown]:[Heavy_SW]],MATCH(1,vp.data[[#This Row],[Unknown]:[Heavy_SW]],0))</f>
        <v>Unknown</v>
      </c>
      <c r="AH1699">
        <f>INDEX([3]!crudeBD.lkup[Number],MATCH(vp.data[[#This Row],[Crude_Breakdown]],crudeBD.lkup[Crude Breakdown],0))</f>
        <v>-1</v>
      </c>
      <c r="AI1699">
        <f>MONTH(vp.data[[#This Row],[SDate]])</f>
        <v>6</v>
      </c>
      <c r="AJ1699" s="5">
        <f>(vp.data[[#This Row],[VP]]-INDEX(crudeBD.lkup[Mean_VP],MATCH(vp.data[[#This Row],[Crude_Breakdown]],crudeBD.lkup[Crude Breakdown],0)))^2</f>
        <v>17.182160635203342</v>
      </c>
      <c r="AK1699" s="5" t="e">
        <f>(vp.data[[#This Row],[Dens]]-INDEX(crudeBD.lkup[Mean_Dens],MATCH(vp.data[[#This Row],[Crude_Breakdown]],crudeBD.lkup[Crude Breakdown],0)))^2</f>
        <v>#VALUE!</v>
      </c>
      <c r="AL1699" s="5" t="e">
        <f>(vp.data[[#This Row],[Sulf]]-INDEX(crudeBD.lkup[Mean_Sulf],MATCH(vp.data[[#This Row],[Crude_Breakdown]],crudeBD.lkup[Crude Breakdown],0)))^2</f>
        <v>#VALUE!</v>
      </c>
      <c r="AM1699" s="4">
        <f>IF(AND(vp.data[[#This Row],[SDate]]&gt;=DATE(YEAR(vp.data[[#This Row],[SDate]]),5,1),vp.data[[#This Row],[SDate]]&lt;=DATE(YEAR(vp.data[[#This Row],[SDate]]),9,15)),1,0)</f>
        <v>1</v>
      </c>
      <c r="AN1699" s="4">
        <f>IF(vp.data[[#This Row],[SDate]]&lt;DATE(2016,12,1),0,1)</f>
        <v>1</v>
      </c>
      <c r="AO1699" s="4" t="str">
        <f>IFERROR(vp.data[[#This Row],[Sulf]]*vp.data[[#This Row],[Net Dens]],"")</f>
        <v/>
      </c>
      <c r="AP1699" t="str">
        <f>IFERROR(vp.data[[#This Row],[Dens]]*vp.data[[#This Row],[VolumeM3]],"")</f>
        <v/>
      </c>
      <c r="AQ1699" s="15" t="str">
        <f>IFERROR(vp.data[[#This Row],[VP]]*vp.data[[#This Row],[VolumeM3]],"")</f>
        <v/>
      </c>
    </row>
    <row r="1700" spans="1:43" x14ac:dyDescent="0.25">
      <c r="A1700">
        <v>1699</v>
      </c>
      <c r="B1700" t="s">
        <v>96</v>
      </c>
      <c r="C1700" t="s">
        <v>96</v>
      </c>
      <c r="D1700" t="s">
        <v>97</v>
      </c>
      <c r="F1700" s="1">
        <v>42907</v>
      </c>
      <c r="G1700" s="2">
        <v>73.599999999999994</v>
      </c>
      <c r="H1700" s="2"/>
      <c r="I1700" s="2" t="str">
        <f t="array" ref="I170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0" s="2"/>
      <c r="K1700" s="2"/>
      <c r="L1700" s="2"/>
      <c r="M1700" s="2" t="str">
        <f t="array" ref="M170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0" s="2">
        <f ca="1">INDEX(INDIRECT(_xlfn.CONCAT("weather.tbl[",N$1,"]")),MATCH(vp.data[[#This Row],[SDate]],weather.tbl[Date],0))</f>
        <v>17.766666666666666</v>
      </c>
      <c r="O1700" s="2">
        <f ca="1">INDEX(INDIRECT(_xlfn.CONCAT("weather.tbl[",O$1,"]")),MATCH(vp.data[[#This Row],[SDate]],weather.tbl[Date],0))</f>
        <v>15.328571428571427</v>
      </c>
      <c r="P1700" s="2">
        <f ca="1">INDEX(INDIRECT(_xlfn.CONCAT("weather.tbl[",P$1,"]")),MATCH(vp.data[[#This Row],[SDate]],weather.tbl[Date],0))</f>
        <v>18.5</v>
      </c>
      <c r="Q1700" s="2">
        <f ca="1">INDEX(INDIRECT(_xlfn.CONCAT("weather.tbl[",Q$1,"]")),MATCH(vp.data[[#This Row],[SDate]],weather.tbl[Date],0))</f>
        <v>18.3</v>
      </c>
      <c r="R1700" s="2">
        <f ca="1">INDEX(INDIRECT(_xlfn.CONCAT("weather.tbl[",R$1,"]")),MATCH(vp.data[[#This Row],[SDate]],weather.tbl[Date],0))</f>
        <v>17.5</v>
      </c>
      <c r="S1700" s="2">
        <f ca="1">INDEX(INDIRECT(_xlfn.CONCAT("weather.tbl[",S$1,"]")),MATCH(vp.data[[#This Row],[SDate]],weather.tbl[Date],0))</f>
        <v>16.8</v>
      </c>
      <c r="T1700" s="2">
        <f ca="1">INDEX(INDIRECT(_xlfn.CONCAT("weather.tbl[",T$1,"]")),MATCH(vp.data[[#This Row],[SDate]],weather.tbl[Date],0))</f>
        <v>19</v>
      </c>
      <c r="U1700" s="2">
        <f ca="1">INDEX(INDIRECT(_xlfn.CONCAT("weather.tbl[",U$1,"]")),MATCH(vp.data[[#This Row],[SDate]],weather.tbl[Date],0))</f>
        <v>16.5</v>
      </c>
      <c r="V1700" s="2" t="str">
        <f t="array" ref="V170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0" t="s">
        <v>48</v>
      </c>
      <c r="X1700">
        <f>IF(OR(vp.data[[#This Row],[Sulf]]="",vp.data[[#This Row],[Dens]]=""),1,0)</f>
        <v>1</v>
      </c>
      <c r="Y1700">
        <f>IF(vp.data[[#This Row],[CrudeType]]="C5+",1,0)</f>
        <v>0</v>
      </c>
      <c r="Z1700">
        <f>IF(AND(vp.data[[#This Row],[CrudeType]]="Crude",vp.data[[#This Row],[Dens]]&lt;=825,vp.data[[#This Row],[Sulf]]&gt;0.5,vp.data[[#This Row],[Unknown]]=0),1,0)</f>
        <v>0</v>
      </c>
      <c r="AA1700">
        <f>IF(AND(vp.data[[#This Row],[CrudeType]]="Crude",vp.data[[#This Row],[Dens]]&lt;=825,vp.data[[#This Row],[Sulf]]&lt;=0.5,vp.data[[#This Row],[Unknown]]=0),1,0)</f>
        <v>0</v>
      </c>
      <c r="AB170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0">
        <f>IF(AND(vp.data[[#This Row],[CrudeType]]="Crude",vp.data[[#This Row],[Dens]]&gt;825,vp.data[[#This Row],[Dens]]&lt;=900,vp.data[[#This Row],[Sulf]]&lt;=0.5,vp.data[[#This Row],[Unknown]]=0),1,0)</f>
        <v>0</v>
      </c>
      <c r="AD1700">
        <f>IF(AND(vp.data[[#This Row],[CrudeType]]="Crude",vp.data[[#This Row],[Dens]]&gt;865,vp.data[[#This Row],[Dens]]&lt;=900,vp.data[[#This Row],[Sulf]]&gt;2,vp.data[[#This Row],[Unknown]]=0),1,0)</f>
        <v>0</v>
      </c>
      <c r="AE1700">
        <f>IF(AND(vp.data[[#This Row],[CrudeType]]="Crude",vp.data[[#This Row],[Dens]]&gt;900,vp.data[[#This Row],[Sulf]]&lt;=0.5,vp.data[[#This Row],[Unknown]]=0),1,0)</f>
        <v>0</v>
      </c>
      <c r="AF1700">
        <f>IF(AND(vp.data[[#This Row],[CrudeType]]="Crude",vp.data[[#This Row],[Dens]]&gt;900,vp.data[[#This Row],[Sulf]]&lt;=0.5,vp.data[[#This Row],[Unknown]]=0),1,0)</f>
        <v>0</v>
      </c>
      <c r="AG1700" t="str">
        <f>INDEX(vp.data[[#Headers],[Unknown]:[Heavy_SW]],MATCH(1,vp.data[[#This Row],[Unknown]:[Heavy_SW]],0))</f>
        <v>Unknown</v>
      </c>
      <c r="AH1700">
        <f>INDEX([3]!crudeBD.lkup[Number],MATCH(vp.data[[#This Row],[Crude_Breakdown]],crudeBD.lkup[Crude Breakdown],0))</f>
        <v>-1</v>
      </c>
      <c r="AI1700">
        <f>MONTH(vp.data[[#This Row],[SDate]])</f>
        <v>6</v>
      </c>
      <c r="AJ1700" s="5">
        <f>(vp.data[[#This Row],[VP]]-INDEX(crudeBD.lkup[Mean_VP],MATCH(vp.data[[#This Row],[Crude_Breakdown]],crudeBD.lkup[Crude Breakdown],0)))^2</f>
        <v>6.0092142052906708E-2</v>
      </c>
      <c r="AK1700" s="5" t="e">
        <f>(vp.data[[#This Row],[Dens]]-INDEX(crudeBD.lkup[Mean_Dens],MATCH(vp.data[[#This Row],[Crude_Breakdown]],crudeBD.lkup[Crude Breakdown],0)))^2</f>
        <v>#VALUE!</v>
      </c>
      <c r="AL1700" s="5" t="e">
        <f>(vp.data[[#This Row],[Sulf]]-INDEX(crudeBD.lkup[Mean_Sulf],MATCH(vp.data[[#This Row],[Crude_Breakdown]],crudeBD.lkup[Crude Breakdown],0)))^2</f>
        <v>#VALUE!</v>
      </c>
      <c r="AM1700" s="4">
        <f>IF(AND(vp.data[[#This Row],[SDate]]&gt;=DATE(YEAR(vp.data[[#This Row],[SDate]]),5,1),vp.data[[#This Row],[SDate]]&lt;=DATE(YEAR(vp.data[[#This Row],[SDate]]),9,15)),1,0)</f>
        <v>1</v>
      </c>
      <c r="AN1700" s="4">
        <f>IF(vp.data[[#This Row],[SDate]]&lt;DATE(2016,12,1),0,1)</f>
        <v>1</v>
      </c>
      <c r="AO1700" s="4" t="str">
        <f>IFERROR(vp.data[[#This Row],[Sulf]]*vp.data[[#This Row],[Net Dens]],"")</f>
        <v/>
      </c>
      <c r="AP1700" t="str">
        <f>IFERROR(vp.data[[#This Row],[Dens]]*vp.data[[#This Row],[VolumeM3]],"")</f>
        <v/>
      </c>
      <c r="AQ1700" s="15" t="str">
        <f>IFERROR(vp.data[[#This Row],[VP]]*vp.data[[#This Row],[VolumeM3]],"")</f>
        <v/>
      </c>
    </row>
    <row r="1701" spans="1:43" x14ac:dyDescent="0.25">
      <c r="A1701">
        <v>1700</v>
      </c>
      <c r="B1701" t="s">
        <v>60</v>
      </c>
      <c r="C1701" t="s">
        <v>60</v>
      </c>
      <c r="D1701" t="s">
        <v>61</v>
      </c>
      <c r="E1701" t="s">
        <v>289</v>
      </c>
      <c r="F1701" s="1">
        <v>42907</v>
      </c>
      <c r="G1701" s="2">
        <v>86.6</v>
      </c>
      <c r="H1701" s="2"/>
      <c r="I1701" s="2" t="str">
        <f t="array" ref="I170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1" s="2"/>
      <c r="K1701" s="2"/>
      <c r="L1701" s="2"/>
      <c r="M1701" s="2" t="str">
        <f t="array" ref="M170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1" s="2">
        <f ca="1">INDEX(INDIRECT(_xlfn.CONCAT("weather.tbl[",N$1,"]")),MATCH(vp.data[[#This Row],[SDate]],weather.tbl[Date],0))</f>
        <v>17.766666666666666</v>
      </c>
      <c r="O1701" s="2">
        <f ca="1">INDEX(INDIRECT(_xlfn.CONCAT("weather.tbl[",O$1,"]")),MATCH(vp.data[[#This Row],[SDate]],weather.tbl[Date],0))</f>
        <v>15.328571428571427</v>
      </c>
      <c r="P1701" s="2">
        <f ca="1">INDEX(INDIRECT(_xlfn.CONCAT("weather.tbl[",P$1,"]")),MATCH(vp.data[[#This Row],[SDate]],weather.tbl[Date],0))</f>
        <v>18.5</v>
      </c>
      <c r="Q1701" s="2">
        <f ca="1">INDEX(INDIRECT(_xlfn.CONCAT("weather.tbl[",Q$1,"]")),MATCH(vp.data[[#This Row],[SDate]],weather.tbl[Date],0))</f>
        <v>18.3</v>
      </c>
      <c r="R1701" s="2">
        <f ca="1">INDEX(INDIRECT(_xlfn.CONCAT("weather.tbl[",R$1,"]")),MATCH(vp.data[[#This Row],[SDate]],weather.tbl[Date],0))</f>
        <v>17.5</v>
      </c>
      <c r="S1701" s="2">
        <f ca="1">INDEX(INDIRECT(_xlfn.CONCAT("weather.tbl[",S$1,"]")),MATCH(vp.data[[#This Row],[SDate]],weather.tbl[Date],0))</f>
        <v>16.8</v>
      </c>
      <c r="T1701" s="2">
        <f ca="1">INDEX(INDIRECT(_xlfn.CONCAT("weather.tbl[",T$1,"]")),MATCH(vp.data[[#This Row],[SDate]],weather.tbl[Date],0))</f>
        <v>19</v>
      </c>
      <c r="U1701" s="2">
        <f ca="1">INDEX(INDIRECT(_xlfn.CONCAT("weather.tbl[",U$1,"]")),MATCH(vp.data[[#This Row],[SDate]],weather.tbl[Date],0))</f>
        <v>16.5</v>
      </c>
      <c r="V1701" s="2" t="str">
        <f t="array" ref="V170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1" t="s">
        <v>48</v>
      </c>
      <c r="X1701">
        <f>IF(OR(vp.data[[#This Row],[Sulf]]="",vp.data[[#This Row],[Dens]]=""),1,0)</f>
        <v>1</v>
      </c>
      <c r="Y1701">
        <f>IF(vp.data[[#This Row],[CrudeType]]="C5+",1,0)</f>
        <v>0</v>
      </c>
      <c r="Z1701">
        <f>IF(AND(vp.data[[#This Row],[CrudeType]]="Crude",vp.data[[#This Row],[Dens]]&lt;=825,vp.data[[#This Row],[Sulf]]&gt;0.5,vp.data[[#This Row],[Unknown]]=0),1,0)</f>
        <v>0</v>
      </c>
      <c r="AA1701">
        <f>IF(AND(vp.data[[#This Row],[CrudeType]]="Crude",vp.data[[#This Row],[Dens]]&lt;=825,vp.data[[#This Row],[Sulf]]&lt;=0.5,vp.data[[#This Row],[Unknown]]=0),1,0)</f>
        <v>0</v>
      </c>
      <c r="AB170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1">
        <f>IF(AND(vp.data[[#This Row],[CrudeType]]="Crude",vp.data[[#This Row],[Dens]]&gt;825,vp.data[[#This Row],[Dens]]&lt;=900,vp.data[[#This Row],[Sulf]]&lt;=0.5,vp.data[[#This Row],[Unknown]]=0),1,0)</f>
        <v>0</v>
      </c>
      <c r="AD1701">
        <f>IF(AND(vp.data[[#This Row],[CrudeType]]="Crude",vp.data[[#This Row],[Dens]]&gt;865,vp.data[[#This Row],[Dens]]&lt;=900,vp.data[[#This Row],[Sulf]]&gt;2,vp.data[[#This Row],[Unknown]]=0),1,0)</f>
        <v>0</v>
      </c>
      <c r="AE1701">
        <f>IF(AND(vp.data[[#This Row],[CrudeType]]="Crude",vp.data[[#This Row],[Dens]]&gt;900,vp.data[[#This Row],[Sulf]]&lt;=0.5,vp.data[[#This Row],[Unknown]]=0),1,0)</f>
        <v>0</v>
      </c>
      <c r="AF1701">
        <f>IF(AND(vp.data[[#This Row],[CrudeType]]="Crude",vp.data[[#This Row],[Dens]]&gt;900,vp.data[[#This Row],[Sulf]]&lt;=0.5,vp.data[[#This Row],[Unknown]]=0),1,0)</f>
        <v>0</v>
      </c>
      <c r="AG1701" t="str">
        <f>INDEX(vp.data[[#Headers],[Unknown]:[Heavy_SW]],MATCH(1,vp.data[[#This Row],[Unknown]:[Heavy_SW]],0))</f>
        <v>Unknown</v>
      </c>
      <c r="AH1701">
        <f>INDEX([3]!crudeBD.lkup[Number],MATCH(vp.data[[#This Row],[Crude_Breakdown]],crudeBD.lkup[Crude Breakdown],0))</f>
        <v>-1</v>
      </c>
      <c r="AI1701">
        <f>MONTH(vp.data[[#This Row],[SDate]])</f>
        <v>6</v>
      </c>
      <c r="AJ1701" s="5">
        <f>(vp.data[[#This Row],[VP]]-INDEX(crudeBD.lkup[Mean_VP],MATCH(vp.data[[#This Row],[Crude_Breakdown]],crudeBD.lkup[Crude Breakdown],0)))^2</f>
        <v>162.68653049821788</v>
      </c>
      <c r="AK1701" s="5" t="e">
        <f>(vp.data[[#This Row],[Dens]]-INDEX(crudeBD.lkup[Mean_Dens],MATCH(vp.data[[#This Row],[Crude_Breakdown]],crudeBD.lkup[Crude Breakdown],0)))^2</f>
        <v>#VALUE!</v>
      </c>
      <c r="AL1701" s="5" t="e">
        <f>(vp.data[[#This Row],[Sulf]]-INDEX(crudeBD.lkup[Mean_Sulf],MATCH(vp.data[[#This Row],[Crude_Breakdown]],crudeBD.lkup[Crude Breakdown],0)))^2</f>
        <v>#VALUE!</v>
      </c>
      <c r="AM1701" s="4">
        <f>IF(AND(vp.data[[#This Row],[SDate]]&gt;=DATE(YEAR(vp.data[[#This Row],[SDate]]),5,1),vp.data[[#This Row],[SDate]]&lt;=DATE(YEAR(vp.data[[#This Row],[SDate]]),9,15)),1,0)</f>
        <v>1</v>
      </c>
      <c r="AN1701" s="4">
        <f>IF(vp.data[[#This Row],[SDate]]&lt;DATE(2016,12,1),0,1)</f>
        <v>1</v>
      </c>
      <c r="AO1701" s="4" t="str">
        <f>IFERROR(vp.data[[#This Row],[Sulf]]*vp.data[[#This Row],[Net Dens]],"")</f>
        <v/>
      </c>
      <c r="AP1701" t="str">
        <f>IFERROR(vp.data[[#This Row],[Dens]]*vp.data[[#This Row],[VolumeM3]],"")</f>
        <v/>
      </c>
      <c r="AQ1701" s="15" t="str">
        <f>IFERROR(vp.data[[#This Row],[VP]]*vp.data[[#This Row],[VolumeM3]],"")</f>
        <v/>
      </c>
    </row>
    <row r="1702" spans="1:43" x14ac:dyDescent="0.25">
      <c r="A1702">
        <v>1701</v>
      </c>
      <c r="B1702" t="s">
        <v>60</v>
      </c>
      <c r="C1702" t="s">
        <v>60</v>
      </c>
      <c r="D1702" t="s">
        <v>61</v>
      </c>
      <c r="E1702" t="s">
        <v>290</v>
      </c>
      <c r="F1702" s="1">
        <v>42907</v>
      </c>
      <c r="G1702" s="2">
        <v>68.599999999999994</v>
      </c>
      <c r="H1702" s="2"/>
      <c r="I1702" s="2" t="str">
        <f t="array" ref="I170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2" s="2"/>
      <c r="K1702" s="2"/>
      <c r="L1702" s="2"/>
      <c r="M1702" s="2" t="str">
        <f t="array" ref="M170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2" s="2">
        <f ca="1">INDEX(INDIRECT(_xlfn.CONCAT("weather.tbl[",N$1,"]")),MATCH(vp.data[[#This Row],[SDate]],weather.tbl[Date],0))</f>
        <v>17.766666666666666</v>
      </c>
      <c r="O1702" s="2">
        <f ca="1">INDEX(INDIRECT(_xlfn.CONCAT("weather.tbl[",O$1,"]")),MATCH(vp.data[[#This Row],[SDate]],weather.tbl[Date],0))</f>
        <v>15.328571428571427</v>
      </c>
      <c r="P1702" s="2">
        <f ca="1">INDEX(INDIRECT(_xlfn.CONCAT("weather.tbl[",P$1,"]")),MATCH(vp.data[[#This Row],[SDate]],weather.tbl[Date],0))</f>
        <v>18.5</v>
      </c>
      <c r="Q1702" s="2">
        <f ca="1">INDEX(INDIRECT(_xlfn.CONCAT("weather.tbl[",Q$1,"]")),MATCH(vp.data[[#This Row],[SDate]],weather.tbl[Date],0))</f>
        <v>18.3</v>
      </c>
      <c r="R1702" s="2">
        <f ca="1">INDEX(INDIRECT(_xlfn.CONCAT("weather.tbl[",R$1,"]")),MATCH(vp.data[[#This Row],[SDate]],weather.tbl[Date],0))</f>
        <v>17.5</v>
      </c>
      <c r="S1702" s="2">
        <f ca="1">INDEX(INDIRECT(_xlfn.CONCAT("weather.tbl[",S$1,"]")),MATCH(vp.data[[#This Row],[SDate]],weather.tbl[Date],0))</f>
        <v>16.8</v>
      </c>
      <c r="T1702" s="2">
        <f ca="1">INDEX(INDIRECT(_xlfn.CONCAT("weather.tbl[",T$1,"]")),MATCH(vp.data[[#This Row],[SDate]],weather.tbl[Date],0))</f>
        <v>19</v>
      </c>
      <c r="U1702" s="2">
        <f ca="1">INDEX(INDIRECT(_xlfn.CONCAT("weather.tbl[",U$1,"]")),MATCH(vp.data[[#This Row],[SDate]],weather.tbl[Date],0))</f>
        <v>16.5</v>
      </c>
      <c r="V1702" s="2" t="str">
        <f t="array" ref="V170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2" t="s">
        <v>48</v>
      </c>
      <c r="X1702">
        <f>IF(OR(vp.data[[#This Row],[Sulf]]="",vp.data[[#This Row],[Dens]]=""),1,0)</f>
        <v>1</v>
      </c>
      <c r="Y1702">
        <f>IF(vp.data[[#This Row],[CrudeType]]="C5+",1,0)</f>
        <v>0</v>
      </c>
      <c r="Z1702">
        <f>IF(AND(vp.data[[#This Row],[CrudeType]]="Crude",vp.data[[#This Row],[Dens]]&lt;=825,vp.data[[#This Row],[Sulf]]&gt;0.5,vp.data[[#This Row],[Unknown]]=0),1,0)</f>
        <v>0</v>
      </c>
      <c r="AA1702">
        <f>IF(AND(vp.data[[#This Row],[CrudeType]]="Crude",vp.data[[#This Row],[Dens]]&lt;=825,vp.data[[#This Row],[Sulf]]&lt;=0.5,vp.data[[#This Row],[Unknown]]=0),1,0)</f>
        <v>0</v>
      </c>
      <c r="AB170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2">
        <f>IF(AND(vp.data[[#This Row],[CrudeType]]="Crude",vp.data[[#This Row],[Dens]]&gt;825,vp.data[[#This Row],[Dens]]&lt;=900,vp.data[[#This Row],[Sulf]]&lt;=0.5,vp.data[[#This Row],[Unknown]]=0),1,0)</f>
        <v>0</v>
      </c>
      <c r="AD1702">
        <f>IF(AND(vp.data[[#This Row],[CrudeType]]="Crude",vp.data[[#This Row],[Dens]]&gt;865,vp.data[[#This Row],[Dens]]&lt;=900,vp.data[[#This Row],[Sulf]]&gt;2,vp.data[[#This Row],[Unknown]]=0),1,0)</f>
        <v>0</v>
      </c>
      <c r="AE1702">
        <f>IF(AND(vp.data[[#This Row],[CrudeType]]="Crude",vp.data[[#This Row],[Dens]]&gt;900,vp.data[[#This Row],[Sulf]]&lt;=0.5,vp.data[[#This Row],[Unknown]]=0),1,0)</f>
        <v>0</v>
      </c>
      <c r="AF1702">
        <f>IF(AND(vp.data[[#This Row],[CrudeType]]="Crude",vp.data[[#This Row],[Dens]]&gt;900,vp.data[[#This Row],[Sulf]]&lt;=0.5,vp.data[[#This Row],[Unknown]]=0),1,0)</f>
        <v>0</v>
      </c>
      <c r="AG1702" t="str">
        <f>INDEX(vp.data[[#Headers],[Unknown]:[Heavy_SW]],MATCH(1,vp.data[[#This Row],[Unknown]:[Heavy_SW]],0))</f>
        <v>Unknown</v>
      </c>
      <c r="AH1702">
        <f>INDEX([3]!crudeBD.lkup[Number],MATCH(vp.data[[#This Row],[Crude_Breakdown]],crudeBD.lkup[Crude Breakdown],0))</f>
        <v>-1</v>
      </c>
      <c r="AI1702">
        <f>MONTH(vp.data[[#This Row],[SDate]])</f>
        <v>6</v>
      </c>
      <c r="AJ1702" s="5">
        <f>(vp.data[[#This Row],[VP]]-INDEX(crudeBD.lkup[Mean_VP],MATCH(vp.data[[#This Row],[Crude_Breakdown]],crudeBD.lkup[Crude Breakdown],0)))^2</f>
        <v>27.511462005066374</v>
      </c>
      <c r="AK1702" s="5" t="e">
        <f>(vp.data[[#This Row],[Dens]]-INDEX(crudeBD.lkup[Mean_Dens],MATCH(vp.data[[#This Row],[Crude_Breakdown]],crudeBD.lkup[Crude Breakdown],0)))^2</f>
        <v>#VALUE!</v>
      </c>
      <c r="AL1702" s="5" t="e">
        <f>(vp.data[[#This Row],[Sulf]]-INDEX(crudeBD.lkup[Mean_Sulf],MATCH(vp.data[[#This Row],[Crude_Breakdown]],crudeBD.lkup[Crude Breakdown],0)))^2</f>
        <v>#VALUE!</v>
      </c>
      <c r="AM1702" s="4">
        <f>IF(AND(vp.data[[#This Row],[SDate]]&gt;=DATE(YEAR(vp.data[[#This Row],[SDate]]),5,1),vp.data[[#This Row],[SDate]]&lt;=DATE(YEAR(vp.data[[#This Row],[SDate]]),9,15)),1,0)</f>
        <v>1</v>
      </c>
      <c r="AN1702" s="4">
        <f>IF(vp.data[[#This Row],[SDate]]&lt;DATE(2016,12,1),0,1)</f>
        <v>1</v>
      </c>
      <c r="AO1702" s="4" t="str">
        <f>IFERROR(vp.data[[#This Row],[Sulf]]*vp.data[[#This Row],[Net Dens]],"")</f>
        <v/>
      </c>
      <c r="AP1702" t="str">
        <f>IFERROR(vp.data[[#This Row],[Dens]]*vp.data[[#This Row],[VolumeM3]],"")</f>
        <v/>
      </c>
      <c r="AQ1702" s="15" t="str">
        <f>IFERROR(vp.data[[#This Row],[VP]]*vp.data[[#This Row],[VolumeM3]],"")</f>
        <v/>
      </c>
    </row>
    <row r="1703" spans="1:43" x14ac:dyDescent="0.25">
      <c r="A1703">
        <v>1702</v>
      </c>
      <c r="B1703" t="s">
        <v>49</v>
      </c>
      <c r="C1703" t="s">
        <v>49</v>
      </c>
      <c r="D1703" t="s">
        <v>89</v>
      </c>
      <c r="F1703" s="1">
        <v>42912</v>
      </c>
      <c r="G1703" s="2">
        <v>79.3</v>
      </c>
      <c r="H1703" s="2"/>
      <c r="I1703" s="2" t="str">
        <f t="array" ref="I170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3" s="2"/>
      <c r="K1703" s="2"/>
      <c r="L1703" s="2"/>
      <c r="M1703" s="2" t="str">
        <f t="array" ref="M170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3" s="2">
        <f ca="1">INDEX(INDIRECT(_xlfn.CONCAT("weather.tbl[",N$1,"]")),MATCH(vp.data[[#This Row],[SDate]],weather.tbl[Date],0))</f>
        <v>14.1</v>
      </c>
      <c r="O1703" s="2">
        <f ca="1">INDEX(INDIRECT(_xlfn.CONCAT("weather.tbl[",O$1,"]")),MATCH(vp.data[[#This Row],[SDate]],weather.tbl[Date],0))</f>
        <v>13.778571428571427</v>
      </c>
      <c r="P1703" s="2">
        <f ca="1">INDEX(INDIRECT(_xlfn.CONCAT("weather.tbl[",P$1,"]")),MATCH(vp.data[[#This Row],[SDate]],weather.tbl[Date],0))</f>
        <v>15.2</v>
      </c>
      <c r="Q1703" s="2">
        <f ca="1">INDEX(INDIRECT(_xlfn.CONCAT("weather.tbl[",Q$1,"]")),MATCH(vp.data[[#This Row],[SDate]],weather.tbl[Date],0))</f>
        <v>15.3</v>
      </c>
      <c r="R1703" s="2">
        <f ca="1">INDEX(INDIRECT(_xlfn.CONCAT("weather.tbl[",R$1,"]")),MATCH(vp.data[[#This Row],[SDate]],weather.tbl[Date],0))</f>
        <v>12.3</v>
      </c>
      <c r="S1703" s="2">
        <f ca="1">INDEX(INDIRECT(_xlfn.CONCAT("weather.tbl[",S$1,"]")),MATCH(vp.data[[#This Row],[SDate]],weather.tbl[Date],0))</f>
        <v>15</v>
      </c>
      <c r="T1703" s="2">
        <f ca="1">INDEX(INDIRECT(_xlfn.CONCAT("weather.tbl[",T$1,"]")),MATCH(vp.data[[#This Row],[SDate]],weather.tbl[Date],0))</f>
        <v>13</v>
      </c>
      <c r="U1703" s="2">
        <f ca="1">INDEX(INDIRECT(_xlfn.CONCAT("weather.tbl[",U$1,"]")),MATCH(vp.data[[#This Row],[SDate]],weather.tbl[Date],0))</f>
        <v>13.8</v>
      </c>
      <c r="V1703" s="2" t="str">
        <f t="array" ref="V170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3" t="s">
        <v>48</v>
      </c>
      <c r="X1703">
        <f>IF(OR(vp.data[[#This Row],[Sulf]]="",vp.data[[#This Row],[Dens]]=""),1,0)</f>
        <v>1</v>
      </c>
      <c r="Y1703">
        <f>IF(vp.data[[#This Row],[CrudeType]]="C5+",1,0)</f>
        <v>0</v>
      </c>
      <c r="Z1703">
        <f>IF(AND(vp.data[[#This Row],[CrudeType]]="Crude",vp.data[[#This Row],[Dens]]&lt;=825,vp.data[[#This Row],[Sulf]]&gt;0.5,vp.data[[#This Row],[Unknown]]=0),1,0)</f>
        <v>0</v>
      </c>
      <c r="AA1703">
        <f>IF(AND(vp.data[[#This Row],[CrudeType]]="Crude",vp.data[[#This Row],[Dens]]&lt;=825,vp.data[[#This Row],[Sulf]]&lt;=0.5,vp.data[[#This Row],[Unknown]]=0),1,0)</f>
        <v>0</v>
      </c>
      <c r="AB170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3">
        <f>IF(AND(vp.data[[#This Row],[CrudeType]]="Crude",vp.data[[#This Row],[Dens]]&gt;825,vp.data[[#This Row],[Dens]]&lt;=900,vp.data[[#This Row],[Sulf]]&lt;=0.5,vp.data[[#This Row],[Unknown]]=0),1,0)</f>
        <v>0</v>
      </c>
      <c r="AD1703">
        <f>IF(AND(vp.data[[#This Row],[CrudeType]]="Crude",vp.data[[#This Row],[Dens]]&gt;865,vp.data[[#This Row],[Dens]]&lt;=900,vp.data[[#This Row],[Sulf]]&gt;2,vp.data[[#This Row],[Unknown]]=0),1,0)</f>
        <v>0</v>
      </c>
      <c r="AE1703">
        <f>IF(AND(vp.data[[#This Row],[CrudeType]]="Crude",vp.data[[#This Row],[Dens]]&gt;900,vp.data[[#This Row],[Sulf]]&lt;=0.5,vp.data[[#This Row],[Unknown]]=0),1,0)</f>
        <v>0</v>
      </c>
      <c r="AF1703">
        <f>IF(AND(vp.data[[#This Row],[CrudeType]]="Crude",vp.data[[#This Row],[Dens]]&gt;900,vp.data[[#This Row],[Sulf]]&lt;=0.5,vp.data[[#This Row],[Unknown]]=0),1,0)</f>
        <v>0</v>
      </c>
      <c r="AG1703" t="str">
        <f>INDEX(vp.data[[#Headers],[Unknown]:[Heavy_SW]],MATCH(1,vp.data[[#This Row],[Unknown]:[Heavy_SW]],0))</f>
        <v>Unknown</v>
      </c>
      <c r="AH1703">
        <f>INDEX([3]!crudeBD.lkup[Number],MATCH(vp.data[[#This Row],[Crude_Breakdown]],crudeBD.lkup[Crude Breakdown],0))</f>
        <v>-1</v>
      </c>
      <c r="AI1703">
        <f>MONTH(vp.data[[#This Row],[SDate]])</f>
        <v>6</v>
      </c>
      <c r="AJ1703" s="5">
        <f>(vp.data[[#This Row],[VP]]-INDEX(crudeBD.lkup[Mean_VP],MATCH(vp.data[[#This Row],[Crude_Breakdown]],crudeBD.lkup[Crude Breakdown],0)))^2</f>
        <v>29.755530498217585</v>
      </c>
      <c r="AK1703" s="5" t="e">
        <f>(vp.data[[#This Row],[Dens]]-INDEX(crudeBD.lkup[Mean_Dens],MATCH(vp.data[[#This Row],[Crude_Breakdown]],crudeBD.lkup[Crude Breakdown],0)))^2</f>
        <v>#VALUE!</v>
      </c>
      <c r="AL1703" s="5" t="e">
        <f>(vp.data[[#This Row],[Sulf]]-INDEX(crudeBD.lkup[Mean_Sulf],MATCH(vp.data[[#This Row],[Crude_Breakdown]],crudeBD.lkup[Crude Breakdown],0)))^2</f>
        <v>#VALUE!</v>
      </c>
      <c r="AM1703" s="4">
        <f>IF(AND(vp.data[[#This Row],[SDate]]&gt;=DATE(YEAR(vp.data[[#This Row],[SDate]]),5,1),vp.data[[#This Row],[SDate]]&lt;=DATE(YEAR(vp.data[[#This Row],[SDate]]),9,15)),1,0)</f>
        <v>1</v>
      </c>
      <c r="AN1703" s="4">
        <f>IF(vp.data[[#This Row],[SDate]]&lt;DATE(2016,12,1),0,1)</f>
        <v>1</v>
      </c>
      <c r="AO1703" s="4" t="str">
        <f>IFERROR(vp.data[[#This Row],[Sulf]]*vp.data[[#This Row],[Net Dens]],"")</f>
        <v/>
      </c>
      <c r="AP1703" t="str">
        <f>IFERROR(vp.data[[#This Row],[Dens]]*vp.data[[#This Row],[VolumeM3]],"")</f>
        <v/>
      </c>
      <c r="AQ1703" s="15" t="str">
        <f>IFERROR(vp.data[[#This Row],[VP]]*vp.data[[#This Row],[VolumeM3]],"")</f>
        <v/>
      </c>
    </row>
    <row r="1704" spans="1:43" x14ac:dyDescent="0.25">
      <c r="A1704">
        <v>1703</v>
      </c>
      <c r="B1704" t="s">
        <v>49</v>
      </c>
      <c r="C1704" t="s">
        <v>49</v>
      </c>
      <c r="D1704" t="s">
        <v>67</v>
      </c>
      <c r="F1704" s="1">
        <v>42912</v>
      </c>
      <c r="G1704" s="2">
        <v>83.7</v>
      </c>
      <c r="H1704" s="2"/>
      <c r="I1704" s="2" t="str">
        <f t="array" ref="I170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4" s="2"/>
      <c r="K1704" s="2"/>
      <c r="L1704" s="2"/>
      <c r="M1704" s="2" t="str">
        <f t="array" ref="M170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4" s="2">
        <f ca="1">INDEX(INDIRECT(_xlfn.CONCAT("weather.tbl[",N$1,"]")),MATCH(vp.data[[#This Row],[SDate]],weather.tbl[Date],0))</f>
        <v>14.1</v>
      </c>
      <c r="O1704" s="2">
        <f ca="1">INDEX(INDIRECT(_xlfn.CONCAT("weather.tbl[",O$1,"]")),MATCH(vp.data[[#This Row],[SDate]],weather.tbl[Date],0))</f>
        <v>13.778571428571427</v>
      </c>
      <c r="P1704" s="2">
        <f ca="1">INDEX(INDIRECT(_xlfn.CONCAT("weather.tbl[",P$1,"]")),MATCH(vp.data[[#This Row],[SDate]],weather.tbl[Date],0))</f>
        <v>15.2</v>
      </c>
      <c r="Q1704" s="2">
        <f ca="1">INDEX(INDIRECT(_xlfn.CONCAT("weather.tbl[",Q$1,"]")),MATCH(vp.data[[#This Row],[SDate]],weather.tbl[Date],0))</f>
        <v>15.3</v>
      </c>
      <c r="R1704" s="2">
        <f ca="1">INDEX(INDIRECT(_xlfn.CONCAT("weather.tbl[",R$1,"]")),MATCH(vp.data[[#This Row],[SDate]],weather.tbl[Date],0))</f>
        <v>12.3</v>
      </c>
      <c r="S1704" s="2">
        <f ca="1">INDEX(INDIRECT(_xlfn.CONCAT("weather.tbl[",S$1,"]")),MATCH(vp.data[[#This Row],[SDate]],weather.tbl[Date],0))</f>
        <v>15</v>
      </c>
      <c r="T1704" s="2">
        <f ca="1">INDEX(INDIRECT(_xlfn.CONCAT("weather.tbl[",T$1,"]")),MATCH(vp.data[[#This Row],[SDate]],weather.tbl[Date],0))</f>
        <v>13</v>
      </c>
      <c r="U1704" s="2">
        <f ca="1">INDEX(INDIRECT(_xlfn.CONCAT("weather.tbl[",U$1,"]")),MATCH(vp.data[[#This Row],[SDate]],weather.tbl[Date],0))</f>
        <v>13.8</v>
      </c>
      <c r="V1704" s="2" t="str">
        <f t="array" ref="V170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4" t="s">
        <v>48</v>
      </c>
      <c r="X1704">
        <f>IF(OR(vp.data[[#This Row],[Sulf]]="",vp.data[[#This Row],[Dens]]=""),1,0)</f>
        <v>1</v>
      </c>
      <c r="Y1704">
        <f>IF(vp.data[[#This Row],[CrudeType]]="C5+",1,0)</f>
        <v>0</v>
      </c>
      <c r="Z1704">
        <f>IF(AND(vp.data[[#This Row],[CrudeType]]="Crude",vp.data[[#This Row],[Dens]]&lt;=825,vp.data[[#This Row],[Sulf]]&gt;0.5,vp.data[[#This Row],[Unknown]]=0),1,0)</f>
        <v>0</v>
      </c>
      <c r="AA1704">
        <f>IF(AND(vp.data[[#This Row],[CrudeType]]="Crude",vp.data[[#This Row],[Dens]]&lt;=825,vp.data[[#This Row],[Sulf]]&lt;=0.5,vp.data[[#This Row],[Unknown]]=0),1,0)</f>
        <v>0</v>
      </c>
      <c r="AB170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4">
        <f>IF(AND(vp.data[[#This Row],[CrudeType]]="Crude",vp.data[[#This Row],[Dens]]&gt;825,vp.data[[#This Row],[Dens]]&lt;=900,vp.data[[#This Row],[Sulf]]&lt;=0.5,vp.data[[#This Row],[Unknown]]=0),1,0)</f>
        <v>0</v>
      </c>
      <c r="AD1704">
        <f>IF(AND(vp.data[[#This Row],[CrudeType]]="Crude",vp.data[[#This Row],[Dens]]&gt;865,vp.data[[#This Row],[Dens]]&lt;=900,vp.data[[#This Row],[Sulf]]&gt;2,vp.data[[#This Row],[Unknown]]=0),1,0)</f>
        <v>0</v>
      </c>
      <c r="AE1704">
        <f>IF(AND(vp.data[[#This Row],[CrudeType]]="Crude",vp.data[[#This Row],[Dens]]&gt;900,vp.data[[#This Row],[Sulf]]&lt;=0.5,vp.data[[#This Row],[Unknown]]=0),1,0)</f>
        <v>0</v>
      </c>
      <c r="AF1704">
        <f>IF(AND(vp.data[[#This Row],[CrudeType]]="Crude",vp.data[[#This Row],[Dens]]&gt;900,vp.data[[#This Row],[Sulf]]&lt;=0.5,vp.data[[#This Row],[Unknown]]=0),1,0)</f>
        <v>0</v>
      </c>
      <c r="AG1704" t="str">
        <f>INDEX(vp.data[[#Headers],[Unknown]:[Heavy_SW]],MATCH(1,vp.data[[#This Row],[Unknown]:[Heavy_SW]],0))</f>
        <v>Unknown</v>
      </c>
      <c r="AH1704">
        <f>INDEX([3]!crudeBD.lkup[Number],MATCH(vp.data[[#This Row],[Crude_Breakdown]],crudeBD.lkup[Crude Breakdown],0))</f>
        <v>-1</v>
      </c>
      <c r="AI1704">
        <f>MONTH(vp.data[[#This Row],[SDate]])</f>
        <v>6</v>
      </c>
      <c r="AJ1704" s="5">
        <f>(vp.data[[#This Row],[VP]]-INDEX(crudeBD.lkup[Mean_VP],MATCH(vp.data[[#This Row],[Crude_Breakdown]],crudeBD.lkup[Crude Breakdown],0)))^2</f>
        <v>97.118325018765873</v>
      </c>
      <c r="AK1704" s="5" t="e">
        <f>(vp.data[[#This Row],[Dens]]-INDEX(crudeBD.lkup[Mean_Dens],MATCH(vp.data[[#This Row],[Crude_Breakdown]],crudeBD.lkup[Crude Breakdown],0)))^2</f>
        <v>#VALUE!</v>
      </c>
      <c r="AL1704" s="5" t="e">
        <f>(vp.data[[#This Row],[Sulf]]-INDEX(crudeBD.lkup[Mean_Sulf],MATCH(vp.data[[#This Row],[Crude_Breakdown]],crudeBD.lkup[Crude Breakdown],0)))^2</f>
        <v>#VALUE!</v>
      </c>
      <c r="AM1704" s="4">
        <f>IF(AND(vp.data[[#This Row],[SDate]]&gt;=DATE(YEAR(vp.data[[#This Row],[SDate]]),5,1),vp.data[[#This Row],[SDate]]&lt;=DATE(YEAR(vp.data[[#This Row],[SDate]]),9,15)),1,0)</f>
        <v>1</v>
      </c>
      <c r="AN1704" s="4">
        <f>IF(vp.data[[#This Row],[SDate]]&lt;DATE(2016,12,1),0,1)</f>
        <v>1</v>
      </c>
      <c r="AO1704" s="4" t="str">
        <f>IFERROR(vp.data[[#This Row],[Sulf]]*vp.data[[#This Row],[Net Dens]],"")</f>
        <v/>
      </c>
      <c r="AP1704" t="str">
        <f>IFERROR(vp.data[[#This Row],[Dens]]*vp.data[[#This Row],[VolumeM3]],"")</f>
        <v/>
      </c>
      <c r="AQ1704" s="15" t="str">
        <f>IFERROR(vp.data[[#This Row],[VP]]*vp.data[[#This Row],[VolumeM3]],"")</f>
        <v/>
      </c>
    </row>
    <row r="1705" spans="1:43" x14ac:dyDescent="0.25">
      <c r="A1705">
        <v>1704</v>
      </c>
      <c r="B1705" t="s">
        <v>49</v>
      </c>
      <c r="C1705" t="s">
        <v>49</v>
      </c>
      <c r="D1705" t="s">
        <v>80</v>
      </c>
      <c r="F1705" s="1">
        <v>42912</v>
      </c>
      <c r="G1705" s="2">
        <v>78.5</v>
      </c>
      <c r="H1705" s="2"/>
      <c r="I1705" s="2" t="str">
        <f t="array" ref="I170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5" s="2"/>
      <c r="K1705" s="2"/>
      <c r="L1705" s="2"/>
      <c r="M1705" s="2" t="str">
        <f t="array" ref="M170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5" s="2">
        <f ca="1">INDEX(INDIRECT(_xlfn.CONCAT("weather.tbl[",N$1,"]")),MATCH(vp.data[[#This Row],[SDate]],weather.tbl[Date],0))</f>
        <v>14.1</v>
      </c>
      <c r="O1705" s="2">
        <f ca="1">INDEX(INDIRECT(_xlfn.CONCAT("weather.tbl[",O$1,"]")),MATCH(vp.data[[#This Row],[SDate]],weather.tbl[Date],0))</f>
        <v>13.778571428571427</v>
      </c>
      <c r="P1705" s="2">
        <f ca="1">INDEX(INDIRECT(_xlfn.CONCAT("weather.tbl[",P$1,"]")),MATCH(vp.data[[#This Row],[SDate]],weather.tbl[Date],0))</f>
        <v>15.2</v>
      </c>
      <c r="Q1705" s="2">
        <f ca="1">INDEX(INDIRECT(_xlfn.CONCAT("weather.tbl[",Q$1,"]")),MATCH(vp.data[[#This Row],[SDate]],weather.tbl[Date],0))</f>
        <v>15.3</v>
      </c>
      <c r="R1705" s="2">
        <f ca="1">INDEX(INDIRECT(_xlfn.CONCAT("weather.tbl[",R$1,"]")),MATCH(vp.data[[#This Row],[SDate]],weather.tbl[Date],0))</f>
        <v>12.3</v>
      </c>
      <c r="S1705" s="2">
        <f ca="1">INDEX(INDIRECT(_xlfn.CONCAT("weather.tbl[",S$1,"]")),MATCH(vp.data[[#This Row],[SDate]],weather.tbl[Date],0))</f>
        <v>15</v>
      </c>
      <c r="T1705" s="2">
        <f ca="1">INDEX(INDIRECT(_xlfn.CONCAT("weather.tbl[",T$1,"]")),MATCH(vp.data[[#This Row],[SDate]],weather.tbl[Date],0))</f>
        <v>13</v>
      </c>
      <c r="U1705" s="2">
        <f ca="1">INDEX(INDIRECT(_xlfn.CONCAT("weather.tbl[",U$1,"]")),MATCH(vp.data[[#This Row],[SDate]],weather.tbl[Date],0))</f>
        <v>13.8</v>
      </c>
      <c r="V1705" s="2" t="str">
        <f t="array" ref="V170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5" t="s">
        <v>48</v>
      </c>
      <c r="X1705">
        <f>IF(OR(vp.data[[#This Row],[Sulf]]="",vp.data[[#This Row],[Dens]]=""),1,0)</f>
        <v>1</v>
      </c>
      <c r="Y1705">
        <f>IF(vp.data[[#This Row],[CrudeType]]="C5+",1,0)</f>
        <v>0</v>
      </c>
      <c r="Z1705">
        <f>IF(AND(vp.data[[#This Row],[CrudeType]]="Crude",vp.data[[#This Row],[Dens]]&lt;=825,vp.data[[#This Row],[Sulf]]&gt;0.5,vp.data[[#This Row],[Unknown]]=0),1,0)</f>
        <v>0</v>
      </c>
      <c r="AA1705">
        <f>IF(AND(vp.data[[#This Row],[CrudeType]]="Crude",vp.data[[#This Row],[Dens]]&lt;=825,vp.data[[#This Row],[Sulf]]&lt;=0.5,vp.data[[#This Row],[Unknown]]=0),1,0)</f>
        <v>0</v>
      </c>
      <c r="AB170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5">
        <f>IF(AND(vp.data[[#This Row],[CrudeType]]="Crude",vp.data[[#This Row],[Dens]]&gt;825,vp.data[[#This Row],[Dens]]&lt;=900,vp.data[[#This Row],[Sulf]]&lt;=0.5,vp.data[[#This Row],[Unknown]]=0),1,0)</f>
        <v>0</v>
      </c>
      <c r="AD1705">
        <f>IF(AND(vp.data[[#This Row],[CrudeType]]="Crude",vp.data[[#This Row],[Dens]]&gt;865,vp.data[[#This Row],[Dens]]&lt;=900,vp.data[[#This Row],[Sulf]]&gt;2,vp.data[[#This Row],[Unknown]]=0),1,0)</f>
        <v>0</v>
      </c>
      <c r="AE1705">
        <f>IF(AND(vp.data[[#This Row],[CrudeType]]="Crude",vp.data[[#This Row],[Dens]]&gt;900,vp.data[[#This Row],[Sulf]]&lt;=0.5,vp.data[[#This Row],[Unknown]]=0),1,0)</f>
        <v>0</v>
      </c>
      <c r="AF1705">
        <f>IF(AND(vp.data[[#This Row],[CrudeType]]="Crude",vp.data[[#This Row],[Dens]]&gt;900,vp.data[[#This Row],[Sulf]]&lt;=0.5,vp.data[[#This Row],[Unknown]]=0),1,0)</f>
        <v>0</v>
      </c>
      <c r="AG1705" t="str">
        <f>INDEX(vp.data[[#Headers],[Unknown]:[Heavy_SW]],MATCH(1,vp.data[[#This Row],[Unknown]:[Heavy_SW]],0))</f>
        <v>Unknown</v>
      </c>
      <c r="AH1705">
        <f>INDEX([3]!crudeBD.lkup[Number],MATCH(vp.data[[#This Row],[Crude_Breakdown]],crudeBD.lkup[Crude Breakdown],0))</f>
        <v>-1</v>
      </c>
      <c r="AI1705">
        <f>MONTH(vp.data[[#This Row],[SDate]])</f>
        <v>6</v>
      </c>
      <c r="AJ1705" s="5">
        <f>(vp.data[[#This Row],[VP]]-INDEX(crudeBD.lkup[Mean_VP],MATCH(vp.data[[#This Row],[Crude_Breakdown]],crudeBD.lkup[Crude Breakdown],0)))^2</f>
        <v>21.66774967629976</v>
      </c>
      <c r="AK1705" s="5" t="e">
        <f>(vp.data[[#This Row],[Dens]]-INDEX(crudeBD.lkup[Mean_Dens],MATCH(vp.data[[#This Row],[Crude_Breakdown]],crudeBD.lkup[Crude Breakdown],0)))^2</f>
        <v>#VALUE!</v>
      </c>
      <c r="AL1705" s="5" t="e">
        <f>(vp.data[[#This Row],[Sulf]]-INDEX(crudeBD.lkup[Mean_Sulf],MATCH(vp.data[[#This Row],[Crude_Breakdown]],crudeBD.lkup[Crude Breakdown],0)))^2</f>
        <v>#VALUE!</v>
      </c>
      <c r="AM1705" s="4">
        <f>IF(AND(vp.data[[#This Row],[SDate]]&gt;=DATE(YEAR(vp.data[[#This Row],[SDate]]),5,1),vp.data[[#This Row],[SDate]]&lt;=DATE(YEAR(vp.data[[#This Row],[SDate]]),9,15)),1,0)</f>
        <v>1</v>
      </c>
      <c r="AN1705" s="4">
        <f>IF(vp.data[[#This Row],[SDate]]&lt;DATE(2016,12,1),0,1)</f>
        <v>1</v>
      </c>
      <c r="AO1705" s="4" t="str">
        <f>IFERROR(vp.data[[#This Row],[Sulf]]*vp.data[[#This Row],[Net Dens]],"")</f>
        <v/>
      </c>
      <c r="AP1705" t="str">
        <f>IFERROR(vp.data[[#This Row],[Dens]]*vp.data[[#This Row],[VolumeM3]],"")</f>
        <v/>
      </c>
      <c r="AQ1705" s="15" t="str">
        <f>IFERROR(vp.data[[#This Row],[VP]]*vp.data[[#This Row],[VolumeM3]],"")</f>
        <v/>
      </c>
    </row>
    <row r="1706" spans="1:43" x14ac:dyDescent="0.25">
      <c r="A1706">
        <v>1705</v>
      </c>
      <c r="B1706" t="s">
        <v>49</v>
      </c>
      <c r="C1706" t="s">
        <v>49</v>
      </c>
      <c r="D1706" t="s">
        <v>100</v>
      </c>
      <c r="F1706" s="1">
        <v>42912</v>
      </c>
      <c r="G1706" s="2">
        <v>79.400000000000006</v>
      </c>
      <c r="H1706" s="2"/>
      <c r="I1706" s="2" t="str">
        <f t="array" ref="I170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6" s="2"/>
      <c r="K1706" s="2"/>
      <c r="L1706" s="2"/>
      <c r="M1706" s="2" t="str">
        <f t="array" ref="M170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6" s="2">
        <f ca="1">INDEX(INDIRECT(_xlfn.CONCAT("weather.tbl[",N$1,"]")),MATCH(vp.data[[#This Row],[SDate]],weather.tbl[Date],0))</f>
        <v>14.1</v>
      </c>
      <c r="O1706" s="2">
        <f ca="1">INDEX(INDIRECT(_xlfn.CONCAT("weather.tbl[",O$1,"]")),MATCH(vp.data[[#This Row],[SDate]],weather.tbl[Date],0))</f>
        <v>13.778571428571427</v>
      </c>
      <c r="P1706" s="2">
        <f ca="1">INDEX(INDIRECT(_xlfn.CONCAT("weather.tbl[",P$1,"]")),MATCH(vp.data[[#This Row],[SDate]],weather.tbl[Date],0))</f>
        <v>15.2</v>
      </c>
      <c r="Q1706" s="2">
        <f ca="1">INDEX(INDIRECT(_xlfn.CONCAT("weather.tbl[",Q$1,"]")),MATCH(vp.data[[#This Row],[SDate]],weather.tbl[Date],0))</f>
        <v>15.3</v>
      </c>
      <c r="R1706" s="2">
        <f ca="1">INDEX(INDIRECT(_xlfn.CONCAT("weather.tbl[",R$1,"]")),MATCH(vp.data[[#This Row],[SDate]],weather.tbl[Date],0))</f>
        <v>12.3</v>
      </c>
      <c r="S1706" s="2">
        <f ca="1">INDEX(INDIRECT(_xlfn.CONCAT("weather.tbl[",S$1,"]")),MATCH(vp.data[[#This Row],[SDate]],weather.tbl[Date],0))</f>
        <v>15</v>
      </c>
      <c r="T1706" s="2">
        <f ca="1">INDEX(INDIRECT(_xlfn.CONCAT("weather.tbl[",T$1,"]")),MATCH(vp.data[[#This Row],[SDate]],weather.tbl[Date],0))</f>
        <v>13</v>
      </c>
      <c r="U1706" s="2">
        <f ca="1">INDEX(INDIRECT(_xlfn.CONCAT("weather.tbl[",U$1,"]")),MATCH(vp.data[[#This Row],[SDate]],weather.tbl[Date],0))</f>
        <v>13.8</v>
      </c>
      <c r="V1706" s="2" t="str">
        <f t="array" ref="V170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6" t="s">
        <v>48</v>
      </c>
      <c r="X1706">
        <f>IF(OR(vp.data[[#This Row],[Sulf]]="",vp.data[[#This Row],[Dens]]=""),1,0)</f>
        <v>1</v>
      </c>
      <c r="Y1706">
        <f>IF(vp.data[[#This Row],[CrudeType]]="C5+",1,0)</f>
        <v>0</v>
      </c>
      <c r="Z1706">
        <f>IF(AND(vp.data[[#This Row],[CrudeType]]="Crude",vp.data[[#This Row],[Dens]]&lt;=825,vp.data[[#This Row],[Sulf]]&gt;0.5,vp.data[[#This Row],[Unknown]]=0),1,0)</f>
        <v>0</v>
      </c>
      <c r="AA1706">
        <f>IF(AND(vp.data[[#This Row],[CrudeType]]="Crude",vp.data[[#This Row],[Dens]]&lt;=825,vp.data[[#This Row],[Sulf]]&lt;=0.5,vp.data[[#This Row],[Unknown]]=0),1,0)</f>
        <v>0</v>
      </c>
      <c r="AB170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6">
        <f>IF(AND(vp.data[[#This Row],[CrudeType]]="Crude",vp.data[[#This Row],[Dens]]&gt;825,vp.data[[#This Row],[Dens]]&lt;=900,vp.data[[#This Row],[Sulf]]&lt;=0.5,vp.data[[#This Row],[Unknown]]=0),1,0)</f>
        <v>0</v>
      </c>
      <c r="AD1706">
        <f>IF(AND(vp.data[[#This Row],[CrudeType]]="Crude",vp.data[[#This Row],[Dens]]&gt;865,vp.data[[#This Row],[Dens]]&lt;=900,vp.data[[#This Row],[Sulf]]&gt;2,vp.data[[#This Row],[Unknown]]=0),1,0)</f>
        <v>0</v>
      </c>
      <c r="AE1706">
        <f>IF(AND(vp.data[[#This Row],[CrudeType]]="Crude",vp.data[[#This Row],[Dens]]&gt;900,vp.data[[#This Row],[Sulf]]&lt;=0.5,vp.data[[#This Row],[Unknown]]=0),1,0)</f>
        <v>0</v>
      </c>
      <c r="AF1706">
        <f>IF(AND(vp.data[[#This Row],[CrudeType]]="Crude",vp.data[[#This Row],[Dens]]&gt;900,vp.data[[#This Row],[Sulf]]&lt;=0.5,vp.data[[#This Row],[Unknown]]=0),1,0)</f>
        <v>0</v>
      </c>
      <c r="AG1706" t="str">
        <f>INDEX(vp.data[[#Headers],[Unknown]:[Heavy_SW]],MATCH(1,vp.data[[#This Row],[Unknown]:[Heavy_SW]],0))</f>
        <v>Unknown</v>
      </c>
      <c r="AH1706">
        <f>INDEX([3]!crudeBD.lkup[Number],MATCH(vp.data[[#This Row],[Crude_Breakdown]],crudeBD.lkup[Crude Breakdown],0))</f>
        <v>-1</v>
      </c>
      <c r="AI1706">
        <f>MONTH(vp.data[[#This Row],[SDate]])</f>
        <v>6</v>
      </c>
      <c r="AJ1706" s="5">
        <f>(vp.data[[#This Row],[VP]]-INDEX(crudeBD.lkup[Mean_VP],MATCH(vp.data[[#This Row],[Crude_Breakdown]],crudeBD.lkup[Crude Breakdown],0)))^2</f>
        <v>30.856503100957411</v>
      </c>
      <c r="AK1706" s="5" t="e">
        <f>(vp.data[[#This Row],[Dens]]-INDEX(crudeBD.lkup[Mean_Dens],MATCH(vp.data[[#This Row],[Crude_Breakdown]],crudeBD.lkup[Crude Breakdown],0)))^2</f>
        <v>#VALUE!</v>
      </c>
      <c r="AL1706" s="5" t="e">
        <f>(vp.data[[#This Row],[Sulf]]-INDEX(crudeBD.lkup[Mean_Sulf],MATCH(vp.data[[#This Row],[Crude_Breakdown]],crudeBD.lkup[Crude Breakdown],0)))^2</f>
        <v>#VALUE!</v>
      </c>
      <c r="AM1706" s="4">
        <f>IF(AND(vp.data[[#This Row],[SDate]]&gt;=DATE(YEAR(vp.data[[#This Row],[SDate]]),5,1),vp.data[[#This Row],[SDate]]&lt;=DATE(YEAR(vp.data[[#This Row],[SDate]]),9,15)),1,0)</f>
        <v>1</v>
      </c>
      <c r="AN1706" s="4">
        <f>IF(vp.data[[#This Row],[SDate]]&lt;DATE(2016,12,1),0,1)</f>
        <v>1</v>
      </c>
      <c r="AO1706" s="4" t="str">
        <f>IFERROR(vp.data[[#This Row],[Sulf]]*vp.data[[#This Row],[Net Dens]],"")</f>
        <v/>
      </c>
      <c r="AP1706" t="str">
        <f>IFERROR(vp.data[[#This Row],[Dens]]*vp.data[[#This Row],[VolumeM3]],"")</f>
        <v/>
      </c>
      <c r="AQ1706" s="15" t="str">
        <f>IFERROR(vp.data[[#This Row],[VP]]*vp.data[[#This Row],[VolumeM3]],"")</f>
        <v/>
      </c>
    </row>
    <row r="1707" spans="1:43" x14ac:dyDescent="0.25">
      <c r="A1707">
        <v>1706</v>
      </c>
      <c r="B1707" t="s">
        <v>62</v>
      </c>
      <c r="C1707" t="s">
        <v>62</v>
      </c>
      <c r="D1707" t="s">
        <v>79</v>
      </c>
      <c r="F1707" s="1">
        <v>42912</v>
      </c>
      <c r="G1707" s="2">
        <v>76.400000000000006</v>
      </c>
      <c r="H1707" s="2"/>
      <c r="I1707" s="2" t="str">
        <f t="array" ref="I170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7" s="2"/>
      <c r="K1707" s="2"/>
      <c r="L1707" s="2"/>
      <c r="M1707" s="2" t="str">
        <f t="array" ref="M170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7" s="2">
        <f ca="1">INDEX(INDIRECT(_xlfn.CONCAT("weather.tbl[",N$1,"]")),MATCH(vp.data[[#This Row],[SDate]],weather.tbl[Date],0))</f>
        <v>14.1</v>
      </c>
      <c r="O1707" s="2">
        <f ca="1">INDEX(INDIRECT(_xlfn.CONCAT("weather.tbl[",O$1,"]")),MATCH(vp.data[[#This Row],[SDate]],weather.tbl[Date],0))</f>
        <v>13.778571428571427</v>
      </c>
      <c r="P1707" s="2">
        <f ca="1">INDEX(INDIRECT(_xlfn.CONCAT("weather.tbl[",P$1,"]")),MATCH(vp.data[[#This Row],[SDate]],weather.tbl[Date],0))</f>
        <v>15.2</v>
      </c>
      <c r="Q1707" s="2">
        <f ca="1">INDEX(INDIRECT(_xlfn.CONCAT("weather.tbl[",Q$1,"]")),MATCH(vp.data[[#This Row],[SDate]],weather.tbl[Date],0))</f>
        <v>15.3</v>
      </c>
      <c r="R1707" s="2">
        <f ca="1">INDEX(INDIRECT(_xlfn.CONCAT("weather.tbl[",R$1,"]")),MATCH(vp.data[[#This Row],[SDate]],weather.tbl[Date],0))</f>
        <v>12.3</v>
      </c>
      <c r="S1707" s="2">
        <f ca="1">INDEX(INDIRECT(_xlfn.CONCAT("weather.tbl[",S$1,"]")),MATCH(vp.data[[#This Row],[SDate]],weather.tbl[Date],0))</f>
        <v>15</v>
      </c>
      <c r="T1707" s="2">
        <f ca="1">INDEX(INDIRECT(_xlfn.CONCAT("weather.tbl[",T$1,"]")),MATCH(vp.data[[#This Row],[SDate]],weather.tbl[Date],0))</f>
        <v>13</v>
      </c>
      <c r="U1707" s="2">
        <f ca="1">INDEX(INDIRECT(_xlfn.CONCAT("weather.tbl[",U$1,"]")),MATCH(vp.data[[#This Row],[SDate]],weather.tbl[Date],0))</f>
        <v>13.8</v>
      </c>
      <c r="V1707" s="2" t="str">
        <f t="array" ref="V170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7" t="s">
        <v>48</v>
      </c>
      <c r="X1707">
        <f>IF(OR(vp.data[[#This Row],[Sulf]]="",vp.data[[#This Row],[Dens]]=""),1,0)</f>
        <v>1</v>
      </c>
      <c r="Y1707">
        <f>IF(vp.data[[#This Row],[CrudeType]]="C5+",1,0)</f>
        <v>0</v>
      </c>
      <c r="Z1707">
        <f>IF(AND(vp.data[[#This Row],[CrudeType]]="Crude",vp.data[[#This Row],[Dens]]&lt;=825,vp.data[[#This Row],[Sulf]]&gt;0.5,vp.data[[#This Row],[Unknown]]=0),1,0)</f>
        <v>0</v>
      </c>
      <c r="AA1707">
        <f>IF(AND(vp.data[[#This Row],[CrudeType]]="Crude",vp.data[[#This Row],[Dens]]&lt;=825,vp.data[[#This Row],[Sulf]]&lt;=0.5,vp.data[[#This Row],[Unknown]]=0),1,0)</f>
        <v>0</v>
      </c>
      <c r="AB170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7">
        <f>IF(AND(vp.data[[#This Row],[CrudeType]]="Crude",vp.data[[#This Row],[Dens]]&gt;825,vp.data[[#This Row],[Dens]]&lt;=900,vp.data[[#This Row],[Sulf]]&lt;=0.5,vp.data[[#This Row],[Unknown]]=0),1,0)</f>
        <v>0</v>
      </c>
      <c r="AD1707">
        <f>IF(AND(vp.data[[#This Row],[CrudeType]]="Crude",vp.data[[#This Row],[Dens]]&gt;865,vp.data[[#This Row],[Dens]]&lt;=900,vp.data[[#This Row],[Sulf]]&gt;2,vp.data[[#This Row],[Unknown]]=0),1,0)</f>
        <v>0</v>
      </c>
      <c r="AE1707">
        <f>IF(AND(vp.data[[#This Row],[CrudeType]]="Crude",vp.data[[#This Row],[Dens]]&gt;900,vp.data[[#This Row],[Sulf]]&lt;=0.5,vp.data[[#This Row],[Unknown]]=0),1,0)</f>
        <v>0</v>
      </c>
      <c r="AF1707">
        <f>IF(AND(vp.data[[#This Row],[CrudeType]]="Crude",vp.data[[#This Row],[Dens]]&gt;900,vp.data[[#This Row],[Sulf]]&lt;=0.5,vp.data[[#This Row],[Unknown]]=0),1,0)</f>
        <v>0</v>
      </c>
      <c r="AG1707" t="str">
        <f>INDEX(vp.data[[#Headers],[Unknown]:[Heavy_SW]],MATCH(1,vp.data[[#This Row],[Unknown]:[Heavy_SW]],0))</f>
        <v>Unknown</v>
      </c>
      <c r="AH1707">
        <f>INDEX([3]!crudeBD.lkup[Number],MATCH(vp.data[[#This Row],[Crude_Breakdown]],crudeBD.lkup[Crude Breakdown],0))</f>
        <v>-1</v>
      </c>
      <c r="AI1707">
        <f>MONTH(vp.data[[#This Row],[SDate]])</f>
        <v>6</v>
      </c>
      <c r="AJ1707" s="5">
        <f>(vp.data[[#This Row],[VP]]-INDEX(crudeBD.lkup[Mean_VP],MATCH(vp.data[[#This Row],[Crude_Breakdown]],crudeBD.lkup[Crude Breakdown],0)))^2</f>
        <v>6.5273250187654224</v>
      </c>
      <c r="AK1707" s="5" t="e">
        <f>(vp.data[[#This Row],[Dens]]-INDEX(crudeBD.lkup[Mean_Dens],MATCH(vp.data[[#This Row],[Crude_Breakdown]],crudeBD.lkup[Crude Breakdown],0)))^2</f>
        <v>#VALUE!</v>
      </c>
      <c r="AL1707" s="5" t="e">
        <f>(vp.data[[#This Row],[Sulf]]-INDEX(crudeBD.lkup[Mean_Sulf],MATCH(vp.data[[#This Row],[Crude_Breakdown]],crudeBD.lkup[Crude Breakdown],0)))^2</f>
        <v>#VALUE!</v>
      </c>
      <c r="AM1707" s="4">
        <f>IF(AND(vp.data[[#This Row],[SDate]]&gt;=DATE(YEAR(vp.data[[#This Row],[SDate]]),5,1),vp.data[[#This Row],[SDate]]&lt;=DATE(YEAR(vp.data[[#This Row],[SDate]]),9,15)),1,0)</f>
        <v>1</v>
      </c>
      <c r="AN1707" s="4">
        <f>IF(vp.data[[#This Row],[SDate]]&lt;DATE(2016,12,1),0,1)</f>
        <v>1</v>
      </c>
      <c r="AO1707" s="4" t="str">
        <f>IFERROR(vp.data[[#This Row],[Sulf]]*vp.data[[#This Row],[Net Dens]],"")</f>
        <v/>
      </c>
      <c r="AP1707" t="str">
        <f>IFERROR(vp.data[[#This Row],[Dens]]*vp.data[[#This Row],[VolumeM3]],"")</f>
        <v/>
      </c>
      <c r="AQ1707" s="15" t="str">
        <f>IFERROR(vp.data[[#This Row],[VP]]*vp.data[[#This Row],[VolumeM3]],"")</f>
        <v/>
      </c>
    </row>
    <row r="1708" spans="1:43" x14ac:dyDescent="0.25">
      <c r="A1708">
        <v>1707</v>
      </c>
      <c r="B1708" t="s">
        <v>62</v>
      </c>
      <c r="C1708" t="s">
        <v>62</v>
      </c>
      <c r="D1708" t="s">
        <v>83</v>
      </c>
      <c r="F1708" s="1">
        <v>42912</v>
      </c>
      <c r="G1708" s="2">
        <v>71.5</v>
      </c>
      <c r="H1708" s="2"/>
      <c r="I1708" s="2" t="str">
        <f t="array" ref="I170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8" s="2"/>
      <c r="K1708" s="2"/>
      <c r="L1708" s="2"/>
      <c r="M1708" s="2" t="str">
        <f t="array" ref="M170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8" s="2">
        <f ca="1">INDEX(INDIRECT(_xlfn.CONCAT("weather.tbl[",N$1,"]")),MATCH(vp.data[[#This Row],[SDate]],weather.tbl[Date],0))</f>
        <v>14.1</v>
      </c>
      <c r="O1708" s="2">
        <f ca="1">INDEX(INDIRECT(_xlfn.CONCAT("weather.tbl[",O$1,"]")),MATCH(vp.data[[#This Row],[SDate]],weather.tbl[Date],0))</f>
        <v>13.778571428571427</v>
      </c>
      <c r="P1708" s="2">
        <f ca="1">INDEX(INDIRECT(_xlfn.CONCAT("weather.tbl[",P$1,"]")),MATCH(vp.data[[#This Row],[SDate]],weather.tbl[Date],0))</f>
        <v>15.2</v>
      </c>
      <c r="Q1708" s="2">
        <f ca="1">INDEX(INDIRECT(_xlfn.CONCAT("weather.tbl[",Q$1,"]")),MATCH(vp.data[[#This Row],[SDate]],weather.tbl[Date],0))</f>
        <v>15.3</v>
      </c>
      <c r="R1708" s="2">
        <f ca="1">INDEX(INDIRECT(_xlfn.CONCAT("weather.tbl[",R$1,"]")),MATCH(vp.data[[#This Row],[SDate]],weather.tbl[Date],0))</f>
        <v>12.3</v>
      </c>
      <c r="S1708" s="2">
        <f ca="1">INDEX(INDIRECT(_xlfn.CONCAT("weather.tbl[",S$1,"]")),MATCH(vp.data[[#This Row],[SDate]],weather.tbl[Date],0))</f>
        <v>15</v>
      </c>
      <c r="T1708" s="2">
        <f ca="1">INDEX(INDIRECT(_xlfn.CONCAT("weather.tbl[",T$1,"]")),MATCH(vp.data[[#This Row],[SDate]],weather.tbl[Date],0))</f>
        <v>13</v>
      </c>
      <c r="U1708" s="2">
        <f ca="1">INDEX(INDIRECT(_xlfn.CONCAT("weather.tbl[",U$1,"]")),MATCH(vp.data[[#This Row],[SDate]],weather.tbl[Date],0))</f>
        <v>13.8</v>
      </c>
      <c r="V1708" s="2" t="str">
        <f t="array" ref="V170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8" t="s">
        <v>48</v>
      </c>
      <c r="X1708">
        <f>IF(OR(vp.data[[#This Row],[Sulf]]="",vp.data[[#This Row],[Dens]]=""),1,0)</f>
        <v>1</v>
      </c>
      <c r="Y1708">
        <f>IF(vp.data[[#This Row],[CrudeType]]="C5+",1,0)</f>
        <v>0</v>
      </c>
      <c r="Z1708">
        <f>IF(AND(vp.data[[#This Row],[CrudeType]]="Crude",vp.data[[#This Row],[Dens]]&lt;=825,vp.data[[#This Row],[Sulf]]&gt;0.5,vp.data[[#This Row],[Unknown]]=0),1,0)</f>
        <v>0</v>
      </c>
      <c r="AA1708">
        <f>IF(AND(vp.data[[#This Row],[CrudeType]]="Crude",vp.data[[#This Row],[Dens]]&lt;=825,vp.data[[#This Row],[Sulf]]&lt;=0.5,vp.data[[#This Row],[Unknown]]=0),1,0)</f>
        <v>0</v>
      </c>
      <c r="AB170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8">
        <f>IF(AND(vp.data[[#This Row],[CrudeType]]="Crude",vp.data[[#This Row],[Dens]]&gt;825,vp.data[[#This Row],[Dens]]&lt;=900,vp.data[[#This Row],[Sulf]]&lt;=0.5,vp.data[[#This Row],[Unknown]]=0),1,0)</f>
        <v>0</v>
      </c>
      <c r="AD1708">
        <f>IF(AND(vp.data[[#This Row],[CrudeType]]="Crude",vp.data[[#This Row],[Dens]]&gt;865,vp.data[[#This Row],[Dens]]&lt;=900,vp.data[[#This Row],[Sulf]]&gt;2,vp.data[[#This Row],[Unknown]]=0),1,0)</f>
        <v>0</v>
      </c>
      <c r="AE1708">
        <f>IF(AND(vp.data[[#This Row],[CrudeType]]="Crude",vp.data[[#This Row],[Dens]]&gt;900,vp.data[[#This Row],[Sulf]]&lt;=0.5,vp.data[[#This Row],[Unknown]]=0),1,0)</f>
        <v>0</v>
      </c>
      <c r="AF1708">
        <f>IF(AND(vp.data[[#This Row],[CrudeType]]="Crude",vp.data[[#This Row],[Dens]]&gt;900,vp.data[[#This Row],[Sulf]]&lt;=0.5,vp.data[[#This Row],[Unknown]]=0),1,0)</f>
        <v>0</v>
      </c>
      <c r="AG1708" t="str">
        <f>INDEX(vp.data[[#Headers],[Unknown]:[Heavy_SW]],MATCH(1,vp.data[[#This Row],[Unknown]:[Heavy_SW]],0))</f>
        <v>Unknown</v>
      </c>
      <c r="AH1708">
        <f>INDEX([3]!crudeBD.lkup[Number],MATCH(vp.data[[#This Row],[Crude_Breakdown]],crudeBD.lkup[Crude Breakdown],0))</f>
        <v>-1</v>
      </c>
      <c r="AI1708">
        <f>MONTH(vp.data[[#This Row],[SDate]])</f>
        <v>6</v>
      </c>
      <c r="AJ1708" s="5">
        <f>(vp.data[[#This Row],[VP]]-INDEX(crudeBD.lkup[Mean_VP],MATCH(vp.data[[#This Row],[Crude_Breakdown]],crudeBD.lkup[Crude Breakdown],0)))^2</f>
        <v>5.4996674845185369</v>
      </c>
      <c r="AK1708" s="5" t="e">
        <f>(vp.data[[#This Row],[Dens]]-INDEX(crudeBD.lkup[Mean_Dens],MATCH(vp.data[[#This Row],[Crude_Breakdown]],crudeBD.lkup[Crude Breakdown],0)))^2</f>
        <v>#VALUE!</v>
      </c>
      <c r="AL1708" s="5" t="e">
        <f>(vp.data[[#This Row],[Sulf]]-INDEX(crudeBD.lkup[Mean_Sulf],MATCH(vp.data[[#This Row],[Crude_Breakdown]],crudeBD.lkup[Crude Breakdown],0)))^2</f>
        <v>#VALUE!</v>
      </c>
      <c r="AM1708" s="4">
        <f>IF(AND(vp.data[[#This Row],[SDate]]&gt;=DATE(YEAR(vp.data[[#This Row],[SDate]]),5,1),vp.data[[#This Row],[SDate]]&lt;=DATE(YEAR(vp.data[[#This Row],[SDate]]),9,15)),1,0)</f>
        <v>1</v>
      </c>
      <c r="AN1708" s="4">
        <f>IF(vp.data[[#This Row],[SDate]]&lt;DATE(2016,12,1),0,1)</f>
        <v>1</v>
      </c>
      <c r="AO1708" s="4" t="str">
        <f>IFERROR(vp.data[[#This Row],[Sulf]]*vp.data[[#This Row],[Net Dens]],"")</f>
        <v/>
      </c>
      <c r="AP1708" t="str">
        <f>IFERROR(vp.data[[#This Row],[Dens]]*vp.data[[#This Row],[VolumeM3]],"")</f>
        <v/>
      </c>
      <c r="AQ1708" s="15" t="str">
        <f>IFERROR(vp.data[[#This Row],[VP]]*vp.data[[#This Row],[VolumeM3]],"")</f>
        <v/>
      </c>
    </row>
    <row r="1709" spans="1:43" x14ac:dyDescent="0.25">
      <c r="A1709">
        <v>1708</v>
      </c>
      <c r="B1709" t="s">
        <v>62</v>
      </c>
      <c r="C1709" t="s">
        <v>62</v>
      </c>
      <c r="D1709" t="s">
        <v>87</v>
      </c>
      <c r="F1709" s="1">
        <v>42912</v>
      </c>
      <c r="G1709" s="2">
        <v>82</v>
      </c>
      <c r="H1709" s="2"/>
      <c r="I1709" s="2" t="str">
        <f t="array" ref="I170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09" s="2"/>
      <c r="K1709" s="2"/>
      <c r="L1709" s="2"/>
      <c r="M1709" s="2" t="str">
        <f t="array" ref="M170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09" s="2">
        <f ca="1">INDEX(INDIRECT(_xlfn.CONCAT("weather.tbl[",N$1,"]")),MATCH(vp.data[[#This Row],[SDate]],weather.tbl[Date],0))</f>
        <v>14.1</v>
      </c>
      <c r="O1709" s="2">
        <f ca="1">INDEX(INDIRECT(_xlfn.CONCAT("weather.tbl[",O$1,"]")),MATCH(vp.data[[#This Row],[SDate]],weather.tbl[Date],0))</f>
        <v>13.778571428571427</v>
      </c>
      <c r="P1709" s="2">
        <f ca="1">INDEX(INDIRECT(_xlfn.CONCAT("weather.tbl[",P$1,"]")),MATCH(vp.data[[#This Row],[SDate]],weather.tbl[Date],0))</f>
        <v>15.2</v>
      </c>
      <c r="Q1709" s="2">
        <f ca="1">INDEX(INDIRECT(_xlfn.CONCAT("weather.tbl[",Q$1,"]")),MATCH(vp.data[[#This Row],[SDate]],weather.tbl[Date],0))</f>
        <v>15.3</v>
      </c>
      <c r="R1709" s="2">
        <f ca="1">INDEX(INDIRECT(_xlfn.CONCAT("weather.tbl[",R$1,"]")),MATCH(vp.data[[#This Row],[SDate]],weather.tbl[Date],0))</f>
        <v>12.3</v>
      </c>
      <c r="S1709" s="2">
        <f ca="1">INDEX(INDIRECT(_xlfn.CONCAT("weather.tbl[",S$1,"]")),MATCH(vp.data[[#This Row],[SDate]],weather.tbl[Date],0))</f>
        <v>15</v>
      </c>
      <c r="T1709" s="2">
        <f ca="1">INDEX(INDIRECT(_xlfn.CONCAT("weather.tbl[",T$1,"]")),MATCH(vp.data[[#This Row],[SDate]],weather.tbl[Date],0))</f>
        <v>13</v>
      </c>
      <c r="U1709" s="2">
        <f ca="1">INDEX(INDIRECT(_xlfn.CONCAT("weather.tbl[",U$1,"]")),MATCH(vp.data[[#This Row],[SDate]],weather.tbl[Date],0))</f>
        <v>13.8</v>
      </c>
      <c r="V1709" s="2" t="str">
        <f t="array" ref="V170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09" t="s">
        <v>48</v>
      </c>
      <c r="X1709">
        <f>IF(OR(vp.data[[#This Row],[Sulf]]="",vp.data[[#This Row],[Dens]]=""),1,0)</f>
        <v>1</v>
      </c>
      <c r="Y1709">
        <f>IF(vp.data[[#This Row],[CrudeType]]="C5+",1,0)</f>
        <v>0</v>
      </c>
      <c r="Z1709">
        <f>IF(AND(vp.data[[#This Row],[CrudeType]]="Crude",vp.data[[#This Row],[Dens]]&lt;=825,vp.data[[#This Row],[Sulf]]&gt;0.5,vp.data[[#This Row],[Unknown]]=0),1,0)</f>
        <v>0</v>
      </c>
      <c r="AA1709">
        <f>IF(AND(vp.data[[#This Row],[CrudeType]]="Crude",vp.data[[#This Row],[Dens]]&lt;=825,vp.data[[#This Row],[Sulf]]&lt;=0.5,vp.data[[#This Row],[Unknown]]=0),1,0)</f>
        <v>0</v>
      </c>
      <c r="AB170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09">
        <f>IF(AND(vp.data[[#This Row],[CrudeType]]="Crude",vp.data[[#This Row],[Dens]]&gt;825,vp.data[[#This Row],[Dens]]&lt;=900,vp.data[[#This Row],[Sulf]]&lt;=0.5,vp.data[[#This Row],[Unknown]]=0),1,0)</f>
        <v>0</v>
      </c>
      <c r="AD1709">
        <f>IF(AND(vp.data[[#This Row],[CrudeType]]="Crude",vp.data[[#This Row],[Dens]]&gt;865,vp.data[[#This Row],[Dens]]&lt;=900,vp.data[[#This Row],[Sulf]]&gt;2,vp.data[[#This Row],[Unknown]]=0),1,0)</f>
        <v>0</v>
      </c>
      <c r="AE1709">
        <f>IF(AND(vp.data[[#This Row],[CrudeType]]="Crude",vp.data[[#This Row],[Dens]]&gt;900,vp.data[[#This Row],[Sulf]]&lt;=0.5,vp.data[[#This Row],[Unknown]]=0),1,0)</f>
        <v>0</v>
      </c>
      <c r="AF1709">
        <f>IF(AND(vp.data[[#This Row],[CrudeType]]="Crude",vp.data[[#This Row],[Dens]]&gt;900,vp.data[[#This Row],[Sulf]]&lt;=0.5,vp.data[[#This Row],[Unknown]]=0),1,0)</f>
        <v>0</v>
      </c>
      <c r="AG1709" t="str">
        <f>INDEX(vp.data[[#Headers],[Unknown]:[Heavy_SW]],MATCH(1,vp.data[[#This Row],[Unknown]:[Heavy_SW]],0))</f>
        <v>Unknown</v>
      </c>
      <c r="AH1709">
        <f>INDEX([3]!crudeBD.lkup[Number],MATCH(vp.data[[#This Row],[Crude_Breakdown]],crudeBD.lkup[Crude Breakdown],0))</f>
        <v>-1</v>
      </c>
      <c r="AI1709">
        <f>MONTH(vp.data[[#This Row],[SDate]])</f>
        <v>6</v>
      </c>
      <c r="AJ1709" s="5">
        <f>(vp.data[[#This Row],[VP]]-INDEX(crudeBD.lkup[Mean_VP],MATCH(vp.data[[#This Row],[Crude_Breakdown]],crudeBD.lkup[Crude Breakdown],0)))^2</f>
        <v>66.501790772190375</v>
      </c>
      <c r="AK1709" s="5" t="e">
        <f>(vp.data[[#This Row],[Dens]]-INDEX(crudeBD.lkup[Mean_Dens],MATCH(vp.data[[#This Row],[Crude_Breakdown]],crudeBD.lkup[Crude Breakdown],0)))^2</f>
        <v>#VALUE!</v>
      </c>
      <c r="AL1709" s="5" t="e">
        <f>(vp.data[[#This Row],[Sulf]]-INDEX(crudeBD.lkup[Mean_Sulf],MATCH(vp.data[[#This Row],[Crude_Breakdown]],crudeBD.lkup[Crude Breakdown],0)))^2</f>
        <v>#VALUE!</v>
      </c>
      <c r="AM1709" s="4">
        <f>IF(AND(vp.data[[#This Row],[SDate]]&gt;=DATE(YEAR(vp.data[[#This Row],[SDate]]),5,1),vp.data[[#This Row],[SDate]]&lt;=DATE(YEAR(vp.data[[#This Row],[SDate]]),9,15)),1,0)</f>
        <v>1</v>
      </c>
      <c r="AN1709" s="4">
        <f>IF(vp.data[[#This Row],[SDate]]&lt;DATE(2016,12,1),0,1)</f>
        <v>1</v>
      </c>
      <c r="AO1709" s="4" t="str">
        <f>IFERROR(vp.data[[#This Row],[Sulf]]*vp.data[[#This Row],[Net Dens]],"")</f>
        <v/>
      </c>
      <c r="AP1709" t="str">
        <f>IFERROR(vp.data[[#This Row],[Dens]]*vp.data[[#This Row],[VolumeM3]],"")</f>
        <v/>
      </c>
      <c r="AQ1709" s="15" t="str">
        <f>IFERROR(vp.data[[#This Row],[VP]]*vp.data[[#This Row],[VolumeM3]],"")</f>
        <v/>
      </c>
    </row>
    <row r="1710" spans="1:43" x14ac:dyDescent="0.25">
      <c r="A1710">
        <v>1709</v>
      </c>
      <c r="B1710" t="s">
        <v>62</v>
      </c>
      <c r="C1710" t="s">
        <v>62</v>
      </c>
      <c r="D1710" t="s">
        <v>63</v>
      </c>
      <c r="F1710" s="1">
        <v>42913</v>
      </c>
      <c r="G1710" s="2">
        <v>81.3</v>
      </c>
      <c r="H1710" s="2"/>
      <c r="I1710" s="2" t="str">
        <f t="array" ref="I171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0" s="2"/>
      <c r="K1710" s="2"/>
      <c r="L1710" s="2"/>
      <c r="M1710" s="2" t="str">
        <f t="array" ref="M171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0" s="2">
        <f ca="1">INDEX(INDIRECT(_xlfn.CONCAT("weather.tbl[",N$1,"]")),MATCH(vp.data[[#This Row],[SDate]],weather.tbl[Date],0))</f>
        <v>20.116666666666667</v>
      </c>
      <c r="O1710" s="2">
        <f ca="1">INDEX(INDIRECT(_xlfn.CONCAT("weather.tbl[",O$1,"]")),MATCH(vp.data[[#This Row],[SDate]],weather.tbl[Date],0))</f>
        <v>14.530952380952382</v>
      </c>
      <c r="P1710" s="2">
        <f ca="1">INDEX(INDIRECT(_xlfn.CONCAT("weather.tbl[",P$1,"]")),MATCH(vp.data[[#This Row],[SDate]],weather.tbl[Date],0))</f>
        <v>20.6</v>
      </c>
      <c r="Q1710" s="2">
        <f ca="1">INDEX(INDIRECT(_xlfn.CONCAT("weather.tbl[",Q$1,"]")),MATCH(vp.data[[#This Row],[SDate]],weather.tbl[Date],0))</f>
        <v>21.6</v>
      </c>
      <c r="R1710" s="2">
        <f ca="1">INDEX(INDIRECT(_xlfn.CONCAT("weather.tbl[",R$1,"]")),MATCH(vp.data[[#This Row],[SDate]],weather.tbl[Date],0))</f>
        <v>17.3</v>
      </c>
      <c r="S1710" s="2">
        <f ca="1">INDEX(INDIRECT(_xlfn.CONCAT("weather.tbl[",S$1,"]")),MATCH(vp.data[[#This Row],[SDate]],weather.tbl[Date],0))</f>
        <v>21.9</v>
      </c>
      <c r="T1710" s="2">
        <f ca="1">INDEX(INDIRECT(_xlfn.CONCAT("weather.tbl[",T$1,"]")),MATCH(vp.data[[#This Row],[SDate]],weather.tbl[Date],0))</f>
        <v>20</v>
      </c>
      <c r="U1710" s="2">
        <f ca="1">INDEX(INDIRECT(_xlfn.CONCAT("weather.tbl[",U$1,"]")),MATCH(vp.data[[#This Row],[SDate]],weather.tbl[Date],0))</f>
        <v>19.3</v>
      </c>
      <c r="V1710" s="2" t="str">
        <f t="array" ref="V171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0" t="s">
        <v>48</v>
      </c>
      <c r="X1710">
        <f>IF(OR(vp.data[[#This Row],[Sulf]]="",vp.data[[#This Row],[Dens]]=""),1,0)</f>
        <v>1</v>
      </c>
      <c r="Y1710">
        <f>IF(vp.data[[#This Row],[CrudeType]]="C5+",1,0)</f>
        <v>0</v>
      </c>
      <c r="Z1710">
        <f>IF(AND(vp.data[[#This Row],[CrudeType]]="Crude",vp.data[[#This Row],[Dens]]&lt;=825,vp.data[[#This Row],[Sulf]]&gt;0.5,vp.data[[#This Row],[Unknown]]=0),1,0)</f>
        <v>0</v>
      </c>
      <c r="AA1710">
        <f>IF(AND(vp.data[[#This Row],[CrudeType]]="Crude",vp.data[[#This Row],[Dens]]&lt;=825,vp.data[[#This Row],[Sulf]]&lt;=0.5,vp.data[[#This Row],[Unknown]]=0),1,0)</f>
        <v>0</v>
      </c>
      <c r="AB171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0">
        <f>IF(AND(vp.data[[#This Row],[CrudeType]]="Crude",vp.data[[#This Row],[Dens]]&gt;825,vp.data[[#This Row],[Dens]]&lt;=900,vp.data[[#This Row],[Sulf]]&lt;=0.5,vp.data[[#This Row],[Unknown]]=0),1,0)</f>
        <v>0</v>
      </c>
      <c r="AD1710">
        <f>IF(AND(vp.data[[#This Row],[CrudeType]]="Crude",vp.data[[#This Row],[Dens]]&gt;865,vp.data[[#This Row],[Dens]]&lt;=900,vp.data[[#This Row],[Sulf]]&gt;2,vp.data[[#This Row],[Unknown]]=0),1,0)</f>
        <v>0</v>
      </c>
      <c r="AE1710">
        <f>IF(AND(vp.data[[#This Row],[CrudeType]]="Crude",vp.data[[#This Row],[Dens]]&gt;900,vp.data[[#This Row],[Sulf]]&lt;=0.5,vp.data[[#This Row],[Unknown]]=0),1,0)</f>
        <v>0</v>
      </c>
      <c r="AF1710">
        <f>IF(AND(vp.data[[#This Row],[CrudeType]]="Crude",vp.data[[#This Row],[Dens]]&gt;900,vp.data[[#This Row],[Sulf]]&lt;=0.5,vp.data[[#This Row],[Unknown]]=0),1,0)</f>
        <v>0</v>
      </c>
      <c r="AG1710" t="str">
        <f>INDEX(vp.data[[#Headers],[Unknown]:[Heavy_SW]],MATCH(1,vp.data[[#This Row],[Unknown]:[Heavy_SW]],0))</f>
        <v>Unknown</v>
      </c>
      <c r="AH1710">
        <f>INDEX([3]!crudeBD.lkup[Number],MATCH(vp.data[[#This Row],[Crude_Breakdown]],crudeBD.lkup[Crude Breakdown],0))</f>
        <v>-1</v>
      </c>
      <c r="AI1710">
        <f>MONTH(vp.data[[#This Row],[SDate]])</f>
        <v>6</v>
      </c>
      <c r="AJ1710" s="5">
        <f>(vp.data[[#This Row],[VP]]-INDEX(crudeBD.lkup[Mean_VP],MATCH(vp.data[[#This Row],[Crude_Breakdown]],crudeBD.lkup[Crude Breakdown],0)))^2</f>
        <v>55.574982553012205</v>
      </c>
      <c r="AK1710" s="5" t="e">
        <f>(vp.data[[#This Row],[Dens]]-INDEX(crudeBD.lkup[Mean_Dens],MATCH(vp.data[[#This Row],[Crude_Breakdown]],crudeBD.lkup[Crude Breakdown],0)))^2</f>
        <v>#VALUE!</v>
      </c>
      <c r="AL1710" s="5" t="e">
        <f>(vp.data[[#This Row],[Sulf]]-INDEX(crudeBD.lkup[Mean_Sulf],MATCH(vp.data[[#This Row],[Crude_Breakdown]],crudeBD.lkup[Crude Breakdown],0)))^2</f>
        <v>#VALUE!</v>
      </c>
      <c r="AM1710" s="4">
        <f>IF(AND(vp.data[[#This Row],[SDate]]&gt;=DATE(YEAR(vp.data[[#This Row],[SDate]]),5,1),vp.data[[#This Row],[SDate]]&lt;=DATE(YEAR(vp.data[[#This Row],[SDate]]),9,15)),1,0)</f>
        <v>1</v>
      </c>
      <c r="AN1710" s="4">
        <f>IF(vp.data[[#This Row],[SDate]]&lt;DATE(2016,12,1),0,1)</f>
        <v>1</v>
      </c>
      <c r="AO1710" s="4" t="str">
        <f>IFERROR(vp.data[[#This Row],[Sulf]]*vp.data[[#This Row],[Net Dens]],"")</f>
        <v/>
      </c>
      <c r="AP1710" t="str">
        <f>IFERROR(vp.data[[#This Row],[Dens]]*vp.data[[#This Row],[VolumeM3]],"")</f>
        <v/>
      </c>
      <c r="AQ1710" s="15" t="str">
        <f>IFERROR(vp.data[[#This Row],[VP]]*vp.data[[#This Row],[VolumeM3]],"")</f>
        <v/>
      </c>
    </row>
    <row r="1711" spans="1:43" x14ac:dyDescent="0.25">
      <c r="A1711">
        <v>1710</v>
      </c>
      <c r="B1711" t="s">
        <v>53</v>
      </c>
      <c r="C1711" t="s">
        <v>53</v>
      </c>
      <c r="D1711" t="s">
        <v>54</v>
      </c>
      <c r="E1711" t="s">
        <v>289</v>
      </c>
      <c r="F1711" s="1">
        <v>42913</v>
      </c>
      <c r="G1711" s="2">
        <v>71.099999999999994</v>
      </c>
      <c r="H1711" s="2"/>
      <c r="I1711" s="2" t="str">
        <f t="array" ref="I171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1" s="2"/>
      <c r="K1711" s="2"/>
      <c r="L1711" s="2"/>
      <c r="M1711" s="2" t="str">
        <f t="array" ref="M171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1" s="2">
        <f ca="1">INDEX(INDIRECT(_xlfn.CONCAT("weather.tbl[",N$1,"]")),MATCH(vp.data[[#This Row],[SDate]],weather.tbl[Date],0))</f>
        <v>20.116666666666667</v>
      </c>
      <c r="O1711" s="2">
        <f ca="1">INDEX(INDIRECT(_xlfn.CONCAT("weather.tbl[",O$1,"]")),MATCH(vp.data[[#This Row],[SDate]],weather.tbl[Date],0))</f>
        <v>14.530952380952382</v>
      </c>
      <c r="P1711" s="2">
        <f ca="1">INDEX(INDIRECT(_xlfn.CONCAT("weather.tbl[",P$1,"]")),MATCH(vp.data[[#This Row],[SDate]],weather.tbl[Date],0))</f>
        <v>20.6</v>
      </c>
      <c r="Q1711" s="2">
        <f ca="1">INDEX(INDIRECT(_xlfn.CONCAT("weather.tbl[",Q$1,"]")),MATCH(vp.data[[#This Row],[SDate]],weather.tbl[Date],0))</f>
        <v>21.6</v>
      </c>
      <c r="R1711" s="2">
        <f ca="1">INDEX(INDIRECT(_xlfn.CONCAT("weather.tbl[",R$1,"]")),MATCH(vp.data[[#This Row],[SDate]],weather.tbl[Date],0))</f>
        <v>17.3</v>
      </c>
      <c r="S1711" s="2">
        <f ca="1">INDEX(INDIRECT(_xlfn.CONCAT("weather.tbl[",S$1,"]")),MATCH(vp.data[[#This Row],[SDate]],weather.tbl[Date],0))</f>
        <v>21.9</v>
      </c>
      <c r="T1711" s="2">
        <f ca="1">INDEX(INDIRECT(_xlfn.CONCAT("weather.tbl[",T$1,"]")),MATCH(vp.data[[#This Row],[SDate]],weather.tbl[Date],0))</f>
        <v>20</v>
      </c>
      <c r="U1711" s="2">
        <f ca="1">INDEX(INDIRECT(_xlfn.CONCAT("weather.tbl[",U$1,"]")),MATCH(vp.data[[#This Row],[SDate]],weather.tbl[Date],0))</f>
        <v>19.3</v>
      </c>
      <c r="V1711" s="2" t="str">
        <f t="array" ref="V171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1" t="s">
        <v>48</v>
      </c>
      <c r="X1711">
        <f>IF(OR(vp.data[[#This Row],[Sulf]]="",vp.data[[#This Row],[Dens]]=""),1,0)</f>
        <v>1</v>
      </c>
      <c r="Y1711">
        <f>IF(vp.data[[#This Row],[CrudeType]]="C5+",1,0)</f>
        <v>0</v>
      </c>
      <c r="Z1711">
        <f>IF(AND(vp.data[[#This Row],[CrudeType]]="Crude",vp.data[[#This Row],[Dens]]&lt;=825,vp.data[[#This Row],[Sulf]]&gt;0.5,vp.data[[#This Row],[Unknown]]=0),1,0)</f>
        <v>0</v>
      </c>
      <c r="AA1711">
        <f>IF(AND(vp.data[[#This Row],[CrudeType]]="Crude",vp.data[[#This Row],[Dens]]&lt;=825,vp.data[[#This Row],[Sulf]]&lt;=0.5,vp.data[[#This Row],[Unknown]]=0),1,0)</f>
        <v>0</v>
      </c>
      <c r="AB171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1">
        <f>IF(AND(vp.data[[#This Row],[CrudeType]]="Crude",vp.data[[#This Row],[Dens]]&gt;825,vp.data[[#This Row],[Dens]]&lt;=900,vp.data[[#This Row],[Sulf]]&lt;=0.5,vp.data[[#This Row],[Unknown]]=0),1,0)</f>
        <v>0</v>
      </c>
      <c r="AD1711">
        <f>IF(AND(vp.data[[#This Row],[CrudeType]]="Crude",vp.data[[#This Row],[Dens]]&gt;865,vp.data[[#This Row],[Dens]]&lt;=900,vp.data[[#This Row],[Sulf]]&gt;2,vp.data[[#This Row],[Unknown]]=0),1,0)</f>
        <v>0</v>
      </c>
      <c r="AE1711">
        <f>IF(AND(vp.data[[#This Row],[CrudeType]]="Crude",vp.data[[#This Row],[Dens]]&gt;900,vp.data[[#This Row],[Sulf]]&lt;=0.5,vp.data[[#This Row],[Unknown]]=0),1,0)</f>
        <v>0</v>
      </c>
      <c r="AF1711">
        <f>IF(AND(vp.data[[#This Row],[CrudeType]]="Crude",vp.data[[#This Row],[Dens]]&gt;900,vp.data[[#This Row],[Sulf]]&lt;=0.5,vp.data[[#This Row],[Unknown]]=0),1,0)</f>
        <v>0</v>
      </c>
      <c r="AG1711" t="str">
        <f>INDEX(vp.data[[#Headers],[Unknown]:[Heavy_SW]],MATCH(1,vp.data[[#This Row],[Unknown]:[Heavy_SW]],0))</f>
        <v>Unknown</v>
      </c>
      <c r="AH1711">
        <f>INDEX([3]!crudeBD.lkup[Number],MATCH(vp.data[[#This Row],[Crude_Breakdown]],crudeBD.lkup[Crude Breakdown],0))</f>
        <v>-1</v>
      </c>
      <c r="AI1711">
        <f>MONTH(vp.data[[#This Row],[SDate]])</f>
        <v>6</v>
      </c>
      <c r="AJ1711" s="5">
        <f>(vp.data[[#This Row],[VP]]-INDEX(crudeBD.lkup[Mean_VP],MATCH(vp.data[[#This Row],[Crude_Breakdown]],crudeBD.lkup[Crude Breakdown],0)))^2</f>
        <v>7.5357770735596405</v>
      </c>
      <c r="AK1711" s="5" t="e">
        <f>(vp.data[[#This Row],[Dens]]-INDEX(crudeBD.lkup[Mean_Dens],MATCH(vp.data[[#This Row],[Crude_Breakdown]],crudeBD.lkup[Crude Breakdown],0)))^2</f>
        <v>#VALUE!</v>
      </c>
      <c r="AL1711" s="5" t="e">
        <f>(vp.data[[#This Row],[Sulf]]-INDEX(crudeBD.lkup[Mean_Sulf],MATCH(vp.data[[#This Row],[Crude_Breakdown]],crudeBD.lkup[Crude Breakdown],0)))^2</f>
        <v>#VALUE!</v>
      </c>
      <c r="AM1711" s="4">
        <f>IF(AND(vp.data[[#This Row],[SDate]]&gt;=DATE(YEAR(vp.data[[#This Row],[SDate]]),5,1),vp.data[[#This Row],[SDate]]&lt;=DATE(YEAR(vp.data[[#This Row],[SDate]]),9,15)),1,0)</f>
        <v>1</v>
      </c>
      <c r="AN1711" s="4">
        <f>IF(vp.data[[#This Row],[SDate]]&lt;DATE(2016,12,1),0,1)</f>
        <v>1</v>
      </c>
      <c r="AO1711" s="4" t="str">
        <f>IFERROR(vp.data[[#This Row],[Sulf]]*vp.data[[#This Row],[Net Dens]],"")</f>
        <v/>
      </c>
      <c r="AP1711" t="str">
        <f>IFERROR(vp.data[[#This Row],[Dens]]*vp.data[[#This Row],[VolumeM3]],"")</f>
        <v/>
      </c>
      <c r="AQ1711" s="15" t="str">
        <f>IFERROR(vp.data[[#This Row],[VP]]*vp.data[[#This Row],[VolumeM3]],"")</f>
        <v/>
      </c>
    </row>
    <row r="1712" spans="1:43" x14ac:dyDescent="0.25">
      <c r="A1712">
        <v>1711</v>
      </c>
      <c r="B1712" t="s">
        <v>53</v>
      </c>
      <c r="C1712" t="s">
        <v>53</v>
      </c>
      <c r="D1712" t="s">
        <v>54</v>
      </c>
      <c r="E1712" t="s">
        <v>290</v>
      </c>
      <c r="F1712" s="1">
        <v>42913</v>
      </c>
      <c r="G1712" s="2">
        <v>71.599999999999994</v>
      </c>
      <c r="H1712" s="2"/>
      <c r="I1712" s="2" t="str">
        <f t="array" ref="I171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2" s="2"/>
      <c r="K1712" s="2"/>
      <c r="L1712" s="2"/>
      <c r="M1712" s="2" t="str">
        <f t="array" ref="M171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2" s="2">
        <f ca="1">INDEX(INDIRECT(_xlfn.CONCAT("weather.tbl[",N$1,"]")),MATCH(vp.data[[#This Row],[SDate]],weather.tbl[Date],0))</f>
        <v>20.116666666666667</v>
      </c>
      <c r="O1712" s="2">
        <f ca="1">INDEX(INDIRECT(_xlfn.CONCAT("weather.tbl[",O$1,"]")),MATCH(vp.data[[#This Row],[SDate]],weather.tbl[Date],0))</f>
        <v>14.530952380952382</v>
      </c>
      <c r="P1712" s="2">
        <f ca="1">INDEX(INDIRECT(_xlfn.CONCAT("weather.tbl[",P$1,"]")),MATCH(vp.data[[#This Row],[SDate]],weather.tbl[Date],0))</f>
        <v>20.6</v>
      </c>
      <c r="Q1712" s="2">
        <f ca="1">INDEX(INDIRECT(_xlfn.CONCAT("weather.tbl[",Q$1,"]")),MATCH(vp.data[[#This Row],[SDate]],weather.tbl[Date],0))</f>
        <v>21.6</v>
      </c>
      <c r="R1712" s="2">
        <f ca="1">INDEX(INDIRECT(_xlfn.CONCAT("weather.tbl[",R$1,"]")),MATCH(vp.data[[#This Row],[SDate]],weather.tbl[Date],0))</f>
        <v>17.3</v>
      </c>
      <c r="S1712" s="2">
        <f ca="1">INDEX(INDIRECT(_xlfn.CONCAT("weather.tbl[",S$1,"]")),MATCH(vp.data[[#This Row],[SDate]],weather.tbl[Date],0))</f>
        <v>21.9</v>
      </c>
      <c r="T1712" s="2">
        <f ca="1">INDEX(INDIRECT(_xlfn.CONCAT("weather.tbl[",T$1,"]")),MATCH(vp.data[[#This Row],[SDate]],weather.tbl[Date],0))</f>
        <v>20</v>
      </c>
      <c r="U1712" s="2">
        <f ca="1">INDEX(INDIRECT(_xlfn.CONCAT("weather.tbl[",U$1,"]")),MATCH(vp.data[[#This Row],[SDate]],weather.tbl[Date],0))</f>
        <v>19.3</v>
      </c>
      <c r="V1712" s="2" t="str">
        <f t="array" ref="V171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2" t="s">
        <v>48</v>
      </c>
      <c r="X1712">
        <f>IF(OR(vp.data[[#This Row],[Sulf]]="",vp.data[[#This Row],[Dens]]=""),1,0)</f>
        <v>1</v>
      </c>
      <c r="Y1712">
        <f>IF(vp.data[[#This Row],[CrudeType]]="C5+",1,0)</f>
        <v>0</v>
      </c>
      <c r="Z1712">
        <f>IF(AND(vp.data[[#This Row],[CrudeType]]="Crude",vp.data[[#This Row],[Dens]]&lt;=825,vp.data[[#This Row],[Sulf]]&gt;0.5,vp.data[[#This Row],[Unknown]]=0),1,0)</f>
        <v>0</v>
      </c>
      <c r="AA1712">
        <f>IF(AND(vp.data[[#This Row],[CrudeType]]="Crude",vp.data[[#This Row],[Dens]]&lt;=825,vp.data[[#This Row],[Sulf]]&lt;=0.5,vp.data[[#This Row],[Unknown]]=0),1,0)</f>
        <v>0</v>
      </c>
      <c r="AB171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2">
        <f>IF(AND(vp.data[[#This Row],[CrudeType]]="Crude",vp.data[[#This Row],[Dens]]&gt;825,vp.data[[#This Row],[Dens]]&lt;=900,vp.data[[#This Row],[Sulf]]&lt;=0.5,vp.data[[#This Row],[Unknown]]=0),1,0)</f>
        <v>0</v>
      </c>
      <c r="AD1712">
        <f>IF(AND(vp.data[[#This Row],[CrudeType]]="Crude",vp.data[[#This Row],[Dens]]&gt;865,vp.data[[#This Row],[Dens]]&lt;=900,vp.data[[#This Row],[Sulf]]&gt;2,vp.data[[#This Row],[Unknown]]=0),1,0)</f>
        <v>0</v>
      </c>
      <c r="AE1712">
        <f>IF(AND(vp.data[[#This Row],[CrudeType]]="Crude",vp.data[[#This Row],[Dens]]&gt;900,vp.data[[#This Row],[Sulf]]&lt;=0.5,vp.data[[#This Row],[Unknown]]=0),1,0)</f>
        <v>0</v>
      </c>
      <c r="AF1712">
        <f>IF(AND(vp.data[[#This Row],[CrudeType]]="Crude",vp.data[[#This Row],[Dens]]&gt;900,vp.data[[#This Row],[Sulf]]&lt;=0.5,vp.data[[#This Row],[Unknown]]=0),1,0)</f>
        <v>0</v>
      </c>
      <c r="AG1712" t="str">
        <f>INDEX(vp.data[[#Headers],[Unknown]:[Heavy_SW]],MATCH(1,vp.data[[#This Row],[Unknown]:[Heavy_SW]],0))</f>
        <v>Unknown</v>
      </c>
      <c r="AH1712">
        <f>INDEX([3]!crudeBD.lkup[Number],MATCH(vp.data[[#This Row],[Crude_Breakdown]],crudeBD.lkup[Crude Breakdown],0))</f>
        <v>-1</v>
      </c>
      <c r="AI1712">
        <f>MONTH(vp.data[[#This Row],[SDate]])</f>
        <v>6</v>
      </c>
      <c r="AJ1712" s="5">
        <f>(vp.data[[#This Row],[VP]]-INDEX(crudeBD.lkup[Mean_VP],MATCH(vp.data[[#This Row],[Crude_Breakdown]],crudeBD.lkup[Crude Breakdown],0)))^2</f>
        <v>5.0406400872582937</v>
      </c>
      <c r="AK1712" s="5" t="e">
        <f>(vp.data[[#This Row],[Dens]]-INDEX(crudeBD.lkup[Mean_Dens],MATCH(vp.data[[#This Row],[Crude_Breakdown]],crudeBD.lkup[Crude Breakdown],0)))^2</f>
        <v>#VALUE!</v>
      </c>
      <c r="AL1712" s="5" t="e">
        <f>(vp.data[[#This Row],[Sulf]]-INDEX(crudeBD.lkup[Mean_Sulf],MATCH(vp.data[[#This Row],[Crude_Breakdown]],crudeBD.lkup[Crude Breakdown],0)))^2</f>
        <v>#VALUE!</v>
      </c>
      <c r="AM1712" s="4">
        <f>IF(AND(vp.data[[#This Row],[SDate]]&gt;=DATE(YEAR(vp.data[[#This Row],[SDate]]),5,1),vp.data[[#This Row],[SDate]]&lt;=DATE(YEAR(vp.data[[#This Row],[SDate]]),9,15)),1,0)</f>
        <v>1</v>
      </c>
      <c r="AN1712" s="4">
        <f>IF(vp.data[[#This Row],[SDate]]&lt;DATE(2016,12,1),0,1)</f>
        <v>1</v>
      </c>
      <c r="AO1712" s="4" t="str">
        <f>IFERROR(vp.data[[#This Row],[Sulf]]*vp.data[[#This Row],[Net Dens]],"")</f>
        <v/>
      </c>
      <c r="AP1712" t="str">
        <f>IFERROR(vp.data[[#This Row],[Dens]]*vp.data[[#This Row],[VolumeM3]],"")</f>
        <v/>
      </c>
      <c r="AQ1712" s="15" t="str">
        <f>IFERROR(vp.data[[#This Row],[VP]]*vp.data[[#This Row],[VolumeM3]],"")</f>
        <v/>
      </c>
    </row>
    <row r="1713" spans="1:43" x14ac:dyDescent="0.25">
      <c r="A1713">
        <v>1712</v>
      </c>
      <c r="B1713" t="s">
        <v>64</v>
      </c>
      <c r="C1713" t="s">
        <v>64</v>
      </c>
      <c r="D1713" t="s">
        <v>65</v>
      </c>
      <c r="F1713" s="1">
        <v>42913</v>
      </c>
      <c r="G1713" s="2">
        <v>47.8</v>
      </c>
      <c r="H1713" s="2"/>
      <c r="I1713" s="2" t="str">
        <f t="array" ref="I171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3" s="2"/>
      <c r="K1713" s="2"/>
      <c r="L1713" s="2"/>
      <c r="M1713" s="2" t="str">
        <f t="array" ref="M171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3" s="2">
        <f ca="1">INDEX(INDIRECT(_xlfn.CONCAT("weather.tbl[",N$1,"]")),MATCH(vp.data[[#This Row],[SDate]],weather.tbl[Date],0))</f>
        <v>20.116666666666667</v>
      </c>
      <c r="O1713" s="2">
        <f ca="1">INDEX(INDIRECT(_xlfn.CONCAT("weather.tbl[",O$1,"]")),MATCH(vp.data[[#This Row],[SDate]],weather.tbl[Date],0))</f>
        <v>14.530952380952382</v>
      </c>
      <c r="P1713" s="2">
        <f ca="1">INDEX(INDIRECT(_xlfn.CONCAT("weather.tbl[",P$1,"]")),MATCH(vp.data[[#This Row],[SDate]],weather.tbl[Date],0))</f>
        <v>20.6</v>
      </c>
      <c r="Q1713" s="2">
        <f ca="1">INDEX(INDIRECT(_xlfn.CONCAT("weather.tbl[",Q$1,"]")),MATCH(vp.data[[#This Row],[SDate]],weather.tbl[Date],0))</f>
        <v>21.6</v>
      </c>
      <c r="R1713" s="2">
        <f ca="1">INDEX(INDIRECT(_xlfn.CONCAT("weather.tbl[",R$1,"]")),MATCH(vp.data[[#This Row],[SDate]],weather.tbl[Date],0))</f>
        <v>17.3</v>
      </c>
      <c r="S1713" s="2">
        <f ca="1">INDEX(INDIRECT(_xlfn.CONCAT("weather.tbl[",S$1,"]")),MATCH(vp.data[[#This Row],[SDate]],weather.tbl[Date],0))</f>
        <v>21.9</v>
      </c>
      <c r="T1713" s="2">
        <f ca="1">INDEX(INDIRECT(_xlfn.CONCAT("weather.tbl[",T$1,"]")),MATCH(vp.data[[#This Row],[SDate]],weather.tbl[Date],0))</f>
        <v>20</v>
      </c>
      <c r="U1713" s="2">
        <f ca="1">INDEX(INDIRECT(_xlfn.CONCAT("weather.tbl[",U$1,"]")),MATCH(vp.data[[#This Row],[SDate]],weather.tbl[Date],0))</f>
        <v>19.3</v>
      </c>
      <c r="V1713" s="2" t="str">
        <f t="array" ref="V171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3" t="s">
        <v>48</v>
      </c>
      <c r="X1713">
        <f>IF(OR(vp.data[[#This Row],[Sulf]]="",vp.data[[#This Row],[Dens]]=""),1,0)</f>
        <v>1</v>
      </c>
      <c r="Y1713">
        <f>IF(vp.data[[#This Row],[CrudeType]]="C5+",1,0)</f>
        <v>0</v>
      </c>
      <c r="Z1713">
        <f>IF(AND(vp.data[[#This Row],[CrudeType]]="Crude",vp.data[[#This Row],[Dens]]&lt;=825,vp.data[[#This Row],[Sulf]]&gt;0.5,vp.data[[#This Row],[Unknown]]=0),1,0)</f>
        <v>0</v>
      </c>
      <c r="AA1713">
        <f>IF(AND(vp.data[[#This Row],[CrudeType]]="Crude",vp.data[[#This Row],[Dens]]&lt;=825,vp.data[[#This Row],[Sulf]]&lt;=0.5,vp.data[[#This Row],[Unknown]]=0),1,0)</f>
        <v>0</v>
      </c>
      <c r="AB171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3">
        <f>IF(AND(vp.data[[#This Row],[CrudeType]]="Crude",vp.data[[#This Row],[Dens]]&gt;825,vp.data[[#This Row],[Dens]]&lt;=900,vp.data[[#This Row],[Sulf]]&lt;=0.5,vp.data[[#This Row],[Unknown]]=0),1,0)</f>
        <v>0</v>
      </c>
      <c r="AD1713">
        <f>IF(AND(vp.data[[#This Row],[CrudeType]]="Crude",vp.data[[#This Row],[Dens]]&gt;865,vp.data[[#This Row],[Dens]]&lt;=900,vp.data[[#This Row],[Sulf]]&gt;2,vp.data[[#This Row],[Unknown]]=0),1,0)</f>
        <v>0</v>
      </c>
      <c r="AE1713">
        <f>IF(AND(vp.data[[#This Row],[CrudeType]]="Crude",vp.data[[#This Row],[Dens]]&gt;900,vp.data[[#This Row],[Sulf]]&lt;=0.5,vp.data[[#This Row],[Unknown]]=0),1,0)</f>
        <v>0</v>
      </c>
      <c r="AF1713">
        <f>IF(AND(vp.data[[#This Row],[CrudeType]]="Crude",vp.data[[#This Row],[Dens]]&gt;900,vp.data[[#This Row],[Sulf]]&lt;=0.5,vp.data[[#This Row],[Unknown]]=0),1,0)</f>
        <v>0</v>
      </c>
      <c r="AG1713" t="str">
        <f>INDEX(vp.data[[#Headers],[Unknown]:[Heavy_SW]],MATCH(1,vp.data[[#This Row],[Unknown]:[Heavy_SW]],0))</f>
        <v>Unknown</v>
      </c>
      <c r="AH1713">
        <f>INDEX([3]!crudeBD.lkup[Number],MATCH(vp.data[[#This Row],[Crude_Breakdown]],crudeBD.lkup[Crude Breakdown],0))</f>
        <v>-1</v>
      </c>
      <c r="AI1713">
        <f>MONTH(vp.data[[#This Row],[SDate]])</f>
        <v>6</v>
      </c>
      <c r="AJ1713" s="5">
        <f>(vp.data[[#This Row],[VP]]-INDEX(crudeBD.lkup[Mean_VP],MATCH(vp.data[[#This Row],[Crude_Breakdown]],crudeBD.lkup[Crude Breakdown],0)))^2</f>
        <v>678.34916063520222</v>
      </c>
      <c r="AK1713" s="5" t="e">
        <f>(vp.data[[#This Row],[Dens]]-INDEX(crudeBD.lkup[Mean_Dens],MATCH(vp.data[[#This Row],[Crude_Breakdown]],crudeBD.lkup[Crude Breakdown],0)))^2</f>
        <v>#VALUE!</v>
      </c>
      <c r="AL1713" s="5" t="e">
        <f>(vp.data[[#This Row],[Sulf]]-INDEX(crudeBD.lkup[Mean_Sulf],MATCH(vp.data[[#This Row],[Crude_Breakdown]],crudeBD.lkup[Crude Breakdown],0)))^2</f>
        <v>#VALUE!</v>
      </c>
      <c r="AM1713" s="4">
        <f>IF(AND(vp.data[[#This Row],[SDate]]&gt;=DATE(YEAR(vp.data[[#This Row],[SDate]]),5,1),vp.data[[#This Row],[SDate]]&lt;=DATE(YEAR(vp.data[[#This Row],[SDate]]),9,15)),1,0)</f>
        <v>1</v>
      </c>
      <c r="AN1713" s="4">
        <f>IF(vp.data[[#This Row],[SDate]]&lt;DATE(2016,12,1),0,1)</f>
        <v>1</v>
      </c>
      <c r="AO1713" s="4" t="str">
        <f>IFERROR(vp.data[[#This Row],[Sulf]]*vp.data[[#This Row],[Net Dens]],"")</f>
        <v/>
      </c>
      <c r="AP1713" t="str">
        <f>IFERROR(vp.data[[#This Row],[Dens]]*vp.data[[#This Row],[VolumeM3]],"")</f>
        <v/>
      </c>
      <c r="AQ1713" s="15" t="str">
        <f>IFERROR(vp.data[[#This Row],[VP]]*vp.data[[#This Row],[VolumeM3]],"")</f>
        <v/>
      </c>
    </row>
    <row r="1714" spans="1:43" x14ac:dyDescent="0.25">
      <c r="A1714">
        <v>1713</v>
      </c>
      <c r="B1714" t="s">
        <v>60</v>
      </c>
      <c r="C1714" t="s">
        <v>60</v>
      </c>
      <c r="D1714" t="s">
        <v>61</v>
      </c>
      <c r="E1714" t="s">
        <v>289</v>
      </c>
      <c r="F1714" s="1">
        <v>42913</v>
      </c>
      <c r="G1714" s="2">
        <v>85.3</v>
      </c>
      <c r="H1714" s="2"/>
      <c r="I1714" s="2" t="str">
        <f t="array" ref="I171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4" s="2"/>
      <c r="K1714" s="2"/>
      <c r="L1714" s="2"/>
      <c r="M1714" s="2" t="str">
        <f t="array" ref="M171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4" s="2">
        <f ca="1">INDEX(INDIRECT(_xlfn.CONCAT("weather.tbl[",N$1,"]")),MATCH(vp.data[[#This Row],[SDate]],weather.tbl[Date],0))</f>
        <v>20.116666666666667</v>
      </c>
      <c r="O1714" s="2">
        <f ca="1">INDEX(INDIRECT(_xlfn.CONCAT("weather.tbl[",O$1,"]")),MATCH(vp.data[[#This Row],[SDate]],weather.tbl[Date],0))</f>
        <v>14.530952380952382</v>
      </c>
      <c r="P1714" s="2">
        <f ca="1">INDEX(INDIRECT(_xlfn.CONCAT("weather.tbl[",P$1,"]")),MATCH(vp.data[[#This Row],[SDate]],weather.tbl[Date],0))</f>
        <v>20.6</v>
      </c>
      <c r="Q1714" s="2">
        <f ca="1">INDEX(INDIRECT(_xlfn.CONCAT("weather.tbl[",Q$1,"]")),MATCH(vp.data[[#This Row],[SDate]],weather.tbl[Date],0))</f>
        <v>21.6</v>
      </c>
      <c r="R1714" s="2">
        <f ca="1">INDEX(INDIRECT(_xlfn.CONCAT("weather.tbl[",R$1,"]")),MATCH(vp.data[[#This Row],[SDate]],weather.tbl[Date],0))</f>
        <v>17.3</v>
      </c>
      <c r="S1714" s="2">
        <f ca="1">INDEX(INDIRECT(_xlfn.CONCAT("weather.tbl[",S$1,"]")),MATCH(vp.data[[#This Row],[SDate]],weather.tbl[Date],0))</f>
        <v>21.9</v>
      </c>
      <c r="T1714" s="2">
        <f ca="1">INDEX(INDIRECT(_xlfn.CONCAT("weather.tbl[",T$1,"]")),MATCH(vp.data[[#This Row],[SDate]],weather.tbl[Date],0))</f>
        <v>20</v>
      </c>
      <c r="U1714" s="2">
        <f ca="1">INDEX(INDIRECT(_xlfn.CONCAT("weather.tbl[",U$1,"]")),MATCH(vp.data[[#This Row],[SDate]],weather.tbl[Date],0))</f>
        <v>19.3</v>
      </c>
      <c r="V1714" s="2" t="str">
        <f t="array" ref="V171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4" t="s">
        <v>48</v>
      </c>
      <c r="X1714">
        <f>IF(OR(vp.data[[#This Row],[Sulf]]="",vp.data[[#This Row],[Dens]]=""),1,0)</f>
        <v>1</v>
      </c>
      <c r="Y1714">
        <f>IF(vp.data[[#This Row],[CrudeType]]="C5+",1,0)</f>
        <v>0</v>
      </c>
      <c r="Z1714">
        <f>IF(AND(vp.data[[#This Row],[CrudeType]]="Crude",vp.data[[#This Row],[Dens]]&lt;=825,vp.data[[#This Row],[Sulf]]&gt;0.5,vp.data[[#This Row],[Unknown]]=0),1,0)</f>
        <v>0</v>
      </c>
      <c r="AA1714">
        <f>IF(AND(vp.data[[#This Row],[CrudeType]]="Crude",vp.data[[#This Row],[Dens]]&lt;=825,vp.data[[#This Row],[Sulf]]&lt;=0.5,vp.data[[#This Row],[Unknown]]=0),1,0)</f>
        <v>0</v>
      </c>
      <c r="AB171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4">
        <f>IF(AND(vp.data[[#This Row],[CrudeType]]="Crude",vp.data[[#This Row],[Dens]]&gt;825,vp.data[[#This Row],[Dens]]&lt;=900,vp.data[[#This Row],[Sulf]]&lt;=0.5,vp.data[[#This Row],[Unknown]]=0),1,0)</f>
        <v>0</v>
      </c>
      <c r="AD1714">
        <f>IF(AND(vp.data[[#This Row],[CrudeType]]="Crude",vp.data[[#This Row],[Dens]]&gt;865,vp.data[[#This Row],[Dens]]&lt;=900,vp.data[[#This Row],[Sulf]]&gt;2,vp.data[[#This Row],[Unknown]]=0),1,0)</f>
        <v>0</v>
      </c>
      <c r="AE1714">
        <f>IF(AND(vp.data[[#This Row],[CrudeType]]="Crude",vp.data[[#This Row],[Dens]]&gt;900,vp.data[[#This Row],[Sulf]]&lt;=0.5,vp.data[[#This Row],[Unknown]]=0),1,0)</f>
        <v>0</v>
      </c>
      <c r="AF1714">
        <f>IF(AND(vp.data[[#This Row],[CrudeType]]="Crude",vp.data[[#This Row],[Dens]]&gt;900,vp.data[[#This Row],[Sulf]]&lt;=0.5,vp.data[[#This Row],[Unknown]]=0),1,0)</f>
        <v>0</v>
      </c>
      <c r="AG1714" t="str">
        <f>INDEX(vp.data[[#Headers],[Unknown]:[Heavy_SW]],MATCH(1,vp.data[[#This Row],[Unknown]:[Heavy_SW]],0))</f>
        <v>Unknown</v>
      </c>
      <c r="AH1714">
        <f>INDEX([3]!crudeBD.lkup[Number],MATCH(vp.data[[#This Row],[Crude_Breakdown]],crudeBD.lkup[Crude Breakdown],0))</f>
        <v>-1</v>
      </c>
      <c r="AI1714">
        <f>MONTH(vp.data[[#This Row],[SDate]])</f>
        <v>6</v>
      </c>
      <c r="AJ1714" s="5">
        <f>(vp.data[[#This Row],[VP]]-INDEX(crudeBD.lkup[Mean_VP],MATCH(vp.data[[#This Row],[Crude_Breakdown]],crudeBD.lkup[Crude Breakdown],0)))^2</f>
        <v>131.21388666260145</v>
      </c>
      <c r="AK1714" s="5" t="e">
        <f>(vp.data[[#This Row],[Dens]]-INDEX(crudeBD.lkup[Mean_Dens],MATCH(vp.data[[#This Row],[Crude_Breakdown]],crudeBD.lkup[Crude Breakdown],0)))^2</f>
        <v>#VALUE!</v>
      </c>
      <c r="AL1714" s="5" t="e">
        <f>(vp.data[[#This Row],[Sulf]]-INDEX(crudeBD.lkup[Mean_Sulf],MATCH(vp.data[[#This Row],[Crude_Breakdown]],crudeBD.lkup[Crude Breakdown],0)))^2</f>
        <v>#VALUE!</v>
      </c>
      <c r="AM1714" s="4">
        <f>IF(AND(vp.data[[#This Row],[SDate]]&gt;=DATE(YEAR(vp.data[[#This Row],[SDate]]),5,1),vp.data[[#This Row],[SDate]]&lt;=DATE(YEAR(vp.data[[#This Row],[SDate]]),9,15)),1,0)</f>
        <v>1</v>
      </c>
      <c r="AN1714" s="4">
        <f>IF(vp.data[[#This Row],[SDate]]&lt;DATE(2016,12,1),0,1)</f>
        <v>1</v>
      </c>
      <c r="AO1714" s="4" t="str">
        <f>IFERROR(vp.data[[#This Row],[Sulf]]*vp.data[[#This Row],[Net Dens]],"")</f>
        <v/>
      </c>
      <c r="AP1714" t="str">
        <f>IFERROR(vp.data[[#This Row],[Dens]]*vp.data[[#This Row],[VolumeM3]],"")</f>
        <v/>
      </c>
      <c r="AQ1714" s="15" t="str">
        <f>IFERROR(vp.data[[#This Row],[VP]]*vp.data[[#This Row],[VolumeM3]],"")</f>
        <v/>
      </c>
    </row>
    <row r="1715" spans="1:43" x14ac:dyDescent="0.25">
      <c r="A1715">
        <v>1714</v>
      </c>
      <c r="B1715" t="s">
        <v>60</v>
      </c>
      <c r="C1715" t="s">
        <v>60</v>
      </c>
      <c r="D1715" t="s">
        <v>61</v>
      </c>
      <c r="E1715" t="s">
        <v>290</v>
      </c>
      <c r="F1715" s="1">
        <v>42913</v>
      </c>
      <c r="G1715" s="2">
        <v>75.099999999999994</v>
      </c>
      <c r="H1715" s="2"/>
      <c r="I1715" s="2" t="str">
        <f t="array" ref="I171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5" s="2"/>
      <c r="K1715" s="2"/>
      <c r="L1715" s="2"/>
      <c r="M1715" s="2" t="str">
        <f t="array" ref="M171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5" s="2">
        <f ca="1">INDEX(INDIRECT(_xlfn.CONCAT("weather.tbl[",N$1,"]")),MATCH(vp.data[[#This Row],[SDate]],weather.tbl[Date],0))</f>
        <v>20.116666666666667</v>
      </c>
      <c r="O1715" s="2">
        <f ca="1">INDEX(INDIRECT(_xlfn.CONCAT("weather.tbl[",O$1,"]")),MATCH(vp.data[[#This Row],[SDate]],weather.tbl[Date],0))</f>
        <v>14.530952380952382</v>
      </c>
      <c r="P1715" s="2">
        <f ca="1">INDEX(INDIRECT(_xlfn.CONCAT("weather.tbl[",P$1,"]")),MATCH(vp.data[[#This Row],[SDate]],weather.tbl[Date],0))</f>
        <v>20.6</v>
      </c>
      <c r="Q1715" s="2">
        <f ca="1">INDEX(INDIRECT(_xlfn.CONCAT("weather.tbl[",Q$1,"]")),MATCH(vp.data[[#This Row],[SDate]],weather.tbl[Date],0))</f>
        <v>21.6</v>
      </c>
      <c r="R1715" s="2">
        <f ca="1">INDEX(INDIRECT(_xlfn.CONCAT("weather.tbl[",R$1,"]")),MATCH(vp.data[[#This Row],[SDate]],weather.tbl[Date],0))</f>
        <v>17.3</v>
      </c>
      <c r="S1715" s="2">
        <f ca="1">INDEX(INDIRECT(_xlfn.CONCAT("weather.tbl[",S$1,"]")),MATCH(vp.data[[#This Row],[SDate]],weather.tbl[Date],0))</f>
        <v>21.9</v>
      </c>
      <c r="T1715" s="2">
        <f ca="1">INDEX(INDIRECT(_xlfn.CONCAT("weather.tbl[",T$1,"]")),MATCH(vp.data[[#This Row],[SDate]],weather.tbl[Date],0))</f>
        <v>20</v>
      </c>
      <c r="U1715" s="2">
        <f ca="1">INDEX(INDIRECT(_xlfn.CONCAT("weather.tbl[",U$1,"]")),MATCH(vp.data[[#This Row],[SDate]],weather.tbl[Date],0))</f>
        <v>19.3</v>
      </c>
      <c r="V1715" s="2" t="str">
        <f t="array" ref="V171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5" t="s">
        <v>48</v>
      </c>
      <c r="X1715">
        <f>IF(OR(vp.data[[#This Row],[Sulf]]="",vp.data[[#This Row],[Dens]]=""),1,0)</f>
        <v>1</v>
      </c>
      <c r="Y1715">
        <f>IF(vp.data[[#This Row],[CrudeType]]="C5+",1,0)</f>
        <v>0</v>
      </c>
      <c r="Z1715">
        <f>IF(AND(vp.data[[#This Row],[CrudeType]]="Crude",vp.data[[#This Row],[Dens]]&lt;=825,vp.data[[#This Row],[Sulf]]&gt;0.5,vp.data[[#This Row],[Unknown]]=0),1,0)</f>
        <v>0</v>
      </c>
      <c r="AA1715">
        <f>IF(AND(vp.data[[#This Row],[CrudeType]]="Crude",vp.data[[#This Row],[Dens]]&lt;=825,vp.data[[#This Row],[Sulf]]&lt;=0.5,vp.data[[#This Row],[Unknown]]=0),1,0)</f>
        <v>0</v>
      </c>
      <c r="AB171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5">
        <f>IF(AND(vp.data[[#This Row],[CrudeType]]="Crude",vp.data[[#This Row],[Dens]]&gt;825,vp.data[[#This Row],[Dens]]&lt;=900,vp.data[[#This Row],[Sulf]]&lt;=0.5,vp.data[[#This Row],[Unknown]]=0),1,0)</f>
        <v>0</v>
      </c>
      <c r="AD1715">
        <f>IF(AND(vp.data[[#This Row],[CrudeType]]="Crude",vp.data[[#This Row],[Dens]]&gt;865,vp.data[[#This Row],[Dens]]&lt;=900,vp.data[[#This Row],[Sulf]]&gt;2,vp.data[[#This Row],[Unknown]]=0),1,0)</f>
        <v>0</v>
      </c>
      <c r="AE1715">
        <f>IF(AND(vp.data[[#This Row],[CrudeType]]="Crude",vp.data[[#This Row],[Dens]]&gt;900,vp.data[[#This Row],[Sulf]]&lt;=0.5,vp.data[[#This Row],[Unknown]]=0),1,0)</f>
        <v>0</v>
      </c>
      <c r="AF1715">
        <f>IF(AND(vp.data[[#This Row],[CrudeType]]="Crude",vp.data[[#This Row],[Dens]]&gt;900,vp.data[[#This Row],[Sulf]]&lt;=0.5,vp.data[[#This Row],[Unknown]]=0),1,0)</f>
        <v>0</v>
      </c>
      <c r="AG1715" t="str">
        <f>INDEX(vp.data[[#Headers],[Unknown]:[Heavy_SW]],MATCH(1,vp.data[[#This Row],[Unknown]:[Heavy_SW]],0))</f>
        <v>Unknown</v>
      </c>
      <c r="AH1715">
        <f>INDEX([3]!crudeBD.lkup[Number],MATCH(vp.data[[#This Row],[Crude_Breakdown]],crudeBD.lkup[Crude Breakdown],0))</f>
        <v>-1</v>
      </c>
      <c r="AI1715">
        <f>MONTH(vp.data[[#This Row],[SDate]])</f>
        <v>6</v>
      </c>
      <c r="AJ1715" s="5">
        <f>(vp.data[[#This Row],[VP]]-INDEX(crudeBD.lkup[Mean_VP],MATCH(vp.data[[#This Row],[Crude_Breakdown]],crudeBD.lkup[Crude Breakdown],0)))^2</f>
        <v>1.5746811831488663</v>
      </c>
      <c r="AK1715" s="5" t="e">
        <f>(vp.data[[#This Row],[Dens]]-INDEX(crudeBD.lkup[Mean_Dens],MATCH(vp.data[[#This Row],[Crude_Breakdown]],crudeBD.lkup[Crude Breakdown],0)))^2</f>
        <v>#VALUE!</v>
      </c>
      <c r="AL1715" s="5" t="e">
        <f>(vp.data[[#This Row],[Sulf]]-INDEX(crudeBD.lkup[Mean_Sulf],MATCH(vp.data[[#This Row],[Crude_Breakdown]],crudeBD.lkup[Crude Breakdown],0)))^2</f>
        <v>#VALUE!</v>
      </c>
      <c r="AM1715" s="4">
        <f>IF(AND(vp.data[[#This Row],[SDate]]&gt;=DATE(YEAR(vp.data[[#This Row],[SDate]]),5,1),vp.data[[#This Row],[SDate]]&lt;=DATE(YEAR(vp.data[[#This Row],[SDate]]),9,15)),1,0)</f>
        <v>1</v>
      </c>
      <c r="AN1715" s="4">
        <f>IF(vp.data[[#This Row],[SDate]]&lt;DATE(2016,12,1),0,1)</f>
        <v>1</v>
      </c>
      <c r="AO1715" s="4" t="str">
        <f>IFERROR(vp.data[[#This Row],[Sulf]]*vp.data[[#This Row],[Net Dens]],"")</f>
        <v/>
      </c>
      <c r="AP1715" t="str">
        <f>IFERROR(vp.data[[#This Row],[Dens]]*vp.data[[#This Row],[VolumeM3]],"")</f>
        <v/>
      </c>
      <c r="AQ1715" s="15" t="str">
        <f>IFERROR(vp.data[[#This Row],[VP]]*vp.data[[#This Row],[VolumeM3]],"")</f>
        <v/>
      </c>
    </row>
    <row r="1716" spans="1:43" x14ac:dyDescent="0.25">
      <c r="A1716">
        <v>1715</v>
      </c>
      <c r="B1716" t="s">
        <v>51</v>
      </c>
      <c r="C1716" t="s">
        <v>51</v>
      </c>
      <c r="D1716" t="s">
        <v>72</v>
      </c>
      <c r="F1716" s="1">
        <v>42914</v>
      </c>
      <c r="G1716" s="2">
        <v>71.5</v>
      </c>
      <c r="H1716" s="2"/>
      <c r="I1716" s="2" t="str">
        <f t="array" ref="I171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6" s="2"/>
      <c r="K1716" s="2"/>
      <c r="L1716" s="2"/>
      <c r="M1716" s="2" t="str">
        <f t="array" ref="M171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6" s="2">
        <f ca="1">INDEX(INDIRECT(_xlfn.CONCAT("weather.tbl[",N$1,"]")),MATCH(vp.data[[#This Row],[SDate]],weather.tbl[Date],0))</f>
        <v>16.833333333333332</v>
      </c>
      <c r="O1716" s="2">
        <f ca="1">INDEX(INDIRECT(_xlfn.CONCAT("weather.tbl[",O$1,"]")),MATCH(vp.data[[#This Row],[SDate]],weather.tbl[Date],0))</f>
        <v>14.397619047619045</v>
      </c>
      <c r="P1716" s="2">
        <f ca="1">INDEX(INDIRECT(_xlfn.CONCAT("weather.tbl[",P$1,"]")),MATCH(vp.data[[#This Row],[SDate]],weather.tbl[Date],0))</f>
        <v>16.8</v>
      </c>
      <c r="Q1716" s="2">
        <f ca="1">INDEX(INDIRECT(_xlfn.CONCAT("weather.tbl[",Q$1,"]")),MATCH(vp.data[[#This Row],[SDate]],weather.tbl[Date],0))</f>
        <v>15.2</v>
      </c>
      <c r="R1716" s="2">
        <f ca="1">INDEX(INDIRECT(_xlfn.CONCAT("weather.tbl[",R$1,"]")),MATCH(vp.data[[#This Row],[SDate]],weather.tbl[Date],0))</f>
        <v>17</v>
      </c>
      <c r="S1716" s="2">
        <f ca="1">INDEX(INDIRECT(_xlfn.CONCAT("weather.tbl[",S$1,"]")),MATCH(vp.data[[#This Row],[SDate]],weather.tbl[Date],0))</f>
        <v>16.2</v>
      </c>
      <c r="T1716" s="2">
        <f ca="1">INDEX(INDIRECT(_xlfn.CONCAT("weather.tbl[",T$1,"]")),MATCH(vp.data[[#This Row],[SDate]],weather.tbl[Date],0))</f>
        <v>19.5</v>
      </c>
      <c r="U1716" s="2">
        <f ca="1">INDEX(INDIRECT(_xlfn.CONCAT("weather.tbl[",U$1,"]")),MATCH(vp.data[[#This Row],[SDate]],weather.tbl[Date],0))</f>
        <v>16.3</v>
      </c>
      <c r="V1716" s="2" t="str">
        <f t="array" ref="V171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6" t="s">
        <v>48</v>
      </c>
      <c r="X1716">
        <f>IF(OR(vp.data[[#This Row],[Sulf]]="",vp.data[[#This Row],[Dens]]=""),1,0)</f>
        <v>1</v>
      </c>
      <c r="Y1716">
        <f>IF(vp.data[[#This Row],[CrudeType]]="C5+",1,0)</f>
        <v>0</v>
      </c>
      <c r="Z1716">
        <f>IF(AND(vp.data[[#This Row],[CrudeType]]="Crude",vp.data[[#This Row],[Dens]]&lt;=825,vp.data[[#This Row],[Sulf]]&gt;0.5,vp.data[[#This Row],[Unknown]]=0),1,0)</f>
        <v>0</v>
      </c>
      <c r="AA1716">
        <f>IF(AND(vp.data[[#This Row],[CrudeType]]="Crude",vp.data[[#This Row],[Dens]]&lt;=825,vp.data[[#This Row],[Sulf]]&lt;=0.5,vp.data[[#This Row],[Unknown]]=0),1,0)</f>
        <v>0</v>
      </c>
      <c r="AB171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6">
        <f>IF(AND(vp.data[[#This Row],[CrudeType]]="Crude",vp.data[[#This Row],[Dens]]&gt;825,vp.data[[#This Row],[Dens]]&lt;=900,vp.data[[#This Row],[Sulf]]&lt;=0.5,vp.data[[#This Row],[Unknown]]=0),1,0)</f>
        <v>0</v>
      </c>
      <c r="AD1716">
        <f>IF(AND(vp.data[[#This Row],[CrudeType]]="Crude",vp.data[[#This Row],[Dens]]&gt;865,vp.data[[#This Row],[Dens]]&lt;=900,vp.data[[#This Row],[Sulf]]&gt;2,vp.data[[#This Row],[Unknown]]=0),1,0)</f>
        <v>0</v>
      </c>
      <c r="AE1716">
        <f>IF(AND(vp.data[[#This Row],[CrudeType]]="Crude",vp.data[[#This Row],[Dens]]&gt;900,vp.data[[#This Row],[Sulf]]&lt;=0.5,vp.data[[#This Row],[Unknown]]=0),1,0)</f>
        <v>0</v>
      </c>
      <c r="AF1716">
        <f>IF(AND(vp.data[[#This Row],[CrudeType]]="Crude",vp.data[[#This Row],[Dens]]&gt;900,vp.data[[#This Row],[Sulf]]&lt;=0.5,vp.data[[#This Row],[Unknown]]=0),1,0)</f>
        <v>0</v>
      </c>
      <c r="AG1716" t="str">
        <f>INDEX(vp.data[[#Headers],[Unknown]:[Heavy_SW]],MATCH(1,vp.data[[#This Row],[Unknown]:[Heavy_SW]],0))</f>
        <v>Unknown</v>
      </c>
      <c r="AH1716">
        <f>INDEX([3]!crudeBD.lkup[Number],MATCH(vp.data[[#This Row],[Crude_Breakdown]],crudeBD.lkup[Crude Breakdown],0))</f>
        <v>-1</v>
      </c>
      <c r="AI1716">
        <f>MONTH(vp.data[[#This Row],[SDate]])</f>
        <v>6</v>
      </c>
      <c r="AJ1716" s="5">
        <f>(vp.data[[#This Row],[VP]]-INDEX(crudeBD.lkup[Mean_VP],MATCH(vp.data[[#This Row],[Crude_Breakdown]],crudeBD.lkup[Crude Breakdown],0)))^2</f>
        <v>5.4996674845185369</v>
      </c>
      <c r="AK1716" s="5" t="e">
        <f>(vp.data[[#This Row],[Dens]]-INDEX(crudeBD.lkup[Mean_Dens],MATCH(vp.data[[#This Row],[Crude_Breakdown]],crudeBD.lkup[Crude Breakdown],0)))^2</f>
        <v>#VALUE!</v>
      </c>
      <c r="AL1716" s="5" t="e">
        <f>(vp.data[[#This Row],[Sulf]]-INDEX(crudeBD.lkup[Mean_Sulf],MATCH(vp.data[[#This Row],[Crude_Breakdown]],crudeBD.lkup[Crude Breakdown],0)))^2</f>
        <v>#VALUE!</v>
      </c>
      <c r="AM1716" s="4">
        <f>IF(AND(vp.data[[#This Row],[SDate]]&gt;=DATE(YEAR(vp.data[[#This Row],[SDate]]),5,1),vp.data[[#This Row],[SDate]]&lt;=DATE(YEAR(vp.data[[#This Row],[SDate]]),9,15)),1,0)</f>
        <v>1</v>
      </c>
      <c r="AN1716" s="4">
        <f>IF(vp.data[[#This Row],[SDate]]&lt;DATE(2016,12,1),0,1)</f>
        <v>1</v>
      </c>
      <c r="AO1716" s="4" t="str">
        <f>IFERROR(vp.data[[#This Row],[Sulf]]*vp.data[[#This Row],[Net Dens]],"")</f>
        <v/>
      </c>
      <c r="AP1716" t="str">
        <f>IFERROR(vp.data[[#This Row],[Dens]]*vp.data[[#This Row],[VolumeM3]],"")</f>
        <v/>
      </c>
      <c r="AQ1716" s="15" t="str">
        <f>IFERROR(vp.data[[#This Row],[VP]]*vp.data[[#This Row],[VolumeM3]],"")</f>
        <v/>
      </c>
    </row>
    <row r="1717" spans="1:43" x14ac:dyDescent="0.25">
      <c r="A1717">
        <v>1716</v>
      </c>
      <c r="B1717" t="s">
        <v>68</v>
      </c>
      <c r="C1717" t="s">
        <v>68</v>
      </c>
      <c r="D1717" t="s">
        <v>69</v>
      </c>
      <c r="F1717" s="1">
        <v>42914</v>
      </c>
      <c r="G1717" s="2">
        <v>71.099999999999994</v>
      </c>
      <c r="H1717" s="2"/>
      <c r="I1717" s="2" t="str">
        <f t="array" ref="I171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7" s="2"/>
      <c r="K1717" s="2"/>
      <c r="L1717" s="2"/>
      <c r="M1717" s="2" t="str">
        <f t="array" ref="M171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7" s="2">
        <f ca="1">INDEX(INDIRECT(_xlfn.CONCAT("weather.tbl[",N$1,"]")),MATCH(vp.data[[#This Row],[SDate]],weather.tbl[Date],0))</f>
        <v>16.833333333333332</v>
      </c>
      <c r="O1717" s="2">
        <f ca="1">INDEX(INDIRECT(_xlfn.CONCAT("weather.tbl[",O$1,"]")),MATCH(vp.data[[#This Row],[SDate]],weather.tbl[Date],0))</f>
        <v>14.397619047619045</v>
      </c>
      <c r="P1717" s="2">
        <f ca="1">INDEX(INDIRECT(_xlfn.CONCAT("weather.tbl[",P$1,"]")),MATCH(vp.data[[#This Row],[SDate]],weather.tbl[Date],0))</f>
        <v>16.8</v>
      </c>
      <c r="Q1717" s="2">
        <f ca="1">INDEX(INDIRECT(_xlfn.CONCAT("weather.tbl[",Q$1,"]")),MATCH(vp.data[[#This Row],[SDate]],weather.tbl[Date],0))</f>
        <v>15.2</v>
      </c>
      <c r="R1717" s="2">
        <f ca="1">INDEX(INDIRECT(_xlfn.CONCAT("weather.tbl[",R$1,"]")),MATCH(vp.data[[#This Row],[SDate]],weather.tbl[Date],0))</f>
        <v>17</v>
      </c>
      <c r="S1717" s="2">
        <f ca="1">INDEX(INDIRECT(_xlfn.CONCAT("weather.tbl[",S$1,"]")),MATCH(vp.data[[#This Row],[SDate]],weather.tbl[Date],0))</f>
        <v>16.2</v>
      </c>
      <c r="T1717" s="2">
        <f ca="1">INDEX(INDIRECT(_xlfn.CONCAT("weather.tbl[",T$1,"]")),MATCH(vp.data[[#This Row],[SDate]],weather.tbl[Date],0))</f>
        <v>19.5</v>
      </c>
      <c r="U1717" s="2">
        <f ca="1">INDEX(INDIRECT(_xlfn.CONCAT("weather.tbl[",U$1,"]")),MATCH(vp.data[[#This Row],[SDate]],weather.tbl[Date],0))</f>
        <v>16.3</v>
      </c>
      <c r="V1717" s="2" t="str">
        <f t="array" ref="V171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7" t="s">
        <v>48</v>
      </c>
      <c r="X1717">
        <f>IF(OR(vp.data[[#This Row],[Sulf]]="",vp.data[[#This Row],[Dens]]=""),1,0)</f>
        <v>1</v>
      </c>
      <c r="Y1717">
        <f>IF(vp.data[[#This Row],[CrudeType]]="C5+",1,0)</f>
        <v>0</v>
      </c>
      <c r="Z1717">
        <f>IF(AND(vp.data[[#This Row],[CrudeType]]="Crude",vp.data[[#This Row],[Dens]]&lt;=825,vp.data[[#This Row],[Sulf]]&gt;0.5,vp.data[[#This Row],[Unknown]]=0),1,0)</f>
        <v>0</v>
      </c>
      <c r="AA1717">
        <f>IF(AND(vp.data[[#This Row],[CrudeType]]="Crude",vp.data[[#This Row],[Dens]]&lt;=825,vp.data[[#This Row],[Sulf]]&lt;=0.5,vp.data[[#This Row],[Unknown]]=0),1,0)</f>
        <v>0</v>
      </c>
      <c r="AB171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7">
        <f>IF(AND(vp.data[[#This Row],[CrudeType]]="Crude",vp.data[[#This Row],[Dens]]&gt;825,vp.data[[#This Row],[Dens]]&lt;=900,vp.data[[#This Row],[Sulf]]&lt;=0.5,vp.data[[#This Row],[Unknown]]=0),1,0)</f>
        <v>0</v>
      </c>
      <c r="AD1717">
        <f>IF(AND(vp.data[[#This Row],[CrudeType]]="Crude",vp.data[[#This Row],[Dens]]&gt;865,vp.data[[#This Row],[Dens]]&lt;=900,vp.data[[#This Row],[Sulf]]&gt;2,vp.data[[#This Row],[Unknown]]=0),1,0)</f>
        <v>0</v>
      </c>
      <c r="AE1717">
        <f>IF(AND(vp.data[[#This Row],[CrudeType]]="Crude",vp.data[[#This Row],[Dens]]&gt;900,vp.data[[#This Row],[Sulf]]&lt;=0.5,vp.data[[#This Row],[Unknown]]=0),1,0)</f>
        <v>0</v>
      </c>
      <c r="AF1717">
        <f>IF(AND(vp.data[[#This Row],[CrudeType]]="Crude",vp.data[[#This Row],[Dens]]&gt;900,vp.data[[#This Row],[Sulf]]&lt;=0.5,vp.data[[#This Row],[Unknown]]=0),1,0)</f>
        <v>0</v>
      </c>
      <c r="AG1717" t="str">
        <f>INDEX(vp.data[[#Headers],[Unknown]:[Heavy_SW]],MATCH(1,vp.data[[#This Row],[Unknown]:[Heavy_SW]],0))</f>
        <v>Unknown</v>
      </c>
      <c r="AH1717">
        <f>INDEX([3]!crudeBD.lkup[Number],MATCH(vp.data[[#This Row],[Crude_Breakdown]],crudeBD.lkup[Crude Breakdown],0))</f>
        <v>-1</v>
      </c>
      <c r="AI1717">
        <f>MONTH(vp.data[[#This Row],[SDate]])</f>
        <v>6</v>
      </c>
      <c r="AJ1717" s="5">
        <f>(vp.data[[#This Row],[VP]]-INDEX(crudeBD.lkup[Mean_VP],MATCH(vp.data[[#This Row],[Crude_Breakdown]],crudeBD.lkup[Crude Breakdown],0)))^2</f>
        <v>7.5357770735596405</v>
      </c>
      <c r="AK1717" s="5" t="e">
        <f>(vp.data[[#This Row],[Dens]]-INDEX(crudeBD.lkup[Mean_Dens],MATCH(vp.data[[#This Row],[Crude_Breakdown]],crudeBD.lkup[Crude Breakdown],0)))^2</f>
        <v>#VALUE!</v>
      </c>
      <c r="AL1717" s="5" t="e">
        <f>(vp.data[[#This Row],[Sulf]]-INDEX(crudeBD.lkup[Mean_Sulf],MATCH(vp.data[[#This Row],[Crude_Breakdown]],crudeBD.lkup[Crude Breakdown],0)))^2</f>
        <v>#VALUE!</v>
      </c>
      <c r="AM1717" s="4">
        <f>IF(AND(vp.data[[#This Row],[SDate]]&gt;=DATE(YEAR(vp.data[[#This Row],[SDate]]),5,1),vp.data[[#This Row],[SDate]]&lt;=DATE(YEAR(vp.data[[#This Row],[SDate]]),9,15)),1,0)</f>
        <v>1</v>
      </c>
      <c r="AN1717" s="4">
        <f>IF(vp.data[[#This Row],[SDate]]&lt;DATE(2016,12,1),0,1)</f>
        <v>1</v>
      </c>
      <c r="AO1717" s="4" t="str">
        <f>IFERROR(vp.data[[#This Row],[Sulf]]*vp.data[[#This Row],[Net Dens]],"")</f>
        <v/>
      </c>
      <c r="AP1717" t="str">
        <f>IFERROR(vp.data[[#This Row],[Dens]]*vp.data[[#This Row],[VolumeM3]],"")</f>
        <v/>
      </c>
      <c r="AQ1717" s="15" t="str">
        <f>IFERROR(vp.data[[#This Row],[VP]]*vp.data[[#This Row],[VolumeM3]],"")</f>
        <v/>
      </c>
    </row>
    <row r="1718" spans="1:43" x14ac:dyDescent="0.25">
      <c r="A1718">
        <v>1717</v>
      </c>
      <c r="B1718" t="s">
        <v>291</v>
      </c>
      <c r="C1718" t="s">
        <v>291</v>
      </c>
      <c r="D1718" t="s">
        <v>109</v>
      </c>
      <c r="F1718" s="1">
        <v>42914</v>
      </c>
      <c r="G1718" s="2">
        <v>77</v>
      </c>
      <c r="H1718" s="2"/>
      <c r="I1718" s="2" t="str">
        <f t="array" ref="I171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8" s="2"/>
      <c r="K1718" s="2"/>
      <c r="L1718" s="2"/>
      <c r="M1718" s="2" t="str">
        <f t="array" ref="M171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8" s="2">
        <f ca="1">INDEX(INDIRECT(_xlfn.CONCAT("weather.tbl[",N$1,"]")),MATCH(vp.data[[#This Row],[SDate]],weather.tbl[Date],0))</f>
        <v>16.833333333333332</v>
      </c>
      <c r="O1718" s="2">
        <f ca="1">INDEX(INDIRECT(_xlfn.CONCAT("weather.tbl[",O$1,"]")),MATCH(vp.data[[#This Row],[SDate]],weather.tbl[Date],0))</f>
        <v>14.397619047619045</v>
      </c>
      <c r="P1718" s="2">
        <f ca="1">INDEX(INDIRECT(_xlfn.CONCAT("weather.tbl[",P$1,"]")),MATCH(vp.data[[#This Row],[SDate]],weather.tbl[Date],0))</f>
        <v>16.8</v>
      </c>
      <c r="Q1718" s="2">
        <f ca="1">INDEX(INDIRECT(_xlfn.CONCAT("weather.tbl[",Q$1,"]")),MATCH(vp.data[[#This Row],[SDate]],weather.tbl[Date],0))</f>
        <v>15.2</v>
      </c>
      <c r="R1718" s="2">
        <f ca="1">INDEX(INDIRECT(_xlfn.CONCAT("weather.tbl[",R$1,"]")),MATCH(vp.data[[#This Row],[SDate]],weather.tbl[Date],0))</f>
        <v>17</v>
      </c>
      <c r="S1718" s="2">
        <f ca="1">INDEX(INDIRECT(_xlfn.CONCAT("weather.tbl[",S$1,"]")),MATCH(vp.data[[#This Row],[SDate]],weather.tbl[Date],0))</f>
        <v>16.2</v>
      </c>
      <c r="T1718" s="2">
        <f ca="1">INDEX(INDIRECT(_xlfn.CONCAT("weather.tbl[",T$1,"]")),MATCH(vp.data[[#This Row],[SDate]],weather.tbl[Date],0))</f>
        <v>19.5</v>
      </c>
      <c r="U1718" s="2">
        <f ca="1">INDEX(INDIRECT(_xlfn.CONCAT("weather.tbl[",U$1,"]")),MATCH(vp.data[[#This Row],[SDate]],weather.tbl[Date],0))</f>
        <v>16.3</v>
      </c>
      <c r="V1718" s="2" t="str">
        <f t="array" ref="V171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8" t="s">
        <v>48</v>
      </c>
      <c r="X1718">
        <f>IF(OR(vp.data[[#This Row],[Sulf]]="",vp.data[[#This Row],[Dens]]=""),1,0)</f>
        <v>1</v>
      </c>
      <c r="Y1718">
        <f>IF(vp.data[[#This Row],[CrudeType]]="C5+",1,0)</f>
        <v>0</v>
      </c>
      <c r="Z1718">
        <f>IF(AND(vp.data[[#This Row],[CrudeType]]="Crude",vp.data[[#This Row],[Dens]]&lt;=825,vp.data[[#This Row],[Sulf]]&gt;0.5,vp.data[[#This Row],[Unknown]]=0),1,0)</f>
        <v>0</v>
      </c>
      <c r="AA1718">
        <f>IF(AND(vp.data[[#This Row],[CrudeType]]="Crude",vp.data[[#This Row],[Dens]]&lt;=825,vp.data[[#This Row],[Sulf]]&lt;=0.5,vp.data[[#This Row],[Unknown]]=0),1,0)</f>
        <v>0</v>
      </c>
      <c r="AB171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8">
        <f>IF(AND(vp.data[[#This Row],[CrudeType]]="Crude",vp.data[[#This Row],[Dens]]&gt;825,vp.data[[#This Row],[Dens]]&lt;=900,vp.data[[#This Row],[Sulf]]&lt;=0.5,vp.data[[#This Row],[Unknown]]=0),1,0)</f>
        <v>0</v>
      </c>
      <c r="AD1718">
        <f>IF(AND(vp.data[[#This Row],[CrudeType]]="Crude",vp.data[[#This Row],[Dens]]&gt;865,vp.data[[#This Row],[Dens]]&lt;=900,vp.data[[#This Row],[Sulf]]&gt;2,vp.data[[#This Row],[Unknown]]=0),1,0)</f>
        <v>0</v>
      </c>
      <c r="AE1718">
        <f>IF(AND(vp.data[[#This Row],[CrudeType]]="Crude",vp.data[[#This Row],[Dens]]&gt;900,vp.data[[#This Row],[Sulf]]&lt;=0.5,vp.data[[#This Row],[Unknown]]=0),1,0)</f>
        <v>0</v>
      </c>
      <c r="AF1718">
        <f>IF(AND(vp.data[[#This Row],[CrudeType]]="Crude",vp.data[[#This Row],[Dens]]&gt;900,vp.data[[#This Row],[Sulf]]&lt;=0.5,vp.data[[#This Row],[Unknown]]=0),1,0)</f>
        <v>0</v>
      </c>
      <c r="AG1718" t="str">
        <f>INDEX(vp.data[[#Headers],[Unknown]:[Heavy_SW]],MATCH(1,vp.data[[#This Row],[Unknown]:[Heavy_SW]],0))</f>
        <v>Unknown</v>
      </c>
      <c r="AH1718">
        <f>INDEX([3]!crudeBD.lkup[Number],MATCH(vp.data[[#This Row],[Crude_Breakdown]],crudeBD.lkup[Crude Breakdown],0))</f>
        <v>-1</v>
      </c>
      <c r="AI1718">
        <f>MONTH(vp.data[[#This Row],[SDate]])</f>
        <v>6</v>
      </c>
      <c r="AJ1718" s="5">
        <f>(vp.data[[#This Row],[VP]]-INDEX(crudeBD.lkup[Mean_VP],MATCH(vp.data[[#This Row],[Crude_Breakdown]],crudeBD.lkup[Crude Breakdown],0)))^2</f>
        <v>9.9531606352037834</v>
      </c>
      <c r="AK1718" s="5" t="e">
        <f>(vp.data[[#This Row],[Dens]]-INDEX(crudeBD.lkup[Mean_Dens],MATCH(vp.data[[#This Row],[Crude_Breakdown]],crudeBD.lkup[Crude Breakdown],0)))^2</f>
        <v>#VALUE!</v>
      </c>
      <c r="AL1718" s="5" t="e">
        <f>(vp.data[[#This Row],[Sulf]]-INDEX(crudeBD.lkup[Mean_Sulf],MATCH(vp.data[[#This Row],[Crude_Breakdown]],crudeBD.lkup[Crude Breakdown],0)))^2</f>
        <v>#VALUE!</v>
      </c>
      <c r="AM1718" s="4">
        <f>IF(AND(vp.data[[#This Row],[SDate]]&gt;=DATE(YEAR(vp.data[[#This Row],[SDate]]),5,1),vp.data[[#This Row],[SDate]]&lt;=DATE(YEAR(vp.data[[#This Row],[SDate]]),9,15)),1,0)</f>
        <v>1</v>
      </c>
      <c r="AN1718" s="4">
        <f>IF(vp.data[[#This Row],[SDate]]&lt;DATE(2016,12,1),0,1)</f>
        <v>1</v>
      </c>
      <c r="AO1718" s="4" t="str">
        <f>IFERROR(vp.data[[#This Row],[Sulf]]*vp.data[[#This Row],[Net Dens]],"")</f>
        <v/>
      </c>
      <c r="AP1718" t="str">
        <f>IFERROR(vp.data[[#This Row],[Dens]]*vp.data[[#This Row],[VolumeM3]],"")</f>
        <v/>
      </c>
      <c r="AQ1718" s="15" t="str">
        <f>IFERROR(vp.data[[#This Row],[VP]]*vp.data[[#This Row],[VolumeM3]],"")</f>
        <v/>
      </c>
    </row>
    <row r="1719" spans="1:43" x14ac:dyDescent="0.25">
      <c r="A1719">
        <v>1718</v>
      </c>
      <c r="B1719" t="s">
        <v>51</v>
      </c>
      <c r="C1719" t="s">
        <v>51</v>
      </c>
      <c r="D1719" t="s">
        <v>66</v>
      </c>
      <c r="F1719" s="1">
        <v>42914</v>
      </c>
      <c r="G1719" s="2">
        <v>70.3</v>
      </c>
      <c r="H1719" s="2"/>
      <c r="I1719" s="2" t="str">
        <f t="array" ref="I171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19" s="2"/>
      <c r="K1719" s="2"/>
      <c r="L1719" s="2"/>
      <c r="M1719" s="2" t="str">
        <f t="array" ref="M171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19" s="2">
        <f ca="1">INDEX(INDIRECT(_xlfn.CONCAT("weather.tbl[",N$1,"]")),MATCH(vp.data[[#This Row],[SDate]],weather.tbl[Date],0))</f>
        <v>16.833333333333332</v>
      </c>
      <c r="O1719" s="2">
        <f ca="1">INDEX(INDIRECT(_xlfn.CONCAT("weather.tbl[",O$1,"]")),MATCH(vp.data[[#This Row],[SDate]],weather.tbl[Date],0))</f>
        <v>14.397619047619045</v>
      </c>
      <c r="P1719" s="2">
        <f ca="1">INDEX(INDIRECT(_xlfn.CONCAT("weather.tbl[",P$1,"]")),MATCH(vp.data[[#This Row],[SDate]],weather.tbl[Date],0))</f>
        <v>16.8</v>
      </c>
      <c r="Q1719" s="2">
        <f ca="1">INDEX(INDIRECT(_xlfn.CONCAT("weather.tbl[",Q$1,"]")),MATCH(vp.data[[#This Row],[SDate]],weather.tbl[Date],0))</f>
        <v>15.2</v>
      </c>
      <c r="R1719" s="2">
        <f ca="1">INDEX(INDIRECT(_xlfn.CONCAT("weather.tbl[",R$1,"]")),MATCH(vp.data[[#This Row],[SDate]],weather.tbl[Date],0))</f>
        <v>17</v>
      </c>
      <c r="S1719" s="2">
        <f ca="1">INDEX(INDIRECT(_xlfn.CONCAT("weather.tbl[",S$1,"]")),MATCH(vp.data[[#This Row],[SDate]],weather.tbl[Date],0))</f>
        <v>16.2</v>
      </c>
      <c r="T1719" s="2">
        <f ca="1">INDEX(INDIRECT(_xlfn.CONCAT("weather.tbl[",T$1,"]")),MATCH(vp.data[[#This Row],[SDate]],weather.tbl[Date],0))</f>
        <v>19.5</v>
      </c>
      <c r="U1719" s="2">
        <f ca="1">INDEX(INDIRECT(_xlfn.CONCAT("weather.tbl[",U$1,"]")),MATCH(vp.data[[#This Row],[SDate]],weather.tbl[Date],0))</f>
        <v>16.3</v>
      </c>
      <c r="V1719" s="2" t="str">
        <f t="array" ref="V171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19" t="s">
        <v>48</v>
      </c>
      <c r="X1719">
        <f>IF(OR(vp.data[[#This Row],[Sulf]]="",vp.data[[#This Row],[Dens]]=""),1,0)</f>
        <v>1</v>
      </c>
      <c r="Y1719">
        <f>IF(vp.data[[#This Row],[CrudeType]]="C5+",1,0)</f>
        <v>0</v>
      </c>
      <c r="Z1719">
        <f>IF(AND(vp.data[[#This Row],[CrudeType]]="Crude",vp.data[[#This Row],[Dens]]&lt;=825,vp.data[[#This Row],[Sulf]]&gt;0.5,vp.data[[#This Row],[Unknown]]=0),1,0)</f>
        <v>0</v>
      </c>
      <c r="AA1719">
        <f>IF(AND(vp.data[[#This Row],[CrudeType]]="Crude",vp.data[[#This Row],[Dens]]&lt;=825,vp.data[[#This Row],[Sulf]]&lt;=0.5,vp.data[[#This Row],[Unknown]]=0),1,0)</f>
        <v>0</v>
      </c>
      <c r="AB171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19">
        <f>IF(AND(vp.data[[#This Row],[CrudeType]]="Crude",vp.data[[#This Row],[Dens]]&gt;825,vp.data[[#This Row],[Dens]]&lt;=900,vp.data[[#This Row],[Sulf]]&lt;=0.5,vp.data[[#This Row],[Unknown]]=0),1,0)</f>
        <v>0</v>
      </c>
      <c r="AD1719">
        <f>IF(AND(vp.data[[#This Row],[CrudeType]]="Crude",vp.data[[#This Row],[Dens]]&gt;865,vp.data[[#This Row],[Dens]]&lt;=900,vp.data[[#This Row],[Sulf]]&gt;2,vp.data[[#This Row],[Unknown]]=0),1,0)</f>
        <v>0</v>
      </c>
      <c r="AE1719">
        <f>IF(AND(vp.data[[#This Row],[CrudeType]]="Crude",vp.data[[#This Row],[Dens]]&gt;900,vp.data[[#This Row],[Sulf]]&lt;=0.5,vp.data[[#This Row],[Unknown]]=0),1,0)</f>
        <v>0</v>
      </c>
      <c r="AF1719">
        <f>IF(AND(vp.data[[#This Row],[CrudeType]]="Crude",vp.data[[#This Row],[Dens]]&gt;900,vp.data[[#This Row],[Sulf]]&lt;=0.5,vp.data[[#This Row],[Unknown]]=0),1,0)</f>
        <v>0</v>
      </c>
      <c r="AG1719" t="str">
        <f>INDEX(vp.data[[#Headers],[Unknown]:[Heavy_SW]],MATCH(1,vp.data[[#This Row],[Unknown]:[Heavy_SW]],0))</f>
        <v>Unknown</v>
      </c>
      <c r="AH1719">
        <f>INDEX([3]!crudeBD.lkup[Number],MATCH(vp.data[[#This Row],[Crude_Breakdown]],crudeBD.lkup[Crude Breakdown],0))</f>
        <v>-1</v>
      </c>
      <c r="AI1719">
        <f>MONTH(vp.data[[#This Row],[SDate]])</f>
        <v>6</v>
      </c>
      <c r="AJ1719" s="5">
        <f>(vp.data[[#This Row],[VP]]-INDEX(crudeBD.lkup[Mean_VP],MATCH(vp.data[[#This Row],[Crude_Breakdown]],crudeBD.lkup[Crude Breakdown],0)))^2</f>
        <v>12.567996251641775</v>
      </c>
      <c r="AK1719" s="5" t="e">
        <f>(vp.data[[#This Row],[Dens]]-INDEX(crudeBD.lkup[Mean_Dens],MATCH(vp.data[[#This Row],[Crude_Breakdown]],crudeBD.lkup[Crude Breakdown],0)))^2</f>
        <v>#VALUE!</v>
      </c>
      <c r="AL1719" s="5" t="e">
        <f>(vp.data[[#This Row],[Sulf]]-INDEX(crudeBD.lkup[Mean_Sulf],MATCH(vp.data[[#This Row],[Crude_Breakdown]],crudeBD.lkup[Crude Breakdown],0)))^2</f>
        <v>#VALUE!</v>
      </c>
      <c r="AM1719" s="4">
        <f>IF(AND(vp.data[[#This Row],[SDate]]&gt;=DATE(YEAR(vp.data[[#This Row],[SDate]]),5,1),vp.data[[#This Row],[SDate]]&lt;=DATE(YEAR(vp.data[[#This Row],[SDate]]),9,15)),1,0)</f>
        <v>1</v>
      </c>
      <c r="AN1719" s="4">
        <f>IF(vp.data[[#This Row],[SDate]]&lt;DATE(2016,12,1),0,1)</f>
        <v>1</v>
      </c>
      <c r="AO1719" s="4" t="str">
        <f>IFERROR(vp.data[[#This Row],[Sulf]]*vp.data[[#This Row],[Net Dens]],"")</f>
        <v/>
      </c>
      <c r="AP1719" t="str">
        <f>IFERROR(vp.data[[#This Row],[Dens]]*vp.data[[#This Row],[VolumeM3]],"")</f>
        <v/>
      </c>
      <c r="AQ1719" s="15" t="str">
        <f>IFERROR(vp.data[[#This Row],[VP]]*vp.data[[#This Row],[VolumeM3]],"")</f>
        <v/>
      </c>
    </row>
    <row r="1720" spans="1:43" x14ac:dyDescent="0.25">
      <c r="A1720">
        <v>1719</v>
      </c>
      <c r="B1720" t="s">
        <v>49</v>
      </c>
      <c r="C1720" t="s">
        <v>49</v>
      </c>
      <c r="D1720" t="s">
        <v>81</v>
      </c>
      <c r="F1720" s="1">
        <v>42914</v>
      </c>
      <c r="G1720" s="2">
        <v>73.8</v>
      </c>
      <c r="H1720" s="2"/>
      <c r="I1720" s="2" t="str">
        <f t="array" ref="I172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0" s="2"/>
      <c r="K1720" s="2"/>
      <c r="L1720" s="2"/>
      <c r="M1720" s="2" t="str">
        <f t="array" ref="M172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0" s="2">
        <f ca="1">INDEX(INDIRECT(_xlfn.CONCAT("weather.tbl[",N$1,"]")),MATCH(vp.data[[#This Row],[SDate]],weather.tbl[Date],0))</f>
        <v>16.833333333333332</v>
      </c>
      <c r="O1720" s="2">
        <f ca="1">INDEX(INDIRECT(_xlfn.CONCAT("weather.tbl[",O$1,"]")),MATCH(vp.data[[#This Row],[SDate]],weather.tbl[Date],0))</f>
        <v>14.397619047619045</v>
      </c>
      <c r="P1720" s="2">
        <f ca="1">INDEX(INDIRECT(_xlfn.CONCAT("weather.tbl[",P$1,"]")),MATCH(vp.data[[#This Row],[SDate]],weather.tbl[Date],0))</f>
        <v>16.8</v>
      </c>
      <c r="Q1720" s="2">
        <f ca="1">INDEX(INDIRECT(_xlfn.CONCAT("weather.tbl[",Q$1,"]")),MATCH(vp.data[[#This Row],[SDate]],weather.tbl[Date],0))</f>
        <v>15.2</v>
      </c>
      <c r="R1720" s="2">
        <f ca="1">INDEX(INDIRECT(_xlfn.CONCAT("weather.tbl[",R$1,"]")),MATCH(vp.data[[#This Row],[SDate]],weather.tbl[Date],0))</f>
        <v>17</v>
      </c>
      <c r="S1720" s="2">
        <f ca="1">INDEX(INDIRECT(_xlfn.CONCAT("weather.tbl[",S$1,"]")),MATCH(vp.data[[#This Row],[SDate]],weather.tbl[Date],0))</f>
        <v>16.2</v>
      </c>
      <c r="T1720" s="2">
        <f ca="1">INDEX(INDIRECT(_xlfn.CONCAT("weather.tbl[",T$1,"]")),MATCH(vp.data[[#This Row],[SDate]],weather.tbl[Date],0))</f>
        <v>19.5</v>
      </c>
      <c r="U1720" s="2">
        <f ca="1">INDEX(INDIRECT(_xlfn.CONCAT("weather.tbl[",U$1,"]")),MATCH(vp.data[[#This Row],[SDate]],weather.tbl[Date],0))</f>
        <v>16.3</v>
      </c>
      <c r="V1720" s="2" t="str">
        <f t="array" ref="V172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0" t="s">
        <v>48</v>
      </c>
      <c r="X1720">
        <f>IF(OR(vp.data[[#This Row],[Sulf]]="",vp.data[[#This Row],[Dens]]=""),1,0)</f>
        <v>1</v>
      </c>
      <c r="Y1720">
        <f>IF(vp.data[[#This Row],[CrudeType]]="C5+",1,0)</f>
        <v>0</v>
      </c>
      <c r="Z1720">
        <f>IF(AND(vp.data[[#This Row],[CrudeType]]="Crude",vp.data[[#This Row],[Dens]]&lt;=825,vp.data[[#This Row],[Sulf]]&gt;0.5,vp.data[[#This Row],[Unknown]]=0),1,0)</f>
        <v>0</v>
      </c>
      <c r="AA1720">
        <f>IF(AND(vp.data[[#This Row],[CrudeType]]="Crude",vp.data[[#This Row],[Dens]]&lt;=825,vp.data[[#This Row],[Sulf]]&lt;=0.5,vp.data[[#This Row],[Unknown]]=0),1,0)</f>
        <v>0</v>
      </c>
      <c r="AB172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0">
        <f>IF(AND(vp.data[[#This Row],[CrudeType]]="Crude",vp.data[[#This Row],[Dens]]&gt;825,vp.data[[#This Row],[Dens]]&lt;=900,vp.data[[#This Row],[Sulf]]&lt;=0.5,vp.data[[#This Row],[Unknown]]=0),1,0)</f>
        <v>0</v>
      </c>
      <c r="AD1720">
        <f>IF(AND(vp.data[[#This Row],[CrudeType]]="Crude",vp.data[[#This Row],[Dens]]&gt;865,vp.data[[#This Row],[Dens]]&lt;=900,vp.data[[#This Row],[Sulf]]&gt;2,vp.data[[#This Row],[Unknown]]=0),1,0)</f>
        <v>0</v>
      </c>
      <c r="AE1720">
        <f>IF(AND(vp.data[[#This Row],[CrudeType]]="Crude",vp.data[[#This Row],[Dens]]&gt;900,vp.data[[#This Row],[Sulf]]&lt;=0.5,vp.data[[#This Row],[Unknown]]=0),1,0)</f>
        <v>0</v>
      </c>
      <c r="AF1720">
        <f>IF(AND(vp.data[[#This Row],[CrudeType]]="Crude",vp.data[[#This Row],[Dens]]&gt;900,vp.data[[#This Row],[Sulf]]&lt;=0.5,vp.data[[#This Row],[Unknown]]=0),1,0)</f>
        <v>0</v>
      </c>
      <c r="AG1720" t="str">
        <f>INDEX(vp.data[[#Headers],[Unknown]:[Heavy_SW]],MATCH(1,vp.data[[#This Row],[Unknown]:[Heavy_SW]],0))</f>
        <v>Unknown</v>
      </c>
      <c r="AH1720">
        <f>INDEX([3]!crudeBD.lkup[Number],MATCH(vp.data[[#This Row],[Crude_Breakdown]],crudeBD.lkup[Crude Breakdown],0))</f>
        <v>-1</v>
      </c>
      <c r="AI1720">
        <f>MONTH(vp.data[[#This Row],[SDate]])</f>
        <v>6</v>
      </c>
      <c r="AJ1720" s="5">
        <f>(vp.data[[#This Row],[VP]]-INDEX(crudeBD.lkup[Mean_VP],MATCH(vp.data[[#This Row],[Crude_Breakdown]],crudeBD.lkup[Crude Breakdown],0)))^2</f>
        <v>2.0373475323677156E-3</v>
      </c>
      <c r="AK1720" s="5" t="e">
        <f>(vp.data[[#This Row],[Dens]]-INDEX(crudeBD.lkup[Mean_Dens],MATCH(vp.data[[#This Row],[Crude_Breakdown]],crudeBD.lkup[Crude Breakdown],0)))^2</f>
        <v>#VALUE!</v>
      </c>
      <c r="AL1720" s="5" t="e">
        <f>(vp.data[[#This Row],[Sulf]]-INDEX(crudeBD.lkup[Mean_Sulf],MATCH(vp.data[[#This Row],[Crude_Breakdown]],crudeBD.lkup[Crude Breakdown],0)))^2</f>
        <v>#VALUE!</v>
      </c>
      <c r="AM1720" s="4">
        <f>IF(AND(vp.data[[#This Row],[SDate]]&gt;=DATE(YEAR(vp.data[[#This Row],[SDate]]),5,1),vp.data[[#This Row],[SDate]]&lt;=DATE(YEAR(vp.data[[#This Row],[SDate]]),9,15)),1,0)</f>
        <v>1</v>
      </c>
      <c r="AN1720" s="4">
        <f>IF(vp.data[[#This Row],[SDate]]&lt;DATE(2016,12,1),0,1)</f>
        <v>1</v>
      </c>
      <c r="AO1720" s="4" t="str">
        <f>IFERROR(vp.data[[#This Row],[Sulf]]*vp.data[[#This Row],[Net Dens]],"")</f>
        <v/>
      </c>
      <c r="AP1720" t="str">
        <f>IFERROR(vp.data[[#This Row],[Dens]]*vp.data[[#This Row],[VolumeM3]],"")</f>
        <v/>
      </c>
      <c r="AQ1720" s="15" t="str">
        <f>IFERROR(vp.data[[#This Row],[VP]]*vp.data[[#This Row],[VolumeM3]],"")</f>
        <v/>
      </c>
    </row>
    <row r="1721" spans="1:43" x14ac:dyDescent="0.25">
      <c r="A1721">
        <v>1720</v>
      </c>
      <c r="B1721" t="s">
        <v>68</v>
      </c>
      <c r="C1721" t="s">
        <v>68</v>
      </c>
      <c r="D1721" t="s">
        <v>98</v>
      </c>
      <c r="F1721" s="1">
        <v>42914</v>
      </c>
      <c r="G1721" s="2">
        <v>58.9</v>
      </c>
      <c r="H1721" s="2"/>
      <c r="I1721" s="2" t="str">
        <f t="array" ref="I172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1" s="2"/>
      <c r="K1721" s="2"/>
      <c r="L1721" s="2"/>
      <c r="M1721" s="2" t="str">
        <f t="array" ref="M172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1" s="2">
        <f ca="1">INDEX(INDIRECT(_xlfn.CONCAT("weather.tbl[",N$1,"]")),MATCH(vp.data[[#This Row],[SDate]],weather.tbl[Date],0))</f>
        <v>16.833333333333332</v>
      </c>
      <c r="O1721" s="2">
        <f ca="1">INDEX(INDIRECT(_xlfn.CONCAT("weather.tbl[",O$1,"]")),MATCH(vp.data[[#This Row],[SDate]],weather.tbl[Date],0))</f>
        <v>14.397619047619045</v>
      </c>
      <c r="P1721" s="2">
        <f ca="1">INDEX(INDIRECT(_xlfn.CONCAT("weather.tbl[",P$1,"]")),MATCH(vp.data[[#This Row],[SDate]],weather.tbl[Date],0))</f>
        <v>16.8</v>
      </c>
      <c r="Q1721" s="2">
        <f ca="1">INDEX(INDIRECT(_xlfn.CONCAT("weather.tbl[",Q$1,"]")),MATCH(vp.data[[#This Row],[SDate]],weather.tbl[Date],0))</f>
        <v>15.2</v>
      </c>
      <c r="R1721" s="2">
        <f ca="1">INDEX(INDIRECT(_xlfn.CONCAT("weather.tbl[",R$1,"]")),MATCH(vp.data[[#This Row],[SDate]],weather.tbl[Date],0))</f>
        <v>17</v>
      </c>
      <c r="S1721" s="2">
        <f ca="1">INDEX(INDIRECT(_xlfn.CONCAT("weather.tbl[",S$1,"]")),MATCH(vp.data[[#This Row],[SDate]],weather.tbl[Date],0))</f>
        <v>16.2</v>
      </c>
      <c r="T1721" s="2">
        <f ca="1">INDEX(INDIRECT(_xlfn.CONCAT("weather.tbl[",T$1,"]")),MATCH(vp.data[[#This Row],[SDate]],weather.tbl[Date],0))</f>
        <v>19.5</v>
      </c>
      <c r="U1721" s="2">
        <f ca="1">INDEX(INDIRECT(_xlfn.CONCAT("weather.tbl[",U$1,"]")),MATCH(vp.data[[#This Row],[SDate]],weather.tbl[Date],0))</f>
        <v>16.3</v>
      </c>
      <c r="V1721" s="2" t="str">
        <f t="array" ref="V172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1" t="s">
        <v>48</v>
      </c>
      <c r="X1721">
        <f>IF(OR(vp.data[[#This Row],[Sulf]]="",vp.data[[#This Row],[Dens]]=""),1,0)</f>
        <v>1</v>
      </c>
      <c r="Y1721">
        <f>IF(vp.data[[#This Row],[CrudeType]]="C5+",1,0)</f>
        <v>0</v>
      </c>
      <c r="Z1721">
        <f>IF(AND(vp.data[[#This Row],[CrudeType]]="Crude",vp.data[[#This Row],[Dens]]&lt;=825,vp.data[[#This Row],[Sulf]]&gt;0.5,vp.data[[#This Row],[Unknown]]=0),1,0)</f>
        <v>0</v>
      </c>
      <c r="AA1721">
        <f>IF(AND(vp.data[[#This Row],[CrudeType]]="Crude",vp.data[[#This Row],[Dens]]&lt;=825,vp.data[[#This Row],[Sulf]]&lt;=0.5,vp.data[[#This Row],[Unknown]]=0),1,0)</f>
        <v>0</v>
      </c>
      <c r="AB172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1">
        <f>IF(AND(vp.data[[#This Row],[CrudeType]]="Crude",vp.data[[#This Row],[Dens]]&gt;825,vp.data[[#This Row],[Dens]]&lt;=900,vp.data[[#This Row],[Sulf]]&lt;=0.5,vp.data[[#This Row],[Unknown]]=0),1,0)</f>
        <v>0</v>
      </c>
      <c r="AD1721">
        <f>IF(AND(vp.data[[#This Row],[CrudeType]]="Crude",vp.data[[#This Row],[Dens]]&gt;865,vp.data[[#This Row],[Dens]]&lt;=900,vp.data[[#This Row],[Sulf]]&gt;2,vp.data[[#This Row],[Unknown]]=0),1,0)</f>
        <v>0</v>
      </c>
      <c r="AE1721">
        <f>IF(AND(vp.data[[#This Row],[CrudeType]]="Crude",vp.data[[#This Row],[Dens]]&gt;900,vp.data[[#This Row],[Sulf]]&lt;=0.5,vp.data[[#This Row],[Unknown]]=0),1,0)</f>
        <v>0</v>
      </c>
      <c r="AF1721">
        <f>IF(AND(vp.data[[#This Row],[CrudeType]]="Crude",vp.data[[#This Row],[Dens]]&gt;900,vp.data[[#This Row],[Sulf]]&lt;=0.5,vp.data[[#This Row],[Unknown]]=0),1,0)</f>
        <v>0</v>
      </c>
      <c r="AG1721" t="str">
        <f>INDEX(vp.data[[#Headers],[Unknown]:[Heavy_SW]],MATCH(1,vp.data[[#This Row],[Unknown]:[Heavy_SW]],0))</f>
        <v>Unknown</v>
      </c>
      <c r="AH1721">
        <f>INDEX([3]!crudeBD.lkup[Number],MATCH(vp.data[[#This Row],[Crude_Breakdown]],crudeBD.lkup[Crude Breakdown],0))</f>
        <v>-1</v>
      </c>
      <c r="AI1721">
        <f>MONTH(vp.data[[#This Row],[SDate]])</f>
        <v>6</v>
      </c>
      <c r="AJ1721" s="5">
        <f>(vp.data[[#This Row],[VP]]-INDEX(crudeBD.lkup[Mean_VP],MATCH(vp.data[[#This Row],[Crude_Breakdown]],crudeBD.lkup[Crude Breakdown],0)))^2</f>
        <v>223.35711953931238</v>
      </c>
      <c r="AK1721" s="5" t="e">
        <f>(vp.data[[#This Row],[Dens]]-INDEX(crudeBD.lkup[Mean_Dens],MATCH(vp.data[[#This Row],[Crude_Breakdown]],crudeBD.lkup[Crude Breakdown],0)))^2</f>
        <v>#VALUE!</v>
      </c>
      <c r="AL1721" s="5" t="e">
        <f>(vp.data[[#This Row],[Sulf]]-INDEX(crudeBD.lkup[Mean_Sulf],MATCH(vp.data[[#This Row],[Crude_Breakdown]],crudeBD.lkup[Crude Breakdown],0)))^2</f>
        <v>#VALUE!</v>
      </c>
      <c r="AM1721" s="4">
        <f>IF(AND(vp.data[[#This Row],[SDate]]&gt;=DATE(YEAR(vp.data[[#This Row],[SDate]]),5,1),vp.data[[#This Row],[SDate]]&lt;=DATE(YEAR(vp.data[[#This Row],[SDate]]),9,15)),1,0)</f>
        <v>1</v>
      </c>
      <c r="AN1721" s="4">
        <f>IF(vp.data[[#This Row],[SDate]]&lt;DATE(2016,12,1),0,1)</f>
        <v>1</v>
      </c>
      <c r="AO1721" s="4" t="str">
        <f>IFERROR(vp.data[[#This Row],[Sulf]]*vp.data[[#This Row],[Net Dens]],"")</f>
        <v/>
      </c>
      <c r="AP1721" t="str">
        <f>IFERROR(vp.data[[#This Row],[Dens]]*vp.data[[#This Row],[VolumeM3]],"")</f>
        <v/>
      </c>
      <c r="AQ1721" s="15" t="str">
        <f>IFERROR(vp.data[[#This Row],[VP]]*vp.data[[#This Row],[VolumeM3]],"")</f>
        <v/>
      </c>
    </row>
    <row r="1722" spans="1:43" x14ac:dyDescent="0.25">
      <c r="A1722">
        <v>1721</v>
      </c>
      <c r="B1722" t="s">
        <v>68</v>
      </c>
      <c r="C1722" t="s">
        <v>68</v>
      </c>
      <c r="D1722" t="s">
        <v>110</v>
      </c>
      <c r="F1722" s="1">
        <v>42914</v>
      </c>
      <c r="G1722" s="2">
        <v>64.3</v>
      </c>
      <c r="H1722" s="2"/>
      <c r="I1722" s="2" t="str">
        <f t="array" ref="I172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2" s="2"/>
      <c r="K1722" s="2"/>
      <c r="L1722" s="2"/>
      <c r="M1722" s="2" t="str">
        <f t="array" ref="M172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2" s="2">
        <f ca="1">INDEX(INDIRECT(_xlfn.CONCAT("weather.tbl[",N$1,"]")),MATCH(vp.data[[#This Row],[SDate]],weather.tbl[Date],0))</f>
        <v>16.833333333333332</v>
      </c>
      <c r="O1722" s="2">
        <f ca="1">INDEX(INDIRECT(_xlfn.CONCAT("weather.tbl[",O$1,"]")),MATCH(vp.data[[#This Row],[SDate]],weather.tbl[Date],0))</f>
        <v>14.397619047619045</v>
      </c>
      <c r="P1722" s="2">
        <f ca="1">INDEX(INDIRECT(_xlfn.CONCAT("weather.tbl[",P$1,"]")),MATCH(vp.data[[#This Row],[SDate]],weather.tbl[Date],0))</f>
        <v>16.8</v>
      </c>
      <c r="Q1722" s="2">
        <f ca="1">INDEX(INDIRECT(_xlfn.CONCAT("weather.tbl[",Q$1,"]")),MATCH(vp.data[[#This Row],[SDate]],weather.tbl[Date],0))</f>
        <v>15.2</v>
      </c>
      <c r="R1722" s="2">
        <f ca="1">INDEX(INDIRECT(_xlfn.CONCAT("weather.tbl[",R$1,"]")),MATCH(vp.data[[#This Row],[SDate]],weather.tbl[Date],0))</f>
        <v>17</v>
      </c>
      <c r="S1722" s="2">
        <f ca="1">INDEX(INDIRECT(_xlfn.CONCAT("weather.tbl[",S$1,"]")),MATCH(vp.data[[#This Row],[SDate]],weather.tbl[Date],0))</f>
        <v>16.2</v>
      </c>
      <c r="T1722" s="2">
        <f ca="1">INDEX(INDIRECT(_xlfn.CONCAT("weather.tbl[",T$1,"]")),MATCH(vp.data[[#This Row],[SDate]],weather.tbl[Date],0))</f>
        <v>19.5</v>
      </c>
      <c r="U1722" s="2">
        <f ca="1">INDEX(INDIRECT(_xlfn.CONCAT("weather.tbl[",U$1,"]")),MATCH(vp.data[[#This Row],[SDate]],weather.tbl[Date],0))</f>
        <v>16.3</v>
      </c>
      <c r="V1722" s="2" t="str">
        <f t="array" ref="V172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2" t="s">
        <v>48</v>
      </c>
      <c r="X1722">
        <f>IF(OR(vp.data[[#This Row],[Sulf]]="",vp.data[[#This Row],[Dens]]=""),1,0)</f>
        <v>1</v>
      </c>
      <c r="Y1722">
        <f>IF(vp.data[[#This Row],[CrudeType]]="C5+",1,0)</f>
        <v>0</v>
      </c>
      <c r="Z1722">
        <f>IF(AND(vp.data[[#This Row],[CrudeType]]="Crude",vp.data[[#This Row],[Dens]]&lt;=825,vp.data[[#This Row],[Sulf]]&gt;0.5,vp.data[[#This Row],[Unknown]]=0),1,0)</f>
        <v>0</v>
      </c>
      <c r="AA1722">
        <f>IF(AND(vp.data[[#This Row],[CrudeType]]="Crude",vp.data[[#This Row],[Dens]]&lt;=825,vp.data[[#This Row],[Sulf]]&lt;=0.5,vp.data[[#This Row],[Unknown]]=0),1,0)</f>
        <v>0</v>
      </c>
      <c r="AB172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2">
        <f>IF(AND(vp.data[[#This Row],[CrudeType]]="Crude",vp.data[[#This Row],[Dens]]&gt;825,vp.data[[#This Row],[Dens]]&lt;=900,vp.data[[#This Row],[Sulf]]&lt;=0.5,vp.data[[#This Row],[Unknown]]=0),1,0)</f>
        <v>0</v>
      </c>
      <c r="AD1722">
        <f>IF(AND(vp.data[[#This Row],[CrudeType]]="Crude",vp.data[[#This Row],[Dens]]&gt;865,vp.data[[#This Row],[Dens]]&lt;=900,vp.data[[#This Row],[Sulf]]&gt;2,vp.data[[#This Row],[Unknown]]=0),1,0)</f>
        <v>0</v>
      </c>
      <c r="AE1722">
        <f>IF(AND(vp.data[[#This Row],[CrudeType]]="Crude",vp.data[[#This Row],[Dens]]&gt;900,vp.data[[#This Row],[Sulf]]&lt;=0.5,vp.data[[#This Row],[Unknown]]=0),1,0)</f>
        <v>0</v>
      </c>
      <c r="AF1722">
        <f>IF(AND(vp.data[[#This Row],[CrudeType]]="Crude",vp.data[[#This Row],[Dens]]&gt;900,vp.data[[#This Row],[Sulf]]&lt;=0.5,vp.data[[#This Row],[Unknown]]=0),1,0)</f>
        <v>0</v>
      </c>
      <c r="AG1722" t="str">
        <f>INDEX(vp.data[[#Headers],[Unknown]:[Heavy_SW]],MATCH(1,vp.data[[#This Row],[Unknown]:[Heavy_SW]],0))</f>
        <v>Unknown</v>
      </c>
      <c r="AH1722">
        <f>INDEX([3]!crudeBD.lkup[Number],MATCH(vp.data[[#This Row],[Crude_Breakdown]],crudeBD.lkup[Crude Breakdown],0))</f>
        <v>-1</v>
      </c>
      <c r="AI1722">
        <f>MONTH(vp.data[[#This Row],[SDate]])</f>
        <v>6</v>
      </c>
      <c r="AJ1722" s="5">
        <f>(vp.data[[#This Row],[VP]]-INDEX(crudeBD.lkup[Mean_VP],MATCH(vp.data[[#This Row],[Crude_Breakdown]],crudeBD.lkup[Crude Breakdown],0)))^2</f>
        <v>91.109640087257901</v>
      </c>
      <c r="AK1722" s="5" t="e">
        <f>(vp.data[[#This Row],[Dens]]-INDEX(crudeBD.lkup[Mean_Dens],MATCH(vp.data[[#This Row],[Crude_Breakdown]],crudeBD.lkup[Crude Breakdown],0)))^2</f>
        <v>#VALUE!</v>
      </c>
      <c r="AL1722" s="5" t="e">
        <f>(vp.data[[#This Row],[Sulf]]-INDEX(crudeBD.lkup[Mean_Sulf],MATCH(vp.data[[#This Row],[Crude_Breakdown]],crudeBD.lkup[Crude Breakdown],0)))^2</f>
        <v>#VALUE!</v>
      </c>
      <c r="AM1722" s="4">
        <f>IF(AND(vp.data[[#This Row],[SDate]]&gt;=DATE(YEAR(vp.data[[#This Row],[SDate]]),5,1),vp.data[[#This Row],[SDate]]&lt;=DATE(YEAR(vp.data[[#This Row],[SDate]]),9,15)),1,0)</f>
        <v>1</v>
      </c>
      <c r="AN1722" s="4">
        <f>IF(vp.data[[#This Row],[SDate]]&lt;DATE(2016,12,1),0,1)</f>
        <v>1</v>
      </c>
      <c r="AO1722" s="4" t="str">
        <f>IFERROR(vp.data[[#This Row],[Sulf]]*vp.data[[#This Row],[Net Dens]],"")</f>
        <v/>
      </c>
      <c r="AP1722" t="str">
        <f>IFERROR(vp.data[[#This Row],[Dens]]*vp.data[[#This Row],[VolumeM3]],"")</f>
        <v/>
      </c>
      <c r="AQ1722" s="15" t="str">
        <f>IFERROR(vp.data[[#This Row],[VP]]*vp.data[[#This Row],[VolumeM3]],"")</f>
        <v/>
      </c>
    </row>
    <row r="1723" spans="1:43" x14ac:dyDescent="0.25">
      <c r="A1723">
        <v>1722</v>
      </c>
      <c r="B1723" t="s">
        <v>49</v>
      </c>
      <c r="C1723" t="s">
        <v>49</v>
      </c>
      <c r="D1723" t="s">
        <v>90</v>
      </c>
      <c r="F1723" s="1">
        <v>42914</v>
      </c>
      <c r="G1723" s="2">
        <v>63</v>
      </c>
      <c r="H1723" s="2"/>
      <c r="I1723" s="2" t="str">
        <f t="array" ref="I172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3" s="2"/>
      <c r="K1723" s="2"/>
      <c r="L1723" s="2"/>
      <c r="M1723" s="2" t="str">
        <f t="array" ref="M172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3" s="2">
        <f ca="1">INDEX(INDIRECT(_xlfn.CONCAT("weather.tbl[",N$1,"]")),MATCH(vp.data[[#This Row],[SDate]],weather.tbl[Date],0))</f>
        <v>16.833333333333332</v>
      </c>
      <c r="O1723" s="2">
        <f ca="1">INDEX(INDIRECT(_xlfn.CONCAT("weather.tbl[",O$1,"]")),MATCH(vp.data[[#This Row],[SDate]],weather.tbl[Date],0))</f>
        <v>14.397619047619045</v>
      </c>
      <c r="P1723" s="2">
        <f ca="1">INDEX(INDIRECT(_xlfn.CONCAT("weather.tbl[",P$1,"]")),MATCH(vp.data[[#This Row],[SDate]],weather.tbl[Date],0))</f>
        <v>16.8</v>
      </c>
      <c r="Q1723" s="2">
        <f ca="1">INDEX(INDIRECT(_xlfn.CONCAT("weather.tbl[",Q$1,"]")),MATCH(vp.data[[#This Row],[SDate]],weather.tbl[Date],0))</f>
        <v>15.2</v>
      </c>
      <c r="R1723" s="2">
        <f ca="1">INDEX(INDIRECT(_xlfn.CONCAT("weather.tbl[",R$1,"]")),MATCH(vp.data[[#This Row],[SDate]],weather.tbl[Date],0))</f>
        <v>17</v>
      </c>
      <c r="S1723" s="2">
        <f ca="1">INDEX(INDIRECT(_xlfn.CONCAT("weather.tbl[",S$1,"]")),MATCH(vp.data[[#This Row],[SDate]],weather.tbl[Date],0))</f>
        <v>16.2</v>
      </c>
      <c r="T1723" s="2">
        <f ca="1">INDEX(INDIRECT(_xlfn.CONCAT("weather.tbl[",T$1,"]")),MATCH(vp.data[[#This Row],[SDate]],weather.tbl[Date],0))</f>
        <v>19.5</v>
      </c>
      <c r="U1723" s="2">
        <f ca="1">INDEX(INDIRECT(_xlfn.CONCAT("weather.tbl[",U$1,"]")),MATCH(vp.data[[#This Row],[SDate]],weather.tbl[Date],0))</f>
        <v>16.3</v>
      </c>
      <c r="V1723" s="2" t="str">
        <f t="array" ref="V172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3" t="s">
        <v>48</v>
      </c>
      <c r="X1723">
        <f>IF(OR(vp.data[[#This Row],[Sulf]]="",vp.data[[#This Row],[Dens]]=""),1,0)</f>
        <v>1</v>
      </c>
      <c r="Y1723">
        <f>IF(vp.data[[#This Row],[CrudeType]]="C5+",1,0)</f>
        <v>0</v>
      </c>
      <c r="Z1723">
        <f>IF(AND(vp.data[[#This Row],[CrudeType]]="Crude",vp.data[[#This Row],[Dens]]&lt;=825,vp.data[[#This Row],[Sulf]]&gt;0.5,vp.data[[#This Row],[Unknown]]=0),1,0)</f>
        <v>0</v>
      </c>
      <c r="AA1723">
        <f>IF(AND(vp.data[[#This Row],[CrudeType]]="Crude",vp.data[[#This Row],[Dens]]&lt;=825,vp.data[[#This Row],[Sulf]]&lt;=0.5,vp.data[[#This Row],[Unknown]]=0),1,0)</f>
        <v>0</v>
      </c>
      <c r="AB172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3">
        <f>IF(AND(vp.data[[#This Row],[CrudeType]]="Crude",vp.data[[#This Row],[Dens]]&gt;825,vp.data[[#This Row],[Dens]]&lt;=900,vp.data[[#This Row],[Sulf]]&lt;=0.5,vp.data[[#This Row],[Unknown]]=0),1,0)</f>
        <v>0</v>
      </c>
      <c r="AD1723">
        <f>IF(AND(vp.data[[#This Row],[CrudeType]]="Crude",vp.data[[#This Row],[Dens]]&gt;865,vp.data[[#This Row],[Dens]]&lt;=900,vp.data[[#This Row],[Sulf]]&gt;2,vp.data[[#This Row],[Unknown]]=0),1,0)</f>
        <v>0</v>
      </c>
      <c r="AE1723">
        <f>IF(AND(vp.data[[#This Row],[CrudeType]]="Crude",vp.data[[#This Row],[Dens]]&gt;900,vp.data[[#This Row],[Sulf]]&lt;=0.5,vp.data[[#This Row],[Unknown]]=0),1,0)</f>
        <v>0</v>
      </c>
      <c r="AF1723">
        <f>IF(AND(vp.data[[#This Row],[CrudeType]]="Crude",vp.data[[#This Row],[Dens]]&gt;900,vp.data[[#This Row],[Sulf]]&lt;=0.5,vp.data[[#This Row],[Unknown]]=0),1,0)</f>
        <v>0</v>
      </c>
      <c r="AG1723" t="str">
        <f>INDEX(vp.data[[#Headers],[Unknown]:[Heavy_SW]],MATCH(1,vp.data[[#This Row],[Unknown]:[Heavy_SW]],0))</f>
        <v>Unknown</v>
      </c>
      <c r="AH1723">
        <f>INDEX([3]!crudeBD.lkup[Number],MATCH(vp.data[[#This Row],[Crude_Breakdown]],crudeBD.lkup[Crude Breakdown],0))</f>
        <v>-1</v>
      </c>
      <c r="AI1723">
        <f>MONTH(vp.data[[#This Row],[SDate]])</f>
        <v>6</v>
      </c>
      <c r="AJ1723" s="5">
        <f>(vp.data[[#This Row],[VP]]-INDEX(crudeBD.lkup[Mean_VP],MATCH(vp.data[[#This Row],[Crude_Breakdown]],crudeBD.lkup[Crude Breakdown],0)))^2</f>
        <v>117.61699625164134</v>
      </c>
      <c r="AK1723" s="5" t="e">
        <f>(vp.data[[#This Row],[Dens]]-INDEX(crudeBD.lkup[Mean_Dens],MATCH(vp.data[[#This Row],[Crude_Breakdown]],crudeBD.lkup[Crude Breakdown],0)))^2</f>
        <v>#VALUE!</v>
      </c>
      <c r="AL1723" s="5" t="e">
        <f>(vp.data[[#This Row],[Sulf]]-INDEX(crudeBD.lkup[Mean_Sulf],MATCH(vp.data[[#This Row],[Crude_Breakdown]],crudeBD.lkup[Crude Breakdown],0)))^2</f>
        <v>#VALUE!</v>
      </c>
      <c r="AM1723" s="4">
        <f>IF(AND(vp.data[[#This Row],[SDate]]&gt;=DATE(YEAR(vp.data[[#This Row],[SDate]]),5,1),vp.data[[#This Row],[SDate]]&lt;=DATE(YEAR(vp.data[[#This Row],[SDate]]),9,15)),1,0)</f>
        <v>1</v>
      </c>
      <c r="AN1723" s="4">
        <f>IF(vp.data[[#This Row],[SDate]]&lt;DATE(2016,12,1),0,1)</f>
        <v>1</v>
      </c>
      <c r="AO1723" s="4" t="str">
        <f>IFERROR(vp.data[[#This Row],[Sulf]]*vp.data[[#This Row],[Net Dens]],"")</f>
        <v/>
      </c>
      <c r="AP1723" t="str">
        <f>IFERROR(vp.data[[#This Row],[Dens]]*vp.data[[#This Row],[VolumeM3]],"")</f>
        <v/>
      </c>
      <c r="AQ1723" s="15" t="str">
        <f>IFERROR(vp.data[[#This Row],[VP]]*vp.data[[#This Row],[VolumeM3]],"")</f>
        <v/>
      </c>
    </row>
    <row r="1724" spans="1:43" x14ac:dyDescent="0.25">
      <c r="A1724">
        <v>1723</v>
      </c>
      <c r="B1724" t="s">
        <v>46</v>
      </c>
      <c r="C1724" t="s">
        <v>46</v>
      </c>
      <c r="D1724" t="s">
        <v>47</v>
      </c>
      <c r="F1724" s="1">
        <v>42914</v>
      </c>
      <c r="G1724" s="2">
        <v>53</v>
      </c>
      <c r="H1724" s="2"/>
      <c r="I1724" s="2" t="str">
        <f t="array" ref="I1724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4" s="2"/>
      <c r="K1724" s="2"/>
      <c r="L1724" s="2"/>
      <c r="M1724" s="2" t="str">
        <f t="array" ref="M1724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4" s="2">
        <f ca="1">INDEX(INDIRECT(_xlfn.CONCAT("weather.tbl[",N$1,"]")),MATCH(vp.data[[#This Row],[SDate]],weather.tbl[Date],0))</f>
        <v>16.833333333333332</v>
      </c>
      <c r="O1724" s="2">
        <f ca="1">INDEX(INDIRECT(_xlfn.CONCAT("weather.tbl[",O$1,"]")),MATCH(vp.data[[#This Row],[SDate]],weather.tbl[Date],0))</f>
        <v>14.397619047619045</v>
      </c>
      <c r="P1724" s="2">
        <f ca="1">INDEX(INDIRECT(_xlfn.CONCAT("weather.tbl[",P$1,"]")),MATCH(vp.data[[#This Row],[SDate]],weather.tbl[Date],0))</f>
        <v>16.8</v>
      </c>
      <c r="Q1724" s="2">
        <f ca="1">INDEX(INDIRECT(_xlfn.CONCAT("weather.tbl[",Q$1,"]")),MATCH(vp.data[[#This Row],[SDate]],weather.tbl[Date],0))</f>
        <v>15.2</v>
      </c>
      <c r="R1724" s="2">
        <f ca="1">INDEX(INDIRECT(_xlfn.CONCAT("weather.tbl[",R$1,"]")),MATCH(vp.data[[#This Row],[SDate]],weather.tbl[Date],0))</f>
        <v>17</v>
      </c>
      <c r="S1724" s="2">
        <f ca="1">INDEX(INDIRECT(_xlfn.CONCAT("weather.tbl[",S$1,"]")),MATCH(vp.data[[#This Row],[SDate]],weather.tbl[Date],0))</f>
        <v>16.2</v>
      </c>
      <c r="T1724" s="2">
        <f ca="1">INDEX(INDIRECT(_xlfn.CONCAT("weather.tbl[",T$1,"]")),MATCH(vp.data[[#This Row],[SDate]],weather.tbl[Date],0))</f>
        <v>19.5</v>
      </c>
      <c r="U1724" s="2">
        <f ca="1">INDEX(INDIRECT(_xlfn.CONCAT("weather.tbl[",U$1,"]")),MATCH(vp.data[[#This Row],[SDate]],weather.tbl[Date],0))</f>
        <v>16.3</v>
      </c>
      <c r="V1724" s="2" t="str">
        <f t="array" ref="V1724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4" t="s">
        <v>48</v>
      </c>
      <c r="X1724">
        <f>IF(OR(vp.data[[#This Row],[Sulf]]="",vp.data[[#This Row],[Dens]]=""),1,0)</f>
        <v>1</v>
      </c>
      <c r="Y1724">
        <f>IF(vp.data[[#This Row],[CrudeType]]="C5+",1,0)</f>
        <v>0</v>
      </c>
      <c r="Z1724">
        <f>IF(AND(vp.data[[#This Row],[CrudeType]]="Crude",vp.data[[#This Row],[Dens]]&lt;=825,vp.data[[#This Row],[Sulf]]&gt;0.5,vp.data[[#This Row],[Unknown]]=0),1,0)</f>
        <v>0</v>
      </c>
      <c r="AA1724">
        <f>IF(AND(vp.data[[#This Row],[CrudeType]]="Crude",vp.data[[#This Row],[Dens]]&lt;=825,vp.data[[#This Row],[Sulf]]&lt;=0.5,vp.data[[#This Row],[Unknown]]=0),1,0)</f>
        <v>0</v>
      </c>
      <c r="AB1724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4">
        <f>IF(AND(vp.data[[#This Row],[CrudeType]]="Crude",vp.data[[#This Row],[Dens]]&gt;825,vp.data[[#This Row],[Dens]]&lt;=900,vp.data[[#This Row],[Sulf]]&lt;=0.5,vp.data[[#This Row],[Unknown]]=0),1,0)</f>
        <v>0</v>
      </c>
      <c r="AD1724">
        <f>IF(AND(vp.data[[#This Row],[CrudeType]]="Crude",vp.data[[#This Row],[Dens]]&gt;865,vp.data[[#This Row],[Dens]]&lt;=900,vp.data[[#This Row],[Sulf]]&gt;2,vp.data[[#This Row],[Unknown]]=0),1,0)</f>
        <v>0</v>
      </c>
      <c r="AE1724">
        <f>IF(AND(vp.data[[#This Row],[CrudeType]]="Crude",vp.data[[#This Row],[Dens]]&gt;900,vp.data[[#This Row],[Sulf]]&lt;=0.5,vp.data[[#This Row],[Unknown]]=0),1,0)</f>
        <v>0</v>
      </c>
      <c r="AF1724">
        <f>IF(AND(vp.data[[#This Row],[CrudeType]]="Crude",vp.data[[#This Row],[Dens]]&gt;900,vp.data[[#This Row],[Sulf]]&lt;=0.5,vp.data[[#This Row],[Unknown]]=0),1,0)</f>
        <v>0</v>
      </c>
      <c r="AG1724" t="str">
        <f>INDEX(vp.data[[#Headers],[Unknown]:[Heavy_SW]],MATCH(1,vp.data[[#This Row],[Unknown]:[Heavy_SW]],0))</f>
        <v>Unknown</v>
      </c>
      <c r="AH1724">
        <f>INDEX([3]!crudeBD.lkup[Number],MATCH(vp.data[[#This Row],[Crude_Breakdown]],crudeBD.lkup[Crude Breakdown],0))</f>
        <v>-1</v>
      </c>
      <c r="AI1724">
        <f>MONTH(vp.data[[#This Row],[SDate]])</f>
        <v>6</v>
      </c>
      <c r="AJ1724" s="5">
        <f>(vp.data[[#This Row],[VP]]-INDEX(crudeBD.lkup[Mean_VP],MATCH(vp.data[[#This Row],[Crude_Breakdown]],crudeBD.lkup[Crude Breakdown],0)))^2</f>
        <v>434.51973597766818</v>
      </c>
      <c r="AK1724" s="5" t="e">
        <f>(vp.data[[#This Row],[Dens]]-INDEX(crudeBD.lkup[Mean_Dens],MATCH(vp.data[[#This Row],[Crude_Breakdown]],crudeBD.lkup[Crude Breakdown],0)))^2</f>
        <v>#VALUE!</v>
      </c>
      <c r="AL1724" s="5" t="e">
        <f>(vp.data[[#This Row],[Sulf]]-INDEX(crudeBD.lkup[Mean_Sulf],MATCH(vp.data[[#This Row],[Crude_Breakdown]],crudeBD.lkup[Crude Breakdown],0)))^2</f>
        <v>#VALUE!</v>
      </c>
      <c r="AM1724" s="4">
        <f>IF(AND(vp.data[[#This Row],[SDate]]&gt;=DATE(YEAR(vp.data[[#This Row],[SDate]]),5,1),vp.data[[#This Row],[SDate]]&lt;=DATE(YEAR(vp.data[[#This Row],[SDate]]),9,15)),1,0)</f>
        <v>1</v>
      </c>
      <c r="AN1724" s="4">
        <f>IF(vp.data[[#This Row],[SDate]]&lt;DATE(2016,12,1),0,1)</f>
        <v>1</v>
      </c>
      <c r="AO1724" s="4" t="str">
        <f>IFERROR(vp.data[[#This Row],[Sulf]]*vp.data[[#This Row],[Net Dens]],"")</f>
        <v/>
      </c>
      <c r="AP1724" t="str">
        <f>IFERROR(vp.data[[#This Row],[Dens]]*vp.data[[#This Row],[VolumeM3]],"")</f>
        <v/>
      </c>
      <c r="AQ1724" s="15" t="str">
        <f>IFERROR(vp.data[[#This Row],[VP]]*vp.data[[#This Row],[VolumeM3]],"")</f>
        <v/>
      </c>
    </row>
    <row r="1725" spans="1:43" x14ac:dyDescent="0.25">
      <c r="A1725">
        <v>1724</v>
      </c>
      <c r="B1725" t="s">
        <v>51</v>
      </c>
      <c r="C1725" t="s">
        <v>51</v>
      </c>
      <c r="D1725" t="s">
        <v>52</v>
      </c>
      <c r="F1725" s="1">
        <v>42914</v>
      </c>
      <c r="G1725" s="2">
        <v>65.900000000000006</v>
      </c>
      <c r="H1725" s="2"/>
      <c r="I1725" s="2" t="str">
        <f t="array" ref="I1725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5" s="2"/>
      <c r="K1725" s="2"/>
      <c r="L1725" s="2"/>
      <c r="M1725" s="2" t="str">
        <f t="array" ref="M1725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5" s="2">
        <f ca="1">INDEX(INDIRECT(_xlfn.CONCAT("weather.tbl[",N$1,"]")),MATCH(vp.data[[#This Row],[SDate]],weather.tbl[Date],0))</f>
        <v>16.833333333333332</v>
      </c>
      <c r="O1725" s="2">
        <f ca="1">INDEX(INDIRECT(_xlfn.CONCAT("weather.tbl[",O$1,"]")),MATCH(vp.data[[#This Row],[SDate]],weather.tbl[Date],0))</f>
        <v>14.397619047619045</v>
      </c>
      <c r="P1725" s="2">
        <f ca="1">INDEX(INDIRECT(_xlfn.CONCAT("weather.tbl[",P$1,"]")),MATCH(vp.data[[#This Row],[SDate]],weather.tbl[Date],0))</f>
        <v>16.8</v>
      </c>
      <c r="Q1725" s="2">
        <f ca="1">INDEX(INDIRECT(_xlfn.CONCAT("weather.tbl[",Q$1,"]")),MATCH(vp.data[[#This Row],[SDate]],weather.tbl[Date],0))</f>
        <v>15.2</v>
      </c>
      <c r="R1725" s="2">
        <f ca="1">INDEX(INDIRECT(_xlfn.CONCAT("weather.tbl[",R$1,"]")),MATCH(vp.data[[#This Row],[SDate]],weather.tbl[Date],0))</f>
        <v>17</v>
      </c>
      <c r="S1725" s="2">
        <f ca="1">INDEX(INDIRECT(_xlfn.CONCAT("weather.tbl[",S$1,"]")),MATCH(vp.data[[#This Row],[SDate]],weather.tbl[Date],0))</f>
        <v>16.2</v>
      </c>
      <c r="T1725" s="2">
        <f ca="1">INDEX(INDIRECT(_xlfn.CONCAT("weather.tbl[",T$1,"]")),MATCH(vp.data[[#This Row],[SDate]],weather.tbl[Date],0))</f>
        <v>19.5</v>
      </c>
      <c r="U1725" s="2">
        <f ca="1">INDEX(INDIRECT(_xlfn.CONCAT("weather.tbl[",U$1,"]")),MATCH(vp.data[[#This Row],[SDate]],weather.tbl[Date],0))</f>
        <v>16.3</v>
      </c>
      <c r="V1725" s="2" t="str">
        <f t="array" ref="V1725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5" t="s">
        <v>48</v>
      </c>
      <c r="X1725">
        <f>IF(OR(vp.data[[#This Row],[Sulf]]="",vp.data[[#This Row],[Dens]]=""),1,0)</f>
        <v>1</v>
      </c>
      <c r="Y1725">
        <f>IF(vp.data[[#This Row],[CrudeType]]="C5+",1,0)</f>
        <v>0</v>
      </c>
      <c r="Z1725">
        <f>IF(AND(vp.data[[#This Row],[CrudeType]]="Crude",vp.data[[#This Row],[Dens]]&lt;=825,vp.data[[#This Row],[Sulf]]&gt;0.5,vp.data[[#This Row],[Unknown]]=0),1,0)</f>
        <v>0</v>
      </c>
      <c r="AA1725">
        <f>IF(AND(vp.data[[#This Row],[CrudeType]]="Crude",vp.data[[#This Row],[Dens]]&lt;=825,vp.data[[#This Row],[Sulf]]&lt;=0.5,vp.data[[#This Row],[Unknown]]=0),1,0)</f>
        <v>0</v>
      </c>
      <c r="AB1725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5">
        <f>IF(AND(vp.data[[#This Row],[CrudeType]]="Crude",vp.data[[#This Row],[Dens]]&gt;825,vp.data[[#This Row],[Dens]]&lt;=900,vp.data[[#This Row],[Sulf]]&lt;=0.5,vp.data[[#This Row],[Unknown]]=0),1,0)</f>
        <v>0</v>
      </c>
      <c r="AD1725">
        <f>IF(AND(vp.data[[#This Row],[CrudeType]]="Crude",vp.data[[#This Row],[Dens]]&gt;865,vp.data[[#This Row],[Dens]]&lt;=900,vp.data[[#This Row],[Sulf]]&gt;2,vp.data[[#This Row],[Unknown]]=0),1,0)</f>
        <v>0</v>
      </c>
      <c r="AE1725">
        <f>IF(AND(vp.data[[#This Row],[CrudeType]]="Crude",vp.data[[#This Row],[Dens]]&gt;900,vp.data[[#This Row],[Sulf]]&lt;=0.5,vp.data[[#This Row],[Unknown]]=0),1,0)</f>
        <v>0</v>
      </c>
      <c r="AF1725">
        <f>IF(AND(vp.data[[#This Row],[CrudeType]]="Crude",vp.data[[#This Row],[Dens]]&gt;900,vp.data[[#This Row],[Sulf]]&lt;=0.5,vp.data[[#This Row],[Unknown]]=0),1,0)</f>
        <v>0</v>
      </c>
      <c r="AG1725" t="str">
        <f>INDEX(vp.data[[#Headers],[Unknown]:[Heavy_SW]],MATCH(1,vp.data[[#This Row],[Unknown]:[Heavy_SW]],0))</f>
        <v>Unknown</v>
      </c>
      <c r="AH1725">
        <f>INDEX([3]!crudeBD.lkup[Number],MATCH(vp.data[[#This Row],[Crude_Breakdown]],crudeBD.lkup[Crude Breakdown],0))</f>
        <v>-1</v>
      </c>
      <c r="AI1725">
        <f>MONTH(vp.data[[#This Row],[SDate]])</f>
        <v>6</v>
      </c>
      <c r="AJ1725" s="5">
        <f>(vp.data[[#This Row],[VP]]-INDEX(crudeBD.lkup[Mean_VP],MATCH(vp.data[[#This Row],[Crude_Breakdown]],crudeBD.lkup[Crude Breakdown],0)))^2</f>
        <v>63.125201731093469</v>
      </c>
      <c r="AK1725" s="5" t="e">
        <f>(vp.data[[#This Row],[Dens]]-INDEX(crudeBD.lkup[Mean_Dens],MATCH(vp.data[[#This Row],[Crude_Breakdown]],crudeBD.lkup[Crude Breakdown],0)))^2</f>
        <v>#VALUE!</v>
      </c>
      <c r="AL1725" s="5" t="e">
        <f>(vp.data[[#This Row],[Sulf]]-INDEX(crudeBD.lkup[Mean_Sulf],MATCH(vp.data[[#This Row],[Crude_Breakdown]],crudeBD.lkup[Crude Breakdown],0)))^2</f>
        <v>#VALUE!</v>
      </c>
      <c r="AM1725" s="4">
        <f>IF(AND(vp.data[[#This Row],[SDate]]&gt;=DATE(YEAR(vp.data[[#This Row],[SDate]]),5,1),vp.data[[#This Row],[SDate]]&lt;=DATE(YEAR(vp.data[[#This Row],[SDate]]),9,15)),1,0)</f>
        <v>1</v>
      </c>
      <c r="AN1725" s="4">
        <f>IF(vp.data[[#This Row],[SDate]]&lt;DATE(2016,12,1),0,1)</f>
        <v>1</v>
      </c>
      <c r="AO1725" s="4" t="str">
        <f>IFERROR(vp.data[[#This Row],[Sulf]]*vp.data[[#This Row],[Net Dens]],"")</f>
        <v/>
      </c>
      <c r="AP1725" t="str">
        <f>IFERROR(vp.data[[#This Row],[Dens]]*vp.data[[#This Row],[VolumeM3]],"")</f>
        <v/>
      </c>
      <c r="AQ1725" s="15" t="str">
        <f>IFERROR(vp.data[[#This Row],[VP]]*vp.data[[#This Row],[VolumeM3]],"")</f>
        <v/>
      </c>
    </row>
    <row r="1726" spans="1:43" x14ac:dyDescent="0.25">
      <c r="A1726">
        <v>1725</v>
      </c>
      <c r="B1726" t="s">
        <v>49</v>
      </c>
      <c r="C1726" t="s">
        <v>49</v>
      </c>
      <c r="D1726" t="s">
        <v>50</v>
      </c>
      <c r="F1726" s="1">
        <v>42914</v>
      </c>
      <c r="G1726" s="2">
        <v>71.7</v>
      </c>
      <c r="H1726" s="2"/>
      <c r="I1726" s="2" t="str">
        <f t="array" ref="I1726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6" s="2"/>
      <c r="K1726" s="2"/>
      <c r="L1726" s="2"/>
      <c r="M1726" s="2" t="str">
        <f t="array" ref="M1726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6" s="2">
        <f ca="1">INDEX(INDIRECT(_xlfn.CONCAT("weather.tbl[",N$1,"]")),MATCH(vp.data[[#This Row],[SDate]],weather.tbl[Date],0))</f>
        <v>16.833333333333332</v>
      </c>
      <c r="O1726" s="2">
        <f ca="1">INDEX(INDIRECT(_xlfn.CONCAT("weather.tbl[",O$1,"]")),MATCH(vp.data[[#This Row],[SDate]],weather.tbl[Date],0))</f>
        <v>14.397619047619045</v>
      </c>
      <c r="P1726" s="2">
        <f ca="1">INDEX(INDIRECT(_xlfn.CONCAT("weather.tbl[",P$1,"]")),MATCH(vp.data[[#This Row],[SDate]],weather.tbl[Date],0))</f>
        <v>16.8</v>
      </c>
      <c r="Q1726" s="2">
        <f ca="1">INDEX(INDIRECT(_xlfn.CONCAT("weather.tbl[",Q$1,"]")),MATCH(vp.data[[#This Row],[SDate]],weather.tbl[Date],0))</f>
        <v>15.2</v>
      </c>
      <c r="R1726" s="2">
        <f ca="1">INDEX(INDIRECT(_xlfn.CONCAT("weather.tbl[",R$1,"]")),MATCH(vp.data[[#This Row],[SDate]],weather.tbl[Date],0))</f>
        <v>17</v>
      </c>
      <c r="S1726" s="2">
        <f ca="1">INDEX(INDIRECT(_xlfn.CONCAT("weather.tbl[",S$1,"]")),MATCH(vp.data[[#This Row],[SDate]],weather.tbl[Date],0))</f>
        <v>16.2</v>
      </c>
      <c r="T1726" s="2">
        <f ca="1">INDEX(INDIRECT(_xlfn.CONCAT("weather.tbl[",T$1,"]")),MATCH(vp.data[[#This Row],[SDate]],weather.tbl[Date],0))</f>
        <v>19.5</v>
      </c>
      <c r="U1726" s="2">
        <f ca="1">INDEX(INDIRECT(_xlfn.CONCAT("weather.tbl[",U$1,"]")),MATCH(vp.data[[#This Row],[SDate]],weather.tbl[Date],0))</f>
        <v>16.3</v>
      </c>
      <c r="V1726" s="2" t="str">
        <f t="array" ref="V1726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6" t="s">
        <v>48</v>
      </c>
      <c r="X1726">
        <f>IF(OR(vp.data[[#This Row],[Sulf]]="",vp.data[[#This Row],[Dens]]=""),1,0)</f>
        <v>1</v>
      </c>
      <c r="Y1726">
        <f>IF(vp.data[[#This Row],[CrudeType]]="C5+",1,0)</f>
        <v>0</v>
      </c>
      <c r="Z1726">
        <f>IF(AND(vp.data[[#This Row],[CrudeType]]="Crude",vp.data[[#This Row],[Dens]]&lt;=825,vp.data[[#This Row],[Sulf]]&gt;0.5,vp.data[[#This Row],[Unknown]]=0),1,0)</f>
        <v>0</v>
      </c>
      <c r="AA1726">
        <f>IF(AND(vp.data[[#This Row],[CrudeType]]="Crude",vp.data[[#This Row],[Dens]]&lt;=825,vp.data[[#This Row],[Sulf]]&lt;=0.5,vp.data[[#This Row],[Unknown]]=0),1,0)</f>
        <v>0</v>
      </c>
      <c r="AB1726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6">
        <f>IF(AND(vp.data[[#This Row],[CrudeType]]="Crude",vp.data[[#This Row],[Dens]]&gt;825,vp.data[[#This Row],[Dens]]&lt;=900,vp.data[[#This Row],[Sulf]]&lt;=0.5,vp.data[[#This Row],[Unknown]]=0),1,0)</f>
        <v>0</v>
      </c>
      <c r="AD1726">
        <f>IF(AND(vp.data[[#This Row],[CrudeType]]="Crude",vp.data[[#This Row],[Dens]]&gt;865,vp.data[[#This Row],[Dens]]&lt;=900,vp.data[[#This Row],[Sulf]]&gt;2,vp.data[[#This Row],[Unknown]]=0),1,0)</f>
        <v>0</v>
      </c>
      <c r="AE1726">
        <f>IF(AND(vp.data[[#This Row],[CrudeType]]="Crude",vp.data[[#This Row],[Dens]]&gt;900,vp.data[[#This Row],[Sulf]]&lt;=0.5,vp.data[[#This Row],[Unknown]]=0),1,0)</f>
        <v>0</v>
      </c>
      <c r="AF1726">
        <f>IF(AND(vp.data[[#This Row],[CrudeType]]="Crude",vp.data[[#This Row],[Dens]]&gt;900,vp.data[[#This Row],[Sulf]]&lt;=0.5,vp.data[[#This Row],[Unknown]]=0),1,0)</f>
        <v>0</v>
      </c>
      <c r="AG1726" t="str">
        <f>INDEX(vp.data[[#Headers],[Unknown]:[Heavy_SW]],MATCH(1,vp.data[[#This Row],[Unknown]:[Heavy_SW]],0))</f>
        <v>Unknown</v>
      </c>
      <c r="AH1726">
        <f>INDEX([3]!crudeBD.lkup[Number],MATCH(vp.data[[#This Row],[Crude_Breakdown]],crudeBD.lkup[Crude Breakdown],0))</f>
        <v>-1</v>
      </c>
      <c r="AI1726">
        <f>MONTH(vp.data[[#This Row],[SDate]])</f>
        <v>6</v>
      </c>
      <c r="AJ1726" s="5">
        <f>(vp.data[[#This Row],[VP]]-INDEX(crudeBD.lkup[Mean_VP],MATCH(vp.data[[#This Row],[Crude_Breakdown]],crudeBD.lkup[Crude Breakdown],0)))^2</f>
        <v>4.6016126899979879</v>
      </c>
      <c r="AK1726" s="5" t="e">
        <f>(vp.data[[#This Row],[Dens]]-INDEX(crudeBD.lkup[Mean_Dens],MATCH(vp.data[[#This Row],[Crude_Breakdown]],crudeBD.lkup[Crude Breakdown],0)))^2</f>
        <v>#VALUE!</v>
      </c>
      <c r="AL1726" s="5" t="e">
        <f>(vp.data[[#This Row],[Sulf]]-INDEX(crudeBD.lkup[Mean_Sulf],MATCH(vp.data[[#This Row],[Crude_Breakdown]],crudeBD.lkup[Crude Breakdown],0)))^2</f>
        <v>#VALUE!</v>
      </c>
      <c r="AM1726" s="4">
        <f>IF(AND(vp.data[[#This Row],[SDate]]&gt;=DATE(YEAR(vp.data[[#This Row],[SDate]]),5,1),vp.data[[#This Row],[SDate]]&lt;=DATE(YEAR(vp.data[[#This Row],[SDate]]),9,15)),1,0)</f>
        <v>1</v>
      </c>
      <c r="AN1726" s="4">
        <f>IF(vp.data[[#This Row],[SDate]]&lt;DATE(2016,12,1),0,1)</f>
        <v>1</v>
      </c>
      <c r="AO1726" s="4" t="str">
        <f>IFERROR(vp.data[[#This Row],[Sulf]]*vp.data[[#This Row],[Net Dens]],"")</f>
        <v/>
      </c>
      <c r="AP1726" t="str">
        <f>IFERROR(vp.data[[#This Row],[Dens]]*vp.data[[#This Row],[VolumeM3]],"")</f>
        <v/>
      </c>
      <c r="AQ1726" s="15" t="str">
        <f>IFERROR(vp.data[[#This Row],[VP]]*vp.data[[#This Row],[VolumeM3]],"")</f>
        <v/>
      </c>
    </row>
    <row r="1727" spans="1:43" x14ac:dyDescent="0.25">
      <c r="A1727">
        <v>1726</v>
      </c>
      <c r="B1727" t="s">
        <v>111</v>
      </c>
      <c r="C1727" t="s">
        <v>111</v>
      </c>
      <c r="D1727" t="s">
        <v>112</v>
      </c>
      <c r="F1727" s="1">
        <v>42914</v>
      </c>
      <c r="G1727" s="2">
        <v>69.400000000000006</v>
      </c>
      <c r="H1727" s="2"/>
      <c r="I1727" s="2" t="str">
        <f t="array" ref="I1727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7" s="2"/>
      <c r="K1727" s="2"/>
      <c r="L1727" s="2"/>
      <c r="M1727" s="2" t="str">
        <f t="array" ref="M1727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7" s="2">
        <f ca="1">INDEX(INDIRECT(_xlfn.CONCAT("weather.tbl[",N$1,"]")),MATCH(vp.data[[#This Row],[SDate]],weather.tbl[Date],0))</f>
        <v>16.833333333333332</v>
      </c>
      <c r="O1727" s="2">
        <f ca="1">INDEX(INDIRECT(_xlfn.CONCAT("weather.tbl[",O$1,"]")),MATCH(vp.data[[#This Row],[SDate]],weather.tbl[Date],0))</f>
        <v>14.397619047619045</v>
      </c>
      <c r="P1727" s="2">
        <f ca="1">INDEX(INDIRECT(_xlfn.CONCAT("weather.tbl[",P$1,"]")),MATCH(vp.data[[#This Row],[SDate]],weather.tbl[Date],0))</f>
        <v>16.8</v>
      </c>
      <c r="Q1727" s="2">
        <f ca="1">INDEX(INDIRECT(_xlfn.CONCAT("weather.tbl[",Q$1,"]")),MATCH(vp.data[[#This Row],[SDate]],weather.tbl[Date],0))</f>
        <v>15.2</v>
      </c>
      <c r="R1727" s="2">
        <f ca="1">INDEX(INDIRECT(_xlfn.CONCAT("weather.tbl[",R$1,"]")),MATCH(vp.data[[#This Row],[SDate]],weather.tbl[Date],0))</f>
        <v>17</v>
      </c>
      <c r="S1727" s="2">
        <f ca="1">INDEX(INDIRECT(_xlfn.CONCAT("weather.tbl[",S$1,"]")),MATCH(vp.data[[#This Row],[SDate]],weather.tbl[Date],0))</f>
        <v>16.2</v>
      </c>
      <c r="T1727" s="2">
        <f ca="1">INDEX(INDIRECT(_xlfn.CONCAT("weather.tbl[",T$1,"]")),MATCH(vp.data[[#This Row],[SDate]],weather.tbl[Date],0))</f>
        <v>19.5</v>
      </c>
      <c r="U1727" s="2">
        <f ca="1">INDEX(INDIRECT(_xlfn.CONCAT("weather.tbl[",U$1,"]")),MATCH(vp.data[[#This Row],[SDate]],weather.tbl[Date],0))</f>
        <v>16.3</v>
      </c>
      <c r="V1727" s="2" t="str">
        <f t="array" ref="V1727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7" t="s">
        <v>48</v>
      </c>
      <c r="X1727">
        <f>IF(OR(vp.data[[#This Row],[Sulf]]="",vp.data[[#This Row],[Dens]]=""),1,0)</f>
        <v>1</v>
      </c>
      <c r="Y1727">
        <f>IF(vp.data[[#This Row],[CrudeType]]="C5+",1,0)</f>
        <v>0</v>
      </c>
      <c r="Z1727">
        <f>IF(AND(vp.data[[#This Row],[CrudeType]]="Crude",vp.data[[#This Row],[Dens]]&lt;=825,vp.data[[#This Row],[Sulf]]&gt;0.5,vp.data[[#This Row],[Unknown]]=0),1,0)</f>
        <v>0</v>
      </c>
      <c r="AA1727">
        <f>IF(AND(vp.data[[#This Row],[CrudeType]]="Crude",vp.data[[#This Row],[Dens]]&lt;=825,vp.data[[#This Row],[Sulf]]&lt;=0.5,vp.data[[#This Row],[Unknown]]=0),1,0)</f>
        <v>0</v>
      </c>
      <c r="AB1727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7">
        <f>IF(AND(vp.data[[#This Row],[CrudeType]]="Crude",vp.data[[#This Row],[Dens]]&gt;825,vp.data[[#This Row],[Dens]]&lt;=900,vp.data[[#This Row],[Sulf]]&lt;=0.5,vp.data[[#This Row],[Unknown]]=0),1,0)</f>
        <v>0</v>
      </c>
      <c r="AD1727">
        <f>IF(AND(vp.data[[#This Row],[CrudeType]]="Crude",vp.data[[#This Row],[Dens]]&gt;865,vp.data[[#This Row],[Dens]]&lt;=900,vp.data[[#This Row],[Sulf]]&gt;2,vp.data[[#This Row],[Unknown]]=0),1,0)</f>
        <v>0</v>
      </c>
      <c r="AE1727">
        <f>IF(AND(vp.data[[#This Row],[CrudeType]]="Crude",vp.data[[#This Row],[Dens]]&gt;900,vp.data[[#This Row],[Sulf]]&lt;=0.5,vp.data[[#This Row],[Unknown]]=0),1,0)</f>
        <v>0</v>
      </c>
      <c r="AF1727">
        <f>IF(AND(vp.data[[#This Row],[CrudeType]]="Crude",vp.data[[#This Row],[Dens]]&gt;900,vp.data[[#This Row],[Sulf]]&lt;=0.5,vp.data[[#This Row],[Unknown]]=0),1,0)</f>
        <v>0</v>
      </c>
      <c r="AG1727" t="str">
        <f>INDEX(vp.data[[#Headers],[Unknown]:[Heavy_SW]],MATCH(1,vp.data[[#This Row],[Unknown]:[Heavy_SW]],0))</f>
        <v>Unknown</v>
      </c>
      <c r="AH1727">
        <f>INDEX([3]!crudeBD.lkup[Number],MATCH(vp.data[[#This Row],[Crude_Breakdown]],crudeBD.lkup[Crude Breakdown],0))</f>
        <v>-1</v>
      </c>
      <c r="AI1727">
        <f>MONTH(vp.data[[#This Row],[SDate]])</f>
        <v>6</v>
      </c>
      <c r="AJ1727" s="5">
        <f>(vp.data[[#This Row],[VP]]-INDEX(crudeBD.lkup[Mean_VP],MATCH(vp.data[[#This Row],[Crude_Breakdown]],crudeBD.lkup[Crude Breakdown],0)))^2</f>
        <v>19.759242826984121</v>
      </c>
      <c r="AK1727" s="5" t="e">
        <f>(vp.data[[#This Row],[Dens]]-INDEX(crudeBD.lkup[Mean_Dens],MATCH(vp.data[[#This Row],[Crude_Breakdown]],crudeBD.lkup[Crude Breakdown],0)))^2</f>
        <v>#VALUE!</v>
      </c>
      <c r="AL1727" s="5" t="e">
        <f>(vp.data[[#This Row],[Sulf]]-INDEX(crudeBD.lkup[Mean_Sulf],MATCH(vp.data[[#This Row],[Crude_Breakdown]],crudeBD.lkup[Crude Breakdown],0)))^2</f>
        <v>#VALUE!</v>
      </c>
      <c r="AM1727" s="4">
        <f>IF(AND(vp.data[[#This Row],[SDate]]&gt;=DATE(YEAR(vp.data[[#This Row],[SDate]]),5,1),vp.data[[#This Row],[SDate]]&lt;=DATE(YEAR(vp.data[[#This Row],[SDate]]),9,15)),1,0)</f>
        <v>1</v>
      </c>
      <c r="AN1727" s="4">
        <f>IF(vp.data[[#This Row],[SDate]]&lt;DATE(2016,12,1),0,1)</f>
        <v>1</v>
      </c>
      <c r="AO1727" s="4" t="str">
        <f>IFERROR(vp.data[[#This Row],[Sulf]]*vp.data[[#This Row],[Net Dens]],"")</f>
        <v/>
      </c>
      <c r="AP1727" t="str">
        <f>IFERROR(vp.data[[#This Row],[Dens]]*vp.data[[#This Row],[VolumeM3]],"")</f>
        <v/>
      </c>
      <c r="AQ1727" s="15" t="str">
        <f>IFERROR(vp.data[[#This Row],[VP]]*vp.data[[#This Row],[VolumeM3]],"")</f>
        <v/>
      </c>
    </row>
    <row r="1728" spans="1:43" x14ac:dyDescent="0.25">
      <c r="A1728">
        <v>1727</v>
      </c>
      <c r="B1728" t="s">
        <v>292</v>
      </c>
      <c r="C1728" t="s">
        <v>292</v>
      </c>
      <c r="D1728" t="s">
        <v>94</v>
      </c>
      <c r="F1728" s="1">
        <v>42914</v>
      </c>
      <c r="G1728" s="2">
        <v>71</v>
      </c>
      <c r="H1728" s="2"/>
      <c r="I1728" s="2" t="str">
        <f t="array" ref="I1728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8" s="2"/>
      <c r="K1728" s="2"/>
      <c r="L1728" s="2"/>
      <c r="M1728" s="2" t="str">
        <f t="array" ref="M1728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8" s="2">
        <f ca="1">INDEX(INDIRECT(_xlfn.CONCAT("weather.tbl[",N$1,"]")),MATCH(vp.data[[#This Row],[SDate]],weather.tbl[Date],0))</f>
        <v>16.833333333333332</v>
      </c>
      <c r="O1728" s="2">
        <f ca="1">INDEX(INDIRECT(_xlfn.CONCAT("weather.tbl[",O$1,"]")),MATCH(vp.data[[#This Row],[SDate]],weather.tbl[Date],0))</f>
        <v>14.397619047619045</v>
      </c>
      <c r="P1728" s="2">
        <f ca="1">INDEX(INDIRECT(_xlfn.CONCAT("weather.tbl[",P$1,"]")),MATCH(vp.data[[#This Row],[SDate]],weather.tbl[Date],0))</f>
        <v>16.8</v>
      </c>
      <c r="Q1728" s="2">
        <f ca="1">INDEX(INDIRECT(_xlfn.CONCAT("weather.tbl[",Q$1,"]")),MATCH(vp.data[[#This Row],[SDate]],weather.tbl[Date],0))</f>
        <v>15.2</v>
      </c>
      <c r="R1728" s="2">
        <f ca="1">INDEX(INDIRECT(_xlfn.CONCAT("weather.tbl[",R$1,"]")),MATCH(vp.data[[#This Row],[SDate]],weather.tbl[Date],0))</f>
        <v>17</v>
      </c>
      <c r="S1728" s="2">
        <f ca="1">INDEX(INDIRECT(_xlfn.CONCAT("weather.tbl[",S$1,"]")),MATCH(vp.data[[#This Row],[SDate]],weather.tbl[Date],0))</f>
        <v>16.2</v>
      </c>
      <c r="T1728" s="2">
        <f ca="1">INDEX(INDIRECT(_xlfn.CONCAT("weather.tbl[",T$1,"]")),MATCH(vp.data[[#This Row],[SDate]],weather.tbl[Date],0))</f>
        <v>19.5</v>
      </c>
      <c r="U1728" s="2">
        <f ca="1">INDEX(INDIRECT(_xlfn.CONCAT("weather.tbl[",U$1,"]")),MATCH(vp.data[[#This Row],[SDate]],weather.tbl[Date],0))</f>
        <v>16.3</v>
      </c>
      <c r="V1728" s="2" t="str">
        <f t="array" ref="V1728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8" t="s">
        <v>48</v>
      </c>
      <c r="X1728">
        <f>IF(OR(vp.data[[#This Row],[Sulf]]="",vp.data[[#This Row],[Dens]]=""),1,0)</f>
        <v>1</v>
      </c>
      <c r="Y1728">
        <f>IF(vp.data[[#This Row],[CrudeType]]="C5+",1,0)</f>
        <v>0</v>
      </c>
      <c r="Z1728">
        <f>IF(AND(vp.data[[#This Row],[CrudeType]]="Crude",vp.data[[#This Row],[Dens]]&lt;=825,vp.data[[#This Row],[Sulf]]&gt;0.5,vp.data[[#This Row],[Unknown]]=0),1,0)</f>
        <v>0</v>
      </c>
      <c r="AA1728">
        <f>IF(AND(vp.data[[#This Row],[CrudeType]]="Crude",vp.data[[#This Row],[Dens]]&lt;=825,vp.data[[#This Row],[Sulf]]&lt;=0.5,vp.data[[#This Row],[Unknown]]=0),1,0)</f>
        <v>0</v>
      </c>
      <c r="AB1728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8">
        <f>IF(AND(vp.data[[#This Row],[CrudeType]]="Crude",vp.data[[#This Row],[Dens]]&gt;825,vp.data[[#This Row],[Dens]]&lt;=900,vp.data[[#This Row],[Sulf]]&lt;=0.5,vp.data[[#This Row],[Unknown]]=0),1,0)</f>
        <v>0</v>
      </c>
      <c r="AD1728">
        <f>IF(AND(vp.data[[#This Row],[CrudeType]]="Crude",vp.data[[#This Row],[Dens]]&gt;865,vp.data[[#This Row],[Dens]]&lt;=900,vp.data[[#This Row],[Sulf]]&gt;2,vp.data[[#This Row],[Unknown]]=0),1,0)</f>
        <v>0</v>
      </c>
      <c r="AE1728">
        <f>IF(AND(vp.data[[#This Row],[CrudeType]]="Crude",vp.data[[#This Row],[Dens]]&gt;900,vp.data[[#This Row],[Sulf]]&lt;=0.5,vp.data[[#This Row],[Unknown]]=0),1,0)</f>
        <v>0</v>
      </c>
      <c r="AF1728">
        <f>IF(AND(vp.data[[#This Row],[CrudeType]]="Crude",vp.data[[#This Row],[Dens]]&gt;900,vp.data[[#This Row],[Sulf]]&lt;=0.5,vp.data[[#This Row],[Unknown]]=0),1,0)</f>
        <v>0</v>
      </c>
      <c r="AG1728" t="str">
        <f>INDEX(vp.data[[#Headers],[Unknown]:[Heavy_SW]],MATCH(1,vp.data[[#This Row],[Unknown]:[Heavy_SW]],0))</f>
        <v>Unknown</v>
      </c>
      <c r="AH1728">
        <f>INDEX([3]!crudeBD.lkup[Number],MATCH(vp.data[[#This Row],[Crude_Breakdown]],crudeBD.lkup[Crude Breakdown],0))</f>
        <v>-1</v>
      </c>
      <c r="AI1728">
        <f>MONTH(vp.data[[#This Row],[SDate]])</f>
        <v>6</v>
      </c>
      <c r="AJ1728" s="5">
        <f>(vp.data[[#This Row],[VP]]-INDEX(crudeBD.lkup[Mean_VP],MATCH(vp.data[[#This Row],[Crude_Breakdown]],crudeBD.lkup[Crude Breakdown],0)))^2</f>
        <v>8.0948044708198772</v>
      </c>
      <c r="AK1728" s="5" t="e">
        <f>(vp.data[[#This Row],[Dens]]-INDEX(crudeBD.lkup[Mean_Dens],MATCH(vp.data[[#This Row],[Crude_Breakdown]],crudeBD.lkup[Crude Breakdown],0)))^2</f>
        <v>#VALUE!</v>
      </c>
      <c r="AL1728" s="5" t="e">
        <f>(vp.data[[#This Row],[Sulf]]-INDEX(crudeBD.lkup[Mean_Sulf],MATCH(vp.data[[#This Row],[Crude_Breakdown]],crudeBD.lkup[Crude Breakdown],0)))^2</f>
        <v>#VALUE!</v>
      </c>
      <c r="AM1728" s="4">
        <f>IF(AND(vp.data[[#This Row],[SDate]]&gt;=DATE(YEAR(vp.data[[#This Row],[SDate]]),5,1),vp.data[[#This Row],[SDate]]&lt;=DATE(YEAR(vp.data[[#This Row],[SDate]]),9,15)),1,0)</f>
        <v>1</v>
      </c>
      <c r="AN1728" s="4">
        <f>IF(vp.data[[#This Row],[SDate]]&lt;DATE(2016,12,1),0,1)</f>
        <v>1</v>
      </c>
      <c r="AO1728" s="4" t="str">
        <f>IFERROR(vp.data[[#This Row],[Sulf]]*vp.data[[#This Row],[Net Dens]],"")</f>
        <v/>
      </c>
      <c r="AP1728" t="str">
        <f>IFERROR(vp.data[[#This Row],[Dens]]*vp.data[[#This Row],[VolumeM3]],"")</f>
        <v/>
      </c>
      <c r="AQ1728" s="15" t="str">
        <f>IFERROR(vp.data[[#This Row],[VP]]*vp.data[[#This Row],[VolumeM3]],"")</f>
        <v/>
      </c>
    </row>
    <row r="1729" spans="1:43" x14ac:dyDescent="0.25">
      <c r="A1729">
        <v>1728</v>
      </c>
      <c r="B1729" t="s">
        <v>49</v>
      </c>
      <c r="C1729" t="s">
        <v>49</v>
      </c>
      <c r="D1729" t="s">
        <v>78</v>
      </c>
      <c r="F1729" s="1">
        <v>42914</v>
      </c>
      <c r="G1729" s="2">
        <v>68</v>
      </c>
      <c r="H1729" s="2"/>
      <c r="I1729" s="2" t="str">
        <f t="array" ref="I1729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29" s="2"/>
      <c r="K1729" s="2"/>
      <c r="L1729" s="2"/>
      <c r="M1729" s="2" t="str">
        <f t="array" ref="M1729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29" s="2">
        <f ca="1">INDEX(INDIRECT(_xlfn.CONCAT("weather.tbl[",N$1,"]")),MATCH(vp.data[[#This Row],[SDate]],weather.tbl[Date],0))</f>
        <v>16.833333333333332</v>
      </c>
      <c r="O1729" s="2">
        <f ca="1">INDEX(INDIRECT(_xlfn.CONCAT("weather.tbl[",O$1,"]")),MATCH(vp.data[[#This Row],[SDate]],weather.tbl[Date],0))</f>
        <v>14.397619047619045</v>
      </c>
      <c r="P1729" s="2">
        <f ca="1">INDEX(INDIRECT(_xlfn.CONCAT("weather.tbl[",P$1,"]")),MATCH(vp.data[[#This Row],[SDate]],weather.tbl[Date],0))</f>
        <v>16.8</v>
      </c>
      <c r="Q1729" s="2">
        <f ca="1">INDEX(INDIRECT(_xlfn.CONCAT("weather.tbl[",Q$1,"]")),MATCH(vp.data[[#This Row],[SDate]],weather.tbl[Date],0))</f>
        <v>15.2</v>
      </c>
      <c r="R1729" s="2">
        <f ca="1">INDEX(INDIRECT(_xlfn.CONCAT("weather.tbl[",R$1,"]")),MATCH(vp.data[[#This Row],[SDate]],weather.tbl[Date],0))</f>
        <v>17</v>
      </c>
      <c r="S1729" s="2">
        <f ca="1">INDEX(INDIRECT(_xlfn.CONCAT("weather.tbl[",S$1,"]")),MATCH(vp.data[[#This Row],[SDate]],weather.tbl[Date],0))</f>
        <v>16.2</v>
      </c>
      <c r="T1729" s="2">
        <f ca="1">INDEX(INDIRECT(_xlfn.CONCAT("weather.tbl[",T$1,"]")),MATCH(vp.data[[#This Row],[SDate]],weather.tbl[Date],0))</f>
        <v>19.5</v>
      </c>
      <c r="U1729" s="2">
        <f ca="1">INDEX(INDIRECT(_xlfn.CONCAT("weather.tbl[",U$1,"]")),MATCH(vp.data[[#This Row],[SDate]],weather.tbl[Date],0))</f>
        <v>16.3</v>
      </c>
      <c r="V1729" s="2" t="str">
        <f t="array" ref="V1729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29" t="s">
        <v>48</v>
      </c>
      <c r="X1729">
        <f>IF(OR(vp.data[[#This Row],[Sulf]]="",vp.data[[#This Row],[Dens]]=""),1,0)</f>
        <v>1</v>
      </c>
      <c r="Y1729">
        <f>IF(vp.data[[#This Row],[CrudeType]]="C5+",1,0)</f>
        <v>0</v>
      </c>
      <c r="Z1729">
        <f>IF(AND(vp.data[[#This Row],[CrudeType]]="Crude",vp.data[[#This Row],[Dens]]&lt;=825,vp.data[[#This Row],[Sulf]]&gt;0.5,vp.data[[#This Row],[Unknown]]=0),1,0)</f>
        <v>0</v>
      </c>
      <c r="AA1729">
        <f>IF(AND(vp.data[[#This Row],[CrudeType]]="Crude",vp.data[[#This Row],[Dens]]&lt;=825,vp.data[[#This Row],[Sulf]]&lt;=0.5,vp.data[[#This Row],[Unknown]]=0),1,0)</f>
        <v>0</v>
      </c>
      <c r="AB1729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29">
        <f>IF(AND(vp.data[[#This Row],[CrudeType]]="Crude",vp.data[[#This Row],[Dens]]&gt;825,vp.data[[#This Row],[Dens]]&lt;=900,vp.data[[#This Row],[Sulf]]&lt;=0.5,vp.data[[#This Row],[Unknown]]=0),1,0)</f>
        <v>0</v>
      </c>
      <c r="AD1729">
        <f>IF(AND(vp.data[[#This Row],[CrudeType]]="Crude",vp.data[[#This Row],[Dens]]&gt;865,vp.data[[#This Row],[Dens]]&lt;=900,vp.data[[#This Row],[Sulf]]&gt;2,vp.data[[#This Row],[Unknown]]=0),1,0)</f>
        <v>0</v>
      </c>
      <c r="AE1729">
        <f>IF(AND(vp.data[[#This Row],[CrudeType]]="Crude",vp.data[[#This Row],[Dens]]&gt;900,vp.data[[#This Row],[Sulf]]&lt;=0.5,vp.data[[#This Row],[Unknown]]=0),1,0)</f>
        <v>0</v>
      </c>
      <c r="AF1729">
        <f>IF(AND(vp.data[[#This Row],[CrudeType]]="Crude",vp.data[[#This Row],[Dens]]&gt;900,vp.data[[#This Row],[Sulf]]&lt;=0.5,vp.data[[#This Row],[Unknown]]=0),1,0)</f>
        <v>0</v>
      </c>
      <c r="AG1729" t="str">
        <f>INDEX(vp.data[[#Headers],[Unknown]:[Heavy_SW]],MATCH(1,vp.data[[#This Row],[Unknown]:[Heavy_SW]],0))</f>
        <v>Unknown</v>
      </c>
      <c r="AH1729">
        <f>INDEX([3]!crudeBD.lkup[Number],MATCH(vp.data[[#This Row],[Crude_Breakdown]],crudeBD.lkup[Crude Breakdown],0))</f>
        <v>-1</v>
      </c>
      <c r="AI1729">
        <f>MONTH(vp.data[[#This Row],[SDate]])</f>
        <v>6</v>
      </c>
      <c r="AJ1729" s="5">
        <f>(vp.data[[#This Row],[VP]]-INDEX(crudeBD.lkup[Mean_VP],MATCH(vp.data[[#This Row],[Crude_Breakdown]],crudeBD.lkup[Crude Breakdown],0)))^2</f>
        <v>34.165626388627928</v>
      </c>
      <c r="AK1729" s="5" t="e">
        <f>(vp.data[[#This Row],[Dens]]-INDEX(crudeBD.lkup[Mean_Dens],MATCH(vp.data[[#This Row],[Crude_Breakdown]],crudeBD.lkup[Crude Breakdown],0)))^2</f>
        <v>#VALUE!</v>
      </c>
      <c r="AL1729" s="5" t="e">
        <f>(vp.data[[#This Row],[Sulf]]-INDEX(crudeBD.lkup[Mean_Sulf],MATCH(vp.data[[#This Row],[Crude_Breakdown]],crudeBD.lkup[Crude Breakdown],0)))^2</f>
        <v>#VALUE!</v>
      </c>
      <c r="AM1729" s="4">
        <f>IF(AND(vp.data[[#This Row],[SDate]]&gt;=DATE(YEAR(vp.data[[#This Row],[SDate]]),5,1),vp.data[[#This Row],[SDate]]&lt;=DATE(YEAR(vp.data[[#This Row],[SDate]]),9,15)),1,0)</f>
        <v>1</v>
      </c>
      <c r="AN1729" s="4">
        <f>IF(vp.data[[#This Row],[SDate]]&lt;DATE(2016,12,1),0,1)</f>
        <v>1</v>
      </c>
      <c r="AO1729" s="4" t="str">
        <f>IFERROR(vp.data[[#This Row],[Sulf]]*vp.data[[#This Row],[Net Dens]],"")</f>
        <v/>
      </c>
      <c r="AP1729" t="str">
        <f>IFERROR(vp.data[[#This Row],[Dens]]*vp.data[[#This Row],[VolumeM3]],"")</f>
        <v/>
      </c>
      <c r="AQ1729" s="15" t="str">
        <f>IFERROR(vp.data[[#This Row],[VP]]*vp.data[[#This Row],[VolumeM3]],"")</f>
        <v/>
      </c>
    </row>
    <row r="1730" spans="1:43" x14ac:dyDescent="0.25">
      <c r="A1730">
        <v>1729</v>
      </c>
      <c r="B1730" t="s">
        <v>49</v>
      </c>
      <c r="C1730" t="s">
        <v>49</v>
      </c>
      <c r="D1730" t="s">
        <v>92</v>
      </c>
      <c r="F1730" s="1">
        <v>42914</v>
      </c>
      <c r="G1730" s="2">
        <v>71.5</v>
      </c>
      <c r="H1730" s="2"/>
      <c r="I1730" s="2" t="str">
        <f t="array" ref="I1730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30" s="2"/>
      <c r="K1730" s="2"/>
      <c r="L1730" s="2"/>
      <c r="M1730" s="2" t="str">
        <f t="array" ref="M1730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30" s="2">
        <f ca="1">INDEX(INDIRECT(_xlfn.CONCAT("weather.tbl[",N$1,"]")),MATCH(vp.data[[#This Row],[SDate]],weather.tbl[Date],0))</f>
        <v>16.833333333333332</v>
      </c>
      <c r="O1730" s="2">
        <f ca="1">INDEX(INDIRECT(_xlfn.CONCAT("weather.tbl[",O$1,"]")),MATCH(vp.data[[#This Row],[SDate]],weather.tbl[Date],0))</f>
        <v>14.397619047619045</v>
      </c>
      <c r="P1730" s="2">
        <f ca="1">INDEX(INDIRECT(_xlfn.CONCAT("weather.tbl[",P$1,"]")),MATCH(vp.data[[#This Row],[SDate]],weather.tbl[Date],0))</f>
        <v>16.8</v>
      </c>
      <c r="Q1730" s="2">
        <f ca="1">INDEX(INDIRECT(_xlfn.CONCAT("weather.tbl[",Q$1,"]")),MATCH(vp.data[[#This Row],[SDate]],weather.tbl[Date],0))</f>
        <v>15.2</v>
      </c>
      <c r="R1730" s="2">
        <f ca="1">INDEX(INDIRECT(_xlfn.CONCAT("weather.tbl[",R$1,"]")),MATCH(vp.data[[#This Row],[SDate]],weather.tbl[Date],0))</f>
        <v>17</v>
      </c>
      <c r="S1730" s="2">
        <f ca="1">INDEX(INDIRECT(_xlfn.CONCAT("weather.tbl[",S$1,"]")),MATCH(vp.data[[#This Row],[SDate]],weather.tbl[Date],0))</f>
        <v>16.2</v>
      </c>
      <c r="T1730" s="2">
        <f ca="1">INDEX(INDIRECT(_xlfn.CONCAT("weather.tbl[",T$1,"]")),MATCH(vp.data[[#This Row],[SDate]],weather.tbl[Date],0))</f>
        <v>19.5</v>
      </c>
      <c r="U1730" s="2">
        <f ca="1">INDEX(INDIRECT(_xlfn.CONCAT("weather.tbl[",U$1,"]")),MATCH(vp.data[[#This Row],[SDate]],weather.tbl[Date],0))</f>
        <v>16.3</v>
      </c>
      <c r="V1730" s="2" t="str">
        <f t="array" ref="V1730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30" t="s">
        <v>48</v>
      </c>
      <c r="X1730">
        <f>IF(OR(vp.data[[#This Row],[Sulf]]="",vp.data[[#This Row],[Dens]]=""),1,0)</f>
        <v>1</v>
      </c>
      <c r="Y1730">
        <f>IF(vp.data[[#This Row],[CrudeType]]="C5+",1,0)</f>
        <v>0</v>
      </c>
      <c r="Z1730">
        <f>IF(AND(vp.data[[#This Row],[CrudeType]]="Crude",vp.data[[#This Row],[Dens]]&lt;=825,vp.data[[#This Row],[Sulf]]&gt;0.5,vp.data[[#This Row],[Unknown]]=0),1,0)</f>
        <v>0</v>
      </c>
      <c r="AA1730">
        <f>IF(AND(vp.data[[#This Row],[CrudeType]]="Crude",vp.data[[#This Row],[Dens]]&lt;=825,vp.data[[#This Row],[Sulf]]&lt;=0.5,vp.data[[#This Row],[Unknown]]=0),1,0)</f>
        <v>0</v>
      </c>
      <c r="AB1730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30">
        <f>IF(AND(vp.data[[#This Row],[CrudeType]]="Crude",vp.data[[#This Row],[Dens]]&gt;825,vp.data[[#This Row],[Dens]]&lt;=900,vp.data[[#This Row],[Sulf]]&lt;=0.5,vp.data[[#This Row],[Unknown]]=0),1,0)</f>
        <v>0</v>
      </c>
      <c r="AD1730">
        <f>IF(AND(vp.data[[#This Row],[CrudeType]]="Crude",vp.data[[#This Row],[Dens]]&gt;865,vp.data[[#This Row],[Dens]]&lt;=900,vp.data[[#This Row],[Sulf]]&gt;2,vp.data[[#This Row],[Unknown]]=0),1,0)</f>
        <v>0</v>
      </c>
      <c r="AE1730">
        <f>IF(AND(vp.data[[#This Row],[CrudeType]]="Crude",vp.data[[#This Row],[Dens]]&gt;900,vp.data[[#This Row],[Sulf]]&lt;=0.5,vp.data[[#This Row],[Unknown]]=0),1,0)</f>
        <v>0</v>
      </c>
      <c r="AF1730">
        <f>IF(AND(vp.data[[#This Row],[CrudeType]]="Crude",vp.data[[#This Row],[Dens]]&gt;900,vp.data[[#This Row],[Sulf]]&lt;=0.5,vp.data[[#This Row],[Unknown]]=0),1,0)</f>
        <v>0</v>
      </c>
      <c r="AG1730" t="str">
        <f>INDEX(vp.data[[#Headers],[Unknown]:[Heavy_SW]],MATCH(1,vp.data[[#This Row],[Unknown]:[Heavy_SW]],0))</f>
        <v>Unknown</v>
      </c>
      <c r="AH1730">
        <f>INDEX([3]!crudeBD.lkup[Number],MATCH(vp.data[[#This Row],[Crude_Breakdown]],crudeBD.lkup[Crude Breakdown],0))</f>
        <v>-1</v>
      </c>
      <c r="AI1730">
        <f>MONTH(vp.data[[#This Row],[SDate]])</f>
        <v>6</v>
      </c>
      <c r="AJ1730" s="5">
        <f>(vp.data[[#This Row],[VP]]-INDEX(crudeBD.lkup[Mean_VP],MATCH(vp.data[[#This Row],[Crude_Breakdown]],crudeBD.lkup[Crude Breakdown],0)))^2</f>
        <v>5.4996674845185369</v>
      </c>
      <c r="AK1730" s="5" t="e">
        <f>(vp.data[[#This Row],[Dens]]-INDEX(crudeBD.lkup[Mean_Dens],MATCH(vp.data[[#This Row],[Crude_Breakdown]],crudeBD.lkup[Crude Breakdown],0)))^2</f>
        <v>#VALUE!</v>
      </c>
      <c r="AL1730" s="5" t="e">
        <f>(vp.data[[#This Row],[Sulf]]-INDEX(crudeBD.lkup[Mean_Sulf],MATCH(vp.data[[#This Row],[Crude_Breakdown]],crudeBD.lkup[Crude Breakdown],0)))^2</f>
        <v>#VALUE!</v>
      </c>
      <c r="AM1730" s="4">
        <f>IF(AND(vp.data[[#This Row],[SDate]]&gt;=DATE(YEAR(vp.data[[#This Row],[SDate]]),5,1),vp.data[[#This Row],[SDate]]&lt;=DATE(YEAR(vp.data[[#This Row],[SDate]]),9,15)),1,0)</f>
        <v>1</v>
      </c>
      <c r="AN1730" s="4">
        <f>IF(vp.data[[#This Row],[SDate]]&lt;DATE(2016,12,1),0,1)</f>
        <v>1</v>
      </c>
      <c r="AO1730" s="4" t="str">
        <f>IFERROR(vp.data[[#This Row],[Sulf]]*vp.data[[#This Row],[Net Dens]],"")</f>
        <v/>
      </c>
      <c r="AP1730" t="str">
        <f>IFERROR(vp.data[[#This Row],[Dens]]*vp.data[[#This Row],[VolumeM3]],"")</f>
        <v/>
      </c>
      <c r="AQ1730" s="15" t="str">
        <f>IFERROR(vp.data[[#This Row],[VP]]*vp.data[[#This Row],[VolumeM3]],"")</f>
        <v/>
      </c>
    </row>
    <row r="1731" spans="1:43" x14ac:dyDescent="0.25">
      <c r="A1731">
        <v>1730</v>
      </c>
      <c r="B1731" t="s">
        <v>51</v>
      </c>
      <c r="C1731" t="s">
        <v>51</v>
      </c>
      <c r="D1731" t="s">
        <v>58</v>
      </c>
      <c r="F1731" s="1">
        <v>42914</v>
      </c>
      <c r="G1731" s="2">
        <v>83.4</v>
      </c>
      <c r="H1731" s="2"/>
      <c r="I1731" s="2" t="str">
        <f t="array" ref="I1731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31" s="2"/>
      <c r="K1731" s="2"/>
      <c r="L1731" s="2"/>
      <c r="M1731" s="2" t="str">
        <f t="array" ref="M1731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31" s="2">
        <f ca="1">INDEX(INDIRECT(_xlfn.CONCAT("weather.tbl[",N$1,"]")),MATCH(vp.data[[#This Row],[SDate]],weather.tbl[Date],0))</f>
        <v>16.833333333333332</v>
      </c>
      <c r="O1731" s="2">
        <f ca="1">INDEX(INDIRECT(_xlfn.CONCAT("weather.tbl[",O$1,"]")),MATCH(vp.data[[#This Row],[SDate]],weather.tbl[Date],0))</f>
        <v>14.397619047619045</v>
      </c>
      <c r="P1731" s="2">
        <f ca="1">INDEX(INDIRECT(_xlfn.CONCAT("weather.tbl[",P$1,"]")),MATCH(vp.data[[#This Row],[SDate]],weather.tbl[Date],0))</f>
        <v>16.8</v>
      </c>
      <c r="Q1731" s="2">
        <f ca="1">INDEX(INDIRECT(_xlfn.CONCAT("weather.tbl[",Q$1,"]")),MATCH(vp.data[[#This Row],[SDate]],weather.tbl[Date],0))</f>
        <v>15.2</v>
      </c>
      <c r="R1731" s="2">
        <f ca="1">INDEX(INDIRECT(_xlfn.CONCAT("weather.tbl[",R$1,"]")),MATCH(vp.data[[#This Row],[SDate]],weather.tbl[Date],0))</f>
        <v>17</v>
      </c>
      <c r="S1731" s="2">
        <f ca="1">INDEX(INDIRECT(_xlfn.CONCAT("weather.tbl[",S$1,"]")),MATCH(vp.data[[#This Row],[SDate]],weather.tbl[Date],0))</f>
        <v>16.2</v>
      </c>
      <c r="T1731" s="2">
        <f ca="1">INDEX(INDIRECT(_xlfn.CONCAT("weather.tbl[",T$1,"]")),MATCH(vp.data[[#This Row],[SDate]],weather.tbl[Date],0))</f>
        <v>19.5</v>
      </c>
      <c r="U1731" s="2">
        <f ca="1">INDEX(INDIRECT(_xlfn.CONCAT("weather.tbl[",U$1,"]")),MATCH(vp.data[[#This Row],[SDate]],weather.tbl[Date],0))</f>
        <v>16.3</v>
      </c>
      <c r="V1731" s="2" t="str">
        <f t="array" ref="V1731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31" t="s">
        <v>48</v>
      </c>
      <c r="X1731">
        <f>IF(OR(vp.data[[#This Row],[Sulf]]="",vp.data[[#This Row],[Dens]]=""),1,0)</f>
        <v>1</v>
      </c>
      <c r="Y1731">
        <f>IF(vp.data[[#This Row],[CrudeType]]="C5+",1,0)</f>
        <v>0</v>
      </c>
      <c r="Z1731">
        <f>IF(AND(vp.data[[#This Row],[CrudeType]]="Crude",vp.data[[#This Row],[Dens]]&lt;=825,vp.data[[#This Row],[Sulf]]&gt;0.5,vp.data[[#This Row],[Unknown]]=0),1,0)</f>
        <v>0</v>
      </c>
      <c r="AA1731">
        <f>IF(AND(vp.data[[#This Row],[CrudeType]]="Crude",vp.data[[#This Row],[Dens]]&lt;=825,vp.data[[#This Row],[Sulf]]&lt;=0.5,vp.data[[#This Row],[Unknown]]=0),1,0)</f>
        <v>0</v>
      </c>
      <c r="AB1731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31">
        <f>IF(AND(vp.data[[#This Row],[CrudeType]]="Crude",vp.data[[#This Row],[Dens]]&gt;825,vp.data[[#This Row],[Dens]]&lt;=900,vp.data[[#This Row],[Sulf]]&lt;=0.5,vp.data[[#This Row],[Unknown]]=0),1,0)</f>
        <v>0</v>
      </c>
      <c r="AD1731">
        <f>IF(AND(vp.data[[#This Row],[CrudeType]]="Crude",vp.data[[#This Row],[Dens]]&gt;865,vp.data[[#This Row],[Dens]]&lt;=900,vp.data[[#This Row],[Sulf]]&gt;2,vp.data[[#This Row],[Unknown]]=0),1,0)</f>
        <v>0</v>
      </c>
      <c r="AE1731">
        <f>IF(AND(vp.data[[#This Row],[CrudeType]]="Crude",vp.data[[#This Row],[Dens]]&gt;900,vp.data[[#This Row],[Sulf]]&lt;=0.5,vp.data[[#This Row],[Unknown]]=0),1,0)</f>
        <v>0</v>
      </c>
      <c r="AF1731">
        <f>IF(AND(vp.data[[#This Row],[CrudeType]]="Crude",vp.data[[#This Row],[Dens]]&gt;900,vp.data[[#This Row],[Sulf]]&lt;=0.5,vp.data[[#This Row],[Unknown]]=0),1,0)</f>
        <v>0</v>
      </c>
      <c r="AG1731" t="str">
        <f>INDEX(vp.data[[#Headers],[Unknown]:[Heavy_SW]],MATCH(1,vp.data[[#This Row],[Unknown]:[Heavy_SW]],0))</f>
        <v>Unknown</v>
      </c>
      <c r="AH1731">
        <f>INDEX([3]!crudeBD.lkup[Number],MATCH(vp.data[[#This Row],[Crude_Breakdown]],crudeBD.lkup[Crude Breakdown],0))</f>
        <v>-1</v>
      </c>
      <c r="AI1731">
        <f>MONTH(vp.data[[#This Row],[SDate]])</f>
        <v>6</v>
      </c>
      <c r="AJ1731" s="5">
        <f>(vp.data[[#This Row],[VP]]-INDEX(crudeBD.lkup[Mean_VP],MATCH(vp.data[[#This Row],[Crude_Breakdown]],crudeBD.lkup[Crude Breakdown],0)))^2</f>
        <v>91.295407210546728</v>
      </c>
      <c r="AK1731" s="5" t="e">
        <f>(vp.data[[#This Row],[Dens]]-INDEX(crudeBD.lkup[Mean_Dens],MATCH(vp.data[[#This Row],[Crude_Breakdown]],crudeBD.lkup[Crude Breakdown],0)))^2</f>
        <v>#VALUE!</v>
      </c>
      <c r="AL1731" s="5" t="e">
        <f>(vp.data[[#This Row],[Sulf]]-INDEX(crudeBD.lkup[Mean_Sulf],MATCH(vp.data[[#This Row],[Crude_Breakdown]],crudeBD.lkup[Crude Breakdown],0)))^2</f>
        <v>#VALUE!</v>
      </c>
      <c r="AM1731" s="4">
        <f>IF(AND(vp.data[[#This Row],[SDate]]&gt;=DATE(YEAR(vp.data[[#This Row],[SDate]]),5,1),vp.data[[#This Row],[SDate]]&lt;=DATE(YEAR(vp.data[[#This Row],[SDate]]),9,15)),1,0)</f>
        <v>1</v>
      </c>
      <c r="AN1731" s="4">
        <f>IF(vp.data[[#This Row],[SDate]]&lt;DATE(2016,12,1),0,1)</f>
        <v>1</v>
      </c>
      <c r="AO1731" s="4" t="str">
        <f>IFERROR(vp.data[[#This Row],[Sulf]]*vp.data[[#This Row],[Net Dens]],"")</f>
        <v/>
      </c>
      <c r="AP1731" t="str">
        <f>IFERROR(vp.data[[#This Row],[Dens]]*vp.data[[#This Row],[VolumeM3]],"")</f>
        <v/>
      </c>
      <c r="AQ1731" s="15" t="str">
        <f>IFERROR(vp.data[[#This Row],[VP]]*vp.data[[#This Row],[VolumeM3]],"")</f>
        <v/>
      </c>
    </row>
    <row r="1732" spans="1:43" x14ac:dyDescent="0.25">
      <c r="A1732">
        <v>1731</v>
      </c>
      <c r="B1732" t="s">
        <v>292</v>
      </c>
      <c r="C1732" t="s">
        <v>292</v>
      </c>
      <c r="D1732" t="s">
        <v>57</v>
      </c>
      <c r="F1732" s="1">
        <v>42914</v>
      </c>
      <c r="G1732" s="2">
        <v>71.3</v>
      </c>
      <c r="H1732" s="2"/>
      <c r="I1732" s="2" t="str">
        <f t="array" ref="I1732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32" s="2"/>
      <c r="K1732" s="2"/>
      <c r="L1732" s="2"/>
      <c r="M1732" s="2" t="str">
        <f t="array" ref="M1732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32" s="2">
        <f ca="1">INDEX(INDIRECT(_xlfn.CONCAT("weather.tbl[",N$1,"]")),MATCH(vp.data[[#This Row],[SDate]],weather.tbl[Date],0))</f>
        <v>16.833333333333332</v>
      </c>
      <c r="O1732" s="2">
        <f ca="1">INDEX(INDIRECT(_xlfn.CONCAT("weather.tbl[",O$1,"]")),MATCH(vp.data[[#This Row],[SDate]],weather.tbl[Date],0))</f>
        <v>14.397619047619045</v>
      </c>
      <c r="P1732" s="2">
        <f ca="1">INDEX(INDIRECT(_xlfn.CONCAT("weather.tbl[",P$1,"]")),MATCH(vp.data[[#This Row],[SDate]],weather.tbl[Date],0))</f>
        <v>16.8</v>
      </c>
      <c r="Q1732" s="2">
        <f ca="1">INDEX(INDIRECT(_xlfn.CONCAT("weather.tbl[",Q$1,"]")),MATCH(vp.data[[#This Row],[SDate]],weather.tbl[Date],0))</f>
        <v>15.2</v>
      </c>
      <c r="R1732" s="2">
        <f ca="1">INDEX(INDIRECT(_xlfn.CONCAT("weather.tbl[",R$1,"]")),MATCH(vp.data[[#This Row],[SDate]],weather.tbl[Date],0))</f>
        <v>17</v>
      </c>
      <c r="S1732" s="2">
        <f ca="1">INDEX(INDIRECT(_xlfn.CONCAT("weather.tbl[",S$1,"]")),MATCH(vp.data[[#This Row],[SDate]],weather.tbl[Date],0))</f>
        <v>16.2</v>
      </c>
      <c r="T1732" s="2">
        <f ca="1">INDEX(INDIRECT(_xlfn.CONCAT("weather.tbl[",T$1,"]")),MATCH(vp.data[[#This Row],[SDate]],weather.tbl[Date],0))</f>
        <v>19.5</v>
      </c>
      <c r="U1732" s="2">
        <f ca="1">INDEX(INDIRECT(_xlfn.CONCAT("weather.tbl[",U$1,"]")),MATCH(vp.data[[#This Row],[SDate]],weather.tbl[Date],0))</f>
        <v>16.3</v>
      </c>
      <c r="V1732" s="2" t="str">
        <f t="array" ref="V1732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32" t="s">
        <v>48</v>
      </c>
      <c r="X1732">
        <f>IF(OR(vp.data[[#This Row],[Sulf]]="",vp.data[[#This Row],[Dens]]=""),1,0)</f>
        <v>1</v>
      </c>
      <c r="Y1732">
        <f>IF(vp.data[[#This Row],[CrudeType]]="C5+",1,0)</f>
        <v>0</v>
      </c>
      <c r="Z1732">
        <f>IF(AND(vp.data[[#This Row],[CrudeType]]="Crude",vp.data[[#This Row],[Dens]]&lt;=825,vp.data[[#This Row],[Sulf]]&gt;0.5,vp.data[[#This Row],[Unknown]]=0),1,0)</f>
        <v>0</v>
      </c>
      <c r="AA1732">
        <f>IF(AND(vp.data[[#This Row],[CrudeType]]="Crude",vp.data[[#This Row],[Dens]]&lt;=825,vp.data[[#This Row],[Sulf]]&lt;=0.5,vp.data[[#This Row],[Unknown]]=0),1,0)</f>
        <v>0</v>
      </c>
      <c r="AB1732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32">
        <f>IF(AND(vp.data[[#This Row],[CrudeType]]="Crude",vp.data[[#This Row],[Dens]]&gt;825,vp.data[[#This Row],[Dens]]&lt;=900,vp.data[[#This Row],[Sulf]]&lt;=0.5,vp.data[[#This Row],[Unknown]]=0),1,0)</f>
        <v>0</v>
      </c>
      <c r="AD1732">
        <f>IF(AND(vp.data[[#This Row],[CrudeType]]="Crude",vp.data[[#This Row],[Dens]]&gt;865,vp.data[[#This Row],[Dens]]&lt;=900,vp.data[[#This Row],[Sulf]]&gt;2,vp.data[[#This Row],[Unknown]]=0),1,0)</f>
        <v>0</v>
      </c>
      <c r="AE1732">
        <f>IF(AND(vp.data[[#This Row],[CrudeType]]="Crude",vp.data[[#This Row],[Dens]]&gt;900,vp.data[[#This Row],[Sulf]]&lt;=0.5,vp.data[[#This Row],[Unknown]]=0),1,0)</f>
        <v>0</v>
      </c>
      <c r="AF1732">
        <f>IF(AND(vp.data[[#This Row],[CrudeType]]="Crude",vp.data[[#This Row],[Dens]]&gt;900,vp.data[[#This Row],[Sulf]]&lt;=0.5,vp.data[[#This Row],[Unknown]]=0),1,0)</f>
        <v>0</v>
      </c>
      <c r="AG1732" t="str">
        <f>INDEX(vp.data[[#Headers],[Unknown]:[Heavy_SW]],MATCH(1,vp.data[[#This Row],[Unknown]:[Heavy_SW]],0))</f>
        <v>Unknown</v>
      </c>
      <c r="AH1732">
        <f>INDEX([3]!crudeBD.lkup[Number],MATCH(vp.data[[#This Row],[Crude_Breakdown]],crudeBD.lkup[Crude Breakdown],0))</f>
        <v>-1</v>
      </c>
      <c r="AI1732">
        <f>MONTH(vp.data[[#This Row],[SDate]])</f>
        <v>6</v>
      </c>
      <c r="AJ1732" s="5">
        <f>(vp.data[[#This Row],[VP]]-INDEX(crudeBD.lkup[Mean_VP],MATCH(vp.data[[#This Row],[Crude_Breakdown]],crudeBD.lkup[Crude Breakdown],0)))^2</f>
        <v>6.4777222790390878</v>
      </c>
      <c r="AK1732" s="5" t="e">
        <f>(vp.data[[#This Row],[Dens]]-INDEX(crudeBD.lkup[Mean_Dens],MATCH(vp.data[[#This Row],[Crude_Breakdown]],crudeBD.lkup[Crude Breakdown],0)))^2</f>
        <v>#VALUE!</v>
      </c>
      <c r="AL1732" s="5" t="e">
        <f>(vp.data[[#This Row],[Sulf]]-INDEX(crudeBD.lkup[Mean_Sulf],MATCH(vp.data[[#This Row],[Crude_Breakdown]],crudeBD.lkup[Crude Breakdown],0)))^2</f>
        <v>#VALUE!</v>
      </c>
      <c r="AM1732" s="4">
        <f>IF(AND(vp.data[[#This Row],[SDate]]&gt;=DATE(YEAR(vp.data[[#This Row],[SDate]]),5,1),vp.data[[#This Row],[SDate]]&lt;=DATE(YEAR(vp.data[[#This Row],[SDate]]),9,15)),1,0)</f>
        <v>1</v>
      </c>
      <c r="AN1732" s="4">
        <f>IF(vp.data[[#This Row],[SDate]]&lt;DATE(2016,12,1),0,1)</f>
        <v>1</v>
      </c>
      <c r="AO1732" s="4" t="str">
        <f>IFERROR(vp.data[[#This Row],[Sulf]]*vp.data[[#This Row],[Net Dens]],"")</f>
        <v/>
      </c>
      <c r="AP1732" t="str">
        <f>IFERROR(vp.data[[#This Row],[Dens]]*vp.data[[#This Row],[VolumeM3]],"")</f>
        <v/>
      </c>
      <c r="AQ1732" s="15" t="str">
        <f>IFERROR(vp.data[[#This Row],[VP]]*vp.data[[#This Row],[VolumeM3]],"")</f>
        <v/>
      </c>
    </row>
    <row r="1733" spans="1:43" x14ac:dyDescent="0.25">
      <c r="A1733">
        <v>1732</v>
      </c>
      <c r="B1733" t="s">
        <v>51</v>
      </c>
      <c r="C1733" t="s">
        <v>51</v>
      </c>
      <c r="D1733" t="s">
        <v>71</v>
      </c>
      <c r="F1733" s="1">
        <v>42914</v>
      </c>
      <c r="G1733" s="2">
        <v>81.599999999999994</v>
      </c>
      <c r="H1733" s="2"/>
      <c r="I1733" s="2" t="str">
        <f t="array" ref="I1733">_xlfn.IFNA(IF(vp.data[[#This Row],[Sulf Input]]="",INDEX([1]DATA!$Q$3:$Q$9826,MATCH(1,(vp.data[[#This Row],[Battery]]=[1]DATA!$L$3:$L$9826)*(EOMONTH(vp.data[[#This Row],[SDate]],-1)+1=[1]DATA!$G$3:$G$9826),0)),vp.data[[#This Row],[Sulf Input]]),"")</f>
        <v/>
      </c>
      <c r="J1733" s="2"/>
      <c r="K1733" s="2"/>
      <c r="L1733" s="2"/>
      <c r="M1733" s="2" t="str">
        <f t="array" ref="M1733">_xlfn.IFNA(IF(vp.data[[#This Row],[Dens Input]]="",INDEX([1]DATA!$O$3:$O$9826,MATCH(1,(vp.data[[#This Row],[Battery]]=[1]DATA!$L$3:$L$9826)*(EOMONTH(vp.data[[#This Row],[SDate]],-1)+1=[1]DATA!$G$3:$G$9826),0)),vp.data[[#This Row],[Dens Input]]),"")</f>
        <v/>
      </c>
      <c r="N1733" s="2">
        <f ca="1">INDEX(INDIRECT(_xlfn.CONCAT("weather.tbl[",N$1,"]")),MATCH(vp.data[[#This Row],[SDate]],weather.tbl[Date],0))</f>
        <v>16.833333333333332</v>
      </c>
      <c r="O1733" s="2">
        <f ca="1">INDEX(INDIRECT(_xlfn.CONCAT("weather.tbl[",O$1,"]")),MATCH(vp.data[[#This Row],[SDate]],weather.tbl[Date],0))</f>
        <v>14.397619047619045</v>
      </c>
      <c r="P1733" s="2">
        <f ca="1">INDEX(INDIRECT(_xlfn.CONCAT("weather.tbl[",P$1,"]")),MATCH(vp.data[[#This Row],[SDate]],weather.tbl[Date],0))</f>
        <v>16.8</v>
      </c>
      <c r="Q1733" s="2">
        <f ca="1">INDEX(INDIRECT(_xlfn.CONCAT("weather.tbl[",Q$1,"]")),MATCH(vp.data[[#This Row],[SDate]],weather.tbl[Date],0))</f>
        <v>15.2</v>
      </c>
      <c r="R1733" s="2">
        <f ca="1">INDEX(INDIRECT(_xlfn.CONCAT("weather.tbl[",R$1,"]")),MATCH(vp.data[[#This Row],[SDate]],weather.tbl[Date],0))</f>
        <v>17</v>
      </c>
      <c r="S1733" s="2">
        <f ca="1">INDEX(INDIRECT(_xlfn.CONCAT("weather.tbl[",S$1,"]")),MATCH(vp.data[[#This Row],[SDate]],weather.tbl[Date],0))</f>
        <v>16.2</v>
      </c>
      <c r="T1733" s="2">
        <f ca="1">INDEX(INDIRECT(_xlfn.CONCAT("weather.tbl[",T$1,"]")),MATCH(vp.data[[#This Row],[SDate]],weather.tbl[Date],0))</f>
        <v>19.5</v>
      </c>
      <c r="U1733" s="2">
        <f ca="1">INDEX(INDIRECT(_xlfn.CONCAT("weather.tbl[",U$1,"]")),MATCH(vp.data[[#This Row],[SDate]],weather.tbl[Date],0))</f>
        <v>16.3</v>
      </c>
      <c r="V1733" s="2" t="str">
        <f t="array" ref="V1733">_xlfn.IFNA(IF(vp.data[[#This Row],[CrudeType]]="C5+",INDEX([2]Tickets!$H$1:$H$4063,MATCH(vp.data[[#This Row],[Battery.1]],[2]Tickets!$A$2:$A$4063,0)),INDEX([1]DATA!$T$3:$T$9826,MATCH(1,(vp.data[[#This Row],[Battery]]=[1]DATA!$L$3:$L$9826)*(EOMONTH(vp.data[[#This Row],[SDate]],-1)+1=[1]DATA!$G$3:$G$9826),0))),"")</f>
        <v/>
      </c>
      <c r="W1733" t="s">
        <v>48</v>
      </c>
      <c r="X1733">
        <f>IF(OR(vp.data[[#This Row],[Sulf]]="",vp.data[[#This Row],[Dens]]=""),1,0)</f>
        <v>1</v>
      </c>
      <c r="Y1733">
        <f>IF(vp.data[[#This Row],[CrudeType]]="C5+",1,0)</f>
        <v>0</v>
      </c>
      <c r="Z1733">
        <f>IF(AND(vp.data[[#This Row],[CrudeType]]="Crude",vp.data[[#This Row],[Dens]]&lt;=825,vp.data[[#This Row],[Sulf]]&gt;0.5,vp.data[[#This Row],[Unknown]]=0),1,0)</f>
        <v>0</v>
      </c>
      <c r="AA1733">
        <f>IF(AND(vp.data[[#This Row],[CrudeType]]="Crude",vp.data[[#This Row],[Dens]]&lt;=825,vp.data[[#This Row],[Sulf]]&lt;=0.5,vp.data[[#This Row],[Unknown]]=0),1,0)</f>
        <v>0</v>
      </c>
      <c r="AB1733">
        <f>IF(OR(AND(vp.data[[#This Row],[CrudeType]]="Crude",vp.data[[#This Row],[Dens]]&gt;825,vp.data[[#This Row],[Dens]]&lt;=865,vp.data[[#This Row],[Sulf]]&gt;0.5,vp.data[[#This Row],[Unknown]]=0),AND(vp.data[[#This Row],[CrudeType]]="Crude",vp.data[[#This Row],[Dens]]&gt;865,vp.data[[#This Row],[Dens]]&lt;=900,vp.data[[#This Row],[Sulf]]&gt;0.5,vp.data[[#This Row],[Sulf]]&lt;=2,vp.data[[#This Row],[Unknown]]=0)),1,0)</f>
        <v>0</v>
      </c>
      <c r="AC1733">
        <f>IF(AND(vp.data[[#This Row],[CrudeType]]="Crude",vp.data[[#This Row],[Dens]]&gt;825,vp.data[[#This Row],[Dens]]&lt;=900,vp.data[[#This Row],[Sulf]]&lt;=0.5,vp.data[[#This Row],[Unknown]]=0),1,0)</f>
        <v>0</v>
      </c>
      <c r="AD1733">
        <f>IF(AND(vp.data[[#This Row],[CrudeType]]="Crude",vp.data[[#This Row],[Dens]]&gt;865,vp.data[[#This Row],[Dens]]&lt;=900,vp.data[[#This Row],[Sulf]]&gt;2,vp.data[[#This Row],[Unknown]]=0),1,0)</f>
        <v>0</v>
      </c>
      <c r="AE1733">
        <f>IF(AND(vp.data[[#This Row],[CrudeType]]="Crude",vp.data[[#This Row],[Dens]]&gt;900,vp.data[[#This Row],[Sulf]]&lt;=0.5,vp.data[[#This Row],[Unknown]]=0),1,0)</f>
        <v>0</v>
      </c>
      <c r="AF1733">
        <f>IF(AND(vp.data[[#This Row],[CrudeType]]="Crude",vp.data[[#This Row],[Dens]]&gt;900,vp.data[[#This Row],[Sulf]]&lt;=0.5,vp.data[[#This Row],[Unknown]]=0),1,0)</f>
        <v>0</v>
      </c>
      <c r="AG1733" t="str">
        <f>INDEX(vp.data[[#Headers],[Unknown]:[Heavy_SW]],MATCH(1,vp.data[[#This Row],[Unknown]:[Heavy_SW]],0))</f>
        <v>Unknown</v>
      </c>
      <c r="AH1733">
        <f>INDEX([3]!crudeBD.lkup[Number],MATCH(vp.data[[#This Row],[Crude_Breakdown]],crudeBD.lkup[Crude Breakdown],0))</f>
        <v>-1</v>
      </c>
      <c r="AI1733">
        <f>MONTH(vp.data[[#This Row],[SDate]])</f>
        <v>6</v>
      </c>
      <c r="AJ1733" s="5">
        <f>(vp.data[[#This Row],[VP]]-INDEX(crudeBD.lkup[Mean_VP],MATCH(vp.data[[#This Row],[Crude_Breakdown]],crudeBD.lkup[Crude Breakdown],0)))^2</f>
        <v>60.13790036123136</v>
      </c>
      <c r="AK1733" s="5" t="e">
        <f>(vp.data[[#This Row],[Dens]]-INDEX(crudeBD.lkup[Mean_Dens],MATCH(vp.data[[#This Row],[Crude_Breakdown]],crudeBD.lkup[Crude Breakdown],0)))^2</f>
        <v>#VALUE!</v>
      </c>
      <c r="AL1733" s="5" t="e">
        <f>(vp.data[[#This Row],[Sulf]]-INDEX(crudeBD.lkup[Mean_Sulf],MATCH(vp.data[[#This Row],[Crude_Breakdown]],crudeBD.lkup[Crude Breakdown],0)))^2</f>
        <v>#VALUE!</v>
      </c>
      <c r="AM1733" s="4">
        <f>IF(AND(vp.data[[#This Row],[SDate]]&gt;=DATE(YEAR(vp.data[[#This Row],[SDate]]),5,1),vp.data[[#This Row],[SDate]]&lt;=DATE(YEAR(vp.data[[#This Row],[SDate]]),9,15)),1,0)</f>
        <v>1</v>
      </c>
      <c r="AN1733" s="4">
        <f>IF(vp.data[[#This Row],[SDate]]&lt;DATE(2016,12,1),0,1)</f>
        <v>1</v>
      </c>
      <c r="AO1733" s="4" t="str">
        <f>IFERROR(vp.data[[#This Row],[Sulf]]*vp.data[[#This Row],[Net Dens]],"")</f>
        <v/>
      </c>
      <c r="AP1733" t="str">
        <f>IFERROR(vp.data[[#This Row],[Dens]]*vp.data[[#This Row],[VolumeM3]],"")</f>
        <v/>
      </c>
      <c r="AQ1733" s="15" t="str">
        <f>IFERROR(vp.data[[#This Row],[VP]]*vp.data[[#This Row],[VolumeM3]],"")</f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81"/>
  <sheetViews>
    <sheetView workbookViewId="0">
      <selection activeCell="E1" sqref="E1"/>
    </sheetView>
  </sheetViews>
  <sheetFormatPr defaultRowHeight="15" x14ac:dyDescent="0.25"/>
  <cols>
    <col min="1" max="1" width="10.7109375" bestFit="1" customWidth="1"/>
    <col min="2" max="2" width="10" customWidth="1"/>
    <col min="3" max="3" width="11.42578125" customWidth="1"/>
    <col min="4" max="4" width="9.42578125" customWidth="1"/>
    <col min="5" max="5" width="20.140625" customWidth="1"/>
    <col min="7" max="7" width="9.28515625" customWidth="1"/>
    <col min="8" max="8" width="13.85546875" customWidth="1"/>
    <col min="10" max="10" width="12.1406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41640</v>
      </c>
      <c r="B2" s="2">
        <v>-23.6</v>
      </c>
      <c r="C2" s="2">
        <v>-24.8</v>
      </c>
      <c r="D2" s="2">
        <v>-27.3</v>
      </c>
      <c r="E2" s="2">
        <v>-23</v>
      </c>
      <c r="F2" s="2">
        <v>-26.7</v>
      </c>
      <c r="G2" s="2">
        <v>-25.7</v>
      </c>
      <c r="H2" s="2">
        <f>AVERAGE(weather.tbl[[#This Row],[Estevan]:[Kipling]])</f>
        <v>-25.183333333333334</v>
      </c>
      <c r="I2" s="2">
        <f>_xlfn.STDEV.S(weather.tbl[[#This Row],[Estevan]:[Kipling]])</f>
        <v>1.7010780895263644</v>
      </c>
      <c r="J2" s="2">
        <f>AVERAGE($H$2:H2)</f>
        <v>-25.183333333333334</v>
      </c>
      <c r="K2">
        <f>DAY(weather.tbl[[#This Row],[Date]])</f>
        <v>1</v>
      </c>
      <c r="L2">
        <f>MONTH(weather.tbl[[#This Row],[Date]])</f>
        <v>1</v>
      </c>
      <c r="M2">
        <f>YEAR(weather.tbl[[#This Row],[Date]])</f>
        <v>2014</v>
      </c>
    </row>
    <row r="3" spans="1:13" x14ac:dyDescent="0.25">
      <c r="A3" s="1">
        <v>41641</v>
      </c>
      <c r="B3" s="2">
        <v>-18.399999999999999</v>
      </c>
      <c r="C3" s="2">
        <v>-21.5</v>
      </c>
      <c r="D3" s="2">
        <v>-27.3</v>
      </c>
      <c r="E3" s="2">
        <v>-18.5</v>
      </c>
      <c r="F3" s="2">
        <v>-24.4</v>
      </c>
      <c r="G3" s="2">
        <v>-18.8</v>
      </c>
      <c r="H3" s="2">
        <f>AVERAGE(weather.tbl[[#This Row],[Estevan]:[Kipling]])</f>
        <v>-21.483333333333334</v>
      </c>
      <c r="I3" s="2">
        <f>_xlfn.STDEV.S(weather.tbl[[#This Row],[Estevan]:[Kipling]])</f>
        <v>3.6864165074861743</v>
      </c>
      <c r="J3" s="2">
        <f>AVERAGE($H$2:H3)</f>
        <v>-23.333333333333336</v>
      </c>
      <c r="K3">
        <f>DAY(weather.tbl[[#This Row],[Date]])</f>
        <v>2</v>
      </c>
      <c r="L3">
        <f>MONTH(weather.tbl[[#This Row],[Date]])</f>
        <v>1</v>
      </c>
      <c r="M3">
        <f>YEAR(weather.tbl[[#This Row],[Date]])</f>
        <v>2014</v>
      </c>
    </row>
    <row r="4" spans="1:13" x14ac:dyDescent="0.25">
      <c r="A4" s="1">
        <v>41642</v>
      </c>
      <c r="B4" s="2">
        <v>-9.1999999999999993</v>
      </c>
      <c r="C4" s="2">
        <v>-12.2</v>
      </c>
      <c r="D4" s="2">
        <v>-27.3</v>
      </c>
      <c r="E4" s="2">
        <v>-8.5</v>
      </c>
      <c r="F4" s="2">
        <v>-10.4</v>
      </c>
      <c r="G4" s="2">
        <v>-9.4</v>
      </c>
      <c r="H4" s="2">
        <f>AVERAGE(weather.tbl[[#This Row],[Estevan]:[Kipling]])</f>
        <v>-12.833333333333336</v>
      </c>
      <c r="I4" s="2">
        <f>_xlfn.STDEV.S(weather.tbl[[#This Row],[Estevan]:[Kipling]])</f>
        <v>7.2024070050689719</v>
      </c>
      <c r="J4" s="2">
        <f>AVERAGE($H$2:H4)</f>
        <v>-19.833333333333336</v>
      </c>
      <c r="K4">
        <f>DAY(weather.tbl[[#This Row],[Date]])</f>
        <v>3</v>
      </c>
      <c r="L4">
        <f>MONTH(weather.tbl[[#This Row],[Date]])</f>
        <v>1</v>
      </c>
      <c r="M4">
        <f>YEAR(weather.tbl[[#This Row],[Date]])</f>
        <v>2014</v>
      </c>
    </row>
    <row r="5" spans="1:13" x14ac:dyDescent="0.25">
      <c r="A5" s="1">
        <v>41643</v>
      </c>
      <c r="B5" s="2">
        <v>-22.9</v>
      </c>
      <c r="C5" s="2">
        <v>-24.2</v>
      </c>
      <c r="D5" s="2">
        <v>-24.8</v>
      </c>
      <c r="E5" s="2">
        <v>-24.3</v>
      </c>
      <c r="F5" s="2">
        <v>-21.1</v>
      </c>
      <c r="G5" s="2">
        <v>-26.6</v>
      </c>
      <c r="H5" s="2">
        <f>AVERAGE(weather.tbl[[#This Row],[Estevan]:[Kipling]])</f>
        <v>-23.983333333333331</v>
      </c>
      <c r="I5" s="2">
        <f>_xlfn.STDEV.S(weather.tbl[[#This Row],[Estevan]:[Kipling]])</f>
        <v>1.8519359240175313</v>
      </c>
      <c r="J5" s="2">
        <f>AVERAGE($H$2:H5)</f>
        <v>-20.870833333333334</v>
      </c>
      <c r="K5">
        <f>DAY(weather.tbl[[#This Row],[Date]])</f>
        <v>4</v>
      </c>
      <c r="L5">
        <f>MONTH(weather.tbl[[#This Row],[Date]])</f>
        <v>1</v>
      </c>
      <c r="M5">
        <f>YEAR(weather.tbl[[#This Row],[Date]])</f>
        <v>2014</v>
      </c>
    </row>
    <row r="6" spans="1:13" x14ac:dyDescent="0.25">
      <c r="A6" s="1">
        <v>41644</v>
      </c>
      <c r="B6" s="2">
        <v>-29.9</v>
      </c>
      <c r="C6" s="2">
        <v>-30.4</v>
      </c>
      <c r="D6" s="2">
        <v>-32.5</v>
      </c>
      <c r="E6" s="2">
        <v>-31.8</v>
      </c>
      <c r="F6" s="2">
        <v>-30.3</v>
      </c>
      <c r="G6" s="2">
        <v>-33.299999999999997</v>
      </c>
      <c r="H6" s="2">
        <f>AVERAGE(weather.tbl[[#This Row],[Estevan]:[Kipling]])</f>
        <v>-31.366666666666664</v>
      </c>
      <c r="I6" s="2">
        <f>_xlfn.STDEV.S(weather.tbl[[#This Row],[Estevan]:[Kipling]])</f>
        <v>1.3735598518691008</v>
      </c>
      <c r="J6" s="2">
        <f>AVERAGE($H$2:H6)</f>
        <v>-22.97</v>
      </c>
      <c r="K6">
        <f>DAY(weather.tbl[[#This Row],[Date]])</f>
        <v>5</v>
      </c>
      <c r="L6">
        <f>MONTH(weather.tbl[[#This Row],[Date]])</f>
        <v>1</v>
      </c>
      <c r="M6">
        <f>YEAR(weather.tbl[[#This Row],[Date]])</f>
        <v>2014</v>
      </c>
    </row>
    <row r="7" spans="1:13" x14ac:dyDescent="0.25">
      <c r="A7" s="1">
        <v>41645</v>
      </c>
      <c r="B7" s="2">
        <v>-26.6</v>
      </c>
      <c r="C7" s="2">
        <v>-27.7</v>
      </c>
      <c r="D7" s="2">
        <v>-28</v>
      </c>
      <c r="E7" s="2">
        <v>-27</v>
      </c>
      <c r="F7" s="2">
        <v>-28</v>
      </c>
      <c r="G7" s="2">
        <v>-28.2</v>
      </c>
      <c r="H7" s="2">
        <f>AVERAGE(weather.tbl[[#This Row],[Estevan]:[Kipling]])</f>
        <v>-27.583333333333332</v>
      </c>
      <c r="I7" s="2">
        <f>_xlfn.STDEV.S(weather.tbl[[#This Row],[Estevan]:[Kipling]])</f>
        <v>0.64005208121422885</v>
      </c>
      <c r="J7" s="2">
        <f>AVERAGE($H$2:H7)</f>
        <v>-23.738888888888891</v>
      </c>
      <c r="K7">
        <f>DAY(weather.tbl[[#This Row],[Date]])</f>
        <v>6</v>
      </c>
      <c r="L7">
        <f>MONTH(weather.tbl[[#This Row],[Date]])</f>
        <v>1</v>
      </c>
      <c r="M7">
        <f>YEAR(weather.tbl[[#This Row],[Date]])</f>
        <v>2014</v>
      </c>
    </row>
    <row r="8" spans="1:13" x14ac:dyDescent="0.25">
      <c r="A8" s="1">
        <v>41646</v>
      </c>
      <c r="B8" s="2">
        <v>-25.6</v>
      </c>
      <c r="C8" s="2">
        <v>-27.7</v>
      </c>
      <c r="D8" s="2">
        <v>-23</v>
      </c>
      <c r="E8" s="2">
        <v>-25</v>
      </c>
      <c r="F8" s="2">
        <v>-24.7</v>
      </c>
      <c r="G8" s="2">
        <v>-24.5</v>
      </c>
      <c r="H8" s="2">
        <f>AVERAGE(weather.tbl[[#This Row],[Estevan]:[Kipling]])</f>
        <v>-25.083333333333332</v>
      </c>
      <c r="I8" s="2">
        <f>_xlfn.STDEV.S(weather.tbl[[#This Row],[Estevan]:[Kipling]])</f>
        <v>1.545854671910224</v>
      </c>
      <c r="J8" s="2">
        <f>AVERAGE($H$2:H8)</f>
        <v>-23.930952380952384</v>
      </c>
      <c r="K8">
        <f>DAY(weather.tbl[[#This Row],[Date]])</f>
        <v>7</v>
      </c>
      <c r="L8">
        <f>MONTH(weather.tbl[[#This Row],[Date]])</f>
        <v>1</v>
      </c>
      <c r="M8">
        <f>YEAR(weather.tbl[[#This Row],[Date]])</f>
        <v>2014</v>
      </c>
    </row>
    <row r="9" spans="1:13" x14ac:dyDescent="0.25">
      <c r="A9" s="1">
        <v>41647</v>
      </c>
      <c r="B9" s="2">
        <v>-21.1</v>
      </c>
      <c r="C9" s="2">
        <v>-24.1</v>
      </c>
      <c r="D9" s="2">
        <v>-24.3</v>
      </c>
      <c r="E9" s="2">
        <v>-21.5</v>
      </c>
      <c r="F9" s="2">
        <v>-24.1</v>
      </c>
      <c r="G9" s="2">
        <v>-20</v>
      </c>
      <c r="H9" s="2">
        <f>AVERAGE(weather.tbl[[#This Row],[Estevan]:[Kipling]])</f>
        <v>-22.516666666666666</v>
      </c>
      <c r="I9" s="2">
        <f>_xlfn.STDEV.S(weather.tbl[[#This Row],[Estevan]:[Kipling]])</f>
        <v>1.8744777050332362</v>
      </c>
      <c r="J9" s="2">
        <f>AVERAGE(H3:H9)</f>
        <v>-23.549999999999994</v>
      </c>
      <c r="K9">
        <f>DAY(weather.tbl[[#This Row],[Date]])</f>
        <v>8</v>
      </c>
      <c r="L9">
        <f>MONTH(weather.tbl[[#This Row],[Date]])</f>
        <v>1</v>
      </c>
      <c r="M9">
        <f>YEAR(weather.tbl[[#This Row],[Date]])</f>
        <v>2014</v>
      </c>
    </row>
    <row r="10" spans="1:13" x14ac:dyDescent="0.25">
      <c r="A10" s="1">
        <v>41648</v>
      </c>
      <c r="B10" s="2">
        <v>-5.5</v>
      </c>
      <c r="C10" s="2">
        <v>-12.2</v>
      </c>
      <c r="D10" s="2">
        <v>-13.3</v>
      </c>
      <c r="E10" s="2">
        <v>-11</v>
      </c>
      <c r="F10" s="2">
        <v>-9.6</v>
      </c>
      <c r="G10" s="2">
        <v>-11.1</v>
      </c>
      <c r="H10" s="2">
        <f>AVERAGE(weather.tbl[[#This Row],[Estevan]:[Kipling]])</f>
        <v>-10.450000000000001</v>
      </c>
      <c r="I10" s="2">
        <f>_xlfn.STDEV.S(weather.tbl[[#This Row],[Estevan]:[Kipling]])</f>
        <v>2.7252522818997873</v>
      </c>
      <c r="J10" s="2">
        <f t="shared" ref="J10:J73" si="0">AVERAGE(H4:H10)</f>
        <v>-21.973809523809518</v>
      </c>
      <c r="K10">
        <f>DAY(weather.tbl[[#This Row],[Date]])</f>
        <v>9</v>
      </c>
      <c r="L10">
        <f>MONTH(weather.tbl[[#This Row],[Date]])</f>
        <v>1</v>
      </c>
      <c r="M10">
        <f>YEAR(weather.tbl[[#This Row],[Date]])</f>
        <v>2014</v>
      </c>
    </row>
    <row r="11" spans="1:13" x14ac:dyDescent="0.25">
      <c r="A11" s="1">
        <v>41649</v>
      </c>
      <c r="B11" s="2">
        <v>-5</v>
      </c>
      <c r="C11" s="2">
        <v>-8.3000000000000007</v>
      </c>
      <c r="D11" s="2">
        <v>-9.3000000000000007</v>
      </c>
      <c r="E11" s="2">
        <v>-7.5</v>
      </c>
      <c r="F11" s="2">
        <v>-5.6</v>
      </c>
      <c r="G11" s="2">
        <v>-9.1999999999999993</v>
      </c>
      <c r="H11" s="2">
        <f>AVERAGE(weather.tbl[[#This Row],[Estevan]:[Kipling]])</f>
        <v>-7.4833333333333343</v>
      </c>
      <c r="I11" s="2">
        <f>_xlfn.STDEV.S(weather.tbl[[#This Row],[Estevan]:[Kipling]])</f>
        <v>1.823641046551282</v>
      </c>
      <c r="J11" s="2">
        <f t="shared" si="0"/>
        <v>-21.209523809523805</v>
      </c>
      <c r="K11">
        <f>DAY(weather.tbl[[#This Row],[Date]])</f>
        <v>10</v>
      </c>
      <c r="L11">
        <f>MONTH(weather.tbl[[#This Row],[Date]])</f>
        <v>1</v>
      </c>
      <c r="M11">
        <f>YEAR(weather.tbl[[#This Row],[Date]])</f>
        <v>2014</v>
      </c>
    </row>
    <row r="12" spans="1:13" x14ac:dyDescent="0.25">
      <c r="A12" s="1">
        <v>41650</v>
      </c>
      <c r="B12" s="2">
        <v>-5.0999999999999996</v>
      </c>
      <c r="C12" s="2">
        <v>-6.2</v>
      </c>
      <c r="D12" s="2">
        <v>-4.5</v>
      </c>
      <c r="E12" s="2">
        <v>-4.5</v>
      </c>
      <c r="F12" s="2">
        <v>-7</v>
      </c>
      <c r="G12" s="2">
        <v>-6.4</v>
      </c>
      <c r="H12" s="2">
        <f>AVERAGE(weather.tbl[[#This Row],[Estevan]:[Kipling]])</f>
        <v>-5.6166666666666671</v>
      </c>
      <c r="I12" s="2">
        <f>_xlfn.STDEV.S(weather.tbl[[#This Row],[Estevan]:[Kipling]])</f>
        <v>1.0609743949156618</v>
      </c>
      <c r="J12" s="2">
        <f t="shared" si="0"/>
        <v>-18.585714285714285</v>
      </c>
      <c r="K12">
        <f>DAY(weather.tbl[[#This Row],[Date]])</f>
        <v>11</v>
      </c>
      <c r="L12">
        <f>MONTH(weather.tbl[[#This Row],[Date]])</f>
        <v>1</v>
      </c>
      <c r="M12">
        <f>YEAR(weather.tbl[[#This Row],[Date]])</f>
        <v>2014</v>
      </c>
    </row>
    <row r="13" spans="1:13" x14ac:dyDescent="0.25">
      <c r="A13" s="1">
        <v>41651</v>
      </c>
      <c r="B13" s="2">
        <v>-4.5999999999999996</v>
      </c>
      <c r="C13" s="2">
        <v>-5.9</v>
      </c>
      <c r="D13" s="2">
        <v>-3.3</v>
      </c>
      <c r="E13" s="2">
        <v>-4.3</v>
      </c>
      <c r="F13" s="2">
        <v>-2.4</v>
      </c>
      <c r="G13" s="2">
        <v>-5.0999999999999996</v>
      </c>
      <c r="H13" s="2">
        <f>AVERAGE(weather.tbl[[#This Row],[Estevan]:[Kipling]])</f>
        <v>-4.2666666666666666</v>
      </c>
      <c r="I13" s="2">
        <f>_xlfn.STDEV.S(weather.tbl[[#This Row],[Estevan]:[Kipling]])</f>
        <v>1.2564500255349049</v>
      </c>
      <c r="J13" s="2">
        <f t="shared" si="0"/>
        <v>-14.714285714285717</v>
      </c>
      <c r="K13">
        <f>DAY(weather.tbl[[#This Row],[Date]])</f>
        <v>12</v>
      </c>
      <c r="L13">
        <f>MONTH(weather.tbl[[#This Row],[Date]])</f>
        <v>1</v>
      </c>
      <c r="M13">
        <f>YEAR(weather.tbl[[#This Row],[Date]])</f>
        <v>2014</v>
      </c>
    </row>
    <row r="14" spans="1:13" x14ac:dyDescent="0.25">
      <c r="A14" s="1">
        <v>41652</v>
      </c>
      <c r="B14" s="2">
        <v>-10</v>
      </c>
      <c r="C14" s="2">
        <v>-11.3</v>
      </c>
      <c r="D14" s="2">
        <v>-15</v>
      </c>
      <c r="E14" s="2">
        <v>-10</v>
      </c>
      <c r="F14" s="2">
        <v>-11.4</v>
      </c>
      <c r="G14" s="2">
        <v>-11.4</v>
      </c>
      <c r="H14" s="2">
        <f>AVERAGE(weather.tbl[[#This Row],[Estevan]:[Kipling]])</f>
        <v>-11.516666666666666</v>
      </c>
      <c r="I14" s="2">
        <f>_xlfn.STDEV.S(weather.tbl[[#This Row],[Estevan]:[Kipling]])</f>
        <v>1.8334848422244188</v>
      </c>
      <c r="J14" s="2">
        <f t="shared" si="0"/>
        <v>-12.419047619047619</v>
      </c>
      <c r="K14">
        <f>DAY(weather.tbl[[#This Row],[Date]])</f>
        <v>13</v>
      </c>
      <c r="L14">
        <f>MONTH(weather.tbl[[#This Row],[Date]])</f>
        <v>1</v>
      </c>
      <c r="M14">
        <f>YEAR(weather.tbl[[#This Row],[Date]])</f>
        <v>2014</v>
      </c>
    </row>
    <row r="15" spans="1:13" x14ac:dyDescent="0.25">
      <c r="A15" s="1">
        <v>41653</v>
      </c>
      <c r="B15" s="2">
        <v>-10.1</v>
      </c>
      <c r="C15" s="2">
        <v>-10.7</v>
      </c>
      <c r="D15" s="2">
        <v>-15</v>
      </c>
      <c r="E15" s="2">
        <v>-7</v>
      </c>
      <c r="F15" s="2">
        <v>-13.8</v>
      </c>
      <c r="G15" s="2">
        <v>-10.8</v>
      </c>
      <c r="H15" s="2">
        <f>AVERAGE(weather.tbl[[#This Row],[Estevan]:[Kipling]])</f>
        <v>-11.233333333333333</v>
      </c>
      <c r="I15" s="2">
        <f>_xlfn.STDEV.S(weather.tbl[[#This Row],[Estevan]:[Kipling]])</f>
        <v>2.8444097220103015</v>
      </c>
      <c r="J15" s="2">
        <f t="shared" si="0"/>
        <v>-10.44047619047619</v>
      </c>
      <c r="K15">
        <f>DAY(weather.tbl[[#This Row],[Date]])</f>
        <v>14</v>
      </c>
      <c r="L15">
        <f>MONTH(weather.tbl[[#This Row],[Date]])</f>
        <v>1</v>
      </c>
      <c r="M15">
        <f>YEAR(weather.tbl[[#This Row],[Date]])</f>
        <v>2014</v>
      </c>
    </row>
    <row r="16" spans="1:13" x14ac:dyDescent="0.25">
      <c r="A16" s="1">
        <v>41654</v>
      </c>
      <c r="B16" s="2">
        <v>-2.2000000000000002</v>
      </c>
      <c r="C16" s="2">
        <v>-1.5</v>
      </c>
      <c r="D16" s="2">
        <v>-6.8</v>
      </c>
      <c r="E16" s="2">
        <v>-3.3</v>
      </c>
      <c r="F16" s="2">
        <v>-7.8</v>
      </c>
      <c r="G16" s="2">
        <v>-6</v>
      </c>
      <c r="H16" s="2">
        <f>AVERAGE(weather.tbl[[#This Row],[Estevan]:[Kipling]])</f>
        <v>-4.6000000000000005</v>
      </c>
      <c r="I16" s="2">
        <f>_xlfn.STDEV.S(weather.tbl[[#This Row],[Estevan]:[Kipling]])</f>
        <v>2.6115129714401184</v>
      </c>
      <c r="J16" s="2">
        <f t="shared" si="0"/>
        <v>-7.8809523809523814</v>
      </c>
      <c r="K16">
        <f>DAY(weather.tbl[[#This Row],[Date]])</f>
        <v>15</v>
      </c>
      <c r="L16">
        <f>MONTH(weather.tbl[[#This Row],[Date]])</f>
        <v>1</v>
      </c>
      <c r="M16">
        <f>YEAR(weather.tbl[[#This Row],[Date]])</f>
        <v>2014</v>
      </c>
    </row>
    <row r="17" spans="1:13" x14ac:dyDescent="0.25">
      <c r="A17" s="1">
        <v>41655</v>
      </c>
      <c r="B17" s="2">
        <v>-6.8</v>
      </c>
      <c r="C17" s="2">
        <v>-7.5</v>
      </c>
      <c r="D17" s="2">
        <v>-12.3</v>
      </c>
      <c r="E17" s="2">
        <v>-9.5</v>
      </c>
      <c r="F17" s="2">
        <v>-9.1999999999999993</v>
      </c>
      <c r="G17" s="2">
        <v>-12.5</v>
      </c>
      <c r="H17" s="2">
        <f>AVERAGE(weather.tbl[[#This Row],[Estevan]:[Kipling]])</f>
        <v>-9.6333333333333329</v>
      </c>
      <c r="I17" s="2">
        <f>_xlfn.STDEV.S(weather.tbl[[#This Row],[Estevan]:[Kipling]])</f>
        <v>2.3712162842445839</v>
      </c>
      <c r="J17" s="2">
        <f t="shared" si="0"/>
        <v>-7.7642857142857142</v>
      </c>
      <c r="K17">
        <f>DAY(weather.tbl[[#This Row],[Date]])</f>
        <v>16</v>
      </c>
      <c r="L17">
        <f>MONTH(weather.tbl[[#This Row],[Date]])</f>
        <v>1</v>
      </c>
      <c r="M17">
        <f>YEAR(weather.tbl[[#This Row],[Date]])</f>
        <v>2014</v>
      </c>
    </row>
    <row r="18" spans="1:13" x14ac:dyDescent="0.25">
      <c r="A18" s="1">
        <v>41656</v>
      </c>
      <c r="B18" s="2">
        <v>-5.8</v>
      </c>
      <c r="C18" s="2">
        <v>-6.6</v>
      </c>
      <c r="D18" s="2">
        <v>-9.3000000000000007</v>
      </c>
      <c r="E18" s="2">
        <v>-5</v>
      </c>
      <c r="F18" s="2">
        <v>-8.1999999999999993</v>
      </c>
      <c r="G18" s="2">
        <v>-7.1</v>
      </c>
      <c r="H18" s="2">
        <f>AVERAGE(weather.tbl[[#This Row],[Estevan]:[Kipling]])</f>
        <v>-7</v>
      </c>
      <c r="I18" s="2">
        <f>_xlfn.STDEV.S(weather.tbl[[#This Row],[Estevan]:[Kipling]])</f>
        <v>1.5709869509324406</v>
      </c>
      <c r="J18" s="2">
        <f t="shared" si="0"/>
        <v>-7.6952380952380954</v>
      </c>
      <c r="K18">
        <f>DAY(weather.tbl[[#This Row],[Date]])</f>
        <v>17</v>
      </c>
      <c r="L18">
        <f>MONTH(weather.tbl[[#This Row],[Date]])</f>
        <v>1</v>
      </c>
      <c r="M18">
        <f>YEAR(weather.tbl[[#This Row],[Date]])</f>
        <v>2014</v>
      </c>
    </row>
    <row r="19" spans="1:13" x14ac:dyDescent="0.25">
      <c r="A19" s="1">
        <v>41657</v>
      </c>
      <c r="B19" s="2">
        <v>-1.1000000000000001</v>
      </c>
      <c r="C19" s="2">
        <v>-1.7</v>
      </c>
      <c r="D19" s="2">
        <v>-1.5</v>
      </c>
      <c r="E19" s="2">
        <v>-0.8</v>
      </c>
      <c r="F19" s="2">
        <v>-1.1000000000000001</v>
      </c>
      <c r="G19" s="2">
        <v>-1.6</v>
      </c>
      <c r="H19" s="2">
        <f>AVERAGE(weather.tbl[[#This Row],[Estevan]:[Kipling]])</f>
        <v>-1.2999999999999998</v>
      </c>
      <c r="I19" s="2">
        <f>_xlfn.STDEV.S(weather.tbl[[#This Row],[Estevan]:[Kipling]])</f>
        <v>0.3521363372331815</v>
      </c>
      <c r="J19" s="2">
        <f t="shared" si="0"/>
        <v>-7.0785714285714283</v>
      </c>
      <c r="K19">
        <f>DAY(weather.tbl[[#This Row],[Date]])</f>
        <v>18</v>
      </c>
      <c r="L19">
        <f>MONTH(weather.tbl[[#This Row],[Date]])</f>
        <v>1</v>
      </c>
      <c r="M19">
        <f>YEAR(weather.tbl[[#This Row],[Date]])</f>
        <v>2014</v>
      </c>
    </row>
    <row r="20" spans="1:13" x14ac:dyDescent="0.25">
      <c r="A20" s="1">
        <v>41658</v>
      </c>
      <c r="B20" s="2">
        <v>-0.6</v>
      </c>
      <c r="C20" s="2">
        <v>-2.7</v>
      </c>
      <c r="D20" s="2">
        <v>-3.3</v>
      </c>
      <c r="E20" s="2">
        <v>-0.5</v>
      </c>
      <c r="F20" s="2">
        <v>-6.4</v>
      </c>
      <c r="G20" s="2">
        <v>-3.6</v>
      </c>
      <c r="H20" s="2">
        <f>AVERAGE(weather.tbl[[#This Row],[Estevan]:[Kipling]])</f>
        <v>-2.85</v>
      </c>
      <c r="I20" s="2">
        <f>_xlfn.STDEV.S(weather.tbl[[#This Row],[Estevan]:[Kipling]])</f>
        <v>2.1897488440458188</v>
      </c>
      <c r="J20" s="2">
        <f t="shared" si="0"/>
        <v>-6.8761904761904757</v>
      </c>
      <c r="K20">
        <f>DAY(weather.tbl[[#This Row],[Date]])</f>
        <v>19</v>
      </c>
      <c r="L20">
        <f>MONTH(weather.tbl[[#This Row],[Date]])</f>
        <v>1</v>
      </c>
      <c r="M20">
        <f>YEAR(weather.tbl[[#This Row],[Date]])</f>
        <v>2014</v>
      </c>
    </row>
    <row r="21" spans="1:13" x14ac:dyDescent="0.25">
      <c r="A21" s="1">
        <v>41659</v>
      </c>
      <c r="B21" s="2">
        <v>-12.4</v>
      </c>
      <c r="C21" s="2">
        <v>-12.8</v>
      </c>
      <c r="D21" s="2">
        <v>-18.5</v>
      </c>
      <c r="E21" s="2">
        <v>-16</v>
      </c>
      <c r="F21" s="2">
        <v>-20.5</v>
      </c>
      <c r="G21" s="2">
        <v>-19.600000000000001</v>
      </c>
      <c r="H21" s="2">
        <f>AVERAGE(weather.tbl[[#This Row],[Estevan]:[Kipling]])</f>
        <v>-16.633333333333336</v>
      </c>
      <c r="I21" s="2">
        <f>_xlfn.STDEV.S(weather.tbl[[#This Row],[Estevan]:[Kipling]])</f>
        <v>3.4714070154141501</v>
      </c>
      <c r="J21" s="2">
        <f t="shared" si="0"/>
        <v>-7.6071428571428568</v>
      </c>
      <c r="K21">
        <f>DAY(weather.tbl[[#This Row],[Date]])</f>
        <v>20</v>
      </c>
      <c r="L21">
        <f>MONTH(weather.tbl[[#This Row],[Date]])</f>
        <v>1</v>
      </c>
      <c r="M21">
        <f>YEAR(weather.tbl[[#This Row],[Date]])</f>
        <v>2014</v>
      </c>
    </row>
    <row r="22" spans="1:13" x14ac:dyDescent="0.25">
      <c r="A22" s="1">
        <v>41660</v>
      </c>
      <c r="B22" s="2">
        <v>-12.6</v>
      </c>
      <c r="C22" s="2">
        <v>-12.5</v>
      </c>
      <c r="D22" s="2">
        <v>-18.3</v>
      </c>
      <c r="E22" s="2">
        <v>-16</v>
      </c>
      <c r="F22" s="2">
        <v>-15.6</v>
      </c>
      <c r="G22" s="2">
        <v>-16.899999999999999</v>
      </c>
      <c r="H22" s="2">
        <f>AVERAGE(weather.tbl[[#This Row],[Estevan]:[Kipling]])</f>
        <v>-15.316666666666668</v>
      </c>
      <c r="I22" s="2">
        <f>_xlfn.STDEV.S(weather.tbl[[#This Row],[Estevan]:[Kipling]])</f>
        <v>2.3353086876613638</v>
      </c>
      <c r="J22" s="2">
        <f t="shared" si="0"/>
        <v>-8.1904761904761916</v>
      </c>
      <c r="K22">
        <f>DAY(weather.tbl[[#This Row],[Date]])</f>
        <v>21</v>
      </c>
      <c r="L22">
        <f>MONTH(weather.tbl[[#This Row],[Date]])</f>
        <v>1</v>
      </c>
      <c r="M22">
        <f>YEAR(weather.tbl[[#This Row],[Date]])</f>
        <v>2014</v>
      </c>
    </row>
    <row r="23" spans="1:13" x14ac:dyDescent="0.25">
      <c r="A23" s="1">
        <v>41661</v>
      </c>
      <c r="B23" s="2">
        <v>-18.2</v>
      </c>
      <c r="C23" s="2">
        <v>-20.7</v>
      </c>
      <c r="D23" s="2">
        <v>-22.3</v>
      </c>
      <c r="E23" s="2">
        <v>-21.8</v>
      </c>
      <c r="F23" s="2">
        <v>-17.899999999999999</v>
      </c>
      <c r="G23" s="2">
        <v>-25.1</v>
      </c>
      <c r="H23" s="2">
        <f>AVERAGE(weather.tbl[[#This Row],[Estevan]:[Kipling]])</f>
        <v>-21</v>
      </c>
      <c r="I23" s="2">
        <f>_xlfn.STDEV.S(weather.tbl[[#This Row],[Estevan]:[Kipling]])</f>
        <v>2.7085051227568426</v>
      </c>
      <c r="J23" s="2">
        <f t="shared" si="0"/>
        <v>-10.533333333333335</v>
      </c>
      <c r="K23">
        <f>DAY(weather.tbl[[#This Row],[Date]])</f>
        <v>22</v>
      </c>
      <c r="L23">
        <f>MONTH(weather.tbl[[#This Row],[Date]])</f>
        <v>1</v>
      </c>
      <c r="M23">
        <f>YEAR(weather.tbl[[#This Row],[Date]])</f>
        <v>2014</v>
      </c>
    </row>
    <row r="24" spans="1:13" x14ac:dyDescent="0.25">
      <c r="A24" s="1">
        <v>41662</v>
      </c>
      <c r="B24" s="2">
        <v>-15.2</v>
      </c>
      <c r="C24" s="2">
        <v>-15.7</v>
      </c>
      <c r="D24" s="2">
        <v>-16</v>
      </c>
      <c r="E24" s="2">
        <v>-15.5</v>
      </c>
      <c r="F24" s="2">
        <v>-15.7</v>
      </c>
      <c r="G24" s="2">
        <v>-15.4</v>
      </c>
      <c r="H24" s="2">
        <f>AVERAGE(weather.tbl[[#This Row],[Estevan]:[Kipling]])</f>
        <v>-15.583333333333334</v>
      </c>
      <c r="I24" s="2">
        <f>_xlfn.STDEV.S(weather.tbl[[#This Row],[Estevan]:[Kipling]])</f>
        <v>0.2786873995477131</v>
      </c>
      <c r="J24" s="2">
        <f t="shared" si="0"/>
        <v>-11.383333333333335</v>
      </c>
      <c r="K24">
        <f>DAY(weather.tbl[[#This Row],[Date]])</f>
        <v>23</v>
      </c>
      <c r="L24">
        <f>MONTH(weather.tbl[[#This Row],[Date]])</f>
        <v>1</v>
      </c>
      <c r="M24">
        <f>YEAR(weather.tbl[[#This Row],[Date]])</f>
        <v>2014</v>
      </c>
    </row>
    <row r="25" spans="1:13" x14ac:dyDescent="0.25">
      <c r="A25" s="1">
        <v>41663</v>
      </c>
      <c r="B25" s="2">
        <v>-1.2</v>
      </c>
      <c r="C25" s="2">
        <v>-0.9</v>
      </c>
      <c r="D25" s="2">
        <v>-3.5</v>
      </c>
      <c r="E25" s="2">
        <v>-0.5</v>
      </c>
      <c r="F25" s="2">
        <v>-4.7</v>
      </c>
      <c r="G25" s="2">
        <v>-1.6</v>
      </c>
      <c r="H25" s="2">
        <f>AVERAGE(weather.tbl[[#This Row],[Estevan]:[Kipling]])</f>
        <v>-2.0666666666666669</v>
      </c>
      <c r="I25" s="2">
        <f>_xlfn.STDEV.S(weather.tbl[[#This Row],[Estevan]:[Kipling]])</f>
        <v>1.6597188516934631</v>
      </c>
      <c r="J25" s="2">
        <f t="shared" si="0"/>
        <v>-10.678571428571429</v>
      </c>
      <c r="K25">
        <f>DAY(weather.tbl[[#This Row],[Date]])</f>
        <v>24</v>
      </c>
      <c r="L25">
        <f>MONTH(weather.tbl[[#This Row],[Date]])</f>
        <v>1</v>
      </c>
      <c r="M25">
        <f>YEAR(weather.tbl[[#This Row],[Date]])</f>
        <v>2014</v>
      </c>
    </row>
    <row r="26" spans="1:13" x14ac:dyDescent="0.25">
      <c r="A26" s="1">
        <v>41664</v>
      </c>
      <c r="B26" s="2">
        <v>-5.0999999999999996</v>
      </c>
      <c r="C26" s="2">
        <v>-4.7</v>
      </c>
      <c r="D26" s="2">
        <v>-8.3000000000000007</v>
      </c>
      <c r="E26" s="2">
        <v>-4</v>
      </c>
      <c r="F26" s="2">
        <v>-13</v>
      </c>
      <c r="G26" s="2">
        <v>-9.6999999999999993</v>
      </c>
      <c r="H26" s="2">
        <f>AVERAGE(weather.tbl[[#This Row],[Estevan]:[Kipling]])</f>
        <v>-7.4666666666666659</v>
      </c>
      <c r="I26" s="2">
        <f>_xlfn.STDEV.S(weather.tbl[[#This Row],[Estevan]:[Kipling]])</f>
        <v>3.5092259355400124</v>
      </c>
      <c r="J26" s="2">
        <f t="shared" si="0"/>
        <v>-11.55952380952381</v>
      </c>
      <c r="K26">
        <f>DAY(weather.tbl[[#This Row],[Date]])</f>
        <v>25</v>
      </c>
      <c r="L26">
        <f>MONTH(weather.tbl[[#This Row],[Date]])</f>
        <v>1</v>
      </c>
      <c r="M26">
        <f>YEAR(weather.tbl[[#This Row],[Date]])</f>
        <v>2014</v>
      </c>
    </row>
    <row r="27" spans="1:13" x14ac:dyDescent="0.25">
      <c r="A27" s="1">
        <v>41665</v>
      </c>
      <c r="B27" s="2">
        <v>-14.8</v>
      </c>
      <c r="C27" s="2">
        <v>-15.5</v>
      </c>
      <c r="D27" s="2">
        <v>-21.3</v>
      </c>
      <c r="E27" s="2">
        <v>-22</v>
      </c>
      <c r="F27" s="2">
        <v>-17.2</v>
      </c>
      <c r="G27" s="2">
        <v>-21.4</v>
      </c>
      <c r="H27" s="2">
        <f>AVERAGE(weather.tbl[[#This Row],[Estevan]:[Kipling]])</f>
        <v>-18.7</v>
      </c>
      <c r="I27" s="2">
        <f>_xlfn.STDEV.S(weather.tbl[[#This Row],[Estevan]:[Kipling]])</f>
        <v>3.2446879665077155</v>
      </c>
      <c r="J27" s="2">
        <f t="shared" si="0"/>
        <v>-13.823809523809524</v>
      </c>
      <c r="K27">
        <f>DAY(weather.tbl[[#This Row],[Date]])</f>
        <v>26</v>
      </c>
      <c r="L27">
        <f>MONTH(weather.tbl[[#This Row],[Date]])</f>
        <v>1</v>
      </c>
      <c r="M27">
        <f>YEAR(weather.tbl[[#This Row],[Date]])</f>
        <v>2014</v>
      </c>
    </row>
    <row r="28" spans="1:13" x14ac:dyDescent="0.25">
      <c r="A28" s="1">
        <v>41666</v>
      </c>
      <c r="B28" s="2">
        <v>-26.3</v>
      </c>
      <c r="C28" s="2">
        <v>-28.2</v>
      </c>
      <c r="D28" s="2">
        <v>-28</v>
      </c>
      <c r="E28" s="2">
        <v>-26.5</v>
      </c>
      <c r="F28" s="2">
        <v>-26.9</v>
      </c>
      <c r="G28" s="2">
        <v>-28.6</v>
      </c>
      <c r="H28" s="2">
        <f>AVERAGE(weather.tbl[[#This Row],[Estevan]:[Kipling]])</f>
        <v>-27.416666666666668</v>
      </c>
      <c r="I28" s="2">
        <f>_xlfn.STDEV.S(weather.tbl[[#This Row],[Estevan]:[Kipling]])</f>
        <v>0.97039510853397604</v>
      </c>
      <c r="J28" s="2">
        <f t="shared" si="0"/>
        <v>-15.364285714285716</v>
      </c>
      <c r="K28">
        <f>DAY(weather.tbl[[#This Row],[Date]])</f>
        <v>27</v>
      </c>
      <c r="L28">
        <f>MONTH(weather.tbl[[#This Row],[Date]])</f>
        <v>1</v>
      </c>
      <c r="M28">
        <f>YEAR(weather.tbl[[#This Row],[Date]])</f>
        <v>2014</v>
      </c>
    </row>
    <row r="29" spans="1:13" x14ac:dyDescent="0.25">
      <c r="A29" s="1">
        <v>41667</v>
      </c>
      <c r="B29" s="2">
        <v>-19.7</v>
      </c>
      <c r="C29" s="2">
        <v>-21.6</v>
      </c>
      <c r="D29" s="2">
        <v>-21</v>
      </c>
      <c r="E29" s="2">
        <v>-18</v>
      </c>
      <c r="F29" s="2">
        <v>-23</v>
      </c>
      <c r="G29" s="2">
        <v>-20.5</v>
      </c>
      <c r="H29" s="2">
        <f>AVERAGE(weather.tbl[[#This Row],[Estevan]:[Kipling]])</f>
        <v>-20.633333333333333</v>
      </c>
      <c r="I29" s="2">
        <f>_xlfn.STDEV.S(weather.tbl[[#This Row],[Estevan]:[Kipling]])</f>
        <v>1.7025471114382318</v>
      </c>
      <c r="J29" s="2">
        <f t="shared" si="0"/>
        <v>-16.123809523809523</v>
      </c>
      <c r="K29">
        <f>DAY(weather.tbl[[#This Row],[Date]])</f>
        <v>28</v>
      </c>
      <c r="L29">
        <f>MONTH(weather.tbl[[#This Row],[Date]])</f>
        <v>1</v>
      </c>
      <c r="M29">
        <f>YEAR(weather.tbl[[#This Row],[Date]])</f>
        <v>2014</v>
      </c>
    </row>
    <row r="30" spans="1:13" x14ac:dyDescent="0.25">
      <c r="A30" s="1">
        <v>41668</v>
      </c>
      <c r="B30" s="2">
        <v>-12.9</v>
      </c>
      <c r="C30" s="2">
        <v>-13.9</v>
      </c>
      <c r="D30" s="2">
        <v>-14.5</v>
      </c>
      <c r="E30" s="2">
        <v>-14</v>
      </c>
      <c r="F30" s="2">
        <v>-15.1</v>
      </c>
      <c r="G30" s="2">
        <v>-15.5</v>
      </c>
      <c r="H30" s="2">
        <f>AVERAGE(weather.tbl[[#This Row],[Estevan]:[Kipling]])</f>
        <v>-14.316666666666665</v>
      </c>
      <c r="I30" s="2">
        <f>_xlfn.STDEV.S(weather.tbl[[#This Row],[Estevan]:[Kipling]])</f>
        <v>0.93041209507758782</v>
      </c>
      <c r="J30" s="2">
        <f t="shared" si="0"/>
        <v>-15.169047619047619</v>
      </c>
      <c r="K30">
        <f>DAY(weather.tbl[[#This Row],[Date]])</f>
        <v>29</v>
      </c>
      <c r="L30">
        <f>MONTH(weather.tbl[[#This Row],[Date]])</f>
        <v>1</v>
      </c>
      <c r="M30">
        <f>YEAR(weather.tbl[[#This Row],[Date]])</f>
        <v>2014</v>
      </c>
    </row>
    <row r="31" spans="1:13" x14ac:dyDescent="0.25">
      <c r="A31" s="1">
        <v>41669</v>
      </c>
      <c r="B31" s="2">
        <v>-20.8</v>
      </c>
      <c r="C31" s="2">
        <v>-22.3</v>
      </c>
      <c r="D31" s="2">
        <v>-22</v>
      </c>
      <c r="E31" s="2">
        <v>-21</v>
      </c>
      <c r="F31" s="2">
        <v>-21.7</v>
      </c>
      <c r="G31" s="2">
        <v>-23.2</v>
      </c>
      <c r="H31" s="2">
        <f>AVERAGE(weather.tbl[[#This Row],[Estevan]:[Kipling]])</f>
        <v>-21.833333333333332</v>
      </c>
      <c r="I31" s="2">
        <f>_xlfn.STDEV.S(weather.tbl[[#This Row],[Estevan]:[Kipling]])</f>
        <v>0.88242091241462894</v>
      </c>
      <c r="J31" s="2">
        <f t="shared" si="0"/>
        <v>-16.06190476190476</v>
      </c>
      <c r="K31">
        <f>DAY(weather.tbl[[#This Row],[Date]])</f>
        <v>30</v>
      </c>
      <c r="L31">
        <f>MONTH(weather.tbl[[#This Row],[Date]])</f>
        <v>1</v>
      </c>
      <c r="M31">
        <f>YEAR(weather.tbl[[#This Row],[Date]])</f>
        <v>2014</v>
      </c>
    </row>
    <row r="32" spans="1:13" x14ac:dyDescent="0.25">
      <c r="A32" s="1">
        <v>41670</v>
      </c>
      <c r="B32" s="2">
        <v>-16.7</v>
      </c>
      <c r="C32" s="2">
        <v>-18.2</v>
      </c>
      <c r="D32" s="2">
        <v>-19.5</v>
      </c>
      <c r="E32" s="2">
        <v>-18</v>
      </c>
      <c r="F32" s="2">
        <v>-19.899999999999999</v>
      </c>
      <c r="G32" s="2">
        <v>-21.9</v>
      </c>
      <c r="H32" s="2">
        <f>AVERAGE(weather.tbl[[#This Row],[Estevan]:[Kipling]])</f>
        <v>-19.033333333333335</v>
      </c>
      <c r="I32" s="2">
        <f>_xlfn.STDEV.S(weather.tbl[[#This Row],[Estevan]:[Kipling]])</f>
        <v>1.8107088851239079</v>
      </c>
      <c r="J32" s="2">
        <f t="shared" si="0"/>
        <v>-18.485714285714288</v>
      </c>
      <c r="K32">
        <f>DAY(weather.tbl[[#This Row],[Date]])</f>
        <v>31</v>
      </c>
      <c r="L32">
        <f>MONTH(weather.tbl[[#This Row],[Date]])</f>
        <v>1</v>
      </c>
      <c r="M32">
        <f>YEAR(weather.tbl[[#This Row],[Date]])</f>
        <v>2014</v>
      </c>
    </row>
    <row r="33" spans="1:13" x14ac:dyDescent="0.25">
      <c r="A33" s="1">
        <v>41671</v>
      </c>
      <c r="B33" s="2">
        <v>-18.2</v>
      </c>
      <c r="C33" s="2">
        <v>-16.8</v>
      </c>
      <c r="D33" s="2">
        <v>-18.5</v>
      </c>
      <c r="E33" s="2">
        <v>-16.8</v>
      </c>
      <c r="F33" s="2">
        <v>-19</v>
      </c>
      <c r="G33" s="2">
        <v>-17.5</v>
      </c>
      <c r="H33" s="2">
        <f>AVERAGE(weather.tbl[[#This Row],[Estevan]:[Kipling]])</f>
        <v>-17.8</v>
      </c>
      <c r="I33" s="2">
        <f>_xlfn.STDEV.S(weather.tbl[[#This Row],[Estevan]:[Kipling]])</f>
        <v>0.91433035605299651</v>
      </c>
      <c r="J33" s="2">
        <f t="shared" si="0"/>
        <v>-19.961904761904758</v>
      </c>
      <c r="K33">
        <f>DAY(weather.tbl[[#This Row],[Date]])</f>
        <v>1</v>
      </c>
      <c r="L33">
        <f>MONTH(weather.tbl[[#This Row],[Date]])</f>
        <v>2</v>
      </c>
      <c r="M33">
        <f>YEAR(weather.tbl[[#This Row],[Date]])</f>
        <v>2014</v>
      </c>
    </row>
    <row r="34" spans="1:13" x14ac:dyDescent="0.25">
      <c r="A34" s="1">
        <v>41672</v>
      </c>
      <c r="B34" s="2">
        <v>-15.3</v>
      </c>
      <c r="C34" s="2">
        <v>-16</v>
      </c>
      <c r="D34" s="2">
        <v>-16</v>
      </c>
      <c r="E34" s="2">
        <v>-15.5</v>
      </c>
      <c r="F34" s="2">
        <v>-16.2</v>
      </c>
      <c r="G34" s="2">
        <v>-15.2</v>
      </c>
      <c r="H34" s="2">
        <f>AVERAGE(weather.tbl[[#This Row],[Estevan]:[Kipling]])</f>
        <v>-15.700000000000001</v>
      </c>
      <c r="I34" s="2">
        <f>_xlfn.STDEV.S(weather.tbl[[#This Row],[Estevan]:[Kipling]])</f>
        <v>0.41952353926806046</v>
      </c>
      <c r="J34" s="2">
        <f t="shared" si="0"/>
        <v>-19.533333333333331</v>
      </c>
      <c r="K34">
        <f>DAY(weather.tbl[[#This Row],[Date]])</f>
        <v>2</v>
      </c>
      <c r="L34">
        <f>MONTH(weather.tbl[[#This Row],[Date]])</f>
        <v>2</v>
      </c>
      <c r="M34">
        <f>YEAR(weather.tbl[[#This Row],[Date]])</f>
        <v>2014</v>
      </c>
    </row>
    <row r="35" spans="1:13" x14ac:dyDescent="0.25">
      <c r="A35" s="1">
        <v>41673</v>
      </c>
      <c r="B35" s="2">
        <v>-17.600000000000001</v>
      </c>
      <c r="C35" s="2">
        <v>-18</v>
      </c>
      <c r="D35" s="2">
        <v>-18.3</v>
      </c>
      <c r="E35" s="2">
        <v>-19.8</v>
      </c>
      <c r="F35" s="2">
        <v>-19.2</v>
      </c>
      <c r="G35" s="2">
        <v>-21.1</v>
      </c>
      <c r="H35" s="2">
        <f>AVERAGE(weather.tbl[[#This Row],[Estevan]:[Kipling]])</f>
        <v>-19</v>
      </c>
      <c r="I35" s="2">
        <f>_xlfn.STDEV.S(weather.tbl[[#This Row],[Estevan]:[Kipling]])</f>
        <v>1.3069047402163636</v>
      </c>
      <c r="J35" s="2">
        <f t="shared" si="0"/>
        <v>-18.330952380952379</v>
      </c>
      <c r="K35">
        <f>DAY(weather.tbl[[#This Row],[Date]])</f>
        <v>3</v>
      </c>
      <c r="L35">
        <f>MONTH(weather.tbl[[#This Row],[Date]])</f>
        <v>2</v>
      </c>
      <c r="M35">
        <f>YEAR(weather.tbl[[#This Row],[Date]])</f>
        <v>2014</v>
      </c>
    </row>
    <row r="36" spans="1:13" x14ac:dyDescent="0.25">
      <c r="A36" s="1">
        <v>41674</v>
      </c>
      <c r="B36" s="2">
        <v>-22.2</v>
      </c>
      <c r="C36" s="2">
        <v>-23.9</v>
      </c>
      <c r="D36" s="2">
        <v>-18.3</v>
      </c>
      <c r="E36" s="2">
        <v>-23.8</v>
      </c>
      <c r="F36" s="2">
        <v>-21.6</v>
      </c>
      <c r="G36" s="2">
        <v>-23</v>
      </c>
      <c r="H36" s="2">
        <f>AVERAGE(weather.tbl[[#This Row],[Estevan]:[Kipling]])</f>
        <v>-22.133333333333329</v>
      </c>
      <c r="I36" s="2">
        <f>_xlfn.STDEV.S(weather.tbl[[#This Row],[Estevan]:[Kipling]])</f>
        <v>2.0800641015763586</v>
      </c>
      <c r="J36" s="2">
        <f t="shared" si="0"/>
        <v>-18.545238095238094</v>
      </c>
      <c r="K36">
        <f>DAY(weather.tbl[[#This Row],[Date]])</f>
        <v>4</v>
      </c>
      <c r="L36">
        <f>MONTH(weather.tbl[[#This Row],[Date]])</f>
        <v>2</v>
      </c>
      <c r="M36">
        <f>YEAR(weather.tbl[[#This Row],[Date]])</f>
        <v>2014</v>
      </c>
    </row>
    <row r="37" spans="1:13" x14ac:dyDescent="0.25">
      <c r="A37" s="1">
        <v>41675</v>
      </c>
      <c r="B37" s="2">
        <v>-24.1</v>
      </c>
      <c r="C37" s="2">
        <v>-25.4</v>
      </c>
      <c r="D37" s="2">
        <v>-24.3</v>
      </c>
      <c r="E37" s="2">
        <v>-24</v>
      </c>
      <c r="F37" s="2">
        <v>-23</v>
      </c>
      <c r="G37" s="2">
        <v>-23.9</v>
      </c>
      <c r="H37" s="2">
        <f>AVERAGE(weather.tbl[[#This Row],[Estevan]:[Kipling]])</f>
        <v>-24.116666666666664</v>
      </c>
      <c r="I37" s="2">
        <f>_xlfn.STDEV.S(weather.tbl[[#This Row],[Estevan]:[Kipling]])</f>
        <v>0.77308904187465111</v>
      </c>
      <c r="J37" s="2">
        <f t="shared" si="0"/>
        <v>-19.945238095238096</v>
      </c>
      <c r="K37">
        <f>DAY(weather.tbl[[#This Row],[Date]])</f>
        <v>5</v>
      </c>
      <c r="L37">
        <f>MONTH(weather.tbl[[#This Row],[Date]])</f>
        <v>2</v>
      </c>
      <c r="M37">
        <f>YEAR(weather.tbl[[#This Row],[Date]])</f>
        <v>2014</v>
      </c>
    </row>
    <row r="38" spans="1:13" x14ac:dyDescent="0.25">
      <c r="A38" s="1">
        <v>41676</v>
      </c>
      <c r="B38" s="2">
        <v>-18</v>
      </c>
      <c r="C38" s="2">
        <v>-19.600000000000001</v>
      </c>
      <c r="D38" s="2">
        <v>-19.8</v>
      </c>
      <c r="E38" s="2">
        <v>-19.5</v>
      </c>
      <c r="F38" s="2">
        <v>-18.7</v>
      </c>
      <c r="G38" s="2">
        <v>-20.9</v>
      </c>
      <c r="H38" s="2">
        <f>AVERAGE(weather.tbl[[#This Row],[Estevan]:[Kipling]])</f>
        <v>-19.416666666666668</v>
      </c>
      <c r="I38" s="2">
        <f>_xlfn.STDEV.S(weather.tbl[[#This Row],[Estevan]:[Kipling]])</f>
        <v>0.99079092984678974</v>
      </c>
      <c r="J38" s="2">
        <f t="shared" si="0"/>
        <v>-19.599999999999998</v>
      </c>
      <c r="K38">
        <f>DAY(weather.tbl[[#This Row],[Date]])</f>
        <v>6</v>
      </c>
      <c r="L38">
        <f>MONTH(weather.tbl[[#This Row],[Date]])</f>
        <v>2</v>
      </c>
      <c r="M38">
        <f>YEAR(weather.tbl[[#This Row],[Date]])</f>
        <v>2014</v>
      </c>
    </row>
    <row r="39" spans="1:13" x14ac:dyDescent="0.25">
      <c r="A39" s="1">
        <v>41677</v>
      </c>
      <c r="B39" s="2">
        <v>-19.600000000000001</v>
      </c>
      <c r="C39" s="2">
        <v>-22.3</v>
      </c>
      <c r="D39" s="2">
        <v>-18.8</v>
      </c>
      <c r="E39" s="2">
        <v>-19</v>
      </c>
      <c r="F39" s="2">
        <v>-20.9</v>
      </c>
      <c r="G39" s="2">
        <v>-20.8</v>
      </c>
      <c r="H39" s="2">
        <f>AVERAGE(weather.tbl[[#This Row],[Estevan]:[Kipling]])</f>
        <v>-20.233333333333331</v>
      </c>
      <c r="I39" s="2">
        <f>_xlfn.STDEV.S(weather.tbl[[#This Row],[Estevan]:[Kipling]])</f>
        <v>1.3426342266852378</v>
      </c>
      <c r="J39" s="2">
        <f t="shared" si="0"/>
        <v>-19.771428571428569</v>
      </c>
      <c r="K39">
        <f>DAY(weather.tbl[[#This Row],[Date]])</f>
        <v>7</v>
      </c>
      <c r="L39">
        <f>MONTH(weather.tbl[[#This Row],[Date]])</f>
        <v>2</v>
      </c>
      <c r="M39">
        <f>YEAR(weather.tbl[[#This Row],[Date]])</f>
        <v>2014</v>
      </c>
    </row>
    <row r="40" spans="1:13" x14ac:dyDescent="0.25">
      <c r="A40" s="1">
        <v>41678</v>
      </c>
      <c r="B40" s="2">
        <v>-21.4</v>
      </c>
      <c r="C40" s="2">
        <v>-23</v>
      </c>
      <c r="D40" s="2">
        <v>-23</v>
      </c>
      <c r="E40" s="2">
        <v>-21</v>
      </c>
      <c r="F40" s="2">
        <v>-22.6</v>
      </c>
      <c r="G40" s="2">
        <v>-20.8</v>
      </c>
      <c r="H40" s="2">
        <f>AVERAGE(weather.tbl[[#This Row],[Estevan]:[Kipling]])</f>
        <v>-21.966666666666669</v>
      </c>
      <c r="I40" s="2">
        <f>_xlfn.STDEV.S(weather.tbl[[#This Row],[Estevan]:[Kipling]])</f>
        <v>1.0152175464730044</v>
      </c>
      <c r="J40" s="2">
        <f t="shared" si="0"/>
        <v>-20.366666666666667</v>
      </c>
      <c r="K40">
        <f>DAY(weather.tbl[[#This Row],[Date]])</f>
        <v>8</v>
      </c>
      <c r="L40">
        <f>MONTH(weather.tbl[[#This Row],[Date]])</f>
        <v>2</v>
      </c>
      <c r="M40">
        <f>YEAR(weather.tbl[[#This Row],[Date]])</f>
        <v>2014</v>
      </c>
    </row>
    <row r="41" spans="1:13" x14ac:dyDescent="0.25">
      <c r="A41" s="1">
        <v>41679</v>
      </c>
      <c r="B41" s="2">
        <v>-25.3</v>
      </c>
      <c r="C41" s="2">
        <v>-27.5</v>
      </c>
      <c r="D41" s="2">
        <v>-26</v>
      </c>
      <c r="E41" s="2">
        <v>-26.3</v>
      </c>
      <c r="F41" s="2">
        <v>-24.6</v>
      </c>
      <c r="G41" s="2">
        <v>-27.3</v>
      </c>
      <c r="H41" s="2">
        <f>AVERAGE(weather.tbl[[#This Row],[Estevan]:[Kipling]])</f>
        <v>-26.166666666666668</v>
      </c>
      <c r="I41" s="2">
        <f>_xlfn.STDEV.S(weather.tbl[[#This Row],[Estevan]:[Kipling]])</f>
        <v>1.1236844159579085</v>
      </c>
      <c r="J41" s="2">
        <f t="shared" si="0"/>
        <v>-21.861904761904761</v>
      </c>
      <c r="K41">
        <f>DAY(weather.tbl[[#This Row],[Date]])</f>
        <v>9</v>
      </c>
      <c r="L41">
        <f>MONTH(weather.tbl[[#This Row],[Date]])</f>
        <v>2</v>
      </c>
      <c r="M41">
        <f>YEAR(weather.tbl[[#This Row],[Date]])</f>
        <v>2014</v>
      </c>
    </row>
    <row r="42" spans="1:13" x14ac:dyDescent="0.25">
      <c r="A42" s="1">
        <v>41680</v>
      </c>
      <c r="B42" s="2">
        <v>-21.7</v>
      </c>
      <c r="C42" s="2">
        <v>-25</v>
      </c>
      <c r="D42" s="2">
        <v>-25</v>
      </c>
      <c r="E42" s="2">
        <v>-22.5</v>
      </c>
      <c r="F42" s="2">
        <v>-26.1</v>
      </c>
      <c r="G42" s="2">
        <v>-20.7</v>
      </c>
      <c r="H42" s="2">
        <f>AVERAGE(weather.tbl[[#This Row],[Estevan]:[Kipling]])</f>
        <v>-23.5</v>
      </c>
      <c r="I42" s="2">
        <f>_xlfn.STDEV.S(weather.tbl[[#This Row],[Estevan]:[Kipling]])</f>
        <v>2.1605554841290244</v>
      </c>
      <c r="J42" s="2">
        <f t="shared" si="0"/>
        <v>-22.504761904761903</v>
      </c>
      <c r="K42">
        <f>DAY(weather.tbl[[#This Row],[Date]])</f>
        <v>10</v>
      </c>
      <c r="L42">
        <f>MONTH(weather.tbl[[#This Row],[Date]])</f>
        <v>2</v>
      </c>
      <c r="M42">
        <f>YEAR(weather.tbl[[#This Row],[Date]])</f>
        <v>2014</v>
      </c>
    </row>
    <row r="43" spans="1:13" x14ac:dyDescent="0.25">
      <c r="A43" s="1">
        <v>41681</v>
      </c>
      <c r="B43" s="2">
        <v>-13.8</v>
      </c>
      <c r="C43" s="2">
        <v>-16</v>
      </c>
      <c r="D43" s="2">
        <v>-16.5</v>
      </c>
      <c r="E43" s="2">
        <v>-18.8</v>
      </c>
      <c r="F43" s="2">
        <v>-13.8</v>
      </c>
      <c r="G43" s="2">
        <v>-16.2</v>
      </c>
      <c r="H43" s="2">
        <f>AVERAGE(weather.tbl[[#This Row],[Estevan]:[Kipling]])</f>
        <v>-15.85</v>
      </c>
      <c r="I43" s="2">
        <f>_xlfn.STDEV.S(weather.tbl[[#This Row],[Estevan]:[Kipling]])</f>
        <v>1.8801595676963383</v>
      </c>
      <c r="J43" s="2">
        <f t="shared" si="0"/>
        <v>-21.607142857142858</v>
      </c>
      <c r="K43">
        <f>DAY(weather.tbl[[#This Row],[Date]])</f>
        <v>11</v>
      </c>
      <c r="L43">
        <f>MONTH(weather.tbl[[#This Row],[Date]])</f>
        <v>2</v>
      </c>
      <c r="M43">
        <f>YEAR(weather.tbl[[#This Row],[Date]])</f>
        <v>2014</v>
      </c>
    </row>
    <row r="44" spans="1:13" x14ac:dyDescent="0.25">
      <c r="A44" s="1">
        <v>41682</v>
      </c>
      <c r="B44" s="2">
        <v>-18.600000000000001</v>
      </c>
      <c r="C44" s="2">
        <v>-20.100000000000001</v>
      </c>
      <c r="D44" s="2">
        <v>-21.5</v>
      </c>
      <c r="E44" s="2">
        <v>-20</v>
      </c>
      <c r="F44" s="2">
        <v>-17.8</v>
      </c>
      <c r="G44" s="2">
        <v>-20.100000000000001</v>
      </c>
      <c r="H44" s="2">
        <f>AVERAGE(weather.tbl[[#This Row],[Estevan]:[Kipling]])</f>
        <v>-19.683333333333334</v>
      </c>
      <c r="I44" s="2">
        <f>_xlfn.STDEV.S(weather.tbl[[#This Row],[Estevan]:[Kipling]])</f>
        <v>1.3014094923069626</v>
      </c>
      <c r="J44" s="2">
        <f t="shared" si="0"/>
        <v>-20.973809523809525</v>
      </c>
      <c r="K44">
        <f>DAY(weather.tbl[[#This Row],[Date]])</f>
        <v>12</v>
      </c>
      <c r="L44">
        <f>MONTH(weather.tbl[[#This Row],[Date]])</f>
        <v>2</v>
      </c>
      <c r="M44">
        <f>YEAR(weather.tbl[[#This Row],[Date]])</f>
        <v>2014</v>
      </c>
    </row>
    <row r="45" spans="1:13" x14ac:dyDescent="0.25">
      <c r="A45" s="1">
        <v>41683</v>
      </c>
      <c r="B45" s="2">
        <v>-21.8</v>
      </c>
      <c r="C45" s="2">
        <v>-22.6</v>
      </c>
      <c r="D45" s="2">
        <v>-22.5</v>
      </c>
      <c r="E45" s="2">
        <v>-22.5</v>
      </c>
      <c r="F45" s="2">
        <v>-21.7</v>
      </c>
      <c r="G45" s="2">
        <v>-22</v>
      </c>
      <c r="H45" s="2">
        <f>AVERAGE(weather.tbl[[#This Row],[Estevan]:[Kipling]])</f>
        <v>-22.183333333333337</v>
      </c>
      <c r="I45" s="2">
        <f>_xlfn.STDEV.S(weather.tbl[[#This Row],[Estevan]:[Kipling]])</f>
        <v>0.39707262140151001</v>
      </c>
      <c r="J45" s="2">
        <f t="shared" si="0"/>
        <v>-21.36904761904762</v>
      </c>
      <c r="K45">
        <f>DAY(weather.tbl[[#This Row],[Date]])</f>
        <v>13</v>
      </c>
      <c r="L45">
        <f>MONTH(weather.tbl[[#This Row],[Date]])</f>
        <v>2</v>
      </c>
      <c r="M45">
        <f>YEAR(weather.tbl[[#This Row],[Date]])</f>
        <v>2014</v>
      </c>
    </row>
    <row r="46" spans="1:13" x14ac:dyDescent="0.25">
      <c r="A46" s="1">
        <v>41684</v>
      </c>
      <c r="B46" s="2">
        <v>-14.5</v>
      </c>
      <c r="C46" s="2">
        <v>-15.6</v>
      </c>
      <c r="D46" s="2">
        <v>-18</v>
      </c>
      <c r="E46" s="2">
        <v>-14</v>
      </c>
      <c r="F46" s="2">
        <v>-19.899999999999999</v>
      </c>
      <c r="G46" s="2">
        <v>-16.899999999999999</v>
      </c>
      <c r="H46" s="2">
        <f>AVERAGE(weather.tbl[[#This Row],[Estevan]:[Kipling]])</f>
        <v>-16.483333333333334</v>
      </c>
      <c r="I46" s="2">
        <f>_xlfn.STDEV.S(weather.tbl[[#This Row],[Estevan]:[Kipling]])</f>
        <v>2.2373347238771837</v>
      </c>
      <c r="J46" s="2">
        <f t="shared" si="0"/>
        <v>-20.833333333333339</v>
      </c>
      <c r="K46">
        <f>DAY(weather.tbl[[#This Row],[Date]])</f>
        <v>14</v>
      </c>
      <c r="L46">
        <f>MONTH(weather.tbl[[#This Row],[Date]])</f>
        <v>2</v>
      </c>
      <c r="M46">
        <f>YEAR(weather.tbl[[#This Row],[Date]])</f>
        <v>2014</v>
      </c>
    </row>
    <row r="47" spans="1:13" x14ac:dyDescent="0.25">
      <c r="A47" s="1">
        <v>41685</v>
      </c>
      <c r="B47" s="2">
        <v>-15.8</v>
      </c>
      <c r="C47" s="2">
        <v>-16.100000000000001</v>
      </c>
      <c r="D47" s="2">
        <v>-15</v>
      </c>
      <c r="E47" s="2">
        <v>-11.5</v>
      </c>
      <c r="F47" s="2">
        <v>-20.100000000000001</v>
      </c>
      <c r="G47" s="2">
        <v>-17.8</v>
      </c>
      <c r="H47" s="2">
        <f>AVERAGE(weather.tbl[[#This Row],[Estevan]:[Kipling]])</f>
        <v>-16.05</v>
      </c>
      <c r="I47" s="2">
        <f>_xlfn.STDEV.S(weather.tbl[[#This Row],[Estevan]:[Kipling]])</f>
        <v>2.875239120490694</v>
      </c>
      <c r="J47" s="2">
        <f t="shared" si="0"/>
        <v>-19.988095238095241</v>
      </c>
      <c r="K47">
        <f>DAY(weather.tbl[[#This Row],[Date]])</f>
        <v>15</v>
      </c>
      <c r="L47">
        <f>MONTH(weather.tbl[[#This Row],[Date]])</f>
        <v>2</v>
      </c>
      <c r="M47">
        <f>YEAR(weather.tbl[[#This Row],[Date]])</f>
        <v>2014</v>
      </c>
    </row>
    <row r="48" spans="1:13" x14ac:dyDescent="0.25">
      <c r="A48" s="1">
        <v>41686</v>
      </c>
      <c r="B48" s="2">
        <v>-11.2</v>
      </c>
      <c r="C48" s="2">
        <v>-10.4</v>
      </c>
      <c r="D48" s="2">
        <v>-15.5</v>
      </c>
      <c r="E48" s="2">
        <v>-10.5</v>
      </c>
      <c r="F48" s="2">
        <v>-18.2</v>
      </c>
      <c r="G48" s="2">
        <v>-14.1</v>
      </c>
      <c r="H48" s="2">
        <f>AVERAGE(weather.tbl[[#This Row],[Estevan]:[Kipling]])</f>
        <v>-13.316666666666665</v>
      </c>
      <c r="I48" s="2">
        <f>_xlfn.STDEV.S(weather.tbl[[#This Row],[Estevan]:[Kipling]])</f>
        <v>3.1669648982372238</v>
      </c>
      <c r="J48" s="2">
        <f t="shared" si="0"/>
        <v>-18.152380952380952</v>
      </c>
      <c r="K48">
        <f>DAY(weather.tbl[[#This Row],[Date]])</f>
        <v>16</v>
      </c>
      <c r="L48">
        <f>MONTH(weather.tbl[[#This Row],[Date]])</f>
        <v>2</v>
      </c>
      <c r="M48">
        <f>YEAR(weather.tbl[[#This Row],[Date]])</f>
        <v>2014</v>
      </c>
    </row>
    <row r="49" spans="1:13" x14ac:dyDescent="0.25">
      <c r="A49" s="1">
        <v>41687</v>
      </c>
      <c r="B49" s="2">
        <v>-2.9</v>
      </c>
      <c r="C49" s="2">
        <v>-1.9</v>
      </c>
      <c r="D49" s="2">
        <v>-3.5</v>
      </c>
      <c r="E49" s="2">
        <v>-2.5</v>
      </c>
      <c r="F49" s="2">
        <v>-4.5</v>
      </c>
      <c r="G49" s="2">
        <v>-4.5999999999999996</v>
      </c>
      <c r="H49" s="2">
        <f>AVERAGE(weather.tbl[[#This Row],[Estevan]:[Kipling]])</f>
        <v>-3.3166666666666664</v>
      </c>
      <c r="I49" s="2">
        <f>_xlfn.STDEV.S(weather.tbl[[#This Row],[Estevan]:[Kipling]])</f>
        <v>1.0888832199398926</v>
      </c>
      <c r="J49" s="2">
        <f t="shared" si="0"/>
        <v>-15.269047619047617</v>
      </c>
      <c r="K49">
        <f>DAY(weather.tbl[[#This Row],[Date]])</f>
        <v>17</v>
      </c>
      <c r="L49">
        <f>MONTH(weather.tbl[[#This Row],[Date]])</f>
        <v>2</v>
      </c>
      <c r="M49">
        <f>YEAR(weather.tbl[[#This Row],[Date]])</f>
        <v>2014</v>
      </c>
    </row>
    <row r="50" spans="1:13" x14ac:dyDescent="0.25">
      <c r="A50" s="1">
        <v>41688</v>
      </c>
      <c r="B50" s="2">
        <v>-4.5</v>
      </c>
      <c r="C50" s="2">
        <v>-7.2</v>
      </c>
      <c r="D50" s="2">
        <v>-5</v>
      </c>
      <c r="E50" s="2">
        <v>-6.3</v>
      </c>
      <c r="F50" s="2">
        <v>-7.2</v>
      </c>
      <c r="G50" s="2">
        <v>-8.1</v>
      </c>
      <c r="H50" s="2">
        <f>AVERAGE(weather.tbl[[#This Row],[Estevan]:[Kipling]])</f>
        <v>-6.3833333333333329</v>
      </c>
      <c r="I50" s="2">
        <f>_xlfn.STDEV.S(weather.tbl[[#This Row],[Estevan]:[Kipling]])</f>
        <v>1.3963046467969205</v>
      </c>
      <c r="J50" s="2">
        <f t="shared" si="0"/>
        <v>-13.916666666666666</v>
      </c>
      <c r="K50">
        <f>DAY(weather.tbl[[#This Row],[Date]])</f>
        <v>18</v>
      </c>
      <c r="L50">
        <f>MONTH(weather.tbl[[#This Row],[Date]])</f>
        <v>2</v>
      </c>
      <c r="M50">
        <f>YEAR(weather.tbl[[#This Row],[Date]])</f>
        <v>2014</v>
      </c>
    </row>
    <row r="51" spans="1:13" x14ac:dyDescent="0.25">
      <c r="A51" s="1">
        <v>41689</v>
      </c>
      <c r="B51" s="2">
        <v>-6</v>
      </c>
      <c r="C51" s="2">
        <v>-6.3</v>
      </c>
      <c r="D51" s="2">
        <v>-5</v>
      </c>
      <c r="E51" s="2">
        <v>-3.5</v>
      </c>
      <c r="F51" s="2">
        <v>-8.5</v>
      </c>
      <c r="G51" s="2">
        <v>-7.6</v>
      </c>
      <c r="H51" s="2">
        <f>AVERAGE(weather.tbl[[#This Row],[Estevan]:[Kipling]])</f>
        <v>-6.1499999999999995</v>
      </c>
      <c r="I51" s="2">
        <f>_xlfn.STDEV.S(weather.tbl[[#This Row],[Estevan]:[Kipling]])</f>
        <v>1.7896927110540521</v>
      </c>
      <c r="J51" s="2">
        <f t="shared" si="0"/>
        <v>-11.983333333333333</v>
      </c>
      <c r="K51">
        <f>DAY(weather.tbl[[#This Row],[Date]])</f>
        <v>19</v>
      </c>
      <c r="L51">
        <f>MONTH(weather.tbl[[#This Row],[Date]])</f>
        <v>2</v>
      </c>
      <c r="M51">
        <f>YEAR(weather.tbl[[#This Row],[Date]])</f>
        <v>2014</v>
      </c>
    </row>
    <row r="52" spans="1:13" x14ac:dyDescent="0.25">
      <c r="A52" s="1">
        <v>41690</v>
      </c>
      <c r="B52" s="2">
        <v>-16.600000000000001</v>
      </c>
      <c r="C52" s="2">
        <v>-18</v>
      </c>
      <c r="D52" s="2">
        <v>-5</v>
      </c>
      <c r="E52" s="2">
        <v>-18</v>
      </c>
      <c r="F52" s="2">
        <v>-18.5</v>
      </c>
      <c r="G52" s="2">
        <v>-7.6</v>
      </c>
      <c r="H52" s="2">
        <f>AVERAGE(weather.tbl[[#This Row],[Estevan]:[Kipling]])</f>
        <v>-13.949999999999998</v>
      </c>
      <c r="I52" s="2">
        <f>_xlfn.STDEV.S(weather.tbl[[#This Row],[Estevan]:[Kipling]])</f>
        <v>6.0158956107964565</v>
      </c>
      <c r="J52" s="2">
        <f t="shared" si="0"/>
        <v>-10.807142857142855</v>
      </c>
      <c r="K52">
        <f>DAY(weather.tbl[[#This Row],[Date]])</f>
        <v>20</v>
      </c>
      <c r="L52">
        <f>MONTH(weather.tbl[[#This Row],[Date]])</f>
        <v>2</v>
      </c>
      <c r="M52">
        <f>YEAR(weather.tbl[[#This Row],[Date]])</f>
        <v>2014</v>
      </c>
    </row>
    <row r="53" spans="1:13" x14ac:dyDescent="0.25">
      <c r="A53" s="1">
        <v>41691</v>
      </c>
      <c r="B53" s="2">
        <v>-20.7</v>
      </c>
      <c r="C53" s="2">
        <v>-22.9</v>
      </c>
      <c r="D53" s="2">
        <v>-5</v>
      </c>
      <c r="E53" s="2">
        <v>-22.8</v>
      </c>
      <c r="F53" s="2">
        <v>-21.6</v>
      </c>
      <c r="G53" s="2">
        <v>-22.5</v>
      </c>
      <c r="H53" s="2">
        <f>AVERAGE(weather.tbl[[#This Row],[Estevan]:[Kipling]])</f>
        <v>-19.25</v>
      </c>
      <c r="I53" s="2">
        <f>_xlfn.STDEV.S(weather.tbl[[#This Row],[Estevan]:[Kipling]])</f>
        <v>7.0310027734313936</v>
      </c>
      <c r="J53" s="2">
        <f t="shared" si="0"/>
        <v>-11.202380952380951</v>
      </c>
      <c r="K53">
        <f>DAY(weather.tbl[[#This Row],[Date]])</f>
        <v>21</v>
      </c>
      <c r="L53">
        <f>MONTH(weather.tbl[[#This Row],[Date]])</f>
        <v>2</v>
      </c>
      <c r="M53">
        <f>YEAR(weather.tbl[[#This Row],[Date]])</f>
        <v>2014</v>
      </c>
    </row>
    <row r="54" spans="1:13" x14ac:dyDescent="0.25">
      <c r="A54" s="1">
        <v>41692</v>
      </c>
      <c r="B54" s="2">
        <v>-19.100000000000001</v>
      </c>
      <c r="C54" s="2">
        <v>-20.7</v>
      </c>
      <c r="D54" s="2">
        <v>-5</v>
      </c>
      <c r="E54" s="2">
        <v>-19.5</v>
      </c>
      <c r="F54" s="2">
        <v>-17.7</v>
      </c>
      <c r="G54" s="2">
        <v>-19.100000000000001</v>
      </c>
      <c r="H54" s="2">
        <f>AVERAGE(weather.tbl[[#This Row],[Estevan]:[Kipling]])</f>
        <v>-16.849999999999998</v>
      </c>
      <c r="I54" s="2">
        <f>_xlfn.STDEV.S(weather.tbl[[#This Row],[Estevan]:[Kipling]])</f>
        <v>5.8841312018003178</v>
      </c>
      <c r="J54" s="2">
        <f t="shared" si="0"/>
        <v>-11.316666666666665</v>
      </c>
      <c r="K54">
        <f>DAY(weather.tbl[[#This Row],[Date]])</f>
        <v>22</v>
      </c>
      <c r="L54">
        <f>MONTH(weather.tbl[[#This Row],[Date]])</f>
        <v>2</v>
      </c>
      <c r="M54">
        <f>YEAR(weather.tbl[[#This Row],[Date]])</f>
        <v>2014</v>
      </c>
    </row>
    <row r="55" spans="1:13" x14ac:dyDescent="0.25">
      <c r="A55" s="1">
        <v>41693</v>
      </c>
      <c r="B55" s="2">
        <v>-21.4</v>
      </c>
      <c r="C55" s="2">
        <v>-24.2</v>
      </c>
      <c r="D55" s="2">
        <v>-5</v>
      </c>
      <c r="E55" s="2">
        <v>-23.5</v>
      </c>
      <c r="F55" s="2">
        <v>-19.899999999999999</v>
      </c>
      <c r="G55" s="2">
        <v>-22.9</v>
      </c>
      <c r="H55" s="2">
        <f>AVERAGE(weather.tbl[[#This Row],[Estevan]:[Kipling]])</f>
        <v>-19.483333333333334</v>
      </c>
      <c r="I55" s="2">
        <f>_xlfn.STDEV.S(weather.tbl[[#This Row],[Estevan]:[Kipling]])</f>
        <v>7.2617950030737317</v>
      </c>
      <c r="J55" s="2">
        <f t="shared" si="0"/>
        <v>-12.197619047619046</v>
      </c>
      <c r="K55">
        <f>DAY(weather.tbl[[#This Row],[Date]])</f>
        <v>23</v>
      </c>
      <c r="L55">
        <f>MONTH(weather.tbl[[#This Row],[Date]])</f>
        <v>2</v>
      </c>
      <c r="M55">
        <f>YEAR(weather.tbl[[#This Row],[Date]])</f>
        <v>2014</v>
      </c>
    </row>
    <row r="56" spans="1:13" x14ac:dyDescent="0.25">
      <c r="A56" s="1">
        <v>41694</v>
      </c>
      <c r="B56" s="2">
        <v>-23.7</v>
      </c>
      <c r="C56" s="2">
        <v>-25.9</v>
      </c>
      <c r="D56" s="2">
        <v>-5</v>
      </c>
      <c r="E56" s="2">
        <v>-25</v>
      </c>
      <c r="F56" s="2">
        <v>-23.6</v>
      </c>
      <c r="G56" s="2">
        <v>-25.8</v>
      </c>
      <c r="H56" s="2">
        <f>AVERAGE(weather.tbl[[#This Row],[Estevan]:[Kipling]])</f>
        <v>-21.5</v>
      </c>
      <c r="I56" s="2">
        <f>_xlfn.STDEV.S(weather.tbl[[#This Row],[Estevan]:[Kipling]])</f>
        <v>8.1437092286009314</v>
      </c>
      <c r="J56" s="2">
        <f t="shared" si="0"/>
        <v>-14.795238095238094</v>
      </c>
      <c r="K56">
        <f>DAY(weather.tbl[[#This Row],[Date]])</f>
        <v>24</v>
      </c>
      <c r="L56">
        <f>MONTH(weather.tbl[[#This Row],[Date]])</f>
        <v>2</v>
      </c>
      <c r="M56">
        <f>YEAR(weather.tbl[[#This Row],[Date]])</f>
        <v>2014</v>
      </c>
    </row>
    <row r="57" spans="1:13" x14ac:dyDescent="0.25">
      <c r="A57" s="1">
        <v>41695</v>
      </c>
      <c r="B57" s="2">
        <v>-24.2</v>
      </c>
      <c r="C57" s="2">
        <v>-26.3</v>
      </c>
      <c r="D57" s="2">
        <v>-5</v>
      </c>
      <c r="E57" s="2">
        <v>-22.8</v>
      </c>
      <c r="F57" s="2">
        <v>-24.2</v>
      </c>
      <c r="G57" s="2">
        <v>-24.1</v>
      </c>
      <c r="H57" s="2">
        <f>AVERAGE(weather.tbl[[#This Row],[Estevan]:[Kipling]])</f>
        <v>-21.099999999999998</v>
      </c>
      <c r="I57" s="2">
        <f>_xlfn.STDEV.S(weather.tbl[[#This Row],[Estevan]:[Kipling]])</f>
        <v>7.9669316552861194</v>
      </c>
      <c r="J57" s="2">
        <f t="shared" si="0"/>
        <v>-16.897619047619045</v>
      </c>
      <c r="K57">
        <f>DAY(weather.tbl[[#This Row],[Date]])</f>
        <v>25</v>
      </c>
      <c r="L57">
        <f>MONTH(weather.tbl[[#This Row],[Date]])</f>
        <v>2</v>
      </c>
      <c r="M57">
        <f>YEAR(weather.tbl[[#This Row],[Date]])</f>
        <v>2014</v>
      </c>
    </row>
    <row r="58" spans="1:13" x14ac:dyDescent="0.25">
      <c r="A58" s="1">
        <v>41696</v>
      </c>
      <c r="B58" s="2">
        <v>-20</v>
      </c>
      <c r="C58" s="2">
        <v>-20.5</v>
      </c>
      <c r="D58" s="2">
        <v>-5</v>
      </c>
      <c r="E58" s="2">
        <v>-19.5</v>
      </c>
      <c r="F58" s="2">
        <v>-19.8</v>
      </c>
      <c r="G58" s="2">
        <v>-19.899999999999999</v>
      </c>
      <c r="H58" s="2">
        <f>AVERAGE(weather.tbl[[#This Row],[Estevan]:[Kipling]])</f>
        <v>-17.45</v>
      </c>
      <c r="I58" s="2">
        <f>_xlfn.STDEV.S(weather.tbl[[#This Row],[Estevan]:[Kipling]])</f>
        <v>6.1079456448138156</v>
      </c>
      <c r="J58" s="2">
        <f t="shared" si="0"/>
        <v>-18.511904761904759</v>
      </c>
      <c r="K58">
        <f>DAY(weather.tbl[[#This Row],[Date]])</f>
        <v>26</v>
      </c>
      <c r="L58">
        <f>MONTH(weather.tbl[[#This Row],[Date]])</f>
        <v>2</v>
      </c>
      <c r="M58">
        <f>YEAR(weather.tbl[[#This Row],[Date]])</f>
        <v>2014</v>
      </c>
    </row>
    <row r="59" spans="1:13" x14ac:dyDescent="0.25">
      <c r="A59" s="1">
        <v>41697</v>
      </c>
      <c r="B59" s="2">
        <v>-20.6</v>
      </c>
      <c r="C59" s="2">
        <v>-22.4</v>
      </c>
      <c r="D59" s="2">
        <v>-5</v>
      </c>
      <c r="E59" s="2">
        <v>-21</v>
      </c>
      <c r="F59" s="2">
        <v>-23.4</v>
      </c>
      <c r="G59" s="2">
        <v>-21.9</v>
      </c>
      <c r="H59" s="2">
        <f>AVERAGE(weather.tbl[[#This Row],[Estevan]:[Kipling]])</f>
        <v>-19.05</v>
      </c>
      <c r="I59" s="2">
        <f>_xlfn.STDEV.S(weather.tbl[[#This Row],[Estevan]:[Kipling]])</f>
        <v>6.9552138716217708</v>
      </c>
      <c r="J59" s="2">
        <f t="shared" si="0"/>
        <v>-19.240476190476191</v>
      </c>
      <c r="K59">
        <f>DAY(weather.tbl[[#This Row],[Date]])</f>
        <v>27</v>
      </c>
      <c r="L59">
        <f>MONTH(weather.tbl[[#This Row],[Date]])</f>
        <v>2</v>
      </c>
      <c r="M59">
        <f>YEAR(weather.tbl[[#This Row],[Date]])</f>
        <v>2014</v>
      </c>
    </row>
    <row r="60" spans="1:13" x14ac:dyDescent="0.25">
      <c r="A60" s="1">
        <v>41698</v>
      </c>
      <c r="B60" s="2">
        <v>-23.7</v>
      </c>
      <c r="C60" s="2">
        <v>-25.2</v>
      </c>
      <c r="D60" s="2">
        <v>-5</v>
      </c>
      <c r="E60" s="2">
        <v>-25.5</v>
      </c>
      <c r="F60" s="2">
        <v>-23.2</v>
      </c>
      <c r="G60" s="2">
        <v>-24.4</v>
      </c>
      <c r="H60" s="2">
        <f>AVERAGE(weather.tbl[[#This Row],[Estevan]:[Kipling]])</f>
        <v>-21.166666666666668</v>
      </c>
      <c r="I60" s="2">
        <f>_xlfn.STDEV.S(weather.tbl[[#This Row],[Estevan]:[Kipling]])</f>
        <v>7.9676010609634993</v>
      </c>
      <c r="J60" s="2">
        <f t="shared" si="0"/>
        <v>-19.514285714285712</v>
      </c>
      <c r="K60">
        <f>DAY(weather.tbl[[#This Row],[Date]])</f>
        <v>28</v>
      </c>
      <c r="L60">
        <f>MONTH(weather.tbl[[#This Row],[Date]])</f>
        <v>2</v>
      </c>
      <c r="M60">
        <f>YEAR(weather.tbl[[#This Row],[Date]])</f>
        <v>2014</v>
      </c>
    </row>
    <row r="61" spans="1:13" x14ac:dyDescent="0.25">
      <c r="A61" s="1">
        <v>41699</v>
      </c>
      <c r="B61" s="2">
        <v>-31.2</v>
      </c>
      <c r="C61" s="2">
        <v>-33.200000000000003</v>
      </c>
      <c r="D61" s="2">
        <v>-32.5</v>
      </c>
      <c r="E61" s="2">
        <v>-32.299999999999997</v>
      </c>
      <c r="F61" s="2">
        <v>-30.5</v>
      </c>
      <c r="G61" s="2">
        <v>-32.5</v>
      </c>
      <c r="H61" s="2">
        <f>AVERAGE(weather.tbl[[#This Row],[Estevan]:[Kipling]])</f>
        <v>-32.033333333333331</v>
      </c>
      <c r="I61" s="2">
        <f>_xlfn.STDEV.S(weather.tbl[[#This Row],[Estevan]:[Kipling]])</f>
        <v>0.9912954487269009</v>
      </c>
      <c r="J61" s="2">
        <f t="shared" si="0"/>
        <v>-21.683333333333334</v>
      </c>
      <c r="K61">
        <f>DAY(weather.tbl[[#This Row],[Date]])</f>
        <v>1</v>
      </c>
      <c r="L61">
        <f>MONTH(weather.tbl[[#This Row],[Date]])</f>
        <v>3</v>
      </c>
      <c r="M61">
        <f>YEAR(weather.tbl[[#This Row],[Date]])</f>
        <v>2014</v>
      </c>
    </row>
    <row r="62" spans="1:13" x14ac:dyDescent="0.25">
      <c r="A62" s="1">
        <v>41700</v>
      </c>
      <c r="B62" s="2">
        <v>-26.4</v>
      </c>
      <c r="C62" s="2">
        <v>-28.3</v>
      </c>
      <c r="D62" s="2">
        <v>-26.8</v>
      </c>
      <c r="E62" s="2">
        <v>-27.5</v>
      </c>
      <c r="F62" s="2">
        <v>-25.4</v>
      </c>
      <c r="G62" s="2">
        <v>-27.3</v>
      </c>
      <c r="H62" s="2">
        <f>AVERAGE(weather.tbl[[#This Row],[Estevan]:[Kipling]])</f>
        <v>-26.950000000000003</v>
      </c>
      <c r="I62" s="2">
        <f>_xlfn.STDEV.S(weather.tbl[[#This Row],[Estevan]:[Kipling]])</f>
        <v>0.99749686716300101</v>
      </c>
      <c r="J62" s="2">
        <f t="shared" si="0"/>
        <v>-22.75</v>
      </c>
      <c r="K62">
        <f>DAY(weather.tbl[[#This Row],[Date]])</f>
        <v>2</v>
      </c>
      <c r="L62">
        <f>MONTH(weather.tbl[[#This Row],[Date]])</f>
        <v>3</v>
      </c>
      <c r="M62">
        <f>YEAR(weather.tbl[[#This Row],[Date]])</f>
        <v>2014</v>
      </c>
    </row>
    <row r="63" spans="1:13" x14ac:dyDescent="0.25">
      <c r="A63" s="1">
        <v>41701</v>
      </c>
      <c r="B63" s="2">
        <v>-20.7</v>
      </c>
      <c r="C63" s="2">
        <v>-22.1</v>
      </c>
      <c r="D63" s="2">
        <v>-22.3</v>
      </c>
      <c r="E63" s="2">
        <v>-20.5</v>
      </c>
      <c r="F63" s="2">
        <v>-22.9</v>
      </c>
      <c r="G63" s="2">
        <v>-21.8</v>
      </c>
      <c r="H63" s="2">
        <f>AVERAGE(weather.tbl[[#This Row],[Estevan]:[Kipling]])</f>
        <v>-21.716666666666669</v>
      </c>
      <c r="I63" s="2">
        <f>_xlfn.STDEV.S(weather.tbl[[#This Row],[Estevan]:[Kipling]])</f>
        <v>0.93897106806688502</v>
      </c>
      <c r="J63" s="2">
        <f t="shared" si="0"/>
        <v>-22.780952380952382</v>
      </c>
      <c r="K63">
        <f>DAY(weather.tbl[[#This Row],[Date]])</f>
        <v>3</v>
      </c>
      <c r="L63">
        <f>MONTH(weather.tbl[[#This Row],[Date]])</f>
        <v>3</v>
      </c>
      <c r="M63">
        <f>YEAR(weather.tbl[[#This Row],[Date]])</f>
        <v>2014</v>
      </c>
    </row>
    <row r="64" spans="1:13" x14ac:dyDescent="0.25">
      <c r="A64" s="1">
        <v>41702</v>
      </c>
      <c r="B64" s="2">
        <v>-16.399999999999999</v>
      </c>
      <c r="C64" s="2">
        <v>-16.5</v>
      </c>
      <c r="D64" s="2">
        <v>-20.8</v>
      </c>
      <c r="E64" s="2">
        <v>-15.8</v>
      </c>
      <c r="F64" s="2">
        <v>-20.8</v>
      </c>
      <c r="G64" s="2">
        <v>-19.399999999999999</v>
      </c>
      <c r="H64" s="2">
        <f>AVERAGE(weather.tbl[[#This Row],[Estevan]:[Kipling]])</f>
        <v>-18.283333333333331</v>
      </c>
      <c r="I64" s="2">
        <f>_xlfn.STDEV.S(weather.tbl[[#This Row],[Estevan]:[Kipling]])</f>
        <v>2.3155272977589294</v>
      </c>
      <c r="J64" s="2">
        <f t="shared" si="0"/>
        <v>-22.37857142857143</v>
      </c>
      <c r="K64">
        <f>DAY(weather.tbl[[#This Row],[Date]])</f>
        <v>4</v>
      </c>
      <c r="L64">
        <f>MONTH(weather.tbl[[#This Row],[Date]])</f>
        <v>3</v>
      </c>
      <c r="M64">
        <f>YEAR(weather.tbl[[#This Row],[Date]])</f>
        <v>2014</v>
      </c>
    </row>
    <row r="65" spans="1:13" x14ac:dyDescent="0.25">
      <c r="A65" s="1">
        <v>41703</v>
      </c>
      <c r="B65" s="2">
        <v>-8.9</v>
      </c>
      <c r="C65" s="2">
        <v>-10.8</v>
      </c>
      <c r="D65" s="2">
        <v>-10.3</v>
      </c>
      <c r="E65" s="2">
        <v>-10.5</v>
      </c>
      <c r="F65" s="2">
        <v>-10</v>
      </c>
      <c r="G65" s="2">
        <v>-11.9</v>
      </c>
      <c r="H65" s="2">
        <f>AVERAGE(weather.tbl[[#This Row],[Estevan]:[Kipling]])</f>
        <v>-10.4</v>
      </c>
      <c r="I65" s="2">
        <f>_xlfn.STDEV.S(weather.tbl[[#This Row],[Estevan]:[Kipling]])</f>
        <v>0.98386991009990743</v>
      </c>
      <c r="J65" s="2">
        <f t="shared" si="0"/>
        <v>-21.37142857142857</v>
      </c>
      <c r="K65">
        <f>DAY(weather.tbl[[#This Row],[Date]])</f>
        <v>5</v>
      </c>
      <c r="L65">
        <f>MONTH(weather.tbl[[#This Row],[Date]])</f>
        <v>3</v>
      </c>
      <c r="M65">
        <f>YEAR(weather.tbl[[#This Row],[Date]])</f>
        <v>2014</v>
      </c>
    </row>
    <row r="66" spans="1:13" x14ac:dyDescent="0.25">
      <c r="A66" s="1">
        <v>41704</v>
      </c>
      <c r="B66" s="2">
        <v>-8.8000000000000007</v>
      </c>
      <c r="C66" s="2">
        <v>-14.6</v>
      </c>
      <c r="D66" s="2">
        <v>-9.5</v>
      </c>
      <c r="E66" s="2">
        <v>-10.3</v>
      </c>
      <c r="F66" s="2">
        <v>-8.4</v>
      </c>
      <c r="G66" s="2">
        <v>-11</v>
      </c>
      <c r="H66" s="2">
        <f>AVERAGE(weather.tbl[[#This Row],[Estevan]:[Kipling]])</f>
        <v>-10.433333333333334</v>
      </c>
      <c r="I66" s="2">
        <f>_xlfn.STDEV.S(weather.tbl[[#This Row],[Estevan]:[Kipling]])</f>
        <v>2.2527020812052951</v>
      </c>
      <c r="J66" s="2">
        <f t="shared" si="0"/>
        <v>-20.140476190476193</v>
      </c>
      <c r="K66">
        <f>DAY(weather.tbl[[#This Row],[Date]])</f>
        <v>6</v>
      </c>
      <c r="L66">
        <f>MONTH(weather.tbl[[#This Row],[Date]])</f>
        <v>3</v>
      </c>
      <c r="M66">
        <f>YEAR(weather.tbl[[#This Row],[Date]])</f>
        <v>2014</v>
      </c>
    </row>
    <row r="67" spans="1:13" x14ac:dyDescent="0.25">
      <c r="A67" s="1">
        <v>41705</v>
      </c>
      <c r="B67" s="2">
        <v>-18.5</v>
      </c>
      <c r="C67" s="2">
        <v>-21.7</v>
      </c>
      <c r="D67" s="2">
        <v>-18</v>
      </c>
      <c r="E67" s="2">
        <v>-18</v>
      </c>
      <c r="F67" s="2">
        <v>-17.100000000000001</v>
      </c>
      <c r="G67" s="2">
        <v>-17.5</v>
      </c>
      <c r="H67" s="2">
        <f>AVERAGE(weather.tbl[[#This Row],[Estevan]:[Kipling]])</f>
        <v>-18.466666666666669</v>
      </c>
      <c r="I67" s="2">
        <f>_xlfn.STDEV.S(weather.tbl[[#This Row],[Estevan]:[Kipling]])</f>
        <v>1.6548917386544248</v>
      </c>
      <c r="J67" s="2">
        <f t="shared" si="0"/>
        <v>-19.75476190476191</v>
      </c>
      <c r="K67">
        <f>DAY(weather.tbl[[#This Row],[Date]])</f>
        <v>7</v>
      </c>
      <c r="L67">
        <f>MONTH(weather.tbl[[#This Row],[Date]])</f>
        <v>3</v>
      </c>
      <c r="M67">
        <f>YEAR(weather.tbl[[#This Row],[Date]])</f>
        <v>2014</v>
      </c>
    </row>
    <row r="68" spans="1:13" x14ac:dyDescent="0.25">
      <c r="A68" s="1">
        <v>41706</v>
      </c>
      <c r="B68" s="2">
        <v>-4</v>
      </c>
      <c r="C68" s="2">
        <v>-4.8</v>
      </c>
      <c r="D68" s="2">
        <v>-6.5</v>
      </c>
      <c r="E68" s="2">
        <v>-5.8</v>
      </c>
      <c r="F68" s="2">
        <v>-10</v>
      </c>
      <c r="G68" s="2">
        <v>-9.6</v>
      </c>
      <c r="H68" s="2">
        <f>AVERAGE(weather.tbl[[#This Row],[Estevan]:[Kipling]])</f>
        <v>-6.7833333333333341</v>
      </c>
      <c r="I68" s="2">
        <f>_xlfn.STDEV.S(weather.tbl[[#This Row],[Estevan]:[Kipling]])</f>
        <v>2.4903145718295643</v>
      </c>
      <c r="J68" s="2">
        <f t="shared" si="0"/>
        <v>-16.147619047619049</v>
      </c>
      <c r="K68">
        <f>DAY(weather.tbl[[#This Row],[Date]])</f>
        <v>8</v>
      </c>
      <c r="L68">
        <f>MONTH(weather.tbl[[#This Row],[Date]])</f>
        <v>3</v>
      </c>
      <c r="M68">
        <f>YEAR(weather.tbl[[#This Row],[Date]])</f>
        <v>2014</v>
      </c>
    </row>
    <row r="69" spans="1:13" x14ac:dyDescent="0.25">
      <c r="A69" s="1">
        <v>41707</v>
      </c>
      <c r="B69" s="2">
        <v>3.4</v>
      </c>
      <c r="C69" s="2">
        <v>2.2000000000000002</v>
      </c>
      <c r="D69" s="2">
        <v>3.5</v>
      </c>
      <c r="E69" s="2">
        <v>2.5</v>
      </c>
      <c r="F69" s="2">
        <v>0.2</v>
      </c>
      <c r="G69" s="2">
        <v>0.9</v>
      </c>
      <c r="H69" s="2">
        <f>AVERAGE(weather.tbl[[#This Row],[Estevan]:[Kipling]])</f>
        <v>2.1166666666666667</v>
      </c>
      <c r="I69" s="2">
        <f>_xlfn.STDEV.S(weather.tbl[[#This Row],[Estevan]:[Kipling]])</f>
        <v>1.3317907743585955</v>
      </c>
      <c r="J69" s="2">
        <f t="shared" si="0"/>
        <v>-11.995238095238095</v>
      </c>
      <c r="K69">
        <f>DAY(weather.tbl[[#This Row],[Date]])</f>
        <v>9</v>
      </c>
      <c r="L69">
        <f>MONTH(weather.tbl[[#This Row],[Date]])</f>
        <v>3</v>
      </c>
      <c r="M69">
        <f>YEAR(weather.tbl[[#This Row],[Date]])</f>
        <v>2014</v>
      </c>
    </row>
    <row r="70" spans="1:13" x14ac:dyDescent="0.25">
      <c r="A70" s="1">
        <v>41708</v>
      </c>
      <c r="B70" s="2">
        <v>0.4</v>
      </c>
      <c r="C70" s="2">
        <v>-0.9</v>
      </c>
      <c r="D70" s="2">
        <v>0.8</v>
      </c>
      <c r="E70" s="2">
        <v>2.2999999999999998</v>
      </c>
      <c r="F70" s="2">
        <v>-0.4</v>
      </c>
      <c r="G70" s="2">
        <v>0.4</v>
      </c>
      <c r="H70" s="2">
        <f>AVERAGE(weather.tbl[[#This Row],[Estevan]:[Kipling]])</f>
        <v>0.43333333333333329</v>
      </c>
      <c r="I70" s="2">
        <f>_xlfn.STDEV.S(weather.tbl[[#This Row],[Estevan]:[Kipling]])</f>
        <v>1.103932365077982</v>
      </c>
      <c r="J70" s="2">
        <f t="shared" si="0"/>
        <v>-8.8309523809523807</v>
      </c>
      <c r="K70">
        <f>DAY(weather.tbl[[#This Row],[Date]])</f>
        <v>10</v>
      </c>
      <c r="L70">
        <f>MONTH(weather.tbl[[#This Row],[Date]])</f>
        <v>3</v>
      </c>
      <c r="M70">
        <f>YEAR(weather.tbl[[#This Row],[Date]])</f>
        <v>2014</v>
      </c>
    </row>
    <row r="71" spans="1:13" x14ac:dyDescent="0.25">
      <c r="A71" s="1">
        <v>41709</v>
      </c>
      <c r="B71" s="2">
        <v>-2.8</v>
      </c>
      <c r="C71" s="2">
        <v>-4.5</v>
      </c>
      <c r="D71" s="2">
        <v>-4.3</v>
      </c>
      <c r="E71" s="2">
        <v>-2.5</v>
      </c>
      <c r="F71" s="2">
        <v>-5.2</v>
      </c>
      <c r="G71" s="2">
        <v>-4.3</v>
      </c>
      <c r="H71" s="2">
        <f>AVERAGE(weather.tbl[[#This Row],[Estevan]:[Kipling]])</f>
        <v>-3.9333333333333336</v>
      </c>
      <c r="I71" s="2">
        <f>_xlfn.STDEV.S(weather.tbl[[#This Row],[Estevan]:[Kipling]])</f>
        <v>1.0519822558706331</v>
      </c>
      <c r="J71" s="2">
        <f t="shared" si="0"/>
        <v>-6.7809523809523808</v>
      </c>
      <c r="K71">
        <f>DAY(weather.tbl[[#This Row],[Date]])</f>
        <v>11</v>
      </c>
      <c r="L71">
        <f>MONTH(weather.tbl[[#This Row],[Date]])</f>
        <v>3</v>
      </c>
      <c r="M71">
        <f>YEAR(weather.tbl[[#This Row],[Date]])</f>
        <v>2014</v>
      </c>
    </row>
    <row r="72" spans="1:13" x14ac:dyDescent="0.25">
      <c r="A72" s="1">
        <v>41710</v>
      </c>
      <c r="B72" s="2">
        <v>-0.3</v>
      </c>
      <c r="C72" s="2">
        <v>-3</v>
      </c>
      <c r="D72" s="2">
        <v>-3.5</v>
      </c>
      <c r="E72" s="2">
        <v>-1.3</v>
      </c>
      <c r="F72" s="2">
        <v>-3</v>
      </c>
      <c r="G72" s="2">
        <v>-4.7</v>
      </c>
      <c r="H72" s="2">
        <f>AVERAGE(weather.tbl[[#This Row],[Estevan]:[Kipling]])</f>
        <v>-2.6333333333333333</v>
      </c>
      <c r="I72" s="2">
        <f>_xlfn.STDEV.S(weather.tbl[[#This Row],[Estevan]:[Kipling]])</f>
        <v>1.5819818793736757</v>
      </c>
      <c r="J72" s="2">
        <f t="shared" si="0"/>
        <v>-5.6714285714285726</v>
      </c>
      <c r="K72">
        <f>DAY(weather.tbl[[#This Row],[Date]])</f>
        <v>12</v>
      </c>
      <c r="L72">
        <f>MONTH(weather.tbl[[#This Row],[Date]])</f>
        <v>3</v>
      </c>
      <c r="M72">
        <f>YEAR(weather.tbl[[#This Row],[Date]])</f>
        <v>2014</v>
      </c>
    </row>
    <row r="73" spans="1:13" x14ac:dyDescent="0.25">
      <c r="A73" s="1">
        <v>41711</v>
      </c>
      <c r="B73" s="2">
        <v>2.6</v>
      </c>
      <c r="C73" s="2">
        <v>2</v>
      </c>
      <c r="D73" s="2">
        <v>1</v>
      </c>
      <c r="E73" s="2">
        <v>1.5</v>
      </c>
      <c r="F73" s="2">
        <v>1.7</v>
      </c>
      <c r="G73" s="2">
        <v>0.8</v>
      </c>
      <c r="H73" s="2">
        <f>AVERAGE(weather.tbl[[#This Row],[Estevan]:[Kipling]])</f>
        <v>1.5999999999999999</v>
      </c>
      <c r="I73" s="2">
        <f>_xlfn.STDEV.S(weather.tbl[[#This Row],[Estevan]:[Kipling]])</f>
        <v>0.6603029607687676</v>
      </c>
      <c r="J73" s="2">
        <f t="shared" si="0"/>
        <v>-3.9523809523809526</v>
      </c>
      <c r="K73">
        <f>DAY(weather.tbl[[#This Row],[Date]])</f>
        <v>13</v>
      </c>
      <c r="L73">
        <f>MONTH(weather.tbl[[#This Row],[Date]])</f>
        <v>3</v>
      </c>
      <c r="M73">
        <f>YEAR(weather.tbl[[#This Row],[Date]])</f>
        <v>2014</v>
      </c>
    </row>
    <row r="74" spans="1:13" x14ac:dyDescent="0.25">
      <c r="A74" s="1">
        <v>41712</v>
      </c>
      <c r="B74" s="2">
        <v>-2.6</v>
      </c>
      <c r="C74" s="2">
        <v>-2.5</v>
      </c>
      <c r="D74" s="2">
        <v>-5.3</v>
      </c>
      <c r="E74" s="2">
        <v>-0.8</v>
      </c>
      <c r="F74" s="2">
        <v>-5</v>
      </c>
      <c r="G74" s="2">
        <v>-7.7</v>
      </c>
      <c r="H74" s="2">
        <f>AVERAGE(weather.tbl[[#This Row],[Estevan]:[Kipling]])</f>
        <v>-3.9833333333333329</v>
      </c>
      <c r="I74" s="2">
        <f>_xlfn.STDEV.S(weather.tbl[[#This Row],[Estevan]:[Kipling]])</f>
        <v>2.4830760493119559</v>
      </c>
      <c r="J74" s="2">
        <f t="shared" ref="J74:J137" si="1">AVERAGE(H68:H74)</f>
        <v>-1.8833333333333333</v>
      </c>
      <c r="K74">
        <f>DAY(weather.tbl[[#This Row],[Date]])</f>
        <v>14</v>
      </c>
      <c r="L74">
        <f>MONTH(weather.tbl[[#This Row],[Date]])</f>
        <v>3</v>
      </c>
      <c r="M74">
        <f>YEAR(weather.tbl[[#This Row],[Date]])</f>
        <v>2014</v>
      </c>
    </row>
    <row r="75" spans="1:13" x14ac:dyDescent="0.25">
      <c r="A75" s="1">
        <v>41713</v>
      </c>
      <c r="B75" s="2">
        <v>-9.1999999999999993</v>
      </c>
      <c r="C75" s="2">
        <v>-8.6999999999999993</v>
      </c>
      <c r="D75" s="2">
        <v>-10.8</v>
      </c>
      <c r="E75" s="2">
        <v>-8.5</v>
      </c>
      <c r="F75" s="2">
        <v>-14.3</v>
      </c>
      <c r="G75" s="2">
        <v>-9.9</v>
      </c>
      <c r="H75" s="2">
        <f>AVERAGE(weather.tbl[[#This Row],[Estevan]:[Kipling]])</f>
        <v>-10.233333333333333</v>
      </c>
      <c r="I75" s="2">
        <f>_xlfn.STDEV.S(weather.tbl[[#This Row],[Estevan]:[Kipling]])</f>
        <v>2.1630225765503841</v>
      </c>
      <c r="J75" s="2">
        <f t="shared" si="1"/>
        <v>-2.3761904761904762</v>
      </c>
      <c r="K75">
        <f>DAY(weather.tbl[[#This Row],[Date]])</f>
        <v>15</v>
      </c>
      <c r="L75">
        <f>MONTH(weather.tbl[[#This Row],[Date]])</f>
        <v>3</v>
      </c>
      <c r="M75">
        <f>YEAR(weather.tbl[[#This Row],[Date]])</f>
        <v>2014</v>
      </c>
    </row>
    <row r="76" spans="1:13" x14ac:dyDescent="0.25">
      <c r="A76" s="1">
        <v>41714</v>
      </c>
      <c r="B76" s="2">
        <v>2.8</v>
      </c>
      <c r="C76" s="2">
        <v>1.9</v>
      </c>
      <c r="D76" s="2">
        <v>-1.5</v>
      </c>
      <c r="E76" s="2">
        <v>-2.2999999999999998</v>
      </c>
      <c r="F76" s="2">
        <v>-3.3</v>
      </c>
      <c r="G76" s="2">
        <v>-3.5</v>
      </c>
      <c r="H76" s="2">
        <f>AVERAGE(weather.tbl[[#This Row],[Estevan]:[Kipling]])</f>
        <v>-0.98333333333333339</v>
      </c>
      <c r="I76" s="2">
        <f>_xlfn.STDEV.S(weather.tbl[[#This Row],[Estevan]:[Kipling]])</f>
        <v>2.6954900605764931</v>
      </c>
      <c r="J76" s="2">
        <f t="shared" si="1"/>
        <v>-2.8190476190476192</v>
      </c>
      <c r="K76">
        <f>DAY(weather.tbl[[#This Row],[Date]])</f>
        <v>16</v>
      </c>
      <c r="L76">
        <f>MONTH(weather.tbl[[#This Row],[Date]])</f>
        <v>3</v>
      </c>
      <c r="M76">
        <f>YEAR(weather.tbl[[#This Row],[Date]])</f>
        <v>2014</v>
      </c>
    </row>
    <row r="77" spans="1:13" x14ac:dyDescent="0.25">
      <c r="A77" s="1">
        <v>41715</v>
      </c>
      <c r="B77" s="2">
        <v>2.9</v>
      </c>
      <c r="C77" s="2">
        <v>0.3</v>
      </c>
      <c r="D77" s="2">
        <v>1.8</v>
      </c>
      <c r="E77" s="2">
        <v>0.8</v>
      </c>
      <c r="F77" s="2">
        <v>-2</v>
      </c>
      <c r="G77" s="2">
        <v>-0.5</v>
      </c>
      <c r="H77" s="2">
        <f>AVERAGE(weather.tbl[[#This Row],[Estevan]:[Kipling]])</f>
        <v>0.54999999999999993</v>
      </c>
      <c r="I77" s="2">
        <f>_xlfn.STDEV.S(weather.tbl[[#This Row],[Estevan]:[Kipling]])</f>
        <v>1.7213366899011944</v>
      </c>
      <c r="J77" s="2">
        <f t="shared" si="1"/>
        <v>-2.8023809523809518</v>
      </c>
      <c r="K77">
        <f>DAY(weather.tbl[[#This Row],[Date]])</f>
        <v>17</v>
      </c>
      <c r="L77">
        <f>MONTH(weather.tbl[[#This Row],[Date]])</f>
        <v>3</v>
      </c>
      <c r="M77">
        <f>YEAR(weather.tbl[[#This Row],[Date]])</f>
        <v>2014</v>
      </c>
    </row>
    <row r="78" spans="1:13" x14ac:dyDescent="0.25">
      <c r="A78" s="1">
        <v>41716</v>
      </c>
      <c r="B78" s="2">
        <v>-1</v>
      </c>
      <c r="C78" s="2">
        <v>-1.3</v>
      </c>
      <c r="D78" s="2">
        <v>-0.5</v>
      </c>
      <c r="E78" s="2">
        <v>-0.8</v>
      </c>
      <c r="F78" s="2">
        <v>-1.3</v>
      </c>
      <c r="G78" s="2">
        <v>-1.6</v>
      </c>
      <c r="H78" s="2">
        <f>AVERAGE(weather.tbl[[#This Row],[Estevan]:[Kipling]])</f>
        <v>-1.0833333333333333</v>
      </c>
      <c r="I78" s="2">
        <f>_xlfn.STDEV.S(weather.tbl[[#This Row],[Estevan]:[Kipling]])</f>
        <v>0.39707262140150984</v>
      </c>
      <c r="J78" s="2">
        <f t="shared" si="1"/>
        <v>-2.3952380952380952</v>
      </c>
      <c r="K78">
        <f>DAY(weather.tbl[[#This Row],[Date]])</f>
        <v>18</v>
      </c>
      <c r="L78">
        <f>MONTH(weather.tbl[[#This Row],[Date]])</f>
        <v>3</v>
      </c>
      <c r="M78">
        <f>YEAR(weather.tbl[[#This Row],[Date]])</f>
        <v>2014</v>
      </c>
    </row>
    <row r="79" spans="1:13" x14ac:dyDescent="0.25">
      <c r="A79" s="1">
        <v>41717</v>
      </c>
      <c r="B79" s="2">
        <v>1</v>
      </c>
      <c r="C79" s="2">
        <v>0.4</v>
      </c>
      <c r="D79" s="2">
        <v>1.8</v>
      </c>
      <c r="E79" s="2">
        <v>1</v>
      </c>
      <c r="F79" s="2">
        <v>-1.5</v>
      </c>
      <c r="G79" s="2">
        <v>-2.2000000000000002</v>
      </c>
      <c r="H79" s="2">
        <f>AVERAGE(weather.tbl[[#This Row],[Estevan]:[Kipling]])</f>
        <v>8.3333333333333329E-2</v>
      </c>
      <c r="I79" s="2">
        <f>_xlfn.STDEV.S(weather.tbl[[#This Row],[Estevan]:[Kipling]])</f>
        <v>1.5778677595624633</v>
      </c>
      <c r="J79" s="2">
        <f t="shared" si="1"/>
        <v>-2.0071428571428567</v>
      </c>
      <c r="K79">
        <f>DAY(weather.tbl[[#This Row],[Date]])</f>
        <v>19</v>
      </c>
      <c r="L79">
        <f>MONTH(weather.tbl[[#This Row],[Date]])</f>
        <v>3</v>
      </c>
      <c r="M79">
        <f>YEAR(weather.tbl[[#This Row],[Date]])</f>
        <v>2014</v>
      </c>
    </row>
    <row r="80" spans="1:13" x14ac:dyDescent="0.25">
      <c r="A80" s="1">
        <v>41718</v>
      </c>
      <c r="B80" s="2">
        <v>1.8</v>
      </c>
      <c r="C80" s="2">
        <v>0.8</v>
      </c>
      <c r="D80" s="2">
        <v>-1.5</v>
      </c>
      <c r="E80" s="2">
        <v>0</v>
      </c>
      <c r="F80" s="2">
        <v>-2</v>
      </c>
      <c r="G80" s="2">
        <v>-2.7</v>
      </c>
      <c r="H80" s="2">
        <f>AVERAGE(weather.tbl[[#This Row],[Estevan]:[Kipling]])</f>
        <v>-0.6</v>
      </c>
      <c r="I80" s="2">
        <f>_xlfn.STDEV.S(weather.tbl[[#This Row],[Estevan]:[Kipling]])</f>
        <v>1.7469974241537967</v>
      </c>
      <c r="J80" s="2">
        <f t="shared" si="1"/>
        <v>-2.3214285714285716</v>
      </c>
      <c r="K80">
        <f>DAY(weather.tbl[[#This Row],[Date]])</f>
        <v>20</v>
      </c>
      <c r="L80">
        <f>MONTH(weather.tbl[[#This Row],[Date]])</f>
        <v>3</v>
      </c>
      <c r="M80">
        <f>YEAR(weather.tbl[[#This Row],[Date]])</f>
        <v>2014</v>
      </c>
    </row>
    <row r="81" spans="1:13" x14ac:dyDescent="0.25">
      <c r="A81" s="1">
        <v>41719</v>
      </c>
      <c r="B81" s="2">
        <v>-8</v>
      </c>
      <c r="C81" s="2">
        <v>-9.6</v>
      </c>
      <c r="D81" s="2">
        <v>-11.5</v>
      </c>
      <c r="E81" s="2">
        <v>-12</v>
      </c>
      <c r="F81" s="2">
        <v>-8.4</v>
      </c>
      <c r="G81" s="2">
        <v>-15.3</v>
      </c>
      <c r="H81" s="2">
        <f>AVERAGE(weather.tbl[[#This Row],[Estevan]:[Kipling]])</f>
        <v>-10.799999999999999</v>
      </c>
      <c r="I81" s="2">
        <f>_xlfn.STDEV.S(weather.tbl[[#This Row],[Estevan]:[Kipling]])</f>
        <v>2.7283694764455899</v>
      </c>
      <c r="J81" s="2">
        <f t="shared" si="1"/>
        <v>-3.2952380952380946</v>
      </c>
      <c r="K81">
        <f>DAY(weather.tbl[[#This Row],[Date]])</f>
        <v>21</v>
      </c>
      <c r="L81">
        <f>MONTH(weather.tbl[[#This Row],[Date]])</f>
        <v>3</v>
      </c>
      <c r="M81">
        <f>YEAR(weather.tbl[[#This Row],[Date]])</f>
        <v>2014</v>
      </c>
    </row>
    <row r="82" spans="1:13" x14ac:dyDescent="0.25">
      <c r="A82" s="1">
        <v>41720</v>
      </c>
      <c r="B82" s="2">
        <v>-12.6</v>
      </c>
      <c r="C82" s="2">
        <v>-13.2</v>
      </c>
      <c r="D82" s="2">
        <v>-15</v>
      </c>
      <c r="E82" s="2">
        <v>-13.3</v>
      </c>
      <c r="F82" s="2">
        <v>-15.4</v>
      </c>
      <c r="G82" s="2">
        <v>-18.2</v>
      </c>
      <c r="H82" s="2">
        <f>AVERAGE(weather.tbl[[#This Row],[Estevan]:[Kipling]])</f>
        <v>-14.616666666666667</v>
      </c>
      <c r="I82" s="2">
        <f>_xlfn.STDEV.S(weather.tbl[[#This Row],[Estevan]:[Kipling]])</f>
        <v>2.0692188542217123</v>
      </c>
      <c r="J82" s="2">
        <f t="shared" si="1"/>
        <v>-3.9214285714285713</v>
      </c>
      <c r="K82">
        <f>DAY(weather.tbl[[#This Row],[Date]])</f>
        <v>22</v>
      </c>
      <c r="L82">
        <f>MONTH(weather.tbl[[#This Row],[Date]])</f>
        <v>3</v>
      </c>
      <c r="M82">
        <f>YEAR(weather.tbl[[#This Row],[Date]])</f>
        <v>2014</v>
      </c>
    </row>
    <row r="83" spans="1:13" x14ac:dyDescent="0.25">
      <c r="A83" s="1">
        <v>41721</v>
      </c>
      <c r="B83" s="2">
        <v>-9.1999999999999993</v>
      </c>
      <c r="C83" s="2">
        <v>-11</v>
      </c>
      <c r="D83" s="2">
        <v>-12.8</v>
      </c>
      <c r="E83" s="2">
        <v>-12</v>
      </c>
      <c r="F83" s="2">
        <v>-13.3</v>
      </c>
      <c r="G83" s="2">
        <v>-16.5</v>
      </c>
      <c r="H83" s="2">
        <f>AVERAGE(weather.tbl[[#This Row],[Estevan]:[Kipling]])</f>
        <v>-12.466666666666667</v>
      </c>
      <c r="I83" s="2">
        <f>_xlfn.STDEV.S(weather.tbl[[#This Row],[Estevan]:[Kipling]])</f>
        <v>2.4541121952076006</v>
      </c>
      <c r="J83" s="2">
        <f t="shared" si="1"/>
        <v>-5.5619047619047626</v>
      </c>
      <c r="K83">
        <f>DAY(weather.tbl[[#This Row],[Date]])</f>
        <v>23</v>
      </c>
      <c r="L83">
        <f>MONTH(weather.tbl[[#This Row],[Date]])</f>
        <v>3</v>
      </c>
      <c r="M83">
        <f>YEAR(weather.tbl[[#This Row],[Date]])</f>
        <v>2014</v>
      </c>
    </row>
    <row r="84" spans="1:13" x14ac:dyDescent="0.25">
      <c r="A84" s="1">
        <v>41722</v>
      </c>
      <c r="B84" s="2">
        <v>-9.3000000000000007</v>
      </c>
      <c r="C84" s="2">
        <v>-11.3</v>
      </c>
      <c r="D84" s="2">
        <v>-11.5</v>
      </c>
      <c r="E84" s="2">
        <v>-10.3</v>
      </c>
      <c r="F84" s="2">
        <v>-11.5</v>
      </c>
      <c r="G84" s="2">
        <v>-15.2</v>
      </c>
      <c r="H84" s="2">
        <f>AVERAGE(weather.tbl[[#This Row],[Estevan]:[Kipling]])</f>
        <v>-11.516666666666667</v>
      </c>
      <c r="I84" s="2">
        <f>_xlfn.STDEV.S(weather.tbl[[#This Row],[Estevan]:[Kipling]])</f>
        <v>2.0004166232729172</v>
      </c>
      <c r="J84" s="2">
        <f t="shared" si="1"/>
        <v>-7.2857142857142856</v>
      </c>
      <c r="K84">
        <f>DAY(weather.tbl[[#This Row],[Date]])</f>
        <v>24</v>
      </c>
      <c r="L84">
        <f>MONTH(weather.tbl[[#This Row],[Date]])</f>
        <v>3</v>
      </c>
      <c r="M84">
        <f>YEAR(weather.tbl[[#This Row],[Date]])</f>
        <v>2014</v>
      </c>
    </row>
    <row r="85" spans="1:13" x14ac:dyDescent="0.25">
      <c r="A85" s="1">
        <v>41723</v>
      </c>
      <c r="B85" s="2">
        <v>-9.3000000000000007</v>
      </c>
      <c r="C85" s="2">
        <v>-9.8000000000000007</v>
      </c>
      <c r="D85" s="2">
        <v>-11.3</v>
      </c>
      <c r="E85" s="2">
        <v>-9</v>
      </c>
      <c r="F85" s="2">
        <v>-11.9</v>
      </c>
      <c r="G85" s="2">
        <v>-14.9</v>
      </c>
      <c r="H85" s="2">
        <f>AVERAGE(weather.tbl[[#This Row],[Estevan]:[Kipling]])</f>
        <v>-11.033333333333333</v>
      </c>
      <c r="I85" s="2">
        <f>_xlfn.STDEV.S(weather.tbl[[#This Row],[Estevan]:[Kipling]])</f>
        <v>2.2105806175452312</v>
      </c>
      <c r="J85" s="2">
        <f t="shared" si="1"/>
        <v>-8.7071428571428573</v>
      </c>
      <c r="K85">
        <f>DAY(weather.tbl[[#This Row],[Date]])</f>
        <v>25</v>
      </c>
      <c r="L85">
        <f>MONTH(weather.tbl[[#This Row],[Date]])</f>
        <v>3</v>
      </c>
      <c r="M85">
        <f>YEAR(weather.tbl[[#This Row],[Date]])</f>
        <v>2014</v>
      </c>
    </row>
    <row r="86" spans="1:13" x14ac:dyDescent="0.25">
      <c r="A86" s="1">
        <v>41724</v>
      </c>
      <c r="B86" s="2">
        <v>-2.2999999999999998</v>
      </c>
      <c r="C86" s="2">
        <v>-4.9000000000000004</v>
      </c>
      <c r="D86" s="2">
        <v>-5</v>
      </c>
      <c r="E86" s="2">
        <v>-4</v>
      </c>
      <c r="F86" s="2">
        <v>-4.5999999999999996</v>
      </c>
      <c r="G86" s="2">
        <v>-7.4</v>
      </c>
      <c r="H86" s="2">
        <f>AVERAGE(weather.tbl[[#This Row],[Estevan]:[Kipling]])</f>
        <v>-4.6999999999999993</v>
      </c>
      <c r="I86" s="2">
        <f>_xlfn.STDEV.S(weather.tbl[[#This Row],[Estevan]:[Kipling]])</f>
        <v>1.6540858502508304</v>
      </c>
      <c r="J86" s="2">
        <f t="shared" si="1"/>
        <v>-9.3904761904761909</v>
      </c>
      <c r="K86">
        <f>DAY(weather.tbl[[#This Row],[Date]])</f>
        <v>26</v>
      </c>
      <c r="L86">
        <f>MONTH(weather.tbl[[#This Row],[Date]])</f>
        <v>3</v>
      </c>
      <c r="M86">
        <f>YEAR(weather.tbl[[#This Row],[Date]])</f>
        <v>2014</v>
      </c>
    </row>
    <row r="87" spans="1:13" x14ac:dyDescent="0.25">
      <c r="A87" s="1">
        <v>41725</v>
      </c>
      <c r="B87" s="2">
        <v>-5.2</v>
      </c>
      <c r="C87" s="2">
        <v>-8.1999999999999993</v>
      </c>
      <c r="D87" s="2">
        <v>-7.8</v>
      </c>
      <c r="E87" s="2">
        <v>-7</v>
      </c>
      <c r="F87" s="2">
        <v>-8.1999999999999993</v>
      </c>
      <c r="G87" s="2">
        <v>-9.5</v>
      </c>
      <c r="H87" s="2">
        <f>AVERAGE(weather.tbl[[#This Row],[Estevan]:[Kipling]])</f>
        <v>-7.6499999999999995</v>
      </c>
      <c r="I87" s="2">
        <f>_xlfn.STDEV.S(weather.tbl[[#This Row],[Estevan]:[Kipling]])</f>
        <v>1.4474114826130144</v>
      </c>
      <c r="J87" s="2">
        <f t="shared" si="1"/>
        <v>-10.397619047619047</v>
      </c>
      <c r="K87">
        <f>DAY(weather.tbl[[#This Row],[Date]])</f>
        <v>27</v>
      </c>
      <c r="L87">
        <f>MONTH(weather.tbl[[#This Row],[Date]])</f>
        <v>3</v>
      </c>
      <c r="M87">
        <f>YEAR(weather.tbl[[#This Row],[Date]])</f>
        <v>2014</v>
      </c>
    </row>
    <row r="88" spans="1:13" x14ac:dyDescent="0.25">
      <c r="A88" s="1">
        <v>41726</v>
      </c>
      <c r="B88" s="2">
        <v>-5.0999999999999996</v>
      </c>
      <c r="C88" s="2">
        <v>-9.1</v>
      </c>
      <c r="D88" s="2">
        <v>-7.3</v>
      </c>
      <c r="E88" s="2">
        <v>-7</v>
      </c>
      <c r="F88" s="2">
        <v>-7.6</v>
      </c>
      <c r="G88" s="2">
        <v>-11.3</v>
      </c>
      <c r="H88" s="2">
        <f>AVERAGE(weather.tbl[[#This Row],[Estevan]:[Kipling]])</f>
        <v>-7.9000000000000012</v>
      </c>
      <c r="I88" s="2">
        <f>_xlfn.STDEV.S(weather.tbl[[#This Row],[Estevan]:[Kipling]])</f>
        <v>2.1023796041628597</v>
      </c>
      <c r="J88" s="2">
        <f t="shared" si="1"/>
        <v>-9.9833333333333325</v>
      </c>
      <c r="K88">
        <f>DAY(weather.tbl[[#This Row],[Date]])</f>
        <v>28</v>
      </c>
      <c r="L88">
        <f>MONTH(weather.tbl[[#This Row],[Date]])</f>
        <v>3</v>
      </c>
      <c r="M88">
        <f>YEAR(weather.tbl[[#This Row],[Date]])</f>
        <v>2014</v>
      </c>
    </row>
    <row r="89" spans="1:13" x14ac:dyDescent="0.25">
      <c r="A89" s="1">
        <v>41727</v>
      </c>
      <c r="B89" s="2">
        <v>2.2999999999999998</v>
      </c>
      <c r="C89" s="2">
        <v>2.5</v>
      </c>
      <c r="D89" s="2">
        <v>0</v>
      </c>
      <c r="E89" s="2">
        <v>1</v>
      </c>
      <c r="F89" s="2">
        <v>0.7</v>
      </c>
      <c r="G89" s="2">
        <v>-3.7</v>
      </c>
      <c r="H89" s="2">
        <f>AVERAGE(weather.tbl[[#This Row],[Estevan]:[Kipling]])</f>
        <v>0.46666666666666662</v>
      </c>
      <c r="I89" s="2">
        <f>_xlfn.STDEV.S(weather.tbl[[#This Row],[Estevan]:[Kipling]])</f>
        <v>2.2544770273095858</v>
      </c>
      <c r="J89" s="2">
        <f t="shared" si="1"/>
        <v>-7.8285714285714283</v>
      </c>
      <c r="K89">
        <f>DAY(weather.tbl[[#This Row],[Date]])</f>
        <v>29</v>
      </c>
      <c r="L89">
        <f>MONTH(weather.tbl[[#This Row],[Date]])</f>
        <v>3</v>
      </c>
      <c r="M89">
        <f>YEAR(weather.tbl[[#This Row],[Date]])</f>
        <v>2014</v>
      </c>
    </row>
    <row r="90" spans="1:13" x14ac:dyDescent="0.25">
      <c r="A90" s="1">
        <v>41728</v>
      </c>
      <c r="B90" s="2">
        <v>-3.8</v>
      </c>
      <c r="C90" s="2">
        <v>-5</v>
      </c>
      <c r="D90" s="2">
        <v>-2.5</v>
      </c>
      <c r="E90" s="2">
        <v>-3.8</v>
      </c>
      <c r="F90" s="2">
        <v>-3.9</v>
      </c>
      <c r="G90" s="2">
        <v>-2.6</v>
      </c>
      <c r="H90" s="2">
        <f>AVERAGE(weather.tbl[[#This Row],[Estevan]:[Kipling]])</f>
        <v>-3.6</v>
      </c>
      <c r="I90" s="2">
        <f>_xlfn.STDEV.S(weather.tbl[[#This Row],[Estevan]:[Kipling]])</f>
        <v>0.93166517590816811</v>
      </c>
      <c r="J90" s="2">
        <f t="shared" si="1"/>
        <v>-6.5619047619047617</v>
      </c>
      <c r="K90">
        <f>DAY(weather.tbl[[#This Row],[Date]])</f>
        <v>30</v>
      </c>
      <c r="L90">
        <f>MONTH(weather.tbl[[#This Row],[Date]])</f>
        <v>3</v>
      </c>
      <c r="M90">
        <f>YEAR(weather.tbl[[#This Row],[Date]])</f>
        <v>2014</v>
      </c>
    </row>
    <row r="91" spans="1:13" x14ac:dyDescent="0.25">
      <c r="A91" s="1">
        <v>41729</v>
      </c>
      <c r="B91" s="2">
        <v>-9</v>
      </c>
      <c r="C91" s="2">
        <v>-12.1</v>
      </c>
      <c r="D91" s="2">
        <v>-2.5</v>
      </c>
      <c r="E91" s="2">
        <v>-11.5</v>
      </c>
      <c r="F91" s="2">
        <v>-10.1</v>
      </c>
      <c r="G91" s="2">
        <v>-14.5</v>
      </c>
      <c r="H91" s="2">
        <f>AVERAGE(weather.tbl[[#This Row],[Estevan]:[Kipling]])</f>
        <v>-9.9500000000000011</v>
      </c>
      <c r="I91" s="2">
        <f>_xlfn.STDEV.S(weather.tbl[[#This Row],[Estevan]:[Kipling]])</f>
        <v>4.1025601762801722</v>
      </c>
      <c r="J91" s="2">
        <f t="shared" si="1"/>
        <v>-6.3380952380952396</v>
      </c>
      <c r="K91">
        <f>DAY(weather.tbl[[#This Row],[Date]])</f>
        <v>31</v>
      </c>
      <c r="L91">
        <f>MONTH(weather.tbl[[#This Row],[Date]])</f>
        <v>3</v>
      </c>
      <c r="M91">
        <f>YEAR(weather.tbl[[#This Row],[Date]])</f>
        <v>2014</v>
      </c>
    </row>
    <row r="92" spans="1:13" x14ac:dyDescent="0.25">
      <c r="A92" s="1">
        <v>41730</v>
      </c>
      <c r="B92" s="2">
        <v>-6.9</v>
      </c>
      <c r="C92" s="2">
        <v>-7.4</v>
      </c>
      <c r="D92" s="2">
        <v>-8.8000000000000007</v>
      </c>
      <c r="E92" s="2">
        <v>-6.5</v>
      </c>
      <c r="F92" s="2">
        <v>-9.6999999999999993</v>
      </c>
      <c r="G92" s="2">
        <v>-12.2</v>
      </c>
      <c r="H92" s="2">
        <f>AVERAGE(weather.tbl[[#This Row],[Estevan]:[Kipling]])</f>
        <v>-8.5833333333333339</v>
      </c>
      <c r="I92" s="2">
        <f>_xlfn.STDEV.S(weather.tbl[[#This Row],[Estevan]:[Kipling]])</f>
        <v>2.142350733812429</v>
      </c>
      <c r="J92" s="2">
        <f t="shared" si="1"/>
        <v>-5.988095238095239</v>
      </c>
      <c r="K92">
        <f>DAY(weather.tbl[[#This Row],[Date]])</f>
        <v>1</v>
      </c>
      <c r="L92">
        <f>MONTH(weather.tbl[[#This Row],[Date]])</f>
        <v>4</v>
      </c>
      <c r="M92">
        <f>YEAR(weather.tbl[[#This Row],[Date]])</f>
        <v>2014</v>
      </c>
    </row>
    <row r="93" spans="1:13" x14ac:dyDescent="0.25">
      <c r="A93" s="1">
        <v>41731</v>
      </c>
      <c r="B93" s="2">
        <v>-5.4</v>
      </c>
      <c r="C93" s="2">
        <v>-4.3</v>
      </c>
      <c r="D93" s="2">
        <v>-5.8</v>
      </c>
      <c r="E93" s="2">
        <v>-3.3</v>
      </c>
      <c r="F93" s="2">
        <v>-4.0999999999999996</v>
      </c>
      <c r="G93" s="2">
        <v>-5.7</v>
      </c>
      <c r="H93" s="2">
        <f>AVERAGE(weather.tbl[[#This Row],[Estevan]:[Kipling]])</f>
        <v>-4.7666666666666666</v>
      </c>
      <c r="I93" s="2">
        <f>_xlfn.STDEV.S(weather.tbl[[#This Row],[Estevan]:[Kipling]])</f>
        <v>1.0152175464730073</v>
      </c>
      <c r="J93" s="2">
        <f t="shared" si="1"/>
        <v>-5.9976190476190476</v>
      </c>
      <c r="K93">
        <f>DAY(weather.tbl[[#This Row],[Date]])</f>
        <v>2</v>
      </c>
      <c r="L93">
        <f>MONTH(weather.tbl[[#This Row],[Date]])</f>
        <v>4</v>
      </c>
      <c r="M93">
        <f>YEAR(weather.tbl[[#This Row],[Date]])</f>
        <v>2014</v>
      </c>
    </row>
    <row r="94" spans="1:13" x14ac:dyDescent="0.25">
      <c r="A94" s="1">
        <v>41732</v>
      </c>
      <c r="B94" s="2">
        <v>-3.1</v>
      </c>
      <c r="C94" s="2">
        <v>-2.1</v>
      </c>
      <c r="D94" s="2">
        <v>-3.5</v>
      </c>
      <c r="E94" s="2">
        <v>-1.5</v>
      </c>
      <c r="F94" s="2">
        <v>-3</v>
      </c>
      <c r="G94" s="2">
        <v>-2.9</v>
      </c>
      <c r="H94" s="2">
        <f>AVERAGE(weather.tbl[[#This Row],[Estevan]:[Kipling]])</f>
        <v>-2.6833333333333331</v>
      </c>
      <c r="I94" s="2">
        <f>_xlfn.STDEV.S(weather.tbl[[#This Row],[Estevan]:[Kipling]])</f>
        <v>0.7386925386564227</v>
      </c>
      <c r="J94" s="2">
        <f t="shared" si="1"/>
        <v>-5.288095238095238</v>
      </c>
      <c r="K94">
        <f>DAY(weather.tbl[[#This Row],[Date]])</f>
        <v>3</v>
      </c>
      <c r="L94">
        <f>MONTH(weather.tbl[[#This Row],[Date]])</f>
        <v>4</v>
      </c>
      <c r="M94">
        <f>YEAR(weather.tbl[[#This Row],[Date]])</f>
        <v>2014</v>
      </c>
    </row>
    <row r="95" spans="1:13" x14ac:dyDescent="0.25">
      <c r="A95" s="1">
        <v>41733</v>
      </c>
      <c r="B95" s="2">
        <v>-1</v>
      </c>
      <c r="C95" s="2">
        <v>-0.1</v>
      </c>
      <c r="D95" s="2">
        <v>-3.3</v>
      </c>
      <c r="E95" s="2">
        <v>0</v>
      </c>
      <c r="F95" s="2">
        <v>-2.2999999999999998</v>
      </c>
      <c r="G95" s="2">
        <v>-6.4</v>
      </c>
      <c r="H95" s="2">
        <f>AVERAGE(weather.tbl[[#This Row],[Estevan]:[Kipling]])</f>
        <v>-2.1833333333333336</v>
      </c>
      <c r="I95" s="2">
        <f>_xlfn.STDEV.S(weather.tbl[[#This Row],[Estevan]:[Kipling]])</f>
        <v>2.4309805977561125</v>
      </c>
      <c r="J95" s="2">
        <f t="shared" si="1"/>
        <v>-4.4714285714285715</v>
      </c>
      <c r="K95">
        <f>DAY(weather.tbl[[#This Row],[Date]])</f>
        <v>4</v>
      </c>
      <c r="L95">
        <f>MONTH(weather.tbl[[#This Row],[Date]])</f>
        <v>4</v>
      </c>
      <c r="M95">
        <f>YEAR(weather.tbl[[#This Row],[Date]])</f>
        <v>2014</v>
      </c>
    </row>
    <row r="96" spans="1:13" x14ac:dyDescent="0.25">
      <c r="A96" s="1">
        <v>41734</v>
      </c>
      <c r="B96" s="2">
        <v>4</v>
      </c>
      <c r="C96" s="2">
        <v>3.4</v>
      </c>
      <c r="D96" s="2">
        <v>2.8</v>
      </c>
      <c r="E96" s="2">
        <v>4.5</v>
      </c>
      <c r="F96" s="2">
        <v>3.7</v>
      </c>
      <c r="G96" s="2">
        <v>-0.1</v>
      </c>
      <c r="H96" s="2">
        <f>AVERAGE(weather.tbl[[#This Row],[Estevan]:[Kipling]])</f>
        <v>3.0499999999999994</v>
      </c>
      <c r="I96" s="2">
        <f>_xlfn.STDEV.S(weather.tbl[[#This Row],[Estevan]:[Kipling]])</f>
        <v>1.6452963258939122</v>
      </c>
      <c r="J96" s="2">
        <f t="shared" si="1"/>
        <v>-4.102380952380952</v>
      </c>
      <c r="K96">
        <f>DAY(weather.tbl[[#This Row],[Date]])</f>
        <v>5</v>
      </c>
      <c r="L96">
        <f>MONTH(weather.tbl[[#This Row],[Date]])</f>
        <v>4</v>
      </c>
      <c r="M96">
        <f>YEAR(weather.tbl[[#This Row],[Date]])</f>
        <v>2014</v>
      </c>
    </row>
    <row r="97" spans="1:13" x14ac:dyDescent="0.25">
      <c r="A97" s="1">
        <v>41735</v>
      </c>
      <c r="B97" s="2">
        <v>5.8</v>
      </c>
      <c r="C97" s="2">
        <v>5.0999999999999996</v>
      </c>
      <c r="D97" s="2">
        <v>5</v>
      </c>
      <c r="E97" s="2">
        <v>6.3</v>
      </c>
      <c r="F97" s="2">
        <v>4.9000000000000004</v>
      </c>
      <c r="G97" s="2">
        <v>2.1</v>
      </c>
      <c r="H97" s="2">
        <f>AVERAGE(weather.tbl[[#This Row],[Estevan]:[Kipling]])</f>
        <v>4.8666666666666671</v>
      </c>
      <c r="I97" s="2">
        <f>_xlfn.STDEV.S(weather.tbl[[#This Row],[Estevan]:[Kipling]])</f>
        <v>1.459680330300666</v>
      </c>
      <c r="J97" s="2">
        <f t="shared" si="1"/>
        <v>-2.8928571428571428</v>
      </c>
      <c r="K97">
        <f>DAY(weather.tbl[[#This Row],[Date]])</f>
        <v>6</v>
      </c>
      <c r="L97">
        <f>MONTH(weather.tbl[[#This Row],[Date]])</f>
        <v>4</v>
      </c>
      <c r="M97">
        <f>YEAR(weather.tbl[[#This Row],[Date]])</f>
        <v>2014</v>
      </c>
    </row>
    <row r="98" spans="1:13" x14ac:dyDescent="0.25">
      <c r="A98" s="1">
        <v>41736</v>
      </c>
      <c r="B98" s="2">
        <v>4.0999999999999996</v>
      </c>
      <c r="C98" s="2">
        <v>4.4000000000000004</v>
      </c>
      <c r="D98" s="2">
        <v>2.8</v>
      </c>
      <c r="E98" s="2">
        <v>5</v>
      </c>
      <c r="F98" s="2">
        <v>3.1</v>
      </c>
      <c r="G98" s="2">
        <v>1.6</v>
      </c>
      <c r="H98" s="2">
        <f>AVERAGE(weather.tbl[[#This Row],[Estevan]:[Kipling]])</f>
        <v>3.5000000000000004</v>
      </c>
      <c r="I98" s="2">
        <f>_xlfn.STDEV.S(weather.tbl[[#This Row],[Estevan]:[Kipling]])</f>
        <v>1.2393546707863705</v>
      </c>
      <c r="J98" s="2">
        <f t="shared" si="1"/>
        <v>-0.97142857142857175</v>
      </c>
      <c r="K98">
        <f>DAY(weather.tbl[[#This Row],[Date]])</f>
        <v>7</v>
      </c>
      <c r="L98">
        <f>MONTH(weather.tbl[[#This Row],[Date]])</f>
        <v>4</v>
      </c>
      <c r="M98">
        <f>YEAR(weather.tbl[[#This Row],[Date]])</f>
        <v>2014</v>
      </c>
    </row>
    <row r="99" spans="1:13" x14ac:dyDescent="0.25">
      <c r="A99" s="1">
        <v>41737</v>
      </c>
      <c r="B99" s="2">
        <v>8.1999999999999993</v>
      </c>
      <c r="C99" s="2">
        <v>8.6</v>
      </c>
      <c r="D99" s="2">
        <v>7.3</v>
      </c>
      <c r="E99" s="2">
        <v>9.8000000000000007</v>
      </c>
      <c r="F99" s="2">
        <v>6</v>
      </c>
      <c r="G99" s="2">
        <v>4.4000000000000004</v>
      </c>
      <c r="H99" s="2">
        <f>AVERAGE(weather.tbl[[#This Row],[Estevan]:[Kipling]])</f>
        <v>7.3833333333333329</v>
      </c>
      <c r="I99" s="2">
        <f>_xlfn.STDEV.S(weather.tbl[[#This Row],[Estevan]:[Kipling]])</f>
        <v>1.9395016542057053</v>
      </c>
      <c r="J99" s="2">
        <f t="shared" si="1"/>
        <v>1.3095238095238095</v>
      </c>
      <c r="K99">
        <f>DAY(weather.tbl[[#This Row],[Date]])</f>
        <v>8</v>
      </c>
      <c r="L99">
        <f>MONTH(weather.tbl[[#This Row],[Date]])</f>
        <v>4</v>
      </c>
      <c r="M99">
        <f>YEAR(weather.tbl[[#This Row],[Date]])</f>
        <v>2014</v>
      </c>
    </row>
    <row r="100" spans="1:13" x14ac:dyDescent="0.25">
      <c r="A100" s="1">
        <v>41738</v>
      </c>
      <c r="B100" s="2">
        <v>8.4</v>
      </c>
      <c r="C100" s="2">
        <v>6.3</v>
      </c>
      <c r="D100" s="2">
        <v>7</v>
      </c>
      <c r="E100" s="2">
        <v>9</v>
      </c>
      <c r="F100" s="2">
        <v>7.2</v>
      </c>
      <c r="G100" s="2">
        <v>5.2</v>
      </c>
      <c r="H100" s="2">
        <f>AVERAGE(weather.tbl[[#This Row],[Estevan]:[Kipling]])</f>
        <v>7.1833333333333336</v>
      </c>
      <c r="I100" s="2">
        <f>_xlfn.STDEV.S(weather.tbl[[#This Row],[Estevan]:[Kipling]])</f>
        <v>1.3804588609106296</v>
      </c>
      <c r="J100" s="2">
        <f t="shared" si="1"/>
        <v>3.0166666666666666</v>
      </c>
      <c r="K100">
        <f>DAY(weather.tbl[[#This Row],[Date]])</f>
        <v>9</v>
      </c>
      <c r="L100">
        <f>MONTH(weather.tbl[[#This Row],[Date]])</f>
        <v>4</v>
      </c>
      <c r="M100">
        <f>YEAR(weather.tbl[[#This Row],[Date]])</f>
        <v>2014</v>
      </c>
    </row>
    <row r="101" spans="1:13" x14ac:dyDescent="0.25">
      <c r="A101" s="1">
        <v>41739</v>
      </c>
      <c r="B101" s="2">
        <v>6.4</v>
      </c>
      <c r="C101" s="2">
        <v>6.5</v>
      </c>
      <c r="D101" s="2">
        <v>4.8</v>
      </c>
      <c r="E101" s="2">
        <v>6</v>
      </c>
      <c r="F101" s="2">
        <v>5.6</v>
      </c>
      <c r="G101" s="2">
        <v>3.4</v>
      </c>
      <c r="H101" s="2">
        <f>AVERAGE(weather.tbl[[#This Row],[Estevan]:[Kipling]])</f>
        <v>5.4499999999999993</v>
      </c>
      <c r="I101" s="2">
        <f>_xlfn.STDEV.S(weather.tbl[[#This Row],[Estevan]:[Kipling]])</f>
        <v>1.1794066304714452</v>
      </c>
      <c r="J101" s="2">
        <f t="shared" si="1"/>
        <v>4.1785714285714288</v>
      </c>
      <c r="K101">
        <f>DAY(weather.tbl[[#This Row],[Date]])</f>
        <v>10</v>
      </c>
      <c r="L101">
        <f>MONTH(weather.tbl[[#This Row],[Date]])</f>
        <v>4</v>
      </c>
      <c r="M101">
        <f>YEAR(weather.tbl[[#This Row],[Date]])</f>
        <v>2014</v>
      </c>
    </row>
    <row r="102" spans="1:13" x14ac:dyDescent="0.25">
      <c r="A102" s="1">
        <v>41740</v>
      </c>
      <c r="B102" s="2">
        <v>4.3</v>
      </c>
      <c r="C102" s="2">
        <v>3.4</v>
      </c>
      <c r="D102" s="2">
        <v>3.8</v>
      </c>
      <c r="E102" s="2">
        <v>3.5</v>
      </c>
      <c r="F102" s="2">
        <v>4.9000000000000004</v>
      </c>
      <c r="G102" s="2">
        <v>3.2</v>
      </c>
      <c r="H102" s="2">
        <f>AVERAGE(weather.tbl[[#This Row],[Estevan]:[Kipling]])</f>
        <v>3.8499999999999996</v>
      </c>
      <c r="I102" s="2">
        <f>_xlfn.STDEV.S(weather.tbl[[#This Row],[Estevan]:[Kipling]])</f>
        <v>0.64109281699298748</v>
      </c>
      <c r="J102" s="2">
        <f t="shared" si="1"/>
        <v>5.0404761904761903</v>
      </c>
      <c r="K102">
        <f>DAY(weather.tbl[[#This Row],[Date]])</f>
        <v>11</v>
      </c>
      <c r="L102">
        <f>MONTH(weather.tbl[[#This Row],[Date]])</f>
        <v>4</v>
      </c>
      <c r="M102">
        <f>YEAR(weather.tbl[[#This Row],[Date]])</f>
        <v>2014</v>
      </c>
    </row>
    <row r="103" spans="1:13" x14ac:dyDescent="0.25">
      <c r="A103" s="1">
        <v>41741</v>
      </c>
      <c r="B103" s="2">
        <v>-0.8</v>
      </c>
      <c r="C103" s="2">
        <v>-1.1000000000000001</v>
      </c>
      <c r="D103" s="2">
        <v>0</v>
      </c>
      <c r="E103" s="2">
        <v>2.8</v>
      </c>
      <c r="F103" s="2">
        <v>-0.3</v>
      </c>
      <c r="G103" s="2">
        <v>-1.1000000000000001</v>
      </c>
      <c r="H103" s="2">
        <f>AVERAGE(weather.tbl[[#This Row],[Estevan]:[Kipling]])</f>
        <v>-8.3333333333333412E-2</v>
      </c>
      <c r="I103" s="2">
        <f>_xlfn.STDEV.S(weather.tbl[[#This Row],[Estevan]:[Kipling]])</f>
        <v>1.4797522315126497</v>
      </c>
      <c r="J103" s="2">
        <f t="shared" si="1"/>
        <v>4.5928571428571425</v>
      </c>
      <c r="K103">
        <f>DAY(weather.tbl[[#This Row],[Date]])</f>
        <v>12</v>
      </c>
      <c r="L103">
        <f>MONTH(weather.tbl[[#This Row],[Date]])</f>
        <v>4</v>
      </c>
      <c r="M103">
        <f>YEAR(weather.tbl[[#This Row],[Date]])</f>
        <v>2014</v>
      </c>
    </row>
    <row r="104" spans="1:13" x14ac:dyDescent="0.25">
      <c r="A104" s="1">
        <v>41742</v>
      </c>
      <c r="B104" s="2">
        <v>-2.5</v>
      </c>
      <c r="C104" s="2">
        <v>-3.5</v>
      </c>
      <c r="D104" s="2">
        <v>-3.5</v>
      </c>
      <c r="E104" s="2">
        <v>-3.3</v>
      </c>
      <c r="F104" s="2">
        <v>-3.9</v>
      </c>
      <c r="G104" s="2">
        <v>-5.5</v>
      </c>
      <c r="H104" s="2">
        <f>AVERAGE(weather.tbl[[#This Row],[Estevan]:[Kipling]])</f>
        <v>-3.6999999999999997</v>
      </c>
      <c r="I104" s="2">
        <f>_xlfn.STDEV.S(weather.tbl[[#This Row],[Estevan]:[Kipling]])</f>
        <v>0.99599196783909794</v>
      </c>
      <c r="J104" s="2">
        <f t="shared" si="1"/>
        <v>3.3690476190476195</v>
      </c>
      <c r="K104">
        <f>DAY(weather.tbl[[#This Row],[Date]])</f>
        <v>13</v>
      </c>
      <c r="L104">
        <f>MONTH(weather.tbl[[#This Row],[Date]])</f>
        <v>4</v>
      </c>
      <c r="M104">
        <f>YEAR(weather.tbl[[#This Row],[Date]])</f>
        <v>2014</v>
      </c>
    </row>
    <row r="105" spans="1:13" x14ac:dyDescent="0.25">
      <c r="A105" s="1">
        <v>41743</v>
      </c>
      <c r="B105" s="2">
        <v>-7.3</v>
      </c>
      <c r="C105" s="2">
        <v>-7.1</v>
      </c>
      <c r="D105" s="2">
        <v>-6.3</v>
      </c>
      <c r="E105" s="2">
        <v>-6.3</v>
      </c>
      <c r="F105" s="2">
        <v>-5.9</v>
      </c>
      <c r="G105" s="2">
        <v>-9.1</v>
      </c>
      <c r="H105" s="2">
        <f>AVERAGE(weather.tbl[[#This Row],[Estevan]:[Kipling]])</f>
        <v>-7</v>
      </c>
      <c r="I105" s="2">
        <f>_xlfn.STDEV.S(weather.tbl[[#This Row],[Estevan]:[Kipling]])</f>
        <v>1.1575836902790215</v>
      </c>
      <c r="J105" s="2">
        <f t="shared" si="1"/>
        <v>1.8690476190476193</v>
      </c>
      <c r="K105">
        <f>DAY(weather.tbl[[#This Row],[Date]])</f>
        <v>14</v>
      </c>
      <c r="L105">
        <f>MONTH(weather.tbl[[#This Row],[Date]])</f>
        <v>4</v>
      </c>
      <c r="M105">
        <f>YEAR(weather.tbl[[#This Row],[Date]])</f>
        <v>2014</v>
      </c>
    </row>
    <row r="106" spans="1:13" x14ac:dyDescent="0.25">
      <c r="A106" s="1">
        <v>41744</v>
      </c>
      <c r="B106" s="2">
        <v>-1.5</v>
      </c>
      <c r="C106" s="2">
        <v>0.1</v>
      </c>
      <c r="D106" s="2">
        <v>-6.3</v>
      </c>
      <c r="E106" s="2">
        <v>0</v>
      </c>
      <c r="F106" s="2">
        <v>-3</v>
      </c>
      <c r="G106" s="2">
        <v>-4.4000000000000004</v>
      </c>
      <c r="H106" s="2">
        <f>AVERAGE(weather.tbl[[#This Row],[Estevan]:[Kipling]])</f>
        <v>-2.5166666666666666</v>
      </c>
      <c r="I106" s="2">
        <f>_xlfn.STDEV.S(weather.tbl[[#This Row],[Estevan]:[Kipling]])</f>
        <v>2.5419808548977443</v>
      </c>
      <c r="J106" s="2">
        <f t="shared" si="1"/>
        <v>0.4547619047619052</v>
      </c>
      <c r="K106">
        <f>DAY(weather.tbl[[#This Row],[Date]])</f>
        <v>15</v>
      </c>
      <c r="L106">
        <f>MONTH(weather.tbl[[#This Row],[Date]])</f>
        <v>4</v>
      </c>
      <c r="M106">
        <f>YEAR(weather.tbl[[#This Row],[Date]])</f>
        <v>2014</v>
      </c>
    </row>
    <row r="107" spans="1:13" x14ac:dyDescent="0.25">
      <c r="A107" s="1">
        <v>41745</v>
      </c>
      <c r="B107" s="2">
        <v>-4.0999999999999996</v>
      </c>
      <c r="C107" s="2">
        <v>-3.2</v>
      </c>
      <c r="D107" s="2">
        <v>-6.3</v>
      </c>
      <c r="E107" s="2">
        <v>-3.3</v>
      </c>
      <c r="F107" s="2">
        <v>-3.2</v>
      </c>
      <c r="G107" s="2">
        <v>-4.3</v>
      </c>
      <c r="H107" s="2">
        <f>AVERAGE(weather.tbl[[#This Row],[Estevan]:[Kipling]])</f>
        <v>-4.0666666666666664</v>
      </c>
      <c r="I107" s="2">
        <f>_xlfn.STDEV.S(weather.tbl[[#This Row],[Estevan]:[Kipling]])</f>
        <v>1.1944315244779296</v>
      </c>
      <c r="J107" s="2">
        <f t="shared" si="1"/>
        <v>-1.1523809523809523</v>
      </c>
      <c r="K107">
        <f>DAY(weather.tbl[[#This Row],[Date]])</f>
        <v>16</v>
      </c>
      <c r="L107">
        <f>MONTH(weather.tbl[[#This Row],[Date]])</f>
        <v>4</v>
      </c>
      <c r="M107">
        <f>YEAR(weather.tbl[[#This Row],[Date]])</f>
        <v>2014</v>
      </c>
    </row>
    <row r="108" spans="1:13" x14ac:dyDescent="0.25">
      <c r="A108" s="1">
        <v>41746</v>
      </c>
      <c r="B108" s="2">
        <v>-0.6</v>
      </c>
      <c r="C108" s="2">
        <v>0.2</v>
      </c>
      <c r="D108" s="2">
        <v>-6.3</v>
      </c>
      <c r="E108" s="2">
        <v>-0.3</v>
      </c>
      <c r="F108" s="2">
        <v>-2.2999999999999998</v>
      </c>
      <c r="G108" s="2">
        <v>-2.9</v>
      </c>
      <c r="H108" s="2">
        <f>AVERAGE(weather.tbl[[#This Row],[Estevan]:[Kipling]])</f>
        <v>-2.0333333333333337</v>
      </c>
      <c r="I108" s="2">
        <f>_xlfn.STDEV.S(weather.tbl[[#This Row],[Estevan]:[Kipling]])</f>
        <v>2.4113619941159112</v>
      </c>
      <c r="J108" s="2">
        <f t="shared" si="1"/>
        <v>-2.2214285714285711</v>
      </c>
      <c r="K108">
        <f>DAY(weather.tbl[[#This Row],[Date]])</f>
        <v>17</v>
      </c>
      <c r="L108">
        <f>MONTH(weather.tbl[[#This Row],[Date]])</f>
        <v>4</v>
      </c>
      <c r="M108">
        <f>YEAR(weather.tbl[[#This Row],[Date]])</f>
        <v>2014</v>
      </c>
    </row>
    <row r="109" spans="1:13" x14ac:dyDescent="0.25">
      <c r="A109" s="1">
        <v>41747</v>
      </c>
      <c r="B109" s="2">
        <v>3.9</v>
      </c>
      <c r="C109" s="2">
        <v>3.3</v>
      </c>
      <c r="D109" s="2">
        <v>-6.3</v>
      </c>
      <c r="E109" s="2">
        <v>3.5</v>
      </c>
      <c r="F109" s="2">
        <v>4.3</v>
      </c>
      <c r="G109" s="2">
        <v>0.4</v>
      </c>
      <c r="H109" s="2">
        <f>AVERAGE(weather.tbl[[#This Row],[Estevan]:[Kipling]])</f>
        <v>1.5166666666666666</v>
      </c>
      <c r="I109" s="2">
        <f>_xlfn.STDEV.S(weather.tbl[[#This Row],[Estevan]:[Kipling]])</f>
        <v>4.0715680844935731</v>
      </c>
      <c r="J109" s="2">
        <f t="shared" si="1"/>
        <v>-2.554761904761905</v>
      </c>
      <c r="K109">
        <f>DAY(weather.tbl[[#This Row],[Date]])</f>
        <v>18</v>
      </c>
      <c r="L109">
        <f>MONTH(weather.tbl[[#This Row],[Date]])</f>
        <v>4</v>
      </c>
      <c r="M109">
        <f>YEAR(weather.tbl[[#This Row],[Date]])</f>
        <v>2014</v>
      </c>
    </row>
    <row r="110" spans="1:13" x14ac:dyDescent="0.25">
      <c r="A110" s="1">
        <v>41748</v>
      </c>
      <c r="B110" s="2">
        <v>4.5</v>
      </c>
      <c r="C110" s="2">
        <v>2.9</v>
      </c>
      <c r="D110" s="2">
        <v>4.8</v>
      </c>
      <c r="E110" s="2">
        <v>4.5</v>
      </c>
      <c r="F110" s="2">
        <v>3.7</v>
      </c>
      <c r="G110" s="2">
        <v>2.1</v>
      </c>
      <c r="H110" s="2">
        <f>AVERAGE(weather.tbl[[#This Row],[Estevan]:[Kipling]])</f>
        <v>3.75</v>
      </c>
      <c r="I110" s="2">
        <f>_xlfn.STDEV.S(weather.tbl[[#This Row],[Estevan]:[Kipling]])</f>
        <v>1.0653637876331254</v>
      </c>
      <c r="J110" s="2">
        <f t="shared" si="1"/>
        <v>-2.0071428571428571</v>
      </c>
      <c r="K110">
        <f>DAY(weather.tbl[[#This Row],[Date]])</f>
        <v>19</v>
      </c>
      <c r="L110">
        <f>MONTH(weather.tbl[[#This Row],[Date]])</f>
        <v>4</v>
      </c>
      <c r="M110">
        <f>YEAR(weather.tbl[[#This Row],[Date]])</f>
        <v>2014</v>
      </c>
    </row>
    <row r="111" spans="1:13" x14ac:dyDescent="0.25">
      <c r="A111" s="1">
        <v>41749</v>
      </c>
      <c r="B111" s="2">
        <v>7.8</v>
      </c>
      <c r="C111" s="2">
        <v>6.6</v>
      </c>
      <c r="D111" s="2">
        <v>7</v>
      </c>
      <c r="E111" s="2">
        <v>5</v>
      </c>
      <c r="F111" s="2">
        <v>8.3000000000000007</v>
      </c>
      <c r="G111" s="2">
        <v>5</v>
      </c>
      <c r="H111" s="2">
        <f>AVERAGE(weather.tbl[[#This Row],[Estevan]:[Kipling]])</f>
        <v>6.6166666666666671</v>
      </c>
      <c r="I111" s="2">
        <f>_xlfn.STDEV.S(weather.tbl[[#This Row],[Estevan]:[Kipling]])</f>
        <v>1.3862419221285505</v>
      </c>
      <c r="J111" s="2">
        <f t="shared" si="1"/>
        <v>-0.53333333333333299</v>
      </c>
      <c r="K111">
        <f>DAY(weather.tbl[[#This Row],[Date]])</f>
        <v>20</v>
      </c>
      <c r="L111">
        <f>MONTH(weather.tbl[[#This Row],[Date]])</f>
        <v>4</v>
      </c>
      <c r="M111">
        <f>YEAR(weather.tbl[[#This Row],[Date]])</f>
        <v>2014</v>
      </c>
    </row>
    <row r="112" spans="1:13" x14ac:dyDescent="0.25">
      <c r="A112" s="1">
        <v>41750</v>
      </c>
      <c r="B112" s="2">
        <v>7.5</v>
      </c>
      <c r="C112" s="2">
        <v>6.7</v>
      </c>
      <c r="D112" s="2">
        <v>6.8</v>
      </c>
      <c r="E112" s="2">
        <v>9</v>
      </c>
      <c r="F112" s="2">
        <v>6.7</v>
      </c>
      <c r="G112" s="2">
        <v>4.9000000000000004</v>
      </c>
      <c r="H112" s="2">
        <f>AVERAGE(weather.tbl[[#This Row],[Estevan]:[Kipling]])</f>
        <v>6.9333333333333336</v>
      </c>
      <c r="I112" s="2">
        <f>_xlfn.STDEV.S(weather.tbl[[#This Row],[Estevan]:[Kipling]])</f>
        <v>1.3306639946532932</v>
      </c>
      <c r="J112" s="2">
        <f t="shared" si="1"/>
        <v>1.4571428571428571</v>
      </c>
      <c r="K112">
        <f>DAY(weather.tbl[[#This Row],[Date]])</f>
        <v>21</v>
      </c>
      <c r="L112">
        <f>MONTH(weather.tbl[[#This Row],[Date]])</f>
        <v>4</v>
      </c>
      <c r="M112">
        <f>YEAR(weather.tbl[[#This Row],[Date]])</f>
        <v>2014</v>
      </c>
    </row>
    <row r="113" spans="1:13" x14ac:dyDescent="0.25">
      <c r="A113" s="1">
        <v>41751</v>
      </c>
      <c r="B113" s="2">
        <v>10</v>
      </c>
      <c r="C113" s="2">
        <v>10.7</v>
      </c>
      <c r="D113" s="2">
        <v>8</v>
      </c>
      <c r="E113" s="2">
        <v>10.8</v>
      </c>
      <c r="F113" s="2">
        <v>8.4</v>
      </c>
      <c r="G113" s="2">
        <v>9</v>
      </c>
      <c r="H113" s="2">
        <f>AVERAGE(weather.tbl[[#This Row],[Estevan]:[Kipling]])</f>
        <v>9.4833333333333325</v>
      </c>
      <c r="I113" s="2">
        <f>_xlfn.STDEV.S(weather.tbl[[#This Row],[Estevan]:[Kipling]])</f>
        <v>1.190658081342707</v>
      </c>
      <c r="J113" s="2">
        <f t="shared" si="1"/>
        <v>3.1714285714285717</v>
      </c>
      <c r="K113">
        <f>DAY(weather.tbl[[#This Row],[Date]])</f>
        <v>22</v>
      </c>
      <c r="L113">
        <f>MONTH(weather.tbl[[#This Row],[Date]])</f>
        <v>4</v>
      </c>
      <c r="M113">
        <f>YEAR(weather.tbl[[#This Row],[Date]])</f>
        <v>2014</v>
      </c>
    </row>
    <row r="114" spans="1:13" x14ac:dyDescent="0.25">
      <c r="A114" s="1">
        <v>41752</v>
      </c>
      <c r="B114" s="2">
        <v>7.5</v>
      </c>
      <c r="C114" s="2">
        <v>7.9</v>
      </c>
      <c r="D114" s="2">
        <v>6.5</v>
      </c>
      <c r="E114" s="2">
        <v>7.8</v>
      </c>
      <c r="F114" s="2">
        <v>6.9</v>
      </c>
      <c r="G114" s="2">
        <v>5.5</v>
      </c>
      <c r="H114" s="2">
        <f>AVERAGE(weather.tbl[[#This Row],[Estevan]:[Kipling]])</f>
        <v>7.0166666666666666</v>
      </c>
      <c r="I114" s="2">
        <f>_xlfn.STDEV.S(weather.tbl[[#This Row],[Estevan]:[Kipling]])</f>
        <v>0.91742392963485697</v>
      </c>
      <c r="J114" s="2">
        <f t="shared" si="1"/>
        <v>4.7547619047619047</v>
      </c>
      <c r="K114">
        <f>DAY(weather.tbl[[#This Row],[Date]])</f>
        <v>23</v>
      </c>
      <c r="L114">
        <f>MONTH(weather.tbl[[#This Row],[Date]])</f>
        <v>4</v>
      </c>
      <c r="M114">
        <f>YEAR(weather.tbl[[#This Row],[Date]])</f>
        <v>2014</v>
      </c>
    </row>
    <row r="115" spans="1:13" x14ac:dyDescent="0.25">
      <c r="A115" s="1">
        <v>41753</v>
      </c>
      <c r="B115" s="2">
        <v>7.3</v>
      </c>
      <c r="C115" s="2">
        <v>7.9</v>
      </c>
      <c r="D115" s="2">
        <v>6.3</v>
      </c>
      <c r="E115" s="2">
        <v>11</v>
      </c>
      <c r="F115" s="2">
        <v>7</v>
      </c>
      <c r="G115" s="2">
        <v>7</v>
      </c>
      <c r="H115" s="2">
        <f>AVERAGE(weather.tbl[[#This Row],[Estevan]:[Kipling]])</f>
        <v>7.75</v>
      </c>
      <c r="I115" s="2">
        <f>_xlfn.STDEV.S(weather.tbl[[#This Row],[Estevan]:[Kipling]])</f>
        <v>1.6742162345408067</v>
      </c>
      <c r="J115" s="2">
        <f t="shared" si="1"/>
        <v>6.1523809523809518</v>
      </c>
      <c r="K115">
        <f>DAY(weather.tbl[[#This Row],[Date]])</f>
        <v>24</v>
      </c>
      <c r="L115">
        <f>MONTH(weather.tbl[[#This Row],[Date]])</f>
        <v>4</v>
      </c>
      <c r="M115">
        <f>YEAR(weather.tbl[[#This Row],[Date]])</f>
        <v>2014</v>
      </c>
    </row>
    <row r="116" spans="1:13" x14ac:dyDescent="0.25">
      <c r="A116" s="1">
        <v>41754</v>
      </c>
      <c r="B116" s="2">
        <v>5.5</v>
      </c>
      <c r="C116" s="2">
        <v>5.3</v>
      </c>
      <c r="D116" s="2">
        <v>3.8</v>
      </c>
      <c r="E116" s="2">
        <v>6.3</v>
      </c>
      <c r="F116" s="2">
        <v>5.3</v>
      </c>
      <c r="G116" s="2">
        <v>3.6</v>
      </c>
      <c r="H116" s="2">
        <f>AVERAGE(weather.tbl[[#This Row],[Estevan]:[Kipling]])</f>
        <v>4.9666666666666677</v>
      </c>
      <c r="I116" s="2">
        <f>_xlfn.STDEV.S(weather.tbl[[#This Row],[Estevan]:[Kipling]])</f>
        <v>1.0500793620801518</v>
      </c>
      <c r="J116" s="2">
        <f t="shared" si="1"/>
        <v>6.6452380952380947</v>
      </c>
      <c r="K116">
        <f>DAY(weather.tbl[[#This Row],[Date]])</f>
        <v>25</v>
      </c>
      <c r="L116">
        <f>MONTH(weather.tbl[[#This Row],[Date]])</f>
        <v>4</v>
      </c>
      <c r="M116">
        <f>YEAR(weather.tbl[[#This Row],[Date]])</f>
        <v>2014</v>
      </c>
    </row>
    <row r="117" spans="1:13" x14ac:dyDescent="0.25">
      <c r="A117" s="1">
        <v>41755</v>
      </c>
      <c r="B117" s="2">
        <v>4.5</v>
      </c>
      <c r="C117" s="2">
        <v>6.2</v>
      </c>
      <c r="D117" s="2">
        <v>4</v>
      </c>
      <c r="E117" s="2">
        <v>6.8</v>
      </c>
      <c r="F117" s="2">
        <v>4.4000000000000004</v>
      </c>
      <c r="G117" s="2">
        <v>6.5</v>
      </c>
      <c r="H117" s="2">
        <f>AVERAGE(weather.tbl[[#This Row],[Estevan]:[Kipling]])</f>
        <v>5.3999999999999995</v>
      </c>
      <c r="I117" s="2">
        <f>_xlfn.STDEV.S(weather.tbl[[#This Row],[Estevan]:[Kipling]])</f>
        <v>1.2312595177297094</v>
      </c>
      <c r="J117" s="2">
        <f t="shared" si="1"/>
        <v>6.8809523809523805</v>
      </c>
      <c r="K117">
        <f>DAY(weather.tbl[[#This Row],[Date]])</f>
        <v>26</v>
      </c>
      <c r="L117">
        <f>MONTH(weather.tbl[[#This Row],[Date]])</f>
        <v>4</v>
      </c>
      <c r="M117">
        <f>YEAR(weather.tbl[[#This Row],[Date]])</f>
        <v>2014</v>
      </c>
    </row>
    <row r="118" spans="1:13" x14ac:dyDescent="0.25">
      <c r="A118" s="1">
        <v>41756</v>
      </c>
      <c r="B118" s="2">
        <v>2.5</v>
      </c>
      <c r="C118" s="2">
        <v>2.4</v>
      </c>
      <c r="D118" s="2">
        <v>-0.3</v>
      </c>
      <c r="E118" s="2">
        <v>2</v>
      </c>
      <c r="F118" s="2">
        <v>2.9</v>
      </c>
      <c r="G118" s="2">
        <v>2.2999999999999998</v>
      </c>
      <c r="H118" s="2">
        <f>AVERAGE(weather.tbl[[#This Row],[Estevan]:[Kipling]])</f>
        <v>1.9666666666666668</v>
      </c>
      <c r="I118" s="2">
        <f>_xlfn.STDEV.S(weather.tbl[[#This Row],[Estevan]:[Kipling]])</f>
        <v>1.1483321238503548</v>
      </c>
      <c r="J118" s="2">
        <f t="shared" si="1"/>
        <v>6.2166666666666668</v>
      </c>
      <c r="K118">
        <f>DAY(weather.tbl[[#This Row],[Date]])</f>
        <v>27</v>
      </c>
      <c r="L118">
        <f>MONTH(weather.tbl[[#This Row],[Date]])</f>
        <v>4</v>
      </c>
      <c r="M118">
        <f>YEAR(weather.tbl[[#This Row],[Date]])</f>
        <v>2014</v>
      </c>
    </row>
    <row r="119" spans="1:13" x14ac:dyDescent="0.25">
      <c r="A119" s="1">
        <v>41757</v>
      </c>
      <c r="B119" s="2">
        <v>0.8</v>
      </c>
      <c r="C119" s="2">
        <v>0.9</v>
      </c>
      <c r="D119" s="2">
        <v>0.3</v>
      </c>
      <c r="E119" s="2">
        <v>2.5</v>
      </c>
      <c r="F119" s="2">
        <v>1.8</v>
      </c>
      <c r="G119" s="2">
        <v>1.3</v>
      </c>
      <c r="H119" s="2">
        <f>AVERAGE(weather.tbl[[#This Row],[Estevan]:[Kipling]])</f>
        <v>1.2666666666666666</v>
      </c>
      <c r="I119" s="2">
        <f>_xlfn.STDEV.S(weather.tbl[[#This Row],[Estevan]:[Kipling]])</f>
        <v>0.78655366420014006</v>
      </c>
      <c r="J119" s="2">
        <f t="shared" si="1"/>
        <v>5.4071428571428575</v>
      </c>
      <c r="K119">
        <f>DAY(weather.tbl[[#This Row],[Date]])</f>
        <v>28</v>
      </c>
      <c r="L119">
        <f>MONTH(weather.tbl[[#This Row],[Date]])</f>
        <v>4</v>
      </c>
      <c r="M119">
        <f>YEAR(weather.tbl[[#This Row],[Date]])</f>
        <v>2014</v>
      </c>
    </row>
    <row r="120" spans="1:13" x14ac:dyDescent="0.25">
      <c r="A120" s="1">
        <v>41758</v>
      </c>
      <c r="B120" s="2">
        <v>0.8</v>
      </c>
      <c r="C120" s="2">
        <v>5</v>
      </c>
      <c r="D120" s="2">
        <v>5.3</v>
      </c>
      <c r="E120" s="2">
        <v>8</v>
      </c>
      <c r="F120" s="2">
        <v>6.2</v>
      </c>
      <c r="G120" s="2">
        <v>1.3</v>
      </c>
      <c r="H120" s="2">
        <f>AVERAGE(weather.tbl[[#This Row],[Estevan]:[Kipling]])</f>
        <v>4.4333333333333336</v>
      </c>
      <c r="I120" s="2">
        <f>_xlfn.STDEV.S(weather.tbl[[#This Row],[Estevan]:[Kipling]])</f>
        <v>2.8260691192302194</v>
      </c>
      <c r="J120" s="2">
        <f t="shared" si="1"/>
        <v>4.6857142857142851</v>
      </c>
      <c r="K120">
        <f>DAY(weather.tbl[[#This Row],[Date]])</f>
        <v>29</v>
      </c>
      <c r="L120">
        <f>MONTH(weather.tbl[[#This Row],[Date]])</f>
        <v>4</v>
      </c>
      <c r="M120">
        <f>YEAR(weather.tbl[[#This Row],[Date]])</f>
        <v>2014</v>
      </c>
    </row>
    <row r="121" spans="1:13" x14ac:dyDescent="0.25">
      <c r="A121" s="1">
        <v>41759</v>
      </c>
      <c r="B121" s="2">
        <v>6.8</v>
      </c>
      <c r="C121" s="2">
        <v>5</v>
      </c>
      <c r="D121" s="2">
        <v>5.8</v>
      </c>
      <c r="E121" s="2">
        <v>12</v>
      </c>
      <c r="F121" s="2">
        <v>6.8</v>
      </c>
      <c r="G121" s="2">
        <v>6.3</v>
      </c>
      <c r="H121" s="2">
        <f>AVERAGE(weather.tbl[[#This Row],[Estevan]:[Kipling]])</f>
        <v>7.1166666666666663</v>
      </c>
      <c r="I121" s="2">
        <f>_xlfn.STDEV.S(weather.tbl[[#This Row],[Estevan]:[Kipling]])</f>
        <v>2.4871000515995894</v>
      </c>
      <c r="J121" s="2">
        <f t="shared" si="1"/>
        <v>4.7</v>
      </c>
      <c r="K121">
        <f>DAY(weather.tbl[[#This Row],[Date]])</f>
        <v>30</v>
      </c>
      <c r="L121">
        <f>MONTH(weather.tbl[[#This Row],[Date]])</f>
        <v>4</v>
      </c>
      <c r="M121">
        <f>YEAR(weather.tbl[[#This Row],[Date]])</f>
        <v>2014</v>
      </c>
    </row>
    <row r="122" spans="1:13" x14ac:dyDescent="0.25">
      <c r="A122" s="1">
        <v>41760</v>
      </c>
      <c r="B122" s="2">
        <v>8.4</v>
      </c>
      <c r="C122" s="2">
        <v>8.8000000000000007</v>
      </c>
      <c r="D122" s="2">
        <v>8.8000000000000007</v>
      </c>
      <c r="E122" s="2">
        <v>11</v>
      </c>
      <c r="F122" s="2">
        <v>8.6999999999999993</v>
      </c>
      <c r="G122" s="2">
        <v>8.6999999999999993</v>
      </c>
      <c r="H122" s="2">
        <f>AVERAGE(weather.tbl[[#This Row],[Estevan]:[Kipling]])</f>
        <v>9.0666666666666682</v>
      </c>
      <c r="I122" s="2">
        <f>_xlfn.STDEV.S(weather.tbl[[#This Row],[Estevan]:[Kipling]])</f>
        <v>0.95847100460403423</v>
      </c>
      <c r="J122" s="2">
        <f t="shared" si="1"/>
        <v>4.8880952380952385</v>
      </c>
      <c r="K122">
        <f>DAY(weather.tbl[[#This Row],[Date]])</f>
        <v>1</v>
      </c>
      <c r="L122">
        <f>MONTH(weather.tbl[[#This Row],[Date]])</f>
        <v>5</v>
      </c>
      <c r="M122">
        <f>YEAR(weather.tbl[[#This Row],[Date]])</f>
        <v>2014</v>
      </c>
    </row>
    <row r="123" spans="1:13" x14ac:dyDescent="0.25">
      <c r="A123" s="1">
        <v>41761</v>
      </c>
      <c r="B123" s="2">
        <v>8.9</v>
      </c>
      <c r="C123" s="2">
        <v>8</v>
      </c>
      <c r="D123" s="2">
        <v>8.8000000000000007</v>
      </c>
      <c r="E123" s="2">
        <v>7.5</v>
      </c>
      <c r="F123" s="2">
        <v>10.1</v>
      </c>
      <c r="G123" s="2">
        <v>8.6999999999999993</v>
      </c>
      <c r="H123" s="2">
        <f>AVERAGE(weather.tbl[[#This Row],[Estevan]:[Kipling]])</f>
        <v>8.6666666666666661</v>
      </c>
      <c r="I123" s="2">
        <f>_xlfn.STDEV.S(weather.tbl[[#This Row],[Estevan]:[Kipling]])</f>
        <v>0.88694231304333793</v>
      </c>
      <c r="J123" s="2">
        <f t="shared" si="1"/>
        <v>5.4166666666666661</v>
      </c>
      <c r="K123">
        <f>DAY(weather.tbl[[#This Row],[Date]])</f>
        <v>2</v>
      </c>
      <c r="L123">
        <f>MONTH(weather.tbl[[#This Row],[Date]])</f>
        <v>5</v>
      </c>
      <c r="M123">
        <f>YEAR(weather.tbl[[#This Row],[Date]])</f>
        <v>2014</v>
      </c>
    </row>
    <row r="124" spans="1:13" x14ac:dyDescent="0.25">
      <c r="A124" s="1">
        <v>41762</v>
      </c>
      <c r="B124" s="2">
        <v>3.1</v>
      </c>
      <c r="C124" s="2">
        <v>2.2999999999999998</v>
      </c>
      <c r="D124" s="2">
        <v>1.8</v>
      </c>
      <c r="E124" s="2">
        <v>3</v>
      </c>
      <c r="F124" s="2">
        <v>3.1</v>
      </c>
      <c r="G124" s="2">
        <v>1.6</v>
      </c>
      <c r="H124" s="2">
        <f>AVERAGE(weather.tbl[[#This Row],[Estevan]:[Kipling]])</f>
        <v>2.4833333333333329</v>
      </c>
      <c r="I124" s="2">
        <f>_xlfn.STDEV.S(weather.tbl[[#This Row],[Estevan]:[Kipling]])</f>
        <v>0.6794605703546519</v>
      </c>
      <c r="J124" s="2">
        <f t="shared" si="1"/>
        <v>5</v>
      </c>
      <c r="K124">
        <f>DAY(weather.tbl[[#This Row],[Date]])</f>
        <v>3</v>
      </c>
      <c r="L124">
        <f>MONTH(weather.tbl[[#This Row],[Date]])</f>
        <v>5</v>
      </c>
      <c r="M124">
        <f>YEAR(weather.tbl[[#This Row],[Date]])</f>
        <v>2014</v>
      </c>
    </row>
    <row r="125" spans="1:13" x14ac:dyDescent="0.25">
      <c r="A125" s="1">
        <v>41763</v>
      </c>
      <c r="B125" s="2">
        <v>2.7</v>
      </c>
      <c r="C125" s="2">
        <v>2.2000000000000002</v>
      </c>
      <c r="D125" s="2">
        <v>1.5</v>
      </c>
      <c r="E125" s="2">
        <v>1.8</v>
      </c>
      <c r="F125" s="2">
        <v>2.8</v>
      </c>
      <c r="G125" s="2">
        <v>3.7</v>
      </c>
      <c r="H125" s="2">
        <f>AVERAGE(weather.tbl[[#This Row],[Estevan]:[Kipling]])</f>
        <v>2.4499999999999997</v>
      </c>
      <c r="I125" s="2">
        <f>_xlfn.STDEV.S(weather.tbl[[#This Row],[Estevan]:[Kipling]])</f>
        <v>0.79183331579316774</v>
      </c>
      <c r="J125" s="2">
        <f t="shared" si="1"/>
        <v>5.0690476190476188</v>
      </c>
      <c r="K125">
        <f>DAY(weather.tbl[[#This Row],[Date]])</f>
        <v>4</v>
      </c>
      <c r="L125">
        <f>MONTH(weather.tbl[[#This Row],[Date]])</f>
        <v>5</v>
      </c>
      <c r="M125">
        <f>YEAR(weather.tbl[[#This Row],[Date]])</f>
        <v>2014</v>
      </c>
    </row>
    <row r="126" spans="1:13" x14ac:dyDescent="0.25">
      <c r="A126" s="1">
        <v>41764</v>
      </c>
      <c r="B126" s="2">
        <v>6.9</v>
      </c>
      <c r="C126" s="2">
        <v>7</v>
      </c>
      <c r="D126" s="2">
        <v>6.3</v>
      </c>
      <c r="E126" s="2">
        <v>7.3</v>
      </c>
      <c r="F126" s="2">
        <v>7.2</v>
      </c>
      <c r="G126" s="2">
        <v>5.0999999999999996</v>
      </c>
      <c r="H126" s="2">
        <f>AVERAGE(weather.tbl[[#This Row],[Estevan]:[Kipling]])</f>
        <v>6.6333333333333337</v>
      </c>
      <c r="I126" s="2">
        <f>_xlfn.STDEV.S(weather.tbl[[#This Row],[Estevan]:[Kipling]])</f>
        <v>0.82865352631039713</v>
      </c>
      <c r="J126" s="2">
        <f t="shared" si="1"/>
        <v>5.8357142857142863</v>
      </c>
      <c r="K126">
        <f>DAY(weather.tbl[[#This Row],[Date]])</f>
        <v>5</v>
      </c>
      <c r="L126">
        <f>MONTH(weather.tbl[[#This Row],[Date]])</f>
        <v>5</v>
      </c>
      <c r="M126">
        <f>YEAR(weather.tbl[[#This Row],[Date]])</f>
        <v>2014</v>
      </c>
    </row>
    <row r="127" spans="1:13" x14ac:dyDescent="0.25">
      <c r="A127" s="1">
        <v>41765</v>
      </c>
      <c r="B127" s="2">
        <v>9.3000000000000007</v>
      </c>
      <c r="C127" s="2">
        <v>6.4</v>
      </c>
      <c r="D127" s="2">
        <v>8.3000000000000007</v>
      </c>
      <c r="E127" s="2">
        <v>7.5</v>
      </c>
      <c r="F127" s="2">
        <v>9.6</v>
      </c>
      <c r="G127" s="2">
        <v>6.6</v>
      </c>
      <c r="H127" s="2">
        <f>AVERAGE(weather.tbl[[#This Row],[Estevan]:[Kipling]])</f>
        <v>7.95</v>
      </c>
      <c r="I127" s="2">
        <f>_xlfn.STDEV.S(weather.tbl[[#This Row],[Estevan]:[Kipling]])</f>
        <v>1.3487030807408955</v>
      </c>
      <c r="J127" s="2">
        <f t="shared" si="1"/>
        <v>6.3380952380952396</v>
      </c>
      <c r="K127">
        <f>DAY(weather.tbl[[#This Row],[Date]])</f>
        <v>6</v>
      </c>
      <c r="L127">
        <f>MONTH(weather.tbl[[#This Row],[Date]])</f>
        <v>5</v>
      </c>
      <c r="M127">
        <f>YEAR(weather.tbl[[#This Row],[Date]])</f>
        <v>2014</v>
      </c>
    </row>
    <row r="128" spans="1:13" x14ac:dyDescent="0.25">
      <c r="A128" s="1">
        <v>41766</v>
      </c>
      <c r="B128" s="2">
        <v>5.4</v>
      </c>
      <c r="C128" s="2">
        <v>4.7</v>
      </c>
      <c r="D128" s="2">
        <v>6.5</v>
      </c>
      <c r="E128" s="2">
        <v>6.3</v>
      </c>
      <c r="F128" s="2">
        <v>4.9000000000000004</v>
      </c>
      <c r="G128" s="2">
        <v>5.2</v>
      </c>
      <c r="H128" s="2">
        <f>AVERAGE(weather.tbl[[#This Row],[Estevan]:[Kipling]])</f>
        <v>5.5000000000000009</v>
      </c>
      <c r="I128" s="2">
        <f>_xlfn.STDEV.S(weather.tbl[[#This Row],[Estevan]:[Kipling]])</f>
        <v>0.74027022093285577</v>
      </c>
      <c r="J128" s="2">
        <f t="shared" si="1"/>
        <v>6.1071428571428568</v>
      </c>
      <c r="K128">
        <f>DAY(weather.tbl[[#This Row],[Date]])</f>
        <v>7</v>
      </c>
      <c r="L128">
        <f>MONTH(weather.tbl[[#This Row],[Date]])</f>
        <v>5</v>
      </c>
      <c r="M128">
        <f>YEAR(weather.tbl[[#This Row],[Date]])</f>
        <v>2014</v>
      </c>
    </row>
    <row r="129" spans="1:13" x14ac:dyDescent="0.25">
      <c r="A129" s="1">
        <v>41767</v>
      </c>
      <c r="B129" s="2">
        <v>4.7</v>
      </c>
      <c r="C129" s="2">
        <v>4.5999999999999996</v>
      </c>
      <c r="D129" s="2">
        <v>4.3</v>
      </c>
      <c r="E129" s="2">
        <v>5</v>
      </c>
      <c r="F129" s="2">
        <v>5.4</v>
      </c>
      <c r="G129" s="2">
        <v>4.7</v>
      </c>
      <c r="H129" s="2">
        <f>AVERAGE(weather.tbl[[#This Row],[Estevan]:[Kipling]])</f>
        <v>4.7833333333333332</v>
      </c>
      <c r="I129" s="2">
        <f>_xlfn.STDEV.S(weather.tbl[[#This Row],[Estevan]:[Kipling]])</f>
        <v>0.37638632635454072</v>
      </c>
      <c r="J129" s="2">
        <f t="shared" si="1"/>
        <v>5.4952380952380944</v>
      </c>
      <c r="K129">
        <f>DAY(weather.tbl[[#This Row],[Date]])</f>
        <v>8</v>
      </c>
      <c r="L129">
        <f>MONTH(weather.tbl[[#This Row],[Date]])</f>
        <v>5</v>
      </c>
      <c r="M129">
        <f>YEAR(weather.tbl[[#This Row],[Date]])</f>
        <v>2014</v>
      </c>
    </row>
    <row r="130" spans="1:13" x14ac:dyDescent="0.25">
      <c r="A130" s="1">
        <v>41768</v>
      </c>
      <c r="B130" s="2">
        <v>9.1</v>
      </c>
      <c r="C130" s="2">
        <v>9.6</v>
      </c>
      <c r="D130" s="2">
        <v>8</v>
      </c>
      <c r="E130" s="2">
        <v>12.3</v>
      </c>
      <c r="F130" s="2">
        <v>8.1999999999999993</v>
      </c>
      <c r="G130" s="2">
        <v>9.9</v>
      </c>
      <c r="H130" s="2">
        <f>AVERAGE(weather.tbl[[#This Row],[Estevan]:[Kipling]])</f>
        <v>9.5166666666666675</v>
      </c>
      <c r="I130" s="2">
        <f>_xlfn.STDEV.S(weather.tbl[[#This Row],[Estevan]:[Kipling]])</f>
        <v>1.5561705133649868</v>
      </c>
      <c r="J130" s="2">
        <f t="shared" si="1"/>
        <v>5.6166666666666663</v>
      </c>
      <c r="K130">
        <f>DAY(weather.tbl[[#This Row],[Date]])</f>
        <v>9</v>
      </c>
      <c r="L130">
        <f>MONTH(weather.tbl[[#This Row],[Date]])</f>
        <v>5</v>
      </c>
      <c r="M130">
        <f>YEAR(weather.tbl[[#This Row],[Date]])</f>
        <v>2014</v>
      </c>
    </row>
    <row r="131" spans="1:13" x14ac:dyDescent="0.25">
      <c r="A131" s="1">
        <v>41769</v>
      </c>
      <c r="B131" s="2">
        <v>10.6</v>
      </c>
      <c r="C131" s="2">
        <v>10.1</v>
      </c>
      <c r="D131" s="2">
        <v>9.5</v>
      </c>
      <c r="E131" s="2">
        <v>9.3000000000000007</v>
      </c>
      <c r="F131" s="2">
        <v>11.6</v>
      </c>
      <c r="G131" s="2">
        <v>9.1</v>
      </c>
      <c r="H131" s="2">
        <f>AVERAGE(weather.tbl[[#This Row],[Estevan]:[Kipling]])</f>
        <v>10.033333333333333</v>
      </c>
      <c r="I131" s="2">
        <f>_xlfn.STDEV.S(weather.tbl[[#This Row],[Estevan]:[Kipling]])</f>
        <v>0.94586820787394377</v>
      </c>
      <c r="J131" s="2">
        <f t="shared" si="1"/>
        <v>6.6952380952380954</v>
      </c>
      <c r="K131">
        <f>DAY(weather.tbl[[#This Row],[Date]])</f>
        <v>10</v>
      </c>
      <c r="L131">
        <f>MONTH(weather.tbl[[#This Row],[Date]])</f>
        <v>5</v>
      </c>
      <c r="M131">
        <f>YEAR(weather.tbl[[#This Row],[Date]])</f>
        <v>2014</v>
      </c>
    </row>
    <row r="132" spans="1:13" x14ac:dyDescent="0.25">
      <c r="A132" s="1">
        <v>41770</v>
      </c>
      <c r="B132" s="2">
        <v>6.2</v>
      </c>
      <c r="C132" s="2">
        <v>6.9</v>
      </c>
      <c r="D132" s="2">
        <v>6.3</v>
      </c>
      <c r="E132" s="2">
        <v>9.8000000000000007</v>
      </c>
      <c r="F132" s="2">
        <v>5.4</v>
      </c>
      <c r="G132" s="2">
        <v>7.9</v>
      </c>
      <c r="H132" s="2">
        <f>AVERAGE(weather.tbl[[#This Row],[Estevan]:[Kipling]])</f>
        <v>7.083333333333333</v>
      </c>
      <c r="I132" s="2">
        <f>_xlfn.STDEV.S(weather.tbl[[#This Row],[Estevan]:[Kipling]])</f>
        <v>1.5689699381016411</v>
      </c>
      <c r="J132" s="2">
        <f t="shared" si="1"/>
        <v>7.3571428571428568</v>
      </c>
      <c r="K132">
        <f>DAY(weather.tbl[[#This Row],[Date]])</f>
        <v>11</v>
      </c>
      <c r="L132">
        <f>MONTH(weather.tbl[[#This Row],[Date]])</f>
        <v>5</v>
      </c>
      <c r="M132">
        <f>YEAR(weather.tbl[[#This Row],[Date]])</f>
        <v>2014</v>
      </c>
    </row>
    <row r="133" spans="1:13" x14ac:dyDescent="0.25">
      <c r="A133" s="1">
        <v>41771</v>
      </c>
      <c r="B133" s="2">
        <v>5.6</v>
      </c>
      <c r="C133" s="2">
        <v>4.4000000000000004</v>
      </c>
      <c r="D133" s="2">
        <v>5.3</v>
      </c>
      <c r="E133" s="2">
        <v>5.5</v>
      </c>
      <c r="F133" s="2">
        <v>6.8</v>
      </c>
      <c r="G133" s="2">
        <v>4.7</v>
      </c>
      <c r="H133" s="2">
        <f>AVERAGE(weather.tbl[[#This Row],[Estevan]:[Kipling]])</f>
        <v>5.3833333333333337</v>
      </c>
      <c r="I133" s="2">
        <f>_xlfn.STDEV.S(weather.tbl[[#This Row],[Estevan]:[Kipling]])</f>
        <v>0.83765545820860332</v>
      </c>
      <c r="J133" s="2">
        <f t="shared" si="1"/>
        <v>7.1785714285714288</v>
      </c>
      <c r="K133">
        <f>DAY(weather.tbl[[#This Row],[Date]])</f>
        <v>12</v>
      </c>
      <c r="L133">
        <f>MONTH(weather.tbl[[#This Row],[Date]])</f>
        <v>5</v>
      </c>
      <c r="M133">
        <f>YEAR(weather.tbl[[#This Row],[Date]])</f>
        <v>2014</v>
      </c>
    </row>
    <row r="134" spans="1:13" x14ac:dyDescent="0.25">
      <c r="A134" s="1">
        <v>41772</v>
      </c>
      <c r="B134" s="2">
        <v>5.4</v>
      </c>
      <c r="C134" s="2">
        <v>4.2</v>
      </c>
      <c r="D134" s="2">
        <v>4.8</v>
      </c>
      <c r="E134" s="2">
        <v>6</v>
      </c>
      <c r="F134" s="2">
        <v>6.1</v>
      </c>
      <c r="G134" s="2">
        <v>4.5</v>
      </c>
      <c r="H134" s="2">
        <f>AVERAGE(weather.tbl[[#This Row],[Estevan]:[Kipling]])</f>
        <v>5.166666666666667</v>
      </c>
      <c r="I134" s="2">
        <f>_xlfn.STDEV.S(weather.tbl[[#This Row],[Estevan]:[Kipling]])</f>
        <v>0.79162280580253042</v>
      </c>
      <c r="J134" s="2">
        <f t="shared" si="1"/>
        <v>6.7809523809523808</v>
      </c>
      <c r="K134">
        <f>DAY(weather.tbl[[#This Row],[Date]])</f>
        <v>13</v>
      </c>
      <c r="L134">
        <f>MONTH(weather.tbl[[#This Row],[Date]])</f>
        <v>5</v>
      </c>
      <c r="M134">
        <f>YEAR(weather.tbl[[#This Row],[Date]])</f>
        <v>2014</v>
      </c>
    </row>
    <row r="135" spans="1:13" x14ac:dyDescent="0.25">
      <c r="A135" s="1">
        <v>41773</v>
      </c>
      <c r="B135" s="2">
        <v>3.8</v>
      </c>
      <c r="C135" s="2">
        <v>3.4</v>
      </c>
      <c r="D135" s="2">
        <v>4</v>
      </c>
      <c r="E135" s="2">
        <v>5.8</v>
      </c>
      <c r="F135" s="2">
        <v>4.3</v>
      </c>
      <c r="G135" s="2">
        <v>3.8</v>
      </c>
      <c r="H135" s="2">
        <f>AVERAGE(weather.tbl[[#This Row],[Estevan]:[Kipling]])</f>
        <v>4.1833333333333336</v>
      </c>
      <c r="I135" s="2">
        <f>_xlfn.STDEV.S(weather.tbl[[#This Row],[Estevan]:[Kipling]])</f>
        <v>0.8447879418331341</v>
      </c>
      <c r="J135" s="2">
        <f t="shared" si="1"/>
        <v>6.5928571428571434</v>
      </c>
      <c r="K135">
        <f>DAY(weather.tbl[[#This Row],[Date]])</f>
        <v>14</v>
      </c>
      <c r="L135">
        <f>MONTH(weather.tbl[[#This Row],[Date]])</f>
        <v>5</v>
      </c>
      <c r="M135">
        <f>YEAR(weather.tbl[[#This Row],[Date]])</f>
        <v>2014</v>
      </c>
    </row>
    <row r="136" spans="1:13" x14ac:dyDescent="0.25">
      <c r="A136" s="1">
        <v>41774</v>
      </c>
      <c r="B136" s="2">
        <v>7.8</v>
      </c>
      <c r="C136" s="2">
        <v>8.6</v>
      </c>
      <c r="D136" s="2">
        <v>6.8</v>
      </c>
      <c r="E136" s="2">
        <v>8.5</v>
      </c>
      <c r="F136" s="2">
        <v>6.9</v>
      </c>
      <c r="G136" s="2">
        <v>8.6</v>
      </c>
      <c r="H136" s="2">
        <f>AVERAGE(weather.tbl[[#This Row],[Estevan]:[Kipling]])</f>
        <v>7.8666666666666671</v>
      </c>
      <c r="I136" s="2">
        <f>_xlfn.STDEV.S(weather.tbl[[#This Row],[Estevan]:[Kipling]])</f>
        <v>0.84301047838485754</v>
      </c>
      <c r="J136" s="2">
        <f t="shared" si="1"/>
        <v>7.0333333333333323</v>
      </c>
      <c r="K136">
        <f>DAY(weather.tbl[[#This Row],[Date]])</f>
        <v>15</v>
      </c>
      <c r="L136">
        <f>MONTH(weather.tbl[[#This Row],[Date]])</f>
        <v>5</v>
      </c>
      <c r="M136">
        <f>YEAR(weather.tbl[[#This Row],[Date]])</f>
        <v>2014</v>
      </c>
    </row>
    <row r="137" spans="1:13" x14ac:dyDescent="0.25">
      <c r="A137" s="1">
        <v>41775</v>
      </c>
      <c r="B137" s="2">
        <v>10.4</v>
      </c>
      <c r="C137" s="2">
        <v>11.5</v>
      </c>
      <c r="D137" s="2">
        <v>9.3000000000000007</v>
      </c>
      <c r="E137" s="2">
        <v>12.3</v>
      </c>
      <c r="F137" s="2">
        <v>8.1999999999999993</v>
      </c>
      <c r="G137" s="2">
        <v>10.3</v>
      </c>
      <c r="H137" s="2">
        <f>AVERAGE(weather.tbl[[#This Row],[Estevan]:[Kipling]])</f>
        <v>10.333333333333334</v>
      </c>
      <c r="I137" s="2">
        <f>_xlfn.STDEV.S(weather.tbl[[#This Row],[Estevan]:[Kipling]])</f>
        <v>1.4733182502998778</v>
      </c>
      <c r="J137" s="2">
        <f t="shared" si="1"/>
        <v>7.15</v>
      </c>
      <c r="K137">
        <f>DAY(weather.tbl[[#This Row],[Date]])</f>
        <v>16</v>
      </c>
      <c r="L137">
        <f>MONTH(weather.tbl[[#This Row],[Date]])</f>
        <v>5</v>
      </c>
      <c r="M137">
        <f>YEAR(weather.tbl[[#This Row],[Date]])</f>
        <v>2014</v>
      </c>
    </row>
    <row r="138" spans="1:13" x14ac:dyDescent="0.25">
      <c r="A138" s="1">
        <v>41776</v>
      </c>
      <c r="B138" s="2">
        <v>11.2</v>
      </c>
      <c r="C138" s="2">
        <v>10.199999999999999</v>
      </c>
      <c r="D138" s="2">
        <v>11.8</v>
      </c>
      <c r="E138" s="2">
        <v>14.3</v>
      </c>
      <c r="F138" s="2">
        <v>11.9</v>
      </c>
      <c r="G138" s="2">
        <v>12</v>
      </c>
      <c r="H138" s="2">
        <f>AVERAGE(weather.tbl[[#This Row],[Estevan]:[Kipling]])</f>
        <v>11.9</v>
      </c>
      <c r="I138" s="2">
        <f>_xlfn.STDEV.S(weather.tbl[[#This Row],[Estevan]:[Kipling]])</f>
        <v>1.3535139452550797</v>
      </c>
      <c r="J138" s="2">
        <f t="shared" ref="J138:J201" si="2">AVERAGE(H132:H138)</f>
        <v>7.4166666666666661</v>
      </c>
      <c r="K138">
        <f>DAY(weather.tbl[[#This Row],[Date]])</f>
        <v>17</v>
      </c>
      <c r="L138">
        <f>MONTH(weather.tbl[[#This Row],[Date]])</f>
        <v>5</v>
      </c>
      <c r="M138">
        <f>YEAR(weather.tbl[[#This Row],[Date]])</f>
        <v>2014</v>
      </c>
    </row>
    <row r="139" spans="1:13" x14ac:dyDescent="0.25">
      <c r="A139" s="1">
        <v>41777</v>
      </c>
      <c r="B139" s="2">
        <v>13.7</v>
      </c>
      <c r="C139" s="2">
        <v>12.4</v>
      </c>
      <c r="D139" s="2">
        <v>12.3</v>
      </c>
      <c r="E139" s="2">
        <v>12</v>
      </c>
      <c r="F139" s="2">
        <v>12.3</v>
      </c>
      <c r="G139" s="2">
        <v>12.2</v>
      </c>
      <c r="H139" s="2">
        <f>AVERAGE(weather.tbl[[#This Row],[Estevan]:[Kipling]])</f>
        <v>12.483333333333334</v>
      </c>
      <c r="I139" s="2">
        <f>_xlfn.STDEV.S(weather.tbl[[#This Row],[Estevan]:[Kipling]])</f>
        <v>0.61128280416405167</v>
      </c>
      <c r="J139" s="2">
        <f t="shared" si="2"/>
        <v>8.1880952380952383</v>
      </c>
      <c r="K139">
        <f>DAY(weather.tbl[[#This Row],[Date]])</f>
        <v>18</v>
      </c>
      <c r="L139">
        <f>MONTH(weather.tbl[[#This Row],[Date]])</f>
        <v>5</v>
      </c>
      <c r="M139">
        <f>YEAR(weather.tbl[[#This Row],[Date]])</f>
        <v>2014</v>
      </c>
    </row>
    <row r="140" spans="1:13" x14ac:dyDescent="0.25">
      <c r="A140" s="1">
        <v>41778</v>
      </c>
      <c r="B140" s="2">
        <v>9.6999999999999993</v>
      </c>
      <c r="C140" s="2">
        <v>9</v>
      </c>
      <c r="D140" s="2">
        <v>9.3000000000000007</v>
      </c>
      <c r="E140" s="2">
        <v>10</v>
      </c>
      <c r="F140" s="2">
        <v>11.9</v>
      </c>
      <c r="G140" s="2">
        <v>7.8</v>
      </c>
      <c r="H140" s="2">
        <f>AVERAGE(weather.tbl[[#This Row],[Estevan]:[Kipling]])</f>
        <v>9.6166666666666654</v>
      </c>
      <c r="I140" s="2">
        <f>_xlfn.STDEV.S(weather.tbl[[#This Row],[Estevan]:[Kipling]])</f>
        <v>1.3526517166908432</v>
      </c>
      <c r="J140" s="2">
        <f t="shared" si="2"/>
        <v>8.7928571428571427</v>
      </c>
      <c r="K140">
        <f>DAY(weather.tbl[[#This Row],[Date]])</f>
        <v>19</v>
      </c>
      <c r="L140">
        <f>MONTH(weather.tbl[[#This Row],[Date]])</f>
        <v>5</v>
      </c>
      <c r="M140">
        <f>YEAR(weather.tbl[[#This Row],[Date]])</f>
        <v>2014</v>
      </c>
    </row>
    <row r="141" spans="1:13" x14ac:dyDescent="0.25">
      <c r="A141" s="1">
        <v>41779</v>
      </c>
      <c r="B141" s="2">
        <v>10.1</v>
      </c>
      <c r="C141" s="2">
        <v>9.3000000000000007</v>
      </c>
      <c r="D141" s="2">
        <v>8.3000000000000007</v>
      </c>
      <c r="E141" s="2">
        <v>12</v>
      </c>
      <c r="F141" s="2">
        <v>8.6</v>
      </c>
      <c r="G141" s="2">
        <v>8.1999999999999993</v>
      </c>
      <c r="H141" s="2">
        <f>AVERAGE(weather.tbl[[#This Row],[Estevan]:[Kipling]])</f>
        <v>9.4166666666666661</v>
      </c>
      <c r="I141" s="2">
        <f>_xlfn.STDEV.S(weather.tbl[[#This Row],[Estevan]:[Kipling]])</f>
        <v>1.4524691620363779</v>
      </c>
      <c r="J141" s="2">
        <f t="shared" si="2"/>
        <v>9.4</v>
      </c>
      <c r="K141">
        <f>DAY(weather.tbl[[#This Row],[Date]])</f>
        <v>20</v>
      </c>
      <c r="L141">
        <f>MONTH(weather.tbl[[#This Row],[Date]])</f>
        <v>5</v>
      </c>
      <c r="M141">
        <f>YEAR(weather.tbl[[#This Row],[Date]])</f>
        <v>2014</v>
      </c>
    </row>
    <row r="142" spans="1:13" x14ac:dyDescent="0.25">
      <c r="A142" s="1">
        <v>41780</v>
      </c>
      <c r="B142" s="2">
        <v>11.2</v>
      </c>
      <c r="C142" s="2">
        <v>11.3</v>
      </c>
      <c r="D142" s="2">
        <v>10.8</v>
      </c>
      <c r="E142" s="2">
        <v>11.8</v>
      </c>
      <c r="F142" s="2">
        <v>10.5</v>
      </c>
      <c r="G142" s="2">
        <v>10.5</v>
      </c>
      <c r="H142" s="2">
        <f>AVERAGE(weather.tbl[[#This Row],[Estevan]:[Kipling]])</f>
        <v>11.016666666666666</v>
      </c>
      <c r="I142" s="2">
        <f>_xlfn.STDEV.S(weather.tbl[[#This Row],[Estevan]:[Kipling]])</f>
        <v>0.51153364177409366</v>
      </c>
      <c r="J142" s="2">
        <f t="shared" si="2"/>
        <v>10.376190476190475</v>
      </c>
      <c r="K142">
        <f>DAY(weather.tbl[[#This Row],[Date]])</f>
        <v>21</v>
      </c>
      <c r="L142">
        <f>MONTH(weather.tbl[[#This Row],[Date]])</f>
        <v>5</v>
      </c>
      <c r="M142">
        <f>YEAR(weather.tbl[[#This Row],[Date]])</f>
        <v>2014</v>
      </c>
    </row>
    <row r="143" spans="1:13" x14ac:dyDescent="0.25">
      <c r="A143" s="1">
        <v>41781</v>
      </c>
      <c r="B143" s="2">
        <v>16.5</v>
      </c>
      <c r="C143" s="2">
        <v>16.8</v>
      </c>
      <c r="D143" s="2">
        <v>15</v>
      </c>
      <c r="E143" s="2">
        <v>17</v>
      </c>
      <c r="F143" s="2">
        <v>16.600000000000001</v>
      </c>
      <c r="G143" s="2">
        <v>17.5</v>
      </c>
      <c r="H143" s="2">
        <f>AVERAGE(weather.tbl[[#This Row],[Estevan]:[Kipling]])</f>
        <v>16.566666666666666</v>
      </c>
      <c r="I143" s="2">
        <f>_xlfn.STDEV.S(weather.tbl[[#This Row],[Estevan]:[Kipling]])</f>
        <v>0.84537959915452576</v>
      </c>
      <c r="J143" s="2">
        <f t="shared" si="2"/>
        <v>11.619047619047619</v>
      </c>
      <c r="K143">
        <f>DAY(weather.tbl[[#This Row],[Date]])</f>
        <v>22</v>
      </c>
      <c r="L143">
        <f>MONTH(weather.tbl[[#This Row],[Date]])</f>
        <v>5</v>
      </c>
      <c r="M143">
        <f>YEAR(weather.tbl[[#This Row],[Date]])</f>
        <v>2014</v>
      </c>
    </row>
    <row r="144" spans="1:13" x14ac:dyDescent="0.25">
      <c r="A144" s="1">
        <v>41782</v>
      </c>
      <c r="B144" s="2">
        <v>20.399999999999999</v>
      </c>
      <c r="C144" s="2">
        <v>20.2</v>
      </c>
      <c r="D144" s="2">
        <v>19.5</v>
      </c>
      <c r="E144" s="2">
        <v>20.5</v>
      </c>
      <c r="F144" s="2">
        <v>21.2</v>
      </c>
      <c r="G144" s="2">
        <v>21</v>
      </c>
      <c r="H144" s="2">
        <f>AVERAGE(weather.tbl[[#This Row],[Estevan]:[Kipling]])</f>
        <v>20.466666666666665</v>
      </c>
      <c r="I144" s="2">
        <f>_xlfn.STDEV.S(weather.tbl[[#This Row],[Estevan]:[Kipling]])</f>
        <v>0.60553007081949828</v>
      </c>
      <c r="J144" s="2">
        <f t="shared" si="2"/>
        <v>13.066666666666666</v>
      </c>
      <c r="K144">
        <f>DAY(weather.tbl[[#This Row],[Date]])</f>
        <v>23</v>
      </c>
      <c r="L144">
        <f>MONTH(weather.tbl[[#This Row],[Date]])</f>
        <v>5</v>
      </c>
      <c r="M144">
        <f>YEAR(weather.tbl[[#This Row],[Date]])</f>
        <v>2014</v>
      </c>
    </row>
    <row r="145" spans="1:13" x14ac:dyDescent="0.25">
      <c r="A145" s="1">
        <v>41783</v>
      </c>
      <c r="B145" s="2">
        <v>22.3</v>
      </c>
      <c r="C145" s="2">
        <v>21.1</v>
      </c>
      <c r="D145" s="2">
        <v>21.3</v>
      </c>
      <c r="E145" s="2">
        <v>23.8</v>
      </c>
      <c r="F145" s="2">
        <v>23.1</v>
      </c>
      <c r="G145" s="2">
        <v>23.3</v>
      </c>
      <c r="H145" s="2">
        <f>AVERAGE(weather.tbl[[#This Row],[Estevan]:[Kipling]])</f>
        <v>22.483333333333334</v>
      </c>
      <c r="I145" s="2">
        <f>_xlfn.STDEV.S(weather.tbl[[#This Row],[Estevan]:[Kipling]])</f>
        <v>1.1070983093956319</v>
      </c>
      <c r="J145" s="2">
        <f t="shared" si="2"/>
        <v>14.578571428571427</v>
      </c>
      <c r="K145">
        <f>DAY(weather.tbl[[#This Row],[Date]])</f>
        <v>24</v>
      </c>
      <c r="L145">
        <f>MONTH(weather.tbl[[#This Row],[Date]])</f>
        <v>5</v>
      </c>
      <c r="M145">
        <f>YEAR(weather.tbl[[#This Row],[Date]])</f>
        <v>2014</v>
      </c>
    </row>
    <row r="146" spans="1:13" x14ac:dyDescent="0.25">
      <c r="A146" s="1">
        <v>41784</v>
      </c>
      <c r="B146" s="2">
        <v>16.8</v>
      </c>
      <c r="C146" s="2">
        <v>17.399999999999999</v>
      </c>
      <c r="D146" s="2">
        <v>18.3</v>
      </c>
      <c r="E146" s="2">
        <v>19.3</v>
      </c>
      <c r="F146" s="2">
        <v>17</v>
      </c>
      <c r="G146" s="2">
        <v>13.4</v>
      </c>
      <c r="H146" s="2">
        <f>AVERAGE(weather.tbl[[#This Row],[Estevan]:[Kipling]])</f>
        <v>17.033333333333335</v>
      </c>
      <c r="I146" s="2">
        <f>_xlfn.STDEV.S(weather.tbl[[#This Row],[Estevan]:[Kipling]])</f>
        <v>2.0066555924389933</v>
      </c>
      <c r="J146" s="2">
        <f t="shared" si="2"/>
        <v>15.228571428571428</v>
      </c>
      <c r="K146">
        <f>DAY(weather.tbl[[#This Row],[Date]])</f>
        <v>25</v>
      </c>
      <c r="L146">
        <f>MONTH(weather.tbl[[#This Row],[Date]])</f>
        <v>5</v>
      </c>
      <c r="M146">
        <f>YEAR(weather.tbl[[#This Row],[Date]])</f>
        <v>2014</v>
      </c>
    </row>
    <row r="147" spans="1:13" x14ac:dyDescent="0.25">
      <c r="A147" s="1">
        <v>41785</v>
      </c>
      <c r="B147" s="2">
        <v>17.3</v>
      </c>
      <c r="C147" s="2">
        <v>18.5</v>
      </c>
      <c r="D147" s="2">
        <v>15.5</v>
      </c>
      <c r="E147" s="2">
        <v>18</v>
      </c>
      <c r="F147" s="2">
        <v>16</v>
      </c>
      <c r="G147" s="2">
        <v>15.2</v>
      </c>
      <c r="H147" s="2">
        <f>AVERAGE(weather.tbl[[#This Row],[Estevan]:[Kipling]])</f>
        <v>16.75</v>
      </c>
      <c r="I147" s="2">
        <f>_xlfn.STDEV.S(weather.tbl[[#This Row],[Estevan]:[Kipling]])</f>
        <v>1.3751363568752011</v>
      </c>
      <c r="J147" s="2">
        <f t="shared" si="2"/>
        <v>16.247619047619047</v>
      </c>
      <c r="K147">
        <f>DAY(weather.tbl[[#This Row],[Date]])</f>
        <v>26</v>
      </c>
      <c r="L147">
        <f>MONTH(weather.tbl[[#This Row],[Date]])</f>
        <v>5</v>
      </c>
      <c r="M147">
        <f>YEAR(weather.tbl[[#This Row],[Date]])</f>
        <v>2014</v>
      </c>
    </row>
    <row r="148" spans="1:13" x14ac:dyDescent="0.25">
      <c r="A148" s="1">
        <v>41786</v>
      </c>
      <c r="B148" s="2">
        <v>18.3</v>
      </c>
      <c r="C148" s="2">
        <v>17.7</v>
      </c>
      <c r="D148" s="2">
        <v>17.3</v>
      </c>
      <c r="E148" s="2">
        <v>18.5</v>
      </c>
      <c r="F148" s="2">
        <v>18.100000000000001</v>
      </c>
      <c r="G148" s="2">
        <v>17.2</v>
      </c>
      <c r="H148" s="2">
        <f>AVERAGE(weather.tbl[[#This Row],[Estevan]:[Kipling]])</f>
        <v>17.850000000000001</v>
      </c>
      <c r="I148" s="2">
        <f>_xlfn.STDEV.S(weather.tbl[[#This Row],[Estevan]:[Kipling]])</f>
        <v>0.53572380943915521</v>
      </c>
      <c r="J148" s="2">
        <f t="shared" si="2"/>
        <v>17.452380952380953</v>
      </c>
      <c r="K148">
        <f>DAY(weather.tbl[[#This Row],[Date]])</f>
        <v>27</v>
      </c>
      <c r="L148">
        <f>MONTH(weather.tbl[[#This Row],[Date]])</f>
        <v>5</v>
      </c>
      <c r="M148">
        <f>YEAR(weather.tbl[[#This Row],[Date]])</f>
        <v>2014</v>
      </c>
    </row>
    <row r="149" spans="1:13" x14ac:dyDescent="0.25">
      <c r="A149" s="1">
        <v>41787</v>
      </c>
      <c r="B149" s="2">
        <v>18.7</v>
      </c>
      <c r="C149" s="2">
        <v>19.2</v>
      </c>
      <c r="D149" s="2">
        <v>17.3</v>
      </c>
      <c r="E149" s="2">
        <v>19.8</v>
      </c>
      <c r="F149" s="2">
        <v>18.600000000000001</v>
      </c>
      <c r="G149" s="2">
        <v>18.2</v>
      </c>
      <c r="H149" s="2">
        <f>AVERAGE(weather.tbl[[#This Row],[Estevan]:[Kipling]])</f>
        <v>18.633333333333333</v>
      </c>
      <c r="I149" s="2">
        <f>_xlfn.STDEV.S(weather.tbl[[#This Row],[Estevan]:[Kipling]])</f>
        <v>0.8547904226573122</v>
      </c>
      <c r="J149" s="2">
        <f t="shared" si="2"/>
        <v>18.540476190476191</v>
      </c>
      <c r="K149">
        <f>DAY(weather.tbl[[#This Row],[Date]])</f>
        <v>28</v>
      </c>
      <c r="L149">
        <f>MONTH(weather.tbl[[#This Row],[Date]])</f>
        <v>5</v>
      </c>
      <c r="M149">
        <f>YEAR(weather.tbl[[#This Row],[Date]])</f>
        <v>2014</v>
      </c>
    </row>
    <row r="150" spans="1:13" x14ac:dyDescent="0.25">
      <c r="A150" s="1">
        <v>41788</v>
      </c>
      <c r="B150" s="2">
        <v>21.7</v>
      </c>
      <c r="C150" s="2">
        <v>19.5</v>
      </c>
      <c r="D150" s="2">
        <v>23.5</v>
      </c>
      <c r="E150" s="2">
        <v>20</v>
      </c>
      <c r="F150" s="2">
        <v>24.7</v>
      </c>
      <c r="G150" s="2">
        <v>21.6</v>
      </c>
      <c r="H150" s="2">
        <f>AVERAGE(weather.tbl[[#This Row],[Estevan]:[Kipling]])</f>
        <v>21.833333333333332</v>
      </c>
      <c r="I150" s="2">
        <f>_xlfn.STDEV.S(weather.tbl[[#This Row],[Estevan]:[Kipling]])</f>
        <v>1.9936566070080037</v>
      </c>
      <c r="J150" s="2">
        <f t="shared" si="2"/>
        <v>19.292857142857144</v>
      </c>
      <c r="K150">
        <f>DAY(weather.tbl[[#This Row],[Date]])</f>
        <v>29</v>
      </c>
      <c r="L150">
        <f>MONTH(weather.tbl[[#This Row],[Date]])</f>
        <v>5</v>
      </c>
      <c r="M150">
        <f>YEAR(weather.tbl[[#This Row],[Date]])</f>
        <v>2014</v>
      </c>
    </row>
    <row r="151" spans="1:13" x14ac:dyDescent="0.25">
      <c r="A151" s="1">
        <v>41789</v>
      </c>
      <c r="B151" s="2">
        <v>16.5</v>
      </c>
      <c r="C151" s="2">
        <v>15</v>
      </c>
      <c r="D151" s="2">
        <v>17</v>
      </c>
      <c r="E151" s="2">
        <v>16.5</v>
      </c>
      <c r="F151" s="2">
        <v>19.5</v>
      </c>
      <c r="G151" s="2">
        <v>16.3</v>
      </c>
      <c r="H151" s="2">
        <f>AVERAGE(weather.tbl[[#This Row],[Estevan]:[Kipling]])</f>
        <v>16.8</v>
      </c>
      <c r="I151" s="2">
        <f>_xlfn.STDEV.S(weather.tbl[[#This Row],[Estevan]:[Kipling]])</f>
        <v>1.4832396974191326</v>
      </c>
      <c r="J151" s="2">
        <f t="shared" si="2"/>
        <v>18.769047619047619</v>
      </c>
      <c r="K151">
        <f>DAY(weather.tbl[[#This Row],[Date]])</f>
        <v>30</v>
      </c>
      <c r="L151">
        <f>MONTH(weather.tbl[[#This Row],[Date]])</f>
        <v>5</v>
      </c>
      <c r="M151">
        <f>YEAR(weather.tbl[[#This Row],[Date]])</f>
        <v>2014</v>
      </c>
    </row>
    <row r="152" spans="1:13" x14ac:dyDescent="0.25">
      <c r="A152" s="1">
        <v>41790</v>
      </c>
      <c r="B152" s="2">
        <v>18.2</v>
      </c>
      <c r="C152" s="2">
        <v>17.600000000000001</v>
      </c>
      <c r="D152" s="2">
        <v>16</v>
      </c>
      <c r="E152" s="2">
        <v>17.5</v>
      </c>
      <c r="F152" s="2">
        <v>19.100000000000001</v>
      </c>
      <c r="G152" s="2">
        <v>18.399999999999999</v>
      </c>
      <c r="H152" s="2">
        <f>AVERAGE(weather.tbl[[#This Row],[Estevan]:[Kipling]])</f>
        <v>17.8</v>
      </c>
      <c r="I152" s="2">
        <f>_xlfn.STDEV.S(weather.tbl[[#This Row],[Estevan]:[Kipling]])</f>
        <v>1.0564090116995406</v>
      </c>
      <c r="J152" s="2">
        <f t="shared" si="2"/>
        <v>18.099999999999998</v>
      </c>
      <c r="K152">
        <f>DAY(weather.tbl[[#This Row],[Date]])</f>
        <v>31</v>
      </c>
      <c r="L152">
        <f>MONTH(weather.tbl[[#This Row],[Date]])</f>
        <v>5</v>
      </c>
      <c r="M152">
        <f>YEAR(weather.tbl[[#This Row],[Date]])</f>
        <v>2014</v>
      </c>
    </row>
    <row r="153" spans="1:13" x14ac:dyDescent="0.25">
      <c r="A153" s="1">
        <v>41791</v>
      </c>
      <c r="B153" s="2">
        <v>13.4</v>
      </c>
      <c r="C153" s="2">
        <v>11.8</v>
      </c>
      <c r="D153" s="2">
        <v>14.5</v>
      </c>
      <c r="E153" s="2">
        <v>13.5</v>
      </c>
      <c r="F153" s="2">
        <v>15.1</v>
      </c>
      <c r="G153" s="2">
        <v>12.4</v>
      </c>
      <c r="H153" s="2">
        <f>AVERAGE(weather.tbl[[#This Row],[Estevan]:[Kipling]])</f>
        <v>13.450000000000001</v>
      </c>
      <c r="I153" s="2">
        <f>_xlfn.STDEV.S(weather.tbl[[#This Row],[Estevan]:[Kipling]])</f>
        <v>1.2373358476985945</v>
      </c>
      <c r="J153" s="2">
        <f t="shared" si="2"/>
        <v>17.588095238095239</v>
      </c>
      <c r="K153">
        <f>DAY(weather.tbl[[#This Row],[Date]])</f>
        <v>1</v>
      </c>
      <c r="L153">
        <f>MONTH(weather.tbl[[#This Row],[Date]])</f>
        <v>6</v>
      </c>
      <c r="M153">
        <f>YEAR(weather.tbl[[#This Row],[Date]])</f>
        <v>2014</v>
      </c>
    </row>
    <row r="154" spans="1:13" x14ac:dyDescent="0.25">
      <c r="A154" s="1">
        <v>41792</v>
      </c>
      <c r="B154" s="2">
        <v>13.7</v>
      </c>
      <c r="C154" s="2">
        <v>13.6</v>
      </c>
      <c r="D154" s="2">
        <v>12</v>
      </c>
      <c r="E154" s="2">
        <v>13</v>
      </c>
      <c r="F154" s="2">
        <v>13.1</v>
      </c>
      <c r="G154" s="2">
        <v>12.4</v>
      </c>
      <c r="H154" s="2">
        <f>AVERAGE(weather.tbl[[#This Row],[Estevan]:[Kipling]])</f>
        <v>12.966666666666667</v>
      </c>
      <c r="I154" s="2">
        <f>_xlfn.STDEV.S(weather.tbl[[#This Row],[Estevan]:[Kipling]])</f>
        <v>0.66533199732664761</v>
      </c>
      <c r="J154" s="2">
        <f t="shared" si="2"/>
        <v>17.047619047619047</v>
      </c>
      <c r="K154">
        <f>DAY(weather.tbl[[#This Row],[Date]])</f>
        <v>2</v>
      </c>
      <c r="L154">
        <f>MONTH(weather.tbl[[#This Row],[Date]])</f>
        <v>6</v>
      </c>
      <c r="M154">
        <f>YEAR(weather.tbl[[#This Row],[Date]])</f>
        <v>2014</v>
      </c>
    </row>
    <row r="155" spans="1:13" x14ac:dyDescent="0.25">
      <c r="A155" s="1">
        <v>41793</v>
      </c>
      <c r="B155" s="2">
        <v>15.3</v>
      </c>
      <c r="C155" s="2">
        <v>15.1</v>
      </c>
      <c r="D155" s="2">
        <v>14.3</v>
      </c>
      <c r="E155" s="2">
        <v>17</v>
      </c>
      <c r="F155" s="2">
        <v>16.600000000000001</v>
      </c>
      <c r="G155" s="2">
        <v>15.7</v>
      </c>
      <c r="H155" s="2">
        <f>AVERAGE(weather.tbl[[#This Row],[Estevan]:[Kipling]])</f>
        <v>15.66666666666667</v>
      </c>
      <c r="I155" s="2">
        <f>_xlfn.STDEV.S(weather.tbl[[#This Row],[Estevan]:[Kipling]])</f>
        <v>0.99732976826457298</v>
      </c>
      <c r="J155" s="2">
        <f t="shared" si="2"/>
        <v>16.735714285714288</v>
      </c>
      <c r="K155">
        <f>DAY(weather.tbl[[#This Row],[Date]])</f>
        <v>3</v>
      </c>
      <c r="L155">
        <f>MONTH(weather.tbl[[#This Row],[Date]])</f>
        <v>6</v>
      </c>
      <c r="M155">
        <f>YEAR(weather.tbl[[#This Row],[Date]])</f>
        <v>2014</v>
      </c>
    </row>
    <row r="156" spans="1:13" x14ac:dyDescent="0.25">
      <c r="A156" s="1">
        <v>41794</v>
      </c>
      <c r="B156" s="2">
        <v>19</v>
      </c>
      <c r="C156" s="2">
        <v>18.100000000000001</v>
      </c>
      <c r="D156" s="2">
        <v>16.5</v>
      </c>
      <c r="E156" s="2">
        <v>18.5</v>
      </c>
      <c r="F156" s="2">
        <v>18.100000000000001</v>
      </c>
      <c r="G156" s="2">
        <v>17.100000000000001</v>
      </c>
      <c r="H156" s="2">
        <f>AVERAGE(weather.tbl[[#This Row],[Estevan]:[Kipling]])</f>
        <v>17.883333333333329</v>
      </c>
      <c r="I156" s="2">
        <f>_xlfn.STDEV.S(weather.tbl[[#This Row],[Estevan]:[Kipling]])</f>
        <v>0.92177365262122046</v>
      </c>
      <c r="J156" s="2">
        <f t="shared" si="2"/>
        <v>16.62857142857143</v>
      </c>
      <c r="K156">
        <f>DAY(weather.tbl[[#This Row],[Date]])</f>
        <v>4</v>
      </c>
      <c r="L156">
        <f>MONTH(weather.tbl[[#This Row],[Date]])</f>
        <v>6</v>
      </c>
      <c r="M156">
        <f>YEAR(weather.tbl[[#This Row],[Date]])</f>
        <v>2014</v>
      </c>
    </row>
    <row r="157" spans="1:13" x14ac:dyDescent="0.25">
      <c r="A157" s="1">
        <v>41795</v>
      </c>
      <c r="B157" s="2">
        <v>17</v>
      </c>
      <c r="C157" s="2">
        <v>15</v>
      </c>
      <c r="D157" s="2">
        <v>16.8</v>
      </c>
      <c r="E157" s="2">
        <v>15.5</v>
      </c>
      <c r="F157" s="2">
        <v>18.2</v>
      </c>
      <c r="G157" s="2">
        <v>16.8</v>
      </c>
      <c r="H157" s="2">
        <f>AVERAGE(weather.tbl[[#This Row],[Estevan]:[Kipling]])</f>
        <v>16.55</v>
      </c>
      <c r="I157" s="2">
        <f>_xlfn.STDEV.S(weather.tbl[[#This Row],[Estevan]:[Kipling]])</f>
        <v>1.1449890829173872</v>
      </c>
      <c r="J157" s="2">
        <f t="shared" si="2"/>
        <v>15.873809523809523</v>
      </c>
      <c r="K157">
        <f>DAY(weather.tbl[[#This Row],[Date]])</f>
        <v>5</v>
      </c>
      <c r="L157">
        <f>MONTH(weather.tbl[[#This Row],[Date]])</f>
        <v>6</v>
      </c>
      <c r="M157">
        <f>YEAR(weather.tbl[[#This Row],[Date]])</f>
        <v>2014</v>
      </c>
    </row>
    <row r="158" spans="1:13" x14ac:dyDescent="0.25">
      <c r="A158" s="1">
        <v>41796</v>
      </c>
      <c r="B158" s="2">
        <v>10.4</v>
      </c>
      <c r="C158" s="2">
        <v>9.8000000000000007</v>
      </c>
      <c r="D158" s="2">
        <v>10</v>
      </c>
      <c r="E158" s="2">
        <v>10.5</v>
      </c>
      <c r="F158" s="2">
        <v>12.9</v>
      </c>
      <c r="G158" s="2">
        <v>9.3000000000000007</v>
      </c>
      <c r="H158" s="2">
        <f>AVERAGE(weather.tbl[[#This Row],[Estevan]:[Kipling]])</f>
        <v>10.483333333333334</v>
      </c>
      <c r="I158" s="2">
        <f>_xlfn.STDEV.S(weather.tbl[[#This Row],[Estevan]:[Kipling]])</f>
        <v>1.2608198390994065</v>
      </c>
      <c r="J158" s="2">
        <f t="shared" si="2"/>
        <v>14.971428571428572</v>
      </c>
      <c r="K158">
        <f>DAY(weather.tbl[[#This Row],[Date]])</f>
        <v>6</v>
      </c>
      <c r="L158">
        <f>MONTH(weather.tbl[[#This Row],[Date]])</f>
        <v>6</v>
      </c>
      <c r="M158">
        <f>YEAR(weather.tbl[[#This Row],[Date]])</f>
        <v>2014</v>
      </c>
    </row>
    <row r="159" spans="1:13" x14ac:dyDescent="0.25">
      <c r="A159" s="1">
        <v>41797</v>
      </c>
      <c r="B159" s="2">
        <v>13.1</v>
      </c>
      <c r="C159" s="2">
        <v>12.3</v>
      </c>
      <c r="D159" s="2">
        <v>12.3</v>
      </c>
      <c r="E159" s="2">
        <v>12</v>
      </c>
      <c r="F159" s="2">
        <v>13.5</v>
      </c>
      <c r="G159" s="2">
        <v>12.2</v>
      </c>
      <c r="H159" s="2">
        <f>AVERAGE(weather.tbl[[#This Row],[Estevan]:[Kipling]])</f>
        <v>12.566666666666668</v>
      </c>
      <c r="I159" s="2">
        <f>_xlfn.STDEV.S(weather.tbl[[#This Row],[Estevan]:[Kipling]])</f>
        <v>0.59217114643206537</v>
      </c>
      <c r="J159" s="2">
        <f t="shared" si="2"/>
        <v>14.223809523809523</v>
      </c>
      <c r="K159">
        <f>DAY(weather.tbl[[#This Row],[Date]])</f>
        <v>7</v>
      </c>
      <c r="L159">
        <f>MONTH(weather.tbl[[#This Row],[Date]])</f>
        <v>6</v>
      </c>
      <c r="M159">
        <f>YEAR(weather.tbl[[#This Row],[Date]])</f>
        <v>2014</v>
      </c>
    </row>
    <row r="160" spans="1:13" x14ac:dyDescent="0.25">
      <c r="A160" s="1">
        <v>41798</v>
      </c>
      <c r="B160" s="2">
        <v>14.9</v>
      </c>
      <c r="C160" s="2">
        <v>12.6</v>
      </c>
      <c r="D160" s="2">
        <v>13.3</v>
      </c>
      <c r="E160" s="2">
        <v>13</v>
      </c>
      <c r="F160" s="2">
        <v>15.8</v>
      </c>
      <c r="G160" s="2">
        <v>13.4</v>
      </c>
      <c r="H160" s="2">
        <f>AVERAGE(weather.tbl[[#This Row],[Estevan]:[Kipling]])</f>
        <v>13.833333333333334</v>
      </c>
      <c r="I160" s="2">
        <f>_xlfn.STDEV.S(weather.tbl[[#This Row],[Estevan]:[Kipling]])</f>
        <v>1.2404300329590006</v>
      </c>
      <c r="J160" s="2">
        <f t="shared" si="2"/>
        <v>14.278571428571427</v>
      </c>
      <c r="K160">
        <f>DAY(weather.tbl[[#This Row],[Date]])</f>
        <v>8</v>
      </c>
      <c r="L160">
        <f>MONTH(weather.tbl[[#This Row],[Date]])</f>
        <v>6</v>
      </c>
      <c r="M160">
        <f>YEAR(weather.tbl[[#This Row],[Date]])</f>
        <v>2014</v>
      </c>
    </row>
    <row r="161" spans="1:13" x14ac:dyDescent="0.25">
      <c r="A161" s="1">
        <v>41799</v>
      </c>
      <c r="B161" s="2">
        <v>16</v>
      </c>
      <c r="C161" s="2">
        <v>14.1</v>
      </c>
      <c r="D161" s="2">
        <v>12.8</v>
      </c>
      <c r="E161" s="2">
        <v>14.5</v>
      </c>
      <c r="F161" s="2">
        <v>16.2</v>
      </c>
      <c r="G161" s="2">
        <v>12.8</v>
      </c>
      <c r="H161" s="2">
        <f>AVERAGE(weather.tbl[[#This Row],[Estevan]:[Kipling]])</f>
        <v>14.4</v>
      </c>
      <c r="I161" s="2">
        <f>_xlfn.STDEV.S(weather.tbl[[#This Row],[Estevan]:[Kipling]])</f>
        <v>1.4845874847916503</v>
      </c>
      <c r="J161" s="2">
        <f t="shared" si="2"/>
        <v>14.483333333333333</v>
      </c>
      <c r="K161">
        <f>DAY(weather.tbl[[#This Row],[Date]])</f>
        <v>9</v>
      </c>
      <c r="L161">
        <f>MONTH(weather.tbl[[#This Row],[Date]])</f>
        <v>6</v>
      </c>
      <c r="M161">
        <f>YEAR(weather.tbl[[#This Row],[Date]])</f>
        <v>2014</v>
      </c>
    </row>
    <row r="162" spans="1:13" x14ac:dyDescent="0.25">
      <c r="A162" s="1">
        <v>41800</v>
      </c>
      <c r="B162" s="2">
        <v>15.9</v>
      </c>
      <c r="C162" s="2">
        <v>14.9</v>
      </c>
      <c r="D162" s="2">
        <v>15.3</v>
      </c>
      <c r="E162" s="2">
        <v>15.5</v>
      </c>
      <c r="F162" s="2">
        <v>18</v>
      </c>
      <c r="G162" s="2">
        <v>14.8</v>
      </c>
      <c r="H162" s="2">
        <f>AVERAGE(weather.tbl[[#This Row],[Estevan]:[Kipling]])</f>
        <v>15.733333333333333</v>
      </c>
      <c r="I162" s="2">
        <f>_xlfn.STDEV.S(weather.tbl[[#This Row],[Estevan]:[Kipling]])</f>
        <v>1.1809600614189568</v>
      </c>
      <c r="J162" s="2">
        <f t="shared" si="2"/>
        <v>14.492857142857144</v>
      </c>
      <c r="K162">
        <f>DAY(weather.tbl[[#This Row],[Date]])</f>
        <v>10</v>
      </c>
      <c r="L162">
        <f>MONTH(weather.tbl[[#This Row],[Date]])</f>
        <v>6</v>
      </c>
      <c r="M162">
        <f>YEAR(weather.tbl[[#This Row],[Date]])</f>
        <v>2014</v>
      </c>
    </row>
    <row r="163" spans="1:13" x14ac:dyDescent="0.25">
      <c r="A163" s="1">
        <v>41801</v>
      </c>
      <c r="B163" s="2">
        <v>11.4</v>
      </c>
      <c r="C163" s="2">
        <v>12.3</v>
      </c>
      <c r="D163" s="2">
        <v>10.5</v>
      </c>
      <c r="E163" s="2">
        <v>14</v>
      </c>
      <c r="F163" s="2">
        <v>18</v>
      </c>
      <c r="G163" s="2">
        <v>11.7</v>
      </c>
      <c r="H163" s="2">
        <f>AVERAGE(weather.tbl[[#This Row],[Estevan]:[Kipling]])</f>
        <v>12.983333333333334</v>
      </c>
      <c r="I163" s="2">
        <f>_xlfn.STDEV.S(weather.tbl[[#This Row],[Estevan]:[Kipling]])</f>
        <v>2.7198651927377986</v>
      </c>
      <c r="J163" s="2">
        <f t="shared" si="2"/>
        <v>13.792857142857144</v>
      </c>
      <c r="K163">
        <f>DAY(weather.tbl[[#This Row],[Date]])</f>
        <v>11</v>
      </c>
      <c r="L163">
        <f>MONTH(weather.tbl[[#This Row],[Date]])</f>
        <v>6</v>
      </c>
      <c r="M163">
        <f>YEAR(weather.tbl[[#This Row],[Date]])</f>
        <v>2014</v>
      </c>
    </row>
    <row r="164" spans="1:13" x14ac:dyDescent="0.25">
      <c r="A164" s="1">
        <v>41802</v>
      </c>
      <c r="B164" s="2">
        <v>12.9</v>
      </c>
      <c r="C164" s="2">
        <v>12.7</v>
      </c>
      <c r="D164" s="2">
        <v>12.5</v>
      </c>
      <c r="E164" s="2">
        <v>15.5</v>
      </c>
      <c r="F164" s="2">
        <v>14.5</v>
      </c>
      <c r="G164" s="2">
        <v>13.6</v>
      </c>
      <c r="H164" s="2">
        <f>AVERAGE(weather.tbl[[#This Row],[Estevan]:[Kipling]])</f>
        <v>13.616666666666665</v>
      </c>
      <c r="I164" s="2">
        <f>_xlfn.STDEV.S(weather.tbl[[#This Row],[Estevan]:[Kipling]])</f>
        <v>1.1771434350437786</v>
      </c>
      <c r="J164" s="2">
        <f t="shared" si="2"/>
        <v>13.373809523809523</v>
      </c>
      <c r="K164">
        <f>DAY(weather.tbl[[#This Row],[Date]])</f>
        <v>12</v>
      </c>
      <c r="L164">
        <f>MONTH(weather.tbl[[#This Row],[Date]])</f>
        <v>6</v>
      </c>
      <c r="M164">
        <f>YEAR(weather.tbl[[#This Row],[Date]])</f>
        <v>2014</v>
      </c>
    </row>
    <row r="165" spans="1:13" x14ac:dyDescent="0.25">
      <c r="A165" s="1">
        <v>41803</v>
      </c>
      <c r="B165" s="2">
        <v>11.7</v>
      </c>
      <c r="C165" s="2">
        <v>11.3</v>
      </c>
      <c r="D165" s="2">
        <v>8.5</v>
      </c>
      <c r="E165" s="2">
        <v>11.3</v>
      </c>
      <c r="F165" s="2">
        <v>12.9</v>
      </c>
      <c r="G165" s="2">
        <v>12.7</v>
      </c>
      <c r="H165" s="2">
        <f>AVERAGE(weather.tbl[[#This Row],[Estevan]:[Kipling]])</f>
        <v>11.399999999999999</v>
      </c>
      <c r="I165" s="2">
        <f>_xlfn.STDEV.S(weather.tbl[[#This Row],[Estevan]:[Kipling]])</f>
        <v>1.5786069808536989</v>
      </c>
      <c r="J165" s="2">
        <f t="shared" si="2"/>
        <v>13.504761904761905</v>
      </c>
      <c r="K165">
        <f>DAY(weather.tbl[[#This Row],[Date]])</f>
        <v>13</v>
      </c>
      <c r="L165">
        <f>MONTH(weather.tbl[[#This Row],[Date]])</f>
        <v>6</v>
      </c>
      <c r="M165">
        <f>YEAR(weather.tbl[[#This Row],[Date]])</f>
        <v>2014</v>
      </c>
    </row>
    <row r="166" spans="1:13" x14ac:dyDescent="0.25">
      <c r="A166" s="1">
        <v>41804</v>
      </c>
      <c r="B166" s="2">
        <v>13.7</v>
      </c>
      <c r="C166" s="2">
        <v>11.9</v>
      </c>
      <c r="D166" s="2">
        <v>12.3</v>
      </c>
      <c r="E166" s="2">
        <v>13.5</v>
      </c>
      <c r="F166" s="2">
        <v>13.5</v>
      </c>
      <c r="G166" s="2">
        <v>10.9</v>
      </c>
      <c r="H166" s="2">
        <f>AVERAGE(weather.tbl[[#This Row],[Estevan]:[Kipling]])</f>
        <v>12.633333333333335</v>
      </c>
      <c r="I166" s="2">
        <f>_xlfn.STDEV.S(weather.tbl[[#This Row],[Estevan]:[Kipling]])</f>
        <v>1.1219031449580066</v>
      </c>
      <c r="J166" s="2">
        <f t="shared" si="2"/>
        <v>13.514285714285716</v>
      </c>
      <c r="K166">
        <f>DAY(weather.tbl[[#This Row],[Date]])</f>
        <v>14</v>
      </c>
      <c r="L166">
        <f>MONTH(weather.tbl[[#This Row],[Date]])</f>
        <v>6</v>
      </c>
      <c r="M166">
        <f>YEAR(weather.tbl[[#This Row],[Date]])</f>
        <v>2014</v>
      </c>
    </row>
    <row r="167" spans="1:13" x14ac:dyDescent="0.25">
      <c r="A167" s="1">
        <v>41805</v>
      </c>
      <c r="B167" s="2">
        <v>14.8</v>
      </c>
      <c r="C167" s="2">
        <v>12.1</v>
      </c>
      <c r="D167" s="2">
        <v>15.3</v>
      </c>
      <c r="E167" s="2">
        <v>13</v>
      </c>
      <c r="F167" s="2">
        <v>16.3</v>
      </c>
      <c r="G167" s="2">
        <v>14.3</v>
      </c>
      <c r="H167" s="2">
        <f>AVERAGE(weather.tbl[[#This Row],[Estevan]:[Kipling]])</f>
        <v>14.299999999999999</v>
      </c>
      <c r="I167" s="2">
        <f>_xlfn.STDEV.S(weather.tbl[[#This Row],[Estevan]:[Kipling]])</f>
        <v>1.5349267083479918</v>
      </c>
      <c r="J167" s="2">
        <f t="shared" si="2"/>
        <v>13.580952380952381</v>
      </c>
      <c r="K167">
        <f>DAY(weather.tbl[[#This Row],[Date]])</f>
        <v>15</v>
      </c>
      <c r="L167">
        <f>MONTH(weather.tbl[[#This Row],[Date]])</f>
        <v>6</v>
      </c>
      <c r="M167">
        <f>YEAR(weather.tbl[[#This Row],[Date]])</f>
        <v>2014</v>
      </c>
    </row>
    <row r="168" spans="1:13" x14ac:dyDescent="0.25">
      <c r="A168" s="1">
        <v>41806</v>
      </c>
      <c r="B168" s="2">
        <v>14.4</v>
      </c>
      <c r="C168" s="2">
        <v>14.4</v>
      </c>
      <c r="D168" s="2">
        <v>13.5</v>
      </c>
      <c r="E168" s="2">
        <v>14.5</v>
      </c>
      <c r="F168" s="2">
        <v>15.6</v>
      </c>
      <c r="G168" s="2">
        <v>14.3</v>
      </c>
      <c r="H168" s="2">
        <f>AVERAGE(weather.tbl[[#This Row],[Estevan]:[Kipling]])</f>
        <v>14.449999999999998</v>
      </c>
      <c r="I168" s="2">
        <f>_xlfn.STDEV.S(weather.tbl[[#This Row],[Estevan]:[Kipling]])</f>
        <v>0.67156533561523246</v>
      </c>
      <c r="J168" s="2">
        <f t="shared" si="2"/>
        <v>13.588095238095239</v>
      </c>
      <c r="K168">
        <f>DAY(weather.tbl[[#This Row],[Date]])</f>
        <v>16</v>
      </c>
      <c r="L168">
        <f>MONTH(weather.tbl[[#This Row],[Date]])</f>
        <v>6</v>
      </c>
      <c r="M168">
        <f>YEAR(weather.tbl[[#This Row],[Date]])</f>
        <v>2014</v>
      </c>
    </row>
    <row r="169" spans="1:13" x14ac:dyDescent="0.25">
      <c r="A169" s="1">
        <v>41807</v>
      </c>
      <c r="B169" s="2">
        <v>16.8</v>
      </c>
      <c r="C169" s="2">
        <v>16.399999999999999</v>
      </c>
      <c r="D169" s="2">
        <v>15.3</v>
      </c>
      <c r="E169" s="2">
        <v>16.8</v>
      </c>
      <c r="F169" s="2">
        <v>16.3</v>
      </c>
      <c r="G169" s="2">
        <v>15.1</v>
      </c>
      <c r="H169" s="2">
        <f>AVERAGE(weather.tbl[[#This Row],[Estevan]:[Kipling]])</f>
        <v>16.116666666666664</v>
      </c>
      <c r="I169" s="2">
        <f>_xlfn.STDEV.S(weather.tbl[[#This Row],[Estevan]:[Kipling]])</f>
        <v>0.7413950813612582</v>
      </c>
      <c r="J169" s="2">
        <f t="shared" si="2"/>
        <v>13.642857142857142</v>
      </c>
      <c r="K169">
        <f>DAY(weather.tbl[[#This Row],[Date]])</f>
        <v>17</v>
      </c>
      <c r="L169">
        <f>MONTH(weather.tbl[[#This Row],[Date]])</f>
        <v>6</v>
      </c>
      <c r="M169">
        <f>YEAR(weather.tbl[[#This Row],[Date]])</f>
        <v>2014</v>
      </c>
    </row>
    <row r="170" spans="1:13" x14ac:dyDescent="0.25">
      <c r="A170" s="1">
        <v>41808</v>
      </c>
      <c r="B170" s="2">
        <v>17.5</v>
      </c>
      <c r="C170" s="2">
        <v>16</v>
      </c>
      <c r="D170" s="2">
        <v>15.3</v>
      </c>
      <c r="E170" s="2">
        <v>16</v>
      </c>
      <c r="F170" s="2">
        <v>18.899999999999999</v>
      </c>
      <c r="G170" s="2">
        <v>16.600000000000001</v>
      </c>
      <c r="H170" s="2">
        <f>AVERAGE(weather.tbl[[#This Row],[Estevan]:[Kipling]])</f>
        <v>16.716666666666665</v>
      </c>
      <c r="I170" s="2">
        <f>_xlfn.STDEV.S(weather.tbl[[#This Row],[Estevan]:[Kipling]])</f>
        <v>1.2983322635853523</v>
      </c>
      <c r="J170" s="2">
        <f t="shared" si="2"/>
        <v>14.176190476190474</v>
      </c>
      <c r="K170">
        <f>DAY(weather.tbl[[#This Row],[Date]])</f>
        <v>18</v>
      </c>
      <c r="L170">
        <f>MONTH(weather.tbl[[#This Row],[Date]])</f>
        <v>6</v>
      </c>
      <c r="M170">
        <f>YEAR(weather.tbl[[#This Row],[Date]])</f>
        <v>2014</v>
      </c>
    </row>
    <row r="171" spans="1:13" x14ac:dyDescent="0.25">
      <c r="A171" s="1">
        <v>41809</v>
      </c>
      <c r="B171" s="2">
        <v>17.3</v>
      </c>
      <c r="C171" s="2">
        <v>16.8</v>
      </c>
      <c r="D171" s="2">
        <v>16.8</v>
      </c>
      <c r="E171" s="2">
        <v>17</v>
      </c>
      <c r="F171" s="2">
        <v>16.399999999999999</v>
      </c>
      <c r="G171" s="2">
        <v>16.3</v>
      </c>
      <c r="H171" s="2">
        <f>AVERAGE(weather.tbl[[#This Row],[Estevan]:[Kipling]])</f>
        <v>16.766666666666669</v>
      </c>
      <c r="I171" s="2">
        <f>_xlfn.STDEV.S(weather.tbl[[#This Row],[Estevan]:[Kipling]])</f>
        <v>0.37237973450050543</v>
      </c>
      <c r="J171" s="2">
        <f t="shared" si="2"/>
        <v>14.626190476190475</v>
      </c>
      <c r="K171">
        <f>DAY(weather.tbl[[#This Row],[Date]])</f>
        <v>19</v>
      </c>
      <c r="L171">
        <f>MONTH(weather.tbl[[#This Row],[Date]])</f>
        <v>6</v>
      </c>
      <c r="M171">
        <f>YEAR(weather.tbl[[#This Row],[Date]])</f>
        <v>2014</v>
      </c>
    </row>
    <row r="172" spans="1:13" x14ac:dyDescent="0.25">
      <c r="A172" s="1">
        <v>41810</v>
      </c>
      <c r="B172" s="2">
        <v>15.5</v>
      </c>
      <c r="C172" s="2">
        <v>13.4</v>
      </c>
      <c r="D172" s="2">
        <v>14.3</v>
      </c>
      <c r="E172" s="2">
        <v>15</v>
      </c>
      <c r="F172" s="2">
        <v>17.2</v>
      </c>
      <c r="G172" s="2">
        <v>13.6</v>
      </c>
      <c r="H172" s="2">
        <f>AVERAGE(weather.tbl[[#This Row],[Estevan]:[Kipling]])</f>
        <v>14.833333333333334</v>
      </c>
      <c r="I172" s="2">
        <f>_xlfn.STDEV.S(weather.tbl[[#This Row],[Estevan]:[Kipling]])</f>
        <v>1.4094916341243979</v>
      </c>
      <c r="J172" s="2">
        <f t="shared" si="2"/>
        <v>15.116666666666665</v>
      </c>
      <c r="K172">
        <f>DAY(weather.tbl[[#This Row],[Date]])</f>
        <v>20</v>
      </c>
      <c r="L172">
        <f>MONTH(weather.tbl[[#This Row],[Date]])</f>
        <v>6</v>
      </c>
      <c r="M172">
        <f>YEAR(weather.tbl[[#This Row],[Date]])</f>
        <v>2014</v>
      </c>
    </row>
    <row r="173" spans="1:13" x14ac:dyDescent="0.25">
      <c r="A173" s="1">
        <v>41811</v>
      </c>
      <c r="B173" s="2">
        <v>18.5</v>
      </c>
      <c r="C173" s="2">
        <v>16.899999999999999</v>
      </c>
      <c r="D173" s="2">
        <v>16.8</v>
      </c>
      <c r="E173" s="2">
        <v>17</v>
      </c>
      <c r="F173" s="2">
        <v>20.2</v>
      </c>
      <c r="G173" s="2">
        <v>17</v>
      </c>
      <c r="H173" s="2">
        <f>AVERAGE(weather.tbl[[#This Row],[Estevan]:[Kipling]])</f>
        <v>17.733333333333334</v>
      </c>
      <c r="I173" s="2">
        <f>_xlfn.STDEV.S(weather.tbl[[#This Row],[Estevan]:[Kipling]])</f>
        <v>1.3647954669717606</v>
      </c>
      <c r="J173" s="2">
        <f t="shared" si="2"/>
        <v>15.845238095238093</v>
      </c>
      <c r="K173">
        <f>DAY(weather.tbl[[#This Row],[Date]])</f>
        <v>21</v>
      </c>
      <c r="L173">
        <f>MONTH(weather.tbl[[#This Row],[Date]])</f>
        <v>6</v>
      </c>
      <c r="M173">
        <f>YEAR(weather.tbl[[#This Row],[Date]])</f>
        <v>2014</v>
      </c>
    </row>
    <row r="174" spans="1:13" x14ac:dyDescent="0.25">
      <c r="A174" s="1">
        <v>41812</v>
      </c>
      <c r="B174" s="2">
        <v>17.100000000000001</v>
      </c>
      <c r="C174" s="2">
        <v>17.3</v>
      </c>
      <c r="D174" s="2">
        <v>16.3</v>
      </c>
      <c r="E174" s="2">
        <v>17.8</v>
      </c>
      <c r="F174" s="2">
        <v>18.399999999999999</v>
      </c>
      <c r="G174" s="2">
        <v>15.6</v>
      </c>
      <c r="H174" s="2">
        <f>AVERAGE(weather.tbl[[#This Row],[Estevan]:[Kipling]])</f>
        <v>17.083333333333332</v>
      </c>
      <c r="I174" s="2">
        <f>_xlfn.STDEV.S(weather.tbl[[#This Row],[Estevan]:[Kipling]])</f>
        <v>1.0107752800037533</v>
      </c>
      <c r="J174" s="2">
        <f t="shared" si="2"/>
        <v>16.24285714285714</v>
      </c>
      <c r="K174">
        <f>DAY(weather.tbl[[#This Row],[Date]])</f>
        <v>22</v>
      </c>
      <c r="L174">
        <f>MONTH(weather.tbl[[#This Row],[Date]])</f>
        <v>6</v>
      </c>
      <c r="M174">
        <f>YEAR(weather.tbl[[#This Row],[Date]])</f>
        <v>2014</v>
      </c>
    </row>
    <row r="175" spans="1:13" x14ac:dyDescent="0.25">
      <c r="A175" s="1">
        <v>41813</v>
      </c>
      <c r="B175" s="2">
        <v>17</v>
      </c>
      <c r="C175" s="2">
        <v>16.2</v>
      </c>
      <c r="D175" s="2">
        <v>17</v>
      </c>
      <c r="E175" s="2">
        <v>17</v>
      </c>
      <c r="F175" s="2">
        <v>18.2</v>
      </c>
      <c r="G175" s="2">
        <v>16.399999999999999</v>
      </c>
      <c r="H175" s="2">
        <f>AVERAGE(weather.tbl[[#This Row],[Estevan]:[Kipling]])</f>
        <v>16.966666666666669</v>
      </c>
      <c r="I175" s="2">
        <f>_xlfn.STDEV.S(weather.tbl[[#This Row],[Estevan]:[Kipling]])</f>
        <v>0.69761498454854509</v>
      </c>
      <c r="J175" s="2">
        <f t="shared" si="2"/>
        <v>16.602380952380951</v>
      </c>
      <c r="K175">
        <f>DAY(weather.tbl[[#This Row],[Date]])</f>
        <v>23</v>
      </c>
      <c r="L175">
        <f>MONTH(weather.tbl[[#This Row],[Date]])</f>
        <v>6</v>
      </c>
      <c r="M175">
        <f>YEAR(weather.tbl[[#This Row],[Date]])</f>
        <v>2014</v>
      </c>
    </row>
    <row r="176" spans="1:13" x14ac:dyDescent="0.25">
      <c r="A176" s="1">
        <v>41814</v>
      </c>
      <c r="B176" s="2">
        <v>15.9</v>
      </c>
      <c r="C176" s="2">
        <v>17.2</v>
      </c>
      <c r="D176" s="2">
        <v>15</v>
      </c>
      <c r="E176" s="2">
        <v>18.3</v>
      </c>
      <c r="F176" s="2">
        <v>16.3</v>
      </c>
      <c r="G176" s="2">
        <v>15.7</v>
      </c>
      <c r="H176" s="2">
        <f>AVERAGE(weather.tbl[[#This Row],[Estevan]:[Kipling]])</f>
        <v>16.400000000000002</v>
      </c>
      <c r="I176" s="2">
        <f>_xlfn.STDEV.S(weather.tbl[[#This Row],[Estevan]:[Kipling]])</f>
        <v>1.1798304963002102</v>
      </c>
      <c r="J176" s="2">
        <f t="shared" si="2"/>
        <v>16.642857142857146</v>
      </c>
      <c r="K176">
        <f>DAY(weather.tbl[[#This Row],[Date]])</f>
        <v>24</v>
      </c>
      <c r="L176">
        <f>MONTH(weather.tbl[[#This Row],[Date]])</f>
        <v>6</v>
      </c>
      <c r="M176">
        <f>YEAR(weather.tbl[[#This Row],[Date]])</f>
        <v>2014</v>
      </c>
    </row>
    <row r="177" spans="1:13" x14ac:dyDescent="0.25">
      <c r="A177" s="1">
        <v>41815</v>
      </c>
      <c r="B177" s="2">
        <v>15.1</v>
      </c>
      <c r="C177" s="2">
        <v>17.2</v>
      </c>
      <c r="D177" s="2">
        <v>14.5</v>
      </c>
      <c r="E177" s="2">
        <v>17</v>
      </c>
      <c r="F177" s="2">
        <v>16.7</v>
      </c>
      <c r="G177" s="2">
        <v>15.4</v>
      </c>
      <c r="H177" s="2">
        <f>AVERAGE(weather.tbl[[#This Row],[Estevan]:[Kipling]])</f>
        <v>15.983333333333334</v>
      </c>
      <c r="I177" s="2">
        <f>_xlfn.STDEV.S(weather.tbl[[#This Row],[Estevan]:[Kipling]])</f>
        <v>1.1267948645013723</v>
      </c>
      <c r="J177" s="2">
        <f t="shared" si="2"/>
        <v>16.538095238095242</v>
      </c>
      <c r="K177">
        <f>DAY(weather.tbl[[#This Row],[Date]])</f>
        <v>25</v>
      </c>
      <c r="L177">
        <f>MONTH(weather.tbl[[#This Row],[Date]])</f>
        <v>6</v>
      </c>
      <c r="M177">
        <f>YEAR(weather.tbl[[#This Row],[Date]])</f>
        <v>2014</v>
      </c>
    </row>
    <row r="178" spans="1:13" x14ac:dyDescent="0.25">
      <c r="A178" s="1">
        <v>41816</v>
      </c>
      <c r="B178" s="2">
        <v>18.2</v>
      </c>
      <c r="C178" s="2">
        <v>19.2</v>
      </c>
      <c r="D178" s="2">
        <v>14.5</v>
      </c>
      <c r="E178" s="2">
        <v>20</v>
      </c>
      <c r="F178" s="2">
        <v>19.100000000000001</v>
      </c>
      <c r="G178" s="2">
        <v>17.600000000000001</v>
      </c>
      <c r="H178" s="2">
        <f>AVERAGE(weather.tbl[[#This Row],[Estevan]:[Kipling]])</f>
        <v>18.099999999999998</v>
      </c>
      <c r="I178" s="2">
        <f>_xlfn.STDEV.S(weather.tbl[[#This Row],[Estevan]:[Kipling]])</f>
        <v>1.951409746824075</v>
      </c>
      <c r="J178" s="2">
        <f t="shared" si="2"/>
        <v>16.728571428571431</v>
      </c>
      <c r="K178">
        <f>DAY(weather.tbl[[#This Row],[Date]])</f>
        <v>26</v>
      </c>
      <c r="L178">
        <f>MONTH(weather.tbl[[#This Row],[Date]])</f>
        <v>6</v>
      </c>
      <c r="M178">
        <f>YEAR(weather.tbl[[#This Row],[Date]])</f>
        <v>2014</v>
      </c>
    </row>
    <row r="179" spans="1:13" x14ac:dyDescent="0.25">
      <c r="A179" s="1">
        <v>41817</v>
      </c>
      <c r="B179" s="2">
        <v>20.6</v>
      </c>
      <c r="C179" s="2">
        <v>19.5</v>
      </c>
      <c r="D179" s="2">
        <v>14.5</v>
      </c>
      <c r="E179" s="2">
        <v>20</v>
      </c>
      <c r="F179" s="2">
        <v>21.5</v>
      </c>
      <c r="G179" s="2">
        <v>19.8</v>
      </c>
      <c r="H179" s="2">
        <f>AVERAGE(weather.tbl[[#This Row],[Estevan]:[Kipling]])</f>
        <v>19.316666666666666</v>
      </c>
      <c r="I179" s="2">
        <f>_xlfn.STDEV.S(weather.tbl[[#This Row],[Estevan]:[Kipling]])</f>
        <v>2.4636693501090527</v>
      </c>
      <c r="J179" s="2">
        <f t="shared" si="2"/>
        <v>17.369047619047617</v>
      </c>
      <c r="K179">
        <f>DAY(weather.tbl[[#This Row],[Date]])</f>
        <v>27</v>
      </c>
      <c r="L179">
        <f>MONTH(weather.tbl[[#This Row],[Date]])</f>
        <v>6</v>
      </c>
      <c r="M179">
        <f>YEAR(weather.tbl[[#This Row],[Date]])</f>
        <v>2014</v>
      </c>
    </row>
    <row r="180" spans="1:13" x14ac:dyDescent="0.25">
      <c r="A180" s="1">
        <v>41818</v>
      </c>
      <c r="B180" s="2">
        <v>16.399999999999999</v>
      </c>
      <c r="C180" s="2">
        <v>16.2</v>
      </c>
      <c r="D180" s="2">
        <v>14.5</v>
      </c>
      <c r="E180" s="2">
        <v>16.5</v>
      </c>
      <c r="F180" s="2">
        <v>18</v>
      </c>
      <c r="G180" s="2">
        <v>16.8</v>
      </c>
      <c r="H180" s="2">
        <f>AVERAGE(weather.tbl[[#This Row],[Estevan]:[Kipling]])</f>
        <v>16.399999999999999</v>
      </c>
      <c r="I180" s="2">
        <f>_xlfn.STDEV.S(weather.tbl[[#This Row],[Estevan]:[Kipling]])</f>
        <v>1.1296016997154352</v>
      </c>
      <c r="J180" s="2">
        <f t="shared" si="2"/>
        <v>17.178571428571427</v>
      </c>
      <c r="K180">
        <f>DAY(weather.tbl[[#This Row],[Date]])</f>
        <v>28</v>
      </c>
      <c r="L180">
        <f>MONTH(weather.tbl[[#This Row],[Date]])</f>
        <v>6</v>
      </c>
      <c r="M180">
        <f>YEAR(weather.tbl[[#This Row],[Date]])</f>
        <v>2014</v>
      </c>
    </row>
    <row r="181" spans="1:13" x14ac:dyDescent="0.25">
      <c r="A181" s="1">
        <v>41819</v>
      </c>
      <c r="B181" s="2">
        <v>16.600000000000001</v>
      </c>
      <c r="C181" s="2">
        <v>16.3</v>
      </c>
      <c r="D181" s="2">
        <v>14.5</v>
      </c>
      <c r="E181" s="2">
        <v>16.8</v>
      </c>
      <c r="F181" s="2">
        <v>17.100000000000001</v>
      </c>
      <c r="G181" s="2">
        <v>16.3</v>
      </c>
      <c r="H181" s="2">
        <f>AVERAGE(weather.tbl[[#This Row],[Estevan]:[Kipling]])</f>
        <v>16.266666666666669</v>
      </c>
      <c r="I181" s="2">
        <f>_xlfn.STDEV.S(weather.tbl[[#This Row],[Estevan]:[Kipling]])</f>
        <v>0.91796877216312078</v>
      </c>
      <c r="J181" s="2">
        <f t="shared" si="2"/>
        <v>17.06190476190476</v>
      </c>
      <c r="K181">
        <f>DAY(weather.tbl[[#This Row],[Date]])</f>
        <v>29</v>
      </c>
      <c r="L181">
        <f>MONTH(weather.tbl[[#This Row],[Date]])</f>
        <v>6</v>
      </c>
      <c r="M181">
        <f>YEAR(weather.tbl[[#This Row],[Date]])</f>
        <v>2014</v>
      </c>
    </row>
    <row r="182" spans="1:13" x14ac:dyDescent="0.25">
      <c r="A182" s="1">
        <v>41820</v>
      </c>
      <c r="B182" s="2">
        <v>14.7</v>
      </c>
      <c r="C182" s="2">
        <v>15</v>
      </c>
      <c r="D182" s="2">
        <v>17.3</v>
      </c>
      <c r="E182" s="2">
        <v>14.8</v>
      </c>
      <c r="F182" s="2">
        <v>17.899999999999999</v>
      </c>
      <c r="G182" s="2">
        <v>16</v>
      </c>
      <c r="H182" s="2">
        <f>AVERAGE(weather.tbl[[#This Row],[Estevan]:[Kipling]])</f>
        <v>15.949999999999998</v>
      </c>
      <c r="I182" s="2">
        <f>_xlfn.STDEV.S(weather.tbl[[#This Row],[Estevan]:[Kipling]])</f>
        <v>1.3722244714331542</v>
      </c>
      <c r="J182" s="2">
        <f t="shared" si="2"/>
        <v>16.916666666666664</v>
      </c>
      <c r="K182">
        <f>DAY(weather.tbl[[#This Row],[Date]])</f>
        <v>30</v>
      </c>
      <c r="L182">
        <f>MONTH(weather.tbl[[#This Row],[Date]])</f>
        <v>6</v>
      </c>
      <c r="M182">
        <f>YEAR(weather.tbl[[#This Row],[Date]])</f>
        <v>2014</v>
      </c>
    </row>
    <row r="183" spans="1:13" x14ac:dyDescent="0.25">
      <c r="A183" s="1">
        <v>41821</v>
      </c>
      <c r="B183" s="2">
        <v>15</v>
      </c>
      <c r="C183" s="2">
        <v>15.8</v>
      </c>
      <c r="D183" s="2">
        <v>14.5</v>
      </c>
      <c r="E183" s="2">
        <v>16.5</v>
      </c>
      <c r="F183" s="2">
        <v>15.1</v>
      </c>
      <c r="G183" s="2">
        <v>14</v>
      </c>
      <c r="H183" s="2">
        <f>AVERAGE(weather.tbl[[#This Row],[Estevan]:[Kipling]])</f>
        <v>15.149999999999999</v>
      </c>
      <c r="I183" s="2">
        <f>_xlfn.STDEV.S(weather.tbl[[#This Row],[Estevan]:[Kipling]])</f>
        <v>0.89610267268879418</v>
      </c>
      <c r="J183" s="2">
        <f t="shared" si="2"/>
        <v>16.738095238095237</v>
      </c>
      <c r="K183">
        <f>DAY(weather.tbl[[#This Row],[Date]])</f>
        <v>1</v>
      </c>
      <c r="L183">
        <f>MONTH(weather.tbl[[#This Row],[Date]])</f>
        <v>7</v>
      </c>
      <c r="M183">
        <f>YEAR(weather.tbl[[#This Row],[Date]])</f>
        <v>2014</v>
      </c>
    </row>
    <row r="184" spans="1:13" x14ac:dyDescent="0.25">
      <c r="A184" s="1">
        <v>41822</v>
      </c>
      <c r="B184" s="2">
        <v>14.5</v>
      </c>
      <c r="C184" s="2">
        <v>15.1</v>
      </c>
      <c r="D184" s="2">
        <v>14.5</v>
      </c>
      <c r="E184" s="2">
        <v>16</v>
      </c>
      <c r="F184" s="2">
        <v>15.6</v>
      </c>
      <c r="G184" s="2">
        <v>15.3</v>
      </c>
      <c r="H184" s="2">
        <f>AVERAGE(weather.tbl[[#This Row],[Estevan]:[Kipling]])</f>
        <v>15.166666666666666</v>
      </c>
      <c r="I184" s="2">
        <f>_xlfn.STDEV.S(weather.tbl[[#This Row],[Estevan]:[Kipling]])</f>
        <v>0.59888785817268553</v>
      </c>
      <c r="J184" s="2">
        <f t="shared" si="2"/>
        <v>16.621428571428574</v>
      </c>
      <c r="K184">
        <f>DAY(weather.tbl[[#This Row],[Date]])</f>
        <v>2</v>
      </c>
      <c r="L184">
        <f>MONTH(weather.tbl[[#This Row],[Date]])</f>
        <v>7</v>
      </c>
      <c r="M184">
        <f>YEAR(weather.tbl[[#This Row],[Date]])</f>
        <v>2014</v>
      </c>
    </row>
    <row r="185" spans="1:13" x14ac:dyDescent="0.25">
      <c r="A185" s="1">
        <v>41823</v>
      </c>
      <c r="B185" s="2">
        <v>16.600000000000001</v>
      </c>
      <c r="C185" s="2">
        <v>17.399999999999999</v>
      </c>
      <c r="D185" s="2">
        <v>14.8</v>
      </c>
      <c r="E185" s="2">
        <v>17</v>
      </c>
      <c r="F185" s="2">
        <v>17.7</v>
      </c>
      <c r="G185" s="2">
        <v>17.5</v>
      </c>
      <c r="H185" s="2">
        <f>AVERAGE(weather.tbl[[#This Row],[Estevan]:[Kipling]])</f>
        <v>16.833333333333332</v>
      </c>
      <c r="I185" s="2">
        <f>_xlfn.STDEV.S(weather.tbl[[#This Row],[Estevan]:[Kipling]])</f>
        <v>1.0708252269472669</v>
      </c>
      <c r="J185" s="2">
        <f t="shared" si="2"/>
        <v>16.440476190476193</v>
      </c>
      <c r="K185">
        <f>DAY(weather.tbl[[#This Row],[Date]])</f>
        <v>3</v>
      </c>
      <c r="L185">
        <f>MONTH(weather.tbl[[#This Row],[Date]])</f>
        <v>7</v>
      </c>
      <c r="M185">
        <f>YEAR(weather.tbl[[#This Row],[Date]])</f>
        <v>2014</v>
      </c>
    </row>
    <row r="186" spans="1:13" x14ac:dyDescent="0.25">
      <c r="A186" s="1">
        <v>41824</v>
      </c>
      <c r="B186" s="2">
        <v>21.9</v>
      </c>
      <c r="C186" s="2">
        <v>22.3</v>
      </c>
      <c r="D186" s="2">
        <v>20.5</v>
      </c>
      <c r="E186" s="2">
        <v>24.3</v>
      </c>
      <c r="F186" s="2">
        <v>21.3</v>
      </c>
      <c r="G186" s="2">
        <v>20.399999999999999</v>
      </c>
      <c r="H186" s="2">
        <f>AVERAGE(weather.tbl[[#This Row],[Estevan]:[Kipling]])</f>
        <v>21.783333333333331</v>
      </c>
      <c r="I186" s="2">
        <f>_xlfn.STDEV.S(weather.tbl[[#This Row],[Estevan]:[Kipling]])</f>
        <v>1.4427982071886103</v>
      </c>
      <c r="J186" s="2">
        <f t="shared" si="2"/>
        <v>16.792857142857141</v>
      </c>
      <c r="K186">
        <f>DAY(weather.tbl[[#This Row],[Date]])</f>
        <v>4</v>
      </c>
      <c r="L186">
        <f>MONTH(weather.tbl[[#This Row],[Date]])</f>
        <v>7</v>
      </c>
      <c r="M186">
        <f>YEAR(weather.tbl[[#This Row],[Date]])</f>
        <v>2014</v>
      </c>
    </row>
    <row r="187" spans="1:13" x14ac:dyDescent="0.25">
      <c r="A187" s="1">
        <v>41825</v>
      </c>
      <c r="B187" s="2">
        <v>22.8</v>
      </c>
      <c r="C187" s="2">
        <v>22.9</v>
      </c>
      <c r="D187" s="2">
        <v>22.5</v>
      </c>
      <c r="E187" s="2">
        <v>24</v>
      </c>
      <c r="F187" s="2">
        <v>25.2</v>
      </c>
      <c r="G187" s="2">
        <v>23</v>
      </c>
      <c r="H187" s="2">
        <f>AVERAGE(weather.tbl[[#This Row],[Estevan]:[Kipling]])</f>
        <v>23.400000000000002</v>
      </c>
      <c r="I187" s="2">
        <f>_xlfn.STDEV.S(weather.tbl[[#This Row],[Estevan]:[Kipling]])</f>
        <v>1.0178408519999576</v>
      </c>
      <c r="J187" s="2">
        <f t="shared" si="2"/>
        <v>17.792857142857141</v>
      </c>
      <c r="K187">
        <f>DAY(weather.tbl[[#This Row],[Date]])</f>
        <v>5</v>
      </c>
      <c r="L187">
        <f>MONTH(weather.tbl[[#This Row],[Date]])</f>
        <v>7</v>
      </c>
      <c r="M187">
        <f>YEAR(weather.tbl[[#This Row],[Date]])</f>
        <v>2014</v>
      </c>
    </row>
    <row r="188" spans="1:13" x14ac:dyDescent="0.25">
      <c r="A188" s="1">
        <v>41826</v>
      </c>
      <c r="B188" s="2">
        <v>19.399999999999999</v>
      </c>
      <c r="C188" s="2">
        <v>19.7</v>
      </c>
      <c r="D188" s="2">
        <v>21</v>
      </c>
      <c r="E188" s="2">
        <v>23.8</v>
      </c>
      <c r="F188" s="2">
        <v>22.7</v>
      </c>
      <c r="G188" s="2">
        <v>19.600000000000001</v>
      </c>
      <c r="H188" s="2">
        <f>AVERAGE(weather.tbl[[#This Row],[Estevan]:[Kipling]])</f>
        <v>21.033333333333331</v>
      </c>
      <c r="I188" s="2">
        <f>_xlfn.STDEV.S(weather.tbl[[#This Row],[Estevan]:[Kipling]])</f>
        <v>1.8402898322456351</v>
      </c>
      <c r="J188" s="2">
        <f t="shared" si="2"/>
        <v>18.473809523809525</v>
      </c>
      <c r="K188">
        <f>DAY(weather.tbl[[#This Row],[Date]])</f>
        <v>6</v>
      </c>
      <c r="L188">
        <f>MONTH(weather.tbl[[#This Row],[Date]])</f>
        <v>7</v>
      </c>
      <c r="M188">
        <f>YEAR(weather.tbl[[#This Row],[Date]])</f>
        <v>2014</v>
      </c>
    </row>
    <row r="189" spans="1:13" x14ac:dyDescent="0.25">
      <c r="A189" s="1">
        <v>41827</v>
      </c>
      <c r="B189" s="2">
        <v>17.8</v>
      </c>
      <c r="C189" s="2">
        <v>17.8</v>
      </c>
      <c r="D189" s="2">
        <v>17.8</v>
      </c>
      <c r="E189" s="2">
        <v>18.5</v>
      </c>
      <c r="F189" s="2">
        <v>19.2</v>
      </c>
      <c r="G189" s="2">
        <v>17.5</v>
      </c>
      <c r="H189" s="2">
        <f>AVERAGE(weather.tbl[[#This Row],[Estevan]:[Kipling]])</f>
        <v>18.100000000000001</v>
      </c>
      <c r="I189" s="2">
        <f>_xlfn.STDEV.S(weather.tbl[[#This Row],[Estevan]:[Kipling]])</f>
        <v>0.63245553203367544</v>
      </c>
      <c r="J189" s="2">
        <f t="shared" si="2"/>
        <v>18.780952380952382</v>
      </c>
      <c r="K189">
        <f>DAY(weather.tbl[[#This Row],[Date]])</f>
        <v>7</v>
      </c>
      <c r="L189">
        <f>MONTH(weather.tbl[[#This Row],[Date]])</f>
        <v>7</v>
      </c>
      <c r="M189">
        <f>YEAR(weather.tbl[[#This Row],[Date]])</f>
        <v>2014</v>
      </c>
    </row>
    <row r="190" spans="1:13" x14ac:dyDescent="0.25">
      <c r="A190" s="1">
        <v>41828</v>
      </c>
      <c r="B190" s="2">
        <v>18.2</v>
      </c>
      <c r="C190" s="2">
        <v>18</v>
      </c>
      <c r="D190" s="2">
        <v>18</v>
      </c>
      <c r="E190" s="2">
        <v>19.3</v>
      </c>
      <c r="F190" s="2">
        <v>19.100000000000001</v>
      </c>
      <c r="G190" s="2">
        <v>17.5</v>
      </c>
      <c r="H190" s="2">
        <f>AVERAGE(weather.tbl[[#This Row],[Estevan]:[Kipling]])</f>
        <v>18.349999999999998</v>
      </c>
      <c r="I190" s="2">
        <f>_xlfn.STDEV.S(weather.tbl[[#This Row],[Estevan]:[Kipling]])</f>
        <v>0.70071392165419455</v>
      </c>
      <c r="J190" s="2">
        <f t="shared" si="2"/>
        <v>19.238095238095237</v>
      </c>
      <c r="K190">
        <f>DAY(weather.tbl[[#This Row],[Date]])</f>
        <v>8</v>
      </c>
      <c r="L190">
        <f>MONTH(weather.tbl[[#This Row],[Date]])</f>
        <v>7</v>
      </c>
      <c r="M190">
        <f>YEAR(weather.tbl[[#This Row],[Date]])</f>
        <v>2014</v>
      </c>
    </row>
    <row r="191" spans="1:13" x14ac:dyDescent="0.25">
      <c r="A191" s="1">
        <v>41829</v>
      </c>
      <c r="B191" s="2">
        <v>17.7</v>
      </c>
      <c r="C191" s="2">
        <v>17.600000000000001</v>
      </c>
      <c r="D191" s="2">
        <v>16.8</v>
      </c>
      <c r="E191" s="2">
        <v>18.5</v>
      </c>
      <c r="F191" s="2">
        <v>18</v>
      </c>
      <c r="G191" s="2">
        <v>17.3</v>
      </c>
      <c r="H191" s="2">
        <f>AVERAGE(weather.tbl[[#This Row],[Estevan]:[Kipling]])</f>
        <v>17.649999999999999</v>
      </c>
      <c r="I191" s="2">
        <f>_xlfn.STDEV.S(weather.tbl[[#This Row],[Estevan]:[Kipling]])</f>
        <v>0.58223706512038509</v>
      </c>
      <c r="J191" s="2">
        <f t="shared" si="2"/>
        <v>19.592857142857145</v>
      </c>
      <c r="K191">
        <f>DAY(weather.tbl[[#This Row],[Date]])</f>
        <v>9</v>
      </c>
      <c r="L191">
        <f>MONTH(weather.tbl[[#This Row],[Date]])</f>
        <v>7</v>
      </c>
      <c r="M191">
        <f>YEAR(weather.tbl[[#This Row],[Date]])</f>
        <v>2014</v>
      </c>
    </row>
    <row r="192" spans="1:13" x14ac:dyDescent="0.25">
      <c r="A192" s="1">
        <v>41830</v>
      </c>
      <c r="B192" s="2">
        <v>23.2</v>
      </c>
      <c r="C192" s="2">
        <v>22.3</v>
      </c>
      <c r="D192" s="2">
        <v>20.8</v>
      </c>
      <c r="E192" s="2">
        <v>23.3</v>
      </c>
      <c r="F192" s="2">
        <v>21.3</v>
      </c>
      <c r="G192" s="2">
        <v>23</v>
      </c>
      <c r="H192" s="2">
        <f>AVERAGE(weather.tbl[[#This Row],[Estevan]:[Kipling]])</f>
        <v>22.316666666666663</v>
      </c>
      <c r="I192" s="2">
        <f>_xlfn.STDEV.S(weather.tbl[[#This Row],[Estevan]:[Kipling]])</f>
        <v>1.0534071704078467</v>
      </c>
      <c r="J192" s="2">
        <f t="shared" si="2"/>
        <v>20.376190476190477</v>
      </c>
      <c r="K192">
        <f>DAY(weather.tbl[[#This Row],[Date]])</f>
        <v>10</v>
      </c>
      <c r="L192">
        <f>MONTH(weather.tbl[[#This Row],[Date]])</f>
        <v>7</v>
      </c>
      <c r="M192">
        <f>YEAR(weather.tbl[[#This Row],[Date]])</f>
        <v>2014</v>
      </c>
    </row>
    <row r="193" spans="1:13" x14ac:dyDescent="0.25">
      <c r="A193" s="1">
        <v>41831</v>
      </c>
      <c r="B193" s="2">
        <v>17.600000000000001</v>
      </c>
      <c r="C193" s="2">
        <v>17.399999999999999</v>
      </c>
      <c r="D193" s="2">
        <v>17.3</v>
      </c>
      <c r="E193" s="2">
        <v>18.3</v>
      </c>
      <c r="F193" s="2">
        <v>19.600000000000001</v>
      </c>
      <c r="G193" s="2">
        <v>17.5</v>
      </c>
      <c r="H193" s="2">
        <f>AVERAGE(weather.tbl[[#This Row],[Estevan]:[Kipling]])</f>
        <v>17.95</v>
      </c>
      <c r="I193" s="2">
        <f>_xlfn.STDEV.S(weather.tbl[[#This Row],[Estevan]:[Kipling]])</f>
        <v>0.88260976654464973</v>
      </c>
      <c r="J193" s="2">
        <f t="shared" si="2"/>
        <v>19.828571428571426</v>
      </c>
      <c r="K193">
        <f>DAY(weather.tbl[[#This Row],[Date]])</f>
        <v>11</v>
      </c>
      <c r="L193">
        <f>MONTH(weather.tbl[[#This Row],[Date]])</f>
        <v>7</v>
      </c>
      <c r="M193">
        <f>YEAR(weather.tbl[[#This Row],[Date]])</f>
        <v>2014</v>
      </c>
    </row>
    <row r="194" spans="1:13" x14ac:dyDescent="0.25">
      <c r="A194" s="1">
        <v>41832</v>
      </c>
      <c r="B194" s="2">
        <v>18.100000000000001</v>
      </c>
      <c r="C194" s="2">
        <v>17.899999999999999</v>
      </c>
      <c r="D194" s="2">
        <v>17.5</v>
      </c>
      <c r="E194" s="2">
        <v>18.3</v>
      </c>
      <c r="F194" s="2">
        <v>19.3</v>
      </c>
      <c r="G194" s="2">
        <v>17.5</v>
      </c>
      <c r="H194" s="2">
        <f>AVERAGE(weather.tbl[[#This Row],[Estevan]:[Kipling]])</f>
        <v>18.099999999999998</v>
      </c>
      <c r="I194" s="2">
        <f>_xlfn.STDEV.S(weather.tbl[[#This Row],[Estevan]:[Kipling]])</f>
        <v>0.66932802122726087</v>
      </c>
      <c r="J194" s="2">
        <f t="shared" si="2"/>
        <v>19.071428571428573</v>
      </c>
      <c r="K194">
        <f>DAY(weather.tbl[[#This Row],[Date]])</f>
        <v>12</v>
      </c>
      <c r="L194">
        <f>MONTH(weather.tbl[[#This Row],[Date]])</f>
        <v>7</v>
      </c>
      <c r="M194">
        <f>YEAR(weather.tbl[[#This Row],[Date]])</f>
        <v>2014</v>
      </c>
    </row>
    <row r="195" spans="1:13" x14ac:dyDescent="0.25">
      <c r="A195" s="1">
        <v>41833</v>
      </c>
      <c r="B195" s="2">
        <v>14.8</v>
      </c>
      <c r="C195" s="2">
        <v>13.9</v>
      </c>
      <c r="D195" s="2">
        <v>13.5</v>
      </c>
      <c r="E195" s="2">
        <v>16.8</v>
      </c>
      <c r="F195" s="2">
        <v>15.8</v>
      </c>
      <c r="G195" s="2">
        <v>13.8</v>
      </c>
      <c r="H195" s="2">
        <f>AVERAGE(weather.tbl[[#This Row],[Estevan]:[Kipling]])</f>
        <v>14.766666666666666</v>
      </c>
      <c r="I195" s="2">
        <f>_xlfn.STDEV.S(weather.tbl[[#This Row],[Estevan]:[Kipling]])</f>
        <v>1.303329070751768</v>
      </c>
      <c r="J195" s="2">
        <f t="shared" si="2"/>
        <v>18.176190476190474</v>
      </c>
      <c r="K195">
        <f>DAY(weather.tbl[[#This Row],[Date]])</f>
        <v>13</v>
      </c>
      <c r="L195">
        <f>MONTH(weather.tbl[[#This Row],[Date]])</f>
        <v>7</v>
      </c>
      <c r="M195">
        <f>YEAR(weather.tbl[[#This Row],[Date]])</f>
        <v>2014</v>
      </c>
    </row>
    <row r="196" spans="1:13" x14ac:dyDescent="0.25">
      <c r="A196" s="1">
        <v>41834</v>
      </c>
      <c r="B196" s="2">
        <v>14.4</v>
      </c>
      <c r="C196" s="2">
        <v>13.4</v>
      </c>
      <c r="D196" s="2">
        <v>14.8</v>
      </c>
      <c r="E196" s="2">
        <v>15</v>
      </c>
      <c r="F196" s="2">
        <v>15.9</v>
      </c>
      <c r="G196" s="2">
        <v>14</v>
      </c>
      <c r="H196" s="2">
        <f>AVERAGE(weather.tbl[[#This Row],[Estevan]:[Kipling]])</f>
        <v>14.583333333333334</v>
      </c>
      <c r="I196" s="2">
        <f>_xlfn.STDEV.S(weather.tbl[[#This Row],[Estevan]:[Kipling]])</f>
        <v>0.86351992835525615</v>
      </c>
      <c r="J196" s="2">
        <f t="shared" si="2"/>
        <v>17.673809523809521</v>
      </c>
      <c r="K196">
        <f>DAY(weather.tbl[[#This Row],[Date]])</f>
        <v>14</v>
      </c>
      <c r="L196">
        <f>MONTH(weather.tbl[[#This Row],[Date]])</f>
        <v>7</v>
      </c>
      <c r="M196">
        <f>YEAR(weather.tbl[[#This Row],[Date]])</f>
        <v>2014</v>
      </c>
    </row>
    <row r="197" spans="1:13" x14ac:dyDescent="0.25">
      <c r="A197" s="1">
        <v>41835</v>
      </c>
      <c r="B197" s="2">
        <v>16.2</v>
      </c>
      <c r="C197" s="2">
        <v>15.8</v>
      </c>
      <c r="D197" s="2">
        <v>16.3</v>
      </c>
      <c r="E197" s="2">
        <v>16.5</v>
      </c>
      <c r="F197" s="2">
        <v>18.8</v>
      </c>
      <c r="G197" s="2">
        <v>16.8</v>
      </c>
      <c r="H197" s="2">
        <f>AVERAGE(weather.tbl[[#This Row],[Estevan]:[Kipling]])</f>
        <v>16.733333333333331</v>
      </c>
      <c r="I197" s="2">
        <f>_xlfn.STDEV.S(weather.tbl[[#This Row],[Estevan]:[Kipling]])</f>
        <v>1.0652073350604883</v>
      </c>
      <c r="J197" s="2">
        <f t="shared" si="2"/>
        <v>17.44285714285714</v>
      </c>
      <c r="K197">
        <f>DAY(weather.tbl[[#This Row],[Date]])</f>
        <v>15</v>
      </c>
      <c r="L197">
        <f>MONTH(weather.tbl[[#This Row],[Date]])</f>
        <v>7</v>
      </c>
      <c r="M197">
        <f>YEAR(weather.tbl[[#This Row],[Date]])</f>
        <v>2014</v>
      </c>
    </row>
    <row r="198" spans="1:13" x14ac:dyDescent="0.25">
      <c r="A198" s="1">
        <v>41836</v>
      </c>
      <c r="B198" s="2">
        <v>17</v>
      </c>
      <c r="C198" s="2">
        <v>17.600000000000001</v>
      </c>
      <c r="D198" s="2">
        <v>16.3</v>
      </c>
      <c r="E198" s="2">
        <v>17.8</v>
      </c>
      <c r="F198" s="2">
        <v>19.3</v>
      </c>
      <c r="G198" s="2">
        <v>17.5</v>
      </c>
      <c r="H198" s="2">
        <f>AVERAGE(weather.tbl[[#This Row],[Estevan]:[Kipling]])</f>
        <v>17.583333333333332</v>
      </c>
      <c r="I198" s="2">
        <f>_xlfn.STDEV.S(weather.tbl[[#This Row],[Estevan]:[Kipling]])</f>
        <v>0.99883265198263671</v>
      </c>
      <c r="J198" s="2">
        <f t="shared" si="2"/>
        <v>17.43333333333333</v>
      </c>
      <c r="K198">
        <f>DAY(weather.tbl[[#This Row],[Date]])</f>
        <v>16</v>
      </c>
      <c r="L198">
        <f>MONTH(weather.tbl[[#This Row],[Date]])</f>
        <v>7</v>
      </c>
      <c r="M198">
        <f>YEAR(weather.tbl[[#This Row],[Date]])</f>
        <v>2014</v>
      </c>
    </row>
    <row r="199" spans="1:13" x14ac:dyDescent="0.25">
      <c r="A199" s="1">
        <v>41837</v>
      </c>
      <c r="B199" s="2">
        <v>20.6</v>
      </c>
      <c r="C199" s="2">
        <v>20</v>
      </c>
      <c r="D199" s="2">
        <v>16.3</v>
      </c>
      <c r="E199" s="2">
        <v>21.3</v>
      </c>
      <c r="F199" s="2">
        <v>20.8</v>
      </c>
      <c r="G199" s="2">
        <v>19.399999999999999</v>
      </c>
      <c r="H199" s="2">
        <f>AVERAGE(weather.tbl[[#This Row],[Estevan]:[Kipling]])</f>
        <v>19.733333333333334</v>
      </c>
      <c r="I199" s="2">
        <f>_xlfn.STDEV.S(weather.tbl[[#This Row],[Estevan]:[Kipling]])</f>
        <v>1.8062853226073305</v>
      </c>
      <c r="J199" s="2">
        <f t="shared" si="2"/>
        <v>17.064285714285713</v>
      </c>
      <c r="K199">
        <f>DAY(weather.tbl[[#This Row],[Date]])</f>
        <v>17</v>
      </c>
      <c r="L199">
        <f>MONTH(weather.tbl[[#This Row],[Date]])</f>
        <v>7</v>
      </c>
      <c r="M199">
        <f>YEAR(weather.tbl[[#This Row],[Date]])</f>
        <v>2014</v>
      </c>
    </row>
    <row r="200" spans="1:13" x14ac:dyDescent="0.25">
      <c r="A200" s="1">
        <v>41838</v>
      </c>
      <c r="B200" s="2">
        <v>17.600000000000001</v>
      </c>
      <c r="C200" s="2">
        <v>17.5</v>
      </c>
      <c r="D200" s="2">
        <v>16.3</v>
      </c>
      <c r="E200" s="2">
        <v>20</v>
      </c>
      <c r="F200" s="2">
        <v>20.399999999999999</v>
      </c>
      <c r="G200" s="2">
        <v>18.600000000000001</v>
      </c>
      <c r="H200" s="2">
        <f>AVERAGE(weather.tbl[[#This Row],[Estevan]:[Kipling]])</f>
        <v>18.400000000000002</v>
      </c>
      <c r="I200" s="2">
        <f>_xlfn.STDEV.S(weather.tbl[[#This Row],[Estevan]:[Kipling]])</f>
        <v>1.5786069808536887</v>
      </c>
      <c r="J200" s="2">
        <f t="shared" si="2"/>
        <v>17.128571428571426</v>
      </c>
      <c r="K200">
        <f>DAY(weather.tbl[[#This Row],[Date]])</f>
        <v>18</v>
      </c>
      <c r="L200">
        <f>MONTH(weather.tbl[[#This Row],[Date]])</f>
        <v>7</v>
      </c>
      <c r="M200">
        <f>YEAR(weather.tbl[[#This Row],[Date]])</f>
        <v>2014</v>
      </c>
    </row>
    <row r="201" spans="1:13" x14ac:dyDescent="0.25">
      <c r="A201" s="1">
        <v>41839</v>
      </c>
      <c r="B201" s="2">
        <v>18</v>
      </c>
      <c r="C201" s="2">
        <v>18.899999999999999</v>
      </c>
      <c r="D201" s="2">
        <v>17.5</v>
      </c>
      <c r="E201" s="2">
        <v>19.5</v>
      </c>
      <c r="F201" s="2">
        <v>18.600000000000001</v>
      </c>
      <c r="G201" s="2">
        <v>16.899999999999999</v>
      </c>
      <c r="H201" s="2">
        <f>AVERAGE(weather.tbl[[#This Row],[Estevan]:[Kipling]])</f>
        <v>18.233333333333334</v>
      </c>
      <c r="I201" s="2">
        <f>_xlfn.STDEV.S(weather.tbl[[#This Row],[Estevan]:[Kipling]])</f>
        <v>0.95428856572143173</v>
      </c>
      <c r="J201" s="2">
        <f t="shared" si="2"/>
        <v>17.147619047619049</v>
      </c>
      <c r="K201">
        <f>DAY(weather.tbl[[#This Row],[Date]])</f>
        <v>19</v>
      </c>
      <c r="L201">
        <f>MONTH(weather.tbl[[#This Row],[Date]])</f>
        <v>7</v>
      </c>
      <c r="M201">
        <f>YEAR(weather.tbl[[#This Row],[Date]])</f>
        <v>2014</v>
      </c>
    </row>
    <row r="202" spans="1:13" x14ac:dyDescent="0.25">
      <c r="A202" s="1">
        <v>41840</v>
      </c>
      <c r="B202" s="2">
        <v>20.9</v>
      </c>
      <c r="C202" s="2">
        <v>20.6</v>
      </c>
      <c r="D202" s="2">
        <v>21.8</v>
      </c>
      <c r="E202" s="2">
        <v>21.5</v>
      </c>
      <c r="F202" s="2">
        <v>23.8</v>
      </c>
      <c r="G202" s="2">
        <v>20.399999999999999</v>
      </c>
      <c r="H202" s="2">
        <f>AVERAGE(weather.tbl[[#This Row],[Estevan]:[Kipling]])</f>
        <v>21.5</v>
      </c>
      <c r="I202" s="2">
        <f>_xlfn.STDEV.S(weather.tbl[[#This Row],[Estevan]:[Kipling]])</f>
        <v>1.2457929201917954</v>
      </c>
      <c r="J202" s="2">
        <f t="shared" ref="J202:J265" si="3">AVERAGE(H196:H202)</f>
        <v>18.109523809523811</v>
      </c>
      <c r="K202">
        <f>DAY(weather.tbl[[#This Row],[Date]])</f>
        <v>20</v>
      </c>
      <c r="L202">
        <f>MONTH(weather.tbl[[#This Row],[Date]])</f>
        <v>7</v>
      </c>
      <c r="M202">
        <f>YEAR(weather.tbl[[#This Row],[Date]])</f>
        <v>2014</v>
      </c>
    </row>
    <row r="203" spans="1:13" x14ac:dyDescent="0.25">
      <c r="A203" s="1">
        <v>41841</v>
      </c>
      <c r="B203" s="2">
        <v>18.7</v>
      </c>
      <c r="C203" s="2">
        <v>19.2</v>
      </c>
      <c r="D203" s="2">
        <v>21.8</v>
      </c>
      <c r="E203" s="2">
        <v>18.5</v>
      </c>
      <c r="F203" s="2">
        <v>21</v>
      </c>
      <c r="G203" s="2">
        <v>18.600000000000001</v>
      </c>
      <c r="H203" s="2">
        <f>AVERAGE(weather.tbl[[#This Row],[Estevan]:[Kipling]])</f>
        <v>19.633333333333336</v>
      </c>
      <c r="I203" s="2">
        <f>_xlfn.STDEV.S(weather.tbl[[#This Row],[Estevan]:[Kipling]])</f>
        <v>1.4123266855323051</v>
      </c>
      <c r="J203" s="2">
        <f t="shared" si="3"/>
        <v>18.830952380952379</v>
      </c>
      <c r="K203">
        <f>DAY(weather.tbl[[#This Row],[Date]])</f>
        <v>21</v>
      </c>
      <c r="L203">
        <f>MONTH(weather.tbl[[#This Row],[Date]])</f>
        <v>7</v>
      </c>
      <c r="M203">
        <f>YEAR(weather.tbl[[#This Row],[Date]])</f>
        <v>2014</v>
      </c>
    </row>
    <row r="204" spans="1:13" x14ac:dyDescent="0.25">
      <c r="A204" s="1">
        <v>41842</v>
      </c>
      <c r="B204" s="2">
        <v>20.100000000000001</v>
      </c>
      <c r="C204" s="2">
        <v>19.7</v>
      </c>
      <c r="D204" s="2">
        <v>18.3</v>
      </c>
      <c r="E204" s="2">
        <v>20.3</v>
      </c>
      <c r="F204" s="2">
        <v>20</v>
      </c>
      <c r="G204" s="2">
        <v>18.7</v>
      </c>
      <c r="H204" s="2">
        <f>AVERAGE(weather.tbl[[#This Row],[Estevan]:[Kipling]])</f>
        <v>19.516666666666666</v>
      </c>
      <c r="I204" s="2">
        <f>_xlfn.STDEV.S(weather.tbl[[#This Row],[Estevan]:[Kipling]])</f>
        <v>0.82077199432404313</v>
      </c>
      <c r="J204" s="2">
        <f t="shared" si="3"/>
        <v>19.228571428571431</v>
      </c>
      <c r="K204">
        <f>DAY(weather.tbl[[#This Row],[Date]])</f>
        <v>22</v>
      </c>
      <c r="L204">
        <f>MONTH(weather.tbl[[#This Row],[Date]])</f>
        <v>7</v>
      </c>
      <c r="M204">
        <f>YEAR(weather.tbl[[#This Row],[Date]])</f>
        <v>2014</v>
      </c>
    </row>
    <row r="205" spans="1:13" x14ac:dyDescent="0.25">
      <c r="A205" s="1">
        <v>41843</v>
      </c>
      <c r="B205" s="2">
        <v>19.8</v>
      </c>
      <c r="C205" s="2">
        <v>20.2</v>
      </c>
      <c r="D205" s="2">
        <v>18.5</v>
      </c>
      <c r="E205" s="2">
        <v>19.5</v>
      </c>
      <c r="F205" s="2">
        <v>19.899999999999999</v>
      </c>
      <c r="G205" s="2">
        <v>18.8</v>
      </c>
      <c r="H205" s="2">
        <f>AVERAGE(weather.tbl[[#This Row],[Estevan]:[Kipling]])</f>
        <v>19.45</v>
      </c>
      <c r="I205" s="2">
        <f>_xlfn.STDEV.S(weather.tbl[[#This Row],[Estevan]:[Kipling]])</f>
        <v>0.66558245169174901</v>
      </c>
      <c r="J205" s="2">
        <f t="shared" si="3"/>
        <v>19.495238095238097</v>
      </c>
      <c r="K205">
        <f>DAY(weather.tbl[[#This Row],[Date]])</f>
        <v>23</v>
      </c>
      <c r="L205">
        <f>MONTH(weather.tbl[[#This Row],[Date]])</f>
        <v>7</v>
      </c>
      <c r="M205">
        <f>YEAR(weather.tbl[[#This Row],[Date]])</f>
        <v>2014</v>
      </c>
    </row>
    <row r="206" spans="1:13" x14ac:dyDescent="0.25">
      <c r="A206" s="1">
        <v>41844</v>
      </c>
      <c r="B206" s="2">
        <v>21.7</v>
      </c>
      <c r="C206" s="2">
        <v>20.7</v>
      </c>
      <c r="D206" s="2">
        <v>20.3</v>
      </c>
      <c r="E206" s="2">
        <v>23.3</v>
      </c>
      <c r="F206" s="2">
        <v>20.8</v>
      </c>
      <c r="G206" s="2">
        <v>19.600000000000001</v>
      </c>
      <c r="H206" s="2">
        <f>AVERAGE(weather.tbl[[#This Row],[Estevan]:[Kipling]])</f>
        <v>21.066666666666666</v>
      </c>
      <c r="I206" s="2">
        <f>_xlfn.STDEV.S(weather.tbl[[#This Row],[Estevan]:[Kipling]])</f>
        <v>1.2909944487358056</v>
      </c>
      <c r="J206" s="2">
        <f t="shared" si="3"/>
        <v>19.685714285714287</v>
      </c>
      <c r="K206">
        <f>DAY(weather.tbl[[#This Row],[Date]])</f>
        <v>24</v>
      </c>
      <c r="L206">
        <f>MONTH(weather.tbl[[#This Row],[Date]])</f>
        <v>7</v>
      </c>
      <c r="M206">
        <f>YEAR(weather.tbl[[#This Row],[Date]])</f>
        <v>2014</v>
      </c>
    </row>
    <row r="207" spans="1:13" x14ac:dyDescent="0.25">
      <c r="A207" s="1">
        <v>41845</v>
      </c>
      <c r="B207" s="2">
        <v>18</v>
      </c>
      <c r="C207" s="2">
        <v>17.7</v>
      </c>
      <c r="D207" s="2">
        <v>17.8</v>
      </c>
      <c r="E207" s="2">
        <v>17.5</v>
      </c>
      <c r="F207" s="2">
        <v>20.7</v>
      </c>
      <c r="G207" s="2">
        <v>17.100000000000001</v>
      </c>
      <c r="H207" s="2">
        <f>AVERAGE(weather.tbl[[#This Row],[Estevan]:[Kipling]])</f>
        <v>18.133333333333336</v>
      </c>
      <c r="I207" s="2">
        <f>_xlfn.STDEV.S(weather.tbl[[#This Row],[Estevan]:[Kipling]])</f>
        <v>1.2940891262454319</v>
      </c>
      <c r="J207" s="2">
        <f t="shared" si="3"/>
        <v>19.647619047619049</v>
      </c>
      <c r="K207">
        <f>DAY(weather.tbl[[#This Row],[Date]])</f>
        <v>25</v>
      </c>
      <c r="L207">
        <f>MONTH(weather.tbl[[#This Row],[Date]])</f>
        <v>7</v>
      </c>
      <c r="M207">
        <f>YEAR(weather.tbl[[#This Row],[Date]])</f>
        <v>2014</v>
      </c>
    </row>
    <row r="208" spans="1:13" x14ac:dyDescent="0.25">
      <c r="A208" s="1">
        <v>41846</v>
      </c>
      <c r="B208" s="2">
        <v>17.2</v>
      </c>
      <c r="C208" s="2">
        <v>16.3</v>
      </c>
      <c r="D208" s="2">
        <v>16.3</v>
      </c>
      <c r="E208" s="2">
        <v>18</v>
      </c>
      <c r="F208" s="2">
        <v>17.7</v>
      </c>
      <c r="G208" s="2">
        <v>15.9</v>
      </c>
      <c r="H208" s="2">
        <f>AVERAGE(weather.tbl[[#This Row],[Estevan]:[Kipling]])</f>
        <v>16.900000000000002</v>
      </c>
      <c r="I208" s="2">
        <f>_xlfn.STDEV.S(weather.tbl[[#This Row],[Estevan]:[Kipling]])</f>
        <v>0.85556998544829699</v>
      </c>
      <c r="J208" s="2">
        <f t="shared" si="3"/>
        <v>19.457142857142859</v>
      </c>
      <c r="K208">
        <f>DAY(weather.tbl[[#This Row],[Date]])</f>
        <v>26</v>
      </c>
      <c r="L208">
        <f>MONTH(weather.tbl[[#This Row],[Date]])</f>
        <v>7</v>
      </c>
      <c r="M208">
        <f>YEAR(weather.tbl[[#This Row],[Date]])</f>
        <v>2014</v>
      </c>
    </row>
    <row r="209" spans="1:13" x14ac:dyDescent="0.25">
      <c r="A209" s="1">
        <v>41847</v>
      </c>
      <c r="B209" s="2">
        <v>15.5</v>
      </c>
      <c r="C209" s="2">
        <v>15.3</v>
      </c>
      <c r="D209" s="2">
        <v>14.5</v>
      </c>
      <c r="E209" s="2">
        <v>17.8</v>
      </c>
      <c r="F209" s="2">
        <v>16</v>
      </c>
      <c r="G209" s="2">
        <v>15.4</v>
      </c>
      <c r="H209" s="2">
        <f>AVERAGE(weather.tbl[[#This Row],[Estevan]:[Kipling]])</f>
        <v>15.75</v>
      </c>
      <c r="I209" s="2">
        <f>_xlfn.STDEV.S(weather.tbl[[#This Row],[Estevan]:[Kipling]])</f>
        <v>1.114899098573499</v>
      </c>
      <c r="J209" s="2">
        <f t="shared" si="3"/>
        <v>18.63571428571429</v>
      </c>
      <c r="K209">
        <f>DAY(weather.tbl[[#This Row],[Date]])</f>
        <v>27</v>
      </c>
      <c r="L209">
        <f>MONTH(weather.tbl[[#This Row],[Date]])</f>
        <v>7</v>
      </c>
      <c r="M209">
        <f>YEAR(weather.tbl[[#This Row],[Date]])</f>
        <v>2014</v>
      </c>
    </row>
    <row r="210" spans="1:13" x14ac:dyDescent="0.25">
      <c r="A210" s="1">
        <v>41848</v>
      </c>
      <c r="B210" s="2">
        <v>17.899999999999999</v>
      </c>
      <c r="C210" s="2">
        <v>18.8</v>
      </c>
      <c r="D210" s="2">
        <v>15.5</v>
      </c>
      <c r="E210" s="2">
        <v>19.5</v>
      </c>
      <c r="F210" s="2">
        <v>17.100000000000001</v>
      </c>
      <c r="G210" s="2">
        <v>16.2</v>
      </c>
      <c r="H210" s="2">
        <f>AVERAGE(weather.tbl[[#This Row],[Estevan]:[Kipling]])</f>
        <v>17.500000000000004</v>
      </c>
      <c r="I210" s="2">
        <f>_xlfn.STDEV.S(weather.tbl[[#This Row],[Estevan]:[Kipling]])</f>
        <v>1.5297058540778357</v>
      </c>
      <c r="J210" s="2">
        <f t="shared" si="3"/>
        <v>18.330952380952386</v>
      </c>
      <c r="K210">
        <f>DAY(weather.tbl[[#This Row],[Date]])</f>
        <v>28</v>
      </c>
      <c r="L210">
        <f>MONTH(weather.tbl[[#This Row],[Date]])</f>
        <v>7</v>
      </c>
      <c r="M210">
        <f>YEAR(weather.tbl[[#This Row],[Date]])</f>
        <v>2014</v>
      </c>
    </row>
    <row r="211" spans="1:13" x14ac:dyDescent="0.25">
      <c r="A211" s="1">
        <v>41849</v>
      </c>
      <c r="B211" s="2">
        <v>19.5</v>
      </c>
      <c r="C211" s="2">
        <v>19.399999999999999</v>
      </c>
      <c r="D211" s="2">
        <v>17</v>
      </c>
      <c r="E211" s="2">
        <v>19.8</v>
      </c>
      <c r="F211" s="2">
        <v>18.600000000000001</v>
      </c>
      <c r="G211" s="2">
        <v>18.600000000000001</v>
      </c>
      <c r="H211" s="2">
        <f>AVERAGE(weather.tbl[[#This Row],[Estevan]:[Kipling]])</f>
        <v>18.816666666666666</v>
      </c>
      <c r="I211" s="2">
        <f>_xlfn.STDEV.S(weather.tbl[[#This Row],[Estevan]:[Kipling]])</f>
        <v>1.0166939887039101</v>
      </c>
      <c r="J211" s="2">
        <f t="shared" si="3"/>
        <v>18.230952380952381</v>
      </c>
      <c r="K211">
        <f>DAY(weather.tbl[[#This Row],[Date]])</f>
        <v>29</v>
      </c>
      <c r="L211">
        <f>MONTH(weather.tbl[[#This Row],[Date]])</f>
        <v>7</v>
      </c>
      <c r="M211">
        <f>YEAR(weather.tbl[[#This Row],[Date]])</f>
        <v>2014</v>
      </c>
    </row>
    <row r="212" spans="1:13" x14ac:dyDescent="0.25">
      <c r="A212" s="1">
        <v>41850</v>
      </c>
      <c r="B212" s="2">
        <v>17.3</v>
      </c>
      <c r="C212" s="2">
        <v>19.3</v>
      </c>
      <c r="D212" s="2">
        <v>18</v>
      </c>
      <c r="E212" s="2">
        <v>19.8</v>
      </c>
      <c r="F212" s="2">
        <v>20.3</v>
      </c>
      <c r="G212" s="2">
        <v>19</v>
      </c>
      <c r="H212" s="2">
        <f>AVERAGE(weather.tbl[[#This Row],[Estevan]:[Kipling]])</f>
        <v>18.95</v>
      </c>
      <c r="I212" s="2">
        <f>_xlfn.STDEV.S(weather.tbl[[#This Row],[Estevan]:[Kipling]])</f>
        <v>1.1220516922138659</v>
      </c>
      <c r="J212" s="2">
        <f t="shared" si="3"/>
        <v>18.159523809523812</v>
      </c>
      <c r="K212">
        <f>DAY(weather.tbl[[#This Row],[Date]])</f>
        <v>30</v>
      </c>
      <c r="L212">
        <f>MONTH(weather.tbl[[#This Row],[Date]])</f>
        <v>7</v>
      </c>
      <c r="M212">
        <f>YEAR(weather.tbl[[#This Row],[Date]])</f>
        <v>2014</v>
      </c>
    </row>
    <row r="213" spans="1:13" x14ac:dyDescent="0.25">
      <c r="A213" s="1">
        <v>41851</v>
      </c>
      <c r="B213" s="2">
        <v>20.8</v>
      </c>
      <c r="C213" s="2">
        <v>21.3</v>
      </c>
      <c r="D213" s="2">
        <v>18.8</v>
      </c>
      <c r="E213" s="2">
        <v>19.8</v>
      </c>
      <c r="F213" s="2">
        <v>20.9</v>
      </c>
      <c r="G213" s="2">
        <v>20.5</v>
      </c>
      <c r="H213" s="2">
        <f>AVERAGE(weather.tbl[[#This Row],[Estevan]:[Kipling]])</f>
        <v>20.349999999999998</v>
      </c>
      <c r="I213" s="2">
        <f>_xlfn.STDEV.S(weather.tbl[[#This Row],[Estevan]:[Kipling]])</f>
        <v>0.90939540355117232</v>
      </c>
      <c r="J213" s="2">
        <f t="shared" si="3"/>
        <v>18.057142857142857</v>
      </c>
      <c r="K213">
        <f>DAY(weather.tbl[[#This Row],[Date]])</f>
        <v>31</v>
      </c>
      <c r="L213">
        <f>MONTH(weather.tbl[[#This Row],[Date]])</f>
        <v>7</v>
      </c>
      <c r="M213">
        <f>YEAR(weather.tbl[[#This Row],[Date]])</f>
        <v>2014</v>
      </c>
    </row>
    <row r="214" spans="1:13" x14ac:dyDescent="0.25">
      <c r="A214" s="1">
        <v>41852</v>
      </c>
      <c r="B214" s="2">
        <v>20.399999999999999</v>
      </c>
      <c r="C214" s="2">
        <v>21.2</v>
      </c>
      <c r="D214" s="2">
        <v>20.3</v>
      </c>
      <c r="E214" s="2">
        <v>19.8</v>
      </c>
      <c r="F214" s="2">
        <v>20.6</v>
      </c>
      <c r="G214" s="2">
        <v>20.6</v>
      </c>
      <c r="H214" s="2">
        <f>AVERAGE(weather.tbl[[#This Row],[Estevan]:[Kipling]])</f>
        <v>20.483333333333331</v>
      </c>
      <c r="I214" s="2">
        <f>_xlfn.STDEV.S(weather.tbl[[#This Row],[Estevan]:[Kipling]])</f>
        <v>0.45789372857319893</v>
      </c>
      <c r="J214" s="2">
        <f t="shared" si="3"/>
        <v>18.392857142857142</v>
      </c>
      <c r="K214">
        <f>DAY(weather.tbl[[#This Row],[Date]])</f>
        <v>1</v>
      </c>
      <c r="L214">
        <f>MONTH(weather.tbl[[#This Row],[Date]])</f>
        <v>8</v>
      </c>
      <c r="M214">
        <f>YEAR(weather.tbl[[#This Row],[Date]])</f>
        <v>2014</v>
      </c>
    </row>
    <row r="215" spans="1:13" x14ac:dyDescent="0.25">
      <c r="A215" s="1">
        <v>41853</v>
      </c>
      <c r="B215" s="2">
        <v>20.100000000000001</v>
      </c>
      <c r="C215" s="2">
        <v>18.5</v>
      </c>
      <c r="D215" s="2">
        <v>20.3</v>
      </c>
      <c r="E215" s="2">
        <v>19.5</v>
      </c>
      <c r="F215" s="2">
        <v>20.399999999999999</v>
      </c>
      <c r="G215" s="2">
        <v>18.600000000000001</v>
      </c>
      <c r="H215" s="2">
        <f>AVERAGE(weather.tbl[[#This Row],[Estevan]:[Kipling]])</f>
        <v>19.566666666666666</v>
      </c>
      <c r="I215" s="2">
        <f>_xlfn.STDEV.S(weather.tbl[[#This Row],[Estevan]:[Kipling]])</f>
        <v>0.84774209914729737</v>
      </c>
      <c r="J215" s="2">
        <f t="shared" si="3"/>
        <v>18.773809523809522</v>
      </c>
      <c r="K215">
        <f>DAY(weather.tbl[[#This Row],[Date]])</f>
        <v>2</v>
      </c>
      <c r="L215">
        <f>MONTH(weather.tbl[[#This Row],[Date]])</f>
        <v>8</v>
      </c>
      <c r="M215">
        <f>YEAR(weather.tbl[[#This Row],[Date]])</f>
        <v>2014</v>
      </c>
    </row>
    <row r="216" spans="1:13" x14ac:dyDescent="0.25">
      <c r="A216" s="1">
        <v>41854</v>
      </c>
      <c r="B216" s="2">
        <v>19.7</v>
      </c>
      <c r="C216" s="2">
        <v>20.5</v>
      </c>
      <c r="D216" s="2">
        <v>19.3</v>
      </c>
      <c r="E216" s="2">
        <v>20</v>
      </c>
      <c r="F216" s="2">
        <v>19.5</v>
      </c>
      <c r="G216" s="2">
        <v>19.100000000000001</v>
      </c>
      <c r="H216" s="2">
        <f>AVERAGE(weather.tbl[[#This Row],[Estevan]:[Kipling]])</f>
        <v>19.683333333333334</v>
      </c>
      <c r="I216" s="2">
        <f>_xlfn.STDEV.S(weather.tbl[[#This Row],[Estevan]:[Kipling]])</f>
        <v>0.50760877323650166</v>
      </c>
      <c r="J216" s="2">
        <f t="shared" si="3"/>
        <v>19.335714285714285</v>
      </c>
      <c r="K216">
        <f>DAY(weather.tbl[[#This Row],[Date]])</f>
        <v>3</v>
      </c>
      <c r="L216">
        <f>MONTH(weather.tbl[[#This Row],[Date]])</f>
        <v>8</v>
      </c>
      <c r="M216">
        <f>YEAR(weather.tbl[[#This Row],[Date]])</f>
        <v>2014</v>
      </c>
    </row>
    <row r="217" spans="1:13" x14ac:dyDescent="0.25">
      <c r="A217" s="1">
        <v>41855</v>
      </c>
      <c r="B217" s="2">
        <v>19</v>
      </c>
      <c r="C217" s="2">
        <v>20.100000000000001</v>
      </c>
      <c r="D217" s="2">
        <v>18</v>
      </c>
      <c r="E217" s="2">
        <v>21</v>
      </c>
      <c r="F217" s="2">
        <v>19.899999999999999</v>
      </c>
      <c r="G217" s="2">
        <v>19.600000000000001</v>
      </c>
      <c r="H217" s="2">
        <f>AVERAGE(weather.tbl[[#This Row],[Estevan]:[Kipling]])</f>
        <v>19.599999999999998</v>
      </c>
      <c r="I217" s="2">
        <f>_xlfn.STDEV.S(weather.tbl[[#This Row],[Estevan]:[Kipling]])</f>
        <v>1.0217631819555841</v>
      </c>
      <c r="J217" s="2">
        <f t="shared" si="3"/>
        <v>19.635714285714283</v>
      </c>
      <c r="K217">
        <f>DAY(weather.tbl[[#This Row],[Date]])</f>
        <v>4</v>
      </c>
      <c r="L217">
        <f>MONTH(weather.tbl[[#This Row],[Date]])</f>
        <v>8</v>
      </c>
      <c r="M217">
        <f>YEAR(weather.tbl[[#This Row],[Date]])</f>
        <v>2014</v>
      </c>
    </row>
    <row r="218" spans="1:13" x14ac:dyDescent="0.25">
      <c r="A218" s="1">
        <v>41856</v>
      </c>
      <c r="B218" s="2">
        <v>19.5</v>
      </c>
      <c r="C218" s="2">
        <v>20.6</v>
      </c>
      <c r="D218" s="2">
        <v>18.3</v>
      </c>
      <c r="E218" s="2">
        <v>19.3</v>
      </c>
      <c r="F218" s="2">
        <v>19.8</v>
      </c>
      <c r="G218" s="2">
        <v>20.399999999999999</v>
      </c>
      <c r="H218" s="2">
        <f>AVERAGE(weather.tbl[[#This Row],[Estevan]:[Kipling]])</f>
        <v>19.650000000000002</v>
      </c>
      <c r="I218" s="2">
        <f>_xlfn.STDEV.S(weather.tbl[[#This Row],[Estevan]:[Kipling]])</f>
        <v>0.83126409762481601</v>
      </c>
      <c r="J218" s="2">
        <f t="shared" si="3"/>
        <v>19.754761904761903</v>
      </c>
      <c r="K218">
        <f>DAY(weather.tbl[[#This Row],[Date]])</f>
        <v>5</v>
      </c>
      <c r="L218">
        <f>MONTH(weather.tbl[[#This Row],[Date]])</f>
        <v>8</v>
      </c>
      <c r="M218">
        <f>YEAR(weather.tbl[[#This Row],[Date]])</f>
        <v>2014</v>
      </c>
    </row>
    <row r="219" spans="1:13" x14ac:dyDescent="0.25">
      <c r="A219" s="1">
        <v>41857</v>
      </c>
      <c r="B219" s="2">
        <v>18.3</v>
      </c>
      <c r="C219" s="2">
        <v>18</v>
      </c>
      <c r="D219" s="2">
        <v>19</v>
      </c>
      <c r="E219" s="2">
        <v>18.5</v>
      </c>
      <c r="F219" s="2">
        <v>22.1</v>
      </c>
      <c r="G219" s="2">
        <v>18.7</v>
      </c>
      <c r="H219" s="2">
        <f>AVERAGE(weather.tbl[[#This Row],[Estevan]:[Kipling]])</f>
        <v>19.100000000000001</v>
      </c>
      <c r="I219" s="2">
        <f>_xlfn.STDEV.S(weather.tbl[[#This Row],[Estevan]:[Kipling]])</f>
        <v>1.5086417732516892</v>
      </c>
      <c r="J219" s="2">
        <f t="shared" si="3"/>
        <v>19.776190476190475</v>
      </c>
      <c r="K219">
        <f>DAY(weather.tbl[[#This Row],[Date]])</f>
        <v>6</v>
      </c>
      <c r="L219">
        <f>MONTH(weather.tbl[[#This Row],[Date]])</f>
        <v>8</v>
      </c>
      <c r="M219">
        <f>YEAR(weather.tbl[[#This Row],[Date]])</f>
        <v>2014</v>
      </c>
    </row>
    <row r="220" spans="1:13" x14ac:dyDescent="0.25">
      <c r="A220" s="1">
        <v>41858</v>
      </c>
      <c r="B220" s="2">
        <v>21.2</v>
      </c>
      <c r="C220" s="2">
        <v>21.7</v>
      </c>
      <c r="D220" s="2">
        <v>21</v>
      </c>
      <c r="E220" s="2">
        <v>22.5</v>
      </c>
      <c r="F220" s="2">
        <v>22.8</v>
      </c>
      <c r="G220" s="2">
        <v>20.399999999999999</v>
      </c>
      <c r="H220" s="2">
        <f>AVERAGE(weather.tbl[[#This Row],[Estevan]:[Kipling]])</f>
        <v>21.599999999999998</v>
      </c>
      <c r="I220" s="2">
        <f>_xlfn.STDEV.S(weather.tbl[[#This Row],[Estevan]:[Kipling]])</f>
        <v>0.91869472622846882</v>
      </c>
      <c r="J220" s="2">
        <f t="shared" si="3"/>
        <v>19.954761904761906</v>
      </c>
      <c r="K220">
        <f>DAY(weather.tbl[[#This Row],[Date]])</f>
        <v>7</v>
      </c>
      <c r="L220">
        <f>MONTH(weather.tbl[[#This Row],[Date]])</f>
        <v>8</v>
      </c>
      <c r="M220">
        <f>YEAR(weather.tbl[[#This Row],[Date]])</f>
        <v>2014</v>
      </c>
    </row>
    <row r="221" spans="1:13" x14ac:dyDescent="0.25">
      <c r="A221" s="1">
        <v>41859</v>
      </c>
      <c r="B221" s="2">
        <v>24.1</v>
      </c>
      <c r="C221" s="2">
        <v>23.1</v>
      </c>
      <c r="D221" s="2">
        <v>23.8</v>
      </c>
      <c r="E221" s="2">
        <v>26.5</v>
      </c>
      <c r="F221" s="2">
        <v>22.6</v>
      </c>
      <c r="G221" s="2">
        <v>22.8</v>
      </c>
      <c r="H221" s="2">
        <f>AVERAGE(weather.tbl[[#This Row],[Estevan]:[Kipling]])</f>
        <v>23.816666666666666</v>
      </c>
      <c r="I221" s="2">
        <f>_xlfn.STDEV.S(weather.tbl[[#This Row],[Estevan]:[Kipling]])</f>
        <v>1.4358505028959891</v>
      </c>
      <c r="J221" s="2">
        <f t="shared" si="3"/>
        <v>20.43095238095238</v>
      </c>
      <c r="K221">
        <f>DAY(weather.tbl[[#This Row],[Date]])</f>
        <v>8</v>
      </c>
      <c r="L221">
        <f>MONTH(weather.tbl[[#This Row],[Date]])</f>
        <v>8</v>
      </c>
      <c r="M221">
        <f>YEAR(weather.tbl[[#This Row],[Date]])</f>
        <v>2014</v>
      </c>
    </row>
    <row r="222" spans="1:13" x14ac:dyDescent="0.25">
      <c r="A222" s="1">
        <v>41860</v>
      </c>
      <c r="B222" s="2">
        <v>19.7</v>
      </c>
      <c r="C222" s="2">
        <v>17.600000000000001</v>
      </c>
      <c r="D222" s="2">
        <v>21.3</v>
      </c>
      <c r="E222" s="2">
        <v>20.5</v>
      </c>
      <c r="F222" s="2">
        <v>21.3</v>
      </c>
      <c r="G222" s="2">
        <v>20.100000000000001</v>
      </c>
      <c r="H222" s="2">
        <f>AVERAGE(weather.tbl[[#This Row],[Estevan]:[Kipling]])</f>
        <v>20.083333333333332</v>
      </c>
      <c r="I222" s="2">
        <f>_xlfn.STDEV.S(weather.tbl[[#This Row],[Estevan]:[Kipling]])</f>
        <v>1.3746514709797049</v>
      </c>
      <c r="J222" s="2">
        <f t="shared" si="3"/>
        <v>20.504761904761903</v>
      </c>
      <c r="K222">
        <f>DAY(weather.tbl[[#This Row],[Date]])</f>
        <v>9</v>
      </c>
      <c r="L222">
        <f>MONTH(weather.tbl[[#This Row],[Date]])</f>
        <v>8</v>
      </c>
      <c r="M222">
        <f>YEAR(weather.tbl[[#This Row],[Date]])</f>
        <v>2014</v>
      </c>
    </row>
    <row r="223" spans="1:13" x14ac:dyDescent="0.25">
      <c r="A223" s="1">
        <v>41861</v>
      </c>
      <c r="B223" s="2">
        <v>16.100000000000001</v>
      </c>
      <c r="C223" s="2">
        <v>16.2</v>
      </c>
      <c r="D223" s="2">
        <v>16.5</v>
      </c>
      <c r="E223" s="2">
        <v>17</v>
      </c>
      <c r="F223" s="2">
        <v>16.899999999999999</v>
      </c>
      <c r="G223" s="2">
        <v>15.5</v>
      </c>
      <c r="H223" s="2">
        <f>AVERAGE(weather.tbl[[#This Row],[Estevan]:[Kipling]])</f>
        <v>16.366666666666664</v>
      </c>
      <c r="I223" s="2">
        <f>_xlfn.STDEV.S(weather.tbl[[#This Row],[Estevan]:[Kipling]])</f>
        <v>0.55737479909542575</v>
      </c>
      <c r="J223" s="2">
        <f t="shared" si="3"/>
        <v>20.030952380952382</v>
      </c>
      <c r="K223">
        <f>DAY(weather.tbl[[#This Row],[Date]])</f>
        <v>10</v>
      </c>
      <c r="L223">
        <f>MONTH(weather.tbl[[#This Row],[Date]])</f>
        <v>8</v>
      </c>
      <c r="M223">
        <f>YEAR(weather.tbl[[#This Row],[Date]])</f>
        <v>2014</v>
      </c>
    </row>
    <row r="224" spans="1:13" x14ac:dyDescent="0.25">
      <c r="A224" s="1">
        <v>41862</v>
      </c>
      <c r="B224" s="2">
        <v>17.899999999999999</v>
      </c>
      <c r="C224" s="2">
        <v>17.600000000000001</v>
      </c>
      <c r="D224" s="2">
        <v>16.8</v>
      </c>
      <c r="E224" s="2">
        <v>18.8</v>
      </c>
      <c r="F224" s="2">
        <v>17.5</v>
      </c>
      <c r="G224" s="2">
        <v>17</v>
      </c>
      <c r="H224" s="2">
        <f>AVERAGE(weather.tbl[[#This Row],[Estevan]:[Kipling]])</f>
        <v>17.599999999999998</v>
      </c>
      <c r="I224" s="2">
        <f>_xlfn.STDEV.S(weather.tbl[[#This Row],[Estevan]:[Kipling]])</f>
        <v>0.71274118724821844</v>
      </c>
      <c r="J224" s="2">
        <f t="shared" si="3"/>
        <v>19.74523809523809</v>
      </c>
      <c r="K224">
        <f>DAY(weather.tbl[[#This Row],[Date]])</f>
        <v>11</v>
      </c>
      <c r="L224">
        <f>MONTH(weather.tbl[[#This Row],[Date]])</f>
        <v>8</v>
      </c>
      <c r="M224">
        <f>YEAR(weather.tbl[[#This Row],[Date]])</f>
        <v>2014</v>
      </c>
    </row>
    <row r="225" spans="1:13" x14ac:dyDescent="0.25">
      <c r="A225" s="1">
        <v>41863</v>
      </c>
      <c r="B225" s="2">
        <v>21.2</v>
      </c>
      <c r="C225" s="2">
        <v>21.4</v>
      </c>
      <c r="D225" s="2">
        <v>21.8</v>
      </c>
      <c r="E225" s="2">
        <v>21.3</v>
      </c>
      <c r="F225" s="2">
        <v>20.3</v>
      </c>
      <c r="G225" s="2">
        <v>20.100000000000001</v>
      </c>
      <c r="H225" s="2">
        <f>AVERAGE(weather.tbl[[#This Row],[Estevan]:[Kipling]])</f>
        <v>21.016666666666666</v>
      </c>
      <c r="I225" s="2">
        <f>_xlfn.STDEV.S(weather.tbl[[#This Row],[Estevan]:[Kipling]])</f>
        <v>0.66758270399004949</v>
      </c>
      <c r="J225" s="2">
        <f t="shared" si="3"/>
        <v>19.940476190476186</v>
      </c>
      <c r="K225">
        <f>DAY(weather.tbl[[#This Row],[Date]])</f>
        <v>12</v>
      </c>
      <c r="L225">
        <f>MONTH(weather.tbl[[#This Row],[Date]])</f>
        <v>8</v>
      </c>
      <c r="M225">
        <f>YEAR(weather.tbl[[#This Row],[Date]])</f>
        <v>2014</v>
      </c>
    </row>
    <row r="226" spans="1:13" x14ac:dyDescent="0.25">
      <c r="A226" s="1">
        <v>41864</v>
      </c>
      <c r="B226" s="2">
        <v>22.1</v>
      </c>
      <c r="C226" s="2">
        <v>23</v>
      </c>
      <c r="D226" s="2">
        <v>22.3</v>
      </c>
      <c r="E226" s="2">
        <v>22.3</v>
      </c>
      <c r="F226" s="2">
        <v>21.9</v>
      </c>
      <c r="G226" s="2">
        <v>20</v>
      </c>
      <c r="H226" s="2">
        <f>AVERAGE(weather.tbl[[#This Row],[Estevan]:[Kipling]])</f>
        <v>21.933333333333334</v>
      </c>
      <c r="I226" s="2">
        <f>_xlfn.STDEV.S(weather.tbl[[#This Row],[Estevan]:[Kipling]])</f>
        <v>1.0171856598805682</v>
      </c>
      <c r="J226" s="2">
        <f t="shared" si="3"/>
        <v>20.345238095238095</v>
      </c>
      <c r="K226">
        <f>DAY(weather.tbl[[#This Row],[Date]])</f>
        <v>13</v>
      </c>
      <c r="L226">
        <f>MONTH(weather.tbl[[#This Row],[Date]])</f>
        <v>8</v>
      </c>
      <c r="M226">
        <f>YEAR(weather.tbl[[#This Row],[Date]])</f>
        <v>2014</v>
      </c>
    </row>
    <row r="227" spans="1:13" x14ac:dyDescent="0.25">
      <c r="A227" s="1">
        <v>41865</v>
      </c>
      <c r="B227" s="2">
        <v>24.1</v>
      </c>
      <c r="C227" s="2">
        <v>24.8</v>
      </c>
      <c r="D227" s="2">
        <v>24.5</v>
      </c>
      <c r="E227" s="2">
        <v>24.3</v>
      </c>
      <c r="F227" s="2">
        <v>24.9</v>
      </c>
      <c r="G227" s="2">
        <v>23.1</v>
      </c>
      <c r="H227" s="2">
        <f>AVERAGE(weather.tbl[[#This Row],[Estevan]:[Kipling]])</f>
        <v>24.283333333333331</v>
      </c>
      <c r="I227" s="2">
        <f>_xlfn.STDEV.S(weather.tbl[[#This Row],[Estevan]:[Kipling]])</f>
        <v>0.65243135015621812</v>
      </c>
      <c r="J227" s="2">
        <f t="shared" si="3"/>
        <v>20.728571428571428</v>
      </c>
      <c r="K227">
        <f>DAY(weather.tbl[[#This Row],[Date]])</f>
        <v>14</v>
      </c>
      <c r="L227">
        <f>MONTH(weather.tbl[[#This Row],[Date]])</f>
        <v>8</v>
      </c>
      <c r="M227">
        <f>YEAR(weather.tbl[[#This Row],[Date]])</f>
        <v>2014</v>
      </c>
    </row>
    <row r="228" spans="1:13" x14ac:dyDescent="0.25">
      <c r="A228" s="1">
        <v>41866</v>
      </c>
      <c r="B228" s="2">
        <v>22.4</v>
      </c>
      <c r="C228" s="2">
        <v>23.3</v>
      </c>
      <c r="D228" s="2">
        <v>22.5</v>
      </c>
      <c r="E228" s="2">
        <v>23.5</v>
      </c>
      <c r="F228" s="2">
        <v>23</v>
      </c>
      <c r="G228" s="2">
        <v>24.1</v>
      </c>
      <c r="H228" s="2">
        <f>AVERAGE(weather.tbl[[#This Row],[Estevan]:[Kipling]])</f>
        <v>23.133333333333336</v>
      </c>
      <c r="I228" s="2">
        <f>_xlfn.STDEV.S(weather.tbl[[#This Row],[Estevan]:[Kipling]])</f>
        <v>0.64083279150388961</v>
      </c>
      <c r="J228" s="2">
        <f t="shared" si="3"/>
        <v>20.63095238095238</v>
      </c>
      <c r="K228">
        <f>DAY(weather.tbl[[#This Row],[Date]])</f>
        <v>15</v>
      </c>
      <c r="L228">
        <f>MONTH(weather.tbl[[#This Row],[Date]])</f>
        <v>8</v>
      </c>
      <c r="M228">
        <f>YEAR(weather.tbl[[#This Row],[Date]])</f>
        <v>2014</v>
      </c>
    </row>
    <row r="229" spans="1:13" x14ac:dyDescent="0.25">
      <c r="A229" s="1">
        <v>41867</v>
      </c>
      <c r="B229" s="2">
        <v>18.8</v>
      </c>
      <c r="C229" s="2">
        <v>19.8</v>
      </c>
      <c r="D229" s="2">
        <v>18.5</v>
      </c>
      <c r="E229" s="2">
        <v>21</v>
      </c>
      <c r="F229" s="2">
        <v>19.100000000000001</v>
      </c>
      <c r="G229" s="2">
        <v>17.100000000000001</v>
      </c>
      <c r="H229" s="2">
        <f>AVERAGE(weather.tbl[[#This Row],[Estevan]:[Kipling]])</f>
        <v>19.049999999999997</v>
      </c>
      <c r="I229" s="2">
        <f>_xlfn.STDEV.S(weather.tbl[[#This Row],[Estevan]:[Kipling]])</f>
        <v>1.306522100846365</v>
      </c>
      <c r="J229" s="2">
        <f t="shared" si="3"/>
        <v>20.483333333333331</v>
      </c>
      <c r="K229">
        <f>DAY(weather.tbl[[#This Row],[Date]])</f>
        <v>16</v>
      </c>
      <c r="L229">
        <f>MONTH(weather.tbl[[#This Row],[Date]])</f>
        <v>8</v>
      </c>
      <c r="M229">
        <f>YEAR(weather.tbl[[#This Row],[Date]])</f>
        <v>2014</v>
      </c>
    </row>
    <row r="230" spans="1:13" x14ac:dyDescent="0.25">
      <c r="A230" s="1">
        <v>41868</v>
      </c>
      <c r="B230" s="2">
        <v>20.9</v>
      </c>
      <c r="C230" s="2">
        <v>20.8</v>
      </c>
      <c r="D230" s="2">
        <v>22</v>
      </c>
      <c r="E230" s="2">
        <v>21</v>
      </c>
      <c r="F230" s="2">
        <v>20.5</v>
      </c>
      <c r="G230" s="2">
        <v>19.7</v>
      </c>
      <c r="H230" s="2">
        <f>AVERAGE(weather.tbl[[#This Row],[Estevan]:[Kipling]])</f>
        <v>20.816666666666666</v>
      </c>
      <c r="I230" s="2">
        <f>_xlfn.STDEV.S(weather.tbl[[#This Row],[Estevan]:[Kipling]])</f>
        <v>0.74677082606825707</v>
      </c>
      <c r="J230" s="2">
        <f t="shared" si="3"/>
        <v>21.11904761904762</v>
      </c>
      <c r="K230">
        <f>DAY(weather.tbl[[#This Row],[Date]])</f>
        <v>17</v>
      </c>
      <c r="L230">
        <f>MONTH(weather.tbl[[#This Row],[Date]])</f>
        <v>8</v>
      </c>
      <c r="M230">
        <f>YEAR(weather.tbl[[#This Row],[Date]])</f>
        <v>2014</v>
      </c>
    </row>
    <row r="231" spans="1:13" x14ac:dyDescent="0.25">
      <c r="A231" s="1">
        <v>41869</v>
      </c>
      <c r="B231" s="2">
        <v>20.6</v>
      </c>
      <c r="C231" s="2">
        <v>20</v>
      </c>
      <c r="D231" s="2">
        <v>21.5</v>
      </c>
      <c r="E231" s="2">
        <v>20.5</v>
      </c>
      <c r="F231" s="2">
        <v>21.7</v>
      </c>
      <c r="G231" s="2">
        <v>19.600000000000001</v>
      </c>
      <c r="H231" s="2">
        <f>AVERAGE(weather.tbl[[#This Row],[Estevan]:[Kipling]])</f>
        <v>20.650000000000002</v>
      </c>
      <c r="I231" s="2">
        <f>_xlfn.STDEV.S(weather.tbl[[#This Row],[Estevan]:[Kipling]])</f>
        <v>0.82158383625774867</v>
      </c>
      <c r="J231" s="2">
        <f t="shared" si="3"/>
        <v>21.554761904761907</v>
      </c>
      <c r="K231">
        <f>DAY(weather.tbl[[#This Row],[Date]])</f>
        <v>18</v>
      </c>
      <c r="L231">
        <f>MONTH(weather.tbl[[#This Row],[Date]])</f>
        <v>8</v>
      </c>
      <c r="M231">
        <f>YEAR(weather.tbl[[#This Row],[Date]])</f>
        <v>2014</v>
      </c>
    </row>
    <row r="232" spans="1:13" x14ac:dyDescent="0.25">
      <c r="A232" s="1">
        <v>41870</v>
      </c>
      <c r="B232" s="2">
        <v>20.7</v>
      </c>
      <c r="C232" s="2">
        <v>20.100000000000001</v>
      </c>
      <c r="D232" s="2">
        <v>21.3</v>
      </c>
      <c r="E232" s="2">
        <v>21</v>
      </c>
      <c r="F232" s="2">
        <v>21.4</v>
      </c>
      <c r="G232" s="2">
        <v>19.7</v>
      </c>
      <c r="H232" s="2">
        <f>AVERAGE(weather.tbl[[#This Row],[Estevan]:[Kipling]])</f>
        <v>20.7</v>
      </c>
      <c r="I232" s="2">
        <f>_xlfn.STDEV.S(weather.tbl[[#This Row],[Estevan]:[Kipling]])</f>
        <v>0.67823299831252659</v>
      </c>
      <c r="J232" s="2">
        <f t="shared" si="3"/>
        <v>21.509523809523809</v>
      </c>
      <c r="K232">
        <f>DAY(weather.tbl[[#This Row],[Date]])</f>
        <v>19</v>
      </c>
      <c r="L232">
        <f>MONTH(weather.tbl[[#This Row],[Date]])</f>
        <v>8</v>
      </c>
      <c r="M232">
        <f>YEAR(weather.tbl[[#This Row],[Date]])</f>
        <v>2014</v>
      </c>
    </row>
    <row r="233" spans="1:13" x14ac:dyDescent="0.25">
      <c r="A233" s="1">
        <v>41871</v>
      </c>
      <c r="B233" s="2">
        <v>20.100000000000001</v>
      </c>
      <c r="C233" s="2">
        <v>19.5</v>
      </c>
      <c r="D233" s="2">
        <v>20.3</v>
      </c>
      <c r="E233" s="2">
        <v>19</v>
      </c>
      <c r="F233" s="2">
        <v>22.6</v>
      </c>
      <c r="G233" s="2">
        <v>20.5</v>
      </c>
      <c r="H233" s="2">
        <f>AVERAGE(weather.tbl[[#This Row],[Estevan]:[Kipling]])</f>
        <v>20.333333333333332</v>
      </c>
      <c r="I233" s="2">
        <f>_xlfn.STDEV.S(weather.tbl[[#This Row],[Estevan]:[Kipling]])</f>
        <v>1.2404300329590008</v>
      </c>
      <c r="J233" s="2">
        <f t="shared" si="3"/>
        <v>21.280952380952382</v>
      </c>
      <c r="K233">
        <f>DAY(weather.tbl[[#This Row],[Date]])</f>
        <v>20</v>
      </c>
      <c r="L233">
        <f>MONTH(weather.tbl[[#This Row],[Date]])</f>
        <v>8</v>
      </c>
      <c r="M233">
        <f>YEAR(weather.tbl[[#This Row],[Date]])</f>
        <v>2014</v>
      </c>
    </row>
    <row r="234" spans="1:13" x14ac:dyDescent="0.25">
      <c r="A234" s="1">
        <v>41872</v>
      </c>
      <c r="B234" s="2">
        <v>18.399999999999999</v>
      </c>
      <c r="C234" s="2">
        <v>18.100000000000001</v>
      </c>
      <c r="D234" s="2">
        <v>17.8</v>
      </c>
      <c r="E234" s="2">
        <v>19.3</v>
      </c>
      <c r="F234" s="2">
        <v>20</v>
      </c>
      <c r="G234" s="2">
        <v>18</v>
      </c>
      <c r="H234" s="2">
        <f>AVERAGE(weather.tbl[[#This Row],[Estevan]:[Kipling]])</f>
        <v>18.599999999999998</v>
      </c>
      <c r="I234" s="2">
        <f>_xlfn.STDEV.S(weather.tbl[[#This Row],[Estevan]:[Kipling]])</f>
        <v>0.86486993241758603</v>
      </c>
      <c r="J234" s="2">
        <f t="shared" si="3"/>
        <v>20.469047619047618</v>
      </c>
      <c r="K234">
        <f>DAY(weather.tbl[[#This Row],[Date]])</f>
        <v>21</v>
      </c>
      <c r="L234">
        <f>MONTH(weather.tbl[[#This Row],[Date]])</f>
        <v>8</v>
      </c>
      <c r="M234">
        <f>YEAR(weather.tbl[[#This Row],[Date]])</f>
        <v>2014</v>
      </c>
    </row>
    <row r="235" spans="1:13" x14ac:dyDescent="0.25">
      <c r="A235" s="1">
        <v>41873</v>
      </c>
      <c r="B235" s="2">
        <v>16</v>
      </c>
      <c r="C235" s="2">
        <v>16.3</v>
      </c>
      <c r="D235" s="2">
        <v>16.3</v>
      </c>
      <c r="E235" s="2">
        <v>16.8</v>
      </c>
      <c r="F235" s="2">
        <v>16.8</v>
      </c>
      <c r="G235" s="2">
        <v>15.8</v>
      </c>
      <c r="H235" s="2">
        <f>AVERAGE(weather.tbl[[#This Row],[Estevan]:[Kipling]])</f>
        <v>16.333333333333332</v>
      </c>
      <c r="I235" s="2">
        <f>_xlfn.STDEV.S(weather.tbl[[#This Row],[Estevan]:[Kipling]])</f>
        <v>0.40824829046386313</v>
      </c>
      <c r="J235" s="2">
        <f t="shared" si="3"/>
        <v>19.497619047619047</v>
      </c>
      <c r="K235">
        <f>DAY(weather.tbl[[#This Row],[Date]])</f>
        <v>22</v>
      </c>
      <c r="L235">
        <f>MONTH(weather.tbl[[#This Row],[Date]])</f>
        <v>8</v>
      </c>
      <c r="M235">
        <f>YEAR(weather.tbl[[#This Row],[Date]])</f>
        <v>2014</v>
      </c>
    </row>
    <row r="236" spans="1:13" x14ac:dyDescent="0.25">
      <c r="A236" s="1">
        <v>41874</v>
      </c>
      <c r="B236" s="2">
        <v>12.4</v>
      </c>
      <c r="C236" s="2">
        <v>12.1</v>
      </c>
      <c r="D236" s="2">
        <v>12.8</v>
      </c>
      <c r="E236" s="2">
        <v>12.5</v>
      </c>
      <c r="F236" s="2">
        <v>13.2</v>
      </c>
      <c r="G236" s="2">
        <v>12.4</v>
      </c>
      <c r="H236" s="2">
        <f>AVERAGE(weather.tbl[[#This Row],[Estevan]:[Kipling]])</f>
        <v>12.566666666666668</v>
      </c>
      <c r="I236" s="2">
        <f>_xlfn.STDEV.S(weather.tbl[[#This Row],[Estevan]:[Kipling]])</f>
        <v>0.3829708431025351</v>
      </c>
      <c r="J236" s="2">
        <f t="shared" si="3"/>
        <v>18.571428571428573</v>
      </c>
      <c r="K236">
        <f>DAY(weather.tbl[[#This Row],[Date]])</f>
        <v>23</v>
      </c>
      <c r="L236">
        <f>MONTH(weather.tbl[[#This Row],[Date]])</f>
        <v>8</v>
      </c>
      <c r="M236">
        <f>YEAR(weather.tbl[[#This Row],[Date]])</f>
        <v>2014</v>
      </c>
    </row>
    <row r="237" spans="1:13" x14ac:dyDescent="0.25">
      <c r="A237" s="1">
        <v>41875</v>
      </c>
      <c r="B237" s="2">
        <v>12.6</v>
      </c>
      <c r="C237" s="2">
        <v>10.6</v>
      </c>
      <c r="D237" s="2">
        <v>13.3</v>
      </c>
      <c r="E237" s="2">
        <v>12.5</v>
      </c>
      <c r="F237" s="2">
        <v>14.3</v>
      </c>
      <c r="G237" s="2">
        <v>11.4</v>
      </c>
      <c r="H237" s="2">
        <f>AVERAGE(weather.tbl[[#This Row],[Estevan]:[Kipling]])</f>
        <v>12.450000000000001</v>
      </c>
      <c r="I237" s="2">
        <f>_xlfn.STDEV.S(weather.tbl[[#This Row],[Estevan]:[Kipling]])</f>
        <v>1.318711492328781</v>
      </c>
      <c r="J237" s="2">
        <f t="shared" si="3"/>
        <v>17.376190476190477</v>
      </c>
      <c r="K237">
        <f>DAY(weather.tbl[[#This Row],[Date]])</f>
        <v>24</v>
      </c>
      <c r="L237">
        <f>MONTH(weather.tbl[[#This Row],[Date]])</f>
        <v>8</v>
      </c>
      <c r="M237">
        <f>YEAR(weather.tbl[[#This Row],[Date]])</f>
        <v>2014</v>
      </c>
    </row>
    <row r="238" spans="1:13" x14ac:dyDescent="0.25">
      <c r="A238" s="1">
        <v>41876</v>
      </c>
      <c r="B238" s="2">
        <v>11.5</v>
      </c>
      <c r="C238" s="2">
        <v>11.5</v>
      </c>
      <c r="D238" s="2">
        <v>11</v>
      </c>
      <c r="E238" s="2">
        <v>10.5</v>
      </c>
      <c r="F238" s="2">
        <v>10.6</v>
      </c>
      <c r="G238" s="2">
        <v>9.6</v>
      </c>
      <c r="H238" s="2">
        <f>AVERAGE(weather.tbl[[#This Row],[Estevan]:[Kipling]])</f>
        <v>10.783333333333333</v>
      </c>
      <c r="I238" s="2">
        <f>_xlfn.STDEV.S(weather.tbl[[#This Row],[Estevan]:[Kipling]])</f>
        <v>0.71949056051255245</v>
      </c>
      <c r="J238" s="2">
        <f t="shared" si="3"/>
        <v>15.966666666666665</v>
      </c>
      <c r="K238">
        <f>DAY(weather.tbl[[#This Row],[Date]])</f>
        <v>25</v>
      </c>
      <c r="L238">
        <f>MONTH(weather.tbl[[#This Row],[Date]])</f>
        <v>8</v>
      </c>
      <c r="M238">
        <f>YEAR(weather.tbl[[#This Row],[Date]])</f>
        <v>2014</v>
      </c>
    </row>
    <row r="239" spans="1:13" x14ac:dyDescent="0.25">
      <c r="A239" s="1">
        <v>41877</v>
      </c>
      <c r="B239" s="2">
        <v>12.7</v>
      </c>
      <c r="C239" s="2">
        <v>12.9</v>
      </c>
      <c r="D239" s="2">
        <v>11</v>
      </c>
      <c r="E239" s="2">
        <v>13</v>
      </c>
      <c r="F239" s="2">
        <v>13</v>
      </c>
      <c r="G239" s="2">
        <v>11.8</v>
      </c>
      <c r="H239" s="2">
        <f>AVERAGE(weather.tbl[[#This Row],[Estevan]:[Kipling]])</f>
        <v>12.4</v>
      </c>
      <c r="I239" s="2">
        <f>_xlfn.STDEV.S(weather.tbl[[#This Row],[Estevan]:[Kipling]])</f>
        <v>0.82219219164377844</v>
      </c>
      <c r="J239" s="2">
        <f t="shared" si="3"/>
        <v>14.780952380952382</v>
      </c>
      <c r="K239">
        <f>DAY(weather.tbl[[#This Row],[Date]])</f>
        <v>26</v>
      </c>
      <c r="L239">
        <f>MONTH(weather.tbl[[#This Row],[Date]])</f>
        <v>8</v>
      </c>
      <c r="M239">
        <f>YEAR(weather.tbl[[#This Row],[Date]])</f>
        <v>2014</v>
      </c>
    </row>
    <row r="240" spans="1:13" x14ac:dyDescent="0.25">
      <c r="A240" s="1">
        <v>41878</v>
      </c>
      <c r="B240" s="2">
        <v>17.899999999999999</v>
      </c>
      <c r="C240" s="2">
        <v>17.899999999999999</v>
      </c>
      <c r="D240" s="2">
        <v>16.3</v>
      </c>
      <c r="E240" s="2">
        <v>18</v>
      </c>
      <c r="F240" s="2">
        <v>16.600000000000001</v>
      </c>
      <c r="G240" s="2">
        <v>16.7</v>
      </c>
      <c r="H240" s="2">
        <f>AVERAGE(weather.tbl[[#This Row],[Estevan]:[Kipling]])</f>
        <v>17.233333333333331</v>
      </c>
      <c r="I240" s="2">
        <f>_xlfn.STDEV.S(weather.tbl[[#This Row],[Estevan]:[Kipling]])</f>
        <v>0.77888809636986067</v>
      </c>
      <c r="J240" s="2">
        <f t="shared" si="3"/>
        <v>14.338095238095239</v>
      </c>
      <c r="K240">
        <f>DAY(weather.tbl[[#This Row],[Date]])</f>
        <v>27</v>
      </c>
      <c r="L240">
        <f>MONTH(weather.tbl[[#This Row],[Date]])</f>
        <v>8</v>
      </c>
      <c r="M240">
        <f>YEAR(weather.tbl[[#This Row],[Date]])</f>
        <v>2014</v>
      </c>
    </row>
    <row r="241" spans="1:13" x14ac:dyDescent="0.25">
      <c r="A241" s="1">
        <v>41879</v>
      </c>
      <c r="B241" s="2">
        <v>22.8</v>
      </c>
      <c r="C241" s="2">
        <v>21.3</v>
      </c>
      <c r="D241" s="2">
        <v>20.8</v>
      </c>
      <c r="E241" s="2">
        <v>21</v>
      </c>
      <c r="F241" s="2">
        <v>22.4</v>
      </c>
      <c r="G241" s="2">
        <v>21.4</v>
      </c>
      <c r="H241" s="2">
        <f>AVERAGE(weather.tbl[[#This Row],[Estevan]:[Kipling]])</f>
        <v>21.616666666666671</v>
      </c>
      <c r="I241" s="2">
        <f>_xlfn.STDEV.S(weather.tbl[[#This Row],[Estevan]:[Kipling]])</f>
        <v>0.8010409893798609</v>
      </c>
      <c r="J241" s="2">
        <f t="shared" si="3"/>
        <v>14.769047619047621</v>
      </c>
      <c r="K241">
        <f>DAY(weather.tbl[[#This Row],[Date]])</f>
        <v>28</v>
      </c>
      <c r="L241">
        <f>MONTH(weather.tbl[[#This Row],[Date]])</f>
        <v>8</v>
      </c>
      <c r="M241">
        <f>YEAR(weather.tbl[[#This Row],[Date]])</f>
        <v>2014</v>
      </c>
    </row>
    <row r="242" spans="1:13" x14ac:dyDescent="0.25">
      <c r="A242" s="1">
        <v>41880</v>
      </c>
      <c r="B242" s="2">
        <v>15.5</v>
      </c>
      <c r="C242" s="2">
        <v>15.6</v>
      </c>
      <c r="D242" s="2">
        <v>16.8</v>
      </c>
      <c r="E242" s="2">
        <v>17.5</v>
      </c>
      <c r="F242" s="2">
        <v>15.8</v>
      </c>
      <c r="G242" s="2">
        <v>15.8</v>
      </c>
      <c r="H242" s="2">
        <f>AVERAGE(weather.tbl[[#This Row],[Estevan]:[Kipling]])</f>
        <v>16.166666666666668</v>
      </c>
      <c r="I242" s="2">
        <f>_xlfn.STDEV.S(weather.tbl[[#This Row],[Estevan]:[Kipling]])</f>
        <v>0.80166493416306206</v>
      </c>
      <c r="J242" s="2">
        <f t="shared" si="3"/>
        <v>14.745238095238097</v>
      </c>
      <c r="K242">
        <f>DAY(weather.tbl[[#This Row],[Date]])</f>
        <v>29</v>
      </c>
      <c r="L242">
        <f>MONTH(weather.tbl[[#This Row],[Date]])</f>
        <v>8</v>
      </c>
      <c r="M242">
        <f>YEAR(weather.tbl[[#This Row],[Date]])</f>
        <v>2014</v>
      </c>
    </row>
    <row r="243" spans="1:13" x14ac:dyDescent="0.25">
      <c r="A243" s="1">
        <v>41881</v>
      </c>
      <c r="B243" s="2">
        <v>15.8</v>
      </c>
      <c r="C243" s="2">
        <v>15.6</v>
      </c>
      <c r="D243" s="2">
        <v>15.5</v>
      </c>
      <c r="E243" s="2">
        <v>15.3</v>
      </c>
      <c r="F243" s="2">
        <v>15.4</v>
      </c>
      <c r="G243" s="2">
        <v>13.8</v>
      </c>
      <c r="H243" s="2">
        <f>AVERAGE(weather.tbl[[#This Row],[Estevan]:[Kipling]])</f>
        <v>15.233333333333334</v>
      </c>
      <c r="I243" s="2">
        <f>_xlfn.STDEV.S(weather.tbl[[#This Row],[Estevan]:[Kipling]])</f>
        <v>0.72295689129205098</v>
      </c>
      <c r="J243" s="2">
        <f t="shared" si="3"/>
        <v>15.126190476190477</v>
      </c>
      <c r="K243">
        <f>DAY(weather.tbl[[#This Row],[Date]])</f>
        <v>30</v>
      </c>
      <c r="L243">
        <f>MONTH(weather.tbl[[#This Row],[Date]])</f>
        <v>8</v>
      </c>
      <c r="M243">
        <f>YEAR(weather.tbl[[#This Row],[Date]])</f>
        <v>2014</v>
      </c>
    </row>
    <row r="244" spans="1:13" x14ac:dyDescent="0.25">
      <c r="A244" s="1">
        <v>41882</v>
      </c>
      <c r="B244" s="2">
        <v>16.8</v>
      </c>
      <c r="C244" s="2">
        <v>15.7</v>
      </c>
      <c r="D244" s="2">
        <v>17.3</v>
      </c>
      <c r="E244" s="2">
        <v>16</v>
      </c>
      <c r="F244" s="2">
        <v>17.399999999999999</v>
      </c>
      <c r="G244" s="2">
        <v>16.2</v>
      </c>
      <c r="H244" s="2">
        <f>AVERAGE(weather.tbl[[#This Row],[Estevan]:[Kipling]])</f>
        <v>16.566666666666666</v>
      </c>
      <c r="I244" s="2">
        <f>_xlfn.STDEV.S(weather.tbl[[#This Row],[Estevan]:[Kipling]])</f>
        <v>0.70616334276615256</v>
      </c>
      <c r="J244" s="2">
        <f t="shared" si="3"/>
        <v>15.714285714285714</v>
      </c>
      <c r="K244">
        <f>DAY(weather.tbl[[#This Row],[Date]])</f>
        <v>31</v>
      </c>
      <c r="L244">
        <f>MONTH(weather.tbl[[#This Row],[Date]])</f>
        <v>8</v>
      </c>
      <c r="M244">
        <f>YEAR(weather.tbl[[#This Row],[Date]])</f>
        <v>2014</v>
      </c>
    </row>
    <row r="245" spans="1:13" x14ac:dyDescent="0.25">
      <c r="A245" s="1">
        <v>41883</v>
      </c>
      <c r="B245" s="2">
        <v>15.7</v>
      </c>
      <c r="C245" s="2">
        <v>14.7</v>
      </c>
      <c r="D245" s="2">
        <v>16</v>
      </c>
      <c r="E245" s="2">
        <v>15.3</v>
      </c>
      <c r="F245" s="2">
        <v>16.399999999999999</v>
      </c>
      <c r="G245" s="2">
        <v>15.1</v>
      </c>
      <c r="H245" s="2">
        <f>AVERAGE(weather.tbl[[#This Row],[Estevan]:[Kipling]])</f>
        <v>15.533333333333331</v>
      </c>
      <c r="I245" s="2">
        <f>_xlfn.STDEV.S(weather.tbl[[#This Row],[Estevan]:[Kipling]])</f>
        <v>0.62182527020592082</v>
      </c>
      <c r="J245" s="2">
        <f t="shared" si="3"/>
        <v>16.392857142857142</v>
      </c>
      <c r="K245">
        <f>DAY(weather.tbl[[#This Row],[Date]])</f>
        <v>1</v>
      </c>
      <c r="L245">
        <f>MONTH(weather.tbl[[#This Row],[Date]])</f>
        <v>9</v>
      </c>
      <c r="M245">
        <f>YEAR(weather.tbl[[#This Row],[Date]])</f>
        <v>2014</v>
      </c>
    </row>
    <row r="246" spans="1:13" x14ac:dyDescent="0.25">
      <c r="A246" s="1">
        <v>41884</v>
      </c>
      <c r="B246" s="2">
        <v>15.6</v>
      </c>
      <c r="C246" s="2">
        <v>14.9</v>
      </c>
      <c r="D246" s="2">
        <v>15.3</v>
      </c>
      <c r="E246" s="2">
        <v>14.5</v>
      </c>
      <c r="F246" s="2">
        <v>17</v>
      </c>
      <c r="G246" s="2">
        <v>14.5</v>
      </c>
      <c r="H246" s="2">
        <f>AVERAGE(weather.tbl[[#This Row],[Estevan]:[Kipling]])</f>
        <v>15.299999999999999</v>
      </c>
      <c r="I246" s="2">
        <f>_xlfn.STDEV.S(weather.tbl[[#This Row],[Estevan]:[Kipling]])</f>
        <v>0.94021274188345272</v>
      </c>
      <c r="J246" s="2">
        <f t="shared" si="3"/>
        <v>16.807142857142857</v>
      </c>
      <c r="K246">
        <f>DAY(weather.tbl[[#This Row],[Date]])</f>
        <v>2</v>
      </c>
      <c r="L246">
        <f>MONTH(weather.tbl[[#This Row],[Date]])</f>
        <v>9</v>
      </c>
      <c r="M246">
        <f>YEAR(weather.tbl[[#This Row],[Date]])</f>
        <v>2014</v>
      </c>
    </row>
    <row r="247" spans="1:13" x14ac:dyDescent="0.25">
      <c r="A247" s="1">
        <v>41885</v>
      </c>
      <c r="B247" s="2">
        <v>13.4</v>
      </c>
      <c r="C247" s="2">
        <v>15.9</v>
      </c>
      <c r="D247" s="2">
        <v>12.5</v>
      </c>
      <c r="E247" s="2">
        <v>14.8</v>
      </c>
      <c r="F247" s="2">
        <v>14.4</v>
      </c>
      <c r="G247" s="2">
        <v>14.8</v>
      </c>
      <c r="H247" s="2">
        <f>AVERAGE(weather.tbl[[#This Row],[Estevan]:[Kipling]])</f>
        <v>14.299999999999999</v>
      </c>
      <c r="I247" s="2">
        <f>_xlfn.STDEV.S(weather.tbl[[#This Row],[Estevan]:[Kipling]])</f>
        <v>1.193314711214104</v>
      </c>
      <c r="J247" s="2">
        <f t="shared" si="3"/>
        <v>16.388095238095239</v>
      </c>
      <c r="K247">
        <f>DAY(weather.tbl[[#This Row],[Date]])</f>
        <v>3</v>
      </c>
      <c r="L247">
        <f>MONTH(weather.tbl[[#This Row],[Date]])</f>
        <v>9</v>
      </c>
      <c r="M247">
        <f>YEAR(weather.tbl[[#This Row],[Date]])</f>
        <v>2014</v>
      </c>
    </row>
    <row r="248" spans="1:13" x14ac:dyDescent="0.25">
      <c r="A248" s="1">
        <v>41886</v>
      </c>
      <c r="B248" s="2">
        <v>11.7</v>
      </c>
      <c r="C248" s="2">
        <v>11.2</v>
      </c>
      <c r="D248" s="2">
        <v>14.5</v>
      </c>
      <c r="E248" s="2">
        <v>13.8</v>
      </c>
      <c r="F248" s="2">
        <v>13</v>
      </c>
      <c r="G248" s="2">
        <v>11.9</v>
      </c>
      <c r="H248" s="2">
        <f>AVERAGE(weather.tbl[[#This Row],[Estevan]:[Kipling]])</f>
        <v>12.683333333333335</v>
      </c>
      <c r="I248" s="2">
        <f>_xlfn.STDEV.S(weather.tbl[[#This Row],[Estevan]:[Kipling]])</f>
        <v>1.2983322635853534</v>
      </c>
      <c r="J248" s="2">
        <f t="shared" si="3"/>
        <v>15.111904761904762</v>
      </c>
      <c r="K248">
        <f>DAY(weather.tbl[[#This Row],[Date]])</f>
        <v>4</v>
      </c>
      <c r="L248">
        <f>MONTH(weather.tbl[[#This Row],[Date]])</f>
        <v>9</v>
      </c>
      <c r="M248">
        <f>YEAR(weather.tbl[[#This Row],[Date]])</f>
        <v>2014</v>
      </c>
    </row>
    <row r="249" spans="1:13" x14ac:dyDescent="0.25">
      <c r="A249" s="1">
        <v>41887</v>
      </c>
      <c r="B249" s="2">
        <v>13.6</v>
      </c>
      <c r="C249" s="2">
        <v>13.4</v>
      </c>
      <c r="D249" s="2">
        <v>14.3</v>
      </c>
      <c r="E249" s="2">
        <v>14.3</v>
      </c>
      <c r="F249" s="2">
        <v>14.7</v>
      </c>
      <c r="G249" s="2">
        <v>12.5</v>
      </c>
      <c r="H249" s="2">
        <f>AVERAGE(weather.tbl[[#This Row],[Estevan]:[Kipling]])</f>
        <v>13.799999999999999</v>
      </c>
      <c r="I249" s="2">
        <f>_xlfn.STDEV.S(weather.tbl[[#This Row],[Estevan]:[Kipling]])</f>
        <v>0.8</v>
      </c>
      <c r="J249" s="2">
        <f t="shared" si="3"/>
        <v>14.773809523809522</v>
      </c>
      <c r="K249">
        <f>DAY(weather.tbl[[#This Row],[Date]])</f>
        <v>5</v>
      </c>
      <c r="L249">
        <f>MONTH(weather.tbl[[#This Row],[Date]])</f>
        <v>9</v>
      </c>
      <c r="M249">
        <f>YEAR(weather.tbl[[#This Row],[Date]])</f>
        <v>2014</v>
      </c>
    </row>
    <row r="250" spans="1:13" x14ac:dyDescent="0.25">
      <c r="A250" s="1">
        <v>41888</v>
      </c>
      <c r="B250" s="2">
        <v>15.4</v>
      </c>
      <c r="C250" s="2">
        <v>14.6</v>
      </c>
      <c r="D250" s="2">
        <v>15.8</v>
      </c>
      <c r="E250" s="2">
        <v>16.5</v>
      </c>
      <c r="F250" s="2">
        <v>16.5</v>
      </c>
      <c r="G250" s="2">
        <v>14.8</v>
      </c>
      <c r="H250" s="2">
        <f>AVERAGE(weather.tbl[[#This Row],[Estevan]:[Kipling]])</f>
        <v>15.6</v>
      </c>
      <c r="I250" s="2">
        <f>_xlfn.STDEV.S(weather.tbl[[#This Row],[Estevan]:[Kipling]])</f>
        <v>0.8173126696681019</v>
      </c>
      <c r="J250" s="2">
        <f t="shared" si="3"/>
        <v>14.826190476190474</v>
      </c>
      <c r="K250">
        <f>DAY(weather.tbl[[#This Row],[Date]])</f>
        <v>6</v>
      </c>
      <c r="L250">
        <f>MONTH(weather.tbl[[#This Row],[Date]])</f>
        <v>9</v>
      </c>
      <c r="M250">
        <f>YEAR(weather.tbl[[#This Row],[Date]])</f>
        <v>2014</v>
      </c>
    </row>
    <row r="251" spans="1:13" x14ac:dyDescent="0.25">
      <c r="A251" s="1">
        <v>41889</v>
      </c>
      <c r="B251" s="2">
        <v>16.5</v>
      </c>
      <c r="C251" s="2">
        <v>16.600000000000001</v>
      </c>
      <c r="D251" s="2">
        <v>16.3</v>
      </c>
      <c r="E251" s="2">
        <v>16.5</v>
      </c>
      <c r="F251" s="2">
        <v>16.600000000000001</v>
      </c>
      <c r="G251" s="2">
        <v>16.3</v>
      </c>
      <c r="H251" s="2">
        <f>AVERAGE(weather.tbl[[#This Row],[Estevan]:[Kipling]])</f>
        <v>16.466666666666665</v>
      </c>
      <c r="I251" s="2">
        <f>_xlfn.STDEV.S(weather.tbl[[#This Row],[Estevan]:[Kipling]])</f>
        <v>0.13662601021279486</v>
      </c>
      <c r="J251" s="2">
        <f t="shared" si="3"/>
        <v>14.81190476190476</v>
      </c>
      <c r="K251">
        <f>DAY(weather.tbl[[#This Row],[Date]])</f>
        <v>7</v>
      </c>
      <c r="L251">
        <f>MONTH(weather.tbl[[#This Row],[Date]])</f>
        <v>9</v>
      </c>
      <c r="M251">
        <f>YEAR(weather.tbl[[#This Row],[Date]])</f>
        <v>2014</v>
      </c>
    </row>
    <row r="252" spans="1:13" x14ac:dyDescent="0.25">
      <c r="A252" s="1">
        <v>41890</v>
      </c>
      <c r="B252" s="2">
        <v>12.7</v>
      </c>
      <c r="C252" s="2">
        <v>10.6</v>
      </c>
      <c r="D252" s="2">
        <v>13.3</v>
      </c>
      <c r="E252" s="2">
        <v>10.5</v>
      </c>
      <c r="F252" s="2">
        <v>12</v>
      </c>
      <c r="G252" s="2">
        <v>9.3000000000000007</v>
      </c>
      <c r="H252" s="2">
        <f>AVERAGE(weather.tbl[[#This Row],[Estevan]:[Kipling]])</f>
        <v>11.399999999999999</v>
      </c>
      <c r="I252" s="2">
        <f>_xlfn.STDEV.S(weather.tbl[[#This Row],[Estevan]:[Kipling]])</f>
        <v>1.517893276880836</v>
      </c>
      <c r="J252" s="2">
        <f t="shared" si="3"/>
        <v>14.22142857142857</v>
      </c>
      <c r="K252">
        <f>DAY(weather.tbl[[#This Row],[Date]])</f>
        <v>8</v>
      </c>
      <c r="L252">
        <f>MONTH(weather.tbl[[#This Row],[Date]])</f>
        <v>9</v>
      </c>
      <c r="M252">
        <f>YEAR(weather.tbl[[#This Row],[Date]])</f>
        <v>2014</v>
      </c>
    </row>
    <row r="253" spans="1:13" x14ac:dyDescent="0.25">
      <c r="A253" s="1">
        <v>41891</v>
      </c>
      <c r="B253" s="2">
        <v>6.2</v>
      </c>
      <c r="C253" s="2">
        <v>5</v>
      </c>
      <c r="D253" s="2">
        <v>5.8</v>
      </c>
      <c r="E253" s="2">
        <v>5.3</v>
      </c>
      <c r="F253" s="2">
        <v>7.7</v>
      </c>
      <c r="G253" s="2">
        <v>5.2</v>
      </c>
      <c r="H253" s="2">
        <f>AVERAGE(weather.tbl[[#This Row],[Estevan]:[Kipling]])</f>
        <v>5.8666666666666671</v>
      </c>
      <c r="I253" s="2">
        <f>_xlfn.STDEV.S(weather.tbl[[#This Row],[Estevan]:[Kipling]])</f>
        <v>0.99933311096284005</v>
      </c>
      <c r="J253" s="2">
        <f t="shared" si="3"/>
        <v>12.873809523809525</v>
      </c>
      <c r="K253">
        <f>DAY(weather.tbl[[#This Row],[Date]])</f>
        <v>9</v>
      </c>
      <c r="L253">
        <f>MONTH(weather.tbl[[#This Row],[Date]])</f>
        <v>9</v>
      </c>
      <c r="M253">
        <f>YEAR(weather.tbl[[#This Row],[Date]])</f>
        <v>2014</v>
      </c>
    </row>
    <row r="254" spans="1:13" x14ac:dyDescent="0.25">
      <c r="A254" s="1">
        <v>41892</v>
      </c>
      <c r="B254" s="2">
        <v>6</v>
      </c>
      <c r="C254" s="2">
        <v>5.3</v>
      </c>
      <c r="D254" s="2">
        <v>6.3</v>
      </c>
      <c r="E254" s="2">
        <v>5</v>
      </c>
      <c r="F254" s="2">
        <v>7</v>
      </c>
      <c r="G254" s="2">
        <v>4.5999999999999996</v>
      </c>
      <c r="H254" s="2">
        <f>AVERAGE(weather.tbl[[#This Row],[Estevan]:[Kipling]])</f>
        <v>5.7</v>
      </c>
      <c r="I254" s="2">
        <f>_xlfn.STDEV.S(weather.tbl[[#This Row],[Estevan]:[Kipling]])</f>
        <v>0.89442719099991264</v>
      </c>
      <c r="J254" s="2">
        <f t="shared" si="3"/>
        <v>11.645238095238096</v>
      </c>
      <c r="K254">
        <f>DAY(weather.tbl[[#This Row],[Date]])</f>
        <v>10</v>
      </c>
      <c r="L254">
        <f>MONTH(weather.tbl[[#This Row],[Date]])</f>
        <v>9</v>
      </c>
      <c r="M254">
        <f>YEAR(weather.tbl[[#This Row],[Date]])</f>
        <v>2014</v>
      </c>
    </row>
    <row r="255" spans="1:13" x14ac:dyDescent="0.25">
      <c r="A255" s="1">
        <v>41893</v>
      </c>
      <c r="B255" s="2">
        <v>5.4</v>
      </c>
      <c r="C255" s="2">
        <v>4</v>
      </c>
      <c r="D255" s="2">
        <v>5.5</v>
      </c>
      <c r="E255" s="2">
        <v>3.3</v>
      </c>
      <c r="F255" s="2">
        <v>7.6</v>
      </c>
      <c r="G255" s="2">
        <v>4.9000000000000004</v>
      </c>
      <c r="H255" s="2">
        <f>AVERAGE(weather.tbl[[#This Row],[Estevan]:[Kipling]])</f>
        <v>5.1166666666666663</v>
      </c>
      <c r="I255" s="2">
        <f>_xlfn.STDEV.S(weather.tbl[[#This Row],[Estevan]:[Kipling]])</f>
        <v>1.4824529222429543</v>
      </c>
      <c r="J255" s="2">
        <f t="shared" si="3"/>
        <v>10.564285714285713</v>
      </c>
      <c r="K255">
        <f>DAY(weather.tbl[[#This Row],[Date]])</f>
        <v>11</v>
      </c>
      <c r="L255">
        <f>MONTH(weather.tbl[[#This Row],[Date]])</f>
        <v>9</v>
      </c>
      <c r="M255">
        <f>YEAR(weather.tbl[[#This Row],[Date]])</f>
        <v>2014</v>
      </c>
    </row>
    <row r="256" spans="1:13" x14ac:dyDescent="0.25">
      <c r="A256" s="1">
        <v>41894</v>
      </c>
      <c r="B256" s="2">
        <v>5.9</v>
      </c>
      <c r="C256" s="2">
        <v>5.7</v>
      </c>
      <c r="D256" s="2">
        <v>6.8</v>
      </c>
      <c r="E256" s="2">
        <v>6</v>
      </c>
      <c r="F256" s="2">
        <v>7.5</v>
      </c>
      <c r="G256" s="2">
        <v>6</v>
      </c>
      <c r="H256" s="2">
        <f>AVERAGE(weather.tbl[[#This Row],[Estevan]:[Kipling]])</f>
        <v>6.3166666666666673</v>
      </c>
      <c r="I256" s="2">
        <f>_xlfn.STDEV.S(weather.tbl[[#This Row],[Estevan]:[Kipling]])</f>
        <v>0.69113433330045659</v>
      </c>
      <c r="J256" s="2">
        <f t="shared" si="3"/>
        <v>9.4952380952380953</v>
      </c>
      <c r="K256">
        <f>DAY(weather.tbl[[#This Row],[Date]])</f>
        <v>12</v>
      </c>
      <c r="L256">
        <f>MONTH(weather.tbl[[#This Row],[Date]])</f>
        <v>9</v>
      </c>
      <c r="M256">
        <f>YEAR(weather.tbl[[#This Row],[Date]])</f>
        <v>2014</v>
      </c>
    </row>
    <row r="257" spans="1:13" x14ac:dyDescent="0.25">
      <c r="A257" s="1">
        <v>41895</v>
      </c>
      <c r="B257" s="2">
        <v>7.6</v>
      </c>
      <c r="C257" s="2">
        <v>6.9</v>
      </c>
      <c r="D257" s="2">
        <v>7.3</v>
      </c>
      <c r="E257" s="2">
        <v>7.5</v>
      </c>
      <c r="F257" s="2">
        <v>9.5</v>
      </c>
      <c r="G257" s="2">
        <v>8</v>
      </c>
      <c r="H257" s="2">
        <f>AVERAGE(weather.tbl[[#This Row],[Estevan]:[Kipling]])</f>
        <v>7.8</v>
      </c>
      <c r="I257" s="2">
        <f>_xlfn.STDEV.S(weather.tbl[[#This Row],[Estevan]:[Kipling]])</f>
        <v>0.90774445743281795</v>
      </c>
      <c r="J257" s="2">
        <f t="shared" si="3"/>
        <v>8.3809523809523814</v>
      </c>
      <c r="K257">
        <f>DAY(weather.tbl[[#This Row],[Date]])</f>
        <v>13</v>
      </c>
      <c r="L257">
        <f>MONTH(weather.tbl[[#This Row],[Date]])</f>
        <v>9</v>
      </c>
      <c r="M257">
        <f>YEAR(weather.tbl[[#This Row],[Date]])</f>
        <v>2014</v>
      </c>
    </row>
    <row r="258" spans="1:13" x14ac:dyDescent="0.25">
      <c r="A258" s="1">
        <v>41896</v>
      </c>
      <c r="B258" s="2">
        <v>5.5</v>
      </c>
      <c r="C258" s="2">
        <v>5.5</v>
      </c>
      <c r="D258" s="2">
        <v>6.3</v>
      </c>
      <c r="E258" s="2">
        <v>6</v>
      </c>
      <c r="F258" s="2">
        <v>8.8000000000000007</v>
      </c>
      <c r="G258" s="2">
        <v>6.3</v>
      </c>
      <c r="H258" s="2">
        <f>AVERAGE(weather.tbl[[#This Row],[Estevan]:[Kipling]])</f>
        <v>6.3999999999999995</v>
      </c>
      <c r="I258" s="2">
        <f>_xlfn.STDEV.S(weather.tbl[[#This Row],[Estevan]:[Kipling]])</f>
        <v>1.229634091915152</v>
      </c>
      <c r="J258" s="2">
        <f t="shared" si="3"/>
        <v>6.9428571428571422</v>
      </c>
      <c r="K258">
        <f>DAY(weather.tbl[[#This Row],[Date]])</f>
        <v>14</v>
      </c>
      <c r="L258">
        <f>MONTH(weather.tbl[[#This Row],[Date]])</f>
        <v>9</v>
      </c>
      <c r="M258">
        <f>YEAR(weather.tbl[[#This Row],[Date]])</f>
        <v>2014</v>
      </c>
    </row>
    <row r="259" spans="1:13" x14ac:dyDescent="0.25">
      <c r="A259" s="1">
        <v>41897</v>
      </c>
      <c r="B259" s="2">
        <v>10.8</v>
      </c>
      <c r="C259" s="2">
        <v>10.4</v>
      </c>
      <c r="D259" s="2">
        <v>10</v>
      </c>
      <c r="E259" s="2">
        <v>11.3</v>
      </c>
      <c r="F259" s="2">
        <v>10.3</v>
      </c>
      <c r="G259" s="2">
        <v>10.4</v>
      </c>
      <c r="H259" s="2">
        <f>AVERAGE(weather.tbl[[#This Row],[Estevan]:[Kipling]])</f>
        <v>10.533333333333333</v>
      </c>
      <c r="I259" s="2">
        <f>_xlfn.STDEV.S(weather.tbl[[#This Row],[Estevan]:[Kipling]])</f>
        <v>0.4546060565661954</v>
      </c>
      <c r="J259" s="2">
        <f t="shared" si="3"/>
        <v>6.8190476190476188</v>
      </c>
      <c r="K259">
        <f>DAY(weather.tbl[[#This Row],[Date]])</f>
        <v>15</v>
      </c>
      <c r="L259">
        <f>MONTH(weather.tbl[[#This Row],[Date]])</f>
        <v>9</v>
      </c>
      <c r="M259">
        <f>YEAR(weather.tbl[[#This Row],[Date]])</f>
        <v>2014</v>
      </c>
    </row>
    <row r="260" spans="1:13" x14ac:dyDescent="0.25">
      <c r="A260" s="1">
        <v>41898</v>
      </c>
      <c r="B260" s="2">
        <v>13</v>
      </c>
      <c r="C260" s="2">
        <v>12.9</v>
      </c>
      <c r="D260" s="2">
        <v>13</v>
      </c>
      <c r="E260" s="2">
        <v>13.5</v>
      </c>
      <c r="F260" s="2">
        <v>10.3</v>
      </c>
      <c r="G260" s="2">
        <v>13.1</v>
      </c>
      <c r="H260" s="2">
        <f>AVERAGE(weather.tbl[[#This Row],[Estevan]:[Kipling]])</f>
        <v>12.633333333333333</v>
      </c>
      <c r="I260" s="2">
        <f>_xlfn.STDEV.S(weather.tbl[[#This Row],[Estevan]:[Kipling]])</f>
        <v>1.1621818561080128</v>
      </c>
      <c r="J260" s="2">
        <f t="shared" si="3"/>
        <v>7.7857142857142856</v>
      </c>
      <c r="K260">
        <f>DAY(weather.tbl[[#This Row],[Date]])</f>
        <v>16</v>
      </c>
      <c r="L260">
        <f>MONTH(weather.tbl[[#This Row],[Date]])</f>
        <v>9</v>
      </c>
      <c r="M260">
        <f>YEAR(weather.tbl[[#This Row],[Date]])</f>
        <v>2014</v>
      </c>
    </row>
    <row r="261" spans="1:13" x14ac:dyDescent="0.25">
      <c r="A261" s="1">
        <v>41899</v>
      </c>
      <c r="B261" s="2">
        <v>11.8</v>
      </c>
      <c r="C261" s="2">
        <v>11.6</v>
      </c>
      <c r="D261" s="2">
        <v>10</v>
      </c>
      <c r="E261" s="2">
        <v>12.5</v>
      </c>
      <c r="F261" s="2">
        <v>9.4</v>
      </c>
      <c r="G261" s="2">
        <v>10</v>
      </c>
      <c r="H261" s="2">
        <f>AVERAGE(weather.tbl[[#This Row],[Estevan]:[Kipling]])</f>
        <v>10.883333333333333</v>
      </c>
      <c r="I261" s="2">
        <f>_xlfn.STDEV.S(weather.tbl[[#This Row],[Estevan]:[Kipling]])</f>
        <v>1.2432484332050024</v>
      </c>
      <c r="J261" s="2">
        <f t="shared" si="3"/>
        <v>8.5261904761904752</v>
      </c>
      <c r="K261">
        <f>DAY(weather.tbl[[#This Row],[Date]])</f>
        <v>17</v>
      </c>
      <c r="L261">
        <f>MONTH(weather.tbl[[#This Row],[Date]])</f>
        <v>9</v>
      </c>
      <c r="M261">
        <f>YEAR(weather.tbl[[#This Row],[Date]])</f>
        <v>2014</v>
      </c>
    </row>
    <row r="262" spans="1:13" x14ac:dyDescent="0.25">
      <c r="A262" s="1">
        <v>41900</v>
      </c>
      <c r="B262" s="2">
        <v>11.8</v>
      </c>
      <c r="C262" s="2">
        <v>17.100000000000001</v>
      </c>
      <c r="D262" s="2">
        <v>15.8</v>
      </c>
      <c r="E262" s="2">
        <v>17.5</v>
      </c>
      <c r="F262" s="2">
        <v>13.7</v>
      </c>
      <c r="G262" s="2">
        <v>13.4</v>
      </c>
      <c r="H262" s="2">
        <f>AVERAGE(weather.tbl[[#This Row],[Estevan]:[Kipling]])</f>
        <v>14.883333333333335</v>
      </c>
      <c r="I262" s="2">
        <f>_xlfn.STDEV.S(weather.tbl[[#This Row],[Estevan]:[Kipling]])</f>
        <v>2.2675243475355686</v>
      </c>
      <c r="J262" s="2">
        <f t="shared" si="3"/>
        <v>9.9214285714285726</v>
      </c>
      <c r="K262">
        <f>DAY(weather.tbl[[#This Row],[Date]])</f>
        <v>18</v>
      </c>
      <c r="L262">
        <f>MONTH(weather.tbl[[#This Row],[Date]])</f>
        <v>9</v>
      </c>
      <c r="M262">
        <f>YEAR(weather.tbl[[#This Row],[Date]])</f>
        <v>2014</v>
      </c>
    </row>
    <row r="263" spans="1:13" x14ac:dyDescent="0.25">
      <c r="A263" s="1">
        <v>41901</v>
      </c>
      <c r="B263" s="2">
        <v>17.3</v>
      </c>
      <c r="C263" s="2">
        <v>15.3</v>
      </c>
      <c r="D263" s="2">
        <v>18.5</v>
      </c>
      <c r="E263" s="2">
        <v>16.5</v>
      </c>
      <c r="F263" s="2">
        <v>18.2</v>
      </c>
      <c r="G263" s="2">
        <v>15.8</v>
      </c>
      <c r="H263" s="2">
        <f>AVERAGE(weather.tbl[[#This Row],[Estevan]:[Kipling]])</f>
        <v>16.933333333333334</v>
      </c>
      <c r="I263" s="2">
        <f>_xlfn.STDEV.S(weather.tbl[[#This Row],[Estevan]:[Kipling]])</f>
        <v>1.2909944487358052</v>
      </c>
      <c r="J263" s="2">
        <f t="shared" si="3"/>
        <v>11.438095238095238</v>
      </c>
      <c r="K263">
        <f>DAY(weather.tbl[[#This Row],[Date]])</f>
        <v>19</v>
      </c>
      <c r="L263">
        <f>MONTH(weather.tbl[[#This Row],[Date]])</f>
        <v>9</v>
      </c>
      <c r="M263">
        <f>YEAR(weather.tbl[[#This Row],[Date]])</f>
        <v>2014</v>
      </c>
    </row>
    <row r="264" spans="1:13" x14ac:dyDescent="0.25">
      <c r="A264" s="1">
        <v>41902</v>
      </c>
      <c r="B264" s="2">
        <v>14.5</v>
      </c>
      <c r="C264" s="2">
        <v>12.9</v>
      </c>
      <c r="D264" s="2">
        <v>14.8</v>
      </c>
      <c r="E264" s="2">
        <v>15.5</v>
      </c>
      <c r="F264" s="2">
        <v>15.8</v>
      </c>
      <c r="G264" s="2">
        <v>13.7</v>
      </c>
      <c r="H264" s="2">
        <f>AVERAGE(weather.tbl[[#This Row],[Estevan]:[Kipling]])</f>
        <v>14.533333333333333</v>
      </c>
      <c r="I264" s="2">
        <f>_xlfn.STDEV.S(weather.tbl[[#This Row],[Estevan]:[Kipling]])</f>
        <v>1.0930080817023573</v>
      </c>
      <c r="J264" s="2">
        <f t="shared" si="3"/>
        <v>12.4</v>
      </c>
      <c r="K264">
        <f>DAY(weather.tbl[[#This Row],[Date]])</f>
        <v>20</v>
      </c>
      <c r="L264">
        <f>MONTH(weather.tbl[[#This Row],[Date]])</f>
        <v>9</v>
      </c>
      <c r="M264">
        <f>YEAR(weather.tbl[[#This Row],[Date]])</f>
        <v>2014</v>
      </c>
    </row>
    <row r="265" spans="1:13" x14ac:dyDescent="0.25">
      <c r="A265" s="1">
        <v>41903</v>
      </c>
      <c r="B265" s="2">
        <v>12.8</v>
      </c>
      <c r="C265" s="2">
        <v>12.9</v>
      </c>
      <c r="D265" s="2">
        <v>13.3</v>
      </c>
      <c r="E265" s="2">
        <v>13.8</v>
      </c>
      <c r="F265" s="2">
        <v>14.5</v>
      </c>
      <c r="G265" s="2">
        <v>13.8</v>
      </c>
      <c r="H265" s="2">
        <f>AVERAGE(weather.tbl[[#This Row],[Estevan]:[Kipling]])</f>
        <v>13.516666666666666</v>
      </c>
      <c r="I265" s="2">
        <f>_xlfn.STDEV.S(weather.tbl[[#This Row],[Estevan]:[Kipling]])</f>
        <v>0.64316923641190005</v>
      </c>
      <c r="J265" s="2">
        <f t="shared" si="3"/>
        <v>13.416666666666666</v>
      </c>
      <c r="K265">
        <f>DAY(weather.tbl[[#This Row],[Date]])</f>
        <v>21</v>
      </c>
      <c r="L265">
        <f>MONTH(weather.tbl[[#This Row],[Date]])</f>
        <v>9</v>
      </c>
      <c r="M265">
        <f>YEAR(weather.tbl[[#This Row],[Date]])</f>
        <v>2014</v>
      </c>
    </row>
    <row r="266" spans="1:13" x14ac:dyDescent="0.25">
      <c r="A266" s="1">
        <v>41904</v>
      </c>
      <c r="B266" s="2">
        <v>16.100000000000001</v>
      </c>
      <c r="C266" s="2">
        <v>16.2</v>
      </c>
      <c r="D266" s="2">
        <v>15</v>
      </c>
      <c r="E266" s="2">
        <v>16</v>
      </c>
      <c r="F266" s="2">
        <v>16.2</v>
      </c>
      <c r="G266" s="2">
        <v>15.5</v>
      </c>
      <c r="H266" s="2">
        <f>AVERAGE(weather.tbl[[#This Row],[Estevan]:[Kipling]])</f>
        <v>15.833333333333334</v>
      </c>
      <c r="I266" s="2">
        <f>_xlfn.STDEV.S(weather.tbl[[#This Row],[Estevan]:[Kipling]])</f>
        <v>0.48442405665559862</v>
      </c>
      <c r="J266" s="2">
        <f t="shared" ref="J266:J329" si="4">AVERAGE(H260:H266)</f>
        <v>14.173809523809522</v>
      </c>
      <c r="K266">
        <f>DAY(weather.tbl[[#This Row],[Date]])</f>
        <v>22</v>
      </c>
      <c r="L266">
        <f>MONTH(weather.tbl[[#This Row],[Date]])</f>
        <v>9</v>
      </c>
      <c r="M266">
        <f>YEAR(weather.tbl[[#This Row],[Date]])</f>
        <v>2014</v>
      </c>
    </row>
    <row r="267" spans="1:13" x14ac:dyDescent="0.25">
      <c r="A267" s="1">
        <v>41905</v>
      </c>
      <c r="B267" s="2">
        <v>18.3</v>
      </c>
      <c r="C267" s="2">
        <v>18.600000000000001</v>
      </c>
      <c r="D267" s="2">
        <v>18</v>
      </c>
      <c r="E267" s="2">
        <v>18.8</v>
      </c>
      <c r="F267" s="2">
        <v>18.899999999999999</v>
      </c>
      <c r="G267" s="2">
        <v>17.8</v>
      </c>
      <c r="H267" s="2">
        <f>AVERAGE(weather.tbl[[#This Row],[Estevan]:[Kipling]])</f>
        <v>18.399999999999999</v>
      </c>
      <c r="I267" s="2">
        <f>_xlfn.STDEV.S(weather.tbl[[#This Row],[Estevan]:[Kipling]])</f>
        <v>0.44271887242357283</v>
      </c>
      <c r="J267" s="2">
        <f t="shared" si="4"/>
        <v>14.997619047619045</v>
      </c>
      <c r="K267">
        <f>DAY(weather.tbl[[#This Row],[Date]])</f>
        <v>23</v>
      </c>
      <c r="L267">
        <f>MONTH(weather.tbl[[#This Row],[Date]])</f>
        <v>9</v>
      </c>
      <c r="M267">
        <f>YEAR(weather.tbl[[#This Row],[Date]])</f>
        <v>2014</v>
      </c>
    </row>
    <row r="268" spans="1:13" x14ac:dyDescent="0.25">
      <c r="A268" s="1">
        <v>41906</v>
      </c>
      <c r="B268" s="2">
        <v>18.5</v>
      </c>
      <c r="C268" s="2">
        <v>17.7</v>
      </c>
      <c r="D268" s="2">
        <v>19.5</v>
      </c>
      <c r="E268" s="2">
        <v>19.5</v>
      </c>
      <c r="F268" s="2">
        <v>20.6</v>
      </c>
      <c r="G268" s="2">
        <v>18.8</v>
      </c>
      <c r="H268" s="2">
        <f>AVERAGE(weather.tbl[[#This Row],[Estevan]:[Kipling]])</f>
        <v>19.100000000000001</v>
      </c>
      <c r="I268" s="2">
        <f>_xlfn.STDEV.S(weather.tbl[[#This Row],[Estevan]:[Kipling]])</f>
        <v>0.99799799598997263</v>
      </c>
      <c r="J268" s="2">
        <f t="shared" si="4"/>
        <v>16.171428571428571</v>
      </c>
      <c r="K268">
        <f>DAY(weather.tbl[[#This Row],[Date]])</f>
        <v>24</v>
      </c>
      <c r="L268">
        <f>MONTH(weather.tbl[[#This Row],[Date]])</f>
        <v>9</v>
      </c>
      <c r="M268">
        <f>YEAR(weather.tbl[[#This Row],[Date]])</f>
        <v>2014</v>
      </c>
    </row>
    <row r="269" spans="1:13" x14ac:dyDescent="0.25">
      <c r="A269" s="1">
        <v>41907</v>
      </c>
      <c r="B269" s="2">
        <v>23.5</v>
      </c>
      <c r="C269" s="2">
        <v>23.3</v>
      </c>
      <c r="D269" s="2">
        <v>21.8</v>
      </c>
      <c r="E269" s="2">
        <v>22.3</v>
      </c>
      <c r="F269" s="2">
        <v>23.4</v>
      </c>
      <c r="G269" s="2">
        <v>22.8</v>
      </c>
      <c r="H269" s="2">
        <f>AVERAGE(weather.tbl[[#This Row],[Estevan]:[Kipling]])</f>
        <v>22.849999999999998</v>
      </c>
      <c r="I269" s="2">
        <f>_xlfn.STDEV.S(weather.tbl[[#This Row],[Estevan]:[Kipling]])</f>
        <v>0.68337398253079495</v>
      </c>
      <c r="J269" s="2">
        <f t="shared" si="4"/>
        <v>17.309523809523807</v>
      </c>
      <c r="K269">
        <f>DAY(weather.tbl[[#This Row],[Date]])</f>
        <v>25</v>
      </c>
      <c r="L269">
        <f>MONTH(weather.tbl[[#This Row],[Date]])</f>
        <v>9</v>
      </c>
      <c r="M269">
        <f>YEAR(weather.tbl[[#This Row],[Date]])</f>
        <v>2014</v>
      </c>
    </row>
    <row r="270" spans="1:13" x14ac:dyDescent="0.25">
      <c r="A270" s="1">
        <v>41908</v>
      </c>
      <c r="B270" s="2">
        <v>23.2</v>
      </c>
      <c r="C270" s="2">
        <v>22.1</v>
      </c>
      <c r="D270" s="2">
        <v>23.5</v>
      </c>
      <c r="E270" s="2">
        <v>22.3</v>
      </c>
      <c r="F270" s="2">
        <v>24.7</v>
      </c>
      <c r="G270" s="2">
        <v>22.6</v>
      </c>
      <c r="H270" s="2">
        <f>AVERAGE(weather.tbl[[#This Row],[Estevan]:[Kipling]])</f>
        <v>23.066666666666666</v>
      </c>
      <c r="I270" s="2">
        <f>_xlfn.STDEV.S(weather.tbl[[#This Row],[Estevan]:[Kipling]])</f>
        <v>0.96055539489748587</v>
      </c>
      <c r="J270" s="2">
        <f t="shared" si="4"/>
        <v>18.185714285714283</v>
      </c>
      <c r="K270">
        <f>DAY(weather.tbl[[#This Row],[Date]])</f>
        <v>26</v>
      </c>
      <c r="L270">
        <f>MONTH(weather.tbl[[#This Row],[Date]])</f>
        <v>9</v>
      </c>
      <c r="M270">
        <f>YEAR(weather.tbl[[#This Row],[Date]])</f>
        <v>2014</v>
      </c>
    </row>
    <row r="271" spans="1:13" x14ac:dyDescent="0.25">
      <c r="A271" s="1">
        <v>41909</v>
      </c>
      <c r="B271" s="2">
        <v>14.6</v>
      </c>
      <c r="C271" s="2">
        <v>11.9</v>
      </c>
      <c r="D271" s="2">
        <v>14.5</v>
      </c>
      <c r="E271" s="2">
        <v>12</v>
      </c>
      <c r="F271" s="2">
        <v>16.3</v>
      </c>
      <c r="G271" s="2">
        <v>12.9</v>
      </c>
      <c r="H271" s="2">
        <f>AVERAGE(weather.tbl[[#This Row],[Estevan]:[Kipling]])</f>
        <v>13.700000000000001</v>
      </c>
      <c r="I271" s="2">
        <f>_xlfn.STDEV.S(weather.tbl[[#This Row],[Estevan]:[Kipling]])</f>
        <v>1.7308957218735055</v>
      </c>
      <c r="J271" s="2">
        <f t="shared" si="4"/>
        <v>18.066666666666666</v>
      </c>
      <c r="K271">
        <f>DAY(weather.tbl[[#This Row],[Date]])</f>
        <v>27</v>
      </c>
      <c r="L271">
        <f>MONTH(weather.tbl[[#This Row],[Date]])</f>
        <v>9</v>
      </c>
      <c r="M271">
        <f>YEAR(weather.tbl[[#This Row],[Date]])</f>
        <v>2014</v>
      </c>
    </row>
    <row r="272" spans="1:13" x14ac:dyDescent="0.25">
      <c r="A272" s="1">
        <v>41910</v>
      </c>
      <c r="B272" s="2">
        <v>8.6</v>
      </c>
      <c r="C272" s="2">
        <v>7.8</v>
      </c>
      <c r="D272" s="2">
        <v>8</v>
      </c>
      <c r="E272" s="2">
        <v>8</v>
      </c>
      <c r="F272" s="2">
        <v>9.1</v>
      </c>
      <c r="G272" s="2">
        <v>6.9</v>
      </c>
      <c r="H272" s="2">
        <f>AVERAGE(weather.tbl[[#This Row],[Estevan]:[Kipling]])</f>
        <v>8.0666666666666664</v>
      </c>
      <c r="I272" s="2">
        <f>_xlfn.STDEV.S(weather.tbl[[#This Row],[Estevan]:[Kipling]])</f>
        <v>0.74744007563594439</v>
      </c>
      <c r="J272" s="2">
        <f t="shared" si="4"/>
        <v>17.288095238095238</v>
      </c>
      <c r="K272">
        <f>DAY(weather.tbl[[#This Row],[Date]])</f>
        <v>28</v>
      </c>
      <c r="L272">
        <f>MONTH(weather.tbl[[#This Row],[Date]])</f>
        <v>9</v>
      </c>
      <c r="M272">
        <f>YEAR(weather.tbl[[#This Row],[Date]])</f>
        <v>2014</v>
      </c>
    </row>
    <row r="273" spans="1:13" x14ac:dyDescent="0.25">
      <c r="A273" s="1">
        <v>41911</v>
      </c>
      <c r="B273" s="2">
        <v>8.3000000000000007</v>
      </c>
      <c r="C273" s="2">
        <v>8.4</v>
      </c>
      <c r="D273" s="2">
        <v>7.8</v>
      </c>
      <c r="E273" s="2">
        <v>8.5</v>
      </c>
      <c r="F273" s="2">
        <v>8</v>
      </c>
      <c r="G273" s="2">
        <v>7.6</v>
      </c>
      <c r="H273" s="2">
        <f>AVERAGE(weather.tbl[[#This Row],[Estevan]:[Kipling]])</f>
        <v>8.1</v>
      </c>
      <c r="I273" s="2">
        <f>_xlfn.STDEV.S(weather.tbl[[#This Row],[Estevan]:[Kipling]])</f>
        <v>0.35777087639996663</v>
      </c>
      <c r="J273" s="2">
        <f t="shared" si="4"/>
        <v>16.18333333333333</v>
      </c>
      <c r="K273">
        <f>DAY(weather.tbl[[#This Row],[Date]])</f>
        <v>29</v>
      </c>
      <c r="L273">
        <f>MONTH(weather.tbl[[#This Row],[Date]])</f>
        <v>9</v>
      </c>
      <c r="M273">
        <f>YEAR(weather.tbl[[#This Row],[Date]])</f>
        <v>2014</v>
      </c>
    </row>
    <row r="274" spans="1:13" x14ac:dyDescent="0.25">
      <c r="A274" s="1">
        <v>41912</v>
      </c>
      <c r="B274" s="2">
        <v>9.8000000000000007</v>
      </c>
      <c r="C274" s="2">
        <v>10.6</v>
      </c>
      <c r="D274" s="2">
        <v>9.3000000000000007</v>
      </c>
      <c r="E274" s="2">
        <v>11</v>
      </c>
      <c r="F274" s="2">
        <v>11.6</v>
      </c>
      <c r="G274" s="2">
        <v>9.6</v>
      </c>
      <c r="H274" s="2">
        <f>AVERAGE(weather.tbl[[#This Row],[Estevan]:[Kipling]])</f>
        <v>10.316666666666668</v>
      </c>
      <c r="I274" s="2">
        <f>_xlfn.STDEV.S(weather.tbl[[#This Row],[Estevan]:[Kipling]])</f>
        <v>0.89535840123755261</v>
      </c>
      <c r="J274" s="2">
        <f t="shared" si="4"/>
        <v>15.028571428571427</v>
      </c>
      <c r="K274">
        <f>DAY(weather.tbl[[#This Row],[Date]])</f>
        <v>30</v>
      </c>
      <c r="L274">
        <f>MONTH(weather.tbl[[#This Row],[Date]])</f>
        <v>9</v>
      </c>
      <c r="M274">
        <f>YEAR(weather.tbl[[#This Row],[Date]])</f>
        <v>2014</v>
      </c>
    </row>
    <row r="275" spans="1:13" x14ac:dyDescent="0.25">
      <c r="A275" s="1">
        <v>41913</v>
      </c>
      <c r="B275" s="2">
        <v>9.3000000000000007</v>
      </c>
      <c r="C275" s="2">
        <v>9.3000000000000007</v>
      </c>
      <c r="D275" s="2">
        <v>11.5</v>
      </c>
      <c r="E275" s="2">
        <v>12</v>
      </c>
      <c r="F275" s="2">
        <v>12.2</v>
      </c>
      <c r="G275" s="2">
        <v>10.7</v>
      </c>
      <c r="H275" s="2">
        <f>AVERAGE(weather.tbl[[#This Row],[Estevan]:[Kipling]])</f>
        <v>10.833333333333334</v>
      </c>
      <c r="I275" s="2">
        <f>_xlfn.STDEV.S(weather.tbl[[#This Row],[Estevan]:[Kipling]])</f>
        <v>1.2956336930886998</v>
      </c>
      <c r="J275" s="2">
        <f t="shared" si="4"/>
        <v>13.847619047619046</v>
      </c>
      <c r="K275">
        <f>DAY(weather.tbl[[#This Row],[Date]])</f>
        <v>1</v>
      </c>
      <c r="L275">
        <f>MONTH(weather.tbl[[#This Row],[Date]])</f>
        <v>10</v>
      </c>
      <c r="M275">
        <f>YEAR(weather.tbl[[#This Row],[Date]])</f>
        <v>2014</v>
      </c>
    </row>
    <row r="276" spans="1:13" x14ac:dyDescent="0.25">
      <c r="A276" s="1">
        <v>41914</v>
      </c>
      <c r="B276" s="2">
        <v>5.6</v>
      </c>
      <c r="C276" s="2">
        <v>4.5999999999999996</v>
      </c>
      <c r="D276" s="2">
        <v>7.5</v>
      </c>
      <c r="E276" s="2">
        <v>4.3</v>
      </c>
      <c r="F276" s="2">
        <v>8.3000000000000007</v>
      </c>
      <c r="G276" s="2">
        <v>4.5999999999999996</v>
      </c>
      <c r="H276" s="2">
        <f>AVERAGE(weather.tbl[[#This Row],[Estevan]:[Kipling]])</f>
        <v>5.8166666666666664</v>
      </c>
      <c r="I276" s="2">
        <f>_xlfn.STDEV.S(weather.tbl[[#This Row],[Estevan]:[Kipling]])</f>
        <v>1.691646141090585</v>
      </c>
      <c r="J276" s="2">
        <f t="shared" si="4"/>
        <v>11.414285714285713</v>
      </c>
      <c r="K276">
        <f>DAY(weather.tbl[[#This Row],[Date]])</f>
        <v>2</v>
      </c>
      <c r="L276">
        <f>MONTH(weather.tbl[[#This Row],[Date]])</f>
        <v>10</v>
      </c>
      <c r="M276">
        <f>YEAR(weather.tbl[[#This Row],[Date]])</f>
        <v>2014</v>
      </c>
    </row>
    <row r="277" spans="1:13" x14ac:dyDescent="0.25">
      <c r="A277" s="1">
        <v>41915</v>
      </c>
      <c r="B277" s="2">
        <v>1.2</v>
      </c>
      <c r="C277" s="2">
        <v>0.4</v>
      </c>
      <c r="D277" s="2">
        <v>1.8</v>
      </c>
      <c r="E277" s="2">
        <v>1.8</v>
      </c>
      <c r="F277" s="2">
        <v>2.7</v>
      </c>
      <c r="G277" s="2">
        <v>0.4</v>
      </c>
      <c r="H277" s="2">
        <f>AVERAGE(weather.tbl[[#This Row],[Estevan]:[Kipling]])</f>
        <v>1.3833333333333335</v>
      </c>
      <c r="I277" s="2">
        <f>_xlfn.STDEV.S(weather.tbl[[#This Row],[Estevan]:[Kipling]])</f>
        <v>0.89981479575891976</v>
      </c>
      <c r="J277" s="2">
        <f t="shared" si="4"/>
        <v>8.3166666666666682</v>
      </c>
      <c r="K277">
        <f>DAY(weather.tbl[[#This Row],[Date]])</f>
        <v>3</v>
      </c>
      <c r="L277">
        <f>MONTH(weather.tbl[[#This Row],[Date]])</f>
        <v>10</v>
      </c>
      <c r="M277">
        <f>YEAR(weather.tbl[[#This Row],[Date]])</f>
        <v>2014</v>
      </c>
    </row>
    <row r="278" spans="1:13" x14ac:dyDescent="0.25">
      <c r="A278" s="1">
        <v>41916</v>
      </c>
      <c r="B278" s="2">
        <v>1.4</v>
      </c>
      <c r="C278" s="2">
        <v>1.3</v>
      </c>
      <c r="D278" s="2">
        <v>1.8</v>
      </c>
      <c r="E278" s="2">
        <v>1.5</v>
      </c>
      <c r="F278" s="2">
        <v>2.2000000000000002</v>
      </c>
      <c r="G278" s="2">
        <v>0.8</v>
      </c>
      <c r="H278" s="2">
        <f>AVERAGE(weather.tbl[[#This Row],[Estevan]:[Kipling]])</f>
        <v>1.5</v>
      </c>
      <c r="I278" s="2">
        <f>_xlfn.STDEV.S(weather.tbl[[#This Row],[Estevan]:[Kipling]])</f>
        <v>0.47328638264796952</v>
      </c>
      <c r="J278" s="2">
        <f t="shared" si="4"/>
        <v>6.5738095238095244</v>
      </c>
      <c r="K278">
        <f>DAY(weather.tbl[[#This Row],[Date]])</f>
        <v>4</v>
      </c>
      <c r="L278">
        <f>MONTH(weather.tbl[[#This Row],[Date]])</f>
        <v>10</v>
      </c>
      <c r="M278">
        <f>YEAR(weather.tbl[[#This Row],[Date]])</f>
        <v>2014</v>
      </c>
    </row>
    <row r="279" spans="1:13" x14ac:dyDescent="0.25">
      <c r="A279" s="1">
        <v>41917</v>
      </c>
      <c r="B279" s="2">
        <v>4.5</v>
      </c>
      <c r="C279" s="2">
        <v>4.9000000000000004</v>
      </c>
      <c r="D279" s="2">
        <v>5.8</v>
      </c>
      <c r="E279" s="2">
        <v>5.5</v>
      </c>
      <c r="F279" s="2">
        <v>6.4</v>
      </c>
      <c r="G279" s="2">
        <v>5.0999999999999996</v>
      </c>
      <c r="H279" s="2">
        <f>AVERAGE(weather.tbl[[#This Row],[Estevan]:[Kipling]])</f>
        <v>5.3666666666666671</v>
      </c>
      <c r="I279" s="2">
        <f>_xlfn.STDEV.S(weather.tbl[[#This Row],[Estevan]:[Kipling]])</f>
        <v>0.68019605016984686</v>
      </c>
      <c r="J279" s="2">
        <f t="shared" si="4"/>
        <v>6.1880952380952374</v>
      </c>
      <c r="K279">
        <f>DAY(weather.tbl[[#This Row],[Date]])</f>
        <v>5</v>
      </c>
      <c r="L279">
        <f>MONTH(weather.tbl[[#This Row],[Date]])</f>
        <v>10</v>
      </c>
      <c r="M279">
        <f>YEAR(weather.tbl[[#This Row],[Date]])</f>
        <v>2014</v>
      </c>
    </row>
    <row r="280" spans="1:13" x14ac:dyDescent="0.25">
      <c r="A280" s="1">
        <v>41918</v>
      </c>
      <c r="B280" s="2">
        <v>9</v>
      </c>
      <c r="C280" s="2">
        <v>8.8000000000000007</v>
      </c>
      <c r="D280" s="2">
        <v>7.5</v>
      </c>
      <c r="E280" s="2">
        <v>7.8</v>
      </c>
      <c r="F280" s="2">
        <v>7.9</v>
      </c>
      <c r="G280" s="2">
        <v>7.6</v>
      </c>
      <c r="H280" s="2">
        <f>AVERAGE(weather.tbl[[#This Row],[Estevan]:[Kipling]])</f>
        <v>8.1</v>
      </c>
      <c r="I280" s="2">
        <f>_xlfn.STDEV.S(weather.tbl[[#This Row],[Estevan]:[Kipling]])</f>
        <v>0.63874877690685272</v>
      </c>
      <c r="J280" s="2">
        <f t="shared" si="4"/>
        <v>6.1880952380952383</v>
      </c>
      <c r="K280">
        <f>DAY(weather.tbl[[#This Row],[Date]])</f>
        <v>6</v>
      </c>
      <c r="L280">
        <f>MONTH(weather.tbl[[#This Row],[Date]])</f>
        <v>10</v>
      </c>
      <c r="M280">
        <f>YEAR(weather.tbl[[#This Row],[Date]])</f>
        <v>2014</v>
      </c>
    </row>
    <row r="281" spans="1:13" x14ac:dyDescent="0.25">
      <c r="A281" s="1">
        <v>41919</v>
      </c>
      <c r="B281" s="2">
        <v>7.4</v>
      </c>
      <c r="C281" s="2">
        <v>6.3</v>
      </c>
      <c r="D281" s="2">
        <v>9.8000000000000007</v>
      </c>
      <c r="E281" s="2">
        <v>9.5</v>
      </c>
      <c r="F281" s="2">
        <v>8</v>
      </c>
      <c r="G281" s="2">
        <v>8</v>
      </c>
      <c r="H281" s="2">
        <f>AVERAGE(weather.tbl[[#This Row],[Estevan]:[Kipling]])</f>
        <v>8.1666666666666661</v>
      </c>
      <c r="I281" s="2">
        <f>_xlfn.STDEV.S(weather.tbl[[#This Row],[Estevan]:[Kipling]])</f>
        <v>1.3094528119281981</v>
      </c>
      <c r="J281" s="2">
        <f t="shared" si="4"/>
        <v>5.8809523809523805</v>
      </c>
      <c r="K281">
        <f>DAY(weather.tbl[[#This Row],[Date]])</f>
        <v>7</v>
      </c>
      <c r="L281">
        <f>MONTH(weather.tbl[[#This Row],[Date]])</f>
        <v>10</v>
      </c>
      <c r="M281">
        <f>YEAR(weather.tbl[[#This Row],[Date]])</f>
        <v>2014</v>
      </c>
    </row>
    <row r="282" spans="1:13" x14ac:dyDescent="0.25">
      <c r="A282" s="1">
        <v>41920</v>
      </c>
      <c r="B282" s="2">
        <v>4.4000000000000004</v>
      </c>
      <c r="C282" s="2">
        <v>3.8</v>
      </c>
      <c r="D282" s="2">
        <v>5</v>
      </c>
      <c r="E282" s="2">
        <v>9.5</v>
      </c>
      <c r="F282" s="2">
        <v>4.7</v>
      </c>
      <c r="G282" s="2">
        <v>3.4</v>
      </c>
      <c r="H282" s="2">
        <f>AVERAGE(weather.tbl[[#This Row],[Estevan]:[Kipling]])</f>
        <v>5.1333333333333329</v>
      </c>
      <c r="I282" s="2">
        <f>_xlfn.STDEV.S(weather.tbl[[#This Row],[Estevan]:[Kipling]])</f>
        <v>2.2178067243713264</v>
      </c>
      <c r="J282" s="2">
        <f t="shared" si="4"/>
        <v>5.0666666666666655</v>
      </c>
      <c r="K282">
        <f>DAY(weather.tbl[[#This Row],[Date]])</f>
        <v>8</v>
      </c>
      <c r="L282">
        <f>MONTH(weather.tbl[[#This Row],[Date]])</f>
        <v>10</v>
      </c>
      <c r="M282">
        <f>YEAR(weather.tbl[[#This Row],[Date]])</f>
        <v>2014</v>
      </c>
    </row>
    <row r="283" spans="1:13" x14ac:dyDescent="0.25">
      <c r="A283" s="1">
        <v>41921</v>
      </c>
      <c r="B283" s="2">
        <v>3.9</v>
      </c>
      <c r="C283" s="2">
        <v>3.9</v>
      </c>
      <c r="D283" s="2">
        <v>3</v>
      </c>
      <c r="E283" s="2">
        <v>4.5</v>
      </c>
      <c r="F283" s="2">
        <v>2.5</v>
      </c>
      <c r="G283" s="2">
        <v>3.6</v>
      </c>
      <c r="H283" s="2">
        <f>AVERAGE(weather.tbl[[#This Row],[Estevan]:[Kipling]])</f>
        <v>3.5666666666666669</v>
      </c>
      <c r="I283" s="2">
        <f>_xlfn.STDEV.S(weather.tbl[[#This Row],[Estevan]:[Kipling]])</f>
        <v>0.71460945044594992</v>
      </c>
      <c r="J283" s="2">
        <f t="shared" si="4"/>
        <v>4.7452380952380953</v>
      </c>
      <c r="K283">
        <f>DAY(weather.tbl[[#This Row],[Date]])</f>
        <v>9</v>
      </c>
      <c r="L283">
        <f>MONTH(weather.tbl[[#This Row],[Date]])</f>
        <v>10</v>
      </c>
      <c r="M283">
        <f>YEAR(weather.tbl[[#This Row],[Date]])</f>
        <v>2014</v>
      </c>
    </row>
    <row r="284" spans="1:13" x14ac:dyDescent="0.25">
      <c r="A284" s="1">
        <v>41922</v>
      </c>
      <c r="B284" s="2">
        <v>7.3</v>
      </c>
      <c r="C284" s="2">
        <v>8.4</v>
      </c>
      <c r="D284" s="2">
        <v>6.8</v>
      </c>
      <c r="E284" s="2">
        <v>8.8000000000000007</v>
      </c>
      <c r="F284" s="2">
        <v>7.3</v>
      </c>
      <c r="G284" s="2">
        <v>8.5</v>
      </c>
      <c r="H284" s="2">
        <f>AVERAGE(weather.tbl[[#This Row],[Estevan]:[Kipling]])</f>
        <v>7.8500000000000005</v>
      </c>
      <c r="I284" s="2">
        <f>_xlfn.STDEV.S(weather.tbl[[#This Row],[Estevan]:[Kipling]])</f>
        <v>0.81670067956381698</v>
      </c>
      <c r="J284" s="2">
        <f t="shared" si="4"/>
        <v>5.6690476190476184</v>
      </c>
      <c r="K284">
        <f>DAY(weather.tbl[[#This Row],[Date]])</f>
        <v>10</v>
      </c>
      <c r="L284">
        <f>MONTH(weather.tbl[[#This Row],[Date]])</f>
        <v>10</v>
      </c>
      <c r="M284">
        <f>YEAR(weather.tbl[[#This Row],[Date]])</f>
        <v>2014</v>
      </c>
    </row>
    <row r="285" spans="1:13" x14ac:dyDescent="0.25">
      <c r="A285" s="1">
        <v>41923</v>
      </c>
      <c r="B285" s="2">
        <v>12</v>
      </c>
      <c r="C285" s="2">
        <v>12.6</v>
      </c>
      <c r="D285" s="2">
        <v>10.5</v>
      </c>
      <c r="E285" s="2">
        <v>13</v>
      </c>
      <c r="F285" s="2">
        <v>10.3</v>
      </c>
      <c r="G285" s="2">
        <v>12.9</v>
      </c>
      <c r="H285" s="2">
        <f>AVERAGE(weather.tbl[[#This Row],[Estevan]:[Kipling]])</f>
        <v>11.883333333333335</v>
      </c>
      <c r="I285" s="2">
        <f>_xlfn.STDEV.S(weather.tbl[[#This Row],[Estevan]:[Kipling]])</f>
        <v>1.2023587928179618</v>
      </c>
      <c r="J285" s="2">
        <f t="shared" si="4"/>
        <v>7.1523809523809518</v>
      </c>
      <c r="K285">
        <f>DAY(weather.tbl[[#This Row],[Date]])</f>
        <v>11</v>
      </c>
      <c r="L285">
        <f>MONTH(weather.tbl[[#This Row],[Date]])</f>
        <v>10</v>
      </c>
      <c r="M285">
        <f>YEAR(weather.tbl[[#This Row],[Date]])</f>
        <v>2014</v>
      </c>
    </row>
    <row r="286" spans="1:13" x14ac:dyDescent="0.25">
      <c r="A286" s="1">
        <v>41924</v>
      </c>
      <c r="B286" s="2">
        <v>10.1</v>
      </c>
      <c r="C286" s="2">
        <v>10.6</v>
      </c>
      <c r="D286" s="2">
        <v>10.5</v>
      </c>
      <c r="E286" s="2">
        <v>11</v>
      </c>
      <c r="F286" s="2">
        <v>12</v>
      </c>
      <c r="G286" s="2">
        <v>10.199999999999999</v>
      </c>
      <c r="H286" s="2">
        <f>AVERAGE(weather.tbl[[#This Row],[Estevan]:[Kipling]])</f>
        <v>10.733333333333334</v>
      </c>
      <c r="I286" s="2">
        <f>_xlfn.STDEV.S(weather.tbl[[#This Row],[Estevan]:[Kipling]])</f>
        <v>0.6976149845485452</v>
      </c>
      <c r="J286" s="2">
        <f t="shared" si="4"/>
        <v>7.9190476190476184</v>
      </c>
      <c r="K286">
        <f>DAY(weather.tbl[[#This Row],[Date]])</f>
        <v>12</v>
      </c>
      <c r="L286">
        <f>MONTH(weather.tbl[[#This Row],[Date]])</f>
        <v>10</v>
      </c>
      <c r="M286">
        <f>YEAR(weather.tbl[[#This Row],[Date]])</f>
        <v>2014</v>
      </c>
    </row>
    <row r="287" spans="1:13" x14ac:dyDescent="0.25">
      <c r="A287" s="1">
        <v>41925</v>
      </c>
      <c r="B287" s="2">
        <v>9.5</v>
      </c>
      <c r="C287" s="2">
        <v>8.6999999999999993</v>
      </c>
      <c r="D287" s="2">
        <v>9.8000000000000007</v>
      </c>
      <c r="E287" s="2">
        <v>9</v>
      </c>
      <c r="F287" s="2">
        <v>9.6</v>
      </c>
      <c r="G287" s="2">
        <v>8.6999999999999993</v>
      </c>
      <c r="H287" s="2">
        <f>AVERAGE(weather.tbl[[#This Row],[Estevan]:[Kipling]])</f>
        <v>9.2166666666666668</v>
      </c>
      <c r="I287" s="2">
        <f>_xlfn.STDEV.S(weather.tbl[[#This Row],[Estevan]:[Kipling]])</f>
        <v>0.47923550230201756</v>
      </c>
      <c r="J287" s="2">
        <f t="shared" si="4"/>
        <v>8.0785714285714292</v>
      </c>
      <c r="K287">
        <f>DAY(weather.tbl[[#This Row],[Date]])</f>
        <v>13</v>
      </c>
      <c r="L287">
        <f>MONTH(weather.tbl[[#This Row],[Date]])</f>
        <v>10</v>
      </c>
      <c r="M287">
        <f>YEAR(weather.tbl[[#This Row],[Date]])</f>
        <v>2014</v>
      </c>
    </row>
    <row r="288" spans="1:13" x14ac:dyDescent="0.25">
      <c r="A288" s="1">
        <v>41926</v>
      </c>
      <c r="B288" s="2">
        <v>10.7</v>
      </c>
      <c r="C288" s="2">
        <v>10.5</v>
      </c>
      <c r="D288" s="2">
        <v>9</v>
      </c>
      <c r="E288" s="2">
        <v>11.3</v>
      </c>
      <c r="F288" s="2">
        <v>10.1</v>
      </c>
      <c r="G288" s="2">
        <v>11</v>
      </c>
      <c r="H288" s="2">
        <f>AVERAGE(weather.tbl[[#This Row],[Estevan]:[Kipling]])</f>
        <v>10.433333333333334</v>
      </c>
      <c r="I288" s="2">
        <f>_xlfn.STDEV.S(weather.tbl[[#This Row],[Estevan]:[Kipling]])</f>
        <v>0.81404340588611546</v>
      </c>
      <c r="J288" s="2">
        <f t="shared" si="4"/>
        <v>8.4023809523809536</v>
      </c>
      <c r="K288">
        <f>DAY(weather.tbl[[#This Row],[Date]])</f>
        <v>14</v>
      </c>
      <c r="L288">
        <f>MONTH(weather.tbl[[#This Row],[Date]])</f>
        <v>10</v>
      </c>
      <c r="M288">
        <f>YEAR(weather.tbl[[#This Row],[Date]])</f>
        <v>2014</v>
      </c>
    </row>
    <row r="289" spans="1:13" x14ac:dyDescent="0.25">
      <c r="A289" s="1">
        <v>41927</v>
      </c>
      <c r="B289" s="2">
        <v>9.5</v>
      </c>
      <c r="C289" s="2">
        <v>10.8</v>
      </c>
      <c r="D289" s="2">
        <v>7.8</v>
      </c>
      <c r="E289" s="2">
        <v>11</v>
      </c>
      <c r="F289" s="2">
        <v>14</v>
      </c>
      <c r="G289" s="2">
        <v>12.4</v>
      </c>
      <c r="H289" s="2">
        <f>AVERAGE(weather.tbl[[#This Row],[Estevan]:[Kipling]])</f>
        <v>10.916666666666666</v>
      </c>
      <c r="I289" s="2">
        <f>_xlfn.STDEV.S(weather.tbl[[#This Row],[Estevan]:[Kipling]])</f>
        <v>2.1655638218871953</v>
      </c>
      <c r="J289" s="2">
        <f t="shared" si="4"/>
        <v>9.2285714285714295</v>
      </c>
      <c r="K289">
        <f>DAY(weather.tbl[[#This Row],[Date]])</f>
        <v>15</v>
      </c>
      <c r="L289">
        <f>MONTH(weather.tbl[[#This Row],[Date]])</f>
        <v>10</v>
      </c>
      <c r="M289">
        <f>YEAR(weather.tbl[[#This Row],[Date]])</f>
        <v>2014</v>
      </c>
    </row>
    <row r="290" spans="1:13" x14ac:dyDescent="0.25">
      <c r="A290" s="1">
        <v>41928</v>
      </c>
      <c r="B290" s="2">
        <v>7.3</v>
      </c>
      <c r="C290" s="2">
        <v>7</v>
      </c>
      <c r="D290" s="2">
        <v>7.8</v>
      </c>
      <c r="E290" s="2">
        <v>7.5</v>
      </c>
      <c r="F290" s="2">
        <v>7.5</v>
      </c>
      <c r="G290" s="2">
        <v>8.1999999999999993</v>
      </c>
      <c r="H290" s="2">
        <f>AVERAGE(weather.tbl[[#This Row],[Estevan]:[Kipling]])</f>
        <v>7.55</v>
      </c>
      <c r="I290" s="2">
        <f>_xlfn.STDEV.S(weather.tbl[[#This Row],[Estevan]:[Kipling]])</f>
        <v>0.41352146256270644</v>
      </c>
      <c r="J290" s="2">
        <f t="shared" si="4"/>
        <v>9.7976190476190492</v>
      </c>
      <c r="K290">
        <f>DAY(weather.tbl[[#This Row],[Date]])</f>
        <v>16</v>
      </c>
      <c r="L290">
        <f>MONTH(weather.tbl[[#This Row],[Date]])</f>
        <v>10</v>
      </c>
      <c r="M290">
        <f>YEAR(weather.tbl[[#This Row],[Date]])</f>
        <v>2014</v>
      </c>
    </row>
    <row r="291" spans="1:13" x14ac:dyDescent="0.25">
      <c r="A291" s="1">
        <v>41929</v>
      </c>
      <c r="B291" s="2">
        <v>3.5</v>
      </c>
      <c r="C291" s="2">
        <v>3.6</v>
      </c>
      <c r="D291" s="2">
        <v>7.8</v>
      </c>
      <c r="E291" s="2">
        <v>5</v>
      </c>
      <c r="F291" s="2">
        <v>4.5999999999999996</v>
      </c>
      <c r="G291" s="2">
        <v>1</v>
      </c>
      <c r="H291" s="2">
        <f>AVERAGE(weather.tbl[[#This Row],[Estevan]:[Kipling]])</f>
        <v>4.25</v>
      </c>
      <c r="I291" s="2">
        <f>_xlfn.STDEV.S(weather.tbl[[#This Row],[Estevan]:[Kipling]])</f>
        <v>2.2286767374386076</v>
      </c>
      <c r="J291" s="2">
        <f t="shared" si="4"/>
        <v>9.2833333333333314</v>
      </c>
      <c r="K291">
        <f>DAY(weather.tbl[[#This Row],[Date]])</f>
        <v>17</v>
      </c>
      <c r="L291">
        <f>MONTH(weather.tbl[[#This Row],[Date]])</f>
        <v>10</v>
      </c>
      <c r="M291">
        <f>YEAR(weather.tbl[[#This Row],[Date]])</f>
        <v>2014</v>
      </c>
    </row>
    <row r="292" spans="1:13" x14ac:dyDescent="0.25">
      <c r="A292" s="1">
        <v>41930</v>
      </c>
      <c r="B292" s="2">
        <v>8.9</v>
      </c>
      <c r="C292" s="2">
        <v>8.6</v>
      </c>
      <c r="D292" s="2">
        <v>7.8</v>
      </c>
      <c r="E292" s="2">
        <v>9</v>
      </c>
      <c r="F292" s="2">
        <v>6.8</v>
      </c>
      <c r="G292" s="2">
        <v>5.2</v>
      </c>
      <c r="H292" s="2">
        <f>AVERAGE(weather.tbl[[#This Row],[Estevan]:[Kipling]])</f>
        <v>7.7166666666666659</v>
      </c>
      <c r="I292" s="2">
        <f>_xlfn.STDEV.S(weather.tbl[[#This Row],[Estevan]:[Kipling]])</f>
        <v>1.4838014242703395</v>
      </c>
      <c r="J292" s="2">
        <f t="shared" si="4"/>
        <v>8.6880952380952383</v>
      </c>
      <c r="K292">
        <f>DAY(weather.tbl[[#This Row],[Date]])</f>
        <v>18</v>
      </c>
      <c r="L292">
        <f>MONTH(weather.tbl[[#This Row],[Date]])</f>
        <v>10</v>
      </c>
      <c r="M292">
        <f>YEAR(weather.tbl[[#This Row],[Date]])</f>
        <v>2014</v>
      </c>
    </row>
    <row r="293" spans="1:13" x14ac:dyDescent="0.25">
      <c r="A293" s="1">
        <v>41931</v>
      </c>
      <c r="B293" s="2">
        <v>11</v>
      </c>
      <c r="C293" s="2">
        <v>10.6</v>
      </c>
      <c r="D293" s="2">
        <v>7.8</v>
      </c>
      <c r="E293" s="2">
        <v>12</v>
      </c>
      <c r="F293" s="2">
        <v>12</v>
      </c>
      <c r="G293" s="2">
        <v>11.6</v>
      </c>
      <c r="H293" s="2">
        <f>AVERAGE(weather.tbl[[#This Row],[Estevan]:[Kipling]])</f>
        <v>10.833333333333334</v>
      </c>
      <c r="I293" s="2">
        <f>_xlfn.STDEV.S(weather.tbl[[#This Row],[Estevan]:[Kipling]])</f>
        <v>1.5870307705481557</v>
      </c>
      <c r="J293" s="2">
        <f t="shared" si="4"/>
        <v>8.7023809523809526</v>
      </c>
      <c r="K293">
        <f>DAY(weather.tbl[[#This Row],[Date]])</f>
        <v>19</v>
      </c>
      <c r="L293">
        <f>MONTH(weather.tbl[[#This Row],[Date]])</f>
        <v>10</v>
      </c>
      <c r="M293">
        <f>YEAR(weather.tbl[[#This Row],[Date]])</f>
        <v>2014</v>
      </c>
    </row>
    <row r="294" spans="1:13" x14ac:dyDescent="0.25">
      <c r="A294" s="1">
        <v>41932</v>
      </c>
      <c r="B294" s="2">
        <v>12.8</v>
      </c>
      <c r="C294" s="2">
        <v>12.7</v>
      </c>
      <c r="D294" s="2">
        <v>10.8</v>
      </c>
      <c r="E294" s="2">
        <v>12.5</v>
      </c>
      <c r="F294" s="2">
        <v>10.5</v>
      </c>
      <c r="G294" s="2">
        <v>12.8</v>
      </c>
      <c r="H294" s="2">
        <f>AVERAGE(weather.tbl[[#This Row],[Estevan]:[Kipling]])</f>
        <v>12.016666666666666</v>
      </c>
      <c r="I294" s="2">
        <f>_xlfn.STDEV.S(weather.tbl[[#This Row],[Estevan]:[Kipling]])</f>
        <v>1.0684880283216405</v>
      </c>
      <c r="J294" s="2">
        <f t="shared" si="4"/>
        <v>9.1023809523809529</v>
      </c>
      <c r="K294">
        <f>DAY(weather.tbl[[#This Row],[Date]])</f>
        <v>20</v>
      </c>
      <c r="L294">
        <f>MONTH(weather.tbl[[#This Row],[Date]])</f>
        <v>10</v>
      </c>
      <c r="M294">
        <f>YEAR(weather.tbl[[#This Row],[Date]])</f>
        <v>2014</v>
      </c>
    </row>
    <row r="295" spans="1:13" x14ac:dyDescent="0.25">
      <c r="A295" s="1">
        <v>41933</v>
      </c>
      <c r="B295" s="2">
        <v>12.1</v>
      </c>
      <c r="C295" s="2">
        <v>12.7</v>
      </c>
      <c r="D295" s="2">
        <v>11.5</v>
      </c>
      <c r="E295" s="2">
        <v>13.8</v>
      </c>
      <c r="F295" s="2">
        <v>14.4</v>
      </c>
      <c r="G295" s="2">
        <v>14.5</v>
      </c>
      <c r="H295" s="2">
        <f>AVERAGE(weather.tbl[[#This Row],[Estevan]:[Kipling]])</f>
        <v>13.166666666666666</v>
      </c>
      <c r="I295" s="2">
        <f>_xlfn.STDEV.S(weather.tbl[[#This Row],[Estevan]:[Kipling]])</f>
        <v>1.2516655570345727</v>
      </c>
      <c r="J295" s="2">
        <f t="shared" si="4"/>
        <v>9.4928571428571438</v>
      </c>
      <c r="K295">
        <f>DAY(weather.tbl[[#This Row],[Date]])</f>
        <v>21</v>
      </c>
      <c r="L295">
        <f>MONTH(weather.tbl[[#This Row],[Date]])</f>
        <v>10</v>
      </c>
      <c r="M295">
        <f>YEAR(weather.tbl[[#This Row],[Date]])</f>
        <v>2014</v>
      </c>
    </row>
    <row r="296" spans="1:13" x14ac:dyDescent="0.25">
      <c r="A296" s="1">
        <v>41934</v>
      </c>
      <c r="B296" s="2">
        <v>8.8000000000000007</v>
      </c>
      <c r="C296" s="2">
        <v>7.4</v>
      </c>
      <c r="D296" s="2">
        <v>10.3</v>
      </c>
      <c r="E296" s="2">
        <v>10</v>
      </c>
      <c r="F296" s="2">
        <v>12.6</v>
      </c>
      <c r="G296" s="2">
        <v>10.4</v>
      </c>
      <c r="H296" s="2">
        <f>AVERAGE(weather.tbl[[#This Row],[Estevan]:[Kipling]])</f>
        <v>9.9166666666666661</v>
      </c>
      <c r="I296" s="2">
        <f>_xlfn.STDEV.S(weather.tbl[[#This Row],[Estevan]:[Kipling]])</f>
        <v>1.7417424225948801</v>
      </c>
      <c r="J296" s="2">
        <f t="shared" si="4"/>
        <v>9.35</v>
      </c>
      <c r="K296">
        <f>DAY(weather.tbl[[#This Row],[Date]])</f>
        <v>22</v>
      </c>
      <c r="L296">
        <f>MONTH(weather.tbl[[#This Row],[Date]])</f>
        <v>10</v>
      </c>
      <c r="M296">
        <f>YEAR(weather.tbl[[#This Row],[Date]])</f>
        <v>2014</v>
      </c>
    </row>
    <row r="297" spans="1:13" x14ac:dyDescent="0.25">
      <c r="A297" s="1">
        <v>41935</v>
      </c>
      <c r="B297" s="2">
        <v>9.9</v>
      </c>
      <c r="C297" s="2">
        <v>9.1999999999999993</v>
      </c>
      <c r="D297" s="2">
        <v>11.8</v>
      </c>
      <c r="E297" s="2">
        <v>8.8000000000000007</v>
      </c>
      <c r="F297" s="2">
        <v>11.2</v>
      </c>
      <c r="G297" s="2">
        <v>8.6</v>
      </c>
      <c r="H297" s="2">
        <f>AVERAGE(weather.tbl[[#This Row],[Estevan]:[Kipling]])</f>
        <v>9.9166666666666679</v>
      </c>
      <c r="I297" s="2">
        <f>_xlfn.STDEV.S(weather.tbl[[#This Row],[Estevan]:[Kipling]])</f>
        <v>1.3182058514005437</v>
      </c>
      <c r="J297" s="2">
        <f t="shared" si="4"/>
        <v>9.6880952380952383</v>
      </c>
      <c r="K297">
        <f>DAY(weather.tbl[[#This Row],[Date]])</f>
        <v>23</v>
      </c>
      <c r="L297">
        <f>MONTH(weather.tbl[[#This Row],[Date]])</f>
        <v>10</v>
      </c>
      <c r="M297">
        <f>YEAR(weather.tbl[[#This Row],[Date]])</f>
        <v>2014</v>
      </c>
    </row>
    <row r="298" spans="1:13" x14ac:dyDescent="0.25">
      <c r="A298" s="1">
        <v>41936</v>
      </c>
      <c r="B298" s="2">
        <v>9.1</v>
      </c>
      <c r="C298" s="2">
        <v>7.4</v>
      </c>
      <c r="D298" s="2">
        <v>9</v>
      </c>
      <c r="E298" s="2">
        <v>11</v>
      </c>
      <c r="F298" s="2">
        <v>10.8</v>
      </c>
      <c r="G298" s="2">
        <v>10.7</v>
      </c>
      <c r="H298" s="2">
        <f>AVERAGE(weather.tbl[[#This Row],[Estevan]:[Kipling]])</f>
        <v>9.6666666666666661</v>
      </c>
      <c r="I298" s="2">
        <f>_xlfn.STDEV.S(weather.tbl[[#This Row],[Estevan]:[Kipling]])</f>
        <v>1.416568624058391</v>
      </c>
      <c r="J298" s="2">
        <f t="shared" si="4"/>
        <v>10.461904761904762</v>
      </c>
      <c r="K298">
        <f>DAY(weather.tbl[[#This Row],[Date]])</f>
        <v>24</v>
      </c>
      <c r="L298">
        <f>MONTH(weather.tbl[[#This Row],[Date]])</f>
        <v>10</v>
      </c>
      <c r="M298">
        <f>YEAR(weather.tbl[[#This Row],[Date]])</f>
        <v>2014</v>
      </c>
    </row>
    <row r="299" spans="1:13" x14ac:dyDescent="0.25">
      <c r="A299" s="1">
        <v>41937</v>
      </c>
      <c r="B299" s="2">
        <v>6.2</v>
      </c>
      <c r="C299" s="2">
        <v>5.2</v>
      </c>
      <c r="D299" s="2">
        <v>7.5</v>
      </c>
      <c r="E299" s="2">
        <v>6.3</v>
      </c>
      <c r="F299" s="2">
        <v>8</v>
      </c>
      <c r="G299" s="2">
        <v>6.3</v>
      </c>
      <c r="H299" s="2">
        <f>AVERAGE(weather.tbl[[#This Row],[Estevan]:[Kipling]])</f>
        <v>6.583333333333333</v>
      </c>
      <c r="I299" s="2">
        <f>_xlfn.STDEV.S(weather.tbl[[#This Row],[Estevan]:[Kipling]])</f>
        <v>1.006810144300635</v>
      </c>
      <c r="J299" s="2">
        <f t="shared" si="4"/>
        <v>10.299999999999999</v>
      </c>
      <c r="K299">
        <f>DAY(weather.tbl[[#This Row],[Date]])</f>
        <v>25</v>
      </c>
      <c r="L299">
        <f>MONTH(weather.tbl[[#This Row],[Date]])</f>
        <v>10</v>
      </c>
      <c r="M299">
        <f>YEAR(weather.tbl[[#This Row],[Date]])</f>
        <v>2014</v>
      </c>
    </row>
    <row r="300" spans="1:13" x14ac:dyDescent="0.25">
      <c r="A300" s="1">
        <v>41938</v>
      </c>
      <c r="B300" s="2">
        <v>8.4</v>
      </c>
      <c r="C300" s="2">
        <v>8.5</v>
      </c>
      <c r="D300" s="2">
        <v>8</v>
      </c>
      <c r="E300" s="2">
        <v>7.8</v>
      </c>
      <c r="F300" s="2">
        <v>10.4</v>
      </c>
      <c r="G300" s="2">
        <v>7.1</v>
      </c>
      <c r="H300" s="2">
        <f>AVERAGE(weather.tbl[[#This Row],[Estevan]:[Kipling]])</f>
        <v>8.3666666666666654</v>
      </c>
      <c r="I300" s="2">
        <f>_xlfn.STDEV.S(weather.tbl[[#This Row],[Estevan]:[Kipling]])</f>
        <v>1.1147495981908604</v>
      </c>
      <c r="J300" s="2">
        <f t="shared" si="4"/>
        <v>9.947619047619046</v>
      </c>
      <c r="K300">
        <f>DAY(weather.tbl[[#This Row],[Date]])</f>
        <v>26</v>
      </c>
      <c r="L300">
        <f>MONTH(weather.tbl[[#This Row],[Date]])</f>
        <v>10</v>
      </c>
      <c r="M300">
        <f>YEAR(weather.tbl[[#This Row],[Date]])</f>
        <v>2014</v>
      </c>
    </row>
    <row r="301" spans="1:13" x14ac:dyDescent="0.25">
      <c r="A301" s="1">
        <v>41939</v>
      </c>
      <c r="B301" s="2">
        <v>2.9</v>
      </c>
      <c r="C301" s="2">
        <v>2.9</v>
      </c>
      <c r="D301" s="2">
        <v>2.8</v>
      </c>
      <c r="E301" s="2">
        <v>2</v>
      </c>
      <c r="F301" s="2">
        <v>3</v>
      </c>
      <c r="G301" s="2">
        <v>1.5</v>
      </c>
      <c r="H301" s="2">
        <f>AVERAGE(weather.tbl[[#This Row],[Estevan]:[Kipling]])</f>
        <v>2.5166666666666666</v>
      </c>
      <c r="I301" s="2">
        <f>_xlfn.STDEV.S(weather.tbl[[#This Row],[Estevan]:[Kipling]])</f>
        <v>0.61779176642835432</v>
      </c>
      <c r="J301" s="2">
        <f t="shared" si="4"/>
        <v>8.5904761904761902</v>
      </c>
      <c r="K301">
        <f>DAY(weather.tbl[[#This Row],[Date]])</f>
        <v>27</v>
      </c>
      <c r="L301">
        <f>MONTH(weather.tbl[[#This Row],[Date]])</f>
        <v>10</v>
      </c>
      <c r="M301">
        <f>YEAR(weather.tbl[[#This Row],[Date]])</f>
        <v>2014</v>
      </c>
    </row>
    <row r="302" spans="1:13" x14ac:dyDescent="0.25">
      <c r="A302" s="1">
        <v>41940</v>
      </c>
      <c r="B302" s="2">
        <v>1.6</v>
      </c>
      <c r="C302" s="2">
        <v>0.2</v>
      </c>
      <c r="D302" s="2">
        <v>2.8</v>
      </c>
      <c r="E302" s="2">
        <v>2</v>
      </c>
      <c r="F302" s="2">
        <v>0.9</v>
      </c>
      <c r="G302" s="2">
        <v>-0.8</v>
      </c>
      <c r="H302" s="2">
        <f>AVERAGE(weather.tbl[[#This Row],[Estevan]:[Kipling]])</f>
        <v>1.1166666666666667</v>
      </c>
      <c r="I302" s="2">
        <f>_xlfn.STDEV.S(weather.tbl[[#This Row],[Estevan]:[Kipling]])</f>
        <v>1.2967909109284608</v>
      </c>
      <c r="J302" s="2">
        <f t="shared" si="4"/>
        <v>6.8690476190476195</v>
      </c>
      <c r="K302">
        <f>DAY(weather.tbl[[#This Row],[Date]])</f>
        <v>28</v>
      </c>
      <c r="L302">
        <f>MONTH(weather.tbl[[#This Row],[Date]])</f>
        <v>10</v>
      </c>
      <c r="M302">
        <f>YEAR(weather.tbl[[#This Row],[Date]])</f>
        <v>2014</v>
      </c>
    </row>
    <row r="303" spans="1:13" x14ac:dyDescent="0.25">
      <c r="A303" s="1">
        <v>41941</v>
      </c>
      <c r="B303" s="2">
        <v>3.6</v>
      </c>
      <c r="C303" s="2">
        <v>3.5</v>
      </c>
      <c r="D303" s="2">
        <v>2.8</v>
      </c>
      <c r="E303" s="2">
        <v>4.5</v>
      </c>
      <c r="F303" s="2">
        <v>2.9</v>
      </c>
      <c r="G303" s="2">
        <v>2.2000000000000002</v>
      </c>
      <c r="H303" s="2">
        <f>AVERAGE(weather.tbl[[#This Row],[Estevan]:[Kipling]])</f>
        <v>3.2499999999999996</v>
      </c>
      <c r="I303" s="2">
        <f>_xlfn.STDEV.S(weather.tbl[[#This Row],[Estevan]:[Kipling]])</f>
        <v>0.79686887252546368</v>
      </c>
      <c r="J303" s="2">
        <f t="shared" si="4"/>
        <v>5.9166666666666661</v>
      </c>
      <c r="K303">
        <f>DAY(weather.tbl[[#This Row],[Date]])</f>
        <v>29</v>
      </c>
      <c r="L303">
        <f>MONTH(weather.tbl[[#This Row],[Date]])</f>
        <v>10</v>
      </c>
      <c r="M303">
        <f>YEAR(weather.tbl[[#This Row],[Date]])</f>
        <v>2014</v>
      </c>
    </row>
    <row r="304" spans="1:13" x14ac:dyDescent="0.25">
      <c r="A304" s="1">
        <v>41942</v>
      </c>
      <c r="B304" s="2">
        <v>-2.5</v>
      </c>
      <c r="C304" s="2">
        <v>-2.2000000000000002</v>
      </c>
      <c r="D304" s="2">
        <v>2.8</v>
      </c>
      <c r="E304" s="2">
        <v>-0.3</v>
      </c>
      <c r="F304" s="2">
        <v>-2.8</v>
      </c>
      <c r="G304" s="2">
        <v>-2.5</v>
      </c>
      <c r="H304" s="2">
        <f>AVERAGE(weather.tbl[[#This Row],[Estevan]:[Kipling]])</f>
        <v>-1.25</v>
      </c>
      <c r="I304" s="2">
        <f>_xlfn.STDEV.S(weather.tbl[[#This Row],[Estevan]:[Kipling]])</f>
        <v>2.1787611158637836</v>
      </c>
      <c r="J304" s="2">
        <f t="shared" si="4"/>
        <v>4.3214285714285712</v>
      </c>
      <c r="K304">
        <f>DAY(weather.tbl[[#This Row],[Date]])</f>
        <v>30</v>
      </c>
      <c r="L304">
        <f>MONTH(weather.tbl[[#This Row],[Date]])</f>
        <v>10</v>
      </c>
      <c r="M304">
        <f>YEAR(weather.tbl[[#This Row],[Date]])</f>
        <v>2014</v>
      </c>
    </row>
    <row r="305" spans="1:13" x14ac:dyDescent="0.25">
      <c r="A305" s="1">
        <v>41943</v>
      </c>
      <c r="B305" s="2">
        <v>-1</v>
      </c>
      <c r="C305" s="2">
        <v>0.5</v>
      </c>
      <c r="D305" s="2">
        <v>2.8</v>
      </c>
      <c r="E305" s="2">
        <v>1.3</v>
      </c>
      <c r="F305" s="2">
        <v>-1.8</v>
      </c>
      <c r="G305" s="2">
        <v>-1.2</v>
      </c>
      <c r="H305" s="2">
        <f>AVERAGE(weather.tbl[[#This Row],[Estevan]:[Kipling]])</f>
        <v>9.9999999999999936E-2</v>
      </c>
      <c r="I305" s="2">
        <f>_xlfn.STDEV.S(weather.tbl[[#This Row],[Estevan]:[Kipling]])</f>
        <v>1.7549928774784243</v>
      </c>
      <c r="J305" s="2">
        <f t="shared" si="4"/>
        <v>2.9547619047619049</v>
      </c>
      <c r="K305">
        <f>DAY(weather.tbl[[#This Row],[Date]])</f>
        <v>31</v>
      </c>
      <c r="L305">
        <f>MONTH(weather.tbl[[#This Row],[Date]])</f>
        <v>10</v>
      </c>
      <c r="M305">
        <f>YEAR(weather.tbl[[#This Row],[Date]])</f>
        <v>2014</v>
      </c>
    </row>
    <row r="306" spans="1:13" x14ac:dyDescent="0.25">
      <c r="A306" s="1">
        <v>41944</v>
      </c>
      <c r="B306" s="2">
        <v>3</v>
      </c>
      <c r="C306" s="2">
        <v>4.7</v>
      </c>
      <c r="D306" s="2">
        <v>2.8</v>
      </c>
      <c r="E306" s="2">
        <v>5</v>
      </c>
      <c r="F306" s="2">
        <v>3.4</v>
      </c>
      <c r="G306" s="2">
        <v>4.2</v>
      </c>
      <c r="H306" s="2">
        <f>AVERAGE(weather.tbl[[#This Row],[Estevan]:[Kipling]])</f>
        <v>3.8499999999999996</v>
      </c>
      <c r="I306" s="2">
        <f>_xlfn.STDEV.S(weather.tbl[[#This Row],[Estevan]:[Kipling]])</f>
        <v>0.91596943180435964</v>
      </c>
      <c r="J306" s="2">
        <f t="shared" si="4"/>
        <v>2.5642857142857141</v>
      </c>
      <c r="K306">
        <f>DAY(weather.tbl[[#This Row],[Date]])</f>
        <v>1</v>
      </c>
      <c r="L306">
        <f>MONTH(weather.tbl[[#This Row],[Date]])</f>
        <v>11</v>
      </c>
      <c r="M306">
        <f>YEAR(weather.tbl[[#This Row],[Date]])</f>
        <v>2014</v>
      </c>
    </row>
    <row r="307" spans="1:13" x14ac:dyDescent="0.25">
      <c r="A307" s="1">
        <v>41945</v>
      </c>
      <c r="B307" s="2">
        <v>2.6</v>
      </c>
      <c r="C307" s="2">
        <v>3</v>
      </c>
      <c r="D307" s="2">
        <v>2.8</v>
      </c>
      <c r="E307" s="2">
        <v>2.2999999999999998</v>
      </c>
      <c r="F307" s="2">
        <v>3.3</v>
      </c>
      <c r="G307" s="2">
        <v>1.9</v>
      </c>
      <c r="H307" s="2">
        <f>AVERAGE(weather.tbl[[#This Row],[Estevan]:[Kipling]])</f>
        <v>2.65</v>
      </c>
      <c r="I307" s="2">
        <f>_xlfn.STDEV.S(weather.tbl[[#This Row],[Estevan]:[Kipling]])</f>
        <v>0.50099900199501446</v>
      </c>
      <c r="J307" s="2">
        <f t="shared" si="4"/>
        <v>1.7476190476190474</v>
      </c>
      <c r="K307">
        <f>DAY(weather.tbl[[#This Row],[Date]])</f>
        <v>2</v>
      </c>
      <c r="L307">
        <f>MONTH(weather.tbl[[#This Row],[Date]])</f>
        <v>11</v>
      </c>
      <c r="M307">
        <f>YEAR(weather.tbl[[#This Row],[Date]])</f>
        <v>2014</v>
      </c>
    </row>
    <row r="308" spans="1:13" x14ac:dyDescent="0.25">
      <c r="A308" s="1">
        <v>41946</v>
      </c>
      <c r="B308" s="2">
        <v>2.2000000000000002</v>
      </c>
      <c r="C308" s="2">
        <v>3.2</v>
      </c>
      <c r="D308" s="2">
        <v>2.8</v>
      </c>
      <c r="E308" s="2">
        <v>4</v>
      </c>
      <c r="F308" s="2">
        <v>0.9</v>
      </c>
      <c r="G308" s="2">
        <v>0.8</v>
      </c>
      <c r="H308" s="2">
        <f>AVERAGE(weather.tbl[[#This Row],[Estevan]:[Kipling]])</f>
        <v>2.3166666666666669</v>
      </c>
      <c r="I308" s="2">
        <f>_xlfn.STDEV.S(weather.tbl[[#This Row],[Estevan]:[Kipling]])</f>
        <v>1.2781497043252279</v>
      </c>
      <c r="J308" s="2">
        <f t="shared" si="4"/>
        <v>1.7190476190476189</v>
      </c>
      <c r="K308">
        <f>DAY(weather.tbl[[#This Row],[Date]])</f>
        <v>3</v>
      </c>
      <c r="L308">
        <f>MONTH(weather.tbl[[#This Row],[Date]])</f>
        <v>11</v>
      </c>
      <c r="M308">
        <f>YEAR(weather.tbl[[#This Row],[Date]])</f>
        <v>2014</v>
      </c>
    </row>
    <row r="309" spans="1:13" x14ac:dyDescent="0.25">
      <c r="A309" s="1">
        <v>41947</v>
      </c>
      <c r="B309" s="2">
        <v>3.4</v>
      </c>
      <c r="C309" s="2">
        <v>3.2</v>
      </c>
      <c r="D309" s="2">
        <v>2.8</v>
      </c>
      <c r="E309" s="2">
        <v>2.5</v>
      </c>
      <c r="F309" s="2">
        <v>3.7</v>
      </c>
      <c r="G309" s="2">
        <v>1.9</v>
      </c>
      <c r="H309" s="2">
        <f>AVERAGE(weather.tbl[[#This Row],[Estevan]:[Kipling]])</f>
        <v>2.9166666666666661</v>
      </c>
      <c r="I309" s="2">
        <f>_xlfn.STDEV.S(weather.tbl[[#This Row],[Estevan]:[Kipling]])</f>
        <v>0.65548963887056944</v>
      </c>
      <c r="J309" s="2">
        <f t="shared" si="4"/>
        <v>1.9761904761904761</v>
      </c>
      <c r="K309">
        <f>DAY(weather.tbl[[#This Row],[Date]])</f>
        <v>4</v>
      </c>
      <c r="L309">
        <f>MONTH(weather.tbl[[#This Row],[Date]])</f>
        <v>11</v>
      </c>
      <c r="M309">
        <f>YEAR(weather.tbl[[#This Row],[Date]])</f>
        <v>2014</v>
      </c>
    </row>
    <row r="310" spans="1:13" x14ac:dyDescent="0.25">
      <c r="A310" s="1">
        <v>41948</v>
      </c>
      <c r="B310" s="2">
        <v>0.7</v>
      </c>
      <c r="C310" s="2">
        <v>0.2</v>
      </c>
      <c r="D310" s="2">
        <v>2.8</v>
      </c>
      <c r="E310" s="2">
        <v>3.5</v>
      </c>
      <c r="F310" s="2">
        <v>0</v>
      </c>
      <c r="G310" s="2">
        <v>0.1</v>
      </c>
      <c r="H310" s="2">
        <f>AVERAGE(weather.tbl[[#This Row],[Estevan]:[Kipling]])</f>
        <v>1.2166666666666666</v>
      </c>
      <c r="I310" s="2">
        <f>_xlfn.STDEV.S(weather.tbl[[#This Row],[Estevan]:[Kipling]])</f>
        <v>1.5328622464744399</v>
      </c>
      <c r="J310" s="2">
        <f t="shared" si="4"/>
        <v>1.6857142857142855</v>
      </c>
      <c r="K310">
        <f>DAY(weather.tbl[[#This Row],[Date]])</f>
        <v>5</v>
      </c>
      <c r="L310">
        <f>MONTH(weather.tbl[[#This Row],[Date]])</f>
        <v>11</v>
      </c>
      <c r="M310">
        <f>YEAR(weather.tbl[[#This Row],[Date]])</f>
        <v>2014</v>
      </c>
    </row>
    <row r="311" spans="1:13" x14ac:dyDescent="0.25">
      <c r="A311" s="1">
        <v>41949</v>
      </c>
      <c r="B311" s="2">
        <v>0.6</v>
      </c>
      <c r="C311" s="2">
        <v>-0.2</v>
      </c>
      <c r="D311" s="2">
        <v>2.8</v>
      </c>
      <c r="E311" s="2">
        <v>3.5</v>
      </c>
      <c r="F311" s="2">
        <v>-0.8</v>
      </c>
      <c r="G311" s="2">
        <v>1.1000000000000001</v>
      </c>
      <c r="H311" s="2">
        <f>AVERAGE(weather.tbl[[#This Row],[Estevan]:[Kipling]])</f>
        <v>1.1666666666666667</v>
      </c>
      <c r="I311" s="2">
        <f>_xlfn.STDEV.S(weather.tbl[[#This Row],[Estevan]:[Kipling]])</f>
        <v>1.6836468354933189</v>
      </c>
      <c r="J311" s="2">
        <f t="shared" si="4"/>
        <v>2.0309523809523808</v>
      </c>
      <c r="K311">
        <f>DAY(weather.tbl[[#This Row],[Date]])</f>
        <v>6</v>
      </c>
      <c r="L311">
        <f>MONTH(weather.tbl[[#This Row],[Date]])</f>
        <v>11</v>
      </c>
      <c r="M311">
        <f>YEAR(weather.tbl[[#This Row],[Date]])</f>
        <v>2014</v>
      </c>
    </row>
    <row r="312" spans="1:13" x14ac:dyDescent="0.25">
      <c r="A312" s="1">
        <v>41950</v>
      </c>
      <c r="B312" s="2">
        <v>5.6</v>
      </c>
      <c r="C312" s="2">
        <v>5.9</v>
      </c>
      <c r="D312" s="2">
        <v>2.8</v>
      </c>
      <c r="E312" s="2">
        <v>3</v>
      </c>
      <c r="F312" s="2">
        <v>5</v>
      </c>
      <c r="G312" s="2">
        <v>3.7</v>
      </c>
      <c r="H312" s="2">
        <f>AVERAGE(weather.tbl[[#This Row],[Estevan]:[Kipling]])</f>
        <v>4.333333333333333</v>
      </c>
      <c r="I312" s="2">
        <f>_xlfn.STDEV.S(weather.tbl[[#This Row],[Estevan]:[Kipling]])</f>
        <v>1.34412301024373</v>
      </c>
      <c r="J312" s="2">
        <f t="shared" si="4"/>
        <v>2.6357142857142857</v>
      </c>
      <c r="K312">
        <f>DAY(weather.tbl[[#This Row],[Date]])</f>
        <v>7</v>
      </c>
      <c r="L312">
        <f>MONTH(weather.tbl[[#This Row],[Date]])</f>
        <v>11</v>
      </c>
      <c r="M312">
        <f>YEAR(weather.tbl[[#This Row],[Date]])</f>
        <v>2014</v>
      </c>
    </row>
    <row r="313" spans="1:13" x14ac:dyDescent="0.25">
      <c r="A313" s="1">
        <v>41951</v>
      </c>
      <c r="B313" s="2">
        <v>-0.8</v>
      </c>
      <c r="C313" s="2">
        <v>-2.4</v>
      </c>
      <c r="D313" s="2">
        <v>2.8</v>
      </c>
      <c r="E313" s="2">
        <v>-1.3</v>
      </c>
      <c r="F313" s="2">
        <v>-0.6</v>
      </c>
      <c r="G313" s="2">
        <v>-3.4</v>
      </c>
      <c r="H313" s="2">
        <f>AVERAGE(weather.tbl[[#This Row],[Estevan]:[Kipling]])</f>
        <v>-0.95000000000000007</v>
      </c>
      <c r="I313" s="2">
        <f>_xlfn.STDEV.S(weather.tbl[[#This Row],[Estevan]:[Kipling]])</f>
        <v>2.118253997989854</v>
      </c>
      <c r="J313" s="2">
        <f t="shared" si="4"/>
        <v>1.9499999999999997</v>
      </c>
      <c r="K313">
        <f>DAY(weather.tbl[[#This Row],[Date]])</f>
        <v>8</v>
      </c>
      <c r="L313">
        <f>MONTH(weather.tbl[[#This Row],[Date]])</f>
        <v>11</v>
      </c>
      <c r="M313">
        <f>YEAR(weather.tbl[[#This Row],[Date]])</f>
        <v>2014</v>
      </c>
    </row>
    <row r="314" spans="1:13" x14ac:dyDescent="0.25">
      <c r="A314" s="1">
        <v>41952</v>
      </c>
      <c r="B314" s="2">
        <v>-6.6</v>
      </c>
      <c r="C314" s="2">
        <v>-8.6</v>
      </c>
      <c r="D314" s="2">
        <v>2.8</v>
      </c>
      <c r="E314" s="2">
        <v>-7.3</v>
      </c>
      <c r="F314" s="2">
        <v>-6.4</v>
      </c>
      <c r="G314" s="2">
        <v>-9.9</v>
      </c>
      <c r="H314" s="2">
        <f>AVERAGE(weather.tbl[[#This Row],[Estevan]:[Kipling]])</f>
        <v>-6</v>
      </c>
      <c r="I314" s="2">
        <f>_xlfn.STDEV.S(weather.tbl[[#This Row],[Estevan]:[Kipling]])</f>
        <v>4.5082147242561552</v>
      </c>
      <c r="J314" s="2">
        <f t="shared" si="4"/>
        <v>0.7142857142857143</v>
      </c>
      <c r="K314">
        <f>DAY(weather.tbl[[#This Row],[Date]])</f>
        <v>9</v>
      </c>
      <c r="L314">
        <f>MONTH(weather.tbl[[#This Row],[Date]])</f>
        <v>11</v>
      </c>
      <c r="M314">
        <f>YEAR(weather.tbl[[#This Row],[Date]])</f>
        <v>2014</v>
      </c>
    </row>
    <row r="315" spans="1:13" x14ac:dyDescent="0.25">
      <c r="A315" s="1">
        <v>41953</v>
      </c>
      <c r="B315" s="2">
        <v>-10.9</v>
      </c>
      <c r="C315" s="2">
        <v>-12.2</v>
      </c>
      <c r="D315" s="2">
        <v>2.8</v>
      </c>
      <c r="E315" s="2">
        <v>-12</v>
      </c>
      <c r="F315" s="2">
        <v>-9.6999999999999993</v>
      </c>
      <c r="G315" s="2">
        <v>-9.9</v>
      </c>
      <c r="H315" s="2">
        <f>AVERAGE(weather.tbl[[#This Row],[Estevan]:[Kipling]])</f>
        <v>-8.65</v>
      </c>
      <c r="I315" s="2">
        <f>_xlfn.STDEV.S(weather.tbl[[#This Row],[Estevan]:[Kipling]])</f>
        <v>5.7035953573162947</v>
      </c>
      <c r="J315" s="2">
        <f t="shared" si="4"/>
        <v>-0.85238095238095235</v>
      </c>
      <c r="K315">
        <f>DAY(weather.tbl[[#This Row],[Date]])</f>
        <v>10</v>
      </c>
      <c r="L315">
        <f>MONTH(weather.tbl[[#This Row],[Date]])</f>
        <v>11</v>
      </c>
      <c r="M315">
        <f>YEAR(weather.tbl[[#This Row],[Date]])</f>
        <v>2014</v>
      </c>
    </row>
    <row r="316" spans="1:13" x14ac:dyDescent="0.25">
      <c r="A316" s="1">
        <v>41954</v>
      </c>
      <c r="B316" s="2">
        <v>-11.3</v>
      </c>
      <c r="C316" s="2">
        <v>-13.1</v>
      </c>
      <c r="D316" s="2">
        <v>2.8</v>
      </c>
      <c r="E316" s="2">
        <v>-10.5</v>
      </c>
      <c r="F316" s="2">
        <v>-8.5</v>
      </c>
      <c r="G316" s="2">
        <v>-9.9</v>
      </c>
      <c r="H316" s="2">
        <f>AVERAGE(weather.tbl[[#This Row],[Estevan]:[Kipling]])</f>
        <v>-8.4166666666666661</v>
      </c>
      <c r="I316" s="2">
        <f>_xlfn.STDEV.S(weather.tbl[[#This Row],[Estevan]:[Kipling]])</f>
        <v>5.7027771012609891</v>
      </c>
      <c r="J316" s="2">
        <f t="shared" si="4"/>
        <v>-2.4714285714285711</v>
      </c>
      <c r="K316">
        <f>DAY(weather.tbl[[#This Row],[Date]])</f>
        <v>11</v>
      </c>
      <c r="L316">
        <f>MONTH(weather.tbl[[#This Row],[Date]])</f>
        <v>11</v>
      </c>
      <c r="M316">
        <f>YEAR(weather.tbl[[#This Row],[Date]])</f>
        <v>2014</v>
      </c>
    </row>
    <row r="317" spans="1:13" x14ac:dyDescent="0.25">
      <c r="A317" s="1">
        <v>41955</v>
      </c>
      <c r="B317" s="2">
        <v>-12.4</v>
      </c>
      <c r="C317" s="2">
        <v>-14.4</v>
      </c>
      <c r="D317" s="2">
        <v>2.8</v>
      </c>
      <c r="E317" s="2">
        <v>-10.5</v>
      </c>
      <c r="F317" s="2">
        <v>-10</v>
      </c>
      <c r="G317" s="2">
        <v>-13.1</v>
      </c>
      <c r="H317" s="2">
        <f>AVERAGE(weather.tbl[[#This Row],[Estevan]:[Kipling]])</f>
        <v>-9.6</v>
      </c>
      <c r="I317" s="2">
        <f>_xlfn.STDEV.S(weather.tbl[[#This Row],[Estevan]:[Kipling]])</f>
        <v>6.2906279495770532</v>
      </c>
      <c r="J317" s="2">
        <f t="shared" si="4"/>
        <v>-4.0166666666666666</v>
      </c>
      <c r="K317">
        <f>DAY(weather.tbl[[#This Row],[Date]])</f>
        <v>12</v>
      </c>
      <c r="L317">
        <f>MONTH(weather.tbl[[#This Row],[Date]])</f>
        <v>11</v>
      </c>
      <c r="M317">
        <f>YEAR(weather.tbl[[#This Row],[Date]])</f>
        <v>2014</v>
      </c>
    </row>
    <row r="318" spans="1:13" x14ac:dyDescent="0.25">
      <c r="A318" s="1">
        <v>41956</v>
      </c>
      <c r="B318" s="2">
        <v>-13.2</v>
      </c>
      <c r="C318" s="2">
        <v>-14.7</v>
      </c>
      <c r="D318" s="2">
        <v>2.8</v>
      </c>
      <c r="E318" s="2">
        <v>-10.5</v>
      </c>
      <c r="F318" s="2">
        <v>-11.7</v>
      </c>
      <c r="G318" s="2">
        <v>-12.9</v>
      </c>
      <c r="H318" s="2">
        <f>AVERAGE(weather.tbl[[#This Row],[Estevan]:[Kipling]])</f>
        <v>-10.033333333333333</v>
      </c>
      <c r="I318" s="2">
        <f>_xlfn.STDEV.S(weather.tbl[[#This Row],[Estevan]:[Kipling]])</f>
        <v>6.4453600882081581</v>
      </c>
      <c r="J318" s="2">
        <f t="shared" si="4"/>
        <v>-5.6166666666666663</v>
      </c>
      <c r="K318">
        <f>DAY(weather.tbl[[#This Row],[Date]])</f>
        <v>13</v>
      </c>
      <c r="L318">
        <f>MONTH(weather.tbl[[#This Row],[Date]])</f>
        <v>11</v>
      </c>
      <c r="M318">
        <f>YEAR(weather.tbl[[#This Row],[Date]])</f>
        <v>2014</v>
      </c>
    </row>
    <row r="319" spans="1:13" x14ac:dyDescent="0.25">
      <c r="A319" s="1">
        <v>41957</v>
      </c>
      <c r="B319" s="2">
        <v>-13.9</v>
      </c>
      <c r="C319" s="2">
        <v>-15.4</v>
      </c>
      <c r="D319" s="2">
        <v>2.8</v>
      </c>
      <c r="E319" s="2">
        <v>-15</v>
      </c>
      <c r="F319" s="2">
        <v>-12.7</v>
      </c>
      <c r="G319" s="2">
        <v>-14.9</v>
      </c>
      <c r="H319" s="2">
        <f>AVERAGE(weather.tbl[[#This Row],[Estevan]:[Kipling]])</f>
        <v>-11.516666666666667</v>
      </c>
      <c r="I319" s="2">
        <f>_xlfn.STDEV.S(weather.tbl[[#This Row],[Estevan]:[Kipling]])</f>
        <v>7.0810780723465143</v>
      </c>
      <c r="J319" s="2">
        <f t="shared" si="4"/>
        <v>-7.8809523809523805</v>
      </c>
      <c r="K319">
        <f>DAY(weather.tbl[[#This Row],[Date]])</f>
        <v>14</v>
      </c>
      <c r="L319">
        <f>MONTH(weather.tbl[[#This Row],[Date]])</f>
        <v>11</v>
      </c>
      <c r="M319">
        <f>YEAR(weather.tbl[[#This Row],[Date]])</f>
        <v>2014</v>
      </c>
    </row>
    <row r="320" spans="1:13" x14ac:dyDescent="0.25">
      <c r="A320" s="1">
        <v>41958</v>
      </c>
      <c r="B320" s="2">
        <v>-15.5</v>
      </c>
      <c r="C320" s="2">
        <v>-16.3</v>
      </c>
      <c r="D320" s="2">
        <v>2.8</v>
      </c>
      <c r="E320" s="2">
        <v>-13.8</v>
      </c>
      <c r="F320" s="2">
        <v>-12.5</v>
      </c>
      <c r="G320" s="2">
        <v>-14.1</v>
      </c>
      <c r="H320" s="2">
        <f>AVERAGE(weather.tbl[[#This Row],[Estevan]:[Kipling]])</f>
        <v>-11.566666666666665</v>
      </c>
      <c r="I320" s="2">
        <f>_xlfn.STDEV.S(weather.tbl[[#This Row],[Estevan]:[Kipling]])</f>
        <v>7.1631464222551466</v>
      </c>
      <c r="J320" s="2">
        <f t="shared" si="4"/>
        <v>-9.3976190476190471</v>
      </c>
      <c r="K320">
        <f>DAY(weather.tbl[[#This Row],[Date]])</f>
        <v>15</v>
      </c>
      <c r="L320">
        <f>MONTH(weather.tbl[[#This Row],[Date]])</f>
        <v>11</v>
      </c>
      <c r="M320">
        <f>YEAR(weather.tbl[[#This Row],[Date]])</f>
        <v>2014</v>
      </c>
    </row>
    <row r="321" spans="1:13" x14ac:dyDescent="0.25">
      <c r="A321" s="1">
        <v>41959</v>
      </c>
      <c r="B321" s="2">
        <v>-12.6</v>
      </c>
      <c r="C321" s="2">
        <v>-12.8</v>
      </c>
      <c r="D321" s="2">
        <v>2.8</v>
      </c>
      <c r="E321" s="2">
        <v>-10</v>
      </c>
      <c r="F321" s="2">
        <v>-9.8000000000000007</v>
      </c>
      <c r="G321" s="2">
        <v>-12.3</v>
      </c>
      <c r="H321" s="2">
        <f>AVERAGE(weather.tbl[[#This Row],[Estevan]:[Kipling]])</f>
        <v>-9.1166666666666654</v>
      </c>
      <c r="I321" s="2">
        <f>_xlfn.STDEV.S(weather.tbl[[#This Row],[Estevan]:[Kipling]])</f>
        <v>5.9847862674173014</v>
      </c>
      <c r="J321" s="2">
        <f t="shared" si="4"/>
        <v>-9.8428571428571416</v>
      </c>
      <c r="K321">
        <f>DAY(weather.tbl[[#This Row],[Date]])</f>
        <v>16</v>
      </c>
      <c r="L321">
        <f>MONTH(weather.tbl[[#This Row],[Date]])</f>
        <v>11</v>
      </c>
      <c r="M321">
        <f>YEAR(weather.tbl[[#This Row],[Date]])</f>
        <v>2014</v>
      </c>
    </row>
    <row r="322" spans="1:13" x14ac:dyDescent="0.25">
      <c r="A322" s="1">
        <v>41960</v>
      </c>
      <c r="B322" s="2">
        <v>-13.3</v>
      </c>
      <c r="C322" s="2">
        <v>-12.9</v>
      </c>
      <c r="D322" s="2">
        <v>2.8</v>
      </c>
      <c r="E322" s="2">
        <v>-11.3</v>
      </c>
      <c r="F322" s="2">
        <v>-11.3</v>
      </c>
      <c r="G322" s="2">
        <v>-13.8</v>
      </c>
      <c r="H322" s="2">
        <f>AVERAGE(weather.tbl[[#This Row],[Estevan]:[Kipling]])</f>
        <v>-9.9666666666666668</v>
      </c>
      <c r="I322" s="2">
        <f>_xlfn.STDEV.S(weather.tbl[[#This Row],[Estevan]:[Kipling]])</f>
        <v>6.3396109239184941</v>
      </c>
      <c r="J322" s="2">
        <f t="shared" si="4"/>
        <v>-10.03095238095238</v>
      </c>
      <c r="K322">
        <f>DAY(weather.tbl[[#This Row],[Date]])</f>
        <v>17</v>
      </c>
      <c r="L322">
        <f>MONTH(weather.tbl[[#This Row],[Date]])</f>
        <v>11</v>
      </c>
      <c r="M322">
        <f>YEAR(weather.tbl[[#This Row],[Date]])</f>
        <v>2014</v>
      </c>
    </row>
    <row r="323" spans="1:13" x14ac:dyDescent="0.25">
      <c r="A323" s="1">
        <v>41961</v>
      </c>
      <c r="B323" s="2">
        <v>-9.5</v>
      </c>
      <c r="C323" s="2">
        <v>-11.3</v>
      </c>
      <c r="D323" s="2">
        <v>2.8</v>
      </c>
      <c r="E323" s="2">
        <v>-12.3</v>
      </c>
      <c r="F323" s="2">
        <v>-8.9</v>
      </c>
      <c r="G323" s="2">
        <v>-11.5</v>
      </c>
      <c r="H323" s="2">
        <f>AVERAGE(weather.tbl[[#This Row],[Estevan]:[Kipling]])</f>
        <v>-8.4500000000000011</v>
      </c>
      <c r="I323" s="2">
        <f>_xlfn.STDEV.S(weather.tbl[[#This Row],[Estevan]:[Kipling]])</f>
        <v>5.6588868163270423</v>
      </c>
      <c r="J323" s="2">
        <f t="shared" si="4"/>
        <v>-10.035714285714286</v>
      </c>
      <c r="K323">
        <f>DAY(weather.tbl[[#This Row],[Date]])</f>
        <v>18</v>
      </c>
      <c r="L323">
        <f>MONTH(weather.tbl[[#This Row],[Date]])</f>
        <v>11</v>
      </c>
      <c r="M323">
        <f>YEAR(weather.tbl[[#This Row],[Date]])</f>
        <v>2014</v>
      </c>
    </row>
    <row r="324" spans="1:13" x14ac:dyDescent="0.25">
      <c r="A324" s="1">
        <v>41962</v>
      </c>
      <c r="B324" s="2">
        <v>-12</v>
      </c>
      <c r="C324" s="2">
        <v>-10.4</v>
      </c>
      <c r="D324" s="2">
        <v>2.8</v>
      </c>
      <c r="E324" s="2">
        <v>-9.8000000000000007</v>
      </c>
      <c r="F324" s="2">
        <v>-9.5</v>
      </c>
      <c r="G324" s="2">
        <v>-10.9</v>
      </c>
      <c r="H324" s="2">
        <f>AVERAGE(weather.tbl[[#This Row],[Estevan]:[Kipling]])</f>
        <v>-8.2999999999999989</v>
      </c>
      <c r="I324" s="2">
        <f>_xlfn.STDEV.S(weather.tbl[[#This Row],[Estevan]:[Kipling]])</f>
        <v>5.5092649237443663</v>
      </c>
      <c r="J324" s="2">
        <f t="shared" si="4"/>
        <v>-9.85</v>
      </c>
      <c r="K324">
        <f>DAY(weather.tbl[[#This Row],[Date]])</f>
        <v>19</v>
      </c>
      <c r="L324">
        <f>MONTH(weather.tbl[[#This Row],[Date]])</f>
        <v>11</v>
      </c>
      <c r="M324">
        <f>YEAR(weather.tbl[[#This Row],[Date]])</f>
        <v>2014</v>
      </c>
    </row>
    <row r="325" spans="1:13" x14ac:dyDescent="0.25">
      <c r="A325" s="1">
        <v>41963</v>
      </c>
      <c r="B325" s="2">
        <v>-10.199999999999999</v>
      </c>
      <c r="C325" s="2">
        <v>-8.9</v>
      </c>
      <c r="D325" s="2">
        <v>2.8</v>
      </c>
      <c r="E325" s="2">
        <v>-5.5</v>
      </c>
      <c r="F325" s="2">
        <v>-11.6</v>
      </c>
      <c r="G325" s="2">
        <v>-10.9</v>
      </c>
      <c r="H325" s="2">
        <f>AVERAGE(weather.tbl[[#This Row],[Estevan]:[Kipling]])</f>
        <v>-7.3833333333333329</v>
      </c>
      <c r="I325" s="2">
        <f>_xlfn.STDEV.S(weather.tbl[[#This Row],[Estevan]:[Kipling]])</f>
        <v>5.4337525400653517</v>
      </c>
      <c r="J325" s="2">
        <f t="shared" si="4"/>
        <v>-9.4714285714285715</v>
      </c>
      <c r="K325">
        <f>DAY(weather.tbl[[#This Row],[Date]])</f>
        <v>20</v>
      </c>
      <c r="L325">
        <f>MONTH(weather.tbl[[#This Row],[Date]])</f>
        <v>11</v>
      </c>
      <c r="M325">
        <f>YEAR(weather.tbl[[#This Row],[Date]])</f>
        <v>2014</v>
      </c>
    </row>
    <row r="326" spans="1:13" x14ac:dyDescent="0.25">
      <c r="A326" s="1">
        <v>41964</v>
      </c>
      <c r="B326" s="2">
        <v>0.4</v>
      </c>
      <c r="C326" s="2">
        <v>-1.4</v>
      </c>
      <c r="D326" s="2">
        <v>2.8</v>
      </c>
      <c r="E326" s="2">
        <v>-1.5</v>
      </c>
      <c r="F326" s="2">
        <v>-0.6</v>
      </c>
      <c r="G326" s="2">
        <v>-3.4</v>
      </c>
      <c r="H326" s="2">
        <f>AVERAGE(weather.tbl[[#This Row],[Estevan]:[Kipling]])</f>
        <v>-0.6166666666666667</v>
      </c>
      <c r="I326" s="2">
        <f>_xlfn.STDEV.S(weather.tbl[[#This Row],[Estevan]:[Kipling]])</f>
        <v>2.0903747670374004</v>
      </c>
      <c r="J326" s="2">
        <f t="shared" si="4"/>
        <v>-7.9142857142857137</v>
      </c>
      <c r="K326">
        <f>DAY(weather.tbl[[#This Row],[Date]])</f>
        <v>21</v>
      </c>
      <c r="L326">
        <f>MONTH(weather.tbl[[#This Row],[Date]])</f>
        <v>11</v>
      </c>
      <c r="M326">
        <f>YEAR(weather.tbl[[#This Row],[Date]])</f>
        <v>2014</v>
      </c>
    </row>
    <row r="327" spans="1:13" x14ac:dyDescent="0.25">
      <c r="A327" s="1">
        <v>41965</v>
      </c>
      <c r="B327" s="2">
        <v>-1.3</v>
      </c>
      <c r="C327" s="2">
        <v>-1.6</v>
      </c>
      <c r="D327" s="2">
        <v>2.8</v>
      </c>
      <c r="E327" s="2">
        <v>-1.8</v>
      </c>
      <c r="F327" s="2">
        <v>-2.5</v>
      </c>
      <c r="G327" s="2">
        <v>0.3</v>
      </c>
      <c r="H327" s="2">
        <f>AVERAGE(weather.tbl[[#This Row],[Estevan]:[Kipling]])</f>
        <v>-0.68333333333333346</v>
      </c>
      <c r="I327" s="2">
        <f>_xlfn.STDEV.S(weather.tbl[[#This Row],[Estevan]:[Kipling]])</f>
        <v>1.942592769127556</v>
      </c>
      <c r="J327" s="2">
        <f t="shared" si="4"/>
        <v>-6.3595238095238082</v>
      </c>
      <c r="K327">
        <f>DAY(weather.tbl[[#This Row],[Date]])</f>
        <v>22</v>
      </c>
      <c r="L327">
        <f>MONTH(weather.tbl[[#This Row],[Date]])</f>
        <v>11</v>
      </c>
      <c r="M327">
        <f>YEAR(weather.tbl[[#This Row],[Date]])</f>
        <v>2014</v>
      </c>
    </row>
    <row r="328" spans="1:13" x14ac:dyDescent="0.25">
      <c r="A328" s="1">
        <v>41966</v>
      </c>
      <c r="B328" s="2">
        <v>-6.6</v>
      </c>
      <c r="C328" s="2">
        <v>-6.3</v>
      </c>
      <c r="D328" s="2">
        <v>2.8</v>
      </c>
      <c r="E328" s="2">
        <v>-9.5</v>
      </c>
      <c r="F328" s="2">
        <v>-6.2</v>
      </c>
      <c r="G328" s="2">
        <v>-12.7</v>
      </c>
      <c r="H328" s="2">
        <f>AVERAGE(weather.tbl[[#This Row],[Estevan]:[Kipling]])</f>
        <v>-6.416666666666667</v>
      </c>
      <c r="I328" s="2">
        <f>_xlfn.STDEV.S(weather.tbl[[#This Row],[Estevan]:[Kipling]])</f>
        <v>5.1774189193715694</v>
      </c>
      <c r="J328" s="2">
        <f t="shared" si="4"/>
        <v>-5.973809523809523</v>
      </c>
      <c r="K328">
        <f>DAY(weather.tbl[[#This Row],[Date]])</f>
        <v>23</v>
      </c>
      <c r="L328">
        <f>MONTH(weather.tbl[[#This Row],[Date]])</f>
        <v>11</v>
      </c>
      <c r="M328">
        <f>YEAR(weather.tbl[[#This Row],[Date]])</f>
        <v>2014</v>
      </c>
    </row>
    <row r="329" spans="1:13" x14ac:dyDescent="0.25">
      <c r="A329" s="1">
        <v>41967</v>
      </c>
      <c r="B329" s="2">
        <v>-9.9</v>
      </c>
      <c r="C329" s="2">
        <v>-9.3000000000000007</v>
      </c>
      <c r="D329" s="2">
        <v>2.8</v>
      </c>
      <c r="E329" s="2">
        <v>-8.3000000000000007</v>
      </c>
      <c r="F329" s="2">
        <v>-10.9</v>
      </c>
      <c r="G329" s="2">
        <v>-12.4</v>
      </c>
      <c r="H329" s="2">
        <f>AVERAGE(weather.tbl[[#This Row],[Estevan]:[Kipling]])</f>
        <v>-8</v>
      </c>
      <c r="I329" s="2">
        <f>_xlfn.STDEV.S(weather.tbl[[#This Row],[Estevan]:[Kipling]])</f>
        <v>5.4735728733616051</v>
      </c>
      <c r="J329" s="2">
        <f t="shared" si="4"/>
        <v>-5.6928571428571431</v>
      </c>
      <c r="K329">
        <f>DAY(weather.tbl[[#This Row],[Date]])</f>
        <v>24</v>
      </c>
      <c r="L329">
        <f>MONTH(weather.tbl[[#This Row],[Date]])</f>
        <v>11</v>
      </c>
      <c r="M329">
        <f>YEAR(weather.tbl[[#This Row],[Date]])</f>
        <v>2014</v>
      </c>
    </row>
    <row r="330" spans="1:13" x14ac:dyDescent="0.25">
      <c r="A330" s="1">
        <v>41968</v>
      </c>
      <c r="B330" s="2">
        <v>-7.6</v>
      </c>
      <c r="C330" s="2">
        <v>-9.1</v>
      </c>
      <c r="D330" s="2">
        <v>2.8</v>
      </c>
      <c r="E330" s="2">
        <v>-8</v>
      </c>
      <c r="F330" s="2">
        <v>-10.1</v>
      </c>
      <c r="G330" s="2">
        <v>-10</v>
      </c>
      <c r="H330" s="2">
        <f>AVERAGE(weather.tbl[[#This Row],[Estevan]:[Kipling]])</f>
        <v>-7</v>
      </c>
      <c r="I330" s="2">
        <f>_xlfn.STDEV.S(weather.tbl[[#This Row],[Estevan]:[Kipling]])</f>
        <v>4.907545211202847</v>
      </c>
      <c r="J330" s="2">
        <f t="shared" ref="J330:J393" si="5">AVERAGE(H324:H330)</f>
        <v>-5.4857142857142858</v>
      </c>
      <c r="K330">
        <f>DAY(weather.tbl[[#This Row],[Date]])</f>
        <v>25</v>
      </c>
      <c r="L330">
        <f>MONTH(weather.tbl[[#This Row],[Date]])</f>
        <v>11</v>
      </c>
      <c r="M330">
        <f>YEAR(weather.tbl[[#This Row],[Date]])</f>
        <v>2014</v>
      </c>
    </row>
    <row r="331" spans="1:13" x14ac:dyDescent="0.25">
      <c r="A331" s="1">
        <v>41969</v>
      </c>
      <c r="B331" s="2">
        <v>-18.899999999999999</v>
      </c>
      <c r="C331" s="2">
        <v>-20.3</v>
      </c>
      <c r="D331" s="2">
        <v>2.8</v>
      </c>
      <c r="E331" s="2">
        <v>-19.8</v>
      </c>
      <c r="F331" s="2">
        <v>-20.9</v>
      </c>
      <c r="G331" s="2">
        <v>-19.899999999999999</v>
      </c>
      <c r="H331" s="2">
        <f>AVERAGE(weather.tbl[[#This Row],[Estevan]:[Kipling]])</f>
        <v>-16.166666666666668</v>
      </c>
      <c r="I331" s="2">
        <f>_xlfn.STDEV.S(weather.tbl[[#This Row],[Estevan]:[Kipling]])</f>
        <v>9.3148626756741102</v>
      </c>
      <c r="J331" s="2">
        <f t="shared" si="5"/>
        <v>-6.6095238095238091</v>
      </c>
      <c r="K331">
        <f>DAY(weather.tbl[[#This Row],[Date]])</f>
        <v>26</v>
      </c>
      <c r="L331">
        <f>MONTH(weather.tbl[[#This Row],[Date]])</f>
        <v>11</v>
      </c>
      <c r="M331">
        <f>YEAR(weather.tbl[[#This Row],[Date]])</f>
        <v>2014</v>
      </c>
    </row>
    <row r="332" spans="1:13" x14ac:dyDescent="0.25">
      <c r="A332" s="1">
        <v>41970</v>
      </c>
      <c r="B332" s="2">
        <v>-18.7</v>
      </c>
      <c r="C332" s="2">
        <v>-14.8</v>
      </c>
      <c r="D332" s="2">
        <v>2.8</v>
      </c>
      <c r="E332" s="2">
        <v>-15.5</v>
      </c>
      <c r="F332" s="2">
        <v>-18.8</v>
      </c>
      <c r="G332" s="2">
        <v>-17.5</v>
      </c>
      <c r="H332" s="2">
        <f>AVERAGE(weather.tbl[[#This Row],[Estevan]:[Kipling]])</f>
        <v>-13.75</v>
      </c>
      <c r="I332" s="2">
        <f>_xlfn.STDEV.S(weather.tbl[[#This Row],[Estevan]:[Kipling]])</f>
        <v>8.2720614117643034</v>
      </c>
      <c r="J332" s="2">
        <f t="shared" si="5"/>
        <v>-7.5190476190476199</v>
      </c>
      <c r="K332">
        <f>DAY(weather.tbl[[#This Row],[Date]])</f>
        <v>27</v>
      </c>
      <c r="L332">
        <f>MONTH(weather.tbl[[#This Row],[Date]])</f>
        <v>11</v>
      </c>
      <c r="M332">
        <f>YEAR(weather.tbl[[#This Row],[Date]])</f>
        <v>2014</v>
      </c>
    </row>
    <row r="333" spans="1:13" x14ac:dyDescent="0.25">
      <c r="A333" s="1">
        <v>41971</v>
      </c>
      <c r="B333" s="2">
        <v>-12.2</v>
      </c>
      <c r="C333" s="2">
        <v>-11.9</v>
      </c>
      <c r="D333" s="2">
        <v>2.8</v>
      </c>
      <c r="E333" s="2">
        <v>-11.3</v>
      </c>
      <c r="F333" s="2">
        <v>-11.2</v>
      </c>
      <c r="G333" s="2">
        <v>-13</v>
      </c>
      <c r="H333" s="2">
        <f>AVERAGE(weather.tbl[[#This Row],[Estevan]:[Kipling]])</f>
        <v>-9.4666666666666668</v>
      </c>
      <c r="I333" s="2">
        <f>_xlfn.STDEV.S(weather.tbl[[#This Row],[Estevan]:[Kipling]])</f>
        <v>6.0450530739329889</v>
      </c>
      <c r="J333" s="2">
        <f t="shared" si="5"/>
        <v>-8.7833333333333332</v>
      </c>
      <c r="K333">
        <f>DAY(weather.tbl[[#This Row],[Date]])</f>
        <v>28</v>
      </c>
      <c r="L333">
        <f>MONTH(weather.tbl[[#This Row],[Date]])</f>
        <v>11</v>
      </c>
      <c r="M333">
        <f>YEAR(weather.tbl[[#This Row],[Date]])</f>
        <v>2014</v>
      </c>
    </row>
    <row r="334" spans="1:13" x14ac:dyDescent="0.25">
      <c r="A334" s="1">
        <v>41972</v>
      </c>
      <c r="B334" s="2">
        <v>-18.100000000000001</v>
      </c>
      <c r="C334" s="2">
        <v>-18.3</v>
      </c>
      <c r="D334" s="2">
        <v>2.8</v>
      </c>
      <c r="E334" s="2">
        <v>-20</v>
      </c>
      <c r="F334" s="2">
        <v>-17.100000000000001</v>
      </c>
      <c r="G334" s="2">
        <v>-19.899999999999999</v>
      </c>
      <c r="H334" s="2">
        <f>AVERAGE(weather.tbl[[#This Row],[Estevan]:[Kipling]])</f>
        <v>-15.100000000000003</v>
      </c>
      <c r="I334" s="2">
        <f>_xlfn.STDEV.S(weather.tbl[[#This Row],[Estevan]:[Kipling]])</f>
        <v>8.8396832522438213</v>
      </c>
      <c r="J334" s="2">
        <f t="shared" si="5"/>
        <v>-10.842857142857143</v>
      </c>
      <c r="K334">
        <f>DAY(weather.tbl[[#This Row],[Date]])</f>
        <v>29</v>
      </c>
      <c r="L334">
        <f>MONTH(weather.tbl[[#This Row],[Date]])</f>
        <v>11</v>
      </c>
      <c r="M334">
        <f>YEAR(weather.tbl[[#This Row],[Date]])</f>
        <v>2014</v>
      </c>
    </row>
    <row r="335" spans="1:13" x14ac:dyDescent="0.25">
      <c r="A335" s="1">
        <v>41973</v>
      </c>
      <c r="B335" s="2">
        <v>-23.5</v>
      </c>
      <c r="C335" s="2">
        <v>-24.5</v>
      </c>
      <c r="D335" s="2">
        <v>2.8</v>
      </c>
      <c r="E335" s="2">
        <v>-23.3</v>
      </c>
      <c r="F335" s="2">
        <v>-23.1</v>
      </c>
      <c r="G335" s="2">
        <v>-25.2</v>
      </c>
      <c r="H335" s="2">
        <f>AVERAGE(weather.tbl[[#This Row],[Estevan]:[Kipling]])</f>
        <v>-19.466666666666665</v>
      </c>
      <c r="I335" s="2">
        <f>_xlfn.STDEV.S(weather.tbl[[#This Row],[Estevan]:[Kipling]])</f>
        <v>10.937763330163381</v>
      </c>
      <c r="J335" s="2">
        <f t="shared" si="5"/>
        <v>-12.707142857142859</v>
      </c>
      <c r="K335">
        <f>DAY(weather.tbl[[#This Row],[Date]])</f>
        <v>30</v>
      </c>
      <c r="L335">
        <f>MONTH(weather.tbl[[#This Row],[Date]])</f>
        <v>11</v>
      </c>
      <c r="M335">
        <f>YEAR(weather.tbl[[#This Row],[Date]])</f>
        <v>2014</v>
      </c>
    </row>
    <row r="336" spans="1:13" x14ac:dyDescent="0.25">
      <c r="A336" s="1">
        <v>41974</v>
      </c>
      <c r="B336" s="2">
        <v>-19.399999999999999</v>
      </c>
      <c r="C336" s="2">
        <v>-20.8</v>
      </c>
      <c r="D336" s="2">
        <v>2.8</v>
      </c>
      <c r="E336" s="2">
        <v>-20</v>
      </c>
      <c r="F336" s="2">
        <v>-21.6</v>
      </c>
      <c r="G336" s="2">
        <v>-20.2</v>
      </c>
      <c r="H336" s="2">
        <f>AVERAGE(weather.tbl[[#This Row],[Estevan]:[Kipling]])</f>
        <v>-16.533333333333335</v>
      </c>
      <c r="I336" s="2">
        <f>_xlfn.STDEV.S(weather.tbl[[#This Row],[Estevan]:[Kipling]])</f>
        <v>9.5008771524879041</v>
      </c>
      <c r="J336" s="2">
        <f t="shared" si="5"/>
        <v>-13.926190476190476</v>
      </c>
      <c r="K336">
        <f>DAY(weather.tbl[[#This Row],[Date]])</f>
        <v>1</v>
      </c>
      <c r="L336">
        <f>MONTH(weather.tbl[[#This Row],[Date]])</f>
        <v>12</v>
      </c>
      <c r="M336">
        <f>YEAR(weather.tbl[[#This Row],[Date]])</f>
        <v>2014</v>
      </c>
    </row>
    <row r="337" spans="1:13" x14ac:dyDescent="0.25">
      <c r="A337" s="1">
        <v>41975</v>
      </c>
      <c r="B337" s="2">
        <v>-13.6</v>
      </c>
      <c r="C337" s="2">
        <v>-11.9</v>
      </c>
      <c r="D337" s="2">
        <v>2.8</v>
      </c>
      <c r="E337" s="2">
        <v>-11.3</v>
      </c>
      <c r="F337" s="2">
        <v>-15.1</v>
      </c>
      <c r="G337" s="2">
        <v>-14.8</v>
      </c>
      <c r="H337" s="2">
        <f>AVERAGE(weather.tbl[[#This Row],[Estevan]:[Kipling]])</f>
        <v>-10.65</v>
      </c>
      <c r="I337" s="2">
        <f>_xlfn.STDEV.S(weather.tbl[[#This Row],[Estevan]:[Kipling]])</f>
        <v>6.7618784372391625</v>
      </c>
      <c r="J337" s="2">
        <f t="shared" si="5"/>
        <v>-14.447619047619048</v>
      </c>
      <c r="K337">
        <f>DAY(weather.tbl[[#This Row],[Date]])</f>
        <v>2</v>
      </c>
      <c r="L337">
        <f>MONTH(weather.tbl[[#This Row],[Date]])</f>
        <v>12</v>
      </c>
      <c r="M337">
        <f>YEAR(weather.tbl[[#This Row],[Date]])</f>
        <v>2014</v>
      </c>
    </row>
    <row r="338" spans="1:13" x14ac:dyDescent="0.25">
      <c r="A338" s="1">
        <v>41976</v>
      </c>
      <c r="B338" s="2">
        <v>-15.4</v>
      </c>
      <c r="C338" s="2">
        <v>-16.399999999999999</v>
      </c>
      <c r="D338" s="2">
        <v>2.8</v>
      </c>
      <c r="E338" s="2">
        <v>-14.5</v>
      </c>
      <c r="F338" s="2">
        <v>-16</v>
      </c>
      <c r="G338" s="2">
        <v>-15</v>
      </c>
      <c r="H338" s="2">
        <f>AVERAGE(weather.tbl[[#This Row],[Estevan]:[Kipling]])</f>
        <v>-12.416666666666666</v>
      </c>
      <c r="I338" s="2">
        <f>_xlfn.STDEV.S(weather.tbl[[#This Row],[Estevan]:[Kipling]])</f>
        <v>7.4855638843487728</v>
      </c>
      <c r="J338" s="2">
        <f t="shared" si="5"/>
        <v>-13.911904761904763</v>
      </c>
      <c r="K338">
        <f>DAY(weather.tbl[[#This Row],[Date]])</f>
        <v>3</v>
      </c>
      <c r="L338">
        <f>MONTH(weather.tbl[[#This Row],[Date]])</f>
        <v>12</v>
      </c>
      <c r="M338">
        <f>YEAR(weather.tbl[[#This Row],[Date]])</f>
        <v>2014</v>
      </c>
    </row>
    <row r="339" spans="1:13" x14ac:dyDescent="0.25">
      <c r="A339" s="1">
        <v>41977</v>
      </c>
      <c r="B339" s="2">
        <v>-14.3</v>
      </c>
      <c r="C339" s="2">
        <v>-14</v>
      </c>
      <c r="D339" s="2">
        <v>2.8</v>
      </c>
      <c r="E339" s="2">
        <v>-13.3</v>
      </c>
      <c r="F339" s="2">
        <v>-13.8</v>
      </c>
      <c r="G339" s="2">
        <v>-9.8000000000000007</v>
      </c>
      <c r="H339" s="2">
        <f>AVERAGE(weather.tbl[[#This Row],[Estevan]:[Kipling]])</f>
        <v>-10.399999999999999</v>
      </c>
      <c r="I339" s="2">
        <f>_xlfn.STDEV.S(weather.tbl[[#This Row],[Estevan]:[Kipling]])</f>
        <v>6.6744288145128978</v>
      </c>
      <c r="J339" s="2">
        <f t="shared" si="5"/>
        <v>-13.433333333333334</v>
      </c>
      <c r="K339">
        <f>DAY(weather.tbl[[#This Row],[Date]])</f>
        <v>4</v>
      </c>
      <c r="L339">
        <f>MONTH(weather.tbl[[#This Row],[Date]])</f>
        <v>12</v>
      </c>
      <c r="M339">
        <f>YEAR(weather.tbl[[#This Row],[Date]])</f>
        <v>2014</v>
      </c>
    </row>
    <row r="340" spans="1:13" x14ac:dyDescent="0.25">
      <c r="A340" s="1">
        <v>41978</v>
      </c>
      <c r="B340" s="2">
        <v>-12.3</v>
      </c>
      <c r="C340" s="2">
        <v>-12.8</v>
      </c>
      <c r="D340" s="2">
        <v>2.8</v>
      </c>
      <c r="E340" s="2">
        <v>-10</v>
      </c>
      <c r="F340" s="2">
        <v>-13</v>
      </c>
      <c r="G340" s="2">
        <v>-9.1999999999999993</v>
      </c>
      <c r="H340" s="2">
        <f>AVERAGE(weather.tbl[[#This Row],[Estevan]:[Kipling]])</f>
        <v>-9.0833333333333339</v>
      </c>
      <c r="I340" s="2">
        <f>_xlfn.STDEV.S(weather.tbl[[#This Row],[Estevan]:[Kipling]])</f>
        <v>6.0260821987977113</v>
      </c>
      <c r="J340" s="2">
        <f t="shared" si="5"/>
        <v>-13.378571428571428</v>
      </c>
      <c r="K340">
        <f>DAY(weather.tbl[[#This Row],[Date]])</f>
        <v>5</v>
      </c>
      <c r="L340">
        <f>MONTH(weather.tbl[[#This Row],[Date]])</f>
        <v>12</v>
      </c>
      <c r="M340">
        <f>YEAR(weather.tbl[[#This Row],[Date]])</f>
        <v>2014</v>
      </c>
    </row>
    <row r="341" spans="1:13" x14ac:dyDescent="0.25">
      <c r="A341" s="1">
        <v>41979</v>
      </c>
      <c r="B341" s="2">
        <v>-8.9</v>
      </c>
      <c r="C341" s="2">
        <v>-7.7</v>
      </c>
      <c r="D341" s="2">
        <v>2.8</v>
      </c>
      <c r="E341" s="2">
        <v>-9.3000000000000007</v>
      </c>
      <c r="F341" s="2">
        <v>-11.3</v>
      </c>
      <c r="G341" s="2">
        <v>-7.3</v>
      </c>
      <c r="H341" s="2">
        <f>AVERAGE(weather.tbl[[#This Row],[Estevan]:[Kipling]])</f>
        <v>-6.95</v>
      </c>
      <c r="I341" s="2">
        <f>_xlfn.STDEV.S(weather.tbl[[#This Row],[Estevan]:[Kipling]])</f>
        <v>4.9798594357672386</v>
      </c>
      <c r="J341" s="2">
        <f t="shared" si="5"/>
        <v>-12.214285714285714</v>
      </c>
      <c r="K341">
        <f>DAY(weather.tbl[[#This Row],[Date]])</f>
        <v>6</v>
      </c>
      <c r="L341">
        <f>MONTH(weather.tbl[[#This Row],[Date]])</f>
        <v>12</v>
      </c>
      <c r="M341">
        <f>YEAR(weather.tbl[[#This Row],[Date]])</f>
        <v>2014</v>
      </c>
    </row>
    <row r="342" spans="1:13" x14ac:dyDescent="0.25">
      <c r="A342" s="1">
        <v>41980</v>
      </c>
      <c r="B342" s="2">
        <v>-4.7</v>
      </c>
      <c r="C342" s="2">
        <v>-5.2</v>
      </c>
      <c r="D342" s="2">
        <v>2.8</v>
      </c>
      <c r="E342" s="2">
        <v>-5</v>
      </c>
      <c r="F342" s="2">
        <v>-6.3</v>
      </c>
      <c r="G342" s="2">
        <v>-6.2</v>
      </c>
      <c r="H342" s="2">
        <f>AVERAGE(weather.tbl[[#This Row],[Estevan]:[Kipling]])</f>
        <v>-4.1000000000000005</v>
      </c>
      <c r="I342" s="2">
        <f>_xlfn.STDEV.S(weather.tbl[[#This Row],[Estevan]:[Kipling]])</f>
        <v>3.4420923869065447</v>
      </c>
      <c r="J342" s="2">
        <f t="shared" si="5"/>
        <v>-10.019047619047617</v>
      </c>
      <c r="K342">
        <f>DAY(weather.tbl[[#This Row],[Date]])</f>
        <v>7</v>
      </c>
      <c r="L342">
        <f>MONTH(weather.tbl[[#This Row],[Date]])</f>
        <v>12</v>
      </c>
      <c r="M342">
        <f>YEAR(weather.tbl[[#This Row],[Date]])</f>
        <v>2014</v>
      </c>
    </row>
    <row r="343" spans="1:13" x14ac:dyDescent="0.25">
      <c r="A343" s="1">
        <v>41981</v>
      </c>
      <c r="B343" s="2">
        <v>-9</v>
      </c>
      <c r="C343" s="2">
        <v>-8.4</v>
      </c>
      <c r="D343" s="2">
        <v>2.8</v>
      </c>
      <c r="E343" s="2">
        <v>-6.5</v>
      </c>
      <c r="F343" s="2">
        <v>-13.2</v>
      </c>
      <c r="G343" s="2">
        <v>-11.1</v>
      </c>
      <c r="H343" s="2">
        <f>AVERAGE(weather.tbl[[#This Row],[Estevan]:[Kipling]])</f>
        <v>-7.5666666666666664</v>
      </c>
      <c r="I343" s="2">
        <f>_xlfn.STDEV.S(weather.tbl[[#This Row],[Estevan]:[Kipling]])</f>
        <v>5.5780522287503427</v>
      </c>
      <c r="J343" s="2">
        <f t="shared" si="5"/>
        <v>-8.738095238095239</v>
      </c>
      <c r="K343">
        <f>DAY(weather.tbl[[#This Row],[Date]])</f>
        <v>8</v>
      </c>
      <c r="L343">
        <f>MONTH(weather.tbl[[#This Row],[Date]])</f>
        <v>12</v>
      </c>
      <c r="M343">
        <f>YEAR(weather.tbl[[#This Row],[Date]])</f>
        <v>2014</v>
      </c>
    </row>
    <row r="344" spans="1:13" x14ac:dyDescent="0.25">
      <c r="A344" s="1">
        <v>41982</v>
      </c>
      <c r="B344" s="2">
        <v>-5.0999999999999996</v>
      </c>
      <c r="C344" s="2">
        <v>-4.3</v>
      </c>
      <c r="D344" s="2">
        <v>2.8</v>
      </c>
      <c r="E344" s="2">
        <v>-1.5</v>
      </c>
      <c r="F344" s="2">
        <v>-11.3</v>
      </c>
      <c r="G344" s="2">
        <v>-6.8</v>
      </c>
      <c r="H344" s="2">
        <f>AVERAGE(weather.tbl[[#This Row],[Estevan]:[Kipling]])</f>
        <v>-4.3666666666666663</v>
      </c>
      <c r="I344" s="2">
        <f>_xlfn.STDEV.S(weather.tbl[[#This Row],[Estevan]:[Kipling]])</f>
        <v>4.7773074703923619</v>
      </c>
      <c r="J344" s="2">
        <f t="shared" si="5"/>
        <v>-7.8404761904761902</v>
      </c>
      <c r="K344">
        <f>DAY(weather.tbl[[#This Row],[Date]])</f>
        <v>9</v>
      </c>
      <c r="L344">
        <f>MONTH(weather.tbl[[#This Row],[Date]])</f>
        <v>12</v>
      </c>
      <c r="M344">
        <f>YEAR(weather.tbl[[#This Row],[Date]])</f>
        <v>2014</v>
      </c>
    </row>
    <row r="345" spans="1:13" x14ac:dyDescent="0.25">
      <c r="A345" s="1">
        <v>41983</v>
      </c>
      <c r="B345" s="2">
        <v>0.3</v>
      </c>
      <c r="C345" s="2">
        <v>1.2</v>
      </c>
      <c r="D345" s="2">
        <v>2.8</v>
      </c>
      <c r="E345" s="2">
        <v>2.5</v>
      </c>
      <c r="F345" s="2">
        <v>-3.9</v>
      </c>
      <c r="G345" s="2">
        <v>1.5</v>
      </c>
      <c r="H345" s="2">
        <f>AVERAGE(weather.tbl[[#This Row],[Estevan]:[Kipling]])</f>
        <v>0.73333333333333339</v>
      </c>
      <c r="I345" s="2">
        <f>_xlfn.STDEV.S(weather.tbl[[#This Row],[Estevan]:[Kipling]])</f>
        <v>2.4434947650172418</v>
      </c>
      <c r="J345" s="2">
        <f t="shared" si="5"/>
        <v>-5.961904761904762</v>
      </c>
      <c r="K345">
        <f>DAY(weather.tbl[[#This Row],[Date]])</f>
        <v>10</v>
      </c>
      <c r="L345">
        <f>MONTH(weather.tbl[[#This Row],[Date]])</f>
        <v>12</v>
      </c>
      <c r="M345">
        <f>YEAR(weather.tbl[[#This Row],[Date]])</f>
        <v>2014</v>
      </c>
    </row>
    <row r="346" spans="1:13" x14ac:dyDescent="0.25">
      <c r="A346" s="1">
        <v>41984</v>
      </c>
      <c r="B346" s="2">
        <v>1.5</v>
      </c>
      <c r="C346" s="2">
        <v>1.1000000000000001</v>
      </c>
      <c r="D346" s="2">
        <v>2.8</v>
      </c>
      <c r="E346" s="2">
        <v>1</v>
      </c>
      <c r="F346" s="2">
        <v>-1.1000000000000001</v>
      </c>
      <c r="G346" s="2">
        <v>2.5</v>
      </c>
      <c r="H346" s="2">
        <f>AVERAGE(weather.tbl[[#This Row],[Estevan]:[Kipling]])</f>
        <v>1.3</v>
      </c>
      <c r="I346" s="2">
        <f>_xlfn.STDEV.S(weather.tbl[[#This Row],[Estevan]:[Kipling]])</f>
        <v>1.3870832707519758</v>
      </c>
      <c r="J346" s="2">
        <f t="shared" si="5"/>
        <v>-4.2904761904761903</v>
      </c>
      <c r="K346">
        <f>DAY(weather.tbl[[#This Row],[Date]])</f>
        <v>11</v>
      </c>
      <c r="L346">
        <f>MONTH(weather.tbl[[#This Row],[Date]])</f>
        <v>12</v>
      </c>
      <c r="M346">
        <f>YEAR(weather.tbl[[#This Row],[Date]])</f>
        <v>2014</v>
      </c>
    </row>
    <row r="347" spans="1:13" x14ac:dyDescent="0.25">
      <c r="A347" s="1">
        <v>41985</v>
      </c>
      <c r="B347" s="2">
        <v>0.4</v>
      </c>
      <c r="C347" s="2">
        <v>1.3</v>
      </c>
      <c r="D347" s="2">
        <v>2.8</v>
      </c>
      <c r="E347" s="2">
        <v>2</v>
      </c>
      <c r="F347" s="2">
        <v>-0.2</v>
      </c>
      <c r="G347" s="2">
        <v>4</v>
      </c>
      <c r="H347" s="2">
        <f>AVERAGE(weather.tbl[[#This Row],[Estevan]:[Kipling]])</f>
        <v>1.7166666666666668</v>
      </c>
      <c r="I347" s="2">
        <f>_xlfn.STDEV.S(weather.tbl[[#This Row],[Estevan]:[Kipling]])</f>
        <v>1.5523101064757214</v>
      </c>
      <c r="J347" s="2">
        <f t="shared" si="5"/>
        <v>-2.7476190476190476</v>
      </c>
      <c r="K347">
        <f>DAY(weather.tbl[[#This Row],[Date]])</f>
        <v>12</v>
      </c>
      <c r="L347">
        <f>MONTH(weather.tbl[[#This Row],[Date]])</f>
        <v>12</v>
      </c>
      <c r="M347">
        <f>YEAR(weather.tbl[[#This Row],[Date]])</f>
        <v>2014</v>
      </c>
    </row>
    <row r="348" spans="1:13" x14ac:dyDescent="0.25">
      <c r="A348" s="1">
        <v>41986</v>
      </c>
      <c r="B348" s="2">
        <v>1.2</v>
      </c>
      <c r="C348" s="2">
        <v>1.4</v>
      </c>
      <c r="D348" s="2">
        <v>2.8</v>
      </c>
      <c r="E348" s="2">
        <v>1.5</v>
      </c>
      <c r="F348" s="2">
        <v>-0.1</v>
      </c>
      <c r="G348" s="2">
        <v>3.5</v>
      </c>
      <c r="H348" s="2">
        <f>AVERAGE(weather.tbl[[#This Row],[Estevan]:[Kipling]])</f>
        <v>1.7166666666666668</v>
      </c>
      <c r="I348" s="2">
        <f>_xlfn.STDEV.S(weather.tbl[[#This Row],[Estevan]:[Kipling]])</f>
        <v>1.2703018014104626</v>
      </c>
      <c r="J348" s="2">
        <f t="shared" si="5"/>
        <v>-1.5095238095238095</v>
      </c>
      <c r="K348">
        <f>DAY(weather.tbl[[#This Row],[Date]])</f>
        <v>13</v>
      </c>
      <c r="L348">
        <f>MONTH(weather.tbl[[#This Row],[Date]])</f>
        <v>12</v>
      </c>
      <c r="M348">
        <f>YEAR(weather.tbl[[#This Row],[Date]])</f>
        <v>2014</v>
      </c>
    </row>
    <row r="349" spans="1:13" x14ac:dyDescent="0.25">
      <c r="A349" s="1">
        <v>41987</v>
      </c>
      <c r="B349" s="2">
        <v>-1.7</v>
      </c>
      <c r="C349" s="2">
        <v>-1.7</v>
      </c>
      <c r="D349" s="2">
        <v>2.8</v>
      </c>
      <c r="E349" s="2">
        <v>-1.8</v>
      </c>
      <c r="F349" s="2">
        <v>-2.2999999999999998</v>
      </c>
      <c r="G349" s="2">
        <v>-3.2</v>
      </c>
      <c r="H349" s="2">
        <f>AVERAGE(weather.tbl[[#This Row],[Estevan]:[Kipling]])</f>
        <v>-1.3166666666666667</v>
      </c>
      <c r="I349" s="2">
        <f>_xlfn.STDEV.S(weather.tbl[[#This Row],[Estevan]:[Kipling]])</f>
        <v>2.097061436073504</v>
      </c>
      <c r="J349" s="2">
        <f t="shared" si="5"/>
        <v>-1.1119047619047617</v>
      </c>
      <c r="K349">
        <f>DAY(weather.tbl[[#This Row],[Date]])</f>
        <v>14</v>
      </c>
      <c r="L349">
        <f>MONTH(weather.tbl[[#This Row],[Date]])</f>
        <v>12</v>
      </c>
      <c r="M349">
        <f>YEAR(weather.tbl[[#This Row],[Date]])</f>
        <v>2014</v>
      </c>
    </row>
    <row r="350" spans="1:13" x14ac:dyDescent="0.25">
      <c r="A350" s="1">
        <v>41988</v>
      </c>
      <c r="B350" s="2">
        <v>-5.3</v>
      </c>
      <c r="C350" s="2">
        <v>-5.2</v>
      </c>
      <c r="D350" s="2">
        <v>2.8</v>
      </c>
      <c r="E350" s="2">
        <v>-4.3</v>
      </c>
      <c r="F350" s="2">
        <v>-5.5</v>
      </c>
      <c r="G350" s="2">
        <v>-6</v>
      </c>
      <c r="H350" s="2">
        <f>AVERAGE(weather.tbl[[#This Row],[Estevan]:[Kipling]])</f>
        <v>-3.9166666666666665</v>
      </c>
      <c r="I350" s="2">
        <f>_xlfn.STDEV.S(weather.tbl[[#This Row],[Estevan]:[Kipling]])</f>
        <v>3.3367149513655883</v>
      </c>
      <c r="J350" s="2">
        <f t="shared" si="5"/>
        <v>-0.59047619047619038</v>
      </c>
      <c r="K350">
        <f>DAY(weather.tbl[[#This Row],[Date]])</f>
        <v>15</v>
      </c>
      <c r="L350">
        <f>MONTH(weather.tbl[[#This Row],[Date]])</f>
        <v>12</v>
      </c>
      <c r="M350">
        <f>YEAR(weather.tbl[[#This Row],[Date]])</f>
        <v>2014</v>
      </c>
    </row>
    <row r="351" spans="1:13" x14ac:dyDescent="0.25">
      <c r="A351" s="1">
        <v>41989</v>
      </c>
      <c r="B351" s="2">
        <v>-7.9</v>
      </c>
      <c r="C351" s="2">
        <v>-7.1</v>
      </c>
      <c r="D351" s="2">
        <v>2.8</v>
      </c>
      <c r="E351" s="2">
        <v>-6.5</v>
      </c>
      <c r="F351" s="2">
        <v>-13.6</v>
      </c>
      <c r="G351" s="2">
        <v>-8.6999999999999993</v>
      </c>
      <c r="H351" s="2">
        <f>AVERAGE(weather.tbl[[#This Row],[Estevan]:[Kipling]])</f>
        <v>-6.833333333333333</v>
      </c>
      <c r="I351" s="2">
        <f>_xlfn.STDEV.S(weather.tbl[[#This Row],[Estevan]:[Kipling]])</f>
        <v>5.3552466485369905</v>
      </c>
      <c r="J351" s="2">
        <f t="shared" si="5"/>
        <v>-0.94285714285714284</v>
      </c>
      <c r="K351">
        <f>DAY(weather.tbl[[#This Row],[Date]])</f>
        <v>16</v>
      </c>
      <c r="L351">
        <f>MONTH(weather.tbl[[#This Row],[Date]])</f>
        <v>12</v>
      </c>
      <c r="M351">
        <f>YEAR(weather.tbl[[#This Row],[Date]])</f>
        <v>2014</v>
      </c>
    </row>
    <row r="352" spans="1:13" x14ac:dyDescent="0.25">
      <c r="A352" s="1">
        <v>41990</v>
      </c>
      <c r="B352" s="2">
        <v>-8</v>
      </c>
      <c r="C352" s="2">
        <v>-7.8</v>
      </c>
      <c r="D352" s="2">
        <v>2.8</v>
      </c>
      <c r="E352" s="2">
        <v>-7.3</v>
      </c>
      <c r="F352" s="2">
        <v>-15.4</v>
      </c>
      <c r="G352" s="2">
        <v>-10.3</v>
      </c>
      <c r="H352" s="2">
        <f>AVERAGE(weather.tbl[[#This Row],[Estevan]:[Kipling]])</f>
        <v>-7.666666666666667</v>
      </c>
      <c r="I352" s="2">
        <f>_xlfn.STDEV.S(weather.tbl[[#This Row],[Estevan]:[Kipling]])</f>
        <v>5.9422779021741041</v>
      </c>
      <c r="J352" s="2">
        <f t="shared" si="5"/>
        <v>-2.1428571428571428</v>
      </c>
      <c r="K352">
        <f>DAY(weather.tbl[[#This Row],[Date]])</f>
        <v>17</v>
      </c>
      <c r="L352">
        <f>MONTH(weather.tbl[[#This Row],[Date]])</f>
        <v>12</v>
      </c>
      <c r="M352">
        <f>YEAR(weather.tbl[[#This Row],[Date]])</f>
        <v>2014</v>
      </c>
    </row>
    <row r="353" spans="1:13" x14ac:dyDescent="0.25">
      <c r="A353" s="1">
        <v>41991</v>
      </c>
      <c r="B353" s="2">
        <v>-6.2</v>
      </c>
      <c r="C353" s="2">
        <v>-5.6</v>
      </c>
      <c r="D353" s="2">
        <v>2.8</v>
      </c>
      <c r="E353" s="2">
        <v>-5.8</v>
      </c>
      <c r="F353" s="2">
        <v>-10.9</v>
      </c>
      <c r="G353" s="2">
        <v>-7.6</v>
      </c>
      <c r="H353" s="2">
        <f>AVERAGE(weather.tbl[[#This Row],[Estevan]:[Kipling]])</f>
        <v>-5.5500000000000007</v>
      </c>
      <c r="I353" s="2">
        <f>_xlfn.STDEV.S(weather.tbl[[#This Row],[Estevan]:[Kipling]])</f>
        <v>4.5394933638017347</v>
      </c>
      <c r="J353" s="2">
        <f t="shared" si="5"/>
        <v>-3.1214285714285714</v>
      </c>
      <c r="K353">
        <f>DAY(weather.tbl[[#This Row],[Date]])</f>
        <v>18</v>
      </c>
      <c r="L353">
        <f>MONTH(weather.tbl[[#This Row],[Date]])</f>
        <v>12</v>
      </c>
      <c r="M353">
        <f>YEAR(weather.tbl[[#This Row],[Date]])</f>
        <v>2014</v>
      </c>
    </row>
    <row r="354" spans="1:13" x14ac:dyDescent="0.25">
      <c r="A354" s="1">
        <v>41992</v>
      </c>
      <c r="B354" s="2">
        <v>-5.3</v>
      </c>
      <c r="C354" s="2">
        <v>-5.6</v>
      </c>
      <c r="D354" s="2">
        <v>2.8</v>
      </c>
      <c r="E354" s="2">
        <v>-6.5</v>
      </c>
      <c r="F354" s="2">
        <v>-4.4000000000000004</v>
      </c>
      <c r="G354" s="2">
        <v>-5.6</v>
      </c>
      <c r="H354" s="2">
        <f>AVERAGE(weather.tbl[[#This Row],[Estevan]:[Kipling]])</f>
        <v>-4.1000000000000005</v>
      </c>
      <c r="I354" s="2">
        <f>_xlfn.STDEV.S(weather.tbl[[#This Row],[Estevan]:[Kipling]])</f>
        <v>3.4467375879228164</v>
      </c>
      <c r="J354" s="2">
        <f t="shared" si="5"/>
        <v>-3.9523809523809526</v>
      </c>
      <c r="K354">
        <f>DAY(weather.tbl[[#This Row],[Date]])</f>
        <v>19</v>
      </c>
      <c r="L354">
        <f>MONTH(weather.tbl[[#This Row],[Date]])</f>
        <v>12</v>
      </c>
      <c r="M354">
        <f>YEAR(weather.tbl[[#This Row],[Date]])</f>
        <v>2014</v>
      </c>
    </row>
    <row r="355" spans="1:13" x14ac:dyDescent="0.25">
      <c r="A355" s="1">
        <v>41993</v>
      </c>
      <c r="B355" s="2">
        <v>-4.2</v>
      </c>
      <c r="C355" s="2">
        <v>-5.9</v>
      </c>
      <c r="D355" s="2">
        <v>2.8</v>
      </c>
      <c r="E355" s="2">
        <v>-4.3</v>
      </c>
      <c r="F355" s="2">
        <v>-3.9</v>
      </c>
      <c r="G355" s="2">
        <v>-6.9</v>
      </c>
      <c r="H355" s="2">
        <f>AVERAGE(weather.tbl[[#This Row],[Estevan]:[Kipling]])</f>
        <v>-3.7333333333333338</v>
      </c>
      <c r="I355" s="2">
        <f>_xlfn.STDEV.S(weather.tbl[[#This Row],[Estevan]:[Kipling]])</f>
        <v>3.4050942228764631</v>
      </c>
      <c r="J355" s="2">
        <f t="shared" si="5"/>
        <v>-4.730952380952381</v>
      </c>
      <c r="K355">
        <f>DAY(weather.tbl[[#This Row],[Date]])</f>
        <v>20</v>
      </c>
      <c r="L355">
        <f>MONTH(weather.tbl[[#This Row],[Date]])</f>
        <v>12</v>
      </c>
      <c r="M355">
        <f>YEAR(weather.tbl[[#This Row],[Date]])</f>
        <v>2014</v>
      </c>
    </row>
    <row r="356" spans="1:13" x14ac:dyDescent="0.25">
      <c r="A356" s="1">
        <v>41994</v>
      </c>
      <c r="B356" s="2">
        <v>-6.2</v>
      </c>
      <c r="C356" s="2">
        <v>-7.1</v>
      </c>
      <c r="D356" s="2">
        <v>2.8</v>
      </c>
      <c r="E356" s="2">
        <v>-6.5</v>
      </c>
      <c r="F356" s="2">
        <v>-5.6</v>
      </c>
      <c r="G356" s="2">
        <v>-5.7</v>
      </c>
      <c r="H356" s="2">
        <f>AVERAGE(weather.tbl[[#This Row],[Estevan]:[Kipling]])</f>
        <v>-4.7166666666666668</v>
      </c>
      <c r="I356" s="2">
        <f>_xlfn.STDEV.S(weather.tbl[[#This Row],[Estevan]:[Kipling]])</f>
        <v>3.7231259267807029</v>
      </c>
      <c r="J356" s="2">
        <f t="shared" si="5"/>
        <v>-5.2166666666666677</v>
      </c>
      <c r="K356">
        <f>DAY(weather.tbl[[#This Row],[Date]])</f>
        <v>21</v>
      </c>
      <c r="L356">
        <f>MONTH(weather.tbl[[#This Row],[Date]])</f>
        <v>12</v>
      </c>
      <c r="M356">
        <f>YEAR(weather.tbl[[#This Row],[Date]])</f>
        <v>2014</v>
      </c>
    </row>
    <row r="357" spans="1:13" x14ac:dyDescent="0.25">
      <c r="A357" s="1">
        <v>41995</v>
      </c>
      <c r="B357" s="2">
        <v>-2.4</v>
      </c>
      <c r="C357" s="2">
        <v>-3.8</v>
      </c>
      <c r="D357" s="2">
        <v>2.8</v>
      </c>
      <c r="E357" s="2">
        <v>-4</v>
      </c>
      <c r="F357" s="2">
        <v>-1.7</v>
      </c>
      <c r="G357" s="2">
        <v>-5.0999999999999996</v>
      </c>
      <c r="H357" s="2">
        <f>AVERAGE(weather.tbl[[#This Row],[Estevan]:[Kipling]])</f>
        <v>-2.3666666666666667</v>
      </c>
      <c r="I357" s="2">
        <f>_xlfn.STDEV.S(weather.tbl[[#This Row],[Estevan]:[Kipling]])</f>
        <v>2.8047578623950176</v>
      </c>
      <c r="J357" s="2">
        <f t="shared" si="5"/>
        <v>-4.9952380952380953</v>
      </c>
      <c r="K357">
        <f>DAY(weather.tbl[[#This Row],[Date]])</f>
        <v>22</v>
      </c>
      <c r="L357">
        <f>MONTH(weather.tbl[[#This Row],[Date]])</f>
        <v>12</v>
      </c>
      <c r="M357">
        <f>YEAR(weather.tbl[[#This Row],[Date]])</f>
        <v>2014</v>
      </c>
    </row>
    <row r="358" spans="1:13" x14ac:dyDescent="0.25">
      <c r="A358" s="1">
        <v>41996</v>
      </c>
      <c r="B358" s="2">
        <v>-4.2</v>
      </c>
      <c r="C358" s="2">
        <v>-6.5</v>
      </c>
      <c r="D358" s="2">
        <v>2.8</v>
      </c>
      <c r="E358" s="2">
        <v>-5.5</v>
      </c>
      <c r="F358" s="2">
        <v>-3.7</v>
      </c>
      <c r="G358" s="2">
        <v>-4.8</v>
      </c>
      <c r="H358" s="2">
        <f>AVERAGE(weather.tbl[[#This Row],[Estevan]:[Kipling]])</f>
        <v>-3.65</v>
      </c>
      <c r="I358" s="2">
        <f>_xlfn.STDEV.S(weather.tbl[[#This Row],[Estevan]:[Kipling]])</f>
        <v>3.3098338326870738</v>
      </c>
      <c r="J358" s="2">
        <f t="shared" si="5"/>
        <v>-4.5404761904761912</v>
      </c>
      <c r="K358">
        <f>DAY(weather.tbl[[#This Row],[Date]])</f>
        <v>23</v>
      </c>
      <c r="L358">
        <f>MONTH(weather.tbl[[#This Row],[Date]])</f>
        <v>12</v>
      </c>
      <c r="M358">
        <f>YEAR(weather.tbl[[#This Row],[Date]])</f>
        <v>2014</v>
      </c>
    </row>
    <row r="359" spans="1:13" x14ac:dyDescent="0.25">
      <c r="A359" s="1">
        <v>41997</v>
      </c>
      <c r="B359" s="2">
        <v>-2.5</v>
      </c>
      <c r="C359" s="2">
        <v>-4.7</v>
      </c>
      <c r="D359" s="2">
        <v>2.8</v>
      </c>
      <c r="E359" s="2">
        <v>-6.5</v>
      </c>
      <c r="F359" s="2">
        <v>-4.2</v>
      </c>
      <c r="G359" s="2">
        <v>-5.0999999999999996</v>
      </c>
      <c r="H359" s="2">
        <f>AVERAGE(weather.tbl[[#This Row],[Estevan]:[Kipling]])</f>
        <v>-3.3666666666666671</v>
      </c>
      <c r="I359" s="2">
        <f>_xlfn.STDEV.S(weather.tbl[[#This Row],[Estevan]:[Kipling]])</f>
        <v>3.2885660502210783</v>
      </c>
      <c r="J359" s="2">
        <f t="shared" si="5"/>
        <v>-3.9261904761904765</v>
      </c>
      <c r="K359">
        <f>DAY(weather.tbl[[#This Row],[Date]])</f>
        <v>24</v>
      </c>
      <c r="L359">
        <f>MONTH(weather.tbl[[#This Row],[Date]])</f>
        <v>12</v>
      </c>
      <c r="M359">
        <f>YEAR(weather.tbl[[#This Row],[Date]])</f>
        <v>2014</v>
      </c>
    </row>
    <row r="360" spans="1:13" x14ac:dyDescent="0.25">
      <c r="A360" s="1">
        <v>41998</v>
      </c>
      <c r="B360" s="2">
        <v>-9.6999999999999993</v>
      </c>
      <c r="C360" s="2">
        <v>-10.3</v>
      </c>
      <c r="D360" s="2">
        <v>2.8</v>
      </c>
      <c r="E360" s="2">
        <v>-10.5</v>
      </c>
      <c r="F360" s="2">
        <v>-7</v>
      </c>
      <c r="G360" s="2">
        <v>-11</v>
      </c>
      <c r="H360" s="2">
        <f>AVERAGE(weather.tbl[[#This Row],[Estevan]:[Kipling]])</f>
        <v>-7.6166666666666671</v>
      </c>
      <c r="I360" s="2">
        <f>_xlfn.STDEV.S(weather.tbl[[#This Row],[Estevan]:[Kipling]])</f>
        <v>5.2950605914065472</v>
      </c>
      <c r="J360" s="2">
        <f t="shared" si="5"/>
        <v>-4.2214285714285715</v>
      </c>
      <c r="K360">
        <f>DAY(weather.tbl[[#This Row],[Date]])</f>
        <v>25</v>
      </c>
      <c r="L360">
        <f>MONTH(weather.tbl[[#This Row],[Date]])</f>
        <v>12</v>
      </c>
      <c r="M360">
        <f>YEAR(weather.tbl[[#This Row],[Date]])</f>
        <v>2014</v>
      </c>
    </row>
    <row r="361" spans="1:13" x14ac:dyDescent="0.25">
      <c r="A361" s="1">
        <v>41999</v>
      </c>
      <c r="B361" s="2">
        <v>-15.2</v>
      </c>
      <c r="C361" s="2">
        <v>-16</v>
      </c>
      <c r="D361" s="2">
        <v>2.8</v>
      </c>
      <c r="E361" s="2">
        <v>-16.3</v>
      </c>
      <c r="F361" s="2">
        <v>-16.600000000000001</v>
      </c>
      <c r="G361" s="2">
        <v>-16.899999999999999</v>
      </c>
      <c r="H361" s="2">
        <f>AVERAGE(weather.tbl[[#This Row],[Estevan]:[Kipling]])</f>
        <v>-13.033333333333333</v>
      </c>
      <c r="I361" s="2">
        <f>_xlfn.STDEV.S(weather.tbl[[#This Row],[Estevan]:[Kipling]])</f>
        <v>7.7786031308112538</v>
      </c>
      <c r="J361" s="2">
        <f t="shared" si="5"/>
        <v>-5.4976190476190476</v>
      </c>
      <c r="K361">
        <f>DAY(weather.tbl[[#This Row],[Date]])</f>
        <v>26</v>
      </c>
      <c r="L361">
        <f>MONTH(weather.tbl[[#This Row],[Date]])</f>
        <v>12</v>
      </c>
      <c r="M361">
        <f>YEAR(weather.tbl[[#This Row],[Date]])</f>
        <v>2014</v>
      </c>
    </row>
    <row r="362" spans="1:13" x14ac:dyDescent="0.25">
      <c r="A362" s="1">
        <v>42000</v>
      </c>
      <c r="B362" s="2">
        <v>-9.1</v>
      </c>
      <c r="C362" s="2">
        <v>-11.5</v>
      </c>
      <c r="D362" s="2">
        <v>2.8</v>
      </c>
      <c r="E362" s="2">
        <v>-12</v>
      </c>
      <c r="F362" s="2">
        <v>-15.2</v>
      </c>
      <c r="G362" s="2">
        <v>-14.2</v>
      </c>
      <c r="H362" s="2">
        <f>AVERAGE(weather.tbl[[#This Row],[Estevan]:[Kipling]])</f>
        <v>-9.8666666666666671</v>
      </c>
      <c r="I362" s="2">
        <f>_xlfn.STDEV.S(weather.tbl[[#This Row],[Estevan]:[Kipling]])</f>
        <v>6.5646528214877176</v>
      </c>
      <c r="J362" s="2">
        <f t="shared" si="5"/>
        <v>-6.3738095238095243</v>
      </c>
      <c r="K362">
        <f>DAY(weather.tbl[[#This Row],[Date]])</f>
        <v>27</v>
      </c>
      <c r="L362">
        <f>MONTH(weather.tbl[[#This Row],[Date]])</f>
        <v>12</v>
      </c>
      <c r="M362">
        <f>YEAR(weather.tbl[[#This Row],[Date]])</f>
        <v>2014</v>
      </c>
    </row>
    <row r="363" spans="1:13" x14ac:dyDescent="0.25">
      <c r="A363" s="1">
        <v>42001</v>
      </c>
      <c r="B363" s="2">
        <v>-18.8</v>
      </c>
      <c r="C363" s="2">
        <v>-22.9</v>
      </c>
      <c r="D363" s="2">
        <v>-22</v>
      </c>
      <c r="E363" s="2">
        <v>-25</v>
      </c>
      <c r="F363" s="2">
        <v>-23.4</v>
      </c>
      <c r="G363" s="2">
        <v>-24.6</v>
      </c>
      <c r="H363" s="2">
        <f>AVERAGE(weather.tbl[[#This Row],[Estevan]:[Kipling]])</f>
        <v>-22.783333333333331</v>
      </c>
      <c r="I363" s="2">
        <f>_xlfn.STDEV.S(weather.tbl[[#This Row],[Estevan]:[Kipling]])</f>
        <v>2.2400148809029519</v>
      </c>
      <c r="J363" s="2">
        <f t="shared" si="5"/>
        <v>-8.954761904761904</v>
      </c>
      <c r="K363">
        <f>DAY(weather.tbl[[#This Row],[Date]])</f>
        <v>28</v>
      </c>
      <c r="L363">
        <f>MONTH(weather.tbl[[#This Row],[Date]])</f>
        <v>12</v>
      </c>
      <c r="M363">
        <f>YEAR(weather.tbl[[#This Row],[Date]])</f>
        <v>2014</v>
      </c>
    </row>
    <row r="364" spans="1:13" x14ac:dyDescent="0.25">
      <c r="A364" s="1">
        <v>42002</v>
      </c>
      <c r="B364" s="2">
        <v>-24.4</v>
      </c>
      <c r="C364" s="2">
        <v>-26.9</v>
      </c>
      <c r="D364" s="2">
        <v>-25.8</v>
      </c>
      <c r="E364" s="2">
        <v>-25.5</v>
      </c>
      <c r="F364" s="2">
        <v>-25.6</v>
      </c>
      <c r="G364" s="2">
        <v>-26.2</v>
      </c>
      <c r="H364" s="2">
        <f>AVERAGE(weather.tbl[[#This Row],[Estevan]:[Kipling]])</f>
        <v>-25.733333333333331</v>
      </c>
      <c r="I364" s="2">
        <f>_xlfn.STDEV.S(weather.tbl[[#This Row],[Estevan]:[Kipling]])</f>
        <v>0.82865352631040345</v>
      </c>
      <c r="J364" s="2">
        <f t="shared" si="5"/>
        <v>-12.292857142857143</v>
      </c>
      <c r="K364">
        <f>DAY(weather.tbl[[#This Row],[Date]])</f>
        <v>29</v>
      </c>
      <c r="L364">
        <f>MONTH(weather.tbl[[#This Row],[Date]])</f>
        <v>12</v>
      </c>
      <c r="M364">
        <f>YEAR(weather.tbl[[#This Row],[Date]])</f>
        <v>2014</v>
      </c>
    </row>
    <row r="365" spans="1:13" x14ac:dyDescent="0.25">
      <c r="A365" s="1">
        <v>42003</v>
      </c>
      <c r="B365" s="2">
        <v>-20.8</v>
      </c>
      <c r="C365" s="2">
        <v>-20.399999999999999</v>
      </c>
      <c r="D365" s="2">
        <v>-19.5</v>
      </c>
      <c r="E365" s="2">
        <v>-18.8</v>
      </c>
      <c r="F365" s="2">
        <v>-20.9</v>
      </c>
      <c r="G365" s="2">
        <v>-21.7</v>
      </c>
      <c r="H365" s="2">
        <f>AVERAGE(weather.tbl[[#This Row],[Estevan]:[Kipling]])</f>
        <v>-20.350000000000001</v>
      </c>
      <c r="I365" s="2">
        <f>_xlfn.STDEV.S(weather.tbl[[#This Row],[Estevan]:[Kipling]])</f>
        <v>1.0445094542415587</v>
      </c>
      <c r="J365" s="2">
        <f t="shared" si="5"/>
        <v>-14.678571428571429</v>
      </c>
      <c r="K365">
        <f>DAY(weather.tbl[[#This Row],[Date]])</f>
        <v>30</v>
      </c>
      <c r="L365">
        <f>MONTH(weather.tbl[[#This Row],[Date]])</f>
        <v>12</v>
      </c>
      <c r="M365">
        <f>YEAR(weather.tbl[[#This Row],[Date]])</f>
        <v>2014</v>
      </c>
    </row>
    <row r="366" spans="1:13" x14ac:dyDescent="0.25">
      <c r="A366" s="1">
        <v>42004</v>
      </c>
      <c r="B366" s="2">
        <v>-8.8000000000000007</v>
      </c>
      <c r="C366" s="2">
        <v>-8.1</v>
      </c>
      <c r="D366" s="2">
        <v>-10.5</v>
      </c>
      <c r="E366" s="2">
        <v>-10.3</v>
      </c>
      <c r="F366" s="2">
        <v>-8.6999999999999993</v>
      </c>
      <c r="G366" s="2">
        <v>-10.9</v>
      </c>
      <c r="H366" s="2">
        <f>AVERAGE(weather.tbl[[#This Row],[Estevan]:[Kipling]])</f>
        <v>-9.5500000000000007</v>
      </c>
      <c r="I366" s="2">
        <f>_xlfn.STDEV.S(weather.tbl[[#This Row],[Estevan]:[Kipling]])</f>
        <v>1.1554220008291403</v>
      </c>
      <c r="J366" s="2">
        <f t="shared" si="5"/>
        <v>-15.56190476190476</v>
      </c>
      <c r="K366">
        <f>DAY(weather.tbl[[#This Row],[Date]])</f>
        <v>31</v>
      </c>
      <c r="L366">
        <f>MONTH(weather.tbl[[#This Row],[Date]])</f>
        <v>12</v>
      </c>
      <c r="M366">
        <f>YEAR(weather.tbl[[#This Row],[Date]])</f>
        <v>2014</v>
      </c>
    </row>
    <row r="367" spans="1:13" x14ac:dyDescent="0.25">
      <c r="A367" s="1">
        <v>42005</v>
      </c>
      <c r="B367" s="2">
        <v>-3.7</v>
      </c>
      <c r="C367" s="2">
        <v>-3.5</v>
      </c>
      <c r="D367" s="2">
        <v>-10.5</v>
      </c>
      <c r="E367" s="2">
        <v>-4</v>
      </c>
      <c r="F367" s="2">
        <v>-6.8</v>
      </c>
      <c r="G367" s="2">
        <v>-7.7</v>
      </c>
      <c r="H367" s="2">
        <f>AVERAGE(weather.tbl[[#This Row],[Estevan]:[Kipling]])</f>
        <v>-6.0333333333333341</v>
      </c>
      <c r="I367" s="2">
        <f>_xlfn.STDEV.S(weather.tbl[[#This Row],[Estevan]:[Kipling]])</f>
        <v>2.8040446976941471</v>
      </c>
      <c r="J367" s="2">
        <f t="shared" si="5"/>
        <v>-15.335714285714284</v>
      </c>
      <c r="K367">
        <f>DAY(weather.tbl[[#This Row],[Date]])</f>
        <v>1</v>
      </c>
      <c r="L367">
        <f>MONTH(weather.tbl[[#This Row],[Date]])</f>
        <v>1</v>
      </c>
      <c r="M367">
        <f>YEAR(weather.tbl[[#This Row],[Date]])</f>
        <v>2015</v>
      </c>
    </row>
    <row r="368" spans="1:13" x14ac:dyDescent="0.25">
      <c r="A368" s="1">
        <v>42006</v>
      </c>
      <c r="B368" s="2">
        <v>-8</v>
      </c>
      <c r="C368" s="2">
        <v>-7.8</v>
      </c>
      <c r="D368" s="2">
        <v>-10.5</v>
      </c>
      <c r="E368" s="2">
        <v>-10.5</v>
      </c>
      <c r="F368" s="2">
        <v>-10.1</v>
      </c>
      <c r="G368" s="2">
        <v>-14.4</v>
      </c>
      <c r="H368" s="2">
        <f>AVERAGE(weather.tbl[[#This Row],[Estevan]:[Kipling]])</f>
        <v>-10.216666666666667</v>
      </c>
      <c r="I368" s="2">
        <f>_xlfn.STDEV.S(weather.tbl[[#This Row],[Estevan]:[Kipling]])</f>
        <v>2.3844636014556144</v>
      </c>
      <c r="J368" s="2">
        <f t="shared" si="5"/>
        <v>-14.933333333333332</v>
      </c>
      <c r="K368">
        <f>DAY(weather.tbl[[#This Row],[Date]])</f>
        <v>2</v>
      </c>
      <c r="L368">
        <f>MONTH(weather.tbl[[#This Row],[Date]])</f>
        <v>1</v>
      </c>
      <c r="M368">
        <f>YEAR(weather.tbl[[#This Row],[Date]])</f>
        <v>2015</v>
      </c>
    </row>
    <row r="369" spans="1:13" x14ac:dyDescent="0.25">
      <c r="A369" s="1">
        <v>42007</v>
      </c>
      <c r="B369" s="2">
        <v>-20.2</v>
      </c>
      <c r="C369" s="2">
        <v>-23.8</v>
      </c>
      <c r="D369" s="2">
        <v>-21</v>
      </c>
      <c r="E369" s="2">
        <v>-22</v>
      </c>
      <c r="F369" s="2">
        <v>-22.6</v>
      </c>
      <c r="G369" s="2">
        <v>-25.8</v>
      </c>
      <c r="H369" s="2">
        <f>AVERAGE(weather.tbl[[#This Row],[Estevan]:[Kipling]])</f>
        <v>-22.566666666666666</v>
      </c>
      <c r="I369" s="2">
        <f>_xlfn.STDEV.S(weather.tbl[[#This Row],[Estevan]:[Kipling]])</f>
        <v>2.0175893206167279</v>
      </c>
      <c r="J369" s="2">
        <f t="shared" si="5"/>
        <v>-16.747619047619047</v>
      </c>
      <c r="K369">
        <f>DAY(weather.tbl[[#This Row],[Date]])</f>
        <v>3</v>
      </c>
      <c r="L369">
        <f>MONTH(weather.tbl[[#This Row],[Date]])</f>
        <v>1</v>
      </c>
      <c r="M369">
        <f>YEAR(weather.tbl[[#This Row],[Date]])</f>
        <v>2015</v>
      </c>
    </row>
    <row r="370" spans="1:13" x14ac:dyDescent="0.25">
      <c r="A370" s="1">
        <v>42008</v>
      </c>
      <c r="B370" s="2">
        <v>-27.9</v>
      </c>
      <c r="C370" s="2">
        <v>-30.1</v>
      </c>
      <c r="D370" s="2">
        <v>-28.5</v>
      </c>
      <c r="E370" s="2">
        <v>-28.5</v>
      </c>
      <c r="F370" s="2">
        <v>-28.9</v>
      </c>
      <c r="G370" s="2">
        <v>-31.7</v>
      </c>
      <c r="H370" s="2">
        <f>AVERAGE(weather.tbl[[#This Row],[Estevan]:[Kipling]])</f>
        <v>-29.266666666666666</v>
      </c>
      <c r="I370" s="2">
        <f>_xlfn.STDEV.S(weather.tbl[[#This Row],[Estevan]:[Kipling]])</f>
        <v>1.3995237285114772</v>
      </c>
      <c r="J370" s="2">
        <f t="shared" si="5"/>
        <v>-17.673809523809521</v>
      </c>
      <c r="K370">
        <f>DAY(weather.tbl[[#This Row],[Date]])</f>
        <v>4</v>
      </c>
      <c r="L370">
        <f>MONTH(weather.tbl[[#This Row],[Date]])</f>
        <v>1</v>
      </c>
      <c r="M370">
        <f>YEAR(weather.tbl[[#This Row],[Date]])</f>
        <v>2015</v>
      </c>
    </row>
    <row r="371" spans="1:13" x14ac:dyDescent="0.25">
      <c r="A371" s="1">
        <v>42009</v>
      </c>
      <c r="B371" s="2">
        <v>-23.8</v>
      </c>
      <c r="C371" s="2">
        <v>-27.8</v>
      </c>
      <c r="D371" s="2">
        <v>-23.5</v>
      </c>
      <c r="E371" s="2">
        <v>-26.5</v>
      </c>
      <c r="F371" s="2">
        <v>-23.5</v>
      </c>
      <c r="G371" s="2">
        <v>-25.5</v>
      </c>
      <c r="H371" s="2">
        <f>AVERAGE(weather.tbl[[#This Row],[Estevan]:[Kipling]])</f>
        <v>-25.099999999999998</v>
      </c>
      <c r="I371" s="2">
        <f>_xlfn.STDEV.S(weather.tbl[[#This Row],[Estevan]:[Kipling]])</f>
        <v>1.8011107683871086</v>
      </c>
      <c r="J371" s="2">
        <f t="shared" si="5"/>
        <v>-17.583333333333332</v>
      </c>
      <c r="K371">
        <f>DAY(weather.tbl[[#This Row],[Date]])</f>
        <v>5</v>
      </c>
      <c r="L371">
        <f>MONTH(weather.tbl[[#This Row],[Date]])</f>
        <v>1</v>
      </c>
      <c r="M371">
        <f>YEAR(weather.tbl[[#This Row],[Date]])</f>
        <v>2015</v>
      </c>
    </row>
    <row r="372" spans="1:13" x14ac:dyDescent="0.25">
      <c r="A372" s="1">
        <v>42010</v>
      </c>
      <c r="B372" s="2">
        <v>-21.4</v>
      </c>
      <c r="C372" s="2">
        <v>-22.9</v>
      </c>
      <c r="D372" s="2">
        <v>-22</v>
      </c>
      <c r="E372" s="2">
        <v>-22.5</v>
      </c>
      <c r="F372" s="2">
        <v>-20.9</v>
      </c>
      <c r="G372" s="2">
        <v>-22.9</v>
      </c>
      <c r="H372" s="2">
        <f>AVERAGE(weather.tbl[[#This Row],[Estevan]:[Kipling]])</f>
        <v>-22.099999999999998</v>
      </c>
      <c r="I372" s="2">
        <f>_xlfn.STDEV.S(weather.tbl[[#This Row],[Estevan]:[Kipling]])</f>
        <v>0.82219219164377877</v>
      </c>
      <c r="J372" s="2">
        <f t="shared" si="5"/>
        <v>-17.833333333333332</v>
      </c>
      <c r="K372">
        <f>DAY(weather.tbl[[#This Row],[Date]])</f>
        <v>6</v>
      </c>
      <c r="L372">
        <f>MONTH(weather.tbl[[#This Row],[Date]])</f>
        <v>1</v>
      </c>
      <c r="M372">
        <f>YEAR(weather.tbl[[#This Row],[Date]])</f>
        <v>2015</v>
      </c>
    </row>
    <row r="373" spans="1:13" x14ac:dyDescent="0.25">
      <c r="A373" s="1">
        <v>42011</v>
      </c>
      <c r="B373" s="2">
        <v>-20.8</v>
      </c>
      <c r="C373" s="2">
        <v>-22.9</v>
      </c>
      <c r="D373" s="2">
        <v>-20.3</v>
      </c>
      <c r="E373" s="2">
        <v>-20</v>
      </c>
      <c r="F373" s="2">
        <v>-21.8</v>
      </c>
      <c r="G373" s="2">
        <v>-22.2</v>
      </c>
      <c r="H373" s="2">
        <f>AVERAGE(weather.tbl[[#This Row],[Estevan]:[Kipling]])</f>
        <v>-21.333333333333332</v>
      </c>
      <c r="I373" s="2">
        <f>_xlfn.STDEV.S(weather.tbl[[#This Row],[Estevan]:[Kipling]])</f>
        <v>1.144843511868179</v>
      </c>
      <c r="J373" s="2">
        <f t="shared" si="5"/>
        <v>-19.516666666666662</v>
      </c>
      <c r="K373">
        <f>DAY(weather.tbl[[#This Row],[Date]])</f>
        <v>7</v>
      </c>
      <c r="L373">
        <f>MONTH(weather.tbl[[#This Row],[Date]])</f>
        <v>1</v>
      </c>
      <c r="M373">
        <f>YEAR(weather.tbl[[#This Row],[Date]])</f>
        <v>2015</v>
      </c>
    </row>
    <row r="374" spans="1:13" x14ac:dyDescent="0.25">
      <c r="A374" s="1">
        <v>42012</v>
      </c>
      <c r="B374" s="2">
        <v>-15</v>
      </c>
      <c r="C374" s="2">
        <v>-15.5</v>
      </c>
      <c r="D374" s="2">
        <v>-17</v>
      </c>
      <c r="E374" s="2">
        <v>-16</v>
      </c>
      <c r="F374" s="2">
        <v>-15.9</v>
      </c>
      <c r="G374" s="2">
        <v>-18.100000000000001</v>
      </c>
      <c r="H374" s="2">
        <f>AVERAGE(weather.tbl[[#This Row],[Estevan]:[Kipling]])</f>
        <v>-16.25</v>
      </c>
      <c r="I374" s="2">
        <f>_xlfn.STDEV.S(weather.tbl[[#This Row],[Estevan]:[Kipling]])</f>
        <v>1.1220516922138664</v>
      </c>
      <c r="J374" s="2">
        <f t="shared" si="5"/>
        <v>-20.976190476190474</v>
      </c>
      <c r="K374">
        <f>DAY(weather.tbl[[#This Row],[Date]])</f>
        <v>8</v>
      </c>
      <c r="L374">
        <f>MONTH(weather.tbl[[#This Row],[Date]])</f>
        <v>1</v>
      </c>
      <c r="M374">
        <f>YEAR(weather.tbl[[#This Row],[Date]])</f>
        <v>2015</v>
      </c>
    </row>
    <row r="375" spans="1:13" x14ac:dyDescent="0.25">
      <c r="A375" s="1">
        <v>42013</v>
      </c>
      <c r="B375" s="2">
        <v>-20.9</v>
      </c>
      <c r="C375" s="2">
        <v>-22.3</v>
      </c>
      <c r="D375" s="2">
        <v>-17</v>
      </c>
      <c r="E375" s="2">
        <v>-20.5</v>
      </c>
      <c r="F375" s="2">
        <v>-21.3</v>
      </c>
      <c r="G375" s="2">
        <v>-21.8</v>
      </c>
      <c r="H375" s="2">
        <f>AVERAGE(weather.tbl[[#This Row],[Estevan]:[Kipling]])</f>
        <v>-20.633333333333333</v>
      </c>
      <c r="I375" s="2">
        <f>_xlfn.STDEV.S(weather.tbl[[#This Row],[Estevan]:[Kipling]])</f>
        <v>1.8906788904165266</v>
      </c>
      <c r="J375" s="2">
        <f t="shared" si="5"/>
        <v>-22.464285714285712</v>
      </c>
      <c r="K375">
        <f>DAY(weather.tbl[[#This Row],[Date]])</f>
        <v>9</v>
      </c>
      <c r="L375">
        <f>MONTH(weather.tbl[[#This Row],[Date]])</f>
        <v>1</v>
      </c>
      <c r="M375">
        <f>YEAR(weather.tbl[[#This Row],[Date]])</f>
        <v>2015</v>
      </c>
    </row>
    <row r="376" spans="1:13" x14ac:dyDescent="0.25">
      <c r="A376" s="1">
        <v>42014</v>
      </c>
      <c r="B376" s="2">
        <v>-22.4</v>
      </c>
      <c r="C376" s="2">
        <v>-24.1</v>
      </c>
      <c r="D376" s="2">
        <v>-17</v>
      </c>
      <c r="E376" s="2">
        <v>-23.5</v>
      </c>
      <c r="F376" s="2">
        <v>-24.2</v>
      </c>
      <c r="G376" s="2">
        <v>-23.8</v>
      </c>
      <c r="H376" s="2">
        <f>AVERAGE(weather.tbl[[#This Row],[Estevan]:[Kipling]])</f>
        <v>-22.5</v>
      </c>
      <c r="I376" s="2">
        <f>_xlfn.STDEV.S(weather.tbl[[#This Row],[Estevan]:[Kipling]])</f>
        <v>2.7712812921102068</v>
      </c>
      <c r="J376" s="2">
        <f t="shared" si="5"/>
        <v>-22.454761904761902</v>
      </c>
      <c r="K376">
        <f>DAY(weather.tbl[[#This Row],[Date]])</f>
        <v>10</v>
      </c>
      <c r="L376">
        <f>MONTH(weather.tbl[[#This Row],[Date]])</f>
        <v>1</v>
      </c>
      <c r="M376">
        <f>YEAR(weather.tbl[[#This Row],[Date]])</f>
        <v>2015</v>
      </c>
    </row>
    <row r="377" spans="1:13" x14ac:dyDescent="0.25">
      <c r="A377" s="1">
        <v>42015</v>
      </c>
      <c r="B377" s="2">
        <v>-21.5</v>
      </c>
      <c r="C377" s="2">
        <v>-22.6</v>
      </c>
      <c r="D377" s="2">
        <v>-17</v>
      </c>
      <c r="E377" s="2">
        <v>-21</v>
      </c>
      <c r="F377" s="2">
        <v>-21.5</v>
      </c>
      <c r="G377" s="2">
        <v>-23</v>
      </c>
      <c r="H377" s="2">
        <f>AVERAGE(weather.tbl[[#This Row],[Estevan]:[Kipling]])</f>
        <v>-21.099999999999998</v>
      </c>
      <c r="I377" s="2">
        <f>_xlfn.STDEV.S(weather.tbl[[#This Row],[Estevan]:[Kipling]])</f>
        <v>2.1447610589527217</v>
      </c>
      <c r="J377" s="2">
        <f t="shared" si="5"/>
        <v>-21.288095238095234</v>
      </c>
      <c r="K377">
        <f>DAY(weather.tbl[[#This Row],[Date]])</f>
        <v>11</v>
      </c>
      <c r="L377">
        <f>MONTH(weather.tbl[[#This Row],[Date]])</f>
        <v>1</v>
      </c>
      <c r="M377">
        <f>YEAR(weather.tbl[[#This Row],[Date]])</f>
        <v>2015</v>
      </c>
    </row>
    <row r="378" spans="1:13" x14ac:dyDescent="0.25">
      <c r="A378" s="1">
        <v>42016</v>
      </c>
      <c r="B378" s="2">
        <v>-20.7</v>
      </c>
      <c r="C378" s="2">
        <v>-22.7</v>
      </c>
      <c r="D378" s="2">
        <v>-17</v>
      </c>
      <c r="E378" s="2">
        <v>-21</v>
      </c>
      <c r="F378" s="2">
        <v>-24.7</v>
      </c>
      <c r="G378" s="2">
        <v>-21.2</v>
      </c>
      <c r="H378" s="2">
        <f>AVERAGE(weather.tbl[[#This Row],[Estevan]:[Kipling]])</f>
        <v>-21.216666666666669</v>
      </c>
      <c r="I378" s="2">
        <f>_xlfn.STDEV.S(weather.tbl[[#This Row],[Estevan]:[Kipling]])</f>
        <v>2.546697207495733</v>
      </c>
      <c r="J378" s="2">
        <f t="shared" si="5"/>
        <v>-20.733333333333331</v>
      </c>
      <c r="K378">
        <f>DAY(weather.tbl[[#This Row],[Date]])</f>
        <v>12</v>
      </c>
      <c r="L378">
        <f>MONTH(weather.tbl[[#This Row],[Date]])</f>
        <v>1</v>
      </c>
      <c r="M378">
        <f>YEAR(weather.tbl[[#This Row],[Date]])</f>
        <v>2015</v>
      </c>
    </row>
    <row r="379" spans="1:13" x14ac:dyDescent="0.25">
      <c r="A379" s="1">
        <v>42017</v>
      </c>
      <c r="B379" s="2">
        <v>-12.5</v>
      </c>
      <c r="C379" s="2">
        <v>-12.4</v>
      </c>
      <c r="D379" s="2">
        <v>-15.5</v>
      </c>
      <c r="E379" s="2">
        <v>-10.5</v>
      </c>
      <c r="F379" s="2">
        <v>-14.4</v>
      </c>
      <c r="G379" s="2">
        <v>-12</v>
      </c>
      <c r="H379" s="2">
        <f>AVERAGE(weather.tbl[[#This Row],[Estevan]:[Kipling]])</f>
        <v>-12.883333333333333</v>
      </c>
      <c r="I379" s="2">
        <f>_xlfn.STDEV.S(weather.tbl[[#This Row],[Estevan]:[Kipling]])</f>
        <v>1.7882020765748676</v>
      </c>
      <c r="J379" s="2">
        <f t="shared" si="5"/>
        <v>-19.416666666666664</v>
      </c>
      <c r="K379">
        <f>DAY(weather.tbl[[#This Row],[Date]])</f>
        <v>13</v>
      </c>
      <c r="L379">
        <f>MONTH(weather.tbl[[#This Row],[Date]])</f>
        <v>1</v>
      </c>
      <c r="M379">
        <f>YEAR(weather.tbl[[#This Row],[Date]])</f>
        <v>2015</v>
      </c>
    </row>
    <row r="380" spans="1:13" x14ac:dyDescent="0.25">
      <c r="A380" s="1">
        <v>42018</v>
      </c>
      <c r="B380" s="2">
        <v>-5.2</v>
      </c>
      <c r="C380" s="2">
        <v>-6.2</v>
      </c>
      <c r="D380" s="2">
        <v>-5.5</v>
      </c>
      <c r="E380" s="2">
        <v>-5</v>
      </c>
      <c r="F380" s="2">
        <v>-4.8</v>
      </c>
      <c r="G380" s="2">
        <v>-5.8</v>
      </c>
      <c r="H380" s="2">
        <f>AVERAGE(weather.tbl[[#This Row],[Estevan]:[Kipling]])</f>
        <v>-5.416666666666667</v>
      </c>
      <c r="I380" s="2">
        <f>_xlfn.STDEV.S(weather.tbl[[#This Row],[Estevan]:[Kipling]])</f>
        <v>0.52313159593611502</v>
      </c>
      <c r="J380" s="2">
        <f t="shared" si="5"/>
        <v>-17.142857142857146</v>
      </c>
      <c r="K380">
        <f>DAY(weather.tbl[[#This Row],[Date]])</f>
        <v>14</v>
      </c>
      <c r="L380">
        <f>MONTH(weather.tbl[[#This Row],[Date]])</f>
        <v>1</v>
      </c>
      <c r="M380">
        <f>YEAR(weather.tbl[[#This Row],[Date]])</f>
        <v>2015</v>
      </c>
    </row>
    <row r="381" spans="1:13" x14ac:dyDescent="0.25">
      <c r="A381" s="1">
        <v>42019</v>
      </c>
      <c r="B381" s="2">
        <v>-3.5</v>
      </c>
      <c r="C381" s="2">
        <v>-4.2</v>
      </c>
      <c r="D381" s="2">
        <v>-3.5</v>
      </c>
      <c r="E381" s="2">
        <v>-2.8</v>
      </c>
      <c r="F381" s="2">
        <v>-5.8</v>
      </c>
      <c r="G381" s="2">
        <v>-3.3</v>
      </c>
      <c r="H381" s="2">
        <f>AVERAGE(weather.tbl[[#This Row],[Estevan]:[Kipling]])</f>
        <v>-3.85</v>
      </c>
      <c r="I381" s="2">
        <f>_xlfn.STDEV.S(weather.tbl[[#This Row],[Estevan]:[Kipling]])</f>
        <v>1.0559356040971442</v>
      </c>
      <c r="J381" s="2">
        <f t="shared" si="5"/>
        <v>-15.371428571428572</v>
      </c>
      <c r="K381">
        <f>DAY(weather.tbl[[#This Row],[Date]])</f>
        <v>15</v>
      </c>
      <c r="L381">
        <f>MONTH(weather.tbl[[#This Row],[Date]])</f>
        <v>1</v>
      </c>
      <c r="M381">
        <f>YEAR(weather.tbl[[#This Row],[Date]])</f>
        <v>2015</v>
      </c>
    </row>
    <row r="382" spans="1:13" x14ac:dyDescent="0.25">
      <c r="A382" s="1">
        <v>42020</v>
      </c>
      <c r="B382" s="2">
        <v>-3.7</v>
      </c>
      <c r="C382" s="2">
        <v>-3</v>
      </c>
      <c r="D382" s="2">
        <v>-5.8</v>
      </c>
      <c r="E382" s="2">
        <v>-3</v>
      </c>
      <c r="F382" s="2">
        <v>-6.8</v>
      </c>
      <c r="G382" s="2">
        <v>-6.1</v>
      </c>
      <c r="H382" s="2">
        <f>AVERAGE(weather.tbl[[#This Row],[Estevan]:[Kipling]])</f>
        <v>-4.7333333333333334</v>
      </c>
      <c r="I382" s="2">
        <f>_xlfn.STDEV.S(weather.tbl[[#This Row],[Estevan]:[Kipling]])</f>
        <v>1.6943041836301607</v>
      </c>
      <c r="J382" s="2">
        <f t="shared" si="5"/>
        <v>-13.099999999999998</v>
      </c>
      <c r="K382">
        <f>DAY(weather.tbl[[#This Row],[Date]])</f>
        <v>16</v>
      </c>
      <c r="L382">
        <f>MONTH(weather.tbl[[#This Row],[Date]])</f>
        <v>1</v>
      </c>
      <c r="M382">
        <f>YEAR(weather.tbl[[#This Row],[Date]])</f>
        <v>2015</v>
      </c>
    </row>
    <row r="383" spans="1:13" x14ac:dyDescent="0.25">
      <c r="A383" s="1">
        <v>42021</v>
      </c>
      <c r="B383" s="2">
        <v>-1.2</v>
      </c>
      <c r="C383" s="2">
        <v>-2.4</v>
      </c>
      <c r="D383" s="2">
        <v>-3.3</v>
      </c>
      <c r="E383" s="2">
        <v>-0.3</v>
      </c>
      <c r="F383" s="2">
        <v>-2.1</v>
      </c>
      <c r="G383" s="2">
        <v>-2</v>
      </c>
      <c r="H383" s="2">
        <f>AVERAGE(weather.tbl[[#This Row],[Estevan]:[Kipling]])</f>
        <v>-1.8833333333333331</v>
      </c>
      <c r="I383" s="2">
        <f>_xlfn.STDEV.S(weather.tbl[[#This Row],[Estevan]:[Kipling]])</f>
        <v>1.0303721010715823</v>
      </c>
      <c r="J383" s="2">
        <f t="shared" si="5"/>
        <v>-10.154761904761903</v>
      </c>
      <c r="K383">
        <f>DAY(weather.tbl[[#This Row],[Date]])</f>
        <v>17</v>
      </c>
      <c r="L383">
        <f>MONTH(weather.tbl[[#This Row],[Date]])</f>
        <v>1</v>
      </c>
      <c r="M383">
        <f>YEAR(weather.tbl[[#This Row],[Date]])</f>
        <v>2015</v>
      </c>
    </row>
    <row r="384" spans="1:13" x14ac:dyDescent="0.25">
      <c r="A384" s="1">
        <v>42022</v>
      </c>
      <c r="B384" s="2">
        <v>-7.1</v>
      </c>
      <c r="C384" s="2">
        <v>-7.9</v>
      </c>
      <c r="D384" s="2">
        <v>-8.3000000000000007</v>
      </c>
      <c r="E384" s="2">
        <v>-6.3</v>
      </c>
      <c r="F384" s="2">
        <v>-8.1</v>
      </c>
      <c r="G384" s="2">
        <v>-7.8</v>
      </c>
      <c r="H384" s="2">
        <f>AVERAGE(weather.tbl[[#This Row],[Estevan]:[Kipling]])</f>
        <v>-7.583333333333333</v>
      </c>
      <c r="I384" s="2">
        <f>_xlfn.STDEV.S(weather.tbl[[#This Row],[Estevan]:[Kipling]])</f>
        <v>0.74944423853057074</v>
      </c>
      <c r="J384" s="2">
        <f t="shared" si="5"/>
        <v>-8.2238095238095248</v>
      </c>
      <c r="K384">
        <f>DAY(weather.tbl[[#This Row],[Date]])</f>
        <v>18</v>
      </c>
      <c r="L384">
        <f>MONTH(weather.tbl[[#This Row],[Date]])</f>
        <v>1</v>
      </c>
      <c r="M384">
        <f>YEAR(weather.tbl[[#This Row],[Date]])</f>
        <v>2015</v>
      </c>
    </row>
    <row r="385" spans="1:13" x14ac:dyDescent="0.25">
      <c r="A385" s="1">
        <v>42023</v>
      </c>
      <c r="B385" s="2">
        <v>-3.4</v>
      </c>
      <c r="C385" s="2">
        <v>-4.0999999999999996</v>
      </c>
      <c r="D385" s="2">
        <v>-6.5</v>
      </c>
      <c r="E385" s="2">
        <v>-3.3</v>
      </c>
      <c r="F385" s="2">
        <v>-5.9</v>
      </c>
      <c r="G385" s="2">
        <v>-6.7</v>
      </c>
      <c r="H385" s="2">
        <f>AVERAGE(weather.tbl[[#This Row],[Estevan]:[Kipling]])</f>
        <v>-4.9833333333333334</v>
      </c>
      <c r="I385" s="2">
        <f>_xlfn.STDEV.S(weather.tbl[[#This Row],[Estevan]:[Kipling]])</f>
        <v>1.5625833311112285</v>
      </c>
      <c r="J385" s="2">
        <f t="shared" si="5"/>
        <v>-5.9047619047619051</v>
      </c>
      <c r="K385">
        <f>DAY(weather.tbl[[#This Row],[Date]])</f>
        <v>19</v>
      </c>
      <c r="L385">
        <f>MONTH(weather.tbl[[#This Row],[Date]])</f>
        <v>1</v>
      </c>
      <c r="M385">
        <f>YEAR(weather.tbl[[#This Row],[Date]])</f>
        <v>2015</v>
      </c>
    </row>
    <row r="386" spans="1:13" x14ac:dyDescent="0.25">
      <c r="A386" s="1">
        <v>42024</v>
      </c>
      <c r="B386" s="2">
        <v>-3.2</v>
      </c>
      <c r="C386" s="2">
        <v>-4.7</v>
      </c>
      <c r="D386" s="2">
        <v>-4</v>
      </c>
      <c r="E386" s="2">
        <v>-3.3</v>
      </c>
      <c r="F386" s="2">
        <v>-5.6</v>
      </c>
      <c r="G386" s="2">
        <v>-4.0999999999999996</v>
      </c>
      <c r="H386" s="2">
        <f>AVERAGE(weather.tbl[[#This Row],[Estevan]:[Kipling]])</f>
        <v>-4.1499999999999995</v>
      </c>
      <c r="I386" s="2">
        <f>_xlfn.STDEV.S(weather.tbl[[#This Row],[Estevan]:[Kipling]])</f>
        <v>0.90055538419355652</v>
      </c>
      <c r="J386" s="2">
        <f t="shared" si="5"/>
        <v>-4.6571428571428575</v>
      </c>
      <c r="K386">
        <f>DAY(weather.tbl[[#This Row],[Date]])</f>
        <v>20</v>
      </c>
      <c r="L386">
        <f>MONTH(weather.tbl[[#This Row],[Date]])</f>
        <v>1</v>
      </c>
      <c r="M386">
        <f>YEAR(weather.tbl[[#This Row],[Date]])</f>
        <v>2015</v>
      </c>
    </row>
    <row r="387" spans="1:13" x14ac:dyDescent="0.25">
      <c r="A387" s="1">
        <v>42025</v>
      </c>
      <c r="B387" s="2">
        <v>-7.6</v>
      </c>
      <c r="C387" s="2">
        <v>-8.3000000000000007</v>
      </c>
      <c r="D387" s="2">
        <v>-7</v>
      </c>
      <c r="E387" s="2">
        <v>-5.5</v>
      </c>
      <c r="F387" s="2">
        <v>-8.6</v>
      </c>
      <c r="G387" s="2">
        <v>-6.5</v>
      </c>
      <c r="H387" s="2">
        <f>AVERAGE(weather.tbl[[#This Row],[Estevan]:[Kipling]])</f>
        <v>-7.25</v>
      </c>
      <c r="I387" s="2">
        <f>_xlfn.STDEV.S(weather.tbl[[#This Row],[Estevan]:[Kipling]])</f>
        <v>1.1606032913963336</v>
      </c>
      <c r="J387" s="2">
        <f t="shared" si="5"/>
        <v>-4.9190476190476193</v>
      </c>
      <c r="K387">
        <f>DAY(weather.tbl[[#This Row],[Date]])</f>
        <v>21</v>
      </c>
      <c r="L387">
        <f>MONTH(weather.tbl[[#This Row],[Date]])</f>
        <v>1</v>
      </c>
      <c r="M387">
        <f>YEAR(weather.tbl[[#This Row],[Date]])</f>
        <v>2015</v>
      </c>
    </row>
    <row r="388" spans="1:13" x14ac:dyDescent="0.25">
      <c r="A388" s="1">
        <v>42026</v>
      </c>
      <c r="B388" s="2">
        <v>-1.1000000000000001</v>
      </c>
      <c r="C388" s="2">
        <v>-0.1</v>
      </c>
      <c r="D388" s="2">
        <v>-2.5</v>
      </c>
      <c r="E388" s="2">
        <v>-0.5</v>
      </c>
      <c r="F388" s="2">
        <v>-3.1</v>
      </c>
      <c r="G388" s="2">
        <v>-0.8</v>
      </c>
      <c r="H388" s="2">
        <f>AVERAGE(weather.tbl[[#This Row],[Estevan]:[Kipling]])</f>
        <v>-1.3500000000000003</v>
      </c>
      <c r="I388" s="2">
        <f>_xlfn.STDEV.S(weather.tbl[[#This Row],[Estevan]:[Kipling]])</f>
        <v>1.1861703081766968</v>
      </c>
      <c r="J388" s="2">
        <f t="shared" si="5"/>
        <v>-4.5619047619047617</v>
      </c>
      <c r="K388">
        <f>DAY(weather.tbl[[#This Row],[Date]])</f>
        <v>22</v>
      </c>
      <c r="L388">
        <f>MONTH(weather.tbl[[#This Row],[Date]])</f>
        <v>1</v>
      </c>
      <c r="M388">
        <f>YEAR(weather.tbl[[#This Row],[Date]])</f>
        <v>2015</v>
      </c>
    </row>
    <row r="389" spans="1:13" x14ac:dyDescent="0.25">
      <c r="A389" s="1">
        <v>42027</v>
      </c>
      <c r="B389" s="2">
        <v>0.3</v>
      </c>
      <c r="C389" s="2">
        <v>0</v>
      </c>
      <c r="D389" s="2">
        <v>0.8</v>
      </c>
      <c r="E389" s="2">
        <v>0.5</v>
      </c>
      <c r="F389" s="2">
        <v>0.7</v>
      </c>
      <c r="G389" s="2">
        <v>-0.4</v>
      </c>
      <c r="H389" s="2">
        <f>AVERAGE(weather.tbl[[#This Row],[Estevan]:[Kipling]])</f>
        <v>0.31666666666666665</v>
      </c>
      <c r="I389" s="2">
        <f>_xlfn.STDEV.S(weather.tbl[[#This Row],[Estevan]:[Kipling]])</f>
        <v>0.45350486950711638</v>
      </c>
      <c r="J389" s="2">
        <f t="shared" si="5"/>
        <v>-3.8404761904761906</v>
      </c>
      <c r="K389">
        <f>DAY(weather.tbl[[#This Row],[Date]])</f>
        <v>23</v>
      </c>
      <c r="L389">
        <f>MONTH(weather.tbl[[#This Row],[Date]])</f>
        <v>1</v>
      </c>
      <c r="M389">
        <f>YEAR(weather.tbl[[#This Row],[Date]])</f>
        <v>2015</v>
      </c>
    </row>
    <row r="390" spans="1:13" x14ac:dyDescent="0.25">
      <c r="A390" s="1">
        <v>42028</v>
      </c>
      <c r="B390" s="2">
        <v>-1.3</v>
      </c>
      <c r="C390" s="2">
        <v>-2</v>
      </c>
      <c r="D390" s="2">
        <v>-1.5</v>
      </c>
      <c r="E390" s="2">
        <v>-0.5</v>
      </c>
      <c r="F390" s="2">
        <v>-4.0999999999999996</v>
      </c>
      <c r="G390" s="2">
        <v>-1.5</v>
      </c>
      <c r="H390" s="2">
        <f>AVERAGE(weather.tbl[[#This Row],[Estevan]:[Kipling]])</f>
        <v>-1.8166666666666664</v>
      </c>
      <c r="I390" s="2">
        <f>_xlfn.STDEV.S(weather.tbl[[#This Row],[Estevan]:[Kipling]])</f>
        <v>1.2205190152827066</v>
      </c>
      <c r="J390" s="2">
        <f t="shared" si="5"/>
        <v>-3.8309523809523811</v>
      </c>
      <c r="K390">
        <f>DAY(weather.tbl[[#This Row],[Date]])</f>
        <v>24</v>
      </c>
      <c r="L390">
        <f>MONTH(weather.tbl[[#This Row],[Date]])</f>
        <v>1</v>
      </c>
      <c r="M390">
        <f>YEAR(weather.tbl[[#This Row],[Date]])</f>
        <v>2015</v>
      </c>
    </row>
    <row r="391" spans="1:13" x14ac:dyDescent="0.25">
      <c r="A391" s="1">
        <v>42029</v>
      </c>
      <c r="B391" s="2">
        <v>-0.4</v>
      </c>
      <c r="C391" s="2">
        <v>-1.6</v>
      </c>
      <c r="D391" s="2">
        <v>-1.5</v>
      </c>
      <c r="E391" s="2">
        <v>-0.5</v>
      </c>
      <c r="F391" s="2">
        <v>-3.8</v>
      </c>
      <c r="G391" s="2">
        <v>-3.1</v>
      </c>
      <c r="H391" s="2">
        <f>AVERAGE(weather.tbl[[#This Row],[Estevan]:[Kipling]])</f>
        <v>-1.8166666666666667</v>
      </c>
      <c r="I391" s="2">
        <f>_xlfn.STDEV.S(weather.tbl[[#This Row],[Estevan]:[Kipling]])</f>
        <v>1.3761056161017102</v>
      </c>
      <c r="J391" s="2">
        <f t="shared" si="5"/>
        <v>-3.0071428571428571</v>
      </c>
      <c r="K391">
        <f>DAY(weather.tbl[[#This Row],[Date]])</f>
        <v>25</v>
      </c>
      <c r="L391">
        <f>MONTH(weather.tbl[[#This Row],[Date]])</f>
        <v>1</v>
      </c>
      <c r="M391">
        <f>YEAR(weather.tbl[[#This Row],[Date]])</f>
        <v>2015</v>
      </c>
    </row>
    <row r="392" spans="1:13" x14ac:dyDescent="0.25">
      <c r="A392" s="1">
        <v>42030</v>
      </c>
      <c r="B392" s="2">
        <v>2.4</v>
      </c>
      <c r="C392" s="2">
        <v>2.2000000000000002</v>
      </c>
      <c r="D392" s="2">
        <v>1.5</v>
      </c>
      <c r="E392" s="2">
        <v>4</v>
      </c>
      <c r="F392" s="2">
        <v>-0.7</v>
      </c>
      <c r="G392" s="2">
        <v>1.7</v>
      </c>
      <c r="H392" s="2">
        <f>AVERAGE(weather.tbl[[#This Row],[Estevan]:[Kipling]])</f>
        <v>1.8499999999999999</v>
      </c>
      <c r="I392" s="2">
        <f>_xlfn.STDEV.S(weather.tbl[[#This Row],[Estevan]:[Kipling]])</f>
        <v>1.5293789589241771</v>
      </c>
      <c r="J392" s="2">
        <f t="shared" si="5"/>
        <v>-2.0309523809523808</v>
      </c>
      <c r="K392">
        <f>DAY(weather.tbl[[#This Row],[Date]])</f>
        <v>26</v>
      </c>
      <c r="L392">
        <f>MONTH(weather.tbl[[#This Row],[Date]])</f>
        <v>1</v>
      </c>
      <c r="M392">
        <f>YEAR(weather.tbl[[#This Row],[Date]])</f>
        <v>2015</v>
      </c>
    </row>
    <row r="393" spans="1:13" x14ac:dyDescent="0.25">
      <c r="A393" s="1">
        <v>42031</v>
      </c>
      <c r="B393" s="2">
        <v>1.6</v>
      </c>
      <c r="C393" s="2">
        <v>0.2</v>
      </c>
      <c r="D393" s="2">
        <v>-3</v>
      </c>
      <c r="E393" s="2">
        <v>0</v>
      </c>
      <c r="F393" s="2">
        <v>-1.4</v>
      </c>
      <c r="G393" s="2">
        <v>1.6</v>
      </c>
      <c r="H393" s="2">
        <f>AVERAGE(weather.tbl[[#This Row],[Estevan]:[Kipling]])</f>
        <v>-0.1666666666666666</v>
      </c>
      <c r="I393" s="2">
        <f>_xlfn.STDEV.S(weather.tbl[[#This Row],[Estevan]:[Kipling]])</f>
        <v>1.7862437310363519</v>
      </c>
      <c r="J393" s="2">
        <f t="shared" si="5"/>
        <v>-1.4619047619047618</v>
      </c>
      <c r="K393">
        <f>DAY(weather.tbl[[#This Row],[Date]])</f>
        <v>27</v>
      </c>
      <c r="L393">
        <f>MONTH(weather.tbl[[#This Row],[Date]])</f>
        <v>1</v>
      </c>
      <c r="M393">
        <f>YEAR(weather.tbl[[#This Row],[Date]])</f>
        <v>2015</v>
      </c>
    </row>
    <row r="394" spans="1:13" x14ac:dyDescent="0.25">
      <c r="A394" s="1">
        <v>42032</v>
      </c>
      <c r="B394" s="2">
        <v>-3.2</v>
      </c>
      <c r="C394" s="2">
        <v>-3.1</v>
      </c>
      <c r="D394" s="2">
        <v>-3.8</v>
      </c>
      <c r="E394" s="2">
        <v>-1.5</v>
      </c>
      <c r="F394" s="2">
        <v>-2.9</v>
      </c>
      <c r="G394" s="2">
        <v>-4.9000000000000004</v>
      </c>
      <c r="H394" s="2">
        <f>AVERAGE(weather.tbl[[#This Row],[Estevan]:[Kipling]])</f>
        <v>-3.2333333333333338</v>
      </c>
      <c r="I394" s="2">
        <f>_xlfn.STDEV.S(weather.tbl[[#This Row],[Estevan]:[Kipling]])</f>
        <v>1.1165422816296144</v>
      </c>
      <c r="J394" s="2">
        <f t="shared" ref="J394:J457" si="6">AVERAGE(H388:H394)</f>
        <v>-0.88809523809523827</v>
      </c>
      <c r="K394">
        <f>DAY(weather.tbl[[#This Row],[Date]])</f>
        <v>28</v>
      </c>
      <c r="L394">
        <f>MONTH(weather.tbl[[#This Row],[Date]])</f>
        <v>1</v>
      </c>
      <c r="M394">
        <f>YEAR(weather.tbl[[#This Row],[Date]])</f>
        <v>2015</v>
      </c>
    </row>
    <row r="395" spans="1:13" x14ac:dyDescent="0.25">
      <c r="A395" s="1">
        <v>42033</v>
      </c>
      <c r="B395" s="2">
        <v>-7.1</v>
      </c>
      <c r="C395" s="2">
        <v>-7.8</v>
      </c>
      <c r="D395" s="2">
        <v>-10.3</v>
      </c>
      <c r="E395" s="2">
        <v>-7</v>
      </c>
      <c r="F395" s="2">
        <v>-9.6</v>
      </c>
      <c r="G395" s="2">
        <v>-10.199999999999999</v>
      </c>
      <c r="H395" s="2">
        <f>AVERAGE(weather.tbl[[#This Row],[Estevan]:[Kipling]])</f>
        <v>-8.6666666666666661</v>
      </c>
      <c r="I395" s="2">
        <f>_xlfn.STDEV.S(weather.tbl[[#This Row],[Estevan]:[Kipling]])</f>
        <v>1.540995349333234</v>
      </c>
      <c r="J395" s="2">
        <f t="shared" si="6"/>
        <v>-1.9333333333333333</v>
      </c>
      <c r="K395">
        <f>DAY(weather.tbl[[#This Row],[Date]])</f>
        <v>29</v>
      </c>
      <c r="L395">
        <f>MONTH(weather.tbl[[#This Row],[Date]])</f>
        <v>1</v>
      </c>
      <c r="M395">
        <f>YEAR(weather.tbl[[#This Row],[Date]])</f>
        <v>2015</v>
      </c>
    </row>
    <row r="396" spans="1:13" x14ac:dyDescent="0.25">
      <c r="A396" s="1">
        <v>42034</v>
      </c>
      <c r="B396" s="2">
        <v>-7.8</v>
      </c>
      <c r="C396" s="2">
        <v>-8.5</v>
      </c>
      <c r="D396" s="2">
        <v>-10.8</v>
      </c>
      <c r="E396" s="2">
        <v>-7</v>
      </c>
      <c r="F396" s="2">
        <v>-8.3000000000000007</v>
      </c>
      <c r="G396" s="2">
        <v>-8.8000000000000007</v>
      </c>
      <c r="H396" s="2">
        <f>AVERAGE(weather.tbl[[#This Row],[Estevan]:[Kipling]])</f>
        <v>-8.5333333333333332</v>
      </c>
      <c r="I396" s="2">
        <f>_xlfn.STDEV.S(weather.tbl[[#This Row],[Estevan]:[Kipling]])</f>
        <v>1.276975593606491</v>
      </c>
      <c r="J396" s="2">
        <f t="shared" si="6"/>
        <v>-3.1976190476190474</v>
      </c>
      <c r="K396">
        <f>DAY(weather.tbl[[#This Row],[Date]])</f>
        <v>30</v>
      </c>
      <c r="L396">
        <f>MONTH(weather.tbl[[#This Row],[Date]])</f>
        <v>1</v>
      </c>
      <c r="M396">
        <f>YEAR(weather.tbl[[#This Row],[Date]])</f>
        <v>2015</v>
      </c>
    </row>
    <row r="397" spans="1:13" x14ac:dyDescent="0.25">
      <c r="A397" s="1">
        <v>42035</v>
      </c>
      <c r="B397" s="2">
        <v>-14.1</v>
      </c>
      <c r="C397" s="2">
        <v>-15.4</v>
      </c>
      <c r="D397" s="2">
        <v>-18</v>
      </c>
      <c r="E397" s="2">
        <v>-16.3</v>
      </c>
      <c r="F397" s="2">
        <v>-15.4</v>
      </c>
      <c r="G397" s="2">
        <v>-20.399999999999999</v>
      </c>
      <c r="H397" s="2">
        <f>AVERAGE(weather.tbl[[#This Row],[Estevan]:[Kipling]])</f>
        <v>-16.599999999999998</v>
      </c>
      <c r="I397" s="2">
        <f>_xlfn.STDEV.S(weather.tbl[[#This Row],[Estevan]:[Kipling]])</f>
        <v>2.2636254107073612</v>
      </c>
      <c r="J397" s="2">
        <f t="shared" si="6"/>
        <v>-5.3095238095238093</v>
      </c>
      <c r="K397">
        <f>DAY(weather.tbl[[#This Row],[Date]])</f>
        <v>31</v>
      </c>
      <c r="L397">
        <f>MONTH(weather.tbl[[#This Row],[Date]])</f>
        <v>1</v>
      </c>
      <c r="M397">
        <f>YEAR(weather.tbl[[#This Row],[Date]])</f>
        <v>2015</v>
      </c>
    </row>
    <row r="398" spans="1:13" x14ac:dyDescent="0.25">
      <c r="A398" s="1">
        <v>42036</v>
      </c>
      <c r="B398" s="2">
        <v>-19.5</v>
      </c>
      <c r="C398" s="2">
        <v>-20.2</v>
      </c>
      <c r="D398" s="2">
        <v>-23.3</v>
      </c>
      <c r="E398" s="2">
        <v>-19</v>
      </c>
      <c r="F398" s="2">
        <v>-22.6</v>
      </c>
      <c r="G398" s="2">
        <v>-22</v>
      </c>
      <c r="H398" s="2">
        <f>AVERAGE(weather.tbl[[#This Row],[Estevan]:[Kipling]])</f>
        <v>-21.099999999999998</v>
      </c>
      <c r="I398" s="2">
        <f>_xlfn.STDEV.S(weather.tbl[[#This Row],[Estevan]:[Kipling]])</f>
        <v>1.7708754896942929</v>
      </c>
      <c r="J398" s="2">
        <f t="shared" si="6"/>
        <v>-8.0642857142857132</v>
      </c>
      <c r="K398">
        <f>DAY(weather.tbl[[#This Row],[Date]])</f>
        <v>1</v>
      </c>
      <c r="L398">
        <f>MONTH(weather.tbl[[#This Row],[Date]])</f>
        <v>2</v>
      </c>
      <c r="M398">
        <f>YEAR(weather.tbl[[#This Row],[Date]])</f>
        <v>2015</v>
      </c>
    </row>
    <row r="399" spans="1:13" x14ac:dyDescent="0.25">
      <c r="A399" s="1">
        <v>42037</v>
      </c>
      <c r="B399" s="2">
        <v>-14.9</v>
      </c>
      <c r="C399" s="2">
        <v>-16.600000000000001</v>
      </c>
      <c r="D399" s="2">
        <v>-17.5</v>
      </c>
      <c r="E399" s="2">
        <v>-16</v>
      </c>
      <c r="F399" s="2">
        <v>-16.899999999999999</v>
      </c>
      <c r="G399" s="2">
        <v>-17.5</v>
      </c>
      <c r="H399" s="2">
        <f>AVERAGE(weather.tbl[[#This Row],[Estevan]:[Kipling]])</f>
        <v>-16.566666666666666</v>
      </c>
      <c r="I399" s="2">
        <f>_xlfn.STDEV.S(weather.tbl[[#This Row],[Estevan]:[Kipling]])</f>
        <v>0.99532239333125938</v>
      </c>
      <c r="J399" s="2">
        <f t="shared" si="6"/>
        <v>-10.695238095238095</v>
      </c>
      <c r="K399">
        <f>DAY(weather.tbl[[#This Row],[Date]])</f>
        <v>2</v>
      </c>
      <c r="L399">
        <f>MONTH(weather.tbl[[#This Row],[Date]])</f>
        <v>2</v>
      </c>
      <c r="M399">
        <f>YEAR(weather.tbl[[#This Row],[Date]])</f>
        <v>2015</v>
      </c>
    </row>
    <row r="400" spans="1:13" x14ac:dyDescent="0.25">
      <c r="A400" s="1">
        <v>42038</v>
      </c>
      <c r="B400" s="2">
        <v>-17.399999999999999</v>
      </c>
      <c r="C400" s="2">
        <v>-18.2</v>
      </c>
      <c r="D400" s="2">
        <v>-16</v>
      </c>
      <c r="E400" s="2">
        <v>-16.8</v>
      </c>
      <c r="F400" s="2">
        <v>-16.8</v>
      </c>
      <c r="G400" s="2">
        <v>-17</v>
      </c>
      <c r="H400" s="2">
        <f>AVERAGE(weather.tbl[[#This Row],[Estevan]:[Kipling]])</f>
        <v>-17.033333333333331</v>
      </c>
      <c r="I400" s="2">
        <f>_xlfn.STDEV.S(weather.tbl[[#This Row],[Estevan]:[Kipling]])</f>
        <v>0.73120904443713353</v>
      </c>
      <c r="J400" s="2">
        <f t="shared" si="6"/>
        <v>-13.104761904761903</v>
      </c>
      <c r="K400">
        <f>DAY(weather.tbl[[#This Row],[Date]])</f>
        <v>3</v>
      </c>
      <c r="L400">
        <f>MONTH(weather.tbl[[#This Row],[Date]])</f>
        <v>2</v>
      </c>
      <c r="M400">
        <f>YEAR(weather.tbl[[#This Row],[Date]])</f>
        <v>2015</v>
      </c>
    </row>
    <row r="401" spans="1:13" x14ac:dyDescent="0.25">
      <c r="A401" s="1">
        <v>42039</v>
      </c>
      <c r="B401" s="2">
        <v>-19.399999999999999</v>
      </c>
      <c r="C401" s="2">
        <v>-21.2</v>
      </c>
      <c r="D401" s="2">
        <v>-19.5</v>
      </c>
      <c r="E401" s="2">
        <v>-19.3</v>
      </c>
      <c r="F401" s="2">
        <v>-20.8</v>
      </c>
      <c r="G401" s="2">
        <v>-19</v>
      </c>
      <c r="H401" s="2">
        <f>AVERAGE(weather.tbl[[#This Row],[Estevan]:[Kipling]])</f>
        <v>-19.866666666666664</v>
      </c>
      <c r="I401" s="2">
        <f>_xlfn.STDEV.S(weather.tbl[[#This Row],[Estevan]:[Kipling]])</f>
        <v>0.90258886912406955</v>
      </c>
      <c r="J401" s="2">
        <f t="shared" si="6"/>
        <v>-15.480952380952377</v>
      </c>
      <c r="K401">
        <f>DAY(weather.tbl[[#This Row],[Date]])</f>
        <v>4</v>
      </c>
      <c r="L401">
        <f>MONTH(weather.tbl[[#This Row],[Date]])</f>
        <v>2</v>
      </c>
      <c r="M401">
        <f>YEAR(weather.tbl[[#This Row],[Date]])</f>
        <v>2015</v>
      </c>
    </row>
    <row r="402" spans="1:13" x14ac:dyDescent="0.25">
      <c r="A402" s="1">
        <v>42040</v>
      </c>
      <c r="B402" s="2">
        <v>-10.9</v>
      </c>
      <c r="C402" s="2">
        <v>-12.7</v>
      </c>
      <c r="D402" s="2">
        <v>-13.3</v>
      </c>
      <c r="E402" s="2">
        <v>-11.3</v>
      </c>
      <c r="F402" s="2">
        <v>-11.2</v>
      </c>
      <c r="G402" s="2">
        <v>-12.1</v>
      </c>
      <c r="H402" s="2">
        <f>AVERAGE(weather.tbl[[#This Row],[Estevan]:[Kipling]])</f>
        <v>-11.916666666666666</v>
      </c>
      <c r="I402" s="2">
        <f>_xlfn.STDEV.S(weather.tbl[[#This Row],[Estevan]:[Kipling]])</f>
        <v>0.94745272529380942</v>
      </c>
      <c r="J402" s="2">
        <f t="shared" si="6"/>
        <v>-15.945238095238095</v>
      </c>
      <c r="K402">
        <f>DAY(weather.tbl[[#This Row],[Date]])</f>
        <v>5</v>
      </c>
      <c r="L402">
        <f>MONTH(weather.tbl[[#This Row],[Date]])</f>
        <v>2</v>
      </c>
      <c r="M402">
        <f>YEAR(weather.tbl[[#This Row],[Date]])</f>
        <v>2015</v>
      </c>
    </row>
    <row r="403" spans="1:13" x14ac:dyDescent="0.25">
      <c r="A403" s="1">
        <v>42041</v>
      </c>
      <c r="B403" s="2">
        <v>-11.9</v>
      </c>
      <c r="C403" s="2">
        <v>-11.9</v>
      </c>
      <c r="D403" s="2">
        <v>-13.3</v>
      </c>
      <c r="E403" s="2">
        <v>-6</v>
      </c>
      <c r="F403" s="2">
        <v>-13</v>
      </c>
      <c r="G403" s="2">
        <v>-14.5</v>
      </c>
      <c r="H403" s="2">
        <f>AVERAGE(weather.tbl[[#This Row],[Estevan]:[Kipling]])</f>
        <v>-11.766666666666666</v>
      </c>
      <c r="I403" s="2">
        <f>_xlfn.STDEV.S(weather.tbl[[#This Row],[Estevan]:[Kipling]])</f>
        <v>2.987752778706215</v>
      </c>
      <c r="J403" s="2">
        <f t="shared" si="6"/>
        <v>-16.407142857142855</v>
      </c>
      <c r="K403">
        <f>DAY(weather.tbl[[#This Row],[Date]])</f>
        <v>6</v>
      </c>
      <c r="L403">
        <f>MONTH(weather.tbl[[#This Row],[Date]])</f>
        <v>2</v>
      </c>
      <c r="M403">
        <f>YEAR(weather.tbl[[#This Row],[Date]])</f>
        <v>2015</v>
      </c>
    </row>
    <row r="404" spans="1:13" x14ac:dyDescent="0.25">
      <c r="A404" s="1">
        <v>42042</v>
      </c>
      <c r="B404" s="2">
        <v>-4.7</v>
      </c>
      <c r="C404" s="2">
        <v>-6.8</v>
      </c>
      <c r="D404" s="2">
        <v>-13.3</v>
      </c>
      <c r="E404" s="2">
        <v>-10</v>
      </c>
      <c r="F404" s="2">
        <v>-11.4</v>
      </c>
      <c r="G404" s="2">
        <v>-12.9</v>
      </c>
      <c r="H404" s="2">
        <f>AVERAGE(weather.tbl[[#This Row],[Estevan]:[Kipling]])</f>
        <v>-9.85</v>
      </c>
      <c r="I404" s="2">
        <f>_xlfn.STDEV.S(weather.tbl[[#This Row],[Estevan]:[Kipling]])</f>
        <v>3.4483329305622492</v>
      </c>
      <c r="J404" s="2">
        <f t="shared" si="6"/>
        <v>-15.442857142857141</v>
      </c>
      <c r="K404">
        <f>DAY(weather.tbl[[#This Row],[Date]])</f>
        <v>7</v>
      </c>
      <c r="L404">
        <f>MONTH(weather.tbl[[#This Row],[Date]])</f>
        <v>2</v>
      </c>
      <c r="M404">
        <f>YEAR(weather.tbl[[#This Row],[Date]])</f>
        <v>2015</v>
      </c>
    </row>
    <row r="405" spans="1:13" x14ac:dyDescent="0.25">
      <c r="A405" s="1">
        <v>42043</v>
      </c>
      <c r="B405" s="2">
        <v>-13.7</v>
      </c>
      <c r="C405" s="2">
        <v>-13</v>
      </c>
      <c r="D405" s="2">
        <v>-13.3</v>
      </c>
      <c r="E405" s="2">
        <v>-11.5</v>
      </c>
      <c r="F405" s="2">
        <v>-15.7</v>
      </c>
      <c r="G405" s="2">
        <v>-15.7</v>
      </c>
      <c r="H405" s="2">
        <f>AVERAGE(weather.tbl[[#This Row],[Estevan]:[Kipling]])</f>
        <v>-13.816666666666668</v>
      </c>
      <c r="I405" s="2">
        <f>_xlfn.STDEV.S(weather.tbl[[#This Row],[Estevan]:[Kipling]])</f>
        <v>1.6375795146088679</v>
      </c>
      <c r="J405" s="2">
        <f t="shared" si="6"/>
        <v>-14.40238095238095</v>
      </c>
      <c r="K405">
        <f>DAY(weather.tbl[[#This Row],[Date]])</f>
        <v>8</v>
      </c>
      <c r="L405">
        <f>MONTH(weather.tbl[[#This Row],[Date]])</f>
        <v>2</v>
      </c>
      <c r="M405">
        <f>YEAR(weather.tbl[[#This Row],[Date]])</f>
        <v>2015</v>
      </c>
    </row>
    <row r="406" spans="1:13" x14ac:dyDescent="0.25">
      <c r="A406" s="1">
        <v>42044</v>
      </c>
      <c r="B406" s="2">
        <v>-11.5</v>
      </c>
      <c r="C406" s="2">
        <v>-11.8</v>
      </c>
      <c r="D406" s="2">
        <v>-13</v>
      </c>
      <c r="E406" s="2">
        <v>-11.3</v>
      </c>
      <c r="F406" s="2">
        <v>-13.1</v>
      </c>
      <c r="G406" s="2">
        <v>-13.2</v>
      </c>
      <c r="H406" s="2">
        <f>AVERAGE(weather.tbl[[#This Row],[Estevan]:[Kipling]])</f>
        <v>-12.316666666666665</v>
      </c>
      <c r="I406" s="2">
        <f>_xlfn.STDEV.S(weather.tbl[[#This Row],[Estevan]:[Kipling]])</f>
        <v>0.87502380919987888</v>
      </c>
      <c r="J406" s="2">
        <f t="shared" si="6"/>
        <v>-13.795238095238092</v>
      </c>
      <c r="K406">
        <f>DAY(weather.tbl[[#This Row],[Date]])</f>
        <v>9</v>
      </c>
      <c r="L406">
        <f>MONTH(weather.tbl[[#This Row],[Date]])</f>
        <v>2</v>
      </c>
      <c r="M406">
        <f>YEAR(weather.tbl[[#This Row],[Date]])</f>
        <v>2015</v>
      </c>
    </row>
    <row r="407" spans="1:13" x14ac:dyDescent="0.25">
      <c r="A407" s="1">
        <v>42045</v>
      </c>
      <c r="B407" s="2">
        <v>-13.7</v>
      </c>
      <c r="C407" s="2">
        <v>-14.2</v>
      </c>
      <c r="D407" s="2">
        <v>-11.8</v>
      </c>
      <c r="E407" s="2">
        <v>-12.5</v>
      </c>
      <c r="F407" s="2">
        <v>-13.9</v>
      </c>
      <c r="G407" s="2">
        <v>-14.4</v>
      </c>
      <c r="H407" s="2">
        <f>AVERAGE(weather.tbl[[#This Row],[Estevan]:[Kipling]])</f>
        <v>-13.41666666666667</v>
      </c>
      <c r="I407" s="2">
        <f>_xlfn.STDEV.S(weather.tbl[[#This Row],[Estevan]:[Kipling]])</f>
        <v>1.0342469079802299</v>
      </c>
      <c r="J407" s="2">
        <f t="shared" si="6"/>
        <v>-13.278571428571428</v>
      </c>
      <c r="K407">
        <f>DAY(weather.tbl[[#This Row],[Date]])</f>
        <v>10</v>
      </c>
      <c r="L407">
        <f>MONTH(weather.tbl[[#This Row],[Date]])</f>
        <v>2</v>
      </c>
      <c r="M407">
        <f>YEAR(weather.tbl[[#This Row],[Date]])</f>
        <v>2015</v>
      </c>
    </row>
    <row r="408" spans="1:13" x14ac:dyDescent="0.25">
      <c r="A408" s="1">
        <v>42046</v>
      </c>
      <c r="B408" s="2">
        <v>-21.4</v>
      </c>
      <c r="C408" s="2">
        <v>-22.5</v>
      </c>
      <c r="D408" s="2">
        <v>-20</v>
      </c>
      <c r="E408" s="2">
        <v>-19.3</v>
      </c>
      <c r="F408" s="2">
        <v>-23</v>
      </c>
      <c r="G408" s="2">
        <v>-22.2</v>
      </c>
      <c r="H408" s="2">
        <f>AVERAGE(weather.tbl[[#This Row],[Estevan]:[Kipling]])</f>
        <v>-21.400000000000002</v>
      </c>
      <c r="I408" s="2">
        <f>_xlfn.STDEV.S(weather.tbl[[#This Row],[Estevan]:[Kipling]])</f>
        <v>1.4683323874382119</v>
      </c>
      <c r="J408" s="2">
        <f t="shared" si="6"/>
        <v>-13.497619047619049</v>
      </c>
      <c r="K408">
        <f>DAY(weather.tbl[[#This Row],[Date]])</f>
        <v>11</v>
      </c>
      <c r="L408">
        <f>MONTH(weather.tbl[[#This Row],[Date]])</f>
        <v>2</v>
      </c>
      <c r="M408">
        <f>YEAR(weather.tbl[[#This Row],[Date]])</f>
        <v>2015</v>
      </c>
    </row>
    <row r="409" spans="1:13" x14ac:dyDescent="0.25">
      <c r="A409" s="1">
        <v>42047</v>
      </c>
      <c r="B409" s="2">
        <v>-13.9</v>
      </c>
      <c r="C409" s="2">
        <v>-14.3</v>
      </c>
      <c r="D409" s="2">
        <v>-19.5</v>
      </c>
      <c r="E409" s="2">
        <v>-14.5</v>
      </c>
      <c r="F409" s="2">
        <v>-20</v>
      </c>
      <c r="G409" s="2">
        <v>-18.2</v>
      </c>
      <c r="H409" s="2">
        <f>AVERAGE(weather.tbl[[#This Row],[Estevan]:[Kipling]])</f>
        <v>-16.733333333333334</v>
      </c>
      <c r="I409" s="2">
        <f>_xlfn.STDEV.S(weather.tbl[[#This Row],[Estevan]:[Kipling]])</f>
        <v>2.8076087096792239</v>
      </c>
      <c r="J409" s="2">
        <f t="shared" si="6"/>
        <v>-14.185714285714287</v>
      </c>
      <c r="K409">
        <f>DAY(weather.tbl[[#This Row],[Date]])</f>
        <v>12</v>
      </c>
      <c r="L409">
        <f>MONTH(weather.tbl[[#This Row],[Date]])</f>
        <v>2</v>
      </c>
      <c r="M409">
        <f>YEAR(weather.tbl[[#This Row],[Date]])</f>
        <v>2015</v>
      </c>
    </row>
    <row r="410" spans="1:13" x14ac:dyDescent="0.25">
      <c r="A410" s="1">
        <v>42048</v>
      </c>
      <c r="B410" s="2">
        <v>-8.1999999999999993</v>
      </c>
      <c r="C410" s="2">
        <v>-9.1</v>
      </c>
      <c r="D410" s="2">
        <v>-10</v>
      </c>
      <c r="E410" s="2">
        <v>-7.3</v>
      </c>
      <c r="F410" s="2">
        <v>-13.3</v>
      </c>
      <c r="G410" s="2">
        <v>-11.3</v>
      </c>
      <c r="H410" s="2">
        <f>AVERAGE(weather.tbl[[#This Row],[Estevan]:[Kipling]])</f>
        <v>-9.8666666666666654</v>
      </c>
      <c r="I410" s="2">
        <f>_xlfn.STDEV.S(weather.tbl[[#This Row],[Estevan]:[Kipling]])</f>
        <v>2.1823534696897116</v>
      </c>
      <c r="J410" s="2">
        <f t="shared" si="6"/>
        <v>-13.914285714285715</v>
      </c>
      <c r="K410">
        <f>DAY(weather.tbl[[#This Row],[Date]])</f>
        <v>13</v>
      </c>
      <c r="L410">
        <f>MONTH(weather.tbl[[#This Row],[Date]])</f>
        <v>2</v>
      </c>
      <c r="M410">
        <f>YEAR(weather.tbl[[#This Row],[Date]])</f>
        <v>2015</v>
      </c>
    </row>
    <row r="411" spans="1:13" x14ac:dyDescent="0.25">
      <c r="A411" s="1">
        <v>42049</v>
      </c>
      <c r="B411" s="2">
        <v>-17.5</v>
      </c>
      <c r="C411" s="2">
        <v>-17.3</v>
      </c>
      <c r="D411" s="2">
        <v>-22.3</v>
      </c>
      <c r="E411" s="2">
        <v>-16.5</v>
      </c>
      <c r="F411" s="2">
        <v>-23.5</v>
      </c>
      <c r="G411" s="2">
        <v>-22.5</v>
      </c>
      <c r="H411" s="2">
        <f>AVERAGE(weather.tbl[[#This Row],[Estevan]:[Kipling]])</f>
        <v>-19.933333333333334</v>
      </c>
      <c r="I411" s="2">
        <f>_xlfn.STDEV.S(weather.tbl[[#This Row],[Estevan]:[Kipling]])</f>
        <v>3.1481211327817022</v>
      </c>
      <c r="J411" s="2">
        <f t="shared" si="6"/>
        <v>-15.354761904761904</v>
      </c>
      <c r="K411">
        <f>DAY(weather.tbl[[#This Row],[Date]])</f>
        <v>14</v>
      </c>
      <c r="L411">
        <f>MONTH(weather.tbl[[#This Row],[Date]])</f>
        <v>2</v>
      </c>
      <c r="M411">
        <f>YEAR(weather.tbl[[#This Row],[Date]])</f>
        <v>2015</v>
      </c>
    </row>
    <row r="412" spans="1:13" x14ac:dyDescent="0.25">
      <c r="A412" s="1">
        <v>42050</v>
      </c>
      <c r="B412" s="2">
        <v>-13</v>
      </c>
      <c r="C412" s="2">
        <v>-11.4</v>
      </c>
      <c r="D412" s="2">
        <v>-15.3</v>
      </c>
      <c r="E412" s="2">
        <v>-11.3</v>
      </c>
      <c r="F412" s="2">
        <v>-15.9</v>
      </c>
      <c r="G412" s="2">
        <v>-15</v>
      </c>
      <c r="H412" s="2">
        <f>AVERAGE(weather.tbl[[#This Row],[Estevan]:[Kipling]])</f>
        <v>-13.65</v>
      </c>
      <c r="I412" s="2">
        <f>_xlfn.STDEV.S(weather.tbl[[#This Row],[Estevan]:[Kipling]])</f>
        <v>2.0305171754998779</v>
      </c>
      <c r="J412" s="2">
        <f t="shared" si="6"/>
        <v>-15.330952380952382</v>
      </c>
      <c r="K412">
        <f>DAY(weather.tbl[[#This Row],[Date]])</f>
        <v>15</v>
      </c>
      <c r="L412">
        <f>MONTH(weather.tbl[[#This Row],[Date]])</f>
        <v>2</v>
      </c>
      <c r="M412">
        <f>YEAR(weather.tbl[[#This Row],[Date]])</f>
        <v>2015</v>
      </c>
    </row>
    <row r="413" spans="1:13" x14ac:dyDescent="0.25">
      <c r="A413" s="1">
        <v>42051</v>
      </c>
      <c r="B413" s="2">
        <v>-14.1</v>
      </c>
      <c r="C413" s="2">
        <v>-14.1</v>
      </c>
      <c r="D413" s="2">
        <v>-15.3</v>
      </c>
      <c r="E413" s="2">
        <v>-13.5</v>
      </c>
      <c r="F413" s="2">
        <v>-16.100000000000001</v>
      </c>
      <c r="G413" s="2">
        <v>-16</v>
      </c>
      <c r="H413" s="2">
        <f>AVERAGE(weather.tbl[[#This Row],[Estevan]:[Kipling]])</f>
        <v>-14.85</v>
      </c>
      <c r="I413" s="2">
        <f>_xlfn.STDEV.S(weather.tbl[[#This Row],[Estevan]:[Kipling]])</f>
        <v>1.098635517357782</v>
      </c>
      <c r="J413" s="2">
        <f t="shared" si="6"/>
        <v>-15.692857142857145</v>
      </c>
      <c r="K413">
        <f>DAY(weather.tbl[[#This Row],[Date]])</f>
        <v>16</v>
      </c>
      <c r="L413">
        <f>MONTH(weather.tbl[[#This Row],[Date]])</f>
        <v>2</v>
      </c>
      <c r="M413">
        <f>YEAR(weather.tbl[[#This Row],[Date]])</f>
        <v>2015</v>
      </c>
    </row>
    <row r="414" spans="1:13" x14ac:dyDescent="0.25">
      <c r="A414" s="1">
        <v>42052</v>
      </c>
      <c r="B414" s="2">
        <v>-21.9</v>
      </c>
      <c r="C414" s="2">
        <v>-22.1</v>
      </c>
      <c r="D414" s="2">
        <v>-21.8</v>
      </c>
      <c r="E414" s="2">
        <v>-20.5</v>
      </c>
      <c r="F414" s="2">
        <v>-22.6</v>
      </c>
      <c r="G414" s="2">
        <v>-22</v>
      </c>
      <c r="H414" s="2">
        <f>AVERAGE(weather.tbl[[#This Row],[Estevan]:[Kipling]])</f>
        <v>-21.816666666666666</v>
      </c>
      <c r="I414" s="2">
        <f>_xlfn.STDEV.S(weather.tbl[[#This Row],[Estevan]:[Kipling]])</f>
        <v>0.70261416628663786</v>
      </c>
      <c r="J414" s="2">
        <f t="shared" si="6"/>
        <v>-16.892857142857142</v>
      </c>
      <c r="K414">
        <f>DAY(weather.tbl[[#This Row],[Date]])</f>
        <v>17</v>
      </c>
      <c r="L414">
        <f>MONTH(weather.tbl[[#This Row],[Date]])</f>
        <v>2</v>
      </c>
      <c r="M414">
        <f>YEAR(weather.tbl[[#This Row],[Date]])</f>
        <v>2015</v>
      </c>
    </row>
    <row r="415" spans="1:13" x14ac:dyDescent="0.25">
      <c r="A415" s="1">
        <v>42053</v>
      </c>
      <c r="B415" s="2">
        <v>-22.4</v>
      </c>
      <c r="C415" s="2">
        <v>-22.3</v>
      </c>
      <c r="D415" s="2">
        <v>-22.3</v>
      </c>
      <c r="E415" s="2">
        <v>-19</v>
      </c>
      <c r="F415" s="2">
        <v>-23.4</v>
      </c>
      <c r="G415" s="2">
        <v>-20</v>
      </c>
      <c r="H415" s="2">
        <f>AVERAGE(weather.tbl[[#This Row],[Estevan]:[Kipling]])</f>
        <v>-21.566666666666666</v>
      </c>
      <c r="I415" s="2">
        <f>_xlfn.STDEV.S(weather.tbl[[#This Row],[Estevan]:[Kipling]])</f>
        <v>1.6836468354933185</v>
      </c>
      <c r="J415" s="2">
        <f t="shared" si="6"/>
        <v>-16.916666666666664</v>
      </c>
      <c r="K415">
        <f>DAY(weather.tbl[[#This Row],[Date]])</f>
        <v>18</v>
      </c>
      <c r="L415">
        <f>MONTH(weather.tbl[[#This Row],[Date]])</f>
        <v>2</v>
      </c>
      <c r="M415">
        <f>YEAR(weather.tbl[[#This Row],[Date]])</f>
        <v>2015</v>
      </c>
    </row>
    <row r="416" spans="1:13" x14ac:dyDescent="0.25">
      <c r="A416" s="1">
        <v>42054</v>
      </c>
      <c r="B416" s="2">
        <v>-8.1</v>
      </c>
      <c r="C416" s="2">
        <v>-7</v>
      </c>
      <c r="D416" s="2">
        <v>-15.3</v>
      </c>
      <c r="E416" s="2">
        <v>-8</v>
      </c>
      <c r="F416" s="2">
        <v>-16.3</v>
      </c>
      <c r="G416" s="2">
        <v>-12.9</v>
      </c>
      <c r="H416" s="2">
        <f>AVERAGE(weather.tbl[[#This Row],[Estevan]:[Kipling]])</f>
        <v>-11.266666666666667</v>
      </c>
      <c r="I416" s="2">
        <f>_xlfn.STDEV.S(weather.tbl[[#This Row],[Estevan]:[Kipling]])</f>
        <v>4.078561838033921</v>
      </c>
      <c r="J416" s="2">
        <f t="shared" si="6"/>
        <v>-16.135714285714283</v>
      </c>
      <c r="K416">
        <f>DAY(weather.tbl[[#This Row],[Date]])</f>
        <v>19</v>
      </c>
      <c r="L416">
        <f>MONTH(weather.tbl[[#This Row],[Date]])</f>
        <v>2</v>
      </c>
      <c r="M416">
        <f>YEAR(weather.tbl[[#This Row],[Date]])</f>
        <v>2015</v>
      </c>
    </row>
    <row r="417" spans="1:13" x14ac:dyDescent="0.25">
      <c r="A417" s="1">
        <v>42055</v>
      </c>
      <c r="B417" s="2">
        <v>-5.7</v>
      </c>
      <c r="C417" s="2">
        <v>-6.7</v>
      </c>
      <c r="D417" s="2">
        <v>-6.8</v>
      </c>
      <c r="E417" s="2">
        <v>-5.3</v>
      </c>
      <c r="F417" s="2">
        <v>-9.1</v>
      </c>
      <c r="G417" s="2">
        <v>-9</v>
      </c>
      <c r="H417" s="2">
        <f>AVERAGE(weather.tbl[[#This Row],[Estevan]:[Kipling]])</f>
        <v>-7.1000000000000005</v>
      </c>
      <c r="I417" s="2">
        <f>_xlfn.STDEV.S(weather.tbl[[#This Row],[Estevan]:[Kipling]])</f>
        <v>1.6161683080669504</v>
      </c>
      <c r="J417" s="2">
        <f t="shared" si="6"/>
        <v>-15.740476190476189</v>
      </c>
      <c r="K417">
        <f>DAY(weather.tbl[[#This Row],[Date]])</f>
        <v>20</v>
      </c>
      <c r="L417">
        <f>MONTH(weather.tbl[[#This Row],[Date]])</f>
        <v>2</v>
      </c>
      <c r="M417">
        <f>YEAR(weather.tbl[[#This Row],[Date]])</f>
        <v>2015</v>
      </c>
    </row>
    <row r="418" spans="1:13" x14ac:dyDescent="0.25">
      <c r="A418" s="1">
        <v>42056</v>
      </c>
      <c r="B418" s="2">
        <v>-20.6</v>
      </c>
      <c r="C418" s="2">
        <v>-21.8</v>
      </c>
      <c r="D418" s="2">
        <v>-20</v>
      </c>
      <c r="E418" s="2">
        <v>-21.3</v>
      </c>
      <c r="F418" s="2">
        <v>-22.3</v>
      </c>
      <c r="G418" s="2">
        <v>-23</v>
      </c>
      <c r="H418" s="2">
        <f>AVERAGE(weather.tbl[[#This Row],[Estevan]:[Kipling]])</f>
        <v>-21.5</v>
      </c>
      <c r="I418" s="2">
        <f>_xlfn.STDEV.S(weather.tbl[[#This Row],[Estevan]:[Kipling]])</f>
        <v>1.1027239001672176</v>
      </c>
      <c r="J418" s="2">
        <f t="shared" si="6"/>
        <v>-15.964285714285712</v>
      </c>
      <c r="K418">
        <f>DAY(weather.tbl[[#This Row],[Date]])</f>
        <v>21</v>
      </c>
      <c r="L418">
        <f>MONTH(weather.tbl[[#This Row],[Date]])</f>
        <v>2</v>
      </c>
      <c r="M418">
        <f>YEAR(weather.tbl[[#This Row],[Date]])</f>
        <v>2015</v>
      </c>
    </row>
    <row r="419" spans="1:13" x14ac:dyDescent="0.25">
      <c r="A419" s="1">
        <v>42057</v>
      </c>
      <c r="B419" s="2">
        <v>-27</v>
      </c>
      <c r="C419" s="2">
        <v>-25.9</v>
      </c>
      <c r="D419" s="2">
        <v>-23.5</v>
      </c>
      <c r="E419" s="2">
        <v>-19.5</v>
      </c>
      <c r="F419" s="2">
        <v>-27.5</v>
      </c>
      <c r="G419" s="2">
        <v>-22.5</v>
      </c>
      <c r="H419" s="2">
        <f>AVERAGE(weather.tbl[[#This Row],[Estevan]:[Kipling]])</f>
        <v>-24.316666666666666</v>
      </c>
      <c r="I419" s="2">
        <f>_xlfn.STDEV.S(weather.tbl[[#This Row],[Estevan]:[Kipling]])</f>
        <v>3.066213734667993</v>
      </c>
      <c r="J419" s="2">
        <f t="shared" si="6"/>
        <v>-17.488095238095237</v>
      </c>
      <c r="K419">
        <f>DAY(weather.tbl[[#This Row],[Date]])</f>
        <v>22</v>
      </c>
      <c r="L419">
        <f>MONTH(weather.tbl[[#This Row],[Date]])</f>
        <v>2</v>
      </c>
      <c r="M419">
        <f>YEAR(weather.tbl[[#This Row],[Date]])</f>
        <v>2015</v>
      </c>
    </row>
    <row r="420" spans="1:13" x14ac:dyDescent="0.25">
      <c r="A420" s="1">
        <v>42058</v>
      </c>
      <c r="B420" s="2">
        <v>-10.5</v>
      </c>
      <c r="C420" s="2">
        <v>-13.2</v>
      </c>
      <c r="D420" s="2">
        <v>-16.3</v>
      </c>
      <c r="E420" s="2">
        <v>-12.5</v>
      </c>
      <c r="F420" s="2">
        <v>-14.3</v>
      </c>
      <c r="G420" s="2">
        <v>-13.1</v>
      </c>
      <c r="H420" s="2">
        <f>AVERAGE(weather.tbl[[#This Row],[Estevan]:[Kipling]])</f>
        <v>-13.316666666666665</v>
      </c>
      <c r="I420" s="2">
        <f>_xlfn.STDEV.S(weather.tbl[[#This Row],[Estevan]:[Kipling]])</f>
        <v>1.9250108224804166</v>
      </c>
      <c r="J420" s="2">
        <f t="shared" si="6"/>
        <v>-17.269047619047619</v>
      </c>
      <c r="K420">
        <f>DAY(weather.tbl[[#This Row],[Date]])</f>
        <v>23</v>
      </c>
      <c r="L420">
        <f>MONTH(weather.tbl[[#This Row],[Date]])</f>
        <v>2</v>
      </c>
      <c r="M420">
        <f>YEAR(weather.tbl[[#This Row],[Date]])</f>
        <v>2015</v>
      </c>
    </row>
    <row r="421" spans="1:13" x14ac:dyDescent="0.25">
      <c r="A421" s="1">
        <v>42059</v>
      </c>
      <c r="B421" s="2">
        <v>-7.1</v>
      </c>
      <c r="C421" s="2">
        <v>-7.2</v>
      </c>
      <c r="D421" s="2">
        <v>-9.3000000000000007</v>
      </c>
      <c r="E421" s="2">
        <v>-6.8</v>
      </c>
      <c r="F421" s="2">
        <v>-7.1</v>
      </c>
      <c r="G421" s="2">
        <v>-10.9</v>
      </c>
      <c r="H421" s="2">
        <f>AVERAGE(weather.tbl[[#This Row],[Estevan]:[Kipling]])</f>
        <v>-8.0666666666666664</v>
      </c>
      <c r="I421" s="2">
        <f>_xlfn.STDEV.S(weather.tbl[[#This Row],[Estevan]:[Kipling]])</f>
        <v>1.6597188516934616</v>
      </c>
      <c r="J421" s="2">
        <f t="shared" si="6"/>
        <v>-15.304761904761904</v>
      </c>
      <c r="K421">
        <f>DAY(weather.tbl[[#This Row],[Date]])</f>
        <v>24</v>
      </c>
      <c r="L421">
        <f>MONTH(weather.tbl[[#This Row],[Date]])</f>
        <v>2</v>
      </c>
      <c r="M421">
        <f>YEAR(weather.tbl[[#This Row],[Date]])</f>
        <v>2015</v>
      </c>
    </row>
    <row r="422" spans="1:13" x14ac:dyDescent="0.25">
      <c r="A422" s="1">
        <v>42060</v>
      </c>
      <c r="B422" s="2">
        <v>-18.899999999999999</v>
      </c>
      <c r="C422" s="2">
        <v>-19.600000000000001</v>
      </c>
      <c r="D422" s="2">
        <v>-17.3</v>
      </c>
      <c r="E422" s="2">
        <v>-18</v>
      </c>
      <c r="F422" s="2">
        <v>-18.5</v>
      </c>
      <c r="G422" s="2">
        <v>-19.600000000000001</v>
      </c>
      <c r="H422" s="2">
        <f>AVERAGE(weather.tbl[[#This Row],[Estevan]:[Kipling]])</f>
        <v>-18.650000000000002</v>
      </c>
      <c r="I422" s="2">
        <f>_xlfn.STDEV.S(weather.tbl[[#This Row],[Estevan]:[Kipling]])</f>
        <v>0.90939540355117288</v>
      </c>
      <c r="J422" s="2">
        <f t="shared" si="6"/>
        <v>-14.888095238095238</v>
      </c>
      <c r="K422">
        <f>DAY(weather.tbl[[#This Row],[Date]])</f>
        <v>25</v>
      </c>
      <c r="L422">
        <f>MONTH(weather.tbl[[#This Row],[Date]])</f>
        <v>2</v>
      </c>
      <c r="M422">
        <f>YEAR(weather.tbl[[#This Row],[Date]])</f>
        <v>2015</v>
      </c>
    </row>
    <row r="423" spans="1:13" x14ac:dyDescent="0.25">
      <c r="A423" s="1">
        <v>42061</v>
      </c>
      <c r="B423" s="2">
        <v>-23.7</v>
      </c>
      <c r="C423" s="2">
        <v>-25</v>
      </c>
      <c r="D423" s="2">
        <v>-23</v>
      </c>
      <c r="E423" s="2">
        <v>-23</v>
      </c>
      <c r="F423" s="2">
        <v>-20.9</v>
      </c>
      <c r="G423" s="2">
        <v>-21.9</v>
      </c>
      <c r="H423" s="2">
        <f>AVERAGE(weather.tbl[[#This Row],[Estevan]:[Kipling]])</f>
        <v>-22.916666666666668</v>
      </c>
      <c r="I423" s="2">
        <f>_xlfn.STDEV.S(weather.tbl[[#This Row],[Estevan]:[Kipling]])</f>
        <v>1.419037232304589</v>
      </c>
      <c r="J423" s="2">
        <f t="shared" si="6"/>
        <v>-16.552380952380954</v>
      </c>
      <c r="K423">
        <f>DAY(weather.tbl[[#This Row],[Date]])</f>
        <v>26</v>
      </c>
      <c r="L423">
        <f>MONTH(weather.tbl[[#This Row],[Date]])</f>
        <v>2</v>
      </c>
      <c r="M423">
        <f>YEAR(weather.tbl[[#This Row],[Date]])</f>
        <v>2015</v>
      </c>
    </row>
    <row r="424" spans="1:13" x14ac:dyDescent="0.25">
      <c r="A424" s="1">
        <v>42062</v>
      </c>
      <c r="B424" s="2">
        <v>-18.3</v>
      </c>
      <c r="C424" s="2">
        <v>-20.100000000000001</v>
      </c>
      <c r="D424" s="2">
        <v>-21.3</v>
      </c>
      <c r="E424" s="2">
        <v>-19.8</v>
      </c>
      <c r="F424" s="2">
        <v>-21.1</v>
      </c>
      <c r="G424" s="2">
        <v>-18.8</v>
      </c>
      <c r="H424" s="2">
        <f>AVERAGE(weather.tbl[[#This Row],[Estevan]:[Kipling]])</f>
        <v>-19.899999999999999</v>
      </c>
      <c r="I424" s="2">
        <f>_xlfn.STDEV.S(weather.tbl[[#This Row],[Estevan]:[Kipling]])</f>
        <v>1.2016655108639842</v>
      </c>
      <c r="J424" s="2">
        <f t="shared" si="6"/>
        <v>-18.38095238095238</v>
      </c>
      <c r="K424">
        <f>DAY(weather.tbl[[#This Row],[Date]])</f>
        <v>27</v>
      </c>
      <c r="L424">
        <f>MONTH(weather.tbl[[#This Row],[Date]])</f>
        <v>2</v>
      </c>
      <c r="M424">
        <f>YEAR(weather.tbl[[#This Row],[Date]])</f>
        <v>2015</v>
      </c>
    </row>
    <row r="425" spans="1:13" x14ac:dyDescent="0.25">
      <c r="A425" s="1">
        <v>42063</v>
      </c>
      <c r="B425" s="2">
        <v>-18</v>
      </c>
      <c r="C425" s="2">
        <v>-19.100000000000001</v>
      </c>
      <c r="D425" s="2">
        <v>-18.5</v>
      </c>
      <c r="E425" s="2">
        <v>-17.5</v>
      </c>
      <c r="F425" s="2">
        <v>-15.5</v>
      </c>
      <c r="G425" s="2">
        <v>-18.8</v>
      </c>
      <c r="H425" s="2">
        <f>AVERAGE(weather.tbl[[#This Row],[Estevan]:[Kipling]])</f>
        <v>-17.899999999999999</v>
      </c>
      <c r="I425" s="2">
        <f>_xlfn.STDEV.S(weather.tbl[[#This Row],[Estevan]:[Kipling]])</f>
        <v>1.3069047402163636</v>
      </c>
      <c r="J425" s="2">
        <f t="shared" si="6"/>
        <v>-17.866666666666671</v>
      </c>
      <c r="K425">
        <f>DAY(weather.tbl[[#This Row],[Date]])</f>
        <v>28</v>
      </c>
      <c r="L425">
        <f>MONTH(weather.tbl[[#This Row],[Date]])</f>
        <v>2</v>
      </c>
      <c r="M425">
        <f>YEAR(weather.tbl[[#This Row],[Date]])</f>
        <v>2015</v>
      </c>
    </row>
    <row r="426" spans="1:13" x14ac:dyDescent="0.25">
      <c r="A426" s="1">
        <v>42064</v>
      </c>
      <c r="B426" s="2">
        <v>-12.8</v>
      </c>
      <c r="C426" s="2">
        <v>-13.6</v>
      </c>
      <c r="D426" s="2">
        <v>-12.5</v>
      </c>
      <c r="E426" s="2">
        <v>-13.3</v>
      </c>
      <c r="F426" s="2">
        <v>-12.9</v>
      </c>
      <c r="G426" s="2">
        <v>-12.4</v>
      </c>
      <c r="H426" s="2">
        <f>AVERAGE(weather.tbl[[#This Row],[Estevan]:[Kipling]])</f>
        <v>-12.91666666666667</v>
      </c>
      <c r="I426" s="2">
        <f>_xlfn.STDEV.S(weather.tbl[[#This Row],[Estevan]:[Kipling]])</f>
        <v>0.46224091842530179</v>
      </c>
      <c r="J426" s="2">
        <f t="shared" si="6"/>
        <v>-16.238095238095237</v>
      </c>
      <c r="K426">
        <f>DAY(weather.tbl[[#This Row],[Date]])</f>
        <v>1</v>
      </c>
      <c r="L426">
        <f>MONTH(weather.tbl[[#This Row],[Date]])</f>
        <v>3</v>
      </c>
      <c r="M426">
        <f>YEAR(weather.tbl[[#This Row],[Date]])</f>
        <v>2015</v>
      </c>
    </row>
    <row r="427" spans="1:13" x14ac:dyDescent="0.25">
      <c r="A427" s="1">
        <v>42065</v>
      </c>
      <c r="B427" s="2">
        <v>-10.7</v>
      </c>
      <c r="C427" s="2">
        <v>-11.3</v>
      </c>
      <c r="D427" s="2">
        <v>-11.5</v>
      </c>
      <c r="E427" s="2">
        <v>-11.5</v>
      </c>
      <c r="F427" s="2">
        <v>-11.4</v>
      </c>
      <c r="G427" s="2">
        <v>-11.4</v>
      </c>
      <c r="H427" s="2">
        <f>AVERAGE(weather.tbl[[#This Row],[Estevan]:[Kipling]])</f>
        <v>-11.299999999999999</v>
      </c>
      <c r="I427" s="2">
        <f>_xlfn.STDEV.S(weather.tbl[[#This Row],[Estevan]:[Kipling]])</f>
        <v>0.30331501776206238</v>
      </c>
      <c r="J427" s="2">
        <f t="shared" si="6"/>
        <v>-15.950000000000001</v>
      </c>
      <c r="K427">
        <f>DAY(weather.tbl[[#This Row],[Date]])</f>
        <v>2</v>
      </c>
      <c r="L427">
        <f>MONTH(weather.tbl[[#This Row],[Date]])</f>
        <v>3</v>
      </c>
      <c r="M427">
        <f>YEAR(weather.tbl[[#This Row],[Date]])</f>
        <v>2015</v>
      </c>
    </row>
    <row r="428" spans="1:13" x14ac:dyDescent="0.25">
      <c r="A428" s="1">
        <v>42066</v>
      </c>
      <c r="B428" s="2">
        <v>-18.600000000000001</v>
      </c>
      <c r="C428" s="2">
        <v>-20.2</v>
      </c>
      <c r="D428" s="2">
        <v>-18.3</v>
      </c>
      <c r="E428" s="2">
        <v>-18.5</v>
      </c>
      <c r="F428" s="2">
        <v>-16.3</v>
      </c>
      <c r="G428" s="2">
        <v>-20.3</v>
      </c>
      <c r="H428" s="2">
        <f>AVERAGE(weather.tbl[[#This Row],[Estevan]:[Kipling]])</f>
        <v>-18.7</v>
      </c>
      <c r="I428" s="2">
        <f>_xlfn.STDEV.S(weather.tbl[[#This Row],[Estevan]:[Kipling]])</f>
        <v>1.4683323874382119</v>
      </c>
      <c r="J428" s="2">
        <f t="shared" si="6"/>
        <v>-17.469047619047622</v>
      </c>
      <c r="K428">
        <f>DAY(weather.tbl[[#This Row],[Date]])</f>
        <v>3</v>
      </c>
      <c r="L428">
        <f>MONTH(weather.tbl[[#This Row],[Date]])</f>
        <v>3</v>
      </c>
      <c r="M428">
        <f>YEAR(weather.tbl[[#This Row],[Date]])</f>
        <v>2015</v>
      </c>
    </row>
    <row r="429" spans="1:13" x14ac:dyDescent="0.25">
      <c r="A429" s="1">
        <v>42067</v>
      </c>
      <c r="B429" s="2">
        <v>-24.6</v>
      </c>
      <c r="C429" s="2">
        <v>-25.6</v>
      </c>
      <c r="D429" s="2">
        <v>-23.3</v>
      </c>
      <c r="E429" s="2">
        <v>-25.3</v>
      </c>
      <c r="F429" s="2">
        <v>-22.6</v>
      </c>
      <c r="G429" s="2">
        <v>-23.9</v>
      </c>
      <c r="H429" s="2">
        <f>AVERAGE(weather.tbl[[#This Row],[Estevan]:[Kipling]])</f>
        <v>-24.216666666666669</v>
      </c>
      <c r="I429" s="2">
        <f>_xlfn.STDEV.S(weather.tbl[[#This Row],[Estevan]:[Kipling]])</f>
        <v>1.16518954109049</v>
      </c>
      <c r="J429" s="2">
        <f t="shared" si="6"/>
        <v>-18.264285714285712</v>
      </c>
      <c r="K429">
        <f>DAY(weather.tbl[[#This Row],[Date]])</f>
        <v>4</v>
      </c>
      <c r="L429">
        <f>MONTH(weather.tbl[[#This Row],[Date]])</f>
        <v>3</v>
      </c>
      <c r="M429">
        <f>YEAR(weather.tbl[[#This Row],[Date]])</f>
        <v>2015</v>
      </c>
    </row>
    <row r="430" spans="1:13" x14ac:dyDescent="0.25">
      <c r="A430" s="1">
        <v>42068</v>
      </c>
      <c r="B430" s="2">
        <v>-13.5</v>
      </c>
      <c r="C430" s="2">
        <v>-12.6</v>
      </c>
      <c r="D430" s="2">
        <v>-17.5</v>
      </c>
      <c r="E430" s="2">
        <v>-13.5</v>
      </c>
      <c r="F430" s="2">
        <v>-16.100000000000001</v>
      </c>
      <c r="G430" s="2">
        <v>-15.9</v>
      </c>
      <c r="H430" s="2">
        <f>AVERAGE(weather.tbl[[#This Row],[Estevan]:[Kipling]])</f>
        <v>-14.850000000000001</v>
      </c>
      <c r="I430" s="2">
        <f>_xlfn.STDEV.S(weather.tbl[[#This Row],[Estevan]:[Kipling]])</f>
        <v>1.9180719485983708</v>
      </c>
      <c r="J430" s="2">
        <f t="shared" si="6"/>
        <v>-17.111904761904761</v>
      </c>
      <c r="K430">
        <f>DAY(weather.tbl[[#This Row],[Date]])</f>
        <v>5</v>
      </c>
      <c r="L430">
        <f>MONTH(weather.tbl[[#This Row],[Date]])</f>
        <v>3</v>
      </c>
      <c r="M430">
        <f>YEAR(weather.tbl[[#This Row],[Date]])</f>
        <v>2015</v>
      </c>
    </row>
    <row r="431" spans="1:13" x14ac:dyDescent="0.25">
      <c r="A431" s="1">
        <v>42069</v>
      </c>
      <c r="B431" s="2">
        <v>-4.8</v>
      </c>
      <c r="C431" s="2">
        <v>-5.8</v>
      </c>
      <c r="D431" s="2">
        <v>-4.5</v>
      </c>
      <c r="E431" s="2">
        <v>-4.3</v>
      </c>
      <c r="F431" s="2">
        <v>-5.3</v>
      </c>
      <c r="G431" s="2">
        <v>-6</v>
      </c>
      <c r="H431" s="2">
        <f>AVERAGE(weather.tbl[[#This Row],[Estevan]:[Kipling]])</f>
        <v>-5.1166666666666663</v>
      </c>
      <c r="I431" s="2">
        <f>_xlfn.STDEV.S(weather.tbl[[#This Row],[Estevan]:[Kipling]])</f>
        <v>0.69689788826388521</v>
      </c>
      <c r="J431" s="2">
        <f t="shared" si="6"/>
        <v>-14.999999999999998</v>
      </c>
      <c r="K431">
        <f>DAY(weather.tbl[[#This Row],[Date]])</f>
        <v>6</v>
      </c>
      <c r="L431">
        <f>MONTH(weather.tbl[[#This Row],[Date]])</f>
        <v>3</v>
      </c>
      <c r="M431">
        <f>YEAR(weather.tbl[[#This Row],[Date]])</f>
        <v>2015</v>
      </c>
    </row>
    <row r="432" spans="1:13" x14ac:dyDescent="0.25">
      <c r="A432" s="1">
        <v>42070</v>
      </c>
      <c r="B432" s="2">
        <v>-2</v>
      </c>
      <c r="C432" s="2">
        <v>-4.4000000000000004</v>
      </c>
      <c r="D432" s="2">
        <v>-2.5</v>
      </c>
      <c r="E432" s="2">
        <v>-2</v>
      </c>
      <c r="F432" s="2">
        <v>-3</v>
      </c>
      <c r="G432" s="2">
        <v>-3.5</v>
      </c>
      <c r="H432" s="2">
        <f>AVERAGE(weather.tbl[[#This Row],[Estevan]:[Kipling]])</f>
        <v>-2.9</v>
      </c>
      <c r="I432" s="2">
        <f>_xlfn.STDEV.S(weather.tbl[[#This Row],[Estevan]:[Kipling]])</f>
        <v>0.93808315196468728</v>
      </c>
      <c r="J432" s="2">
        <f t="shared" si="6"/>
        <v>-12.857142857142859</v>
      </c>
      <c r="K432">
        <f>DAY(weather.tbl[[#This Row],[Date]])</f>
        <v>7</v>
      </c>
      <c r="L432">
        <f>MONTH(weather.tbl[[#This Row],[Date]])</f>
        <v>3</v>
      </c>
      <c r="M432">
        <f>YEAR(weather.tbl[[#This Row],[Date]])</f>
        <v>2015</v>
      </c>
    </row>
    <row r="433" spans="1:13" x14ac:dyDescent="0.25">
      <c r="A433" s="1">
        <v>42071</v>
      </c>
      <c r="B433" s="2">
        <v>0.6</v>
      </c>
      <c r="C433" s="2">
        <v>-0.5</v>
      </c>
      <c r="D433" s="2">
        <v>-1</v>
      </c>
      <c r="E433" s="2">
        <v>-0.8</v>
      </c>
      <c r="F433" s="2">
        <v>-1.4</v>
      </c>
      <c r="G433" s="2">
        <v>-3</v>
      </c>
      <c r="H433" s="2">
        <f>AVERAGE(weather.tbl[[#This Row],[Estevan]:[Kipling]])</f>
        <v>-1.0166666666666666</v>
      </c>
      <c r="I433" s="2">
        <f>_xlfn.STDEV.S(weather.tbl[[#This Row],[Estevan]:[Kipling]])</f>
        <v>1.183920042345203</v>
      </c>
      <c r="J433" s="2">
        <f t="shared" si="6"/>
        <v>-11.157142857142857</v>
      </c>
      <c r="K433">
        <f>DAY(weather.tbl[[#This Row],[Date]])</f>
        <v>8</v>
      </c>
      <c r="L433">
        <f>MONTH(weather.tbl[[#This Row],[Date]])</f>
        <v>3</v>
      </c>
      <c r="M433">
        <f>YEAR(weather.tbl[[#This Row],[Date]])</f>
        <v>2015</v>
      </c>
    </row>
    <row r="434" spans="1:13" x14ac:dyDescent="0.25">
      <c r="A434" s="1">
        <v>42072</v>
      </c>
      <c r="B434" s="2">
        <v>4.0999999999999996</v>
      </c>
      <c r="C434" s="2">
        <v>1.1000000000000001</v>
      </c>
      <c r="D434" s="2">
        <v>1.8</v>
      </c>
      <c r="E434" s="2">
        <v>2</v>
      </c>
      <c r="F434" s="2">
        <v>-0.6</v>
      </c>
      <c r="G434" s="2">
        <v>0.2</v>
      </c>
      <c r="H434" s="2">
        <f>AVERAGE(weather.tbl[[#This Row],[Estevan]:[Kipling]])</f>
        <v>1.4333333333333333</v>
      </c>
      <c r="I434" s="2">
        <f>_xlfn.STDEV.S(weather.tbl[[#This Row],[Estevan]:[Kipling]])</f>
        <v>1.6329931618554518</v>
      </c>
      <c r="J434" s="2">
        <f t="shared" si="6"/>
        <v>-9.3380952380952387</v>
      </c>
      <c r="K434">
        <f>DAY(weather.tbl[[#This Row],[Date]])</f>
        <v>9</v>
      </c>
      <c r="L434">
        <f>MONTH(weather.tbl[[#This Row],[Date]])</f>
        <v>3</v>
      </c>
      <c r="M434">
        <f>YEAR(weather.tbl[[#This Row],[Date]])</f>
        <v>2015</v>
      </c>
    </row>
    <row r="435" spans="1:13" x14ac:dyDescent="0.25">
      <c r="A435" s="1">
        <v>42073</v>
      </c>
      <c r="B435" s="2">
        <v>4.4000000000000004</v>
      </c>
      <c r="C435" s="2">
        <v>3.2</v>
      </c>
      <c r="D435" s="2">
        <v>3.3</v>
      </c>
      <c r="E435" s="2">
        <v>3.5</v>
      </c>
      <c r="F435" s="2">
        <v>3.3</v>
      </c>
      <c r="G435" s="2">
        <v>1.4</v>
      </c>
      <c r="H435" s="2">
        <f>AVERAGE(weather.tbl[[#This Row],[Estevan]:[Kipling]])</f>
        <v>3.1833333333333331</v>
      </c>
      <c r="I435" s="2">
        <f>_xlfn.STDEV.S(weather.tbl[[#This Row],[Estevan]:[Kipling]])</f>
        <v>0.97860444852180684</v>
      </c>
      <c r="J435" s="2">
        <f t="shared" si="6"/>
        <v>-6.2119047619047629</v>
      </c>
      <c r="K435">
        <f>DAY(weather.tbl[[#This Row],[Date]])</f>
        <v>10</v>
      </c>
      <c r="L435">
        <f>MONTH(weather.tbl[[#This Row],[Date]])</f>
        <v>3</v>
      </c>
      <c r="M435">
        <f>YEAR(weather.tbl[[#This Row],[Date]])</f>
        <v>2015</v>
      </c>
    </row>
    <row r="436" spans="1:13" x14ac:dyDescent="0.25">
      <c r="A436" s="1">
        <v>42074</v>
      </c>
      <c r="B436" s="2">
        <v>3.5</v>
      </c>
      <c r="C436" s="2">
        <v>1.8</v>
      </c>
      <c r="D436" s="2">
        <v>3</v>
      </c>
      <c r="E436" s="2">
        <v>2</v>
      </c>
      <c r="F436" s="2">
        <v>3.9</v>
      </c>
      <c r="G436" s="2">
        <v>0.4</v>
      </c>
      <c r="H436" s="2">
        <f>AVERAGE(weather.tbl[[#This Row],[Estevan]:[Kipling]])</f>
        <v>2.4333333333333336</v>
      </c>
      <c r="I436" s="2">
        <f>_xlfn.STDEV.S(weather.tbl[[#This Row],[Estevan]:[Kipling]])</f>
        <v>1.2909944487358047</v>
      </c>
      <c r="J436" s="2">
        <f t="shared" si="6"/>
        <v>-2.4047619047619047</v>
      </c>
      <c r="K436">
        <f>DAY(weather.tbl[[#This Row],[Date]])</f>
        <v>11</v>
      </c>
      <c r="L436">
        <f>MONTH(weather.tbl[[#This Row],[Date]])</f>
        <v>3</v>
      </c>
      <c r="M436">
        <f>YEAR(weather.tbl[[#This Row],[Date]])</f>
        <v>2015</v>
      </c>
    </row>
    <row r="437" spans="1:13" x14ac:dyDescent="0.25">
      <c r="A437" s="1">
        <v>42075</v>
      </c>
      <c r="B437" s="2">
        <v>4.5</v>
      </c>
      <c r="C437" s="2">
        <v>2.5</v>
      </c>
      <c r="D437" s="2">
        <v>4</v>
      </c>
      <c r="E437" s="2">
        <v>2.5</v>
      </c>
      <c r="F437" s="2">
        <v>2.9</v>
      </c>
      <c r="G437" s="2">
        <v>2.6</v>
      </c>
      <c r="H437" s="2">
        <f>AVERAGE(weather.tbl[[#This Row],[Estevan]:[Kipling]])</f>
        <v>3.1666666666666665</v>
      </c>
      <c r="I437" s="2">
        <f>_xlfn.STDEV.S(weather.tbl[[#This Row],[Estevan]:[Kipling]])</f>
        <v>0.86641021846851851</v>
      </c>
      <c r="J437" s="2">
        <f t="shared" si="6"/>
        <v>0.16904761904761939</v>
      </c>
      <c r="K437">
        <f>DAY(weather.tbl[[#This Row],[Date]])</f>
        <v>12</v>
      </c>
      <c r="L437">
        <f>MONTH(weather.tbl[[#This Row],[Date]])</f>
        <v>3</v>
      </c>
      <c r="M437">
        <f>YEAR(weather.tbl[[#This Row],[Date]])</f>
        <v>2015</v>
      </c>
    </row>
    <row r="438" spans="1:13" x14ac:dyDescent="0.25">
      <c r="A438" s="1">
        <v>42076</v>
      </c>
      <c r="B438" s="2">
        <v>6.7</v>
      </c>
      <c r="C438" s="2">
        <v>5.8</v>
      </c>
      <c r="D438" s="2">
        <v>4.8</v>
      </c>
      <c r="E438" s="2">
        <v>6</v>
      </c>
      <c r="F438" s="2">
        <v>4.9000000000000004</v>
      </c>
      <c r="G438" s="2">
        <v>2.2999999999999998</v>
      </c>
      <c r="H438" s="2">
        <f>AVERAGE(weather.tbl[[#This Row],[Estevan]:[Kipling]])</f>
        <v>5.0833333333333339</v>
      </c>
      <c r="I438" s="2">
        <f>_xlfn.STDEV.S(weather.tbl[[#This Row],[Estevan]:[Kipling]])</f>
        <v>1.5380723866797208</v>
      </c>
      <c r="J438" s="2">
        <f t="shared" si="6"/>
        <v>1.6261904761904762</v>
      </c>
      <c r="K438">
        <f>DAY(weather.tbl[[#This Row],[Date]])</f>
        <v>13</v>
      </c>
      <c r="L438">
        <f>MONTH(weather.tbl[[#This Row],[Date]])</f>
        <v>3</v>
      </c>
      <c r="M438">
        <f>YEAR(weather.tbl[[#This Row],[Date]])</f>
        <v>2015</v>
      </c>
    </row>
    <row r="439" spans="1:13" x14ac:dyDescent="0.25">
      <c r="A439" s="1">
        <v>42077</v>
      </c>
      <c r="B439" s="2">
        <v>8.1999999999999993</v>
      </c>
      <c r="C439" s="2">
        <v>7.2</v>
      </c>
      <c r="D439" s="2">
        <v>6.5</v>
      </c>
      <c r="E439" s="2">
        <v>7</v>
      </c>
      <c r="F439" s="2">
        <v>6.7</v>
      </c>
      <c r="G439" s="2">
        <v>5.5</v>
      </c>
      <c r="H439" s="2">
        <f>AVERAGE(weather.tbl[[#This Row],[Estevan]:[Kipling]])</f>
        <v>6.8500000000000005</v>
      </c>
      <c r="I439" s="2">
        <f>_xlfn.STDEV.S(weather.tbl[[#This Row],[Estevan]:[Kipling]])</f>
        <v>0.88713020464866887</v>
      </c>
      <c r="J439" s="2">
        <f t="shared" si="6"/>
        <v>3.019047619047619</v>
      </c>
      <c r="K439">
        <f>DAY(weather.tbl[[#This Row],[Date]])</f>
        <v>14</v>
      </c>
      <c r="L439">
        <f>MONTH(weather.tbl[[#This Row],[Date]])</f>
        <v>3</v>
      </c>
      <c r="M439">
        <f>YEAR(weather.tbl[[#This Row],[Date]])</f>
        <v>2015</v>
      </c>
    </row>
    <row r="440" spans="1:13" x14ac:dyDescent="0.25">
      <c r="A440" s="1">
        <v>42078</v>
      </c>
      <c r="B440" s="2">
        <v>7.2</v>
      </c>
      <c r="C440" s="2">
        <v>6.8</v>
      </c>
      <c r="D440" s="2">
        <v>9</v>
      </c>
      <c r="E440" s="2">
        <v>6</v>
      </c>
      <c r="F440" s="2">
        <v>8.4</v>
      </c>
      <c r="G440" s="2">
        <v>6.1</v>
      </c>
      <c r="H440" s="2">
        <f>AVERAGE(weather.tbl[[#This Row],[Estevan]:[Kipling]])</f>
        <v>7.25</v>
      </c>
      <c r="I440" s="2">
        <f>_xlfn.STDEV.S(weather.tbl[[#This Row],[Estevan]:[Kipling]])</f>
        <v>1.2227019260637455</v>
      </c>
      <c r="J440" s="2">
        <f t="shared" si="6"/>
        <v>4.2</v>
      </c>
      <c r="K440">
        <f>DAY(weather.tbl[[#This Row],[Date]])</f>
        <v>15</v>
      </c>
      <c r="L440">
        <f>MONTH(weather.tbl[[#This Row],[Date]])</f>
        <v>3</v>
      </c>
      <c r="M440">
        <f>YEAR(weather.tbl[[#This Row],[Date]])</f>
        <v>2015</v>
      </c>
    </row>
    <row r="441" spans="1:13" x14ac:dyDescent="0.25">
      <c r="A441" s="1">
        <v>42079</v>
      </c>
      <c r="B441" s="2">
        <v>-0.6</v>
      </c>
      <c r="C441" s="2">
        <v>-0.6</v>
      </c>
      <c r="D441" s="2">
        <v>1</v>
      </c>
      <c r="E441" s="2">
        <v>0.8</v>
      </c>
      <c r="F441" s="2">
        <v>1.6</v>
      </c>
      <c r="G441" s="2">
        <v>-0.3</v>
      </c>
      <c r="H441" s="2">
        <f>AVERAGE(weather.tbl[[#This Row],[Estevan]:[Kipling]])</f>
        <v>0.31666666666666671</v>
      </c>
      <c r="I441" s="2">
        <f>_xlfn.STDEV.S(weather.tbl[[#This Row],[Estevan]:[Kipling]])</f>
        <v>0.93897106806688502</v>
      </c>
      <c r="J441" s="2">
        <f t="shared" si="6"/>
        <v>4.0404761904761903</v>
      </c>
      <c r="K441">
        <f>DAY(weather.tbl[[#This Row],[Date]])</f>
        <v>16</v>
      </c>
      <c r="L441">
        <f>MONTH(weather.tbl[[#This Row],[Date]])</f>
        <v>3</v>
      </c>
      <c r="M441">
        <f>YEAR(weather.tbl[[#This Row],[Date]])</f>
        <v>2015</v>
      </c>
    </row>
    <row r="442" spans="1:13" x14ac:dyDescent="0.25">
      <c r="A442" s="1">
        <v>42080</v>
      </c>
      <c r="B442" s="2">
        <v>-1.2</v>
      </c>
      <c r="C442" s="2">
        <v>-0.5</v>
      </c>
      <c r="D442" s="2">
        <v>-0.8</v>
      </c>
      <c r="E442" s="2">
        <v>0.8</v>
      </c>
      <c r="F442" s="2">
        <v>0.4</v>
      </c>
      <c r="G442" s="2">
        <v>-1.2</v>
      </c>
      <c r="H442" s="2">
        <f>AVERAGE(weather.tbl[[#This Row],[Estevan]:[Kipling]])</f>
        <v>-0.41666666666666669</v>
      </c>
      <c r="I442" s="2">
        <f>_xlfn.STDEV.S(weather.tbl[[#This Row],[Estevan]:[Kipling]])</f>
        <v>0.84003968160240305</v>
      </c>
      <c r="J442" s="2">
        <f t="shared" si="6"/>
        <v>3.5261904761904761</v>
      </c>
      <c r="K442">
        <f>DAY(weather.tbl[[#This Row],[Date]])</f>
        <v>17</v>
      </c>
      <c r="L442">
        <f>MONTH(weather.tbl[[#This Row],[Date]])</f>
        <v>3</v>
      </c>
      <c r="M442">
        <f>YEAR(weather.tbl[[#This Row],[Date]])</f>
        <v>2015</v>
      </c>
    </row>
    <row r="443" spans="1:13" x14ac:dyDescent="0.25">
      <c r="A443" s="1">
        <v>42081</v>
      </c>
      <c r="B443" s="2">
        <v>1.4</v>
      </c>
      <c r="C443" s="2">
        <v>2.2999999999999998</v>
      </c>
      <c r="D443" s="2">
        <v>1</v>
      </c>
      <c r="E443" s="2">
        <v>0.8</v>
      </c>
      <c r="F443" s="2">
        <v>1.2</v>
      </c>
      <c r="G443" s="2">
        <v>1.4</v>
      </c>
      <c r="H443" s="2">
        <f>AVERAGE(weather.tbl[[#This Row],[Estevan]:[Kipling]])</f>
        <v>1.3499999999999999</v>
      </c>
      <c r="I443" s="2">
        <f>_xlfn.STDEV.S(weather.tbl[[#This Row],[Estevan]:[Kipling]])</f>
        <v>0.52057660339281453</v>
      </c>
      <c r="J443" s="2">
        <f t="shared" si="6"/>
        <v>3.3714285714285714</v>
      </c>
      <c r="K443">
        <f>DAY(weather.tbl[[#This Row],[Date]])</f>
        <v>18</v>
      </c>
      <c r="L443">
        <f>MONTH(weather.tbl[[#This Row],[Date]])</f>
        <v>3</v>
      </c>
      <c r="M443">
        <f>YEAR(weather.tbl[[#This Row],[Date]])</f>
        <v>2015</v>
      </c>
    </row>
    <row r="444" spans="1:13" x14ac:dyDescent="0.25">
      <c r="A444" s="1">
        <v>42082</v>
      </c>
      <c r="B444" s="2">
        <v>4.2</v>
      </c>
      <c r="C444" s="2">
        <v>3.8</v>
      </c>
      <c r="D444" s="2">
        <v>4.8</v>
      </c>
      <c r="E444" s="2">
        <v>3.5</v>
      </c>
      <c r="F444" s="2">
        <v>3.6</v>
      </c>
      <c r="G444" s="2">
        <v>3.2</v>
      </c>
      <c r="H444" s="2">
        <f>AVERAGE(weather.tbl[[#This Row],[Estevan]:[Kipling]])</f>
        <v>3.85</v>
      </c>
      <c r="I444" s="2">
        <f>_xlfn.STDEV.S(weather.tbl[[#This Row],[Estevan]:[Kipling]])</f>
        <v>0.57183913821983523</v>
      </c>
      <c r="J444" s="2">
        <f t="shared" si="6"/>
        <v>3.4690476190476192</v>
      </c>
      <c r="K444">
        <f>DAY(weather.tbl[[#This Row],[Date]])</f>
        <v>19</v>
      </c>
      <c r="L444">
        <f>MONTH(weather.tbl[[#This Row],[Date]])</f>
        <v>3</v>
      </c>
      <c r="M444">
        <f>YEAR(weather.tbl[[#This Row],[Date]])</f>
        <v>2015</v>
      </c>
    </row>
    <row r="445" spans="1:13" x14ac:dyDescent="0.25">
      <c r="A445" s="1">
        <v>42083</v>
      </c>
      <c r="B445" s="2">
        <v>0.3</v>
      </c>
      <c r="C445" s="2">
        <v>0.1</v>
      </c>
      <c r="D445" s="2">
        <v>-2.5</v>
      </c>
      <c r="E445" s="2">
        <v>-0.3</v>
      </c>
      <c r="F445" s="2">
        <v>-2.1</v>
      </c>
      <c r="G445" s="2">
        <v>-2.4</v>
      </c>
      <c r="H445" s="2">
        <f>AVERAGE(weather.tbl[[#This Row],[Estevan]:[Kipling]])</f>
        <v>-1.1500000000000001</v>
      </c>
      <c r="I445" s="2">
        <f>_xlfn.STDEV.S(weather.tbl[[#This Row],[Estevan]:[Kipling]])</f>
        <v>1.3171939872319489</v>
      </c>
      <c r="J445" s="2">
        <f t="shared" si="6"/>
        <v>2.5785714285714292</v>
      </c>
      <c r="K445">
        <f>DAY(weather.tbl[[#This Row],[Date]])</f>
        <v>20</v>
      </c>
      <c r="L445">
        <f>MONTH(weather.tbl[[#This Row],[Date]])</f>
        <v>3</v>
      </c>
      <c r="M445">
        <f>YEAR(weather.tbl[[#This Row],[Date]])</f>
        <v>2015</v>
      </c>
    </row>
    <row r="446" spans="1:13" x14ac:dyDescent="0.25">
      <c r="A446" s="1">
        <v>42084</v>
      </c>
      <c r="B446" s="2">
        <v>-4.5</v>
      </c>
      <c r="C446" s="2">
        <v>-4.0999999999999996</v>
      </c>
      <c r="D446" s="2">
        <v>-7.3</v>
      </c>
      <c r="E446" s="2">
        <v>-3.3</v>
      </c>
      <c r="F446" s="2">
        <v>-6.6</v>
      </c>
      <c r="G446" s="2">
        <v>-6.3</v>
      </c>
      <c r="H446" s="2">
        <f>AVERAGE(weather.tbl[[#This Row],[Estevan]:[Kipling]])</f>
        <v>-5.3499999999999988</v>
      </c>
      <c r="I446" s="2">
        <f>_xlfn.STDEV.S(weather.tbl[[#This Row],[Estevan]:[Kipling]])</f>
        <v>1.5971850237214253</v>
      </c>
      <c r="J446" s="2">
        <f t="shared" si="6"/>
        <v>0.83571428571428574</v>
      </c>
      <c r="K446">
        <f>DAY(weather.tbl[[#This Row],[Date]])</f>
        <v>21</v>
      </c>
      <c r="L446">
        <f>MONTH(weather.tbl[[#This Row],[Date]])</f>
        <v>3</v>
      </c>
      <c r="M446">
        <f>YEAR(weather.tbl[[#This Row],[Date]])</f>
        <v>2015</v>
      </c>
    </row>
    <row r="447" spans="1:13" x14ac:dyDescent="0.25">
      <c r="A447" s="1">
        <v>42085</v>
      </c>
      <c r="B447" s="2">
        <v>0.7</v>
      </c>
      <c r="C447" s="2">
        <v>0.5</v>
      </c>
      <c r="D447" s="2">
        <v>-2.2999999999999998</v>
      </c>
      <c r="E447" s="2">
        <v>0</v>
      </c>
      <c r="F447" s="2">
        <v>-3.7</v>
      </c>
      <c r="G447" s="2">
        <v>-3.3</v>
      </c>
      <c r="H447" s="2">
        <f>AVERAGE(weather.tbl[[#This Row],[Estevan]:[Kipling]])</f>
        <v>-1.3499999999999999</v>
      </c>
      <c r="I447" s="2">
        <f>_xlfn.STDEV.S(weather.tbl[[#This Row],[Estevan]:[Kipling]])</f>
        <v>1.9836834424877372</v>
      </c>
      <c r="J447" s="2">
        <f t="shared" si="6"/>
        <v>-0.39285714285714274</v>
      </c>
      <c r="K447">
        <f>DAY(weather.tbl[[#This Row],[Date]])</f>
        <v>22</v>
      </c>
      <c r="L447">
        <f>MONTH(weather.tbl[[#This Row],[Date]])</f>
        <v>3</v>
      </c>
      <c r="M447">
        <f>YEAR(weather.tbl[[#This Row],[Date]])</f>
        <v>2015</v>
      </c>
    </row>
    <row r="448" spans="1:13" x14ac:dyDescent="0.25">
      <c r="A448" s="1">
        <v>42086</v>
      </c>
      <c r="B448" s="2">
        <v>-1.3</v>
      </c>
      <c r="C448" s="2">
        <v>-2</v>
      </c>
      <c r="D448" s="2">
        <v>-2.8</v>
      </c>
      <c r="E448" s="2">
        <v>-1.5</v>
      </c>
      <c r="F448" s="2">
        <v>-1.3</v>
      </c>
      <c r="G448" s="2">
        <v>-3.2</v>
      </c>
      <c r="H448" s="2">
        <f>AVERAGE(weather.tbl[[#This Row],[Estevan]:[Kipling]])</f>
        <v>-2.0166666666666671</v>
      </c>
      <c r="I448" s="2">
        <f>_xlfn.STDEV.S(weather.tbl[[#This Row],[Estevan]:[Kipling]])</f>
        <v>0.81342895612749488</v>
      </c>
      <c r="J448" s="2">
        <f t="shared" si="6"/>
        <v>-0.72619047619047605</v>
      </c>
      <c r="K448">
        <f>DAY(weather.tbl[[#This Row],[Date]])</f>
        <v>23</v>
      </c>
      <c r="L448">
        <f>MONTH(weather.tbl[[#This Row],[Date]])</f>
        <v>3</v>
      </c>
      <c r="M448">
        <f>YEAR(weather.tbl[[#This Row],[Date]])</f>
        <v>2015</v>
      </c>
    </row>
    <row r="449" spans="1:13" x14ac:dyDescent="0.25">
      <c r="A449" s="1">
        <v>42087</v>
      </c>
      <c r="B449" s="2">
        <v>-1.6</v>
      </c>
      <c r="C449" s="2">
        <v>-1.9</v>
      </c>
      <c r="D449" s="2">
        <v>-1</v>
      </c>
      <c r="E449" s="2">
        <v>-1.5</v>
      </c>
      <c r="F449" s="2">
        <v>-1.3</v>
      </c>
      <c r="G449" s="2">
        <v>-1.8</v>
      </c>
      <c r="H449" s="2">
        <f>AVERAGE(weather.tbl[[#This Row],[Estevan]:[Kipling]])</f>
        <v>-1.5166666666666666</v>
      </c>
      <c r="I449" s="2">
        <f>_xlfn.STDEV.S(weather.tbl[[#This Row],[Estevan]:[Kipling]])</f>
        <v>0.33115957885386177</v>
      </c>
      <c r="J449" s="2">
        <f t="shared" si="6"/>
        <v>-0.88333333333333319</v>
      </c>
      <c r="K449">
        <f>DAY(weather.tbl[[#This Row],[Date]])</f>
        <v>24</v>
      </c>
      <c r="L449">
        <f>MONTH(weather.tbl[[#This Row],[Date]])</f>
        <v>3</v>
      </c>
      <c r="M449">
        <f>YEAR(weather.tbl[[#This Row],[Date]])</f>
        <v>2015</v>
      </c>
    </row>
    <row r="450" spans="1:13" x14ac:dyDescent="0.25">
      <c r="A450" s="1">
        <v>42088</v>
      </c>
      <c r="B450" s="2">
        <v>-1</v>
      </c>
      <c r="C450" s="2">
        <v>-2.4</v>
      </c>
      <c r="D450" s="2">
        <v>-2</v>
      </c>
      <c r="E450" s="2">
        <v>-1.3</v>
      </c>
      <c r="F450" s="2">
        <v>-2.4</v>
      </c>
      <c r="G450" s="2">
        <v>-2.5</v>
      </c>
      <c r="H450" s="2">
        <f>AVERAGE(weather.tbl[[#This Row],[Estevan]:[Kipling]])</f>
        <v>-1.9333333333333333</v>
      </c>
      <c r="I450" s="2">
        <f>_xlfn.STDEV.S(weather.tbl[[#This Row],[Estevan]:[Kipling]])</f>
        <v>0.63770421565696667</v>
      </c>
      <c r="J450" s="2">
        <f t="shared" si="6"/>
        <v>-1.3523809523809522</v>
      </c>
      <c r="K450">
        <f>DAY(weather.tbl[[#This Row],[Date]])</f>
        <v>25</v>
      </c>
      <c r="L450">
        <f>MONTH(weather.tbl[[#This Row],[Date]])</f>
        <v>3</v>
      </c>
      <c r="M450">
        <f>YEAR(weather.tbl[[#This Row],[Date]])</f>
        <v>2015</v>
      </c>
    </row>
    <row r="451" spans="1:13" x14ac:dyDescent="0.25">
      <c r="A451" s="1">
        <v>42089</v>
      </c>
      <c r="B451" s="2">
        <v>-0.5</v>
      </c>
      <c r="C451" s="2">
        <v>0.8</v>
      </c>
      <c r="D451" s="2">
        <v>-2.5</v>
      </c>
      <c r="E451" s="2">
        <v>0.5</v>
      </c>
      <c r="F451" s="2">
        <v>-3.6</v>
      </c>
      <c r="G451" s="2">
        <v>-3.2</v>
      </c>
      <c r="H451" s="2">
        <f>AVERAGE(weather.tbl[[#This Row],[Estevan]:[Kipling]])</f>
        <v>-1.4166666666666667</v>
      </c>
      <c r="I451" s="2">
        <f>_xlfn.STDEV.S(weather.tbl[[#This Row],[Estevan]:[Kipling]])</f>
        <v>1.9260494974601945</v>
      </c>
      <c r="J451" s="2">
        <f t="shared" si="6"/>
        <v>-2.1047619047619048</v>
      </c>
      <c r="K451">
        <f>DAY(weather.tbl[[#This Row],[Date]])</f>
        <v>26</v>
      </c>
      <c r="L451">
        <f>MONTH(weather.tbl[[#This Row],[Date]])</f>
        <v>3</v>
      </c>
      <c r="M451">
        <f>YEAR(weather.tbl[[#This Row],[Date]])</f>
        <v>2015</v>
      </c>
    </row>
    <row r="452" spans="1:13" x14ac:dyDescent="0.25">
      <c r="A452" s="1">
        <v>42090</v>
      </c>
      <c r="B452" s="2">
        <v>6</v>
      </c>
      <c r="C452" s="2">
        <v>6.1</v>
      </c>
      <c r="D452" s="2">
        <v>3.8</v>
      </c>
      <c r="E452" s="2">
        <v>6.5</v>
      </c>
      <c r="F452" s="2">
        <v>-0.5</v>
      </c>
      <c r="G452" s="2">
        <v>2</v>
      </c>
      <c r="H452" s="2">
        <f>AVERAGE(weather.tbl[[#This Row],[Estevan]:[Kipling]])</f>
        <v>3.9833333333333329</v>
      </c>
      <c r="I452" s="2">
        <f>_xlfn.STDEV.S(weather.tbl[[#This Row],[Estevan]:[Kipling]])</f>
        <v>2.7909974322214386</v>
      </c>
      <c r="J452" s="2">
        <f t="shared" si="6"/>
        <v>-1.3714285714285712</v>
      </c>
      <c r="K452">
        <f>DAY(weather.tbl[[#This Row],[Date]])</f>
        <v>27</v>
      </c>
      <c r="L452">
        <f>MONTH(weather.tbl[[#This Row],[Date]])</f>
        <v>3</v>
      </c>
      <c r="M452">
        <f>YEAR(weather.tbl[[#This Row],[Date]])</f>
        <v>2015</v>
      </c>
    </row>
    <row r="453" spans="1:13" x14ac:dyDescent="0.25">
      <c r="A453" s="1">
        <v>42091</v>
      </c>
      <c r="B453" s="2">
        <v>10.4</v>
      </c>
      <c r="C453" s="2">
        <v>9.5</v>
      </c>
      <c r="D453" s="2">
        <v>8.3000000000000007</v>
      </c>
      <c r="E453" s="2">
        <v>10</v>
      </c>
      <c r="F453" s="2">
        <v>5.3</v>
      </c>
      <c r="G453" s="2">
        <v>7.1</v>
      </c>
      <c r="H453" s="2">
        <f>AVERAGE(weather.tbl[[#This Row],[Estevan]:[Kipling]])</f>
        <v>8.4333333333333336</v>
      </c>
      <c r="I453" s="2">
        <f>_xlfn.STDEV.S(weather.tbl[[#This Row],[Estevan]:[Kipling]])</f>
        <v>1.9531171666509606</v>
      </c>
      <c r="J453" s="2">
        <f t="shared" si="6"/>
        <v>0.59761904761904738</v>
      </c>
      <c r="K453">
        <f>DAY(weather.tbl[[#This Row],[Date]])</f>
        <v>28</v>
      </c>
      <c r="L453">
        <f>MONTH(weather.tbl[[#This Row],[Date]])</f>
        <v>3</v>
      </c>
      <c r="M453">
        <f>YEAR(weather.tbl[[#This Row],[Date]])</f>
        <v>2015</v>
      </c>
    </row>
    <row r="454" spans="1:13" x14ac:dyDescent="0.25">
      <c r="A454" s="1">
        <v>42092</v>
      </c>
      <c r="B454" s="2">
        <v>7</v>
      </c>
      <c r="C454" s="2">
        <v>6.8</v>
      </c>
      <c r="D454" s="2">
        <v>6</v>
      </c>
      <c r="E454" s="2">
        <v>7.3</v>
      </c>
      <c r="F454" s="2">
        <v>6.8</v>
      </c>
      <c r="G454" s="2">
        <v>5.5</v>
      </c>
      <c r="H454" s="2">
        <f>AVERAGE(weather.tbl[[#This Row],[Estevan]:[Kipling]])</f>
        <v>6.5666666666666664</v>
      </c>
      <c r="I454" s="2">
        <f>_xlfn.STDEV.S(weather.tbl[[#This Row],[Estevan]:[Kipling]])</f>
        <v>0.6772493386240156</v>
      </c>
      <c r="J454" s="2">
        <f t="shared" si="6"/>
        <v>1.7285714285714284</v>
      </c>
      <c r="K454">
        <f>DAY(weather.tbl[[#This Row],[Date]])</f>
        <v>29</v>
      </c>
      <c r="L454">
        <f>MONTH(weather.tbl[[#This Row],[Date]])</f>
        <v>3</v>
      </c>
      <c r="M454">
        <f>YEAR(weather.tbl[[#This Row],[Date]])</f>
        <v>2015</v>
      </c>
    </row>
    <row r="455" spans="1:13" x14ac:dyDescent="0.25">
      <c r="A455" s="1">
        <v>42093</v>
      </c>
      <c r="B455" s="2">
        <v>8.4</v>
      </c>
      <c r="C455" s="2">
        <v>7.9</v>
      </c>
      <c r="D455" s="2">
        <v>7.5</v>
      </c>
      <c r="E455" s="2">
        <v>8.5</v>
      </c>
      <c r="F455" s="2">
        <v>8.1999999999999993</v>
      </c>
      <c r="G455" s="2">
        <v>6.6</v>
      </c>
      <c r="H455" s="2">
        <f>AVERAGE(weather.tbl[[#This Row],[Estevan]:[Kipling]])</f>
        <v>7.8500000000000005</v>
      </c>
      <c r="I455" s="2">
        <f>_xlfn.STDEV.S(weather.tbl[[#This Row],[Estevan]:[Kipling]])</f>
        <v>0.71203932475671616</v>
      </c>
      <c r="J455" s="2">
        <f t="shared" si="6"/>
        <v>3.138095238095238</v>
      </c>
      <c r="K455">
        <f>DAY(weather.tbl[[#This Row],[Date]])</f>
        <v>30</v>
      </c>
      <c r="L455">
        <f>MONTH(weather.tbl[[#This Row],[Date]])</f>
        <v>3</v>
      </c>
      <c r="M455">
        <f>YEAR(weather.tbl[[#This Row],[Date]])</f>
        <v>2015</v>
      </c>
    </row>
    <row r="456" spans="1:13" x14ac:dyDescent="0.25">
      <c r="A456" s="1">
        <v>42094</v>
      </c>
      <c r="B456" s="2">
        <v>9.5</v>
      </c>
      <c r="C456" s="2">
        <v>9.6999999999999993</v>
      </c>
      <c r="D456" s="2">
        <v>7</v>
      </c>
      <c r="E456" s="2">
        <v>11</v>
      </c>
      <c r="F456" s="2">
        <v>7.2</v>
      </c>
      <c r="G456" s="2">
        <v>6.8</v>
      </c>
      <c r="H456" s="2">
        <f>AVERAGE(weather.tbl[[#This Row],[Estevan]:[Kipling]])</f>
        <v>8.5333333333333332</v>
      </c>
      <c r="I456" s="2">
        <f>_xlfn.STDEV.S(weather.tbl[[#This Row],[Estevan]:[Kipling]])</f>
        <v>1.7614388058251247</v>
      </c>
      <c r="J456" s="2">
        <f t="shared" si="6"/>
        <v>4.5738095238095235</v>
      </c>
      <c r="K456">
        <f>DAY(weather.tbl[[#This Row],[Date]])</f>
        <v>31</v>
      </c>
      <c r="L456">
        <f>MONTH(weather.tbl[[#This Row],[Date]])</f>
        <v>3</v>
      </c>
      <c r="M456">
        <f>YEAR(weather.tbl[[#This Row],[Date]])</f>
        <v>2015</v>
      </c>
    </row>
    <row r="457" spans="1:13" x14ac:dyDescent="0.25">
      <c r="A457" s="1">
        <v>42095</v>
      </c>
      <c r="B457" s="2">
        <v>7.1</v>
      </c>
      <c r="C457" s="2">
        <v>6.8</v>
      </c>
      <c r="D457" s="2">
        <v>7</v>
      </c>
      <c r="E457" s="2">
        <v>8.5</v>
      </c>
      <c r="F457" s="2">
        <v>8.4</v>
      </c>
      <c r="G457" s="2">
        <v>6.7</v>
      </c>
      <c r="H457" s="2">
        <f>AVERAGE(weather.tbl[[#This Row],[Estevan]:[Kipling]])</f>
        <v>7.416666666666667</v>
      </c>
      <c r="I457" s="2">
        <f>_xlfn.STDEV.S(weather.tbl[[#This Row],[Estevan]:[Kipling]])</f>
        <v>0.81342895612749544</v>
      </c>
      <c r="J457" s="2">
        <f t="shared" si="6"/>
        <v>5.9095238095238098</v>
      </c>
      <c r="K457">
        <f>DAY(weather.tbl[[#This Row],[Date]])</f>
        <v>1</v>
      </c>
      <c r="L457">
        <f>MONTH(weather.tbl[[#This Row],[Date]])</f>
        <v>4</v>
      </c>
      <c r="M457">
        <f>YEAR(weather.tbl[[#This Row],[Date]])</f>
        <v>2015</v>
      </c>
    </row>
    <row r="458" spans="1:13" x14ac:dyDescent="0.25">
      <c r="A458" s="1">
        <v>42096</v>
      </c>
      <c r="B458" s="2">
        <v>-1.7</v>
      </c>
      <c r="C458" s="2">
        <v>-1.7</v>
      </c>
      <c r="D458" s="2">
        <v>-1.8</v>
      </c>
      <c r="E458" s="2">
        <v>-1.5</v>
      </c>
      <c r="F458" s="2">
        <v>-0.2</v>
      </c>
      <c r="G458" s="2">
        <v>-4.7</v>
      </c>
      <c r="H458" s="2">
        <f>AVERAGE(weather.tbl[[#This Row],[Estevan]:[Kipling]])</f>
        <v>-1.9333333333333336</v>
      </c>
      <c r="I458" s="2">
        <f>_xlfn.STDEV.S(weather.tbl[[#This Row],[Estevan]:[Kipling]])</f>
        <v>1.4814407401805401</v>
      </c>
      <c r="J458" s="2">
        <f t="shared" ref="J458:J521" si="7">AVERAGE(H452:H458)</f>
        <v>5.8357142857142845</v>
      </c>
      <c r="K458">
        <f>DAY(weather.tbl[[#This Row],[Date]])</f>
        <v>2</v>
      </c>
      <c r="L458">
        <f>MONTH(weather.tbl[[#This Row],[Date]])</f>
        <v>4</v>
      </c>
      <c r="M458">
        <f>YEAR(weather.tbl[[#This Row],[Date]])</f>
        <v>2015</v>
      </c>
    </row>
    <row r="459" spans="1:13" x14ac:dyDescent="0.25">
      <c r="A459" s="1">
        <v>42097</v>
      </c>
      <c r="B459" s="2">
        <v>-0.8</v>
      </c>
      <c r="C459" s="2">
        <v>-1</v>
      </c>
      <c r="D459" s="2">
        <v>-1</v>
      </c>
      <c r="E459" s="2">
        <v>0.5</v>
      </c>
      <c r="F459" s="2">
        <v>-1</v>
      </c>
      <c r="G459" s="2">
        <v>-3.3</v>
      </c>
      <c r="H459" s="2">
        <f>AVERAGE(weather.tbl[[#This Row],[Estevan]:[Kipling]])</f>
        <v>-1.0999999999999999</v>
      </c>
      <c r="I459" s="2">
        <f>_xlfn.STDEV.S(weather.tbl[[#This Row],[Estevan]:[Kipling]])</f>
        <v>1.2263767773404712</v>
      </c>
      <c r="J459" s="2">
        <f t="shared" si="7"/>
        <v>5.1095238095238082</v>
      </c>
      <c r="K459">
        <f>DAY(weather.tbl[[#This Row],[Date]])</f>
        <v>3</v>
      </c>
      <c r="L459">
        <f>MONTH(weather.tbl[[#This Row],[Date]])</f>
        <v>4</v>
      </c>
      <c r="M459">
        <f>YEAR(weather.tbl[[#This Row],[Date]])</f>
        <v>2015</v>
      </c>
    </row>
    <row r="460" spans="1:13" x14ac:dyDescent="0.25">
      <c r="A460" s="1">
        <v>42098</v>
      </c>
      <c r="B460" s="2">
        <v>0.7</v>
      </c>
      <c r="C460" s="2">
        <v>0.6</v>
      </c>
      <c r="D460" s="2">
        <v>-1</v>
      </c>
      <c r="E460" s="2">
        <v>2</v>
      </c>
      <c r="F460" s="2">
        <v>-2.2000000000000002</v>
      </c>
      <c r="G460" s="2">
        <v>-2.6</v>
      </c>
      <c r="H460" s="2">
        <f>AVERAGE(weather.tbl[[#This Row],[Estevan]:[Kipling]])</f>
        <v>-0.41666666666666674</v>
      </c>
      <c r="I460" s="2">
        <f>_xlfn.STDEV.S(weather.tbl[[#This Row],[Estevan]:[Kipling]])</f>
        <v>1.8115371005493284</v>
      </c>
      <c r="J460" s="2">
        <f t="shared" si="7"/>
        <v>3.8452380952380953</v>
      </c>
      <c r="K460">
        <f>DAY(weather.tbl[[#This Row],[Date]])</f>
        <v>4</v>
      </c>
      <c r="L460">
        <f>MONTH(weather.tbl[[#This Row],[Date]])</f>
        <v>4</v>
      </c>
      <c r="M460">
        <f>YEAR(weather.tbl[[#This Row],[Date]])</f>
        <v>2015</v>
      </c>
    </row>
    <row r="461" spans="1:13" x14ac:dyDescent="0.25">
      <c r="A461" s="1">
        <v>42099</v>
      </c>
      <c r="B461" s="2">
        <v>-2.8</v>
      </c>
      <c r="C461" s="2">
        <v>-1.9</v>
      </c>
      <c r="D461" s="2">
        <v>-2.5</v>
      </c>
      <c r="E461" s="2">
        <v>0</v>
      </c>
      <c r="F461" s="2">
        <v>-2</v>
      </c>
      <c r="G461" s="2">
        <v>-4.9000000000000004</v>
      </c>
      <c r="H461" s="2">
        <f>AVERAGE(weather.tbl[[#This Row],[Estevan]:[Kipling]])</f>
        <v>-2.35</v>
      </c>
      <c r="I461" s="2">
        <f>_xlfn.STDEV.S(weather.tbl[[#This Row],[Estevan]:[Kipling]])</f>
        <v>1.5858751527153712</v>
      </c>
      <c r="J461" s="2">
        <f t="shared" si="7"/>
        <v>2.5714285714285707</v>
      </c>
      <c r="K461">
        <f>DAY(weather.tbl[[#This Row],[Date]])</f>
        <v>5</v>
      </c>
      <c r="L461">
        <f>MONTH(weather.tbl[[#This Row],[Date]])</f>
        <v>4</v>
      </c>
      <c r="M461">
        <f>YEAR(weather.tbl[[#This Row],[Date]])</f>
        <v>2015</v>
      </c>
    </row>
    <row r="462" spans="1:13" x14ac:dyDescent="0.25">
      <c r="A462" s="1">
        <v>42100</v>
      </c>
      <c r="B462" s="2">
        <v>-2.8</v>
      </c>
      <c r="C462" s="2">
        <v>-2.1</v>
      </c>
      <c r="D462" s="2">
        <v>-1.8</v>
      </c>
      <c r="E462" s="2">
        <v>-1.8</v>
      </c>
      <c r="F462" s="2">
        <v>-1.1000000000000001</v>
      </c>
      <c r="G462" s="2">
        <v>-2</v>
      </c>
      <c r="H462" s="2">
        <f>AVERAGE(weather.tbl[[#This Row],[Estevan]:[Kipling]])</f>
        <v>-1.9333333333333333</v>
      </c>
      <c r="I462" s="2">
        <f>_xlfn.STDEV.S(weather.tbl[[#This Row],[Estevan]:[Kipling]])</f>
        <v>0.55015149428740728</v>
      </c>
      <c r="J462" s="2">
        <f t="shared" si="7"/>
        <v>1.1738095238095239</v>
      </c>
      <c r="K462">
        <f>DAY(weather.tbl[[#This Row],[Date]])</f>
        <v>6</v>
      </c>
      <c r="L462">
        <f>MONTH(weather.tbl[[#This Row],[Date]])</f>
        <v>4</v>
      </c>
      <c r="M462">
        <f>YEAR(weather.tbl[[#This Row],[Date]])</f>
        <v>2015</v>
      </c>
    </row>
    <row r="463" spans="1:13" x14ac:dyDescent="0.25">
      <c r="A463" s="1">
        <v>42101</v>
      </c>
      <c r="B463" s="2">
        <v>-0.8</v>
      </c>
      <c r="C463" s="2">
        <v>-0.3</v>
      </c>
      <c r="D463" s="2">
        <v>-1.8</v>
      </c>
      <c r="E463" s="2">
        <v>1</v>
      </c>
      <c r="F463" s="2">
        <v>-1.2</v>
      </c>
      <c r="G463" s="2">
        <v>-1.7</v>
      </c>
      <c r="H463" s="2">
        <f>AVERAGE(weather.tbl[[#This Row],[Estevan]:[Kipling]])</f>
        <v>-0.80000000000000016</v>
      </c>
      <c r="I463" s="2">
        <f>_xlfn.STDEV.S(weather.tbl[[#This Row],[Estevan]:[Kipling]])</f>
        <v>1.0449880382090504</v>
      </c>
      <c r="J463" s="2">
        <f t="shared" si="7"/>
        <v>-0.15952380952380954</v>
      </c>
      <c r="K463">
        <f>DAY(weather.tbl[[#This Row],[Date]])</f>
        <v>7</v>
      </c>
      <c r="L463">
        <f>MONTH(weather.tbl[[#This Row],[Date]])</f>
        <v>4</v>
      </c>
      <c r="M463">
        <f>YEAR(weather.tbl[[#This Row],[Date]])</f>
        <v>2015</v>
      </c>
    </row>
    <row r="464" spans="1:13" x14ac:dyDescent="0.25">
      <c r="A464" s="1">
        <v>42102</v>
      </c>
      <c r="B464" s="2">
        <v>1.1000000000000001</v>
      </c>
      <c r="C464" s="2">
        <v>2.5</v>
      </c>
      <c r="D464" s="2">
        <v>0.8</v>
      </c>
      <c r="E464" s="2">
        <v>4.5</v>
      </c>
      <c r="F464" s="2">
        <v>1.5</v>
      </c>
      <c r="G464" s="2">
        <v>2.8</v>
      </c>
      <c r="H464" s="2">
        <f>AVERAGE(weather.tbl[[#This Row],[Estevan]:[Kipling]])</f>
        <v>2.1999999999999997</v>
      </c>
      <c r="I464" s="2">
        <f>_xlfn.STDEV.S(weather.tbl[[#This Row],[Estevan]:[Kipling]])</f>
        <v>1.3711309200802089</v>
      </c>
      <c r="J464" s="2">
        <f t="shared" si="7"/>
        <v>-0.9047619047619051</v>
      </c>
      <c r="K464">
        <f>DAY(weather.tbl[[#This Row],[Date]])</f>
        <v>8</v>
      </c>
      <c r="L464">
        <f>MONTH(weather.tbl[[#This Row],[Date]])</f>
        <v>4</v>
      </c>
      <c r="M464">
        <f>YEAR(weather.tbl[[#This Row],[Date]])</f>
        <v>2015</v>
      </c>
    </row>
    <row r="465" spans="1:13" x14ac:dyDescent="0.25">
      <c r="A465" s="1">
        <v>42103</v>
      </c>
      <c r="B465" s="2">
        <v>6.2</v>
      </c>
      <c r="C465" s="2">
        <v>6</v>
      </c>
      <c r="D465" s="2">
        <v>6.5</v>
      </c>
      <c r="E465" s="2">
        <v>8</v>
      </c>
      <c r="F465" s="2">
        <v>6</v>
      </c>
      <c r="G465" s="2">
        <v>4.5999999999999996</v>
      </c>
      <c r="H465" s="2">
        <f>AVERAGE(weather.tbl[[#This Row],[Estevan]:[Kipling]])</f>
        <v>6.2166666666666677</v>
      </c>
      <c r="I465" s="2">
        <f>_xlfn.STDEV.S(weather.tbl[[#This Row],[Estevan]:[Kipling]])</f>
        <v>1.0925505327748688</v>
      </c>
      <c r="J465" s="2">
        <f t="shared" si="7"/>
        <v>0.2595238095238096</v>
      </c>
      <c r="K465">
        <f>DAY(weather.tbl[[#This Row],[Date]])</f>
        <v>9</v>
      </c>
      <c r="L465">
        <f>MONTH(weather.tbl[[#This Row],[Date]])</f>
        <v>4</v>
      </c>
      <c r="M465">
        <f>YEAR(weather.tbl[[#This Row],[Date]])</f>
        <v>2015</v>
      </c>
    </row>
    <row r="466" spans="1:13" x14ac:dyDescent="0.25">
      <c r="A466" s="1">
        <v>42104</v>
      </c>
      <c r="B466" s="2">
        <v>6.7</v>
      </c>
      <c r="C466" s="2">
        <v>7</v>
      </c>
      <c r="D466" s="2">
        <v>5.8</v>
      </c>
      <c r="E466" s="2">
        <v>7.3</v>
      </c>
      <c r="F466" s="2">
        <v>4.5999999999999996</v>
      </c>
      <c r="G466" s="2">
        <v>6.1</v>
      </c>
      <c r="H466" s="2">
        <f>AVERAGE(weather.tbl[[#This Row],[Estevan]:[Kipling]])</f>
        <v>6.25</v>
      </c>
      <c r="I466" s="2">
        <f>_xlfn.STDEV.S(weather.tbl[[#This Row],[Estevan]:[Kipling]])</f>
        <v>0.98132563402776729</v>
      </c>
      <c r="J466" s="2">
        <f t="shared" si="7"/>
        <v>1.3095238095238098</v>
      </c>
      <c r="K466">
        <f>DAY(weather.tbl[[#This Row],[Date]])</f>
        <v>10</v>
      </c>
      <c r="L466">
        <f>MONTH(weather.tbl[[#This Row],[Date]])</f>
        <v>4</v>
      </c>
      <c r="M466">
        <f>YEAR(weather.tbl[[#This Row],[Date]])</f>
        <v>2015</v>
      </c>
    </row>
    <row r="467" spans="1:13" x14ac:dyDescent="0.25">
      <c r="A467" s="1">
        <v>42105</v>
      </c>
      <c r="B467" s="2">
        <v>12.9</v>
      </c>
      <c r="C467" s="2">
        <v>12</v>
      </c>
      <c r="D467" s="2">
        <v>5.8</v>
      </c>
      <c r="E467" s="2">
        <v>11</v>
      </c>
      <c r="F467" s="2">
        <v>12.3</v>
      </c>
      <c r="G467" s="2">
        <v>12</v>
      </c>
      <c r="H467" s="2">
        <f>AVERAGE(weather.tbl[[#This Row],[Estevan]:[Kipling]])</f>
        <v>11</v>
      </c>
      <c r="I467" s="2">
        <f>_xlfn.STDEV.S(weather.tbl[[#This Row],[Estevan]:[Kipling]])</f>
        <v>2.6206869328479478</v>
      </c>
      <c r="J467" s="2">
        <f t="shared" si="7"/>
        <v>2.9404761904761907</v>
      </c>
      <c r="K467">
        <f>DAY(weather.tbl[[#This Row],[Date]])</f>
        <v>11</v>
      </c>
      <c r="L467">
        <f>MONTH(weather.tbl[[#This Row],[Date]])</f>
        <v>4</v>
      </c>
      <c r="M467">
        <f>YEAR(weather.tbl[[#This Row],[Date]])</f>
        <v>2015</v>
      </c>
    </row>
    <row r="468" spans="1:13" x14ac:dyDescent="0.25">
      <c r="A468" s="1">
        <v>42106</v>
      </c>
      <c r="B468" s="2">
        <v>7.2</v>
      </c>
      <c r="C468" s="2">
        <v>7.1</v>
      </c>
      <c r="D468" s="2">
        <v>10</v>
      </c>
      <c r="E468" s="2">
        <v>9</v>
      </c>
      <c r="F468" s="2">
        <v>8.6</v>
      </c>
      <c r="G468" s="2">
        <v>7.3</v>
      </c>
      <c r="H468" s="2">
        <f>AVERAGE(weather.tbl[[#This Row],[Estevan]:[Kipling]])</f>
        <v>8.1999999999999993</v>
      </c>
      <c r="I468" s="2">
        <f>_xlfn.STDEV.S(weather.tbl[[#This Row],[Estevan]:[Kipling]])</f>
        <v>1.1882760622010455</v>
      </c>
      <c r="J468" s="2">
        <f t="shared" si="7"/>
        <v>4.4476190476190478</v>
      </c>
      <c r="K468">
        <f>DAY(weather.tbl[[#This Row],[Date]])</f>
        <v>12</v>
      </c>
      <c r="L468">
        <f>MONTH(weather.tbl[[#This Row],[Date]])</f>
        <v>4</v>
      </c>
      <c r="M468">
        <f>YEAR(weather.tbl[[#This Row],[Date]])</f>
        <v>2015</v>
      </c>
    </row>
    <row r="469" spans="1:13" x14ac:dyDescent="0.25">
      <c r="A469" s="1">
        <v>42107</v>
      </c>
      <c r="B469" s="2">
        <v>6.5</v>
      </c>
      <c r="C469" s="2">
        <v>6.3</v>
      </c>
      <c r="D469" s="2">
        <v>5.8</v>
      </c>
      <c r="E469" s="2">
        <v>7.3</v>
      </c>
      <c r="F469" s="2">
        <v>6.7</v>
      </c>
      <c r="G469" s="2">
        <v>5.4</v>
      </c>
      <c r="H469" s="2">
        <f>AVERAGE(weather.tbl[[#This Row],[Estevan]:[Kipling]])</f>
        <v>6.333333333333333</v>
      </c>
      <c r="I469" s="2">
        <f>_xlfn.STDEV.S(weather.tbl[[#This Row],[Estevan]:[Kipling]])</f>
        <v>0.67131711334261879</v>
      </c>
      <c r="J469" s="2">
        <f t="shared" si="7"/>
        <v>5.6285714285714281</v>
      </c>
      <c r="K469">
        <f>DAY(weather.tbl[[#This Row],[Date]])</f>
        <v>13</v>
      </c>
      <c r="L469">
        <f>MONTH(weather.tbl[[#This Row],[Date]])</f>
        <v>4</v>
      </c>
      <c r="M469">
        <f>YEAR(weather.tbl[[#This Row],[Date]])</f>
        <v>2015</v>
      </c>
    </row>
    <row r="470" spans="1:13" x14ac:dyDescent="0.25">
      <c r="A470" s="1">
        <v>42108</v>
      </c>
      <c r="B470" s="2">
        <v>11.9</v>
      </c>
      <c r="C470" s="2">
        <v>11.7</v>
      </c>
      <c r="D470" s="2">
        <v>10</v>
      </c>
      <c r="E470" s="2">
        <v>10</v>
      </c>
      <c r="F470" s="2">
        <v>11.7</v>
      </c>
      <c r="G470" s="2">
        <v>9.9</v>
      </c>
      <c r="H470" s="2">
        <f>AVERAGE(weather.tbl[[#This Row],[Estevan]:[Kipling]])</f>
        <v>10.866666666666667</v>
      </c>
      <c r="I470" s="2">
        <f>_xlfn.STDEV.S(weather.tbl[[#This Row],[Estevan]:[Kipling]])</f>
        <v>0.98927582941597547</v>
      </c>
      <c r="J470" s="2">
        <f t="shared" si="7"/>
        <v>7.295238095238096</v>
      </c>
      <c r="K470">
        <f>DAY(weather.tbl[[#This Row],[Date]])</f>
        <v>14</v>
      </c>
      <c r="L470">
        <f>MONTH(weather.tbl[[#This Row],[Date]])</f>
        <v>4</v>
      </c>
      <c r="M470">
        <f>YEAR(weather.tbl[[#This Row],[Date]])</f>
        <v>2015</v>
      </c>
    </row>
    <row r="471" spans="1:13" x14ac:dyDescent="0.25">
      <c r="A471" s="1">
        <v>42109</v>
      </c>
      <c r="B471" s="2">
        <v>11.5</v>
      </c>
      <c r="C471" s="2">
        <v>10.7</v>
      </c>
      <c r="D471" s="2">
        <v>15</v>
      </c>
      <c r="E471" s="2">
        <v>10.5</v>
      </c>
      <c r="F471" s="2">
        <v>14.8</v>
      </c>
      <c r="G471" s="2">
        <v>12</v>
      </c>
      <c r="H471" s="2">
        <f>AVERAGE(weather.tbl[[#This Row],[Estevan]:[Kipling]])</f>
        <v>12.416666666666666</v>
      </c>
      <c r="I471" s="2">
        <f>_xlfn.STDEV.S(weather.tbl[[#This Row],[Estevan]:[Kipling]])</f>
        <v>1.9994165815724017</v>
      </c>
      <c r="J471" s="2">
        <f t="shared" si="7"/>
        <v>8.7547619047619047</v>
      </c>
      <c r="K471">
        <f>DAY(weather.tbl[[#This Row],[Date]])</f>
        <v>15</v>
      </c>
      <c r="L471">
        <f>MONTH(weather.tbl[[#This Row],[Date]])</f>
        <v>4</v>
      </c>
      <c r="M471">
        <f>YEAR(weather.tbl[[#This Row],[Date]])</f>
        <v>2015</v>
      </c>
    </row>
    <row r="472" spans="1:13" x14ac:dyDescent="0.25">
      <c r="A472" s="1">
        <v>42110</v>
      </c>
      <c r="B472" s="2">
        <v>7.5</v>
      </c>
      <c r="C472" s="2">
        <v>6.3</v>
      </c>
      <c r="D472" s="2">
        <v>8.8000000000000007</v>
      </c>
      <c r="E472" s="2">
        <v>8.5</v>
      </c>
      <c r="F472" s="2">
        <v>9.8000000000000007</v>
      </c>
      <c r="G472" s="2">
        <v>7.9</v>
      </c>
      <c r="H472" s="2">
        <f>AVERAGE(weather.tbl[[#This Row],[Estevan]:[Kipling]])</f>
        <v>8.1333333333333346</v>
      </c>
      <c r="I472" s="2">
        <f>_xlfn.STDEV.S(weather.tbl[[#This Row],[Estevan]:[Kipling]])</f>
        <v>1.1977757163453673</v>
      </c>
      <c r="J472" s="2">
        <f t="shared" si="7"/>
        <v>9.0285714285714285</v>
      </c>
      <c r="K472">
        <f>DAY(weather.tbl[[#This Row],[Date]])</f>
        <v>16</v>
      </c>
      <c r="L472">
        <f>MONTH(weather.tbl[[#This Row],[Date]])</f>
        <v>4</v>
      </c>
      <c r="M472">
        <f>YEAR(weather.tbl[[#This Row],[Date]])</f>
        <v>2015</v>
      </c>
    </row>
    <row r="473" spans="1:13" x14ac:dyDescent="0.25">
      <c r="A473" s="1">
        <v>42111</v>
      </c>
      <c r="B473" s="2">
        <v>9.8000000000000007</v>
      </c>
      <c r="C473" s="2">
        <v>9.3000000000000007</v>
      </c>
      <c r="D473" s="2">
        <v>10.3</v>
      </c>
      <c r="E473" s="2">
        <v>12.5</v>
      </c>
      <c r="F473" s="2">
        <v>9.9</v>
      </c>
      <c r="G473" s="2">
        <v>9.6</v>
      </c>
      <c r="H473" s="2">
        <f>AVERAGE(weather.tbl[[#This Row],[Estevan]:[Kipling]])</f>
        <v>10.233333333333334</v>
      </c>
      <c r="I473" s="2">
        <f>_xlfn.STDEV.S(weather.tbl[[#This Row],[Estevan]:[Kipling]])</f>
        <v>1.1587349423689066</v>
      </c>
      <c r="J473" s="2">
        <f t="shared" si="7"/>
        <v>9.5976190476190482</v>
      </c>
      <c r="K473">
        <f>DAY(weather.tbl[[#This Row],[Date]])</f>
        <v>17</v>
      </c>
      <c r="L473">
        <f>MONTH(weather.tbl[[#This Row],[Date]])</f>
        <v>4</v>
      </c>
      <c r="M473">
        <f>YEAR(weather.tbl[[#This Row],[Date]])</f>
        <v>2015</v>
      </c>
    </row>
    <row r="474" spans="1:13" x14ac:dyDescent="0.25">
      <c r="A474" s="1">
        <v>42112</v>
      </c>
      <c r="B474" s="2">
        <v>11.4</v>
      </c>
      <c r="C474" s="2">
        <v>8.6</v>
      </c>
      <c r="D474" s="2">
        <v>12</v>
      </c>
      <c r="E474" s="2">
        <v>10</v>
      </c>
      <c r="F474" s="2">
        <v>10.8</v>
      </c>
      <c r="G474" s="2">
        <v>9.1</v>
      </c>
      <c r="H474" s="2">
        <f>AVERAGE(weather.tbl[[#This Row],[Estevan]:[Kipling]])</f>
        <v>10.316666666666666</v>
      </c>
      <c r="I474" s="2">
        <f>_xlfn.STDEV.S(weather.tbl[[#This Row],[Estevan]:[Kipling]])</f>
        <v>1.3242608000944096</v>
      </c>
      <c r="J474" s="2">
        <f t="shared" si="7"/>
        <v>9.5</v>
      </c>
      <c r="K474">
        <f>DAY(weather.tbl[[#This Row],[Date]])</f>
        <v>18</v>
      </c>
      <c r="L474">
        <f>MONTH(weather.tbl[[#This Row],[Date]])</f>
        <v>4</v>
      </c>
      <c r="M474">
        <f>YEAR(weather.tbl[[#This Row],[Date]])</f>
        <v>2015</v>
      </c>
    </row>
    <row r="475" spans="1:13" x14ac:dyDescent="0.25">
      <c r="A475" s="1">
        <v>42113</v>
      </c>
      <c r="B475" s="2">
        <v>2.5</v>
      </c>
      <c r="C475" s="2">
        <v>1.6</v>
      </c>
      <c r="D475" s="2">
        <v>4.3</v>
      </c>
      <c r="E475" s="2">
        <v>6.8</v>
      </c>
      <c r="F475" s="2">
        <v>4.7</v>
      </c>
      <c r="G475" s="2">
        <v>4.2</v>
      </c>
      <c r="H475" s="2">
        <f>AVERAGE(weather.tbl[[#This Row],[Estevan]:[Kipling]])</f>
        <v>4.0166666666666666</v>
      </c>
      <c r="I475" s="2">
        <f>_xlfn.STDEV.S(weather.tbl[[#This Row],[Estevan]:[Kipling]])</f>
        <v>1.8148461826465259</v>
      </c>
      <c r="J475" s="2">
        <f t="shared" si="7"/>
        <v>8.9023809523809518</v>
      </c>
      <c r="K475">
        <f>DAY(weather.tbl[[#This Row],[Date]])</f>
        <v>19</v>
      </c>
      <c r="L475">
        <f>MONTH(weather.tbl[[#This Row],[Date]])</f>
        <v>4</v>
      </c>
      <c r="M475">
        <f>YEAR(weather.tbl[[#This Row],[Date]])</f>
        <v>2015</v>
      </c>
    </row>
    <row r="476" spans="1:13" x14ac:dyDescent="0.25">
      <c r="A476" s="1">
        <v>42114</v>
      </c>
      <c r="B476" s="2">
        <v>2.6</v>
      </c>
      <c r="C476" s="2">
        <v>1.9</v>
      </c>
      <c r="D476" s="2">
        <v>2.2999999999999998</v>
      </c>
      <c r="E476" s="2">
        <v>3.5</v>
      </c>
      <c r="F476" s="2">
        <v>4.2</v>
      </c>
      <c r="G476" s="2">
        <v>1.8</v>
      </c>
      <c r="H476" s="2">
        <f>AVERAGE(weather.tbl[[#This Row],[Estevan]:[Kipling]])</f>
        <v>2.7166666666666668</v>
      </c>
      <c r="I476" s="2">
        <f>_xlfn.STDEV.S(weather.tbl[[#This Row],[Estevan]:[Kipling]])</f>
        <v>0.94956130221627433</v>
      </c>
      <c r="J476" s="2">
        <f t="shared" si="7"/>
        <v>8.3857142857142861</v>
      </c>
      <c r="K476">
        <f>DAY(weather.tbl[[#This Row],[Date]])</f>
        <v>20</v>
      </c>
      <c r="L476">
        <f>MONTH(weather.tbl[[#This Row],[Date]])</f>
        <v>4</v>
      </c>
      <c r="M476">
        <f>YEAR(weather.tbl[[#This Row],[Date]])</f>
        <v>2015</v>
      </c>
    </row>
    <row r="477" spans="1:13" x14ac:dyDescent="0.25">
      <c r="A477" s="1">
        <v>42115</v>
      </c>
      <c r="B477" s="2">
        <v>1.2</v>
      </c>
      <c r="C477" s="2">
        <v>1.3</v>
      </c>
      <c r="D477" s="2">
        <v>2.8</v>
      </c>
      <c r="E477" s="2">
        <v>2.5</v>
      </c>
      <c r="F477" s="2">
        <v>2.8</v>
      </c>
      <c r="G477" s="2">
        <v>1.6</v>
      </c>
      <c r="H477" s="2">
        <f>AVERAGE(weather.tbl[[#This Row],[Estevan]:[Kipling]])</f>
        <v>2.0333333333333332</v>
      </c>
      <c r="I477" s="2">
        <f>_xlfn.STDEV.S(weather.tbl[[#This Row],[Estevan]:[Kipling]])</f>
        <v>0.75011110288187788</v>
      </c>
      <c r="J477" s="2">
        <f t="shared" si="7"/>
        <v>7.1238095238095243</v>
      </c>
      <c r="K477">
        <f>DAY(weather.tbl[[#This Row],[Date]])</f>
        <v>21</v>
      </c>
      <c r="L477">
        <f>MONTH(weather.tbl[[#This Row],[Date]])</f>
        <v>4</v>
      </c>
      <c r="M477">
        <f>YEAR(weather.tbl[[#This Row],[Date]])</f>
        <v>2015</v>
      </c>
    </row>
    <row r="478" spans="1:13" x14ac:dyDescent="0.25">
      <c r="A478" s="1">
        <v>42116</v>
      </c>
      <c r="B478" s="2">
        <v>3.1</v>
      </c>
      <c r="C478" s="2">
        <v>3.3</v>
      </c>
      <c r="D478" s="2">
        <v>2.5</v>
      </c>
      <c r="E478" s="2">
        <v>3.3</v>
      </c>
      <c r="F478" s="2">
        <v>2</v>
      </c>
      <c r="G478" s="2">
        <v>3.7</v>
      </c>
      <c r="H478" s="2">
        <f>AVERAGE(weather.tbl[[#This Row],[Estevan]:[Kipling]])</f>
        <v>2.9833333333333329</v>
      </c>
      <c r="I478" s="2">
        <f>_xlfn.STDEV.S(weather.tbl[[#This Row],[Estevan]:[Kipling]])</f>
        <v>0.62102066524928701</v>
      </c>
      <c r="J478" s="2">
        <f t="shared" si="7"/>
        <v>5.776190476190477</v>
      </c>
      <c r="K478">
        <f>DAY(weather.tbl[[#This Row],[Date]])</f>
        <v>22</v>
      </c>
      <c r="L478">
        <f>MONTH(weather.tbl[[#This Row],[Date]])</f>
        <v>4</v>
      </c>
      <c r="M478">
        <f>YEAR(weather.tbl[[#This Row],[Date]])</f>
        <v>2015</v>
      </c>
    </row>
    <row r="479" spans="1:13" x14ac:dyDescent="0.25">
      <c r="A479" s="1">
        <v>42117</v>
      </c>
      <c r="B479" s="2">
        <v>2.9</v>
      </c>
      <c r="C479" s="2">
        <v>4.5</v>
      </c>
      <c r="D479" s="2">
        <v>3.5</v>
      </c>
      <c r="E479" s="2">
        <v>3.3</v>
      </c>
      <c r="F479" s="2">
        <v>3.9</v>
      </c>
      <c r="G479" s="2">
        <v>3.4</v>
      </c>
      <c r="H479" s="2">
        <f>AVERAGE(weather.tbl[[#This Row],[Estevan]:[Kipling]])</f>
        <v>3.5833333333333326</v>
      </c>
      <c r="I479" s="2">
        <f>_xlfn.STDEV.S(weather.tbl[[#This Row],[Estevan]:[Kipling]])</f>
        <v>0.55287129303904903</v>
      </c>
      <c r="J479" s="2">
        <f t="shared" si="7"/>
        <v>5.1261904761904757</v>
      </c>
      <c r="K479">
        <f>DAY(weather.tbl[[#This Row],[Date]])</f>
        <v>23</v>
      </c>
      <c r="L479">
        <f>MONTH(weather.tbl[[#This Row],[Date]])</f>
        <v>4</v>
      </c>
      <c r="M479">
        <f>YEAR(weather.tbl[[#This Row],[Date]])</f>
        <v>2015</v>
      </c>
    </row>
    <row r="480" spans="1:13" x14ac:dyDescent="0.25">
      <c r="A480" s="1">
        <v>42118</v>
      </c>
      <c r="B480" s="2">
        <v>7.3</v>
      </c>
      <c r="C480" s="2">
        <v>8.1999999999999993</v>
      </c>
      <c r="D480" s="2">
        <v>8.3000000000000007</v>
      </c>
      <c r="E480" s="2">
        <v>7</v>
      </c>
      <c r="F480" s="2">
        <v>7.8</v>
      </c>
      <c r="G480" s="2">
        <v>6.9</v>
      </c>
      <c r="H480" s="2">
        <f>AVERAGE(weather.tbl[[#This Row],[Estevan]:[Kipling]])</f>
        <v>7.583333333333333</v>
      </c>
      <c r="I480" s="2">
        <f>_xlfn.STDEV.S(weather.tbl[[#This Row],[Estevan]:[Kipling]])</f>
        <v>0.60470378423379045</v>
      </c>
      <c r="J480" s="2">
        <f t="shared" si="7"/>
        <v>4.7476190476190467</v>
      </c>
      <c r="K480">
        <f>DAY(weather.tbl[[#This Row],[Date]])</f>
        <v>24</v>
      </c>
      <c r="L480">
        <f>MONTH(weather.tbl[[#This Row],[Date]])</f>
        <v>4</v>
      </c>
      <c r="M480">
        <f>YEAR(weather.tbl[[#This Row],[Date]])</f>
        <v>2015</v>
      </c>
    </row>
    <row r="481" spans="1:13" x14ac:dyDescent="0.25">
      <c r="A481" s="1">
        <v>42119</v>
      </c>
      <c r="B481" s="2">
        <v>9.8000000000000007</v>
      </c>
      <c r="C481" s="2">
        <v>9.5</v>
      </c>
      <c r="D481" s="2">
        <v>8.8000000000000007</v>
      </c>
      <c r="E481" s="2">
        <v>9</v>
      </c>
      <c r="F481" s="2">
        <v>8.8000000000000007</v>
      </c>
      <c r="G481" s="2">
        <v>9.3000000000000007</v>
      </c>
      <c r="H481" s="2">
        <f>AVERAGE(weather.tbl[[#This Row],[Estevan]:[Kipling]])</f>
        <v>9.2000000000000011</v>
      </c>
      <c r="I481" s="2">
        <f>_xlfn.STDEV.S(weather.tbl[[#This Row],[Estevan]:[Kipling]])</f>
        <v>0.40496913462633172</v>
      </c>
      <c r="J481" s="2">
        <f t="shared" si="7"/>
        <v>4.5880952380952378</v>
      </c>
      <c r="K481">
        <f>DAY(weather.tbl[[#This Row],[Date]])</f>
        <v>25</v>
      </c>
      <c r="L481">
        <f>MONTH(weather.tbl[[#This Row],[Date]])</f>
        <v>4</v>
      </c>
      <c r="M481">
        <f>YEAR(weather.tbl[[#This Row],[Date]])</f>
        <v>2015</v>
      </c>
    </row>
    <row r="482" spans="1:13" x14ac:dyDescent="0.25">
      <c r="A482" s="1">
        <v>42120</v>
      </c>
      <c r="B482" s="2">
        <v>7.2</v>
      </c>
      <c r="C482" s="2">
        <v>5.4</v>
      </c>
      <c r="D482" s="2">
        <v>8</v>
      </c>
      <c r="E482" s="2">
        <v>5.5</v>
      </c>
      <c r="F482" s="2">
        <v>10.6</v>
      </c>
      <c r="G482" s="2">
        <v>4.7</v>
      </c>
      <c r="H482" s="2">
        <f>AVERAGE(weather.tbl[[#This Row],[Estevan]:[Kipling]])</f>
        <v>6.9000000000000012</v>
      </c>
      <c r="I482" s="2">
        <f>_xlfn.STDEV.S(weather.tbl[[#This Row],[Estevan]:[Kipling]])</f>
        <v>2.1927152117865174</v>
      </c>
      <c r="J482" s="2">
        <f t="shared" si="7"/>
        <v>5</v>
      </c>
      <c r="K482">
        <f>DAY(weather.tbl[[#This Row],[Date]])</f>
        <v>26</v>
      </c>
      <c r="L482">
        <f>MONTH(weather.tbl[[#This Row],[Date]])</f>
        <v>4</v>
      </c>
      <c r="M482">
        <f>YEAR(weather.tbl[[#This Row],[Date]])</f>
        <v>2015</v>
      </c>
    </row>
    <row r="483" spans="1:13" x14ac:dyDescent="0.25">
      <c r="A483" s="1">
        <v>42121</v>
      </c>
      <c r="B483" s="2">
        <v>9.5</v>
      </c>
      <c r="C483" s="2">
        <v>9.1999999999999993</v>
      </c>
      <c r="D483" s="2">
        <v>9.5</v>
      </c>
      <c r="E483" s="2">
        <v>10.5</v>
      </c>
      <c r="F483" s="2">
        <v>9</v>
      </c>
      <c r="G483" s="2">
        <v>8.5</v>
      </c>
      <c r="H483" s="2">
        <f>AVERAGE(weather.tbl[[#This Row],[Estevan]:[Kipling]])</f>
        <v>9.3666666666666671</v>
      </c>
      <c r="I483" s="2">
        <f>_xlfn.STDEV.S(weather.tbl[[#This Row],[Estevan]:[Kipling]])</f>
        <v>0.668331255192114</v>
      </c>
      <c r="J483" s="2">
        <f t="shared" si="7"/>
        <v>5.95</v>
      </c>
      <c r="K483">
        <f>DAY(weather.tbl[[#This Row],[Date]])</f>
        <v>27</v>
      </c>
      <c r="L483">
        <f>MONTH(weather.tbl[[#This Row],[Date]])</f>
        <v>4</v>
      </c>
      <c r="M483">
        <f>YEAR(weather.tbl[[#This Row],[Date]])</f>
        <v>2015</v>
      </c>
    </row>
    <row r="484" spans="1:13" x14ac:dyDescent="0.25">
      <c r="A484" s="1">
        <v>42122</v>
      </c>
      <c r="B484" s="2">
        <v>10.1</v>
      </c>
      <c r="C484" s="2">
        <v>10.3</v>
      </c>
      <c r="D484" s="2">
        <v>10.3</v>
      </c>
      <c r="E484" s="2">
        <v>12</v>
      </c>
      <c r="F484" s="2">
        <v>10.1</v>
      </c>
      <c r="G484" s="2">
        <v>10.8</v>
      </c>
      <c r="H484" s="2">
        <f>AVERAGE(weather.tbl[[#This Row],[Estevan]:[Kipling]])</f>
        <v>10.600000000000001</v>
      </c>
      <c r="I484" s="2">
        <f>_xlfn.STDEV.S(weather.tbl[[#This Row],[Estevan]:[Kipling]])</f>
        <v>0.73212020870892514</v>
      </c>
      <c r="J484" s="2">
        <f t="shared" si="7"/>
        <v>7.173809523809525</v>
      </c>
      <c r="K484">
        <f>DAY(weather.tbl[[#This Row],[Date]])</f>
        <v>28</v>
      </c>
      <c r="L484">
        <f>MONTH(weather.tbl[[#This Row],[Date]])</f>
        <v>4</v>
      </c>
      <c r="M484">
        <f>YEAR(weather.tbl[[#This Row],[Date]])</f>
        <v>2015</v>
      </c>
    </row>
    <row r="485" spans="1:13" x14ac:dyDescent="0.25">
      <c r="A485" s="1">
        <v>42123</v>
      </c>
      <c r="B485" s="2">
        <v>13.8</v>
      </c>
      <c r="C485" s="2">
        <v>14.3</v>
      </c>
      <c r="D485" s="2">
        <v>15.8</v>
      </c>
      <c r="E485" s="2">
        <v>13.5</v>
      </c>
      <c r="F485" s="2">
        <v>14.3</v>
      </c>
      <c r="G485" s="2">
        <v>15</v>
      </c>
      <c r="H485" s="2">
        <f>AVERAGE(weather.tbl[[#This Row],[Estevan]:[Kipling]])</f>
        <v>14.450000000000001</v>
      </c>
      <c r="I485" s="2">
        <f>_xlfn.STDEV.S(weather.tbl[[#This Row],[Estevan]:[Kipling]])</f>
        <v>0.83606219864313924</v>
      </c>
      <c r="J485" s="2">
        <f t="shared" si="7"/>
        <v>8.8119047619047635</v>
      </c>
      <c r="K485">
        <f>DAY(weather.tbl[[#This Row],[Date]])</f>
        <v>29</v>
      </c>
      <c r="L485">
        <f>MONTH(weather.tbl[[#This Row],[Date]])</f>
        <v>4</v>
      </c>
      <c r="M485">
        <f>YEAR(weather.tbl[[#This Row],[Date]])</f>
        <v>2015</v>
      </c>
    </row>
    <row r="486" spans="1:13" x14ac:dyDescent="0.25">
      <c r="A486" s="1">
        <v>42124</v>
      </c>
      <c r="B486" s="2">
        <v>12.4</v>
      </c>
      <c r="C486" s="2">
        <v>12</v>
      </c>
      <c r="D486" s="2">
        <v>13.3</v>
      </c>
      <c r="E486" s="2">
        <v>15.3</v>
      </c>
      <c r="F486" s="2">
        <v>13.3</v>
      </c>
      <c r="G486" s="2">
        <v>13.5</v>
      </c>
      <c r="H486" s="2">
        <f>AVERAGE(weather.tbl[[#This Row],[Estevan]:[Kipling]])</f>
        <v>13.299999999999999</v>
      </c>
      <c r="I486" s="2">
        <f>_xlfn.STDEV.S(weather.tbl[[#This Row],[Estevan]:[Kipling]])</f>
        <v>1.1436782764396638</v>
      </c>
      <c r="J486" s="2">
        <f t="shared" si="7"/>
        <v>10.200000000000001</v>
      </c>
      <c r="K486">
        <f>DAY(weather.tbl[[#This Row],[Date]])</f>
        <v>30</v>
      </c>
      <c r="L486">
        <f>MONTH(weather.tbl[[#This Row],[Date]])</f>
        <v>4</v>
      </c>
      <c r="M486">
        <f>YEAR(weather.tbl[[#This Row],[Date]])</f>
        <v>2015</v>
      </c>
    </row>
    <row r="487" spans="1:13" x14ac:dyDescent="0.25">
      <c r="A487" s="1">
        <v>42125</v>
      </c>
      <c r="B487" s="2">
        <v>12.7</v>
      </c>
      <c r="C487" s="2">
        <v>11.6</v>
      </c>
      <c r="D487" s="2">
        <v>12.5</v>
      </c>
      <c r="E487" s="2">
        <v>13.5</v>
      </c>
      <c r="F487" s="2">
        <v>13.9</v>
      </c>
      <c r="G487" s="2">
        <v>13.7</v>
      </c>
      <c r="H487" s="2">
        <f>AVERAGE(weather.tbl[[#This Row],[Estevan]:[Kipling]])</f>
        <v>12.983333333333334</v>
      </c>
      <c r="I487" s="2">
        <f>_xlfn.STDEV.S(weather.tbl[[#This Row],[Estevan]:[Kipling]])</f>
        <v>0.87730648388500299</v>
      </c>
      <c r="J487" s="2">
        <f t="shared" si="7"/>
        <v>10.971428571428573</v>
      </c>
      <c r="K487">
        <f>DAY(weather.tbl[[#This Row],[Date]])</f>
        <v>1</v>
      </c>
      <c r="L487">
        <f>MONTH(weather.tbl[[#This Row],[Date]])</f>
        <v>5</v>
      </c>
      <c r="M487">
        <f>YEAR(weather.tbl[[#This Row],[Date]])</f>
        <v>2015</v>
      </c>
    </row>
    <row r="488" spans="1:13" x14ac:dyDescent="0.25">
      <c r="A488" s="1">
        <v>42126</v>
      </c>
      <c r="B488" s="2">
        <v>13.4</v>
      </c>
      <c r="C488" s="2">
        <v>12.3</v>
      </c>
      <c r="D488" s="2">
        <v>15</v>
      </c>
      <c r="E488" s="2">
        <v>14.8</v>
      </c>
      <c r="F488" s="2">
        <v>16.100000000000001</v>
      </c>
      <c r="G488" s="2">
        <v>13.2</v>
      </c>
      <c r="H488" s="2">
        <f>AVERAGE(weather.tbl[[#This Row],[Estevan]:[Kipling]])</f>
        <v>14.133333333333333</v>
      </c>
      <c r="I488" s="2">
        <f>_xlfn.STDEV.S(weather.tbl[[#This Row],[Estevan]:[Kipling]])</f>
        <v>1.402378931197509</v>
      </c>
      <c r="J488" s="2">
        <f t="shared" si="7"/>
        <v>11.676190476190474</v>
      </c>
      <c r="K488">
        <f>DAY(weather.tbl[[#This Row],[Date]])</f>
        <v>2</v>
      </c>
      <c r="L488">
        <f>MONTH(weather.tbl[[#This Row],[Date]])</f>
        <v>5</v>
      </c>
      <c r="M488">
        <f>YEAR(weather.tbl[[#This Row],[Date]])</f>
        <v>2015</v>
      </c>
    </row>
    <row r="489" spans="1:13" x14ac:dyDescent="0.25">
      <c r="A489" s="1">
        <v>42127</v>
      </c>
      <c r="B489" s="2">
        <v>9</v>
      </c>
      <c r="C489" s="2">
        <v>8.4</v>
      </c>
      <c r="D489" s="2">
        <v>9.3000000000000007</v>
      </c>
      <c r="E489" s="2">
        <v>11</v>
      </c>
      <c r="F489" s="2">
        <v>10.3</v>
      </c>
      <c r="G489" s="2">
        <v>8.5</v>
      </c>
      <c r="H489" s="2">
        <f>AVERAGE(weather.tbl[[#This Row],[Estevan]:[Kipling]])</f>
        <v>9.4166666666666661</v>
      </c>
      <c r="I489" s="2">
        <f>_xlfn.STDEV.S(weather.tbl[[#This Row],[Estevan]:[Kipling]])</f>
        <v>1.0342469079802301</v>
      </c>
      <c r="J489" s="2">
        <f t="shared" si="7"/>
        <v>12.035714285714288</v>
      </c>
      <c r="K489">
        <f>DAY(weather.tbl[[#This Row],[Date]])</f>
        <v>3</v>
      </c>
      <c r="L489">
        <f>MONTH(weather.tbl[[#This Row],[Date]])</f>
        <v>5</v>
      </c>
      <c r="M489">
        <f>YEAR(weather.tbl[[#This Row],[Date]])</f>
        <v>2015</v>
      </c>
    </row>
    <row r="490" spans="1:13" x14ac:dyDescent="0.25">
      <c r="A490" s="1">
        <v>42128</v>
      </c>
      <c r="B490" s="2">
        <v>10.3</v>
      </c>
      <c r="C490" s="2">
        <v>10.199999999999999</v>
      </c>
      <c r="D490" s="2">
        <v>10</v>
      </c>
      <c r="E490" s="2">
        <v>11</v>
      </c>
      <c r="F490" s="2">
        <v>9.8000000000000007</v>
      </c>
      <c r="G490" s="2">
        <v>10.3</v>
      </c>
      <c r="H490" s="2">
        <f>AVERAGE(weather.tbl[[#This Row],[Estevan]:[Kipling]])</f>
        <v>10.266666666666666</v>
      </c>
      <c r="I490" s="2">
        <f>_xlfn.STDEV.S(weather.tbl[[#This Row],[Estevan]:[Kipling]])</f>
        <v>0.40824829046386285</v>
      </c>
      <c r="J490" s="2">
        <f t="shared" si="7"/>
        <v>12.164285714285715</v>
      </c>
      <c r="K490">
        <f>DAY(weather.tbl[[#This Row],[Date]])</f>
        <v>4</v>
      </c>
      <c r="L490">
        <f>MONTH(weather.tbl[[#This Row],[Date]])</f>
        <v>5</v>
      </c>
      <c r="M490">
        <f>YEAR(weather.tbl[[#This Row],[Date]])</f>
        <v>2015</v>
      </c>
    </row>
    <row r="491" spans="1:13" x14ac:dyDescent="0.25">
      <c r="A491" s="1">
        <v>42129</v>
      </c>
      <c r="B491" s="2">
        <v>16.3</v>
      </c>
      <c r="C491" s="2">
        <v>16.7</v>
      </c>
      <c r="D491" s="2">
        <v>15</v>
      </c>
      <c r="E491" s="2">
        <v>16</v>
      </c>
      <c r="F491" s="2">
        <v>15.9</v>
      </c>
      <c r="G491" s="2">
        <v>16.600000000000001</v>
      </c>
      <c r="H491" s="2">
        <f>AVERAGE(weather.tbl[[#This Row],[Estevan]:[Kipling]])</f>
        <v>16.083333333333332</v>
      </c>
      <c r="I491" s="2">
        <f>_xlfn.STDEV.S(weather.tbl[[#This Row],[Estevan]:[Kipling]])</f>
        <v>0.61779176642835476</v>
      </c>
      <c r="J491" s="2">
        <f t="shared" si="7"/>
        <v>12.947619047619046</v>
      </c>
      <c r="K491">
        <f>DAY(weather.tbl[[#This Row],[Date]])</f>
        <v>5</v>
      </c>
      <c r="L491">
        <f>MONTH(weather.tbl[[#This Row],[Date]])</f>
        <v>5</v>
      </c>
      <c r="M491">
        <f>YEAR(weather.tbl[[#This Row],[Date]])</f>
        <v>2015</v>
      </c>
    </row>
    <row r="492" spans="1:13" x14ac:dyDescent="0.25">
      <c r="A492" s="1">
        <v>42130</v>
      </c>
      <c r="B492" s="2">
        <v>13.9</v>
      </c>
      <c r="C492" s="2">
        <v>13.6</v>
      </c>
      <c r="D492" s="2">
        <v>13.5</v>
      </c>
      <c r="E492" s="2">
        <v>13.5</v>
      </c>
      <c r="F492" s="2">
        <v>15.6</v>
      </c>
      <c r="G492" s="2">
        <v>13.6</v>
      </c>
      <c r="H492" s="2">
        <f>AVERAGE(weather.tbl[[#This Row],[Estevan]:[Kipling]])</f>
        <v>13.949999999999998</v>
      </c>
      <c r="I492" s="2">
        <f>_xlfn.STDEV.S(weather.tbl[[#This Row],[Estevan]:[Kipling]])</f>
        <v>0.82158383625774922</v>
      </c>
      <c r="J492" s="2">
        <f t="shared" si="7"/>
        <v>12.876190476190475</v>
      </c>
      <c r="K492">
        <f>DAY(weather.tbl[[#This Row],[Date]])</f>
        <v>6</v>
      </c>
      <c r="L492">
        <f>MONTH(weather.tbl[[#This Row],[Date]])</f>
        <v>5</v>
      </c>
      <c r="M492">
        <f>YEAR(weather.tbl[[#This Row],[Date]])</f>
        <v>2015</v>
      </c>
    </row>
    <row r="493" spans="1:13" x14ac:dyDescent="0.25">
      <c r="A493" s="1">
        <v>42131</v>
      </c>
      <c r="B493" s="2">
        <v>5.9</v>
      </c>
      <c r="C493" s="2">
        <v>6</v>
      </c>
      <c r="D493" s="2">
        <v>8.8000000000000007</v>
      </c>
      <c r="E493" s="2">
        <v>6.8</v>
      </c>
      <c r="F493" s="2">
        <v>9.1999999999999993</v>
      </c>
      <c r="G493" s="2">
        <v>5.8</v>
      </c>
      <c r="H493" s="2">
        <f>AVERAGE(weather.tbl[[#This Row],[Estevan]:[Kipling]])</f>
        <v>7.083333333333333</v>
      </c>
      <c r="I493" s="2">
        <f>_xlfn.STDEV.S(weather.tbl[[#This Row],[Estevan]:[Kipling]])</f>
        <v>1.5315569420255517</v>
      </c>
      <c r="J493" s="2">
        <f t="shared" si="7"/>
        <v>11.988095238095237</v>
      </c>
      <c r="K493">
        <f>DAY(weather.tbl[[#This Row],[Date]])</f>
        <v>7</v>
      </c>
      <c r="L493">
        <f>MONTH(weather.tbl[[#This Row],[Date]])</f>
        <v>5</v>
      </c>
      <c r="M493">
        <f>YEAR(weather.tbl[[#This Row],[Date]])</f>
        <v>2015</v>
      </c>
    </row>
    <row r="494" spans="1:13" x14ac:dyDescent="0.25">
      <c r="A494" s="1">
        <v>42132</v>
      </c>
      <c r="B494" s="2">
        <v>3</v>
      </c>
      <c r="C494" s="2">
        <v>2</v>
      </c>
      <c r="D494" s="2">
        <v>3.3</v>
      </c>
      <c r="E494" s="2">
        <v>3.5</v>
      </c>
      <c r="F494" s="2">
        <v>3.4</v>
      </c>
      <c r="G494" s="2">
        <v>2.2000000000000002</v>
      </c>
      <c r="H494" s="2">
        <f>AVERAGE(weather.tbl[[#This Row],[Estevan]:[Kipling]])</f>
        <v>2.9000000000000004</v>
      </c>
      <c r="I494" s="2">
        <f>_xlfn.STDEV.S(weather.tbl[[#This Row],[Estevan]:[Kipling]])</f>
        <v>0.64498061986388366</v>
      </c>
      <c r="J494" s="2">
        <f t="shared" si="7"/>
        <v>10.547619047619047</v>
      </c>
      <c r="K494">
        <f>DAY(weather.tbl[[#This Row],[Date]])</f>
        <v>8</v>
      </c>
      <c r="L494">
        <f>MONTH(weather.tbl[[#This Row],[Date]])</f>
        <v>5</v>
      </c>
      <c r="M494">
        <f>YEAR(weather.tbl[[#This Row],[Date]])</f>
        <v>2015</v>
      </c>
    </row>
    <row r="495" spans="1:13" x14ac:dyDescent="0.25">
      <c r="A495" s="1">
        <v>42133</v>
      </c>
      <c r="B495" s="2">
        <v>4.5999999999999996</v>
      </c>
      <c r="C495" s="2">
        <v>3.7</v>
      </c>
      <c r="D495" s="2">
        <v>4</v>
      </c>
      <c r="E495" s="2">
        <v>4.3</v>
      </c>
      <c r="F495" s="2">
        <v>3.8</v>
      </c>
      <c r="G495" s="2">
        <v>4.4000000000000004</v>
      </c>
      <c r="H495" s="2">
        <f>AVERAGE(weather.tbl[[#This Row],[Estevan]:[Kipling]])</f>
        <v>4.1333333333333337</v>
      </c>
      <c r="I495" s="2">
        <f>_xlfn.STDEV.S(weather.tbl[[#This Row],[Estevan]:[Kipling]])</f>
        <v>0.35590260840104371</v>
      </c>
      <c r="J495" s="2">
        <f t="shared" si="7"/>
        <v>9.1190476190476186</v>
      </c>
      <c r="K495">
        <f>DAY(weather.tbl[[#This Row],[Date]])</f>
        <v>9</v>
      </c>
      <c r="L495">
        <f>MONTH(weather.tbl[[#This Row],[Date]])</f>
        <v>5</v>
      </c>
      <c r="M495">
        <f>YEAR(weather.tbl[[#This Row],[Date]])</f>
        <v>2015</v>
      </c>
    </row>
    <row r="496" spans="1:13" x14ac:dyDescent="0.25">
      <c r="A496" s="1">
        <v>42134</v>
      </c>
      <c r="B496" s="2">
        <v>5.7</v>
      </c>
      <c r="C496" s="2">
        <v>4.9000000000000004</v>
      </c>
      <c r="D496" s="2">
        <v>5.3</v>
      </c>
      <c r="E496" s="2">
        <v>6.8</v>
      </c>
      <c r="F496" s="2">
        <v>4.9000000000000004</v>
      </c>
      <c r="G496" s="2">
        <v>6.9</v>
      </c>
      <c r="H496" s="2">
        <f>AVERAGE(weather.tbl[[#This Row],[Estevan]:[Kipling]])</f>
        <v>5.75</v>
      </c>
      <c r="I496" s="2">
        <f>_xlfn.STDEV.S(weather.tbl[[#This Row],[Estevan]:[Kipling]])</f>
        <v>0.9027735042633882</v>
      </c>
      <c r="J496" s="2">
        <f t="shared" si="7"/>
        <v>8.5952380952380949</v>
      </c>
      <c r="K496">
        <f>DAY(weather.tbl[[#This Row],[Date]])</f>
        <v>10</v>
      </c>
      <c r="L496">
        <f>MONTH(weather.tbl[[#This Row],[Date]])</f>
        <v>5</v>
      </c>
      <c r="M496">
        <f>YEAR(weather.tbl[[#This Row],[Date]])</f>
        <v>2015</v>
      </c>
    </row>
    <row r="497" spans="1:13" x14ac:dyDescent="0.25">
      <c r="A497" s="1">
        <v>42135</v>
      </c>
      <c r="B497" s="2">
        <v>5.9</v>
      </c>
      <c r="C497" s="2">
        <v>7</v>
      </c>
      <c r="D497" s="2">
        <v>7</v>
      </c>
      <c r="E497" s="2">
        <v>8.8000000000000007</v>
      </c>
      <c r="F497" s="2">
        <v>7.1</v>
      </c>
      <c r="G497" s="2">
        <v>6.1</v>
      </c>
      <c r="H497" s="2">
        <f>AVERAGE(weather.tbl[[#This Row],[Estevan]:[Kipling]])</f>
        <v>6.9833333333333334</v>
      </c>
      <c r="I497" s="2">
        <f>_xlfn.STDEV.S(weather.tbl[[#This Row],[Estevan]:[Kipling]])</f>
        <v>1.0264826674945191</v>
      </c>
      <c r="J497" s="2">
        <f t="shared" si="7"/>
        <v>8.1261904761904766</v>
      </c>
      <c r="K497">
        <f>DAY(weather.tbl[[#This Row],[Date]])</f>
        <v>11</v>
      </c>
      <c r="L497">
        <f>MONTH(weather.tbl[[#This Row],[Date]])</f>
        <v>5</v>
      </c>
      <c r="M497">
        <f>YEAR(weather.tbl[[#This Row],[Date]])</f>
        <v>2015</v>
      </c>
    </row>
    <row r="498" spans="1:13" x14ac:dyDescent="0.25">
      <c r="A498" s="1">
        <v>42136</v>
      </c>
      <c r="B498" s="2">
        <v>8.6</v>
      </c>
      <c r="C498" s="2">
        <v>8.6999999999999993</v>
      </c>
      <c r="D498" s="2">
        <v>6.8</v>
      </c>
      <c r="E498" s="2">
        <v>8.5</v>
      </c>
      <c r="F498" s="2">
        <v>5.9</v>
      </c>
      <c r="G498" s="2">
        <v>6.1</v>
      </c>
      <c r="H498" s="2">
        <f>AVERAGE(weather.tbl[[#This Row],[Estevan]:[Kipling]])</f>
        <v>7.4333333333333327</v>
      </c>
      <c r="I498" s="2">
        <f>_xlfn.STDEV.S(weather.tbl[[#This Row],[Estevan]:[Kipling]])</f>
        <v>1.3140268896284719</v>
      </c>
      <c r="J498" s="2">
        <f t="shared" si="7"/>
        <v>6.89047619047619</v>
      </c>
      <c r="K498">
        <f>DAY(weather.tbl[[#This Row],[Date]])</f>
        <v>12</v>
      </c>
      <c r="L498">
        <f>MONTH(weather.tbl[[#This Row],[Date]])</f>
        <v>5</v>
      </c>
      <c r="M498">
        <f>YEAR(weather.tbl[[#This Row],[Date]])</f>
        <v>2015</v>
      </c>
    </row>
    <row r="499" spans="1:13" x14ac:dyDescent="0.25">
      <c r="A499" s="1">
        <v>42137</v>
      </c>
      <c r="B499" s="2">
        <v>7.2</v>
      </c>
      <c r="C499" s="2">
        <v>6.6</v>
      </c>
      <c r="D499" s="2">
        <v>5.8</v>
      </c>
      <c r="E499" s="2">
        <v>7</v>
      </c>
      <c r="F499" s="2">
        <v>7.2</v>
      </c>
      <c r="G499" s="2">
        <v>6.1</v>
      </c>
      <c r="H499" s="2">
        <f>AVERAGE(weather.tbl[[#This Row],[Estevan]:[Kipling]])</f>
        <v>6.6500000000000012</v>
      </c>
      <c r="I499" s="2">
        <f>_xlfn.STDEV.S(weather.tbl[[#This Row],[Estevan]:[Kipling]])</f>
        <v>0.59245252974394513</v>
      </c>
      <c r="J499" s="2">
        <f t="shared" si="7"/>
        <v>5.8476190476190473</v>
      </c>
      <c r="K499">
        <f>DAY(weather.tbl[[#This Row],[Date]])</f>
        <v>13</v>
      </c>
      <c r="L499">
        <f>MONTH(weather.tbl[[#This Row],[Date]])</f>
        <v>5</v>
      </c>
      <c r="M499">
        <f>YEAR(weather.tbl[[#This Row],[Date]])</f>
        <v>2015</v>
      </c>
    </row>
    <row r="500" spans="1:13" x14ac:dyDescent="0.25">
      <c r="A500" s="1">
        <v>42138</v>
      </c>
      <c r="B500" s="2">
        <v>6.5</v>
      </c>
      <c r="C500" s="2">
        <v>7.5</v>
      </c>
      <c r="D500" s="2">
        <v>7.8</v>
      </c>
      <c r="E500" s="2">
        <v>9.5</v>
      </c>
      <c r="F500" s="2">
        <v>7.2</v>
      </c>
      <c r="G500" s="2">
        <v>8.3000000000000007</v>
      </c>
      <c r="H500" s="2">
        <f>AVERAGE(weather.tbl[[#This Row],[Estevan]:[Kipling]])</f>
        <v>7.8</v>
      </c>
      <c r="I500" s="2">
        <f>_xlfn.STDEV.S(weather.tbl[[#This Row],[Estevan]:[Kipling]])</f>
        <v>1.0276186062932189</v>
      </c>
      <c r="J500" s="2">
        <f t="shared" si="7"/>
        <v>5.95</v>
      </c>
      <c r="K500">
        <f>DAY(weather.tbl[[#This Row],[Date]])</f>
        <v>14</v>
      </c>
      <c r="L500">
        <f>MONTH(weather.tbl[[#This Row],[Date]])</f>
        <v>5</v>
      </c>
      <c r="M500">
        <f>YEAR(weather.tbl[[#This Row],[Date]])</f>
        <v>2015</v>
      </c>
    </row>
    <row r="501" spans="1:13" x14ac:dyDescent="0.25">
      <c r="A501" s="1">
        <v>42139</v>
      </c>
      <c r="B501" s="2">
        <v>8</v>
      </c>
      <c r="C501" s="2">
        <v>8.1999999999999993</v>
      </c>
      <c r="D501" s="2">
        <v>8</v>
      </c>
      <c r="E501" s="2">
        <v>9.8000000000000007</v>
      </c>
      <c r="F501" s="2">
        <v>10.4</v>
      </c>
      <c r="G501" s="2">
        <v>9.6999999999999993</v>
      </c>
      <c r="H501" s="2">
        <f>AVERAGE(weather.tbl[[#This Row],[Estevan]:[Kipling]])</f>
        <v>9.0166666666666657</v>
      </c>
      <c r="I501" s="2">
        <f>_xlfn.STDEV.S(weather.tbl[[#This Row],[Estevan]:[Kipling]])</f>
        <v>1.0703581954965793</v>
      </c>
      <c r="J501" s="2">
        <f t="shared" si="7"/>
        <v>6.8238095238095235</v>
      </c>
      <c r="K501">
        <f>DAY(weather.tbl[[#This Row],[Date]])</f>
        <v>15</v>
      </c>
      <c r="L501">
        <f>MONTH(weather.tbl[[#This Row],[Date]])</f>
        <v>5</v>
      </c>
      <c r="M501">
        <f>YEAR(weather.tbl[[#This Row],[Date]])</f>
        <v>2015</v>
      </c>
    </row>
    <row r="502" spans="1:13" x14ac:dyDescent="0.25">
      <c r="A502" s="1">
        <v>42140</v>
      </c>
      <c r="B502" s="2">
        <v>7.8</v>
      </c>
      <c r="C502" s="2">
        <v>11.1</v>
      </c>
      <c r="D502" s="2">
        <v>8</v>
      </c>
      <c r="E502" s="2">
        <v>10</v>
      </c>
      <c r="F502" s="2">
        <v>8.5</v>
      </c>
      <c r="G502" s="2">
        <v>11.5</v>
      </c>
      <c r="H502" s="2">
        <f>AVERAGE(weather.tbl[[#This Row],[Estevan]:[Kipling]])</f>
        <v>9.4833333333333325</v>
      </c>
      <c r="I502" s="2">
        <f>_xlfn.STDEV.S(weather.tbl[[#This Row],[Estevan]:[Kipling]])</f>
        <v>1.609244128983131</v>
      </c>
      <c r="J502" s="2">
        <f t="shared" si="7"/>
        <v>7.5880952380952378</v>
      </c>
      <c r="K502">
        <f>DAY(weather.tbl[[#This Row],[Date]])</f>
        <v>16</v>
      </c>
      <c r="L502">
        <f>MONTH(weather.tbl[[#This Row],[Date]])</f>
        <v>5</v>
      </c>
      <c r="M502">
        <f>YEAR(weather.tbl[[#This Row],[Date]])</f>
        <v>2015</v>
      </c>
    </row>
    <row r="503" spans="1:13" x14ac:dyDescent="0.25">
      <c r="A503" s="1">
        <v>42141</v>
      </c>
      <c r="B503" s="2">
        <v>5.2</v>
      </c>
      <c r="C503" s="2">
        <v>4.8</v>
      </c>
      <c r="D503" s="2">
        <v>8</v>
      </c>
      <c r="E503" s="2">
        <v>5</v>
      </c>
      <c r="F503" s="2">
        <v>4.4000000000000004</v>
      </c>
      <c r="G503" s="2">
        <v>1.7</v>
      </c>
      <c r="H503" s="2">
        <f>AVERAGE(weather.tbl[[#This Row],[Estevan]:[Kipling]])</f>
        <v>4.8499999999999996</v>
      </c>
      <c r="I503" s="2">
        <f>_xlfn.STDEV.S(weather.tbl[[#This Row],[Estevan]:[Kipling]])</f>
        <v>2.0097263495312001</v>
      </c>
      <c r="J503" s="2">
        <f t="shared" si="7"/>
        <v>7.4595238095238097</v>
      </c>
      <c r="K503">
        <f>DAY(weather.tbl[[#This Row],[Date]])</f>
        <v>17</v>
      </c>
      <c r="L503">
        <f>MONTH(weather.tbl[[#This Row],[Date]])</f>
        <v>5</v>
      </c>
      <c r="M503">
        <f>YEAR(weather.tbl[[#This Row],[Date]])</f>
        <v>2015</v>
      </c>
    </row>
    <row r="504" spans="1:13" x14ac:dyDescent="0.25">
      <c r="A504" s="1">
        <v>42142</v>
      </c>
      <c r="B504" s="2">
        <v>4</v>
      </c>
      <c r="C504" s="2">
        <v>3.5</v>
      </c>
      <c r="D504" s="2">
        <v>8</v>
      </c>
      <c r="E504" s="2">
        <v>5.5</v>
      </c>
      <c r="F504" s="2">
        <v>4.9000000000000004</v>
      </c>
      <c r="G504" s="2">
        <v>4.0999999999999996</v>
      </c>
      <c r="H504" s="2">
        <f>AVERAGE(weather.tbl[[#This Row],[Estevan]:[Kipling]])</f>
        <v>5</v>
      </c>
      <c r="I504" s="2">
        <f>_xlfn.STDEV.S(weather.tbl[[#This Row],[Estevan]:[Kipling]])</f>
        <v>1.6321764610482528</v>
      </c>
      <c r="J504" s="2">
        <f t="shared" si="7"/>
        <v>7.1761904761904765</v>
      </c>
      <c r="K504">
        <f>DAY(weather.tbl[[#This Row],[Date]])</f>
        <v>18</v>
      </c>
      <c r="L504">
        <f>MONTH(weather.tbl[[#This Row],[Date]])</f>
        <v>5</v>
      </c>
      <c r="M504">
        <f>YEAR(weather.tbl[[#This Row],[Date]])</f>
        <v>2015</v>
      </c>
    </row>
    <row r="505" spans="1:13" x14ac:dyDescent="0.25">
      <c r="A505" s="1">
        <v>42143</v>
      </c>
      <c r="B505" s="2">
        <v>7.7</v>
      </c>
      <c r="C505" s="2">
        <v>7.3</v>
      </c>
      <c r="D505" s="2">
        <v>7.8</v>
      </c>
      <c r="E505" s="2">
        <v>8.3000000000000007</v>
      </c>
      <c r="F505" s="2">
        <v>7.9</v>
      </c>
      <c r="G505" s="2">
        <v>8.6999999999999993</v>
      </c>
      <c r="H505" s="2">
        <f>AVERAGE(weather.tbl[[#This Row],[Estevan]:[Kipling]])</f>
        <v>7.95</v>
      </c>
      <c r="I505" s="2">
        <f>_xlfn.STDEV.S(weather.tbl[[#This Row],[Estevan]:[Kipling]])</f>
        <v>0.48887626246321259</v>
      </c>
      <c r="J505" s="2">
        <f t="shared" si="7"/>
        <v>7.2500000000000009</v>
      </c>
      <c r="K505">
        <f>DAY(weather.tbl[[#This Row],[Date]])</f>
        <v>19</v>
      </c>
      <c r="L505">
        <f>MONTH(weather.tbl[[#This Row],[Date]])</f>
        <v>5</v>
      </c>
      <c r="M505">
        <f>YEAR(weather.tbl[[#This Row],[Date]])</f>
        <v>2015</v>
      </c>
    </row>
    <row r="506" spans="1:13" x14ac:dyDescent="0.25">
      <c r="A506" s="1">
        <v>42144</v>
      </c>
      <c r="B506" s="2">
        <v>12</v>
      </c>
      <c r="C506" s="2">
        <v>12.6</v>
      </c>
      <c r="D506" s="2">
        <v>12.5</v>
      </c>
      <c r="E506" s="2">
        <v>13.8</v>
      </c>
      <c r="F506" s="2">
        <v>13.9</v>
      </c>
      <c r="G506" s="2">
        <v>12.8</v>
      </c>
      <c r="H506" s="2">
        <f>AVERAGE(weather.tbl[[#This Row],[Estevan]:[Kipling]])</f>
        <v>12.933333333333335</v>
      </c>
      <c r="I506" s="2">
        <f>_xlfn.STDEV.S(weather.tbl[[#This Row],[Estevan]:[Kipling]])</f>
        <v>0.75806771905065784</v>
      </c>
      <c r="J506" s="2">
        <f t="shared" si="7"/>
        <v>8.1476190476190489</v>
      </c>
      <c r="K506">
        <f>DAY(weather.tbl[[#This Row],[Date]])</f>
        <v>20</v>
      </c>
      <c r="L506">
        <f>MONTH(weather.tbl[[#This Row],[Date]])</f>
        <v>5</v>
      </c>
      <c r="M506">
        <f>YEAR(weather.tbl[[#This Row],[Date]])</f>
        <v>2015</v>
      </c>
    </row>
    <row r="507" spans="1:13" x14ac:dyDescent="0.25">
      <c r="A507" s="1">
        <v>42145</v>
      </c>
      <c r="B507" s="2">
        <v>14.3</v>
      </c>
      <c r="C507" s="2">
        <v>13.5</v>
      </c>
      <c r="D507" s="2">
        <v>14.5</v>
      </c>
      <c r="E507" s="2">
        <v>15</v>
      </c>
      <c r="F507" s="2">
        <v>15</v>
      </c>
      <c r="G507" s="2">
        <v>15.1</v>
      </c>
      <c r="H507" s="2">
        <f>AVERAGE(weather.tbl[[#This Row],[Estevan]:[Kipling]])</f>
        <v>14.566666666666665</v>
      </c>
      <c r="I507" s="2">
        <f>_xlfn.STDEV.S(weather.tbl[[#This Row],[Estevan]:[Kipling]])</f>
        <v>0.61210020966069489</v>
      </c>
      <c r="J507" s="2">
        <f t="shared" si="7"/>
        <v>9.1142857142857157</v>
      </c>
      <c r="K507">
        <f>DAY(weather.tbl[[#This Row],[Date]])</f>
        <v>21</v>
      </c>
      <c r="L507">
        <f>MONTH(weather.tbl[[#This Row],[Date]])</f>
        <v>5</v>
      </c>
      <c r="M507">
        <f>YEAR(weather.tbl[[#This Row],[Date]])</f>
        <v>2015</v>
      </c>
    </row>
    <row r="508" spans="1:13" x14ac:dyDescent="0.25">
      <c r="A508" s="1">
        <v>42146</v>
      </c>
      <c r="B508" s="2">
        <v>15.4</v>
      </c>
      <c r="C508" s="2">
        <v>14.7</v>
      </c>
      <c r="D508" s="2">
        <v>15.8</v>
      </c>
      <c r="E508" s="2">
        <v>15.5</v>
      </c>
      <c r="F508" s="2">
        <v>16.399999999999999</v>
      </c>
      <c r="G508" s="2">
        <v>17.2</v>
      </c>
      <c r="H508" s="2">
        <f>AVERAGE(weather.tbl[[#This Row],[Estevan]:[Kipling]])</f>
        <v>15.833333333333336</v>
      </c>
      <c r="I508" s="2">
        <f>_xlfn.STDEV.S(weather.tbl[[#This Row],[Estevan]:[Kipling]])</f>
        <v>0.86871552689396903</v>
      </c>
      <c r="J508" s="2">
        <f t="shared" si="7"/>
        <v>10.088095238095239</v>
      </c>
      <c r="K508">
        <f>DAY(weather.tbl[[#This Row],[Date]])</f>
        <v>22</v>
      </c>
      <c r="L508">
        <f>MONTH(weather.tbl[[#This Row],[Date]])</f>
        <v>5</v>
      </c>
      <c r="M508">
        <f>YEAR(weather.tbl[[#This Row],[Date]])</f>
        <v>2015</v>
      </c>
    </row>
    <row r="509" spans="1:13" x14ac:dyDescent="0.25">
      <c r="A509" s="1">
        <v>42147</v>
      </c>
      <c r="B509" s="2">
        <v>16.399999999999999</v>
      </c>
      <c r="C509" s="2">
        <v>15.5</v>
      </c>
      <c r="D509" s="2">
        <v>17.3</v>
      </c>
      <c r="E509" s="2">
        <v>17.5</v>
      </c>
      <c r="F509" s="2">
        <v>17.899999999999999</v>
      </c>
      <c r="G509" s="2">
        <v>17.600000000000001</v>
      </c>
      <c r="H509" s="2">
        <f>AVERAGE(weather.tbl[[#This Row],[Estevan]:[Kipling]])</f>
        <v>17.033333333333331</v>
      </c>
      <c r="I509" s="2">
        <f>_xlfn.STDEV.S(weather.tbl[[#This Row],[Estevan]:[Kipling]])</f>
        <v>0.90700973901423287</v>
      </c>
      <c r="J509" s="2">
        <f t="shared" si="7"/>
        <v>11.166666666666666</v>
      </c>
      <c r="K509">
        <f>DAY(weather.tbl[[#This Row],[Date]])</f>
        <v>23</v>
      </c>
      <c r="L509">
        <f>MONTH(weather.tbl[[#This Row],[Date]])</f>
        <v>5</v>
      </c>
      <c r="M509">
        <f>YEAR(weather.tbl[[#This Row],[Date]])</f>
        <v>2015</v>
      </c>
    </row>
    <row r="510" spans="1:13" x14ac:dyDescent="0.25">
      <c r="A510" s="1">
        <v>42148</v>
      </c>
      <c r="B510" s="2">
        <v>16.3</v>
      </c>
      <c r="C510" s="2">
        <v>16.5</v>
      </c>
      <c r="D510" s="2">
        <v>17</v>
      </c>
      <c r="E510" s="2">
        <v>18.5</v>
      </c>
      <c r="F510" s="2">
        <v>18.3</v>
      </c>
      <c r="G510" s="2">
        <v>18.2</v>
      </c>
      <c r="H510" s="2">
        <f>AVERAGE(weather.tbl[[#This Row],[Estevan]:[Kipling]])</f>
        <v>17.466666666666665</v>
      </c>
      <c r="I510" s="2">
        <f>_xlfn.STDEV.S(weather.tbl[[#This Row],[Estevan]:[Kipling]])</f>
        <v>0.98115578103921208</v>
      </c>
      <c r="J510" s="2">
        <f t="shared" si="7"/>
        <v>12.969047619047618</v>
      </c>
      <c r="K510">
        <f>DAY(weather.tbl[[#This Row],[Date]])</f>
        <v>24</v>
      </c>
      <c r="L510">
        <f>MONTH(weather.tbl[[#This Row],[Date]])</f>
        <v>5</v>
      </c>
      <c r="M510">
        <f>YEAR(weather.tbl[[#This Row],[Date]])</f>
        <v>2015</v>
      </c>
    </row>
    <row r="511" spans="1:13" x14ac:dyDescent="0.25">
      <c r="A511" s="1">
        <v>42149</v>
      </c>
      <c r="B511" s="2">
        <v>16.399999999999999</v>
      </c>
      <c r="C511" s="2">
        <v>16.899999999999999</v>
      </c>
      <c r="D511" s="2">
        <v>17.3</v>
      </c>
      <c r="E511" s="2">
        <v>17</v>
      </c>
      <c r="F511" s="2">
        <v>19.100000000000001</v>
      </c>
      <c r="G511" s="2">
        <v>18.399999999999999</v>
      </c>
      <c r="H511" s="2">
        <f>AVERAGE(weather.tbl[[#This Row],[Estevan]:[Kipling]])</f>
        <v>17.516666666666666</v>
      </c>
      <c r="I511" s="2">
        <f>_xlfn.STDEV.S(weather.tbl[[#This Row],[Estevan]:[Kipling]])</f>
        <v>1.0225784403490363</v>
      </c>
      <c r="J511" s="2">
        <f t="shared" si="7"/>
        <v>14.757142857142856</v>
      </c>
      <c r="K511">
        <f>DAY(weather.tbl[[#This Row],[Date]])</f>
        <v>25</v>
      </c>
      <c r="L511">
        <f>MONTH(weather.tbl[[#This Row],[Date]])</f>
        <v>5</v>
      </c>
      <c r="M511">
        <f>YEAR(weather.tbl[[#This Row],[Date]])</f>
        <v>2015</v>
      </c>
    </row>
    <row r="512" spans="1:13" x14ac:dyDescent="0.25">
      <c r="A512" s="1">
        <v>42150</v>
      </c>
      <c r="B512" s="2">
        <v>19.5</v>
      </c>
      <c r="C512" s="2">
        <v>18.100000000000001</v>
      </c>
      <c r="D512" s="2">
        <v>19.3</v>
      </c>
      <c r="E512" s="2">
        <v>18.5</v>
      </c>
      <c r="F512" s="2">
        <v>20.2</v>
      </c>
      <c r="G512" s="2">
        <v>19.3</v>
      </c>
      <c r="H512" s="2">
        <f>AVERAGE(weather.tbl[[#This Row],[Estevan]:[Kipling]])</f>
        <v>19.150000000000002</v>
      </c>
      <c r="I512" s="2">
        <f>_xlfn.STDEV.S(weather.tbl[[#This Row],[Estevan]:[Kipling]])</f>
        <v>0.74766302570074916</v>
      </c>
      <c r="J512" s="2">
        <f t="shared" si="7"/>
        <v>16.357142857142858</v>
      </c>
      <c r="K512">
        <f>DAY(weather.tbl[[#This Row],[Date]])</f>
        <v>26</v>
      </c>
      <c r="L512">
        <f>MONTH(weather.tbl[[#This Row],[Date]])</f>
        <v>5</v>
      </c>
      <c r="M512">
        <f>YEAR(weather.tbl[[#This Row],[Date]])</f>
        <v>2015</v>
      </c>
    </row>
    <row r="513" spans="1:13" x14ac:dyDescent="0.25">
      <c r="A513" s="1">
        <v>42151</v>
      </c>
      <c r="B513" s="2">
        <v>15.4</v>
      </c>
      <c r="C513" s="2">
        <v>14.8</v>
      </c>
      <c r="D513" s="2">
        <v>16</v>
      </c>
      <c r="E513" s="2">
        <v>17.5</v>
      </c>
      <c r="F513" s="2">
        <v>16</v>
      </c>
      <c r="G513" s="2">
        <v>14.3</v>
      </c>
      <c r="H513" s="2">
        <f>AVERAGE(weather.tbl[[#This Row],[Estevan]:[Kipling]])</f>
        <v>15.666666666666666</v>
      </c>
      <c r="I513" s="2">
        <f>_xlfn.STDEV.S(weather.tbl[[#This Row],[Estevan]:[Kipling]])</f>
        <v>1.1201190412927842</v>
      </c>
      <c r="J513" s="2">
        <f t="shared" si="7"/>
        <v>16.747619047619047</v>
      </c>
      <c r="K513">
        <f>DAY(weather.tbl[[#This Row],[Date]])</f>
        <v>27</v>
      </c>
      <c r="L513">
        <f>MONTH(weather.tbl[[#This Row],[Date]])</f>
        <v>5</v>
      </c>
      <c r="M513">
        <f>YEAR(weather.tbl[[#This Row],[Date]])</f>
        <v>2015</v>
      </c>
    </row>
    <row r="514" spans="1:13" x14ac:dyDescent="0.25">
      <c r="A514" s="1">
        <v>42152</v>
      </c>
      <c r="B514" s="2">
        <v>14.4</v>
      </c>
      <c r="C514" s="2">
        <v>14.2</v>
      </c>
      <c r="D514" s="2">
        <v>16.8</v>
      </c>
      <c r="E514" s="2">
        <v>17</v>
      </c>
      <c r="F514" s="2">
        <v>15.4</v>
      </c>
      <c r="G514" s="2">
        <v>14.8</v>
      </c>
      <c r="H514" s="2">
        <f>AVERAGE(weather.tbl[[#This Row],[Estevan]:[Kipling]])</f>
        <v>15.433333333333335</v>
      </c>
      <c r="I514" s="2">
        <f>_xlfn.STDEV.S(weather.tbl[[#This Row],[Estevan]:[Kipling]])</f>
        <v>1.2094075684675811</v>
      </c>
      <c r="J514" s="2">
        <f t="shared" si="7"/>
        <v>16.871428571428574</v>
      </c>
      <c r="K514">
        <f>DAY(weather.tbl[[#This Row],[Date]])</f>
        <v>28</v>
      </c>
      <c r="L514">
        <f>MONTH(weather.tbl[[#This Row],[Date]])</f>
        <v>5</v>
      </c>
      <c r="M514">
        <f>YEAR(weather.tbl[[#This Row],[Date]])</f>
        <v>2015</v>
      </c>
    </row>
    <row r="515" spans="1:13" x14ac:dyDescent="0.25">
      <c r="A515" s="1">
        <v>42153</v>
      </c>
      <c r="B515" s="2">
        <v>9.1999999999999993</v>
      </c>
      <c r="C515" s="2">
        <v>8.6999999999999993</v>
      </c>
      <c r="D515" s="2">
        <v>8.5</v>
      </c>
      <c r="E515" s="2">
        <v>10.5</v>
      </c>
      <c r="F515" s="2">
        <v>8.3000000000000007</v>
      </c>
      <c r="G515" s="2">
        <v>6.8</v>
      </c>
      <c r="H515" s="2">
        <f>AVERAGE(weather.tbl[[#This Row],[Estevan]:[Kipling]])</f>
        <v>8.6666666666666661</v>
      </c>
      <c r="I515" s="2">
        <f>_xlfn.STDEV.S(weather.tbl[[#This Row],[Estevan]:[Kipling]])</f>
        <v>1.2077527340754275</v>
      </c>
      <c r="J515" s="2">
        <f t="shared" si="7"/>
        <v>15.84761904761905</v>
      </c>
      <c r="K515">
        <f>DAY(weather.tbl[[#This Row],[Date]])</f>
        <v>29</v>
      </c>
      <c r="L515">
        <f>MONTH(weather.tbl[[#This Row],[Date]])</f>
        <v>5</v>
      </c>
      <c r="M515">
        <f>YEAR(weather.tbl[[#This Row],[Date]])</f>
        <v>2015</v>
      </c>
    </row>
    <row r="516" spans="1:13" x14ac:dyDescent="0.25">
      <c r="A516" s="1">
        <v>42154</v>
      </c>
      <c r="B516" s="2">
        <v>8.3000000000000007</v>
      </c>
      <c r="C516" s="2">
        <v>9.5</v>
      </c>
      <c r="D516" s="2">
        <v>6.8</v>
      </c>
      <c r="E516" s="2">
        <v>9.8000000000000007</v>
      </c>
      <c r="F516" s="2">
        <v>5.9</v>
      </c>
      <c r="G516" s="2">
        <v>5.9</v>
      </c>
      <c r="H516" s="2">
        <f>AVERAGE(weather.tbl[[#This Row],[Estevan]:[Kipling]])</f>
        <v>7.7</v>
      </c>
      <c r="I516" s="2">
        <f>_xlfn.STDEV.S(weather.tbl[[#This Row],[Estevan]:[Kipling]])</f>
        <v>1.7492855684535908</v>
      </c>
      <c r="J516" s="2">
        <f t="shared" si="7"/>
        <v>14.514285714285718</v>
      </c>
      <c r="K516">
        <f>DAY(weather.tbl[[#This Row],[Date]])</f>
        <v>30</v>
      </c>
      <c r="L516">
        <f>MONTH(weather.tbl[[#This Row],[Date]])</f>
        <v>5</v>
      </c>
      <c r="M516">
        <f>YEAR(weather.tbl[[#This Row],[Date]])</f>
        <v>2015</v>
      </c>
    </row>
    <row r="517" spans="1:13" x14ac:dyDescent="0.25">
      <c r="A517" s="1">
        <v>42155</v>
      </c>
      <c r="B517" s="2">
        <v>13.7</v>
      </c>
      <c r="C517" s="2">
        <v>13.6</v>
      </c>
      <c r="D517" s="2">
        <v>13.3</v>
      </c>
      <c r="E517" s="2">
        <v>14.5</v>
      </c>
      <c r="F517" s="2">
        <v>13.1</v>
      </c>
      <c r="G517" s="2">
        <v>9.9</v>
      </c>
      <c r="H517" s="2">
        <f>AVERAGE(weather.tbl[[#This Row],[Estevan]:[Kipling]])</f>
        <v>13.016666666666666</v>
      </c>
      <c r="I517" s="2">
        <f>_xlfn.STDEV.S(weather.tbl[[#This Row],[Estevan]:[Kipling]])</f>
        <v>1.6005207485898845</v>
      </c>
      <c r="J517" s="2">
        <f t="shared" si="7"/>
        <v>13.87857142857143</v>
      </c>
      <c r="K517">
        <f>DAY(weather.tbl[[#This Row],[Date]])</f>
        <v>31</v>
      </c>
      <c r="L517">
        <f>MONTH(weather.tbl[[#This Row],[Date]])</f>
        <v>5</v>
      </c>
      <c r="M517">
        <f>YEAR(weather.tbl[[#This Row],[Date]])</f>
        <v>2015</v>
      </c>
    </row>
    <row r="518" spans="1:13" x14ac:dyDescent="0.25">
      <c r="A518" s="1">
        <v>42156</v>
      </c>
      <c r="B518" s="2">
        <v>18.899999999999999</v>
      </c>
      <c r="C518" s="2">
        <v>18.7</v>
      </c>
      <c r="D518" s="2">
        <v>18</v>
      </c>
      <c r="E518" s="2">
        <v>20.5</v>
      </c>
      <c r="F518" s="2">
        <v>18.3</v>
      </c>
      <c r="G518" s="2">
        <v>16.2</v>
      </c>
      <c r="H518" s="2">
        <f>AVERAGE(weather.tbl[[#This Row],[Estevan]:[Kipling]])</f>
        <v>18.433333333333334</v>
      </c>
      <c r="I518" s="2">
        <f>_xlfn.STDEV.S(weather.tbl[[#This Row],[Estevan]:[Kipling]])</f>
        <v>1.396662688936261</v>
      </c>
      <c r="J518" s="2">
        <f t="shared" si="7"/>
        <v>14.009523809523811</v>
      </c>
      <c r="K518">
        <f>DAY(weather.tbl[[#This Row],[Date]])</f>
        <v>1</v>
      </c>
      <c r="L518">
        <f>MONTH(weather.tbl[[#This Row],[Date]])</f>
        <v>6</v>
      </c>
      <c r="M518">
        <f>YEAR(weather.tbl[[#This Row],[Date]])</f>
        <v>2015</v>
      </c>
    </row>
    <row r="519" spans="1:13" x14ac:dyDescent="0.25">
      <c r="A519" s="1">
        <v>42157</v>
      </c>
      <c r="B519" s="2">
        <v>13.7</v>
      </c>
      <c r="C519" s="2">
        <v>14.5</v>
      </c>
      <c r="D519" s="2">
        <v>14.3</v>
      </c>
      <c r="E519" s="2">
        <v>13.5</v>
      </c>
      <c r="F519" s="2">
        <v>13.6</v>
      </c>
      <c r="G519" s="2">
        <v>14.1</v>
      </c>
      <c r="H519" s="2">
        <f>AVERAGE(weather.tbl[[#This Row],[Estevan]:[Kipling]])</f>
        <v>13.949999999999998</v>
      </c>
      <c r="I519" s="2">
        <f>_xlfn.STDEV.S(weather.tbl[[#This Row],[Estevan]:[Kipling]])</f>
        <v>0.40865633483405123</v>
      </c>
      <c r="J519" s="2">
        <f t="shared" si="7"/>
        <v>13.266666666666667</v>
      </c>
      <c r="K519">
        <f>DAY(weather.tbl[[#This Row],[Date]])</f>
        <v>2</v>
      </c>
      <c r="L519">
        <f>MONTH(weather.tbl[[#This Row],[Date]])</f>
        <v>6</v>
      </c>
      <c r="M519">
        <f>YEAR(weather.tbl[[#This Row],[Date]])</f>
        <v>2015</v>
      </c>
    </row>
    <row r="520" spans="1:13" x14ac:dyDescent="0.25">
      <c r="A520" s="1">
        <v>42158</v>
      </c>
      <c r="B520" s="2">
        <v>12.2</v>
      </c>
      <c r="C520" s="2">
        <v>12.6</v>
      </c>
      <c r="D520" s="2">
        <v>13.5</v>
      </c>
      <c r="E520" s="2">
        <v>15.5</v>
      </c>
      <c r="F520" s="2">
        <v>13.9</v>
      </c>
      <c r="G520" s="2">
        <v>13.9</v>
      </c>
      <c r="H520" s="2">
        <f>AVERAGE(weather.tbl[[#This Row],[Estevan]:[Kipling]])</f>
        <v>13.600000000000001</v>
      </c>
      <c r="I520" s="2">
        <f>_xlfn.STDEV.S(weather.tbl[[#This Row],[Estevan]:[Kipling]])</f>
        <v>1.1627553482998909</v>
      </c>
      <c r="J520" s="2">
        <f t="shared" si="7"/>
        <v>12.971428571428573</v>
      </c>
      <c r="K520">
        <f>DAY(weather.tbl[[#This Row],[Date]])</f>
        <v>3</v>
      </c>
      <c r="L520">
        <f>MONTH(weather.tbl[[#This Row],[Date]])</f>
        <v>6</v>
      </c>
      <c r="M520">
        <f>YEAR(weather.tbl[[#This Row],[Date]])</f>
        <v>2015</v>
      </c>
    </row>
    <row r="521" spans="1:13" x14ac:dyDescent="0.25">
      <c r="A521" s="1">
        <v>42159</v>
      </c>
      <c r="B521" s="2">
        <v>12.8</v>
      </c>
      <c r="C521" s="2">
        <v>13.8</v>
      </c>
      <c r="D521" s="2">
        <v>11.8</v>
      </c>
      <c r="E521" s="2">
        <v>10</v>
      </c>
      <c r="F521" s="2">
        <v>13.4</v>
      </c>
      <c r="G521" s="2">
        <v>13.5</v>
      </c>
      <c r="H521" s="2">
        <f>AVERAGE(weather.tbl[[#This Row],[Estevan]:[Kipling]])</f>
        <v>12.550000000000002</v>
      </c>
      <c r="I521" s="2">
        <f>_xlfn.STDEV.S(weather.tbl[[#This Row],[Estevan]:[Kipling]])</f>
        <v>1.4363147287415685</v>
      </c>
      <c r="J521" s="2">
        <f t="shared" si="7"/>
        <v>12.559523809523808</v>
      </c>
      <c r="K521">
        <f>DAY(weather.tbl[[#This Row],[Date]])</f>
        <v>4</v>
      </c>
      <c r="L521">
        <f>MONTH(weather.tbl[[#This Row],[Date]])</f>
        <v>6</v>
      </c>
      <c r="M521">
        <f>YEAR(weather.tbl[[#This Row],[Date]])</f>
        <v>2015</v>
      </c>
    </row>
    <row r="522" spans="1:13" x14ac:dyDescent="0.25">
      <c r="A522" s="1">
        <v>42160</v>
      </c>
      <c r="B522" s="2">
        <v>17.899999999999999</v>
      </c>
      <c r="C522" s="2">
        <v>16.399999999999999</v>
      </c>
      <c r="D522" s="2">
        <v>16.8</v>
      </c>
      <c r="E522" s="2">
        <v>15</v>
      </c>
      <c r="F522" s="2">
        <v>16.399999999999999</v>
      </c>
      <c r="G522" s="2">
        <v>15.6</v>
      </c>
      <c r="H522" s="2">
        <f>AVERAGE(weather.tbl[[#This Row],[Estevan]:[Kipling]])</f>
        <v>16.349999999999998</v>
      </c>
      <c r="I522" s="2">
        <f>_xlfn.STDEV.S(weather.tbl[[#This Row],[Estevan]:[Kipling]])</f>
        <v>0.99949987493746062</v>
      </c>
      <c r="J522" s="2">
        <f t="shared" ref="J522:J585" si="8">AVERAGE(H516:H522)</f>
        <v>13.657142857142855</v>
      </c>
      <c r="K522">
        <f>DAY(weather.tbl[[#This Row],[Date]])</f>
        <v>5</v>
      </c>
      <c r="L522">
        <f>MONTH(weather.tbl[[#This Row],[Date]])</f>
        <v>6</v>
      </c>
      <c r="M522">
        <f>YEAR(weather.tbl[[#This Row],[Date]])</f>
        <v>2015</v>
      </c>
    </row>
    <row r="523" spans="1:13" x14ac:dyDescent="0.25">
      <c r="A523" s="1">
        <v>42161</v>
      </c>
      <c r="B523" s="2">
        <v>19.2</v>
      </c>
      <c r="C523" s="2">
        <v>18.899999999999999</v>
      </c>
      <c r="D523" s="2">
        <v>19</v>
      </c>
      <c r="E523" s="2">
        <v>19.3</v>
      </c>
      <c r="F523" s="2">
        <v>19.899999999999999</v>
      </c>
      <c r="G523" s="2">
        <v>18.7</v>
      </c>
      <c r="H523" s="2">
        <f>AVERAGE(weather.tbl[[#This Row],[Estevan]:[Kipling]])</f>
        <v>19.166666666666664</v>
      </c>
      <c r="I523" s="2">
        <f>_xlfn.STDEV.S(weather.tbl[[#This Row],[Estevan]:[Kipling]])</f>
        <v>0.41793141383086602</v>
      </c>
      <c r="J523" s="2">
        <f t="shared" si="8"/>
        <v>15.295238095238094</v>
      </c>
      <c r="K523">
        <f>DAY(weather.tbl[[#This Row],[Date]])</f>
        <v>6</v>
      </c>
      <c r="L523">
        <f>MONTH(weather.tbl[[#This Row],[Date]])</f>
        <v>6</v>
      </c>
      <c r="M523">
        <f>YEAR(weather.tbl[[#This Row],[Date]])</f>
        <v>2015</v>
      </c>
    </row>
    <row r="524" spans="1:13" x14ac:dyDescent="0.25">
      <c r="A524" s="1">
        <v>42162</v>
      </c>
      <c r="B524" s="2">
        <v>19.399999999999999</v>
      </c>
      <c r="C524" s="2">
        <v>19.899999999999999</v>
      </c>
      <c r="D524" s="2">
        <v>19.3</v>
      </c>
      <c r="E524" s="2">
        <v>21</v>
      </c>
      <c r="F524" s="2">
        <v>20.6</v>
      </c>
      <c r="G524" s="2">
        <v>19.5</v>
      </c>
      <c r="H524" s="2">
        <f>AVERAGE(weather.tbl[[#This Row],[Estevan]:[Kipling]])</f>
        <v>19.95</v>
      </c>
      <c r="I524" s="2">
        <f>_xlfn.STDEV.S(weather.tbl[[#This Row],[Estevan]:[Kipling]])</f>
        <v>0.70071392165419433</v>
      </c>
      <c r="J524" s="2">
        <f t="shared" si="8"/>
        <v>16.285714285714288</v>
      </c>
      <c r="K524">
        <f>DAY(weather.tbl[[#This Row],[Date]])</f>
        <v>7</v>
      </c>
      <c r="L524">
        <f>MONTH(weather.tbl[[#This Row],[Date]])</f>
        <v>6</v>
      </c>
      <c r="M524">
        <f>YEAR(weather.tbl[[#This Row],[Date]])</f>
        <v>2015</v>
      </c>
    </row>
    <row r="525" spans="1:13" x14ac:dyDescent="0.25">
      <c r="A525" s="1">
        <v>42163</v>
      </c>
      <c r="B525" s="2">
        <v>20.399999999999999</v>
      </c>
      <c r="C525" s="2">
        <v>21</v>
      </c>
      <c r="D525" s="2">
        <v>20.5</v>
      </c>
      <c r="E525" s="2">
        <v>22.5</v>
      </c>
      <c r="F525" s="2">
        <v>21.3</v>
      </c>
      <c r="G525" s="2">
        <v>20.9</v>
      </c>
      <c r="H525" s="2">
        <f>AVERAGE(weather.tbl[[#This Row],[Estevan]:[Kipling]])</f>
        <v>21.099999999999998</v>
      </c>
      <c r="I525" s="2">
        <f>_xlfn.STDEV.S(weather.tbl[[#This Row],[Estevan]:[Kipling]])</f>
        <v>0.76157731058639122</v>
      </c>
      <c r="J525" s="2">
        <f t="shared" si="8"/>
        <v>16.666666666666668</v>
      </c>
      <c r="K525">
        <f>DAY(weather.tbl[[#This Row],[Date]])</f>
        <v>8</v>
      </c>
      <c r="L525">
        <f>MONTH(weather.tbl[[#This Row],[Date]])</f>
        <v>6</v>
      </c>
      <c r="M525">
        <f>YEAR(weather.tbl[[#This Row],[Date]])</f>
        <v>2015</v>
      </c>
    </row>
    <row r="526" spans="1:13" x14ac:dyDescent="0.25">
      <c r="A526" s="1">
        <v>42164</v>
      </c>
      <c r="B526" s="2">
        <v>18.3</v>
      </c>
      <c r="C526" s="2">
        <v>18.5</v>
      </c>
      <c r="D526" s="2">
        <v>20.8</v>
      </c>
      <c r="E526" s="2">
        <v>20.8</v>
      </c>
      <c r="F526" s="2">
        <v>19.7</v>
      </c>
      <c r="G526" s="2">
        <v>19.5</v>
      </c>
      <c r="H526" s="2">
        <f>AVERAGE(weather.tbl[[#This Row],[Estevan]:[Kipling]])</f>
        <v>19.599999999999998</v>
      </c>
      <c r="I526" s="2">
        <f>_xlfn.STDEV.S(weather.tbl[[#This Row],[Estevan]:[Kipling]])</f>
        <v>1.077032961426901</v>
      </c>
      <c r="J526" s="2">
        <f t="shared" si="8"/>
        <v>17.473809523809521</v>
      </c>
      <c r="K526">
        <f>DAY(weather.tbl[[#This Row],[Date]])</f>
        <v>9</v>
      </c>
      <c r="L526">
        <f>MONTH(weather.tbl[[#This Row],[Date]])</f>
        <v>6</v>
      </c>
      <c r="M526">
        <f>YEAR(weather.tbl[[#This Row],[Date]])</f>
        <v>2015</v>
      </c>
    </row>
    <row r="527" spans="1:13" x14ac:dyDescent="0.25">
      <c r="A527" s="1">
        <v>42165</v>
      </c>
      <c r="B527" s="2">
        <v>15.8</v>
      </c>
      <c r="C527" s="2">
        <v>16.399999999999999</v>
      </c>
      <c r="D527" s="2">
        <v>16</v>
      </c>
      <c r="E527" s="2">
        <v>19.8</v>
      </c>
      <c r="F527" s="2">
        <v>17.3</v>
      </c>
      <c r="G527" s="2">
        <v>17.5</v>
      </c>
      <c r="H527" s="2">
        <f>AVERAGE(weather.tbl[[#This Row],[Estevan]:[Kipling]])</f>
        <v>17.133333333333333</v>
      </c>
      <c r="I527" s="2">
        <f>_xlfn.STDEV.S(weather.tbl[[#This Row],[Estevan]:[Kipling]])</f>
        <v>1.4746751054610869</v>
      </c>
      <c r="J527" s="2">
        <f t="shared" si="8"/>
        <v>17.978571428571428</v>
      </c>
      <c r="K527">
        <f>DAY(weather.tbl[[#This Row],[Date]])</f>
        <v>10</v>
      </c>
      <c r="L527">
        <f>MONTH(weather.tbl[[#This Row],[Date]])</f>
        <v>6</v>
      </c>
      <c r="M527">
        <f>YEAR(weather.tbl[[#This Row],[Date]])</f>
        <v>2015</v>
      </c>
    </row>
    <row r="528" spans="1:13" x14ac:dyDescent="0.25">
      <c r="A528" s="1">
        <v>42166</v>
      </c>
      <c r="B528" s="2">
        <v>16.8</v>
      </c>
      <c r="C528" s="2">
        <v>17.100000000000001</v>
      </c>
      <c r="D528" s="2">
        <v>16.8</v>
      </c>
      <c r="E528" s="2">
        <v>17</v>
      </c>
      <c r="F528" s="2">
        <v>18.5</v>
      </c>
      <c r="G528" s="2">
        <v>17.8</v>
      </c>
      <c r="H528" s="2">
        <f>AVERAGE(weather.tbl[[#This Row],[Estevan]:[Kipling]])</f>
        <v>17.333333333333332</v>
      </c>
      <c r="I528" s="2">
        <f>_xlfn.STDEV.S(weather.tbl[[#This Row],[Estevan]:[Kipling]])</f>
        <v>0.68019605016985096</v>
      </c>
      <c r="J528" s="2">
        <f t="shared" si="8"/>
        <v>18.661904761904761</v>
      </c>
      <c r="K528">
        <f>DAY(weather.tbl[[#This Row],[Date]])</f>
        <v>11</v>
      </c>
      <c r="L528">
        <f>MONTH(weather.tbl[[#This Row],[Date]])</f>
        <v>6</v>
      </c>
      <c r="M528">
        <f>YEAR(weather.tbl[[#This Row],[Date]])</f>
        <v>2015</v>
      </c>
    </row>
    <row r="529" spans="1:13" x14ac:dyDescent="0.25">
      <c r="A529" s="1">
        <v>42167</v>
      </c>
      <c r="B529" s="2">
        <v>21.7</v>
      </c>
      <c r="C529" s="2">
        <v>21.1</v>
      </c>
      <c r="D529" s="2">
        <v>21.3</v>
      </c>
      <c r="E529" s="2">
        <v>22.8</v>
      </c>
      <c r="F529" s="2">
        <v>20.8</v>
      </c>
      <c r="G529" s="2">
        <v>21</v>
      </c>
      <c r="H529" s="2">
        <f>AVERAGE(weather.tbl[[#This Row],[Estevan]:[Kipling]])</f>
        <v>21.45</v>
      </c>
      <c r="I529" s="2">
        <f>_xlfn.STDEV.S(weather.tbl[[#This Row],[Estevan]:[Kipling]])</f>
        <v>0.72869746808946712</v>
      </c>
      <c r="J529" s="2">
        <f t="shared" si="8"/>
        <v>19.390476190476189</v>
      </c>
      <c r="K529">
        <f>DAY(weather.tbl[[#This Row],[Date]])</f>
        <v>12</v>
      </c>
      <c r="L529">
        <f>MONTH(weather.tbl[[#This Row],[Date]])</f>
        <v>6</v>
      </c>
      <c r="M529">
        <f>YEAR(weather.tbl[[#This Row],[Date]])</f>
        <v>2015</v>
      </c>
    </row>
    <row r="530" spans="1:13" x14ac:dyDescent="0.25">
      <c r="A530" s="1">
        <v>42168</v>
      </c>
      <c r="B530" s="2">
        <v>16.3</v>
      </c>
      <c r="C530" s="2">
        <v>16.100000000000001</v>
      </c>
      <c r="D530" s="2">
        <v>21.3</v>
      </c>
      <c r="E530" s="2">
        <v>16</v>
      </c>
      <c r="F530" s="2">
        <v>18.5</v>
      </c>
      <c r="G530" s="2">
        <v>16.600000000000001</v>
      </c>
      <c r="H530" s="2">
        <f>AVERAGE(weather.tbl[[#This Row],[Estevan]:[Kipling]])</f>
        <v>17.466666666666669</v>
      </c>
      <c r="I530" s="2">
        <f>_xlfn.STDEV.S(weather.tbl[[#This Row],[Estevan]:[Kipling]])</f>
        <v>2.0925263837444428</v>
      </c>
      <c r="J530" s="2">
        <f t="shared" si="8"/>
        <v>19.147619047619049</v>
      </c>
      <c r="K530">
        <f>DAY(weather.tbl[[#This Row],[Date]])</f>
        <v>13</v>
      </c>
      <c r="L530">
        <f>MONTH(weather.tbl[[#This Row],[Date]])</f>
        <v>6</v>
      </c>
      <c r="M530">
        <f>YEAR(weather.tbl[[#This Row],[Date]])</f>
        <v>2015</v>
      </c>
    </row>
    <row r="531" spans="1:13" x14ac:dyDescent="0.25">
      <c r="A531" s="1">
        <v>42169</v>
      </c>
      <c r="B531" s="2">
        <v>14</v>
      </c>
      <c r="C531" s="2">
        <v>12.8</v>
      </c>
      <c r="D531" s="2">
        <v>14</v>
      </c>
      <c r="E531" s="2">
        <v>14.5</v>
      </c>
      <c r="F531" s="2">
        <v>17.3</v>
      </c>
      <c r="G531" s="2">
        <v>13.5</v>
      </c>
      <c r="H531" s="2">
        <f>AVERAGE(weather.tbl[[#This Row],[Estevan]:[Kipling]])</f>
        <v>14.35</v>
      </c>
      <c r="I531" s="2">
        <f>_xlfn.STDEV.S(weather.tbl[[#This Row],[Estevan]:[Kipling]])</f>
        <v>1.5553134732265392</v>
      </c>
      <c r="J531" s="2">
        <f t="shared" si="8"/>
        <v>18.347619047619048</v>
      </c>
      <c r="K531">
        <f>DAY(weather.tbl[[#This Row],[Date]])</f>
        <v>14</v>
      </c>
      <c r="L531">
        <f>MONTH(weather.tbl[[#This Row],[Date]])</f>
        <v>6</v>
      </c>
      <c r="M531">
        <f>YEAR(weather.tbl[[#This Row],[Date]])</f>
        <v>2015</v>
      </c>
    </row>
    <row r="532" spans="1:13" x14ac:dyDescent="0.25">
      <c r="A532" s="1">
        <v>42170</v>
      </c>
      <c r="B532" s="2">
        <v>12</v>
      </c>
      <c r="C532" s="2">
        <v>12.5</v>
      </c>
      <c r="D532" s="2">
        <v>12.8</v>
      </c>
      <c r="E532" s="2">
        <v>14</v>
      </c>
      <c r="F532" s="2">
        <v>14.1</v>
      </c>
      <c r="G532" s="2">
        <v>12.2</v>
      </c>
      <c r="H532" s="2">
        <f>AVERAGE(weather.tbl[[#This Row],[Estevan]:[Kipling]])</f>
        <v>12.933333333333332</v>
      </c>
      <c r="I532" s="2">
        <f>_xlfn.STDEV.S(weather.tbl[[#This Row],[Estevan]:[Kipling]])</f>
        <v>0.90700973901423276</v>
      </c>
      <c r="J532" s="2">
        <f t="shared" si="8"/>
        <v>17.18095238095238</v>
      </c>
      <c r="K532">
        <f>DAY(weather.tbl[[#This Row],[Date]])</f>
        <v>15</v>
      </c>
      <c r="L532">
        <f>MONTH(weather.tbl[[#This Row],[Date]])</f>
        <v>6</v>
      </c>
      <c r="M532">
        <f>YEAR(weather.tbl[[#This Row],[Date]])</f>
        <v>2015</v>
      </c>
    </row>
    <row r="533" spans="1:13" x14ac:dyDescent="0.25">
      <c r="A533" s="1">
        <v>42171</v>
      </c>
      <c r="B533" s="2">
        <v>14.2</v>
      </c>
      <c r="C533" s="2">
        <v>14.4</v>
      </c>
      <c r="D533" s="2">
        <v>12.5</v>
      </c>
      <c r="E533" s="2">
        <v>15</v>
      </c>
      <c r="F533" s="2">
        <v>14</v>
      </c>
      <c r="G533" s="2">
        <v>14.5</v>
      </c>
      <c r="H533" s="2">
        <f>AVERAGE(weather.tbl[[#This Row],[Estevan]:[Kipling]])</f>
        <v>14.1</v>
      </c>
      <c r="I533" s="2">
        <f>_xlfn.STDEV.S(weather.tbl[[#This Row],[Estevan]:[Kipling]])</f>
        <v>0.85322916030806162</v>
      </c>
      <c r="J533" s="2">
        <f t="shared" si="8"/>
        <v>16.395238095238096</v>
      </c>
      <c r="K533">
        <f>DAY(weather.tbl[[#This Row],[Date]])</f>
        <v>16</v>
      </c>
      <c r="L533">
        <f>MONTH(weather.tbl[[#This Row],[Date]])</f>
        <v>6</v>
      </c>
      <c r="M533">
        <f>YEAR(weather.tbl[[#This Row],[Date]])</f>
        <v>2015</v>
      </c>
    </row>
    <row r="534" spans="1:13" x14ac:dyDescent="0.25">
      <c r="A534" s="1">
        <v>42172</v>
      </c>
      <c r="B534" s="2">
        <v>18.100000000000001</v>
      </c>
      <c r="C534" s="2">
        <v>17</v>
      </c>
      <c r="D534" s="2">
        <v>17.8</v>
      </c>
      <c r="E534" s="2">
        <v>19.5</v>
      </c>
      <c r="F534" s="2">
        <v>17.7</v>
      </c>
      <c r="G534" s="2">
        <v>17.2</v>
      </c>
      <c r="H534" s="2">
        <f>AVERAGE(weather.tbl[[#This Row],[Estevan]:[Kipling]])</f>
        <v>17.883333333333336</v>
      </c>
      <c r="I534" s="2">
        <f>_xlfn.STDEV.S(weather.tbl[[#This Row],[Estevan]:[Kipling]])</f>
        <v>0.8886319072972042</v>
      </c>
      <c r="J534" s="2">
        <f t="shared" si="8"/>
        <v>16.502380952380953</v>
      </c>
      <c r="K534">
        <f>DAY(weather.tbl[[#This Row],[Date]])</f>
        <v>17</v>
      </c>
      <c r="L534">
        <f>MONTH(weather.tbl[[#This Row],[Date]])</f>
        <v>6</v>
      </c>
      <c r="M534">
        <f>YEAR(weather.tbl[[#This Row],[Date]])</f>
        <v>2015</v>
      </c>
    </row>
    <row r="535" spans="1:13" x14ac:dyDescent="0.25">
      <c r="A535" s="1">
        <v>42173</v>
      </c>
      <c r="B535" s="2">
        <v>14.2</v>
      </c>
      <c r="C535" s="2">
        <v>12.8</v>
      </c>
      <c r="D535" s="2">
        <v>13.5</v>
      </c>
      <c r="E535" s="2">
        <v>13</v>
      </c>
      <c r="F535" s="2">
        <v>13.6</v>
      </c>
      <c r="G535" s="2">
        <v>11.6</v>
      </c>
      <c r="H535" s="2">
        <f>AVERAGE(weather.tbl[[#This Row],[Estevan]:[Kipling]])</f>
        <v>13.116666666666665</v>
      </c>
      <c r="I535" s="2">
        <f>_xlfn.STDEV.S(weather.tbl[[#This Row],[Estevan]:[Kipling]])</f>
        <v>0.89087971503826857</v>
      </c>
      <c r="J535" s="2">
        <f t="shared" si="8"/>
        <v>15.9</v>
      </c>
      <c r="K535">
        <f>DAY(weather.tbl[[#This Row],[Date]])</f>
        <v>18</v>
      </c>
      <c r="L535">
        <f>MONTH(weather.tbl[[#This Row],[Date]])</f>
        <v>6</v>
      </c>
      <c r="M535">
        <f>YEAR(weather.tbl[[#This Row],[Date]])</f>
        <v>2015</v>
      </c>
    </row>
    <row r="536" spans="1:13" x14ac:dyDescent="0.25">
      <c r="A536" s="1">
        <v>42174</v>
      </c>
      <c r="B536" s="2">
        <v>16.600000000000001</v>
      </c>
      <c r="C536" s="2">
        <v>16.7</v>
      </c>
      <c r="D536" s="2">
        <v>16.5</v>
      </c>
      <c r="E536" s="2">
        <v>16.3</v>
      </c>
      <c r="F536" s="2">
        <v>17.3</v>
      </c>
      <c r="G536" s="2">
        <v>16.7</v>
      </c>
      <c r="H536" s="2">
        <f>AVERAGE(weather.tbl[[#This Row],[Estevan]:[Kipling]])</f>
        <v>16.683333333333334</v>
      </c>
      <c r="I536" s="2">
        <f>_xlfn.STDEV.S(weather.tbl[[#This Row],[Estevan]:[Kipling]])</f>
        <v>0.33714487489307421</v>
      </c>
      <c r="J536" s="2">
        <f t="shared" si="8"/>
        <v>15.219047619047618</v>
      </c>
      <c r="K536">
        <f>DAY(weather.tbl[[#This Row],[Date]])</f>
        <v>19</v>
      </c>
      <c r="L536">
        <f>MONTH(weather.tbl[[#This Row],[Date]])</f>
        <v>6</v>
      </c>
      <c r="M536">
        <f>YEAR(weather.tbl[[#This Row],[Date]])</f>
        <v>2015</v>
      </c>
    </row>
    <row r="537" spans="1:13" x14ac:dyDescent="0.25">
      <c r="A537" s="1">
        <v>42175</v>
      </c>
      <c r="B537" s="2">
        <v>18.100000000000001</v>
      </c>
      <c r="C537" s="2">
        <v>17.399999999999999</v>
      </c>
      <c r="D537" s="2">
        <v>17.3</v>
      </c>
      <c r="E537" s="2">
        <v>17</v>
      </c>
      <c r="F537" s="2">
        <v>16.600000000000001</v>
      </c>
      <c r="G537" s="2">
        <v>16</v>
      </c>
      <c r="H537" s="2">
        <f>AVERAGE(weather.tbl[[#This Row],[Estevan]:[Kipling]])</f>
        <v>17.066666666666666</v>
      </c>
      <c r="I537" s="2">
        <f>_xlfn.STDEV.S(weather.tbl[[#This Row],[Estevan]:[Kipling]])</f>
        <v>0.72018516137634148</v>
      </c>
      <c r="J537" s="2">
        <f t="shared" si="8"/>
        <v>15.161904761904761</v>
      </c>
      <c r="K537">
        <f>DAY(weather.tbl[[#This Row],[Date]])</f>
        <v>20</v>
      </c>
      <c r="L537">
        <f>MONTH(weather.tbl[[#This Row],[Date]])</f>
        <v>6</v>
      </c>
      <c r="M537">
        <f>YEAR(weather.tbl[[#This Row],[Date]])</f>
        <v>2015</v>
      </c>
    </row>
    <row r="538" spans="1:13" x14ac:dyDescent="0.25">
      <c r="A538" s="1">
        <v>42176</v>
      </c>
      <c r="B538" s="2">
        <v>17.399999999999999</v>
      </c>
      <c r="C538" s="2">
        <v>16.100000000000001</v>
      </c>
      <c r="D538" s="2">
        <v>16.3</v>
      </c>
      <c r="E538" s="2">
        <v>16.5</v>
      </c>
      <c r="F538" s="2">
        <v>17.5</v>
      </c>
      <c r="G538" s="2">
        <v>15.8</v>
      </c>
      <c r="H538" s="2">
        <f>AVERAGE(weather.tbl[[#This Row],[Estevan]:[Kipling]])</f>
        <v>16.599999999999998</v>
      </c>
      <c r="I538" s="2">
        <f>_xlfn.STDEV.S(weather.tbl[[#This Row],[Estevan]:[Kipling]])</f>
        <v>0.69856996786291847</v>
      </c>
      <c r="J538" s="2">
        <f t="shared" si="8"/>
        <v>15.483333333333333</v>
      </c>
      <c r="K538">
        <f>DAY(weather.tbl[[#This Row],[Date]])</f>
        <v>21</v>
      </c>
      <c r="L538">
        <f>MONTH(weather.tbl[[#This Row],[Date]])</f>
        <v>6</v>
      </c>
      <c r="M538">
        <f>YEAR(weather.tbl[[#This Row],[Date]])</f>
        <v>2015</v>
      </c>
    </row>
    <row r="539" spans="1:13" x14ac:dyDescent="0.25">
      <c r="A539" s="1">
        <v>42177</v>
      </c>
      <c r="B539" s="2">
        <v>15.6</v>
      </c>
      <c r="C539" s="2">
        <v>16.5</v>
      </c>
      <c r="D539" s="2">
        <v>17</v>
      </c>
      <c r="E539" s="2">
        <v>18</v>
      </c>
      <c r="F539" s="2">
        <v>18</v>
      </c>
      <c r="G539" s="2">
        <v>15.9</v>
      </c>
      <c r="H539" s="2">
        <f>AVERAGE(weather.tbl[[#This Row],[Estevan]:[Kipling]])</f>
        <v>16.833333333333332</v>
      </c>
      <c r="I539" s="2">
        <f>_xlfn.STDEV.S(weather.tbl[[#This Row],[Estevan]:[Kipling]])</f>
        <v>1.0250203250017371</v>
      </c>
      <c r="J539" s="2">
        <f t="shared" si="8"/>
        <v>16.040476190476188</v>
      </c>
      <c r="K539">
        <f>DAY(weather.tbl[[#This Row],[Date]])</f>
        <v>22</v>
      </c>
      <c r="L539">
        <f>MONTH(weather.tbl[[#This Row],[Date]])</f>
        <v>6</v>
      </c>
      <c r="M539">
        <f>YEAR(weather.tbl[[#This Row],[Date]])</f>
        <v>2015</v>
      </c>
    </row>
    <row r="540" spans="1:13" x14ac:dyDescent="0.25">
      <c r="A540" s="1">
        <v>42178</v>
      </c>
      <c r="B540" s="2">
        <v>18.399999999999999</v>
      </c>
      <c r="C540" s="2">
        <v>18.7</v>
      </c>
      <c r="D540" s="2">
        <v>17</v>
      </c>
      <c r="E540" s="2">
        <v>23</v>
      </c>
      <c r="F540" s="2">
        <v>18.899999999999999</v>
      </c>
      <c r="G540" s="2">
        <v>17.7</v>
      </c>
      <c r="H540" s="2">
        <f>AVERAGE(weather.tbl[[#This Row],[Estevan]:[Kipling]])</f>
        <v>18.95</v>
      </c>
      <c r="I540" s="2">
        <f>_xlfn.STDEV.S(weather.tbl[[#This Row],[Estevan]:[Kipling]])</f>
        <v>2.1040437257813709</v>
      </c>
      <c r="J540" s="2">
        <f t="shared" si="8"/>
        <v>16.733333333333331</v>
      </c>
      <c r="K540">
        <f>DAY(weather.tbl[[#This Row],[Date]])</f>
        <v>23</v>
      </c>
      <c r="L540">
        <f>MONTH(weather.tbl[[#This Row],[Date]])</f>
        <v>6</v>
      </c>
      <c r="M540">
        <f>YEAR(weather.tbl[[#This Row],[Date]])</f>
        <v>2015</v>
      </c>
    </row>
    <row r="541" spans="1:13" x14ac:dyDescent="0.25">
      <c r="A541" s="1">
        <v>42179</v>
      </c>
      <c r="B541" s="2">
        <v>18.5</v>
      </c>
      <c r="C541" s="2">
        <v>18.2</v>
      </c>
      <c r="D541" s="2">
        <v>18.8</v>
      </c>
      <c r="E541" s="2">
        <v>18.5</v>
      </c>
      <c r="F541" s="2">
        <v>18.899999999999999</v>
      </c>
      <c r="G541" s="2">
        <v>17.7</v>
      </c>
      <c r="H541" s="2">
        <f>AVERAGE(weather.tbl[[#This Row],[Estevan]:[Kipling]])</f>
        <v>18.433333333333334</v>
      </c>
      <c r="I541" s="2">
        <f>_xlfn.STDEV.S(weather.tbl[[#This Row],[Estevan]:[Kipling]])</f>
        <v>0.4366539438350085</v>
      </c>
      <c r="J541" s="2">
        <f t="shared" si="8"/>
        <v>16.81190476190476</v>
      </c>
      <c r="K541">
        <f>DAY(weather.tbl[[#This Row],[Date]])</f>
        <v>24</v>
      </c>
      <c r="L541">
        <f>MONTH(weather.tbl[[#This Row],[Date]])</f>
        <v>6</v>
      </c>
      <c r="M541">
        <f>YEAR(weather.tbl[[#This Row],[Date]])</f>
        <v>2015</v>
      </c>
    </row>
    <row r="542" spans="1:13" x14ac:dyDescent="0.25">
      <c r="A542" s="1">
        <v>42180</v>
      </c>
      <c r="B542" s="2">
        <v>20.100000000000001</v>
      </c>
      <c r="C542" s="2">
        <v>20.2</v>
      </c>
      <c r="D542" s="2">
        <v>18.8</v>
      </c>
      <c r="E542" s="2">
        <v>20</v>
      </c>
      <c r="F542" s="2">
        <v>20.100000000000001</v>
      </c>
      <c r="G542" s="2">
        <v>20</v>
      </c>
      <c r="H542" s="2">
        <f>AVERAGE(weather.tbl[[#This Row],[Estevan]:[Kipling]])</f>
        <v>19.866666666666664</v>
      </c>
      <c r="I542" s="2">
        <f>_xlfn.STDEV.S(weather.tbl[[#This Row],[Estevan]:[Kipling]])</f>
        <v>0.52788887719544397</v>
      </c>
      <c r="J542" s="2">
        <f t="shared" si="8"/>
        <v>17.776190476190475</v>
      </c>
      <c r="K542">
        <f>DAY(weather.tbl[[#This Row],[Date]])</f>
        <v>25</v>
      </c>
      <c r="L542">
        <f>MONTH(weather.tbl[[#This Row],[Date]])</f>
        <v>6</v>
      </c>
      <c r="M542">
        <f>YEAR(weather.tbl[[#This Row],[Date]])</f>
        <v>2015</v>
      </c>
    </row>
    <row r="543" spans="1:13" x14ac:dyDescent="0.25">
      <c r="A543" s="1">
        <v>42181</v>
      </c>
      <c r="B543" s="2">
        <v>20.399999999999999</v>
      </c>
      <c r="C543" s="2">
        <v>21.3</v>
      </c>
      <c r="D543" s="2">
        <v>18.8</v>
      </c>
      <c r="E543" s="2">
        <v>21.5</v>
      </c>
      <c r="F543" s="2">
        <v>20.3</v>
      </c>
      <c r="G543" s="2">
        <v>20.5</v>
      </c>
      <c r="H543" s="2">
        <f>AVERAGE(weather.tbl[[#This Row],[Estevan]:[Kipling]])</f>
        <v>20.466666666666665</v>
      </c>
      <c r="I543" s="2">
        <f>_xlfn.STDEV.S(weather.tbl[[#This Row],[Estevan]:[Kipling]])</f>
        <v>0.95638207148956245</v>
      </c>
      <c r="J543" s="2">
        <f t="shared" si="8"/>
        <v>18.316666666666666</v>
      </c>
      <c r="K543">
        <f>DAY(weather.tbl[[#This Row],[Date]])</f>
        <v>26</v>
      </c>
      <c r="L543">
        <f>MONTH(weather.tbl[[#This Row],[Date]])</f>
        <v>6</v>
      </c>
      <c r="M543">
        <f>YEAR(weather.tbl[[#This Row],[Date]])</f>
        <v>2015</v>
      </c>
    </row>
    <row r="544" spans="1:13" x14ac:dyDescent="0.25">
      <c r="A544" s="1">
        <v>42182</v>
      </c>
      <c r="B544" s="2">
        <v>22.1</v>
      </c>
      <c r="C544" s="2">
        <v>22</v>
      </c>
      <c r="D544" s="2">
        <v>20.8</v>
      </c>
      <c r="E544" s="2">
        <v>22</v>
      </c>
      <c r="F544" s="2">
        <v>22.7</v>
      </c>
      <c r="G544" s="2">
        <v>21.3</v>
      </c>
      <c r="H544" s="2">
        <f>AVERAGE(weather.tbl[[#This Row],[Estevan]:[Kipling]])</f>
        <v>21.816666666666666</v>
      </c>
      <c r="I544" s="2">
        <f>_xlfn.STDEV.S(weather.tbl[[#This Row],[Estevan]:[Kipling]])</f>
        <v>0.6675827039900496</v>
      </c>
      <c r="J544" s="2">
        <f t="shared" si="8"/>
        <v>18.995238095238097</v>
      </c>
      <c r="K544">
        <f>DAY(weather.tbl[[#This Row],[Date]])</f>
        <v>27</v>
      </c>
      <c r="L544">
        <f>MONTH(weather.tbl[[#This Row],[Date]])</f>
        <v>6</v>
      </c>
      <c r="M544">
        <f>YEAR(weather.tbl[[#This Row],[Date]])</f>
        <v>2015</v>
      </c>
    </row>
    <row r="545" spans="1:13" x14ac:dyDescent="0.25">
      <c r="A545" s="1">
        <v>42183</v>
      </c>
      <c r="B545" s="2">
        <v>20.3</v>
      </c>
      <c r="C545" s="2">
        <v>22</v>
      </c>
      <c r="D545" s="2">
        <v>20.8</v>
      </c>
      <c r="E545" s="2">
        <v>22.5</v>
      </c>
      <c r="F545" s="2">
        <v>20.7</v>
      </c>
      <c r="G545" s="2">
        <v>21.2</v>
      </c>
      <c r="H545" s="2">
        <f>AVERAGE(weather.tbl[[#This Row],[Estevan]:[Kipling]])</f>
        <v>21.25</v>
      </c>
      <c r="I545" s="2">
        <f>_xlfn.STDEV.S(weather.tbl[[#This Row],[Estevan]:[Kipling]])</f>
        <v>0.84083292038311608</v>
      </c>
      <c r="J545" s="2">
        <f t="shared" si="8"/>
        <v>19.659523809523812</v>
      </c>
      <c r="K545">
        <f>DAY(weather.tbl[[#This Row],[Date]])</f>
        <v>28</v>
      </c>
      <c r="L545">
        <f>MONTH(weather.tbl[[#This Row],[Date]])</f>
        <v>6</v>
      </c>
      <c r="M545">
        <f>YEAR(weather.tbl[[#This Row],[Date]])</f>
        <v>2015</v>
      </c>
    </row>
    <row r="546" spans="1:13" x14ac:dyDescent="0.25">
      <c r="A546" s="1">
        <v>42184</v>
      </c>
      <c r="B546" s="2">
        <v>22.8</v>
      </c>
      <c r="C546" s="2">
        <v>23.6</v>
      </c>
      <c r="D546" s="2">
        <v>20.8</v>
      </c>
      <c r="E546" s="2">
        <v>23.3</v>
      </c>
      <c r="F546" s="2">
        <v>22</v>
      </c>
      <c r="G546" s="2">
        <v>23.6</v>
      </c>
      <c r="H546" s="2">
        <f>AVERAGE(weather.tbl[[#This Row],[Estevan]:[Kipling]])</f>
        <v>22.683333333333334</v>
      </c>
      <c r="I546" s="2">
        <f>_xlfn.STDEV.S(weather.tbl[[#This Row],[Estevan]:[Kipling]])</f>
        <v>1.1034793458269472</v>
      </c>
      <c r="J546" s="2">
        <f t="shared" si="8"/>
        <v>20.495238095238097</v>
      </c>
      <c r="K546">
        <f>DAY(weather.tbl[[#This Row],[Date]])</f>
        <v>29</v>
      </c>
      <c r="L546">
        <f>MONTH(weather.tbl[[#This Row],[Date]])</f>
        <v>6</v>
      </c>
      <c r="M546">
        <f>YEAR(weather.tbl[[#This Row],[Date]])</f>
        <v>2015</v>
      </c>
    </row>
    <row r="547" spans="1:13" x14ac:dyDescent="0.25">
      <c r="A547" s="1">
        <v>42185</v>
      </c>
      <c r="B547" s="2">
        <v>17.8</v>
      </c>
      <c r="C547" s="2">
        <v>17.5</v>
      </c>
      <c r="D547" s="2">
        <v>18.3</v>
      </c>
      <c r="E547" s="2">
        <v>18</v>
      </c>
      <c r="F547" s="2">
        <v>18.399999999999999</v>
      </c>
      <c r="G547" s="2">
        <v>17.399999999999999</v>
      </c>
      <c r="H547" s="2">
        <f>AVERAGE(weather.tbl[[#This Row],[Estevan]:[Kipling]])</f>
        <v>17.900000000000002</v>
      </c>
      <c r="I547" s="2">
        <f>_xlfn.STDEV.S(weather.tbl[[#This Row],[Estevan]:[Kipling]])</f>
        <v>0.40987803063838407</v>
      </c>
      <c r="J547" s="2">
        <f t="shared" si="8"/>
        <v>20.345238095238095</v>
      </c>
      <c r="K547">
        <f>DAY(weather.tbl[[#This Row],[Date]])</f>
        <v>30</v>
      </c>
      <c r="L547">
        <f>MONTH(weather.tbl[[#This Row],[Date]])</f>
        <v>6</v>
      </c>
      <c r="M547">
        <f>YEAR(weather.tbl[[#This Row],[Date]])</f>
        <v>2015</v>
      </c>
    </row>
    <row r="548" spans="1:13" x14ac:dyDescent="0.25">
      <c r="A548" s="1">
        <v>42186</v>
      </c>
      <c r="B548" s="2">
        <v>19.3</v>
      </c>
      <c r="C548" s="2">
        <v>19.2</v>
      </c>
      <c r="D548" s="2">
        <v>18.5</v>
      </c>
      <c r="E548" s="2">
        <v>18.8</v>
      </c>
      <c r="F548" s="2">
        <v>18</v>
      </c>
      <c r="G548" s="2">
        <v>18.399999999999999</v>
      </c>
      <c r="H548" s="2">
        <f>AVERAGE(weather.tbl[[#This Row],[Estevan]:[Kipling]])</f>
        <v>18.7</v>
      </c>
      <c r="I548" s="2">
        <f>_xlfn.STDEV.S(weather.tbl[[#This Row],[Estevan]:[Kipling]])</f>
        <v>0.49799598391954952</v>
      </c>
      <c r="J548" s="2">
        <f t="shared" si="8"/>
        <v>20.383333333333333</v>
      </c>
      <c r="K548">
        <f>DAY(weather.tbl[[#This Row],[Date]])</f>
        <v>1</v>
      </c>
      <c r="L548">
        <f>MONTH(weather.tbl[[#This Row],[Date]])</f>
        <v>7</v>
      </c>
      <c r="M548">
        <f>YEAR(weather.tbl[[#This Row],[Date]])</f>
        <v>2015</v>
      </c>
    </row>
    <row r="549" spans="1:13" x14ac:dyDescent="0.25">
      <c r="A549" s="1">
        <v>42187</v>
      </c>
      <c r="B549" s="2">
        <v>19.8</v>
      </c>
      <c r="C549" s="2">
        <v>20</v>
      </c>
      <c r="D549" s="2">
        <v>18.8</v>
      </c>
      <c r="E549" s="2">
        <v>20.3</v>
      </c>
      <c r="F549" s="2">
        <v>19.7</v>
      </c>
      <c r="G549" s="2">
        <v>20</v>
      </c>
      <c r="H549" s="2">
        <f>AVERAGE(weather.tbl[[#This Row],[Estevan]:[Kipling]])</f>
        <v>19.766666666666666</v>
      </c>
      <c r="I549" s="2">
        <f>_xlfn.STDEV.S(weather.tbl[[#This Row],[Estevan]:[Kipling]])</f>
        <v>0.5163977794943222</v>
      </c>
      <c r="J549" s="2">
        <f t="shared" si="8"/>
        <v>20.36904761904762</v>
      </c>
      <c r="K549">
        <f>DAY(weather.tbl[[#This Row],[Date]])</f>
        <v>2</v>
      </c>
      <c r="L549">
        <f>MONTH(weather.tbl[[#This Row],[Date]])</f>
        <v>7</v>
      </c>
      <c r="M549">
        <f>YEAR(weather.tbl[[#This Row],[Date]])</f>
        <v>2015</v>
      </c>
    </row>
    <row r="550" spans="1:13" x14ac:dyDescent="0.25">
      <c r="A550" s="1">
        <v>42188</v>
      </c>
      <c r="B550" s="2">
        <v>19.5</v>
      </c>
      <c r="C550" s="2">
        <v>20.7</v>
      </c>
      <c r="D550" s="2">
        <v>19.5</v>
      </c>
      <c r="E550" s="2">
        <v>21.8</v>
      </c>
      <c r="F550" s="2">
        <v>21</v>
      </c>
      <c r="G550" s="2">
        <v>20.100000000000001</v>
      </c>
      <c r="H550" s="2">
        <f>AVERAGE(weather.tbl[[#This Row],[Estevan]:[Kipling]])</f>
        <v>20.433333333333334</v>
      </c>
      <c r="I550" s="2">
        <f>_xlfn.STDEV.S(weather.tbl[[#This Row],[Estevan]:[Kipling]])</f>
        <v>0.90700973901423287</v>
      </c>
      <c r="J550" s="2">
        <f t="shared" si="8"/>
        <v>20.364285714285717</v>
      </c>
      <c r="K550">
        <f>DAY(weather.tbl[[#This Row],[Date]])</f>
        <v>3</v>
      </c>
      <c r="L550">
        <f>MONTH(weather.tbl[[#This Row],[Date]])</f>
        <v>7</v>
      </c>
      <c r="M550">
        <f>YEAR(weather.tbl[[#This Row],[Date]])</f>
        <v>2015</v>
      </c>
    </row>
    <row r="551" spans="1:13" x14ac:dyDescent="0.25">
      <c r="A551" s="1">
        <v>42189</v>
      </c>
      <c r="B551" s="2">
        <v>22.5</v>
      </c>
      <c r="C551" s="2">
        <v>20.8</v>
      </c>
      <c r="D551" s="2">
        <v>22.3</v>
      </c>
      <c r="E551" s="2">
        <v>22.3</v>
      </c>
      <c r="F551" s="2">
        <v>23.5</v>
      </c>
      <c r="G551" s="2">
        <v>23.1</v>
      </c>
      <c r="H551" s="2">
        <f>AVERAGE(weather.tbl[[#This Row],[Estevan]:[Kipling]])</f>
        <v>22.416666666666668</v>
      </c>
      <c r="I551" s="2">
        <f>_xlfn.STDEV.S(weather.tbl[[#This Row],[Estevan]:[Kipling]])</f>
        <v>0.92610294604145738</v>
      </c>
      <c r="J551" s="2">
        <f t="shared" si="8"/>
        <v>20.45</v>
      </c>
      <c r="K551">
        <f>DAY(weather.tbl[[#This Row],[Date]])</f>
        <v>4</v>
      </c>
      <c r="L551">
        <f>MONTH(weather.tbl[[#This Row],[Date]])</f>
        <v>7</v>
      </c>
      <c r="M551">
        <f>YEAR(weather.tbl[[#This Row],[Date]])</f>
        <v>2015</v>
      </c>
    </row>
    <row r="552" spans="1:13" x14ac:dyDescent="0.25">
      <c r="A552" s="1">
        <v>42190</v>
      </c>
      <c r="B552" s="2">
        <v>16.7</v>
      </c>
      <c r="C552" s="2">
        <v>17</v>
      </c>
      <c r="D552" s="2">
        <v>18.8</v>
      </c>
      <c r="E552" s="2">
        <v>19.3</v>
      </c>
      <c r="F552" s="2">
        <v>17.5</v>
      </c>
      <c r="G552" s="2">
        <v>17.8</v>
      </c>
      <c r="H552" s="2">
        <f>AVERAGE(weather.tbl[[#This Row],[Estevan]:[Kipling]])</f>
        <v>17.849999999999998</v>
      </c>
      <c r="I552" s="2">
        <f>_xlfn.STDEV.S(weather.tbl[[#This Row],[Estevan]:[Kipling]])</f>
        <v>1.0173494974687907</v>
      </c>
      <c r="J552" s="2">
        <f t="shared" si="8"/>
        <v>19.964285714285715</v>
      </c>
      <c r="K552">
        <f>DAY(weather.tbl[[#This Row],[Date]])</f>
        <v>5</v>
      </c>
      <c r="L552">
        <f>MONTH(weather.tbl[[#This Row],[Date]])</f>
        <v>7</v>
      </c>
      <c r="M552">
        <f>YEAR(weather.tbl[[#This Row],[Date]])</f>
        <v>2015</v>
      </c>
    </row>
    <row r="553" spans="1:13" x14ac:dyDescent="0.25">
      <c r="A553" s="1">
        <v>42191</v>
      </c>
      <c r="B553" s="2">
        <v>15.2</v>
      </c>
      <c r="C553" s="2">
        <v>15.3</v>
      </c>
      <c r="D553" s="2">
        <v>14.3</v>
      </c>
      <c r="E553" s="2">
        <v>16.5</v>
      </c>
      <c r="F553" s="2">
        <v>14.1</v>
      </c>
      <c r="G553" s="2">
        <v>14.3</v>
      </c>
      <c r="H553" s="2">
        <f>AVERAGE(weather.tbl[[#This Row],[Estevan]:[Kipling]])</f>
        <v>14.949999999999998</v>
      </c>
      <c r="I553" s="2">
        <f>_xlfn.STDEV.S(weather.tbl[[#This Row],[Estevan]:[Kipling]])</f>
        <v>0.91159201400626577</v>
      </c>
      <c r="J553" s="2">
        <f t="shared" si="8"/>
        <v>18.859523809523807</v>
      </c>
      <c r="K553">
        <f>DAY(weather.tbl[[#This Row],[Date]])</f>
        <v>6</v>
      </c>
      <c r="L553">
        <f>MONTH(weather.tbl[[#This Row],[Date]])</f>
        <v>7</v>
      </c>
      <c r="M553">
        <f>YEAR(weather.tbl[[#This Row],[Date]])</f>
        <v>2015</v>
      </c>
    </row>
    <row r="554" spans="1:13" x14ac:dyDescent="0.25">
      <c r="A554" s="1">
        <v>42192</v>
      </c>
      <c r="B554" s="2">
        <v>16.600000000000001</v>
      </c>
      <c r="C554" s="2">
        <v>17.3</v>
      </c>
      <c r="D554" s="2">
        <v>14.5</v>
      </c>
      <c r="E554" s="2">
        <v>17.5</v>
      </c>
      <c r="F554" s="2">
        <v>15.5</v>
      </c>
      <c r="G554" s="2">
        <v>16</v>
      </c>
      <c r="H554" s="2">
        <f>AVERAGE(weather.tbl[[#This Row],[Estevan]:[Kipling]])</f>
        <v>16.233333333333334</v>
      </c>
      <c r="I554" s="2">
        <f>_xlfn.STDEV.S(weather.tbl[[#This Row],[Estevan]:[Kipling]])</f>
        <v>1.1378341999899051</v>
      </c>
      <c r="J554" s="2">
        <f t="shared" si="8"/>
        <v>18.621428571428574</v>
      </c>
      <c r="K554">
        <f>DAY(weather.tbl[[#This Row],[Date]])</f>
        <v>7</v>
      </c>
      <c r="L554">
        <f>MONTH(weather.tbl[[#This Row],[Date]])</f>
        <v>7</v>
      </c>
      <c r="M554">
        <f>YEAR(weather.tbl[[#This Row],[Date]])</f>
        <v>2015</v>
      </c>
    </row>
    <row r="555" spans="1:13" x14ac:dyDescent="0.25">
      <c r="A555" s="1">
        <v>42193</v>
      </c>
      <c r="B555" s="2">
        <v>15.1</v>
      </c>
      <c r="C555" s="2">
        <v>15</v>
      </c>
      <c r="D555" s="2">
        <v>15.8</v>
      </c>
      <c r="E555" s="2">
        <v>15.5</v>
      </c>
      <c r="F555" s="2">
        <v>16.600000000000001</v>
      </c>
      <c r="G555" s="2">
        <v>14.4</v>
      </c>
      <c r="H555" s="2">
        <f>AVERAGE(weather.tbl[[#This Row],[Estevan]:[Kipling]])</f>
        <v>15.4</v>
      </c>
      <c r="I555" s="2">
        <f>_xlfn.STDEV.S(weather.tbl[[#This Row],[Estevan]:[Kipling]])</f>
        <v>0.756306816047562</v>
      </c>
      <c r="J555" s="2">
        <f t="shared" si="8"/>
        <v>18.150000000000002</v>
      </c>
      <c r="K555">
        <f>DAY(weather.tbl[[#This Row],[Date]])</f>
        <v>8</v>
      </c>
      <c r="L555">
        <f>MONTH(weather.tbl[[#This Row],[Date]])</f>
        <v>7</v>
      </c>
      <c r="M555">
        <f>YEAR(weather.tbl[[#This Row],[Date]])</f>
        <v>2015</v>
      </c>
    </row>
    <row r="556" spans="1:13" x14ac:dyDescent="0.25">
      <c r="A556" s="1">
        <v>42194</v>
      </c>
      <c r="B556" s="2">
        <v>21</v>
      </c>
      <c r="C556" s="2">
        <v>21</v>
      </c>
      <c r="D556" s="2">
        <v>18.5</v>
      </c>
      <c r="E556" s="2">
        <v>22.5</v>
      </c>
      <c r="F556" s="2">
        <v>20.100000000000001</v>
      </c>
      <c r="G556" s="2">
        <v>20.6</v>
      </c>
      <c r="H556" s="2">
        <f>AVERAGE(weather.tbl[[#This Row],[Estevan]:[Kipling]])</f>
        <v>20.616666666666664</v>
      </c>
      <c r="I556" s="2">
        <f>_xlfn.STDEV.S(weather.tbl[[#This Row],[Estevan]:[Kipling]])</f>
        <v>1.3105978279650345</v>
      </c>
      <c r="J556" s="2">
        <f t="shared" si="8"/>
        <v>18.271428571428572</v>
      </c>
      <c r="K556">
        <f>DAY(weather.tbl[[#This Row],[Date]])</f>
        <v>9</v>
      </c>
      <c r="L556">
        <f>MONTH(weather.tbl[[#This Row],[Date]])</f>
        <v>7</v>
      </c>
      <c r="M556">
        <f>YEAR(weather.tbl[[#This Row],[Date]])</f>
        <v>2015</v>
      </c>
    </row>
    <row r="557" spans="1:13" x14ac:dyDescent="0.25">
      <c r="A557" s="1">
        <v>42195</v>
      </c>
      <c r="B557" s="2">
        <v>23.8</v>
      </c>
      <c r="C557" s="2">
        <v>23.9</v>
      </c>
      <c r="D557" s="2">
        <v>20.5</v>
      </c>
      <c r="E557" s="2">
        <v>23</v>
      </c>
      <c r="F557" s="2">
        <v>22.5</v>
      </c>
      <c r="G557" s="2">
        <v>24.3</v>
      </c>
      <c r="H557" s="2">
        <f>AVERAGE(weather.tbl[[#This Row],[Estevan]:[Kipling]])</f>
        <v>23</v>
      </c>
      <c r="I557" s="2">
        <f>_xlfn.STDEV.S(weather.tbl[[#This Row],[Estevan]:[Kipling]])</f>
        <v>1.3885243966167826</v>
      </c>
      <c r="J557" s="2">
        <f t="shared" si="8"/>
        <v>18.638095238095236</v>
      </c>
      <c r="K557">
        <f>DAY(weather.tbl[[#This Row],[Date]])</f>
        <v>10</v>
      </c>
      <c r="L557">
        <f>MONTH(weather.tbl[[#This Row],[Date]])</f>
        <v>7</v>
      </c>
      <c r="M557">
        <f>YEAR(weather.tbl[[#This Row],[Date]])</f>
        <v>2015</v>
      </c>
    </row>
    <row r="558" spans="1:13" x14ac:dyDescent="0.25">
      <c r="A558" s="1">
        <v>42196</v>
      </c>
      <c r="B558" s="2">
        <v>25</v>
      </c>
      <c r="C558" s="2">
        <v>24.8</v>
      </c>
      <c r="D558" s="2">
        <v>20.5</v>
      </c>
      <c r="E558" s="2">
        <v>24.5</v>
      </c>
      <c r="F558" s="2">
        <v>24.3</v>
      </c>
      <c r="G558" s="2">
        <v>22.7</v>
      </c>
      <c r="H558" s="2">
        <f>AVERAGE(weather.tbl[[#This Row],[Estevan]:[Kipling]])</f>
        <v>23.633333333333329</v>
      </c>
      <c r="I558" s="2">
        <f>_xlfn.STDEV.S(weather.tbl[[#This Row],[Estevan]:[Kipling]])</f>
        <v>1.7385817975196529</v>
      </c>
      <c r="J558" s="2">
        <f t="shared" si="8"/>
        <v>18.811904761904763</v>
      </c>
      <c r="K558">
        <f>DAY(weather.tbl[[#This Row],[Date]])</f>
        <v>11</v>
      </c>
      <c r="L558">
        <f>MONTH(weather.tbl[[#This Row],[Date]])</f>
        <v>7</v>
      </c>
      <c r="M558">
        <f>YEAR(weather.tbl[[#This Row],[Date]])</f>
        <v>2015</v>
      </c>
    </row>
    <row r="559" spans="1:13" x14ac:dyDescent="0.25">
      <c r="A559" s="1">
        <v>42197</v>
      </c>
      <c r="B559" s="2">
        <v>23.7</v>
      </c>
      <c r="C559" s="2">
        <v>23.5</v>
      </c>
      <c r="D559" s="2">
        <v>22</v>
      </c>
      <c r="E559" s="2">
        <v>24</v>
      </c>
      <c r="F559" s="2">
        <v>25.5</v>
      </c>
      <c r="G559" s="2">
        <v>22.7</v>
      </c>
      <c r="H559" s="2">
        <f>AVERAGE(weather.tbl[[#This Row],[Estevan]:[Kipling]])</f>
        <v>23.566666666666666</v>
      </c>
      <c r="I559" s="2">
        <f>_xlfn.STDEV.S(weather.tbl[[#This Row],[Estevan]:[Kipling]])</f>
        <v>1.196104789166345</v>
      </c>
      <c r="J559" s="2">
        <f t="shared" si="8"/>
        <v>19.628571428571426</v>
      </c>
      <c r="K559">
        <f>DAY(weather.tbl[[#This Row],[Date]])</f>
        <v>12</v>
      </c>
      <c r="L559">
        <f>MONTH(weather.tbl[[#This Row],[Date]])</f>
        <v>7</v>
      </c>
      <c r="M559">
        <f>YEAR(weather.tbl[[#This Row],[Date]])</f>
        <v>2015</v>
      </c>
    </row>
    <row r="560" spans="1:13" x14ac:dyDescent="0.25">
      <c r="A560" s="1">
        <v>42198</v>
      </c>
      <c r="B560" s="2">
        <v>22.3</v>
      </c>
      <c r="C560" s="2">
        <v>23.1</v>
      </c>
      <c r="D560" s="2">
        <v>22</v>
      </c>
      <c r="E560" s="2">
        <v>22.3</v>
      </c>
      <c r="F560" s="2">
        <v>22.5</v>
      </c>
      <c r="G560" s="2">
        <v>21</v>
      </c>
      <c r="H560" s="2">
        <f>AVERAGE(weather.tbl[[#This Row],[Estevan]:[Kipling]])</f>
        <v>22.2</v>
      </c>
      <c r="I560" s="2">
        <f>_xlfn.STDEV.S(weather.tbl[[#This Row],[Estevan]:[Kipling]])</f>
        <v>0.69282032302755137</v>
      </c>
      <c r="J560" s="2">
        <f t="shared" si="8"/>
        <v>20.664285714285711</v>
      </c>
      <c r="K560">
        <f>DAY(weather.tbl[[#This Row],[Date]])</f>
        <v>13</v>
      </c>
      <c r="L560">
        <f>MONTH(weather.tbl[[#This Row],[Date]])</f>
        <v>7</v>
      </c>
      <c r="M560">
        <f>YEAR(weather.tbl[[#This Row],[Date]])</f>
        <v>2015</v>
      </c>
    </row>
    <row r="561" spans="1:13" x14ac:dyDescent="0.25">
      <c r="A561" s="1">
        <v>42199</v>
      </c>
      <c r="B561" s="2">
        <v>21.4</v>
      </c>
      <c r="C561" s="2">
        <v>21.9</v>
      </c>
      <c r="D561" s="2">
        <v>21.5</v>
      </c>
      <c r="E561" s="2">
        <v>22.3</v>
      </c>
      <c r="F561" s="2">
        <v>22.6</v>
      </c>
      <c r="G561" s="2">
        <v>22.2</v>
      </c>
      <c r="H561" s="2">
        <f>AVERAGE(weather.tbl[[#This Row],[Estevan]:[Kipling]])</f>
        <v>21.983333333333331</v>
      </c>
      <c r="I561" s="2">
        <f>_xlfn.STDEV.S(weather.tbl[[#This Row],[Estevan]:[Kipling]])</f>
        <v>0.47081489639418533</v>
      </c>
      <c r="J561" s="2">
        <f t="shared" si="8"/>
        <v>21.485714285714284</v>
      </c>
      <c r="K561">
        <f>DAY(weather.tbl[[#This Row],[Date]])</f>
        <v>14</v>
      </c>
      <c r="L561">
        <f>MONTH(weather.tbl[[#This Row],[Date]])</f>
        <v>7</v>
      </c>
      <c r="M561">
        <f>YEAR(weather.tbl[[#This Row],[Date]])</f>
        <v>2015</v>
      </c>
    </row>
    <row r="562" spans="1:13" x14ac:dyDescent="0.25">
      <c r="A562" s="1">
        <v>42200</v>
      </c>
      <c r="B562" s="2">
        <v>22.4</v>
      </c>
      <c r="C562" s="2">
        <v>22.6</v>
      </c>
      <c r="D562" s="2">
        <v>21.3</v>
      </c>
      <c r="E562" s="2">
        <v>22.5</v>
      </c>
      <c r="F562" s="2">
        <v>23.2</v>
      </c>
      <c r="G562" s="2">
        <v>22.2</v>
      </c>
      <c r="H562" s="2">
        <f>AVERAGE(weather.tbl[[#This Row],[Estevan]:[Kipling]])</f>
        <v>22.366666666666664</v>
      </c>
      <c r="I562" s="2">
        <f>_xlfn.STDEV.S(weather.tbl[[#This Row],[Estevan]:[Kipling]])</f>
        <v>0.62182527020592071</v>
      </c>
      <c r="J562" s="2">
        <f t="shared" si="8"/>
        <v>22.480952380952377</v>
      </c>
      <c r="K562">
        <f>DAY(weather.tbl[[#This Row],[Date]])</f>
        <v>15</v>
      </c>
      <c r="L562">
        <f>MONTH(weather.tbl[[#This Row],[Date]])</f>
        <v>7</v>
      </c>
      <c r="M562">
        <f>YEAR(weather.tbl[[#This Row],[Date]])</f>
        <v>2015</v>
      </c>
    </row>
    <row r="563" spans="1:13" x14ac:dyDescent="0.25">
      <c r="A563" s="1">
        <v>42201</v>
      </c>
      <c r="B563" s="2">
        <v>21.7</v>
      </c>
      <c r="C563" s="2">
        <v>22.9</v>
      </c>
      <c r="D563" s="2">
        <v>21.5</v>
      </c>
      <c r="E563" s="2">
        <v>23</v>
      </c>
      <c r="F563" s="2">
        <v>22.6</v>
      </c>
      <c r="G563" s="2">
        <v>22.1</v>
      </c>
      <c r="H563" s="2">
        <f>AVERAGE(weather.tbl[[#This Row],[Estevan]:[Kipling]])</f>
        <v>22.299999999999997</v>
      </c>
      <c r="I563" s="2">
        <f>_xlfn.STDEV.S(weather.tbl[[#This Row],[Estevan]:[Kipling]])</f>
        <v>0.62928530890209078</v>
      </c>
      <c r="J563" s="2">
        <f t="shared" si="8"/>
        <v>22.721428571428572</v>
      </c>
      <c r="K563">
        <f>DAY(weather.tbl[[#This Row],[Date]])</f>
        <v>16</v>
      </c>
      <c r="L563">
        <f>MONTH(weather.tbl[[#This Row],[Date]])</f>
        <v>7</v>
      </c>
      <c r="M563">
        <f>YEAR(weather.tbl[[#This Row],[Date]])</f>
        <v>2015</v>
      </c>
    </row>
    <row r="564" spans="1:13" x14ac:dyDescent="0.25">
      <c r="A564" s="1">
        <v>42202</v>
      </c>
      <c r="B564" s="2">
        <v>16.899999999999999</v>
      </c>
      <c r="C564" s="2">
        <v>17</v>
      </c>
      <c r="D564" s="2">
        <v>21.5</v>
      </c>
      <c r="E564" s="2">
        <v>17</v>
      </c>
      <c r="F564" s="2">
        <v>17.100000000000001</v>
      </c>
      <c r="G564" s="2">
        <v>15.8</v>
      </c>
      <c r="H564" s="2">
        <f>AVERAGE(weather.tbl[[#This Row],[Estevan]:[Kipling]])</f>
        <v>17.55</v>
      </c>
      <c r="I564" s="2">
        <f>_xlfn.STDEV.S(weather.tbl[[#This Row],[Estevan]:[Kipling]])</f>
        <v>1.9947430912275386</v>
      </c>
      <c r="J564" s="2">
        <f t="shared" si="8"/>
        <v>21.942857142857143</v>
      </c>
      <c r="K564">
        <f>DAY(weather.tbl[[#This Row],[Date]])</f>
        <v>17</v>
      </c>
      <c r="L564">
        <f>MONTH(weather.tbl[[#This Row],[Date]])</f>
        <v>7</v>
      </c>
      <c r="M564">
        <f>YEAR(weather.tbl[[#This Row],[Date]])</f>
        <v>2015</v>
      </c>
    </row>
    <row r="565" spans="1:13" x14ac:dyDescent="0.25">
      <c r="A565" s="1">
        <v>42203</v>
      </c>
      <c r="B565" s="2">
        <v>17.600000000000001</v>
      </c>
      <c r="C565" s="2">
        <v>17.600000000000001</v>
      </c>
      <c r="D565" s="2">
        <v>21.5</v>
      </c>
      <c r="E565" s="2">
        <v>18.3</v>
      </c>
      <c r="F565" s="2">
        <v>17.899999999999999</v>
      </c>
      <c r="G565" s="2">
        <v>15.9</v>
      </c>
      <c r="H565" s="2">
        <f>AVERAGE(weather.tbl[[#This Row],[Estevan]:[Kipling]])</f>
        <v>18.133333333333336</v>
      </c>
      <c r="I565" s="2">
        <f>_xlfn.STDEV.S(weather.tbl[[#This Row],[Estevan]:[Kipling]])</f>
        <v>1.8424621208227501</v>
      </c>
      <c r="J565" s="2">
        <f t="shared" si="8"/>
        <v>21.157142857142855</v>
      </c>
      <c r="K565">
        <f>DAY(weather.tbl[[#This Row],[Date]])</f>
        <v>18</v>
      </c>
      <c r="L565">
        <f>MONTH(weather.tbl[[#This Row],[Date]])</f>
        <v>7</v>
      </c>
      <c r="M565">
        <f>YEAR(weather.tbl[[#This Row],[Date]])</f>
        <v>2015</v>
      </c>
    </row>
    <row r="566" spans="1:13" x14ac:dyDescent="0.25">
      <c r="A566" s="1">
        <v>42204</v>
      </c>
      <c r="B566" s="2">
        <v>19.399999999999999</v>
      </c>
      <c r="C566" s="2">
        <v>19.3</v>
      </c>
      <c r="D566" s="2">
        <v>20</v>
      </c>
      <c r="E566" s="2">
        <v>19.5</v>
      </c>
      <c r="F566" s="2">
        <v>20.100000000000001</v>
      </c>
      <c r="G566" s="2">
        <v>18.3</v>
      </c>
      <c r="H566" s="2">
        <f>AVERAGE(weather.tbl[[#This Row],[Estevan]:[Kipling]])</f>
        <v>19.433333333333334</v>
      </c>
      <c r="I566" s="2">
        <f>_xlfn.STDEV.S(weather.tbl[[#This Row],[Estevan]:[Kipling]])</f>
        <v>0.64394616752230671</v>
      </c>
      <c r="J566" s="2">
        <f t="shared" si="8"/>
        <v>20.566666666666666</v>
      </c>
      <c r="K566">
        <f>DAY(weather.tbl[[#This Row],[Date]])</f>
        <v>19</v>
      </c>
      <c r="L566">
        <f>MONTH(weather.tbl[[#This Row],[Date]])</f>
        <v>7</v>
      </c>
      <c r="M566">
        <f>YEAR(weather.tbl[[#This Row],[Date]])</f>
        <v>2015</v>
      </c>
    </row>
    <row r="567" spans="1:13" x14ac:dyDescent="0.25">
      <c r="A567" s="1">
        <v>42205</v>
      </c>
      <c r="B567" s="2">
        <v>17.399999999999999</v>
      </c>
      <c r="C567" s="2">
        <v>17.8</v>
      </c>
      <c r="D567" s="2">
        <v>17.8</v>
      </c>
      <c r="E567" s="2">
        <v>19.3</v>
      </c>
      <c r="F567" s="2">
        <v>18.3</v>
      </c>
      <c r="G567" s="2">
        <v>17.3</v>
      </c>
      <c r="H567" s="2">
        <f>AVERAGE(weather.tbl[[#This Row],[Estevan]:[Kipling]])</f>
        <v>17.983333333333331</v>
      </c>
      <c r="I567" s="2">
        <f>_xlfn.STDEV.S(weather.tbl[[#This Row],[Estevan]:[Kipling]])</f>
        <v>0.73598007219398764</v>
      </c>
      <c r="J567" s="2">
        <f t="shared" si="8"/>
        <v>19.964285714285715</v>
      </c>
      <c r="K567">
        <f>DAY(weather.tbl[[#This Row],[Date]])</f>
        <v>20</v>
      </c>
      <c r="L567">
        <f>MONTH(weather.tbl[[#This Row],[Date]])</f>
        <v>7</v>
      </c>
      <c r="M567">
        <f>YEAR(weather.tbl[[#This Row],[Date]])</f>
        <v>2015</v>
      </c>
    </row>
    <row r="568" spans="1:13" x14ac:dyDescent="0.25">
      <c r="A568" s="1">
        <v>42206</v>
      </c>
      <c r="B568" s="2">
        <v>19.2</v>
      </c>
      <c r="C568" s="2">
        <v>17.8</v>
      </c>
      <c r="D568" s="2">
        <v>16</v>
      </c>
      <c r="E568" s="2">
        <v>21</v>
      </c>
      <c r="F568" s="2">
        <v>17.5</v>
      </c>
      <c r="G568" s="2">
        <v>17.7</v>
      </c>
      <c r="H568" s="2">
        <f>AVERAGE(weather.tbl[[#This Row],[Estevan]:[Kipling]])</f>
        <v>18.2</v>
      </c>
      <c r="I568" s="2">
        <f>_xlfn.STDEV.S(weather.tbl[[#This Row],[Estevan]:[Kipling]])</f>
        <v>1.7076299364909246</v>
      </c>
      <c r="J568" s="2">
        <f t="shared" si="8"/>
        <v>19.423809523809524</v>
      </c>
      <c r="K568">
        <f>DAY(weather.tbl[[#This Row],[Date]])</f>
        <v>21</v>
      </c>
      <c r="L568">
        <f>MONTH(weather.tbl[[#This Row],[Date]])</f>
        <v>7</v>
      </c>
      <c r="M568">
        <f>YEAR(weather.tbl[[#This Row],[Date]])</f>
        <v>2015</v>
      </c>
    </row>
    <row r="569" spans="1:13" x14ac:dyDescent="0.25">
      <c r="A569" s="1">
        <v>42207</v>
      </c>
      <c r="B569" s="2">
        <v>19.2</v>
      </c>
      <c r="C569" s="2">
        <v>24.2</v>
      </c>
      <c r="D569" s="2">
        <v>21.5</v>
      </c>
      <c r="E569" s="2">
        <v>21</v>
      </c>
      <c r="F569" s="2">
        <v>22.7</v>
      </c>
      <c r="G569" s="2">
        <v>21.8</v>
      </c>
      <c r="H569" s="2">
        <f>AVERAGE(weather.tbl[[#This Row],[Estevan]:[Kipling]])</f>
        <v>21.733333333333334</v>
      </c>
      <c r="I569" s="2">
        <f>_xlfn.STDEV.S(weather.tbl[[#This Row],[Estevan]:[Kipling]])</f>
        <v>1.6753109164172082</v>
      </c>
      <c r="J569" s="2">
        <f t="shared" si="8"/>
        <v>19.333333333333336</v>
      </c>
      <c r="K569">
        <f>DAY(weather.tbl[[#This Row],[Date]])</f>
        <v>22</v>
      </c>
      <c r="L569">
        <f>MONTH(weather.tbl[[#This Row],[Date]])</f>
        <v>7</v>
      </c>
      <c r="M569">
        <f>YEAR(weather.tbl[[#This Row],[Date]])</f>
        <v>2015</v>
      </c>
    </row>
    <row r="570" spans="1:13" x14ac:dyDescent="0.25">
      <c r="A570" s="1">
        <v>42208</v>
      </c>
      <c r="B570" s="2">
        <v>20.3</v>
      </c>
      <c r="C570" s="2">
        <v>19.2</v>
      </c>
      <c r="D570" s="2">
        <v>19.8</v>
      </c>
      <c r="E570" s="2">
        <v>21</v>
      </c>
      <c r="F570" s="2">
        <v>20.9</v>
      </c>
      <c r="G570" s="2">
        <v>20.7</v>
      </c>
      <c r="H570" s="2">
        <f>AVERAGE(weather.tbl[[#This Row],[Estevan]:[Kipling]])</f>
        <v>20.316666666666666</v>
      </c>
      <c r="I570" s="2">
        <f>_xlfn.STDEV.S(weather.tbl[[#This Row],[Estevan]:[Kipling]])</f>
        <v>0.70261416628663731</v>
      </c>
      <c r="J570" s="2">
        <f t="shared" si="8"/>
        <v>19.050000000000004</v>
      </c>
      <c r="K570">
        <f>DAY(weather.tbl[[#This Row],[Date]])</f>
        <v>23</v>
      </c>
      <c r="L570">
        <f>MONTH(weather.tbl[[#This Row],[Date]])</f>
        <v>7</v>
      </c>
      <c r="M570">
        <f>YEAR(weather.tbl[[#This Row],[Date]])</f>
        <v>2015</v>
      </c>
    </row>
    <row r="571" spans="1:13" x14ac:dyDescent="0.25">
      <c r="A571" s="1">
        <v>42209</v>
      </c>
      <c r="B571" s="2">
        <v>20.7</v>
      </c>
      <c r="C571" s="2">
        <v>20.2</v>
      </c>
      <c r="D571" s="2">
        <v>21</v>
      </c>
      <c r="E571" s="2">
        <v>20.8</v>
      </c>
      <c r="F571" s="2">
        <v>20.8</v>
      </c>
      <c r="G571" s="2">
        <v>20.5</v>
      </c>
      <c r="H571" s="2">
        <f>AVERAGE(weather.tbl[[#This Row],[Estevan]:[Kipling]])</f>
        <v>20.666666666666668</v>
      </c>
      <c r="I571" s="2">
        <f>_xlfn.STDEV.S(weather.tbl[[#This Row],[Estevan]:[Kipling]])</f>
        <v>0.28047578623950209</v>
      </c>
      <c r="J571" s="2">
        <f t="shared" si="8"/>
        <v>19.495238095238097</v>
      </c>
      <c r="K571">
        <f>DAY(weather.tbl[[#This Row],[Date]])</f>
        <v>24</v>
      </c>
      <c r="L571">
        <f>MONTH(weather.tbl[[#This Row],[Date]])</f>
        <v>7</v>
      </c>
      <c r="M571">
        <f>YEAR(weather.tbl[[#This Row],[Date]])</f>
        <v>2015</v>
      </c>
    </row>
    <row r="572" spans="1:13" x14ac:dyDescent="0.25">
      <c r="A572" s="1">
        <v>42210</v>
      </c>
      <c r="B572" s="2">
        <v>22.1</v>
      </c>
      <c r="C572" s="2">
        <v>23.2</v>
      </c>
      <c r="D572" s="2">
        <v>21.5</v>
      </c>
      <c r="E572" s="2">
        <v>23</v>
      </c>
      <c r="F572" s="2">
        <v>21.4</v>
      </c>
      <c r="G572" s="2">
        <v>21.8</v>
      </c>
      <c r="H572" s="2">
        <f>AVERAGE(weather.tbl[[#This Row],[Estevan]:[Kipling]])</f>
        <v>22.166666666666668</v>
      </c>
      <c r="I572" s="2">
        <f>_xlfn.STDEV.S(weather.tbl[[#This Row],[Estevan]:[Kipling]])</f>
        <v>0.76594168620507053</v>
      </c>
      <c r="J572" s="2">
        <f t="shared" si="8"/>
        <v>20.071428571428573</v>
      </c>
      <c r="K572">
        <f>DAY(weather.tbl[[#This Row],[Date]])</f>
        <v>25</v>
      </c>
      <c r="L572">
        <f>MONTH(weather.tbl[[#This Row],[Date]])</f>
        <v>7</v>
      </c>
      <c r="M572">
        <f>YEAR(weather.tbl[[#This Row],[Date]])</f>
        <v>2015</v>
      </c>
    </row>
    <row r="573" spans="1:13" x14ac:dyDescent="0.25">
      <c r="A573" s="1">
        <v>42211</v>
      </c>
      <c r="B573" s="2">
        <v>22</v>
      </c>
      <c r="C573" s="2">
        <v>22.2</v>
      </c>
      <c r="D573" s="2">
        <v>20.5</v>
      </c>
      <c r="E573" s="2">
        <v>24</v>
      </c>
      <c r="F573" s="2">
        <v>22.3</v>
      </c>
      <c r="G573" s="2">
        <v>21.2</v>
      </c>
      <c r="H573" s="2">
        <f>AVERAGE(weather.tbl[[#This Row],[Estevan]:[Kipling]])</f>
        <v>22.033333333333331</v>
      </c>
      <c r="I573" s="2">
        <f>_xlfn.STDEV.S(weather.tbl[[#This Row],[Estevan]:[Kipling]])</f>
        <v>1.184342292864131</v>
      </c>
      <c r="J573" s="2">
        <f t="shared" si="8"/>
        <v>20.442857142857147</v>
      </c>
      <c r="K573">
        <f>DAY(weather.tbl[[#This Row],[Date]])</f>
        <v>26</v>
      </c>
      <c r="L573">
        <f>MONTH(weather.tbl[[#This Row],[Date]])</f>
        <v>7</v>
      </c>
      <c r="M573">
        <f>YEAR(weather.tbl[[#This Row],[Date]])</f>
        <v>2015</v>
      </c>
    </row>
    <row r="574" spans="1:13" x14ac:dyDescent="0.25">
      <c r="A574" s="1">
        <v>42212</v>
      </c>
      <c r="B574" s="2">
        <v>22.5</v>
      </c>
      <c r="C574" s="2">
        <v>21</v>
      </c>
      <c r="D574" s="2">
        <v>22.3</v>
      </c>
      <c r="E574" s="2">
        <v>20.3</v>
      </c>
      <c r="F574" s="2">
        <v>22.2</v>
      </c>
      <c r="G574" s="2">
        <v>20</v>
      </c>
      <c r="H574" s="2">
        <f>AVERAGE(weather.tbl[[#This Row],[Estevan]:[Kipling]])</f>
        <v>21.383333333333336</v>
      </c>
      <c r="I574" s="2">
        <f>_xlfn.STDEV.S(weather.tbl[[#This Row],[Estevan]:[Kipling]])</f>
        <v>1.0943795807061947</v>
      </c>
      <c r="J574" s="2">
        <f t="shared" si="8"/>
        <v>20.928571428571427</v>
      </c>
      <c r="K574">
        <f>DAY(weather.tbl[[#This Row],[Date]])</f>
        <v>27</v>
      </c>
      <c r="L574">
        <f>MONTH(weather.tbl[[#This Row],[Date]])</f>
        <v>7</v>
      </c>
      <c r="M574">
        <f>YEAR(weather.tbl[[#This Row],[Date]])</f>
        <v>2015</v>
      </c>
    </row>
    <row r="575" spans="1:13" x14ac:dyDescent="0.25">
      <c r="A575" s="1">
        <v>42213</v>
      </c>
      <c r="B575" s="2">
        <v>16.600000000000001</v>
      </c>
      <c r="C575" s="2">
        <v>16.7</v>
      </c>
      <c r="D575" s="2">
        <v>16.5</v>
      </c>
      <c r="E575" s="2">
        <v>16.8</v>
      </c>
      <c r="F575" s="2">
        <v>20.100000000000001</v>
      </c>
      <c r="G575" s="2">
        <v>16.5</v>
      </c>
      <c r="H575" s="2">
        <f>AVERAGE(weather.tbl[[#This Row],[Estevan]:[Kipling]])</f>
        <v>17.2</v>
      </c>
      <c r="I575" s="2">
        <f>_xlfn.STDEV.S(weather.tbl[[#This Row],[Estevan]:[Kipling]])</f>
        <v>1.4254823744964373</v>
      </c>
      <c r="J575" s="2">
        <f t="shared" si="8"/>
        <v>20.785714285714285</v>
      </c>
      <c r="K575">
        <f>DAY(weather.tbl[[#This Row],[Date]])</f>
        <v>28</v>
      </c>
      <c r="L575">
        <f>MONTH(weather.tbl[[#This Row],[Date]])</f>
        <v>7</v>
      </c>
      <c r="M575">
        <f>YEAR(weather.tbl[[#This Row],[Date]])</f>
        <v>2015</v>
      </c>
    </row>
    <row r="576" spans="1:13" x14ac:dyDescent="0.25">
      <c r="A576" s="1">
        <v>42214</v>
      </c>
      <c r="B576" s="2">
        <v>20.399999999999999</v>
      </c>
      <c r="C576" s="2">
        <v>19.7</v>
      </c>
      <c r="D576" s="2">
        <v>20</v>
      </c>
      <c r="E576" s="2">
        <v>19.5</v>
      </c>
      <c r="F576" s="2">
        <v>20.100000000000001</v>
      </c>
      <c r="G576" s="2">
        <v>17.8</v>
      </c>
      <c r="H576" s="2">
        <f>AVERAGE(weather.tbl[[#This Row],[Estevan]:[Kipling]])</f>
        <v>19.583333333333332</v>
      </c>
      <c r="I576" s="2">
        <f>_xlfn.STDEV.S(weather.tbl[[#This Row],[Estevan]:[Kipling]])</f>
        <v>0.92826002104295435</v>
      </c>
      <c r="J576" s="2">
        <f t="shared" si="8"/>
        <v>20.478571428571431</v>
      </c>
      <c r="K576">
        <f>DAY(weather.tbl[[#This Row],[Date]])</f>
        <v>29</v>
      </c>
      <c r="L576">
        <f>MONTH(weather.tbl[[#This Row],[Date]])</f>
        <v>7</v>
      </c>
      <c r="M576">
        <f>YEAR(weather.tbl[[#This Row],[Date]])</f>
        <v>2015</v>
      </c>
    </row>
    <row r="577" spans="1:13" x14ac:dyDescent="0.25">
      <c r="A577" s="1">
        <v>42215</v>
      </c>
      <c r="B577" s="2">
        <v>18.100000000000001</v>
      </c>
      <c r="C577" s="2">
        <v>18.5</v>
      </c>
      <c r="D577" s="2">
        <v>18.8</v>
      </c>
      <c r="E577" s="2">
        <v>19.5</v>
      </c>
      <c r="F577" s="2">
        <v>19.8</v>
      </c>
      <c r="G577" s="2">
        <v>17.5</v>
      </c>
      <c r="H577" s="2">
        <f>AVERAGE(weather.tbl[[#This Row],[Estevan]:[Kipling]])</f>
        <v>18.7</v>
      </c>
      <c r="I577" s="2">
        <f>_xlfn.STDEV.S(weather.tbl[[#This Row],[Estevan]:[Kipling]])</f>
        <v>0.86023252670426265</v>
      </c>
      <c r="J577" s="2">
        <f t="shared" si="8"/>
        <v>20.24761904761905</v>
      </c>
      <c r="K577">
        <f>DAY(weather.tbl[[#This Row],[Date]])</f>
        <v>30</v>
      </c>
      <c r="L577">
        <f>MONTH(weather.tbl[[#This Row],[Date]])</f>
        <v>7</v>
      </c>
      <c r="M577">
        <f>YEAR(weather.tbl[[#This Row],[Date]])</f>
        <v>2015</v>
      </c>
    </row>
    <row r="578" spans="1:13" x14ac:dyDescent="0.25">
      <c r="A578" s="1">
        <v>42216</v>
      </c>
      <c r="B578" s="2">
        <v>18</v>
      </c>
      <c r="C578" s="2">
        <v>18.3</v>
      </c>
      <c r="D578" s="2">
        <v>19</v>
      </c>
      <c r="E578" s="2">
        <v>19.5</v>
      </c>
      <c r="F578" s="2">
        <v>19.2</v>
      </c>
      <c r="G578" s="2">
        <v>17.399999999999999</v>
      </c>
      <c r="H578" s="2">
        <f>AVERAGE(weather.tbl[[#This Row],[Estevan]:[Kipling]])</f>
        <v>18.566666666666666</v>
      </c>
      <c r="I578" s="2">
        <f>_xlfn.STDEV.S(weather.tbl[[#This Row],[Estevan]:[Kipling]])</f>
        <v>0.80166493416306239</v>
      </c>
      <c r="J578" s="2">
        <f t="shared" si="8"/>
        <v>19.94761904761905</v>
      </c>
      <c r="K578">
        <f>DAY(weather.tbl[[#This Row],[Date]])</f>
        <v>31</v>
      </c>
      <c r="L578">
        <f>MONTH(weather.tbl[[#This Row],[Date]])</f>
        <v>7</v>
      </c>
      <c r="M578">
        <f>YEAR(weather.tbl[[#This Row],[Date]])</f>
        <v>2015</v>
      </c>
    </row>
    <row r="579" spans="1:13" x14ac:dyDescent="0.25">
      <c r="A579" s="1">
        <v>42217</v>
      </c>
      <c r="B579" s="2">
        <v>21.7</v>
      </c>
      <c r="C579" s="2">
        <v>21.5</v>
      </c>
      <c r="D579" s="2">
        <v>20.3</v>
      </c>
      <c r="E579" s="2">
        <v>22</v>
      </c>
      <c r="F579" s="2">
        <v>20.5</v>
      </c>
      <c r="G579" s="2">
        <v>19.100000000000001</v>
      </c>
      <c r="H579" s="2">
        <f>AVERAGE(weather.tbl[[#This Row],[Estevan]:[Kipling]])</f>
        <v>20.849999999999998</v>
      </c>
      <c r="I579" s="2">
        <f>_xlfn.STDEV.S(weather.tbl[[#This Row],[Estevan]:[Kipling]])</f>
        <v>1.0913294644606635</v>
      </c>
      <c r="J579" s="2">
        <f t="shared" si="8"/>
        <v>19.759523809523809</v>
      </c>
      <c r="K579">
        <f>DAY(weather.tbl[[#This Row],[Date]])</f>
        <v>1</v>
      </c>
      <c r="L579">
        <f>MONTH(weather.tbl[[#This Row],[Date]])</f>
        <v>8</v>
      </c>
      <c r="M579">
        <f>YEAR(weather.tbl[[#This Row],[Date]])</f>
        <v>2015</v>
      </c>
    </row>
    <row r="580" spans="1:13" x14ac:dyDescent="0.25">
      <c r="A580" s="1">
        <v>42218</v>
      </c>
      <c r="B580" s="2">
        <v>17.600000000000001</v>
      </c>
      <c r="C580" s="2">
        <v>18</v>
      </c>
      <c r="D580" s="2">
        <v>17.8</v>
      </c>
      <c r="E580" s="2">
        <v>19.5</v>
      </c>
      <c r="F580" s="2">
        <v>18.3</v>
      </c>
      <c r="G580" s="2">
        <v>16.7</v>
      </c>
      <c r="H580" s="2">
        <f>AVERAGE(weather.tbl[[#This Row],[Estevan]:[Kipling]])</f>
        <v>17.983333333333334</v>
      </c>
      <c r="I580" s="2">
        <f>_xlfn.STDEV.S(weather.tbl[[#This Row],[Estevan]:[Kipling]])</f>
        <v>0.91960136291040095</v>
      </c>
      <c r="J580" s="2">
        <f t="shared" si="8"/>
        <v>19.18095238095238</v>
      </c>
      <c r="K580">
        <f>DAY(weather.tbl[[#This Row],[Date]])</f>
        <v>2</v>
      </c>
      <c r="L580">
        <f>MONTH(weather.tbl[[#This Row],[Date]])</f>
        <v>8</v>
      </c>
      <c r="M580">
        <f>YEAR(weather.tbl[[#This Row],[Date]])</f>
        <v>2015</v>
      </c>
    </row>
    <row r="581" spans="1:13" x14ac:dyDescent="0.25">
      <c r="A581" s="1">
        <v>42219</v>
      </c>
      <c r="B581" s="2">
        <v>16.8</v>
      </c>
      <c r="C581" s="2">
        <v>18.2</v>
      </c>
      <c r="D581" s="2">
        <v>17.8</v>
      </c>
      <c r="E581" s="2">
        <v>19.5</v>
      </c>
      <c r="F581" s="2">
        <v>17.899999999999999</v>
      </c>
      <c r="G581" s="2">
        <v>17</v>
      </c>
      <c r="H581" s="2">
        <f>AVERAGE(weather.tbl[[#This Row],[Estevan]:[Kipling]])</f>
        <v>17.866666666666664</v>
      </c>
      <c r="I581" s="2">
        <f>_xlfn.STDEV.S(weather.tbl[[#This Row],[Estevan]:[Kipling]])</f>
        <v>0.96678160236253274</v>
      </c>
      <c r="J581" s="2">
        <f t="shared" si="8"/>
        <v>18.678571428571427</v>
      </c>
      <c r="K581">
        <f>DAY(weather.tbl[[#This Row],[Date]])</f>
        <v>3</v>
      </c>
      <c r="L581">
        <f>MONTH(weather.tbl[[#This Row],[Date]])</f>
        <v>8</v>
      </c>
      <c r="M581">
        <f>YEAR(weather.tbl[[#This Row],[Date]])</f>
        <v>2015</v>
      </c>
    </row>
    <row r="582" spans="1:13" x14ac:dyDescent="0.25">
      <c r="A582" s="1">
        <v>42220</v>
      </c>
      <c r="B582" s="2">
        <v>19.100000000000001</v>
      </c>
      <c r="C582" s="2">
        <v>20</v>
      </c>
      <c r="D582" s="2">
        <v>17.8</v>
      </c>
      <c r="E582" s="2">
        <v>20</v>
      </c>
      <c r="F582" s="2">
        <v>16.8</v>
      </c>
      <c r="G582" s="2">
        <v>18.100000000000001</v>
      </c>
      <c r="H582" s="2">
        <f>AVERAGE(weather.tbl[[#This Row],[Estevan]:[Kipling]])</f>
        <v>18.633333333333336</v>
      </c>
      <c r="I582" s="2">
        <f>_xlfn.STDEV.S(weather.tbl[[#This Row],[Estevan]:[Kipling]])</f>
        <v>1.287892335044613</v>
      </c>
      <c r="J582" s="2">
        <f t="shared" si="8"/>
        <v>18.883333333333329</v>
      </c>
      <c r="K582">
        <f>DAY(weather.tbl[[#This Row],[Date]])</f>
        <v>4</v>
      </c>
      <c r="L582">
        <f>MONTH(weather.tbl[[#This Row],[Date]])</f>
        <v>8</v>
      </c>
      <c r="M582">
        <f>YEAR(weather.tbl[[#This Row],[Date]])</f>
        <v>2015</v>
      </c>
    </row>
    <row r="583" spans="1:13" x14ac:dyDescent="0.25">
      <c r="A583" s="1">
        <v>42221</v>
      </c>
      <c r="B583" s="2">
        <v>20.9</v>
      </c>
      <c r="C583" s="2">
        <v>21.2</v>
      </c>
      <c r="D583" s="2">
        <v>18.8</v>
      </c>
      <c r="E583" s="2">
        <v>22.5</v>
      </c>
      <c r="F583" s="2">
        <v>18.600000000000001</v>
      </c>
      <c r="G583" s="2">
        <v>17.100000000000001</v>
      </c>
      <c r="H583" s="2">
        <f>AVERAGE(weather.tbl[[#This Row],[Estevan]:[Kipling]])</f>
        <v>19.849999999999998</v>
      </c>
      <c r="I583" s="2">
        <f>_xlfn.STDEV.S(weather.tbl[[#This Row],[Estevan]:[Kipling]])</f>
        <v>2.0087309426600659</v>
      </c>
      <c r="J583" s="2">
        <f t="shared" si="8"/>
        <v>18.921428571428571</v>
      </c>
      <c r="K583">
        <f>DAY(weather.tbl[[#This Row],[Date]])</f>
        <v>5</v>
      </c>
      <c r="L583">
        <f>MONTH(weather.tbl[[#This Row],[Date]])</f>
        <v>8</v>
      </c>
      <c r="M583">
        <f>YEAR(weather.tbl[[#This Row],[Date]])</f>
        <v>2015</v>
      </c>
    </row>
    <row r="584" spans="1:13" x14ac:dyDescent="0.25">
      <c r="A584" s="1">
        <v>42222</v>
      </c>
      <c r="B584" s="2">
        <v>16.7</v>
      </c>
      <c r="C584" s="2">
        <v>16.100000000000001</v>
      </c>
      <c r="D584" s="2">
        <v>16.5</v>
      </c>
      <c r="E584" s="2">
        <v>17.5</v>
      </c>
      <c r="F584" s="2">
        <v>17.399999999999999</v>
      </c>
      <c r="G584" s="2">
        <v>15.2</v>
      </c>
      <c r="H584" s="2">
        <f>AVERAGE(weather.tbl[[#This Row],[Estevan]:[Kipling]])</f>
        <v>16.566666666666666</v>
      </c>
      <c r="I584" s="2">
        <f>_xlfn.STDEV.S(weather.tbl[[#This Row],[Estevan]:[Kipling]])</f>
        <v>0.85712698398000875</v>
      </c>
      <c r="J584" s="2">
        <f t="shared" si="8"/>
        <v>18.616666666666667</v>
      </c>
      <c r="K584">
        <f>DAY(weather.tbl[[#This Row],[Date]])</f>
        <v>6</v>
      </c>
      <c r="L584">
        <f>MONTH(weather.tbl[[#This Row],[Date]])</f>
        <v>8</v>
      </c>
      <c r="M584">
        <f>YEAR(weather.tbl[[#This Row],[Date]])</f>
        <v>2015</v>
      </c>
    </row>
    <row r="585" spans="1:13" x14ac:dyDescent="0.25">
      <c r="A585" s="1">
        <v>42223</v>
      </c>
      <c r="B585" s="2">
        <v>17.7</v>
      </c>
      <c r="C585" s="2">
        <v>17.399999999999999</v>
      </c>
      <c r="D585" s="2">
        <v>17.5</v>
      </c>
      <c r="E585" s="2">
        <v>16.8</v>
      </c>
      <c r="F585" s="2">
        <v>19.5</v>
      </c>
      <c r="G585" s="2">
        <v>16</v>
      </c>
      <c r="H585" s="2">
        <f>AVERAGE(weather.tbl[[#This Row],[Estevan]:[Kipling]])</f>
        <v>17.483333333333331</v>
      </c>
      <c r="I585" s="2">
        <f>_xlfn.STDEV.S(weather.tbl[[#This Row],[Estevan]:[Kipling]])</f>
        <v>1.1651895410904898</v>
      </c>
      <c r="J585" s="2">
        <f t="shared" si="8"/>
        <v>18.461904761904758</v>
      </c>
      <c r="K585">
        <f>DAY(weather.tbl[[#This Row],[Date]])</f>
        <v>7</v>
      </c>
      <c r="L585">
        <f>MONTH(weather.tbl[[#This Row],[Date]])</f>
        <v>8</v>
      </c>
      <c r="M585">
        <f>YEAR(weather.tbl[[#This Row],[Date]])</f>
        <v>2015</v>
      </c>
    </row>
    <row r="586" spans="1:13" x14ac:dyDescent="0.25">
      <c r="A586" s="1">
        <v>42224</v>
      </c>
      <c r="B586" s="2">
        <v>17.3</v>
      </c>
      <c r="C586" s="2">
        <v>17.7</v>
      </c>
      <c r="D586" s="2">
        <v>17</v>
      </c>
      <c r="E586" s="2">
        <v>18.5</v>
      </c>
      <c r="F586" s="2">
        <v>17.899999999999999</v>
      </c>
      <c r="G586" s="2">
        <v>15.6</v>
      </c>
      <c r="H586" s="2">
        <f>AVERAGE(weather.tbl[[#This Row],[Estevan]:[Kipling]])</f>
        <v>17.333333333333332</v>
      </c>
      <c r="I586" s="2">
        <f>_xlfn.STDEV.S(weather.tbl[[#This Row],[Estevan]:[Kipling]])</f>
        <v>0.99331096171675592</v>
      </c>
      <c r="J586" s="2">
        <f t="shared" ref="J586:J649" si="9">AVERAGE(H580:H586)</f>
        <v>17.959523809523809</v>
      </c>
      <c r="K586">
        <f>DAY(weather.tbl[[#This Row],[Date]])</f>
        <v>8</v>
      </c>
      <c r="L586">
        <f>MONTH(weather.tbl[[#This Row],[Date]])</f>
        <v>8</v>
      </c>
      <c r="M586">
        <f>YEAR(weather.tbl[[#This Row],[Date]])</f>
        <v>2015</v>
      </c>
    </row>
    <row r="587" spans="1:13" x14ac:dyDescent="0.25">
      <c r="A587" s="1">
        <v>42225</v>
      </c>
      <c r="B587" s="2">
        <v>17.899999999999999</v>
      </c>
      <c r="C587" s="2">
        <v>18.600000000000001</v>
      </c>
      <c r="D587" s="2">
        <v>17.5</v>
      </c>
      <c r="E587" s="2">
        <v>19.5</v>
      </c>
      <c r="F587" s="2">
        <v>17.899999999999999</v>
      </c>
      <c r="G587" s="2">
        <v>17.100000000000001</v>
      </c>
      <c r="H587" s="2">
        <f>AVERAGE(weather.tbl[[#This Row],[Estevan]:[Kipling]])</f>
        <v>18.083333333333332</v>
      </c>
      <c r="I587" s="2">
        <f>_xlfn.STDEV.S(weather.tbl[[#This Row],[Estevan]:[Kipling]])</f>
        <v>0.85420528367990467</v>
      </c>
      <c r="J587" s="2">
        <f t="shared" si="9"/>
        <v>17.973809523809521</v>
      </c>
      <c r="K587">
        <f>DAY(weather.tbl[[#This Row],[Date]])</f>
        <v>9</v>
      </c>
      <c r="L587">
        <f>MONTH(weather.tbl[[#This Row],[Date]])</f>
        <v>8</v>
      </c>
      <c r="M587">
        <f>YEAR(weather.tbl[[#This Row],[Date]])</f>
        <v>2015</v>
      </c>
    </row>
    <row r="588" spans="1:13" x14ac:dyDescent="0.25">
      <c r="A588" s="1">
        <v>42226</v>
      </c>
      <c r="B588" s="2">
        <v>19.899999999999999</v>
      </c>
      <c r="C588" s="2">
        <v>21.7</v>
      </c>
      <c r="D588" s="2">
        <v>19</v>
      </c>
      <c r="E588" s="2">
        <v>21</v>
      </c>
      <c r="F588" s="2">
        <v>20.100000000000001</v>
      </c>
      <c r="G588" s="2">
        <v>20</v>
      </c>
      <c r="H588" s="2">
        <f>AVERAGE(weather.tbl[[#This Row],[Estevan]:[Kipling]])</f>
        <v>20.283333333333331</v>
      </c>
      <c r="I588" s="2">
        <f>_xlfn.STDEV.S(weather.tbl[[#This Row],[Estevan]:[Kipling]])</f>
        <v>0.94109864874340698</v>
      </c>
      <c r="J588" s="2">
        <f t="shared" si="9"/>
        <v>18.319047619047616</v>
      </c>
      <c r="K588">
        <f>DAY(weather.tbl[[#This Row],[Date]])</f>
        <v>10</v>
      </c>
      <c r="L588">
        <f>MONTH(weather.tbl[[#This Row],[Date]])</f>
        <v>8</v>
      </c>
      <c r="M588">
        <f>YEAR(weather.tbl[[#This Row],[Date]])</f>
        <v>2015</v>
      </c>
    </row>
    <row r="589" spans="1:13" x14ac:dyDescent="0.25">
      <c r="A589" s="1">
        <v>42227</v>
      </c>
      <c r="B589" s="2">
        <v>23.9</v>
      </c>
      <c r="C589" s="2">
        <v>23.6</v>
      </c>
      <c r="D589" s="2">
        <v>22.3</v>
      </c>
      <c r="E589" s="2">
        <v>25</v>
      </c>
      <c r="F589" s="2">
        <v>23.5</v>
      </c>
      <c r="G589" s="2">
        <v>23.6</v>
      </c>
      <c r="H589" s="2">
        <f>AVERAGE(weather.tbl[[#This Row],[Estevan]:[Kipling]])</f>
        <v>23.650000000000002</v>
      </c>
      <c r="I589" s="2">
        <f>_xlfn.STDEV.S(weather.tbl[[#This Row],[Estevan]:[Kipling]])</f>
        <v>0.86429161745327565</v>
      </c>
      <c r="J589" s="2">
        <f t="shared" si="9"/>
        <v>19.035714285714281</v>
      </c>
      <c r="K589">
        <f>DAY(weather.tbl[[#This Row],[Date]])</f>
        <v>11</v>
      </c>
      <c r="L589">
        <f>MONTH(weather.tbl[[#This Row],[Date]])</f>
        <v>8</v>
      </c>
      <c r="M589">
        <f>YEAR(weather.tbl[[#This Row],[Date]])</f>
        <v>2015</v>
      </c>
    </row>
    <row r="590" spans="1:13" x14ac:dyDescent="0.25">
      <c r="A590" s="1">
        <v>42228</v>
      </c>
      <c r="B590" s="2">
        <v>27.6</v>
      </c>
      <c r="C590" s="2">
        <v>25.8</v>
      </c>
      <c r="D590" s="2">
        <v>25.8</v>
      </c>
      <c r="E590" s="2">
        <v>25.5</v>
      </c>
      <c r="F590" s="2">
        <v>26.3</v>
      </c>
      <c r="G590" s="2">
        <v>25.3</v>
      </c>
      <c r="H590" s="2">
        <f>AVERAGE(weather.tbl[[#This Row],[Estevan]:[Kipling]])</f>
        <v>26.05</v>
      </c>
      <c r="I590" s="2">
        <f>_xlfn.STDEV.S(weather.tbl[[#This Row],[Estevan]:[Kipling]])</f>
        <v>0.83126409762481657</v>
      </c>
      <c r="J590" s="2">
        <f t="shared" si="9"/>
        <v>19.921428571428571</v>
      </c>
      <c r="K590">
        <f>DAY(weather.tbl[[#This Row],[Date]])</f>
        <v>12</v>
      </c>
      <c r="L590">
        <f>MONTH(weather.tbl[[#This Row],[Date]])</f>
        <v>8</v>
      </c>
      <c r="M590">
        <f>YEAR(weather.tbl[[#This Row],[Date]])</f>
        <v>2015</v>
      </c>
    </row>
    <row r="591" spans="1:13" x14ac:dyDescent="0.25">
      <c r="A591" s="1">
        <v>42229</v>
      </c>
      <c r="B591" s="2">
        <v>26.9</v>
      </c>
      <c r="C591" s="2">
        <v>25.7</v>
      </c>
      <c r="D591" s="2">
        <v>25.5</v>
      </c>
      <c r="E591" s="2">
        <v>26.5</v>
      </c>
      <c r="F591" s="2">
        <v>24.3</v>
      </c>
      <c r="G591" s="2">
        <v>24.1</v>
      </c>
      <c r="H591" s="2">
        <f>AVERAGE(weather.tbl[[#This Row],[Estevan]:[Kipling]])</f>
        <v>25.5</v>
      </c>
      <c r="I591" s="2">
        <f>_xlfn.STDEV.S(weather.tbl[[#This Row],[Estevan]:[Kipling]])</f>
        <v>1.1313708498984751</v>
      </c>
      <c r="J591" s="2">
        <f t="shared" si="9"/>
        <v>21.197619047619046</v>
      </c>
      <c r="K591">
        <f>DAY(weather.tbl[[#This Row],[Date]])</f>
        <v>13</v>
      </c>
      <c r="L591">
        <f>MONTH(weather.tbl[[#This Row],[Date]])</f>
        <v>8</v>
      </c>
      <c r="M591">
        <f>YEAR(weather.tbl[[#This Row],[Date]])</f>
        <v>2015</v>
      </c>
    </row>
    <row r="592" spans="1:13" x14ac:dyDescent="0.25">
      <c r="A592" s="1">
        <v>42230</v>
      </c>
      <c r="B592" s="2">
        <v>27.7</v>
      </c>
      <c r="C592" s="2">
        <v>28.6</v>
      </c>
      <c r="D592" s="2">
        <v>26.5</v>
      </c>
      <c r="E592" s="2">
        <v>27.8</v>
      </c>
      <c r="F592" s="2">
        <v>27.5</v>
      </c>
      <c r="G592" s="2">
        <v>26.1</v>
      </c>
      <c r="H592" s="2">
        <f>AVERAGE(weather.tbl[[#This Row],[Estevan]:[Kipling]])</f>
        <v>27.366666666666664</v>
      </c>
      <c r="I592" s="2">
        <f>_xlfn.STDEV.S(weather.tbl[[#This Row],[Estevan]:[Kipling]])</f>
        <v>0.91578745714639853</v>
      </c>
      <c r="J592" s="2">
        <f t="shared" si="9"/>
        <v>22.609523809523807</v>
      </c>
      <c r="K592">
        <f>DAY(weather.tbl[[#This Row],[Date]])</f>
        <v>14</v>
      </c>
      <c r="L592">
        <f>MONTH(weather.tbl[[#This Row],[Date]])</f>
        <v>8</v>
      </c>
      <c r="M592">
        <f>YEAR(weather.tbl[[#This Row],[Date]])</f>
        <v>2015</v>
      </c>
    </row>
    <row r="593" spans="1:13" x14ac:dyDescent="0.25">
      <c r="A593" s="1">
        <v>42231</v>
      </c>
      <c r="B593" s="2">
        <v>22</v>
      </c>
      <c r="C593" s="2">
        <v>20.9</v>
      </c>
      <c r="D593" s="2">
        <v>26.5</v>
      </c>
      <c r="E593" s="2">
        <v>24.3</v>
      </c>
      <c r="F593" s="2">
        <v>24.9</v>
      </c>
      <c r="G593" s="2">
        <v>23.3</v>
      </c>
      <c r="H593" s="2">
        <f>AVERAGE(weather.tbl[[#This Row],[Estevan]:[Kipling]])</f>
        <v>23.650000000000002</v>
      </c>
      <c r="I593" s="2">
        <f>_xlfn.STDEV.S(weather.tbl[[#This Row],[Estevan]:[Kipling]])</f>
        <v>2.0255863348670187</v>
      </c>
      <c r="J593" s="2">
        <f t="shared" si="9"/>
        <v>23.511904761904763</v>
      </c>
      <c r="K593">
        <f>DAY(weather.tbl[[#This Row],[Date]])</f>
        <v>15</v>
      </c>
      <c r="L593">
        <f>MONTH(weather.tbl[[#This Row],[Date]])</f>
        <v>8</v>
      </c>
      <c r="M593">
        <f>YEAR(weather.tbl[[#This Row],[Date]])</f>
        <v>2015</v>
      </c>
    </row>
    <row r="594" spans="1:13" x14ac:dyDescent="0.25">
      <c r="A594" s="1">
        <v>42232</v>
      </c>
      <c r="B594" s="2">
        <v>14</v>
      </c>
      <c r="C594" s="2">
        <v>14.2</v>
      </c>
      <c r="D594" s="2">
        <v>15</v>
      </c>
      <c r="E594" s="2">
        <v>15</v>
      </c>
      <c r="F594" s="2">
        <v>16</v>
      </c>
      <c r="G594" s="2">
        <v>13.9</v>
      </c>
      <c r="H594" s="2">
        <f>AVERAGE(weather.tbl[[#This Row],[Estevan]:[Kipling]])</f>
        <v>14.683333333333335</v>
      </c>
      <c r="I594" s="2">
        <f>_xlfn.STDEV.S(weather.tbl[[#This Row],[Estevan]:[Kipling]])</f>
        <v>0.80601902376226009</v>
      </c>
      <c r="J594" s="2">
        <f t="shared" si="9"/>
        <v>23.026190476190475</v>
      </c>
      <c r="K594">
        <f>DAY(weather.tbl[[#This Row],[Date]])</f>
        <v>16</v>
      </c>
      <c r="L594">
        <f>MONTH(weather.tbl[[#This Row],[Date]])</f>
        <v>8</v>
      </c>
      <c r="M594">
        <f>YEAR(weather.tbl[[#This Row],[Date]])</f>
        <v>2015</v>
      </c>
    </row>
    <row r="595" spans="1:13" x14ac:dyDescent="0.25">
      <c r="A595" s="1">
        <v>42233</v>
      </c>
      <c r="B595" s="2">
        <v>13.5</v>
      </c>
      <c r="C595" s="2">
        <v>13.6</v>
      </c>
      <c r="D595" s="2">
        <v>14.5</v>
      </c>
      <c r="E595" s="2">
        <v>14.5</v>
      </c>
      <c r="F595" s="2">
        <v>15.4</v>
      </c>
      <c r="G595" s="2">
        <v>15.2</v>
      </c>
      <c r="H595" s="2">
        <f>AVERAGE(weather.tbl[[#This Row],[Estevan]:[Kipling]])</f>
        <v>14.450000000000001</v>
      </c>
      <c r="I595" s="2">
        <f>_xlfn.STDEV.S(weather.tbl[[#This Row],[Estevan]:[Kipling]])</f>
        <v>0.78676553051083775</v>
      </c>
      <c r="J595" s="2">
        <f t="shared" si="9"/>
        <v>22.192857142857143</v>
      </c>
      <c r="K595">
        <f>DAY(weather.tbl[[#This Row],[Date]])</f>
        <v>17</v>
      </c>
      <c r="L595">
        <f>MONTH(weather.tbl[[#This Row],[Date]])</f>
        <v>8</v>
      </c>
      <c r="M595">
        <f>YEAR(weather.tbl[[#This Row],[Date]])</f>
        <v>2015</v>
      </c>
    </row>
    <row r="596" spans="1:13" x14ac:dyDescent="0.25">
      <c r="A596" s="1">
        <v>42234</v>
      </c>
      <c r="B596" s="2">
        <v>15.8</v>
      </c>
      <c r="C596" s="2">
        <v>14.2</v>
      </c>
      <c r="D596" s="2">
        <v>15.5</v>
      </c>
      <c r="E596" s="2">
        <v>15</v>
      </c>
      <c r="F596" s="2">
        <v>15.8</v>
      </c>
      <c r="G596" s="2">
        <v>13.8</v>
      </c>
      <c r="H596" s="2">
        <f>AVERAGE(weather.tbl[[#This Row],[Estevan]:[Kipling]])</f>
        <v>15.016666666666666</v>
      </c>
      <c r="I596" s="2">
        <f>_xlfn.STDEV.S(weather.tbl[[#This Row],[Estevan]:[Kipling]])</f>
        <v>0.84950966249164406</v>
      </c>
      <c r="J596" s="2">
        <f t="shared" si="9"/>
        <v>20.959523809523805</v>
      </c>
      <c r="K596">
        <f>DAY(weather.tbl[[#This Row],[Date]])</f>
        <v>18</v>
      </c>
      <c r="L596">
        <f>MONTH(weather.tbl[[#This Row],[Date]])</f>
        <v>8</v>
      </c>
      <c r="M596">
        <f>YEAR(weather.tbl[[#This Row],[Date]])</f>
        <v>2015</v>
      </c>
    </row>
    <row r="597" spans="1:13" x14ac:dyDescent="0.25">
      <c r="A597" s="1">
        <v>42235</v>
      </c>
      <c r="B597" s="2">
        <v>13.8</v>
      </c>
      <c r="C597" s="2">
        <v>14.7</v>
      </c>
      <c r="D597" s="2">
        <v>13.8</v>
      </c>
      <c r="E597" s="2">
        <v>16</v>
      </c>
      <c r="F597" s="2">
        <v>15.5</v>
      </c>
      <c r="G597" s="2">
        <v>15</v>
      </c>
      <c r="H597" s="2">
        <f>AVERAGE(weather.tbl[[#This Row],[Estevan]:[Kipling]])</f>
        <v>14.799999999999999</v>
      </c>
      <c r="I597" s="2">
        <f>_xlfn.STDEV.S(weather.tbl[[#This Row],[Estevan]:[Kipling]])</f>
        <v>0.89218832092781819</v>
      </c>
      <c r="J597" s="2">
        <f t="shared" si="9"/>
        <v>19.352380952380951</v>
      </c>
      <c r="K597">
        <f>DAY(weather.tbl[[#This Row],[Date]])</f>
        <v>19</v>
      </c>
      <c r="L597">
        <f>MONTH(weather.tbl[[#This Row],[Date]])</f>
        <v>8</v>
      </c>
      <c r="M597">
        <f>YEAR(weather.tbl[[#This Row],[Date]])</f>
        <v>2015</v>
      </c>
    </row>
    <row r="598" spans="1:13" x14ac:dyDescent="0.25">
      <c r="A598" s="1">
        <v>42236</v>
      </c>
      <c r="B598" s="2">
        <v>18.8</v>
      </c>
      <c r="C598" s="2">
        <v>18.8</v>
      </c>
      <c r="D598" s="2">
        <v>17.5</v>
      </c>
      <c r="E598" s="2">
        <v>18.5</v>
      </c>
      <c r="F598" s="2">
        <v>19.100000000000001</v>
      </c>
      <c r="G598" s="2">
        <v>18.3</v>
      </c>
      <c r="H598" s="2">
        <f>AVERAGE(weather.tbl[[#This Row],[Estevan]:[Kipling]])</f>
        <v>18.499999999999996</v>
      </c>
      <c r="I598" s="2">
        <f>_xlfn.STDEV.S(weather.tbl[[#This Row],[Estevan]:[Kipling]])</f>
        <v>0.56213877290220826</v>
      </c>
      <c r="J598" s="2">
        <f t="shared" si="9"/>
        <v>18.352380952380951</v>
      </c>
      <c r="K598">
        <f>DAY(weather.tbl[[#This Row],[Date]])</f>
        <v>20</v>
      </c>
      <c r="L598">
        <f>MONTH(weather.tbl[[#This Row],[Date]])</f>
        <v>8</v>
      </c>
      <c r="M598">
        <f>YEAR(weather.tbl[[#This Row],[Date]])</f>
        <v>2015</v>
      </c>
    </row>
    <row r="599" spans="1:13" x14ac:dyDescent="0.25">
      <c r="A599" s="1">
        <v>42237</v>
      </c>
      <c r="B599" s="2">
        <v>16.5</v>
      </c>
      <c r="C599" s="2">
        <v>18.2</v>
      </c>
      <c r="D599" s="2">
        <v>16.3</v>
      </c>
      <c r="E599" s="2">
        <v>16.8</v>
      </c>
      <c r="F599" s="2">
        <v>16.5</v>
      </c>
      <c r="G599" s="2">
        <v>15.5</v>
      </c>
      <c r="H599" s="2">
        <f>AVERAGE(weather.tbl[[#This Row],[Estevan]:[Kipling]])</f>
        <v>16.633333333333333</v>
      </c>
      <c r="I599" s="2">
        <f>_xlfn.STDEV.S(weather.tbl[[#This Row],[Estevan]:[Kipling]])</f>
        <v>0.88468450120179343</v>
      </c>
      <c r="J599" s="2">
        <f t="shared" si="9"/>
        <v>16.81904761904762</v>
      </c>
      <c r="K599">
        <f>DAY(weather.tbl[[#This Row],[Date]])</f>
        <v>21</v>
      </c>
      <c r="L599">
        <f>MONTH(weather.tbl[[#This Row],[Date]])</f>
        <v>8</v>
      </c>
      <c r="M599">
        <f>YEAR(weather.tbl[[#This Row],[Date]])</f>
        <v>2015</v>
      </c>
    </row>
    <row r="600" spans="1:13" x14ac:dyDescent="0.25">
      <c r="A600" s="1">
        <v>42238</v>
      </c>
      <c r="B600" s="2">
        <v>12.4</v>
      </c>
      <c r="C600" s="2">
        <v>11.3</v>
      </c>
      <c r="D600" s="2">
        <v>12.5</v>
      </c>
      <c r="E600" s="2">
        <v>11.8</v>
      </c>
      <c r="F600" s="2">
        <v>14.1</v>
      </c>
      <c r="G600" s="2">
        <v>12.1</v>
      </c>
      <c r="H600" s="2">
        <f>AVERAGE(weather.tbl[[#This Row],[Estevan]:[Kipling]])</f>
        <v>12.366666666666667</v>
      </c>
      <c r="I600" s="2">
        <f>_xlfn.STDEV.S(weather.tbl[[#This Row],[Estevan]:[Kipling]])</f>
        <v>0.95428856572143106</v>
      </c>
      <c r="J600" s="2">
        <f t="shared" si="9"/>
        <v>15.207142857142859</v>
      </c>
      <c r="K600">
        <f>DAY(weather.tbl[[#This Row],[Date]])</f>
        <v>22</v>
      </c>
      <c r="L600">
        <f>MONTH(weather.tbl[[#This Row],[Date]])</f>
        <v>8</v>
      </c>
      <c r="M600">
        <f>YEAR(weather.tbl[[#This Row],[Date]])</f>
        <v>2015</v>
      </c>
    </row>
    <row r="601" spans="1:13" x14ac:dyDescent="0.25">
      <c r="A601" s="1">
        <v>42239</v>
      </c>
      <c r="B601" s="2">
        <v>12.1</v>
      </c>
      <c r="C601" s="2">
        <v>11.7</v>
      </c>
      <c r="D601" s="2">
        <v>12.5</v>
      </c>
      <c r="E601" s="2">
        <v>13</v>
      </c>
      <c r="F601" s="2">
        <v>13.2</v>
      </c>
      <c r="G601" s="2">
        <v>11.1</v>
      </c>
      <c r="H601" s="2">
        <f>AVERAGE(weather.tbl[[#This Row],[Estevan]:[Kipling]])</f>
        <v>12.266666666666666</v>
      </c>
      <c r="I601" s="2">
        <f>_xlfn.STDEV.S(weather.tbl[[#This Row],[Estevan]:[Kipling]])</f>
        <v>0.79665969313544838</v>
      </c>
      <c r="J601" s="2">
        <f t="shared" si="9"/>
        <v>14.861904761904764</v>
      </c>
      <c r="K601">
        <f>DAY(weather.tbl[[#This Row],[Date]])</f>
        <v>23</v>
      </c>
      <c r="L601">
        <f>MONTH(weather.tbl[[#This Row],[Date]])</f>
        <v>8</v>
      </c>
      <c r="M601">
        <f>YEAR(weather.tbl[[#This Row],[Date]])</f>
        <v>2015</v>
      </c>
    </row>
    <row r="602" spans="1:13" x14ac:dyDescent="0.25">
      <c r="A602" s="1">
        <v>42240</v>
      </c>
      <c r="B602" s="2">
        <v>12.4</v>
      </c>
      <c r="C602" s="2">
        <v>13.2</v>
      </c>
      <c r="D602" s="2">
        <v>12.5</v>
      </c>
      <c r="E602" s="2">
        <v>13.8</v>
      </c>
      <c r="F602" s="2">
        <v>13.1</v>
      </c>
      <c r="G602" s="2">
        <v>12.2</v>
      </c>
      <c r="H602" s="2">
        <f>AVERAGE(weather.tbl[[#This Row],[Estevan]:[Kipling]])</f>
        <v>12.866666666666667</v>
      </c>
      <c r="I602" s="2">
        <f>_xlfn.STDEV.S(weather.tbl[[#This Row],[Estevan]:[Kipling]])</f>
        <v>0.6055300708194985</v>
      </c>
      <c r="J602" s="2">
        <f t="shared" si="9"/>
        <v>14.635714285714284</v>
      </c>
      <c r="K602">
        <f>DAY(weather.tbl[[#This Row],[Date]])</f>
        <v>24</v>
      </c>
      <c r="L602">
        <f>MONTH(weather.tbl[[#This Row],[Date]])</f>
        <v>8</v>
      </c>
      <c r="M602">
        <f>YEAR(weather.tbl[[#This Row],[Date]])</f>
        <v>2015</v>
      </c>
    </row>
    <row r="603" spans="1:13" x14ac:dyDescent="0.25">
      <c r="A603" s="1">
        <v>42241</v>
      </c>
      <c r="B603" s="2">
        <v>17.2</v>
      </c>
      <c r="C603" s="2">
        <v>18.8</v>
      </c>
      <c r="D603" s="2">
        <v>14.8</v>
      </c>
      <c r="E603" s="2">
        <v>19.3</v>
      </c>
      <c r="F603" s="2">
        <v>14.1</v>
      </c>
      <c r="G603" s="2">
        <v>15</v>
      </c>
      <c r="H603" s="2">
        <f>AVERAGE(weather.tbl[[#This Row],[Estevan]:[Kipling]])</f>
        <v>16.533333333333331</v>
      </c>
      <c r="I603" s="2">
        <f>_xlfn.STDEV.S(weather.tbl[[#This Row],[Estevan]:[Kipling]])</f>
        <v>2.2141966187912736</v>
      </c>
      <c r="J603" s="2">
        <f t="shared" si="9"/>
        <v>14.852380952380953</v>
      </c>
      <c r="K603">
        <f>DAY(weather.tbl[[#This Row],[Date]])</f>
        <v>25</v>
      </c>
      <c r="L603">
        <f>MONTH(weather.tbl[[#This Row],[Date]])</f>
        <v>8</v>
      </c>
      <c r="M603">
        <f>YEAR(weather.tbl[[#This Row],[Date]])</f>
        <v>2015</v>
      </c>
    </row>
    <row r="604" spans="1:13" x14ac:dyDescent="0.25">
      <c r="A604" s="1">
        <v>42242</v>
      </c>
      <c r="B604" s="2">
        <v>17.600000000000001</v>
      </c>
      <c r="C604" s="2">
        <v>17.8</v>
      </c>
      <c r="D604" s="2">
        <v>18.5</v>
      </c>
      <c r="E604" s="2">
        <v>18.8</v>
      </c>
      <c r="F604" s="2">
        <v>20</v>
      </c>
      <c r="G604" s="2">
        <v>17.2</v>
      </c>
      <c r="H604" s="2">
        <f>AVERAGE(weather.tbl[[#This Row],[Estevan]:[Kipling]])</f>
        <v>18.316666666666666</v>
      </c>
      <c r="I604" s="2">
        <f>_xlfn.STDEV.S(weather.tbl[[#This Row],[Estevan]:[Kipling]])</f>
        <v>1.0127520262466359</v>
      </c>
      <c r="J604" s="2">
        <f t="shared" si="9"/>
        <v>15.354761904761903</v>
      </c>
      <c r="K604">
        <f>DAY(weather.tbl[[#This Row],[Date]])</f>
        <v>26</v>
      </c>
      <c r="L604">
        <f>MONTH(weather.tbl[[#This Row],[Date]])</f>
        <v>8</v>
      </c>
      <c r="M604">
        <f>YEAR(weather.tbl[[#This Row],[Date]])</f>
        <v>2015</v>
      </c>
    </row>
    <row r="605" spans="1:13" x14ac:dyDescent="0.25">
      <c r="A605" s="1">
        <v>42243</v>
      </c>
      <c r="B605" s="2">
        <v>19.8</v>
      </c>
      <c r="C605" s="2">
        <v>19.899999999999999</v>
      </c>
      <c r="D605" s="2">
        <v>18.8</v>
      </c>
      <c r="E605" s="2">
        <v>19</v>
      </c>
      <c r="F605" s="2">
        <v>19</v>
      </c>
      <c r="G605" s="2">
        <v>18.399999999999999</v>
      </c>
      <c r="H605" s="2">
        <f>AVERAGE(weather.tbl[[#This Row],[Estevan]:[Kipling]])</f>
        <v>19.150000000000002</v>
      </c>
      <c r="I605" s="2">
        <f>_xlfn.STDEV.S(weather.tbl[[#This Row],[Estevan]:[Kipling]])</f>
        <v>0.58566201857385292</v>
      </c>
      <c r="J605" s="2">
        <f t="shared" si="9"/>
        <v>15.447619047619046</v>
      </c>
      <c r="K605">
        <f>DAY(weather.tbl[[#This Row],[Date]])</f>
        <v>27</v>
      </c>
      <c r="L605">
        <f>MONTH(weather.tbl[[#This Row],[Date]])</f>
        <v>8</v>
      </c>
      <c r="M605">
        <f>YEAR(weather.tbl[[#This Row],[Date]])</f>
        <v>2015</v>
      </c>
    </row>
    <row r="606" spans="1:13" x14ac:dyDescent="0.25">
      <c r="A606" s="1">
        <v>42244</v>
      </c>
      <c r="B606" s="2">
        <v>21.4</v>
      </c>
      <c r="C606" s="2">
        <v>20.8</v>
      </c>
      <c r="D606" s="2">
        <v>22.5</v>
      </c>
      <c r="E606" s="2">
        <v>21</v>
      </c>
      <c r="F606" s="2">
        <v>21.9</v>
      </c>
      <c r="G606" s="2">
        <v>19.899999999999999</v>
      </c>
      <c r="H606" s="2">
        <f>AVERAGE(weather.tbl[[#This Row],[Estevan]:[Kipling]])</f>
        <v>21.25</v>
      </c>
      <c r="I606" s="2">
        <f>_xlfn.STDEV.S(weather.tbl[[#This Row],[Estevan]:[Kipling]])</f>
        <v>0.90498618773990147</v>
      </c>
      <c r="J606" s="2">
        <f t="shared" si="9"/>
        <v>16.107142857142858</v>
      </c>
      <c r="K606">
        <f>DAY(weather.tbl[[#This Row],[Date]])</f>
        <v>28</v>
      </c>
      <c r="L606">
        <f>MONTH(weather.tbl[[#This Row],[Date]])</f>
        <v>8</v>
      </c>
      <c r="M606">
        <f>YEAR(weather.tbl[[#This Row],[Date]])</f>
        <v>2015</v>
      </c>
    </row>
    <row r="607" spans="1:13" x14ac:dyDescent="0.25">
      <c r="A607" s="1">
        <v>42245</v>
      </c>
      <c r="B607" s="2">
        <v>21.4</v>
      </c>
      <c r="C607" s="2">
        <v>22.6</v>
      </c>
      <c r="D607" s="2">
        <v>20</v>
      </c>
      <c r="E607" s="2">
        <v>23.5</v>
      </c>
      <c r="F607" s="2">
        <v>21.9</v>
      </c>
      <c r="G607" s="2">
        <v>22.1</v>
      </c>
      <c r="H607" s="2">
        <f>AVERAGE(weather.tbl[[#This Row],[Estevan]:[Kipling]])</f>
        <v>21.916666666666668</v>
      </c>
      <c r="I607" s="2">
        <f>_xlfn.STDEV.S(weather.tbl[[#This Row],[Estevan]:[Kipling]])</f>
        <v>1.178841238957421</v>
      </c>
      <c r="J607" s="2">
        <f t="shared" si="9"/>
        <v>17.471428571428572</v>
      </c>
      <c r="K607">
        <f>DAY(weather.tbl[[#This Row],[Date]])</f>
        <v>29</v>
      </c>
      <c r="L607">
        <f>MONTH(weather.tbl[[#This Row],[Date]])</f>
        <v>8</v>
      </c>
      <c r="M607">
        <f>YEAR(weather.tbl[[#This Row],[Date]])</f>
        <v>2015</v>
      </c>
    </row>
    <row r="608" spans="1:13" x14ac:dyDescent="0.25">
      <c r="A608" s="1">
        <v>42246</v>
      </c>
      <c r="B608" s="2">
        <v>21.5</v>
      </c>
      <c r="C608" s="2">
        <v>22.3</v>
      </c>
      <c r="D608" s="2">
        <v>22.8</v>
      </c>
      <c r="E608" s="2">
        <v>21.3</v>
      </c>
      <c r="F608" s="2">
        <v>24.2</v>
      </c>
      <c r="G608" s="2">
        <v>21.6</v>
      </c>
      <c r="H608" s="2">
        <f>AVERAGE(weather.tbl[[#This Row],[Estevan]:[Kipling]])</f>
        <v>22.283333333333331</v>
      </c>
      <c r="I608" s="2">
        <f>_xlfn.STDEV.S(weather.tbl[[#This Row],[Estevan]:[Kipling]])</f>
        <v>1.0943795807061942</v>
      </c>
      <c r="J608" s="2">
        <f t="shared" si="9"/>
        <v>18.902380952380952</v>
      </c>
      <c r="K608">
        <f>DAY(weather.tbl[[#This Row],[Date]])</f>
        <v>30</v>
      </c>
      <c r="L608">
        <f>MONTH(weather.tbl[[#This Row],[Date]])</f>
        <v>8</v>
      </c>
      <c r="M608">
        <f>YEAR(weather.tbl[[#This Row],[Date]])</f>
        <v>2015</v>
      </c>
    </row>
    <row r="609" spans="1:13" x14ac:dyDescent="0.25">
      <c r="A609" s="1">
        <v>42247</v>
      </c>
      <c r="B609" s="2">
        <v>18.600000000000001</v>
      </c>
      <c r="C609" s="2">
        <v>18.600000000000001</v>
      </c>
      <c r="D609" s="2">
        <v>18.8</v>
      </c>
      <c r="E609" s="2">
        <v>18.8</v>
      </c>
      <c r="F609" s="2">
        <v>19.100000000000001</v>
      </c>
      <c r="G609" s="2">
        <v>17.8</v>
      </c>
      <c r="H609" s="2">
        <f>AVERAGE(weather.tbl[[#This Row],[Estevan]:[Kipling]])</f>
        <v>18.616666666666667</v>
      </c>
      <c r="I609" s="2">
        <f>_xlfn.STDEV.S(weather.tbl[[#This Row],[Estevan]:[Kipling]])</f>
        <v>0.44007575105505053</v>
      </c>
      <c r="J609" s="2">
        <f t="shared" si="9"/>
        <v>19.723809523809525</v>
      </c>
      <c r="K609">
        <f>DAY(weather.tbl[[#This Row],[Date]])</f>
        <v>31</v>
      </c>
      <c r="L609">
        <f>MONTH(weather.tbl[[#This Row],[Date]])</f>
        <v>8</v>
      </c>
      <c r="M609">
        <f>YEAR(weather.tbl[[#This Row],[Date]])</f>
        <v>2015</v>
      </c>
    </row>
    <row r="610" spans="1:13" x14ac:dyDescent="0.25">
      <c r="A610" s="1">
        <v>42248</v>
      </c>
      <c r="B610" s="2">
        <v>19.8</v>
      </c>
      <c r="C610" s="2">
        <v>19.3</v>
      </c>
      <c r="D610" s="2">
        <v>18</v>
      </c>
      <c r="E610" s="2">
        <v>22</v>
      </c>
      <c r="F610" s="2">
        <v>20</v>
      </c>
      <c r="G610" s="2">
        <v>19.8</v>
      </c>
      <c r="H610" s="2">
        <f>AVERAGE(weather.tbl[[#This Row],[Estevan]:[Kipling]])</f>
        <v>19.816666666666666</v>
      </c>
      <c r="I610" s="2">
        <f>_xlfn.STDEV.S(weather.tbl[[#This Row],[Estevan]:[Kipling]])</f>
        <v>1.293702696397695</v>
      </c>
      <c r="J610" s="2">
        <f t="shared" si="9"/>
        <v>20.192857142857143</v>
      </c>
      <c r="K610">
        <f>DAY(weather.tbl[[#This Row],[Date]])</f>
        <v>1</v>
      </c>
      <c r="L610">
        <f>MONTH(weather.tbl[[#This Row],[Date]])</f>
        <v>9</v>
      </c>
      <c r="M610">
        <f>YEAR(weather.tbl[[#This Row],[Date]])</f>
        <v>2015</v>
      </c>
    </row>
    <row r="611" spans="1:13" x14ac:dyDescent="0.25">
      <c r="A611" s="1">
        <v>42249</v>
      </c>
      <c r="B611" s="2">
        <v>22.6</v>
      </c>
      <c r="C611" s="2">
        <v>22.4</v>
      </c>
      <c r="D611" s="2">
        <v>21.5</v>
      </c>
      <c r="E611" s="2">
        <v>21.5</v>
      </c>
      <c r="F611" s="2">
        <v>23.1</v>
      </c>
      <c r="G611" s="2">
        <v>21.2</v>
      </c>
      <c r="H611" s="2">
        <f>AVERAGE(weather.tbl[[#This Row],[Estevan]:[Kipling]])</f>
        <v>22.049999999999997</v>
      </c>
      <c r="I611" s="2">
        <f>_xlfn.STDEV.S(weather.tbl[[#This Row],[Estevan]:[Kipling]])</f>
        <v>0.75564541949250308</v>
      </c>
      <c r="J611" s="2">
        <f t="shared" si="9"/>
        <v>20.726190476190474</v>
      </c>
      <c r="K611">
        <f>DAY(weather.tbl[[#This Row],[Date]])</f>
        <v>2</v>
      </c>
      <c r="L611">
        <f>MONTH(weather.tbl[[#This Row],[Date]])</f>
        <v>9</v>
      </c>
      <c r="M611">
        <f>YEAR(weather.tbl[[#This Row],[Date]])</f>
        <v>2015</v>
      </c>
    </row>
    <row r="612" spans="1:13" x14ac:dyDescent="0.25">
      <c r="A612" s="1">
        <v>42250</v>
      </c>
      <c r="B612" s="2">
        <v>21.5</v>
      </c>
      <c r="C612" s="2">
        <v>21.4</v>
      </c>
      <c r="D612" s="2">
        <v>22</v>
      </c>
      <c r="E612" s="2">
        <v>20.3</v>
      </c>
      <c r="F612" s="2">
        <v>25.9</v>
      </c>
      <c r="G612" s="2">
        <v>21.2</v>
      </c>
      <c r="H612" s="2">
        <f>AVERAGE(weather.tbl[[#This Row],[Estevan]:[Kipling]])</f>
        <v>22.049999999999997</v>
      </c>
      <c r="I612" s="2">
        <f>_xlfn.STDEV.S(weather.tbl[[#This Row],[Estevan]:[Kipling]])</f>
        <v>1.9664689166117013</v>
      </c>
      <c r="J612" s="2">
        <f t="shared" si="9"/>
        <v>21.140476190476189</v>
      </c>
      <c r="K612">
        <f>DAY(weather.tbl[[#This Row],[Date]])</f>
        <v>3</v>
      </c>
      <c r="L612">
        <f>MONTH(weather.tbl[[#This Row],[Date]])</f>
        <v>9</v>
      </c>
      <c r="M612">
        <f>YEAR(weather.tbl[[#This Row],[Date]])</f>
        <v>2015</v>
      </c>
    </row>
    <row r="613" spans="1:13" x14ac:dyDescent="0.25">
      <c r="A613" s="1">
        <v>42251</v>
      </c>
      <c r="B613" s="2">
        <v>17.2</v>
      </c>
      <c r="C613" s="2">
        <v>16.3</v>
      </c>
      <c r="D613" s="2">
        <v>16</v>
      </c>
      <c r="E613" s="2">
        <v>17.3</v>
      </c>
      <c r="F613" s="2">
        <v>18.3</v>
      </c>
      <c r="G613" s="2">
        <v>14.8</v>
      </c>
      <c r="H613" s="2">
        <f>AVERAGE(weather.tbl[[#This Row],[Estevan]:[Kipling]])</f>
        <v>16.649999999999999</v>
      </c>
      <c r="I613" s="2">
        <f>_xlfn.STDEV.S(weather.tbl[[#This Row],[Estevan]:[Kipling]])</f>
        <v>1.2177848742696717</v>
      </c>
      <c r="J613" s="2">
        <f t="shared" si="9"/>
        <v>20.483333333333331</v>
      </c>
      <c r="K613">
        <f>DAY(weather.tbl[[#This Row],[Date]])</f>
        <v>4</v>
      </c>
      <c r="L613">
        <f>MONTH(weather.tbl[[#This Row],[Date]])</f>
        <v>9</v>
      </c>
      <c r="M613">
        <f>YEAR(weather.tbl[[#This Row],[Date]])</f>
        <v>2015</v>
      </c>
    </row>
    <row r="614" spans="1:13" x14ac:dyDescent="0.25">
      <c r="A614" s="1">
        <v>42252</v>
      </c>
      <c r="B614" s="2">
        <v>13.9</v>
      </c>
      <c r="C614" s="2">
        <v>13.8</v>
      </c>
      <c r="D614" s="2">
        <v>13.5</v>
      </c>
      <c r="E614" s="2">
        <v>12</v>
      </c>
      <c r="F614" s="2">
        <v>15</v>
      </c>
      <c r="G614" s="2">
        <v>12.5</v>
      </c>
      <c r="H614" s="2">
        <f>AVERAGE(weather.tbl[[#This Row],[Estevan]:[Kipling]])</f>
        <v>13.450000000000001</v>
      </c>
      <c r="I614" s="2">
        <f>_xlfn.STDEV.S(weather.tbl[[#This Row],[Estevan]:[Kipling]])</f>
        <v>1.0709808588392233</v>
      </c>
      <c r="J614" s="2">
        <f t="shared" si="9"/>
        <v>19.273809523809522</v>
      </c>
      <c r="K614">
        <f>DAY(weather.tbl[[#This Row],[Date]])</f>
        <v>5</v>
      </c>
      <c r="L614">
        <f>MONTH(weather.tbl[[#This Row],[Date]])</f>
        <v>9</v>
      </c>
      <c r="M614">
        <f>YEAR(weather.tbl[[#This Row],[Date]])</f>
        <v>2015</v>
      </c>
    </row>
    <row r="615" spans="1:13" x14ac:dyDescent="0.25">
      <c r="A615" s="1">
        <v>42253</v>
      </c>
      <c r="B615" s="2">
        <v>13.7</v>
      </c>
      <c r="C615" s="2">
        <v>12.9</v>
      </c>
      <c r="D615" s="2">
        <v>16.3</v>
      </c>
      <c r="E615" s="2">
        <v>13.3</v>
      </c>
      <c r="F615" s="2">
        <v>15.7</v>
      </c>
      <c r="G615" s="2">
        <v>14.2</v>
      </c>
      <c r="H615" s="2">
        <f>AVERAGE(weather.tbl[[#This Row],[Estevan]:[Kipling]])</f>
        <v>14.350000000000001</v>
      </c>
      <c r="I615" s="2">
        <f>_xlfn.STDEV.S(weather.tbl[[#This Row],[Estevan]:[Kipling]])</f>
        <v>1.3619838471876236</v>
      </c>
      <c r="J615" s="2">
        <f t="shared" si="9"/>
        <v>18.140476190476193</v>
      </c>
      <c r="K615">
        <f>DAY(weather.tbl[[#This Row],[Date]])</f>
        <v>6</v>
      </c>
      <c r="L615">
        <f>MONTH(weather.tbl[[#This Row],[Date]])</f>
        <v>9</v>
      </c>
      <c r="M615">
        <f>YEAR(weather.tbl[[#This Row],[Date]])</f>
        <v>2015</v>
      </c>
    </row>
    <row r="616" spans="1:13" x14ac:dyDescent="0.25">
      <c r="A616" s="1">
        <v>42254</v>
      </c>
      <c r="B616" s="2">
        <v>12.1</v>
      </c>
      <c r="C616" s="2">
        <v>10.9</v>
      </c>
      <c r="D616" s="2">
        <v>12.5</v>
      </c>
      <c r="E616" s="2">
        <v>11.8</v>
      </c>
      <c r="F616" s="2">
        <v>13.1</v>
      </c>
      <c r="G616" s="2">
        <v>10.199999999999999</v>
      </c>
      <c r="H616" s="2">
        <f>AVERAGE(weather.tbl[[#This Row],[Estevan]:[Kipling]])</f>
        <v>11.766666666666666</v>
      </c>
      <c r="I616" s="2">
        <f>_xlfn.STDEV.S(weather.tbl[[#This Row],[Estevan]:[Kipling]])</f>
        <v>1.0614455552060438</v>
      </c>
      <c r="J616" s="2">
        <f t="shared" si="9"/>
        <v>17.161904761904761</v>
      </c>
      <c r="K616">
        <f>DAY(weather.tbl[[#This Row],[Date]])</f>
        <v>7</v>
      </c>
      <c r="L616">
        <f>MONTH(weather.tbl[[#This Row],[Date]])</f>
        <v>9</v>
      </c>
      <c r="M616">
        <f>YEAR(weather.tbl[[#This Row],[Date]])</f>
        <v>2015</v>
      </c>
    </row>
    <row r="617" spans="1:13" x14ac:dyDescent="0.25">
      <c r="A617" s="1">
        <v>42255</v>
      </c>
      <c r="B617" s="2">
        <v>12.9</v>
      </c>
      <c r="C617" s="2">
        <v>12.9</v>
      </c>
      <c r="D617" s="2">
        <v>12.3</v>
      </c>
      <c r="E617" s="2">
        <v>13</v>
      </c>
      <c r="F617" s="2">
        <v>12.3</v>
      </c>
      <c r="G617" s="2">
        <v>11.4</v>
      </c>
      <c r="H617" s="2">
        <f>AVERAGE(weather.tbl[[#This Row],[Estevan]:[Kipling]])</f>
        <v>12.466666666666669</v>
      </c>
      <c r="I617" s="2">
        <f>_xlfn.STDEV.S(weather.tbl[[#This Row],[Estevan]:[Kipling]])</f>
        <v>0.60882400303097983</v>
      </c>
      <c r="J617" s="2">
        <f t="shared" si="9"/>
        <v>16.111904761904761</v>
      </c>
      <c r="K617">
        <f>DAY(weather.tbl[[#This Row],[Date]])</f>
        <v>8</v>
      </c>
      <c r="L617">
        <f>MONTH(weather.tbl[[#This Row],[Date]])</f>
        <v>9</v>
      </c>
      <c r="M617">
        <f>YEAR(weather.tbl[[#This Row],[Date]])</f>
        <v>2015</v>
      </c>
    </row>
    <row r="618" spans="1:13" x14ac:dyDescent="0.25">
      <c r="A618" s="1">
        <v>42256</v>
      </c>
      <c r="B618" s="2">
        <v>12.1</v>
      </c>
      <c r="C618" s="2">
        <v>11</v>
      </c>
      <c r="D618" s="2">
        <v>11.3</v>
      </c>
      <c r="E618" s="2">
        <v>11.8</v>
      </c>
      <c r="F618" s="2">
        <v>11.1</v>
      </c>
      <c r="G618" s="2">
        <v>9.1999999999999993</v>
      </c>
      <c r="H618" s="2">
        <f>AVERAGE(weather.tbl[[#This Row],[Estevan]:[Kipling]])</f>
        <v>11.083333333333334</v>
      </c>
      <c r="I618" s="2">
        <f>_xlfn.STDEV.S(weather.tbl[[#This Row],[Estevan]:[Kipling]])</f>
        <v>1.0147249216741783</v>
      </c>
      <c r="J618" s="2">
        <f t="shared" si="9"/>
        <v>14.545238095238094</v>
      </c>
      <c r="K618">
        <f>DAY(weather.tbl[[#This Row],[Date]])</f>
        <v>9</v>
      </c>
      <c r="L618">
        <f>MONTH(weather.tbl[[#This Row],[Date]])</f>
        <v>9</v>
      </c>
      <c r="M618">
        <f>YEAR(weather.tbl[[#This Row],[Date]])</f>
        <v>2015</v>
      </c>
    </row>
    <row r="619" spans="1:13" x14ac:dyDescent="0.25">
      <c r="A619" s="1">
        <v>42257</v>
      </c>
      <c r="B619" s="2">
        <v>9.6</v>
      </c>
      <c r="C619" s="2">
        <v>10.199999999999999</v>
      </c>
      <c r="D619" s="2">
        <v>9</v>
      </c>
      <c r="E619" s="2">
        <v>11</v>
      </c>
      <c r="F619" s="2">
        <v>9.1999999999999993</v>
      </c>
      <c r="G619" s="2">
        <v>8.8000000000000007</v>
      </c>
      <c r="H619" s="2">
        <f>AVERAGE(weather.tbl[[#This Row],[Estevan]:[Kipling]])</f>
        <v>9.6333333333333329</v>
      </c>
      <c r="I619" s="2">
        <f>_xlfn.STDEV.S(weather.tbl[[#This Row],[Estevan]:[Kipling]])</f>
        <v>0.83346665600170611</v>
      </c>
      <c r="J619" s="2">
        <f t="shared" si="9"/>
        <v>12.771428571428572</v>
      </c>
      <c r="K619">
        <f>DAY(weather.tbl[[#This Row],[Date]])</f>
        <v>10</v>
      </c>
      <c r="L619">
        <f>MONTH(weather.tbl[[#This Row],[Date]])</f>
        <v>9</v>
      </c>
      <c r="M619">
        <f>YEAR(weather.tbl[[#This Row],[Date]])</f>
        <v>2015</v>
      </c>
    </row>
    <row r="620" spans="1:13" x14ac:dyDescent="0.25">
      <c r="A620" s="1">
        <v>42258</v>
      </c>
      <c r="B620" s="2">
        <v>13.5</v>
      </c>
      <c r="C620" s="2">
        <v>13</v>
      </c>
      <c r="D620" s="2">
        <v>10.8</v>
      </c>
      <c r="E620" s="2">
        <v>14</v>
      </c>
      <c r="F620" s="2">
        <v>11.6</v>
      </c>
      <c r="G620" s="2">
        <v>12.4</v>
      </c>
      <c r="H620" s="2">
        <f>AVERAGE(weather.tbl[[#This Row],[Estevan]:[Kipling]])</f>
        <v>12.549999999999999</v>
      </c>
      <c r="I620" s="2">
        <f>_xlfn.STDEV.S(weather.tbl[[#This Row],[Estevan]:[Kipling]])</f>
        <v>1.1995832609702419</v>
      </c>
      <c r="J620" s="2">
        <f t="shared" si="9"/>
        <v>12.185714285714285</v>
      </c>
      <c r="K620">
        <f>DAY(weather.tbl[[#This Row],[Date]])</f>
        <v>11</v>
      </c>
      <c r="L620">
        <f>MONTH(weather.tbl[[#This Row],[Date]])</f>
        <v>9</v>
      </c>
      <c r="M620">
        <f>YEAR(weather.tbl[[#This Row],[Date]])</f>
        <v>2015</v>
      </c>
    </row>
    <row r="621" spans="1:13" x14ac:dyDescent="0.25">
      <c r="A621" s="1">
        <v>42259</v>
      </c>
      <c r="B621" s="2">
        <v>17.8</v>
      </c>
      <c r="C621" s="2">
        <v>18.2</v>
      </c>
      <c r="D621" s="2">
        <v>16</v>
      </c>
      <c r="E621" s="2">
        <v>20.3</v>
      </c>
      <c r="F621" s="2">
        <v>17.8</v>
      </c>
      <c r="G621" s="2">
        <v>18.2</v>
      </c>
      <c r="H621" s="2">
        <f>AVERAGE(weather.tbl[[#This Row],[Estevan]:[Kipling]])</f>
        <v>18.05</v>
      </c>
      <c r="I621" s="2">
        <f>_xlfn.STDEV.S(weather.tbl[[#This Row],[Estevan]:[Kipling]])</f>
        <v>1.3736811857195979</v>
      </c>
      <c r="J621" s="2">
        <f t="shared" si="9"/>
        <v>12.842857142857143</v>
      </c>
      <c r="K621">
        <f>DAY(weather.tbl[[#This Row],[Date]])</f>
        <v>12</v>
      </c>
      <c r="L621">
        <f>MONTH(weather.tbl[[#This Row],[Date]])</f>
        <v>9</v>
      </c>
      <c r="M621">
        <f>YEAR(weather.tbl[[#This Row],[Date]])</f>
        <v>2015</v>
      </c>
    </row>
    <row r="622" spans="1:13" x14ac:dyDescent="0.25">
      <c r="A622" s="1">
        <v>42260</v>
      </c>
      <c r="B622" s="2">
        <v>17.399999999999999</v>
      </c>
      <c r="C622" s="2">
        <v>15.7</v>
      </c>
      <c r="D622" s="2">
        <v>17.3</v>
      </c>
      <c r="E622" s="2">
        <v>17</v>
      </c>
      <c r="F622" s="2">
        <v>19.8</v>
      </c>
      <c r="G622" s="2">
        <v>16.3</v>
      </c>
      <c r="H622" s="2">
        <f>AVERAGE(weather.tbl[[#This Row],[Estevan]:[Kipling]])</f>
        <v>17.249999999999996</v>
      </c>
      <c r="I622" s="2">
        <f>_xlfn.STDEV.S(weather.tbl[[#This Row],[Estevan]:[Kipling]])</f>
        <v>1.4067693485429658</v>
      </c>
      <c r="J622" s="2">
        <f t="shared" si="9"/>
        <v>13.257142857142856</v>
      </c>
      <c r="K622">
        <f>DAY(weather.tbl[[#This Row],[Date]])</f>
        <v>13</v>
      </c>
      <c r="L622">
        <f>MONTH(weather.tbl[[#This Row],[Date]])</f>
        <v>9</v>
      </c>
      <c r="M622">
        <f>YEAR(weather.tbl[[#This Row],[Date]])</f>
        <v>2015</v>
      </c>
    </row>
    <row r="623" spans="1:13" x14ac:dyDescent="0.25">
      <c r="A623" s="1">
        <v>42261</v>
      </c>
      <c r="B623" s="2">
        <v>14</v>
      </c>
      <c r="C623" s="2">
        <v>13.8</v>
      </c>
      <c r="D623" s="2">
        <v>12.8</v>
      </c>
      <c r="E623" s="2">
        <v>13.5</v>
      </c>
      <c r="F623" s="2">
        <v>12.8</v>
      </c>
      <c r="G623" s="2">
        <v>11.3</v>
      </c>
      <c r="H623" s="2">
        <f>AVERAGE(weather.tbl[[#This Row],[Estevan]:[Kipling]])</f>
        <v>13.033333333333333</v>
      </c>
      <c r="I623" s="2">
        <f>_xlfn.STDEV.S(weather.tbl[[#This Row],[Estevan]:[Kipling]])</f>
        <v>0.98522417076859536</v>
      </c>
      <c r="J623" s="2">
        <f t="shared" si="9"/>
        <v>13.438095238095238</v>
      </c>
      <c r="K623">
        <f>DAY(weather.tbl[[#This Row],[Date]])</f>
        <v>14</v>
      </c>
      <c r="L623">
        <f>MONTH(weather.tbl[[#This Row],[Date]])</f>
        <v>9</v>
      </c>
      <c r="M623">
        <f>YEAR(weather.tbl[[#This Row],[Date]])</f>
        <v>2015</v>
      </c>
    </row>
    <row r="624" spans="1:13" x14ac:dyDescent="0.25">
      <c r="A624" s="1">
        <v>42262</v>
      </c>
      <c r="B624" s="2">
        <v>13.1</v>
      </c>
      <c r="C624" s="2">
        <v>11.7</v>
      </c>
      <c r="D624" s="2">
        <v>11.3</v>
      </c>
      <c r="E624" s="2">
        <v>10.8</v>
      </c>
      <c r="F624" s="2">
        <v>12.6</v>
      </c>
      <c r="G624" s="2">
        <v>10.7</v>
      </c>
      <c r="H624" s="2">
        <f>AVERAGE(weather.tbl[[#This Row],[Estevan]:[Kipling]])</f>
        <v>11.699999999999998</v>
      </c>
      <c r="I624" s="2">
        <f>_xlfn.STDEV.S(weather.tbl[[#This Row],[Estevan]:[Kipling]])</f>
        <v>0.97365291557104661</v>
      </c>
      <c r="J624" s="2">
        <f t="shared" si="9"/>
        <v>13.328571428571427</v>
      </c>
      <c r="K624">
        <f>DAY(weather.tbl[[#This Row],[Date]])</f>
        <v>15</v>
      </c>
      <c r="L624">
        <f>MONTH(weather.tbl[[#This Row],[Date]])</f>
        <v>9</v>
      </c>
      <c r="M624">
        <f>YEAR(weather.tbl[[#This Row],[Date]])</f>
        <v>2015</v>
      </c>
    </row>
    <row r="625" spans="1:13" x14ac:dyDescent="0.25">
      <c r="A625" s="1">
        <v>42263</v>
      </c>
      <c r="B625" s="2">
        <v>11.8</v>
      </c>
      <c r="C625" s="2">
        <v>9.6999999999999993</v>
      </c>
      <c r="D625" s="2">
        <v>14</v>
      </c>
      <c r="E625" s="2">
        <v>11</v>
      </c>
      <c r="F625" s="2">
        <v>14.1</v>
      </c>
      <c r="G625" s="2">
        <v>12</v>
      </c>
      <c r="H625" s="2">
        <f>AVERAGE(weather.tbl[[#This Row],[Estevan]:[Kipling]])</f>
        <v>12.1</v>
      </c>
      <c r="I625" s="2">
        <f>_xlfn.STDEV.S(weather.tbl[[#This Row],[Estevan]:[Kipling]])</f>
        <v>1.7134759992483088</v>
      </c>
      <c r="J625" s="2">
        <f t="shared" si="9"/>
        <v>13.473809523809523</v>
      </c>
      <c r="K625">
        <f>DAY(weather.tbl[[#This Row],[Date]])</f>
        <v>16</v>
      </c>
      <c r="L625">
        <f>MONTH(weather.tbl[[#This Row],[Date]])</f>
        <v>9</v>
      </c>
      <c r="M625">
        <f>YEAR(weather.tbl[[#This Row],[Date]])</f>
        <v>2015</v>
      </c>
    </row>
    <row r="626" spans="1:13" x14ac:dyDescent="0.25">
      <c r="A626" s="1">
        <v>42264</v>
      </c>
      <c r="B626" s="2">
        <v>10.6</v>
      </c>
      <c r="C626" s="2">
        <v>9.9</v>
      </c>
      <c r="D626" s="2">
        <v>12.3</v>
      </c>
      <c r="E626" s="2">
        <v>13</v>
      </c>
      <c r="F626" s="2">
        <v>10.8</v>
      </c>
      <c r="G626" s="2">
        <v>11.3</v>
      </c>
      <c r="H626" s="2">
        <f>AVERAGE(weather.tbl[[#This Row],[Estevan]:[Kipling]])</f>
        <v>11.316666666666665</v>
      </c>
      <c r="I626" s="2">
        <f>_xlfn.STDEV.S(weather.tbl[[#This Row],[Estevan]:[Kipling]])</f>
        <v>1.1478966271693052</v>
      </c>
      <c r="J626" s="2">
        <f t="shared" si="9"/>
        <v>13.714285714285712</v>
      </c>
      <c r="K626">
        <f>DAY(weather.tbl[[#This Row],[Date]])</f>
        <v>17</v>
      </c>
      <c r="L626">
        <f>MONTH(weather.tbl[[#This Row],[Date]])</f>
        <v>9</v>
      </c>
      <c r="M626">
        <f>YEAR(weather.tbl[[#This Row],[Date]])</f>
        <v>2015</v>
      </c>
    </row>
    <row r="627" spans="1:13" x14ac:dyDescent="0.25">
      <c r="A627" s="1">
        <v>42265</v>
      </c>
      <c r="B627" s="2">
        <v>11.8</v>
      </c>
      <c r="C627" s="2">
        <v>10.8</v>
      </c>
      <c r="D627" s="2">
        <v>9.8000000000000007</v>
      </c>
      <c r="E627" s="2">
        <v>11</v>
      </c>
      <c r="F627" s="2">
        <v>11.2</v>
      </c>
      <c r="G627" s="2">
        <v>10.8</v>
      </c>
      <c r="H627" s="2">
        <f>AVERAGE(weather.tbl[[#This Row],[Estevan]:[Kipling]])</f>
        <v>10.9</v>
      </c>
      <c r="I627" s="2">
        <f>_xlfn.STDEV.S(weather.tbl[[#This Row],[Estevan]:[Kipling]])</f>
        <v>0.65421708935184486</v>
      </c>
      <c r="J627" s="2">
        <f t="shared" si="9"/>
        <v>13.478571428571428</v>
      </c>
      <c r="K627">
        <f>DAY(weather.tbl[[#This Row],[Date]])</f>
        <v>18</v>
      </c>
      <c r="L627">
        <f>MONTH(weather.tbl[[#This Row],[Date]])</f>
        <v>9</v>
      </c>
      <c r="M627">
        <f>YEAR(weather.tbl[[#This Row],[Date]])</f>
        <v>2015</v>
      </c>
    </row>
    <row r="628" spans="1:13" x14ac:dyDescent="0.25">
      <c r="A628" s="1">
        <v>42266</v>
      </c>
      <c r="B628" s="2">
        <v>14.5</v>
      </c>
      <c r="C628" s="2">
        <v>13.7</v>
      </c>
      <c r="D628" s="2">
        <v>14</v>
      </c>
      <c r="E628" s="2">
        <v>14.8</v>
      </c>
      <c r="F628" s="2">
        <v>14.4</v>
      </c>
      <c r="G628" s="2">
        <v>12.4</v>
      </c>
      <c r="H628" s="2">
        <f>AVERAGE(weather.tbl[[#This Row],[Estevan]:[Kipling]])</f>
        <v>13.966666666666669</v>
      </c>
      <c r="I628" s="2">
        <f>_xlfn.STDEV.S(weather.tbl[[#This Row],[Estevan]:[Kipling]])</f>
        <v>0.8594571930391105</v>
      </c>
      <c r="J628" s="2">
        <f t="shared" si="9"/>
        <v>12.895238095238096</v>
      </c>
      <c r="K628">
        <f>DAY(weather.tbl[[#This Row],[Date]])</f>
        <v>19</v>
      </c>
      <c r="L628">
        <f>MONTH(weather.tbl[[#This Row],[Date]])</f>
        <v>9</v>
      </c>
      <c r="M628">
        <f>YEAR(weather.tbl[[#This Row],[Date]])</f>
        <v>2015</v>
      </c>
    </row>
    <row r="629" spans="1:13" x14ac:dyDescent="0.25">
      <c r="A629" s="1">
        <v>42267</v>
      </c>
      <c r="B629" s="2">
        <v>16.600000000000001</v>
      </c>
      <c r="C629" s="2">
        <v>15.3</v>
      </c>
      <c r="D629" s="2">
        <v>14.5</v>
      </c>
      <c r="E629" s="2">
        <v>16.8</v>
      </c>
      <c r="F629" s="2">
        <v>15.8</v>
      </c>
      <c r="G629" s="2">
        <v>15.1</v>
      </c>
      <c r="H629" s="2">
        <f>AVERAGE(weather.tbl[[#This Row],[Estevan]:[Kipling]])</f>
        <v>15.683333333333332</v>
      </c>
      <c r="I629" s="2">
        <f>_xlfn.STDEV.S(weather.tbl[[#This Row],[Estevan]:[Kipling]])</f>
        <v>0.89312186551817629</v>
      </c>
      <c r="J629" s="2">
        <f t="shared" si="9"/>
        <v>12.671428571428569</v>
      </c>
      <c r="K629">
        <f>DAY(weather.tbl[[#This Row],[Date]])</f>
        <v>20</v>
      </c>
      <c r="L629">
        <f>MONTH(weather.tbl[[#This Row],[Date]])</f>
        <v>9</v>
      </c>
      <c r="M629">
        <f>YEAR(weather.tbl[[#This Row],[Date]])</f>
        <v>2015</v>
      </c>
    </row>
    <row r="630" spans="1:13" x14ac:dyDescent="0.25">
      <c r="A630" s="1">
        <v>42268</v>
      </c>
      <c r="B630" s="2">
        <v>8</v>
      </c>
      <c r="C630" s="2">
        <v>9.6999999999999993</v>
      </c>
      <c r="D630" s="2">
        <v>14.3</v>
      </c>
      <c r="E630" s="2">
        <v>15</v>
      </c>
      <c r="F630" s="2">
        <v>15</v>
      </c>
      <c r="G630" s="2">
        <v>13.2</v>
      </c>
      <c r="H630" s="2">
        <f>AVERAGE(weather.tbl[[#This Row],[Estevan]:[Kipling]])</f>
        <v>12.533333333333333</v>
      </c>
      <c r="I630" s="2">
        <f>_xlfn.STDEV.S(weather.tbl[[#This Row],[Estevan]:[Kipling]])</f>
        <v>2.9770231216210989</v>
      </c>
      <c r="J630" s="2">
        <f t="shared" si="9"/>
        <v>12.599999999999998</v>
      </c>
      <c r="K630">
        <f>DAY(weather.tbl[[#This Row],[Date]])</f>
        <v>21</v>
      </c>
      <c r="L630">
        <f>MONTH(weather.tbl[[#This Row],[Date]])</f>
        <v>9</v>
      </c>
      <c r="M630">
        <f>YEAR(weather.tbl[[#This Row],[Date]])</f>
        <v>2015</v>
      </c>
    </row>
    <row r="631" spans="1:13" x14ac:dyDescent="0.25">
      <c r="A631" s="1">
        <v>42269</v>
      </c>
      <c r="B631" s="2">
        <v>6.5</v>
      </c>
      <c r="C631" s="2">
        <v>6.3</v>
      </c>
      <c r="D631" s="2">
        <v>7</v>
      </c>
      <c r="E631" s="2">
        <v>15</v>
      </c>
      <c r="F631" s="2">
        <v>9.5</v>
      </c>
      <c r="G631" s="2">
        <v>7.3</v>
      </c>
      <c r="H631" s="2">
        <f>AVERAGE(weather.tbl[[#This Row],[Estevan]:[Kipling]])</f>
        <v>8.6</v>
      </c>
      <c r="I631" s="2">
        <f>_xlfn.STDEV.S(weather.tbl[[#This Row],[Estevan]:[Kipling]])</f>
        <v>3.338263021393014</v>
      </c>
      <c r="J631" s="2">
        <f t="shared" si="9"/>
        <v>12.157142857142857</v>
      </c>
      <c r="K631">
        <f>DAY(weather.tbl[[#This Row],[Date]])</f>
        <v>22</v>
      </c>
      <c r="L631">
        <f>MONTH(weather.tbl[[#This Row],[Date]])</f>
        <v>9</v>
      </c>
      <c r="M631">
        <f>YEAR(weather.tbl[[#This Row],[Date]])</f>
        <v>2015</v>
      </c>
    </row>
    <row r="632" spans="1:13" x14ac:dyDescent="0.25">
      <c r="A632" s="1">
        <v>42270</v>
      </c>
      <c r="B632" s="2">
        <v>11.3</v>
      </c>
      <c r="C632" s="2">
        <v>12.3</v>
      </c>
      <c r="D632" s="2">
        <v>10.8</v>
      </c>
      <c r="E632" s="2">
        <v>13</v>
      </c>
      <c r="F632" s="2">
        <v>11.4</v>
      </c>
      <c r="G632" s="2">
        <v>9.6</v>
      </c>
      <c r="H632" s="2">
        <f>AVERAGE(weather.tbl[[#This Row],[Estevan]:[Kipling]])</f>
        <v>11.4</v>
      </c>
      <c r="I632" s="2">
        <f>_xlfn.STDEV.S(weather.tbl[[#This Row],[Estevan]:[Kipling]])</f>
        <v>1.1815244390193544</v>
      </c>
      <c r="J632" s="2">
        <f t="shared" si="9"/>
        <v>12.057142857142859</v>
      </c>
      <c r="K632">
        <f>DAY(weather.tbl[[#This Row],[Date]])</f>
        <v>23</v>
      </c>
      <c r="L632">
        <f>MONTH(weather.tbl[[#This Row],[Date]])</f>
        <v>9</v>
      </c>
      <c r="M632">
        <f>YEAR(weather.tbl[[#This Row],[Date]])</f>
        <v>2015</v>
      </c>
    </row>
    <row r="633" spans="1:13" x14ac:dyDescent="0.25">
      <c r="A633" s="1">
        <v>42271</v>
      </c>
      <c r="B633" s="2">
        <v>13.6</v>
      </c>
      <c r="C633" s="2">
        <v>14.3</v>
      </c>
      <c r="D633" s="2">
        <v>13</v>
      </c>
      <c r="E633" s="2">
        <v>14.8</v>
      </c>
      <c r="F633" s="2">
        <v>13.5</v>
      </c>
      <c r="G633" s="2">
        <v>13.1</v>
      </c>
      <c r="H633" s="2">
        <f>AVERAGE(weather.tbl[[#This Row],[Estevan]:[Kipling]])</f>
        <v>13.716666666666667</v>
      </c>
      <c r="I633" s="2">
        <f>_xlfn.STDEV.S(weather.tbl[[#This Row],[Estevan]:[Kipling]])</f>
        <v>0.70261416628663786</v>
      </c>
      <c r="J633" s="2">
        <f t="shared" si="9"/>
        <v>12.4</v>
      </c>
      <c r="K633">
        <f>DAY(weather.tbl[[#This Row],[Date]])</f>
        <v>24</v>
      </c>
      <c r="L633">
        <f>MONTH(weather.tbl[[#This Row],[Date]])</f>
        <v>9</v>
      </c>
      <c r="M633">
        <f>YEAR(weather.tbl[[#This Row],[Date]])</f>
        <v>2015</v>
      </c>
    </row>
    <row r="634" spans="1:13" x14ac:dyDescent="0.25">
      <c r="A634" s="1">
        <v>42272</v>
      </c>
      <c r="B634" s="2">
        <v>18.899999999999999</v>
      </c>
      <c r="C634" s="2">
        <v>21.8</v>
      </c>
      <c r="D634" s="2">
        <v>18</v>
      </c>
      <c r="E634" s="2">
        <v>21.3</v>
      </c>
      <c r="F634" s="2">
        <v>16.5</v>
      </c>
      <c r="G634" s="2">
        <v>18.899999999999999</v>
      </c>
      <c r="H634" s="2">
        <f>AVERAGE(weather.tbl[[#This Row],[Estevan]:[Kipling]])</f>
        <v>19.233333333333334</v>
      </c>
      <c r="I634" s="2">
        <f>_xlfn.STDEV.S(weather.tbl[[#This Row],[Estevan]:[Kipling]])</f>
        <v>2.0036633117035079</v>
      </c>
      <c r="J634" s="2">
        <f t="shared" si="9"/>
        <v>13.59047619047619</v>
      </c>
      <c r="K634">
        <f>DAY(weather.tbl[[#This Row],[Date]])</f>
        <v>25</v>
      </c>
      <c r="L634">
        <f>MONTH(weather.tbl[[#This Row],[Date]])</f>
        <v>9</v>
      </c>
      <c r="M634">
        <f>YEAR(weather.tbl[[#This Row],[Date]])</f>
        <v>2015</v>
      </c>
    </row>
    <row r="635" spans="1:13" x14ac:dyDescent="0.25">
      <c r="A635" s="1">
        <v>42273</v>
      </c>
      <c r="B635" s="2">
        <v>20.7</v>
      </c>
      <c r="C635" s="2">
        <v>20.399999999999999</v>
      </c>
      <c r="D635" s="2">
        <v>20</v>
      </c>
      <c r="E635" s="2">
        <v>23</v>
      </c>
      <c r="F635" s="2">
        <v>21.9</v>
      </c>
      <c r="G635" s="2">
        <v>21.5</v>
      </c>
      <c r="H635" s="2">
        <f>AVERAGE(weather.tbl[[#This Row],[Estevan]:[Kipling]])</f>
        <v>21.25</v>
      </c>
      <c r="I635" s="2">
        <f>_xlfn.STDEV.S(weather.tbl[[#This Row],[Estevan]:[Kipling]])</f>
        <v>1.1077003204838394</v>
      </c>
      <c r="J635" s="2">
        <f t="shared" si="9"/>
        <v>14.63095238095238</v>
      </c>
      <c r="K635">
        <f>DAY(weather.tbl[[#This Row],[Date]])</f>
        <v>26</v>
      </c>
      <c r="L635">
        <f>MONTH(weather.tbl[[#This Row],[Date]])</f>
        <v>9</v>
      </c>
      <c r="M635">
        <f>YEAR(weather.tbl[[#This Row],[Date]])</f>
        <v>2015</v>
      </c>
    </row>
    <row r="636" spans="1:13" x14ac:dyDescent="0.25">
      <c r="A636" s="1">
        <v>42274</v>
      </c>
      <c r="B636" s="2">
        <v>12.9</v>
      </c>
      <c r="C636" s="2">
        <v>11.7</v>
      </c>
      <c r="D636" s="2">
        <v>15.3</v>
      </c>
      <c r="E636" s="2">
        <v>12.5</v>
      </c>
      <c r="F636" s="2">
        <v>14.3</v>
      </c>
      <c r="G636" s="2">
        <v>11.8</v>
      </c>
      <c r="H636" s="2">
        <f>AVERAGE(weather.tbl[[#This Row],[Estevan]:[Kipling]])</f>
        <v>13.083333333333334</v>
      </c>
      <c r="I636" s="2">
        <f>_xlfn.STDEV.S(weather.tbl[[#This Row],[Estevan]:[Kipling]])</f>
        <v>1.4372427306014344</v>
      </c>
      <c r="J636" s="2">
        <f t="shared" si="9"/>
        <v>14.259523809523809</v>
      </c>
      <c r="K636">
        <f>DAY(weather.tbl[[#This Row],[Date]])</f>
        <v>27</v>
      </c>
      <c r="L636">
        <f>MONTH(weather.tbl[[#This Row],[Date]])</f>
        <v>9</v>
      </c>
      <c r="M636">
        <f>YEAR(weather.tbl[[#This Row],[Date]])</f>
        <v>2015</v>
      </c>
    </row>
    <row r="637" spans="1:13" x14ac:dyDescent="0.25">
      <c r="A637" s="1">
        <v>42275</v>
      </c>
      <c r="B637" s="2">
        <v>7.7</v>
      </c>
      <c r="C637" s="2">
        <v>6.9</v>
      </c>
      <c r="D637" s="2">
        <v>7.5</v>
      </c>
      <c r="E637" s="2">
        <v>7.5</v>
      </c>
      <c r="F637" s="2">
        <v>7.9</v>
      </c>
      <c r="G637" s="2">
        <v>6.1</v>
      </c>
      <c r="H637" s="2">
        <f>AVERAGE(weather.tbl[[#This Row],[Estevan]:[Kipling]])</f>
        <v>7.2666666666666666</v>
      </c>
      <c r="I637" s="2">
        <f>_xlfn.STDEV.S(weather.tbl[[#This Row],[Estevan]:[Kipling]])</f>
        <v>0.66231915770772243</v>
      </c>
      <c r="J637" s="2">
        <f t="shared" si="9"/>
        <v>13.507142857142856</v>
      </c>
      <c r="K637">
        <f>DAY(weather.tbl[[#This Row],[Date]])</f>
        <v>28</v>
      </c>
      <c r="L637">
        <f>MONTH(weather.tbl[[#This Row],[Date]])</f>
        <v>9</v>
      </c>
      <c r="M637">
        <f>YEAR(weather.tbl[[#This Row],[Date]])</f>
        <v>2015</v>
      </c>
    </row>
    <row r="638" spans="1:13" x14ac:dyDescent="0.25">
      <c r="A638" s="1">
        <v>42276</v>
      </c>
      <c r="B638" s="2">
        <v>10.7</v>
      </c>
      <c r="C638" s="2">
        <v>10.1</v>
      </c>
      <c r="D638" s="2">
        <v>8.8000000000000007</v>
      </c>
      <c r="E638" s="2">
        <v>10.5</v>
      </c>
      <c r="F638" s="2">
        <v>8.4</v>
      </c>
      <c r="G638" s="2">
        <v>8.6</v>
      </c>
      <c r="H638" s="2">
        <f>AVERAGE(weather.tbl[[#This Row],[Estevan]:[Kipling]])</f>
        <v>9.5166666666666657</v>
      </c>
      <c r="I638" s="2">
        <f>_xlfn.STDEV.S(weather.tbl[[#This Row],[Estevan]:[Kipling]])</f>
        <v>1.0303721010715818</v>
      </c>
      <c r="J638" s="2">
        <f t="shared" si="9"/>
        <v>13.638095238095236</v>
      </c>
      <c r="K638">
        <f>DAY(weather.tbl[[#This Row],[Date]])</f>
        <v>29</v>
      </c>
      <c r="L638">
        <f>MONTH(weather.tbl[[#This Row],[Date]])</f>
        <v>9</v>
      </c>
      <c r="M638">
        <f>YEAR(weather.tbl[[#This Row],[Date]])</f>
        <v>2015</v>
      </c>
    </row>
    <row r="639" spans="1:13" x14ac:dyDescent="0.25">
      <c r="A639" s="1">
        <v>42277</v>
      </c>
      <c r="B639" s="2">
        <v>15.3</v>
      </c>
      <c r="C639" s="2">
        <v>14.4</v>
      </c>
      <c r="D639" s="2">
        <v>13</v>
      </c>
      <c r="E639" s="2">
        <v>15.3</v>
      </c>
      <c r="F639" s="2">
        <v>16</v>
      </c>
      <c r="G639" s="2">
        <v>13.9</v>
      </c>
      <c r="H639" s="2">
        <f>AVERAGE(weather.tbl[[#This Row],[Estevan]:[Kipling]])</f>
        <v>14.65</v>
      </c>
      <c r="I639" s="2">
        <f>_xlfn.STDEV.S(weather.tbl[[#This Row],[Estevan]:[Kipling]])</f>
        <v>1.0968135666557011</v>
      </c>
      <c r="J639" s="2">
        <f t="shared" si="9"/>
        <v>14.102380952380953</v>
      </c>
      <c r="K639">
        <f>DAY(weather.tbl[[#This Row],[Date]])</f>
        <v>30</v>
      </c>
      <c r="L639">
        <f>MONTH(weather.tbl[[#This Row],[Date]])</f>
        <v>9</v>
      </c>
      <c r="M639">
        <f>YEAR(weather.tbl[[#This Row],[Date]])</f>
        <v>2015</v>
      </c>
    </row>
    <row r="640" spans="1:13" x14ac:dyDescent="0.25">
      <c r="A640" s="1">
        <v>42278</v>
      </c>
      <c r="B640" s="2">
        <v>15.3</v>
      </c>
      <c r="C640" s="2">
        <v>14.4</v>
      </c>
      <c r="D640" s="2">
        <v>13.3</v>
      </c>
      <c r="E640" s="2">
        <v>12.5</v>
      </c>
      <c r="F640" s="2">
        <v>14.9</v>
      </c>
      <c r="G640" s="2">
        <v>12.7</v>
      </c>
      <c r="H640" s="2">
        <f>AVERAGE(weather.tbl[[#This Row],[Estevan]:[Kipling]])</f>
        <v>13.850000000000001</v>
      </c>
      <c r="I640" s="2">
        <f>_xlfn.STDEV.S(weather.tbl[[#This Row],[Estevan]:[Kipling]])</f>
        <v>1.1794066304714421</v>
      </c>
      <c r="J640" s="2">
        <f t="shared" si="9"/>
        <v>14.12142857142857</v>
      </c>
      <c r="K640">
        <f>DAY(weather.tbl[[#This Row],[Date]])</f>
        <v>1</v>
      </c>
      <c r="L640">
        <f>MONTH(weather.tbl[[#This Row],[Date]])</f>
        <v>10</v>
      </c>
      <c r="M640">
        <f>YEAR(weather.tbl[[#This Row],[Date]])</f>
        <v>2015</v>
      </c>
    </row>
    <row r="641" spans="1:13" x14ac:dyDescent="0.25">
      <c r="A641" s="1">
        <v>42279</v>
      </c>
      <c r="B641" s="2">
        <v>10.9</v>
      </c>
      <c r="C641" s="2">
        <v>11.7</v>
      </c>
      <c r="D641" s="2">
        <v>11</v>
      </c>
      <c r="E641" s="2">
        <v>12.5</v>
      </c>
      <c r="F641" s="2">
        <v>13.5</v>
      </c>
      <c r="G641" s="2">
        <v>10.8</v>
      </c>
      <c r="H641" s="2">
        <f>AVERAGE(weather.tbl[[#This Row],[Estevan]:[Kipling]])</f>
        <v>11.733333333333334</v>
      </c>
      <c r="I641" s="2">
        <f>_xlfn.STDEV.S(weather.tbl[[#This Row],[Estevan]:[Kipling]])</f>
        <v>1.0782702196883054</v>
      </c>
      <c r="J641" s="2">
        <f t="shared" si="9"/>
        <v>13.05</v>
      </c>
      <c r="K641">
        <f>DAY(weather.tbl[[#This Row],[Date]])</f>
        <v>2</v>
      </c>
      <c r="L641">
        <f>MONTH(weather.tbl[[#This Row],[Date]])</f>
        <v>10</v>
      </c>
      <c r="M641">
        <f>YEAR(weather.tbl[[#This Row],[Date]])</f>
        <v>2015</v>
      </c>
    </row>
    <row r="642" spans="1:13" x14ac:dyDescent="0.25">
      <c r="A642" s="1">
        <v>42280</v>
      </c>
      <c r="B642" s="2">
        <v>9</v>
      </c>
      <c r="C642" s="2">
        <v>8.5</v>
      </c>
      <c r="D642" s="2">
        <v>8.8000000000000007</v>
      </c>
      <c r="E642" s="2">
        <v>8</v>
      </c>
      <c r="F642" s="2">
        <v>10.8</v>
      </c>
      <c r="G642" s="2">
        <v>10.199999999999999</v>
      </c>
      <c r="H642" s="2">
        <f>AVERAGE(weather.tbl[[#This Row],[Estevan]:[Kipling]])</f>
        <v>9.2166666666666668</v>
      </c>
      <c r="I642" s="2">
        <f>_xlfn.STDEV.S(weather.tbl[[#This Row],[Estevan]:[Kipling]])</f>
        <v>1.0666145820617108</v>
      </c>
      <c r="J642" s="2">
        <f t="shared" si="9"/>
        <v>11.330952380952381</v>
      </c>
      <c r="K642">
        <f>DAY(weather.tbl[[#This Row],[Date]])</f>
        <v>3</v>
      </c>
      <c r="L642">
        <f>MONTH(weather.tbl[[#This Row],[Date]])</f>
        <v>10</v>
      </c>
      <c r="M642">
        <f>YEAR(weather.tbl[[#This Row],[Date]])</f>
        <v>2015</v>
      </c>
    </row>
    <row r="643" spans="1:13" x14ac:dyDescent="0.25">
      <c r="A643" s="1">
        <v>42281</v>
      </c>
      <c r="B643" s="2">
        <v>9.6</v>
      </c>
      <c r="C643" s="2">
        <v>7.9</v>
      </c>
      <c r="D643" s="2">
        <v>8.8000000000000007</v>
      </c>
      <c r="E643" s="2">
        <v>8.5</v>
      </c>
      <c r="F643" s="2">
        <v>9.1999999999999993</v>
      </c>
      <c r="G643" s="2">
        <v>8.1</v>
      </c>
      <c r="H643" s="2">
        <f>AVERAGE(weather.tbl[[#This Row],[Estevan]:[Kipling]])</f>
        <v>8.6833333333333336</v>
      </c>
      <c r="I643" s="2">
        <f>_xlfn.STDEV.S(weather.tbl[[#This Row],[Estevan]:[Kipling]])</f>
        <v>0.64935865795927172</v>
      </c>
      <c r="J643" s="2">
        <f t="shared" si="9"/>
        <v>10.702380952380953</v>
      </c>
      <c r="K643">
        <f>DAY(weather.tbl[[#This Row],[Date]])</f>
        <v>4</v>
      </c>
      <c r="L643">
        <f>MONTH(weather.tbl[[#This Row],[Date]])</f>
        <v>10</v>
      </c>
      <c r="M643">
        <f>YEAR(weather.tbl[[#This Row],[Date]])</f>
        <v>2015</v>
      </c>
    </row>
    <row r="644" spans="1:13" x14ac:dyDescent="0.25">
      <c r="A644" s="1">
        <v>42282</v>
      </c>
      <c r="B644" s="2">
        <v>6.1</v>
      </c>
      <c r="C644" s="2">
        <v>5</v>
      </c>
      <c r="D644" s="2">
        <v>7.3</v>
      </c>
      <c r="E644" s="2">
        <v>5.8</v>
      </c>
      <c r="F644" s="2">
        <v>8.8000000000000007</v>
      </c>
      <c r="G644" s="2">
        <v>5</v>
      </c>
      <c r="H644" s="2">
        <f>AVERAGE(weather.tbl[[#This Row],[Estevan]:[Kipling]])</f>
        <v>6.333333333333333</v>
      </c>
      <c r="I644" s="2">
        <f>_xlfn.STDEV.S(weather.tbl[[#This Row],[Estevan]:[Kipling]])</f>
        <v>1.4773850773128396</v>
      </c>
      <c r="J644" s="2">
        <f t="shared" si="9"/>
        <v>10.56904761904762</v>
      </c>
      <c r="K644">
        <f>DAY(weather.tbl[[#This Row],[Date]])</f>
        <v>5</v>
      </c>
      <c r="L644">
        <f>MONTH(weather.tbl[[#This Row],[Date]])</f>
        <v>10</v>
      </c>
      <c r="M644">
        <f>YEAR(weather.tbl[[#This Row],[Date]])</f>
        <v>2015</v>
      </c>
    </row>
    <row r="645" spans="1:13" x14ac:dyDescent="0.25">
      <c r="A645" s="1">
        <v>42283</v>
      </c>
      <c r="B645" s="2">
        <v>6.6</v>
      </c>
      <c r="C645" s="2">
        <v>5.5</v>
      </c>
      <c r="D645" s="2">
        <v>6.8</v>
      </c>
      <c r="E645" s="2">
        <v>7</v>
      </c>
      <c r="F645" s="2">
        <v>7.6</v>
      </c>
      <c r="G645" s="2">
        <v>5.8</v>
      </c>
      <c r="H645" s="2">
        <f>AVERAGE(weather.tbl[[#This Row],[Estevan]:[Kipling]])</f>
        <v>6.55</v>
      </c>
      <c r="I645" s="2">
        <f>_xlfn.STDEV.S(weather.tbl[[#This Row],[Estevan]:[Kipling]])</f>
        <v>0.77910204723130139</v>
      </c>
      <c r="J645" s="2">
        <f t="shared" si="9"/>
        <v>10.145238095238096</v>
      </c>
      <c r="K645">
        <f>DAY(weather.tbl[[#This Row],[Date]])</f>
        <v>6</v>
      </c>
      <c r="L645">
        <f>MONTH(weather.tbl[[#This Row],[Date]])</f>
        <v>10</v>
      </c>
      <c r="M645">
        <f>YEAR(weather.tbl[[#This Row],[Date]])</f>
        <v>2015</v>
      </c>
    </row>
    <row r="646" spans="1:13" x14ac:dyDescent="0.25">
      <c r="A646" s="1">
        <v>42284</v>
      </c>
      <c r="B646" s="2">
        <v>11.3</v>
      </c>
      <c r="C646" s="2">
        <v>11</v>
      </c>
      <c r="D646" s="2">
        <v>9</v>
      </c>
      <c r="E646" s="2">
        <v>10</v>
      </c>
      <c r="F646" s="2">
        <v>7.2</v>
      </c>
      <c r="G646" s="2">
        <v>7.2</v>
      </c>
      <c r="H646" s="2">
        <f>AVERAGE(weather.tbl[[#This Row],[Estevan]:[Kipling]])</f>
        <v>9.2833333333333332</v>
      </c>
      <c r="I646" s="2">
        <f>_xlfn.STDEV.S(weather.tbl[[#This Row],[Estevan]:[Kipling]])</f>
        <v>1.8049007359593656</v>
      </c>
      <c r="J646" s="2">
        <f t="shared" si="9"/>
        <v>9.3785714285714299</v>
      </c>
      <c r="K646">
        <f>DAY(weather.tbl[[#This Row],[Date]])</f>
        <v>7</v>
      </c>
      <c r="L646">
        <f>MONTH(weather.tbl[[#This Row],[Date]])</f>
        <v>10</v>
      </c>
      <c r="M646">
        <f>YEAR(weather.tbl[[#This Row],[Date]])</f>
        <v>2015</v>
      </c>
    </row>
    <row r="647" spans="1:13" x14ac:dyDescent="0.25">
      <c r="A647" s="1">
        <v>42285</v>
      </c>
      <c r="B647" s="2">
        <v>9.4</v>
      </c>
      <c r="C647" s="2">
        <v>8.6</v>
      </c>
      <c r="D647" s="2">
        <v>11.5</v>
      </c>
      <c r="E647" s="2">
        <v>9.5</v>
      </c>
      <c r="F647" s="2">
        <v>9</v>
      </c>
      <c r="G647" s="2">
        <v>9.4</v>
      </c>
      <c r="H647" s="2">
        <f>AVERAGE(weather.tbl[[#This Row],[Estevan]:[Kipling]])</f>
        <v>9.5666666666666664</v>
      </c>
      <c r="I647" s="2">
        <f>_xlfn.STDEV.S(weather.tbl[[#This Row],[Estevan]:[Kipling]])</f>
        <v>1.0053191864610298</v>
      </c>
      <c r="J647" s="2">
        <f t="shared" si="9"/>
        <v>8.7666666666666657</v>
      </c>
      <c r="K647">
        <f>DAY(weather.tbl[[#This Row],[Date]])</f>
        <v>8</v>
      </c>
      <c r="L647">
        <f>MONTH(weather.tbl[[#This Row],[Date]])</f>
        <v>10</v>
      </c>
      <c r="M647">
        <f>YEAR(weather.tbl[[#This Row],[Date]])</f>
        <v>2015</v>
      </c>
    </row>
    <row r="648" spans="1:13" x14ac:dyDescent="0.25">
      <c r="A648" s="1">
        <v>42286</v>
      </c>
      <c r="B648" s="2">
        <v>12.2</v>
      </c>
      <c r="C648" s="2">
        <v>12.3</v>
      </c>
      <c r="D648" s="2">
        <v>10.3</v>
      </c>
      <c r="E648" s="2">
        <v>13.5</v>
      </c>
      <c r="F648" s="2">
        <v>9.1</v>
      </c>
      <c r="G648" s="2">
        <v>11</v>
      </c>
      <c r="H648" s="2">
        <f>AVERAGE(weather.tbl[[#This Row],[Estevan]:[Kipling]])</f>
        <v>11.4</v>
      </c>
      <c r="I648" s="2">
        <f>_xlfn.STDEV.S(weather.tbl[[#This Row],[Estevan]:[Kipling]])</f>
        <v>1.5824032355881903</v>
      </c>
      <c r="J648" s="2">
        <f t="shared" si="9"/>
        <v>8.7190476190476183</v>
      </c>
      <c r="K648">
        <f>DAY(weather.tbl[[#This Row],[Date]])</f>
        <v>9</v>
      </c>
      <c r="L648">
        <f>MONTH(weather.tbl[[#This Row],[Date]])</f>
        <v>10</v>
      </c>
      <c r="M648">
        <f>YEAR(weather.tbl[[#This Row],[Date]])</f>
        <v>2015</v>
      </c>
    </row>
    <row r="649" spans="1:13" x14ac:dyDescent="0.25">
      <c r="A649" s="1">
        <v>42287</v>
      </c>
      <c r="B649" s="2">
        <v>19.2</v>
      </c>
      <c r="C649" s="2">
        <v>18.100000000000001</v>
      </c>
      <c r="D649" s="2">
        <v>19</v>
      </c>
      <c r="E649" s="2">
        <v>19.3</v>
      </c>
      <c r="F649" s="2">
        <v>17.8</v>
      </c>
      <c r="G649" s="2">
        <v>16.600000000000001</v>
      </c>
      <c r="H649" s="2">
        <f>AVERAGE(weather.tbl[[#This Row],[Estevan]:[Kipling]])</f>
        <v>18.333333333333332</v>
      </c>
      <c r="I649" s="2">
        <f>_xlfn.STDEV.S(weather.tbl[[#This Row],[Estevan]:[Kipling]])</f>
        <v>1.0462631918722294</v>
      </c>
      <c r="J649" s="2">
        <f t="shared" si="9"/>
        <v>10.021428571428572</v>
      </c>
      <c r="K649">
        <f>DAY(weather.tbl[[#This Row],[Date]])</f>
        <v>10</v>
      </c>
      <c r="L649">
        <f>MONTH(weather.tbl[[#This Row],[Date]])</f>
        <v>10</v>
      </c>
      <c r="M649">
        <f>YEAR(weather.tbl[[#This Row],[Date]])</f>
        <v>2015</v>
      </c>
    </row>
    <row r="650" spans="1:13" x14ac:dyDescent="0.25">
      <c r="A650" s="1">
        <v>42288</v>
      </c>
      <c r="B650" s="2">
        <v>13.1</v>
      </c>
      <c r="C650" s="2">
        <v>12.6</v>
      </c>
      <c r="D650" s="2">
        <v>12.3</v>
      </c>
      <c r="E650" s="2">
        <v>14.3</v>
      </c>
      <c r="F650" s="2">
        <v>15.7</v>
      </c>
      <c r="G650" s="2">
        <v>12.5</v>
      </c>
      <c r="H650" s="2">
        <f>AVERAGE(weather.tbl[[#This Row],[Estevan]:[Kipling]])</f>
        <v>13.416666666666666</v>
      </c>
      <c r="I650" s="2">
        <f>_xlfn.STDEV.S(weather.tbl[[#This Row],[Estevan]:[Kipling]])</f>
        <v>1.3302881893284124</v>
      </c>
      <c r="J650" s="2">
        <f t="shared" ref="J650:J713" si="10">AVERAGE(H644:H650)</f>
        <v>10.697619047619048</v>
      </c>
      <c r="K650">
        <f>DAY(weather.tbl[[#This Row],[Date]])</f>
        <v>11</v>
      </c>
      <c r="L650">
        <f>MONTH(weather.tbl[[#This Row],[Date]])</f>
        <v>10</v>
      </c>
      <c r="M650">
        <f>YEAR(weather.tbl[[#This Row],[Date]])</f>
        <v>2015</v>
      </c>
    </row>
    <row r="651" spans="1:13" x14ac:dyDescent="0.25">
      <c r="A651" s="1">
        <v>42289</v>
      </c>
      <c r="B651" s="2">
        <v>8.1999999999999993</v>
      </c>
      <c r="C651" s="2">
        <v>7.6</v>
      </c>
      <c r="D651" s="2">
        <v>12.3</v>
      </c>
      <c r="E651" s="2">
        <v>8</v>
      </c>
      <c r="F651" s="2">
        <v>7.7</v>
      </c>
      <c r="G651" s="2">
        <v>6.2</v>
      </c>
      <c r="H651" s="2">
        <f>AVERAGE(weather.tbl[[#This Row],[Estevan]:[Kipling]])</f>
        <v>8.3333333333333339</v>
      </c>
      <c r="I651" s="2">
        <f>_xlfn.STDEV.S(weather.tbl[[#This Row],[Estevan]:[Kipling]])</f>
        <v>2.0665591369875305</v>
      </c>
      <c r="J651" s="2">
        <f t="shared" si="10"/>
        <v>10.983333333333333</v>
      </c>
      <c r="K651">
        <f>DAY(weather.tbl[[#This Row],[Date]])</f>
        <v>12</v>
      </c>
      <c r="L651">
        <f>MONTH(weather.tbl[[#This Row],[Date]])</f>
        <v>10</v>
      </c>
      <c r="M651">
        <f>YEAR(weather.tbl[[#This Row],[Date]])</f>
        <v>2015</v>
      </c>
    </row>
    <row r="652" spans="1:13" x14ac:dyDescent="0.25">
      <c r="A652" s="1">
        <v>42290</v>
      </c>
      <c r="B652" s="2">
        <v>9.1</v>
      </c>
      <c r="C652" s="2">
        <v>7.8</v>
      </c>
      <c r="D652" s="2">
        <v>8</v>
      </c>
      <c r="E652" s="2">
        <v>9.8000000000000007</v>
      </c>
      <c r="F652" s="2">
        <v>8.1999999999999993</v>
      </c>
      <c r="G652" s="2">
        <v>8.9</v>
      </c>
      <c r="H652" s="2">
        <f>AVERAGE(weather.tbl[[#This Row],[Estevan]:[Kipling]])</f>
        <v>8.6333333333333346</v>
      </c>
      <c r="I652" s="2">
        <f>_xlfn.STDEV.S(weather.tbl[[#This Row],[Estevan]:[Kipling]])</f>
        <v>0.76594168620507086</v>
      </c>
      <c r="J652" s="2">
        <f t="shared" si="10"/>
        <v>11.280952380952382</v>
      </c>
      <c r="K652">
        <f>DAY(weather.tbl[[#This Row],[Date]])</f>
        <v>13</v>
      </c>
      <c r="L652">
        <f>MONTH(weather.tbl[[#This Row],[Date]])</f>
        <v>10</v>
      </c>
      <c r="M652">
        <f>YEAR(weather.tbl[[#This Row],[Date]])</f>
        <v>2015</v>
      </c>
    </row>
    <row r="653" spans="1:13" x14ac:dyDescent="0.25">
      <c r="A653" s="1">
        <v>42291</v>
      </c>
      <c r="B653" s="2">
        <v>9.1</v>
      </c>
      <c r="C653" s="2">
        <v>7.7</v>
      </c>
      <c r="D653" s="2">
        <v>8.8000000000000007</v>
      </c>
      <c r="E653" s="2">
        <v>9</v>
      </c>
      <c r="F653" s="2">
        <v>10.1</v>
      </c>
      <c r="G653" s="2">
        <v>7.8</v>
      </c>
      <c r="H653" s="2">
        <f>AVERAGE(weather.tbl[[#This Row],[Estevan]:[Kipling]])</f>
        <v>8.75</v>
      </c>
      <c r="I653" s="2">
        <f>_xlfn.STDEV.S(weather.tbl[[#This Row],[Estevan]:[Kipling]])</f>
        <v>0.89610267268879396</v>
      </c>
      <c r="J653" s="2">
        <f t="shared" si="10"/>
        <v>11.204761904761906</v>
      </c>
      <c r="K653">
        <f>DAY(weather.tbl[[#This Row],[Date]])</f>
        <v>14</v>
      </c>
      <c r="L653">
        <f>MONTH(weather.tbl[[#This Row],[Date]])</f>
        <v>10</v>
      </c>
      <c r="M653">
        <f>YEAR(weather.tbl[[#This Row],[Date]])</f>
        <v>2015</v>
      </c>
    </row>
    <row r="654" spans="1:13" x14ac:dyDescent="0.25">
      <c r="A654" s="1">
        <v>42292</v>
      </c>
      <c r="B654" s="2">
        <v>4.5</v>
      </c>
      <c r="C654" s="2">
        <v>4.8</v>
      </c>
      <c r="D654" s="2">
        <v>8.8000000000000007</v>
      </c>
      <c r="E654" s="2">
        <v>6.5</v>
      </c>
      <c r="F654" s="2">
        <v>4.7</v>
      </c>
      <c r="G654" s="2">
        <v>4.9000000000000004</v>
      </c>
      <c r="H654" s="2">
        <f>AVERAGE(weather.tbl[[#This Row],[Estevan]:[Kipling]])</f>
        <v>5.7</v>
      </c>
      <c r="I654" s="2">
        <f>_xlfn.STDEV.S(weather.tbl[[#This Row],[Estevan]:[Kipling]])</f>
        <v>1.6816658407662335</v>
      </c>
      <c r="J654" s="2">
        <f t="shared" si="10"/>
        <v>10.652380952380954</v>
      </c>
      <c r="K654">
        <f>DAY(weather.tbl[[#This Row],[Date]])</f>
        <v>15</v>
      </c>
      <c r="L654">
        <f>MONTH(weather.tbl[[#This Row],[Date]])</f>
        <v>10</v>
      </c>
      <c r="M654">
        <f>YEAR(weather.tbl[[#This Row],[Date]])</f>
        <v>2015</v>
      </c>
    </row>
    <row r="655" spans="1:13" x14ac:dyDescent="0.25">
      <c r="A655" s="1">
        <v>42293</v>
      </c>
      <c r="B655" s="2">
        <v>5.2</v>
      </c>
      <c r="C655" s="2">
        <v>5.5</v>
      </c>
      <c r="D655" s="2">
        <v>8.8000000000000007</v>
      </c>
      <c r="E655" s="2">
        <v>7.5</v>
      </c>
      <c r="F655" s="2">
        <v>4.5</v>
      </c>
      <c r="G655" s="2">
        <v>4.5999999999999996</v>
      </c>
      <c r="H655" s="2">
        <f>AVERAGE(weather.tbl[[#This Row],[Estevan]:[Kipling]])</f>
        <v>6.0166666666666666</v>
      </c>
      <c r="I655" s="2">
        <f>_xlfn.STDEV.S(weather.tbl[[#This Row],[Estevan]:[Kipling]])</f>
        <v>1.742890319746675</v>
      </c>
      <c r="J655" s="2">
        <f t="shared" si="10"/>
        <v>9.8833333333333346</v>
      </c>
      <c r="K655">
        <f>DAY(weather.tbl[[#This Row],[Date]])</f>
        <v>16</v>
      </c>
      <c r="L655">
        <f>MONTH(weather.tbl[[#This Row],[Date]])</f>
        <v>10</v>
      </c>
      <c r="M655">
        <f>YEAR(weather.tbl[[#This Row],[Date]])</f>
        <v>2015</v>
      </c>
    </row>
    <row r="656" spans="1:13" x14ac:dyDescent="0.25">
      <c r="A656" s="1">
        <v>42294</v>
      </c>
      <c r="B656" s="2">
        <v>6</v>
      </c>
      <c r="C656" s="2">
        <v>6.4</v>
      </c>
      <c r="D656" s="2">
        <v>4.5</v>
      </c>
      <c r="E656" s="2">
        <v>5.8</v>
      </c>
      <c r="F656" s="2">
        <v>3.6</v>
      </c>
      <c r="G656" s="2">
        <v>5.6</v>
      </c>
      <c r="H656" s="2">
        <f>AVERAGE(weather.tbl[[#This Row],[Estevan]:[Kipling]])</f>
        <v>5.3166666666666664</v>
      </c>
      <c r="I656" s="2">
        <f>_xlfn.STDEV.S(weather.tbl[[#This Row],[Estevan]:[Kipling]])</f>
        <v>1.0553040636075799</v>
      </c>
      <c r="J656" s="2">
        <f t="shared" si="10"/>
        <v>8.0238095238095237</v>
      </c>
      <c r="K656">
        <f>DAY(weather.tbl[[#This Row],[Date]])</f>
        <v>17</v>
      </c>
      <c r="L656">
        <f>MONTH(weather.tbl[[#This Row],[Date]])</f>
        <v>10</v>
      </c>
      <c r="M656">
        <f>YEAR(weather.tbl[[#This Row],[Date]])</f>
        <v>2015</v>
      </c>
    </row>
    <row r="657" spans="1:13" x14ac:dyDescent="0.25">
      <c r="A657" s="1">
        <v>42295</v>
      </c>
      <c r="B657" s="2">
        <v>9.9</v>
      </c>
      <c r="C657" s="2">
        <v>11.7</v>
      </c>
      <c r="D657" s="2">
        <v>9.5</v>
      </c>
      <c r="E657" s="2">
        <v>11.5</v>
      </c>
      <c r="F657" s="2">
        <v>11.1</v>
      </c>
      <c r="G657" s="2">
        <v>10.4</v>
      </c>
      <c r="H657" s="2">
        <f>AVERAGE(weather.tbl[[#This Row],[Estevan]:[Kipling]])</f>
        <v>10.683333333333335</v>
      </c>
      <c r="I657" s="2">
        <f>_xlfn.STDEV.S(weather.tbl[[#This Row],[Estevan]:[Kipling]])</f>
        <v>0.89087971503826824</v>
      </c>
      <c r="J657" s="2">
        <f t="shared" si="10"/>
        <v>7.6333333333333337</v>
      </c>
      <c r="K657">
        <f>DAY(weather.tbl[[#This Row],[Date]])</f>
        <v>18</v>
      </c>
      <c r="L657">
        <f>MONTH(weather.tbl[[#This Row],[Date]])</f>
        <v>10</v>
      </c>
      <c r="M657">
        <f>YEAR(weather.tbl[[#This Row],[Date]])</f>
        <v>2015</v>
      </c>
    </row>
    <row r="658" spans="1:13" x14ac:dyDescent="0.25">
      <c r="A658" s="1">
        <v>42296</v>
      </c>
      <c r="B658" s="2">
        <v>8.6999999999999993</v>
      </c>
      <c r="C658" s="2">
        <v>8.1</v>
      </c>
      <c r="D658" s="2">
        <v>10</v>
      </c>
      <c r="E658" s="2">
        <v>9.8000000000000007</v>
      </c>
      <c r="F658" s="2">
        <v>9.8000000000000007</v>
      </c>
      <c r="G658" s="2">
        <v>9.5</v>
      </c>
      <c r="H658" s="2">
        <f>AVERAGE(weather.tbl[[#This Row],[Estevan]:[Kipling]])</f>
        <v>9.3166666666666647</v>
      </c>
      <c r="I658" s="2">
        <f>_xlfn.STDEV.S(weather.tbl[[#This Row],[Estevan]:[Kipling]])</f>
        <v>0.75210814825174399</v>
      </c>
      <c r="J658" s="2">
        <f t="shared" si="10"/>
        <v>7.7738095238095237</v>
      </c>
      <c r="K658">
        <f>DAY(weather.tbl[[#This Row],[Date]])</f>
        <v>19</v>
      </c>
      <c r="L658">
        <f>MONTH(weather.tbl[[#This Row],[Date]])</f>
        <v>10</v>
      </c>
      <c r="M658">
        <f>YEAR(weather.tbl[[#This Row],[Date]])</f>
        <v>2015</v>
      </c>
    </row>
    <row r="659" spans="1:13" x14ac:dyDescent="0.25">
      <c r="A659" s="1">
        <v>42297</v>
      </c>
      <c r="B659" s="2">
        <v>7.5</v>
      </c>
      <c r="C659" s="2">
        <v>7</v>
      </c>
      <c r="D659" s="2">
        <v>8.3000000000000007</v>
      </c>
      <c r="E659" s="2">
        <v>7.3</v>
      </c>
      <c r="F659" s="2">
        <v>10.6</v>
      </c>
      <c r="G659" s="2">
        <v>6.1</v>
      </c>
      <c r="H659" s="2">
        <f>AVERAGE(weather.tbl[[#This Row],[Estevan]:[Kipling]])</f>
        <v>7.8000000000000007</v>
      </c>
      <c r="I659" s="2">
        <f>_xlfn.STDEV.S(weather.tbl[[#This Row],[Estevan]:[Kipling]])</f>
        <v>1.5466091943344951</v>
      </c>
      <c r="J659" s="2">
        <f t="shared" si="10"/>
        <v>7.6547619047619042</v>
      </c>
      <c r="K659">
        <f>DAY(weather.tbl[[#This Row],[Date]])</f>
        <v>20</v>
      </c>
      <c r="L659">
        <f>MONTH(weather.tbl[[#This Row],[Date]])</f>
        <v>10</v>
      </c>
      <c r="M659">
        <f>YEAR(weather.tbl[[#This Row],[Date]])</f>
        <v>2015</v>
      </c>
    </row>
    <row r="660" spans="1:13" x14ac:dyDescent="0.25">
      <c r="A660" s="1">
        <v>42298</v>
      </c>
      <c r="B660" s="2">
        <v>7.7</v>
      </c>
      <c r="C660" s="2">
        <v>7.6</v>
      </c>
      <c r="D660" s="2">
        <v>7</v>
      </c>
      <c r="E660" s="2">
        <v>8.8000000000000007</v>
      </c>
      <c r="F660" s="2">
        <v>7.2</v>
      </c>
      <c r="G660" s="2">
        <v>6.5</v>
      </c>
      <c r="H660" s="2">
        <f>AVERAGE(weather.tbl[[#This Row],[Estevan]:[Kipling]])</f>
        <v>7.4666666666666677</v>
      </c>
      <c r="I660" s="2">
        <f>_xlfn.STDEV.S(weather.tbl[[#This Row],[Estevan]:[Kipling]])</f>
        <v>0.78400680269157552</v>
      </c>
      <c r="J660" s="2">
        <f t="shared" si="10"/>
        <v>7.4714285714285706</v>
      </c>
      <c r="K660">
        <f>DAY(weather.tbl[[#This Row],[Date]])</f>
        <v>21</v>
      </c>
      <c r="L660">
        <f>MONTH(weather.tbl[[#This Row],[Date]])</f>
        <v>10</v>
      </c>
      <c r="M660">
        <f>YEAR(weather.tbl[[#This Row],[Date]])</f>
        <v>2015</v>
      </c>
    </row>
    <row r="661" spans="1:13" x14ac:dyDescent="0.25">
      <c r="A661" s="1">
        <v>42299</v>
      </c>
      <c r="B661" s="2">
        <v>10.1</v>
      </c>
      <c r="C661" s="2">
        <v>10.8</v>
      </c>
      <c r="D661" s="2">
        <v>7.5</v>
      </c>
      <c r="E661" s="2">
        <v>10</v>
      </c>
      <c r="F661" s="2">
        <v>7.4</v>
      </c>
      <c r="G661" s="2">
        <v>10.199999999999999</v>
      </c>
      <c r="H661" s="2">
        <f>AVERAGE(weather.tbl[[#This Row],[Estevan]:[Kipling]])</f>
        <v>9.3333333333333339</v>
      </c>
      <c r="I661" s="2">
        <f>_xlfn.STDEV.S(weather.tbl[[#This Row],[Estevan]:[Kipling]])</f>
        <v>1.4854853303438109</v>
      </c>
      <c r="J661" s="2">
        <f t="shared" si="10"/>
        <v>7.9904761904761896</v>
      </c>
      <c r="K661">
        <f>DAY(weather.tbl[[#This Row],[Date]])</f>
        <v>22</v>
      </c>
      <c r="L661">
        <f>MONTH(weather.tbl[[#This Row],[Date]])</f>
        <v>10</v>
      </c>
      <c r="M661">
        <f>YEAR(weather.tbl[[#This Row],[Date]])</f>
        <v>2015</v>
      </c>
    </row>
    <row r="662" spans="1:13" x14ac:dyDescent="0.25">
      <c r="A662" s="1">
        <v>42300</v>
      </c>
      <c r="B662" s="2">
        <v>6.6</v>
      </c>
      <c r="C662" s="2">
        <v>6.5</v>
      </c>
      <c r="D662" s="2">
        <v>10</v>
      </c>
      <c r="E662" s="2">
        <v>9</v>
      </c>
      <c r="F662" s="2">
        <v>7.2</v>
      </c>
      <c r="G662" s="2">
        <v>7.1</v>
      </c>
      <c r="H662" s="2">
        <f>AVERAGE(weather.tbl[[#This Row],[Estevan]:[Kipling]])</f>
        <v>7.7333333333333343</v>
      </c>
      <c r="I662" s="2">
        <f>_xlfn.STDEV.S(weather.tbl[[#This Row],[Estevan]:[Kipling]])</f>
        <v>1.4306175822583183</v>
      </c>
      <c r="J662" s="2">
        <f t="shared" si="10"/>
        <v>8.2357142857142858</v>
      </c>
      <c r="K662">
        <f>DAY(weather.tbl[[#This Row],[Date]])</f>
        <v>23</v>
      </c>
      <c r="L662">
        <f>MONTH(weather.tbl[[#This Row],[Date]])</f>
        <v>10</v>
      </c>
      <c r="M662">
        <f>YEAR(weather.tbl[[#This Row],[Date]])</f>
        <v>2015</v>
      </c>
    </row>
    <row r="663" spans="1:13" x14ac:dyDescent="0.25">
      <c r="A663" s="1">
        <v>42301</v>
      </c>
      <c r="B663" s="2">
        <v>6.2</v>
      </c>
      <c r="C663" s="2">
        <v>4.3</v>
      </c>
      <c r="D663" s="2">
        <v>3.8</v>
      </c>
      <c r="E663" s="2">
        <v>6.5</v>
      </c>
      <c r="F663" s="2">
        <v>5.6</v>
      </c>
      <c r="G663" s="2">
        <v>4.5999999999999996</v>
      </c>
      <c r="H663" s="2">
        <f>AVERAGE(weather.tbl[[#This Row],[Estevan]:[Kipling]])</f>
        <v>5.166666666666667</v>
      </c>
      <c r="I663" s="2">
        <f>_xlfn.STDEV.S(weather.tbl[[#This Row],[Estevan]:[Kipling]])</f>
        <v>1.0930080817023569</v>
      </c>
      <c r="J663" s="2">
        <f t="shared" si="10"/>
        <v>8.2142857142857135</v>
      </c>
      <c r="K663">
        <f>DAY(weather.tbl[[#This Row],[Date]])</f>
        <v>24</v>
      </c>
      <c r="L663">
        <f>MONTH(weather.tbl[[#This Row],[Date]])</f>
        <v>10</v>
      </c>
      <c r="M663">
        <f>YEAR(weather.tbl[[#This Row],[Date]])</f>
        <v>2015</v>
      </c>
    </row>
    <row r="664" spans="1:13" x14ac:dyDescent="0.25">
      <c r="A664" s="1">
        <v>42302</v>
      </c>
      <c r="B664" s="2">
        <v>3.4</v>
      </c>
      <c r="C664" s="2">
        <v>3.9</v>
      </c>
      <c r="D664" s="2">
        <v>2.8</v>
      </c>
      <c r="E664" s="2">
        <v>5.3</v>
      </c>
      <c r="F664" s="2">
        <v>1.5</v>
      </c>
      <c r="G664" s="2">
        <v>4</v>
      </c>
      <c r="H664" s="2">
        <f>AVERAGE(weather.tbl[[#This Row],[Estevan]:[Kipling]])</f>
        <v>3.4833333333333329</v>
      </c>
      <c r="I664" s="2">
        <f>_xlfn.STDEV.S(weather.tbl[[#This Row],[Estevan]:[Kipling]])</f>
        <v>1.2765839833973578</v>
      </c>
      <c r="J664" s="2">
        <f t="shared" si="10"/>
        <v>7.1857142857142859</v>
      </c>
      <c r="K664">
        <f>DAY(weather.tbl[[#This Row],[Date]])</f>
        <v>25</v>
      </c>
      <c r="L664">
        <f>MONTH(weather.tbl[[#This Row],[Date]])</f>
        <v>10</v>
      </c>
      <c r="M664">
        <f>YEAR(weather.tbl[[#This Row],[Date]])</f>
        <v>2015</v>
      </c>
    </row>
    <row r="665" spans="1:13" x14ac:dyDescent="0.25">
      <c r="A665" s="1">
        <v>42303</v>
      </c>
      <c r="B665" s="2">
        <v>2.8</v>
      </c>
      <c r="C665" s="2">
        <v>1.9</v>
      </c>
      <c r="D665" s="2">
        <v>3</v>
      </c>
      <c r="E665" s="2">
        <v>3</v>
      </c>
      <c r="F665" s="2">
        <v>3.1</v>
      </c>
      <c r="G665" s="2">
        <v>3.9</v>
      </c>
      <c r="H665" s="2">
        <f>AVERAGE(weather.tbl[[#This Row],[Estevan]:[Kipling]])</f>
        <v>2.9499999999999997</v>
      </c>
      <c r="I665" s="2">
        <f>_xlfn.STDEV.S(weather.tbl[[#This Row],[Estevan]:[Kipling]])</f>
        <v>0.64109281699298537</v>
      </c>
      <c r="J665" s="2">
        <f t="shared" si="10"/>
        <v>6.276190476190477</v>
      </c>
      <c r="K665">
        <f>DAY(weather.tbl[[#This Row],[Date]])</f>
        <v>26</v>
      </c>
      <c r="L665">
        <f>MONTH(weather.tbl[[#This Row],[Date]])</f>
        <v>10</v>
      </c>
      <c r="M665">
        <f>YEAR(weather.tbl[[#This Row],[Date]])</f>
        <v>2015</v>
      </c>
    </row>
    <row r="666" spans="1:13" x14ac:dyDescent="0.25">
      <c r="A666" s="1">
        <v>42304</v>
      </c>
      <c r="B666" s="2">
        <v>3.4</v>
      </c>
      <c r="C666" s="2">
        <v>1.9</v>
      </c>
      <c r="D666" s="2">
        <v>3</v>
      </c>
      <c r="E666" s="2">
        <v>3.8</v>
      </c>
      <c r="F666" s="2">
        <v>4</v>
      </c>
      <c r="G666" s="2">
        <v>2.8</v>
      </c>
      <c r="H666" s="2">
        <f>AVERAGE(weather.tbl[[#This Row],[Estevan]:[Kipling]])</f>
        <v>3.1500000000000004</v>
      </c>
      <c r="I666" s="2">
        <f>_xlfn.STDEV.S(weather.tbl[[#This Row],[Estevan]:[Kipling]])</f>
        <v>0.7635443667528401</v>
      </c>
      <c r="J666" s="2">
        <f t="shared" si="10"/>
        <v>5.6119047619047624</v>
      </c>
      <c r="K666">
        <f>DAY(weather.tbl[[#This Row],[Date]])</f>
        <v>27</v>
      </c>
      <c r="L666">
        <f>MONTH(weather.tbl[[#This Row],[Date]])</f>
        <v>10</v>
      </c>
      <c r="M666">
        <f>YEAR(weather.tbl[[#This Row],[Date]])</f>
        <v>2015</v>
      </c>
    </row>
    <row r="667" spans="1:13" x14ac:dyDescent="0.25">
      <c r="A667" s="1">
        <v>42305</v>
      </c>
      <c r="B667" s="2">
        <v>0.8</v>
      </c>
      <c r="C667" s="2">
        <v>0.8</v>
      </c>
      <c r="D667" s="2">
        <v>3</v>
      </c>
      <c r="E667" s="2">
        <v>0.5</v>
      </c>
      <c r="F667" s="2">
        <v>1</v>
      </c>
      <c r="G667" s="2">
        <v>-1.1000000000000001</v>
      </c>
      <c r="H667" s="2">
        <f>AVERAGE(weather.tbl[[#This Row],[Estevan]:[Kipling]])</f>
        <v>0.83333333333333337</v>
      </c>
      <c r="I667" s="2">
        <f>_xlfn.STDEV.S(weather.tbl[[#This Row],[Estevan]:[Kipling]])</f>
        <v>1.3094528119281987</v>
      </c>
      <c r="J667" s="2">
        <f t="shared" si="10"/>
        <v>4.6642857142857155</v>
      </c>
      <c r="K667">
        <f>DAY(weather.tbl[[#This Row],[Date]])</f>
        <v>28</v>
      </c>
      <c r="L667">
        <f>MONTH(weather.tbl[[#This Row],[Date]])</f>
        <v>10</v>
      </c>
      <c r="M667">
        <f>YEAR(weather.tbl[[#This Row],[Date]])</f>
        <v>2015</v>
      </c>
    </row>
    <row r="668" spans="1:13" x14ac:dyDescent="0.25">
      <c r="A668" s="1">
        <v>42306</v>
      </c>
      <c r="B668" s="2">
        <v>-1.2</v>
      </c>
      <c r="C668" s="2">
        <v>-0.1</v>
      </c>
      <c r="D668" s="2">
        <v>3</v>
      </c>
      <c r="E668" s="2">
        <v>1.5</v>
      </c>
      <c r="F668" s="2">
        <v>-0.5</v>
      </c>
      <c r="G668" s="2">
        <v>-0.7</v>
      </c>
      <c r="H668" s="2">
        <f>AVERAGE(weather.tbl[[#This Row],[Estevan]:[Kipling]])</f>
        <v>0.33333333333333331</v>
      </c>
      <c r="I668" s="2">
        <f>_xlfn.STDEV.S(weather.tbl[[#This Row],[Estevan]:[Kipling]])</f>
        <v>1.5983324643723742</v>
      </c>
      <c r="J668" s="2">
        <f t="shared" si="10"/>
        <v>3.3785714285714286</v>
      </c>
      <c r="K668">
        <f>DAY(weather.tbl[[#This Row],[Date]])</f>
        <v>29</v>
      </c>
      <c r="L668">
        <f>MONTH(weather.tbl[[#This Row],[Date]])</f>
        <v>10</v>
      </c>
      <c r="M668">
        <f>YEAR(weather.tbl[[#This Row],[Date]])</f>
        <v>2015</v>
      </c>
    </row>
    <row r="669" spans="1:13" x14ac:dyDescent="0.25">
      <c r="A669" s="1">
        <v>42307</v>
      </c>
      <c r="B669" s="2">
        <v>5.8</v>
      </c>
      <c r="C669" s="2">
        <v>6.7</v>
      </c>
      <c r="D669" s="2">
        <v>3</v>
      </c>
      <c r="E669" s="2">
        <v>7</v>
      </c>
      <c r="F669" s="2">
        <v>5.8</v>
      </c>
      <c r="G669" s="2">
        <v>5.5</v>
      </c>
      <c r="H669" s="2">
        <f>AVERAGE(weather.tbl[[#This Row],[Estevan]:[Kipling]])</f>
        <v>5.6333333333333329</v>
      </c>
      <c r="I669" s="2">
        <f>_xlfn.STDEV.S(weather.tbl[[#This Row],[Estevan]:[Kipling]])</f>
        <v>1.4151560573543385</v>
      </c>
      <c r="J669" s="2">
        <f t="shared" si="10"/>
        <v>3.0785714285714287</v>
      </c>
      <c r="K669">
        <f>DAY(weather.tbl[[#This Row],[Date]])</f>
        <v>30</v>
      </c>
      <c r="L669">
        <f>MONTH(weather.tbl[[#This Row],[Date]])</f>
        <v>10</v>
      </c>
      <c r="M669">
        <f>YEAR(weather.tbl[[#This Row],[Date]])</f>
        <v>2015</v>
      </c>
    </row>
    <row r="670" spans="1:13" x14ac:dyDescent="0.25">
      <c r="A670" s="1">
        <v>42308</v>
      </c>
      <c r="B670" s="2">
        <v>4.9000000000000004</v>
      </c>
      <c r="C670" s="2">
        <v>5.2</v>
      </c>
      <c r="D670" s="2">
        <v>3</v>
      </c>
      <c r="E670" s="2">
        <v>8</v>
      </c>
      <c r="F670" s="2">
        <v>4.8</v>
      </c>
      <c r="G670" s="2">
        <v>4.4000000000000004</v>
      </c>
      <c r="H670" s="2">
        <f>AVERAGE(weather.tbl[[#This Row],[Estevan]:[Kipling]])</f>
        <v>5.0500000000000007</v>
      </c>
      <c r="I670" s="2">
        <f>_xlfn.STDEV.S(weather.tbl[[#This Row],[Estevan]:[Kipling]])</f>
        <v>1.6392071254115494</v>
      </c>
      <c r="J670" s="2">
        <f t="shared" si="10"/>
        <v>3.0619047619047621</v>
      </c>
      <c r="K670">
        <f>DAY(weather.tbl[[#This Row],[Date]])</f>
        <v>31</v>
      </c>
      <c r="L670">
        <f>MONTH(weather.tbl[[#This Row],[Date]])</f>
        <v>10</v>
      </c>
      <c r="M670">
        <f>YEAR(weather.tbl[[#This Row],[Date]])</f>
        <v>2015</v>
      </c>
    </row>
    <row r="671" spans="1:13" x14ac:dyDescent="0.25">
      <c r="A671" s="1">
        <v>42309</v>
      </c>
      <c r="B671" s="2">
        <v>6</v>
      </c>
      <c r="C671" s="2">
        <v>4.5</v>
      </c>
      <c r="D671" s="2">
        <v>3</v>
      </c>
      <c r="E671" s="2">
        <v>5.3</v>
      </c>
      <c r="F671" s="2">
        <v>7</v>
      </c>
      <c r="G671" s="2">
        <v>4.4000000000000004</v>
      </c>
      <c r="H671" s="2">
        <f>AVERAGE(weather.tbl[[#This Row],[Estevan]:[Kipling]])</f>
        <v>5.0333333333333341</v>
      </c>
      <c r="I671" s="2">
        <f>_xlfn.STDEV.S(weather.tbl[[#This Row],[Estevan]:[Kipling]])</f>
        <v>1.3923601066773874</v>
      </c>
      <c r="J671" s="2">
        <f t="shared" si="10"/>
        <v>3.2833333333333337</v>
      </c>
      <c r="K671">
        <f>DAY(weather.tbl[[#This Row],[Date]])</f>
        <v>1</v>
      </c>
      <c r="L671">
        <f>MONTH(weather.tbl[[#This Row],[Date]])</f>
        <v>11</v>
      </c>
      <c r="M671">
        <f>YEAR(weather.tbl[[#This Row],[Date]])</f>
        <v>2015</v>
      </c>
    </row>
    <row r="672" spans="1:13" x14ac:dyDescent="0.25">
      <c r="A672" s="1">
        <v>42310</v>
      </c>
      <c r="B672" s="2">
        <v>1.7</v>
      </c>
      <c r="C672" s="2">
        <v>0.8</v>
      </c>
      <c r="D672" s="2">
        <v>3</v>
      </c>
      <c r="E672" s="2">
        <v>1.5</v>
      </c>
      <c r="F672" s="2">
        <v>4.4000000000000004</v>
      </c>
      <c r="G672" s="2">
        <v>2.9</v>
      </c>
      <c r="H672" s="2">
        <f>AVERAGE(weather.tbl[[#This Row],[Estevan]:[Kipling]])</f>
        <v>2.3833333333333333</v>
      </c>
      <c r="I672" s="2">
        <f>_xlfn.STDEV.S(weather.tbl[[#This Row],[Estevan]:[Kipling]])</f>
        <v>1.3014094923069623</v>
      </c>
      <c r="J672" s="2">
        <f t="shared" si="10"/>
        <v>3.2023809523809526</v>
      </c>
      <c r="K672">
        <f>DAY(weather.tbl[[#This Row],[Date]])</f>
        <v>2</v>
      </c>
      <c r="L672">
        <f>MONTH(weather.tbl[[#This Row],[Date]])</f>
        <v>11</v>
      </c>
      <c r="M672">
        <f>YEAR(weather.tbl[[#This Row],[Date]])</f>
        <v>2015</v>
      </c>
    </row>
    <row r="673" spans="1:13" x14ac:dyDescent="0.25">
      <c r="A673" s="1">
        <v>42311</v>
      </c>
      <c r="B673" s="2">
        <v>3.1</v>
      </c>
      <c r="C673" s="2">
        <v>2.8</v>
      </c>
      <c r="D673" s="2">
        <v>3</v>
      </c>
      <c r="E673" s="2">
        <v>3.5</v>
      </c>
      <c r="F673" s="2">
        <v>3</v>
      </c>
      <c r="G673" s="2">
        <v>2</v>
      </c>
      <c r="H673" s="2">
        <f>AVERAGE(weather.tbl[[#This Row],[Estevan]:[Kipling]])</f>
        <v>2.9</v>
      </c>
      <c r="I673" s="2">
        <f>_xlfn.STDEV.S(weather.tbl[[#This Row],[Estevan]:[Kipling]])</f>
        <v>0.49799598391955258</v>
      </c>
      <c r="J673" s="2">
        <f t="shared" si="10"/>
        <v>3.166666666666667</v>
      </c>
      <c r="K673">
        <f>DAY(weather.tbl[[#This Row],[Date]])</f>
        <v>3</v>
      </c>
      <c r="L673">
        <f>MONTH(weather.tbl[[#This Row],[Date]])</f>
        <v>11</v>
      </c>
      <c r="M673">
        <f>YEAR(weather.tbl[[#This Row],[Date]])</f>
        <v>2015</v>
      </c>
    </row>
    <row r="674" spans="1:13" x14ac:dyDescent="0.25">
      <c r="A674" s="1">
        <v>42312</v>
      </c>
      <c r="B674" s="2">
        <v>1.5</v>
      </c>
      <c r="C674" s="2">
        <v>1.4</v>
      </c>
      <c r="D674" s="2">
        <v>3</v>
      </c>
      <c r="E674" s="2">
        <v>2.5</v>
      </c>
      <c r="F674" s="2">
        <v>2.6</v>
      </c>
      <c r="G674" s="2">
        <v>0.3</v>
      </c>
      <c r="H674" s="2">
        <f>AVERAGE(weather.tbl[[#This Row],[Estevan]:[Kipling]])</f>
        <v>1.8833333333333335</v>
      </c>
      <c r="I674" s="2">
        <f>_xlfn.STDEV.S(weather.tbl[[#This Row],[Estevan]:[Kipling]])</f>
        <v>1.0028293307770104</v>
      </c>
      <c r="J674" s="2">
        <f t="shared" si="10"/>
        <v>3.3166666666666664</v>
      </c>
      <c r="K674">
        <f>DAY(weather.tbl[[#This Row],[Date]])</f>
        <v>4</v>
      </c>
      <c r="L674">
        <f>MONTH(weather.tbl[[#This Row],[Date]])</f>
        <v>11</v>
      </c>
      <c r="M674">
        <f>YEAR(weather.tbl[[#This Row],[Date]])</f>
        <v>2015</v>
      </c>
    </row>
    <row r="675" spans="1:13" x14ac:dyDescent="0.25">
      <c r="A675" s="1">
        <v>42313</v>
      </c>
      <c r="B675" s="2">
        <v>1.4</v>
      </c>
      <c r="C675" s="2">
        <v>1.5</v>
      </c>
      <c r="D675" s="2">
        <v>3</v>
      </c>
      <c r="E675" s="2">
        <v>2.5</v>
      </c>
      <c r="F675" s="2">
        <v>1.8</v>
      </c>
      <c r="G675" s="2">
        <v>0.4</v>
      </c>
      <c r="H675" s="2">
        <f>AVERAGE(weather.tbl[[#This Row],[Estevan]:[Kipling]])</f>
        <v>1.7666666666666668</v>
      </c>
      <c r="I675" s="2">
        <f>_xlfn.STDEV.S(weather.tbl[[#This Row],[Estevan]:[Kipling]])</f>
        <v>0.90921211313239036</v>
      </c>
      <c r="J675" s="2">
        <f t="shared" si="10"/>
        <v>3.5214285714285714</v>
      </c>
      <c r="K675">
        <f>DAY(weather.tbl[[#This Row],[Date]])</f>
        <v>5</v>
      </c>
      <c r="L675">
        <f>MONTH(weather.tbl[[#This Row],[Date]])</f>
        <v>11</v>
      </c>
      <c r="M675">
        <f>YEAR(weather.tbl[[#This Row],[Date]])</f>
        <v>2015</v>
      </c>
    </row>
    <row r="676" spans="1:13" x14ac:dyDescent="0.25">
      <c r="A676" s="1">
        <v>42314</v>
      </c>
      <c r="B676" s="2">
        <v>-0.3</v>
      </c>
      <c r="C676" s="2">
        <v>-1.1000000000000001</v>
      </c>
      <c r="D676" s="2">
        <v>3</v>
      </c>
      <c r="E676" s="2">
        <v>2</v>
      </c>
      <c r="F676" s="2">
        <v>-1.1000000000000001</v>
      </c>
      <c r="G676" s="2">
        <v>-0.5</v>
      </c>
      <c r="H676" s="2">
        <f>AVERAGE(weather.tbl[[#This Row],[Estevan]:[Kipling]])</f>
        <v>0.33333333333333326</v>
      </c>
      <c r="I676" s="2">
        <f>_xlfn.STDEV.S(weather.tbl[[#This Row],[Estevan]:[Kipling]])</f>
        <v>1.7374310537879387</v>
      </c>
      <c r="J676" s="2">
        <f t="shared" si="10"/>
        <v>2.7642857142857147</v>
      </c>
      <c r="K676">
        <f>DAY(weather.tbl[[#This Row],[Date]])</f>
        <v>6</v>
      </c>
      <c r="L676">
        <f>MONTH(weather.tbl[[#This Row],[Date]])</f>
        <v>11</v>
      </c>
      <c r="M676">
        <f>YEAR(weather.tbl[[#This Row],[Date]])</f>
        <v>2015</v>
      </c>
    </row>
    <row r="677" spans="1:13" x14ac:dyDescent="0.25">
      <c r="A677" s="1">
        <v>42315</v>
      </c>
      <c r="B677" s="2">
        <v>2.2999999999999998</v>
      </c>
      <c r="C677" s="2">
        <v>2</v>
      </c>
      <c r="D677" s="2">
        <v>3</v>
      </c>
      <c r="E677" s="2">
        <v>3</v>
      </c>
      <c r="F677" s="2">
        <v>2.2000000000000002</v>
      </c>
      <c r="G677" s="2">
        <v>0.7</v>
      </c>
      <c r="H677" s="2">
        <f>AVERAGE(weather.tbl[[#This Row],[Estevan]:[Kipling]])</f>
        <v>2.1999999999999997</v>
      </c>
      <c r="I677" s="2">
        <f>_xlfn.STDEV.S(weather.tbl[[#This Row],[Estevan]:[Kipling]])</f>
        <v>0.84616783205224821</v>
      </c>
      <c r="J677" s="2">
        <f t="shared" si="10"/>
        <v>2.3571428571428577</v>
      </c>
      <c r="K677">
        <f>DAY(weather.tbl[[#This Row],[Date]])</f>
        <v>7</v>
      </c>
      <c r="L677">
        <f>MONTH(weather.tbl[[#This Row],[Date]])</f>
        <v>11</v>
      </c>
      <c r="M677">
        <f>YEAR(weather.tbl[[#This Row],[Date]])</f>
        <v>2015</v>
      </c>
    </row>
    <row r="678" spans="1:13" x14ac:dyDescent="0.25">
      <c r="A678" s="1">
        <v>42316</v>
      </c>
      <c r="B678" s="2">
        <v>6.7</v>
      </c>
      <c r="C678" s="2">
        <v>6.5</v>
      </c>
      <c r="D678" s="2">
        <v>3</v>
      </c>
      <c r="E678" s="2">
        <v>8.3000000000000007</v>
      </c>
      <c r="F678" s="2">
        <v>6.2</v>
      </c>
      <c r="G678" s="2">
        <v>7.1</v>
      </c>
      <c r="H678" s="2">
        <f>AVERAGE(weather.tbl[[#This Row],[Estevan]:[Kipling]])</f>
        <v>6.3</v>
      </c>
      <c r="I678" s="2">
        <f>_xlfn.STDEV.S(weather.tbl[[#This Row],[Estevan]:[Kipling]])</f>
        <v>1.7742604092973537</v>
      </c>
      <c r="J678" s="2">
        <f t="shared" si="10"/>
        <v>2.538095238095238</v>
      </c>
      <c r="K678">
        <f>DAY(weather.tbl[[#This Row],[Date]])</f>
        <v>8</v>
      </c>
      <c r="L678">
        <f>MONTH(weather.tbl[[#This Row],[Date]])</f>
        <v>11</v>
      </c>
      <c r="M678">
        <f>YEAR(weather.tbl[[#This Row],[Date]])</f>
        <v>2015</v>
      </c>
    </row>
    <row r="679" spans="1:13" x14ac:dyDescent="0.25">
      <c r="A679" s="1">
        <v>42317</v>
      </c>
      <c r="B679" s="2">
        <v>3.3</v>
      </c>
      <c r="C679" s="2">
        <v>1.9</v>
      </c>
      <c r="D679" s="2">
        <v>3</v>
      </c>
      <c r="E679" s="2">
        <v>1</v>
      </c>
      <c r="F679" s="2">
        <v>5.0999999999999996</v>
      </c>
      <c r="G679" s="2">
        <v>4.8</v>
      </c>
      <c r="H679" s="2">
        <f>AVERAGE(weather.tbl[[#This Row],[Estevan]:[Kipling]])</f>
        <v>3.1833333333333331</v>
      </c>
      <c r="I679" s="2">
        <f>_xlfn.STDEV.S(weather.tbl[[#This Row],[Estevan]:[Kipling]])</f>
        <v>1.5967675681409201</v>
      </c>
      <c r="J679" s="2">
        <f t="shared" si="10"/>
        <v>2.6523809523809523</v>
      </c>
      <c r="K679">
        <f>DAY(weather.tbl[[#This Row],[Date]])</f>
        <v>9</v>
      </c>
      <c r="L679">
        <f>MONTH(weather.tbl[[#This Row],[Date]])</f>
        <v>11</v>
      </c>
      <c r="M679">
        <f>YEAR(weather.tbl[[#This Row],[Date]])</f>
        <v>2015</v>
      </c>
    </row>
    <row r="680" spans="1:13" x14ac:dyDescent="0.25">
      <c r="A680" s="1">
        <v>42318</v>
      </c>
      <c r="B680" s="2">
        <v>0.9</v>
      </c>
      <c r="C680" s="2">
        <v>0.6</v>
      </c>
      <c r="D680" s="2">
        <v>3</v>
      </c>
      <c r="E680" s="2">
        <v>0.8</v>
      </c>
      <c r="F680" s="2">
        <v>1.6</v>
      </c>
      <c r="G680" s="2">
        <v>0</v>
      </c>
      <c r="H680" s="2">
        <f>AVERAGE(weather.tbl[[#This Row],[Estevan]:[Kipling]])</f>
        <v>1.1500000000000001</v>
      </c>
      <c r="I680" s="2">
        <f>_xlfn.STDEV.S(weather.tbl[[#This Row],[Estevan]:[Kipling]])</f>
        <v>1.0425929215182692</v>
      </c>
      <c r="J680" s="2">
        <f t="shared" si="10"/>
        <v>2.4023809523809523</v>
      </c>
      <c r="K680">
        <f>DAY(weather.tbl[[#This Row],[Date]])</f>
        <v>10</v>
      </c>
      <c r="L680">
        <f>MONTH(weather.tbl[[#This Row],[Date]])</f>
        <v>11</v>
      </c>
      <c r="M680">
        <f>YEAR(weather.tbl[[#This Row],[Date]])</f>
        <v>2015</v>
      </c>
    </row>
    <row r="681" spans="1:13" x14ac:dyDescent="0.25">
      <c r="A681" s="1">
        <v>42319</v>
      </c>
      <c r="B681" s="2">
        <v>-0.3</v>
      </c>
      <c r="C681" s="2">
        <v>0.8</v>
      </c>
      <c r="D681" s="2">
        <v>3</v>
      </c>
      <c r="E681" s="2">
        <v>2</v>
      </c>
      <c r="F681" s="2">
        <v>0.8</v>
      </c>
      <c r="G681" s="2">
        <v>-0.8</v>
      </c>
      <c r="H681" s="2">
        <f>AVERAGE(weather.tbl[[#This Row],[Estevan]:[Kipling]])</f>
        <v>0.91666666666666663</v>
      </c>
      <c r="I681" s="2">
        <f>_xlfn.STDEV.S(weather.tbl[[#This Row],[Estevan]:[Kipling]])</f>
        <v>1.4119726154096144</v>
      </c>
      <c r="J681" s="2">
        <f t="shared" si="10"/>
        <v>2.2642857142857142</v>
      </c>
      <c r="K681">
        <f>DAY(weather.tbl[[#This Row],[Date]])</f>
        <v>11</v>
      </c>
      <c r="L681">
        <f>MONTH(weather.tbl[[#This Row],[Date]])</f>
        <v>11</v>
      </c>
      <c r="M681">
        <f>YEAR(weather.tbl[[#This Row],[Date]])</f>
        <v>2015</v>
      </c>
    </row>
    <row r="682" spans="1:13" x14ac:dyDescent="0.25">
      <c r="A682" s="1">
        <v>42320</v>
      </c>
      <c r="B682" s="2">
        <v>-0.3</v>
      </c>
      <c r="C682" s="2">
        <v>-1.6</v>
      </c>
      <c r="D682" s="2">
        <v>3</v>
      </c>
      <c r="E682" s="2">
        <v>-0.3</v>
      </c>
      <c r="F682" s="2">
        <v>0.3</v>
      </c>
      <c r="G682" s="2">
        <v>-0.6</v>
      </c>
      <c r="H682" s="2">
        <f>AVERAGE(weather.tbl[[#This Row],[Estevan]:[Kipling]])</f>
        <v>8.3333333333333315E-2</v>
      </c>
      <c r="I682" s="2">
        <f>_xlfn.STDEV.S(weather.tbl[[#This Row],[Estevan]:[Kipling]])</f>
        <v>1.5587388064286674</v>
      </c>
      <c r="J682" s="2">
        <f t="shared" si="10"/>
        <v>2.0238095238095237</v>
      </c>
      <c r="K682">
        <f>DAY(weather.tbl[[#This Row],[Date]])</f>
        <v>12</v>
      </c>
      <c r="L682">
        <f>MONTH(weather.tbl[[#This Row],[Date]])</f>
        <v>11</v>
      </c>
      <c r="M682">
        <f>YEAR(weather.tbl[[#This Row],[Date]])</f>
        <v>2015</v>
      </c>
    </row>
    <row r="683" spans="1:13" x14ac:dyDescent="0.25">
      <c r="A683" s="1">
        <v>42321</v>
      </c>
      <c r="B683" s="2">
        <v>1.8</v>
      </c>
      <c r="C683" s="2">
        <v>1.5</v>
      </c>
      <c r="D683" s="2">
        <v>3</v>
      </c>
      <c r="E683" s="2">
        <v>1.3</v>
      </c>
      <c r="F683" s="2">
        <v>0.4</v>
      </c>
      <c r="G683" s="2">
        <v>0.2</v>
      </c>
      <c r="H683" s="2">
        <f>AVERAGE(weather.tbl[[#This Row],[Estevan]:[Kipling]])</f>
        <v>1.3666666666666665</v>
      </c>
      <c r="I683" s="2">
        <f>_xlfn.STDEV.S(weather.tbl[[#This Row],[Estevan]:[Kipling]])</f>
        <v>1.0171856598805682</v>
      </c>
      <c r="J683" s="2">
        <f t="shared" si="10"/>
        <v>2.1714285714285717</v>
      </c>
      <c r="K683">
        <f>DAY(weather.tbl[[#This Row],[Date]])</f>
        <v>13</v>
      </c>
      <c r="L683">
        <f>MONTH(weather.tbl[[#This Row],[Date]])</f>
        <v>11</v>
      </c>
      <c r="M683">
        <f>YEAR(weather.tbl[[#This Row],[Date]])</f>
        <v>2015</v>
      </c>
    </row>
    <row r="684" spans="1:13" x14ac:dyDescent="0.25">
      <c r="A684" s="1">
        <v>42322</v>
      </c>
      <c r="B684" s="2">
        <v>5.8</v>
      </c>
      <c r="C684" s="2">
        <v>4.5999999999999996</v>
      </c>
      <c r="D684" s="2">
        <v>6</v>
      </c>
      <c r="E684" s="2">
        <v>5.5</v>
      </c>
      <c r="F684" s="2">
        <v>5.5</v>
      </c>
      <c r="G684" s="2">
        <v>4.3</v>
      </c>
      <c r="H684" s="2">
        <f>AVERAGE(weather.tbl[[#This Row],[Estevan]:[Kipling]])</f>
        <v>5.2833333333333332</v>
      </c>
      <c r="I684" s="2">
        <f>_xlfn.STDEV.S(weather.tbl[[#This Row],[Estevan]:[Kipling]])</f>
        <v>0.67946057035465501</v>
      </c>
      <c r="J684" s="2">
        <f t="shared" si="10"/>
        <v>2.6119047619047615</v>
      </c>
      <c r="K684">
        <f>DAY(weather.tbl[[#This Row],[Date]])</f>
        <v>14</v>
      </c>
      <c r="L684">
        <f>MONTH(weather.tbl[[#This Row],[Date]])</f>
        <v>11</v>
      </c>
      <c r="M684">
        <f>YEAR(weather.tbl[[#This Row],[Date]])</f>
        <v>2015</v>
      </c>
    </row>
    <row r="685" spans="1:13" x14ac:dyDescent="0.25">
      <c r="A685" s="1">
        <v>42323</v>
      </c>
      <c r="B685" s="2">
        <v>5</v>
      </c>
      <c r="C685" s="2">
        <v>5.6</v>
      </c>
      <c r="D685" s="2">
        <v>5</v>
      </c>
      <c r="E685" s="2">
        <v>5</v>
      </c>
      <c r="F685" s="2">
        <v>6</v>
      </c>
      <c r="G685" s="2">
        <v>4.5</v>
      </c>
      <c r="H685" s="2">
        <f>AVERAGE(weather.tbl[[#This Row],[Estevan]:[Kipling]])</f>
        <v>5.1833333333333336</v>
      </c>
      <c r="I685" s="2">
        <f>_xlfn.STDEV.S(weather.tbl[[#This Row],[Estevan]:[Kipling]])</f>
        <v>0.53072277760302189</v>
      </c>
      <c r="J685" s="2">
        <f t="shared" si="10"/>
        <v>2.4523809523809521</v>
      </c>
      <c r="K685">
        <f>DAY(weather.tbl[[#This Row],[Date]])</f>
        <v>15</v>
      </c>
      <c r="L685">
        <f>MONTH(weather.tbl[[#This Row],[Date]])</f>
        <v>11</v>
      </c>
      <c r="M685">
        <f>YEAR(weather.tbl[[#This Row],[Date]])</f>
        <v>2015</v>
      </c>
    </row>
    <row r="686" spans="1:13" x14ac:dyDescent="0.25">
      <c r="A686" s="1">
        <v>42324</v>
      </c>
      <c r="B686" s="2">
        <v>2.2999999999999998</v>
      </c>
      <c r="C686" s="2">
        <v>0.8</v>
      </c>
      <c r="D686" s="2">
        <v>2.8</v>
      </c>
      <c r="E686" s="2">
        <v>0</v>
      </c>
      <c r="F686" s="2">
        <v>4.5999999999999996</v>
      </c>
      <c r="G686" s="2">
        <v>2.6</v>
      </c>
      <c r="H686" s="2">
        <f>AVERAGE(weather.tbl[[#This Row],[Estevan]:[Kipling]])</f>
        <v>2.1833333333333331</v>
      </c>
      <c r="I686" s="2">
        <f>_xlfn.STDEV.S(weather.tbl[[#This Row],[Estevan]:[Kipling]])</f>
        <v>1.6179204760020394</v>
      </c>
      <c r="J686" s="2">
        <f t="shared" si="10"/>
        <v>2.3095238095238098</v>
      </c>
      <c r="K686">
        <f>DAY(weather.tbl[[#This Row],[Date]])</f>
        <v>16</v>
      </c>
      <c r="L686">
        <f>MONTH(weather.tbl[[#This Row],[Date]])</f>
        <v>11</v>
      </c>
      <c r="M686">
        <f>YEAR(weather.tbl[[#This Row],[Date]])</f>
        <v>2015</v>
      </c>
    </row>
    <row r="687" spans="1:13" x14ac:dyDescent="0.25">
      <c r="A687" s="1">
        <v>42325</v>
      </c>
      <c r="B687" s="2">
        <v>-1.5</v>
      </c>
      <c r="C687" s="2">
        <v>-1.2</v>
      </c>
      <c r="D687" s="2">
        <v>-1</v>
      </c>
      <c r="E687" s="2">
        <v>2.5</v>
      </c>
      <c r="F687" s="2">
        <v>0.4</v>
      </c>
      <c r="G687" s="2">
        <v>-1.5</v>
      </c>
      <c r="H687" s="2">
        <f>AVERAGE(weather.tbl[[#This Row],[Estevan]:[Kipling]])</f>
        <v>-0.38333333333333336</v>
      </c>
      <c r="I687" s="2">
        <f>_xlfn.STDEV.S(weather.tbl[[#This Row],[Estevan]:[Kipling]])</f>
        <v>1.5791347841988241</v>
      </c>
      <c r="J687" s="2">
        <f t="shared" si="10"/>
        <v>2.0904761904761906</v>
      </c>
      <c r="K687">
        <f>DAY(weather.tbl[[#This Row],[Date]])</f>
        <v>17</v>
      </c>
      <c r="L687">
        <f>MONTH(weather.tbl[[#This Row],[Date]])</f>
        <v>11</v>
      </c>
      <c r="M687">
        <f>YEAR(weather.tbl[[#This Row],[Date]])</f>
        <v>2015</v>
      </c>
    </row>
    <row r="688" spans="1:13" x14ac:dyDescent="0.25">
      <c r="A688" s="1">
        <v>42326</v>
      </c>
      <c r="B688" s="2">
        <v>-1.6</v>
      </c>
      <c r="C688" s="2">
        <v>-1.5</v>
      </c>
      <c r="D688" s="2">
        <v>-3.3</v>
      </c>
      <c r="E688" s="2">
        <v>-2</v>
      </c>
      <c r="F688" s="2">
        <v>0.4</v>
      </c>
      <c r="G688" s="2">
        <v>-2.5</v>
      </c>
      <c r="H688" s="2">
        <f>AVERAGE(weather.tbl[[#This Row],[Estevan]:[Kipling]])</f>
        <v>-1.75</v>
      </c>
      <c r="I688" s="2">
        <f>_xlfn.STDEV.S(weather.tbl[[#This Row],[Estevan]:[Kipling]])</f>
        <v>1.2437845472588891</v>
      </c>
      <c r="J688" s="2">
        <f t="shared" si="10"/>
        <v>1.7095238095238094</v>
      </c>
      <c r="K688">
        <f>DAY(weather.tbl[[#This Row],[Date]])</f>
        <v>18</v>
      </c>
      <c r="L688">
        <f>MONTH(weather.tbl[[#This Row],[Date]])</f>
        <v>11</v>
      </c>
      <c r="M688">
        <f>YEAR(weather.tbl[[#This Row],[Date]])</f>
        <v>2015</v>
      </c>
    </row>
    <row r="689" spans="1:13" x14ac:dyDescent="0.25">
      <c r="A689" s="1">
        <v>42327</v>
      </c>
      <c r="B689" s="2">
        <v>-7</v>
      </c>
      <c r="C689" s="2">
        <v>-7.6</v>
      </c>
      <c r="D689" s="2">
        <v>-6.8</v>
      </c>
      <c r="E689" s="2">
        <v>-7</v>
      </c>
      <c r="F689" s="2">
        <v>-8.1999999999999993</v>
      </c>
      <c r="G689" s="2">
        <v>-10.4</v>
      </c>
      <c r="H689" s="2">
        <f>AVERAGE(weather.tbl[[#This Row],[Estevan]:[Kipling]])</f>
        <v>-7.8333333333333321</v>
      </c>
      <c r="I689" s="2">
        <f>_xlfn.STDEV.S(weather.tbl[[#This Row],[Estevan]:[Kipling]])</f>
        <v>1.35892114070931</v>
      </c>
      <c r="J689" s="2">
        <f t="shared" si="10"/>
        <v>0.57857142857142863</v>
      </c>
      <c r="K689">
        <f>DAY(weather.tbl[[#This Row],[Date]])</f>
        <v>19</v>
      </c>
      <c r="L689">
        <f>MONTH(weather.tbl[[#This Row],[Date]])</f>
        <v>11</v>
      </c>
      <c r="M689">
        <f>YEAR(weather.tbl[[#This Row],[Date]])</f>
        <v>2015</v>
      </c>
    </row>
    <row r="690" spans="1:13" x14ac:dyDescent="0.25">
      <c r="A690" s="1">
        <v>42328</v>
      </c>
      <c r="B690" s="2">
        <v>-9</v>
      </c>
      <c r="C690" s="2">
        <v>-9.6999999999999993</v>
      </c>
      <c r="D690" s="2">
        <v>-9.3000000000000007</v>
      </c>
      <c r="E690" s="2">
        <v>-8.5</v>
      </c>
      <c r="F690" s="2">
        <v>-9</v>
      </c>
      <c r="G690" s="2">
        <v>-11.3</v>
      </c>
      <c r="H690" s="2">
        <f>AVERAGE(weather.tbl[[#This Row],[Estevan]:[Kipling]])</f>
        <v>-9.4666666666666668</v>
      </c>
      <c r="I690" s="2">
        <f>_xlfn.STDEV.S(weather.tbl[[#This Row],[Estevan]:[Kipling]])</f>
        <v>0.98115578103921242</v>
      </c>
      <c r="J690" s="2">
        <f t="shared" si="10"/>
        <v>-0.96904761904761882</v>
      </c>
      <c r="K690">
        <f>DAY(weather.tbl[[#This Row],[Date]])</f>
        <v>20</v>
      </c>
      <c r="L690">
        <f>MONTH(weather.tbl[[#This Row],[Date]])</f>
        <v>11</v>
      </c>
      <c r="M690">
        <f>YEAR(weather.tbl[[#This Row],[Date]])</f>
        <v>2015</v>
      </c>
    </row>
    <row r="691" spans="1:13" x14ac:dyDescent="0.25">
      <c r="A691" s="1">
        <v>42329</v>
      </c>
      <c r="B691" s="2">
        <v>-7.7</v>
      </c>
      <c r="C691" s="2">
        <v>-6.3</v>
      </c>
      <c r="D691" s="2">
        <v>-7.5</v>
      </c>
      <c r="E691" s="2">
        <v>-5</v>
      </c>
      <c r="F691" s="2">
        <v>-6.9</v>
      </c>
      <c r="G691" s="2">
        <v>-8.4</v>
      </c>
      <c r="H691" s="2">
        <f>AVERAGE(weather.tbl[[#This Row],[Estevan]:[Kipling]])</f>
        <v>-6.9666666666666659</v>
      </c>
      <c r="I691" s="2">
        <f>_xlfn.STDEV.S(weather.tbl[[#This Row],[Estevan]:[Kipling]])</f>
        <v>1.1994443157840537</v>
      </c>
      <c r="J691" s="2">
        <f t="shared" si="10"/>
        <v>-2.7190476190476187</v>
      </c>
      <c r="K691">
        <f>DAY(weather.tbl[[#This Row],[Date]])</f>
        <v>21</v>
      </c>
      <c r="L691">
        <f>MONTH(weather.tbl[[#This Row],[Date]])</f>
        <v>11</v>
      </c>
      <c r="M691">
        <f>YEAR(weather.tbl[[#This Row],[Date]])</f>
        <v>2015</v>
      </c>
    </row>
    <row r="692" spans="1:13" x14ac:dyDescent="0.25">
      <c r="A692" s="1">
        <v>42330</v>
      </c>
      <c r="B692" s="2">
        <v>2</v>
      </c>
      <c r="C692" s="2">
        <v>2.7</v>
      </c>
      <c r="D692" s="2">
        <v>-1.5</v>
      </c>
      <c r="E692" s="2">
        <v>0.8</v>
      </c>
      <c r="F692" s="2">
        <v>-0.6</v>
      </c>
      <c r="G692" s="2">
        <v>-1.3</v>
      </c>
      <c r="H692" s="2">
        <f>AVERAGE(weather.tbl[[#This Row],[Estevan]:[Kipling]])</f>
        <v>0.34999999999999992</v>
      </c>
      <c r="I692" s="2">
        <f>_xlfn.STDEV.S(weather.tbl[[#This Row],[Estevan]:[Kipling]])</f>
        <v>1.760397682343396</v>
      </c>
      <c r="J692" s="2">
        <f t="shared" si="10"/>
        <v>-3.409523809523809</v>
      </c>
      <c r="K692">
        <f>DAY(weather.tbl[[#This Row],[Date]])</f>
        <v>22</v>
      </c>
      <c r="L692">
        <f>MONTH(weather.tbl[[#This Row],[Date]])</f>
        <v>11</v>
      </c>
      <c r="M692">
        <f>YEAR(weather.tbl[[#This Row],[Date]])</f>
        <v>2015</v>
      </c>
    </row>
    <row r="693" spans="1:13" x14ac:dyDescent="0.25">
      <c r="A693" s="1">
        <v>42331</v>
      </c>
      <c r="B693" s="2">
        <v>-2.6</v>
      </c>
      <c r="C693" s="2">
        <v>-3.3</v>
      </c>
      <c r="D693" s="2">
        <v>-2</v>
      </c>
      <c r="E693" s="2">
        <v>-2</v>
      </c>
      <c r="F693" s="2">
        <v>-0.1</v>
      </c>
      <c r="G693" s="2">
        <v>-1.9</v>
      </c>
      <c r="H693" s="2">
        <f>AVERAGE(weather.tbl[[#This Row],[Estevan]:[Kipling]])</f>
        <v>-1.9833333333333334</v>
      </c>
      <c r="I693" s="2">
        <f>_xlfn.STDEV.S(weather.tbl[[#This Row],[Estevan]:[Kipling]])</f>
        <v>1.0647378394077416</v>
      </c>
      <c r="J693" s="2">
        <f t="shared" si="10"/>
        <v>-4.0047619047619039</v>
      </c>
      <c r="K693">
        <f>DAY(weather.tbl[[#This Row],[Date]])</f>
        <v>23</v>
      </c>
      <c r="L693">
        <f>MONTH(weather.tbl[[#This Row],[Date]])</f>
        <v>11</v>
      </c>
      <c r="M693">
        <f>YEAR(weather.tbl[[#This Row],[Date]])</f>
        <v>2015</v>
      </c>
    </row>
    <row r="694" spans="1:13" x14ac:dyDescent="0.25">
      <c r="A694" s="1">
        <v>42332</v>
      </c>
      <c r="B694" s="2">
        <v>-1.5</v>
      </c>
      <c r="C694" s="2">
        <v>-0.7</v>
      </c>
      <c r="D694" s="2">
        <v>-2.5</v>
      </c>
      <c r="E694" s="2">
        <v>-1.5</v>
      </c>
      <c r="F694" s="2">
        <v>0</v>
      </c>
      <c r="G694" s="2">
        <v>-1.6</v>
      </c>
      <c r="H694" s="2">
        <f>AVERAGE(weather.tbl[[#This Row],[Estevan]:[Kipling]])</f>
        <v>-1.3</v>
      </c>
      <c r="I694" s="2">
        <f>_xlfn.STDEV.S(weather.tbl[[#This Row],[Estevan]:[Kipling]])</f>
        <v>0.85556998544829732</v>
      </c>
      <c r="J694" s="2">
        <f t="shared" si="10"/>
        <v>-4.1357142857142852</v>
      </c>
      <c r="K694">
        <f>DAY(weather.tbl[[#This Row],[Date]])</f>
        <v>24</v>
      </c>
      <c r="L694">
        <f>MONTH(weather.tbl[[#This Row],[Date]])</f>
        <v>11</v>
      </c>
      <c r="M694">
        <f>YEAR(weather.tbl[[#This Row],[Date]])</f>
        <v>2015</v>
      </c>
    </row>
    <row r="695" spans="1:13" x14ac:dyDescent="0.25">
      <c r="A695" s="1">
        <v>42333</v>
      </c>
      <c r="B695" s="2">
        <v>-8</v>
      </c>
      <c r="C695" s="2">
        <v>-7.8</v>
      </c>
      <c r="D695" s="2">
        <v>-7.8</v>
      </c>
      <c r="E695" s="2">
        <v>-9</v>
      </c>
      <c r="F695" s="2">
        <v>-9.6</v>
      </c>
      <c r="G695" s="2">
        <v>-9.3000000000000007</v>
      </c>
      <c r="H695" s="2">
        <f>AVERAGE(weather.tbl[[#This Row],[Estevan]:[Kipling]])</f>
        <v>-8.5833333333333339</v>
      </c>
      <c r="I695" s="2">
        <f>_xlfn.STDEV.S(weather.tbl[[#This Row],[Estevan]:[Kipling]])</f>
        <v>0.81096650156875583</v>
      </c>
      <c r="J695" s="2">
        <f t="shared" si="10"/>
        <v>-5.1119047619047615</v>
      </c>
      <c r="K695">
        <f>DAY(weather.tbl[[#This Row],[Date]])</f>
        <v>25</v>
      </c>
      <c r="L695">
        <f>MONTH(weather.tbl[[#This Row],[Date]])</f>
        <v>11</v>
      </c>
      <c r="M695">
        <f>YEAR(weather.tbl[[#This Row],[Date]])</f>
        <v>2015</v>
      </c>
    </row>
    <row r="696" spans="1:13" x14ac:dyDescent="0.25">
      <c r="A696" s="1">
        <v>42334</v>
      </c>
      <c r="B696" s="2">
        <v>-14.3</v>
      </c>
      <c r="C696" s="2">
        <v>-15.3</v>
      </c>
      <c r="D696" s="2">
        <v>-14</v>
      </c>
      <c r="E696" s="2">
        <v>-5.5</v>
      </c>
      <c r="F696" s="2">
        <v>-9.6</v>
      </c>
      <c r="G696" s="2">
        <v>-13.3</v>
      </c>
      <c r="H696" s="2">
        <f>AVERAGE(weather.tbl[[#This Row],[Estevan]:[Kipling]])</f>
        <v>-12</v>
      </c>
      <c r="I696" s="2">
        <f>_xlfn.STDEV.S(weather.tbl[[#This Row],[Estevan]:[Kipling]])</f>
        <v>3.7384488762052102</v>
      </c>
      <c r="J696" s="2">
        <f t="shared" si="10"/>
        <v>-5.7071428571428573</v>
      </c>
      <c r="K696">
        <f>DAY(weather.tbl[[#This Row],[Date]])</f>
        <v>26</v>
      </c>
      <c r="L696">
        <f>MONTH(weather.tbl[[#This Row],[Date]])</f>
        <v>11</v>
      </c>
      <c r="M696">
        <f>YEAR(weather.tbl[[#This Row],[Date]])</f>
        <v>2015</v>
      </c>
    </row>
    <row r="697" spans="1:13" x14ac:dyDescent="0.25">
      <c r="A697" s="1">
        <v>42335</v>
      </c>
      <c r="B697" s="2">
        <v>-10.7</v>
      </c>
      <c r="C697" s="2">
        <v>-10</v>
      </c>
      <c r="D697" s="2">
        <v>-10.3</v>
      </c>
      <c r="E697" s="2">
        <v>-9.8000000000000007</v>
      </c>
      <c r="F697" s="2">
        <v>-9.6999999999999993</v>
      </c>
      <c r="G697" s="2">
        <v>-9.1999999999999993</v>
      </c>
      <c r="H697" s="2">
        <f>AVERAGE(weather.tbl[[#This Row],[Estevan]:[Kipling]])</f>
        <v>-9.9500000000000011</v>
      </c>
      <c r="I697" s="2">
        <f>_xlfn.STDEV.S(weather.tbl[[#This Row],[Estevan]:[Kipling]])</f>
        <v>0.51672042731055268</v>
      </c>
      <c r="J697" s="2">
        <f t="shared" si="10"/>
        <v>-5.776190476190477</v>
      </c>
      <c r="K697">
        <f>DAY(weather.tbl[[#This Row],[Date]])</f>
        <v>27</v>
      </c>
      <c r="L697">
        <f>MONTH(weather.tbl[[#This Row],[Date]])</f>
        <v>11</v>
      </c>
      <c r="M697">
        <f>YEAR(weather.tbl[[#This Row],[Date]])</f>
        <v>2015</v>
      </c>
    </row>
    <row r="698" spans="1:13" x14ac:dyDescent="0.25">
      <c r="A698" s="1">
        <v>42336</v>
      </c>
      <c r="B698" s="2">
        <v>-7.1</v>
      </c>
      <c r="C698" s="2">
        <v>-7.1</v>
      </c>
      <c r="D698" s="2">
        <v>-6</v>
      </c>
      <c r="E698" s="2">
        <v>-7</v>
      </c>
      <c r="F698" s="2">
        <v>-6.4</v>
      </c>
      <c r="G698" s="2">
        <v>-6.5</v>
      </c>
      <c r="H698" s="2">
        <f>AVERAGE(weather.tbl[[#This Row],[Estevan]:[Kipling]])</f>
        <v>-6.6833333333333336</v>
      </c>
      <c r="I698" s="2">
        <f>_xlfn.STDEV.S(weather.tbl[[#This Row],[Estevan]:[Kipling]])</f>
        <v>0.45350486950711622</v>
      </c>
      <c r="J698" s="2">
        <f t="shared" si="10"/>
        <v>-5.7357142857142867</v>
      </c>
      <c r="K698">
        <f>DAY(weather.tbl[[#This Row],[Date]])</f>
        <v>28</v>
      </c>
      <c r="L698">
        <f>MONTH(weather.tbl[[#This Row],[Date]])</f>
        <v>11</v>
      </c>
      <c r="M698">
        <f>YEAR(weather.tbl[[#This Row],[Date]])</f>
        <v>2015</v>
      </c>
    </row>
    <row r="699" spans="1:13" x14ac:dyDescent="0.25">
      <c r="A699" s="1">
        <v>42337</v>
      </c>
      <c r="B699" s="2">
        <v>-8.5</v>
      </c>
      <c r="C699" s="2">
        <v>-6.7</v>
      </c>
      <c r="D699" s="2">
        <v>-8</v>
      </c>
      <c r="E699" s="2">
        <v>-5.5</v>
      </c>
      <c r="F699" s="2">
        <v>-7.9</v>
      </c>
      <c r="G699" s="2">
        <v>-4.4000000000000004</v>
      </c>
      <c r="H699" s="2">
        <f>AVERAGE(weather.tbl[[#This Row],[Estevan]:[Kipling]])</f>
        <v>-6.833333333333333</v>
      </c>
      <c r="I699" s="2">
        <f>_xlfn.STDEV.S(weather.tbl[[#This Row],[Estevan]:[Kipling]])</f>
        <v>1.6120380475245204</v>
      </c>
      <c r="J699" s="2">
        <f t="shared" si="10"/>
        <v>-6.7619047619047619</v>
      </c>
      <c r="K699">
        <f>DAY(weather.tbl[[#This Row],[Date]])</f>
        <v>29</v>
      </c>
      <c r="L699">
        <f>MONTH(weather.tbl[[#This Row],[Date]])</f>
        <v>11</v>
      </c>
      <c r="M699">
        <f>YEAR(weather.tbl[[#This Row],[Date]])</f>
        <v>2015</v>
      </c>
    </row>
    <row r="700" spans="1:13" x14ac:dyDescent="0.25">
      <c r="A700" s="1">
        <v>42338</v>
      </c>
      <c r="B700" s="2">
        <v>-8.3000000000000007</v>
      </c>
      <c r="C700" s="2">
        <v>-6.8</v>
      </c>
      <c r="D700" s="2">
        <v>-7.8</v>
      </c>
      <c r="E700" s="2">
        <v>-6.3</v>
      </c>
      <c r="F700" s="2">
        <v>-8.1999999999999993</v>
      </c>
      <c r="G700" s="2">
        <v>-5.0999999999999996</v>
      </c>
      <c r="H700" s="2">
        <f>AVERAGE(weather.tbl[[#This Row],[Estevan]:[Kipling]])</f>
        <v>-7.0833333333333348</v>
      </c>
      <c r="I700" s="2">
        <f>_xlfn.STDEV.S(weather.tbl[[#This Row],[Estevan]:[Kipling]])</f>
        <v>1.2544587146122561</v>
      </c>
      <c r="J700" s="2">
        <f t="shared" si="10"/>
        <v>-7.4904761904761914</v>
      </c>
      <c r="K700">
        <f>DAY(weather.tbl[[#This Row],[Date]])</f>
        <v>30</v>
      </c>
      <c r="L700">
        <f>MONTH(weather.tbl[[#This Row],[Date]])</f>
        <v>11</v>
      </c>
      <c r="M700">
        <f>YEAR(weather.tbl[[#This Row],[Date]])</f>
        <v>2015</v>
      </c>
    </row>
    <row r="701" spans="1:13" x14ac:dyDescent="0.25">
      <c r="A701" s="1">
        <v>42339</v>
      </c>
      <c r="B701" s="2">
        <v>-6.2</v>
      </c>
      <c r="C701" s="2">
        <v>-6.7</v>
      </c>
      <c r="D701" s="2">
        <v>-5.5</v>
      </c>
      <c r="E701" s="2">
        <v>-5.5</v>
      </c>
      <c r="F701" s="2">
        <v>-5.3</v>
      </c>
      <c r="G701" s="2">
        <v>-3.6</v>
      </c>
      <c r="H701" s="2">
        <f>AVERAGE(weather.tbl[[#This Row],[Estevan]:[Kipling]])</f>
        <v>-5.4666666666666659</v>
      </c>
      <c r="I701" s="2">
        <f>_xlfn.STDEV.S(weather.tbl[[#This Row],[Estevan]:[Kipling]])</f>
        <v>1.0557777543908926</v>
      </c>
      <c r="J701" s="2">
        <f t="shared" si="10"/>
        <v>-8.0857142857142872</v>
      </c>
      <c r="K701">
        <f>DAY(weather.tbl[[#This Row],[Date]])</f>
        <v>1</v>
      </c>
      <c r="L701">
        <f>MONTH(weather.tbl[[#This Row],[Date]])</f>
        <v>12</v>
      </c>
      <c r="M701">
        <f>YEAR(weather.tbl[[#This Row],[Date]])</f>
        <v>2015</v>
      </c>
    </row>
    <row r="702" spans="1:13" x14ac:dyDescent="0.25">
      <c r="A702" s="1">
        <v>42340</v>
      </c>
      <c r="B702" s="2">
        <v>-5.0999999999999996</v>
      </c>
      <c r="C702" s="2">
        <v>-4.7</v>
      </c>
      <c r="D702" s="2">
        <v>-4.3</v>
      </c>
      <c r="E702" s="2">
        <v>-2</v>
      </c>
      <c r="F702" s="2">
        <v>-4.8</v>
      </c>
      <c r="G702" s="2">
        <v>-3.2</v>
      </c>
      <c r="H702" s="2">
        <f>AVERAGE(weather.tbl[[#This Row],[Estevan]:[Kipling]])</f>
        <v>-4.0166666666666666</v>
      </c>
      <c r="I702" s="2">
        <f>_xlfn.STDEV.S(weather.tbl[[#This Row],[Estevan]:[Kipling]])</f>
        <v>1.1889771514485321</v>
      </c>
      <c r="J702" s="2">
        <f t="shared" si="10"/>
        <v>-7.4333333333333345</v>
      </c>
      <c r="K702">
        <f>DAY(weather.tbl[[#This Row],[Date]])</f>
        <v>2</v>
      </c>
      <c r="L702">
        <f>MONTH(weather.tbl[[#This Row],[Date]])</f>
        <v>12</v>
      </c>
      <c r="M702">
        <f>YEAR(weather.tbl[[#This Row],[Date]])</f>
        <v>2015</v>
      </c>
    </row>
    <row r="703" spans="1:13" x14ac:dyDescent="0.25">
      <c r="A703" s="1">
        <v>42341</v>
      </c>
      <c r="B703" s="2">
        <v>-1.1000000000000001</v>
      </c>
      <c r="C703" s="2">
        <v>0.4</v>
      </c>
      <c r="D703" s="2">
        <v>0.8</v>
      </c>
      <c r="E703" s="2">
        <v>2.2999999999999998</v>
      </c>
      <c r="F703" s="2">
        <v>1.4</v>
      </c>
      <c r="G703" s="2">
        <v>0.4</v>
      </c>
      <c r="H703" s="2">
        <f>AVERAGE(weather.tbl[[#This Row],[Estevan]:[Kipling]])</f>
        <v>0.70000000000000007</v>
      </c>
      <c r="I703" s="2">
        <f>_xlfn.STDEV.S(weather.tbl[[#This Row],[Estevan]:[Kipling]])</f>
        <v>1.1384199576606164</v>
      </c>
      <c r="J703" s="2">
        <f t="shared" si="10"/>
        <v>-5.6190476190476186</v>
      </c>
      <c r="K703">
        <f>DAY(weather.tbl[[#This Row],[Date]])</f>
        <v>3</v>
      </c>
      <c r="L703">
        <f>MONTH(weather.tbl[[#This Row],[Date]])</f>
        <v>12</v>
      </c>
      <c r="M703">
        <f>YEAR(weather.tbl[[#This Row],[Date]])</f>
        <v>2015</v>
      </c>
    </row>
    <row r="704" spans="1:13" x14ac:dyDescent="0.25">
      <c r="A704" s="1">
        <v>42342</v>
      </c>
      <c r="B704" s="2">
        <v>2.1</v>
      </c>
      <c r="C704" s="2">
        <v>2.2000000000000002</v>
      </c>
      <c r="D704" s="2">
        <v>0.5</v>
      </c>
      <c r="E704" s="2">
        <v>1.3</v>
      </c>
      <c r="F704" s="2">
        <v>3.9</v>
      </c>
      <c r="G704" s="2">
        <v>4.2</v>
      </c>
      <c r="H704" s="2">
        <f>AVERAGE(weather.tbl[[#This Row],[Estevan]:[Kipling]])</f>
        <v>2.3666666666666667</v>
      </c>
      <c r="I704" s="2">
        <f>_xlfn.STDEV.S(weather.tbl[[#This Row],[Estevan]:[Kipling]])</f>
        <v>1.4445299120013637</v>
      </c>
      <c r="J704" s="2">
        <f t="shared" si="10"/>
        <v>-3.8595238095238096</v>
      </c>
      <c r="K704">
        <f>DAY(weather.tbl[[#This Row],[Date]])</f>
        <v>4</v>
      </c>
      <c r="L704">
        <f>MONTH(weather.tbl[[#This Row],[Date]])</f>
        <v>12</v>
      </c>
      <c r="M704">
        <f>YEAR(weather.tbl[[#This Row],[Date]])</f>
        <v>2015</v>
      </c>
    </row>
    <row r="705" spans="1:13" x14ac:dyDescent="0.25">
      <c r="A705" s="1">
        <v>42343</v>
      </c>
      <c r="B705" s="2">
        <v>0.7</v>
      </c>
      <c r="C705" s="2">
        <v>-0.1</v>
      </c>
      <c r="D705" s="2">
        <v>1.8</v>
      </c>
      <c r="E705" s="2">
        <v>1</v>
      </c>
      <c r="F705" s="2">
        <v>1.5</v>
      </c>
      <c r="G705" s="2">
        <v>0.5</v>
      </c>
      <c r="H705" s="2">
        <f>AVERAGE(weather.tbl[[#This Row],[Estevan]:[Kipling]])</f>
        <v>0.9</v>
      </c>
      <c r="I705" s="2">
        <f>_xlfn.STDEV.S(weather.tbl[[#This Row],[Estevan]:[Kipling]])</f>
        <v>0.68992753242641358</v>
      </c>
      <c r="J705" s="2">
        <f t="shared" si="10"/>
        <v>-2.7761904761904761</v>
      </c>
      <c r="K705">
        <f>DAY(weather.tbl[[#This Row],[Date]])</f>
        <v>5</v>
      </c>
      <c r="L705">
        <f>MONTH(weather.tbl[[#This Row],[Date]])</f>
        <v>12</v>
      </c>
      <c r="M705">
        <f>YEAR(weather.tbl[[#This Row],[Date]])</f>
        <v>2015</v>
      </c>
    </row>
    <row r="706" spans="1:13" x14ac:dyDescent="0.25">
      <c r="A706" s="1">
        <v>42344</v>
      </c>
      <c r="B706" s="2">
        <v>0.9</v>
      </c>
      <c r="C706" s="2">
        <v>0.4</v>
      </c>
      <c r="D706" s="2">
        <v>-1</v>
      </c>
      <c r="E706" s="2">
        <v>1</v>
      </c>
      <c r="F706" s="2">
        <v>1.8</v>
      </c>
      <c r="G706" s="2">
        <v>0</v>
      </c>
      <c r="H706" s="2">
        <f>AVERAGE(weather.tbl[[#This Row],[Estevan]:[Kipling]])</f>
        <v>0.51666666666666672</v>
      </c>
      <c r="I706" s="2">
        <f>_xlfn.STDEV.S(weather.tbl[[#This Row],[Estevan]:[Kipling]])</f>
        <v>0.96003472159431136</v>
      </c>
      <c r="J706" s="2">
        <f t="shared" si="10"/>
        <v>-1.7261904761904761</v>
      </c>
      <c r="K706">
        <f>DAY(weather.tbl[[#This Row],[Date]])</f>
        <v>6</v>
      </c>
      <c r="L706">
        <f>MONTH(weather.tbl[[#This Row],[Date]])</f>
        <v>12</v>
      </c>
      <c r="M706">
        <f>YEAR(weather.tbl[[#This Row],[Date]])</f>
        <v>2015</v>
      </c>
    </row>
    <row r="707" spans="1:13" x14ac:dyDescent="0.25">
      <c r="A707" s="1">
        <v>42345</v>
      </c>
      <c r="B707" s="2">
        <v>3.9</v>
      </c>
      <c r="C707" s="2">
        <v>5.5</v>
      </c>
      <c r="D707" s="2">
        <v>3.3</v>
      </c>
      <c r="E707" s="2">
        <v>6.5</v>
      </c>
      <c r="F707" s="2">
        <v>3.2</v>
      </c>
      <c r="G707" s="2">
        <v>2.8</v>
      </c>
      <c r="H707" s="2">
        <f>AVERAGE(weather.tbl[[#This Row],[Estevan]:[Kipling]])</f>
        <v>4.2</v>
      </c>
      <c r="I707" s="2">
        <f>_xlfn.STDEV.S(weather.tbl[[#This Row],[Estevan]:[Kipling]])</f>
        <v>1.4724129855444781</v>
      </c>
      <c r="J707" s="2">
        <f t="shared" si="10"/>
        <v>-0.11428571428571413</v>
      </c>
      <c r="K707">
        <f>DAY(weather.tbl[[#This Row],[Date]])</f>
        <v>7</v>
      </c>
      <c r="L707">
        <f>MONTH(weather.tbl[[#This Row],[Date]])</f>
        <v>12</v>
      </c>
      <c r="M707">
        <f>YEAR(weather.tbl[[#This Row],[Date]])</f>
        <v>2015</v>
      </c>
    </row>
    <row r="708" spans="1:13" x14ac:dyDescent="0.25">
      <c r="A708" s="1">
        <v>42346</v>
      </c>
      <c r="B708" s="2">
        <v>2.6</v>
      </c>
      <c r="C708" s="2">
        <v>2.8</v>
      </c>
      <c r="D708" s="2">
        <v>1</v>
      </c>
      <c r="E708" s="2">
        <v>2.8</v>
      </c>
      <c r="F708" s="2">
        <v>1.7</v>
      </c>
      <c r="G708" s="2">
        <v>1.1000000000000001</v>
      </c>
      <c r="H708" s="2">
        <f>AVERAGE(weather.tbl[[#This Row],[Estevan]:[Kipling]])</f>
        <v>1.9999999999999998</v>
      </c>
      <c r="I708" s="2">
        <f>_xlfn.STDEV.S(weather.tbl[[#This Row],[Estevan]:[Kipling]])</f>
        <v>0.84142735871850638</v>
      </c>
      <c r="J708" s="2">
        <f t="shared" si="10"/>
        <v>0.95238095238095244</v>
      </c>
      <c r="K708">
        <f>DAY(weather.tbl[[#This Row],[Date]])</f>
        <v>8</v>
      </c>
      <c r="L708">
        <f>MONTH(weather.tbl[[#This Row],[Date]])</f>
        <v>12</v>
      </c>
      <c r="M708">
        <f>YEAR(weather.tbl[[#This Row],[Date]])</f>
        <v>2015</v>
      </c>
    </row>
    <row r="709" spans="1:13" x14ac:dyDescent="0.25">
      <c r="A709" s="1">
        <v>42347</v>
      </c>
      <c r="B709" s="2">
        <v>6.5</v>
      </c>
      <c r="C709" s="2">
        <v>4.4000000000000004</v>
      </c>
      <c r="D709" s="2">
        <v>3.8</v>
      </c>
      <c r="E709" s="2">
        <v>3.5</v>
      </c>
      <c r="F709" s="2">
        <v>4.7</v>
      </c>
      <c r="G709" s="2">
        <v>4</v>
      </c>
      <c r="H709" s="2">
        <f>AVERAGE(weather.tbl[[#This Row],[Estevan]:[Kipling]])</f>
        <v>4.4833333333333334</v>
      </c>
      <c r="I709" s="2">
        <f>_xlfn.STDEV.S(weather.tbl[[#This Row],[Estevan]:[Kipling]])</f>
        <v>1.0759491933482135</v>
      </c>
      <c r="J709" s="2">
        <f t="shared" si="10"/>
        <v>2.166666666666667</v>
      </c>
      <c r="K709">
        <f>DAY(weather.tbl[[#This Row],[Date]])</f>
        <v>9</v>
      </c>
      <c r="L709">
        <f>MONTH(weather.tbl[[#This Row],[Date]])</f>
        <v>12</v>
      </c>
      <c r="M709">
        <f>YEAR(weather.tbl[[#This Row],[Date]])</f>
        <v>2015</v>
      </c>
    </row>
    <row r="710" spans="1:13" x14ac:dyDescent="0.25">
      <c r="A710" s="1">
        <v>42348</v>
      </c>
      <c r="B710" s="2">
        <v>-0.2</v>
      </c>
      <c r="C710" s="2">
        <v>-0.6</v>
      </c>
      <c r="D710" s="2">
        <v>3.8</v>
      </c>
      <c r="E710" s="2">
        <v>-1.5</v>
      </c>
      <c r="F710" s="2">
        <v>-1.9</v>
      </c>
      <c r="G710" s="2">
        <v>-4.0999999999999996</v>
      </c>
      <c r="H710" s="2">
        <f>AVERAGE(weather.tbl[[#This Row],[Estevan]:[Kipling]])</f>
        <v>-0.75</v>
      </c>
      <c r="I710" s="2">
        <f>_xlfn.STDEV.S(weather.tbl[[#This Row],[Estevan]:[Kipling]])</f>
        <v>2.6128528469854553</v>
      </c>
      <c r="J710" s="2">
        <f t="shared" si="10"/>
        <v>1.9595238095238092</v>
      </c>
      <c r="K710">
        <f>DAY(weather.tbl[[#This Row],[Date]])</f>
        <v>10</v>
      </c>
      <c r="L710">
        <f>MONTH(weather.tbl[[#This Row],[Date]])</f>
        <v>12</v>
      </c>
      <c r="M710">
        <f>YEAR(weather.tbl[[#This Row],[Date]])</f>
        <v>2015</v>
      </c>
    </row>
    <row r="711" spans="1:13" x14ac:dyDescent="0.25">
      <c r="A711" s="1">
        <v>42349</v>
      </c>
      <c r="B711" s="2">
        <v>-5.7</v>
      </c>
      <c r="C711" s="2">
        <v>-5.2</v>
      </c>
      <c r="D711" s="2">
        <v>3.8</v>
      </c>
      <c r="E711" s="2">
        <v>-4</v>
      </c>
      <c r="F711" s="2">
        <v>-5.3</v>
      </c>
      <c r="G711" s="2">
        <v>-6.7</v>
      </c>
      <c r="H711" s="2">
        <f>AVERAGE(weather.tbl[[#This Row],[Estevan]:[Kipling]])</f>
        <v>-3.85</v>
      </c>
      <c r="I711" s="2">
        <f>_xlfn.STDEV.S(weather.tbl[[#This Row],[Estevan]:[Kipling]])</f>
        <v>3.8474666990111817</v>
      </c>
      <c r="J711" s="2">
        <f t="shared" si="10"/>
        <v>1.0714285714285716</v>
      </c>
      <c r="K711">
        <f>DAY(weather.tbl[[#This Row],[Date]])</f>
        <v>11</v>
      </c>
      <c r="L711">
        <f>MONTH(weather.tbl[[#This Row],[Date]])</f>
        <v>12</v>
      </c>
      <c r="M711">
        <f>YEAR(weather.tbl[[#This Row],[Date]])</f>
        <v>2015</v>
      </c>
    </row>
    <row r="712" spans="1:13" x14ac:dyDescent="0.25">
      <c r="A712" s="1">
        <v>42350</v>
      </c>
      <c r="B712" s="2">
        <v>-5.3</v>
      </c>
      <c r="C712" s="2">
        <v>-5.4</v>
      </c>
      <c r="D712" s="2">
        <v>-5</v>
      </c>
      <c r="E712" s="2">
        <v>-5</v>
      </c>
      <c r="F712" s="2">
        <v>-8.6999999999999993</v>
      </c>
      <c r="G712" s="2">
        <v>-6.3</v>
      </c>
      <c r="H712" s="2">
        <f>AVERAGE(weather.tbl[[#This Row],[Estevan]:[Kipling]])</f>
        <v>-5.9499999999999993</v>
      </c>
      <c r="I712" s="2">
        <f>_xlfn.STDEV.S(weather.tbl[[#This Row],[Estevan]:[Kipling]])</f>
        <v>1.4293355099485936</v>
      </c>
      <c r="J712" s="2">
        <f t="shared" si="10"/>
        <v>9.2857142857142902E-2</v>
      </c>
      <c r="K712">
        <f>DAY(weather.tbl[[#This Row],[Date]])</f>
        <v>12</v>
      </c>
      <c r="L712">
        <f>MONTH(weather.tbl[[#This Row],[Date]])</f>
        <v>12</v>
      </c>
      <c r="M712">
        <f>YEAR(weather.tbl[[#This Row],[Date]])</f>
        <v>2015</v>
      </c>
    </row>
    <row r="713" spans="1:13" x14ac:dyDescent="0.25">
      <c r="A713" s="1">
        <v>42351</v>
      </c>
      <c r="B713" s="2">
        <v>-1.4</v>
      </c>
      <c r="C713" s="2">
        <v>-2</v>
      </c>
      <c r="D713" s="2">
        <v>-3</v>
      </c>
      <c r="E713" s="2">
        <v>-2</v>
      </c>
      <c r="F713" s="2">
        <v>-4.5999999999999996</v>
      </c>
      <c r="G713" s="2">
        <v>-2.1</v>
      </c>
      <c r="H713" s="2">
        <f>AVERAGE(weather.tbl[[#This Row],[Estevan]:[Kipling]])</f>
        <v>-2.5166666666666666</v>
      </c>
      <c r="I713" s="2">
        <f>_xlfn.STDEV.S(weather.tbl[[#This Row],[Estevan]:[Kipling]])</f>
        <v>1.1426577206962141</v>
      </c>
      <c r="J713" s="2">
        <f t="shared" si="10"/>
        <v>-0.34047619047619027</v>
      </c>
      <c r="K713">
        <f>DAY(weather.tbl[[#This Row],[Date]])</f>
        <v>13</v>
      </c>
      <c r="L713">
        <f>MONTH(weather.tbl[[#This Row],[Date]])</f>
        <v>12</v>
      </c>
      <c r="M713">
        <f>YEAR(weather.tbl[[#This Row],[Date]])</f>
        <v>2015</v>
      </c>
    </row>
    <row r="714" spans="1:13" x14ac:dyDescent="0.25">
      <c r="A714" s="1">
        <v>42352</v>
      </c>
      <c r="B714" s="2">
        <v>-5.3</v>
      </c>
      <c r="C714" s="2">
        <v>-4.4000000000000004</v>
      </c>
      <c r="D714" s="2">
        <v>-7.8</v>
      </c>
      <c r="E714" s="2">
        <v>-3.8</v>
      </c>
      <c r="F714" s="2">
        <v>-6.8</v>
      </c>
      <c r="G714" s="2">
        <v>-7.7</v>
      </c>
      <c r="H714" s="2">
        <f>AVERAGE(weather.tbl[[#This Row],[Estevan]:[Kipling]])</f>
        <v>-5.9666666666666677</v>
      </c>
      <c r="I714" s="2">
        <f>_xlfn.STDEV.S(weather.tbl[[#This Row],[Estevan]:[Kipling]])</f>
        <v>1.7119190011991383</v>
      </c>
      <c r="J714" s="2">
        <f t="shared" ref="J714:J777" si="11">AVERAGE(H708:H714)</f>
        <v>-1.7928571428571429</v>
      </c>
      <c r="K714">
        <f>DAY(weather.tbl[[#This Row],[Date]])</f>
        <v>14</v>
      </c>
      <c r="L714">
        <f>MONTH(weather.tbl[[#This Row],[Date]])</f>
        <v>12</v>
      </c>
      <c r="M714">
        <f>YEAR(weather.tbl[[#This Row],[Date]])</f>
        <v>2015</v>
      </c>
    </row>
    <row r="715" spans="1:13" x14ac:dyDescent="0.25">
      <c r="A715" s="1">
        <v>42353</v>
      </c>
      <c r="B715" s="2">
        <v>-4.3</v>
      </c>
      <c r="C715" s="2">
        <v>-4</v>
      </c>
      <c r="D715" s="2">
        <v>-6</v>
      </c>
      <c r="E715" s="2">
        <v>-4.5</v>
      </c>
      <c r="F715" s="2">
        <v>-6.2</v>
      </c>
      <c r="G715" s="2">
        <v>-5.6</v>
      </c>
      <c r="H715" s="2">
        <f>AVERAGE(weather.tbl[[#This Row],[Estevan]:[Kipling]])</f>
        <v>-5.1000000000000005</v>
      </c>
      <c r="I715" s="2">
        <f>_xlfn.STDEV.S(weather.tbl[[#This Row],[Estevan]:[Kipling]])</f>
        <v>0.94657276529593448</v>
      </c>
      <c r="J715" s="2">
        <f t="shared" si="11"/>
        <v>-2.8071428571428574</v>
      </c>
      <c r="K715">
        <f>DAY(weather.tbl[[#This Row],[Date]])</f>
        <v>15</v>
      </c>
      <c r="L715">
        <f>MONTH(weather.tbl[[#This Row],[Date]])</f>
        <v>12</v>
      </c>
      <c r="M715">
        <f>YEAR(weather.tbl[[#This Row],[Date]])</f>
        <v>2015</v>
      </c>
    </row>
    <row r="716" spans="1:13" x14ac:dyDescent="0.25">
      <c r="A716" s="1">
        <v>42354</v>
      </c>
      <c r="B716" s="2">
        <v>-6.6</v>
      </c>
      <c r="C716" s="2">
        <v>-7</v>
      </c>
      <c r="D716" s="2">
        <v>-5.5</v>
      </c>
      <c r="E716" s="2">
        <v>-5.9</v>
      </c>
      <c r="F716" s="2">
        <v>-5.0999999999999996</v>
      </c>
      <c r="G716" s="2">
        <v>-6.1</v>
      </c>
      <c r="H716" s="2">
        <f>AVERAGE(weather.tbl[[#This Row],[Estevan]:[Kipling]])</f>
        <v>-6.0333333333333341</v>
      </c>
      <c r="I716" s="2">
        <f>_xlfn.STDEV.S(weather.tbl[[#This Row],[Estevan]:[Kipling]])</f>
        <v>0.69761498454853332</v>
      </c>
      <c r="J716" s="2">
        <f t="shared" si="11"/>
        <v>-4.3095238095238102</v>
      </c>
      <c r="K716">
        <f>DAY(weather.tbl[[#This Row],[Date]])</f>
        <v>16</v>
      </c>
      <c r="L716">
        <f>MONTH(weather.tbl[[#This Row],[Date]])</f>
        <v>12</v>
      </c>
      <c r="M716">
        <f>YEAR(weather.tbl[[#This Row],[Date]])</f>
        <v>2015</v>
      </c>
    </row>
    <row r="717" spans="1:13" x14ac:dyDescent="0.25">
      <c r="A717" s="1">
        <v>42355</v>
      </c>
      <c r="B717" s="2">
        <v>-11.3</v>
      </c>
      <c r="C717" s="2">
        <v>-12.1</v>
      </c>
      <c r="D717" s="2">
        <v>-11.5</v>
      </c>
      <c r="E717" s="2">
        <v>-12</v>
      </c>
      <c r="F717" s="2">
        <v>-9.1999999999999993</v>
      </c>
      <c r="G717" s="2">
        <v>-13.1</v>
      </c>
      <c r="H717" s="2">
        <f>AVERAGE(weather.tbl[[#This Row],[Estevan]:[Kipling]])</f>
        <v>-11.533333333333331</v>
      </c>
      <c r="I717" s="2">
        <f>_xlfn.STDEV.S(weather.tbl[[#This Row],[Estevan]:[Kipling]])</f>
        <v>1.3033290707517857</v>
      </c>
      <c r="J717" s="2">
        <f t="shared" si="11"/>
        <v>-5.8500000000000005</v>
      </c>
      <c r="K717">
        <f>DAY(weather.tbl[[#This Row],[Date]])</f>
        <v>17</v>
      </c>
      <c r="L717">
        <f>MONTH(weather.tbl[[#This Row],[Date]])</f>
        <v>12</v>
      </c>
      <c r="M717">
        <f>YEAR(weather.tbl[[#This Row],[Date]])</f>
        <v>2015</v>
      </c>
    </row>
    <row r="718" spans="1:13" x14ac:dyDescent="0.25">
      <c r="A718" s="1">
        <v>42356</v>
      </c>
      <c r="B718" s="2">
        <v>-15.5</v>
      </c>
      <c r="C718" s="2">
        <v>-15.4</v>
      </c>
      <c r="D718" s="2">
        <v>-14</v>
      </c>
      <c r="E718" s="2">
        <v>-13.3</v>
      </c>
      <c r="F718" s="2">
        <v>-15.2</v>
      </c>
      <c r="G718" s="2">
        <v>-15.4</v>
      </c>
      <c r="H718" s="2">
        <f>AVERAGE(weather.tbl[[#This Row],[Estevan]:[Kipling]])</f>
        <v>-14.800000000000002</v>
      </c>
      <c r="I718" s="2">
        <f>_xlfn.STDEV.S(weather.tbl[[#This Row],[Estevan]:[Kipling]])</f>
        <v>0.9230384607371459</v>
      </c>
      <c r="J718" s="2">
        <f t="shared" si="11"/>
        <v>-7.4142857142857155</v>
      </c>
      <c r="K718">
        <f>DAY(weather.tbl[[#This Row],[Date]])</f>
        <v>18</v>
      </c>
      <c r="L718">
        <f>MONTH(weather.tbl[[#This Row],[Date]])</f>
        <v>12</v>
      </c>
      <c r="M718">
        <f>YEAR(weather.tbl[[#This Row],[Date]])</f>
        <v>2015</v>
      </c>
    </row>
    <row r="719" spans="1:13" x14ac:dyDescent="0.25">
      <c r="A719" s="1">
        <v>42357</v>
      </c>
      <c r="B719" s="2">
        <v>-10.3</v>
      </c>
      <c r="C719" s="2">
        <v>-10.1</v>
      </c>
      <c r="D719" s="2">
        <v>-14.5</v>
      </c>
      <c r="E719" s="2">
        <v>-11</v>
      </c>
      <c r="F719" s="2">
        <v>-13.4</v>
      </c>
      <c r="G719" s="2">
        <v>-13.9</v>
      </c>
      <c r="H719" s="2">
        <f>AVERAGE(weather.tbl[[#This Row],[Estevan]:[Kipling]])</f>
        <v>-12.200000000000001</v>
      </c>
      <c r="I719" s="2">
        <f>_xlfn.STDEV.S(weather.tbl[[#This Row],[Estevan]:[Kipling]])</f>
        <v>1.9534584715319669</v>
      </c>
      <c r="J719" s="2">
        <f t="shared" si="11"/>
        <v>-8.3071428571428587</v>
      </c>
      <c r="K719">
        <f>DAY(weather.tbl[[#This Row],[Date]])</f>
        <v>19</v>
      </c>
      <c r="L719">
        <f>MONTH(weather.tbl[[#This Row],[Date]])</f>
        <v>12</v>
      </c>
      <c r="M719">
        <f>YEAR(weather.tbl[[#This Row],[Date]])</f>
        <v>2015</v>
      </c>
    </row>
    <row r="720" spans="1:13" x14ac:dyDescent="0.25">
      <c r="A720" s="1">
        <v>42358</v>
      </c>
      <c r="B720" s="2">
        <v>-8.8000000000000007</v>
      </c>
      <c r="C720" s="2">
        <v>-9.6</v>
      </c>
      <c r="D720" s="2">
        <v>-8.5</v>
      </c>
      <c r="E720" s="2">
        <v>-8.8000000000000007</v>
      </c>
      <c r="F720" s="2">
        <v>-9.8000000000000007</v>
      </c>
      <c r="G720" s="2">
        <v>-7.2</v>
      </c>
      <c r="H720" s="2">
        <f>AVERAGE(weather.tbl[[#This Row],[Estevan]:[Kipling]])</f>
        <v>-8.7833333333333332</v>
      </c>
      <c r="I720" s="2">
        <f>_xlfn.STDEV.S(weather.tbl[[#This Row],[Estevan]:[Kipling]])</f>
        <v>0.92610294604145749</v>
      </c>
      <c r="J720" s="2">
        <f t="shared" si="11"/>
        <v>-9.2023809523809526</v>
      </c>
      <c r="K720">
        <f>DAY(weather.tbl[[#This Row],[Date]])</f>
        <v>20</v>
      </c>
      <c r="L720">
        <f>MONTH(weather.tbl[[#This Row],[Date]])</f>
        <v>12</v>
      </c>
      <c r="M720">
        <f>YEAR(weather.tbl[[#This Row],[Date]])</f>
        <v>2015</v>
      </c>
    </row>
    <row r="721" spans="1:13" x14ac:dyDescent="0.25">
      <c r="A721" s="1">
        <v>42359</v>
      </c>
      <c r="B721" s="2">
        <v>-4.4000000000000004</v>
      </c>
      <c r="C721" s="2">
        <v>-8.9</v>
      </c>
      <c r="D721" s="2">
        <v>-5.8</v>
      </c>
      <c r="E721" s="2">
        <v>-5.3</v>
      </c>
      <c r="F721" s="2">
        <v>-8.6999999999999993</v>
      </c>
      <c r="G721" s="2">
        <v>-6.9</v>
      </c>
      <c r="H721" s="2">
        <f>AVERAGE(weather.tbl[[#This Row],[Estevan]:[Kipling]])</f>
        <v>-6.666666666666667</v>
      </c>
      <c r="I721" s="2">
        <f>_xlfn.STDEV.S(weather.tbl[[#This Row],[Estevan]:[Kipling]])</f>
        <v>1.8402898322456351</v>
      </c>
      <c r="J721" s="2">
        <f t="shared" si="11"/>
        <v>-9.302380952380954</v>
      </c>
      <c r="K721">
        <f>DAY(weather.tbl[[#This Row],[Date]])</f>
        <v>21</v>
      </c>
      <c r="L721">
        <f>MONTH(weather.tbl[[#This Row],[Date]])</f>
        <v>12</v>
      </c>
      <c r="M721">
        <f>YEAR(weather.tbl[[#This Row],[Date]])</f>
        <v>2015</v>
      </c>
    </row>
    <row r="722" spans="1:13" x14ac:dyDescent="0.25">
      <c r="A722" s="1">
        <v>42360</v>
      </c>
      <c r="B722" s="2">
        <v>-7</v>
      </c>
      <c r="C722" s="2">
        <v>-9.9</v>
      </c>
      <c r="D722" s="2">
        <v>-5.8</v>
      </c>
      <c r="E722" s="2">
        <v>-8</v>
      </c>
      <c r="F722" s="2">
        <v>-9.4</v>
      </c>
      <c r="G722" s="2">
        <v>-9.5</v>
      </c>
      <c r="H722" s="2">
        <f>AVERAGE(weather.tbl[[#This Row],[Estevan]:[Kipling]])</f>
        <v>-8.2666666666666675</v>
      </c>
      <c r="I722" s="2">
        <f>_xlfn.STDEV.S(weather.tbl[[#This Row],[Estevan]:[Kipling]])</f>
        <v>1.626857912254988</v>
      </c>
      <c r="J722" s="2">
        <f t="shared" si="11"/>
        <v>-9.7547619047619047</v>
      </c>
      <c r="K722">
        <f>DAY(weather.tbl[[#This Row],[Date]])</f>
        <v>22</v>
      </c>
      <c r="L722">
        <f>MONTH(weather.tbl[[#This Row],[Date]])</f>
        <v>12</v>
      </c>
      <c r="M722">
        <f>YEAR(weather.tbl[[#This Row],[Date]])</f>
        <v>2015</v>
      </c>
    </row>
    <row r="723" spans="1:13" x14ac:dyDescent="0.25">
      <c r="A723" s="1">
        <v>42361</v>
      </c>
      <c r="B723" s="2">
        <v>-9.9</v>
      </c>
      <c r="C723" s="2">
        <v>-9.6999999999999993</v>
      </c>
      <c r="D723" s="2">
        <v>-5.8</v>
      </c>
      <c r="E723" s="2">
        <v>-9.5</v>
      </c>
      <c r="F723" s="2">
        <v>-9.1999999999999993</v>
      </c>
      <c r="G723" s="2">
        <v>-10.9</v>
      </c>
      <c r="H723" s="2">
        <f>AVERAGE(weather.tbl[[#This Row],[Estevan]:[Kipling]])</f>
        <v>-9.1666666666666679</v>
      </c>
      <c r="I723" s="2">
        <f>_xlfn.STDEV.S(weather.tbl[[#This Row],[Estevan]:[Kipling]])</f>
        <v>1.7477604717656967</v>
      </c>
      <c r="J723" s="2">
        <f t="shared" si="11"/>
        <v>-10.202380952380953</v>
      </c>
      <c r="K723">
        <f>DAY(weather.tbl[[#This Row],[Date]])</f>
        <v>23</v>
      </c>
      <c r="L723">
        <f>MONTH(weather.tbl[[#This Row],[Date]])</f>
        <v>12</v>
      </c>
      <c r="M723">
        <f>YEAR(weather.tbl[[#This Row],[Date]])</f>
        <v>2015</v>
      </c>
    </row>
    <row r="724" spans="1:13" x14ac:dyDescent="0.25">
      <c r="A724" s="1">
        <v>42362</v>
      </c>
      <c r="B724" s="2">
        <v>-8.5</v>
      </c>
      <c r="C724" s="2">
        <v>-8.6</v>
      </c>
      <c r="D724" s="2">
        <v>-5.8</v>
      </c>
      <c r="E724" s="2">
        <v>-8.5</v>
      </c>
      <c r="F724" s="2">
        <v>-10.8</v>
      </c>
      <c r="G724" s="2">
        <v>-11.5</v>
      </c>
      <c r="H724" s="2">
        <f>AVERAGE(weather.tbl[[#This Row],[Estevan]:[Kipling]])</f>
        <v>-8.9500000000000011</v>
      </c>
      <c r="I724" s="2">
        <f>_xlfn.STDEV.S(weather.tbl[[#This Row],[Estevan]:[Kipling]])</f>
        <v>2.0186629238186322</v>
      </c>
      <c r="J724" s="2">
        <f t="shared" si="11"/>
        <v>-9.8333333333333339</v>
      </c>
      <c r="K724">
        <f>DAY(weather.tbl[[#This Row],[Date]])</f>
        <v>24</v>
      </c>
      <c r="L724">
        <f>MONTH(weather.tbl[[#This Row],[Date]])</f>
        <v>12</v>
      </c>
      <c r="M724">
        <f>YEAR(weather.tbl[[#This Row],[Date]])</f>
        <v>2015</v>
      </c>
    </row>
    <row r="725" spans="1:13" x14ac:dyDescent="0.25">
      <c r="A725" s="1">
        <v>42363</v>
      </c>
      <c r="B725" s="2">
        <v>-18.399999999999999</v>
      </c>
      <c r="C725" s="2">
        <v>-20.3</v>
      </c>
      <c r="D725" s="2">
        <v>-5.8</v>
      </c>
      <c r="E725" s="2">
        <v>-23</v>
      </c>
      <c r="F725" s="2">
        <v>-17</v>
      </c>
      <c r="G725" s="2">
        <v>-21.5</v>
      </c>
      <c r="H725" s="2">
        <f>AVERAGE(weather.tbl[[#This Row],[Estevan]:[Kipling]])</f>
        <v>-17.666666666666668</v>
      </c>
      <c r="I725" s="2">
        <f>_xlfn.STDEV.S(weather.tbl[[#This Row],[Estevan]:[Kipling]])</f>
        <v>6.1947289421464315</v>
      </c>
      <c r="J725" s="2">
        <f t="shared" si="11"/>
        <v>-10.242857142857146</v>
      </c>
      <c r="K725">
        <f>DAY(weather.tbl[[#This Row],[Date]])</f>
        <v>25</v>
      </c>
      <c r="L725">
        <f>MONTH(weather.tbl[[#This Row],[Date]])</f>
        <v>12</v>
      </c>
      <c r="M725">
        <f>YEAR(weather.tbl[[#This Row],[Date]])</f>
        <v>2015</v>
      </c>
    </row>
    <row r="726" spans="1:13" x14ac:dyDescent="0.25">
      <c r="A726" s="1">
        <v>42364</v>
      </c>
      <c r="B726" s="2">
        <v>-22.2</v>
      </c>
      <c r="C726" s="2">
        <v>-24</v>
      </c>
      <c r="D726" s="2">
        <v>-5.8</v>
      </c>
      <c r="E726" s="2">
        <v>-22.8</v>
      </c>
      <c r="F726" s="2">
        <v>-23.5</v>
      </c>
      <c r="G726" s="2">
        <v>-21.7</v>
      </c>
      <c r="H726" s="2">
        <f>AVERAGE(weather.tbl[[#This Row],[Estevan]:[Kipling]])</f>
        <v>-20</v>
      </c>
      <c r="I726" s="2">
        <f>_xlfn.STDEV.S(weather.tbl[[#This Row],[Estevan]:[Kipling]])</f>
        <v>7.0065683469156284</v>
      </c>
      <c r="J726" s="2">
        <f t="shared" si="11"/>
        <v>-11.357142857142859</v>
      </c>
      <c r="K726">
        <f>DAY(weather.tbl[[#This Row],[Date]])</f>
        <v>26</v>
      </c>
      <c r="L726">
        <f>MONTH(weather.tbl[[#This Row],[Date]])</f>
        <v>12</v>
      </c>
      <c r="M726">
        <f>YEAR(weather.tbl[[#This Row],[Date]])</f>
        <v>2015</v>
      </c>
    </row>
    <row r="727" spans="1:13" x14ac:dyDescent="0.25">
      <c r="A727" s="1">
        <v>42365</v>
      </c>
      <c r="B727" s="2">
        <v>-19</v>
      </c>
      <c r="C727" s="2">
        <v>-21.1</v>
      </c>
      <c r="D727" s="2">
        <v>-22.3</v>
      </c>
      <c r="E727" s="2">
        <v>-18.5</v>
      </c>
      <c r="F727" s="2">
        <v>-20.100000000000001</v>
      </c>
      <c r="G727" s="2">
        <v>-17.8</v>
      </c>
      <c r="H727" s="2">
        <f>AVERAGE(weather.tbl[[#This Row],[Estevan]:[Kipling]])</f>
        <v>-19.8</v>
      </c>
      <c r="I727" s="2">
        <f>_xlfn.STDEV.S(weather.tbl[[#This Row],[Estevan]:[Kipling]])</f>
        <v>1.694697613145189</v>
      </c>
      <c r="J727" s="2">
        <f t="shared" si="11"/>
        <v>-12.93095238095238</v>
      </c>
      <c r="K727">
        <f>DAY(weather.tbl[[#This Row],[Date]])</f>
        <v>27</v>
      </c>
      <c r="L727">
        <f>MONTH(weather.tbl[[#This Row],[Date]])</f>
        <v>12</v>
      </c>
      <c r="M727">
        <f>YEAR(weather.tbl[[#This Row],[Date]])</f>
        <v>2015</v>
      </c>
    </row>
    <row r="728" spans="1:13" x14ac:dyDescent="0.25">
      <c r="A728" s="1">
        <v>42366</v>
      </c>
      <c r="B728" s="2">
        <v>-15.1</v>
      </c>
      <c r="C728" s="2">
        <v>-15.8</v>
      </c>
      <c r="D728" s="2">
        <v>-15.3</v>
      </c>
      <c r="E728" s="2">
        <v>-11.5</v>
      </c>
      <c r="F728" s="2">
        <v>-16.399999999999999</v>
      </c>
      <c r="G728" s="2">
        <v>-12</v>
      </c>
      <c r="H728" s="2">
        <f>AVERAGE(weather.tbl[[#This Row],[Estevan]:[Kipling]])</f>
        <v>-14.35</v>
      </c>
      <c r="I728" s="2">
        <f>_xlfn.STDEV.S(weather.tbl[[#This Row],[Estevan]:[Kipling]])</f>
        <v>2.0695410119154531</v>
      </c>
      <c r="J728" s="2">
        <f t="shared" si="11"/>
        <v>-14.028571428571428</v>
      </c>
      <c r="K728">
        <f>DAY(weather.tbl[[#This Row],[Date]])</f>
        <v>28</v>
      </c>
      <c r="L728">
        <f>MONTH(weather.tbl[[#This Row],[Date]])</f>
        <v>12</v>
      </c>
      <c r="M728">
        <f>YEAR(weather.tbl[[#This Row],[Date]])</f>
        <v>2015</v>
      </c>
    </row>
    <row r="729" spans="1:13" x14ac:dyDescent="0.25">
      <c r="A729" s="1">
        <v>42367</v>
      </c>
      <c r="B729" s="2">
        <v>-16.899999999999999</v>
      </c>
      <c r="C729" s="2">
        <v>-17.100000000000001</v>
      </c>
      <c r="D729" s="2">
        <v>-17.5</v>
      </c>
      <c r="E729" s="2">
        <v>-15.8</v>
      </c>
      <c r="F729" s="2">
        <v>-18</v>
      </c>
      <c r="G729" s="2">
        <v>-16.5</v>
      </c>
      <c r="H729" s="2">
        <f>AVERAGE(weather.tbl[[#This Row],[Estevan]:[Kipling]])</f>
        <v>-16.966666666666665</v>
      </c>
      <c r="I729" s="2">
        <f>_xlfn.STDEV.S(weather.tbl[[#This Row],[Estevan]:[Kipling]])</f>
        <v>0.76854841530424511</v>
      </c>
      <c r="J729" s="2">
        <f t="shared" si="11"/>
        <v>-15.27142857142857</v>
      </c>
      <c r="K729">
        <f>DAY(weather.tbl[[#This Row],[Date]])</f>
        <v>29</v>
      </c>
      <c r="L729">
        <f>MONTH(weather.tbl[[#This Row],[Date]])</f>
        <v>12</v>
      </c>
      <c r="M729">
        <f>YEAR(weather.tbl[[#This Row],[Date]])</f>
        <v>2015</v>
      </c>
    </row>
    <row r="730" spans="1:13" x14ac:dyDescent="0.25">
      <c r="A730" s="1">
        <v>42368</v>
      </c>
      <c r="B730" s="2">
        <v>-15</v>
      </c>
      <c r="C730" s="2">
        <v>-14.7</v>
      </c>
      <c r="D730" s="2">
        <v>-13</v>
      </c>
      <c r="E730" s="2">
        <v>-12.8</v>
      </c>
      <c r="F730" s="2">
        <v>-13</v>
      </c>
      <c r="G730" s="2">
        <v>-13.9</v>
      </c>
      <c r="H730" s="2">
        <f>AVERAGE(weather.tbl[[#This Row],[Estevan]:[Kipling]])</f>
        <v>-13.733333333333334</v>
      </c>
      <c r="I730" s="2">
        <f>_xlfn.STDEV.S(weather.tbl[[#This Row],[Estevan]:[Kipling]])</f>
        <v>0.95008771524879021</v>
      </c>
      <c r="J730" s="2">
        <f t="shared" si="11"/>
        <v>-15.923809523809524</v>
      </c>
      <c r="K730">
        <f>DAY(weather.tbl[[#This Row],[Date]])</f>
        <v>30</v>
      </c>
      <c r="L730">
        <f>MONTH(weather.tbl[[#This Row],[Date]])</f>
        <v>12</v>
      </c>
      <c r="M730">
        <f>YEAR(weather.tbl[[#This Row],[Date]])</f>
        <v>2015</v>
      </c>
    </row>
    <row r="731" spans="1:13" x14ac:dyDescent="0.25">
      <c r="A731" s="1">
        <v>42369</v>
      </c>
      <c r="B731" s="2">
        <v>-10.4</v>
      </c>
      <c r="C731" s="2">
        <v>-10.1</v>
      </c>
      <c r="D731" s="2">
        <v>-10.8</v>
      </c>
      <c r="E731" s="2">
        <v>-9.5</v>
      </c>
      <c r="F731" s="2">
        <v>-10.3</v>
      </c>
      <c r="G731" s="2">
        <v>-10.6</v>
      </c>
      <c r="H731" s="2">
        <f>AVERAGE(weather.tbl[[#This Row],[Estevan]:[Kipling]])</f>
        <v>-10.283333333333333</v>
      </c>
      <c r="I731" s="2">
        <f>_xlfn.STDEV.S(weather.tbl[[#This Row],[Estevan]:[Kipling]])</f>
        <v>0.45350486950711655</v>
      </c>
      <c r="J731" s="2">
        <f t="shared" si="11"/>
        <v>-16.114285714285714</v>
      </c>
      <c r="K731">
        <f>DAY(weather.tbl[[#This Row],[Date]])</f>
        <v>31</v>
      </c>
      <c r="L731">
        <f>MONTH(weather.tbl[[#This Row],[Date]])</f>
        <v>12</v>
      </c>
      <c r="M731">
        <f>YEAR(weather.tbl[[#This Row],[Date]])</f>
        <v>2015</v>
      </c>
    </row>
    <row r="732" spans="1:13" x14ac:dyDescent="0.25">
      <c r="A732" s="1">
        <v>42370</v>
      </c>
      <c r="B732" s="2">
        <v>-5.9</v>
      </c>
      <c r="C732" s="2">
        <v>-5.6</v>
      </c>
      <c r="D732" s="2">
        <v>-6.3</v>
      </c>
      <c r="E732" s="2">
        <v>-4</v>
      </c>
      <c r="F732" s="2">
        <v>-6.5</v>
      </c>
      <c r="G732" s="2">
        <v>-5.7</v>
      </c>
      <c r="H732" s="2">
        <f>AVERAGE(weather.tbl[[#This Row],[Estevan]:[Kipling]])</f>
        <v>-5.666666666666667</v>
      </c>
      <c r="I732" s="2">
        <f>_xlfn.STDEV.S(weather.tbl[[#This Row],[Estevan]:[Kipling]])</f>
        <v>0.8869423130433417</v>
      </c>
      <c r="J732" s="2">
        <f t="shared" si="11"/>
        <v>-14.4</v>
      </c>
      <c r="K732">
        <f>DAY(weather.tbl[[#This Row],[Date]])</f>
        <v>1</v>
      </c>
      <c r="L732">
        <f>MONTH(weather.tbl[[#This Row],[Date]])</f>
        <v>1</v>
      </c>
      <c r="M732">
        <f>YEAR(weather.tbl[[#This Row],[Date]])</f>
        <v>2016</v>
      </c>
    </row>
    <row r="733" spans="1:13" x14ac:dyDescent="0.25">
      <c r="A733" s="1">
        <v>42371</v>
      </c>
      <c r="B733" s="2">
        <v>-9.4</v>
      </c>
      <c r="C733" s="2">
        <v>-10</v>
      </c>
      <c r="D733" s="2">
        <v>-6.5</v>
      </c>
      <c r="E733" s="2">
        <v>-5.5</v>
      </c>
      <c r="F733" s="2">
        <v>-7.7</v>
      </c>
      <c r="G733" s="2">
        <v>-6.1</v>
      </c>
      <c r="H733" s="2">
        <f>AVERAGE(weather.tbl[[#This Row],[Estevan]:[Kipling]])</f>
        <v>-7.5333333333333341</v>
      </c>
      <c r="I733" s="2">
        <f>_xlfn.STDEV.S(weather.tbl[[#This Row],[Estevan]:[Kipling]])</f>
        <v>1.8359375443262385</v>
      </c>
      <c r="J733" s="2">
        <f t="shared" si="11"/>
        <v>-12.619047619047619</v>
      </c>
      <c r="K733">
        <f>DAY(weather.tbl[[#This Row],[Date]])</f>
        <v>2</v>
      </c>
      <c r="L733">
        <f>MONTH(weather.tbl[[#This Row],[Date]])</f>
        <v>1</v>
      </c>
      <c r="M733">
        <f>YEAR(weather.tbl[[#This Row],[Date]])</f>
        <v>2016</v>
      </c>
    </row>
    <row r="734" spans="1:13" x14ac:dyDescent="0.25">
      <c r="A734" s="1">
        <v>42372</v>
      </c>
      <c r="B734" s="2">
        <v>-11.2</v>
      </c>
      <c r="C734" s="2">
        <v>-12.8</v>
      </c>
      <c r="D734" s="2">
        <v>-10</v>
      </c>
      <c r="E734" s="2">
        <v>-10.8</v>
      </c>
      <c r="F734" s="2">
        <v>-11.8</v>
      </c>
      <c r="G734" s="2">
        <v>-9</v>
      </c>
      <c r="H734" s="2">
        <f>AVERAGE(weather.tbl[[#This Row],[Estevan]:[Kipling]])</f>
        <v>-10.933333333333332</v>
      </c>
      <c r="I734" s="2">
        <f>_xlfn.STDEV.S(weather.tbl[[#This Row],[Estevan]:[Kipling]])</f>
        <v>1.3366625103842411</v>
      </c>
      <c r="J734" s="2">
        <f t="shared" si="11"/>
        <v>-11.352380952380953</v>
      </c>
      <c r="K734">
        <f>DAY(weather.tbl[[#This Row],[Date]])</f>
        <v>3</v>
      </c>
      <c r="L734">
        <f>MONTH(weather.tbl[[#This Row],[Date]])</f>
        <v>1</v>
      </c>
      <c r="M734">
        <f>YEAR(weather.tbl[[#This Row],[Date]])</f>
        <v>2016</v>
      </c>
    </row>
    <row r="735" spans="1:13" x14ac:dyDescent="0.25">
      <c r="A735" s="1">
        <v>42373</v>
      </c>
      <c r="B735" s="2">
        <v>-7.8</v>
      </c>
      <c r="C735" s="2">
        <v>-8.6</v>
      </c>
      <c r="D735" s="2">
        <v>-10</v>
      </c>
      <c r="E735" s="2">
        <v>-8.8000000000000007</v>
      </c>
      <c r="F735" s="2">
        <v>-8.1999999999999993</v>
      </c>
      <c r="G735" s="2">
        <v>-5.9</v>
      </c>
      <c r="H735" s="2">
        <f>AVERAGE(weather.tbl[[#This Row],[Estevan]:[Kipling]])</f>
        <v>-8.2166666666666668</v>
      </c>
      <c r="I735" s="2">
        <f>_xlfn.STDEV.S(weather.tbl[[#This Row],[Estevan]:[Kipling]])</f>
        <v>1.3570801990548174</v>
      </c>
      <c r="J735" s="2">
        <f t="shared" si="11"/>
        <v>-10.476190476190476</v>
      </c>
      <c r="K735">
        <f>DAY(weather.tbl[[#This Row],[Date]])</f>
        <v>4</v>
      </c>
      <c r="L735">
        <f>MONTH(weather.tbl[[#This Row],[Date]])</f>
        <v>1</v>
      </c>
      <c r="M735">
        <f>YEAR(weather.tbl[[#This Row],[Date]])</f>
        <v>2016</v>
      </c>
    </row>
    <row r="736" spans="1:13" x14ac:dyDescent="0.25">
      <c r="A736" s="1">
        <v>42374</v>
      </c>
      <c r="B736" s="2">
        <v>-12.1</v>
      </c>
      <c r="C736" s="2">
        <v>-12.5</v>
      </c>
      <c r="D736" s="2">
        <v>-10</v>
      </c>
      <c r="E736" s="2">
        <v>-10.8</v>
      </c>
      <c r="F736" s="2">
        <v>-11.7</v>
      </c>
      <c r="G736" s="2">
        <v>-10.9</v>
      </c>
      <c r="H736" s="2">
        <f>AVERAGE(weather.tbl[[#This Row],[Estevan]:[Kipling]])</f>
        <v>-11.333333333333336</v>
      </c>
      <c r="I736" s="2">
        <f>_xlfn.STDEV.S(weather.tbl[[#This Row],[Estevan]:[Kipling]])</f>
        <v>0.93094933625126253</v>
      </c>
      <c r="J736" s="2">
        <f t="shared" si="11"/>
        <v>-9.6714285714285726</v>
      </c>
      <c r="K736">
        <f>DAY(weather.tbl[[#This Row],[Date]])</f>
        <v>5</v>
      </c>
      <c r="L736">
        <f>MONTH(weather.tbl[[#This Row],[Date]])</f>
        <v>1</v>
      </c>
      <c r="M736">
        <f>YEAR(weather.tbl[[#This Row],[Date]])</f>
        <v>2016</v>
      </c>
    </row>
    <row r="737" spans="1:13" x14ac:dyDescent="0.25">
      <c r="A737" s="1">
        <v>42375</v>
      </c>
      <c r="B737" s="2">
        <v>-6.6</v>
      </c>
      <c r="C737" s="2">
        <v>-6.6</v>
      </c>
      <c r="D737" s="2">
        <v>-8</v>
      </c>
      <c r="E737" s="2">
        <v>-7</v>
      </c>
      <c r="F737" s="2">
        <v>-7.5</v>
      </c>
      <c r="G737" s="2">
        <v>-6.6</v>
      </c>
      <c r="H737" s="2">
        <f>AVERAGE(weather.tbl[[#This Row],[Estevan]:[Kipling]])</f>
        <v>-7.0500000000000007</v>
      </c>
      <c r="I737" s="2">
        <f>_xlfn.STDEV.S(weather.tbl[[#This Row],[Estevan]:[Kipling]])</f>
        <v>0.58566201857385314</v>
      </c>
      <c r="J737" s="2">
        <f t="shared" si="11"/>
        <v>-8.7166666666666668</v>
      </c>
      <c r="K737">
        <f>DAY(weather.tbl[[#This Row],[Date]])</f>
        <v>6</v>
      </c>
      <c r="L737">
        <f>MONTH(weather.tbl[[#This Row],[Date]])</f>
        <v>1</v>
      </c>
      <c r="M737">
        <f>YEAR(weather.tbl[[#This Row],[Date]])</f>
        <v>2016</v>
      </c>
    </row>
    <row r="738" spans="1:13" x14ac:dyDescent="0.25">
      <c r="A738" s="1">
        <v>42376</v>
      </c>
      <c r="B738" s="2">
        <v>-7.8</v>
      </c>
      <c r="C738" s="2">
        <v>-9.3000000000000007</v>
      </c>
      <c r="D738" s="2">
        <v>-8.5</v>
      </c>
      <c r="E738" s="2">
        <v>-5.8</v>
      </c>
      <c r="F738" s="2">
        <v>-7.5</v>
      </c>
      <c r="G738" s="2">
        <v>-7.9</v>
      </c>
      <c r="H738" s="2">
        <f>AVERAGE(weather.tbl[[#This Row],[Estevan]:[Kipling]])</f>
        <v>-7.8000000000000007</v>
      </c>
      <c r="I738" s="2">
        <f>_xlfn.STDEV.S(weather.tbl[[#This Row],[Estevan]:[Kipling]])</f>
        <v>1.1696153213770784</v>
      </c>
      <c r="J738" s="2">
        <f t="shared" si="11"/>
        <v>-8.3619047619047624</v>
      </c>
      <c r="K738">
        <f>DAY(weather.tbl[[#This Row],[Date]])</f>
        <v>7</v>
      </c>
      <c r="L738">
        <f>MONTH(weather.tbl[[#This Row],[Date]])</f>
        <v>1</v>
      </c>
      <c r="M738">
        <f>YEAR(weather.tbl[[#This Row],[Date]])</f>
        <v>2016</v>
      </c>
    </row>
    <row r="739" spans="1:13" x14ac:dyDescent="0.25">
      <c r="A739" s="1">
        <v>42377</v>
      </c>
      <c r="B739" s="2">
        <v>-16</v>
      </c>
      <c r="C739" s="2">
        <v>-16.899999999999999</v>
      </c>
      <c r="D739" s="2">
        <v>-15.8</v>
      </c>
      <c r="E739" s="2">
        <v>-17</v>
      </c>
      <c r="F739" s="2">
        <v>-13.5</v>
      </c>
      <c r="G739" s="2">
        <v>-17.8</v>
      </c>
      <c r="H739" s="2">
        <f>AVERAGE(weather.tbl[[#This Row],[Estevan]:[Kipling]])</f>
        <v>-16.166666666666668</v>
      </c>
      <c r="I739" s="2">
        <f>_xlfn.STDEV.S(weather.tbl[[#This Row],[Estevan]:[Kipling]])</f>
        <v>1.4948801512718892</v>
      </c>
      <c r="J739" s="2">
        <f t="shared" si="11"/>
        <v>-9.8619047619047624</v>
      </c>
      <c r="K739">
        <f>DAY(weather.tbl[[#This Row],[Date]])</f>
        <v>8</v>
      </c>
      <c r="L739">
        <f>MONTH(weather.tbl[[#This Row],[Date]])</f>
        <v>1</v>
      </c>
      <c r="M739">
        <f>YEAR(weather.tbl[[#This Row],[Date]])</f>
        <v>2016</v>
      </c>
    </row>
    <row r="740" spans="1:13" x14ac:dyDescent="0.25">
      <c r="A740" s="1">
        <v>42378</v>
      </c>
      <c r="B740" s="2">
        <v>-22.7</v>
      </c>
      <c r="C740" s="2">
        <v>-23.4</v>
      </c>
      <c r="D740" s="2">
        <v>-20.8</v>
      </c>
      <c r="E740" s="2">
        <v>-20</v>
      </c>
      <c r="F740" s="2">
        <v>-22</v>
      </c>
      <c r="G740" s="2">
        <v>-22</v>
      </c>
      <c r="H740" s="2">
        <f>AVERAGE(weather.tbl[[#This Row],[Estevan]:[Kipling]])</f>
        <v>-21.816666666666663</v>
      </c>
      <c r="I740" s="2">
        <f>_xlfn.STDEV.S(weather.tbl[[#This Row],[Estevan]:[Kipling]])</f>
        <v>1.240026881429054</v>
      </c>
      <c r="J740" s="2">
        <f t="shared" si="11"/>
        <v>-11.902380952380952</v>
      </c>
      <c r="K740">
        <f>DAY(weather.tbl[[#This Row],[Date]])</f>
        <v>9</v>
      </c>
      <c r="L740">
        <f>MONTH(weather.tbl[[#This Row],[Date]])</f>
        <v>1</v>
      </c>
      <c r="M740">
        <f>YEAR(weather.tbl[[#This Row],[Date]])</f>
        <v>2016</v>
      </c>
    </row>
    <row r="741" spans="1:13" x14ac:dyDescent="0.25">
      <c r="A741" s="1">
        <v>42379</v>
      </c>
      <c r="B741" s="2">
        <v>-20.8</v>
      </c>
      <c r="C741" s="2">
        <v>-22.3</v>
      </c>
      <c r="D741" s="2">
        <v>-22.5</v>
      </c>
      <c r="E741" s="2">
        <v>-19.8</v>
      </c>
      <c r="F741" s="2">
        <v>-22.6</v>
      </c>
      <c r="G741" s="2">
        <v>-22.6</v>
      </c>
      <c r="H741" s="2">
        <f>AVERAGE(weather.tbl[[#This Row],[Estevan]:[Kipling]])</f>
        <v>-21.766666666666666</v>
      </c>
      <c r="I741" s="2">
        <f>_xlfn.STDEV.S(weather.tbl[[#This Row],[Estevan]:[Kipling]])</f>
        <v>1.184342292864131</v>
      </c>
      <c r="J741" s="2">
        <f t="shared" si="11"/>
        <v>-13.450000000000001</v>
      </c>
      <c r="K741">
        <f>DAY(weather.tbl[[#This Row],[Date]])</f>
        <v>10</v>
      </c>
      <c r="L741">
        <f>MONTH(weather.tbl[[#This Row],[Date]])</f>
        <v>1</v>
      </c>
      <c r="M741">
        <f>YEAR(weather.tbl[[#This Row],[Date]])</f>
        <v>2016</v>
      </c>
    </row>
    <row r="742" spans="1:13" x14ac:dyDescent="0.25">
      <c r="A742" s="1">
        <v>42380</v>
      </c>
      <c r="B742" s="2">
        <v>-17.2</v>
      </c>
      <c r="C742" s="2">
        <v>-18.3</v>
      </c>
      <c r="D742" s="2">
        <v>-17</v>
      </c>
      <c r="E742" s="2">
        <v>-14.3</v>
      </c>
      <c r="F742" s="2">
        <v>-19.2</v>
      </c>
      <c r="G742" s="2">
        <v>-18.7</v>
      </c>
      <c r="H742" s="2">
        <f>AVERAGE(weather.tbl[[#This Row],[Estevan]:[Kipling]])</f>
        <v>-17.45</v>
      </c>
      <c r="I742" s="2">
        <f>_xlfn.STDEV.S(weather.tbl[[#This Row],[Estevan]:[Kipling]])</f>
        <v>1.7626684316683039</v>
      </c>
      <c r="J742" s="2">
        <f t="shared" si="11"/>
        <v>-14.769047619047621</v>
      </c>
      <c r="K742">
        <f>DAY(weather.tbl[[#This Row],[Date]])</f>
        <v>11</v>
      </c>
      <c r="L742">
        <f>MONTH(weather.tbl[[#This Row],[Date]])</f>
        <v>1</v>
      </c>
      <c r="M742">
        <f>YEAR(weather.tbl[[#This Row],[Date]])</f>
        <v>2016</v>
      </c>
    </row>
    <row r="743" spans="1:13" x14ac:dyDescent="0.25">
      <c r="A743" s="1">
        <v>42381</v>
      </c>
      <c r="B743" s="2">
        <v>-16.399999999999999</v>
      </c>
      <c r="C743" s="2">
        <v>-15.8</v>
      </c>
      <c r="D743" s="2">
        <v>-16.5</v>
      </c>
      <c r="E743" s="2">
        <v>-14.3</v>
      </c>
      <c r="F743" s="2">
        <v>-19.399999999999999</v>
      </c>
      <c r="G743" s="2">
        <v>-16.2</v>
      </c>
      <c r="H743" s="2">
        <f>AVERAGE(weather.tbl[[#This Row],[Estevan]:[Kipling]])</f>
        <v>-16.433333333333334</v>
      </c>
      <c r="I743" s="2">
        <f>_xlfn.STDEV.S(weather.tbl[[#This Row],[Estevan]:[Kipling]])</f>
        <v>1.6621271511730575</v>
      </c>
      <c r="J743" s="2">
        <f t="shared" si="11"/>
        <v>-15.497619047619049</v>
      </c>
      <c r="K743">
        <f>DAY(weather.tbl[[#This Row],[Date]])</f>
        <v>12</v>
      </c>
      <c r="L743">
        <f>MONTH(weather.tbl[[#This Row],[Date]])</f>
        <v>1</v>
      </c>
      <c r="M743">
        <f>YEAR(weather.tbl[[#This Row],[Date]])</f>
        <v>2016</v>
      </c>
    </row>
    <row r="744" spans="1:13" x14ac:dyDescent="0.25">
      <c r="A744" s="1">
        <v>42382</v>
      </c>
      <c r="B744" s="2">
        <v>-8.4</v>
      </c>
      <c r="C744" s="2">
        <v>-10.9</v>
      </c>
      <c r="D744" s="2">
        <v>-12.5</v>
      </c>
      <c r="E744" s="2">
        <v>-9.8000000000000007</v>
      </c>
      <c r="F744" s="2">
        <v>-11.1</v>
      </c>
      <c r="G744" s="2">
        <v>-11.2</v>
      </c>
      <c r="H744" s="2">
        <f>AVERAGE(weather.tbl[[#This Row],[Estevan]:[Kipling]])</f>
        <v>-10.65</v>
      </c>
      <c r="I744" s="2">
        <f>_xlfn.STDEV.S(weather.tbl[[#This Row],[Estevan]:[Kipling]])</f>
        <v>1.3982131454109383</v>
      </c>
      <c r="J744" s="2">
        <f t="shared" si="11"/>
        <v>-16.011904761904763</v>
      </c>
      <c r="K744">
        <f>DAY(weather.tbl[[#This Row],[Date]])</f>
        <v>13</v>
      </c>
      <c r="L744">
        <f>MONTH(weather.tbl[[#This Row],[Date]])</f>
        <v>1</v>
      </c>
      <c r="M744">
        <f>YEAR(weather.tbl[[#This Row],[Date]])</f>
        <v>2016</v>
      </c>
    </row>
    <row r="745" spans="1:13" x14ac:dyDescent="0.25">
      <c r="A745" s="1">
        <v>42383</v>
      </c>
      <c r="B745" s="2">
        <v>-9.9</v>
      </c>
      <c r="C745" s="2">
        <v>-9.4</v>
      </c>
      <c r="D745" s="2">
        <v>-11</v>
      </c>
      <c r="E745" s="2">
        <v>-8.5</v>
      </c>
      <c r="F745" s="2">
        <v>-13.3</v>
      </c>
      <c r="G745" s="2">
        <v>-12.7</v>
      </c>
      <c r="H745" s="2">
        <f>AVERAGE(weather.tbl[[#This Row],[Estevan]:[Kipling]])</f>
        <v>-10.799999999999999</v>
      </c>
      <c r="I745" s="2">
        <f>_xlfn.STDEV.S(weather.tbl[[#This Row],[Estevan]:[Kipling]])</f>
        <v>1.8952572384771373</v>
      </c>
      <c r="J745" s="2">
        <f t="shared" si="11"/>
        <v>-16.440476190476193</v>
      </c>
      <c r="K745">
        <f>DAY(weather.tbl[[#This Row],[Date]])</f>
        <v>14</v>
      </c>
      <c r="L745">
        <f>MONTH(weather.tbl[[#This Row],[Date]])</f>
        <v>1</v>
      </c>
      <c r="M745">
        <f>YEAR(weather.tbl[[#This Row],[Date]])</f>
        <v>2016</v>
      </c>
    </row>
    <row r="746" spans="1:13" x14ac:dyDescent="0.25">
      <c r="A746" s="1">
        <v>42384</v>
      </c>
      <c r="B746" s="2">
        <v>-16.3</v>
      </c>
      <c r="C746" s="2">
        <v>-18.8</v>
      </c>
      <c r="D746" s="2">
        <v>-17.3</v>
      </c>
      <c r="E746" s="2">
        <v>-21</v>
      </c>
      <c r="F746" s="2">
        <v>-20.6</v>
      </c>
      <c r="G746" s="2">
        <v>-20.7</v>
      </c>
      <c r="H746" s="2">
        <f>AVERAGE(weather.tbl[[#This Row],[Estevan]:[Kipling]])</f>
        <v>-19.116666666666667</v>
      </c>
      <c r="I746" s="2">
        <f>_xlfn.STDEV.S(weather.tbl[[#This Row],[Estevan]:[Kipling]])</f>
        <v>1.9793096439583842</v>
      </c>
      <c r="J746" s="2">
        <f t="shared" si="11"/>
        <v>-16.861904761904761</v>
      </c>
      <c r="K746">
        <f>DAY(weather.tbl[[#This Row],[Date]])</f>
        <v>15</v>
      </c>
      <c r="L746">
        <f>MONTH(weather.tbl[[#This Row],[Date]])</f>
        <v>1</v>
      </c>
      <c r="M746">
        <f>YEAR(weather.tbl[[#This Row],[Date]])</f>
        <v>2016</v>
      </c>
    </row>
    <row r="747" spans="1:13" x14ac:dyDescent="0.25">
      <c r="A747" s="1">
        <v>42385</v>
      </c>
      <c r="B747" s="2">
        <v>-28.1</v>
      </c>
      <c r="C747" s="2">
        <v>-29.5</v>
      </c>
      <c r="D747" s="2">
        <v>-27</v>
      </c>
      <c r="E747" s="2">
        <v>-28</v>
      </c>
      <c r="F747" s="2">
        <v>-27.3</v>
      </c>
      <c r="G747" s="2">
        <v>-26.8</v>
      </c>
      <c r="H747" s="2">
        <f>AVERAGE(weather.tbl[[#This Row],[Estevan]:[Kipling]])</f>
        <v>-27.783333333333335</v>
      </c>
      <c r="I747" s="2">
        <f>_xlfn.STDEV.S(weather.tbl[[#This Row],[Estevan]:[Kipling]])</f>
        <v>0.99079092984678985</v>
      </c>
      <c r="J747" s="2">
        <f t="shared" si="11"/>
        <v>-17.714285714285715</v>
      </c>
      <c r="K747">
        <f>DAY(weather.tbl[[#This Row],[Date]])</f>
        <v>16</v>
      </c>
      <c r="L747">
        <f>MONTH(weather.tbl[[#This Row],[Date]])</f>
        <v>1</v>
      </c>
      <c r="M747">
        <f>YEAR(weather.tbl[[#This Row],[Date]])</f>
        <v>2016</v>
      </c>
    </row>
    <row r="748" spans="1:13" x14ac:dyDescent="0.25">
      <c r="A748" s="1">
        <v>42386</v>
      </c>
      <c r="B748" s="2">
        <v>-23.1</v>
      </c>
      <c r="C748" s="2">
        <v>-25</v>
      </c>
      <c r="D748" s="2">
        <v>-23.5</v>
      </c>
      <c r="E748" s="2">
        <v>-23.5</v>
      </c>
      <c r="F748" s="2">
        <v>-20.5</v>
      </c>
      <c r="G748" s="2">
        <v>-20.9</v>
      </c>
      <c r="H748" s="2">
        <f>AVERAGE(weather.tbl[[#This Row],[Estevan]:[Kipling]])</f>
        <v>-22.75</v>
      </c>
      <c r="I748" s="2">
        <f>_xlfn.STDEV.S(weather.tbl[[#This Row],[Estevan]:[Kipling]])</f>
        <v>1.7201744097619873</v>
      </c>
      <c r="J748" s="2">
        <f t="shared" si="11"/>
        <v>-17.854761904761904</v>
      </c>
      <c r="K748">
        <f>DAY(weather.tbl[[#This Row],[Date]])</f>
        <v>17</v>
      </c>
      <c r="L748">
        <f>MONTH(weather.tbl[[#This Row],[Date]])</f>
        <v>1</v>
      </c>
      <c r="M748">
        <f>YEAR(weather.tbl[[#This Row],[Date]])</f>
        <v>2016</v>
      </c>
    </row>
    <row r="749" spans="1:13" x14ac:dyDescent="0.25">
      <c r="A749" s="1">
        <v>42387</v>
      </c>
      <c r="B749" s="2">
        <v>-21.2</v>
      </c>
      <c r="C749" s="2">
        <v>-21.1</v>
      </c>
      <c r="D749" s="2">
        <v>-20.3</v>
      </c>
      <c r="E749" s="2">
        <v>-18</v>
      </c>
      <c r="F749" s="2">
        <v>-19.100000000000001</v>
      </c>
      <c r="G749" s="2">
        <v>-16.7</v>
      </c>
      <c r="H749" s="2">
        <f>AVERAGE(weather.tbl[[#This Row],[Estevan]:[Kipling]])</f>
        <v>-19.399999999999999</v>
      </c>
      <c r="I749" s="2">
        <f>_xlfn.STDEV.S(weather.tbl[[#This Row],[Estevan]:[Kipling]])</f>
        <v>1.804438970982394</v>
      </c>
      <c r="J749" s="2">
        <f t="shared" si="11"/>
        <v>-18.133333333333333</v>
      </c>
      <c r="K749">
        <f>DAY(weather.tbl[[#This Row],[Date]])</f>
        <v>18</v>
      </c>
      <c r="L749">
        <f>MONTH(weather.tbl[[#This Row],[Date]])</f>
        <v>1</v>
      </c>
      <c r="M749">
        <f>YEAR(weather.tbl[[#This Row],[Date]])</f>
        <v>2016</v>
      </c>
    </row>
    <row r="750" spans="1:13" x14ac:dyDescent="0.25">
      <c r="A750" s="1">
        <v>42388</v>
      </c>
      <c r="B750" s="2">
        <v>-9.8000000000000007</v>
      </c>
      <c r="C750" s="2">
        <v>-9.3000000000000007</v>
      </c>
      <c r="D750" s="2">
        <v>-11.5</v>
      </c>
      <c r="E750" s="2">
        <v>-9.3000000000000007</v>
      </c>
      <c r="F750" s="2">
        <v>-11.5</v>
      </c>
      <c r="G750" s="2">
        <v>-11.2</v>
      </c>
      <c r="H750" s="2">
        <f>AVERAGE(weather.tbl[[#This Row],[Estevan]:[Kipling]])</f>
        <v>-10.433333333333335</v>
      </c>
      <c r="I750" s="2">
        <f>_xlfn.STDEV.S(weather.tbl[[#This Row],[Estevan]:[Kipling]])</f>
        <v>1.0801234497346428</v>
      </c>
      <c r="J750" s="2">
        <f t="shared" si="11"/>
        <v>-17.276190476190475</v>
      </c>
      <c r="K750">
        <f>DAY(weather.tbl[[#This Row],[Date]])</f>
        <v>19</v>
      </c>
      <c r="L750">
        <f>MONTH(weather.tbl[[#This Row],[Date]])</f>
        <v>1</v>
      </c>
      <c r="M750">
        <f>YEAR(weather.tbl[[#This Row],[Date]])</f>
        <v>2016</v>
      </c>
    </row>
    <row r="751" spans="1:13" x14ac:dyDescent="0.25">
      <c r="A751" s="1">
        <v>42389</v>
      </c>
      <c r="B751" s="2">
        <v>-9.5</v>
      </c>
      <c r="C751" s="2">
        <v>-10.1</v>
      </c>
      <c r="D751" s="2">
        <v>-7.3</v>
      </c>
      <c r="E751" s="2">
        <v>-9.3000000000000007</v>
      </c>
      <c r="F751" s="2">
        <v>-8.6999999999999993</v>
      </c>
      <c r="G751" s="2">
        <v>-10.1</v>
      </c>
      <c r="H751" s="2">
        <f>AVERAGE(weather.tbl[[#This Row],[Estevan]:[Kipling]])</f>
        <v>-9.1666666666666679</v>
      </c>
      <c r="I751" s="2">
        <f>_xlfn.STDEV.S(weather.tbl[[#This Row],[Estevan]:[Kipling]])</f>
        <v>1.0557777543908711</v>
      </c>
      <c r="J751" s="2">
        <f t="shared" si="11"/>
        <v>-17.064285714285713</v>
      </c>
      <c r="K751">
        <f>DAY(weather.tbl[[#This Row],[Date]])</f>
        <v>20</v>
      </c>
      <c r="L751">
        <f>MONTH(weather.tbl[[#This Row],[Date]])</f>
        <v>1</v>
      </c>
      <c r="M751">
        <f>YEAR(weather.tbl[[#This Row],[Date]])</f>
        <v>2016</v>
      </c>
    </row>
    <row r="752" spans="1:13" x14ac:dyDescent="0.25">
      <c r="A752" s="1">
        <v>42390</v>
      </c>
      <c r="B752" s="2">
        <v>-15.2</v>
      </c>
      <c r="C752" s="2">
        <v>-15.4</v>
      </c>
      <c r="D752" s="2">
        <v>-12.3</v>
      </c>
      <c r="E752" s="2">
        <v>-11.5</v>
      </c>
      <c r="F752" s="2">
        <v>-16.5</v>
      </c>
      <c r="G752" s="2">
        <v>-13.7</v>
      </c>
      <c r="H752" s="2">
        <f>AVERAGE(weather.tbl[[#This Row],[Estevan]:[Kipling]])</f>
        <v>-14.100000000000001</v>
      </c>
      <c r="I752" s="2">
        <f>_xlfn.STDEV.S(weather.tbl[[#This Row],[Estevan]:[Kipling]])</f>
        <v>1.9401030900444289</v>
      </c>
      <c r="J752" s="2">
        <f t="shared" si="11"/>
        <v>-17.535714285714288</v>
      </c>
      <c r="K752">
        <f>DAY(weather.tbl[[#This Row],[Date]])</f>
        <v>21</v>
      </c>
      <c r="L752">
        <f>MONTH(weather.tbl[[#This Row],[Date]])</f>
        <v>1</v>
      </c>
      <c r="M752">
        <f>YEAR(weather.tbl[[#This Row],[Date]])</f>
        <v>2016</v>
      </c>
    </row>
    <row r="753" spans="1:13" x14ac:dyDescent="0.25">
      <c r="A753" s="1">
        <v>42391</v>
      </c>
      <c r="B753" s="2">
        <v>-7.9</v>
      </c>
      <c r="C753" s="2">
        <v>-7.3</v>
      </c>
      <c r="D753" s="2">
        <v>-11</v>
      </c>
      <c r="E753" s="2">
        <v>-6.8</v>
      </c>
      <c r="F753" s="2">
        <v>-11.7</v>
      </c>
      <c r="G753" s="2">
        <v>-8.6999999999999993</v>
      </c>
      <c r="H753" s="2">
        <f>AVERAGE(weather.tbl[[#This Row],[Estevan]:[Kipling]])</f>
        <v>-8.9</v>
      </c>
      <c r="I753" s="2">
        <f>_xlfn.STDEV.S(weather.tbl[[#This Row],[Estevan]:[Kipling]])</f>
        <v>2.0129580224137777</v>
      </c>
      <c r="J753" s="2">
        <f t="shared" si="11"/>
        <v>-16.076190476190479</v>
      </c>
      <c r="K753">
        <f>DAY(weather.tbl[[#This Row],[Date]])</f>
        <v>22</v>
      </c>
      <c r="L753">
        <f>MONTH(weather.tbl[[#This Row],[Date]])</f>
        <v>1</v>
      </c>
      <c r="M753">
        <f>YEAR(weather.tbl[[#This Row],[Date]])</f>
        <v>2016</v>
      </c>
    </row>
    <row r="754" spans="1:13" x14ac:dyDescent="0.25">
      <c r="A754" s="1">
        <v>42392</v>
      </c>
      <c r="B754" s="2">
        <v>-1.6</v>
      </c>
      <c r="C754" s="2">
        <v>-1.8</v>
      </c>
      <c r="D754" s="2">
        <v>-2.8</v>
      </c>
      <c r="E754" s="2">
        <v>-2</v>
      </c>
      <c r="F754" s="2">
        <v>-0.5</v>
      </c>
      <c r="G754" s="2">
        <v>-2.1</v>
      </c>
      <c r="H754" s="2">
        <f>AVERAGE(weather.tbl[[#This Row],[Estevan]:[Kipling]])</f>
        <v>-1.7999999999999998</v>
      </c>
      <c r="I754" s="2">
        <f>_xlfn.STDEV.S(weather.tbl[[#This Row],[Estevan]:[Kipling]])</f>
        <v>0.75630681604756234</v>
      </c>
      <c r="J754" s="2">
        <f t="shared" si="11"/>
        <v>-12.364285714285714</v>
      </c>
      <c r="K754">
        <f>DAY(weather.tbl[[#This Row],[Date]])</f>
        <v>23</v>
      </c>
      <c r="L754">
        <f>MONTH(weather.tbl[[#This Row],[Date]])</f>
        <v>1</v>
      </c>
      <c r="M754">
        <f>YEAR(weather.tbl[[#This Row],[Date]])</f>
        <v>2016</v>
      </c>
    </row>
    <row r="755" spans="1:13" x14ac:dyDescent="0.25">
      <c r="A755" s="1">
        <v>42393</v>
      </c>
      <c r="B755" s="2">
        <v>-5.5</v>
      </c>
      <c r="C755" s="2">
        <v>-6</v>
      </c>
      <c r="D755" s="2">
        <v>-5.5</v>
      </c>
      <c r="E755" s="2">
        <v>-5.5</v>
      </c>
      <c r="F755" s="2">
        <v>-5.3</v>
      </c>
      <c r="G755" s="2">
        <v>-6.2</v>
      </c>
      <c r="H755" s="2">
        <f>AVERAGE(weather.tbl[[#This Row],[Estevan]:[Kipling]])</f>
        <v>-5.666666666666667</v>
      </c>
      <c r="I755" s="2">
        <f>_xlfn.STDEV.S(weather.tbl[[#This Row],[Estevan]:[Kipling]])</f>
        <v>0.35023801430836538</v>
      </c>
      <c r="J755" s="2">
        <f t="shared" si="11"/>
        <v>-9.9238095238095241</v>
      </c>
      <c r="K755">
        <f>DAY(weather.tbl[[#This Row],[Date]])</f>
        <v>24</v>
      </c>
      <c r="L755">
        <f>MONTH(weather.tbl[[#This Row],[Date]])</f>
        <v>1</v>
      </c>
      <c r="M755">
        <f>YEAR(weather.tbl[[#This Row],[Date]])</f>
        <v>2016</v>
      </c>
    </row>
    <row r="756" spans="1:13" x14ac:dyDescent="0.25">
      <c r="A756" s="1">
        <v>42394</v>
      </c>
      <c r="B756" s="2">
        <v>-5.7</v>
      </c>
      <c r="C756" s="2">
        <v>-6.1</v>
      </c>
      <c r="D756" s="2">
        <v>-4.8</v>
      </c>
      <c r="E756" s="2">
        <v>-5.5</v>
      </c>
      <c r="F756" s="2">
        <v>-4</v>
      </c>
      <c r="G756" s="2">
        <v>-5.7</v>
      </c>
      <c r="H756" s="2">
        <f>AVERAGE(weather.tbl[[#This Row],[Estevan]:[Kipling]])</f>
        <v>-5.3</v>
      </c>
      <c r="I756" s="2">
        <f>_xlfn.STDEV.S(weather.tbl[[#This Row],[Estevan]:[Kipling]])</f>
        <v>0.76681158050723219</v>
      </c>
      <c r="J756" s="2">
        <f t="shared" si="11"/>
        <v>-7.909523809523809</v>
      </c>
      <c r="K756">
        <f>DAY(weather.tbl[[#This Row],[Date]])</f>
        <v>25</v>
      </c>
      <c r="L756">
        <f>MONTH(weather.tbl[[#This Row],[Date]])</f>
        <v>1</v>
      </c>
      <c r="M756">
        <f>YEAR(weather.tbl[[#This Row],[Date]])</f>
        <v>2016</v>
      </c>
    </row>
    <row r="757" spans="1:13" x14ac:dyDescent="0.25">
      <c r="A757" s="1">
        <v>42395</v>
      </c>
      <c r="B757" s="2">
        <v>-6.3</v>
      </c>
      <c r="C757" s="2">
        <v>-7.4</v>
      </c>
      <c r="D757" s="2">
        <v>-2.2999999999999998</v>
      </c>
      <c r="E757" s="2">
        <v>-5.5</v>
      </c>
      <c r="F757" s="2">
        <v>-6.5</v>
      </c>
      <c r="G757" s="2">
        <v>-3.7</v>
      </c>
      <c r="H757" s="2">
        <f>AVERAGE(weather.tbl[[#This Row],[Estevan]:[Kipling]])</f>
        <v>-5.2833333333333332</v>
      </c>
      <c r="I757" s="2">
        <f>_xlfn.STDEV.S(weather.tbl[[#This Row],[Estevan]:[Kipling]])</f>
        <v>1.920850506069296</v>
      </c>
      <c r="J757" s="2">
        <f t="shared" si="11"/>
        <v>-7.1738095238095232</v>
      </c>
      <c r="K757">
        <f>DAY(weather.tbl[[#This Row],[Date]])</f>
        <v>26</v>
      </c>
      <c r="L757">
        <f>MONTH(weather.tbl[[#This Row],[Date]])</f>
        <v>1</v>
      </c>
      <c r="M757">
        <f>YEAR(weather.tbl[[#This Row],[Date]])</f>
        <v>2016</v>
      </c>
    </row>
    <row r="758" spans="1:13" x14ac:dyDescent="0.25">
      <c r="A758" s="1">
        <v>42396</v>
      </c>
      <c r="B758" s="2">
        <v>-0.1</v>
      </c>
      <c r="C758" s="2">
        <v>-0.1</v>
      </c>
      <c r="D758" s="2">
        <v>-3</v>
      </c>
      <c r="E758" s="2">
        <v>-5.5</v>
      </c>
      <c r="F758" s="2">
        <v>-1.7</v>
      </c>
      <c r="G758" s="2">
        <v>-2.8</v>
      </c>
      <c r="H758" s="2">
        <f>AVERAGE(weather.tbl[[#This Row],[Estevan]:[Kipling]])</f>
        <v>-2.1999999999999997</v>
      </c>
      <c r="I758" s="2">
        <f>_xlfn.STDEV.S(weather.tbl[[#This Row],[Estevan]:[Kipling]])</f>
        <v>2.0474374227311563</v>
      </c>
      <c r="J758" s="2">
        <f t="shared" si="11"/>
        <v>-6.1785714285714288</v>
      </c>
      <c r="K758">
        <f>DAY(weather.tbl[[#This Row],[Date]])</f>
        <v>27</v>
      </c>
      <c r="L758">
        <f>MONTH(weather.tbl[[#This Row],[Date]])</f>
        <v>1</v>
      </c>
      <c r="M758">
        <f>YEAR(weather.tbl[[#This Row],[Date]])</f>
        <v>2016</v>
      </c>
    </row>
    <row r="759" spans="1:13" x14ac:dyDescent="0.25">
      <c r="A759" s="1">
        <v>42397</v>
      </c>
      <c r="B759" s="2">
        <v>-3.5</v>
      </c>
      <c r="C759" s="2">
        <v>-4.2</v>
      </c>
      <c r="D759" s="2">
        <v>-3.8</v>
      </c>
      <c r="E759" s="2">
        <v>-5.5</v>
      </c>
      <c r="F759" s="2">
        <v>-1.7</v>
      </c>
      <c r="G759" s="2">
        <v>-3.7</v>
      </c>
      <c r="H759" s="2">
        <f>AVERAGE(weather.tbl[[#This Row],[Estevan]:[Kipling]])</f>
        <v>-3.7333333333333329</v>
      </c>
      <c r="I759" s="2">
        <f>_xlfn.STDEV.S(weather.tbl[[#This Row],[Estevan]:[Kipling]])</f>
        <v>1.2274635093014656</v>
      </c>
      <c r="J759" s="2">
        <f t="shared" si="11"/>
        <v>-4.6976190476190478</v>
      </c>
      <c r="K759">
        <f>DAY(weather.tbl[[#This Row],[Date]])</f>
        <v>28</v>
      </c>
      <c r="L759">
        <f>MONTH(weather.tbl[[#This Row],[Date]])</f>
        <v>1</v>
      </c>
      <c r="M759">
        <f>YEAR(weather.tbl[[#This Row],[Date]])</f>
        <v>2016</v>
      </c>
    </row>
    <row r="760" spans="1:13" x14ac:dyDescent="0.25">
      <c r="A760" s="1">
        <v>42398</v>
      </c>
      <c r="B760" s="2">
        <v>1.8</v>
      </c>
      <c r="C760" s="2">
        <v>2.2000000000000002</v>
      </c>
      <c r="D760" s="2">
        <v>0.3</v>
      </c>
      <c r="E760" s="2">
        <v>-5.5</v>
      </c>
      <c r="F760" s="2">
        <v>1.9</v>
      </c>
      <c r="G760" s="2">
        <v>2.1</v>
      </c>
      <c r="H760" s="2">
        <f>AVERAGE(weather.tbl[[#This Row],[Estevan]:[Kipling]])</f>
        <v>0.46666666666666662</v>
      </c>
      <c r="I760" s="2">
        <f>_xlfn.STDEV.S(weather.tbl[[#This Row],[Estevan]:[Kipling]])</f>
        <v>3.0044411571316667</v>
      </c>
      <c r="J760" s="2">
        <f t="shared" si="11"/>
        <v>-3.3595238095238096</v>
      </c>
      <c r="K760">
        <f>DAY(weather.tbl[[#This Row],[Date]])</f>
        <v>29</v>
      </c>
      <c r="L760">
        <f>MONTH(weather.tbl[[#This Row],[Date]])</f>
        <v>1</v>
      </c>
      <c r="M760">
        <f>YEAR(weather.tbl[[#This Row],[Date]])</f>
        <v>2016</v>
      </c>
    </row>
    <row r="761" spans="1:13" x14ac:dyDescent="0.25">
      <c r="A761" s="1">
        <v>42399</v>
      </c>
      <c r="B761" s="2">
        <v>-1.9</v>
      </c>
      <c r="C761" s="2">
        <v>-2.1</v>
      </c>
      <c r="D761" s="2">
        <v>-1.8</v>
      </c>
      <c r="E761" s="2">
        <v>0</v>
      </c>
      <c r="F761" s="2">
        <v>-0.1</v>
      </c>
      <c r="G761" s="2">
        <v>-3.3</v>
      </c>
      <c r="H761" s="2">
        <f>AVERAGE(weather.tbl[[#This Row],[Estevan]:[Kipling]])</f>
        <v>-1.5333333333333332</v>
      </c>
      <c r="I761" s="2">
        <f>_xlfn.STDEV.S(weather.tbl[[#This Row],[Estevan]:[Kipling]])</f>
        <v>1.2691204303243513</v>
      </c>
      <c r="J761" s="2">
        <f t="shared" si="11"/>
        <v>-3.3214285714285716</v>
      </c>
      <c r="K761">
        <f>DAY(weather.tbl[[#This Row],[Date]])</f>
        <v>30</v>
      </c>
      <c r="L761">
        <f>MONTH(weather.tbl[[#This Row],[Date]])</f>
        <v>1</v>
      </c>
      <c r="M761">
        <f>YEAR(weather.tbl[[#This Row],[Date]])</f>
        <v>2016</v>
      </c>
    </row>
    <row r="762" spans="1:13" x14ac:dyDescent="0.25">
      <c r="A762" s="1">
        <v>42400</v>
      </c>
      <c r="B762" s="2">
        <v>-5.4</v>
      </c>
      <c r="C762" s="2">
        <v>-5.7</v>
      </c>
      <c r="D762" s="2">
        <v>-5.8</v>
      </c>
      <c r="E762" s="2">
        <v>-3</v>
      </c>
      <c r="F762" s="2">
        <v>-3.2</v>
      </c>
      <c r="G762" s="2">
        <v>-7.5</v>
      </c>
      <c r="H762" s="2">
        <f>AVERAGE(weather.tbl[[#This Row],[Estevan]:[Kipling]])</f>
        <v>-5.1000000000000005</v>
      </c>
      <c r="I762" s="2">
        <f>_xlfn.STDEV.S(weather.tbl[[#This Row],[Estevan]:[Kipling]])</f>
        <v>1.7158088471621755</v>
      </c>
      <c r="J762" s="2">
        <f t="shared" si="11"/>
        <v>-3.240476190476191</v>
      </c>
      <c r="K762">
        <f>DAY(weather.tbl[[#This Row],[Date]])</f>
        <v>31</v>
      </c>
      <c r="L762">
        <f>MONTH(weather.tbl[[#This Row],[Date]])</f>
        <v>1</v>
      </c>
      <c r="M762">
        <f>YEAR(weather.tbl[[#This Row],[Date]])</f>
        <v>2016</v>
      </c>
    </row>
    <row r="763" spans="1:13" x14ac:dyDescent="0.25">
      <c r="A763" s="1">
        <v>42401</v>
      </c>
      <c r="B763" s="2">
        <v>-7.1</v>
      </c>
      <c r="C763" s="2">
        <v>-7.4</v>
      </c>
      <c r="D763" s="2">
        <v>-7.3</v>
      </c>
      <c r="E763" s="2">
        <v>-5.5</v>
      </c>
      <c r="F763" s="2">
        <v>-5.2</v>
      </c>
      <c r="G763" s="2">
        <v>-6.5</v>
      </c>
      <c r="H763" s="2">
        <f>AVERAGE(weather.tbl[[#This Row],[Estevan]:[Kipling]])</f>
        <v>-6.5</v>
      </c>
      <c r="I763" s="2">
        <f>_xlfn.STDEV.S(weather.tbl[[#This Row],[Estevan]:[Kipling]])</f>
        <v>0.94868329805051377</v>
      </c>
      <c r="J763" s="2">
        <f t="shared" si="11"/>
        <v>-3.4119047619047618</v>
      </c>
      <c r="K763">
        <f>DAY(weather.tbl[[#This Row],[Date]])</f>
        <v>1</v>
      </c>
      <c r="L763">
        <f>MONTH(weather.tbl[[#This Row],[Date]])</f>
        <v>2</v>
      </c>
      <c r="M763">
        <f>YEAR(weather.tbl[[#This Row],[Date]])</f>
        <v>2016</v>
      </c>
    </row>
    <row r="764" spans="1:13" x14ac:dyDescent="0.25">
      <c r="A764" s="1">
        <v>42402</v>
      </c>
      <c r="B764" s="2">
        <v>-8.1999999999999993</v>
      </c>
      <c r="C764" s="2">
        <v>-8.9</v>
      </c>
      <c r="D764" s="2">
        <v>-8</v>
      </c>
      <c r="E764" s="2">
        <v>-7.8</v>
      </c>
      <c r="F764" s="2">
        <v>-9.8000000000000007</v>
      </c>
      <c r="G764" s="2">
        <v>-11</v>
      </c>
      <c r="H764" s="2">
        <f>AVERAGE(weather.tbl[[#This Row],[Estevan]:[Kipling]])</f>
        <v>-8.9500000000000011</v>
      </c>
      <c r="I764" s="2">
        <f>_xlfn.STDEV.S(weather.tbl[[#This Row],[Estevan]:[Kipling]])</f>
        <v>1.2421755109484263</v>
      </c>
      <c r="J764" s="2">
        <f t="shared" si="11"/>
        <v>-3.9357142857142864</v>
      </c>
      <c r="K764">
        <f>DAY(weather.tbl[[#This Row],[Date]])</f>
        <v>2</v>
      </c>
      <c r="L764">
        <f>MONTH(weather.tbl[[#This Row],[Date]])</f>
        <v>2</v>
      </c>
      <c r="M764">
        <f>YEAR(weather.tbl[[#This Row],[Date]])</f>
        <v>2016</v>
      </c>
    </row>
    <row r="765" spans="1:13" x14ac:dyDescent="0.25">
      <c r="A765" s="1">
        <v>42403</v>
      </c>
      <c r="B765" s="2">
        <v>-7.1</v>
      </c>
      <c r="C765" s="2">
        <v>-7.5</v>
      </c>
      <c r="D765" s="2">
        <v>-9.5</v>
      </c>
      <c r="E765" s="2">
        <v>-4.8</v>
      </c>
      <c r="F765" s="2">
        <v>-8.3000000000000007</v>
      </c>
      <c r="G765" s="2">
        <v>-9.3000000000000007</v>
      </c>
      <c r="H765" s="2">
        <f>AVERAGE(weather.tbl[[#This Row],[Estevan]:[Kipling]])</f>
        <v>-7.75</v>
      </c>
      <c r="I765" s="2">
        <f>_xlfn.STDEV.S(weather.tbl[[#This Row],[Estevan]:[Kipling]])</f>
        <v>1.7294507798720402</v>
      </c>
      <c r="J765" s="2">
        <f t="shared" si="11"/>
        <v>-4.7285714285714286</v>
      </c>
      <c r="K765">
        <f>DAY(weather.tbl[[#This Row],[Date]])</f>
        <v>3</v>
      </c>
      <c r="L765">
        <f>MONTH(weather.tbl[[#This Row],[Date]])</f>
        <v>2</v>
      </c>
      <c r="M765">
        <f>YEAR(weather.tbl[[#This Row],[Date]])</f>
        <v>2016</v>
      </c>
    </row>
    <row r="766" spans="1:13" x14ac:dyDescent="0.25">
      <c r="A766" s="1">
        <v>42404</v>
      </c>
      <c r="B766" s="2">
        <v>-5.7</v>
      </c>
      <c r="C766" s="2">
        <v>-8.4</v>
      </c>
      <c r="D766" s="2">
        <v>-6</v>
      </c>
      <c r="E766" s="2">
        <v>-8.3000000000000007</v>
      </c>
      <c r="F766" s="2">
        <v>-7.4</v>
      </c>
      <c r="G766" s="2">
        <v>-7.9</v>
      </c>
      <c r="H766" s="2">
        <f>AVERAGE(weather.tbl[[#This Row],[Estevan]:[Kipling]])</f>
        <v>-7.2833333333333341</v>
      </c>
      <c r="I766" s="2">
        <f>_xlfn.STDEV.S(weather.tbl[[#This Row],[Estevan]:[Kipling]])</f>
        <v>1.1686174167222887</v>
      </c>
      <c r="J766" s="2">
        <f t="shared" si="11"/>
        <v>-5.2357142857142858</v>
      </c>
      <c r="K766">
        <f>DAY(weather.tbl[[#This Row],[Date]])</f>
        <v>4</v>
      </c>
      <c r="L766">
        <f>MONTH(weather.tbl[[#This Row],[Date]])</f>
        <v>2</v>
      </c>
      <c r="M766">
        <f>YEAR(weather.tbl[[#This Row],[Date]])</f>
        <v>2016</v>
      </c>
    </row>
    <row r="767" spans="1:13" x14ac:dyDescent="0.25">
      <c r="A767" s="1">
        <v>42405</v>
      </c>
      <c r="B767" s="2">
        <v>-5</v>
      </c>
      <c r="C767" s="2">
        <v>-5.8</v>
      </c>
      <c r="D767" s="2">
        <v>-4.8</v>
      </c>
      <c r="E767" s="2">
        <v>-4.5</v>
      </c>
      <c r="F767" s="2">
        <v>-6.5</v>
      </c>
      <c r="G767" s="2">
        <v>-6.9</v>
      </c>
      <c r="H767" s="2">
        <f>AVERAGE(weather.tbl[[#This Row],[Estevan]:[Kipling]])</f>
        <v>-5.583333333333333</v>
      </c>
      <c r="I767" s="2">
        <f>_xlfn.STDEV.S(weather.tbl[[#This Row],[Estevan]:[Kipling]])</f>
        <v>0.97450842308656971</v>
      </c>
      <c r="J767" s="2">
        <f t="shared" si="11"/>
        <v>-6.1000000000000005</v>
      </c>
      <c r="K767">
        <f>DAY(weather.tbl[[#This Row],[Date]])</f>
        <v>5</v>
      </c>
      <c r="L767">
        <f>MONTH(weather.tbl[[#This Row],[Date]])</f>
        <v>2</v>
      </c>
      <c r="M767">
        <f>YEAR(weather.tbl[[#This Row],[Date]])</f>
        <v>2016</v>
      </c>
    </row>
    <row r="768" spans="1:13" x14ac:dyDescent="0.25">
      <c r="A768" s="1">
        <v>42406</v>
      </c>
      <c r="B768" s="2">
        <v>1.4</v>
      </c>
      <c r="C768" s="2">
        <v>0.5</v>
      </c>
      <c r="D768" s="2">
        <v>-0.8</v>
      </c>
      <c r="E768" s="2">
        <v>0.5</v>
      </c>
      <c r="F768" s="2">
        <v>1.9</v>
      </c>
      <c r="G768" s="2">
        <v>-0.6</v>
      </c>
      <c r="H768" s="2">
        <f>AVERAGE(weather.tbl[[#This Row],[Estevan]:[Kipling]])</f>
        <v>0.48333333333333334</v>
      </c>
      <c r="I768" s="2">
        <f>_xlfn.STDEV.S(weather.tbl[[#This Row],[Estevan]:[Kipling]])</f>
        <v>1.064737839407742</v>
      </c>
      <c r="J768" s="2">
        <f t="shared" si="11"/>
        <v>-5.8119047619047626</v>
      </c>
      <c r="K768">
        <f>DAY(weather.tbl[[#This Row],[Date]])</f>
        <v>6</v>
      </c>
      <c r="L768">
        <f>MONTH(weather.tbl[[#This Row],[Date]])</f>
        <v>2</v>
      </c>
      <c r="M768">
        <f>YEAR(weather.tbl[[#This Row],[Date]])</f>
        <v>2016</v>
      </c>
    </row>
    <row r="769" spans="1:13" x14ac:dyDescent="0.25">
      <c r="A769" s="1">
        <v>42407</v>
      </c>
      <c r="B769" s="2">
        <v>-2.2000000000000002</v>
      </c>
      <c r="C769" s="2">
        <v>-2.4</v>
      </c>
      <c r="D769" s="2">
        <v>-4.5</v>
      </c>
      <c r="E769" s="2">
        <v>-1</v>
      </c>
      <c r="F769" s="2">
        <v>-1.6</v>
      </c>
      <c r="G769" s="2">
        <v>-6.5</v>
      </c>
      <c r="H769" s="2">
        <f>AVERAGE(weather.tbl[[#This Row],[Estevan]:[Kipling]])</f>
        <v>-3.0333333333333332</v>
      </c>
      <c r="I769" s="2">
        <f>_xlfn.STDEV.S(weather.tbl[[#This Row],[Estevan]:[Kipling]])</f>
        <v>2.0713924463188205</v>
      </c>
      <c r="J769" s="2">
        <f t="shared" si="11"/>
        <v>-5.5166666666666666</v>
      </c>
      <c r="K769">
        <f>DAY(weather.tbl[[#This Row],[Date]])</f>
        <v>7</v>
      </c>
      <c r="L769">
        <f>MONTH(weather.tbl[[#This Row],[Date]])</f>
        <v>2</v>
      </c>
      <c r="M769">
        <f>YEAR(weather.tbl[[#This Row],[Date]])</f>
        <v>2016</v>
      </c>
    </row>
    <row r="770" spans="1:13" x14ac:dyDescent="0.25">
      <c r="A770" s="1">
        <v>42408</v>
      </c>
      <c r="B770" s="2">
        <v>-5.0999999999999996</v>
      </c>
      <c r="C770" s="2">
        <v>-5.2</v>
      </c>
      <c r="D770" s="2">
        <v>-6.5</v>
      </c>
      <c r="E770" s="2">
        <v>-3.5</v>
      </c>
      <c r="F770" s="2">
        <v>-7.1</v>
      </c>
      <c r="G770" s="2">
        <v>-7.5</v>
      </c>
      <c r="H770" s="2">
        <f>AVERAGE(weather.tbl[[#This Row],[Estevan]:[Kipling]])</f>
        <v>-5.8166666666666664</v>
      </c>
      <c r="I770" s="2">
        <f>_xlfn.STDEV.S(weather.tbl[[#This Row],[Estevan]:[Kipling]])</f>
        <v>1.4972196454317124</v>
      </c>
      <c r="J770" s="2">
        <f t="shared" si="11"/>
        <v>-5.4190476190476193</v>
      </c>
      <c r="K770">
        <f>DAY(weather.tbl[[#This Row],[Date]])</f>
        <v>8</v>
      </c>
      <c r="L770">
        <f>MONTH(weather.tbl[[#This Row],[Date]])</f>
        <v>2</v>
      </c>
      <c r="M770">
        <f>YEAR(weather.tbl[[#This Row],[Date]])</f>
        <v>2016</v>
      </c>
    </row>
    <row r="771" spans="1:13" x14ac:dyDescent="0.25">
      <c r="A771" s="1">
        <v>42409</v>
      </c>
      <c r="B771" s="2">
        <v>-3.3</v>
      </c>
      <c r="C771" s="2">
        <v>-3.9</v>
      </c>
      <c r="D771" s="2">
        <v>-4.5</v>
      </c>
      <c r="E771" s="2">
        <v>-3</v>
      </c>
      <c r="F771" s="2">
        <v>-6.1</v>
      </c>
      <c r="G771" s="2">
        <v>-4.5</v>
      </c>
      <c r="H771" s="2">
        <f>AVERAGE(weather.tbl[[#This Row],[Estevan]:[Kipling]])</f>
        <v>-4.2166666666666659</v>
      </c>
      <c r="I771" s="2">
        <f>_xlfn.STDEV.S(weather.tbl[[#This Row],[Estevan]:[Kipling]])</f>
        <v>1.1070983093956344</v>
      </c>
      <c r="J771" s="2">
        <f t="shared" si="11"/>
        <v>-4.742857142857142</v>
      </c>
      <c r="K771">
        <f>DAY(weather.tbl[[#This Row],[Date]])</f>
        <v>9</v>
      </c>
      <c r="L771">
        <f>MONTH(weather.tbl[[#This Row],[Date]])</f>
        <v>2</v>
      </c>
      <c r="M771">
        <f>YEAR(weather.tbl[[#This Row],[Date]])</f>
        <v>2016</v>
      </c>
    </row>
    <row r="772" spans="1:13" x14ac:dyDescent="0.25">
      <c r="A772" s="1">
        <v>42410</v>
      </c>
      <c r="B772" s="2">
        <v>-8</v>
      </c>
      <c r="C772" s="2">
        <v>-6.7</v>
      </c>
      <c r="D772" s="2">
        <v>-11.8</v>
      </c>
      <c r="E772" s="2">
        <v>-5</v>
      </c>
      <c r="F772" s="2">
        <v>-12.5</v>
      </c>
      <c r="G772" s="2">
        <v>-11.3</v>
      </c>
      <c r="H772" s="2">
        <f>AVERAGE(weather.tbl[[#This Row],[Estevan]:[Kipling]])</f>
        <v>-9.2166666666666668</v>
      </c>
      <c r="I772" s="2">
        <f>_xlfn.STDEV.S(weather.tbl[[#This Row],[Estevan]:[Kipling]])</f>
        <v>3.0785819246313206</v>
      </c>
      <c r="J772" s="2">
        <f t="shared" si="11"/>
        <v>-4.9523809523809517</v>
      </c>
      <c r="K772">
        <f>DAY(weather.tbl[[#This Row],[Date]])</f>
        <v>10</v>
      </c>
      <c r="L772">
        <f>MONTH(weather.tbl[[#This Row],[Date]])</f>
        <v>2</v>
      </c>
      <c r="M772">
        <f>YEAR(weather.tbl[[#This Row],[Date]])</f>
        <v>2016</v>
      </c>
    </row>
    <row r="773" spans="1:13" x14ac:dyDescent="0.25">
      <c r="A773" s="1">
        <v>42411</v>
      </c>
      <c r="B773" s="2">
        <v>-9.1</v>
      </c>
      <c r="C773" s="2">
        <v>-9.6999999999999993</v>
      </c>
      <c r="D773" s="2">
        <v>-10.8</v>
      </c>
      <c r="E773" s="2">
        <v>-8</v>
      </c>
      <c r="F773" s="2">
        <v>-15.5</v>
      </c>
      <c r="G773" s="2">
        <v>-11.7</v>
      </c>
      <c r="H773" s="2">
        <f>AVERAGE(weather.tbl[[#This Row],[Estevan]:[Kipling]])</f>
        <v>-10.799999999999999</v>
      </c>
      <c r="I773" s="2">
        <f>_xlfn.STDEV.S(weather.tbl[[#This Row],[Estevan]:[Kipling]])</f>
        <v>2.6396969523034239</v>
      </c>
      <c r="J773" s="2">
        <f t="shared" si="11"/>
        <v>-5.454761904761904</v>
      </c>
      <c r="K773">
        <f>DAY(weather.tbl[[#This Row],[Date]])</f>
        <v>11</v>
      </c>
      <c r="L773">
        <f>MONTH(weather.tbl[[#This Row],[Date]])</f>
        <v>2</v>
      </c>
      <c r="M773">
        <f>YEAR(weather.tbl[[#This Row],[Date]])</f>
        <v>2016</v>
      </c>
    </row>
    <row r="774" spans="1:13" x14ac:dyDescent="0.25">
      <c r="A774" s="1">
        <v>42412</v>
      </c>
      <c r="B774" s="2">
        <v>-15.4</v>
      </c>
      <c r="C774" s="2">
        <v>-16</v>
      </c>
      <c r="D774" s="2">
        <v>-19.8</v>
      </c>
      <c r="E774" s="2">
        <v>-15</v>
      </c>
      <c r="F774" s="2">
        <v>-22.2</v>
      </c>
      <c r="G774" s="2">
        <v>-20</v>
      </c>
      <c r="H774" s="2">
        <f>AVERAGE(weather.tbl[[#This Row],[Estevan]:[Kipling]])</f>
        <v>-18.066666666666666</v>
      </c>
      <c r="I774" s="2">
        <f>_xlfn.STDEV.S(weather.tbl[[#This Row],[Estevan]:[Kipling]])</f>
        <v>2.9870833042730163</v>
      </c>
      <c r="J774" s="2">
        <f t="shared" si="11"/>
        <v>-7.2380952380952364</v>
      </c>
      <c r="K774">
        <f>DAY(weather.tbl[[#This Row],[Date]])</f>
        <v>12</v>
      </c>
      <c r="L774">
        <f>MONTH(weather.tbl[[#This Row],[Date]])</f>
        <v>2</v>
      </c>
      <c r="M774">
        <f>YEAR(weather.tbl[[#This Row],[Date]])</f>
        <v>2016</v>
      </c>
    </row>
    <row r="775" spans="1:13" x14ac:dyDescent="0.25">
      <c r="A775" s="1">
        <v>42413</v>
      </c>
      <c r="B775" s="2">
        <v>-11.2</v>
      </c>
      <c r="C775" s="2">
        <v>-9.5</v>
      </c>
      <c r="D775" s="2">
        <v>-12.5</v>
      </c>
      <c r="E775" s="2">
        <v>-7.8</v>
      </c>
      <c r="F775" s="2">
        <v>-16</v>
      </c>
      <c r="G775" s="2">
        <v>-13.1</v>
      </c>
      <c r="H775" s="2">
        <f>AVERAGE(weather.tbl[[#This Row],[Estevan]:[Kipling]])</f>
        <v>-11.683333333333332</v>
      </c>
      <c r="I775" s="2">
        <f>_xlfn.STDEV.S(weather.tbl[[#This Row],[Estevan]:[Kipling]])</f>
        <v>2.8770934407256719</v>
      </c>
      <c r="J775" s="2">
        <f t="shared" si="11"/>
        <v>-8.9761904761904745</v>
      </c>
      <c r="K775">
        <f>DAY(weather.tbl[[#This Row],[Date]])</f>
        <v>13</v>
      </c>
      <c r="L775">
        <f>MONTH(weather.tbl[[#This Row],[Date]])</f>
        <v>2</v>
      </c>
      <c r="M775">
        <f>YEAR(weather.tbl[[#This Row],[Date]])</f>
        <v>2016</v>
      </c>
    </row>
    <row r="776" spans="1:13" x14ac:dyDescent="0.25">
      <c r="A776" s="1">
        <v>42414</v>
      </c>
      <c r="B776" s="2">
        <v>-3.2</v>
      </c>
      <c r="C776" s="2">
        <v>-1.5</v>
      </c>
      <c r="D776" s="2">
        <v>-5</v>
      </c>
      <c r="E776" s="2">
        <v>-7.8</v>
      </c>
      <c r="F776" s="2">
        <v>-5.4</v>
      </c>
      <c r="G776" s="2">
        <v>-4.7</v>
      </c>
      <c r="H776" s="2">
        <f>AVERAGE(weather.tbl[[#This Row],[Estevan]:[Kipling]])</f>
        <v>-4.5999999999999996</v>
      </c>
      <c r="I776" s="2">
        <f>_xlfn.STDEV.S(weather.tbl[[#This Row],[Estevan]:[Kipling]])</f>
        <v>2.1269696753832683</v>
      </c>
      <c r="J776" s="2">
        <f t="shared" si="11"/>
        <v>-9.1999999999999993</v>
      </c>
      <c r="K776">
        <f>DAY(weather.tbl[[#This Row],[Date]])</f>
        <v>14</v>
      </c>
      <c r="L776">
        <f>MONTH(weather.tbl[[#This Row],[Date]])</f>
        <v>2</v>
      </c>
      <c r="M776">
        <f>YEAR(weather.tbl[[#This Row],[Date]])</f>
        <v>2016</v>
      </c>
    </row>
    <row r="777" spans="1:13" x14ac:dyDescent="0.25">
      <c r="A777" s="1">
        <v>42415</v>
      </c>
      <c r="B777" s="2">
        <v>-4.2</v>
      </c>
      <c r="C777" s="2">
        <v>-3.9</v>
      </c>
      <c r="D777" s="2">
        <v>-4.3</v>
      </c>
      <c r="E777" s="2">
        <v>-2.8</v>
      </c>
      <c r="F777" s="2">
        <v>-6.5</v>
      </c>
      <c r="G777" s="2">
        <v>-4.3</v>
      </c>
      <c r="H777" s="2">
        <f>AVERAGE(weather.tbl[[#This Row],[Estevan]:[Kipling]])</f>
        <v>-4.333333333333333</v>
      </c>
      <c r="I777" s="2">
        <f>_xlfn.STDEV.S(weather.tbl[[#This Row],[Estevan]:[Kipling]])</f>
        <v>1.2044362443345293</v>
      </c>
      <c r="J777" s="2">
        <f t="shared" si="11"/>
        <v>-8.9880952380952372</v>
      </c>
      <c r="K777">
        <f>DAY(weather.tbl[[#This Row],[Date]])</f>
        <v>15</v>
      </c>
      <c r="L777">
        <f>MONTH(weather.tbl[[#This Row],[Date]])</f>
        <v>2</v>
      </c>
      <c r="M777">
        <f>YEAR(weather.tbl[[#This Row],[Date]])</f>
        <v>2016</v>
      </c>
    </row>
    <row r="778" spans="1:13" x14ac:dyDescent="0.25">
      <c r="A778" s="1">
        <v>42416</v>
      </c>
      <c r="B778" s="2">
        <v>-4.4000000000000004</v>
      </c>
      <c r="C778" s="2">
        <v>-3.9</v>
      </c>
      <c r="D778" s="2">
        <v>-7</v>
      </c>
      <c r="E778" s="2">
        <v>-1.3</v>
      </c>
      <c r="F778" s="2">
        <v>-10</v>
      </c>
      <c r="G778" s="2">
        <v>-6.1</v>
      </c>
      <c r="H778" s="2">
        <f>AVERAGE(weather.tbl[[#This Row],[Estevan]:[Kipling]])</f>
        <v>-5.45</v>
      </c>
      <c r="I778" s="2">
        <f>_xlfn.STDEV.S(weather.tbl[[#This Row],[Estevan]:[Kipling]])</f>
        <v>2.9750630245425036</v>
      </c>
      <c r="J778" s="2">
        <f t="shared" ref="J778:J841" si="12">AVERAGE(H772:H778)</f>
        <v>-9.1642857142857128</v>
      </c>
      <c r="K778">
        <f>DAY(weather.tbl[[#This Row],[Date]])</f>
        <v>16</v>
      </c>
      <c r="L778">
        <f>MONTH(weather.tbl[[#This Row],[Date]])</f>
        <v>2</v>
      </c>
      <c r="M778">
        <f>YEAR(weather.tbl[[#This Row],[Date]])</f>
        <v>2016</v>
      </c>
    </row>
    <row r="779" spans="1:13" x14ac:dyDescent="0.25">
      <c r="A779" s="1">
        <v>42417</v>
      </c>
      <c r="B779" s="2">
        <v>-2</v>
      </c>
      <c r="C779" s="2">
        <v>-3.3</v>
      </c>
      <c r="D779" s="2">
        <v>-4.5</v>
      </c>
      <c r="E779" s="2">
        <v>-1.8</v>
      </c>
      <c r="F779" s="2">
        <v>-4.0999999999999996</v>
      </c>
      <c r="G779" s="2">
        <v>-6.1</v>
      </c>
      <c r="H779" s="2">
        <f>AVERAGE(weather.tbl[[#This Row],[Estevan]:[Kipling]])</f>
        <v>-3.6333333333333333</v>
      </c>
      <c r="I779" s="2">
        <f>_xlfn.STDEV.S(weather.tbl[[#This Row],[Estevan]:[Kipling]])</f>
        <v>1.624397324137991</v>
      </c>
      <c r="J779" s="2">
        <f t="shared" si="12"/>
        <v>-8.3666666666666671</v>
      </c>
      <c r="K779">
        <f>DAY(weather.tbl[[#This Row],[Date]])</f>
        <v>17</v>
      </c>
      <c r="L779">
        <f>MONTH(weather.tbl[[#This Row],[Date]])</f>
        <v>2</v>
      </c>
      <c r="M779">
        <f>YEAR(weather.tbl[[#This Row],[Date]])</f>
        <v>2016</v>
      </c>
    </row>
    <row r="780" spans="1:13" x14ac:dyDescent="0.25">
      <c r="A780" s="1">
        <v>42418</v>
      </c>
      <c r="B780" s="2">
        <v>-0.7</v>
      </c>
      <c r="C780" s="2">
        <v>-0.6</v>
      </c>
      <c r="D780" s="2">
        <v>0.3</v>
      </c>
      <c r="E780" s="2">
        <v>3</v>
      </c>
      <c r="F780" s="2">
        <v>-0.4</v>
      </c>
      <c r="G780" s="2">
        <v>-0.5</v>
      </c>
      <c r="H780" s="2">
        <f>AVERAGE(weather.tbl[[#This Row],[Estevan]:[Kipling]])</f>
        <v>0.18333333333333335</v>
      </c>
      <c r="I780" s="2">
        <f>_xlfn.STDEV.S(weather.tbl[[#This Row],[Estevan]:[Kipling]])</f>
        <v>1.4246637030073681</v>
      </c>
      <c r="J780" s="2">
        <f t="shared" si="12"/>
        <v>-6.7976190476190492</v>
      </c>
      <c r="K780">
        <f>DAY(weather.tbl[[#This Row],[Date]])</f>
        <v>18</v>
      </c>
      <c r="L780">
        <f>MONTH(weather.tbl[[#This Row],[Date]])</f>
        <v>2</v>
      </c>
      <c r="M780">
        <f>YEAR(weather.tbl[[#This Row],[Date]])</f>
        <v>2016</v>
      </c>
    </row>
    <row r="781" spans="1:13" x14ac:dyDescent="0.25">
      <c r="A781" s="1">
        <v>42419</v>
      </c>
      <c r="B781" s="2">
        <v>3</v>
      </c>
      <c r="C781" s="2">
        <v>1.6</v>
      </c>
      <c r="D781" s="2">
        <v>2.8</v>
      </c>
      <c r="E781" s="2">
        <v>3</v>
      </c>
      <c r="F781" s="2">
        <v>2.6</v>
      </c>
      <c r="G781" s="2">
        <v>1</v>
      </c>
      <c r="H781" s="2">
        <f>AVERAGE(weather.tbl[[#This Row],[Estevan]:[Kipling]])</f>
        <v>2.333333333333333</v>
      </c>
      <c r="I781" s="2">
        <f>_xlfn.STDEV.S(weather.tbl[[#This Row],[Estevan]:[Kipling]])</f>
        <v>0.83586282766173292</v>
      </c>
      <c r="J781" s="2">
        <f t="shared" si="12"/>
        <v>-3.8833333333333329</v>
      </c>
      <c r="K781">
        <f>DAY(weather.tbl[[#This Row],[Date]])</f>
        <v>19</v>
      </c>
      <c r="L781">
        <f>MONTH(weather.tbl[[#This Row],[Date]])</f>
        <v>2</v>
      </c>
      <c r="M781">
        <f>YEAR(weather.tbl[[#This Row],[Date]])</f>
        <v>2016</v>
      </c>
    </row>
    <row r="782" spans="1:13" x14ac:dyDescent="0.25">
      <c r="A782" s="1">
        <v>42420</v>
      </c>
      <c r="B782" s="2">
        <v>-3</v>
      </c>
      <c r="C782" s="2">
        <v>-5.0999999999999996</v>
      </c>
      <c r="D782" s="2">
        <v>-4</v>
      </c>
      <c r="E782" s="2">
        <v>3</v>
      </c>
      <c r="F782" s="2">
        <v>-5.0999999999999996</v>
      </c>
      <c r="G782" s="2">
        <v>-8.9</v>
      </c>
      <c r="H782" s="2">
        <f>AVERAGE(weather.tbl[[#This Row],[Estevan]:[Kipling]])</f>
        <v>-3.85</v>
      </c>
      <c r="I782" s="2">
        <f>_xlfn.STDEV.S(weather.tbl[[#This Row],[Estevan]:[Kipling]])</f>
        <v>3.9062769999066891</v>
      </c>
      <c r="J782" s="2">
        <f t="shared" si="12"/>
        <v>-2.7642857142857147</v>
      </c>
      <c r="K782">
        <f>DAY(weather.tbl[[#This Row],[Date]])</f>
        <v>20</v>
      </c>
      <c r="L782">
        <f>MONTH(weather.tbl[[#This Row],[Date]])</f>
        <v>2</v>
      </c>
      <c r="M782">
        <f>YEAR(weather.tbl[[#This Row],[Date]])</f>
        <v>2016</v>
      </c>
    </row>
    <row r="783" spans="1:13" x14ac:dyDescent="0.25">
      <c r="A783" s="1">
        <v>42421</v>
      </c>
      <c r="B783" s="2">
        <v>-4.4000000000000004</v>
      </c>
      <c r="C783" s="2">
        <v>-4.0999999999999996</v>
      </c>
      <c r="D783" s="2">
        <v>-5.3</v>
      </c>
      <c r="E783" s="2">
        <v>3</v>
      </c>
      <c r="F783" s="2">
        <v>-6.2</v>
      </c>
      <c r="G783" s="2">
        <v>-6.2</v>
      </c>
      <c r="H783" s="2">
        <f>AVERAGE(weather.tbl[[#This Row],[Estevan]:[Kipling]])</f>
        <v>-3.8666666666666667</v>
      </c>
      <c r="I783" s="2">
        <f>_xlfn.STDEV.S(weather.tbl[[#This Row],[Estevan]:[Kipling]])</f>
        <v>3.4765883660086465</v>
      </c>
      <c r="J783" s="2">
        <f t="shared" si="12"/>
        <v>-2.659523809523809</v>
      </c>
      <c r="K783">
        <f>DAY(weather.tbl[[#This Row],[Date]])</f>
        <v>21</v>
      </c>
      <c r="L783">
        <f>MONTH(weather.tbl[[#This Row],[Date]])</f>
        <v>2</v>
      </c>
      <c r="M783">
        <f>YEAR(weather.tbl[[#This Row],[Date]])</f>
        <v>2016</v>
      </c>
    </row>
    <row r="784" spans="1:13" x14ac:dyDescent="0.25">
      <c r="A784" s="1">
        <v>42422</v>
      </c>
      <c r="B784" s="2">
        <v>0.1</v>
      </c>
      <c r="C784" s="2">
        <v>-1.4</v>
      </c>
      <c r="D784" s="2">
        <v>-5.3</v>
      </c>
      <c r="E784" s="2">
        <v>0</v>
      </c>
      <c r="F784" s="2">
        <v>1.8</v>
      </c>
      <c r="G784" s="2">
        <v>0.3</v>
      </c>
      <c r="H784" s="2">
        <f>AVERAGE(weather.tbl[[#This Row],[Estevan]:[Kipling]])</f>
        <v>-0.75</v>
      </c>
      <c r="I784" s="2">
        <f>_xlfn.STDEV.S(weather.tbl[[#This Row],[Estevan]:[Kipling]])</f>
        <v>2.4501020386914503</v>
      </c>
      <c r="J784" s="2">
        <f t="shared" si="12"/>
        <v>-2.147619047619048</v>
      </c>
      <c r="K784">
        <f>DAY(weather.tbl[[#This Row],[Date]])</f>
        <v>22</v>
      </c>
      <c r="L784">
        <f>MONTH(weather.tbl[[#This Row],[Date]])</f>
        <v>2</v>
      </c>
      <c r="M784">
        <f>YEAR(weather.tbl[[#This Row],[Date]])</f>
        <v>2016</v>
      </c>
    </row>
    <row r="785" spans="1:13" x14ac:dyDescent="0.25">
      <c r="A785" s="1">
        <v>42423</v>
      </c>
      <c r="B785" s="2">
        <v>-0.7</v>
      </c>
      <c r="C785" s="2">
        <v>-1</v>
      </c>
      <c r="D785" s="2">
        <v>-1.3</v>
      </c>
      <c r="E785" s="2">
        <v>0.3</v>
      </c>
      <c r="F785" s="2">
        <v>-0.4</v>
      </c>
      <c r="G785" s="2">
        <v>-4.4000000000000004</v>
      </c>
      <c r="H785" s="2">
        <f>AVERAGE(weather.tbl[[#This Row],[Estevan]:[Kipling]])</f>
        <v>-1.25</v>
      </c>
      <c r="I785" s="2">
        <f>_xlfn.STDEV.S(weather.tbl[[#This Row],[Estevan]:[Kipling]])</f>
        <v>1.6379865689315041</v>
      </c>
      <c r="J785" s="2">
        <f t="shared" si="12"/>
        <v>-1.5476190476190477</v>
      </c>
      <c r="K785">
        <f>DAY(weather.tbl[[#This Row],[Date]])</f>
        <v>23</v>
      </c>
      <c r="L785">
        <f>MONTH(weather.tbl[[#This Row],[Date]])</f>
        <v>2</v>
      </c>
      <c r="M785">
        <f>YEAR(weather.tbl[[#This Row],[Date]])</f>
        <v>2016</v>
      </c>
    </row>
    <row r="786" spans="1:13" x14ac:dyDescent="0.25">
      <c r="A786" s="1">
        <v>42424</v>
      </c>
      <c r="B786" s="2">
        <v>-3.5</v>
      </c>
      <c r="C786" s="2">
        <v>-3.4</v>
      </c>
      <c r="D786" s="2">
        <v>-2.8</v>
      </c>
      <c r="E786" s="2">
        <v>-0.8</v>
      </c>
      <c r="F786" s="2">
        <v>-4</v>
      </c>
      <c r="G786" s="2">
        <v>-4.2</v>
      </c>
      <c r="H786" s="2">
        <f>AVERAGE(weather.tbl[[#This Row],[Estevan]:[Kipling]])</f>
        <v>-3.1166666666666667</v>
      </c>
      <c r="I786" s="2">
        <f>_xlfn.STDEV.S(weather.tbl[[#This Row],[Estevan]:[Kipling]])</f>
        <v>1.2367969383317003</v>
      </c>
      <c r="J786" s="2">
        <f t="shared" si="12"/>
        <v>-1.4738095238095237</v>
      </c>
      <c r="K786">
        <f>DAY(weather.tbl[[#This Row],[Date]])</f>
        <v>24</v>
      </c>
      <c r="L786">
        <f>MONTH(weather.tbl[[#This Row],[Date]])</f>
        <v>2</v>
      </c>
      <c r="M786">
        <f>YEAR(weather.tbl[[#This Row],[Date]])</f>
        <v>2016</v>
      </c>
    </row>
    <row r="787" spans="1:13" x14ac:dyDescent="0.25">
      <c r="A787" s="1">
        <v>42425</v>
      </c>
      <c r="B787" s="2">
        <v>-4.4000000000000004</v>
      </c>
      <c r="C787" s="2">
        <v>-4</v>
      </c>
      <c r="D787" s="2">
        <v>-3.3</v>
      </c>
      <c r="E787" s="2">
        <v>-3.3</v>
      </c>
      <c r="F787" s="2">
        <v>-4.2</v>
      </c>
      <c r="G787" s="2">
        <v>-6.9</v>
      </c>
      <c r="H787" s="2">
        <f>AVERAGE(weather.tbl[[#This Row],[Estevan]:[Kipling]])</f>
        <v>-4.3500000000000005</v>
      </c>
      <c r="I787" s="2">
        <f>_xlfn.STDEV.S(weather.tbl[[#This Row],[Estevan]:[Kipling]])</f>
        <v>1.3307892395116518</v>
      </c>
      <c r="J787" s="2">
        <f t="shared" si="12"/>
        <v>-2.1214285714285714</v>
      </c>
      <c r="K787">
        <f>DAY(weather.tbl[[#This Row],[Date]])</f>
        <v>25</v>
      </c>
      <c r="L787">
        <f>MONTH(weather.tbl[[#This Row],[Date]])</f>
        <v>2</v>
      </c>
      <c r="M787">
        <f>YEAR(weather.tbl[[#This Row],[Date]])</f>
        <v>2016</v>
      </c>
    </row>
    <row r="788" spans="1:13" x14ac:dyDescent="0.25">
      <c r="A788" s="1">
        <v>42426</v>
      </c>
      <c r="B788" s="2">
        <v>3.4</v>
      </c>
      <c r="C788" s="2">
        <v>4.5999999999999996</v>
      </c>
      <c r="D788" s="2">
        <v>2.8</v>
      </c>
      <c r="E788" s="2">
        <v>5.3</v>
      </c>
      <c r="F788" s="2">
        <v>1.5</v>
      </c>
      <c r="G788" s="2">
        <v>0</v>
      </c>
      <c r="H788" s="2">
        <f>AVERAGE(weather.tbl[[#This Row],[Estevan]:[Kipling]])</f>
        <v>2.9333333333333336</v>
      </c>
      <c r="I788" s="2">
        <f>_xlfn.STDEV.S(weather.tbl[[#This Row],[Estevan]:[Kipling]])</f>
        <v>1.9633305036765114</v>
      </c>
      <c r="J788" s="2">
        <f t="shared" si="12"/>
        <v>-2.0357142857142856</v>
      </c>
      <c r="K788">
        <f>DAY(weather.tbl[[#This Row],[Date]])</f>
        <v>26</v>
      </c>
      <c r="L788">
        <f>MONTH(weather.tbl[[#This Row],[Date]])</f>
        <v>2</v>
      </c>
      <c r="M788">
        <f>YEAR(weather.tbl[[#This Row],[Date]])</f>
        <v>2016</v>
      </c>
    </row>
    <row r="789" spans="1:13" x14ac:dyDescent="0.25">
      <c r="A789" s="1">
        <v>42427</v>
      </c>
      <c r="B789" s="2">
        <v>1.8</v>
      </c>
      <c r="C789" s="2">
        <v>2.7</v>
      </c>
      <c r="D789" s="2">
        <v>1.3</v>
      </c>
      <c r="E789" s="2">
        <v>3.8</v>
      </c>
      <c r="F789" s="2">
        <v>-2.8</v>
      </c>
      <c r="G789" s="2">
        <v>-0.1</v>
      </c>
      <c r="H789" s="2">
        <f>AVERAGE(weather.tbl[[#This Row],[Estevan]:[Kipling]])</f>
        <v>1.1166666666666667</v>
      </c>
      <c r="I789" s="2">
        <f>_xlfn.STDEV.S(weather.tbl[[#This Row],[Estevan]:[Kipling]])</f>
        <v>2.3250089605562096</v>
      </c>
      <c r="J789" s="2">
        <f t="shared" si="12"/>
        <v>-1.3261904761904764</v>
      </c>
      <c r="K789">
        <f>DAY(weather.tbl[[#This Row],[Date]])</f>
        <v>27</v>
      </c>
      <c r="L789">
        <f>MONTH(weather.tbl[[#This Row],[Date]])</f>
        <v>2</v>
      </c>
      <c r="M789">
        <f>YEAR(weather.tbl[[#This Row],[Date]])</f>
        <v>2016</v>
      </c>
    </row>
    <row r="790" spans="1:13" x14ac:dyDescent="0.25">
      <c r="A790" s="1">
        <v>42428</v>
      </c>
      <c r="B790" s="2">
        <v>-1.1000000000000001</v>
      </c>
      <c r="C790" s="2">
        <v>-1.9</v>
      </c>
      <c r="D790" s="2">
        <v>-1</v>
      </c>
      <c r="E790" s="2">
        <v>3.8</v>
      </c>
      <c r="F790" s="2">
        <v>-4.3</v>
      </c>
      <c r="G790" s="2">
        <v>-3.5</v>
      </c>
      <c r="H790" s="2">
        <f>AVERAGE(weather.tbl[[#This Row],[Estevan]:[Kipling]])</f>
        <v>-1.3333333333333333</v>
      </c>
      <c r="I790" s="2">
        <f>_xlfn.STDEV.S(weather.tbl[[#This Row],[Estevan]:[Kipling]])</f>
        <v>2.8401877872187722</v>
      </c>
      <c r="J790" s="2">
        <f t="shared" si="12"/>
        <v>-0.96428571428571441</v>
      </c>
      <c r="K790">
        <f>DAY(weather.tbl[[#This Row],[Date]])</f>
        <v>28</v>
      </c>
      <c r="L790">
        <f>MONTH(weather.tbl[[#This Row],[Date]])</f>
        <v>2</v>
      </c>
      <c r="M790">
        <f>YEAR(weather.tbl[[#This Row],[Date]])</f>
        <v>2016</v>
      </c>
    </row>
    <row r="791" spans="1:13" x14ac:dyDescent="0.25">
      <c r="A791" s="1">
        <v>42429</v>
      </c>
      <c r="B791" s="2">
        <v>-13.4</v>
      </c>
      <c r="C791" s="2">
        <v>-13.3</v>
      </c>
      <c r="D791" s="2">
        <v>-12.8</v>
      </c>
      <c r="E791" s="2">
        <v>-11.8</v>
      </c>
      <c r="F791" s="2">
        <v>-15.6</v>
      </c>
      <c r="G791" s="2">
        <v>-16.7</v>
      </c>
      <c r="H791" s="2">
        <f>AVERAGE(weather.tbl[[#This Row],[Estevan]:[Kipling]])</f>
        <v>-13.933333333333332</v>
      </c>
      <c r="I791" s="2">
        <f>_xlfn.STDEV.S(weather.tbl[[#This Row],[Estevan]:[Kipling]])</f>
        <v>1.8413762968678402</v>
      </c>
      <c r="J791" s="2">
        <f t="shared" si="12"/>
        <v>-2.8476190476190477</v>
      </c>
      <c r="K791">
        <f>DAY(weather.tbl[[#This Row],[Date]])</f>
        <v>29</v>
      </c>
      <c r="L791">
        <f>MONTH(weather.tbl[[#This Row],[Date]])</f>
        <v>2</v>
      </c>
      <c r="M791">
        <f>YEAR(weather.tbl[[#This Row],[Date]])</f>
        <v>2016</v>
      </c>
    </row>
    <row r="792" spans="1:13" x14ac:dyDescent="0.25">
      <c r="A792" s="1">
        <v>42430</v>
      </c>
      <c r="B792" s="2">
        <v>-8.5</v>
      </c>
      <c r="C792" s="2">
        <v>-8.1999999999999993</v>
      </c>
      <c r="D792" s="2">
        <v>-11</v>
      </c>
      <c r="E792" s="2">
        <v>-7</v>
      </c>
      <c r="F792" s="2">
        <v>-10.6</v>
      </c>
      <c r="G792" s="2">
        <v>-11.3</v>
      </c>
      <c r="H792" s="2">
        <f>AVERAGE(weather.tbl[[#This Row],[Estevan]:[Kipling]])</f>
        <v>-9.4333333333333353</v>
      </c>
      <c r="I792" s="2">
        <f>_xlfn.STDEV.S(weather.tbl[[#This Row],[Estevan]:[Kipling]])</f>
        <v>1.7671068633975269</v>
      </c>
      <c r="J792" s="2">
        <f t="shared" si="12"/>
        <v>-4.0166666666666666</v>
      </c>
      <c r="K792">
        <f>DAY(weather.tbl[[#This Row],[Date]])</f>
        <v>1</v>
      </c>
      <c r="L792">
        <f>MONTH(weather.tbl[[#This Row],[Date]])</f>
        <v>3</v>
      </c>
      <c r="M792">
        <f>YEAR(weather.tbl[[#This Row],[Date]])</f>
        <v>2016</v>
      </c>
    </row>
    <row r="793" spans="1:13" x14ac:dyDescent="0.25">
      <c r="A793" s="1">
        <v>42431</v>
      </c>
      <c r="B793" s="2">
        <v>-3.8</v>
      </c>
      <c r="C793" s="2">
        <v>-4.0999999999999996</v>
      </c>
      <c r="D793" s="2">
        <v>-5.3</v>
      </c>
      <c r="E793" s="2">
        <v>-3.3</v>
      </c>
      <c r="F793" s="2">
        <v>-3.6</v>
      </c>
      <c r="G793" s="2">
        <v>-4.9000000000000004</v>
      </c>
      <c r="H793" s="2">
        <f>AVERAGE(weather.tbl[[#This Row],[Estevan]:[Kipling]])</f>
        <v>-4.166666666666667</v>
      </c>
      <c r="I793" s="2">
        <f>_xlfn.STDEV.S(weather.tbl[[#This Row],[Estevan]:[Kipling]])</f>
        <v>0.77888809636986123</v>
      </c>
      <c r="J793" s="2">
        <f t="shared" si="12"/>
        <v>-4.166666666666667</v>
      </c>
      <c r="K793">
        <f>DAY(weather.tbl[[#This Row],[Date]])</f>
        <v>2</v>
      </c>
      <c r="L793">
        <f>MONTH(weather.tbl[[#This Row],[Date]])</f>
        <v>3</v>
      </c>
      <c r="M793">
        <f>YEAR(weather.tbl[[#This Row],[Date]])</f>
        <v>2016</v>
      </c>
    </row>
    <row r="794" spans="1:13" x14ac:dyDescent="0.25">
      <c r="A794" s="1">
        <v>42432</v>
      </c>
      <c r="B794" s="2">
        <v>-1</v>
      </c>
      <c r="C794" s="2">
        <v>-1.2</v>
      </c>
      <c r="D794" s="2">
        <v>-2.2999999999999998</v>
      </c>
      <c r="E794" s="2">
        <v>-0.5</v>
      </c>
      <c r="F794" s="2">
        <v>-3</v>
      </c>
      <c r="G794" s="2">
        <v>-3.8</v>
      </c>
      <c r="H794" s="2">
        <f>AVERAGE(weather.tbl[[#This Row],[Estevan]:[Kipling]])</f>
        <v>-1.9666666666666668</v>
      </c>
      <c r="I794" s="2">
        <f>_xlfn.STDEV.S(weather.tbl[[#This Row],[Estevan]:[Kipling]])</f>
        <v>1.2816655830077772</v>
      </c>
      <c r="J794" s="2">
        <f t="shared" si="12"/>
        <v>-3.8261904761904759</v>
      </c>
      <c r="K794">
        <f>DAY(weather.tbl[[#This Row],[Date]])</f>
        <v>3</v>
      </c>
      <c r="L794">
        <f>MONTH(weather.tbl[[#This Row],[Date]])</f>
        <v>3</v>
      </c>
      <c r="M794">
        <f>YEAR(weather.tbl[[#This Row],[Date]])</f>
        <v>2016</v>
      </c>
    </row>
    <row r="795" spans="1:13" x14ac:dyDescent="0.25">
      <c r="A795" s="1">
        <v>42433</v>
      </c>
      <c r="B795" s="2">
        <v>-2.8</v>
      </c>
      <c r="C795" s="2">
        <v>-2.7</v>
      </c>
      <c r="D795" s="2">
        <v>0.3</v>
      </c>
      <c r="E795" s="2">
        <v>-0.5</v>
      </c>
      <c r="F795" s="2">
        <v>-1.9</v>
      </c>
      <c r="G795" s="2">
        <v>-1.6</v>
      </c>
      <c r="H795" s="2">
        <f>AVERAGE(weather.tbl[[#This Row],[Estevan]:[Kipling]])</f>
        <v>-1.5333333333333332</v>
      </c>
      <c r="I795" s="2">
        <f>_xlfn.STDEV.S(weather.tbl[[#This Row],[Estevan]:[Kipling]])</f>
        <v>1.2274635093014648</v>
      </c>
      <c r="J795" s="2">
        <f t="shared" si="12"/>
        <v>-4.4642857142857144</v>
      </c>
      <c r="K795">
        <f>DAY(weather.tbl[[#This Row],[Date]])</f>
        <v>4</v>
      </c>
      <c r="L795">
        <f>MONTH(weather.tbl[[#This Row],[Date]])</f>
        <v>3</v>
      </c>
      <c r="M795">
        <f>YEAR(weather.tbl[[#This Row],[Date]])</f>
        <v>2016</v>
      </c>
    </row>
    <row r="796" spans="1:13" x14ac:dyDescent="0.25">
      <c r="A796" s="1">
        <v>42434</v>
      </c>
      <c r="B796" s="2">
        <v>4.5</v>
      </c>
      <c r="C796" s="2">
        <v>5.3</v>
      </c>
      <c r="D796" s="2">
        <v>3.3</v>
      </c>
      <c r="E796" s="2">
        <v>-0.5</v>
      </c>
      <c r="F796" s="2">
        <v>2.9</v>
      </c>
      <c r="G796" s="2">
        <v>0.5</v>
      </c>
      <c r="H796" s="2">
        <f>AVERAGE(weather.tbl[[#This Row],[Estevan]:[Kipling]])</f>
        <v>2.6666666666666665</v>
      </c>
      <c r="I796" s="2">
        <f>_xlfn.STDEV.S(weather.tbl[[#This Row],[Estevan]:[Kipling]])</f>
        <v>2.257136829407262</v>
      </c>
      <c r="J796" s="2">
        <f t="shared" si="12"/>
        <v>-4.2428571428571429</v>
      </c>
      <c r="K796">
        <f>DAY(weather.tbl[[#This Row],[Date]])</f>
        <v>5</v>
      </c>
      <c r="L796">
        <f>MONTH(weather.tbl[[#This Row],[Date]])</f>
        <v>3</v>
      </c>
      <c r="M796">
        <f>YEAR(weather.tbl[[#This Row],[Date]])</f>
        <v>2016</v>
      </c>
    </row>
    <row r="797" spans="1:13" x14ac:dyDescent="0.25">
      <c r="A797" s="1">
        <v>42435</v>
      </c>
      <c r="B797" s="2">
        <v>7.6</v>
      </c>
      <c r="C797" s="2">
        <v>7.2</v>
      </c>
      <c r="D797" s="2">
        <v>3.3</v>
      </c>
      <c r="E797" s="2">
        <v>8.3000000000000007</v>
      </c>
      <c r="F797" s="2">
        <v>6.8</v>
      </c>
      <c r="G797" s="2">
        <v>5.0999999999999996</v>
      </c>
      <c r="H797" s="2">
        <f>AVERAGE(weather.tbl[[#This Row],[Estevan]:[Kipling]])</f>
        <v>6.3833333333333337</v>
      </c>
      <c r="I797" s="2">
        <f>_xlfn.STDEV.S(weather.tbl[[#This Row],[Estevan]:[Kipling]])</f>
        <v>1.8519359240175284</v>
      </c>
      <c r="J797" s="2">
        <f t="shared" si="12"/>
        <v>-3.14047619047619</v>
      </c>
      <c r="K797">
        <f>DAY(weather.tbl[[#This Row],[Date]])</f>
        <v>6</v>
      </c>
      <c r="L797">
        <f>MONTH(weather.tbl[[#This Row],[Date]])</f>
        <v>3</v>
      </c>
      <c r="M797">
        <f>YEAR(weather.tbl[[#This Row],[Date]])</f>
        <v>2016</v>
      </c>
    </row>
    <row r="798" spans="1:13" x14ac:dyDescent="0.25">
      <c r="A798" s="1">
        <v>42436</v>
      </c>
      <c r="B798" s="2">
        <v>4</v>
      </c>
      <c r="C798" s="2">
        <v>3.8</v>
      </c>
      <c r="D798" s="2">
        <v>3.3</v>
      </c>
      <c r="E798" s="2">
        <v>3.8</v>
      </c>
      <c r="F798" s="2">
        <v>3.5</v>
      </c>
      <c r="G798" s="2">
        <v>2.2000000000000002</v>
      </c>
      <c r="H798" s="2">
        <f>AVERAGE(weather.tbl[[#This Row],[Estevan]:[Kipling]])</f>
        <v>3.4333333333333331</v>
      </c>
      <c r="I798" s="2">
        <f>_xlfn.STDEV.S(weather.tbl[[#This Row],[Estevan]:[Kipling]])</f>
        <v>0.65319726474218398</v>
      </c>
      <c r="J798" s="2">
        <f t="shared" si="12"/>
        <v>-0.65952380952380962</v>
      </c>
      <c r="K798">
        <f>DAY(weather.tbl[[#This Row],[Date]])</f>
        <v>7</v>
      </c>
      <c r="L798">
        <f>MONTH(weather.tbl[[#This Row],[Date]])</f>
        <v>3</v>
      </c>
      <c r="M798">
        <f>YEAR(weather.tbl[[#This Row],[Date]])</f>
        <v>2016</v>
      </c>
    </row>
    <row r="799" spans="1:13" x14ac:dyDescent="0.25">
      <c r="A799" s="1">
        <v>42437</v>
      </c>
      <c r="B799" s="2">
        <v>-1.9</v>
      </c>
      <c r="C799" s="2">
        <v>-1.5</v>
      </c>
      <c r="D799" s="2">
        <v>3.3</v>
      </c>
      <c r="E799" s="2">
        <v>-0.3</v>
      </c>
      <c r="F799" s="2">
        <v>-0.4</v>
      </c>
      <c r="G799" s="2">
        <v>-4.2</v>
      </c>
      <c r="H799" s="2">
        <f>AVERAGE(weather.tbl[[#This Row],[Estevan]:[Kipling]])</f>
        <v>-0.83333333333333337</v>
      </c>
      <c r="I799" s="2">
        <f>_xlfn.STDEV.S(weather.tbl[[#This Row],[Estevan]:[Kipling]])</f>
        <v>2.4687378691685082</v>
      </c>
      <c r="J799" s="2">
        <f t="shared" si="12"/>
        <v>0.56904761904761902</v>
      </c>
      <c r="K799">
        <f>DAY(weather.tbl[[#This Row],[Date]])</f>
        <v>8</v>
      </c>
      <c r="L799">
        <f>MONTH(weather.tbl[[#This Row],[Date]])</f>
        <v>3</v>
      </c>
      <c r="M799">
        <f>YEAR(weather.tbl[[#This Row],[Date]])</f>
        <v>2016</v>
      </c>
    </row>
    <row r="800" spans="1:13" x14ac:dyDescent="0.25">
      <c r="A800" s="1">
        <v>42438</v>
      </c>
      <c r="B800" s="2">
        <v>0.3</v>
      </c>
      <c r="C800" s="2">
        <v>-0.8</v>
      </c>
      <c r="D800" s="2">
        <v>0.3</v>
      </c>
      <c r="E800" s="2">
        <v>0</v>
      </c>
      <c r="F800" s="2">
        <v>1.9</v>
      </c>
      <c r="G800" s="2">
        <v>-1.6</v>
      </c>
      <c r="H800" s="2">
        <f>AVERAGE(weather.tbl[[#This Row],[Estevan]:[Kipling]])</f>
        <v>1.6666666666666646E-2</v>
      </c>
      <c r="I800" s="2">
        <f>_xlfn.STDEV.S(weather.tbl[[#This Row],[Estevan]:[Kipling]])</f>
        <v>1.1822295321411433</v>
      </c>
      <c r="J800" s="2">
        <f t="shared" si="12"/>
        <v>1.1666666666666667</v>
      </c>
      <c r="K800">
        <f>DAY(weather.tbl[[#This Row],[Date]])</f>
        <v>9</v>
      </c>
      <c r="L800">
        <f>MONTH(weather.tbl[[#This Row],[Date]])</f>
        <v>3</v>
      </c>
      <c r="M800">
        <f>YEAR(weather.tbl[[#This Row],[Date]])</f>
        <v>2016</v>
      </c>
    </row>
    <row r="801" spans="1:13" x14ac:dyDescent="0.25">
      <c r="A801" s="1">
        <v>42439</v>
      </c>
      <c r="B801" s="2">
        <v>5.0999999999999996</v>
      </c>
      <c r="C801" s="2">
        <v>5.4</v>
      </c>
      <c r="D801" s="2">
        <v>5.8</v>
      </c>
      <c r="E801" s="2">
        <v>5.3</v>
      </c>
      <c r="F801" s="2">
        <v>4.8</v>
      </c>
      <c r="G801" s="2">
        <v>3.6</v>
      </c>
      <c r="H801" s="2">
        <f>AVERAGE(weather.tbl[[#This Row],[Estevan]:[Kipling]])</f>
        <v>5.0000000000000009</v>
      </c>
      <c r="I801" s="2">
        <f>_xlfn.STDEV.S(weather.tbl[[#This Row],[Estevan]:[Kipling]])</f>
        <v>0.76157731058638778</v>
      </c>
      <c r="J801" s="2">
        <f t="shared" si="12"/>
        <v>2.1619047619047622</v>
      </c>
      <c r="K801">
        <f>DAY(weather.tbl[[#This Row],[Date]])</f>
        <v>10</v>
      </c>
      <c r="L801">
        <f>MONTH(weather.tbl[[#This Row],[Date]])</f>
        <v>3</v>
      </c>
      <c r="M801">
        <f>YEAR(weather.tbl[[#This Row],[Date]])</f>
        <v>2016</v>
      </c>
    </row>
    <row r="802" spans="1:13" x14ac:dyDescent="0.25">
      <c r="A802" s="1">
        <v>42440</v>
      </c>
      <c r="B802" s="2">
        <v>9.1999999999999993</v>
      </c>
      <c r="C802" s="2">
        <v>7.6</v>
      </c>
      <c r="D802" s="2">
        <v>8.8000000000000007</v>
      </c>
      <c r="E802" s="2">
        <v>8</v>
      </c>
      <c r="F802" s="2">
        <v>7.5</v>
      </c>
      <c r="G802" s="2">
        <v>8.3000000000000007</v>
      </c>
      <c r="H802" s="2">
        <f>AVERAGE(weather.tbl[[#This Row],[Estevan]:[Kipling]])</f>
        <v>8.2333333333333325</v>
      </c>
      <c r="I802" s="2">
        <f>_xlfn.STDEV.S(weather.tbl[[#This Row],[Estevan]:[Kipling]])</f>
        <v>0.6713171133426189</v>
      </c>
      <c r="J802" s="2">
        <f t="shared" si="12"/>
        <v>3.5571428571428569</v>
      </c>
      <c r="K802">
        <f>DAY(weather.tbl[[#This Row],[Date]])</f>
        <v>11</v>
      </c>
      <c r="L802">
        <f>MONTH(weather.tbl[[#This Row],[Date]])</f>
        <v>3</v>
      </c>
      <c r="M802">
        <f>YEAR(weather.tbl[[#This Row],[Date]])</f>
        <v>2016</v>
      </c>
    </row>
    <row r="803" spans="1:13" x14ac:dyDescent="0.25">
      <c r="A803" s="1">
        <v>42441</v>
      </c>
      <c r="B803" s="2">
        <v>8</v>
      </c>
      <c r="C803" s="2">
        <v>7.9</v>
      </c>
      <c r="D803" s="2">
        <v>7</v>
      </c>
      <c r="E803" s="2">
        <v>8</v>
      </c>
      <c r="F803" s="2">
        <v>6.2</v>
      </c>
      <c r="G803" s="2">
        <v>6.9</v>
      </c>
      <c r="H803" s="2">
        <f>AVERAGE(weather.tbl[[#This Row],[Estevan]:[Kipling]])</f>
        <v>7.333333333333333</v>
      </c>
      <c r="I803" s="2">
        <f>_xlfn.STDEV.S(weather.tbl[[#This Row],[Estevan]:[Kipling]])</f>
        <v>0.74744007563594461</v>
      </c>
      <c r="J803" s="2">
        <f t="shared" si="12"/>
        <v>4.2238095238095239</v>
      </c>
      <c r="K803">
        <f>DAY(weather.tbl[[#This Row],[Date]])</f>
        <v>12</v>
      </c>
      <c r="L803">
        <f>MONTH(weather.tbl[[#This Row],[Date]])</f>
        <v>3</v>
      </c>
      <c r="M803">
        <f>YEAR(weather.tbl[[#This Row],[Date]])</f>
        <v>2016</v>
      </c>
    </row>
    <row r="804" spans="1:13" x14ac:dyDescent="0.25">
      <c r="A804" s="1">
        <v>42442</v>
      </c>
      <c r="B804" s="2">
        <v>7.7</v>
      </c>
      <c r="C804" s="2">
        <v>6</v>
      </c>
      <c r="D804" s="2">
        <v>7</v>
      </c>
      <c r="E804" s="2">
        <v>7.5</v>
      </c>
      <c r="F804" s="2">
        <v>9.3000000000000007</v>
      </c>
      <c r="G804" s="2">
        <v>7.8</v>
      </c>
      <c r="H804" s="2">
        <f>AVERAGE(weather.tbl[[#This Row],[Estevan]:[Kipling]])</f>
        <v>7.55</v>
      </c>
      <c r="I804" s="2">
        <f>_xlfn.STDEV.S(weather.tbl[[#This Row],[Estevan]:[Kipling]])</f>
        <v>1.0821275340735097</v>
      </c>
      <c r="J804" s="2">
        <f t="shared" si="12"/>
        <v>4.3904761904761909</v>
      </c>
      <c r="K804">
        <f>DAY(weather.tbl[[#This Row],[Date]])</f>
        <v>13</v>
      </c>
      <c r="L804">
        <f>MONTH(weather.tbl[[#This Row],[Date]])</f>
        <v>3</v>
      </c>
      <c r="M804">
        <f>YEAR(weather.tbl[[#This Row],[Date]])</f>
        <v>2016</v>
      </c>
    </row>
    <row r="805" spans="1:13" x14ac:dyDescent="0.25">
      <c r="A805" s="1">
        <v>42443</v>
      </c>
      <c r="B805" s="2">
        <v>6.3</v>
      </c>
      <c r="C805" s="2">
        <v>4.7</v>
      </c>
      <c r="D805" s="2">
        <v>7.8</v>
      </c>
      <c r="E805" s="2">
        <v>6.3</v>
      </c>
      <c r="F805" s="2">
        <v>9</v>
      </c>
      <c r="G805" s="2">
        <v>6.4</v>
      </c>
      <c r="H805" s="2">
        <f>AVERAGE(weather.tbl[[#This Row],[Estevan]:[Kipling]])</f>
        <v>6.75</v>
      </c>
      <c r="I805" s="2">
        <f>_xlfn.STDEV.S(weather.tbl[[#This Row],[Estevan]:[Kipling]])</f>
        <v>1.4761436244485142</v>
      </c>
      <c r="J805" s="2">
        <f t="shared" si="12"/>
        <v>4.8642857142857139</v>
      </c>
      <c r="K805">
        <f>DAY(weather.tbl[[#This Row],[Date]])</f>
        <v>14</v>
      </c>
      <c r="L805">
        <f>MONTH(weather.tbl[[#This Row],[Date]])</f>
        <v>3</v>
      </c>
      <c r="M805">
        <f>YEAR(weather.tbl[[#This Row],[Date]])</f>
        <v>2016</v>
      </c>
    </row>
    <row r="806" spans="1:13" x14ac:dyDescent="0.25">
      <c r="A806" s="1">
        <v>42444</v>
      </c>
      <c r="B806" s="2">
        <v>-0.2</v>
      </c>
      <c r="C806" s="2">
        <v>0.5</v>
      </c>
      <c r="D806" s="2">
        <v>0.3</v>
      </c>
      <c r="E806" s="2">
        <v>0</v>
      </c>
      <c r="F806" s="2">
        <v>2.9</v>
      </c>
      <c r="G806" s="2">
        <v>0.5</v>
      </c>
      <c r="H806" s="2">
        <f>AVERAGE(weather.tbl[[#This Row],[Estevan]:[Kipling]])</f>
        <v>0.66666666666666663</v>
      </c>
      <c r="I806" s="2">
        <f>_xlfn.STDEV.S(weather.tbl[[#This Row],[Estevan]:[Kipling]])</f>
        <v>1.1290113669342161</v>
      </c>
      <c r="J806" s="2">
        <f t="shared" si="12"/>
        <v>5.0785714285714283</v>
      </c>
      <c r="K806">
        <f>DAY(weather.tbl[[#This Row],[Date]])</f>
        <v>15</v>
      </c>
      <c r="L806">
        <f>MONTH(weather.tbl[[#This Row],[Date]])</f>
        <v>3</v>
      </c>
      <c r="M806">
        <f>YEAR(weather.tbl[[#This Row],[Date]])</f>
        <v>2016</v>
      </c>
    </row>
    <row r="807" spans="1:13" x14ac:dyDescent="0.25">
      <c r="A807" s="1">
        <v>42445</v>
      </c>
      <c r="B807" s="2">
        <v>-1.7</v>
      </c>
      <c r="C807" s="2">
        <v>-2.2999999999999998</v>
      </c>
      <c r="D807" s="2">
        <v>0.8</v>
      </c>
      <c r="E807" s="2">
        <v>0.5</v>
      </c>
      <c r="F807" s="2">
        <v>1</v>
      </c>
      <c r="G807" s="2">
        <v>-1</v>
      </c>
      <c r="H807" s="2">
        <f>AVERAGE(weather.tbl[[#This Row],[Estevan]:[Kipling]])</f>
        <v>-0.45</v>
      </c>
      <c r="I807" s="2">
        <f>_xlfn.STDEV.S(weather.tbl[[#This Row],[Estevan]:[Kipling]])</f>
        <v>1.4039230748157108</v>
      </c>
      <c r="J807" s="2">
        <f t="shared" si="12"/>
        <v>5.011904761904761</v>
      </c>
      <c r="K807">
        <f>DAY(weather.tbl[[#This Row],[Date]])</f>
        <v>16</v>
      </c>
      <c r="L807">
        <f>MONTH(weather.tbl[[#This Row],[Date]])</f>
        <v>3</v>
      </c>
      <c r="M807">
        <f>YEAR(weather.tbl[[#This Row],[Date]])</f>
        <v>2016</v>
      </c>
    </row>
    <row r="808" spans="1:13" x14ac:dyDescent="0.25">
      <c r="A808" s="1">
        <v>42446</v>
      </c>
      <c r="B808" s="2">
        <v>-4.2</v>
      </c>
      <c r="C808" s="2">
        <v>-5</v>
      </c>
      <c r="D808" s="2">
        <v>-4.5</v>
      </c>
      <c r="E808" s="2">
        <v>-4.5</v>
      </c>
      <c r="F808" s="2">
        <v>-2.4</v>
      </c>
      <c r="G808" s="2">
        <v>-5.3</v>
      </c>
      <c r="H808" s="2">
        <f>AVERAGE(weather.tbl[[#This Row],[Estevan]:[Kipling]])</f>
        <v>-4.3166666666666664</v>
      </c>
      <c r="I808" s="2">
        <f>_xlfn.STDEV.S(weather.tbl[[#This Row],[Estevan]:[Kipling]])</f>
        <v>1.0186592495366984</v>
      </c>
      <c r="J808" s="2">
        <f t="shared" si="12"/>
        <v>3.6809523809523812</v>
      </c>
      <c r="K808">
        <f>DAY(weather.tbl[[#This Row],[Date]])</f>
        <v>17</v>
      </c>
      <c r="L808">
        <f>MONTH(weather.tbl[[#This Row],[Date]])</f>
        <v>3</v>
      </c>
      <c r="M808">
        <f>YEAR(weather.tbl[[#This Row],[Date]])</f>
        <v>2016</v>
      </c>
    </row>
    <row r="809" spans="1:13" x14ac:dyDescent="0.25">
      <c r="A809" s="1">
        <v>42447</v>
      </c>
      <c r="B809" s="2">
        <v>-4.0999999999999996</v>
      </c>
      <c r="C809" s="2">
        <v>-4.2</v>
      </c>
      <c r="D809" s="2">
        <v>-3.3</v>
      </c>
      <c r="E809" s="2">
        <v>-3.5</v>
      </c>
      <c r="F809" s="2">
        <v>-0.8</v>
      </c>
      <c r="G809" s="2">
        <v>-5.3</v>
      </c>
      <c r="H809" s="2">
        <f>AVERAGE(weather.tbl[[#This Row],[Estevan]:[Kipling]])</f>
        <v>-3.5333333333333337</v>
      </c>
      <c r="I809" s="2">
        <f>_xlfn.STDEV.S(weather.tbl[[#This Row],[Estevan]:[Kipling]])</f>
        <v>1.5108496505829643</v>
      </c>
      <c r="J809" s="2">
        <f t="shared" si="12"/>
        <v>2.0000000000000004</v>
      </c>
      <c r="K809">
        <f>DAY(weather.tbl[[#This Row],[Date]])</f>
        <v>18</v>
      </c>
      <c r="L809">
        <f>MONTH(weather.tbl[[#This Row],[Date]])</f>
        <v>3</v>
      </c>
      <c r="M809">
        <f>YEAR(weather.tbl[[#This Row],[Date]])</f>
        <v>2016</v>
      </c>
    </row>
    <row r="810" spans="1:13" x14ac:dyDescent="0.25">
      <c r="A810" s="1">
        <v>42448</v>
      </c>
      <c r="B810" s="2">
        <v>-4.5</v>
      </c>
      <c r="C810" s="2">
        <v>-3.8</v>
      </c>
      <c r="D810" s="2">
        <v>-4</v>
      </c>
      <c r="E810" s="2">
        <v>-3</v>
      </c>
      <c r="F810" s="2">
        <v>-3.1</v>
      </c>
      <c r="G810" s="2">
        <v>-4.4000000000000004</v>
      </c>
      <c r="H810" s="2">
        <f>AVERAGE(weather.tbl[[#This Row],[Estevan]:[Kipling]])</f>
        <v>-3.8000000000000007</v>
      </c>
      <c r="I810" s="2">
        <f>_xlfn.STDEV.S(weather.tbl[[#This Row],[Estevan]:[Kipling]])</f>
        <v>0.63560994328282305</v>
      </c>
      <c r="J810" s="2">
        <f t="shared" si="12"/>
        <v>0.40952380952380957</v>
      </c>
      <c r="K810">
        <f>DAY(weather.tbl[[#This Row],[Date]])</f>
        <v>19</v>
      </c>
      <c r="L810">
        <f>MONTH(weather.tbl[[#This Row],[Date]])</f>
        <v>3</v>
      </c>
      <c r="M810">
        <f>YEAR(weather.tbl[[#This Row],[Date]])</f>
        <v>2016</v>
      </c>
    </row>
    <row r="811" spans="1:13" x14ac:dyDescent="0.25">
      <c r="A811" s="1">
        <v>42449</v>
      </c>
      <c r="B811" s="2">
        <v>-0.1</v>
      </c>
      <c r="C811" s="2">
        <v>0.6</v>
      </c>
      <c r="D811" s="2">
        <v>-2</v>
      </c>
      <c r="E811" s="2">
        <v>0.8</v>
      </c>
      <c r="F811" s="2">
        <v>-1.7</v>
      </c>
      <c r="G811" s="2">
        <v>-1.4</v>
      </c>
      <c r="H811" s="2">
        <f>AVERAGE(weather.tbl[[#This Row],[Estevan]:[Kipling]])</f>
        <v>-0.6333333333333333</v>
      </c>
      <c r="I811" s="2">
        <f>_xlfn.STDEV.S(weather.tbl[[#This Row],[Estevan]:[Kipling]])</f>
        <v>1.2209286083414814</v>
      </c>
      <c r="J811" s="2">
        <f t="shared" si="12"/>
        <v>-0.75952380952380949</v>
      </c>
      <c r="K811">
        <f>DAY(weather.tbl[[#This Row],[Date]])</f>
        <v>20</v>
      </c>
      <c r="L811">
        <f>MONTH(weather.tbl[[#This Row],[Date]])</f>
        <v>3</v>
      </c>
      <c r="M811">
        <f>YEAR(weather.tbl[[#This Row],[Date]])</f>
        <v>2016</v>
      </c>
    </row>
    <row r="812" spans="1:13" x14ac:dyDescent="0.25">
      <c r="A812" s="1">
        <v>42450</v>
      </c>
      <c r="B812" s="2">
        <v>0.5</v>
      </c>
      <c r="C812" s="2">
        <v>2.1</v>
      </c>
      <c r="D812" s="2">
        <v>0.8</v>
      </c>
      <c r="E812" s="2">
        <v>1.5</v>
      </c>
      <c r="F812" s="2">
        <v>1.5</v>
      </c>
      <c r="G812" s="2">
        <v>-0.1</v>
      </c>
      <c r="H812" s="2">
        <f>AVERAGE(weather.tbl[[#This Row],[Estevan]:[Kipling]])</f>
        <v>1.05</v>
      </c>
      <c r="I812" s="2">
        <f>_xlfn.STDEV.S(weather.tbl[[#This Row],[Estevan]:[Kipling]])</f>
        <v>0.79937475566845351</v>
      </c>
      <c r="J812" s="2">
        <f t="shared" si="12"/>
        <v>-1.5738095238095238</v>
      </c>
      <c r="K812">
        <f>DAY(weather.tbl[[#This Row],[Date]])</f>
        <v>21</v>
      </c>
      <c r="L812">
        <f>MONTH(weather.tbl[[#This Row],[Date]])</f>
        <v>3</v>
      </c>
      <c r="M812">
        <f>YEAR(weather.tbl[[#This Row],[Date]])</f>
        <v>2016</v>
      </c>
    </row>
    <row r="813" spans="1:13" x14ac:dyDescent="0.25">
      <c r="A813" s="1">
        <v>42451</v>
      </c>
      <c r="B813" s="2">
        <v>-3.1</v>
      </c>
      <c r="C813" s="2">
        <v>-3.7</v>
      </c>
      <c r="D813" s="2">
        <v>-6</v>
      </c>
      <c r="E813" s="2">
        <v>-3.3</v>
      </c>
      <c r="F813" s="2">
        <v>-6.5</v>
      </c>
      <c r="G813" s="2">
        <v>-5.8</v>
      </c>
      <c r="H813" s="2">
        <f>AVERAGE(weather.tbl[[#This Row],[Estevan]:[Kipling]])</f>
        <v>-4.7333333333333334</v>
      </c>
      <c r="I813" s="2">
        <f>_xlfn.STDEV.S(weather.tbl[[#This Row],[Estevan]:[Kipling]])</f>
        <v>1.5266521105565132</v>
      </c>
      <c r="J813" s="2">
        <f t="shared" si="12"/>
        <v>-2.3452380952380953</v>
      </c>
      <c r="K813">
        <f>DAY(weather.tbl[[#This Row],[Date]])</f>
        <v>22</v>
      </c>
      <c r="L813">
        <f>MONTH(weather.tbl[[#This Row],[Date]])</f>
        <v>3</v>
      </c>
      <c r="M813">
        <f>YEAR(weather.tbl[[#This Row],[Date]])</f>
        <v>2016</v>
      </c>
    </row>
    <row r="814" spans="1:13" x14ac:dyDescent="0.25">
      <c r="A814" s="1">
        <v>42452</v>
      </c>
      <c r="B814" s="2">
        <v>-2.2999999999999998</v>
      </c>
      <c r="C814" s="2">
        <v>-5.4</v>
      </c>
      <c r="D814" s="2">
        <v>-5.3</v>
      </c>
      <c r="E814" s="2">
        <v>-3.3</v>
      </c>
      <c r="F814" s="2">
        <v>-9.3000000000000007</v>
      </c>
      <c r="G814" s="2">
        <v>-9.8000000000000007</v>
      </c>
      <c r="H814" s="2">
        <f>AVERAGE(weather.tbl[[#This Row],[Estevan]:[Kipling]])</f>
        <v>-5.9000000000000012</v>
      </c>
      <c r="I814" s="2">
        <f>_xlfn.STDEV.S(weather.tbl[[#This Row],[Estevan]:[Kipling]])</f>
        <v>3.0692018506445611</v>
      </c>
      <c r="J814" s="2">
        <f t="shared" si="12"/>
        <v>-3.1238095238095238</v>
      </c>
      <c r="K814">
        <f>DAY(weather.tbl[[#This Row],[Date]])</f>
        <v>23</v>
      </c>
      <c r="L814">
        <f>MONTH(weather.tbl[[#This Row],[Date]])</f>
        <v>3</v>
      </c>
      <c r="M814">
        <f>YEAR(weather.tbl[[#This Row],[Date]])</f>
        <v>2016</v>
      </c>
    </row>
    <row r="815" spans="1:13" x14ac:dyDescent="0.25">
      <c r="A815" s="1">
        <v>42453</v>
      </c>
      <c r="B815" s="2">
        <v>3.1</v>
      </c>
      <c r="C815" s="2">
        <v>2.6</v>
      </c>
      <c r="D815" s="2">
        <v>1</v>
      </c>
      <c r="E815" s="2">
        <v>2.2999999999999998</v>
      </c>
      <c r="F815" s="2">
        <v>3</v>
      </c>
      <c r="G815" s="2">
        <v>0</v>
      </c>
      <c r="H815" s="2">
        <f>AVERAGE(weather.tbl[[#This Row],[Estevan]:[Kipling]])</f>
        <v>2</v>
      </c>
      <c r="I815" s="2">
        <f>_xlfn.STDEV.S(weather.tbl[[#This Row],[Estevan]:[Kipling]])</f>
        <v>1.2377398757412641</v>
      </c>
      <c r="J815" s="2">
        <f t="shared" si="12"/>
        <v>-2.2214285714285715</v>
      </c>
      <c r="K815">
        <f>DAY(weather.tbl[[#This Row],[Date]])</f>
        <v>24</v>
      </c>
      <c r="L815">
        <f>MONTH(weather.tbl[[#This Row],[Date]])</f>
        <v>3</v>
      </c>
      <c r="M815">
        <f>YEAR(weather.tbl[[#This Row],[Date]])</f>
        <v>2016</v>
      </c>
    </row>
    <row r="816" spans="1:13" x14ac:dyDescent="0.25">
      <c r="A816" s="1">
        <v>42454</v>
      </c>
      <c r="B816" s="2">
        <v>-3.8</v>
      </c>
      <c r="C816" s="2">
        <v>-3.8</v>
      </c>
      <c r="D816" s="2">
        <v>-4.5</v>
      </c>
      <c r="E816" s="2">
        <v>4</v>
      </c>
      <c r="F816" s="2">
        <v>-2.9</v>
      </c>
      <c r="G816" s="2">
        <v>-5</v>
      </c>
      <c r="H816" s="2">
        <f>AVERAGE(weather.tbl[[#This Row],[Estevan]:[Kipling]])</f>
        <v>-2.6666666666666665</v>
      </c>
      <c r="I816" s="2">
        <f>_xlfn.STDEV.S(weather.tbl[[#This Row],[Estevan]:[Kipling]])</f>
        <v>3.3428530728505952</v>
      </c>
      <c r="J816" s="2">
        <f t="shared" si="12"/>
        <v>-2.0976190476190477</v>
      </c>
      <c r="K816">
        <f>DAY(weather.tbl[[#This Row],[Date]])</f>
        <v>25</v>
      </c>
      <c r="L816">
        <f>MONTH(weather.tbl[[#This Row],[Date]])</f>
        <v>3</v>
      </c>
      <c r="M816">
        <f>YEAR(weather.tbl[[#This Row],[Date]])</f>
        <v>2016</v>
      </c>
    </row>
    <row r="817" spans="1:13" x14ac:dyDescent="0.25">
      <c r="A817" s="1">
        <v>42455</v>
      </c>
      <c r="B817" s="2">
        <v>0.6</v>
      </c>
      <c r="C817" s="2">
        <v>1.1000000000000001</v>
      </c>
      <c r="D817" s="2">
        <v>-0.8</v>
      </c>
      <c r="E817" s="2">
        <v>2</v>
      </c>
      <c r="F817" s="2">
        <v>-0.5</v>
      </c>
      <c r="G817" s="2">
        <v>-0.5</v>
      </c>
      <c r="H817" s="2">
        <f>AVERAGE(weather.tbl[[#This Row],[Estevan]:[Kipling]])</f>
        <v>0.31666666666666671</v>
      </c>
      <c r="I817" s="2">
        <f>_xlfn.STDEV.S(weather.tbl[[#This Row],[Estevan]:[Kipling]])</f>
        <v>1.1052903087726169</v>
      </c>
      <c r="J817" s="2">
        <f t="shared" si="12"/>
        <v>-1.5095238095238097</v>
      </c>
      <c r="K817">
        <f>DAY(weather.tbl[[#This Row],[Date]])</f>
        <v>26</v>
      </c>
      <c r="L817">
        <f>MONTH(weather.tbl[[#This Row],[Date]])</f>
        <v>3</v>
      </c>
      <c r="M817">
        <f>YEAR(weather.tbl[[#This Row],[Date]])</f>
        <v>2016</v>
      </c>
    </row>
    <row r="818" spans="1:13" x14ac:dyDescent="0.25">
      <c r="A818" s="1">
        <v>42456</v>
      </c>
      <c r="B818" s="2">
        <v>2.6</v>
      </c>
      <c r="C818" s="2">
        <v>1.6</v>
      </c>
      <c r="D818" s="2">
        <v>2.8</v>
      </c>
      <c r="E818" s="2">
        <v>3.5</v>
      </c>
      <c r="F818" s="2">
        <v>2.1</v>
      </c>
      <c r="G818" s="2">
        <v>1</v>
      </c>
      <c r="H818" s="2">
        <f>AVERAGE(weather.tbl[[#This Row],[Estevan]:[Kipling]])</f>
        <v>2.2666666666666666</v>
      </c>
      <c r="I818" s="2">
        <f>_xlfn.STDEV.S(weather.tbl[[#This Row],[Estevan]:[Kipling]])</f>
        <v>0.89368152418334534</v>
      </c>
      <c r="J818" s="2">
        <f t="shared" si="12"/>
        <v>-1.0952380952380956</v>
      </c>
      <c r="K818">
        <f>DAY(weather.tbl[[#This Row],[Date]])</f>
        <v>27</v>
      </c>
      <c r="L818">
        <f>MONTH(weather.tbl[[#This Row],[Date]])</f>
        <v>3</v>
      </c>
      <c r="M818">
        <f>YEAR(weather.tbl[[#This Row],[Date]])</f>
        <v>2016</v>
      </c>
    </row>
    <row r="819" spans="1:13" x14ac:dyDescent="0.25">
      <c r="A819" s="1">
        <v>42457</v>
      </c>
      <c r="B819" s="2">
        <v>2.9</v>
      </c>
      <c r="C819" s="2">
        <v>3.6</v>
      </c>
      <c r="D819" s="2">
        <v>1.8</v>
      </c>
      <c r="E819" s="2">
        <v>4</v>
      </c>
      <c r="F819" s="2">
        <v>2.2000000000000002</v>
      </c>
      <c r="G819" s="2">
        <v>1.3</v>
      </c>
      <c r="H819" s="2">
        <f>AVERAGE(weather.tbl[[#This Row],[Estevan]:[Kipling]])</f>
        <v>2.6333333333333333</v>
      </c>
      <c r="I819" s="2">
        <f>_xlfn.STDEV.S(weather.tbl[[#This Row],[Estevan]:[Kipling]])</f>
        <v>1.0519822558706331</v>
      </c>
      <c r="J819" s="2">
        <f t="shared" si="12"/>
        <v>-0.8690476190476194</v>
      </c>
      <c r="K819">
        <f>DAY(weather.tbl[[#This Row],[Date]])</f>
        <v>28</v>
      </c>
      <c r="L819">
        <f>MONTH(weather.tbl[[#This Row],[Date]])</f>
        <v>3</v>
      </c>
      <c r="M819">
        <f>YEAR(weather.tbl[[#This Row],[Date]])</f>
        <v>2016</v>
      </c>
    </row>
    <row r="820" spans="1:13" x14ac:dyDescent="0.25">
      <c r="A820" s="1">
        <v>42458</v>
      </c>
      <c r="B820" s="2">
        <v>4.5999999999999996</v>
      </c>
      <c r="C820" s="2">
        <v>5.9</v>
      </c>
      <c r="D820" s="2">
        <v>4</v>
      </c>
      <c r="E820" s="2">
        <v>6.5</v>
      </c>
      <c r="F820" s="2">
        <v>4.3</v>
      </c>
      <c r="G820" s="2">
        <v>5</v>
      </c>
      <c r="H820" s="2">
        <f>AVERAGE(weather.tbl[[#This Row],[Estevan]:[Kipling]])</f>
        <v>5.05</v>
      </c>
      <c r="I820" s="2">
        <f>_xlfn.STDEV.S(weather.tbl[[#This Row],[Estevan]:[Kipling]])</f>
        <v>0.96902012363005063</v>
      </c>
      <c r="J820" s="2">
        <f t="shared" si="12"/>
        <v>0.52857142857142825</v>
      </c>
      <c r="K820">
        <f>DAY(weather.tbl[[#This Row],[Date]])</f>
        <v>29</v>
      </c>
      <c r="L820">
        <f>MONTH(weather.tbl[[#This Row],[Date]])</f>
        <v>3</v>
      </c>
      <c r="M820">
        <f>YEAR(weather.tbl[[#This Row],[Date]])</f>
        <v>2016</v>
      </c>
    </row>
    <row r="821" spans="1:13" x14ac:dyDescent="0.25">
      <c r="A821" s="1">
        <v>42459</v>
      </c>
      <c r="B821" s="2">
        <v>2.7</v>
      </c>
      <c r="C821" s="2">
        <v>2</v>
      </c>
      <c r="D821" s="2">
        <v>4</v>
      </c>
      <c r="E821" s="2">
        <v>3.5</v>
      </c>
      <c r="F821" s="2">
        <v>4.7</v>
      </c>
      <c r="G821" s="2">
        <v>3.8</v>
      </c>
      <c r="H821" s="2">
        <f>AVERAGE(weather.tbl[[#This Row],[Estevan]:[Kipling]])</f>
        <v>3.4499999999999997</v>
      </c>
      <c r="I821" s="2">
        <f>_xlfn.STDEV.S(weather.tbl[[#This Row],[Estevan]:[Kipling]])</f>
        <v>0.96488341264631705</v>
      </c>
      <c r="J821" s="2">
        <f t="shared" si="12"/>
        <v>1.8642857142857141</v>
      </c>
      <c r="K821">
        <f>DAY(weather.tbl[[#This Row],[Date]])</f>
        <v>30</v>
      </c>
      <c r="L821">
        <f>MONTH(weather.tbl[[#This Row],[Date]])</f>
        <v>3</v>
      </c>
      <c r="M821">
        <f>YEAR(weather.tbl[[#This Row],[Date]])</f>
        <v>2016</v>
      </c>
    </row>
    <row r="822" spans="1:13" x14ac:dyDescent="0.25">
      <c r="A822" s="1">
        <v>42460</v>
      </c>
      <c r="B822" s="2">
        <v>0</v>
      </c>
      <c r="C822" s="2">
        <v>-1.1000000000000001</v>
      </c>
      <c r="D822" s="2">
        <v>4</v>
      </c>
      <c r="E822" s="2">
        <v>0.5</v>
      </c>
      <c r="F822" s="2">
        <v>1</v>
      </c>
      <c r="G822" s="2">
        <v>-0.5</v>
      </c>
      <c r="H822" s="2">
        <f>AVERAGE(weather.tbl[[#This Row],[Estevan]:[Kipling]])</f>
        <v>0.65</v>
      </c>
      <c r="I822" s="2">
        <f>_xlfn.STDEV.S(weather.tbl[[#This Row],[Estevan]:[Kipling]])</f>
        <v>1.798610574860495</v>
      </c>
      <c r="J822" s="2">
        <f t="shared" si="12"/>
        <v>1.6714285714285713</v>
      </c>
      <c r="K822">
        <f>DAY(weather.tbl[[#This Row],[Date]])</f>
        <v>31</v>
      </c>
      <c r="L822">
        <f>MONTH(weather.tbl[[#This Row],[Date]])</f>
        <v>3</v>
      </c>
      <c r="M822">
        <f>YEAR(weather.tbl[[#This Row],[Date]])</f>
        <v>2016</v>
      </c>
    </row>
    <row r="823" spans="1:13" x14ac:dyDescent="0.25">
      <c r="A823" s="1">
        <v>42461</v>
      </c>
      <c r="B823" s="2">
        <v>0.7</v>
      </c>
      <c r="C823" s="2">
        <v>0.8</v>
      </c>
      <c r="D823" s="2">
        <v>0.3</v>
      </c>
      <c r="E823" s="2">
        <v>2</v>
      </c>
      <c r="F823" s="2">
        <v>-0.2</v>
      </c>
      <c r="G823" s="2">
        <v>-0.8</v>
      </c>
      <c r="H823" s="2">
        <f>AVERAGE(weather.tbl[[#This Row],[Estevan]:[Kipling]])</f>
        <v>0.46666666666666662</v>
      </c>
      <c r="I823" s="2">
        <f>_xlfn.STDEV.S(weather.tbl[[#This Row],[Estevan]:[Kipling]])</f>
        <v>0.95847100460403434</v>
      </c>
      <c r="J823" s="2">
        <f t="shared" si="12"/>
        <v>2.1190476190476191</v>
      </c>
      <c r="K823">
        <f>DAY(weather.tbl[[#This Row],[Date]])</f>
        <v>1</v>
      </c>
      <c r="L823">
        <f>MONTH(weather.tbl[[#This Row],[Date]])</f>
        <v>4</v>
      </c>
      <c r="M823">
        <f>YEAR(weather.tbl[[#This Row],[Date]])</f>
        <v>2016</v>
      </c>
    </row>
    <row r="824" spans="1:13" x14ac:dyDescent="0.25">
      <c r="A824" s="1">
        <v>42462</v>
      </c>
      <c r="B824" s="2">
        <v>7.9</v>
      </c>
      <c r="C824" s="2">
        <v>7.7</v>
      </c>
      <c r="D824" s="2">
        <v>5.8</v>
      </c>
      <c r="E824" s="2">
        <v>9.3000000000000007</v>
      </c>
      <c r="F824" s="2">
        <v>1.2</v>
      </c>
      <c r="G824" s="2">
        <v>7</v>
      </c>
      <c r="H824" s="2">
        <f>AVERAGE(weather.tbl[[#This Row],[Estevan]:[Kipling]])</f>
        <v>6.4833333333333343</v>
      </c>
      <c r="I824" s="2">
        <f>_xlfn.STDEV.S(weather.tbl[[#This Row],[Estevan]:[Kipling]])</f>
        <v>2.8308420419844444</v>
      </c>
      <c r="J824" s="2">
        <f t="shared" si="12"/>
        <v>3</v>
      </c>
      <c r="K824">
        <f>DAY(weather.tbl[[#This Row],[Date]])</f>
        <v>2</v>
      </c>
      <c r="L824">
        <f>MONTH(weather.tbl[[#This Row],[Date]])</f>
        <v>4</v>
      </c>
      <c r="M824">
        <f>YEAR(weather.tbl[[#This Row],[Date]])</f>
        <v>2016</v>
      </c>
    </row>
    <row r="825" spans="1:13" x14ac:dyDescent="0.25">
      <c r="A825" s="1">
        <v>42463</v>
      </c>
      <c r="B825" s="2">
        <v>2.5</v>
      </c>
      <c r="C825" s="2">
        <v>3.7</v>
      </c>
      <c r="D825" s="2">
        <v>1</v>
      </c>
      <c r="E825" s="2">
        <v>3</v>
      </c>
      <c r="F825" s="2">
        <v>-3.4</v>
      </c>
      <c r="G825" s="2">
        <v>-3.5</v>
      </c>
      <c r="H825" s="2">
        <f>AVERAGE(weather.tbl[[#This Row],[Estevan]:[Kipling]])</f>
        <v>0.54999999999999982</v>
      </c>
      <c r="I825" s="2">
        <f>_xlfn.STDEV.S(weather.tbl[[#This Row],[Estevan]:[Kipling]])</f>
        <v>3.2228869046244859</v>
      </c>
      <c r="J825" s="2">
        <f t="shared" si="12"/>
        <v>2.7547619047619052</v>
      </c>
      <c r="K825">
        <f>DAY(weather.tbl[[#This Row],[Date]])</f>
        <v>3</v>
      </c>
      <c r="L825">
        <f>MONTH(weather.tbl[[#This Row],[Date]])</f>
        <v>4</v>
      </c>
      <c r="M825">
        <f>YEAR(weather.tbl[[#This Row],[Date]])</f>
        <v>2016</v>
      </c>
    </row>
    <row r="826" spans="1:13" x14ac:dyDescent="0.25">
      <c r="A826" s="1">
        <v>42464</v>
      </c>
      <c r="B826" s="2">
        <v>2.4</v>
      </c>
      <c r="C826" s="2">
        <v>2.1</v>
      </c>
      <c r="D826" s="2">
        <v>1.3</v>
      </c>
      <c r="E826" s="2">
        <v>3.5</v>
      </c>
      <c r="F826" s="2">
        <v>0.3</v>
      </c>
      <c r="G826" s="2">
        <v>0.5</v>
      </c>
      <c r="H826" s="2">
        <f>AVERAGE(weather.tbl[[#This Row],[Estevan]:[Kipling]])</f>
        <v>1.6833333333333336</v>
      </c>
      <c r="I826" s="2">
        <f>_xlfn.STDEV.S(weather.tbl[[#This Row],[Estevan]:[Kipling]])</f>
        <v>1.2205190152827057</v>
      </c>
      <c r="J826" s="2">
        <f t="shared" si="12"/>
        <v>2.6190476190476195</v>
      </c>
      <c r="K826">
        <f>DAY(weather.tbl[[#This Row],[Date]])</f>
        <v>4</v>
      </c>
      <c r="L826">
        <f>MONTH(weather.tbl[[#This Row],[Date]])</f>
        <v>4</v>
      </c>
      <c r="M826">
        <f>YEAR(weather.tbl[[#This Row],[Date]])</f>
        <v>2016</v>
      </c>
    </row>
    <row r="827" spans="1:13" x14ac:dyDescent="0.25">
      <c r="A827" s="1">
        <v>42465</v>
      </c>
      <c r="B827" s="2">
        <v>2.4</v>
      </c>
      <c r="C827" s="2">
        <v>3.3</v>
      </c>
      <c r="D827" s="2">
        <v>6.5</v>
      </c>
      <c r="E827" s="2">
        <v>5</v>
      </c>
      <c r="F827" s="2">
        <v>6.1</v>
      </c>
      <c r="G827" s="2">
        <v>2.8</v>
      </c>
      <c r="H827" s="2">
        <f>AVERAGE(weather.tbl[[#This Row],[Estevan]:[Kipling]])</f>
        <v>4.3499999999999996</v>
      </c>
      <c r="I827" s="2">
        <f>_xlfn.STDEV.S(weather.tbl[[#This Row],[Estevan]:[Kipling]])</f>
        <v>1.7558473737771176</v>
      </c>
      <c r="J827" s="2">
        <f t="shared" si="12"/>
        <v>2.519047619047619</v>
      </c>
      <c r="K827">
        <f>DAY(weather.tbl[[#This Row],[Date]])</f>
        <v>5</v>
      </c>
      <c r="L827">
        <f>MONTH(weather.tbl[[#This Row],[Date]])</f>
        <v>4</v>
      </c>
      <c r="M827">
        <f>YEAR(weather.tbl[[#This Row],[Date]])</f>
        <v>2016</v>
      </c>
    </row>
    <row r="828" spans="1:13" x14ac:dyDescent="0.25">
      <c r="A828" s="1">
        <v>42466</v>
      </c>
      <c r="B828" s="2">
        <v>2.4</v>
      </c>
      <c r="C828" s="2">
        <v>3.5</v>
      </c>
      <c r="D828" s="2">
        <v>4</v>
      </c>
      <c r="E828" s="2">
        <v>5</v>
      </c>
      <c r="F828" s="2">
        <v>2.8</v>
      </c>
      <c r="G828" s="2">
        <v>2</v>
      </c>
      <c r="H828" s="2">
        <f>AVERAGE(weather.tbl[[#This Row],[Estevan]:[Kipling]])</f>
        <v>3.2833333333333332</v>
      </c>
      <c r="I828" s="2">
        <f>_xlfn.STDEV.S(weather.tbl[[#This Row],[Estevan]:[Kipling]])</f>
        <v>1.1107054815146395</v>
      </c>
      <c r="J828" s="2">
        <f t="shared" si="12"/>
        <v>2.4952380952380957</v>
      </c>
      <c r="K828">
        <f>DAY(weather.tbl[[#This Row],[Date]])</f>
        <v>6</v>
      </c>
      <c r="L828">
        <f>MONTH(weather.tbl[[#This Row],[Date]])</f>
        <v>4</v>
      </c>
      <c r="M828">
        <f>YEAR(weather.tbl[[#This Row],[Date]])</f>
        <v>2016</v>
      </c>
    </row>
    <row r="829" spans="1:13" x14ac:dyDescent="0.25">
      <c r="A829" s="1">
        <v>42467</v>
      </c>
      <c r="B829" s="2">
        <v>1.2</v>
      </c>
      <c r="C829" s="2">
        <v>0.8</v>
      </c>
      <c r="D829" s="2">
        <v>2.8</v>
      </c>
      <c r="E829" s="2">
        <v>3.8</v>
      </c>
      <c r="F829" s="2">
        <v>0.2</v>
      </c>
      <c r="G829" s="2">
        <v>0.5</v>
      </c>
      <c r="H829" s="2">
        <f>AVERAGE(weather.tbl[[#This Row],[Estevan]:[Kipling]])</f>
        <v>1.5499999999999998</v>
      </c>
      <c r="I829" s="2">
        <f>_xlfn.STDEV.S(weather.tbl[[#This Row],[Estevan]:[Kipling]])</f>
        <v>1.4307340773183534</v>
      </c>
      <c r="J829" s="2">
        <f t="shared" si="12"/>
        <v>2.6238095238095238</v>
      </c>
      <c r="K829">
        <f>DAY(weather.tbl[[#This Row],[Date]])</f>
        <v>7</v>
      </c>
      <c r="L829">
        <f>MONTH(weather.tbl[[#This Row],[Date]])</f>
        <v>4</v>
      </c>
      <c r="M829">
        <f>YEAR(weather.tbl[[#This Row],[Date]])</f>
        <v>2016</v>
      </c>
    </row>
    <row r="830" spans="1:13" x14ac:dyDescent="0.25">
      <c r="A830" s="1">
        <v>42468</v>
      </c>
      <c r="B830" s="2">
        <v>-1.2</v>
      </c>
      <c r="C830" s="2">
        <v>-0.2</v>
      </c>
      <c r="D830" s="2">
        <v>-1.3</v>
      </c>
      <c r="E830" s="2">
        <v>0</v>
      </c>
      <c r="F830" s="2">
        <v>-3.5</v>
      </c>
      <c r="G830" s="2">
        <v>-2.5</v>
      </c>
      <c r="H830" s="2">
        <f>AVERAGE(weather.tbl[[#This Row],[Estevan]:[Kipling]])</f>
        <v>-1.45</v>
      </c>
      <c r="I830" s="2">
        <f>_xlfn.STDEV.S(weather.tbl[[#This Row],[Estevan]:[Kipling]])</f>
        <v>1.3457340004622016</v>
      </c>
      <c r="J830" s="2">
        <f t="shared" si="12"/>
        <v>2.3500000000000005</v>
      </c>
      <c r="K830">
        <f>DAY(weather.tbl[[#This Row],[Date]])</f>
        <v>8</v>
      </c>
      <c r="L830">
        <f>MONTH(weather.tbl[[#This Row],[Date]])</f>
        <v>4</v>
      </c>
      <c r="M830">
        <f>YEAR(weather.tbl[[#This Row],[Date]])</f>
        <v>2016</v>
      </c>
    </row>
    <row r="831" spans="1:13" x14ac:dyDescent="0.25">
      <c r="A831" s="1">
        <v>42469</v>
      </c>
      <c r="B831" s="2">
        <v>8.6999999999999993</v>
      </c>
      <c r="C831" s="2">
        <v>7.6</v>
      </c>
      <c r="D831" s="2">
        <v>-1.3</v>
      </c>
      <c r="E831" s="2">
        <v>8.8000000000000007</v>
      </c>
      <c r="F831" s="2">
        <v>5.8</v>
      </c>
      <c r="G831" s="2">
        <v>5</v>
      </c>
      <c r="H831" s="2">
        <f>AVERAGE(weather.tbl[[#This Row],[Estevan]:[Kipling]])</f>
        <v>5.7666666666666657</v>
      </c>
      <c r="I831" s="2">
        <f>_xlfn.STDEV.S(weather.tbl[[#This Row],[Estevan]:[Kipling]])</f>
        <v>3.7866431924155028</v>
      </c>
      <c r="J831" s="2">
        <f t="shared" si="12"/>
        <v>2.2476190476190476</v>
      </c>
      <c r="K831">
        <f>DAY(weather.tbl[[#This Row],[Date]])</f>
        <v>9</v>
      </c>
      <c r="L831">
        <f>MONTH(weather.tbl[[#This Row],[Date]])</f>
        <v>4</v>
      </c>
      <c r="M831">
        <f>YEAR(weather.tbl[[#This Row],[Date]])</f>
        <v>2016</v>
      </c>
    </row>
    <row r="832" spans="1:13" x14ac:dyDescent="0.25">
      <c r="A832" s="1">
        <v>42470</v>
      </c>
      <c r="B832" s="2">
        <v>-3.4</v>
      </c>
      <c r="C832" s="2">
        <v>-3.7</v>
      </c>
      <c r="D832" s="2">
        <v>-2.2999999999999998</v>
      </c>
      <c r="E832" s="2">
        <v>-1</v>
      </c>
      <c r="F832" s="2">
        <v>-2.1</v>
      </c>
      <c r="G832" s="2">
        <v>-4</v>
      </c>
      <c r="H832" s="2">
        <f>AVERAGE(weather.tbl[[#This Row],[Estevan]:[Kipling]])</f>
        <v>-2.75</v>
      </c>
      <c r="I832" s="2">
        <f>_xlfn.STDEV.S(weather.tbl[[#This Row],[Estevan]:[Kipling]])</f>
        <v>1.1467344941179718</v>
      </c>
      <c r="J832" s="2">
        <f t="shared" si="12"/>
        <v>1.7761904761904763</v>
      </c>
      <c r="K832">
        <f>DAY(weather.tbl[[#This Row],[Date]])</f>
        <v>10</v>
      </c>
      <c r="L832">
        <f>MONTH(weather.tbl[[#This Row],[Date]])</f>
        <v>4</v>
      </c>
      <c r="M832">
        <f>YEAR(weather.tbl[[#This Row],[Date]])</f>
        <v>2016</v>
      </c>
    </row>
    <row r="833" spans="1:13" x14ac:dyDescent="0.25">
      <c r="A833" s="1">
        <v>42471</v>
      </c>
      <c r="B833" s="2">
        <v>-3.5</v>
      </c>
      <c r="C833" s="2">
        <v>-3.8</v>
      </c>
      <c r="D833" s="2">
        <v>-3</v>
      </c>
      <c r="E833" s="2">
        <v>-3</v>
      </c>
      <c r="F833" s="2">
        <v>-2.5</v>
      </c>
      <c r="G833" s="2">
        <v>-3.3</v>
      </c>
      <c r="H833" s="2">
        <f>AVERAGE(weather.tbl[[#This Row],[Estevan]:[Kipling]])</f>
        <v>-3.1833333333333336</v>
      </c>
      <c r="I833" s="2">
        <f>_xlfn.STDEV.S(weather.tbl[[#This Row],[Estevan]:[Kipling]])</f>
        <v>0.45350486950711383</v>
      </c>
      <c r="J833" s="2">
        <f t="shared" si="12"/>
        <v>1.0809523809523809</v>
      </c>
      <c r="K833">
        <f>DAY(weather.tbl[[#This Row],[Date]])</f>
        <v>11</v>
      </c>
      <c r="L833">
        <f>MONTH(weather.tbl[[#This Row],[Date]])</f>
        <v>4</v>
      </c>
      <c r="M833">
        <f>YEAR(weather.tbl[[#This Row],[Date]])</f>
        <v>2016</v>
      </c>
    </row>
    <row r="834" spans="1:13" x14ac:dyDescent="0.25">
      <c r="A834" s="1">
        <v>42472</v>
      </c>
      <c r="B834" s="2">
        <v>7.9</v>
      </c>
      <c r="C834" s="2">
        <v>9.1</v>
      </c>
      <c r="D834" s="2">
        <v>5.5</v>
      </c>
      <c r="E834" s="2">
        <v>10</v>
      </c>
      <c r="F834" s="2">
        <v>4.0999999999999996</v>
      </c>
      <c r="G834" s="2">
        <v>7.3</v>
      </c>
      <c r="H834" s="2">
        <f>AVERAGE(weather.tbl[[#This Row],[Estevan]:[Kipling]])</f>
        <v>7.3166666666666664</v>
      </c>
      <c r="I834" s="2">
        <f>_xlfn.STDEV.S(weather.tbl[[#This Row],[Estevan]:[Kipling]])</f>
        <v>2.2076382553911951</v>
      </c>
      <c r="J834" s="2">
        <f t="shared" si="12"/>
        <v>1.5047619047619045</v>
      </c>
      <c r="K834">
        <f>DAY(weather.tbl[[#This Row],[Date]])</f>
        <v>12</v>
      </c>
      <c r="L834">
        <f>MONTH(weather.tbl[[#This Row],[Date]])</f>
        <v>4</v>
      </c>
      <c r="M834">
        <f>YEAR(weather.tbl[[#This Row],[Date]])</f>
        <v>2016</v>
      </c>
    </row>
    <row r="835" spans="1:13" x14ac:dyDescent="0.25">
      <c r="A835" s="1">
        <v>42473</v>
      </c>
      <c r="B835" s="2">
        <v>10.199999999999999</v>
      </c>
      <c r="C835" s="2">
        <v>11.5</v>
      </c>
      <c r="D835" s="2">
        <v>9</v>
      </c>
      <c r="E835" s="2">
        <v>10.8</v>
      </c>
      <c r="F835" s="2">
        <v>9.9</v>
      </c>
      <c r="G835" s="2">
        <v>11.5</v>
      </c>
      <c r="H835" s="2">
        <f>AVERAGE(weather.tbl[[#This Row],[Estevan]:[Kipling]])</f>
        <v>10.483333333333333</v>
      </c>
      <c r="I835" s="2">
        <f>_xlfn.STDEV.S(weather.tbl[[#This Row],[Estevan]:[Kipling]])</f>
        <v>0.97860444852180539</v>
      </c>
      <c r="J835" s="2">
        <f t="shared" si="12"/>
        <v>2.5333333333333328</v>
      </c>
      <c r="K835">
        <f>DAY(weather.tbl[[#This Row],[Date]])</f>
        <v>13</v>
      </c>
      <c r="L835">
        <f>MONTH(weather.tbl[[#This Row],[Date]])</f>
        <v>4</v>
      </c>
      <c r="M835">
        <f>YEAR(weather.tbl[[#This Row],[Date]])</f>
        <v>2016</v>
      </c>
    </row>
    <row r="836" spans="1:13" x14ac:dyDescent="0.25">
      <c r="A836" s="1">
        <v>42474</v>
      </c>
      <c r="B836" s="2">
        <v>10.199999999999999</v>
      </c>
      <c r="C836" s="2">
        <v>9</v>
      </c>
      <c r="D836" s="2">
        <v>10.5</v>
      </c>
      <c r="E836" s="2">
        <v>11</v>
      </c>
      <c r="F836" s="2">
        <v>11.8</v>
      </c>
      <c r="G836" s="2">
        <v>9.3000000000000007</v>
      </c>
      <c r="H836" s="2">
        <f>AVERAGE(weather.tbl[[#This Row],[Estevan]:[Kipling]])</f>
        <v>10.299999999999999</v>
      </c>
      <c r="I836" s="2">
        <f>_xlfn.STDEV.S(weather.tbl[[#This Row],[Estevan]:[Kipling]])</f>
        <v>1.046900186264192</v>
      </c>
      <c r="J836" s="2">
        <f t="shared" si="12"/>
        <v>3.7833333333333323</v>
      </c>
      <c r="K836">
        <f>DAY(weather.tbl[[#This Row],[Date]])</f>
        <v>14</v>
      </c>
      <c r="L836">
        <f>MONTH(weather.tbl[[#This Row],[Date]])</f>
        <v>4</v>
      </c>
      <c r="M836">
        <f>YEAR(weather.tbl[[#This Row],[Date]])</f>
        <v>2016</v>
      </c>
    </row>
    <row r="837" spans="1:13" x14ac:dyDescent="0.25">
      <c r="A837" s="1">
        <v>42475</v>
      </c>
      <c r="B837" s="2">
        <v>4.8</v>
      </c>
      <c r="C837" s="2">
        <v>4.7</v>
      </c>
      <c r="D837" s="2">
        <v>3</v>
      </c>
      <c r="E837" s="2">
        <v>4</v>
      </c>
      <c r="F837" s="2">
        <v>5</v>
      </c>
      <c r="G837" s="2">
        <v>2.2999999999999998</v>
      </c>
      <c r="H837" s="2">
        <f>AVERAGE(weather.tbl[[#This Row],[Estevan]:[Kipling]])</f>
        <v>3.9666666666666668</v>
      </c>
      <c r="I837" s="2">
        <f>_xlfn.STDEV.S(weather.tbl[[#This Row],[Estevan]:[Kipling]])</f>
        <v>1.0966616007988341</v>
      </c>
      <c r="J837" s="2">
        <f t="shared" si="12"/>
        <v>4.5571428571428569</v>
      </c>
      <c r="K837">
        <f>DAY(weather.tbl[[#This Row],[Date]])</f>
        <v>15</v>
      </c>
      <c r="L837">
        <f>MONTH(weather.tbl[[#This Row],[Date]])</f>
        <v>4</v>
      </c>
      <c r="M837">
        <f>YEAR(weather.tbl[[#This Row],[Date]])</f>
        <v>2016</v>
      </c>
    </row>
    <row r="838" spans="1:13" x14ac:dyDescent="0.25">
      <c r="A838" s="1">
        <v>42476</v>
      </c>
      <c r="B838" s="2">
        <v>2.5</v>
      </c>
      <c r="C838" s="2">
        <v>3.7</v>
      </c>
      <c r="D838" s="2">
        <v>1.8</v>
      </c>
      <c r="E838" s="2">
        <v>5.5</v>
      </c>
      <c r="F838" s="2">
        <v>0.6</v>
      </c>
      <c r="G838" s="2">
        <v>1.3</v>
      </c>
      <c r="H838" s="2">
        <f>AVERAGE(weather.tbl[[#This Row],[Estevan]:[Kipling]])</f>
        <v>2.5666666666666669</v>
      </c>
      <c r="I838" s="2">
        <f>_xlfn.STDEV.S(weather.tbl[[#This Row],[Estevan]:[Kipling]])</f>
        <v>1.7862437310363515</v>
      </c>
      <c r="J838" s="2">
        <f t="shared" si="12"/>
        <v>4.0999999999999996</v>
      </c>
      <c r="K838">
        <f>DAY(weather.tbl[[#This Row],[Date]])</f>
        <v>16</v>
      </c>
      <c r="L838">
        <f>MONTH(weather.tbl[[#This Row],[Date]])</f>
        <v>4</v>
      </c>
      <c r="M838">
        <f>YEAR(weather.tbl[[#This Row],[Date]])</f>
        <v>2016</v>
      </c>
    </row>
    <row r="839" spans="1:13" x14ac:dyDescent="0.25">
      <c r="A839" s="1">
        <v>42477</v>
      </c>
      <c r="B839" s="2">
        <v>6.8</v>
      </c>
      <c r="C839" s="2">
        <v>5.3</v>
      </c>
      <c r="D839" s="2">
        <v>5.5</v>
      </c>
      <c r="E839" s="2">
        <v>6</v>
      </c>
      <c r="F839" s="2">
        <v>2.2999999999999998</v>
      </c>
      <c r="G839" s="2">
        <v>4.8</v>
      </c>
      <c r="H839" s="2">
        <f>AVERAGE(weather.tbl[[#This Row],[Estevan]:[Kipling]])</f>
        <v>5.1166666666666671</v>
      </c>
      <c r="I839" s="2">
        <f>_xlfn.STDEV.S(weather.tbl[[#This Row],[Estevan]:[Kipling]])</f>
        <v>1.5380723866797226</v>
      </c>
      <c r="J839" s="2">
        <f t="shared" si="12"/>
        <v>5.223809523809523</v>
      </c>
      <c r="K839">
        <f>DAY(weather.tbl[[#This Row],[Date]])</f>
        <v>17</v>
      </c>
      <c r="L839">
        <f>MONTH(weather.tbl[[#This Row],[Date]])</f>
        <v>4</v>
      </c>
      <c r="M839">
        <f>YEAR(weather.tbl[[#This Row],[Date]])</f>
        <v>2016</v>
      </c>
    </row>
    <row r="840" spans="1:13" x14ac:dyDescent="0.25">
      <c r="A840" s="1">
        <v>42478</v>
      </c>
      <c r="B840" s="2">
        <v>7.7</v>
      </c>
      <c r="C840" s="2">
        <v>7.7</v>
      </c>
      <c r="D840" s="2">
        <v>7.8</v>
      </c>
      <c r="E840" s="2">
        <v>8.5</v>
      </c>
      <c r="F840" s="2">
        <v>8.8000000000000007</v>
      </c>
      <c r="G840" s="2">
        <v>7.8</v>
      </c>
      <c r="H840" s="2">
        <f>AVERAGE(weather.tbl[[#This Row],[Estevan]:[Kipling]])</f>
        <v>8.0499999999999989</v>
      </c>
      <c r="I840" s="2">
        <f>_xlfn.STDEV.S(weather.tbl[[#This Row],[Estevan]:[Kipling]])</f>
        <v>0.47644516998286401</v>
      </c>
      <c r="J840" s="2">
        <f t="shared" si="12"/>
        <v>6.8285714285714283</v>
      </c>
      <c r="K840">
        <f>DAY(weather.tbl[[#This Row],[Date]])</f>
        <v>18</v>
      </c>
      <c r="L840">
        <f>MONTH(weather.tbl[[#This Row],[Date]])</f>
        <v>4</v>
      </c>
      <c r="M840">
        <f>YEAR(weather.tbl[[#This Row],[Date]])</f>
        <v>2016</v>
      </c>
    </row>
    <row r="841" spans="1:13" x14ac:dyDescent="0.25">
      <c r="A841" s="1">
        <v>42479</v>
      </c>
      <c r="B841" s="2">
        <v>9</v>
      </c>
      <c r="C841" s="2">
        <v>9</v>
      </c>
      <c r="D841" s="2">
        <v>7.8</v>
      </c>
      <c r="E841" s="2">
        <v>11.5</v>
      </c>
      <c r="F841" s="2">
        <v>9</v>
      </c>
      <c r="G841" s="2">
        <v>10.5</v>
      </c>
      <c r="H841" s="2">
        <f>AVERAGE(weather.tbl[[#This Row],[Estevan]:[Kipling]])</f>
        <v>9.4666666666666668</v>
      </c>
      <c r="I841" s="2">
        <f>_xlfn.STDEV.S(weather.tbl[[#This Row],[Estevan]:[Kipling]])</f>
        <v>1.3140268896284764</v>
      </c>
      <c r="J841" s="2">
        <f t="shared" si="12"/>
        <v>7.1357142857142861</v>
      </c>
      <c r="K841">
        <f>DAY(weather.tbl[[#This Row],[Date]])</f>
        <v>19</v>
      </c>
      <c r="L841">
        <f>MONTH(weather.tbl[[#This Row],[Date]])</f>
        <v>4</v>
      </c>
      <c r="M841">
        <f>YEAR(weather.tbl[[#This Row],[Date]])</f>
        <v>2016</v>
      </c>
    </row>
    <row r="842" spans="1:13" x14ac:dyDescent="0.25">
      <c r="A842" s="1">
        <v>42480</v>
      </c>
      <c r="B842" s="2">
        <v>12.5</v>
      </c>
      <c r="C842" s="2">
        <v>12.4</v>
      </c>
      <c r="D842" s="2">
        <v>12.5</v>
      </c>
      <c r="E842" s="2">
        <v>13.5</v>
      </c>
      <c r="F842" s="2">
        <v>14.5</v>
      </c>
      <c r="G842" s="2">
        <v>13.8</v>
      </c>
      <c r="H842" s="2">
        <f>AVERAGE(weather.tbl[[#This Row],[Estevan]:[Kipling]])</f>
        <v>13.200000000000001</v>
      </c>
      <c r="I842" s="2">
        <f>_xlfn.STDEV.S(weather.tbl[[#This Row],[Estevan]:[Kipling]])</f>
        <v>0.86717933554715199</v>
      </c>
      <c r="J842" s="2">
        <f t="shared" ref="J842:J905" si="13">AVERAGE(H836:H842)</f>
        <v>7.5238095238095246</v>
      </c>
      <c r="K842">
        <f>DAY(weather.tbl[[#This Row],[Date]])</f>
        <v>20</v>
      </c>
      <c r="L842">
        <f>MONTH(weather.tbl[[#This Row],[Date]])</f>
        <v>4</v>
      </c>
      <c r="M842">
        <f>YEAR(weather.tbl[[#This Row],[Date]])</f>
        <v>2016</v>
      </c>
    </row>
    <row r="843" spans="1:13" x14ac:dyDescent="0.25">
      <c r="A843" s="1">
        <v>42481</v>
      </c>
      <c r="B843" s="2">
        <v>4.7</v>
      </c>
      <c r="C843" s="2">
        <v>4.3</v>
      </c>
      <c r="D843" s="2">
        <v>4.8</v>
      </c>
      <c r="E843" s="2">
        <v>6.5</v>
      </c>
      <c r="F843" s="2">
        <v>4.5</v>
      </c>
      <c r="G843" s="2">
        <v>4.8</v>
      </c>
      <c r="H843" s="2">
        <f>AVERAGE(weather.tbl[[#This Row],[Estevan]:[Kipling]])</f>
        <v>4.9333333333333336</v>
      </c>
      <c r="I843" s="2">
        <f>_xlfn.STDEV.S(weather.tbl[[#This Row],[Estevan]:[Kipling]])</f>
        <v>0.79162280580252686</v>
      </c>
      <c r="J843" s="2">
        <f t="shared" si="13"/>
        <v>6.7571428571428571</v>
      </c>
      <c r="K843">
        <f>DAY(weather.tbl[[#This Row],[Date]])</f>
        <v>21</v>
      </c>
      <c r="L843">
        <f>MONTH(weather.tbl[[#This Row],[Date]])</f>
        <v>4</v>
      </c>
      <c r="M843">
        <f>YEAR(weather.tbl[[#This Row],[Date]])</f>
        <v>2016</v>
      </c>
    </row>
    <row r="844" spans="1:13" x14ac:dyDescent="0.25">
      <c r="A844" s="1">
        <v>42482</v>
      </c>
      <c r="B844" s="2">
        <v>7.5</v>
      </c>
      <c r="C844" s="2">
        <v>8.6999999999999993</v>
      </c>
      <c r="D844" s="2">
        <v>6.5</v>
      </c>
      <c r="E844" s="2">
        <v>9.5</v>
      </c>
      <c r="F844" s="2">
        <v>5.0999999999999996</v>
      </c>
      <c r="G844" s="2">
        <v>6.5</v>
      </c>
      <c r="H844" s="2">
        <f>AVERAGE(weather.tbl[[#This Row],[Estevan]:[Kipling]])</f>
        <v>7.3000000000000007</v>
      </c>
      <c r="I844" s="2">
        <f>_xlfn.STDEV.S(weather.tbl[[#This Row],[Estevan]:[Kipling]])</f>
        <v>1.6099689437998437</v>
      </c>
      <c r="J844" s="2">
        <f t="shared" si="13"/>
        <v>7.2333333333333325</v>
      </c>
      <c r="K844">
        <f>DAY(weather.tbl[[#This Row],[Date]])</f>
        <v>22</v>
      </c>
      <c r="L844">
        <f>MONTH(weather.tbl[[#This Row],[Date]])</f>
        <v>4</v>
      </c>
      <c r="M844">
        <f>YEAR(weather.tbl[[#This Row],[Date]])</f>
        <v>2016</v>
      </c>
    </row>
    <row r="845" spans="1:13" x14ac:dyDescent="0.25">
      <c r="A845" s="1">
        <v>42483</v>
      </c>
      <c r="B845" s="2">
        <v>6.7</v>
      </c>
      <c r="C845" s="2">
        <v>8.1999999999999993</v>
      </c>
      <c r="D845" s="2">
        <v>6.3</v>
      </c>
      <c r="E845" s="2">
        <v>9.3000000000000007</v>
      </c>
      <c r="F845" s="2">
        <v>7</v>
      </c>
      <c r="G845" s="2">
        <v>5.5</v>
      </c>
      <c r="H845" s="2">
        <f>AVERAGE(weather.tbl[[#This Row],[Estevan]:[Kipling]])</f>
        <v>7.166666666666667</v>
      </c>
      <c r="I845" s="2">
        <f>_xlfn.STDEV.S(weather.tbl[[#This Row],[Estevan]:[Kipling]])</f>
        <v>1.3706446172026736</v>
      </c>
      <c r="J845" s="2">
        <f t="shared" si="13"/>
        <v>7.89047619047619</v>
      </c>
      <c r="K845">
        <f>DAY(weather.tbl[[#This Row],[Date]])</f>
        <v>23</v>
      </c>
      <c r="L845">
        <f>MONTH(weather.tbl[[#This Row],[Date]])</f>
        <v>4</v>
      </c>
      <c r="M845">
        <f>YEAR(weather.tbl[[#This Row],[Date]])</f>
        <v>2016</v>
      </c>
    </row>
    <row r="846" spans="1:13" x14ac:dyDescent="0.25">
      <c r="A846" s="1">
        <v>42484</v>
      </c>
      <c r="B846" s="2">
        <v>4.5</v>
      </c>
      <c r="C846" s="2">
        <v>5.4</v>
      </c>
      <c r="D846" s="2">
        <v>6.3</v>
      </c>
      <c r="E846" s="2">
        <v>5.5</v>
      </c>
      <c r="F846" s="2">
        <v>6.4</v>
      </c>
      <c r="G846" s="2">
        <v>4.8</v>
      </c>
      <c r="H846" s="2">
        <f>AVERAGE(weather.tbl[[#This Row],[Estevan]:[Kipling]])</f>
        <v>5.4833333333333334</v>
      </c>
      <c r="I846" s="2">
        <f>_xlfn.STDEV.S(weather.tbl[[#This Row],[Estevan]:[Kipling]])</f>
        <v>0.76789756261279429</v>
      </c>
      <c r="J846" s="2">
        <f t="shared" si="13"/>
        <v>7.9428571428571431</v>
      </c>
      <c r="K846">
        <f>DAY(weather.tbl[[#This Row],[Date]])</f>
        <v>24</v>
      </c>
      <c r="L846">
        <f>MONTH(weather.tbl[[#This Row],[Date]])</f>
        <v>4</v>
      </c>
      <c r="M846">
        <f>YEAR(weather.tbl[[#This Row],[Date]])</f>
        <v>2016</v>
      </c>
    </row>
    <row r="847" spans="1:13" x14ac:dyDescent="0.25">
      <c r="A847" s="1">
        <v>42485</v>
      </c>
      <c r="B847" s="2">
        <v>7.3</v>
      </c>
      <c r="C847" s="2">
        <v>6.9</v>
      </c>
      <c r="D847" s="2">
        <v>6.3</v>
      </c>
      <c r="E847" s="2">
        <v>8</v>
      </c>
      <c r="F847" s="2">
        <v>6.5</v>
      </c>
      <c r="G847" s="2">
        <v>4.8</v>
      </c>
      <c r="H847" s="2">
        <f>AVERAGE(weather.tbl[[#This Row],[Estevan]:[Kipling]])</f>
        <v>6.6333333333333329</v>
      </c>
      <c r="I847" s="2">
        <f>_xlfn.STDEV.S(weather.tbl[[#This Row],[Estevan]:[Kipling]])</f>
        <v>1.083820403326436</v>
      </c>
      <c r="J847" s="2">
        <f t="shared" si="13"/>
        <v>7.7404761904761914</v>
      </c>
      <c r="K847">
        <f>DAY(weather.tbl[[#This Row],[Date]])</f>
        <v>25</v>
      </c>
      <c r="L847">
        <f>MONTH(weather.tbl[[#This Row],[Date]])</f>
        <v>4</v>
      </c>
      <c r="M847">
        <f>YEAR(weather.tbl[[#This Row],[Date]])</f>
        <v>2016</v>
      </c>
    </row>
    <row r="848" spans="1:13" x14ac:dyDescent="0.25">
      <c r="A848" s="1">
        <v>42486</v>
      </c>
      <c r="B848" s="2">
        <v>4.4000000000000004</v>
      </c>
      <c r="C848" s="2">
        <v>6</v>
      </c>
      <c r="D848" s="2">
        <v>6.3</v>
      </c>
      <c r="E848" s="2">
        <v>7</v>
      </c>
      <c r="F848" s="2">
        <v>5.8</v>
      </c>
      <c r="G848" s="2">
        <v>5.3</v>
      </c>
      <c r="H848" s="2">
        <f>AVERAGE(weather.tbl[[#This Row],[Estevan]:[Kipling]])</f>
        <v>5.8</v>
      </c>
      <c r="I848" s="2">
        <f>_xlfn.STDEV.S(weather.tbl[[#This Row],[Estevan]:[Kipling]])</f>
        <v>0.88769364084689206</v>
      </c>
      <c r="J848" s="2">
        <f t="shared" si="13"/>
        <v>7.2166666666666668</v>
      </c>
      <c r="K848">
        <f>DAY(weather.tbl[[#This Row],[Date]])</f>
        <v>26</v>
      </c>
      <c r="L848">
        <f>MONTH(weather.tbl[[#This Row],[Date]])</f>
        <v>4</v>
      </c>
      <c r="M848">
        <f>YEAR(weather.tbl[[#This Row],[Date]])</f>
        <v>2016</v>
      </c>
    </row>
    <row r="849" spans="1:13" x14ac:dyDescent="0.25">
      <c r="A849" s="1">
        <v>42487</v>
      </c>
      <c r="B849" s="2">
        <v>9.1999999999999993</v>
      </c>
      <c r="C849" s="2">
        <v>9.5</v>
      </c>
      <c r="D849" s="2">
        <v>6.3</v>
      </c>
      <c r="E849" s="2">
        <v>10.5</v>
      </c>
      <c r="F849" s="2">
        <v>8.5</v>
      </c>
      <c r="G849" s="2">
        <v>9.3000000000000007</v>
      </c>
      <c r="H849" s="2">
        <f>AVERAGE(weather.tbl[[#This Row],[Estevan]:[Kipling]])</f>
        <v>8.8833333333333329</v>
      </c>
      <c r="I849" s="2">
        <f>_xlfn.STDEV.S(weather.tbl[[#This Row],[Estevan]:[Kipling]])</f>
        <v>1.420445939367871</v>
      </c>
      <c r="J849" s="2">
        <f t="shared" si="13"/>
        <v>6.6000000000000005</v>
      </c>
      <c r="K849">
        <f>DAY(weather.tbl[[#This Row],[Date]])</f>
        <v>27</v>
      </c>
      <c r="L849">
        <f>MONTH(weather.tbl[[#This Row],[Date]])</f>
        <v>4</v>
      </c>
      <c r="M849">
        <f>YEAR(weather.tbl[[#This Row],[Date]])</f>
        <v>2016</v>
      </c>
    </row>
    <row r="850" spans="1:13" x14ac:dyDescent="0.25">
      <c r="A850" s="1">
        <v>42488</v>
      </c>
      <c r="B850" s="2">
        <v>7.3</v>
      </c>
      <c r="C850" s="2">
        <v>7.6</v>
      </c>
      <c r="D850" s="2">
        <v>7.3</v>
      </c>
      <c r="E850" s="2">
        <v>8.5</v>
      </c>
      <c r="F850" s="2">
        <v>6</v>
      </c>
      <c r="G850" s="2">
        <v>7.5</v>
      </c>
      <c r="H850" s="2">
        <f>AVERAGE(weather.tbl[[#This Row],[Estevan]:[Kipling]])</f>
        <v>7.3666666666666671</v>
      </c>
      <c r="I850" s="2">
        <f>_xlfn.STDEV.S(weather.tbl[[#This Row],[Estevan]:[Kipling]])</f>
        <v>0.80415587212098782</v>
      </c>
      <c r="J850" s="2">
        <f t="shared" si="13"/>
        <v>6.9476190476190478</v>
      </c>
      <c r="K850">
        <f>DAY(weather.tbl[[#This Row],[Date]])</f>
        <v>28</v>
      </c>
      <c r="L850">
        <f>MONTH(weather.tbl[[#This Row],[Date]])</f>
        <v>4</v>
      </c>
      <c r="M850">
        <f>YEAR(weather.tbl[[#This Row],[Date]])</f>
        <v>2016</v>
      </c>
    </row>
    <row r="851" spans="1:13" x14ac:dyDescent="0.25">
      <c r="A851" s="1">
        <v>42489</v>
      </c>
      <c r="B851" s="2">
        <v>7.7</v>
      </c>
      <c r="C851" s="2">
        <v>8.4</v>
      </c>
      <c r="D851" s="2">
        <v>6.5</v>
      </c>
      <c r="E851" s="2">
        <v>7.5</v>
      </c>
      <c r="F851" s="2">
        <v>5.9</v>
      </c>
      <c r="G851" s="2">
        <v>7.5</v>
      </c>
      <c r="H851" s="2">
        <f>AVERAGE(weather.tbl[[#This Row],[Estevan]:[Kipling]])</f>
        <v>7.25</v>
      </c>
      <c r="I851" s="2">
        <f>_xlfn.STDEV.S(weather.tbl[[#This Row],[Estevan]:[Kipling]])</f>
        <v>0.89833178725903107</v>
      </c>
      <c r="J851" s="2">
        <f t="shared" si="13"/>
        <v>6.9404761904761907</v>
      </c>
      <c r="K851">
        <f>DAY(weather.tbl[[#This Row],[Date]])</f>
        <v>29</v>
      </c>
      <c r="L851">
        <f>MONTH(weather.tbl[[#This Row],[Date]])</f>
        <v>4</v>
      </c>
      <c r="M851">
        <f>YEAR(weather.tbl[[#This Row],[Date]])</f>
        <v>2016</v>
      </c>
    </row>
    <row r="852" spans="1:13" x14ac:dyDescent="0.25">
      <c r="A852" s="1">
        <v>42490</v>
      </c>
      <c r="B852" s="2">
        <v>7.7</v>
      </c>
      <c r="C852" s="2">
        <v>9.9</v>
      </c>
      <c r="D852" s="2">
        <v>6.5</v>
      </c>
      <c r="E852" s="2">
        <v>9.5</v>
      </c>
      <c r="F852" s="2">
        <v>7.7</v>
      </c>
      <c r="G852" s="2">
        <v>8.5</v>
      </c>
      <c r="H852" s="2">
        <f>AVERAGE(weather.tbl[[#This Row],[Estevan]:[Kipling]])</f>
        <v>8.3000000000000007</v>
      </c>
      <c r="I852" s="2">
        <f>_xlfn.STDEV.S(weather.tbl[[#This Row],[Estevan]:[Kipling]])</f>
        <v>1.2649110640673471</v>
      </c>
      <c r="J852" s="2">
        <f t="shared" si="13"/>
        <v>7.1023809523809529</v>
      </c>
      <c r="K852">
        <f>DAY(weather.tbl[[#This Row],[Date]])</f>
        <v>30</v>
      </c>
      <c r="L852">
        <f>MONTH(weather.tbl[[#This Row],[Date]])</f>
        <v>4</v>
      </c>
      <c r="M852">
        <f>YEAR(weather.tbl[[#This Row],[Date]])</f>
        <v>2016</v>
      </c>
    </row>
    <row r="853" spans="1:13" x14ac:dyDescent="0.25">
      <c r="A853" s="1">
        <v>42491</v>
      </c>
      <c r="B853" s="2">
        <v>9</v>
      </c>
      <c r="C853" s="2">
        <v>10.1</v>
      </c>
      <c r="D853" s="2">
        <v>8.5</v>
      </c>
      <c r="E853" s="2">
        <v>11</v>
      </c>
      <c r="F853" s="2">
        <v>8.5</v>
      </c>
      <c r="G853" s="2">
        <v>11</v>
      </c>
      <c r="H853" s="2">
        <f>AVERAGE(weather.tbl[[#This Row],[Estevan]:[Kipling]])</f>
        <v>9.6833333333333336</v>
      </c>
      <c r="I853" s="2">
        <f>_xlfn.STDEV.S(weather.tbl[[#This Row],[Estevan]:[Kipling]])</f>
        <v>1.1754431788336945</v>
      </c>
      <c r="J853" s="2">
        <f t="shared" si="13"/>
        <v>7.7023809523809534</v>
      </c>
      <c r="K853">
        <f>DAY(weather.tbl[[#This Row],[Date]])</f>
        <v>1</v>
      </c>
      <c r="L853">
        <f>MONTH(weather.tbl[[#This Row],[Date]])</f>
        <v>5</v>
      </c>
      <c r="M853">
        <f>YEAR(weather.tbl[[#This Row],[Date]])</f>
        <v>2016</v>
      </c>
    </row>
    <row r="854" spans="1:13" x14ac:dyDescent="0.25">
      <c r="A854" s="1">
        <v>42492</v>
      </c>
      <c r="B854" s="2">
        <v>13.6</v>
      </c>
      <c r="C854" s="2">
        <v>12.3</v>
      </c>
      <c r="D854" s="2">
        <v>13.5</v>
      </c>
      <c r="E854" s="2">
        <v>16</v>
      </c>
      <c r="F854" s="2">
        <v>13.4</v>
      </c>
      <c r="G854" s="2">
        <v>14</v>
      </c>
      <c r="H854" s="2">
        <f>AVERAGE(weather.tbl[[#This Row],[Estevan]:[Kipling]])</f>
        <v>13.799999999999999</v>
      </c>
      <c r="I854" s="2">
        <f>_xlfn.STDEV.S(weather.tbl[[#This Row],[Estevan]:[Kipling]])</f>
        <v>1.2181953866272845</v>
      </c>
      <c r="J854" s="2">
        <f t="shared" si="13"/>
        <v>8.7261904761904763</v>
      </c>
      <c r="K854">
        <f>DAY(weather.tbl[[#This Row],[Date]])</f>
        <v>2</v>
      </c>
      <c r="L854">
        <f>MONTH(weather.tbl[[#This Row],[Date]])</f>
        <v>5</v>
      </c>
      <c r="M854">
        <f>YEAR(weather.tbl[[#This Row],[Date]])</f>
        <v>2016</v>
      </c>
    </row>
    <row r="855" spans="1:13" x14ac:dyDescent="0.25">
      <c r="A855" s="1">
        <v>42493</v>
      </c>
      <c r="B855" s="2">
        <v>14.2</v>
      </c>
      <c r="C855" s="2">
        <v>14.3</v>
      </c>
      <c r="D855" s="2">
        <v>14.8</v>
      </c>
      <c r="E855" s="2">
        <v>16</v>
      </c>
      <c r="F855" s="2">
        <v>13.1</v>
      </c>
      <c r="G855" s="2">
        <v>14</v>
      </c>
      <c r="H855" s="2">
        <f>AVERAGE(weather.tbl[[#This Row],[Estevan]:[Kipling]])</f>
        <v>14.399999999999999</v>
      </c>
      <c r="I855" s="2">
        <f>_xlfn.STDEV.S(weather.tbl[[#This Row],[Estevan]:[Kipling]])</f>
        <v>0.96124918725583341</v>
      </c>
      <c r="J855" s="2">
        <f t="shared" si="13"/>
        <v>9.9547619047619058</v>
      </c>
      <c r="K855">
        <f>DAY(weather.tbl[[#This Row],[Date]])</f>
        <v>3</v>
      </c>
      <c r="L855">
        <f>MONTH(weather.tbl[[#This Row],[Date]])</f>
        <v>5</v>
      </c>
      <c r="M855">
        <f>YEAR(weather.tbl[[#This Row],[Date]])</f>
        <v>2016</v>
      </c>
    </row>
    <row r="856" spans="1:13" x14ac:dyDescent="0.25">
      <c r="A856" s="1">
        <v>42494</v>
      </c>
      <c r="B856" s="2">
        <v>17.2</v>
      </c>
      <c r="C856" s="2">
        <v>18.2</v>
      </c>
      <c r="D856" s="2">
        <v>17.3</v>
      </c>
      <c r="E856" s="2">
        <v>19</v>
      </c>
      <c r="F856" s="2">
        <v>16</v>
      </c>
      <c r="G856" s="2">
        <v>18.3</v>
      </c>
      <c r="H856" s="2">
        <f>AVERAGE(weather.tbl[[#This Row],[Estevan]:[Kipling]])</f>
        <v>17.666666666666668</v>
      </c>
      <c r="I856" s="2">
        <f>_xlfn.STDEV.S(weather.tbl[[#This Row],[Estevan]:[Kipling]])</f>
        <v>1.0576703960434304</v>
      </c>
      <c r="J856" s="2">
        <f t="shared" si="13"/>
        <v>11.209523809523811</v>
      </c>
      <c r="K856">
        <f>DAY(weather.tbl[[#This Row],[Date]])</f>
        <v>4</v>
      </c>
      <c r="L856">
        <f>MONTH(weather.tbl[[#This Row],[Date]])</f>
        <v>5</v>
      </c>
      <c r="M856">
        <f>YEAR(weather.tbl[[#This Row],[Date]])</f>
        <v>2016</v>
      </c>
    </row>
    <row r="857" spans="1:13" x14ac:dyDescent="0.25">
      <c r="A857" s="1">
        <v>42495</v>
      </c>
      <c r="B857" s="2">
        <v>22.4</v>
      </c>
      <c r="C857" s="2">
        <v>20.5</v>
      </c>
      <c r="D857" s="2">
        <v>22.8</v>
      </c>
      <c r="E857" s="2">
        <v>21</v>
      </c>
      <c r="F857" s="2">
        <v>20.5</v>
      </c>
      <c r="G857" s="2">
        <v>22</v>
      </c>
      <c r="H857" s="2">
        <f>AVERAGE(weather.tbl[[#This Row],[Estevan]:[Kipling]])</f>
        <v>21.533333333333331</v>
      </c>
      <c r="I857" s="2">
        <f>_xlfn.STDEV.S(weather.tbl[[#This Row],[Estevan]:[Kipling]])</f>
        <v>0.99933311096283939</v>
      </c>
      <c r="J857" s="2">
        <f t="shared" si="13"/>
        <v>13.233333333333333</v>
      </c>
      <c r="K857">
        <f>DAY(weather.tbl[[#This Row],[Date]])</f>
        <v>5</v>
      </c>
      <c r="L857">
        <f>MONTH(weather.tbl[[#This Row],[Date]])</f>
        <v>5</v>
      </c>
      <c r="M857">
        <f>YEAR(weather.tbl[[#This Row],[Date]])</f>
        <v>2016</v>
      </c>
    </row>
    <row r="858" spans="1:13" x14ac:dyDescent="0.25">
      <c r="A858" s="1">
        <v>42496</v>
      </c>
      <c r="B858" s="2">
        <v>12.3</v>
      </c>
      <c r="C858" s="2">
        <v>13</v>
      </c>
      <c r="D858" s="2">
        <v>16.3</v>
      </c>
      <c r="E858" s="2">
        <v>16.5</v>
      </c>
      <c r="F858" s="2">
        <v>12.8</v>
      </c>
      <c r="G858" s="2">
        <v>14.8</v>
      </c>
      <c r="H858" s="2">
        <f>AVERAGE(weather.tbl[[#This Row],[Estevan]:[Kipling]])</f>
        <v>14.283333333333333</v>
      </c>
      <c r="I858" s="2">
        <f>_xlfn.STDEV.S(weather.tbl[[#This Row],[Estevan]:[Kipling]])</f>
        <v>1.8454448424883048</v>
      </c>
      <c r="J858" s="2">
        <f t="shared" si="13"/>
        <v>14.238095238095237</v>
      </c>
      <c r="K858">
        <f>DAY(weather.tbl[[#This Row],[Date]])</f>
        <v>6</v>
      </c>
      <c r="L858">
        <f>MONTH(weather.tbl[[#This Row],[Date]])</f>
        <v>5</v>
      </c>
      <c r="M858">
        <f>YEAR(weather.tbl[[#This Row],[Date]])</f>
        <v>2016</v>
      </c>
    </row>
    <row r="859" spans="1:13" x14ac:dyDescent="0.25">
      <c r="A859" s="1">
        <v>42497</v>
      </c>
      <c r="B859" s="2">
        <v>11.8</v>
      </c>
      <c r="C859" s="2">
        <v>12.3</v>
      </c>
      <c r="D859" s="2">
        <v>12.3</v>
      </c>
      <c r="E859" s="2">
        <v>13.8</v>
      </c>
      <c r="F859" s="2">
        <v>11</v>
      </c>
      <c r="G859" s="2">
        <v>13</v>
      </c>
      <c r="H859" s="2">
        <f>AVERAGE(weather.tbl[[#This Row],[Estevan]:[Kipling]])</f>
        <v>12.366666666666667</v>
      </c>
      <c r="I859" s="2">
        <f>_xlfn.STDEV.S(weather.tbl[[#This Row],[Estevan]:[Kipling]])</f>
        <v>0.96471066474185252</v>
      </c>
      <c r="J859" s="2">
        <f t="shared" si="13"/>
        <v>14.819047619047618</v>
      </c>
      <c r="K859">
        <f>DAY(weather.tbl[[#This Row],[Date]])</f>
        <v>7</v>
      </c>
      <c r="L859">
        <f>MONTH(weather.tbl[[#This Row],[Date]])</f>
        <v>5</v>
      </c>
      <c r="M859">
        <f>YEAR(weather.tbl[[#This Row],[Date]])</f>
        <v>2016</v>
      </c>
    </row>
    <row r="860" spans="1:13" x14ac:dyDescent="0.25">
      <c r="A860" s="1">
        <v>42498</v>
      </c>
      <c r="B860" s="2">
        <v>15.4</v>
      </c>
      <c r="C860" s="2">
        <v>15.5</v>
      </c>
      <c r="D860" s="2">
        <v>14</v>
      </c>
      <c r="E860" s="2">
        <v>16</v>
      </c>
      <c r="F860" s="2">
        <v>15.9</v>
      </c>
      <c r="G860" s="2">
        <v>16.3</v>
      </c>
      <c r="H860" s="2">
        <f>AVERAGE(weather.tbl[[#This Row],[Estevan]:[Kipling]])</f>
        <v>15.516666666666666</v>
      </c>
      <c r="I860" s="2">
        <f>_xlfn.STDEV.S(weather.tbl[[#This Row],[Estevan]:[Kipling]])</f>
        <v>0.81342895612749544</v>
      </c>
      <c r="J860" s="2">
        <f t="shared" si="13"/>
        <v>15.65238095238095</v>
      </c>
      <c r="K860">
        <f>DAY(weather.tbl[[#This Row],[Date]])</f>
        <v>8</v>
      </c>
      <c r="L860">
        <f>MONTH(weather.tbl[[#This Row],[Date]])</f>
        <v>5</v>
      </c>
      <c r="M860">
        <f>YEAR(weather.tbl[[#This Row],[Date]])</f>
        <v>2016</v>
      </c>
    </row>
    <row r="861" spans="1:13" x14ac:dyDescent="0.25">
      <c r="A861" s="1">
        <v>42499</v>
      </c>
      <c r="B861" s="2">
        <v>16.3</v>
      </c>
      <c r="C861" s="2">
        <v>17.3</v>
      </c>
      <c r="D861" s="2">
        <v>16</v>
      </c>
      <c r="E861" s="2">
        <v>17.3</v>
      </c>
      <c r="F861" s="2">
        <v>17.5</v>
      </c>
      <c r="G861" s="2">
        <v>17</v>
      </c>
      <c r="H861" s="2">
        <f>AVERAGE(weather.tbl[[#This Row],[Estevan]:[Kipling]])</f>
        <v>16.900000000000002</v>
      </c>
      <c r="I861" s="2">
        <f>_xlfn.STDEV.S(weather.tbl[[#This Row],[Estevan]:[Kipling]])</f>
        <v>0.60991802727907629</v>
      </c>
      <c r="J861" s="2">
        <f t="shared" si="13"/>
        <v>16.095238095238095</v>
      </c>
      <c r="K861">
        <f>DAY(weather.tbl[[#This Row],[Date]])</f>
        <v>9</v>
      </c>
      <c r="L861">
        <f>MONTH(weather.tbl[[#This Row],[Date]])</f>
        <v>5</v>
      </c>
      <c r="M861">
        <f>YEAR(weather.tbl[[#This Row],[Date]])</f>
        <v>2016</v>
      </c>
    </row>
    <row r="862" spans="1:13" x14ac:dyDescent="0.25">
      <c r="A862" s="1">
        <v>42500</v>
      </c>
      <c r="B862" s="2">
        <v>8.9</v>
      </c>
      <c r="C862" s="2">
        <v>11.3</v>
      </c>
      <c r="D862" s="2">
        <v>10</v>
      </c>
      <c r="E862" s="2">
        <v>11</v>
      </c>
      <c r="F862" s="2">
        <v>9.8000000000000007</v>
      </c>
      <c r="G862" s="2">
        <v>10.8</v>
      </c>
      <c r="H862" s="2">
        <f>AVERAGE(weather.tbl[[#This Row],[Estevan]:[Kipling]])</f>
        <v>10.299999999999999</v>
      </c>
      <c r="I862" s="2">
        <f>_xlfn.STDEV.S(weather.tbl[[#This Row],[Estevan]:[Kipling]])</f>
        <v>0.89888820216976939</v>
      </c>
      <c r="J862" s="2">
        <f t="shared" si="13"/>
        <v>15.509523809523809</v>
      </c>
      <c r="K862">
        <f>DAY(weather.tbl[[#This Row],[Date]])</f>
        <v>10</v>
      </c>
      <c r="L862">
        <f>MONTH(weather.tbl[[#This Row],[Date]])</f>
        <v>5</v>
      </c>
      <c r="M862">
        <f>YEAR(weather.tbl[[#This Row],[Date]])</f>
        <v>2016</v>
      </c>
    </row>
    <row r="863" spans="1:13" x14ac:dyDescent="0.25">
      <c r="A863" s="1">
        <v>42501</v>
      </c>
      <c r="B863" s="2">
        <v>5.7</v>
      </c>
      <c r="C863" s="2">
        <v>6.8</v>
      </c>
      <c r="D863" s="2">
        <v>5.5</v>
      </c>
      <c r="E863" s="2">
        <v>6.5</v>
      </c>
      <c r="F863" s="2">
        <v>6.1</v>
      </c>
      <c r="G863" s="2">
        <v>5.5</v>
      </c>
      <c r="H863" s="2">
        <f>AVERAGE(weather.tbl[[#This Row],[Estevan]:[Kipling]])</f>
        <v>6.0166666666666666</v>
      </c>
      <c r="I863" s="2">
        <f>_xlfn.STDEV.S(weather.tbl[[#This Row],[Estevan]:[Kipling]])</f>
        <v>0.54558836742242467</v>
      </c>
      <c r="J863" s="2">
        <f t="shared" si="13"/>
        <v>13.845238095238093</v>
      </c>
      <c r="K863">
        <f>DAY(weather.tbl[[#This Row],[Date]])</f>
        <v>11</v>
      </c>
      <c r="L863">
        <f>MONTH(weather.tbl[[#This Row],[Date]])</f>
        <v>5</v>
      </c>
      <c r="M863">
        <f>YEAR(weather.tbl[[#This Row],[Date]])</f>
        <v>2016</v>
      </c>
    </row>
    <row r="864" spans="1:13" x14ac:dyDescent="0.25">
      <c r="A864" s="1">
        <v>42502</v>
      </c>
      <c r="B864" s="2">
        <v>3.4</v>
      </c>
      <c r="C864" s="2">
        <v>2.9</v>
      </c>
      <c r="D864" s="2">
        <v>3</v>
      </c>
      <c r="E864" s="2">
        <v>3.5</v>
      </c>
      <c r="F864" s="2">
        <v>4.8</v>
      </c>
      <c r="G864" s="2">
        <v>1.5</v>
      </c>
      <c r="H864" s="2">
        <f>AVERAGE(weather.tbl[[#This Row],[Estevan]:[Kipling]])</f>
        <v>3.1833333333333336</v>
      </c>
      <c r="I864" s="2">
        <f>_xlfn.STDEV.S(weather.tbl[[#This Row],[Estevan]:[Kipling]])</f>
        <v>1.0684880283216387</v>
      </c>
      <c r="J864" s="2">
        <f t="shared" si="13"/>
        <v>11.223809523809523</v>
      </c>
      <c r="K864">
        <f>DAY(weather.tbl[[#This Row],[Date]])</f>
        <v>12</v>
      </c>
      <c r="L864">
        <f>MONTH(weather.tbl[[#This Row],[Date]])</f>
        <v>5</v>
      </c>
      <c r="M864">
        <f>YEAR(weather.tbl[[#This Row],[Date]])</f>
        <v>2016</v>
      </c>
    </row>
    <row r="865" spans="1:13" x14ac:dyDescent="0.25">
      <c r="A865" s="1">
        <v>42503</v>
      </c>
      <c r="B865" s="2">
        <v>4.5</v>
      </c>
      <c r="C865" s="2">
        <v>4.7</v>
      </c>
      <c r="D865" s="2">
        <v>4.8</v>
      </c>
      <c r="E865" s="2">
        <v>5.8</v>
      </c>
      <c r="F865" s="2">
        <v>4.9000000000000004</v>
      </c>
      <c r="G865" s="2">
        <v>4</v>
      </c>
      <c r="H865" s="2">
        <f>AVERAGE(weather.tbl[[#This Row],[Estevan]:[Kipling]])</f>
        <v>4.7833333333333341</v>
      </c>
      <c r="I865" s="2">
        <f>_xlfn.STDEV.S(weather.tbl[[#This Row],[Estevan]:[Kipling]])</f>
        <v>0.59132619311735324</v>
      </c>
      <c r="J865" s="2">
        <f t="shared" si="13"/>
        <v>9.8666666666666654</v>
      </c>
      <c r="K865">
        <f>DAY(weather.tbl[[#This Row],[Date]])</f>
        <v>13</v>
      </c>
      <c r="L865">
        <f>MONTH(weather.tbl[[#This Row],[Date]])</f>
        <v>5</v>
      </c>
      <c r="M865">
        <f>YEAR(weather.tbl[[#This Row],[Date]])</f>
        <v>2016</v>
      </c>
    </row>
    <row r="866" spans="1:13" x14ac:dyDescent="0.25">
      <c r="A866" s="1">
        <v>42504</v>
      </c>
      <c r="B866" s="2">
        <v>8.6999999999999993</v>
      </c>
      <c r="C866" s="2">
        <v>8.8000000000000007</v>
      </c>
      <c r="D866" s="2">
        <v>8.8000000000000007</v>
      </c>
      <c r="E866" s="2">
        <v>10</v>
      </c>
      <c r="F866" s="2">
        <v>8.1</v>
      </c>
      <c r="G866" s="2">
        <v>9</v>
      </c>
      <c r="H866" s="2">
        <f>AVERAGE(weather.tbl[[#This Row],[Estevan]:[Kipling]])</f>
        <v>8.9</v>
      </c>
      <c r="I866" s="2">
        <f>_xlfn.STDEV.S(weather.tbl[[#This Row],[Estevan]:[Kipling]])</f>
        <v>0.61967733539318681</v>
      </c>
      <c r="J866" s="2">
        <f t="shared" si="13"/>
        <v>9.3714285714285719</v>
      </c>
      <c r="K866">
        <f>DAY(weather.tbl[[#This Row],[Date]])</f>
        <v>14</v>
      </c>
      <c r="L866">
        <f>MONTH(weather.tbl[[#This Row],[Date]])</f>
        <v>5</v>
      </c>
      <c r="M866">
        <f>YEAR(weather.tbl[[#This Row],[Date]])</f>
        <v>2016</v>
      </c>
    </row>
    <row r="867" spans="1:13" x14ac:dyDescent="0.25">
      <c r="A867" s="1">
        <v>42505</v>
      </c>
      <c r="B867" s="2">
        <v>9.6</v>
      </c>
      <c r="C867" s="2">
        <v>10.4</v>
      </c>
      <c r="D867" s="2">
        <v>10.3</v>
      </c>
      <c r="E867" s="2">
        <v>13</v>
      </c>
      <c r="F867" s="2">
        <v>10.7</v>
      </c>
      <c r="G867" s="2">
        <v>10.5</v>
      </c>
      <c r="H867" s="2">
        <f>AVERAGE(weather.tbl[[#This Row],[Estevan]:[Kipling]])</f>
        <v>10.75</v>
      </c>
      <c r="I867" s="2">
        <f>_xlfn.STDEV.S(weather.tbl[[#This Row],[Estevan]:[Kipling]])</f>
        <v>1.1640446726822815</v>
      </c>
      <c r="J867" s="2">
        <f t="shared" si="13"/>
        <v>8.6904761904761916</v>
      </c>
      <c r="K867">
        <f>DAY(weather.tbl[[#This Row],[Date]])</f>
        <v>15</v>
      </c>
      <c r="L867">
        <f>MONTH(weather.tbl[[#This Row],[Date]])</f>
        <v>5</v>
      </c>
      <c r="M867">
        <f>YEAR(weather.tbl[[#This Row],[Date]])</f>
        <v>2016</v>
      </c>
    </row>
    <row r="868" spans="1:13" x14ac:dyDescent="0.25">
      <c r="A868" s="1">
        <v>42506</v>
      </c>
      <c r="B868" s="2">
        <v>11</v>
      </c>
      <c r="C868" s="2">
        <v>11.4</v>
      </c>
      <c r="D868" s="2">
        <v>9.8000000000000007</v>
      </c>
      <c r="E868" s="2">
        <v>13.5</v>
      </c>
      <c r="F868" s="2">
        <v>10.9</v>
      </c>
      <c r="G868" s="2">
        <v>12.3</v>
      </c>
      <c r="H868" s="2">
        <f>AVERAGE(weather.tbl[[#This Row],[Estevan]:[Kipling]])</f>
        <v>11.483333333333334</v>
      </c>
      <c r="I868" s="2">
        <f>_xlfn.STDEV.S(weather.tbl[[#This Row],[Estevan]:[Kipling]])</f>
        <v>1.2765839833973387</v>
      </c>
      <c r="J868" s="2">
        <f t="shared" si="13"/>
        <v>7.916666666666667</v>
      </c>
      <c r="K868">
        <f>DAY(weather.tbl[[#This Row],[Date]])</f>
        <v>16</v>
      </c>
      <c r="L868">
        <f>MONTH(weather.tbl[[#This Row],[Date]])</f>
        <v>5</v>
      </c>
      <c r="M868">
        <f>YEAR(weather.tbl[[#This Row],[Date]])</f>
        <v>2016</v>
      </c>
    </row>
    <row r="869" spans="1:13" x14ac:dyDescent="0.25">
      <c r="A869" s="1">
        <v>42507</v>
      </c>
      <c r="B869" s="2">
        <v>13.8</v>
      </c>
      <c r="C869" s="2">
        <v>13.7</v>
      </c>
      <c r="D869" s="2">
        <v>9.8000000000000007</v>
      </c>
      <c r="E869" s="2">
        <v>14</v>
      </c>
      <c r="F869" s="2">
        <v>12.3</v>
      </c>
      <c r="G869" s="2">
        <v>14.5</v>
      </c>
      <c r="H869" s="2">
        <f>AVERAGE(weather.tbl[[#This Row],[Estevan]:[Kipling]])</f>
        <v>13.016666666666666</v>
      </c>
      <c r="I869" s="2">
        <f>_xlfn.STDEV.S(weather.tbl[[#This Row],[Estevan]:[Kipling]])</f>
        <v>1.738294183004337</v>
      </c>
      <c r="J869" s="2">
        <f t="shared" si="13"/>
        <v>8.3047619047619055</v>
      </c>
      <c r="K869">
        <f>DAY(weather.tbl[[#This Row],[Date]])</f>
        <v>17</v>
      </c>
      <c r="L869">
        <f>MONTH(weather.tbl[[#This Row],[Date]])</f>
        <v>5</v>
      </c>
      <c r="M869">
        <f>YEAR(weather.tbl[[#This Row],[Date]])</f>
        <v>2016</v>
      </c>
    </row>
    <row r="870" spans="1:13" x14ac:dyDescent="0.25">
      <c r="A870" s="1">
        <v>42508</v>
      </c>
      <c r="B870" s="2">
        <v>17.7</v>
      </c>
      <c r="C870" s="2">
        <v>17.5</v>
      </c>
      <c r="D870" s="2">
        <v>15.5</v>
      </c>
      <c r="E870" s="2">
        <v>17.5</v>
      </c>
      <c r="F870" s="2">
        <v>16.3</v>
      </c>
      <c r="G870" s="2">
        <v>17</v>
      </c>
      <c r="H870" s="2">
        <f>AVERAGE(weather.tbl[[#This Row],[Estevan]:[Kipling]])</f>
        <v>16.916666666666668</v>
      </c>
      <c r="I870" s="2">
        <f>_xlfn.STDEV.S(weather.tbl[[#This Row],[Estevan]:[Kipling]])</f>
        <v>0.85887523346913797</v>
      </c>
      <c r="J870" s="2">
        <f t="shared" si="13"/>
        <v>9.8619047619047624</v>
      </c>
      <c r="K870">
        <f>DAY(weather.tbl[[#This Row],[Date]])</f>
        <v>18</v>
      </c>
      <c r="L870">
        <f>MONTH(weather.tbl[[#This Row],[Date]])</f>
        <v>5</v>
      </c>
      <c r="M870">
        <f>YEAR(weather.tbl[[#This Row],[Date]])</f>
        <v>2016</v>
      </c>
    </row>
    <row r="871" spans="1:13" x14ac:dyDescent="0.25">
      <c r="A871" s="1">
        <v>42509</v>
      </c>
      <c r="B871" s="2">
        <v>17.2</v>
      </c>
      <c r="C871" s="2">
        <v>18.399999999999999</v>
      </c>
      <c r="D871" s="2">
        <v>16.5</v>
      </c>
      <c r="E871" s="2">
        <v>19.5</v>
      </c>
      <c r="F871" s="2">
        <v>19.5</v>
      </c>
      <c r="G871" s="2">
        <v>17.8</v>
      </c>
      <c r="H871" s="2">
        <f>AVERAGE(weather.tbl[[#This Row],[Estevan]:[Kipling]])</f>
        <v>18.149999999999999</v>
      </c>
      <c r="I871" s="2">
        <f>_xlfn.STDEV.S(weather.tbl[[#This Row],[Estevan]:[Kipling]])</f>
        <v>1.2210651088291731</v>
      </c>
      <c r="J871" s="2">
        <f t="shared" si="13"/>
        <v>12</v>
      </c>
      <c r="K871">
        <f>DAY(weather.tbl[[#This Row],[Date]])</f>
        <v>19</v>
      </c>
      <c r="L871">
        <f>MONTH(weather.tbl[[#This Row],[Date]])</f>
        <v>5</v>
      </c>
      <c r="M871">
        <f>YEAR(weather.tbl[[#This Row],[Date]])</f>
        <v>2016</v>
      </c>
    </row>
    <row r="872" spans="1:13" x14ac:dyDescent="0.25">
      <c r="A872" s="1">
        <v>42510</v>
      </c>
      <c r="B872" s="2">
        <v>18.2</v>
      </c>
      <c r="C872" s="2">
        <v>18.899999999999999</v>
      </c>
      <c r="D872" s="2">
        <v>18.3</v>
      </c>
      <c r="E872" s="2">
        <v>18.5</v>
      </c>
      <c r="F872" s="2">
        <v>19.100000000000001</v>
      </c>
      <c r="G872" s="2">
        <v>17.5</v>
      </c>
      <c r="H872" s="2">
        <f>AVERAGE(weather.tbl[[#This Row],[Estevan]:[Kipling]])</f>
        <v>18.416666666666668</v>
      </c>
      <c r="I872" s="2">
        <f>_xlfn.STDEV.S(weather.tbl[[#This Row],[Estevan]:[Kipling]])</f>
        <v>0.56715665090578526</v>
      </c>
      <c r="J872" s="2">
        <f t="shared" si="13"/>
        <v>13.947619047619048</v>
      </c>
      <c r="K872">
        <f>DAY(weather.tbl[[#This Row],[Date]])</f>
        <v>20</v>
      </c>
      <c r="L872">
        <f>MONTH(weather.tbl[[#This Row],[Date]])</f>
        <v>5</v>
      </c>
      <c r="M872">
        <f>YEAR(weather.tbl[[#This Row],[Date]])</f>
        <v>2016</v>
      </c>
    </row>
    <row r="873" spans="1:13" x14ac:dyDescent="0.25">
      <c r="A873" s="1">
        <v>42511</v>
      </c>
      <c r="B873" s="2">
        <v>17</v>
      </c>
      <c r="C873" s="2">
        <v>18.600000000000001</v>
      </c>
      <c r="D873" s="2">
        <v>17.8</v>
      </c>
      <c r="E873" s="2">
        <v>19.5</v>
      </c>
      <c r="F873" s="2">
        <v>18.5</v>
      </c>
      <c r="G873" s="2">
        <v>16.3</v>
      </c>
      <c r="H873" s="2">
        <f>AVERAGE(weather.tbl[[#This Row],[Estevan]:[Kipling]])</f>
        <v>17.95</v>
      </c>
      <c r="I873" s="2">
        <f>_xlfn.STDEV.S(weather.tbl[[#This Row],[Estevan]:[Kipling]])</f>
        <v>1.1640446726822815</v>
      </c>
      <c r="J873" s="2">
        <f t="shared" si="13"/>
        <v>15.240476190476191</v>
      </c>
      <c r="K873">
        <f>DAY(weather.tbl[[#This Row],[Date]])</f>
        <v>21</v>
      </c>
      <c r="L873">
        <f>MONTH(weather.tbl[[#This Row],[Date]])</f>
        <v>5</v>
      </c>
      <c r="M873">
        <f>YEAR(weather.tbl[[#This Row],[Date]])</f>
        <v>2016</v>
      </c>
    </row>
    <row r="874" spans="1:13" x14ac:dyDescent="0.25">
      <c r="A874" s="1">
        <v>42512</v>
      </c>
      <c r="B874" s="2">
        <v>19.7</v>
      </c>
      <c r="C874" s="2">
        <v>17.8</v>
      </c>
      <c r="D874" s="2">
        <v>20.5</v>
      </c>
      <c r="E874" s="2">
        <v>19</v>
      </c>
      <c r="F874" s="2">
        <v>19.399999999999999</v>
      </c>
      <c r="G874" s="2">
        <v>20</v>
      </c>
      <c r="H874" s="2">
        <f>AVERAGE(weather.tbl[[#This Row],[Estevan]:[Kipling]])</f>
        <v>19.400000000000002</v>
      </c>
      <c r="I874" s="2">
        <f>_xlfn.STDEV.S(weather.tbl[[#This Row],[Estevan]:[Kipling]])</f>
        <v>0.93594871654380696</v>
      </c>
      <c r="J874" s="2">
        <f t="shared" si="13"/>
        <v>16.476190476190478</v>
      </c>
      <c r="K874">
        <f>DAY(weather.tbl[[#This Row],[Date]])</f>
        <v>22</v>
      </c>
      <c r="L874">
        <f>MONTH(weather.tbl[[#This Row],[Date]])</f>
        <v>5</v>
      </c>
      <c r="M874">
        <f>YEAR(weather.tbl[[#This Row],[Date]])</f>
        <v>2016</v>
      </c>
    </row>
    <row r="875" spans="1:13" x14ac:dyDescent="0.25">
      <c r="A875" s="1">
        <v>42513</v>
      </c>
      <c r="B875" s="2">
        <v>13.5</v>
      </c>
      <c r="C875" s="2">
        <v>10.8</v>
      </c>
      <c r="D875" s="2">
        <v>14.5</v>
      </c>
      <c r="E875" s="2">
        <v>11.3</v>
      </c>
      <c r="F875" s="2">
        <v>16.899999999999999</v>
      </c>
      <c r="G875" s="2">
        <v>11.5</v>
      </c>
      <c r="H875" s="2">
        <f>AVERAGE(weather.tbl[[#This Row],[Estevan]:[Kipling]])</f>
        <v>13.083333333333334</v>
      </c>
      <c r="I875" s="2">
        <f>_xlfn.STDEV.S(weather.tbl[[#This Row],[Estevan]:[Kipling]])</f>
        <v>2.3515243283169882</v>
      </c>
      <c r="J875" s="2">
        <f t="shared" si="13"/>
        <v>16.704761904761906</v>
      </c>
      <c r="K875">
        <f>DAY(weather.tbl[[#This Row],[Date]])</f>
        <v>23</v>
      </c>
      <c r="L875">
        <f>MONTH(weather.tbl[[#This Row],[Date]])</f>
        <v>5</v>
      </c>
      <c r="M875">
        <f>YEAR(weather.tbl[[#This Row],[Date]])</f>
        <v>2016</v>
      </c>
    </row>
    <row r="876" spans="1:13" x14ac:dyDescent="0.25">
      <c r="A876" s="1">
        <v>42514</v>
      </c>
      <c r="B876" s="2">
        <v>13.3</v>
      </c>
      <c r="C876" s="2">
        <v>11.6</v>
      </c>
      <c r="D876" s="2">
        <v>11.5</v>
      </c>
      <c r="E876" s="2">
        <v>12.3</v>
      </c>
      <c r="F876" s="2">
        <v>14.3</v>
      </c>
      <c r="G876" s="2">
        <v>12</v>
      </c>
      <c r="H876" s="2">
        <f>AVERAGE(weather.tbl[[#This Row],[Estevan]:[Kipling]])</f>
        <v>12.5</v>
      </c>
      <c r="I876" s="2">
        <f>_xlfn.STDEV.S(weather.tbl[[#This Row],[Estevan]:[Kipling]])</f>
        <v>1.0936178491593858</v>
      </c>
      <c r="J876" s="2">
        <f t="shared" si="13"/>
        <v>16.630952380952383</v>
      </c>
      <c r="K876">
        <f>DAY(weather.tbl[[#This Row],[Date]])</f>
        <v>24</v>
      </c>
      <c r="L876">
        <f>MONTH(weather.tbl[[#This Row],[Date]])</f>
        <v>5</v>
      </c>
      <c r="M876">
        <f>YEAR(weather.tbl[[#This Row],[Date]])</f>
        <v>2016</v>
      </c>
    </row>
    <row r="877" spans="1:13" x14ac:dyDescent="0.25">
      <c r="A877" s="1">
        <v>42515</v>
      </c>
      <c r="B877" s="2">
        <v>9.8000000000000007</v>
      </c>
      <c r="C877" s="2">
        <v>9</v>
      </c>
      <c r="D877" s="2">
        <v>9.5</v>
      </c>
      <c r="E877" s="2">
        <v>8</v>
      </c>
      <c r="F877" s="2">
        <v>10.9</v>
      </c>
      <c r="G877" s="2">
        <v>13</v>
      </c>
      <c r="H877" s="2">
        <f>AVERAGE(weather.tbl[[#This Row],[Estevan]:[Kipling]])</f>
        <v>10.033333333333333</v>
      </c>
      <c r="I877" s="2">
        <f>_xlfn.STDEV.S(weather.tbl[[#This Row],[Estevan]:[Kipling]])</f>
        <v>1.7374310537879467</v>
      </c>
      <c r="J877" s="2">
        <f t="shared" si="13"/>
        <v>15.647619047619047</v>
      </c>
      <c r="K877">
        <f>DAY(weather.tbl[[#This Row],[Date]])</f>
        <v>25</v>
      </c>
      <c r="L877">
        <f>MONTH(weather.tbl[[#This Row],[Date]])</f>
        <v>5</v>
      </c>
      <c r="M877">
        <f>YEAR(weather.tbl[[#This Row],[Date]])</f>
        <v>2016</v>
      </c>
    </row>
    <row r="878" spans="1:13" x14ac:dyDescent="0.25">
      <c r="A878" s="1">
        <v>42516</v>
      </c>
      <c r="B878" s="2">
        <v>11.5</v>
      </c>
      <c r="C878" s="2">
        <v>12</v>
      </c>
      <c r="D878" s="2">
        <v>12.8</v>
      </c>
      <c r="E878" s="2">
        <v>13.3</v>
      </c>
      <c r="F878" s="2">
        <v>14</v>
      </c>
      <c r="G878" s="2">
        <v>13.5</v>
      </c>
      <c r="H878" s="2">
        <f>AVERAGE(weather.tbl[[#This Row],[Estevan]:[Kipling]])</f>
        <v>12.85</v>
      </c>
      <c r="I878" s="2">
        <f>_xlfn.STDEV.S(weather.tbl[[#This Row],[Estevan]:[Kipling]])</f>
        <v>0.94815610529068484</v>
      </c>
      <c r="J878" s="2">
        <f t="shared" si="13"/>
        <v>14.890476190476189</v>
      </c>
      <c r="K878">
        <f>DAY(weather.tbl[[#This Row],[Date]])</f>
        <v>26</v>
      </c>
      <c r="L878">
        <f>MONTH(weather.tbl[[#This Row],[Date]])</f>
        <v>5</v>
      </c>
      <c r="M878">
        <f>YEAR(weather.tbl[[#This Row],[Date]])</f>
        <v>2016</v>
      </c>
    </row>
    <row r="879" spans="1:13" x14ac:dyDescent="0.25">
      <c r="A879" s="1">
        <v>42517</v>
      </c>
      <c r="B879" s="2">
        <v>13.7</v>
      </c>
      <c r="C879" s="2">
        <v>13.8</v>
      </c>
      <c r="D879" s="2">
        <v>14.3</v>
      </c>
      <c r="E879" s="2">
        <v>15.5</v>
      </c>
      <c r="F879" s="2">
        <v>15.2</v>
      </c>
      <c r="G879" s="2">
        <v>15.5</v>
      </c>
      <c r="H879" s="2">
        <f>AVERAGE(weather.tbl[[#This Row],[Estevan]:[Kipling]])</f>
        <v>14.666666666666666</v>
      </c>
      <c r="I879" s="2">
        <f>_xlfn.STDEV.S(weather.tbl[[#This Row],[Estevan]:[Kipling]])</f>
        <v>0.83586282766173203</v>
      </c>
      <c r="J879" s="2">
        <f t="shared" si="13"/>
        <v>14.354761904761904</v>
      </c>
      <c r="K879">
        <f>DAY(weather.tbl[[#This Row],[Date]])</f>
        <v>27</v>
      </c>
      <c r="L879">
        <f>MONTH(weather.tbl[[#This Row],[Date]])</f>
        <v>5</v>
      </c>
      <c r="M879">
        <f>YEAR(weather.tbl[[#This Row],[Date]])</f>
        <v>2016</v>
      </c>
    </row>
    <row r="880" spans="1:13" x14ac:dyDescent="0.25">
      <c r="A880" s="1">
        <v>42518</v>
      </c>
      <c r="B880" s="2">
        <v>13.3</v>
      </c>
      <c r="C880" s="2">
        <v>13.2</v>
      </c>
      <c r="D880" s="2">
        <v>13</v>
      </c>
      <c r="E880" s="2">
        <v>14</v>
      </c>
      <c r="F880" s="2">
        <v>14.2</v>
      </c>
      <c r="G880" s="2">
        <v>11.8</v>
      </c>
      <c r="H880" s="2">
        <f>AVERAGE(weather.tbl[[#This Row],[Estevan]:[Kipling]])</f>
        <v>13.25</v>
      </c>
      <c r="I880" s="2">
        <f>_xlfn.STDEV.S(weather.tbl[[#This Row],[Estevan]:[Kipling]])</f>
        <v>0.85264294989168787</v>
      </c>
      <c r="J880" s="2">
        <f t="shared" si="13"/>
        <v>13.683333333333334</v>
      </c>
      <c r="K880">
        <f>DAY(weather.tbl[[#This Row],[Date]])</f>
        <v>28</v>
      </c>
      <c r="L880">
        <f>MONTH(weather.tbl[[#This Row],[Date]])</f>
        <v>5</v>
      </c>
      <c r="M880">
        <f>YEAR(weather.tbl[[#This Row],[Date]])</f>
        <v>2016</v>
      </c>
    </row>
    <row r="881" spans="1:13" x14ac:dyDescent="0.25">
      <c r="A881" s="1">
        <v>42519</v>
      </c>
      <c r="B881" s="2">
        <v>14.2</v>
      </c>
      <c r="C881" s="2">
        <v>14.4</v>
      </c>
      <c r="D881" s="2">
        <v>13</v>
      </c>
      <c r="E881" s="2">
        <v>14.5</v>
      </c>
      <c r="F881" s="2">
        <v>17.100000000000001</v>
      </c>
      <c r="G881" s="2">
        <v>15</v>
      </c>
      <c r="H881" s="2">
        <f>AVERAGE(weather.tbl[[#This Row],[Estevan]:[Kipling]])</f>
        <v>14.700000000000001</v>
      </c>
      <c r="I881" s="2">
        <f>_xlfn.STDEV.S(weather.tbl[[#This Row],[Estevan]:[Kipling]])</f>
        <v>1.3505554412907312</v>
      </c>
      <c r="J881" s="2">
        <f t="shared" si="13"/>
        <v>13.011904761904761</v>
      </c>
      <c r="K881">
        <f>DAY(weather.tbl[[#This Row],[Date]])</f>
        <v>29</v>
      </c>
      <c r="L881">
        <f>MONTH(weather.tbl[[#This Row],[Date]])</f>
        <v>5</v>
      </c>
      <c r="M881">
        <f>YEAR(weather.tbl[[#This Row],[Date]])</f>
        <v>2016</v>
      </c>
    </row>
    <row r="882" spans="1:13" x14ac:dyDescent="0.25">
      <c r="A882" s="1">
        <v>42520</v>
      </c>
      <c r="B882" s="2">
        <v>14.2</v>
      </c>
      <c r="C882" s="2">
        <v>13.9</v>
      </c>
      <c r="D882" s="2">
        <v>14.3</v>
      </c>
      <c r="E882" s="2">
        <v>14.5</v>
      </c>
      <c r="F882" s="2">
        <v>16.7</v>
      </c>
      <c r="G882" s="2">
        <v>15.3</v>
      </c>
      <c r="H882" s="2">
        <f>AVERAGE(weather.tbl[[#This Row],[Estevan]:[Kipling]])</f>
        <v>14.816666666666668</v>
      </c>
      <c r="I882" s="2">
        <f>_xlfn.STDEV.S(weather.tbl[[#This Row],[Estevan]:[Kipling]])</f>
        <v>1.0361788777362073</v>
      </c>
      <c r="J882" s="2">
        <f t="shared" si="13"/>
        <v>13.259523809523809</v>
      </c>
      <c r="K882">
        <f>DAY(weather.tbl[[#This Row],[Date]])</f>
        <v>30</v>
      </c>
      <c r="L882">
        <f>MONTH(weather.tbl[[#This Row],[Date]])</f>
        <v>5</v>
      </c>
      <c r="M882">
        <f>YEAR(weather.tbl[[#This Row],[Date]])</f>
        <v>2016</v>
      </c>
    </row>
    <row r="883" spans="1:13" x14ac:dyDescent="0.25">
      <c r="A883" s="1">
        <v>42521</v>
      </c>
      <c r="B883" s="2">
        <v>9.8000000000000007</v>
      </c>
      <c r="C883" s="2">
        <v>9.1</v>
      </c>
      <c r="D883" s="2">
        <v>10.5</v>
      </c>
      <c r="E883" s="2">
        <v>12.3</v>
      </c>
      <c r="F883" s="2">
        <v>11.2</v>
      </c>
      <c r="G883" s="2">
        <v>9.8000000000000007</v>
      </c>
      <c r="H883" s="2">
        <f>AVERAGE(weather.tbl[[#This Row],[Estevan]:[Kipling]])</f>
        <v>10.450000000000001</v>
      </c>
      <c r="I883" s="2">
        <f>_xlfn.STDEV.S(weather.tbl[[#This Row],[Estevan]:[Kipling]])</f>
        <v>1.1536897329871743</v>
      </c>
      <c r="J883" s="2">
        <f t="shared" si="13"/>
        <v>12.966666666666667</v>
      </c>
      <c r="K883">
        <f>DAY(weather.tbl[[#This Row],[Date]])</f>
        <v>31</v>
      </c>
      <c r="L883">
        <f>MONTH(weather.tbl[[#This Row],[Date]])</f>
        <v>5</v>
      </c>
      <c r="M883">
        <f>YEAR(weather.tbl[[#This Row],[Date]])</f>
        <v>2016</v>
      </c>
    </row>
    <row r="884" spans="1:13" x14ac:dyDescent="0.25">
      <c r="A884" s="1">
        <v>42522</v>
      </c>
      <c r="B884" s="2">
        <v>11.8</v>
      </c>
      <c r="C884" s="2">
        <v>11.3</v>
      </c>
      <c r="D884" s="2">
        <v>12.8</v>
      </c>
      <c r="E884" s="2">
        <v>12.3</v>
      </c>
      <c r="F884" s="2">
        <v>13.1</v>
      </c>
      <c r="G884" s="2">
        <v>12</v>
      </c>
      <c r="H884" s="2">
        <f>AVERAGE(weather.tbl[[#This Row],[Estevan]:[Kipling]])</f>
        <v>12.216666666666669</v>
      </c>
      <c r="I884" s="2">
        <f>_xlfn.STDEV.S(weather.tbl[[#This Row],[Estevan]:[Kipling]])</f>
        <v>0.66156380392722991</v>
      </c>
      <c r="J884" s="2">
        <f t="shared" si="13"/>
        <v>13.278571428571428</v>
      </c>
      <c r="K884">
        <f>DAY(weather.tbl[[#This Row],[Date]])</f>
        <v>1</v>
      </c>
      <c r="L884">
        <f>MONTH(weather.tbl[[#This Row],[Date]])</f>
        <v>6</v>
      </c>
      <c r="M884">
        <f>YEAR(weather.tbl[[#This Row],[Date]])</f>
        <v>2016</v>
      </c>
    </row>
    <row r="885" spans="1:13" x14ac:dyDescent="0.25">
      <c r="A885" s="1">
        <v>42523</v>
      </c>
      <c r="B885" s="2">
        <v>15.9</v>
      </c>
      <c r="C885" s="2">
        <v>16.399999999999999</v>
      </c>
      <c r="D885" s="2">
        <v>15.5</v>
      </c>
      <c r="E885" s="2">
        <v>17.5</v>
      </c>
      <c r="F885" s="2">
        <v>15.3</v>
      </c>
      <c r="G885" s="2">
        <v>15.8</v>
      </c>
      <c r="H885" s="2">
        <f>AVERAGE(weather.tbl[[#This Row],[Estevan]:[Kipling]])</f>
        <v>16.066666666666666</v>
      </c>
      <c r="I885" s="2">
        <f>_xlfn.STDEV.S(weather.tbl[[#This Row],[Estevan]:[Kipling]])</f>
        <v>0.79665969313544804</v>
      </c>
      <c r="J885" s="2">
        <f t="shared" si="13"/>
        <v>13.738095238095239</v>
      </c>
      <c r="K885">
        <f>DAY(weather.tbl[[#This Row],[Date]])</f>
        <v>2</v>
      </c>
      <c r="L885">
        <f>MONTH(weather.tbl[[#This Row],[Date]])</f>
        <v>6</v>
      </c>
      <c r="M885">
        <f>YEAR(weather.tbl[[#This Row],[Date]])</f>
        <v>2016</v>
      </c>
    </row>
    <row r="886" spans="1:13" x14ac:dyDescent="0.25">
      <c r="A886" s="1">
        <v>42524</v>
      </c>
      <c r="B886" s="2">
        <v>17.100000000000001</v>
      </c>
      <c r="C886" s="2">
        <v>16.8</v>
      </c>
      <c r="D886" s="2">
        <v>15.5</v>
      </c>
      <c r="E886" s="2">
        <v>17.5</v>
      </c>
      <c r="F886" s="2">
        <v>18.399999999999999</v>
      </c>
      <c r="G886" s="2">
        <v>16.3</v>
      </c>
      <c r="H886" s="2">
        <f>AVERAGE(weather.tbl[[#This Row],[Estevan]:[Kipling]])</f>
        <v>16.933333333333334</v>
      </c>
      <c r="I886" s="2">
        <f>_xlfn.STDEV.S(weather.tbl[[#This Row],[Estevan]:[Kipling]])</f>
        <v>0.99732976826457242</v>
      </c>
      <c r="J886" s="2">
        <f t="shared" si="13"/>
        <v>14.061904761904762</v>
      </c>
      <c r="K886">
        <f>DAY(weather.tbl[[#This Row],[Date]])</f>
        <v>3</v>
      </c>
      <c r="L886">
        <f>MONTH(weather.tbl[[#This Row],[Date]])</f>
        <v>6</v>
      </c>
      <c r="M886">
        <f>YEAR(weather.tbl[[#This Row],[Date]])</f>
        <v>2016</v>
      </c>
    </row>
    <row r="887" spans="1:13" x14ac:dyDescent="0.25">
      <c r="A887" s="1">
        <v>42525</v>
      </c>
      <c r="B887" s="2">
        <v>18.100000000000001</v>
      </c>
      <c r="C887" s="2">
        <v>17.5</v>
      </c>
      <c r="D887" s="2">
        <v>18</v>
      </c>
      <c r="E887" s="2">
        <v>18.5</v>
      </c>
      <c r="F887" s="2">
        <v>19</v>
      </c>
      <c r="G887" s="2">
        <v>18</v>
      </c>
      <c r="H887" s="2">
        <f>AVERAGE(weather.tbl[[#This Row],[Estevan]:[Kipling]])</f>
        <v>18.183333333333334</v>
      </c>
      <c r="I887" s="2">
        <f>_xlfn.STDEV.S(weather.tbl[[#This Row],[Estevan]:[Kipling]])</f>
        <v>0.51153364177409344</v>
      </c>
      <c r="J887" s="2">
        <f t="shared" si="13"/>
        <v>14.766666666666667</v>
      </c>
      <c r="K887">
        <f>DAY(weather.tbl[[#This Row],[Date]])</f>
        <v>4</v>
      </c>
      <c r="L887">
        <f>MONTH(weather.tbl[[#This Row],[Date]])</f>
        <v>6</v>
      </c>
      <c r="M887">
        <f>YEAR(weather.tbl[[#This Row],[Date]])</f>
        <v>2016</v>
      </c>
    </row>
    <row r="888" spans="1:13" x14ac:dyDescent="0.25">
      <c r="A888" s="1">
        <v>42526</v>
      </c>
      <c r="B888" s="2">
        <v>17.5</v>
      </c>
      <c r="C888" s="2">
        <v>17.3</v>
      </c>
      <c r="D888" s="2">
        <v>17</v>
      </c>
      <c r="E888" s="2">
        <v>18.5</v>
      </c>
      <c r="F888" s="2">
        <v>18.7</v>
      </c>
      <c r="G888" s="2">
        <v>17</v>
      </c>
      <c r="H888" s="2">
        <f>AVERAGE(weather.tbl[[#This Row],[Estevan]:[Kipling]])</f>
        <v>17.666666666666668</v>
      </c>
      <c r="I888" s="2">
        <f>_xlfn.STDEV.S(weather.tbl[[#This Row],[Estevan]:[Kipling]])</f>
        <v>0.75011110288187721</v>
      </c>
      <c r="J888" s="2">
        <f t="shared" si="13"/>
        <v>15.190476190476192</v>
      </c>
      <c r="K888">
        <f>DAY(weather.tbl[[#This Row],[Date]])</f>
        <v>5</v>
      </c>
      <c r="L888">
        <f>MONTH(weather.tbl[[#This Row],[Date]])</f>
        <v>6</v>
      </c>
      <c r="M888">
        <f>YEAR(weather.tbl[[#This Row],[Date]])</f>
        <v>2016</v>
      </c>
    </row>
    <row r="889" spans="1:13" x14ac:dyDescent="0.25">
      <c r="A889" s="1">
        <v>42527</v>
      </c>
      <c r="B889" s="2">
        <v>13.5</v>
      </c>
      <c r="C889" s="2">
        <v>13.7</v>
      </c>
      <c r="D889" s="2">
        <v>14.3</v>
      </c>
      <c r="E889" s="2">
        <v>15.5</v>
      </c>
      <c r="F889" s="2">
        <v>14.9</v>
      </c>
      <c r="G889" s="2">
        <v>13.8</v>
      </c>
      <c r="H889" s="2">
        <f>AVERAGE(weather.tbl[[#This Row],[Estevan]:[Kipling]])</f>
        <v>14.283333333333333</v>
      </c>
      <c r="I889" s="2">
        <f>_xlfn.STDEV.S(weather.tbl[[#This Row],[Estevan]:[Kipling]])</f>
        <v>0.78081154363051442</v>
      </c>
      <c r="J889" s="2">
        <f t="shared" si="13"/>
        <v>15.114285714285716</v>
      </c>
      <c r="K889">
        <f>DAY(weather.tbl[[#This Row],[Date]])</f>
        <v>6</v>
      </c>
      <c r="L889">
        <f>MONTH(weather.tbl[[#This Row],[Date]])</f>
        <v>6</v>
      </c>
      <c r="M889">
        <f>YEAR(weather.tbl[[#This Row],[Date]])</f>
        <v>2016</v>
      </c>
    </row>
    <row r="890" spans="1:13" x14ac:dyDescent="0.25">
      <c r="A890" s="1">
        <v>42528</v>
      </c>
      <c r="B890" s="2">
        <v>16.3</v>
      </c>
      <c r="C890" s="2">
        <v>17.7</v>
      </c>
      <c r="D890" s="2">
        <v>14.5</v>
      </c>
      <c r="E890" s="2">
        <v>18.5</v>
      </c>
      <c r="F890" s="2">
        <v>15.6</v>
      </c>
      <c r="G890" s="2">
        <v>15.3</v>
      </c>
      <c r="H890" s="2">
        <f>AVERAGE(weather.tbl[[#This Row],[Estevan]:[Kipling]])</f>
        <v>16.316666666666666</v>
      </c>
      <c r="I890" s="2">
        <f>_xlfn.STDEV.S(weather.tbl[[#This Row],[Estevan]:[Kipling]])</f>
        <v>1.5184421841699032</v>
      </c>
      <c r="J890" s="2">
        <f t="shared" si="13"/>
        <v>15.952380952380953</v>
      </c>
      <c r="K890">
        <f>DAY(weather.tbl[[#This Row],[Date]])</f>
        <v>7</v>
      </c>
      <c r="L890">
        <f>MONTH(weather.tbl[[#This Row],[Date]])</f>
        <v>6</v>
      </c>
      <c r="M890">
        <f>YEAR(weather.tbl[[#This Row],[Date]])</f>
        <v>2016</v>
      </c>
    </row>
    <row r="891" spans="1:13" x14ac:dyDescent="0.25">
      <c r="A891" s="1">
        <v>42529</v>
      </c>
      <c r="B891" s="2">
        <v>21.7</v>
      </c>
      <c r="C891" s="2">
        <v>23.4</v>
      </c>
      <c r="D891" s="2">
        <v>20</v>
      </c>
      <c r="E891" s="2">
        <v>23.5</v>
      </c>
      <c r="F891" s="2">
        <v>20.6</v>
      </c>
      <c r="G891" s="2">
        <v>22</v>
      </c>
      <c r="H891" s="2">
        <f>AVERAGE(weather.tbl[[#This Row],[Estevan]:[Kipling]])</f>
        <v>21.866666666666664</v>
      </c>
      <c r="I891" s="2">
        <f>_xlfn.STDEV.S(weather.tbl[[#This Row],[Estevan]:[Kipling]])</f>
        <v>1.4250146198080442</v>
      </c>
      <c r="J891" s="2">
        <f t="shared" si="13"/>
        <v>17.330952380952379</v>
      </c>
      <c r="K891">
        <f>DAY(weather.tbl[[#This Row],[Date]])</f>
        <v>8</v>
      </c>
      <c r="L891">
        <f>MONTH(weather.tbl[[#This Row],[Date]])</f>
        <v>6</v>
      </c>
      <c r="M891">
        <f>YEAR(weather.tbl[[#This Row],[Date]])</f>
        <v>2016</v>
      </c>
    </row>
    <row r="892" spans="1:13" x14ac:dyDescent="0.25">
      <c r="A892" s="1">
        <v>42530</v>
      </c>
      <c r="B892" s="2">
        <v>21.7</v>
      </c>
      <c r="C892" s="2">
        <v>23</v>
      </c>
      <c r="D892" s="2">
        <v>23</v>
      </c>
      <c r="E892" s="2">
        <v>23.8</v>
      </c>
      <c r="F892" s="2">
        <v>24.1</v>
      </c>
      <c r="G892" s="2">
        <v>23.8</v>
      </c>
      <c r="H892" s="2">
        <f>AVERAGE(weather.tbl[[#This Row],[Estevan]:[Kipling]])</f>
        <v>23.233333333333334</v>
      </c>
      <c r="I892" s="2">
        <f>_xlfn.STDEV.S(weather.tbl[[#This Row],[Estevan]:[Kipling]])</f>
        <v>0.87787622514034858</v>
      </c>
      <c r="J892" s="2">
        <f t="shared" si="13"/>
        <v>18.354761904761904</v>
      </c>
      <c r="K892">
        <f>DAY(weather.tbl[[#This Row],[Date]])</f>
        <v>9</v>
      </c>
      <c r="L892">
        <f>MONTH(weather.tbl[[#This Row],[Date]])</f>
        <v>6</v>
      </c>
      <c r="M892">
        <f>YEAR(weather.tbl[[#This Row],[Date]])</f>
        <v>2016</v>
      </c>
    </row>
    <row r="893" spans="1:13" x14ac:dyDescent="0.25">
      <c r="A893" s="1">
        <v>42531</v>
      </c>
      <c r="B893" s="2">
        <v>21.4</v>
      </c>
      <c r="C893" s="2">
        <v>20.5</v>
      </c>
      <c r="D893" s="2">
        <v>21.8</v>
      </c>
      <c r="E893" s="2">
        <v>20.5</v>
      </c>
      <c r="F893" s="2">
        <v>21.5</v>
      </c>
      <c r="G893" s="2">
        <v>20</v>
      </c>
      <c r="H893" s="2">
        <f>AVERAGE(weather.tbl[[#This Row],[Estevan]:[Kipling]])</f>
        <v>20.95</v>
      </c>
      <c r="I893" s="2">
        <f>_xlfn.STDEV.S(weather.tbl[[#This Row],[Estevan]:[Kipling]])</f>
        <v>0.71203932475671583</v>
      </c>
      <c r="J893" s="2">
        <f t="shared" si="13"/>
        <v>18.928571428571427</v>
      </c>
      <c r="K893">
        <f>DAY(weather.tbl[[#This Row],[Date]])</f>
        <v>10</v>
      </c>
      <c r="L893">
        <f>MONTH(weather.tbl[[#This Row],[Date]])</f>
        <v>6</v>
      </c>
      <c r="M893">
        <f>YEAR(weather.tbl[[#This Row],[Date]])</f>
        <v>2016</v>
      </c>
    </row>
    <row r="894" spans="1:13" x14ac:dyDescent="0.25">
      <c r="A894" s="1">
        <v>42532</v>
      </c>
      <c r="B894" s="2">
        <v>16.399999999999999</v>
      </c>
      <c r="C894" s="2">
        <v>16.100000000000001</v>
      </c>
      <c r="D894" s="2">
        <v>15.3</v>
      </c>
      <c r="E894" s="2">
        <v>16.8</v>
      </c>
      <c r="F894" s="2">
        <v>15.7</v>
      </c>
      <c r="G894" s="2">
        <v>14.3</v>
      </c>
      <c r="H894" s="2">
        <f>AVERAGE(weather.tbl[[#This Row],[Estevan]:[Kipling]])</f>
        <v>15.766666666666666</v>
      </c>
      <c r="I894" s="2">
        <f>_xlfn.STDEV.S(weather.tbl[[#This Row],[Estevan]:[Kipling]])</f>
        <v>0.88919439194512817</v>
      </c>
      <c r="J894" s="2">
        <f t="shared" si="13"/>
        <v>18.583333333333332</v>
      </c>
      <c r="K894">
        <f>DAY(weather.tbl[[#This Row],[Date]])</f>
        <v>11</v>
      </c>
      <c r="L894">
        <f>MONTH(weather.tbl[[#This Row],[Date]])</f>
        <v>6</v>
      </c>
      <c r="M894">
        <f>YEAR(weather.tbl[[#This Row],[Date]])</f>
        <v>2016</v>
      </c>
    </row>
    <row r="895" spans="1:13" x14ac:dyDescent="0.25">
      <c r="A895" s="1">
        <v>42533</v>
      </c>
      <c r="B895" s="2">
        <v>17.7</v>
      </c>
      <c r="C895" s="2">
        <v>17</v>
      </c>
      <c r="D895" s="2">
        <v>17.3</v>
      </c>
      <c r="E895" s="2">
        <v>17.8</v>
      </c>
      <c r="F895" s="2">
        <v>17.7</v>
      </c>
      <c r="G895" s="2">
        <v>16.3</v>
      </c>
      <c r="H895" s="2">
        <f>AVERAGE(weather.tbl[[#This Row],[Estevan]:[Kipling]])</f>
        <v>17.3</v>
      </c>
      <c r="I895" s="2">
        <f>_xlfn.STDEV.S(weather.tbl[[#This Row],[Estevan]:[Kipling]])</f>
        <v>0.57619441163551699</v>
      </c>
      <c r="J895" s="2">
        <f t="shared" si="13"/>
        <v>18.530952380952382</v>
      </c>
      <c r="K895">
        <f>DAY(weather.tbl[[#This Row],[Date]])</f>
        <v>12</v>
      </c>
      <c r="L895">
        <f>MONTH(weather.tbl[[#This Row],[Date]])</f>
        <v>6</v>
      </c>
      <c r="M895">
        <f>YEAR(weather.tbl[[#This Row],[Date]])</f>
        <v>2016</v>
      </c>
    </row>
    <row r="896" spans="1:13" x14ac:dyDescent="0.25">
      <c r="A896" s="1">
        <v>42534</v>
      </c>
      <c r="B896" s="2">
        <v>18</v>
      </c>
      <c r="C896" s="2">
        <v>17.899999999999999</v>
      </c>
      <c r="D896" s="2">
        <v>17.3</v>
      </c>
      <c r="E896" s="2">
        <v>17.5</v>
      </c>
      <c r="F896" s="2">
        <v>17.8</v>
      </c>
      <c r="G896" s="2">
        <v>17.8</v>
      </c>
      <c r="H896" s="2">
        <f>AVERAGE(weather.tbl[[#This Row],[Estevan]:[Kipling]])</f>
        <v>17.716666666666665</v>
      </c>
      <c r="I896" s="2">
        <f>_xlfn.STDEV.S(weather.tbl[[#This Row],[Estevan]:[Kipling]])</f>
        <v>0.26394443859772176</v>
      </c>
      <c r="J896" s="2">
        <f t="shared" si="13"/>
        <v>19.021428571428569</v>
      </c>
      <c r="K896">
        <f>DAY(weather.tbl[[#This Row],[Date]])</f>
        <v>13</v>
      </c>
      <c r="L896">
        <f>MONTH(weather.tbl[[#This Row],[Date]])</f>
        <v>6</v>
      </c>
      <c r="M896">
        <f>YEAR(weather.tbl[[#This Row],[Date]])</f>
        <v>2016</v>
      </c>
    </row>
    <row r="897" spans="1:13" x14ac:dyDescent="0.25">
      <c r="A897" s="1">
        <v>42535</v>
      </c>
      <c r="B897" s="2">
        <v>18.899999999999999</v>
      </c>
      <c r="C897" s="2">
        <v>18.8</v>
      </c>
      <c r="D897" s="2">
        <v>18</v>
      </c>
      <c r="E897" s="2">
        <v>19.8</v>
      </c>
      <c r="F897" s="2">
        <v>16.7</v>
      </c>
      <c r="G897" s="2">
        <v>18.5</v>
      </c>
      <c r="H897" s="2">
        <f>AVERAGE(weather.tbl[[#This Row],[Estevan]:[Kipling]])</f>
        <v>18.45</v>
      </c>
      <c r="I897" s="2">
        <f>_xlfn.STDEV.S(weather.tbl[[#This Row],[Estevan]:[Kipling]])</f>
        <v>1.040672859259816</v>
      </c>
      <c r="J897" s="2">
        <f t="shared" si="13"/>
        <v>19.326190476190476</v>
      </c>
      <c r="K897">
        <f>DAY(weather.tbl[[#This Row],[Date]])</f>
        <v>14</v>
      </c>
      <c r="L897">
        <f>MONTH(weather.tbl[[#This Row],[Date]])</f>
        <v>6</v>
      </c>
      <c r="M897">
        <f>YEAR(weather.tbl[[#This Row],[Date]])</f>
        <v>2016</v>
      </c>
    </row>
    <row r="898" spans="1:13" x14ac:dyDescent="0.25">
      <c r="A898" s="1">
        <v>42536</v>
      </c>
      <c r="B898" s="2">
        <v>17.5</v>
      </c>
      <c r="C898" s="2">
        <v>15.9</v>
      </c>
      <c r="D898" s="2">
        <v>18</v>
      </c>
      <c r="E898" s="2">
        <v>15.5</v>
      </c>
      <c r="F898" s="2">
        <v>18.600000000000001</v>
      </c>
      <c r="G898" s="2">
        <v>17</v>
      </c>
      <c r="H898" s="2">
        <f>AVERAGE(weather.tbl[[#This Row],[Estevan]:[Kipling]])</f>
        <v>17.083333333333332</v>
      </c>
      <c r="I898" s="2">
        <f>_xlfn.STDEV.S(weather.tbl[[#This Row],[Estevan]:[Kipling]])</f>
        <v>1.2023587928179622</v>
      </c>
      <c r="J898" s="2">
        <f t="shared" si="13"/>
        <v>18.642857142857142</v>
      </c>
      <c r="K898">
        <f>DAY(weather.tbl[[#This Row],[Date]])</f>
        <v>15</v>
      </c>
      <c r="L898">
        <f>MONTH(weather.tbl[[#This Row],[Date]])</f>
        <v>6</v>
      </c>
      <c r="M898">
        <f>YEAR(weather.tbl[[#This Row],[Date]])</f>
        <v>2016</v>
      </c>
    </row>
    <row r="899" spans="1:13" x14ac:dyDescent="0.25">
      <c r="A899" s="1">
        <v>42537</v>
      </c>
      <c r="B899" s="2">
        <v>20.8</v>
      </c>
      <c r="C899" s="2">
        <v>20.399999999999999</v>
      </c>
      <c r="D899" s="2">
        <v>20.5</v>
      </c>
      <c r="E899" s="2">
        <v>19.3</v>
      </c>
      <c r="F899" s="2">
        <v>22</v>
      </c>
      <c r="G899" s="2">
        <v>18</v>
      </c>
      <c r="H899" s="2">
        <f>AVERAGE(weather.tbl[[#This Row],[Estevan]:[Kipling]])</f>
        <v>20.166666666666668</v>
      </c>
      <c r="I899" s="2">
        <f>_xlfn.STDEV.S(weather.tbl[[#This Row],[Estevan]:[Kipling]])</f>
        <v>1.3691846722289389</v>
      </c>
      <c r="J899" s="2">
        <f t="shared" si="13"/>
        <v>18.204761904761906</v>
      </c>
      <c r="K899">
        <f>DAY(weather.tbl[[#This Row],[Date]])</f>
        <v>16</v>
      </c>
      <c r="L899">
        <f>MONTH(weather.tbl[[#This Row],[Date]])</f>
        <v>6</v>
      </c>
      <c r="M899">
        <f>YEAR(weather.tbl[[#This Row],[Date]])</f>
        <v>2016</v>
      </c>
    </row>
    <row r="900" spans="1:13" x14ac:dyDescent="0.25">
      <c r="A900" s="1">
        <v>42538</v>
      </c>
      <c r="B900" s="2">
        <v>18.100000000000001</v>
      </c>
      <c r="C900" s="2">
        <v>16.600000000000001</v>
      </c>
      <c r="D900" s="2">
        <v>18.5</v>
      </c>
      <c r="E900" s="2">
        <v>17</v>
      </c>
      <c r="F900" s="2">
        <v>19.2</v>
      </c>
      <c r="G900" s="2">
        <v>16.5</v>
      </c>
      <c r="H900" s="2">
        <f>AVERAGE(weather.tbl[[#This Row],[Estevan]:[Kipling]])</f>
        <v>17.650000000000002</v>
      </c>
      <c r="I900" s="2">
        <f>_xlfn.STDEV.S(weather.tbl[[#This Row],[Estevan]:[Kipling]])</f>
        <v>1.1113055385446431</v>
      </c>
      <c r="J900" s="2">
        <f t="shared" si="13"/>
        <v>17.733333333333334</v>
      </c>
      <c r="K900">
        <f>DAY(weather.tbl[[#This Row],[Date]])</f>
        <v>17</v>
      </c>
      <c r="L900">
        <f>MONTH(weather.tbl[[#This Row],[Date]])</f>
        <v>6</v>
      </c>
      <c r="M900">
        <f>YEAR(weather.tbl[[#This Row],[Date]])</f>
        <v>2016</v>
      </c>
    </row>
    <row r="901" spans="1:13" x14ac:dyDescent="0.25">
      <c r="A901" s="1">
        <v>42539</v>
      </c>
      <c r="B901" s="2">
        <v>18.600000000000001</v>
      </c>
      <c r="C901" s="2">
        <v>17.899999999999999</v>
      </c>
      <c r="D901" s="2">
        <v>18.3</v>
      </c>
      <c r="E901" s="2">
        <v>18.3</v>
      </c>
      <c r="F901" s="2">
        <v>19.899999999999999</v>
      </c>
      <c r="G901" s="2">
        <v>17</v>
      </c>
      <c r="H901" s="2">
        <f>AVERAGE(weather.tbl[[#This Row],[Estevan]:[Kipling]])</f>
        <v>18.333333333333332</v>
      </c>
      <c r="I901" s="2">
        <f>_xlfn.STDEV.S(weather.tbl[[#This Row],[Estevan]:[Kipling]])</f>
        <v>0.94798030921884979</v>
      </c>
      <c r="J901" s="2">
        <f t="shared" si="13"/>
        <v>18.100000000000001</v>
      </c>
      <c r="K901">
        <f>DAY(weather.tbl[[#This Row],[Date]])</f>
        <v>18</v>
      </c>
      <c r="L901">
        <f>MONTH(weather.tbl[[#This Row],[Date]])</f>
        <v>6</v>
      </c>
      <c r="M901">
        <f>YEAR(weather.tbl[[#This Row],[Date]])</f>
        <v>2016</v>
      </c>
    </row>
    <row r="902" spans="1:13" x14ac:dyDescent="0.25">
      <c r="A902" s="1">
        <v>42540</v>
      </c>
      <c r="B902" s="2">
        <v>16.8</v>
      </c>
      <c r="C902" s="2">
        <v>16</v>
      </c>
      <c r="D902" s="2">
        <v>19</v>
      </c>
      <c r="E902" s="2">
        <v>15</v>
      </c>
      <c r="F902" s="2">
        <v>18.8</v>
      </c>
      <c r="G902" s="2">
        <v>15.3</v>
      </c>
      <c r="H902" s="2">
        <f>AVERAGE(weather.tbl[[#This Row],[Estevan]:[Kipling]])</f>
        <v>16.816666666666666</v>
      </c>
      <c r="I902" s="2">
        <f>_xlfn.STDEV.S(weather.tbl[[#This Row],[Estevan]:[Kipling]])</f>
        <v>1.730221565773201</v>
      </c>
      <c r="J902" s="2">
        <f t="shared" si="13"/>
        <v>18.030952380952382</v>
      </c>
      <c r="K902">
        <f>DAY(weather.tbl[[#This Row],[Date]])</f>
        <v>19</v>
      </c>
      <c r="L902">
        <f>MONTH(weather.tbl[[#This Row],[Date]])</f>
        <v>6</v>
      </c>
      <c r="M902">
        <f>YEAR(weather.tbl[[#This Row],[Date]])</f>
        <v>2016</v>
      </c>
    </row>
    <row r="903" spans="1:13" x14ac:dyDescent="0.25">
      <c r="A903" s="1">
        <v>42541</v>
      </c>
      <c r="B903" s="2">
        <v>16.600000000000001</v>
      </c>
      <c r="C903" s="2">
        <v>16.2</v>
      </c>
      <c r="D903" s="2">
        <v>16</v>
      </c>
      <c r="E903" s="2">
        <v>18.5</v>
      </c>
      <c r="F903" s="2">
        <v>16.899999999999999</v>
      </c>
      <c r="G903" s="2">
        <v>15.3</v>
      </c>
      <c r="H903" s="2">
        <f>AVERAGE(weather.tbl[[#This Row],[Estevan]:[Kipling]])</f>
        <v>16.583333333333332</v>
      </c>
      <c r="I903" s="2">
        <f>_xlfn.STDEV.S(weather.tbl[[#This Row],[Estevan]:[Kipling]])</f>
        <v>1.0870449239413549</v>
      </c>
      <c r="J903" s="2">
        <f t="shared" si="13"/>
        <v>17.869047619047617</v>
      </c>
      <c r="K903">
        <f>DAY(weather.tbl[[#This Row],[Date]])</f>
        <v>20</v>
      </c>
      <c r="L903">
        <f>MONTH(weather.tbl[[#This Row],[Date]])</f>
        <v>6</v>
      </c>
      <c r="M903">
        <f>YEAR(weather.tbl[[#This Row],[Date]])</f>
        <v>2016</v>
      </c>
    </row>
    <row r="904" spans="1:13" x14ac:dyDescent="0.25">
      <c r="A904" s="1">
        <v>42542</v>
      </c>
      <c r="B904" s="2">
        <v>17.5</v>
      </c>
      <c r="C904" s="2">
        <v>17.3</v>
      </c>
      <c r="D904" s="2">
        <v>16.8</v>
      </c>
      <c r="E904" s="2">
        <v>16.5</v>
      </c>
      <c r="F904" s="2">
        <v>16.3</v>
      </c>
      <c r="G904" s="2">
        <v>17</v>
      </c>
      <c r="H904" s="2">
        <f>AVERAGE(weather.tbl[[#This Row],[Estevan]:[Kipling]])</f>
        <v>16.899999999999999</v>
      </c>
      <c r="I904" s="2">
        <f>_xlfn.STDEV.S(weather.tbl[[#This Row],[Estevan]:[Kipling]])</f>
        <v>0.4604345773288534</v>
      </c>
      <c r="J904" s="2">
        <f t="shared" si="13"/>
        <v>17.647619047619049</v>
      </c>
      <c r="K904">
        <f>DAY(weather.tbl[[#This Row],[Date]])</f>
        <v>21</v>
      </c>
      <c r="L904">
        <f>MONTH(weather.tbl[[#This Row],[Date]])</f>
        <v>6</v>
      </c>
      <c r="M904">
        <f>YEAR(weather.tbl[[#This Row],[Date]])</f>
        <v>2016</v>
      </c>
    </row>
    <row r="905" spans="1:13" x14ac:dyDescent="0.25">
      <c r="A905" s="1">
        <v>42543</v>
      </c>
      <c r="B905" s="2">
        <v>15.8</v>
      </c>
      <c r="C905" s="2">
        <v>16.600000000000001</v>
      </c>
      <c r="D905" s="2">
        <v>15.5</v>
      </c>
      <c r="E905" s="2">
        <v>17.5</v>
      </c>
      <c r="F905" s="2">
        <v>15.5</v>
      </c>
      <c r="G905" s="2">
        <v>16.8</v>
      </c>
      <c r="H905" s="2">
        <f>AVERAGE(weather.tbl[[#This Row],[Estevan]:[Kipling]])</f>
        <v>16.283333333333335</v>
      </c>
      <c r="I905" s="2">
        <f>_xlfn.STDEV.S(weather.tbl[[#This Row],[Estevan]:[Kipling]])</f>
        <v>0.81342895612749544</v>
      </c>
      <c r="J905" s="2">
        <f t="shared" si="13"/>
        <v>17.533333333333331</v>
      </c>
      <c r="K905">
        <f>DAY(weather.tbl[[#This Row],[Date]])</f>
        <v>22</v>
      </c>
      <c r="L905">
        <f>MONTH(weather.tbl[[#This Row],[Date]])</f>
        <v>6</v>
      </c>
      <c r="M905">
        <f>YEAR(weather.tbl[[#This Row],[Date]])</f>
        <v>2016</v>
      </c>
    </row>
    <row r="906" spans="1:13" x14ac:dyDescent="0.25">
      <c r="A906" s="1">
        <v>42544</v>
      </c>
      <c r="B906" s="2">
        <v>16.7</v>
      </c>
      <c r="C906" s="2">
        <v>17.3</v>
      </c>
      <c r="D906" s="2">
        <v>15.3</v>
      </c>
      <c r="E906" s="2">
        <v>21</v>
      </c>
      <c r="F906" s="2">
        <v>16.600000000000001</v>
      </c>
      <c r="G906" s="2">
        <v>16.5</v>
      </c>
      <c r="H906" s="2">
        <f>AVERAGE(weather.tbl[[#This Row],[Estevan]:[Kipling]])</f>
        <v>17.233333333333334</v>
      </c>
      <c r="I906" s="2">
        <f>_xlfn.STDEV.S(weather.tbl[[#This Row],[Estevan]:[Kipling]])</f>
        <v>1.9572088970435919</v>
      </c>
      <c r="J906" s="2">
        <f t="shared" ref="J906:J969" si="14">AVERAGE(H900:H906)</f>
        <v>17.114285714285714</v>
      </c>
      <c r="K906">
        <f>DAY(weather.tbl[[#This Row],[Date]])</f>
        <v>23</v>
      </c>
      <c r="L906">
        <f>MONTH(weather.tbl[[#This Row],[Date]])</f>
        <v>6</v>
      </c>
      <c r="M906">
        <f>YEAR(weather.tbl[[#This Row],[Date]])</f>
        <v>2016</v>
      </c>
    </row>
    <row r="907" spans="1:13" x14ac:dyDescent="0.25">
      <c r="A907" s="1">
        <v>42545</v>
      </c>
      <c r="B907" s="2">
        <v>19.3</v>
      </c>
      <c r="C907" s="2">
        <v>20.2</v>
      </c>
      <c r="D907" s="2">
        <v>17.8</v>
      </c>
      <c r="E907" s="2">
        <v>21.5</v>
      </c>
      <c r="F907" s="2">
        <v>20.399999999999999</v>
      </c>
      <c r="G907" s="2">
        <v>19</v>
      </c>
      <c r="H907" s="2">
        <f>AVERAGE(weather.tbl[[#This Row],[Estevan]:[Kipling]])</f>
        <v>19.7</v>
      </c>
      <c r="I907" s="2">
        <f>_xlfn.STDEV.S(weather.tbl[[#This Row],[Estevan]:[Kipling]])</f>
        <v>1.2837445228704967</v>
      </c>
      <c r="J907" s="2">
        <f t="shared" si="14"/>
        <v>17.407142857142855</v>
      </c>
      <c r="K907">
        <f>DAY(weather.tbl[[#This Row],[Date]])</f>
        <v>24</v>
      </c>
      <c r="L907">
        <f>MONTH(weather.tbl[[#This Row],[Date]])</f>
        <v>6</v>
      </c>
      <c r="M907">
        <f>YEAR(weather.tbl[[#This Row],[Date]])</f>
        <v>2016</v>
      </c>
    </row>
    <row r="908" spans="1:13" x14ac:dyDescent="0.25">
      <c r="A908" s="1">
        <v>42546</v>
      </c>
      <c r="B908" s="2">
        <v>14.9</v>
      </c>
      <c r="C908" s="2">
        <v>15.1</v>
      </c>
      <c r="D908" s="2">
        <v>15.8</v>
      </c>
      <c r="E908" s="2">
        <v>16.5</v>
      </c>
      <c r="F908" s="2">
        <v>17.899999999999999</v>
      </c>
      <c r="G908" s="2">
        <v>15.8</v>
      </c>
      <c r="H908" s="2">
        <f>AVERAGE(weather.tbl[[#This Row],[Estevan]:[Kipling]])</f>
        <v>15.999999999999998</v>
      </c>
      <c r="I908" s="2">
        <f>_xlfn.STDEV.S(weather.tbl[[#This Row],[Estevan]:[Kipling]])</f>
        <v>1.0917875251164939</v>
      </c>
      <c r="J908" s="2">
        <f t="shared" si="14"/>
        <v>17.073809523809523</v>
      </c>
      <c r="K908">
        <f>DAY(weather.tbl[[#This Row],[Date]])</f>
        <v>25</v>
      </c>
      <c r="L908">
        <f>MONTH(weather.tbl[[#This Row],[Date]])</f>
        <v>6</v>
      </c>
      <c r="M908">
        <f>YEAR(weather.tbl[[#This Row],[Date]])</f>
        <v>2016</v>
      </c>
    </row>
    <row r="909" spans="1:13" x14ac:dyDescent="0.25">
      <c r="A909" s="1">
        <v>42547</v>
      </c>
      <c r="B909" s="2">
        <v>16.899999999999999</v>
      </c>
      <c r="C909" s="2">
        <v>16.8</v>
      </c>
      <c r="D909" s="2">
        <v>15.8</v>
      </c>
      <c r="E909" s="2">
        <v>17</v>
      </c>
      <c r="F909" s="2">
        <v>16.600000000000001</v>
      </c>
      <c r="G909" s="2">
        <v>15</v>
      </c>
      <c r="H909" s="2">
        <f>AVERAGE(weather.tbl[[#This Row],[Estevan]:[Kipling]])</f>
        <v>16.349999999999998</v>
      </c>
      <c r="I909" s="2">
        <f>_xlfn.STDEV.S(weather.tbl[[#This Row],[Estevan]:[Kipling]])</f>
        <v>0.78930349042684456</v>
      </c>
      <c r="J909" s="2">
        <f t="shared" si="14"/>
        <v>17.007142857142856</v>
      </c>
      <c r="K909">
        <f>DAY(weather.tbl[[#This Row],[Date]])</f>
        <v>26</v>
      </c>
      <c r="L909">
        <f>MONTH(weather.tbl[[#This Row],[Date]])</f>
        <v>6</v>
      </c>
      <c r="M909">
        <f>YEAR(weather.tbl[[#This Row],[Date]])</f>
        <v>2016</v>
      </c>
    </row>
    <row r="910" spans="1:13" x14ac:dyDescent="0.25">
      <c r="A910" s="1">
        <v>42548</v>
      </c>
      <c r="B910" s="2">
        <v>16.100000000000001</v>
      </c>
      <c r="C910" s="2">
        <v>16.8</v>
      </c>
      <c r="D910" s="2">
        <v>15.5</v>
      </c>
      <c r="E910" s="2">
        <v>19</v>
      </c>
      <c r="F910" s="2">
        <v>16.100000000000001</v>
      </c>
      <c r="G910" s="2">
        <v>14.5</v>
      </c>
      <c r="H910" s="2">
        <f>AVERAGE(weather.tbl[[#This Row],[Estevan]:[Kipling]])</f>
        <v>16.333333333333332</v>
      </c>
      <c r="I910" s="2">
        <f>_xlfn.STDEV.S(weather.tbl[[#This Row],[Estevan]:[Kipling]])</f>
        <v>1.516135438101315</v>
      </c>
      <c r="J910" s="2">
        <f t="shared" si="14"/>
        <v>16.971428571428572</v>
      </c>
      <c r="K910">
        <f>DAY(weather.tbl[[#This Row],[Date]])</f>
        <v>27</v>
      </c>
      <c r="L910">
        <f>MONTH(weather.tbl[[#This Row],[Date]])</f>
        <v>6</v>
      </c>
      <c r="M910">
        <f>YEAR(weather.tbl[[#This Row],[Date]])</f>
        <v>2016</v>
      </c>
    </row>
    <row r="911" spans="1:13" x14ac:dyDescent="0.25">
      <c r="A911" s="1">
        <v>42549</v>
      </c>
      <c r="B911" s="2">
        <v>17.899999999999999</v>
      </c>
      <c r="C911" s="2">
        <v>16.8</v>
      </c>
      <c r="D911" s="2">
        <v>16.5</v>
      </c>
      <c r="E911" s="2">
        <v>18.5</v>
      </c>
      <c r="F911" s="2">
        <v>17.399999999999999</v>
      </c>
      <c r="G911" s="2">
        <v>17.8</v>
      </c>
      <c r="H911" s="2">
        <f>AVERAGE(weather.tbl[[#This Row],[Estevan]:[Kipling]])</f>
        <v>17.483333333333331</v>
      </c>
      <c r="I911" s="2">
        <f>_xlfn.STDEV.S(weather.tbl[[#This Row],[Estevan]:[Kipling]])</f>
        <v>0.74139508136125798</v>
      </c>
      <c r="J911" s="2">
        <f t="shared" si="14"/>
        <v>17.054761904761904</v>
      </c>
      <c r="K911">
        <f>DAY(weather.tbl[[#This Row],[Date]])</f>
        <v>28</v>
      </c>
      <c r="L911">
        <f>MONTH(weather.tbl[[#This Row],[Date]])</f>
        <v>6</v>
      </c>
      <c r="M911">
        <f>YEAR(weather.tbl[[#This Row],[Date]])</f>
        <v>2016</v>
      </c>
    </row>
    <row r="912" spans="1:13" x14ac:dyDescent="0.25">
      <c r="A912" s="1">
        <v>42550</v>
      </c>
      <c r="B912" s="2">
        <v>20.2</v>
      </c>
      <c r="C912" s="2">
        <v>19.399999999999999</v>
      </c>
      <c r="D912" s="2">
        <v>19</v>
      </c>
      <c r="E912" s="2">
        <v>21.5</v>
      </c>
      <c r="F912" s="2">
        <v>19.5</v>
      </c>
      <c r="G912" s="2">
        <v>19.3</v>
      </c>
      <c r="H912" s="2">
        <f>AVERAGE(weather.tbl[[#This Row],[Estevan]:[Kipling]])</f>
        <v>19.816666666666666</v>
      </c>
      <c r="I912" s="2">
        <f>_xlfn.STDEV.S(weather.tbl[[#This Row],[Estevan]:[Kipling]])</f>
        <v>0.91524131608372361</v>
      </c>
      <c r="J912" s="2">
        <f t="shared" si="14"/>
        <v>17.559523809523807</v>
      </c>
      <c r="K912">
        <f>DAY(weather.tbl[[#This Row],[Date]])</f>
        <v>29</v>
      </c>
      <c r="L912">
        <f>MONTH(weather.tbl[[#This Row],[Date]])</f>
        <v>6</v>
      </c>
      <c r="M912">
        <f>YEAR(weather.tbl[[#This Row],[Date]])</f>
        <v>2016</v>
      </c>
    </row>
    <row r="913" spans="1:13" x14ac:dyDescent="0.25">
      <c r="A913" s="1">
        <v>42551</v>
      </c>
      <c r="B913" s="2">
        <v>15.6</v>
      </c>
      <c r="C913" s="2">
        <v>16.399999999999999</v>
      </c>
      <c r="D913" s="2">
        <v>15.3</v>
      </c>
      <c r="E913" s="2">
        <v>19.5</v>
      </c>
      <c r="F913" s="2">
        <v>13.9</v>
      </c>
      <c r="G913" s="2">
        <v>14.8</v>
      </c>
      <c r="H913" s="2">
        <f>AVERAGE(weather.tbl[[#This Row],[Estevan]:[Kipling]])</f>
        <v>15.916666666666666</v>
      </c>
      <c r="I913" s="2">
        <f>_xlfn.STDEV.S(weather.tbl[[#This Row],[Estevan]:[Kipling]])</f>
        <v>1.9425927691275446</v>
      </c>
      <c r="J913" s="2">
        <f t="shared" si="14"/>
        <v>17.37142857142857</v>
      </c>
      <c r="K913">
        <f>DAY(weather.tbl[[#This Row],[Date]])</f>
        <v>30</v>
      </c>
      <c r="L913">
        <f>MONTH(weather.tbl[[#This Row],[Date]])</f>
        <v>6</v>
      </c>
      <c r="M913">
        <f>YEAR(weather.tbl[[#This Row],[Date]])</f>
        <v>2016</v>
      </c>
    </row>
    <row r="914" spans="1:13" x14ac:dyDescent="0.25">
      <c r="A914" s="1">
        <v>42552</v>
      </c>
      <c r="B914" s="2">
        <v>15.2</v>
      </c>
      <c r="C914" s="2">
        <v>16.3</v>
      </c>
      <c r="D914" s="2">
        <v>14</v>
      </c>
      <c r="E914" s="2">
        <v>17</v>
      </c>
      <c r="F914" s="2">
        <v>14.9</v>
      </c>
      <c r="G914" s="2">
        <v>14</v>
      </c>
      <c r="H914" s="2">
        <f>AVERAGE(weather.tbl[[#This Row],[Estevan]:[Kipling]])</f>
        <v>15.233333333333334</v>
      </c>
      <c r="I914" s="2">
        <f>_xlfn.STDEV.S(weather.tbl[[#This Row],[Estevan]:[Kipling]])</f>
        <v>1.2176480060619601</v>
      </c>
      <c r="J914" s="2">
        <f t="shared" si="14"/>
        <v>16.733333333333331</v>
      </c>
      <c r="K914">
        <f>DAY(weather.tbl[[#This Row],[Date]])</f>
        <v>1</v>
      </c>
      <c r="L914">
        <f>MONTH(weather.tbl[[#This Row],[Date]])</f>
        <v>7</v>
      </c>
      <c r="M914">
        <f>YEAR(weather.tbl[[#This Row],[Date]])</f>
        <v>2016</v>
      </c>
    </row>
    <row r="915" spans="1:13" x14ac:dyDescent="0.25">
      <c r="A915" s="1">
        <v>42553</v>
      </c>
      <c r="B915" s="2">
        <v>19.2</v>
      </c>
      <c r="C915" s="2">
        <v>18.899999999999999</v>
      </c>
      <c r="D915" s="2">
        <v>17.8</v>
      </c>
      <c r="E915" s="2">
        <v>21.3</v>
      </c>
      <c r="F915" s="2">
        <v>19.3</v>
      </c>
      <c r="G915" s="2">
        <v>16.8</v>
      </c>
      <c r="H915" s="2">
        <f>AVERAGE(weather.tbl[[#This Row],[Estevan]:[Kipling]])</f>
        <v>18.883333333333329</v>
      </c>
      <c r="I915" s="2">
        <f>_xlfn.STDEV.S(weather.tbl[[#This Row],[Estevan]:[Kipling]])</f>
        <v>1.5250136611409968</v>
      </c>
      <c r="J915" s="2">
        <f t="shared" si="14"/>
        <v>17.145238095238092</v>
      </c>
      <c r="K915">
        <f>DAY(weather.tbl[[#This Row],[Date]])</f>
        <v>2</v>
      </c>
      <c r="L915">
        <f>MONTH(weather.tbl[[#This Row],[Date]])</f>
        <v>7</v>
      </c>
      <c r="M915">
        <f>YEAR(weather.tbl[[#This Row],[Date]])</f>
        <v>2016</v>
      </c>
    </row>
    <row r="916" spans="1:13" x14ac:dyDescent="0.25">
      <c r="A916" s="1">
        <v>42554</v>
      </c>
      <c r="B916" s="2">
        <v>21.3</v>
      </c>
      <c r="C916" s="2">
        <v>21.9</v>
      </c>
      <c r="D916" s="2">
        <v>20</v>
      </c>
      <c r="E916" s="2">
        <v>21.5</v>
      </c>
      <c r="F916" s="2">
        <v>20.2</v>
      </c>
      <c r="G916" s="2">
        <v>19.8</v>
      </c>
      <c r="H916" s="2">
        <f>AVERAGE(weather.tbl[[#This Row],[Estevan]:[Kipling]])</f>
        <v>20.783333333333335</v>
      </c>
      <c r="I916" s="2">
        <f>_xlfn.STDEV.S(weather.tbl[[#This Row],[Estevan]:[Kipling]])</f>
        <v>0.88863190729720376</v>
      </c>
      <c r="J916" s="2">
        <f t="shared" si="14"/>
        <v>17.778571428571428</v>
      </c>
      <c r="K916">
        <f>DAY(weather.tbl[[#This Row],[Date]])</f>
        <v>3</v>
      </c>
      <c r="L916">
        <f>MONTH(weather.tbl[[#This Row],[Date]])</f>
        <v>7</v>
      </c>
      <c r="M916">
        <f>YEAR(weather.tbl[[#This Row],[Date]])</f>
        <v>2016</v>
      </c>
    </row>
    <row r="917" spans="1:13" x14ac:dyDescent="0.25">
      <c r="A917" s="1">
        <v>42555</v>
      </c>
      <c r="B917" s="2">
        <v>18.3</v>
      </c>
      <c r="C917" s="2">
        <v>17.100000000000001</v>
      </c>
      <c r="D917" s="2">
        <v>19.8</v>
      </c>
      <c r="E917" s="2">
        <v>19.5</v>
      </c>
      <c r="F917" s="2">
        <v>20.7</v>
      </c>
      <c r="G917" s="2">
        <v>18.3</v>
      </c>
      <c r="H917" s="2">
        <f>AVERAGE(weather.tbl[[#This Row],[Estevan]:[Kipling]])</f>
        <v>18.95</v>
      </c>
      <c r="I917" s="2">
        <f>_xlfn.STDEV.S(weather.tbl[[#This Row],[Estevan]:[Kipling]])</f>
        <v>1.2926716520447095</v>
      </c>
      <c r="J917" s="2">
        <f t="shared" si="14"/>
        <v>18.152380952380948</v>
      </c>
      <c r="K917">
        <f>DAY(weather.tbl[[#This Row],[Date]])</f>
        <v>4</v>
      </c>
      <c r="L917">
        <f>MONTH(weather.tbl[[#This Row],[Date]])</f>
        <v>7</v>
      </c>
      <c r="M917">
        <f>YEAR(weather.tbl[[#This Row],[Date]])</f>
        <v>2016</v>
      </c>
    </row>
    <row r="918" spans="1:13" x14ac:dyDescent="0.25">
      <c r="A918" s="1">
        <v>42556</v>
      </c>
      <c r="B918" s="2">
        <v>17.5</v>
      </c>
      <c r="C918" s="2">
        <v>16.899999999999999</v>
      </c>
      <c r="D918" s="2">
        <v>17.5</v>
      </c>
      <c r="E918" s="2">
        <v>18.5</v>
      </c>
      <c r="F918" s="2">
        <v>18.600000000000001</v>
      </c>
      <c r="G918" s="2">
        <v>17.3</v>
      </c>
      <c r="H918" s="2">
        <f>AVERAGE(weather.tbl[[#This Row],[Estevan]:[Kipling]])</f>
        <v>17.716666666666665</v>
      </c>
      <c r="I918" s="2">
        <f>_xlfn.STDEV.S(weather.tbl[[#This Row],[Estevan]:[Kipling]])</f>
        <v>0.68239773348588095</v>
      </c>
      <c r="J918" s="2">
        <f t="shared" si="14"/>
        <v>18.185714285714287</v>
      </c>
      <c r="K918">
        <f>DAY(weather.tbl[[#This Row],[Date]])</f>
        <v>5</v>
      </c>
      <c r="L918">
        <f>MONTH(weather.tbl[[#This Row],[Date]])</f>
        <v>7</v>
      </c>
      <c r="M918">
        <f>YEAR(weather.tbl[[#This Row],[Date]])</f>
        <v>2016</v>
      </c>
    </row>
    <row r="919" spans="1:13" x14ac:dyDescent="0.25">
      <c r="A919" s="1">
        <v>42557</v>
      </c>
      <c r="B919" s="2">
        <v>17.100000000000001</v>
      </c>
      <c r="C919" s="2">
        <v>16</v>
      </c>
      <c r="D919" s="2">
        <v>17.3</v>
      </c>
      <c r="E919" s="2">
        <v>16.5</v>
      </c>
      <c r="F919" s="2">
        <v>17.2</v>
      </c>
      <c r="G919" s="2">
        <v>16.5</v>
      </c>
      <c r="H919" s="2">
        <f>AVERAGE(weather.tbl[[#This Row],[Estevan]:[Kipling]])</f>
        <v>16.766666666666669</v>
      </c>
      <c r="I919" s="2">
        <f>_xlfn.STDEV.S(weather.tbl[[#This Row],[Estevan]:[Kipling]])</f>
        <v>0.51251016250086878</v>
      </c>
      <c r="J919" s="2">
        <f t="shared" si="14"/>
        <v>17.75</v>
      </c>
      <c r="K919">
        <f>DAY(weather.tbl[[#This Row],[Date]])</f>
        <v>6</v>
      </c>
      <c r="L919">
        <f>MONTH(weather.tbl[[#This Row],[Date]])</f>
        <v>7</v>
      </c>
      <c r="M919">
        <f>YEAR(weather.tbl[[#This Row],[Date]])</f>
        <v>2016</v>
      </c>
    </row>
    <row r="920" spans="1:13" x14ac:dyDescent="0.25">
      <c r="A920" s="1">
        <v>42558</v>
      </c>
      <c r="B920" s="2">
        <v>16</v>
      </c>
      <c r="C920" s="2">
        <v>16.899999999999999</v>
      </c>
      <c r="D920" s="2">
        <v>15</v>
      </c>
      <c r="E920" s="2">
        <v>20.5</v>
      </c>
      <c r="F920" s="2">
        <v>16</v>
      </c>
      <c r="G920" s="2">
        <v>16.3</v>
      </c>
      <c r="H920" s="2">
        <f>AVERAGE(weather.tbl[[#This Row],[Estevan]:[Kipling]])</f>
        <v>16.783333333333335</v>
      </c>
      <c r="I920" s="2">
        <f>_xlfn.STDEV.S(weather.tbl[[#This Row],[Estevan]:[Kipling]])</f>
        <v>1.9218914294690659</v>
      </c>
      <c r="J920" s="2">
        <f t="shared" si="14"/>
        <v>17.873809523809523</v>
      </c>
      <c r="K920">
        <f>DAY(weather.tbl[[#This Row],[Date]])</f>
        <v>7</v>
      </c>
      <c r="L920">
        <f>MONTH(weather.tbl[[#This Row],[Date]])</f>
        <v>7</v>
      </c>
      <c r="M920">
        <f>YEAR(weather.tbl[[#This Row],[Date]])</f>
        <v>2016</v>
      </c>
    </row>
    <row r="921" spans="1:13" x14ac:dyDescent="0.25">
      <c r="A921" s="1">
        <v>42559</v>
      </c>
      <c r="B921" s="2">
        <v>18.2</v>
      </c>
      <c r="C921" s="2">
        <v>18</v>
      </c>
      <c r="D921" s="2">
        <v>15.3</v>
      </c>
      <c r="E921" s="2">
        <v>18</v>
      </c>
      <c r="F921" s="2">
        <v>16</v>
      </c>
      <c r="G921" s="2">
        <v>17</v>
      </c>
      <c r="H921" s="2">
        <f>AVERAGE(weather.tbl[[#This Row],[Estevan]:[Kipling]])</f>
        <v>17.083333333333332</v>
      </c>
      <c r="I921" s="2">
        <f>_xlfn.STDEV.S(weather.tbl[[#This Row],[Estevan]:[Kipling]])</f>
        <v>1.207338671072316</v>
      </c>
      <c r="J921" s="2">
        <f t="shared" si="14"/>
        <v>18.138095238095236</v>
      </c>
      <c r="K921">
        <f>DAY(weather.tbl[[#This Row],[Date]])</f>
        <v>8</v>
      </c>
      <c r="L921">
        <f>MONTH(weather.tbl[[#This Row],[Date]])</f>
        <v>7</v>
      </c>
      <c r="M921">
        <f>YEAR(weather.tbl[[#This Row],[Date]])</f>
        <v>2016</v>
      </c>
    </row>
    <row r="922" spans="1:13" x14ac:dyDescent="0.25">
      <c r="A922" s="1">
        <v>42560</v>
      </c>
      <c r="B922" s="2">
        <v>20.6</v>
      </c>
      <c r="C922" s="2">
        <v>20.9</v>
      </c>
      <c r="D922" s="2">
        <v>19.8</v>
      </c>
      <c r="E922" s="2">
        <v>22.5</v>
      </c>
      <c r="F922" s="2">
        <v>19.899999999999999</v>
      </c>
      <c r="G922" s="2">
        <v>19.3</v>
      </c>
      <c r="H922" s="2">
        <f>AVERAGE(weather.tbl[[#This Row],[Estevan]:[Kipling]])</f>
        <v>20.499999999999996</v>
      </c>
      <c r="I922" s="2">
        <f>_xlfn.STDEV.S(weather.tbl[[#This Row],[Estevan]:[Kipling]])</f>
        <v>1.1366617790706255</v>
      </c>
      <c r="J922" s="2">
        <f t="shared" si="14"/>
        <v>18.369047619047617</v>
      </c>
      <c r="K922">
        <f>DAY(weather.tbl[[#This Row],[Date]])</f>
        <v>9</v>
      </c>
      <c r="L922">
        <f>MONTH(weather.tbl[[#This Row],[Date]])</f>
        <v>7</v>
      </c>
      <c r="M922">
        <f>YEAR(weather.tbl[[#This Row],[Date]])</f>
        <v>2016</v>
      </c>
    </row>
    <row r="923" spans="1:13" x14ac:dyDescent="0.25">
      <c r="A923" s="1">
        <v>42561</v>
      </c>
      <c r="B923" s="2">
        <v>20.8</v>
      </c>
      <c r="C923" s="2">
        <v>20</v>
      </c>
      <c r="D923" s="2">
        <v>21</v>
      </c>
      <c r="E923" s="2">
        <v>19.8</v>
      </c>
      <c r="F923" s="2">
        <v>22</v>
      </c>
      <c r="G923" s="2">
        <v>21.3</v>
      </c>
      <c r="H923" s="2">
        <f>AVERAGE(weather.tbl[[#This Row],[Estevan]:[Kipling]])</f>
        <v>20.816666666666666</v>
      </c>
      <c r="I923" s="2">
        <f>_xlfn.STDEV.S(weather.tbl[[#This Row],[Estevan]:[Kipling]])</f>
        <v>0.82077199432404269</v>
      </c>
      <c r="J923" s="2">
        <f t="shared" si="14"/>
        <v>18.373809523809523</v>
      </c>
      <c r="K923">
        <f>DAY(weather.tbl[[#This Row],[Date]])</f>
        <v>10</v>
      </c>
      <c r="L923">
        <f>MONTH(weather.tbl[[#This Row],[Date]])</f>
        <v>7</v>
      </c>
      <c r="M923">
        <f>YEAR(weather.tbl[[#This Row],[Date]])</f>
        <v>2016</v>
      </c>
    </row>
    <row r="924" spans="1:13" x14ac:dyDescent="0.25">
      <c r="A924" s="1">
        <v>42562</v>
      </c>
      <c r="B924" s="2">
        <v>18.5</v>
      </c>
      <c r="C924" s="2">
        <v>18.899999999999999</v>
      </c>
      <c r="D924" s="2">
        <v>20</v>
      </c>
      <c r="E924" s="2">
        <v>20</v>
      </c>
      <c r="F924" s="2">
        <v>20.6</v>
      </c>
      <c r="G924" s="2">
        <v>19.8</v>
      </c>
      <c r="H924" s="2">
        <f>AVERAGE(weather.tbl[[#This Row],[Estevan]:[Kipling]])</f>
        <v>19.633333333333333</v>
      </c>
      <c r="I924" s="2">
        <f>_xlfn.STDEV.S(weather.tbl[[#This Row],[Estevan]:[Kipling]])</f>
        <v>0.78145164064493944</v>
      </c>
      <c r="J924" s="2">
        <f t="shared" si="14"/>
        <v>18.471428571428568</v>
      </c>
      <c r="K924">
        <f>DAY(weather.tbl[[#This Row],[Date]])</f>
        <v>11</v>
      </c>
      <c r="L924">
        <f>MONTH(weather.tbl[[#This Row],[Date]])</f>
        <v>7</v>
      </c>
      <c r="M924">
        <f>YEAR(weather.tbl[[#This Row],[Date]])</f>
        <v>2016</v>
      </c>
    </row>
    <row r="925" spans="1:13" x14ac:dyDescent="0.25">
      <c r="A925" s="1">
        <v>42563</v>
      </c>
      <c r="B925" s="2">
        <v>16.8</v>
      </c>
      <c r="C925" s="2">
        <v>16.5</v>
      </c>
      <c r="D925" s="2">
        <v>16.8</v>
      </c>
      <c r="E925" s="2">
        <v>20</v>
      </c>
      <c r="F925" s="2">
        <v>18.600000000000001</v>
      </c>
      <c r="G925" s="2">
        <v>15.5</v>
      </c>
      <c r="H925" s="2">
        <f>AVERAGE(weather.tbl[[#This Row],[Estevan]:[Kipling]])</f>
        <v>17.366666666666664</v>
      </c>
      <c r="I925" s="2">
        <f>_xlfn.STDEV.S(weather.tbl[[#This Row],[Estevan]:[Kipling]])</f>
        <v>1.6329931618554521</v>
      </c>
      <c r="J925" s="2">
        <f t="shared" si="14"/>
        <v>18.421428571428574</v>
      </c>
      <c r="K925">
        <f>DAY(weather.tbl[[#This Row],[Date]])</f>
        <v>12</v>
      </c>
      <c r="L925">
        <f>MONTH(weather.tbl[[#This Row],[Date]])</f>
        <v>7</v>
      </c>
      <c r="M925">
        <f>YEAR(weather.tbl[[#This Row],[Date]])</f>
        <v>2016</v>
      </c>
    </row>
    <row r="926" spans="1:13" x14ac:dyDescent="0.25">
      <c r="A926" s="1">
        <v>42564</v>
      </c>
      <c r="B926" s="2">
        <v>16.899999999999999</v>
      </c>
      <c r="C926" s="2">
        <v>17.3</v>
      </c>
      <c r="D926" s="2">
        <v>18.3</v>
      </c>
      <c r="E926" s="2">
        <v>19</v>
      </c>
      <c r="F926" s="2">
        <v>16.899999999999999</v>
      </c>
      <c r="G926" s="2">
        <v>16.5</v>
      </c>
      <c r="H926" s="2">
        <f>AVERAGE(weather.tbl[[#This Row],[Estevan]:[Kipling]])</f>
        <v>17.483333333333334</v>
      </c>
      <c r="I926" s="2">
        <f>_xlfn.STDEV.S(weather.tbl[[#This Row],[Estevan]:[Kipling]])</f>
        <v>0.96419223532792853</v>
      </c>
      <c r="J926" s="2">
        <f t="shared" si="14"/>
        <v>18.523809523809522</v>
      </c>
      <c r="K926">
        <f>DAY(weather.tbl[[#This Row],[Date]])</f>
        <v>13</v>
      </c>
      <c r="L926">
        <f>MONTH(weather.tbl[[#This Row],[Date]])</f>
        <v>7</v>
      </c>
      <c r="M926">
        <f>YEAR(weather.tbl[[#This Row],[Date]])</f>
        <v>2016</v>
      </c>
    </row>
    <row r="927" spans="1:13" x14ac:dyDescent="0.25">
      <c r="A927" s="1">
        <v>42565</v>
      </c>
      <c r="B927" s="2">
        <v>16</v>
      </c>
      <c r="C927" s="2">
        <v>16</v>
      </c>
      <c r="D927" s="2">
        <v>16.8</v>
      </c>
      <c r="E927" s="2">
        <v>17.3</v>
      </c>
      <c r="F927" s="2">
        <v>18.2</v>
      </c>
      <c r="G927" s="2">
        <v>15.5</v>
      </c>
      <c r="H927" s="2">
        <f>AVERAGE(weather.tbl[[#This Row],[Estevan]:[Kipling]])</f>
        <v>16.633333333333333</v>
      </c>
      <c r="I927" s="2">
        <f>_xlfn.STDEV.S(weather.tbl[[#This Row],[Estevan]:[Kipling]])</f>
        <v>1.0013324456276578</v>
      </c>
      <c r="J927" s="2">
        <f t="shared" si="14"/>
        <v>18.50238095238095</v>
      </c>
      <c r="K927">
        <f>DAY(weather.tbl[[#This Row],[Date]])</f>
        <v>14</v>
      </c>
      <c r="L927">
        <f>MONTH(weather.tbl[[#This Row],[Date]])</f>
        <v>7</v>
      </c>
      <c r="M927">
        <f>YEAR(weather.tbl[[#This Row],[Date]])</f>
        <v>2016</v>
      </c>
    </row>
    <row r="928" spans="1:13" x14ac:dyDescent="0.25">
      <c r="A928" s="1">
        <v>42566</v>
      </c>
      <c r="B928" s="2">
        <v>16.899999999999999</v>
      </c>
      <c r="C928" s="2">
        <v>15.9</v>
      </c>
      <c r="D928" s="2">
        <v>16</v>
      </c>
      <c r="E928" s="2">
        <v>17</v>
      </c>
      <c r="F928" s="2">
        <v>17.7</v>
      </c>
      <c r="G928" s="2">
        <v>16.8</v>
      </c>
      <c r="H928" s="2">
        <f>AVERAGE(weather.tbl[[#This Row],[Estevan]:[Kipling]])</f>
        <v>16.716666666666665</v>
      </c>
      <c r="I928" s="2">
        <f>_xlfn.STDEV.S(weather.tbl[[#This Row],[Estevan]:[Kipling]])</f>
        <v>0.67354782062349972</v>
      </c>
      <c r="J928" s="2">
        <f t="shared" si="14"/>
        <v>18.45</v>
      </c>
      <c r="K928">
        <f>DAY(weather.tbl[[#This Row],[Date]])</f>
        <v>15</v>
      </c>
      <c r="L928">
        <f>MONTH(weather.tbl[[#This Row],[Date]])</f>
        <v>7</v>
      </c>
      <c r="M928">
        <f>YEAR(weather.tbl[[#This Row],[Date]])</f>
        <v>2016</v>
      </c>
    </row>
    <row r="929" spans="1:13" x14ac:dyDescent="0.25">
      <c r="A929" s="1">
        <v>42567</v>
      </c>
      <c r="B929" s="2">
        <v>17.8</v>
      </c>
      <c r="C929" s="2">
        <v>17.899999999999999</v>
      </c>
      <c r="D929" s="2">
        <v>16</v>
      </c>
      <c r="E929" s="2">
        <v>18</v>
      </c>
      <c r="F929" s="2">
        <v>16.2</v>
      </c>
      <c r="G929" s="2">
        <v>17.5</v>
      </c>
      <c r="H929" s="2">
        <f>AVERAGE(weather.tbl[[#This Row],[Estevan]:[Kipling]])</f>
        <v>17.233333333333334</v>
      </c>
      <c r="I929" s="2">
        <f>_xlfn.STDEV.S(weather.tbl[[#This Row],[Estevan]:[Kipling]])</f>
        <v>0.89591666279105819</v>
      </c>
      <c r="J929" s="2">
        <f t="shared" si="14"/>
        <v>17.983333333333334</v>
      </c>
      <c r="K929">
        <f>DAY(weather.tbl[[#This Row],[Date]])</f>
        <v>16</v>
      </c>
      <c r="L929">
        <f>MONTH(weather.tbl[[#This Row],[Date]])</f>
        <v>7</v>
      </c>
      <c r="M929">
        <f>YEAR(weather.tbl[[#This Row],[Date]])</f>
        <v>2016</v>
      </c>
    </row>
    <row r="930" spans="1:13" x14ac:dyDescent="0.25">
      <c r="A930" s="1">
        <v>42568</v>
      </c>
      <c r="B930" s="2">
        <v>19.3</v>
      </c>
      <c r="C930" s="2">
        <v>18.399999999999999</v>
      </c>
      <c r="D930" s="2">
        <v>19.3</v>
      </c>
      <c r="E930" s="2">
        <v>20</v>
      </c>
      <c r="F930" s="2">
        <v>18.8</v>
      </c>
      <c r="G930" s="2">
        <v>18.5</v>
      </c>
      <c r="H930" s="2">
        <f>AVERAGE(weather.tbl[[#This Row],[Estevan]:[Kipling]])</f>
        <v>19.05</v>
      </c>
      <c r="I930" s="2">
        <f>_xlfn.STDEV.S(weather.tbl[[#This Row],[Estevan]:[Kipling]])</f>
        <v>0.6024948132556831</v>
      </c>
      <c r="J930" s="2">
        <f t="shared" si="14"/>
        <v>17.730952380952381</v>
      </c>
      <c r="K930">
        <f>DAY(weather.tbl[[#This Row],[Date]])</f>
        <v>17</v>
      </c>
      <c r="L930">
        <f>MONTH(weather.tbl[[#This Row],[Date]])</f>
        <v>7</v>
      </c>
      <c r="M930">
        <f>YEAR(weather.tbl[[#This Row],[Date]])</f>
        <v>2016</v>
      </c>
    </row>
    <row r="931" spans="1:13" x14ac:dyDescent="0.25">
      <c r="A931" s="1">
        <v>42569</v>
      </c>
      <c r="B931" s="2">
        <v>20.6</v>
      </c>
      <c r="C931" s="2">
        <v>19.600000000000001</v>
      </c>
      <c r="D931" s="2">
        <v>18.3</v>
      </c>
      <c r="E931" s="2">
        <v>20.8</v>
      </c>
      <c r="F931" s="2">
        <v>19</v>
      </c>
      <c r="G931" s="2">
        <v>19.5</v>
      </c>
      <c r="H931" s="2">
        <f>AVERAGE(weather.tbl[[#This Row],[Estevan]:[Kipling]])</f>
        <v>19.633333333333333</v>
      </c>
      <c r="I931" s="2">
        <f>_xlfn.STDEV.S(weather.tbl[[#This Row],[Estevan]:[Kipling]])</f>
        <v>0.94798030921885035</v>
      </c>
      <c r="J931" s="2">
        <f t="shared" si="14"/>
        <v>17.730952380952377</v>
      </c>
      <c r="K931">
        <f>DAY(weather.tbl[[#This Row],[Date]])</f>
        <v>18</v>
      </c>
      <c r="L931">
        <f>MONTH(weather.tbl[[#This Row],[Date]])</f>
        <v>7</v>
      </c>
      <c r="M931">
        <f>YEAR(weather.tbl[[#This Row],[Date]])</f>
        <v>2016</v>
      </c>
    </row>
    <row r="932" spans="1:13" x14ac:dyDescent="0.25">
      <c r="A932" s="1">
        <v>42570</v>
      </c>
      <c r="B932" s="2">
        <v>24.3</v>
      </c>
      <c r="C932" s="2">
        <v>24.7</v>
      </c>
      <c r="D932" s="2">
        <v>23.3</v>
      </c>
      <c r="E932" s="2">
        <v>25</v>
      </c>
      <c r="F932" s="2">
        <v>23.8</v>
      </c>
      <c r="G932" s="2">
        <v>22.5</v>
      </c>
      <c r="H932" s="2">
        <f>AVERAGE(weather.tbl[[#This Row],[Estevan]:[Kipling]])</f>
        <v>23.933333333333334</v>
      </c>
      <c r="I932" s="2">
        <f>_xlfn.STDEV.S(weather.tbl[[#This Row],[Estevan]:[Kipling]])</f>
        <v>0.93094933625126264</v>
      </c>
      <c r="J932" s="2">
        <f t="shared" si="14"/>
        <v>18.669047619047621</v>
      </c>
      <c r="K932">
        <f>DAY(weather.tbl[[#This Row],[Date]])</f>
        <v>19</v>
      </c>
      <c r="L932">
        <f>MONTH(weather.tbl[[#This Row],[Date]])</f>
        <v>7</v>
      </c>
      <c r="M932">
        <f>YEAR(weather.tbl[[#This Row],[Date]])</f>
        <v>2016</v>
      </c>
    </row>
    <row r="933" spans="1:13" x14ac:dyDescent="0.25">
      <c r="A933" s="1">
        <v>42571</v>
      </c>
      <c r="B933" s="2">
        <v>24.3</v>
      </c>
      <c r="C933" s="2">
        <v>23</v>
      </c>
      <c r="D933" s="2">
        <v>26</v>
      </c>
      <c r="E933" s="2">
        <v>23.3</v>
      </c>
      <c r="F933" s="2">
        <v>25.1</v>
      </c>
      <c r="G933" s="2">
        <v>23.3</v>
      </c>
      <c r="H933" s="2">
        <f>AVERAGE(weather.tbl[[#This Row],[Estevan]:[Kipling]])</f>
        <v>24.166666666666668</v>
      </c>
      <c r="I933" s="2">
        <f>_xlfn.STDEV.S(weather.tbl[[#This Row],[Estevan]:[Kipling]])</f>
        <v>1.1927559124425529</v>
      </c>
      <c r="J933" s="2">
        <f t="shared" si="14"/>
        <v>19.62380952380952</v>
      </c>
      <c r="K933">
        <f>DAY(weather.tbl[[#This Row],[Date]])</f>
        <v>20</v>
      </c>
      <c r="L933">
        <f>MONTH(weather.tbl[[#This Row],[Date]])</f>
        <v>7</v>
      </c>
      <c r="M933">
        <f>YEAR(weather.tbl[[#This Row],[Date]])</f>
        <v>2016</v>
      </c>
    </row>
    <row r="934" spans="1:13" x14ac:dyDescent="0.25">
      <c r="A934" s="1">
        <v>42572</v>
      </c>
      <c r="B934" s="2">
        <v>22.3</v>
      </c>
      <c r="C934" s="2">
        <v>20.8</v>
      </c>
      <c r="D934" s="2">
        <v>22</v>
      </c>
      <c r="E934" s="2">
        <v>21.5</v>
      </c>
      <c r="F934" s="2">
        <v>23.2</v>
      </c>
      <c r="G934" s="2">
        <v>20.8</v>
      </c>
      <c r="H934" s="2">
        <f>AVERAGE(weather.tbl[[#This Row],[Estevan]:[Kipling]])</f>
        <v>21.766666666666666</v>
      </c>
      <c r="I934" s="2">
        <f>_xlfn.STDEV.S(weather.tbl[[#This Row],[Estevan]:[Kipling]])</f>
        <v>0.9309493362512623</v>
      </c>
      <c r="J934" s="2">
        <f t="shared" si="14"/>
        <v>20.357142857142858</v>
      </c>
      <c r="K934">
        <f>DAY(weather.tbl[[#This Row],[Date]])</f>
        <v>21</v>
      </c>
      <c r="L934">
        <f>MONTH(weather.tbl[[#This Row],[Date]])</f>
        <v>7</v>
      </c>
      <c r="M934">
        <f>YEAR(weather.tbl[[#This Row],[Date]])</f>
        <v>2016</v>
      </c>
    </row>
    <row r="935" spans="1:13" x14ac:dyDescent="0.25">
      <c r="A935" s="1">
        <v>42573</v>
      </c>
      <c r="B935" s="2">
        <v>21.2</v>
      </c>
      <c r="C935" s="2">
        <v>20.399999999999999</v>
      </c>
      <c r="D935" s="2">
        <v>19.8</v>
      </c>
      <c r="E935" s="2">
        <v>21.5</v>
      </c>
      <c r="F935" s="2">
        <v>20.7</v>
      </c>
      <c r="G935" s="2">
        <v>20</v>
      </c>
      <c r="H935" s="2">
        <f>AVERAGE(weather.tbl[[#This Row],[Estevan]:[Kipling]])</f>
        <v>20.599999999999998</v>
      </c>
      <c r="I935" s="2">
        <f>_xlfn.STDEV.S(weather.tbl[[#This Row],[Estevan]:[Kipling]])</f>
        <v>0.66633324995830701</v>
      </c>
      <c r="J935" s="2">
        <f t="shared" si="14"/>
        <v>20.911904761904761</v>
      </c>
      <c r="K935">
        <f>DAY(weather.tbl[[#This Row],[Date]])</f>
        <v>22</v>
      </c>
      <c r="L935">
        <f>MONTH(weather.tbl[[#This Row],[Date]])</f>
        <v>7</v>
      </c>
      <c r="M935">
        <f>YEAR(weather.tbl[[#This Row],[Date]])</f>
        <v>2016</v>
      </c>
    </row>
    <row r="936" spans="1:13" x14ac:dyDescent="0.25">
      <c r="A936" s="1">
        <v>42574</v>
      </c>
      <c r="B936" s="2">
        <v>20.7</v>
      </c>
      <c r="C936" s="2">
        <v>19.899999999999999</v>
      </c>
      <c r="D936" s="2">
        <v>19.8</v>
      </c>
      <c r="E936" s="2">
        <v>21.3</v>
      </c>
      <c r="F936" s="2">
        <v>21.8</v>
      </c>
      <c r="G936" s="2">
        <v>20.5</v>
      </c>
      <c r="H936" s="2">
        <f>AVERAGE(weather.tbl[[#This Row],[Estevan]:[Kipling]])</f>
        <v>20.666666666666664</v>
      </c>
      <c r="I936" s="2">
        <f>_xlfn.STDEV.S(weather.tbl[[#This Row],[Estevan]:[Kipling]])</f>
        <v>0.78145164064493922</v>
      </c>
      <c r="J936" s="2">
        <f t="shared" si="14"/>
        <v>21.402380952380952</v>
      </c>
      <c r="K936">
        <f>DAY(weather.tbl[[#This Row],[Date]])</f>
        <v>23</v>
      </c>
      <c r="L936">
        <f>MONTH(weather.tbl[[#This Row],[Date]])</f>
        <v>7</v>
      </c>
      <c r="M936">
        <f>YEAR(weather.tbl[[#This Row],[Date]])</f>
        <v>2016</v>
      </c>
    </row>
    <row r="937" spans="1:13" x14ac:dyDescent="0.25">
      <c r="A937" s="1">
        <v>42575</v>
      </c>
      <c r="B937" s="2">
        <v>20</v>
      </c>
      <c r="C937" s="2">
        <v>19.2</v>
      </c>
      <c r="D937" s="2">
        <v>18.8</v>
      </c>
      <c r="E937" s="2">
        <v>20.8</v>
      </c>
      <c r="F937" s="2">
        <v>19.8</v>
      </c>
      <c r="G937" s="2">
        <v>18.3</v>
      </c>
      <c r="H937" s="2">
        <f>AVERAGE(weather.tbl[[#This Row],[Estevan]:[Kipling]])</f>
        <v>19.483333333333331</v>
      </c>
      <c r="I937" s="2">
        <f>_xlfn.STDEV.S(weather.tbl[[#This Row],[Estevan]:[Kipling]])</f>
        <v>0.89981479575891976</v>
      </c>
      <c r="J937" s="2">
        <f t="shared" si="14"/>
        <v>21.464285714285712</v>
      </c>
      <c r="K937">
        <f>DAY(weather.tbl[[#This Row],[Date]])</f>
        <v>24</v>
      </c>
      <c r="L937">
        <f>MONTH(weather.tbl[[#This Row],[Date]])</f>
        <v>7</v>
      </c>
      <c r="M937">
        <f>YEAR(weather.tbl[[#This Row],[Date]])</f>
        <v>2016</v>
      </c>
    </row>
    <row r="938" spans="1:13" x14ac:dyDescent="0.25">
      <c r="A938" s="1">
        <v>42576</v>
      </c>
      <c r="B938" s="2">
        <v>21.9</v>
      </c>
      <c r="C938" s="2">
        <v>21.6</v>
      </c>
      <c r="D938" s="2">
        <v>20</v>
      </c>
      <c r="E938" s="2">
        <v>21.8</v>
      </c>
      <c r="F938" s="2">
        <v>20.399999999999999</v>
      </c>
      <c r="G938" s="2">
        <v>19.8</v>
      </c>
      <c r="H938" s="2">
        <f>AVERAGE(weather.tbl[[#This Row],[Estevan]:[Kipling]])</f>
        <v>20.916666666666664</v>
      </c>
      <c r="I938" s="2">
        <f>_xlfn.STDEV.S(weather.tbl[[#This Row],[Estevan]:[Kipling]])</f>
        <v>0.95585912490631531</v>
      </c>
      <c r="J938" s="2">
        <f t="shared" si="14"/>
        <v>21.647619047619042</v>
      </c>
      <c r="K938">
        <f>DAY(weather.tbl[[#This Row],[Date]])</f>
        <v>25</v>
      </c>
      <c r="L938">
        <f>MONTH(weather.tbl[[#This Row],[Date]])</f>
        <v>7</v>
      </c>
      <c r="M938">
        <f>YEAR(weather.tbl[[#This Row],[Date]])</f>
        <v>2016</v>
      </c>
    </row>
    <row r="939" spans="1:13" x14ac:dyDescent="0.25">
      <c r="A939" s="1">
        <v>42577</v>
      </c>
      <c r="B939" s="2">
        <v>20.399999999999999</v>
      </c>
      <c r="C939" s="2">
        <v>19.3</v>
      </c>
      <c r="D939" s="2">
        <v>20</v>
      </c>
      <c r="E939" s="2">
        <v>19</v>
      </c>
      <c r="F939" s="2">
        <v>20.8</v>
      </c>
      <c r="G939" s="2">
        <v>18.5</v>
      </c>
      <c r="H939" s="2">
        <f>AVERAGE(weather.tbl[[#This Row],[Estevan]:[Kipling]])</f>
        <v>19.666666666666668</v>
      </c>
      <c r="I939" s="2">
        <f>_xlfn.STDEV.S(weather.tbl[[#This Row],[Estevan]:[Kipling]])</f>
        <v>0.88015150211010063</v>
      </c>
      <c r="J939" s="2">
        <f t="shared" si="14"/>
        <v>21.038095238095234</v>
      </c>
      <c r="K939">
        <f>DAY(weather.tbl[[#This Row],[Date]])</f>
        <v>26</v>
      </c>
      <c r="L939">
        <f>MONTH(weather.tbl[[#This Row],[Date]])</f>
        <v>7</v>
      </c>
      <c r="M939">
        <f>YEAR(weather.tbl[[#This Row],[Date]])</f>
        <v>2016</v>
      </c>
    </row>
    <row r="940" spans="1:13" x14ac:dyDescent="0.25">
      <c r="A940" s="1">
        <v>42578</v>
      </c>
      <c r="B940" s="2">
        <v>18.399999999999999</v>
      </c>
      <c r="C940" s="2">
        <v>18.399999999999999</v>
      </c>
      <c r="D940" s="2">
        <v>17.5</v>
      </c>
      <c r="E940" s="2">
        <v>18.3</v>
      </c>
      <c r="F940" s="2">
        <v>18.600000000000001</v>
      </c>
      <c r="G940" s="2">
        <v>17.3</v>
      </c>
      <c r="H940" s="2">
        <f>AVERAGE(weather.tbl[[#This Row],[Estevan]:[Kipling]])</f>
        <v>18.083333333333332</v>
      </c>
      <c r="I940" s="2">
        <f>_xlfn.STDEV.S(weather.tbl[[#This Row],[Estevan]:[Kipling]])</f>
        <v>0.54191020166321513</v>
      </c>
      <c r="J940" s="2">
        <f t="shared" si="14"/>
        <v>20.169047619047614</v>
      </c>
      <c r="K940">
        <f>DAY(weather.tbl[[#This Row],[Date]])</f>
        <v>27</v>
      </c>
      <c r="L940">
        <f>MONTH(weather.tbl[[#This Row],[Date]])</f>
        <v>7</v>
      </c>
      <c r="M940">
        <f>YEAR(weather.tbl[[#This Row],[Date]])</f>
        <v>2016</v>
      </c>
    </row>
    <row r="941" spans="1:13" x14ac:dyDescent="0.25">
      <c r="A941" s="1">
        <v>42579</v>
      </c>
      <c r="B941" s="2">
        <v>17.8</v>
      </c>
      <c r="C941" s="2">
        <v>18.3</v>
      </c>
      <c r="D941" s="2">
        <v>16.5</v>
      </c>
      <c r="E941" s="2">
        <v>19</v>
      </c>
      <c r="F941" s="2">
        <v>15.8</v>
      </c>
      <c r="G941" s="2">
        <v>17</v>
      </c>
      <c r="H941" s="2">
        <f>AVERAGE(weather.tbl[[#This Row],[Estevan]:[Kipling]])</f>
        <v>17.399999999999999</v>
      </c>
      <c r="I941" s="2">
        <f>_xlfn.STDEV.S(weather.tbl[[#This Row],[Estevan]:[Kipling]])</f>
        <v>1.1882760622010358</v>
      </c>
      <c r="J941" s="2">
        <f t="shared" si="14"/>
        <v>19.545238095238094</v>
      </c>
      <c r="K941">
        <f>DAY(weather.tbl[[#This Row],[Date]])</f>
        <v>28</v>
      </c>
      <c r="L941">
        <f>MONTH(weather.tbl[[#This Row],[Date]])</f>
        <v>7</v>
      </c>
      <c r="M941">
        <f>YEAR(weather.tbl[[#This Row],[Date]])</f>
        <v>2016</v>
      </c>
    </row>
    <row r="942" spans="1:13" x14ac:dyDescent="0.25">
      <c r="A942" s="1">
        <v>42580</v>
      </c>
      <c r="B942" s="2">
        <v>18.100000000000001</v>
      </c>
      <c r="C942" s="2">
        <v>18.600000000000001</v>
      </c>
      <c r="D942" s="2">
        <v>16.5</v>
      </c>
      <c r="E942" s="2">
        <v>18.5</v>
      </c>
      <c r="F942" s="2">
        <v>17.899999999999999</v>
      </c>
      <c r="G942" s="2">
        <v>17.8</v>
      </c>
      <c r="H942" s="2">
        <f>AVERAGE(weather.tbl[[#This Row],[Estevan]:[Kipling]])</f>
        <v>17.899999999999999</v>
      </c>
      <c r="I942" s="2">
        <f>_xlfn.STDEV.S(weather.tbl[[#This Row],[Estevan]:[Kipling]])</f>
        <v>0.75630681604756178</v>
      </c>
      <c r="J942" s="2">
        <f t="shared" si="14"/>
        <v>19.159523809523808</v>
      </c>
      <c r="K942">
        <f>DAY(weather.tbl[[#This Row],[Date]])</f>
        <v>29</v>
      </c>
      <c r="L942">
        <f>MONTH(weather.tbl[[#This Row],[Date]])</f>
        <v>7</v>
      </c>
      <c r="M942">
        <f>YEAR(weather.tbl[[#This Row],[Date]])</f>
        <v>2016</v>
      </c>
    </row>
    <row r="943" spans="1:13" x14ac:dyDescent="0.25">
      <c r="A943" s="1">
        <v>42581</v>
      </c>
      <c r="B943" s="2">
        <v>20.8</v>
      </c>
      <c r="C943" s="2">
        <v>21.1</v>
      </c>
      <c r="D943" s="2">
        <v>16.5</v>
      </c>
      <c r="E943" s="2">
        <v>22</v>
      </c>
      <c r="F943" s="2">
        <v>21.7</v>
      </c>
      <c r="G943" s="2">
        <v>20.3</v>
      </c>
      <c r="H943" s="2">
        <f>AVERAGE(weather.tbl[[#This Row],[Estevan]:[Kipling]])</f>
        <v>20.400000000000002</v>
      </c>
      <c r="I943" s="2">
        <f>_xlfn.STDEV.S(weather.tbl[[#This Row],[Estevan]:[Kipling]])</f>
        <v>2.0059910268991734</v>
      </c>
      <c r="J943" s="2">
        <f t="shared" si="14"/>
        <v>19.12142857142857</v>
      </c>
      <c r="K943">
        <f>DAY(weather.tbl[[#This Row],[Date]])</f>
        <v>30</v>
      </c>
      <c r="L943">
        <f>MONTH(weather.tbl[[#This Row],[Date]])</f>
        <v>7</v>
      </c>
      <c r="M943">
        <f>YEAR(weather.tbl[[#This Row],[Date]])</f>
        <v>2016</v>
      </c>
    </row>
    <row r="944" spans="1:13" x14ac:dyDescent="0.25">
      <c r="A944" s="1">
        <v>42582</v>
      </c>
      <c r="B944" s="2">
        <v>24.2</v>
      </c>
      <c r="C944" s="2">
        <v>24.7</v>
      </c>
      <c r="D944" s="2">
        <v>16.5</v>
      </c>
      <c r="E944" s="2">
        <v>24.5</v>
      </c>
      <c r="F944" s="2">
        <v>23.9</v>
      </c>
      <c r="G944" s="2">
        <v>22.5</v>
      </c>
      <c r="H944" s="2">
        <f>AVERAGE(weather.tbl[[#This Row],[Estevan]:[Kipling]])</f>
        <v>22.716666666666669</v>
      </c>
      <c r="I944" s="2">
        <f>_xlfn.STDEV.S(weather.tbl[[#This Row],[Estevan]:[Kipling]])</f>
        <v>3.1435118365717298</v>
      </c>
      <c r="J944" s="2">
        <f t="shared" si="14"/>
        <v>19.583333333333336</v>
      </c>
      <c r="K944">
        <f>DAY(weather.tbl[[#This Row],[Date]])</f>
        <v>31</v>
      </c>
      <c r="L944">
        <f>MONTH(weather.tbl[[#This Row],[Date]])</f>
        <v>7</v>
      </c>
      <c r="M944">
        <f>YEAR(weather.tbl[[#This Row],[Date]])</f>
        <v>2016</v>
      </c>
    </row>
    <row r="945" spans="1:13" x14ac:dyDescent="0.25">
      <c r="A945" s="1">
        <v>42583</v>
      </c>
      <c r="B945" s="2">
        <v>21.1</v>
      </c>
      <c r="C945" s="2">
        <v>18.8</v>
      </c>
      <c r="D945" s="2">
        <v>21.8</v>
      </c>
      <c r="E945" s="2">
        <v>19.5</v>
      </c>
      <c r="F945" s="2">
        <v>21.5</v>
      </c>
      <c r="G945" s="2">
        <v>18.8</v>
      </c>
      <c r="H945" s="2">
        <f>AVERAGE(weather.tbl[[#This Row],[Estevan]:[Kipling]])</f>
        <v>20.25</v>
      </c>
      <c r="I945" s="2">
        <f>_xlfn.STDEV.S(weather.tbl[[#This Row],[Estevan]:[Kipling]])</f>
        <v>1.3751363568752009</v>
      </c>
      <c r="J945" s="2">
        <f t="shared" si="14"/>
        <v>19.488095238095241</v>
      </c>
      <c r="K945">
        <f>DAY(weather.tbl[[#This Row],[Date]])</f>
        <v>1</v>
      </c>
      <c r="L945">
        <f>MONTH(weather.tbl[[#This Row],[Date]])</f>
        <v>8</v>
      </c>
      <c r="M945">
        <f>YEAR(weather.tbl[[#This Row],[Date]])</f>
        <v>2016</v>
      </c>
    </row>
    <row r="946" spans="1:13" x14ac:dyDescent="0.25">
      <c r="A946" s="1">
        <v>42584</v>
      </c>
      <c r="B946" s="2">
        <v>20.5</v>
      </c>
      <c r="C946" s="2">
        <v>19.899999999999999</v>
      </c>
      <c r="D946" s="2">
        <v>19.8</v>
      </c>
      <c r="E946" s="2">
        <v>22</v>
      </c>
      <c r="F946" s="2">
        <v>20.7</v>
      </c>
      <c r="G946" s="2">
        <v>18.3</v>
      </c>
      <c r="H946" s="2">
        <f>AVERAGE(weather.tbl[[#This Row],[Estevan]:[Kipling]])</f>
        <v>20.2</v>
      </c>
      <c r="I946" s="2">
        <f>_xlfn.STDEV.S(weather.tbl[[#This Row],[Estevan]:[Kipling]])</f>
        <v>1.2198360545581521</v>
      </c>
      <c r="J946" s="2">
        <f t="shared" si="14"/>
        <v>19.564285714285713</v>
      </c>
      <c r="K946">
        <f>DAY(weather.tbl[[#This Row],[Date]])</f>
        <v>2</v>
      </c>
      <c r="L946">
        <f>MONTH(weather.tbl[[#This Row],[Date]])</f>
        <v>8</v>
      </c>
      <c r="M946">
        <f>YEAR(weather.tbl[[#This Row],[Date]])</f>
        <v>2016</v>
      </c>
    </row>
    <row r="947" spans="1:13" x14ac:dyDescent="0.25">
      <c r="A947" s="1">
        <v>42585</v>
      </c>
      <c r="B947" s="2">
        <v>22.9</v>
      </c>
      <c r="C947" s="2">
        <v>22.1</v>
      </c>
      <c r="D947" s="2">
        <v>23.3</v>
      </c>
      <c r="E947" s="2">
        <v>22</v>
      </c>
      <c r="F947" s="2">
        <v>22.5</v>
      </c>
      <c r="G947" s="2">
        <v>21.5</v>
      </c>
      <c r="H947" s="2">
        <f>AVERAGE(weather.tbl[[#This Row],[Estevan]:[Kipling]])</f>
        <v>22.383333333333336</v>
      </c>
      <c r="I947" s="2">
        <f>_xlfn.STDEV.S(weather.tbl[[#This Row],[Estevan]:[Kipling]])</f>
        <v>0.65243135015621867</v>
      </c>
      <c r="J947" s="2">
        <f t="shared" si="14"/>
        <v>20.178571428571427</v>
      </c>
      <c r="K947">
        <f>DAY(weather.tbl[[#This Row],[Date]])</f>
        <v>3</v>
      </c>
      <c r="L947">
        <f>MONTH(weather.tbl[[#This Row],[Date]])</f>
        <v>8</v>
      </c>
      <c r="M947">
        <f>YEAR(weather.tbl[[#This Row],[Date]])</f>
        <v>2016</v>
      </c>
    </row>
    <row r="948" spans="1:13" x14ac:dyDescent="0.25">
      <c r="A948" s="1">
        <v>42586</v>
      </c>
      <c r="B948" s="2">
        <v>17.899999999999999</v>
      </c>
      <c r="C948" s="2">
        <v>17.899999999999999</v>
      </c>
      <c r="D948" s="2">
        <v>17.8</v>
      </c>
      <c r="E948" s="2">
        <v>19</v>
      </c>
      <c r="F948" s="2">
        <v>17.899999999999999</v>
      </c>
      <c r="G948" s="2">
        <v>16.3</v>
      </c>
      <c r="H948" s="2">
        <f>AVERAGE(weather.tbl[[#This Row],[Estevan]:[Kipling]])</f>
        <v>17.8</v>
      </c>
      <c r="I948" s="2">
        <f>_xlfn.STDEV.S(weather.tbl[[#This Row],[Estevan]:[Kipling]])</f>
        <v>0.86255434611391268</v>
      </c>
      <c r="J948" s="2">
        <f t="shared" si="14"/>
        <v>20.235714285714288</v>
      </c>
      <c r="K948">
        <f>DAY(weather.tbl[[#This Row],[Date]])</f>
        <v>4</v>
      </c>
      <c r="L948">
        <f>MONTH(weather.tbl[[#This Row],[Date]])</f>
        <v>8</v>
      </c>
      <c r="M948">
        <f>YEAR(weather.tbl[[#This Row],[Date]])</f>
        <v>2016</v>
      </c>
    </row>
    <row r="949" spans="1:13" x14ac:dyDescent="0.25">
      <c r="A949" s="1">
        <v>42587</v>
      </c>
      <c r="B949" s="2">
        <v>18.600000000000001</v>
      </c>
      <c r="C949" s="2">
        <v>18.7</v>
      </c>
      <c r="D949" s="2">
        <v>18</v>
      </c>
      <c r="E949" s="2">
        <v>19.8</v>
      </c>
      <c r="F949" s="2">
        <v>17.7</v>
      </c>
      <c r="G949" s="2">
        <v>17.3</v>
      </c>
      <c r="H949" s="2">
        <f>AVERAGE(weather.tbl[[#This Row],[Estevan]:[Kipling]])</f>
        <v>18.349999999999998</v>
      </c>
      <c r="I949" s="2">
        <f>_xlfn.STDEV.S(weather.tbl[[#This Row],[Estevan]:[Kipling]])</f>
        <v>0.8871302046486752</v>
      </c>
      <c r="J949" s="2">
        <f t="shared" si="14"/>
        <v>20.300000000000004</v>
      </c>
      <c r="K949">
        <f>DAY(weather.tbl[[#This Row],[Date]])</f>
        <v>5</v>
      </c>
      <c r="L949">
        <f>MONTH(weather.tbl[[#This Row],[Date]])</f>
        <v>8</v>
      </c>
      <c r="M949">
        <f>YEAR(weather.tbl[[#This Row],[Date]])</f>
        <v>2016</v>
      </c>
    </row>
    <row r="950" spans="1:13" x14ac:dyDescent="0.25">
      <c r="A950" s="1">
        <v>42588</v>
      </c>
      <c r="B950" s="2">
        <v>19.899999999999999</v>
      </c>
      <c r="C950" s="2">
        <v>19.899999999999999</v>
      </c>
      <c r="D950" s="2">
        <v>18</v>
      </c>
      <c r="E950" s="2">
        <v>20.3</v>
      </c>
      <c r="F950" s="2">
        <v>17.3</v>
      </c>
      <c r="G950" s="2">
        <v>17.8</v>
      </c>
      <c r="H950" s="2">
        <f>AVERAGE(weather.tbl[[#This Row],[Estevan]:[Kipling]])</f>
        <v>18.866666666666664</v>
      </c>
      <c r="I950" s="2">
        <f>_xlfn.STDEV.S(weather.tbl[[#This Row],[Estevan]:[Kipling]])</f>
        <v>1.3063945294843609</v>
      </c>
      <c r="J950" s="2">
        <f t="shared" si="14"/>
        <v>20.080952380952379</v>
      </c>
      <c r="K950">
        <f>DAY(weather.tbl[[#This Row],[Date]])</f>
        <v>6</v>
      </c>
      <c r="L950">
        <f>MONTH(weather.tbl[[#This Row],[Date]])</f>
        <v>8</v>
      </c>
      <c r="M950">
        <f>YEAR(weather.tbl[[#This Row],[Date]])</f>
        <v>2016</v>
      </c>
    </row>
    <row r="951" spans="1:13" x14ac:dyDescent="0.25">
      <c r="A951" s="1">
        <v>42589</v>
      </c>
      <c r="B951" s="2">
        <v>23.4</v>
      </c>
      <c r="C951" s="2">
        <v>24</v>
      </c>
      <c r="D951" s="2">
        <v>21.8</v>
      </c>
      <c r="E951" s="2">
        <v>24</v>
      </c>
      <c r="F951" s="2">
        <v>21.6</v>
      </c>
      <c r="G951" s="2">
        <v>19.8</v>
      </c>
      <c r="H951" s="2">
        <f>AVERAGE(weather.tbl[[#This Row],[Estevan]:[Kipling]])</f>
        <v>22.433333333333337</v>
      </c>
      <c r="I951" s="2">
        <f>_xlfn.STDEV.S(weather.tbl[[#This Row],[Estevan]:[Kipling]])</f>
        <v>1.6657330718535504</v>
      </c>
      <c r="J951" s="2">
        <f t="shared" si="14"/>
        <v>20.040476190476191</v>
      </c>
      <c r="K951">
        <f>DAY(weather.tbl[[#This Row],[Date]])</f>
        <v>7</v>
      </c>
      <c r="L951">
        <f>MONTH(weather.tbl[[#This Row],[Date]])</f>
        <v>8</v>
      </c>
      <c r="M951">
        <f>YEAR(weather.tbl[[#This Row],[Date]])</f>
        <v>2016</v>
      </c>
    </row>
    <row r="952" spans="1:13" x14ac:dyDescent="0.25">
      <c r="A952" s="1">
        <v>42590</v>
      </c>
      <c r="B952" s="2">
        <v>22</v>
      </c>
      <c r="C952" s="2">
        <v>20.5</v>
      </c>
      <c r="D952" s="2">
        <v>23</v>
      </c>
      <c r="E952" s="2">
        <v>22</v>
      </c>
      <c r="F952" s="2">
        <v>23.4</v>
      </c>
      <c r="G952" s="2">
        <v>22.3</v>
      </c>
      <c r="H952" s="2">
        <f>AVERAGE(weather.tbl[[#This Row],[Estevan]:[Kipling]])</f>
        <v>22.200000000000003</v>
      </c>
      <c r="I952" s="2">
        <f>_xlfn.STDEV.S(weather.tbl[[#This Row],[Estevan]:[Kipling]])</f>
        <v>1.005982107196743</v>
      </c>
      <c r="J952" s="2">
        <f t="shared" si="14"/>
        <v>20.31904761904762</v>
      </c>
      <c r="K952">
        <f>DAY(weather.tbl[[#This Row],[Date]])</f>
        <v>8</v>
      </c>
      <c r="L952">
        <f>MONTH(weather.tbl[[#This Row],[Date]])</f>
        <v>8</v>
      </c>
      <c r="M952">
        <f>YEAR(weather.tbl[[#This Row],[Date]])</f>
        <v>2016</v>
      </c>
    </row>
    <row r="953" spans="1:13" x14ac:dyDescent="0.25">
      <c r="A953" s="1">
        <v>42591</v>
      </c>
      <c r="B953" s="2">
        <v>19.100000000000001</v>
      </c>
      <c r="C953" s="2">
        <v>19.399999999999999</v>
      </c>
      <c r="D953" s="2">
        <v>18.5</v>
      </c>
      <c r="E953" s="2">
        <v>20</v>
      </c>
      <c r="F953" s="2">
        <v>18.7</v>
      </c>
      <c r="G953" s="2">
        <v>18.3</v>
      </c>
      <c r="H953" s="2">
        <f>AVERAGE(weather.tbl[[#This Row],[Estevan]:[Kipling]])</f>
        <v>19</v>
      </c>
      <c r="I953" s="2">
        <f>_xlfn.STDEV.S(weather.tbl[[#This Row],[Estevan]:[Kipling]])</f>
        <v>0.63245553203367566</v>
      </c>
      <c r="J953" s="2">
        <f t="shared" si="14"/>
        <v>20.147619047619049</v>
      </c>
      <c r="K953">
        <f>DAY(weather.tbl[[#This Row],[Date]])</f>
        <v>9</v>
      </c>
      <c r="L953">
        <f>MONTH(weather.tbl[[#This Row],[Date]])</f>
        <v>8</v>
      </c>
      <c r="M953">
        <f>YEAR(weather.tbl[[#This Row],[Date]])</f>
        <v>2016</v>
      </c>
    </row>
    <row r="954" spans="1:13" x14ac:dyDescent="0.25">
      <c r="A954" s="1">
        <v>42592</v>
      </c>
      <c r="B954" s="2">
        <v>19</v>
      </c>
      <c r="C954" s="2">
        <v>18</v>
      </c>
      <c r="D954" s="2">
        <v>18.3</v>
      </c>
      <c r="E954" s="2">
        <v>16.5</v>
      </c>
      <c r="F954" s="2">
        <v>19.600000000000001</v>
      </c>
      <c r="G954" s="2">
        <v>15</v>
      </c>
      <c r="H954" s="2">
        <f>AVERAGE(weather.tbl[[#This Row],[Estevan]:[Kipling]])</f>
        <v>17.733333333333334</v>
      </c>
      <c r="I954" s="2">
        <f>_xlfn.STDEV.S(weather.tbl[[#This Row],[Estevan]:[Kipling]])</f>
        <v>1.7013719953809832</v>
      </c>
      <c r="J954" s="2">
        <f t="shared" si="14"/>
        <v>19.483333333333331</v>
      </c>
      <c r="K954">
        <f>DAY(weather.tbl[[#This Row],[Date]])</f>
        <v>10</v>
      </c>
      <c r="L954">
        <f>MONTH(weather.tbl[[#This Row],[Date]])</f>
        <v>8</v>
      </c>
      <c r="M954">
        <f>YEAR(weather.tbl[[#This Row],[Date]])</f>
        <v>2016</v>
      </c>
    </row>
    <row r="955" spans="1:13" x14ac:dyDescent="0.25">
      <c r="A955" s="1">
        <v>42593</v>
      </c>
      <c r="B955" s="2">
        <v>18.7</v>
      </c>
      <c r="C955" s="2">
        <v>18.100000000000001</v>
      </c>
      <c r="D955" s="2">
        <v>19.8</v>
      </c>
      <c r="E955" s="2">
        <v>18</v>
      </c>
      <c r="F955" s="2">
        <v>20</v>
      </c>
      <c r="G955" s="2">
        <v>17.5</v>
      </c>
      <c r="H955" s="2">
        <f>AVERAGE(weather.tbl[[#This Row],[Estevan]:[Kipling]])</f>
        <v>18.683333333333334</v>
      </c>
      <c r="I955" s="2">
        <f>_xlfn.STDEV.S(weather.tbl[[#This Row],[Estevan]:[Kipling]])</f>
        <v>1.0186592495366971</v>
      </c>
      <c r="J955" s="2">
        <f t="shared" si="14"/>
        <v>19.609523809523807</v>
      </c>
      <c r="K955">
        <f>DAY(weather.tbl[[#This Row],[Date]])</f>
        <v>11</v>
      </c>
      <c r="L955">
        <f>MONTH(weather.tbl[[#This Row],[Date]])</f>
        <v>8</v>
      </c>
      <c r="M955">
        <f>YEAR(weather.tbl[[#This Row],[Date]])</f>
        <v>2016</v>
      </c>
    </row>
    <row r="956" spans="1:13" x14ac:dyDescent="0.25">
      <c r="A956" s="1">
        <v>42594</v>
      </c>
      <c r="B956" s="2">
        <v>18.2</v>
      </c>
      <c r="C956" s="2">
        <v>18.3</v>
      </c>
      <c r="D956" s="2">
        <v>17.3</v>
      </c>
      <c r="E956" s="2">
        <v>18.3</v>
      </c>
      <c r="F956" s="2">
        <v>18.3</v>
      </c>
      <c r="G956" s="2">
        <v>17</v>
      </c>
      <c r="H956" s="2">
        <f>AVERAGE(weather.tbl[[#This Row],[Estevan]:[Kipling]])</f>
        <v>17.899999999999999</v>
      </c>
      <c r="I956" s="2">
        <f>_xlfn.STDEV.S(weather.tbl[[#This Row],[Estevan]:[Kipling]])</f>
        <v>0.5899152481501051</v>
      </c>
      <c r="J956" s="2">
        <f t="shared" si="14"/>
        <v>19.545238095238094</v>
      </c>
      <c r="K956">
        <f>DAY(weather.tbl[[#This Row],[Date]])</f>
        <v>12</v>
      </c>
      <c r="L956">
        <f>MONTH(weather.tbl[[#This Row],[Date]])</f>
        <v>8</v>
      </c>
      <c r="M956">
        <f>YEAR(weather.tbl[[#This Row],[Date]])</f>
        <v>2016</v>
      </c>
    </row>
    <row r="957" spans="1:13" x14ac:dyDescent="0.25">
      <c r="A957" s="1">
        <v>42595</v>
      </c>
      <c r="B957" s="2">
        <v>18</v>
      </c>
      <c r="C957" s="2">
        <v>18.7</v>
      </c>
      <c r="D957" s="2">
        <v>18</v>
      </c>
      <c r="E957" s="2">
        <v>20</v>
      </c>
      <c r="F957" s="2">
        <v>18.8</v>
      </c>
      <c r="G957" s="2">
        <v>17.3</v>
      </c>
      <c r="H957" s="2">
        <f>AVERAGE(weather.tbl[[#This Row],[Estevan]:[Kipling]])</f>
        <v>18.466666666666665</v>
      </c>
      <c r="I957" s="2">
        <f>_xlfn.STDEV.S(weather.tbl[[#This Row],[Estevan]:[Kipling]])</f>
        <v>0.92879850703296585</v>
      </c>
      <c r="J957" s="2">
        <f t="shared" si="14"/>
        <v>19.488095238095241</v>
      </c>
      <c r="K957">
        <f>DAY(weather.tbl[[#This Row],[Date]])</f>
        <v>13</v>
      </c>
      <c r="L957">
        <f>MONTH(weather.tbl[[#This Row],[Date]])</f>
        <v>8</v>
      </c>
      <c r="M957">
        <f>YEAR(weather.tbl[[#This Row],[Date]])</f>
        <v>2016</v>
      </c>
    </row>
    <row r="958" spans="1:13" x14ac:dyDescent="0.25">
      <c r="A958" s="1">
        <v>42596</v>
      </c>
      <c r="B958" s="2">
        <v>19.7</v>
      </c>
      <c r="C958" s="2">
        <v>20.399999999999999</v>
      </c>
      <c r="D958" s="2">
        <v>20</v>
      </c>
      <c r="E958" s="2">
        <v>20.5</v>
      </c>
      <c r="F958" s="2">
        <v>19.600000000000001</v>
      </c>
      <c r="G958" s="2">
        <v>19</v>
      </c>
      <c r="H958" s="2">
        <f>AVERAGE(weather.tbl[[#This Row],[Estevan]:[Kipling]])</f>
        <v>19.866666666666664</v>
      </c>
      <c r="I958" s="2">
        <f>_xlfn.STDEV.S(weather.tbl[[#This Row],[Estevan]:[Kipling]])</f>
        <v>0.55737479909542575</v>
      </c>
      <c r="J958" s="2">
        <f t="shared" si="14"/>
        <v>19.121428571428574</v>
      </c>
      <c r="K958">
        <f>DAY(weather.tbl[[#This Row],[Date]])</f>
        <v>14</v>
      </c>
      <c r="L958">
        <f>MONTH(weather.tbl[[#This Row],[Date]])</f>
        <v>8</v>
      </c>
      <c r="M958">
        <f>YEAR(weather.tbl[[#This Row],[Date]])</f>
        <v>2016</v>
      </c>
    </row>
    <row r="959" spans="1:13" x14ac:dyDescent="0.25">
      <c r="A959" s="1">
        <v>42597</v>
      </c>
      <c r="B959" s="2">
        <v>21.1</v>
      </c>
      <c r="C959" s="2">
        <v>20.2</v>
      </c>
      <c r="D959" s="2">
        <v>20.3</v>
      </c>
      <c r="E959" s="2">
        <v>21</v>
      </c>
      <c r="F959" s="2">
        <v>22.3</v>
      </c>
      <c r="G959" s="2">
        <v>19.5</v>
      </c>
      <c r="H959" s="2">
        <f>AVERAGE(weather.tbl[[#This Row],[Estevan]:[Kipling]])</f>
        <v>20.733333333333331</v>
      </c>
      <c r="I959" s="2">
        <f>_xlfn.STDEV.S(weather.tbl[[#This Row],[Estevan]:[Kipling]])</f>
        <v>0.96471066474185263</v>
      </c>
      <c r="J959" s="2">
        <f t="shared" si="14"/>
        <v>18.911904761904761</v>
      </c>
      <c r="K959">
        <f>DAY(weather.tbl[[#This Row],[Date]])</f>
        <v>15</v>
      </c>
      <c r="L959">
        <f>MONTH(weather.tbl[[#This Row],[Date]])</f>
        <v>8</v>
      </c>
      <c r="M959">
        <f>YEAR(weather.tbl[[#This Row],[Date]])</f>
        <v>2016</v>
      </c>
    </row>
    <row r="960" spans="1:13" x14ac:dyDescent="0.25">
      <c r="A960" s="1">
        <v>42598</v>
      </c>
      <c r="B960" s="2">
        <v>20.8</v>
      </c>
      <c r="C960" s="2">
        <v>21</v>
      </c>
      <c r="D960" s="2">
        <v>20</v>
      </c>
      <c r="E960" s="2">
        <v>22.3</v>
      </c>
      <c r="F960" s="2">
        <v>20.5</v>
      </c>
      <c r="G960" s="2">
        <v>20</v>
      </c>
      <c r="H960" s="2">
        <f>AVERAGE(weather.tbl[[#This Row],[Estevan]:[Kipling]])</f>
        <v>20.766666666666666</v>
      </c>
      <c r="I960" s="2">
        <f>_xlfn.STDEV.S(weather.tbl[[#This Row],[Estevan]:[Kipling]])</f>
        <v>0.85479042265731264</v>
      </c>
      <c r="J960" s="2">
        <f t="shared" si="14"/>
        <v>19.164285714285711</v>
      </c>
      <c r="K960">
        <f>DAY(weather.tbl[[#This Row],[Date]])</f>
        <v>16</v>
      </c>
      <c r="L960">
        <f>MONTH(weather.tbl[[#This Row],[Date]])</f>
        <v>8</v>
      </c>
      <c r="M960">
        <f>YEAR(weather.tbl[[#This Row],[Date]])</f>
        <v>2016</v>
      </c>
    </row>
    <row r="961" spans="1:13" x14ac:dyDescent="0.25">
      <c r="A961" s="1">
        <v>42599</v>
      </c>
      <c r="B961" s="2">
        <v>23.3</v>
      </c>
      <c r="C961" s="2">
        <v>23.5</v>
      </c>
      <c r="D961" s="2">
        <v>22.5</v>
      </c>
      <c r="E961" s="2">
        <v>22</v>
      </c>
      <c r="F961" s="2">
        <v>22.7</v>
      </c>
      <c r="G961" s="2">
        <v>20.8</v>
      </c>
      <c r="H961" s="2">
        <f>AVERAGE(weather.tbl[[#This Row],[Estevan]:[Kipling]])</f>
        <v>22.466666666666669</v>
      </c>
      <c r="I961" s="2">
        <f>_xlfn.STDEV.S(weather.tbl[[#This Row],[Estevan]:[Kipling]])</f>
        <v>0.98115578103921219</v>
      </c>
      <c r="J961" s="2">
        <f t="shared" si="14"/>
        <v>19.840476190476188</v>
      </c>
      <c r="K961">
        <f>DAY(weather.tbl[[#This Row],[Date]])</f>
        <v>17</v>
      </c>
      <c r="L961">
        <f>MONTH(weather.tbl[[#This Row],[Date]])</f>
        <v>8</v>
      </c>
      <c r="M961">
        <f>YEAR(weather.tbl[[#This Row],[Date]])</f>
        <v>2016</v>
      </c>
    </row>
    <row r="962" spans="1:13" x14ac:dyDescent="0.25">
      <c r="A962" s="1">
        <v>42600</v>
      </c>
      <c r="B962" s="2">
        <v>18</v>
      </c>
      <c r="C962" s="2">
        <v>17.7</v>
      </c>
      <c r="D962" s="2">
        <v>19</v>
      </c>
      <c r="E962" s="2">
        <v>18</v>
      </c>
      <c r="F962" s="2">
        <v>19</v>
      </c>
      <c r="G962" s="2">
        <v>17.3</v>
      </c>
      <c r="H962" s="2">
        <f>AVERAGE(weather.tbl[[#This Row],[Estevan]:[Kipling]])</f>
        <v>18.166666666666668</v>
      </c>
      <c r="I962" s="2">
        <f>_xlfn.STDEV.S(weather.tbl[[#This Row],[Estevan]:[Kipling]])</f>
        <v>0.69474215840602804</v>
      </c>
      <c r="J962" s="2">
        <f t="shared" si="14"/>
        <v>19.766666666666662</v>
      </c>
      <c r="K962">
        <f>DAY(weather.tbl[[#This Row],[Date]])</f>
        <v>18</v>
      </c>
      <c r="L962">
        <f>MONTH(weather.tbl[[#This Row],[Date]])</f>
        <v>8</v>
      </c>
      <c r="M962">
        <f>YEAR(weather.tbl[[#This Row],[Date]])</f>
        <v>2016</v>
      </c>
    </row>
    <row r="963" spans="1:13" x14ac:dyDescent="0.25">
      <c r="A963" s="1">
        <v>42601</v>
      </c>
      <c r="B963" s="2">
        <v>14.8</v>
      </c>
      <c r="C963" s="2">
        <v>13.6</v>
      </c>
      <c r="D963" s="2">
        <v>14.3</v>
      </c>
      <c r="E963" s="2">
        <v>14.8</v>
      </c>
      <c r="F963" s="2">
        <v>16.5</v>
      </c>
      <c r="G963" s="2">
        <v>12.8</v>
      </c>
      <c r="H963" s="2">
        <f>AVERAGE(weather.tbl[[#This Row],[Estevan]:[Kipling]])</f>
        <v>14.466666666666667</v>
      </c>
      <c r="I963" s="2">
        <f>_xlfn.STDEV.S(weather.tbl[[#This Row],[Estevan]:[Kipling]])</f>
        <v>1.2580408048496148</v>
      </c>
      <c r="J963" s="2">
        <f t="shared" si="14"/>
        <v>19.276190476190475</v>
      </c>
      <c r="K963">
        <f>DAY(weather.tbl[[#This Row],[Date]])</f>
        <v>19</v>
      </c>
      <c r="L963">
        <f>MONTH(weather.tbl[[#This Row],[Date]])</f>
        <v>8</v>
      </c>
      <c r="M963">
        <f>YEAR(weather.tbl[[#This Row],[Date]])</f>
        <v>2016</v>
      </c>
    </row>
    <row r="964" spans="1:13" x14ac:dyDescent="0.25">
      <c r="A964" s="1">
        <v>42602</v>
      </c>
      <c r="B964" s="2">
        <v>14.4</v>
      </c>
      <c r="C964" s="2">
        <v>14.7</v>
      </c>
      <c r="D964" s="2">
        <v>13.8</v>
      </c>
      <c r="E964" s="2">
        <v>16.3</v>
      </c>
      <c r="F964" s="2">
        <v>14.3</v>
      </c>
      <c r="G964" s="2">
        <v>13.8</v>
      </c>
      <c r="H964" s="2">
        <f>AVERAGE(weather.tbl[[#This Row],[Estevan]:[Kipling]])</f>
        <v>14.549999999999999</v>
      </c>
      <c r="I964" s="2">
        <f>_xlfn.STDEV.S(weather.tbl[[#This Row],[Estevan]:[Kipling]])</f>
        <v>0.92682252885868066</v>
      </c>
      <c r="J964" s="2">
        <f t="shared" si="14"/>
        <v>18.716666666666669</v>
      </c>
      <c r="K964">
        <f>DAY(weather.tbl[[#This Row],[Date]])</f>
        <v>20</v>
      </c>
      <c r="L964">
        <f>MONTH(weather.tbl[[#This Row],[Date]])</f>
        <v>8</v>
      </c>
      <c r="M964">
        <f>YEAR(weather.tbl[[#This Row],[Date]])</f>
        <v>2016</v>
      </c>
    </row>
    <row r="965" spans="1:13" x14ac:dyDescent="0.25">
      <c r="A965" s="1">
        <v>42603</v>
      </c>
      <c r="B965" s="2">
        <v>19</v>
      </c>
      <c r="C965" s="2">
        <v>20.3</v>
      </c>
      <c r="D965" s="2">
        <v>18.5</v>
      </c>
      <c r="E965" s="2">
        <v>20.3</v>
      </c>
      <c r="F965" s="2">
        <v>18.8</v>
      </c>
      <c r="G965" s="2">
        <v>18.3</v>
      </c>
      <c r="H965" s="2">
        <f>AVERAGE(weather.tbl[[#This Row],[Estevan]:[Kipling]])</f>
        <v>19.2</v>
      </c>
      <c r="I965" s="2">
        <f>_xlfn.STDEV.S(weather.tbl[[#This Row],[Estevan]:[Kipling]])</f>
        <v>0.88543774484714632</v>
      </c>
      <c r="J965" s="2">
        <f t="shared" si="14"/>
        <v>18.62142857142857</v>
      </c>
      <c r="K965">
        <f>DAY(weather.tbl[[#This Row],[Date]])</f>
        <v>21</v>
      </c>
      <c r="L965">
        <f>MONTH(weather.tbl[[#This Row],[Date]])</f>
        <v>8</v>
      </c>
      <c r="M965">
        <f>YEAR(weather.tbl[[#This Row],[Date]])</f>
        <v>2016</v>
      </c>
    </row>
    <row r="966" spans="1:13" x14ac:dyDescent="0.25">
      <c r="A966" s="1">
        <v>42604</v>
      </c>
      <c r="B966" s="2">
        <v>24.3</v>
      </c>
      <c r="C966" s="2">
        <v>23.8</v>
      </c>
      <c r="D966" s="2">
        <v>22</v>
      </c>
      <c r="E966" s="2">
        <v>22.8</v>
      </c>
      <c r="F966" s="2">
        <v>24</v>
      </c>
      <c r="G966" s="2">
        <v>22.3</v>
      </c>
      <c r="H966" s="2">
        <f>AVERAGE(weather.tbl[[#This Row],[Estevan]:[Kipling]])</f>
        <v>23.2</v>
      </c>
      <c r="I966" s="2">
        <f>_xlfn.STDEV.S(weather.tbl[[#This Row],[Estevan]:[Kipling]])</f>
        <v>0.9612491872558333</v>
      </c>
      <c r="J966" s="2">
        <f t="shared" si="14"/>
        <v>18.973809523809525</v>
      </c>
      <c r="K966">
        <f>DAY(weather.tbl[[#This Row],[Date]])</f>
        <v>22</v>
      </c>
      <c r="L966">
        <f>MONTH(weather.tbl[[#This Row],[Date]])</f>
        <v>8</v>
      </c>
      <c r="M966">
        <f>YEAR(weather.tbl[[#This Row],[Date]])</f>
        <v>2016</v>
      </c>
    </row>
    <row r="967" spans="1:13" x14ac:dyDescent="0.25">
      <c r="A967" s="1">
        <v>42605</v>
      </c>
      <c r="B967" s="2">
        <v>17.899999999999999</v>
      </c>
      <c r="C967" s="2">
        <v>18.3</v>
      </c>
      <c r="D967" s="2">
        <v>19</v>
      </c>
      <c r="E967" s="2">
        <v>18.5</v>
      </c>
      <c r="F967" s="2">
        <v>20.2</v>
      </c>
      <c r="G967" s="2">
        <v>17.8</v>
      </c>
      <c r="H967" s="2">
        <f>AVERAGE(weather.tbl[[#This Row],[Estevan]:[Kipling]])</f>
        <v>18.616666666666667</v>
      </c>
      <c r="I967" s="2">
        <f>_xlfn.STDEV.S(weather.tbl[[#This Row],[Estevan]:[Kipling]])</f>
        <v>0.88863190729720387</v>
      </c>
      <c r="J967" s="2">
        <f t="shared" si="14"/>
        <v>18.666666666666668</v>
      </c>
      <c r="K967">
        <f>DAY(weather.tbl[[#This Row],[Date]])</f>
        <v>23</v>
      </c>
      <c r="L967">
        <f>MONTH(weather.tbl[[#This Row],[Date]])</f>
        <v>8</v>
      </c>
      <c r="M967">
        <f>YEAR(weather.tbl[[#This Row],[Date]])</f>
        <v>2016</v>
      </c>
    </row>
    <row r="968" spans="1:13" x14ac:dyDescent="0.25">
      <c r="A968" s="1">
        <v>42606</v>
      </c>
      <c r="B968" s="2">
        <v>14.9</v>
      </c>
      <c r="C968" s="2">
        <v>14.3</v>
      </c>
      <c r="D968" s="2">
        <v>15.3</v>
      </c>
      <c r="E968" s="2">
        <v>13.8</v>
      </c>
      <c r="F968" s="2">
        <v>16.100000000000001</v>
      </c>
      <c r="G968" s="2">
        <v>13.3</v>
      </c>
      <c r="H968" s="2">
        <f>AVERAGE(weather.tbl[[#This Row],[Estevan]:[Kipling]])</f>
        <v>14.616666666666667</v>
      </c>
      <c r="I968" s="2">
        <f>_xlfn.STDEV.S(weather.tbl[[#This Row],[Estevan]:[Kipling]])</f>
        <v>1.0245324136730214</v>
      </c>
      <c r="J968" s="2">
        <f t="shared" si="14"/>
        <v>17.545238095238094</v>
      </c>
      <c r="K968">
        <f>DAY(weather.tbl[[#This Row],[Date]])</f>
        <v>24</v>
      </c>
      <c r="L968">
        <f>MONTH(weather.tbl[[#This Row],[Date]])</f>
        <v>8</v>
      </c>
      <c r="M968">
        <f>YEAR(weather.tbl[[#This Row],[Date]])</f>
        <v>2016</v>
      </c>
    </row>
    <row r="969" spans="1:13" x14ac:dyDescent="0.25">
      <c r="A969" s="1">
        <v>42607</v>
      </c>
      <c r="B969" s="2">
        <v>16.5</v>
      </c>
      <c r="C969" s="2">
        <v>15.4</v>
      </c>
      <c r="D969" s="2">
        <v>16.3</v>
      </c>
      <c r="E969" s="2">
        <v>16.3</v>
      </c>
      <c r="F969" s="2">
        <v>16.100000000000001</v>
      </c>
      <c r="G969" s="2">
        <v>14.5</v>
      </c>
      <c r="H969" s="2">
        <f>AVERAGE(weather.tbl[[#This Row],[Estevan]:[Kipling]])</f>
        <v>15.85</v>
      </c>
      <c r="I969" s="2">
        <f>_xlfn.STDEV.S(weather.tbl[[#This Row],[Estevan]:[Kipling]])</f>
        <v>0.76354436675284321</v>
      </c>
      <c r="J969" s="2">
        <f t="shared" si="14"/>
        <v>17.214285714285715</v>
      </c>
      <c r="K969">
        <f>DAY(weather.tbl[[#This Row],[Date]])</f>
        <v>25</v>
      </c>
      <c r="L969">
        <f>MONTH(weather.tbl[[#This Row],[Date]])</f>
        <v>8</v>
      </c>
      <c r="M969">
        <f>YEAR(weather.tbl[[#This Row],[Date]])</f>
        <v>2016</v>
      </c>
    </row>
    <row r="970" spans="1:13" x14ac:dyDescent="0.25">
      <c r="A970" s="1">
        <v>42608</v>
      </c>
      <c r="B970" s="2">
        <v>16.3</v>
      </c>
      <c r="C970" s="2">
        <v>16.100000000000001</v>
      </c>
      <c r="D970" s="2">
        <v>17</v>
      </c>
      <c r="E970" s="2">
        <v>17</v>
      </c>
      <c r="F970" s="2">
        <v>16.600000000000001</v>
      </c>
      <c r="G970" s="2">
        <v>15.3</v>
      </c>
      <c r="H970" s="2">
        <f>AVERAGE(weather.tbl[[#This Row],[Estevan]:[Kipling]])</f>
        <v>16.383333333333333</v>
      </c>
      <c r="I970" s="2">
        <f>_xlfn.STDEV.S(weather.tbl[[#This Row],[Estevan]:[Kipling]])</f>
        <v>0.64316923641189983</v>
      </c>
      <c r="J970" s="2">
        <f t="shared" ref="J970:J1033" si="15">AVERAGE(H964:H970)</f>
        <v>17.488095238095237</v>
      </c>
      <c r="K970">
        <f>DAY(weather.tbl[[#This Row],[Date]])</f>
        <v>26</v>
      </c>
      <c r="L970">
        <f>MONTH(weather.tbl[[#This Row],[Date]])</f>
        <v>8</v>
      </c>
      <c r="M970">
        <f>YEAR(weather.tbl[[#This Row],[Date]])</f>
        <v>2016</v>
      </c>
    </row>
    <row r="971" spans="1:13" x14ac:dyDescent="0.25">
      <c r="A971" s="1">
        <v>42609</v>
      </c>
      <c r="B971" s="2">
        <v>15.5</v>
      </c>
      <c r="C971" s="2">
        <v>15.6</v>
      </c>
      <c r="D971" s="2">
        <v>15.5</v>
      </c>
      <c r="E971" s="2">
        <v>17.5</v>
      </c>
      <c r="F971" s="2">
        <v>16.8</v>
      </c>
      <c r="G971" s="2">
        <v>14.8</v>
      </c>
      <c r="H971" s="2">
        <f>AVERAGE(weather.tbl[[#This Row],[Estevan]:[Kipling]])</f>
        <v>15.949999999999998</v>
      </c>
      <c r="I971" s="2">
        <f>_xlfn.STDEV.S(weather.tbl[[#This Row],[Estevan]:[Kipling]])</f>
        <v>0.99749686716300012</v>
      </c>
      <c r="J971" s="2">
        <f t="shared" si="15"/>
        <v>17.688095238095237</v>
      </c>
      <c r="K971">
        <f>DAY(weather.tbl[[#This Row],[Date]])</f>
        <v>27</v>
      </c>
      <c r="L971">
        <f>MONTH(weather.tbl[[#This Row],[Date]])</f>
        <v>8</v>
      </c>
      <c r="M971">
        <f>YEAR(weather.tbl[[#This Row],[Date]])</f>
        <v>2016</v>
      </c>
    </row>
    <row r="972" spans="1:13" x14ac:dyDescent="0.25">
      <c r="A972" s="1">
        <v>42610</v>
      </c>
      <c r="B972" s="2">
        <v>19.7</v>
      </c>
      <c r="C972" s="2">
        <v>18.7</v>
      </c>
      <c r="D972" s="2">
        <v>15.5</v>
      </c>
      <c r="E972" s="2">
        <v>22</v>
      </c>
      <c r="F972" s="2">
        <v>22.2</v>
      </c>
      <c r="G972" s="2">
        <v>17.3</v>
      </c>
      <c r="H972" s="2">
        <f>AVERAGE(weather.tbl[[#This Row],[Estevan]:[Kipling]])</f>
        <v>19.233333333333334</v>
      </c>
      <c r="I972" s="2">
        <f>_xlfn.STDEV.S(weather.tbl[[#This Row],[Estevan]:[Kipling]])</f>
        <v>2.6318561257535622</v>
      </c>
      <c r="J972" s="2">
        <f t="shared" si="15"/>
        <v>17.692857142857143</v>
      </c>
      <c r="K972">
        <f>DAY(weather.tbl[[#This Row],[Date]])</f>
        <v>28</v>
      </c>
      <c r="L972">
        <f>MONTH(weather.tbl[[#This Row],[Date]])</f>
        <v>8</v>
      </c>
      <c r="M972">
        <f>YEAR(weather.tbl[[#This Row],[Date]])</f>
        <v>2016</v>
      </c>
    </row>
    <row r="973" spans="1:13" x14ac:dyDescent="0.25">
      <c r="A973" s="1">
        <v>42611</v>
      </c>
      <c r="B973" s="2">
        <v>15.1</v>
      </c>
      <c r="C973" s="2">
        <v>14.5</v>
      </c>
      <c r="D973" s="2">
        <v>14.8</v>
      </c>
      <c r="E973" s="2">
        <v>15</v>
      </c>
      <c r="F973" s="2">
        <v>16.2</v>
      </c>
      <c r="G973" s="2">
        <v>14.3</v>
      </c>
      <c r="H973" s="2">
        <f>AVERAGE(weather.tbl[[#This Row],[Estevan]:[Kipling]])</f>
        <v>14.983333333333334</v>
      </c>
      <c r="I973" s="2">
        <f>_xlfn.STDEV.S(weather.tbl[[#This Row],[Estevan]:[Kipling]])</f>
        <v>0.66758270399004949</v>
      </c>
      <c r="J973" s="2">
        <f t="shared" si="15"/>
        <v>16.519047619047619</v>
      </c>
      <c r="K973">
        <f>DAY(weather.tbl[[#This Row],[Date]])</f>
        <v>29</v>
      </c>
      <c r="L973">
        <f>MONTH(weather.tbl[[#This Row],[Date]])</f>
        <v>8</v>
      </c>
      <c r="M973">
        <f>YEAR(weather.tbl[[#This Row],[Date]])</f>
        <v>2016</v>
      </c>
    </row>
    <row r="974" spans="1:13" x14ac:dyDescent="0.25">
      <c r="A974" s="1">
        <v>42612</v>
      </c>
      <c r="B974" s="2">
        <v>19.3</v>
      </c>
      <c r="C974" s="2">
        <v>19.8</v>
      </c>
      <c r="D974" s="2">
        <v>17.5</v>
      </c>
      <c r="E974" s="2">
        <v>19.8</v>
      </c>
      <c r="F974" s="2">
        <v>16.8</v>
      </c>
      <c r="G974" s="2">
        <v>16.8</v>
      </c>
      <c r="H974" s="2">
        <f>AVERAGE(weather.tbl[[#This Row],[Estevan]:[Kipling]])</f>
        <v>18.333333333333332</v>
      </c>
      <c r="I974" s="2">
        <f>_xlfn.STDEV.S(weather.tbl[[#This Row],[Estevan]:[Kipling]])</f>
        <v>1.4583095236151573</v>
      </c>
      <c r="J974" s="2">
        <f t="shared" si="15"/>
        <v>16.478571428571428</v>
      </c>
      <c r="K974">
        <f>DAY(weather.tbl[[#This Row],[Date]])</f>
        <v>30</v>
      </c>
      <c r="L974">
        <f>MONTH(weather.tbl[[#This Row],[Date]])</f>
        <v>8</v>
      </c>
      <c r="M974">
        <f>YEAR(weather.tbl[[#This Row],[Date]])</f>
        <v>2016</v>
      </c>
    </row>
    <row r="975" spans="1:13" x14ac:dyDescent="0.25">
      <c r="A975" s="1">
        <v>42613</v>
      </c>
      <c r="B975" s="2">
        <v>19.600000000000001</v>
      </c>
      <c r="C975" s="2">
        <v>20.3</v>
      </c>
      <c r="D975" s="2">
        <v>16.8</v>
      </c>
      <c r="E975" s="2">
        <v>20.5</v>
      </c>
      <c r="F975" s="2">
        <v>17.5</v>
      </c>
      <c r="G975" s="2">
        <v>16.8</v>
      </c>
      <c r="H975" s="2">
        <f>AVERAGE(weather.tbl[[#This Row],[Estevan]:[Kipling]])</f>
        <v>18.583333333333332</v>
      </c>
      <c r="I975" s="2">
        <f>_xlfn.STDEV.S(weather.tbl[[#This Row],[Estevan]:[Kipling]])</f>
        <v>1.742890319746675</v>
      </c>
      <c r="J975" s="2">
        <f t="shared" si="15"/>
        <v>17.045238095238094</v>
      </c>
      <c r="K975">
        <f>DAY(weather.tbl[[#This Row],[Date]])</f>
        <v>31</v>
      </c>
      <c r="L975">
        <f>MONTH(weather.tbl[[#This Row],[Date]])</f>
        <v>8</v>
      </c>
      <c r="M975">
        <f>YEAR(weather.tbl[[#This Row],[Date]])</f>
        <v>2016</v>
      </c>
    </row>
    <row r="976" spans="1:13" x14ac:dyDescent="0.25">
      <c r="A976" s="1">
        <v>42614</v>
      </c>
      <c r="B976" s="2">
        <v>22.8</v>
      </c>
      <c r="C976" s="2">
        <v>24.3</v>
      </c>
      <c r="D976" s="2">
        <v>22.8</v>
      </c>
      <c r="E976" s="2">
        <v>24.5</v>
      </c>
      <c r="F976" s="2">
        <v>21.8</v>
      </c>
      <c r="G976" s="2">
        <v>22</v>
      </c>
      <c r="H976" s="2">
        <f>AVERAGE(weather.tbl[[#This Row],[Estevan]:[Kipling]])</f>
        <v>23.033333333333331</v>
      </c>
      <c r="I976" s="2">
        <f>_xlfn.STDEV.S(weather.tbl[[#This Row],[Estevan]:[Kipling]])</f>
        <v>1.136075114887509</v>
      </c>
      <c r="J976" s="2">
        <f t="shared" si="15"/>
        <v>18.071428571428569</v>
      </c>
      <c r="K976">
        <f>DAY(weather.tbl[[#This Row],[Date]])</f>
        <v>1</v>
      </c>
      <c r="L976">
        <f>MONTH(weather.tbl[[#This Row],[Date]])</f>
        <v>9</v>
      </c>
      <c r="M976">
        <f>YEAR(weather.tbl[[#This Row],[Date]])</f>
        <v>2016</v>
      </c>
    </row>
    <row r="977" spans="1:13" x14ac:dyDescent="0.25">
      <c r="A977" s="1">
        <v>42615</v>
      </c>
      <c r="B977" s="2">
        <v>23.2</v>
      </c>
      <c r="C977" s="2">
        <v>25.3</v>
      </c>
      <c r="D977" s="2">
        <v>22.8</v>
      </c>
      <c r="E977" s="2">
        <v>26.5</v>
      </c>
      <c r="F977" s="2">
        <v>22.5</v>
      </c>
      <c r="G977" s="2">
        <v>21.8</v>
      </c>
      <c r="H977" s="2">
        <f>AVERAGE(weather.tbl[[#This Row],[Estevan]:[Kipling]])</f>
        <v>23.683333333333334</v>
      </c>
      <c r="I977" s="2">
        <f>_xlfn.STDEV.S(weather.tbl[[#This Row],[Estevan]:[Kipling]])</f>
        <v>1.8170488894541794</v>
      </c>
      <c r="J977" s="2">
        <f t="shared" si="15"/>
        <v>19.11428571428571</v>
      </c>
      <c r="K977">
        <f>DAY(weather.tbl[[#This Row],[Date]])</f>
        <v>2</v>
      </c>
      <c r="L977">
        <f>MONTH(weather.tbl[[#This Row],[Date]])</f>
        <v>9</v>
      </c>
      <c r="M977">
        <f>YEAR(weather.tbl[[#This Row],[Date]])</f>
        <v>2016</v>
      </c>
    </row>
    <row r="978" spans="1:13" x14ac:dyDescent="0.25">
      <c r="A978" s="1">
        <v>42616</v>
      </c>
      <c r="B978" s="2">
        <v>16</v>
      </c>
      <c r="C978" s="2">
        <v>15.7</v>
      </c>
      <c r="D978" s="2">
        <v>18.5</v>
      </c>
      <c r="E978" s="2">
        <v>18</v>
      </c>
      <c r="F978" s="2">
        <v>16.600000000000001</v>
      </c>
      <c r="G978" s="2">
        <v>16.3</v>
      </c>
      <c r="H978" s="2">
        <f>AVERAGE(weather.tbl[[#This Row],[Estevan]:[Kipling]])</f>
        <v>16.850000000000001</v>
      </c>
      <c r="I978" s="2">
        <f>_xlfn.STDEV.S(weather.tbl[[#This Row],[Estevan]:[Kipling]])</f>
        <v>1.136221809331259</v>
      </c>
      <c r="J978" s="2">
        <f t="shared" si="15"/>
        <v>19.24285714285714</v>
      </c>
      <c r="K978">
        <f>DAY(weather.tbl[[#This Row],[Date]])</f>
        <v>3</v>
      </c>
      <c r="L978">
        <f>MONTH(weather.tbl[[#This Row],[Date]])</f>
        <v>9</v>
      </c>
      <c r="M978">
        <f>YEAR(weather.tbl[[#This Row],[Date]])</f>
        <v>2016</v>
      </c>
    </row>
    <row r="979" spans="1:13" x14ac:dyDescent="0.25">
      <c r="A979" s="1">
        <v>42617</v>
      </c>
      <c r="B979" s="2">
        <v>14.3</v>
      </c>
      <c r="C979" s="2">
        <v>11.7</v>
      </c>
      <c r="D979" s="2">
        <v>13.3</v>
      </c>
      <c r="E979" s="2">
        <v>12.5</v>
      </c>
      <c r="F979" s="2">
        <v>14</v>
      </c>
      <c r="G979" s="2">
        <v>12.3</v>
      </c>
      <c r="H979" s="2">
        <f>AVERAGE(weather.tbl[[#This Row],[Estevan]:[Kipling]])</f>
        <v>13.016666666666666</v>
      </c>
      <c r="I979" s="2">
        <f>_xlfn.STDEV.S(weather.tbl[[#This Row],[Estevan]:[Kipling]])</f>
        <v>1.0206207261596578</v>
      </c>
      <c r="J979" s="2">
        <f t="shared" si="15"/>
        <v>18.354761904761908</v>
      </c>
      <c r="K979">
        <f>DAY(weather.tbl[[#This Row],[Date]])</f>
        <v>4</v>
      </c>
      <c r="L979">
        <f>MONTH(weather.tbl[[#This Row],[Date]])</f>
        <v>9</v>
      </c>
      <c r="M979">
        <f>YEAR(weather.tbl[[#This Row],[Date]])</f>
        <v>2016</v>
      </c>
    </row>
    <row r="980" spans="1:13" x14ac:dyDescent="0.25">
      <c r="A980" s="1">
        <v>42618</v>
      </c>
      <c r="B980" s="2">
        <v>11</v>
      </c>
      <c r="C980" s="2">
        <v>10.8</v>
      </c>
      <c r="D980" s="2">
        <v>10.5</v>
      </c>
      <c r="E980" s="2">
        <v>11.5</v>
      </c>
      <c r="F980" s="2">
        <v>12.4</v>
      </c>
      <c r="G980" s="2">
        <v>10.5</v>
      </c>
      <c r="H980" s="2">
        <f>AVERAGE(weather.tbl[[#This Row],[Estevan]:[Kipling]])</f>
        <v>11.116666666666665</v>
      </c>
      <c r="I980" s="2">
        <f>_xlfn.STDEV.S(weather.tbl[[#This Row],[Estevan]:[Kipling]])</f>
        <v>0.73052492542463376</v>
      </c>
      <c r="J980" s="2">
        <f t="shared" si="15"/>
        <v>17.80238095238095</v>
      </c>
      <c r="K980">
        <f>DAY(weather.tbl[[#This Row],[Date]])</f>
        <v>5</v>
      </c>
      <c r="L980">
        <f>MONTH(weather.tbl[[#This Row],[Date]])</f>
        <v>9</v>
      </c>
      <c r="M980">
        <f>YEAR(weather.tbl[[#This Row],[Date]])</f>
        <v>2016</v>
      </c>
    </row>
    <row r="981" spans="1:13" x14ac:dyDescent="0.25">
      <c r="A981" s="1">
        <v>42619</v>
      </c>
      <c r="B981" s="2">
        <v>13.2</v>
      </c>
      <c r="C981" s="2">
        <v>11.6</v>
      </c>
      <c r="D981" s="2">
        <v>10.5</v>
      </c>
      <c r="E981" s="2">
        <v>11.3</v>
      </c>
      <c r="F981" s="2">
        <v>12.9</v>
      </c>
      <c r="G981" s="2">
        <v>12</v>
      </c>
      <c r="H981" s="2">
        <f>AVERAGE(weather.tbl[[#This Row],[Estevan]:[Kipling]])</f>
        <v>11.916666666666666</v>
      </c>
      <c r="I981" s="2">
        <f>_xlfn.STDEV.S(weather.tbl[[#This Row],[Estevan]:[Kipling]])</f>
        <v>1.0107752800037535</v>
      </c>
      <c r="J981" s="2">
        <f t="shared" si="15"/>
        <v>16.885714285714286</v>
      </c>
      <c r="K981">
        <f>DAY(weather.tbl[[#This Row],[Date]])</f>
        <v>6</v>
      </c>
      <c r="L981">
        <f>MONTH(weather.tbl[[#This Row],[Date]])</f>
        <v>9</v>
      </c>
      <c r="M981">
        <f>YEAR(weather.tbl[[#This Row],[Date]])</f>
        <v>2016</v>
      </c>
    </row>
    <row r="982" spans="1:13" x14ac:dyDescent="0.25">
      <c r="A982" s="1">
        <v>42620</v>
      </c>
      <c r="B982" s="2">
        <v>12.5</v>
      </c>
      <c r="C982" s="2">
        <v>13.7</v>
      </c>
      <c r="D982" s="2">
        <v>10.5</v>
      </c>
      <c r="E982" s="2">
        <v>14.5</v>
      </c>
      <c r="F982" s="2">
        <v>12.6</v>
      </c>
      <c r="G982" s="2">
        <v>11.5</v>
      </c>
      <c r="H982" s="2">
        <f>AVERAGE(weather.tbl[[#This Row],[Estevan]:[Kipling]])</f>
        <v>12.550000000000002</v>
      </c>
      <c r="I982" s="2">
        <f>_xlfn.STDEV.S(weather.tbl[[#This Row],[Estevan]:[Kipling]])</f>
        <v>1.4446452851824634</v>
      </c>
      <c r="J982" s="2">
        <f t="shared" si="15"/>
        <v>16.023809523809526</v>
      </c>
      <c r="K982">
        <f>DAY(weather.tbl[[#This Row],[Date]])</f>
        <v>7</v>
      </c>
      <c r="L982">
        <f>MONTH(weather.tbl[[#This Row],[Date]])</f>
        <v>9</v>
      </c>
      <c r="M982">
        <f>YEAR(weather.tbl[[#This Row],[Date]])</f>
        <v>2016</v>
      </c>
    </row>
    <row r="983" spans="1:13" x14ac:dyDescent="0.25">
      <c r="A983" s="1">
        <v>42621</v>
      </c>
      <c r="B983" s="2">
        <v>13</v>
      </c>
      <c r="C983" s="2">
        <v>12.5</v>
      </c>
      <c r="D983" s="2">
        <v>12.5</v>
      </c>
      <c r="E983" s="2">
        <v>11.8</v>
      </c>
      <c r="F983" s="2">
        <v>12.4</v>
      </c>
      <c r="G983" s="2">
        <v>12</v>
      </c>
      <c r="H983" s="2">
        <f>AVERAGE(weather.tbl[[#This Row],[Estevan]:[Kipling]])</f>
        <v>12.366666666666665</v>
      </c>
      <c r="I983" s="2">
        <f>_xlfn.STDEV.S(weather.tbl[[#This Row],[Estevan]:[Kipling]])</f>
        <v>0.42268979957726271</v>
      </c>
      <c r="J983" s="2">
        <f t="shared" si="15"/>
        <v>14.499999999999998</v>
      </c>
      <c r="K983">
        <f>DAY(weather.tbl[[#This Row],[Date]])</f>
        <v>8</v>
      </c>
      <c r="L983">
        <f>MONTH(weather.tbl[[#This Row],[Date]])</f>
        <v>9</v>
      </c>
      <c r="M983">
        <f>YEAR(weather.tbl[[#This Row],[Date]])</f>
        <v>2016</v>
      </c>
    </row>
    <row r="984" spans="1:13" x14ac:dyDescent="0.25">
      <c r="A984" s="1">
        <v>42622</v>
      </c>
      <c r="B984" s="2">
        <v>13.7</v>
      </c>
      <c r="C984" s="2">
        <v>14</v>
      </c>
      <c r="D984" s="2">
        <v>14.3</v>
      </c>
      <c r="E984" s="2">
        <v>14.5</v>
      </c>
      <c r="F984" s="2">
        <v>15</v>
      </c>
      <c r="G984" s="2">
        <v>13.3</v>
      </c>
      <c r="H984" s="2">
        <f>AVERAGE(weather.tbl[[#This Row],[Estevan]:[Kipling]])</f>
        <v>14.133333333333333</v>
      </c>
      <c r="I984" s="2">
        <f>_xlfn.STDEV.S(weather.tbl[[#This Row],[Estevan]:[Kipling]])</f>
        <v>0.60221812216726478</v>
      </c>
      <c r="J984" s="2">
        <f t="shared" si="15"/>
        <v>13.135714285714284</v>
      </c>
      <c r="K984">
        <f>DAY(weather.tbl[[#This Row],[Date]])</f>
        <v>9</v>
      </c>
      <c r="L984">
        <f>MONTH(weather.tbl[[#This Row],[Date]])</f>
        <v>9</v>
      </c>
      <c r="M984">
        <f>YEAR(weather.tbl[[#This Row],[Date]])</f>
        <v>2016</v>
      </c>
    </row>
    <row r="985" spans="1:13" x14ac:dyDescent="0.25">
      <c r="A985" s="1">
        <v>42623</v>
      </c>
      <c r="B985" s="2">
        <v>13.2</v>
      </c>
      <c r="C985" s="2">
        <v>13.6</v>
      </c>
      <c r="D985" s="2">
        <v>13</v>
      </c>
      <c r="E985" s="2">
        <v>14.5</v>
      </c>
      <c r="F985" s="2">
        <v>13.1</v>
      </c>
      <c r="G985" s="2">
        <v>11.8</v>
      </c>
      <c r="H985" s="2">
        <f>AVERAGE(weather.tbl[[#This Row],[Estevan]:[Kipling]])</f>
        <v>13.199999999999998</v>
      </c>
      <c r="I985" s="2">
        <f>_xlfn.STDEV.S(weather.tbl[[#This Row],[Estevan]:[Kipling]])</f>
        <v>0.8786353054595516</v>
      </c>
      <c r="J985" s="2">
        <f t="shared" si="15"/>
        <v>12.614285714285714</v>
      </c>
      <c r="K985">
        <f>DAY(weather.tbl[[#This Row],[Date]])</f>
        <v>10</v>
      </c>
      <c r="L985">
        <f>MONTH(weather.tbl[[#This Row],[Date]])</f>
        <v>9</v>
      </c>
      <c r="M985">
        <f>YEAR(weather.tbl[[#This Row],[Date]])</f>
        <v>2016</v>
      </c>
    </row>
    <row r="986" spans="1:13" x14ac:dyDescent="0.25">
      <c r="A986" s="1">
        <v>42624</v>
      </c>
      <c r="B986" s="2">
        <v>13.9</v>
      </c>
      <c r="C986" s="2">
        <v>12.4</v>
      </c>
      <c r="D986" s="2">
        <v>13.8</v>
      </c>
      <c r="E986" s="2">
        <v>13</v>
      </c>
      <c r="F986" s="2">
        <v>16.5</v>
      </c>
      <c r="G986" s="2">
        <v>12.8</v>
      </c>
      <c r="H986" s="2">
        <f>AVERAGE(weather.tbl[[#This Row],[Estevan]:[Kipling]])</f>
        <v>13.733333333333333</v>
      </c>
      <c r="I986" s="2">
        <f>_xlfn.STDEV.S(weather.tbl[[#This Row],[Estevan]:[Kipling]])</f>
        <v>1.4746751054610863</v>
      </c>
      <c r="J986" s="2">
        <f t="shared" si="15"/>
        <v>12.716666666666667</v>
      </c>
      <c r="K986">
        <f>DAY(weather.tbl[[#This Row],[Date]])</f>
        <v>11</v>
      </c>
      <c r="L986">
        <f>MONTH(weather.tbl[[#This Row],[Date]])</f>
        <v>9</v>
      </c>
      <c r="M986">
        <f>YEAR(weather.tbl[[#This Row],[Date]])</f>
        <v>2016</v>
      </c>
    </row>
    <row r="987" spans="1:13" x14ac:dyDescent="0.25">
      <c r="A987" s="1">
        <v>42625</v>
      </c>
      <c r="B987" s="2">
        <v>8</v>
      </c>
      <c r="C987" s="2">
        <v>5.6</v>
      </c>
      <c r="D987" s="2">
        <v>8.3000000000000007</v>
      </c>
      <c r="E987" s="2">
        <v>7.5</v>
      </c>
      <c r="F987" s="2">
        <v>9.8000000000000007</v>
      </c>
      <c r="G987" s="2">
        <v>6.3</v>
      </c>
      <c r="H987" s="2">
        <f>AVERAGE(weather.tbl[[#This Row],[Estevan]:[Kipling]])</f>
        <v>7.583333333333333</v>
      </c>
      <c r="I987" s="2">
        <f>_xlfn.STDEV.S(weather.tbl[[#This Row],[Estevan]:[Kipling]])</f>
        <v>1.4958832396502966</v>
      </c>
      <c r="J987" s="2">
        <f t="shared" si="15"/>
        <v>12.211904761904762</v>
      </c>
      <c r="K987">
        <f>DAY(weather.tbl[[#This Row],[Date]])</f>
        <v>12</v>
      </c>
      <c r="L987">
        <f>MONTH(weather.tbl[[#This Row],[Date]])</f>
        <v>9</v>
      </c>
      <c r="M987">
        <f>YEAR(weather.tbl[[#This Row],[Date]])</f>
        <v>2016</v>
      </c>
    </row>
    <row r="988" spans="1:13" x14ac:dyDescent="0.25">
      <c r="A988" s="1">
        <v>42626</v>
      </c>
      <c r="B988" s="2">
        <v>5.9</v>
      </c>
      <c r="C988" s="2">
        <v>6.7</v>
      </c>
      <c r="D988" s="2">
        <v>7.5</v>
      </c>
      <c r="E988" s="2">
        <v>8</v>
      </c>
      <c r="F988" s="2">
        <v>8.1999999999999993</v>
      </c>
      <c r="G988" s="2">
        <v>8</v>
      </c>
      <c r="H988" s="2">
        <f>AVERAGE(weather.tbl[[#This Row],[Estevan]:[Kipling]])</f>
        <v>7.3833333333333329</v>
      </c>
      <c r="I988" s="2">
        <f>_xlfn.STDEV.S(weather.tbl[[#This Row],[Estevan]:[Kipling]])</f>
        <v>0.90645830939247818</v>
      </c>
      <c r="J988" s="2">
        <f t="shared" si="15"/>
        <v>11.564285714285713</v>
      </c>
      <c r="K988">
        <f>DAY(weather.tbl[[#This Row],[Date]])</f>
        <v>13</v>
      </c>
      <c r="L988">
        <f>MONTH(weather.tbl[[#This Row],[Date]])</f>
        <v>9</v>
      </c>
      <c r="M988">
        <f>YEAR(weather.tbl[[#This Row],[Date]])</f>
        <v>2016</v>
      </c>
    </row>
    <row r="989" spans="1:13" x14ac:dyDescent="0.25">
      <c r="A989" s="1">
        <v>42627</v>
      </c>
      <c r="B989" s="2">
        <v>11.9</v>
      </c>
      <c r="C989" s="2">
        <v>11.2</v>
      </c>
      <c r="D989" s="2">
        <v>10.3</v>
      </c>
      <c r="E989" s="2">
        <v>11.8</v>
      </c>
      <c r="F989" s="2">
        <v>10.7</v>
      </c>
      <c r="G989" s="2">
        <v>11.5</v>
      </c>
      <c r="H989" s="2">
        <f>AVERAGE(weather.tbl[[#This Row],[Estevan]:[Kipling]])</f>
        <v>11.233333333333334</v>
      </c>
      <c r="I989" s="2">
        <f>_xlfn.STDEV.S(weather.tbl[[#This Row],[Estevan]:[Kipling]])</f>
        <v>0.63140055960275077</v>
      </c>
      <c r="J989" s="2">
        <f t="shared" si="15"/>
        <v>11.376190476190477</v>
      </c>
      <c r="K989">
        <f>DAY(weather.tbl[[#This Row],[Date]])</f>
        <v>14</v>
      </c>
      <c r="L989">
        <f>MONTH(weather.tbl[[#This Row],[Date]])</f>
        <v>9</v>
      </c>
      <c r="M989">
        <f>YEAR(weather.tbl[[#This Row],[Date]])</f>
        <v>2016</v>
      </c>
    </row>
    <row r="990" spans="1:13" x14ac:dyDescent="0.25">
      <c r="A990" s="1">
        <v>42628</v>
      </c>
      <c r="B990" s="2">
        <v>14.5</v>
      </c>
      <c r="C990" s="2">
        <v>15.8</v>
      </c>
      <c r="D990" s="2">
        <v>10.3</v>
      </c>
      <c r="E990" s="2">
        <v>15.5</v>
      </c>
      <c r="F990" s="2">
        <v>14.5</v>
      </c>
      <c r="G990" s="2">
        <v>15.3</v>
      </c>
      <c r="H990" s="2">
        <f>AVERAGE(weather.tbl[[#This Row],[Estevan]:[Kipling]])</f>
        <v>14.316666666666665</v>
      </c>
      <c r="I990" s="2">
        <f>_xlfn.STDEV.S(weather.tbl[[#This Row],[Estevan]:[Kipling]])</f>
        <v>2.0380546279888407</v>
      </c>
      <c r="J990" s="2">
        <f t="shared" si="15"/>
        <v>11.654761904761903</v>
      </c>
      <c r="K990">
        <f>DAY(weather.tbl[[#This Row],[Date]])</f>
        <v>15</v>
      </c>
      <c r="L990">
        <f>MONTH(weather.tbl[[#This Row],[Date]])</f>
        <v>9</v>
      </c>
      <c r="M990">
        <f>YEAR(weather.tbl[[#This Row],[Date]])</f>
        <v>2016</v>
      </c>
    </row>
    <row r="991" spans="1:13" x14ac:dyDescent="0.25">
      <c r="A991" s="1">
        <v>42629</v>
      </c>
      <c r="B991" s="2">
        <v>14.1</v>
      </c>
      <c r="C991" s="2">
        <v>14.2</v>
      </c>
      <c r="D991" s="2">
        <v>10.3</v>
      </c>
      <c r="E991" s="2">
        <v>14.5</v>
      </c>
      <c r="F991" s="2">
        <v>11.5</v>
      </c>
      <c r="G991" s="2">
        <v>13.3</v>
      </c>
      <c r="H991" s="2">
        <f>AVERAGE(weather.tbl[[#This Row],[Estevan]:[Kipling]])</f>
        <v>12.983333333333333</v>
      </c>
      <c r="I991" s="2">
        <f>_xlfn.STDEV.S(weather.tbl[[#This Row],[Estevan]:[Kipling]])</f>
        <v>1.7046016152364478</v>
      </c>
      <c r="J991" s="2">
        <f t="shared" si="15"/>
        <v>11.490476190476191</v>
      </c>
      <c r="K991">
        <f>DAY(weather.tbl[[#This Row],[Date]])</f>
        <v>16</v>
      </c>
      <c r="L991">
        <f>MONTH(weather.tbl[[#This Row],[Date]])</f>
        <v>9</v>
      </c>
      <c r="M991">
        <f>YEAR(weather.tbl[[#This Row],[Date]])</f>
        <v>2016</v>
      </c>
    </row>
    <row r="992" spans="1:13" x14ac:dyDescent="0.25">
      <c r="A992" s="1">
        <v>42630</v>
      </c>
      <c r="B992" s="2">
        <v>16.399999999999999</v>
      </c>
      <c r="C992" s="2">
        <v>17.5</v>
      </c>
      <c r="D992" s="2">
        <v>10.3</v>
      </c>
      <c r="E992" s="2">
        <v>16.5</v>
      </c>
      <c r="F992" s="2">
        <v>13.3</v>
      </c>
      <c r="G992" s="2">
        <v>15.3</v>
      </c>
      <c r="H992" s="2">
        <f>AVERAGE(weather.tbl[[#This Row],[Estevan]:[Kipling]])</f>
        <v>14.883333333333333</v>
      </c>
      <c r="I992" s="2">
        <f>_xlfn.STDEV.S(weather.tbl[[#This Row],[Estevan]:[Kipling]])</f>
        <v>2.662642797422647</v>
      </c>
      <c r="J992" s="2">
        <f t="shared" si="15"/>
        <v>11.730952380952383</v>
      </c>
      <c r="K992">
        <f>DAY(weather.tbl[[#This Row],[Date]])</f>
        <v>17</v>
      </c>
      <c r="L992">
        <f>MONTH(weather.tbl[[#This Row],[Date]])</f>
        <v>9</v>
      </c>
      <c r="M992">
        <f>YEAR(weather.tbl[[#This Row],[Date]])</f>
        <v>2016</v>
      </c>
    </row>
    <row r="993" spans="1:13" x14ac:dyDescent="0.25">
      <c r="A993" s="1">
        <v>42631</v>
      </c>
      <c r="B993" s="2">
        <v>16.5</v>
      </c>
      <c r="C993" s="2">
        <v>16.2</v>
      </c>
      <c r="D993" s="2">
        <v>19</v>
      </c>
      <c r="E993" s="2">
        <v>16.5</v>
      </c>
      <c r="F993" s="2">
        <v>18.399999999999999</v>
      </c>
      <c r="G993" s="2">
        <v>17.5</v>
      </c>
      <c r="H993" s="2">
        <f>AVERAGE(weather.tbl[[#This Row],[Estevan]:[Kipling]])</f>
        <v>17.349999999999998</v>
      </c>
      <c r="I993" s="2">
        <f>_xlfn.STDEV.S(weather.tbl[[#This Row],[Estevan]:[Kipling]])</f>
        <v>1.1502173707608487</v>
      </c>
      <c r="J993" s="2">
        <f t="shared" si="15"/>
        <v>12.247619047619045</v>
      </c>
      <c r="K993">
        <f>DAY(weather.tbl[[#This Row],[Date]])</f>
        <v>18</v>
      </c>
      <c r="L993">
        <f>MONTH(weather.tbl[[#This Row],[Date]])</f>
        <v>9</v>
      </c>
      <c r="M993">
        <f>YEAR(weather.tbl[[#This Row],[Date]])</f>
        <v>2016</v>
      </c>
    </row>
    <row r="994" spans="1:13" x14ac:dyDescent="0.25">
      <c r="A994" s="1">
        <v>42632</v>
      </c>
      <c r="B994" s="2">
        <v>13.7</v>
      </c>
      <c r="C994" s="2">
        <v>13.6</v>
      </c>
      <c r="D994" s="2">
        <v>14.3</v>
      </c>
      <c r="E994" s="2">
        <v>14.5</v>
      </c>
      <c r="F994" s="2">
        <v>14.5</v>
      </c>
      <c r="G994" s="2">
        <v>12.8</v>
      </c>
      <c r="H994" s="2">
        <f>AVERAGE(weather.tbl[[#This Row],[Estevan]:[Kipling]])</f>
        <v>13.899999999999999</v>
      </c>
      <c r="I994" s="2">
        <f>_xlfn.STDEV.S(weather.tbl[[#This Row],[Estevan]:[Kipling]])</f>
        <v>0.66633324995830723</v>
      </c>
      <c r="J994" s="2">
        <f t="shared" si="15"/>
        <v>13.149999999999997</v>
      </c>
      <c r="K994">
        <f>DAY(weather.tbl[[#This Row],[Date]])</f>
        <v>19</v>
      </c>
      <c r="L994">
        <f>MONTH(weather.tbl[[#This Row],[Date]])</f>
        <v>9</v>
      </c>
      <c r="M994">
        <f>YEAR(weather.tbl[[#This Row],[Date]])</f>
        <v>2016</v>
      </c>
    </row>
    <row r="995" spans="1:13" x14ac:dyDescent="0.25">
      <c r="A995" s="1">
        <v>42633</v>
      </c>
      <c r="B995" s="2">
        <v>11.7</v>
      </c>
      <c r="C995" s="2">
        <v>11.6</v>
      </c>
      <c r="D995" s="2">
        <v>10.5</v>
      </c>
      <c r="E995" s="2">
        <v>12.3</v>
      </c>
      <c r="F995" s="2">
        <v>11.8</v>
      </c>
      <c r="G995" s="2">
        <v>10.8</v>
      </c>
      <c r="H995" s="2">
        <f>AVERAGE(weather.tbl[[#This Row],[Estevan]:[Kipling]])</f>
        <v>11.449999999999998</v>
      </c>
      <c r="I995" s="2">
        <f>_xlfn.STDEV.S(weather.tbl[[#This Row],[Estevan]:[Kipling]])</f>
        <v>0.67156533561523268</v>
      </c>
      <c r="J995" s="2">
        <f t="shared" si="15"/>
        <v>13.730952380952379</v>
      </c>
      <c r="K995">
        <f>DAY(weather.tbl[[#This Row],[Date]])</f>
        <v>20</v>
      </c>
      <c r="L995">
        <f>MONTH(weather.tbl[[#This Row],[Date]])</f>
        <v>9</v>
      </c>
      <c r="M995">
        <f>YEAR(weather.tbl[[#This Row],[Date]])</f>
        <v>2016</v>
      </c>
    </row>
    <row r="996" spans="1:13" x14ac:dyDescent="0.25">
      <c r="A996" s="1">
        <v>42634</v>
      </c>
      <c r="B996" s="2">
        <v>10.8</v>
      </c>
      <c r="C996" s="2">
        <v>10.4</v>
      </c>
      <c r="D996" s="2">
        <v>10.5</v>
      </c>
      <c r="E996" s="2">
        <v>10</v>
      </c>
      <c r="F996" s="2">
        <v>11.9</v>
      </c>
      <c r="G996" s="2">
        <v>11.3</v>
      </c>
      <c r="H996" s="2">
        <f>AVERAGE(weather.tbl[[#This Row],[Estevan]:[Kipling]])</f>
        <v>10.816666666666668</v>
      </c>
      <c r="I996" s="2">
        <f>_xlfn.STDEV.S(weather.tbl[[#This Row],[Estevan]:[Kipling]])</f>
        <v>0.68532230860133747</v>
      </c>
      <c r="J996" s="2">
        <f t="shared" si="15"/>
        <v>13.671428571428573</v>
      </c>
      <c r="K996">
        <f>DAY(weather.tbl[[#This Row],[Date]])</f>
        <v>21</v>
      </c>
      <c r="L996">
        <f>MONTH(weather.tbl[[#This Row],[Date]])</f>
        <v>9</v>
      </c>
      <c r="M996">
        <f>YEAR(weather.tbl[[#This Row],[Date]])</f>
        <v>2016</v>
      </c>
    </row>
    <row r="997" spans="1:13" x14ac:dyDescent="0.25">
      <c r="A997" s="1">
        <v>42635</v>
      </c>
      <c r="B997" s="2">
        <v>12.5</v>
      </c>
      <c r="C997" s="2">
        <v>11.7</v>
      </c>
      <c r="D997" s="2">
        <v>10.5</v>
      </c>
      <c r="E997" s="2">
        <v>11</v>
      </c>
      <c r="F997" s="2">
        <v>11</v>
      </c>
      <c r="G997" s="2">
        <v>10.3</v>
      </c>
      <c r="H997" s="2">
        <f>AVERAGE(weather.tbl[[#This Row],[Estevan]:[Kipling]])</f>
        <v>11.166666666666666</v>
      </c>
      <c r="I997" s="2">
        <f>_xlfn.STDEV.S(weather.tbl[[#This Row],[Estevan]:[Kipling]])</f>
        <v>0.81404340588611512</v>
      </c>
      <c r="J997" s="2">
        <f t="shared" si="15"/>
        <v>13.221428571428572</v>
      </c>
      <c r="K997">
        <f>DAY(weather.tbl[[#This Row],[Date]])</f>
        <v>22</v>
      </c>
      <c r="L997">
        <f>MONTH(weather.tbl[[#This Row],[Date]])</f>
        <v>9</v>
      </c>
      <c r="M997">
        <f>YEAR(weather.tbl[[#This Row],[Date]])</f>
        <v>2016</v>
      </c>
    </row>
    <row r="998" spans="1:13" x14ac:dyDescent="0.25">
      <c r="A998" s="1">
        <v>42636</v>
      </c>
      <c r="B998" s="2">
        <v>10.3</v>
      </c>
      <c r="C998" s="2">
        <v>9.9</v>
      </c>
      <c r="D998" s="2">
        <v>10.3</v>
      </c>
      <c r="E998" s="2">
        <v>9.8000000000000007</v>
      </c>
      <c r="F998" s="2">
        <v>11.5</v>
      </c>
      <c r="G998" s="2">
        <v>9.5</v>
      </c>
      <c r="H998" s="2">
        <f>AVERAGE(weather.tbl[[#This Row],[Estevan]:[Kipling]])</f>
        <v>10.216666666666667</v>
      </c>
      <c r="I998" s="2">
        <f>_xlfn.STDEV.S(weather.tbl[[#This Row],[Estevan]:[Kipling]])</f>
        <v>0.69976186425573839</v>
      </c>
      <c r="J998" s="2">
        <f t="shared" si="15"/>
        <v>12.826190476190476</v>
      </c>
      <c r="K998">
        <f>DAY(weather.tbl[[#This Row],[Date]])</f>
        <v>23</v>
      </c>
      <c r="L998">
        <f>MONTH(weather.tbl[[#This Row],[Date]])</f>
        <v>9</v>
      </c>
      <c r="M998">
        <f>YEAR(weather.tbl[[#This Row],[Date]])</f>
        <v>2016</v>
      </c>
    </row>
    <row r="999" spans="1:13" x14ac:dyDescent="0.25">
      <c r="A999" s="1">
        <v>42637</v>
      </c>
      <c r="B999" s="2">
        <v>12.2</v>
      </c>
      <c r="C999" s="2">
        <v>11.1</v>
      </c>
      <c r="D999" s="2">
        <v>13.5</v>
      </c>
      <c r="E999" s="2">
        <v>11.5</v>
      </c>
      <c r="F999" s="2">
        <v>18.100000000000001</v>
      </c>
      <c r="G999" s="2">
        <v>11.5</v>
      </c>
      <c r="H999" s="2">
        <f>AVERAGE(weather.tbl[[#This Row],[Estevan]:[Kipling]])</f>
        <v>12.983333333333334</v>
      </c>
      <c r="I999" s="2">
        <f>_xlfn.STDEV.S(weather.tbl[[#This Row],[Estevan]:[Kipling]])</f>
        <v>2.6460662627127585</v>
      </c>
      <c r="J999" s="2">
        <f t="shared" si="15"/>
        <v>12.554761904761905</v>
      </c>
      <c r="K999">
        <f>DAY(weather.tbl[[#This Row],[Date]])</f>
        <v>24</v>
      </c>
      <c r="L999">
        <f>MONTH(weather.tbl[[#This Row],[Date]])</f>
        <v>9</v>
      </c>
      <c r="M999">
        <f>YEAR(weather.tbl[[#This Row],[Date]])</f>
        <v>2016</v>
      </c>
    </row>
    <row r="1000" spans="1:13" x14ac:dyDescent="0.25">
      <c r="A1000" s="1">
        <v>42638</v>
      </c>
      <c r="B1000" s="2">
        <v>10.5</v>
      </c>
      <c r="C1000" s="2">
        <v>11.1</v>
      </c>
      <c r="D1000" s="2">
        <v>11.3</v>
      </c>
      <c r="E1000" s="2">
        <v>11.5</v>
      </c>
      <c r="F1000" s="2">
        <v>11.7</v>
      </c>
      <c r="G1000" s="2">
        <v>10.8</v>
      </c>
      <c r="H1000" s="2">
        <f>AVERAGE(weather.tbl[[#This Row],[Estevan]:[Kipling]])</f>
        <v>11.15</v>
      </c>
      <c r="I1000" s="2">
        <f>_xlfn.STDEV.S(weather.tbl[[#This Row],[Estevan]:[Kipling]])</f>
        <v>0.44609416046390898</v>
      </c>
      <c r="J1000" s="2">
        <f t="shared" si="15"/>
        <v>11.669047619047619</v>
      </c>
      <c r="K1000">
        <f>DAY(weather.tbl[[#This Row],[Date]])</f>
        <v>25</v>
      </c>
      <c r="L1000">
        <f>MONTH(weather.tbl[[#This Row],[Date]])</f>
        <v>9</v>
      </c>
      <c r="M1000">
        <f>YEAR(weather.tbl[[#This Row],[Date]])</f>
        <v>2016</v>
      </c>
    </row>
    <row r="1001" spans="1:13" x14ac:dyDescent="0.25">
      <c r="A1001" s="1">
        <v>42639</v>
      </c>
      <c r="B1001" s="2">
        <v>10.199999999999999</v>
      </c>
      <c r="C1001" s="2">
        <v>9.9</v>
      </c>
      <c r="D1001" s="2">
        <v>9.8000000000000007</v>
      </c>
      <c r="E1001" s="2">
        <v>12.5</v>
      </c>
      <c r="F1001" s="2">
        <v>10.8</v>
      </c>
      <c r="G1001" s="2">
        <v>9.5</v>
      </c>
      <c r="H1001" s="2">
        <f>AVERAGE(weather.tbl[[#This Row],[Estevan]:[Kipling]])</f>
        <v>10.450000000000001</v>
      </c>
      <c r="I1001" s="2">
        <f>_xlfn.STDEV.S(weather.tbl[[#This Row],[Estevan]:[Kipling]])</f>
        <v>1.0968135666557011</v>
      </c>
      <c r="J1001" s="2">
        <f t="shared" si="15"/>
        <v>11.176190476190476</v>
      </c>
      <c r="K1001">
        <f>DAY(weather.tbl[[#This Row],[Date]])</f>
        <v>26</v>
      </c>
      <c r="L1001">
        <f>MONTH(weather.tbl[[#This Row],[Date]])</f>
        <v>9</v>
      </c>
      <c r="M1001">
        <f>YEAR(weather.tbl[[#This Row],[Date]])</f>
        <v>2016</v>
      </c>
    </row>
    <row r="1002" spans="1:13" x14ac:dyDescent="0.25">
      <c r="A1002" s="1">
        <v>42640</v>
      </c>
      <c r="B1002" s="2">
        <v>12.8</v>
      </c>
      <c r="C1002" s="2">
        <v>13.7</v>
      </c>
      <c r="D1002" s="2">
        <v>11</v>
      </c>
      <c r="E1002" s="2">
        <v>15</v>
      </c>
      <c r="F1002" s="2">
        <v>11</v>
      </c>
      <c r="G1002" s="2">
        <v>11.8</v>
      </c>
      <c r="H1002" s="2">
        <f>AVERAGE(weather.tbl[[#This Row],[Estevan]:[Kipling]])</f>
        <v>12.549999999999999</v>
      </c>
      <c r="I1002" s="2">
        <f>_xlfn.STDEV.S(weather.tbl[[#This Row],[Estevan]:[Kipling]])</f>
        <v>1.5971850237214291</v>
      </c>
      <c r="J1002" s="2">
        <f t="shared" si="15"/>
        <v>11.333333333333332</v>
      </c>
      <c r="K1002">
        <f>DAY(weather.tbl[[#This Row],[Date]])</f>
        <v>27</v>
      </c>
      <c r="L1002">
        <f>MONTH(weather.tbl[[#This Row],[Date]])</f>
        <v>9</v>
      </c>
      <c r="M1002">
        <f>YEAR(weather.tbl[[#This Row],[Date]])</f>
        <v>2016</v>
      </c>
    </row>
    <row r="1003" spans="1:13" x14ac:dyDescent="0.25">
      <c r="A1003" s="1">
        <v>42641</v>
      </c>
      <c r="B1003" s="2">
        <v>13.1</v>
      </c>
      <c r="C1003" s="2">
        <v>14</v>
      </c>
      <c r="D1003" s="2">
        <v>11.8</v>
      </c>
      <c r="E1003" s="2">
        <v>15.8</v>
      </c>
      <c r="F1003" s="2">
        <v>10.8</v>
      </c>
      <c r="G1003" s="2">
        <v>13</v>
      </c>
      <c r="H1003" s="2">
        <f>AVERAGE(weather.tbl[[#This Row],[Estevan]:[Kipling]])</f>
        <v>13.083333333333334</v>
      </c>
      <c r="I1003" s="2">
        <f>_xlfn.STDEV.S(weather.tbl[[#This Row],[Estevan]:[Kipling]])</f>
        <v>1.7371432487468248</v>
      </c>
      <c r="J1003" s="2">
        <f t="shared" si="15"/>
        <v>11.657142857142857</v>
      </c>
      <c r="K1003">
        <f>DAY(weather.tbl[[#This Row],[Date]])</f>
        <v>28</v>
      </c>
      <c r="L1003">
        <f>MONTH(weather.tbl[[#This Row],[Date]])</f>
        <v>9</v>
      </c>
      <c r="M1003">
        <f>YEAR(weather.tbl[[#This Row],[Date]])</f>
        <v>2016</v>
      </c>
    </row>
    <row r="1004" spans="1:13" x14ac:dyDescent="0.25">
      <c r="A1004" s="1">
        <v>42642</v>
      </c>
      <c r="B1004" s="2">
        <v>14.7</v>
      </c>
      <c r="C1004" s="2">
        <v>16.8</v>
      </c>
      <c r="D1004" s="2">
        <v>13.3</v>
      </c>
      <c r="E1004" s="2">
        <v>18</v>
      </c>
      <c r="F1004" s="2">
        <v>13.7</v>
      </c>
      <c r="G1004" s="2">
        <v>14.8</v>
      </c>
      <c r="H1004" s="2">
        <f>AVERAGE(weather.tbl[[#This Row],[Estevan]:[Kipling]])</f>
        <v>15.216666666666667</v>
      </c>
      <c r="I1004" s="2">
        <f>_xlfn.STDEV.S(weather.tbl[[#This Row],[Estevan]:[Kipling]])</f>
        <v>1.8258331431614183</v>
      </c>
      <c r="J1004" s="2">
        <f t="shared" si="15"/>
        <v>12.235714285714286</v>
      </c>
      <c r="K1004">
        <f>DAY(weather.tbl[[#This Row],[Date]])</f>
        <v>29</v>
      </c>
      <c r="L1004">
        <f>MONTH(weather.tbl[[#This Row],[Date]])</f>
        <v>9</v>
      </c>
      <c r="M1004">
        <f>YEAR(weather.tbl[[#This Row],[Date]])</f>
        <v>2016</v>
      </c>
    </row>
    <row r="1005" spans="1:13" x14ac:dyDescent="0.25">
      <c r="A1005" s="1">
        <v>42643</v>
      </c>
      <c r="B1005" s="2">
        <v>11.7</v>
      </c>
      <c r="C1005" s="2">
        <v>12</v>
      </c>
      <c r="D1005" s="2">
        <v>12</v>
      </c>
      <c r="E1005" s="2">
        <v>13.8</v>
      </c>
      <c r="F1005" s="2">
        <v>14</v>
      </c>
      <c r="G1005" s="2">
        <v>14.3</v>
      </c>
      <c r="H1005" s="2">
        <f>AVERAGE(weather.tbl[[#This Row],[Estevan]:[Kipling]])</f>
        <v>12.966666666666667</v>
      </c>
      <c r="I1005" s="2">
        <f>_xlfn.STDEV.S(weather.tbl[[#This Row],[Estevan]:[Kipling]])</f>
        <v>1.1843422928641314</v>
      </c>
      <c r="J1005" s="2">
        <f t="shared" si="15"/>
        <v>12.62857142857143</v>
      </c>
      <c r="K1005">
        <f>DAY(weather.tbl[[#This Row],[Date]])</f>
        <v>30</v>
      </c>
      <c r="L1005">
        <f>MONTH(weather.tbl[[#This Row],[Date]])</f>
        <v>9</v>
      </c>
      <c r="M1005">
        <f>YEAR(weather.tbl[[#This Row],[Date]])</f>
        <v>2016</v>
      </c>
    </row>
    <row r="1006" spans="1:13" x14ac:dyDescent="0.25">
      <c r="A1006" s="1">
        <v>42644</v>
      </c>
      <c r="B1006" s="2">
        <v>14.1</v>
      </c>
      <c r="C1006" s="2">
        <v>14.9</v>
      </c>
      <c r="D1006" s="2">
        <v>14.3</v>
      </c>
      <c r="E1006" s="2">
        <v>14.5</v>
      </c>
      <c r="F1006" s="2">
        <v>17.600000000000001</v>
      </c>
      <c r="G1006" s="2">
        <v>13.5</v>
      </c>
      <c r="H1006" s="2">
        <f>AVERAGE(weather.tbl[[#This Row],[Estevan]:[Kipling]])</f>
        <v>14.816666666666668</v>
      </c>
      <c r="I1006" s="2">
        <f>_xlfn.STDEV.S(weather.tbl[[#This Row],[Estevan]:[Kipling]])</f>
        <v>1.4400231479620973</v>
      </c>
      <c r="J1006" s="2">
        <f t="shared" si="15"/>
        <v>12.890476190476191</v>
      </c>
      <c r="K1006">
        <f>DAY(weather.tbl[[#This Row],[Date]])</f>
        <v>1</v>
      </c>
      <c r="L1006">
        <f>MONTH(weather.tbl[[#This Row],[Date]])</f>
        <v>10</v>
      </c>
      <c r="M1006">
        <f>YEAR(weather.tbl[[#This Row],[Date]])</f>
        <v>2016</v>
      </c>
    </row>
    <row r="1007" spans="1:13" x14ac:dyDescent="0.25">
      <c r="A1007" s="1">
        <v>42645</v>
      </c>
      <c r="B1007" s="2">
        <v>13.7</v>
      </c>
      <c r="C1007" s="2">
        <v>14.5</v>
      </c>
      <c r="D1007" s="2">
        <v>14.3</v>
      </c>
      <c r="E1007" s="2">
        <v>14.5</v>
      </c>
      <c r="F1007" s="2">
        <v>14.7</v>
      </c>
      <c r="G1007" s="2">
        <v>13.3</v>
      </c>
      <c r="H1007" s="2">
        <f>AVERAGE(weather.tbl[[#This Row],[Estevan]:[Kipling]])</f>
        <v>14.166666666666666</v>
      </c>
      <c r="I1007" s="2">
        <f>_xlfn.STDEV.S(weather.tbl[[#This Row],[Estevan]:[Kipling]])</f>
        <v>0.54650404085117843</v>
      </c>
      <c r="J1007" s="2">
        <f t="shared" si="15"/>
        <v>13.321428571428571</v>
      </c>
      <c r="K1007">
        <f>DAY(weather.tbl[[#This Row],[Date]])</f>
        <v>2</v>
      </c>
      <c r="L1007">
        <f>MONTH(weather.tbl[[#This Row],[Date]])</f>
        <v>10</v>
      </c>
      <c r="M1007">
        <f>YEAR(weather.tbl[[#This Row],[Date]])</f>
        <v>2016</v>
      </c>
    </row>
    <row r="1008" spans="1:13" x14ac:dyDescent="0.25">
      <c r="A1008" s="1">
        <v>42646</v>
      </c>
      <c r="B1008" s="2">
        <v>10</v>
      </c>
      <c r="C1008" s="2">
        <v>9.6999999999999993</v>
      </c>
      <c r="D1008" s="2">
        <v>10.3</v>
      </c>
      <c r="E1008" s="2">
        <v>7.8</v>
      </c>
      <c r="F1008" s="2">
        <v>12.8</v>
      </c>
      <c r="G1008" s="2">
        <v>9</v>
      </c>
      <c r="H1008" s="2">
        <f>AVERAGE(weather.tbl[[#This Row],[Estevan]:[Kipling]])</f>
        <v>9.9333333333333318</v>
      </c>
      <c r="I1008" s="2">
        <f>_xlfn.STDEV.S(weather.tbl[[#This Row],[Estevan]:[Kipling]])</f>
        <v>1.663329993316629</v>
      </c>
      <c r="J1008" s="2">
        <f t="shared" si="15"/>
        <v>13.24761904761905</v>
      </c>
      <c r="K1008">
        <f>DAY(weather.tbl[[#This Row],[Date]])</f>
        <v>3</v>
      </c>
      <c r="L1008">
        <f>MONTH(weather.tbl[[#This Row],[Date]])</f>
        <v>10</v>
      </c>
      <c r="M1008">
        <f>YEAR(weather.tbl[[#This Row],[Date]])</f>
        <v>2016</v>
      </c>
    </row>
    <row r="1009" spans="1:13" x14ac:dyDescent="0.25">
      <c r="A1009" s="1">
        <v>42647</v>
      </c>
      <c r="B1009" s="2">
        <v>12.7</v>
      </c>
      <c r="C1009" s="2">
        <v>10.7</v>
      </c>
      <c r="D1009" s="2">
        <v>13.8</v>
      </c>
      <c r="E1009" s="2">
        <v>8.5</v>
      </c>
      <c r="F1009" s="2">
        <v>13.4</v>
      </c>
      <c r="G1009" s="2">
        <v>10.5</v>
      </c>
      <c r="H1009" s="2">
        <f>AVERAGE(weather.tbl[[#This Row],[Estevan]:[Kipling]])</f>
        <v>11.6</v>
      </c>
      <c r="I1009" s="2">
        <f>_xlfn.STDEV.S(weather.tbl[[#This Row],[Estevan]:[Kipling]])</f>
        <v>2.0454828280873047</v>
      </c>
      <c r="J1009" s="2">
        <f t="shared" si="15"/>
        <v>13.111904761904762</v>
      </c>
      <c r="K1009">
        <f>DAY(weather.tbl[[#This Row],[Date]])</f>
        <v>4</v>
      </c>
      <c r="L1009">
        <f>MONTH(weather.tbl[[#This Row],[Date]])</f>
        <v>10</v>
      </c>
      <c r="M1009">
        <f>YEAR(weather.tbl[[#This Row],[Date]])</f>
        <v>2016</v>
      </c>
    </row>
    <row r="1010" spans="1:13" x14ac:dyDescent="0.25">
      <c r="A1010" s="1">
        <v>42648</v>
      </c>
      <c r="B1010" s="2">
        <v>3.9</v>
      </c>
      <c r="C1010" s="2">
        <v>4.0999999999999996</v>
      </c>
      <c r="D1010" s="2">
        <v>2</v>
      </c>
      <c r="E1010" s="2">
        <v>0.8</v>
      </c>
      <c r="F1010" s="2">
        <v>4.9000000000000004</v>
      </c>
      <c r="G1010" s="2">
        <v>2</v>
      </c>
      <c r="H1010" s="2">
        <f>AVERAGE(weather.tbl[[#This Row],[Estevan]:[Kipling]])</f>
        <v>2.9500000000000006</v>
      </c>
      <c r="I1010" s="2">
        <f>_xlfn.STDEV.S(weather.tbl[[#This Row],[Estevan]:[Kipling]])</f>
        <v>1.578290214124132</v>
      </c>
      <c r="J1010" s="2">
        <f t="shared" si="15"/>
        <v>11.664285714285713</v>
      </c>
      <c r="K1010">
        <f>DAY(weather.tbl[[#This Row],[Date]])</f>
        <v>5</v>
      </c>
      <c r="L1010">
        <f>MONTH(weather.tbl[[#This Row],[Date]])</f>
        <v>10</v>
      </c>
      <c r="M1010">
        <f>YEAR(weather.tbl[[#This Row],[Date]])</f>
        <v>2016</v>
      </c>
    </row>
    <row r="1011" spans="1:13" x14ac:dyDescent="0.25">
      <c r="A1011" s="1">
        <v>42649</v>
      </c>
      <c r="B1011" s="2">
        <v>0.6</v>
      </c>
      <c r="C1011" s="2">
        <v>-0.2</v>
      </c>
      <c r="D1011" s="2">
        <v>0.3</v>
      </c>
      <c r="E1011" s="2">
        <v>0.3</v>
      </c>
      <c r="F1011" s="2">
        <v>2.2999999999999998</v>
      </c>
      <c r="G1011" s="2">
        <v>-0.5</v>
      </c>
      <c r="H1011" s="2">
        <f>AVERAGE(weather.tbl[[#This Row],[Estevan]:[Kipling]])</f>
        <v>0.46666666666666662</v>
      </c>
      <c r="I1011" s="2">
        <f>_xlfn.STDEV.S(weather.tbl[[#This Row],[Estevan]:[Kipling]])</f>
        <v>0.98115578103921219</v>
      </c>
      <c r="J1011" s="2">
        <f t="shared" si="15"/>
        <v>9.5571428571428587</v>
      </c>
      <c r="K1011">
        <f>DAY(weather.tbl[[#This Row],[Date]])</f>
        <v>6</v>
      </c>
      <c r="L1011">
        <f>MONTH(weather.tbl[[#This Row],[Date]])</f>
        <v>10</v>
      </c>
      <c r="M1011">
        <f>YEAR(weather.tbl[[#This Row],[Date]])</f>
        <v>2016</v>
      </c>
    </row>
    <row r="1012" spans="1:13" x14ac:dyDescent="0.25">
      <c r="A1012" s="1">
        <v>42650</v>
      </c>
      <c r="B1012" s="2">
        <v>1.3</v>
      </c>
      <c r="C1012" s="2">
        <v>0.8</v>
      </c>
      <c r="D1012" s="2">
        <v>1.3</v>
      </c>
      <c r="E1012" s="2">
        <v>1.8</v>
      </c>
      <c r="F1012" s="2">
        <v>1.6</v>
      </c>
      <c r="G1012" s="2">
        <v>0</v>
      </c>
      <c r="H1012" s="2">
        <f>AVERAGE(weather.tbl[[#This Row],[Estevan]:[Kipling]])</f>
        <v>1.1333333333333335</v>
      </c>
      <c r="I1012" s="2">
        <f>_xlfn.STDEV.S(weather.tbl[[#This Row],[Estevan]:[Kipling]])</f>
        <v>0.65012819248719433</v>
      </c>
      <c r="J1012" s="2">
        <f t="shared" si="15"/>
        <v>7.8666666666666671</v>
      </c>
      <c r="K1012">
        <f>DAY(weather.tbl[[#This Row],[Date]])</f>
        <v>7</v>
      </c>
      <c r="L1012">
        <f>MONTH(weather.tbl[[#This Row],[Date]])</f>
        <v>10</v>
      </c>
      <c r="M1012">
        <f>YEAR(weather.tbl[[#This Row],[Date]])</f>
        <v>2016</v>
      </c>
    </row>
    <row r="1013" spans="1:13" x14ac:dyDescent="0.25">
      <c r="A1013" s="1">
        <v>42651</v>
      </c>
      <c r="B1013" s="2">
        <v>2.2000000000000002</v>
      </c>
      <c r="C1013" s="2">
        <v>2.2000000000000002</v>
      </c>
      <c r="D1013" s="2">
        <v>8</v>
      </c>
      <c r="E1013" s="2">
        <v>1.8</v>
      </c>
      <c r="F1013" s="2">
        <v>2</v>
      </c>
      <c r="G1013" s="2">
        <v>0.8</v>
      </c>
      <c r="H1013" s="2">
        <f>AVERAGE(weather.tbl[[#This Row],[Estevan]:[Kipling]])</f>
        <v>2.8333333333333339</v>
      </c>
      <c r="I1013" s="2">
        <f>_xlfn.STDEV.S(weather.tbl[[#This Row],[Estevan]:[Kipling]])</f>
        <v>2.5843116427139092</v>
      </c>
      <c r="J1013" s="2">
        <f t="shared" si="15"/>
        <v>6.1547619047619051</v>
      </c>
      <c r="K1013">
        <f>DAY(weather.tbl[[#This Row],[Date]])</f>
        <v>8</v>
      </c>
      <c r="L1013">
        <f>MONTH(weather.tbl[[#This Row],[Date]])</f>
        <v>10</v>
      </c>
      <c r="M1013">
        <f>YEAR(weather.tbl[[#This Row],[Date]])</f>
        <v>2016</v>
      </c>
    </row>
    <row r="1014" spans="1:13" x14ac:dyDescent="0.25">
      <c r="A1014" s="1">
        <v>42652</v>
      </c>
      <c r="B1014" s="2">
        <v>11.8</v>
      </c>
      <c r="C1014" s="2">
        <v>9.9</v>
      </c>
      <c r="D1014" s="2">
        <v>8</v>
      </c>
      <c r="E1014" s="2">
        <v>1.8</v>
      </c>
      <c r="F1014" s="2">
        <v>8.1999999999999993</v>
      </c>
      <c r="G1014" s="2">
        <v>8</v>
      </c>
      <c r="H1014" s="2">
        <f>AVERAGE(weather.tbl[[#This Row],[Estevan]:[Kipling]])</f>
        <v>7.95</v>
      </c>
      <c r="I1014" s="2">
        <f>_xlfn.STDEV.S(weather.tbl[[#This Row],[Estevan]:[Kipling]])</f>
        <v>3.3619934562696558</v>
      </c>
      <c r="J1014" s="2">
        <f t="shared" si="15"/>
        <v>5.2666666666666666</v>
      </c>
      <c r="K1014">
        <f>DAY(weather.tbl[[#This Row],[Date]])</f>
        <v>9</v>
      </c>
      <c r="L1014">
        <f>MONTH(weather.tbl[[#This Row],[Date]])</f>
        <v>10</v>
      </c>
      <c r="M1014">
        <f>YEAR(weather.tbl[[#This Row],[Date]])</f>
        <v>2016</v>
      </c>
    </row>
    <row r="1015" spans="1:13" x14ac:dyDescent="0.25">
      <c r="A1015" s="1">
        <v>42653</v>
      </c>
      <c r="B1015" s="2">
        <v>2.6</v>
      </c>
      <c r="C1015" s="2">
        <v>0.6</v>
      </c>
      <c r="D1015" s="2">
        <v>2.2999999999999998</v>
      </c>
      <c r="E1015" s="2">
        <v>0.5</v>
      </c>
      <c r="F1015" s="2">
        <v>4.2</v>
      </c>
      <c r="G1015" s="2">
        <v>0.5</v>
      </c>
      <c r="H1015" s="2">
        <f>AVERAGE(weather.tbl[[#This Row],[Estevan]:[Kipling]])</f>
        <v>1.7833333333333332</v>
      </c>
      <c r="I1015" s="2">
        <f>_xlfn.STDEV.S(weather.tbl[[#This Row],[Estevan]:[Kipling]])</f>
        <v>1.5144856112445135</v>
      </c>
      <c r="J1015" s="2">
        <f t="shared" si="15"/>
        <v>4.1023809523809529</v>
      </c>
      <c r="K1015">
        <f>DAY(weather.tbl[[#This Row],[Date]])</f>
        <v>10</v>
      </c>
      <c r="L1015">
        <f>MONTH(weather.tbl[[#This Row],[Date]])</f>
        <v>10</v>
      </c>
      <c r="M1015">
        <f>YEAR(weather.tbl[[#This Row],[Date]])</f>
        <v>2016</v>
      </c>
    </row>
    <row r="1016" spans="1:13" x14ac:dyDescent="0.25">
      <c r="A1016" s="1">
        <v>42654</v>
      </c>
      <c r="B1016" s="2">
        <v>1.2</v>
      </c>
      <c r="C1016" s="2">
        <v>-0.2</v>
      </c>
      <c r="D1016" s="2">
        <v>1.3</v>
      </c>
      <c r="E1016" s="2">
        <v>0.8</v>
      </c>
      <c r="F1016" s="2">
        <v>1</v>
      </c>
      <c r="G1016" s="2">
        <v>-0.3</v>
      </c>
      <c r="H1016" s="2">
        <f>AVERAGE(weather.tbl[[#This Row],[Estevan]:[Kipling]])</f>
        <v>0.6333333333333333</v>
      </c>
      <c r="I1016" s="2">
        <f>_xlfn.STDEV.S(weather.tbl[[#This Row],[Estevan]:[Kipling]])</f>
        <v>0.70616334276615256</v>
      </c>
      <c r="J1016" s="2">
        <f t="shared" si="15"/>
        <v>2.5357142857142856</v>
      </c>
      <c r="K1016">
        <f>DAY(weather.tbl[[#This Row],[Date]])</f>
        <v>11</v>
      </c>
      <c r="L1016">
        <f>MONTH(weather.tbl[[#This Row],[Date]])</f>
        <v>10</v>
      </c>
      <c r="M1016">
        <f>YEAR(weather.tbl[[#This Row],[Date]])</f>
        <v>2016</v>
      </c>
    </row>
    <row r="1017" spans="1:13" x14ac:dyDescent="0.25">
      <c r="A1017" s="1">
        <v>42655</v>
      </c>
      <c r="B1017" s="2">
        <v>1.2</v>
      </c>
      <c r="C1017" s="2">
        <v>1.3</v>
      </c>
      <c r="D1017" s="2">
        <v>0.3</v>
      </c>
      <c r="E1017" s="2">
        <v>2.5</v>
      </c>
      <c r="F1017" s="2">
        <v>0.9</v>
      </c>
      <c r="G1017" s="2">
        <v>0.8</v>
      </c>
      <c r="H1017" s="2">
        <f>AVERAGE(weather.tbl[[#This Row],[Estevan]:[Kipling]])</f>
        <v>1.1666666666666667</v>
      </c>
      <c r="I1017" s="2">
        <f>_xlfn.STDEV.S(weather.tbl[[#This Row],[Estevan]:[Kipling]])</f>
        <v>0.74206917916503357</v>
      </c>
      <c r="J1017" s="2">
        <f t="shared" si="15"/>
        <v>2.2809523809523808</v>
      </c>
      <c r="K1017">
        <f>DAY(weather.tbl[[#This Row],[Date]])</f>
        <v>12</v>
      </c>
      <c r="L1017">
        <f>MONTH(weather.tbl[[#This Row],[Date]])</f>
        <v>10</v>
      </c>
      <c r="M1017">
        <f>YEAR(weather.tbl[[#This Row],[Date]])</f>
        <v>2016</v>
      </c>
    </row>
    <row r="1018" spans="1:13" x14ac:dyDescent="0.25">
      <c r="A1018" s="1">
        <v>42656</v>
      </c>
      <c r="B1018" s="2">
        <v>1.3</v>
      </c>
      <c r="C1018" s="2">
        <v>0.7</v>
      </c>
      <c r="D1018" s="2">
        <v>0.8</v>
      </c>
      <c r="E1018" s="2">
        <v>1.8</v>
      </c>
      <c r="F1018" s="2">
        <v>0.4</v>
      </c>
      <c r="G1018" s="2">
        <v>0.3</v>
      </c>
      <c r="H1018" s="2">
        <f>AVERAGE(weather.tbl[[#This Row],[Estevan]:[Kipling]])</f>
        <v>0.8833333333333333</v>
      </c>
      <c r="I1018" s="2">
        <f>_xlfn.STDEV.S(weather.tbl[[#This Row],[Estevan]:[Kipling]])</f>
        <v>0.57067211835402187</v>
      </c>
      <c r="J1018" s="2">
        <f t="shared" si="15"/>
        <v>2.3404761904761906</v>
      </c>
      <c r="K1018">
        <f>DAY(weather.tbl[[#This Row],[Date]])</f>
        <v>13</v>
      </c>
      <c r="L1018">
        <f>MONTH(weather.tbl[[#This Row],[Date]])</f>
        <v>10</v>
      </c>
      <c r="M1018">
        <f>YEAR(weather.tbl[[#This Row],[Date]])</f>
        <v>2016</v>
      </c>
    </row>
    <row r="1019" spans="1:13" x14ac:dyDescent="0.25">
      <c r="A1019" s="1">
        <v>42657</v>
      </c>
      <c r="B1019" s="2">
        <v>9.6999999999999993</v>
      </c>
      <c r="C1019" s="2">
        <v>9.6</v>
      </c>
      <c r="D1019" s="2">
        <v>8.3000000000000007</v>
      </c>
      <c r="E1019" s="2">
        <v>10.8</v>
      </c>
      <c r="F1019" s="2">
        <v>9.5</v>
      </c>
      <c r="G1019" s="2">
        <v>8.3000000000000007</v>
      </c>
      <c r="H1019" s="2">
        <f>AVERAGE(weather.tbl[[#This Row],[Estevan]:[Kipling]])</f>
        <v>9.3666666666666671</v>
      </c>
      <c r="I1019" s="2">
        <f>_xlfn.STDEV.S(weather.tbl[[#This Row],[Estevan]:[Kipling]])</f>
        <v>0.95008771524879032</v>
      </c>
      <c r="J1019" s="2">
        <f t="shared" si="15"/>
        <v>3.5166666666666666</v>
      </c>
      <c r="K1019">
        <f>DAY(weather.tbl[[#This Row],[Date]])</f>
        <v>14</v>
      </c>
      <c r="L1019">
        <f>MONTH(weather.tbl[[#This Row],[Date]])</f>
        <v>10</v>
      </c>
      <c r="M1019">
        <f>YEAR(weather.tbl[[#This Row],[Date]])</f>
        <v>2016</v>
      </c>
    </row>
    <row r="1020" spans="1:13" x14ac:dyDescent="0.25">
      <c r="A1020" s="1">
        <v>42658</v>
      </c>
      <c r="B1020" s="2">
        <v>10.8</v>
      </c>
      <c r="C1020" s="2">
        <v>7</v>
      </c>
      <c r="D1020" s="2">
        <v>9.8000000000000007</v>
      </c>
      <c r="E1020" s="2">
        <v>8</v>
      </c>
      <c r="F1020" s="2">
        <v>9.3000000000000007</v>
      </c>
      <c r="G1020" s="2">
        <v>5.5</v>
      </c>
      <c r="H1020" s="2">
        <f>AVERAGE(weather.tbl[[#This Row],[Estevan]:[Kipling]])</f>
        <v>8.4</v>
      </c>
      <c r="I1020" s="2">
        <f>_xlfn.STDEV.S(weather.tbl[[#This Row],[Estevan]:[Kipling]])</f>
        <v>1.952434377898522</v>
      </c>
      <c r="J1020" s="2">
        <f t="shared" si="15"/>
        <v>4.3119047619047617</v>
      </c>
      <c r="K1020">
        <f>DAY(weather.tbl[[#This Row],[Date]])</f>
        <v>15</v>
      </c>
      <c r="L1020">
        <f>MONTH(weather.tbl[[#This Row],[Date]])</f>
        <v>10</v>
      </c>
      <c r="M1020">
        <f>YEAR(weather.tbl[[#This Row],[Date]])</f>
        <v>2016</v>
      </c>
    </row>
    <row r="1021" spans="1:13" x14ac:dyDescent="0.25">
      <c r="A1021" s="1">
        <v>42659</v>
      </c>
      <c r="B1021" s="2">
        <v>7.7</v>
      </c>
      <c r="C1021" s="2">
        <v>7</v>
      </c>
      <c r="D1021" s="2">
        <v>9.8000000000000007</v>
      </c>
      <c r="E1021" s="2">
        <v>6</v>
      </c>
      <c r="F1021" s="2">
        <v>7</v>
      </c>
      <c r="G1021" s="2">
        <v>4</v>
      </c>
      <c r="H1021" s="2">
        <f>AVERAGE(weather.tbl[[#This Row],[Estevan]:[Kipling]])</f>
        <v>6.916666666666667</v>
      </c>
      <c r="I1021" s="2">
        <f>_xlfn.STDEV.S(weather.tbl[[#This Row],[Estevan]:[Kipling]])</f>
        <v>1.912502723309609</v>
      </c>
      <c r="J1021" s="2">
        <f t="shared" si="15"/>
        <v>4.1642857142857146</v>
      </c>
      <c r="K1021">
        <f>DAY(weather.tbl[[#This Row],[Date]])</f>
        <v>16</v>
      </c>
      <c r="L1021">
        <f>MONTH(weather.tbl[[#This Row],[Date]])</f>
        <v>10</v>
      </c>
      <c r="M1021">
        <f>YEAR(weather.tbl[[#This Row],[Date]])</f>
        <v>2016</v>
      </c>
    </row>
    <row r="1022" spans="1:13" x14ac:dyDescent="0.25">
      <c r="A1022" s="1">
        <v>42660</v>
      </c>
      <c r="B1022" s="2">
        <v>5</v>
      </c>
      <c r="C1022" s="2">
        <v>3.7</v>
      </c>
      <c r="D1022" s="2">
        <v>4.8</v>
      </c>
      <c r="E1022" s="2">
        <v>3.3</v>
      </c>
      <c r="F1022" s="2">
        <v>7</v>
      </c>
      <c r="G1022" s="2">
        <v>3.8</v>
      </c>
      <c r="H1022" s="2">
        <f>AVERAGE(weather.tbl[[#This Row],[Estevan]:[Kipling]])</f>
        <v>4.6000000000000005</v>
      </c>
      <c r="I1022" s="2">
        <f>_xlfn.STDEV.S(weather.tbl[[#This Row],[Estevan]:[Kipling]])</f>
        <v>1.3490737563232027</v>
      </c>
      <c r="J1022" s="2">
        <f t="shared" si="15"/>
        <v>4.5666666666666673</v>
      </c>
      <c r="K1022">
        <f>DAY(weather.tbl[[#This Row],[Date]])</f>
        <v>17</v>
      </c>
      <c r="L1022">
        <f>MONTH(weather.tbl[[#This Row],[Date]])</f>
        <v>10</v>
      </c>
      <c r="M1022">
        <f>YEAR(weather.tbl[[#This Row],[Date]])</f>
        <v>2016</v>
      </c>
    </row>
    <row r="1023" spans="1:13" x14ac:dyDescent="0.25">
      <c r="A1023" s="1">
        <v>42661</v>
      </c>
      <c r="B1023" s="2">
        <v>1.7</v>
      </c>
      <c r="C1023" s="2">
        <v>1.5</v>
      </c>
      <c r="D1023" s="2">
        <v>0.8</v>
      </c>
      <c r="E1023" s="2">
        <v>1.3</v>
      </c>
      <c r="F1023" s="2">
        <v>2.2000000000000002</v>
      </c>
      <c r="G1023" s="2">
        <v>0.8</v>
      </c>
      <c r="H1023" s="2">
        <f>AVERAGE(weather.tbl[[#This Row],[Estevan]:[Kipling]])</f>
        <v>1.3833333333333335</v>
      </c>
      <c r="I1023" s="2">
        <f>_xlfn.STDEV.S(weather.tbl[[#This Row],[Estevan]:[Kipling]])</f>
        <v>0.54191020166321502</v>
      </c>
      <c r="J1023" s="2">
        <f t="shared" si="15"/>
        <v>4.673809523809525</v>
      </c>
      <c r="K1023">
        <f>DAY(weather.tbl[[#This Row],[Date]])</f>
        <v>18</v>
      </c>
      <c r="L1023">
        <f>MONTH(weather.tbl[[#This Row],[Date]])</f>
        <v>10</v>
      </c>
      <c r="M1023">
        <f>YEAR(weather.tbl[[#This Row],[Date]])</f>
        <v>2016</v>
      </c>
    </row>
    <row r="1024" spans="1:13" x14ac:dyDescent="0.25">
      <c r="A1024" s="1">
        <v>42662</v>
      </c>
      <c r="B1024" s="2">
        <v>3.8</v>
      </c>
      <c r="C1024" s="2">
        <v>3.4</v>
      </c>
      <c r="D1024" s="2">
        <v>3.8</v>
      </c>
      <c r="E1024" s="2">
        <v>3.5</v>
      </c>
      <c r="F1024" s="2">
        <v>4.7</v>
      </c>
      <c r="G1024" s="2">
        <v>2</v>
      </c>
      <c r="H1024" s="2">
        <f>AVERAGE(weather.tbl[[#This Row],[Estevan]:[Kipling]])</f>
        <v>3.5333333333333332</v>
      </c>
      <c r="I1024" s="2">
        <f>_xlfn.STDEV.S(weather.tbl[[#This Row],[Estevan]:[Kipling]])</f>
        <v>0.88015150211010085</v>
      </c>
      <c r="J1024" s="2">
        <f t="shared" si="15"/>
        <v>5.0119047619047619</v>
      </c>
      <c r="K1024">
        <f>DAY(weather.tbl[[#This Row],[Date]])</f>
        <v>19</v>
      </c>
      <c r="L1024">
        <f>MONTH(weather.tbl[[#This Row],[Date]])</f>
        <v>10</v>
      </c>
      <c r="M1024">
        <f>YEAR(weather.tbl[[#This Row],[Date]])</f>
        <v>2016</v>
      </c>
    </row>
    <row r="1025" spans="1:13" x14ac:dyDescent="0.25">
      <c r="A1025" s="1">
        <v>42663</v>
      </c>
      <c r="B1025" s="2">
        <v>5.4</v>
      </c>
      <c r="C1025" s="2">
        <v>3.5</v>
      </c>
      <c r="D1025" s="2">
        <v>3.8</v>
      </c>
      <c r="E1025" s="2">
        <v>3.5</v>
      </c>
      <c r="F1025" s="2">
        <v>5.2</v>
      </c>
      <c r="G1025" s="2">
        <v>5</v>
      </c>
      <c r="H1025" s="2">
        <f>AVERAGE(weather.tbl[[#This Row],[Estevan]:[Kipling]])</f>
        <v>4.3999999999999995</v>
      </c>
      <c r="I1025" s="2">
        <f>_xlfn.STDEV.S(weather.tbl[[#This Row],[Estevan]:[Kipling]])</f>
        <v>0.89218832092782052</v>
      </c>
      <c r="J1025" s="2">
        <f t="shared" si="15"/>
        <v>5.5142857142857142</v>
      </c>
      <c r="K1025">
        <f>DAY(weather.tbl[[#This Row],[Date]])</f>
        <v>20</v>
      </c>
      <c r="L1025">
        <f>MONTH(weather.tbl[[#This Row],[Date]])</f>
        <v>10</v>
      </c>
      <c r="M1025">
        <f>YEAR(weather.tbl[[#This Row],[Date]])</f>
        <v>2016</v>
      </c>
    </row>
    <row r="1026" spans="1:13" x14ac:dyDescent="0.25">
      <c r="A1026" s="1">
        <v>42664</v>
      </c>
      <c r="B1026" s="2">
        <v>8.5</v>
      </c>
      <c r="C1026" s="2">
        <v>6.9</v>
      </c>
      <c r="D1026" s="2">
        <v>8.8000000000000007</v>
      </c>
      <c r="E1026" s="2">
        <v>10.3</v>
      </c>
      <c r="F1026" s="2">
        <v>8.6</v>
      </c>
      <c r="G1026" s="2">
        <v>8.8000000000000007</v>
      </c>
      <c r="H1026" s="2">
        <f>AVERAGE(weather.tbl[[#This Row],[Estevan]:[Kipling]])</f>
        <v>8.65</v>
      </c>
      <c r="I1026" s="2">
        <f>_xlfn.STDEV.S(weather.tbl[[#This Row],[Estevan]:[Kipling]])</f>
        <v>1.0821275340734939</v>
      </c>
      <c r="J1026" s="2">
        <f t="shared" si="15"/>
        <v>5.4119047619047622</v>
      </c>
      <c r="K1026">
        <f>DAY(weather.tbl[[#This Row],[Date]])</f>
        <v>21</v>
      </c>
      <c r="L1026">
        <f>MONTH(weather.tbl[[#This Row],[Date]])</f>
        <v>10</v>
      </c>
      <c r="M1026">
        <f>YEAR(weather.tbl[[#This Row],[Date]])</f>
        <v>2016</v>
      </c>
    </row>
    <row r="1027" spans="1:13" x14ac:dyDescent="0.25">
      <c r="A1027" s="1">
        <v>42665</v>
      </c>
      <c r="B1027" s="2">
        <v>4.2</v>
      </c>
      <c r="C1027" s="2">
        <v>1.5</v>
      </c>
      <c r="D1027" s="2">
        <v>2.2999999999999998</v>
      </c>
      <c r="E1027" s="2">
        <v>2.8</v>
      </c>
      <c r="F1027" s="2">
        <v>3</v>
      </c>
      <c r="G1027" s="2">
        <v>3.8</v>
      </c>
      <c r="H1027" s="2">
        <f>AVERAGE(weather.tbl[[#This Row],[Estevan]:[Kipling]])</f>
        <v>2.9333333333333336</v>
      </c>
      <c r="I1027" s="2">
        <f>_xlfn.STDEV.S(weather.tbl[[#This Row],[Estevan]:[Kipling]])</f>
        <v>0.98319208025017391</v>
      </c>
      <c r="J1027" s="2">
        <f t="shared" si="15"/>
        <v>4.6309523809523814</v>
      </c>
      <c r="K1027">
        <f>DAY(weather.tbl[[#This Row],[Date]])</f>
        <v>22</v>
      </c>
      <c r="L1027">
        <f>MONTH(weather.tbl[[#This Row],[Date]])</f>
        <v>10</v>
      </c>
      <c r="M1027">
        <f>YEAR(weather.tbl[[#This Row],[Date]])</f>
        <v>2016</v>
      </c>
    </row>
    <row r="1028" spans="1:13" x14ac:dyDescent="0.25">
      <c r="A1028" s="1">
        <v>42666</v>
      </c>
      <c r="B1028" s="2">
        <v>4.7</v>
      </c>
      <c r="C1028" s="2">
        <v>2</v>
      </c>
      <c r="D1028" s="2">
        <v>6</v>
      </c>
      <c r="E1028" s="2">
        <v>1.8</v>
      </c>
      <c r="F1028" s="2">
        <v>4.3</v>
      </c>
      <c r="G1028" s="2">
        <v>4.3</v>
      </c>
      <c r="H1028" s="2">
        <f>AVERAGE(weather.tbl[[#This Row],[Estevan]:[Kipling]])</f>
        <v>3.85</v>
      </c>
      <c r="I1028" s="2">
        <f>_xlfn.STDEV.S(weather.tbl[[#This Row],[Estevan]:[Kipling]])</f>
        <v>1.6355427233796118</v>
      </c>
      <c r="J1028" s="2">
        <f t="shared" si="15"/>
        <v>4.1928571428571439</v>
      </c>
      <c r="K1028">
        <f>DAY(weather.tbl[[#This Row],[Date]])</f>
        <v>23</v>
      </c>
      <c r="L1028">
        <f>MONTH(weather.tbl[[#This Row],[Date]])</f>
        <v>10</v>
      </c>
      <c r="M1028">
        <f>YEAR(weather.tbl[[#This Row],[Date]])</f>
        <v>2016</v>
      </c>
    </row>
    <row r="1029" spans="1:13" x14ac:dyDescent="0.25">
      <c r="A1029" s="1">
        <v>42667</v>
      </c>
      <c r="B1029" s="2">
        <v>5.5</v>
      </c>
      <c r="C1029" s="2">
        <v>6.2</v>
      </c>
      <c r="D1029" s="2">
        <v>3.8</v>
      </c>
      <c r="E1029" s="2">
        <v>6.3</v>
      </c>
      <c r="F1029" s="2">
        <v>4.2</v>
      </c>
      <c r="G1029" s="2">
        <v>4.5</v>
      </c>
      <c r="H1029" s="2">
        <f>AVERAGE(weather.tbl[[#This Row],[Estevan]:[Kipling]])</f>
        <v>5.083333333333333</v>
      </c>
      <c r="I1029" s="2">
        <f>_xlfn.STDEV.S(weather.tbl[[#This Row],[Estevan]:[Kipling]])</f>
        <v>1.0647378394077409</v>
      </c>
      <c r="J1029" s="2">
        <f t="shared" si="15"/>
        <v>4.2619047619047619</v>
      </c>
      <c r="K1029">
        <f>DAY(weather.tbl[[#This Row],[Date]])</f>
        <v>24</v>
      </c>
      <c r="L1029">
        <f>MONTH(weather.tbl[[#This Row],[Date]])</f>
        <v>10</v>
      </c>
      <c r="M1029">
        <f>YEAR(weather.tbl[[#This Row],[Date]])</f>
        <v>2016</v>
      </c>
    </row>
    <row r="1030" spans="1:13" x14ac:dyDescent="0.25">
      <c r="A1030" s="1">
        <v>42668</v>
      </c>
      <c r="B1030" s="2">
        <v>5.7</v>
      </c>
      <c r="C1030" s="2">
        <v>6.4</v>
      </c>
      <c r="D1030" s="2">
        <v>3.8</v>
      </c>
      <c r="E1030" s="2">
        <v>6</v>
      </c>
      <c r="F1030" s="2">
        <v>7.5</v>
      </c>
      <c r="G1030" s="2">
        <v>5.5</v>
      </c>
      <c r="H1030" s="2">
        <f>AVERAGE(weather.tbl[[#This Row],[Estevan]:[Kipling]])</f>
        <v>5.8166666666666673</v>
      </c>
      <c r="I1030" s="2">
        <f>_xlfn.STDEV.S(weather.tbl[[#This Row],[Estevan]:[Kipling]])</f>
        <v>1.2155931336868653</v>
      </c>
      <c r="J1030" s="2">
        <f t="shared" si="15"/>
        <v>4.8952380952380947</v>
      </c>
      <c r="K1030">
        <f>DAY(weather.tbl[[#This Row],[Date]])</f>
        <v>25</v>
      </c>
      <c r="L1030">
        <f>MONTH(weather.tbl[[#This Row],[Date]])</f>
        <v>10</v>
      </c>
      <c r="M1030">
        <f>YEAR(weather.tbl[[#This Row],[Date]])</f>
        <v>2016</v>
      </c>
    </row>
    <row r="1031" spans="1:13" x14ac:dyDescent="0.25">
      <c r="A1031" s="1">
        <v>42669</v>
      </c>
      <c r="B1031" s="2">
        <v>5.4</v>
      </c>
      <c r="C1031" s="2">
        <v>3.9</v>
      </c>
      <c r="D1031" s="2">
        <v>3.8</v>
      </c>
      <c r="E1031" s="2">
        <v>5.3</v>
      </c>
      <c r="F1031" s="2">
        <v>5.5</v>
      </c>
      <c r="G1031" s="2">
        <v>5</v>
      </c>
      <c r="H1031" s="2">
        <f>AVERAGE(weather.tbl[[#This Row],[Estevan]:[Kipling]])</f>
        <v>4.8166666666666673</v>
      </c>
      <c r="I1031" s="2">
        <f>_xlfn.STDEV.S(weather.tbl[[#This Row],[Estevan]:[Kipling]])</f>
        <v>0.76789756261279063</v>
      </c>
      <c r="J1031" s="2">
        <f t="shared" si="15"/>
        <v>5.0785714285714292</v>
      </c>
      <c r="K1031">
        <f>DAY(weather.tbl[[#This Row],[Date]])</f>
        <v>26</v>
      </c>
      <c r="L1031">
        <f>MONTH(weather.tbl[[#This Row],[Date]])</f>
        <v>10</v>
      </c>
      <c r="M1031">
        <f>YEAR(weather.tbl[[#This Row],[Date]])</f>
        <v>2016</v>
      </c>
    </row>
    <row r="1032" spans="1:13" x14ac:dyDescent="0.25">
      <c r="A1032" s="1">
        <v>42670</v>
      </c>
      <c r="B1032" s="2">
        <v>7.4</v>
      </c>
      <c r="C1032" s="2">
        <v>7.2</v>
      </c>
      <c r="D1032" s="2">
        <v>3.8</v>
      </c>
      <c r="E1032" s="2">
        <v>7.8</v>
      </c>
      <c r="F1032" s="2">
        <v>4.9000000000000004</v>
      </c>
      <c r="G1032" s="2">
        <v>6</v>
      </c>
      <c r="H1032" s="2">
        <f>AVERAGE(weather.tbl[[#This Row],[Estevan]:[Kipling]])</f>
        <v>6.1833333333333336</v>
      </c>
      <c r="I1032" s="2">
        <f>_xlfn.STDEV.S(weather.tbl[[#This Row],[Estevan]:[Kipling]])</f>
        <v>1.5804007930479733</v>
      </c>
      <c r="J1032" s="2">
        <f t="shared" si="15"/>
        <v>5.333333333333333</v>
      </c>
      <c r="K1032">
        <f>DAY(weather.tbl[[#This Row],[Date]])</f>
        <v>27</v>
      </c>
      <c r="L1032">
        <f>MONTH(weather.tbl[[#This Row],[Date]])</f>
        <v>10</v>
      </c>
      <c r="M1032">
        <f>YEAR(weather.tbl[[#This Row],[Date]])</f>
        <v>2016</v>
      </c>
    </row>
    <row r="1033" spans="1:13" x14ac:dyDescent="0.25">
      <c r="A1033" s="1">
        <v>42671</v>
      </c>
      <c r="B1033" s="2">
        <v>6.4</v>
      </c>
      <c r="C1033" s="2">
        <v>5.5</v>
      </c>
      <c r="D1033" s="2">
        <v>3.8</v>
      </c>
      <c r="E1033" s="2">
        <v>5.8</v>
      </c>
      <c r="F1033" s="2">
        <v>7.3</v>
      </c>
      <c r="G1033" s="2">
        <v>5.3</v>
      </c>
      <c r="H1033" s="2">
        <f>AVERAGE(weather.tbl[[#This Row],[Estevan]:[Kipling]])</f>
        <v>5.6833333333333336</v>
      </c>
      <c r="I1033" s="2">
        <f>_xlfn.STDEV.S(weather.tbl[[#This Row],[Estevan]:[Kipling]])</f>
        <v>1.1720352668186491</v>
      </c>
      <c r="J1033" s="2">
        <f t="shared" si="15"/>
        <v>4.9095238095238098</v>
      </c>
      <c r="K1033">
        <f>DAY(weather.tbl[[#This Row],[Date]])</f>
        <v>28</v>
      </c>
      <c r="L1033">
        <f>MONTH(weather.tbl[[#This Row],[Date]])</f>
        <v>10</v>
      </c>
      <c r="M1033">
        <f>YEAR(weather.tbl[[#This Row],[Date]])</f>
        <v>2016</v>
      </c>
    </row>
    <row r="1034" spans="1:13" x14ac:dyDescent="0.25">
      <c r="A1034" s="1">
        <v>42672</v>
      </c>
      <c r="B1034" s="2">
        <v>1.6</v>
      </c>
      <c r="C1034" s="2">
        <v>3</v>
      </c>
      <c r="D1034" s="2">
        <v>3.8</v>
      </c>
      <c r="E1034" s="2">
        <v>4</v>
      </c>
      <c r="F1034" s="2">
        <v>2.8</v>
      </c>
      <c r="G1034" s="2">
        <v>1.5</v>
      </c>
      <c r="H1034" s="2">
        <f>AVERAGE(weather.tbl[[#This Row],[Estevan]:[Kipling]])</f>
        <v>2.7833333333333332</v>
      </c>
      <c r="I1034" s="2">
        <f>_xlfn.STDEV.S(weather.tbl[[#This Row],[Estevan]:[Kipling]])</f>
        <v>1.059087657687817</v>
      </c>
      <c r="J1034" s="2">
        <f t="shared" ref="J1034:J1097" si="16">AVERAGE(H1028:H1034)</f>
        <v>4.8880952380952385</v>
      </c>
      <c r="K1034">
        <f>DAY(weather.tbl[[#This Row],[Date]])</f>
        <v>29</v>
      </c>
      <c r="L1034">
        <f>MONTH(weather.tbl[[#This Row],[Date]])</f>
        <v>10</v>
      </c>
      <c r="M1034">
        <f>YEAR(weather.tbl[[#This Row],[Date]])</f>
        <v>2016</v>
      </c>
    </row>
    <row r="1035" spans="1:13" x14ac:dyDescent="0.25">
      <c r="A1035" s="1">
        <v>42673</v>
      </c>
      <c r="B1035" s="2">
        <v>7.3</v>
      </c>
      <c r="C1035" s="2">
        <v>8</v>
      </c>
      <c r="D1035" s="2">
        <v>3.8</v>
      </c>
      <c r="E1035" s="2">
        <v>8</v>
      </c>
      <c r="F1035" s="2">
        <v>3.1</v>
      </c>
      <c r="G1035" s="2">
        <v>4</v>
      </c>
      <c r="H1035" s="2">
        <f>AVERAGE(weather.tbl[[#This Row],[Estevan]:[Kipling]])</f>
        <v>5.7</v>
      </c>
      <c r="I1035" s="2">
        <f>_xlfn.STDEV.S(weather.tbl[[#This Row],[Estevan]:[Kipling]])</f>
        <v>2.2978250586152105</v>
      </c>
      <c r="J1035" s="2">
        <f t="shared" si="16"/>
        <v>5.1523809523809527</v>
      </c>
      <c r="K1035">
        <f>DAY(weather.tbl[[#This Row],[Date]])</f>
        <v>30</v>
      </c>
      <c r="L1035">
        <f>MONTH(weather.tbl[[#This Row],[Date]])</f>
        <v>10</v>
      </c>
      <c r="M1035">
        <f>YEAR(weather.tbl[[#This Row],[Date]])</f>
        <v>2016</v>
      </c>
    </row>
    <row r="1036" spans="1:13" x14ac:dyDescent="0.25">
      <c r="A1036" s="1">
        <v>42674</v>
      </c>
      <c r="B1036" s="2">
        <v>5</v>
      </c>
      <c r="C1036" s="2">
        <v>3.5</v>
      </c>
      <c r="D1036" s="2">
        <v>3.8</v>
      </c>
      <c r="E1036" s="2">
        <v>3.5</v>
      </c>
      <c r="F1036" s="2">
        <v>5.9</v>
      </c>
      <c r="G1036" s="2">
        <v>3.5</v>
      </c>
      <c r="H1036" s="2">
        <f>AVERAGE(weather.tbl[[#This Row],[Estevan]:[Kipling]])</f>
        <v>4.2</v>
      </c>
      <c r="I1036" s="2">
        <f>_xlfn.STDEV.S(weather.tbl[[#This Row],[Estevan]:[Kipling]])</f>
        <v>1.0158740079360205</v>
      </c>
      <c r="J1036" s="2">
        <f t="shared" si="16"/>
        <v>5.026190476190477</v>
      </c>
      <c r="K1036">
        <f>DAY(weather.tbl[[#This Row],[Date]])</f>
        <v>31</v>
      </c>
      <c r="L1036">
        <f>MONTH(weather.tbl[[#This Row],[Date]])</f>
        <v>10</v>
      </c>
      <c r="M1036">
        <f>YEAR(weather.tbl[[#This Row],[Date]])</f>
        <v>2016</v>
      </c>
    </row>
    <row r="1037" spans="1:13" x14ac:dyDescent="0.25">
      <c r="A1037" s="1">
        <v>42675</v>
      </c>
      <c r="B1037" s="2">
        <v>6.6</v>
      </c>
      <c r="C1037" s="2">
        <v>6.7</v>
      </c>
      <c r="D1037" s="2">
        <v>3.8</v>
      </c>
      <c r="E1037" s="2">
        <v>7</v>
      </c>
      <c r="F1037" s="2">
        <v>7</v>
      </c>
      <c r="G1037" s="2">
        <v>6.5</v>
      </c>
      <c r="H1037" s="2">
        <f>AVERAGE(weather.tbl[[#This Row],[Estevan]:[Kipling]])</f>
        <v>6.2666666666666666</v>
      </c>
      <c r="I1037" s="2">
        <f>_xlfn.STDEV.S(weather.tbl[[#This Row],[Estevan]:[Kipling]])</f>
        <v>1.2258330500792751</v>
      </c>
      <c r="J1037" s="2">
        <f t="shared" si="16"/>
        <v>5.0904761904761902</v>
      </c>
      <c r="K1037">
        <f>DAY(weather.tbl[[#This Row],[Date]])</f>
        <v>1</v>
      </c>
      <c r="L1037">
        <f>MONTH(weather.tbl[[#This Row],[Date]])</f>
        <v>11</v>
      </c>
      <c r="M1037">
        <f>YEAR(weather.tbl[[#This Row],[Date]])</f>
        <v>2016</v>
      </c>
    </row>
    <row r="1038" spans="1:13" x14ac:dyDescent="0.25">
      <c r="A1038" s="1">
        <v>42676</v>
      </c>
      <c r="B1038" s="2">
        <v>5.7</v>
      </c>
      <c r="C1038" s="2">
        <v>5.2</v>
      </c>
      <c r="D1038" s="2">
        <v>3.8</v>
      </c>
      <c r="E1038" s="2">
        <v>4.5</v>
      </c>
      <c r="F1038" s="2">
        <v>3.7</v>
      </c>
      <c r="G1038" s="2">
        <v>4.3</v>
      </c>
      <c r="H1038" s="2">
        <f>AVERAGE(weather.tbl[[#This Row],[Estevan]:[Kipling]])</f>
        <v>4.5333333333333332</v>
      </c>
      <c r="I1038" s="2">
        <f>_xlfn.STDEV.S(weather.tbl[[#This Row],[Estevan]:[Kipling]])</f>
        <v>0.78655366420014006</v>
      </c>
      <c r="J1038" s="2">
        <f t="shared" si="16"/>
        <v>5.05</v>
      </c>
      <c r="K1038">
        <f>DAY(weather.tbl[[#This Row],[Date]])</f>
        <v>2</v>
      </c>
      <c r="L1038">
        <f>MONTH(weather.tbl[[#This Row],[Date]])</f>
        <v>11</v>
      </c>
      <c r="M1038">
        <f>YEAR(weather.tbl[[#This Row],[Date]])</f>
        <v>2016</v>
      </c>
    </row>
    <row r="1039" spans="1:13" x14ac:dyDescent="0.25">
      <c r="A1039" s="1">
        <v>42677</v>
      </c>
      <c r="B1039" s="2">
        <v>7.9</v>
      </c>
      <c r="C1039" s="2">
        <v>7.7</v>
      </c>
      <c r="D1039" s="2">
        <v>3.8</v>
      </c>
      <c r="E1039" s="2">
        <v>8.3000000000000007</v>
      </c>
      <c r="F1039" s="2">
        <v>5.8</v>
      </c>
      <c r="G1039" s="2">
        <v>5.3</v>
      </c>
      <c r="H1039" s="2">
        <f>AVERAGE(weather.tbl[[#This Row],[Estevan]:[Kipling]])</f>
        <v>6.4666666666666659</v>
      </c>
      <c r="I1039" s="2">
        <f>_xlfn.STDEV.S(weather.tbl[[#This Row],[Estevan]:[Kipling]])</f>
        <v>1.7806365902863701</v>
      </c>
      <c r="J1039" s="2">
        <f t="shared" si="16"/>
        <v>5.0904761904761902</v>
      </c>
      <c r="K1039">
        <f>DAY(weather.tbl[[#This Row],[Date]])</f>
        <v>3</v>
      </c>
      <c r="L1039">
        <f>MONTH(weather.tbl[[#This Row],[Date]])</f>
        <v>11</v>
      </c>
      <c r="M1039">
        <f>YEAR(weather.tbl[[#This Row],[Date]])</f>
        <v>2016</v>
      </c>
    </row>
    <row r="1040" spans="1:13" x14ac:dyDescent="0.25">
      <c r="A1040" s="1">
        <v>42678</v>
      </c>
      <c r="B1040" s="2">
        <v>9.4</v>
      </c>
      <c r="C1040" s="2">
        <v>9</v>
      </c>
      <c r="D1040" s="2">
        <v>3.8</v>
      </c>
      <c r="E1040" s="2">
        <v>10</v>
      </c>
      <c r="F1040" s="2">
        <v>9.1999999999999993</v>
      </c>
      <c r="G1040" s="2">
        <v>9</v>
      </c>
      <c r="H1040" s="2">
        <f>AVERAGE(weather.tbl[[#This Row],[Estevan]:[Kipling]])</f>
        <v>8.4</v>
      </c>
      <c r="I1040" s="2">
        <f>_xlfn.STDEV.S(weather.tbl[[#This Row],[Estevan]:[Kipling]])</f>
        <v>2.2838563877792262</v>
      </c>
      <c r="J1040" s="2">
        <f t="shared" si="16"/>
        <v>5.4785714285714286</v>
      </c>
      <c r="K1040">
        <f>DAY(weather.tbl[[#This Row],[Date]])</f>
        <v>4</v>
      </c>
      <c r="L1040">
        <f>MONTH(weather.tbl[[#This Row],[Date]])</f>
        <v>11</v>
      </c>
      <c r="M1040">
        <f>YEAR(weather.tbl[[#This Row],[Date]])</f>
        <v>2016</v>
      </c>
    </row>
    <row r="1041" spans="1:13" x14ac:dyDescent="0.25">
      <c r="A1041" s="1">
        <v>42679</v>
      </c>
      <c r="B1041" s="2">
        <v>9.5</v>
      </c>
      <c r="C1041" s="2">
        <v>9.1999999999999993</v>
      </c>
      <c r="D1041" s="2">
        <v>3.8</v>
      </c>
      <c r="E1041" s="2">
        <v>9.3000000000000007</v>
      </c>
      <c r="F1041" s="2">
        <v>8.3000000000000007</v>
      </c>
      <c r="G1041" s="2">
        <v>10.8</v>
      </c>
      <c r="H1041" s="2">
        <f>AVERAGE(weather.tbl[[#This Row],[Estevan]:[Kipling]])</f>
        <v>8.4833333333333343</v>
      </c>
      <c r="I1041" s="2">
        <f>_xlfn.STDEV.S(weather.tbl[[#This Row],[Estevan]:[Kipling]])</f>
        <v>2.4309805977561108</v>
      </c>
      <c r="J1041" s="2">
        <f t="shared" si="16"/>
        <v>6.2928571428571436</v>
      </c>
      <c r="K1041">
        <f>DAY(weather.tbl[[#This Row],[Date]])</f>
        <v>5</v>
      </c>
      <c r="L1041">
        <f>MONTH(weather.tbl[[#This Row],[Date]])</f>
        <v>11</v>
      </c>
      <c r="M1041">
        <f>YEAR(weather.tbl[[#This Row],[Date]])</f>
        <v>2016</v>
      </c>
    </row>
    <row r="1042" spans="1:13" x14ac:dyDescent="0.25">
      <c r="A1042" s="1">
        <v>42680</v>
      </c>
      <c r="B1042" s="2">
        <v>9.1</v>
      </c>
      <c r="C1042" s="2">
        <v>10.199999999999999</v>
      </c>
      <c r="D1042" s="2">
        <v>3.8</v>
      </c>
      <c r="E1042" s="2">
        <v>11</v>
      </c>
      <c r="F1042" s="2">
        <v>11.6</v>
      </c>
      <c r="G1042" s="2">
        <v>11.3</v>
      </c>
      <c r="H1042" s="2">
        <f>AVERAGE(weather.tbl[[#This Row],[Estevan]:[Kipling]])</f>
        <v>9.5</v>
      </c>
      <c r="I1042" s="2">
        <f>_xlfn.STDEV.S(weather.tbl[[#This Row],[Estevan]:[Kipling]])</f>
        <v>2.9339393313427586</v>
      </c>
      <c r="J1042" s="2">
        <f t="shared" si="16"/>
        <v>6.8357142857142863</v>
      </c>
      <c r="K1042">
        <f>DAY(weather.tbl[[#This Row],[Date]])</f>
        <v>6</v>
      </c>
      <c r="L1042">
        <f>MONTH(weather.tbl[[#This Row],[Date]])</f>
        <v>11</v>
      </c>
      <c r="M1042">
        <f>YEAR(weather.tbl[[#This Row],[Date]])</f>
        <v>2016</v>
      </c>
    </row>
    <row r="1043" spans="1:13" x14ac:dyDescent="0.25">
      <c r="A1043" s="1">
        <v>42681</v>
      </c>
      <c r="B1043" s="2">
        <v>5.8</v>
      </c>
      <c r="C1043" s="2">
        <v>5.2</v>
      </c>
      <c r="D1043" s="2">
        <v>3.8</v>
      </c>
      <c r="E1043" s="2">
        <v>8.3000000000000007</v>
      </c>
      <c r="F1043" s="2">
        <v>6.7</v>
      </c>
      <c r="G1043" s="2">
        <v>7.3</v>
      </c>
      <c r="H1043" s="2">
        <f>AVERAGE(weather.tbl[[#This Row],[Estevan]:[Kipling]])</f>
        <v>6.1833333333333336</v>
      </c>
      <c r="I1043" s="2">
        <f>_xlfn.STDEV.S(weather.tbl[[#This Row],[Estevan]:[Kipling]])</f>
        <v>1.5992706671063128</v>
      </c>
      <c r="J1043" s="2">
        <f t="shared" si="16"/>
        <v>7.1190476190476186</v>
      </c>
      <c r="K1043">
        <f>DAY(weather.tbl[[#This Row],[Date]])</f>
        <v>7</v>
      </c>
      <c r="L1043">
        <f>MONTH(weather.tbl[[#This Row],[Date]])</f>
        <v>11</v>
      </c>
      <c r="M1043">
        <f>YEAR(weather.tbl[[#This Row],[Date]])</f>
        <v>2016</v>
      </c>
    </row>
    <row r="1044" spans="1:13" x14ac:dyDescent="0.25">
      <c r="A1044" s="1">
        <v>42682</v>
      </c>
      <c r="B1044" s="2">
        <v>5.0999999999999996</v>
      </c>
      <c r="C1044" s="2">
        <v>4.9000000000000004</v>
      </c>
      <c r="D1044" s="2">
        <v>3.8</v>
      </c>
      <c r="E1044" s="2">
        <v>5.5</v>
      </c>
      <c r="F1044" s="2">
        <v>3.7</v>
      </c>
      <c r="G1044" s="2">
        <v>5.3</v>
      </c>
      <c r="H1044" s="2">
        <f>AVERAGE(weather.tbl[[#This Row],[Estevan]:[Kipling]])</f>
        <v>4.7166666666666668</v>
      </c>
      <c r="I1044" s="2">
        <f>_xlfn.STDEV.S(weather.tbl[[#This Row],[Estevan]:[Kipling]])</f>
        <v>0.77567175188134241</v>
      </c>
      <c r="J1044" s="2">
        <f t="shared" si="16"/>
        <v>6.8976190476190471</v>
      </c>
      <c r="K1044">
        <f>DAY(weather.tbl[[#This Row],[Date]])</f>
        <v>8</v>
      </c>
      <c r="L1044">
        <f>MONTH(weather.tbl[[#This Row],[Date]])</f>
        <v>11</v>
      </c>
      <c r="M1044">
        <f>YEAR(weather.tbl[[#This Row],[Date]])</f>
        <v>2016</v>
      </c>
    </row>
    <row r="1045" spans="1:13" x14ac:dyDescent="0.25">
      <c r="A1045" s="1">
        <v>42683</v>
      </c>
      <c r="B1045" s="2">
        <v>12.3</v>
      </c>
      <c r="C1045" s="2">
        <v>11.4</v>
      </c>
      <c r="D1045" s="2">
        <v>3.8</v>
      </c>
      <c r="E1045" s="2">
        <v>12.3</v>
      </c>
      <c r="F1045" s="2">
        <v>11.6</v>
      </c>
      <c r="G1045" s="2">
        <v>12.8</v>
      </c>
      <c r="H1045" s="2">
        <f>AVERAGE(weather.tbl[[#This Row],[Estevan]:[Kipling]])</f>
        <v>10.700000000000001</v>
      </c>
      <c r="I1045" s="2">
        <f>_xlfn.STDEV.S(weather.tbl[[#This Row],[Estevan]:[Kipling]])</f>
        <v>3.4187717092546541</v>
      </c>
      <c r="J1045" s="2">
        <f t="shared" si="16"/>
        <v>7.7785714285714294</v>
      </c>
      <c r="K1045">
        <f>DAY(weather.tbl[[#This Row],[Date]])</f>
        <v>9</v>
      </c>
      <c r="L1045">
        <f>MONTH(weather.tbl[[#This Row],[Date]])</f>
        <v>11</v>
      </c>
      <c r="M1045">
        <f>YEAR(weather.tbl[[#This Row],[Date]])</f>
        <v>2016</v>
      </c>
    </row>
    <row r="1046" spans="1:13" x14ac:dyDescent="0.25">
      <c r="A1046" s="1">
        <v>42684</v>
      </c>
      <c r="B1046" s="2">
        <v>5.2</v>
      </c>
      <c r="C1046" s="2">
        <v>3.4</v>
      </c>
      <c r="D1046" s="2">
        <v>3.8</v>
      </c>
      <c r="E1046" s="2">
        <v>7</v>
      </c>
      <c r="F1046" s="2">
        <v>6.2</v>
      </c>
      <c r="G1046" s="2">
        <v>7</v>
      </c>
      <c r="H1046" s="2">
        <f>AVERAGE(weather.tbl[[#This Row],[Estevan]:[Kipling]])</f>
        <v>5.4333333333333327</v>
      </c>
      <c r="I1046" s="2">
        <f>_xlfn.STDEV.S(weather.tbl[[#This Row],[Estevan]:[Kipling]])</f>
        <v>1.5718354451617007</v>
      </c>
      <c r="J1046" s="2">
        <f t="shared" si="16"/>
        <v>7.6309523809523805</v>
      </c>
      <c r="K1046">
        <f>DAY(weather.tbl[[#This Row],[Date]])</f>
        <v>10</v>
      </c>
      <c r="L1046">
        <f>MONTH(weather.tbl[[#This Row],[Date]])</f>
        <v>11</v>
      </c>
      <c r="M1046">
        <f>YEAR(weather.tbl[[#This Row],[Date]])</f>
        <v>2016</v>
      </c>
    </row>
    <row r="1047" spans="1:13" x14ac:dyDescent="0.25">
      <c r="A1047" s="1">
        <v>42685</v>
      </c>
      <c r="B1047" s="2">
        <v>4</v>
      </c>
      <c r="C1047" s="2">
        <v>3.7</v>
      </c>
      <c r="D1047" s="2">
        <v>2.5</v>
      </c>
      <c r="E1047" s="2">
        <v>7</v>
      </c>
      <c r="F1047" s="2">
        <v>2.2000000000000002</v>
      </c>
      <c r="G1047" s="2">
        <v>4</v>
      </c>
      <c r="H1047" s="2">
        <f>AVERAGE(weather.tbl[[#This Row],[Estevan]:[Kipling]])</f>
        <v>3.9</v>
      </c>
      <c r="I1047" s="2">
        <f>_xlfn.STDEV.S(weather.tbl[[#This Row],[Estevan]:[Kipling]])</f>
        <v>1.7041126723312641</v>
      </c>
      <c r="J1047" s="2">
        <f t="shared" si="16"/>
        <v>6.9880952380952381</v>
      </c>
      <c r="K1047">
        <f>DAY(weather.tbl[[#This Row],[Date]])</f>
        <v>11</v>
      </c>
      <c r="L1047">
        <f>MONTH(weather.tbl[[#This Row],[Date]])</f>
        <v>11</v>
      </c>
      <c r="M1047">
        <f>YEAR(weather.tbl[[#This Row],[Date]])</f>
        <v>2016</v>
      </c>
    </row>
    <row r="1048" spans="1:13" x14ac:dyDescent="0.25">
      <c r="A1048" s="1">
        <v>42686</v>
      </c>
      <c r="B1048" s="2">
        <v>10</v>
      </c>
      <c r="C1048" s="2">
        <v>8.9</v>
      </c>
      <c r="D1048" s="2">
        <v>7</v>
      </c>
      <c r="E1048" s="2">
        <v>7</v>
      </c>
      <c r="F1048" s="2">
        <v>7.8</v>
      </c>
      <c r="G1048" s="2">
        <v>8.8000000000000007</v>
      </c>
      <c r="H1048" s="2">
        <f>AVERAGE(weather.tbl[[#This Row],[Estevan]:[Kipling]])</f>
        <v>8.25</v>
      </c>
      <c r="I1048" s="2">
        <f>_xlfn.STDEV.S(weather.tbl[[#This Row],[Estevan]:[Kipling]])</f>
        <v>1.1928956366757328</v>
      </c>
      <c r="J1048" s="2">
        <f t="shared" si="16"/>
        <v>6.954761904761904</v>
      </c>
      <c r="K1048">
        <f>DAY(weather.tbl[[#This Row],[Date]])</f>
        <v>12</v>
      </c>
      <c r="L1048">
        <f>MONTH(weather.tbl[[#This Row],[Date]])</f>
        <v>11</v>
      </c>
      <c r="M1048">
        <f>YEAR(weather.tbl[[#This Row],[Date]])</f>
        <v>2016</v>
      </c>
    </row>
    <row r="1049" spans="1:13" x14ac:dyDescent="0.25">
      <c r="A1049" s="1">
        <v>42687</v>
      </c>
      <c r="B1049" s="2">
        <v>5.7</v>
      </c>
      <c r="C1049" s="2">
        <v>5.9</v>
      </c>
      <c r="D1049" s="2">
        <v>7</v>
      </c>
      <c r="E1049" s="2">
        <v>9.3000000000000007</v>
      </c>
      <c r="F1049" s="2">
        <v>6.7</v>
      </c>
      <c r="G1049" s="2">
        <v>6.3</v>
      </c>
      <c r="H1049" s="2">
        <f>AVERAGE(weather.tbl[[#This Row],[Estevan]:[Kipling]])</f>
        <v>6.8166666666666664</v>
      </c>
      <c r="I1049" s="2">
        <f>_xlfn.STDEV.S(weather.tbl[[#This Row],[Estevan]:[Kipling]])</f>
        <v>1.3090709173557655</v>
      </c>
      <c r="J1049" s="2">
        <f t="shared" si="16"/>
        <v>6.5714285714285712</v>
      </c>
      <c r="K1049">
        <f>DAY(weather.tbl[[#This Row],[Date]])</f>
        <v>13</v>
      </c>
      <c r="L1049">
        <f>MONTH(weather.tbl[[#This Row],[Date]])</f>
        <v>11</v>
      </c>
      <c r="M1049">
        <f>YEAR(weather.tbl[[#This Row],[Date]])</f>
        <v>2016</v>
      </c>
    </row>
    <row r="1050" spans="1:13" x14ac:dyDescent="0.25">
      <c r="A1050" s="1">
        <v>42688</v>
      </c>
      <c r="B1050" s="2">
        <v>7.8</v>
      </c>
      <c r="C1050" s="2">
        <v>8</v>
      </c>
      <c r="D1050" s="2">
        <v>6</v>
      </c>
      <c r="E1050" s="2">
        <v>8.5</v>
      </c>
      <c r="F1050" s="2">
        <v>4.9000000000000004</v>
      </c>
      <c r="G1050" s="2">
        <v>6.8</v>
      </c>
      <c r="H1050" s="2">
        <f>AVERAGE(weather.tbl[[#This Row],[Estevan]:[Kipling]])</f>
        <v>7</v>
      </c>
      <c r="I1050" s="2">
        <f>_xlfn.STDEV.S(weather.tbl[[#This Row],[Estevan]:[Kipling]])</f>
        <v>1.3667479650615932</v>
      </c>
      <c r="J1050" s="2">
        <f t="shared" si="16"/>
        <v>6.6880952380952374</v>
      </c>
      <c r="K1050">
        <f>DAY(weather.tbl[[#This Row],[Date]])</f>
        <v>14</v>
      </c>
      <c r="L1050">
        <f>MONTH(weather.tbl[[#This Row],[Date]])</f>
        <v>11</v>
      </c>
      <c r="M1050">
        <f>YEAR(weather.tbl[[#This Row],[Date]])</f>
        <v>2016</v>
      </c>
    </row>
    <row r="1051" spans="1:13" x14ac:dyDescent="0.25">
      <c r="A1051" s="1">
        <v>42689</v>
      </c>
      <c r="B1051" s="2">
        <v>4.0999999999999996</v>
      </c>
      <c r="C1051" s="2">
        <v>3.5</v>
      </c>
      <c r="D1051" s="2">
        <v>6</v>
      </c>
      <c r="E1051" s="2">
        <v>3.8</v>
      </c>
      <c r="F1051" s="2">
        <v>5.2</v>
      </c>
      <c r="G1051" s="2">
        <v>2.8</v>
      </c>
      <c r="H1051" s="2">
        <f>AVERAGE(weather.tbl[[#This Row],[Estevan]:[Kipling]])</f>
        <v>4.2333333333333334</v>
      </c>
      <c r="I1051" s="2">
        <f>_xlfn.STDEV.S(weather.tbl[[#This Row],[Estevan]:[Kipling]])</f>
        <v>1.170754742320812</v>
      </c>
      <c r="J1051" s="2">
        <f t="shared" si="16"/>
        <v>6.6190476190476186</v>
      </c>
      <c r="K1051">
        <f>DAY(weather.tbl[[#This Row],[Date]])</f>
        <v>15</v>
      </c>
      <c r="L1051">
        <f>MONTH(weather.tbl[[#This Row],[Date]])</f>
        <v>11</v>
      </c>
      <c r="M1051">
        <f>YEAR(weather.tbl[[#This Row],[Date]])</f>
        <v>2016</v>
      </c>
    </row>
    <row r="1052" spans="1:13" x14ac:dyDescent="0.25">
      <c r="A1052" s="1">
        <v>42690</v>
      </c>
      <c r="B1052" s="2">
        <v>4.5</v>
      </c>
      <c r="C1052" s="2">
        <v>0.8</v>
      </c>
      <c r="D1052" s="2">
        <v>5.8</v>
      </c>
      <c r="E1052" s="2">
        <v>3</v>
      </c>
      <c r="F1052" s="2">
        <v>7.2</v>
      </c>
      <c r="G1052" s="2">
        <v>3.5</v>
      </c>
      <c r="H1052" s="2">
        <f>AVERAGE(weather.tbl[[#This Row],[Estevan]:[Kipling]])</f>
        <v>4.1333333333333337</v>
      </c>
      <c r="I1052" s="2">
        <f>_xlfn.STDEV.S(weather.tbl[[#This Row],[Estevan]:[Kipling]])</f>
        <v>2.2411306670220426</v>
      </c>
      <c r="J1052" s="2">
        <f t="shared" si="16"/>
        <v>5.6809523809523812</v>
      </c>
      <c r="K1052">
        <f>DAY(weather.tbl[[#This Row],[Date]])</f>
        <v>16</v>
      </c>
      <c r="L1052">
        <f>MONTH(weather.tbl[[#This Row],[Date]])</f>
        <v>11</v>
      </c>
      <c r="M1052">
        <f>YEAR(weather.tbl[[#This Row],[Date]])</f>
        <v>2016</v>
      </c>
    </row>
    <row r="1053" spans="1:13" x14ac:dyDescent="0.25">
      <c r="A1053" s="1">
        <v>42691</v>
      </c>
      <c r="B1053" s="2">
        <v>-3.6</v>
      </c>
      <c r="C1053" s="2">
        <v>-4.9000000000000004</v>
      </c>
      <c r="D1053" s="2">
        <v>-1.8</v>
      </c>
      <c r="E1053" s="2">
        <v>-3.3</v>
      </c>
      <c r="F1053" s="2">
        <v>0.7</v>
      </c>
      <c r="G1053" s="2">
        <v>-3</v>
      </c>
      <c r="H1053" s="2">
        <f>AVERAGE(weather.tbl[[#This Row],[Estevan]:[Kipling]])</f>
        <v>-2.6500000000000004</v>
      </c>
      <c r="I1053" s="2">
        <f>_xlfn.STDEV.S(weather.tbl[[#This Row],[Estevan]:[Kipling]])</f>
        <v>1.9211975432005943</v>
      </c>
      <c r="J1053" s="2">
        <f t="shared" si="16"/>
        <v>4.526190476190477</v>
      </c>
      <c r="K1053">
        <f>DAY(weather.tbl[[#This Row],[Date]])</f>
        <v>17</v>
      </c>
      <c r="L1053">
        <f>MONTH(weather.tbl[[#This Row],[Date]])</f>
        <v>11</v>
      </c>
      <c r="M1053">
        <f>YEAR(weather.tbl[[#This Row],[Date]])</f>
        <v>2016</v>
      </c>
    </row>
    <row r="1054" spans="1:13" x14ac:dyDescent="0.25">
      <c r="A1054" s="1">
        <v>42692</v>
      </c>
      <c r="B1054" s="2">
        <v>-5.7</v>
      </c>
      <c r="C1054" s="2">
        <v>-6.7</v>
      </c>
      <c r="D1054" s="2">
        <v>-2</v>
      </c>
      <c r="E1054" s="2">
        <v>-5.3</v>
      </c>
      <c r="F1054" s="2">
        <v>-4.0999999999999996</v>
      </c>
      <c r="G1054" s="2">
        <v>-5.5</v>
      </c>
      <c r="H1054" s="2">
        <f>AVERAGE(weather.tbl[[#This Row],[Estevan]:[Kipling]])</f>
        <v>-4.8833333333333329</v>
      </c>
      <c r="I1054" s="2">
        <f>_xlfn.STDEV.S(weather.tbl[[#This Row],[Estevan]:[Kipling]])</f>
        <v>1.6400203250773071</v>
      </c>
      <c r="J1054" s="2">
        <f t="shared" si="16"/>
        <v>3.2714285714285714</v>
      </c>
      <c r="K1054">
        <f>DAY(weather.tbl[[#This Row],[Date]])</f>
        <v>18</v>
      </c>
      <c r="L1054">
        <f>MONTH(weather.tbl[[#This Row],[Date]])</f>
        <v>11</v>
      </c>
      <c r="M1054">
        <f>YEAR(weather.tbl[[#This Row],[Date]])</f>
        <v>2016</v>
      </c>
    </row>
    <row r="1055" spans="1:13" x14ac:dyDescent="0.25">
      <c r="A1055" s="1">
        <v>42693</v>
      </c>
      <c r="B1055" s="2">
        <v>-6.1</v>
      </c>
      <c r="C1055" s="2">
        <v>-7.1</v>
      </c>
      <c r="D1055" s="2">
        <v>-8.3000000000000007</v>
      </c>
      <c r="E1055" s="2">
        <v>-8</v>
      </c>
      <c r="F1055" s="2">
        <v>-6.8</v>
      </c>
      <c r="G1055" s="2">
        <v>-7</v>
      </c>
      <c r="H1055" s="2">
        <f>AVERAGE(weather.tbl[[#This Row],[Estevan]:[Kipling]])</f>
        <v>-7.2166666666666659</v>
      </c>
      <c r="I1055" s="2">
        <f>_xlfn.STDEV.S(weather.tbl[[#This Row],[Estevan]:[Kipling]])</f>
        <v>0.80849654709632168</v>
      </c>
      <c r="J1055" s="2">
        <f t="shared" si="16"/>
        <v>1.0619047619047619</v>
      </c>
      <c r="K1055">
        <f>DAY(weather.tbl[[#This Row],[Date]])</f>
        <v>19</v>
      </c>
      <c r="L1055">
        <f>MONTH(weather.tbl[[#This Row],[Date]])</f>
        <v>11</v>
      </c>
      <c r="M1055">
        <f>YEAR(weather.tbl[[#This Row],[Date]])</f>
        <v>2016</v>
      </c>
    </row>
    <row r="1056" spans="1:13" x14ac:dyDescent="0.25">
      <c r="A1056" s="1">
        <v>42694</v>
      </c>
      <c r="B1056" s="2">
        <v>-2</v>
      </c>
      <c r="C1056" s="2">
        <v>-0.5</v>
      </c>
      <c r="D1056" s="2">
        <v>-3.3</v>
      </c>
      <c r="E1056" s="2">
        <v>0.5</v>
      </c>
      <c r="F1056" s="2">
        <v>-1.7</v>
      </c>
      <c r="G1056" s="2">
        <v>-2</v>
      </c>
      <c r="H1056" s="2">
        <f>AVERAGE(weather.tbl[[#This Row],[Estevan]:[Kipling]])</f>
        <v>-1.5</v>
      </c>
      <c r="I1056" s="2">
        <f>_xlfn.STDEV.S(weather.tbl[[#This Row],[Estevan]:[Kipling]])</f>
        <v>1.3251415018781956</v>
      </c>
      <c r="J1056" s="2">
        <f t="shared" si="16"/>
        <v>-0.12619047619047599</v>
      </c>
      <c r="K1056">
        <f>DAY(weather.tbl[[#This Row],[Date]])</f>
        <v>20</v>
      </c>
      <c r="L1056">
        <f>MONTH(weather.tbl[[#This Row],[Date]])</f>
        <v>11</v>
      </c>
      <c r="M1056">
        <f>YEAR(weather.tbl[[#This Row],[Date]])</f>
        <v>2016</v>
      </c>
    </row>
    <row r="1057" spans="1:13" x14ac:dyDescent="0.25">
      <c r="A1057" s="1">
        <v>42695</v>
      </c>
      <c r="B1057" s="2">
        <v>-1.9</v>
      </c>
      <c r="C1057" s="2">
        <v>-1.7</v>
      </c>
      <c r="D1057" s="2">
        <v>-3.8</v>
      </c>
      <c r="E1057" s="2">
        <v>-1</v>
      </c>
      <c r="F1057" s="2">
        <v>-1.4</v>
      </c>
      <c r="G1057" s="2">
        <v>-2.8</v>
      </c>
      <c r="H1057" s="2">
        <f>AVERAGE(weather.tbl[[#This Row],[Estevan]:[Kipling]])</f>
        <v>-2.0999999999999996</v>
      </c>
      <c r="I1057" s="2">
        <f>_xlfn.STDEV.S(weather.tbl[[#This Row],[Estevan]:[Kipling]])</f>
        <v>1.0276186062932111</v>
      </c>
      <c r="J1057" s="2">
        <f t="shared" si="16"/>
        <v>-1.4261904761904758</v>
      </c>
      <c r="K1057">
        <f>DAY(weather.tbl[[#This Row],[Date]])</f>
        <v>21</v>
      </c>
      <c r="L1057">
        <f>MONTH(weather.tbl[[#This Row],[Date]])</f>
        <v>11</v>
      </c>
      <c r="M1057">
        <f>YEAR(weather.tbl[[#This Row],[Date]])</f>
        <v>2016</v>
      </c>
    </row>
    <row r="1058" spans="1:13" x14ac:dyDescent="0.25">
      <c r="A1058" s="1">
        <v>42696</v>
      </c>
      <c r="B1058" s="2">
        <v>-1.9</v>
      </c>
      <c r="C1058" s="2">
        <v>-2.6</v>
      </c>
      <c r="D1058" s="2">
        <v>-2.8</v>
      </c>
      <c r="E1058" s="2">
        <v>-2.5</v>
      </c>
      <c r="F1058" s="2">
        <v>-1.7</v>
      </c>
      <c r="G1058" s="2">
        <v>-2.2999999999999998</v>
      </c>
      <c r="H1058" s="2">
        <f>AVERAGE(weather.tbl[[#This Row],[Estevan]:[Kipling]])</f>
        <v>-2.3000000000000003</v>
      </c>
      <c r="I1058" s="2">
        <f>_xlfn.STDEV.S(weather.tbl[[#This Row],[Estevan]:[Kipling]])</f>
        <v>0.42426406871192734</v>
      </c>
      <c r="J1058" s="2">
        <f t="shared" si="16"/>
        <v>-2.3595238095238096</v>
      </c>
      <c r="K1058">
        <f>DAY(weather.tbl[[#This Row],[Date]])</f>
        <v>22</v>
      </c>
      <c r="L1058">
        <f>MONTH(weather.tbl[[#This Row],[Date]])</f>
        <v>11</v>
      </c>
      <c r="M1058">
        <f>YEAR(weather.tbl[[#This Row],[Date]])</f>
        <v>2016</v>
      </c>
    </row>
    <row r="1059" spans="1:13" x14ac:dyDescent="0.25">
      <c r="A1059" s="1">
        <v>42697</v>
      </c>
      <c r="B1059" s="2">
        <v>-0.9</v>
      </c>
      <c r="C1059" s="2">
        <v>-1.3</v>
      </c>
      <c r="D1059" s="2">
        <v>-0.8</v>
      </c>
      <c r="E1059" s="2">
        <v>-1.8</v>
      </c>
      <c r="F1059" s="2">
        <v>-0.1</v>
      </c>
      <c r="G1059" s="2">
        <v>-1</v>
      </c>
      <c r="H1059" s="2">
        <f>AVERAGE(weather.tbl[[#This Row],[Estevan]:[Kipling]])</f>
        <v>-0.98333333333333328</v>
      </c>
      <c r="I1059" s="2">
        <f>_xlfn.STDEV.S(weather.tbl[[#This Row],[Estevan]:[Kipling]])</f>
        <v>0.56361925682739666</v>
      </c>
      <c r="J1059" s="2">
        <f t="shared" si="16"/>
        <v>-3.090476190476191</v>
      </c>
      <c r="K1059">
        <f>DAY(weather.tbl[[#This Row],[Date]])</f>
        <v>23</v>
      </c>
      <c r="L1059">
        <f>MONTH(weather.tbl[[#This Row],[Date]])</f>
        <v>11</v>
      </c>
      <c r="M1059">
        <f>YEAR(weather.tbl[[#This Row],[Date]])</f>
        <v>2016</v>
      </c>
    </row>
    <row r="1060" spans="1:13" x14ac:dyDescent="0.25">
      <c r="A1060" s="1">
        <v>42698</v>
      </c>
      <c r="B1060" s="2">
        <v>-1.8</v>
      </c>
      <c r="C1060" s="2">
        <v>-2.5</v>
      </c>
      <c r="D1060" s="2">
        <v>-0.5</v>
      </c>
      <c r="E1060" s="2">
        <v>1.8</v>
      </c>
      <c r="F1060" s="2">
        <v>1.5</v>
      </c>
      <c r="G1060" s="2">
        <v>-0.8</v>
      </c>
      <c r="H1060" s="2">
        <f>AVERAGE(weather.tbl[[#This Row],[Estevan]:[Kipling]])</f>
        <v>-0.3833333333333333</v>
      </c>
      <c r="I1060" s="2">
        <f>_xlfn.STDEV.S(weather.tbl[[#This Row],[Estevan]:[Kipling]])</f>
        <v>1.7313771012308863</v>
      </c>
      <c r="J1060" s="2">
        <f t="shared" si="16"/>
        <v>-2.7666666666666662</v>
      </c>
      <c r="K1060">
        <f>DAY(weather.tbl[[#This Row],[Date]])</f>
        <v>24</v>
      </c>
      <c r="L1060">
        <f>MONTH(weather.tbl[[#This Row],[Date]])</f>
        <v>11</v>
      </c>
      <c r="M1060">
        <f>YEAR(weather.tbl[[#This Row],[Date]])</f>
        <v>2016</v>
      </c>
    </row>
    <row r="1061" spans="1:13" x14ac:dyDescent="0.25">
      <c r="A1061" s="1">
        <v>42699</v>
      </c>
      <c r="B1061" s="2">
        <v>0</v>
      </c>
      <c r="C1061" s="2">
        <v>-0.9</v>
      </c>
      <c r="D1061" s="2">
        <v>-1.5</v>
      </c>
      <c r="E1061" s="2">
        <v>-1</v>
      </c>
      <c r="F1061" s="2">
        <v>-0.2</v>
      </c>
      <c r="G1061" s="2">
        <v>-0.8</v>
      </c>
      <c r="H1061" s="2">
        <f>AVERAGE(weather.tbl[[#This Row],[Estevan]:[Kipling]])</f>
        <v>-0.73333333333333339</v>
      </c>
      <c r="I1061" s="2">
        <f>_xlfn.STDEV.S(weather.tbl[[#This Row],[Estevan]:[Kipling]])</f>
        <v>0.55015149428740684</v>
      </c>
      <c r="J1061" s="2">
        <f t="shared" si="16"/>
        <v>-2.1738095238095236</v>
      </c>
      <c r="K1061">
        <f>DAY(weather.tbl[[#This Row],[Date]])</f>
        <v>25</v>
      </c>
      <c r="L1061">
        <f>MONTH(weather.tbl[[#This Row],[Date]])</f>
        <v>11</v>
      </c>
      <c r="M1061">
        <f>YEAR(weather.tbl[[#This Row],[Date]])</f>
        <v>2016</v>
      </c>
    </row>
    <row r="1062" spans="1:13" x14ac:dyDescent="0.25">
      <c r="A1062" s="1">
        <v>42700</v>
      </c>
      <c r="B1062" s="2">
        <v>1.2</v>
      </c>
      <c r="C1062" s="2">
        <v>-0.1</v>
      </c>
      <c r="D1062" s="2">
        <v>1.8</v>
      </c>
      <c r="E1062" s="2">
        <v>1.3</v>
      </c>
      <c r="F1062" s="2">
        <v>1.7</v>
      </c>
      <c r="G1062" s="2">
        <v>0.5</v>
      </c>
      <c r="H1062" s="2">
        <f>AVERAGE(weather.tbl[[#This Row],[Estevan]:[Kipling]])</f>
        <v>1.0666666666666667</v>
      </c>
      <c r="I1062" s="2">
        <f>_xlfn.STDEV.S(weather.tbl[[#This Row],[Estevan]:[Kipling]])</f>
        <v>0.73393914370788693</v>
      </c>
      <c r="J1062" s="2">
        <f t="shared" si="16"/>
        <v>-0.99047619047619051</v>
      </c>
      <c r="K1062">
        <f>DAY(weather.tbl[[#This Row],[Date]])</f>
        <v>26</v>
      </c>
      <c r="L1062">
        <f>MONTH(weather.tbl[[#This Row],[Date]])</f>
        <v>11</v>
      </c>
      <c r="M1062">
        <f>YEAR(weather.tbl[[#This Row],[Date]])</f>
        <v>2016</v>
      </c>
    </row>
    <row r="1063" spans="1:13" x14ac:dyDescent="0.25">
      <c r="A1063" s="1">
        <v>42701</v>
      </c>
      <c r="B1063" s="2">
        <v>0.2</v>
      </c>
      <c r="C1063" s="2">
        <v>1.6</v>
      </c>
      <c r="D1063" s="2">
        <v>-1.3</v>
      </c>
      <c r="E1063" s="2">
        <v>0.5</v>
      </c>
      <c r="F1063" s="2">
        <v>-0.3</v>
      </c>
      <c r="G1063" s="2">
        <v>0</v>
      </c>
      <c r="H1063" s="2">
        <f>AVERAGE(weather.tbl[[#This Row],[Estevan]:[Kipling]])</f>
        <v>0.11666666666666665</v>
      </c>
      <c r="I1063" s="2">
        <f>_xlfn.STDEV.S(weather.tbl[[#This Row],[Estevan]:[Kipling]])</f>
        <v>0.95376447127509778</v>
      </c>
      <c r="J1063" s="2">
        <f t="shared" si="16"/>
        <v>-0.75952380952380971</v>
      </c>
      <c r="K1063">
        <f>DAY(weather.tbl[[#This Row],[Date]])</f>
        <v>27</v>
      </c>
      <c r="L1063">
        <f>MONTH(weather.tbl[[#This Row],[Date]])</f>
        <v>11</v>
      </c>
      <c r="M1063">
        <f>YEAR(weather.tbl[[#This Row],[Date]])</f>
        <v>2016</v>
      </c>
    </row>
    <row r="1064" spans="1:13" x14ac:dyDescent="0.25">
      <c r="A1064" s="1">
        <v>42702</v>
      </c>
      <c r="B1064" s="2">
        <v>-2.6</v>
      </c>
      <c r="C1064" s="2">
        <v>-2.5</v>
      </c>
      <c r="D1064" s="2">
        <v>-2.8</v>
      </c>
      <c r="E1064" s="2">
        <v>-2.5</v>
      </c>
      <c r="F1064" s="2">
        <v>-1.6</v>
      </c>
      <c r="G1064" s="2">
        <v>-3.5</v>
      </c>
      <c r="H1064" s="2">
        <f>AVERAGE(weather.tbl[[#This Row],[Estevan]:[Kipling]])</f>
        <v>-2.583333333333333</v>
      </c>
      <c r="I1064" s="2">
        <f>_xlfn.STDEV.S(weather.tbl[[#This Row],[Estevan]:[Kipling]])</f>
        <v>0.61128280416405412</v>
      </c>
      <c r="J1064" s="2">
        <f t="shared" si="16"/>
        <v>-0.82857142857142863</v>
      </c>
      <c r="K1064">
        <f>DAY(weather.tbl[[#This Row],[Date]])</f>
        <v>28</v>
      </c>
      <c r="L1064">
        <f>MONTH(weather.tbl[[#This Row],[Date]])</f>
        <v>11</v>
      </c>
      <c r="M1064">
        <f>YEAR(weather.tbl[[#This Row],[Date]])</f>
        <v>2016</v>
      </c>
    </row>
    <row r="1065" spans="1:13" x14ac:dyDescent="0.25">
      <c r="A1065" s="1">
        <v>42703</v>
      </c>
      <c r="B1065" s="2">
        <v>-3.7</v>
      </c>
      <c r="C1065" s="2">
        <v>-3.7</v>
      </c>
      <c r="D1065" s="2">
        <v>-2.8</v>
      </c>
      <c r="E1065" s="2">
        <v>-3.5</v>
      </c>
      <c r="F1065" s="2">
        <v>-1.4</v>
      </c>
      <c r="G1065" s="2">
        <v>-4.3</v>
      </c>
      <c r="H1065" s="2">
        <f>AVERAGE(weather.tbl[[#This Row],[Estevan]:[Kipling]])</f>
        <v>-3.2333333333333329</v>
      </c>
      <c r="I1065" s="2">
        <f>_xlfn.STDEV.S(weather.tbl[[#This Row],[Estevan]:[Kipling]])</f>
        <v>1.0191499726078928</v>
      </c>
      <c r="J1065" s="2">
        <f t="shared" si="16"/>
        <v>-0.96190476190476182</v>
      </c>
      <c r="K1065">
        <f>DAY(weather.tbl[[#This Row],[Date]])</f>
        <v>29</v>
      </c>
      <c r="L1065">
        <f>MONTH(weather.tbl[[#This Row],[Date]])</f>
        <v>11</v>
      </c>
      <c r="M1065">
        <f>YEAR(weather.tbl[[#This Row],[Date]])</f>
        <v>2016</v>
      </c>
    </row>
    <row r="1066" spans="1:13" x14ac:dyDescent="0.25">
      <c r="A1066" s="1">
        <v>42704</v>
      </c>
      <c r="B1066" s="2">
        <v>-4.0999999999999996</v>
      </c>
      <c r="C1066" s="2">
        <v>-4</v>
      </c>
      <c r="D1066" s="2">
        <v>-3.5</v>
      </c>
      <c r="E1066" s="2">
        <v>-3.8</v>
      </c>
      <c r="F1066" s="2">
        <v>-2.2000000000000002</v>
      </c>
      <c r="G1066" s="2">
        <v>-4.5</v>
      </c>
      <c r="H1066" s="2">
        <f>AVERAGE(weather.tbl[[#This Row],[Estevan]:[Kipling]])</f>
        <v>-3.6833333333333331</v>
      </c>
      <c r="I1066" s="2">
        <f>_xlfn.STDEV.S(weather.tbl[[#This Row],[Estevan]:[Kipling]])</f>
        <v>0.79854033502802435</v>
      </c>
      <c r="J1066" s="2">
        <f t="shared" si="16"/>
        <v>-1.3476190476190477</v>
      </c>
      <c r="K1066">
        <f>DAY(weather.tbl[[#This Row],[Date]])</f>
        <v>30</v>
      </c>
      <c r="L1066">
        <f>MONTH(weather.tbl[[#This Row],[Date]])</f>
        <v>11</v>
      </c>
      <c r="M1066">
        <f>YEAR(weather.tbl[[#This Row],[Date]])</f>
        <v>2016</v>
      </c>
    </row>
    <row r="1067" spans="1:13" x14ac:dyDescent="0.25">
      <c r="A1067" s="1">
        <v>42705</v>
      </c>
      <c r="B1067" s="2">
        <v>-2.7</v>
      </c>
      <c r="C1067" s="2">
        <v>-2.9</v>
      </c>
      <c r="D1067" s="2">
        <v>-2.8</v>
      </c>
      <c r="E1067" s="2">
        <v>-2.8</v>
      </c>
      <c r="F1067" s="2">
        <v>-3.7</v>
      </c>
      <c r="G1067" s="2">
        <v>-2.2999999999999998</v>
      </c>
      <c r="H1067" s="2">
        <f>AVERAGE(weather.tbl[[#This Row],[Estevan]:[Kipling]])</f>
        <v>-2.8666666666666667</v>
      </c>
      <c r="I1067" s="2">
        <f>_xlfn.STDEV.S(weather.tbl[[#This Row],[Estevan]:[Kipling]])</f>
        <v>0.45898438608156045</v>
      </c>
      <c r="J1067" s="2">
        <f t="shared" si="16"/>
        <v>-1.7023809523809523</v>
      </c>
      <c r="K1067">
        <f>DAY(weather.tbl[[#This Row],[Date]])</f>
        <v>1</v>
      </c>
      <c r="L1067">
        <f>MONTH(weather.tbl[[#This Row],[Date]])</f>
        <v>12</v>
      </c>
      <c r="M1067">
        <f>YEAR(weather.tbl[[#This Row],[Date]])</f>
        <v>2016</v>
      </c>
    </row>
    <row r="1068" spans="1:13" x14ac:dyDescent="0.25">
      <c r="A1068" s="1">
        <v>42706</v>
      </c>
      <c r="B1068" s="2">
        <v>-2.7</v>
      </c>
      <c r="C1068" s="2">
        <v>-3.4</v>
      </c>
      <c r="D1068" s="2">
        <v>-4</v>
      </c>
      <c r="E1068" s="2">
        <v>-3.5</v>
      </c>
      <c r="F1068" s="2">
        <v>-3</v>
      </c>
      <c r="G1068" s="2">
        <v>-3.3</v>
      </c>
      <c r="H1068" s="2">
        <f>AVERAGE(weather.tbl[[#This Row],[Estevan]:[Kipling]])</f>
        <v>-3.3166666666666669</v>
      </c>
      <c r="I1068" s="2">
        <f>_xlfn.STDEV.S(weather.tbl[[#This Row],[Estevan]:[Kipling]])</f>
        <v>0.4445971959725602</v>
      </c>
      <c r="J1068" s="2">
        <f t="shared" si="16"/>
        <v>-2.0714285714285716</v>
      </c>
      <c r="K1068">
        <f>DAY(weather.tbl[[#This Row],[Date]])</f>
        <v>2</v>
      </c>
      <c r="L1068">
        <f>MONTH(weather.tbl[[#This Row],[Date]])</f>
        <v>12</v>
      </c>
      <c r="M1068">
        <f>YEAR(weather.tbl[[#This Row],[Date]])</f>
        <v>2016</v>
      </c>
    </row>
    <row r="1069" spans="1:13" x14ac:dyDescent="0.25">
      <c r="A1069" s="1">
        <v>42707</v>
      </c>
      <c r="B1069" s="2">
        <v>-4.7</v>
      </c>
      <c r="C1069" s="2">
        <v>-4.2</v>
      </c>
      <c r="D1069" s="2">
        <v>-4</v>
      </c>
      <c r="E1069" s="2">
        <v>-4.5</v>
      </c>
      <c r="F1069" s="2">
        <v>-3.8</v>
      </c>
      <c r="G1069" s="2">
        <v>-4</v>
      </c>
      <c r="H1069" s="2">
        <f>AVERAGE(weather.tbl[[#This Row],[Estevan]:[Kipling]])</f>
        <v>-4.2</v>
      </c>
      <c r="I1069" s="2">
        <f>_xlfn.STDEV.S(weather.tbl[[#This Row],[Estevan]:[Kipling]])</f>
        <v>0.3405877273185281</v>
      </c>
      <c r="J1069" s="2">
        <f t="shared" si="16"/>
        <v>-2.8238095238095235</v>
      </c>
      <c r="K1069">
        <f>DAY(weather.tbl[[#This Row],[Date]])</f>
        <v>3</v>
      </c>
      <c r="L1069">
        <f>MONTH(weather.tbl[[#This Row],[Date]])</f>
        <v>12</v>
      </c>
      <c r="M1069">
        <f>YEAR(weather.tbl[[#This Row],[Date]])</f>
        <v>2016</v>
      </c>
    </row>
    <row r="1070" spans="1:13" x14ac:dyDescent="0.25">
      <c r="A1070" s="1">
        <v>42708</v>
      </c>
      <c r="B1070" s="2">
        <v>-6.5</v>
      </c>
      <c r="C1070" s="2">
        <v>-6</v>
      </c>
      <c r="D1070" s="2">
        <v>-5.8</v>
      </c>
      <c r="E1070" s="2">
        <v>-6.5</v>
      </c>
      <c r="F1070" s="2">
        <v>-4.3</v>
      </c>
      <c r="G1070" s="2">
        <v>-7</v>
      </c>
      <c r="H1070" s="2">
        <f>AVERAGE(weather.tbl[[#This Row],[Estevan]:[Kipling]])</f>
        <v>-6.0166666666666666</v>
      </c>
      <c r="I1070" s="2">
        <f>_xlfn.STDEV.S(weather.tbl[[#This Row],[Estevan]:[Kipling]])</f>
        <v>0.94109864874340488</v>
      </c>
      <c r="J1070" s="2">
        <f t="shared" si="16"/>
        <v>-3.6999999999999997</v>
      </c>
      <c r="K1070">
        <f>DAY(weather.tbl[[#This Row],[Date]])</f>
        <v>4</v>
      </c>
      <c r="L1070">
        <f>MONTH(weather.tbl[[#This Row],[Date]])</f>
        <v>12</v>
      </c>
      <c r="M1070">
        <f>YEAR(weather.tbl[[#This Row],[Date]])</f>
        <v>2016</v>
      </c>
    </row>
    <row r="1071" spans="1:13" x14ac:dyDescent="0.25">
      <c r="A1071" s="1">
        <v>42709</v>
      </c>
      <c r="B1071" s="2">
        <v>-9</v>
      </c>
      <c r="C1071" s="2">
        <v>-8.8000000000000007</v>
      </c>
      <c r="D1071" s="2">
        <v>-9.8000000000000007</v>
      </c>
      <c r="E1071" s="2">
        <v>-8.3000000000000007</v>
      </c>
      <c r="F1071" s="2">
        <v>-6.2</v>
      </c>
      <c r="G1071" s="2">
        <v>-8.5</v>
      </c>
      <c r="H1071" s="2">
        <f>AVERAGE(weather.tbl[[#This Row],[Estevan]:[Kipling]])</f>
        <v>-8.4333333333333353</v>
      </c>
      <c r="I1071" s="2">
        <f>_xlfn.STDEV.S(weather.tbl[[#This Row],[Estevan]:[Kipling]])</f>
        <v>1.211060141638981</v>
      </c>
      <c r="J1071" s="2">
        <f t="shared" si="16"/>
        <v>-4.5357142857142856</v>
      </c>
      <c r="K1071">
        <f>DAY(weather.tbl[[#This Row],[Date]])</f>
        <v>5</v>
      </c>
      <c r="L1071">
        <f>MONTH(weather.tbl[[#This Row],[Date]])</f>
        <v>12</v>
      </c>
      <c r="M1071">
        <f>YEAR(weather.tbl[[#This Row],[Date]])</f>
        <v>2016</v>
      </c>
    </row>
    <row r="1072" spans="1:13" x14ac:dyDescent="0.25">
      <c r="A1072" s="1">
        <v>42710</v>
      </c>
      <c r="B1072" s="2">
        <v>-14.3</v>
      </c>
      <c r="C1072" s="2">
        <v>-14.9</v>
      </c>
      <c r="D1072" s="2">
        <v>-9.8000000000000007</v>
      </c>
      <c r="E1072" s="2">
        <v>-15.5</v>
      </c>
      <c r="F1072" s="2">
        <v>-9.5</v>
      </c>
      <c r="G1072" s="2">
        <v>-15</v>
      </c>
      <c r="H1072" s="2">
        <f>AVERAGE(weather.tbl[[#This Row],[Estevan]:[Kipling]])</f>
        <v>-13.166666666666666</v>
      </c>
      <c r="I1072" s="2">
        <f>_xlfn.STDEV.S(weather.tbl[[#This Row],[Estevan]:[Kipling]])</f>
        <v>2.7522112322034156</v>
      </c>
      <c r="J1072" s="2">
        <f t="shared" si="16"/>
        <v>-5.954761904761904</v>
      </c>
      <c r="K1072">
        <f>DAY(weather.tbl[[#This Row],[Date]])</f>
        <v>6</v>
      </c>
      <c r="L1072">
        <f>MONTH(weather.tbl[[#This Row],[Date]])</f>
        <v>12</v>
      </c>
      <c r="M1072">
        <f>YEAR(weather.tbl[[#This Row],[Date]])</f>
        <v>2016</v>
      </c>
    </row>
    <row r="1073" spans="1:13" x14ac:dyDescent="0.25">
      <c r="A1073" s="1">
        <v>42711</v>
      </c>
      <c r="B1073" s="2">
        <v>-17.2</v>
      </c>
      <c r="C1073" s="2">
        <v>-17.5</v>
      </c>
      <c r="D1073" s="2">
        <v>-16.3</v>
      </c>
      <c r="E1073" s="2">
        <v>-17</v>
      </c>
      <c r="F1073" s="2">
        <v>-13.5</v>
      </c>
      <c r="G1073" s="2">
        <v>-16.5</v>
      </c>
      <c r="H1073" s="2">
        <f>AVERAGE(weather.tbl[[#This Row],[Estevan]:[Kipling]])</f>
        <v>-16.333333333333332</v>
      </c>
      <c r="I1073" s="2">
        <f>_xlfn.STDEV.S(weather.tbl[[#This Row],[Estevan]:[Kipling]])</f>
        <v>1.4569374271624249</v>
      </c>
      <c r="J1073" s="2">
        <f t="shared" si="16"/>
        <v>-7.761904761904761</v>
      </c>
      <c r="K1073">
        <f>DAY(weather.tbl[[#This Row],[Date]])</f>
        <v>7</v>
      </c>
      <c r="L1073">
        <f>MONTH(weather.tbl[[#This Row],[Date]])</f>
        <v>12</v>
      </c>
      <c r="M1073">
        <f>YEAR(weather.tbl[[#This Row],[Date]])</f>
        <v>2016</v>
      </c>
    </row>
    <row r="1074" spans="1:13" x14ac:dyDescent="0.25">
      <c r="A1074" s="1">
        <v>42712</v>
      </c>
      <c r="B1074" s="2">
        <v>-22.7</v>
      </c>
      <c r="C1074" s="2">
        <v>-23.3</v>
      </c>
      <c r="D1074" s="2">
        <v>-20.5</v>
      </c>
      <c r="E1074" s="2">
        <v>-20.5</v>
      </c>
      <c r="F1074" s="2">
        <v>-20.3</v>
      </c>
      <c r="G1074" s="2">
        <v>-19.8</v>
      </c>
      <c r="H1074" s="2">
        <f>AVERAGE(weather.tbl[[#This Row],[Estevan]:[Kipling]])</f>
        <v>-21.183333333333334</v>
      </c>
      <c r="I1074" s="2">
        <f>_xlfn.STDEV.S(weather.tbl[[#This Row],[Estevan]:[Kipling]])</f>
        <v>1.4427982071886096</v>
      </c>
      <c r="J1074" s="2">
        <f t="shared" si="16"/>
        <v>-10.37857142857143</v>
      </c>
      <c r="K1074">
        <f>DAY(weather.tbl[[#This Row],[Date]])</f>
        <v>8</v>
      </c>
      <c r="L1074">
        <f>MONTH(weather.tbl[[#This Row],[Date]])</f>
        <v>12</v>
      </c>
      <c r="M1074">
        <f>YEAR(weather.tbl[[#This Row],[Date]])</f>
        <v>2016</v>
      </c>
    </row>
    <row r="1075" spans="1:13" x14ac:dyDescent="0.25">
      <c r="A1075" s="1">
        <v>42713</v>
      </c>
      <c r="B1075" s="2">
        <v>-27.7</v>
      </c>
      <c r="C1075" s="2">
        <v>-28.2</v>
      </c>
      <c r="D1075" s="2">
        <v>-27.5</v>
      </c>
      <c r="E1075" s="2">
        <v>-25</v>
      </c>
      <c r="F1075" s="2">
        <v>-26.4</v>
      </c>
      <c r="G1075" s="2">
        <v>-26.3</v>
      </c>
      <c r="H1075" s="2">
        <f>AVERAGE(weather.tbl[[#This Row],[Estevan]:[Kipling]])</f>
        <v>-26.850000000000005</v>
      </c>
      <c r="I1075" s="2">
        <f>_xlfn.STDEV.S(weather.tbl[[#This Row],[Estevan]:[Kipling]])</f>
        <v>1.1743083070471738</v>
      </c>
      <c r="J1075" s="2">
        <f t="shared" si="16"/>
        <v>-13.740476190476192</v>
      </c>
      <c r="K1075">
        <f>DAY(weather.tbl[[#This Row],[Date]])</f>
        <v>9</v>
      </c>
      <c r="L1075">
        <f>MONTH(weather.tbl[[#This Row],[Date]])</f>
        <v>12</v>
      </c>
      <c r="M1075">
        <f>YEAR(weather.tbl[[#This Row],[Date]])</f>
        <v>2016</v>
      </c>
    </row>
    <row r="1076" spans="1:13" x14ac:dyDescent="0.25">
      <c r="A1076" s="1">
        <v>42714</v>
      </c>
      <c r="B1076" s="2">
        <v>-26.3</v>
      </c>
      <c r="C1076" s="2">
        <v>-27.5</v>
      </c>
      <c r="D1076" s="2">
        <v>-29.8</v>
      </c>
      <c r="E1076" s="2">
        <v>-25.5</v>
      </c>
      <c r="F1076" s="2">
        <v>-28.1</v>
      </c>
      <c r="G1076" s="2">
        <v>-25.5</v>
      </c>
      <c r="H1076" s="2">
        <f>AVERAGE(weather.tbl[[#This Row],[Estevan]:[Kipling]])</f>
        <v>-27.116666666666664</v>
      </c>
      <c r="I1076" s="2">
        <f>_xlfn.STDEV.S(weather.tbl[[#This Row],[Estevan]:[Kipling]])</f>
        <v>1.6857243744653714</v>
      </c>
      <c r="J1076" s="2">
        <f t="shared" si="16"/>
        <v>-17.014285714285716</v>
      </c>
      <c r="K1076">
        <f>DAY(weather.tbl[[#This Row],[Date]])</f>
        <v>10</v>
      </c>
      <c r="L1076">
        <f>MONTH(weather.tbl[[#This Row],[Date]])</f>
        <v>12</v>
      </c>
      <c r="M1076">
        <f>YEAR(weather.tbl[[#This Row],[Date]])</f>
        <v>2016</v>
      </c>
    </row>
    <row r="1077" spans="1:13" x14ac:dyDescent="0.25">
      <c r="A1077" s="1">
        <v>42715</v>
      </c>
      <c r="B1077" s="2">
        <v>-21.1</v>
      </c>
      <c r="C1077" s="2">
        <v>-21.6</v>
      </c>
      <c r="D1077" s="2">
        <v>-24.3</v>
      </c>
      <c r="E1077" s="2">
        <v>-20.5</v>
      </c>
      <c r="F1077" s="2">
        <v>-22</v>
      </c>
      <c r="G1077" s="2">
        <v>-22</v>
      </c>
      <c r="H1077" s="2">
        <f>AVERAGE(weather.tbl[[#This Row],[Estevan]:[Kipling]])</f>
        <v>-21.916666666666668</v>
      </c>
      <c r="I1077" s="2">
        <f>_xlfn.STDEV.S(weather.tbl[[#This Row],[Estevan]:[Kipling]])</f>
        <v>1.3014094923069628</v>
      </c>
      <c r="J1077" s="2">
        <f t="shared" si="16"/>
        <v>-19.285714285714285</v>
      </c>
      <c r="K1077">
        <f>DAY(weather.tbl[[#This Row],[Date]])</f>
        <v>11</v>
      </c>
      <c r="L1077">
        <f>MONTH(weather.tbl[[#This Row],[Date]])</f>
        <v>12</v>
      </c>
      <c r="M1077">
        <f>YEAR(weather.tbl[[#This Row],[Date]])</f>
        <v>2016</v>
      </c>
    </row>
    <row r="1078" spans="1:13" x14ac:dyDescent="0.25">
      <c r="A1078" s="1">
        <v>42716</v>
      </c>
      <c r="B1078" s="2">
        <v>-21.2</v>
      </c>
      <c r="C1078" s="2">
        <v>-19.399999999999999</v>
      </c>
      <c r="D1078" s="2">
        <v>-21.8</v>
      </c>
      <c r="E1078" s="2">
        <v>-19.3</v>
      </c>
      <c r="F1078" s="2">
        <v>-21.1</v>
      </c>
      <c r="G1078" s="2">
        <v>-21.5</v>
      </c>
      <c r="H1078" s="2">
        <f>AVERAGE(weather.tbl[[#This Row],[Estevan]:[Kipling]])</f>
        <v>-20.716666666666665</v>
      </c>
      <c r="I1078" s="2">
        <f>_xlfn.STDEV.S(weather.tbl[[#This Row],[Estevan]:[Kipling]])</f>
        <v>1.0870449239413555</v>
      </c>
      <c r="J1078" s="2">
        <f t="shared" si="16"/>
        <v>-21.040476190476191</v>
      </c>
      <c r="K1078">
        <f>DAY(weather.tbl[[#This Row],[Date]])</f>
        <v>12</v>
      </c>
      <c r="L1078">
        <f>MONTH(weather.tbl[[#This Row],[Date]])</f>
        <v>12</v>
      </c>
      <c r="M1078">
        <f>YEAR(weather.tbl[[#This Row],[Date]])</f>
        <v>2016</v>
      </c>
    </row>
    <row r="1079" spans="1:13" x14ac:dyDescent="0.25">
      <c r="A1079" s="1">
        <v>42717</v>
      </c>
      <c r="B1079" s="2">
        <v>-18.100000000000001</v>
      </c>
      <c r="C1079" s="2">
        <v>-17.8</v>
      </c>
      <c r="D1079" s="2">
        <v>-18.3</v>
      </c>
      <c r="E1079" s="2">
        <v>-17</v>
      </c>
      <c r="F1079" s="2">
        <v>-18</v>
      </c>
      <c r="G1079" s="2">
        <v>-18.5</v>
      </c>
      <c r="H1079" s="2">
        <f>AVERAGE(weather.tbl[[#This Row],[Estevan]:[Kipling]])</f>
        <v>-17.95</v>
      </c>
      <c r="I1079" s="2">
        <f>_xlfn.STDEV.S(weather.tbl[[#This Row],[Estevan]:[Kipling]])</f>
        <v>0.52440442408507593</v>
      </c>
      <c r="J1079" s="2">
        <f t="shared" si="16"/>
        <v>-21.723809523809525</v>
      </c>
      <c r="K1079">
        <f>DAY(weather.tbl[[#This Row],[Date]])</f>
        <v>13</v>
      </c>
      <c r="L1079">
        <f>MONTH(weather.tbl[[#This Row],[Date]])</f>
        <v>12</v>
      </c>
      <c r="M1079">
        <f>YEAR(weather.tbl[[#This Row],[Date]])</f>
        <v>2016</v>
      </c>
    </row>
    <row r="1080" spans="1:13" x14ac:dyDescent="0.25">
      <c r="A1080" s="1">
        <v>42718</v>
      </c>
      <c r="B1080" s="2">
        <v>-24.1</v>
      </c>
      <c r="C1080" s="2">
        <v>-24.3</v>
      </c>
      <c r="D1080" s="2">
        <v>-23</v>
      </c>
      <c r="E1080" s="2">
        <v>-20.8</v>
      </c>
      <c r="F1080" s="2">
        <v>-23.6</v>
      </c>
      <c r="G1080" s="2">
        <v>-23.5</v>
      </c>
      <c r="H1080" s="2">
        <f>AVERAGE(weather.tbl[[#This Row],[Estevan]:[Kipling]])</f>
        <v>-23.216666666666669</v>
      </c>
      <c r="I1080" s="2">
        <f>_xlfn.STDEV.S(weather.tbl[[#This Row],[Estevan]:[Kipling]])</f>
        <v>1.2703018014104628</v>
      </c>
      <c r="J1080" s="2">
        <f t="shared" si="16"/>
        <v>-22.707142857142859</v>
      </c>
      <c r="K1080">
        <f>DAY(weather.tbl[[#This Row],[Date]])</f>
        <v>14</v>
      </c>
      <c r="L1080">
        <f>MONTH(weather.tbl[[#This Row],[Date]])</f>
        <v>12</v>
      </c>
      <c r="M1080">
        <f>YEAR(weather.tbl[[#This Row],[Date]])</f>
        <v>2016</v>
      </c>
    </row>
    <row r="1081" spans="1:13" x14ac:dyDescent="0.25">
      <c r="A1081" s="1">
        <v>42719</v>
      </c>
      <c r="B1081" s="2">
        <v>-22.4</v>
      </c>
      <c r="C1081" s="2">
        <v>-24.1</v>
      </c>
      <c r="D1081" s="2">
        <v>-25.3</v>
      </c>
      <c r="E1081" s="2">
        <v>-21.5</v>
      </c>
      <c r="F1081" s="2">
        <v>-24.5</v>
      </c>
      <c r="G1081" s="2">
        <v>-22.3</v>
      </c>
      <c r="H1081" s="2">
        <f>AVERAGE(weather.tbl[[#This Row],[Estevan]:[Kipling]])</f>
        <v>-23.349999999999998</v>
      </c>
      <c r="I1081" s="2">
        <f>_xlfn.STDEV.S(weather.tbl[[#This Row],[Estevan]:[Kipling]])</f>
        <v>1.4909728367747017</v>
      </c>
      <c r="J1081" s="2">
        <f t="shared" si="16"/>
        <v>-23.016666666666669</v>
      </c>
      <c r="K1081">
        <f>DAY(weather.tbl[[#This Row],[Date]])</f>
        <v>15</v>
      </c>
      <c r="L1081">
        <f>MONTH(weather.tbl[[#This Row],[Date]])</f>
        <v>12</v>
      </c>
      <c r="M1081">
        <f>YEAR(weather.tbl[[#This Row],[Date]])</f>
        <v>2016</v>
      </c>
    </row>
    <row r="1082" spans="1:13" x14ac:dyDescent="0.25">
      <c r="A1082" s="1">
        <v>42720</v>
      </c>
      <c r="B1082" s="2">
        <v>-24.6</v>
      </c>
      <c r="C1082" s="2">
        <v>-25.7</v>
      </c>
      <c r="D1082" s="2">
        <v>-24.3</v>
      </c>
      <c r="E1082" s="2">
        <v>-23.5</v>
      </c>
      <c r="F1082" s="2">
        <v>-24</v>
      </c>
      <c r="G1082" s="2">
        <v>-25.3</v>
      </c>
      <c r="H1082" s="2">
        <f>AVERAGE(weather.tbl[[#This Row],[Estevan]:[Kipling]])</f>
        <v>-24.566666666666666</v>
      </c>
      <c r="I1082" s="2">
        <f>_xlfn.STDEV.S(weather.tbl[[#This Row],[Estevan]:[Kipling]])</f>
        <v>0.81894240741743651</v>
      </c>
      <c r="J1082" s="2">
        <f t="shared" si="16"/>
        <v>-22.690476190476193</v>
      </c>
      <c r="K1082">
        <f>DAY(weather.tbl[[#This Row],[Date]])</f>
        <v>16</v>
      </c>
      <c r="L1082">
        <f>MONTH(weather.tbl[[#This Row],[Date]])</f>
        <v>12</v>
      </c>
      <c r="M1082">
        <f>YEAR(weather.tbl[[#This Row],[Date]])</f>
        <v>2016</v>
      </c>
    </row>
    <row r="1083" spans="1:13" x14ac:dyDescent="0.25">
      <c r="A1083" s="1">
        <v>42721</v>
      </c>
      <c r="B1083" s="2">
        <v>-29.8</v>
      </c>
      <c r="C1083" s="2">
        <v>-30.6</v>
      </c>
      <c r="D1083" s="2">
        <v>-31</v>
      </c>
      <c r="E1083" s="2">
        <v>-28</v>
      </c>
      <c r="F1083" s="2">
        <v>-29.7</v>
      </c>
      <c r="G1083" s="2">
        <v>-29.5</v>
      </c>
      <c r="H1083" s="2">
        <f>AVERAGE(weather.tbl[[#This Row],[Estevan]:[Kipling]])</f>
        <v>-29.766666666666666</v>
      </c>
      <c r="I1083" s="2">
        <f>_xlfn.STDEV.S(weather.tbl[[#This Row],[Estevan]:[Kipling]])</f>
        <v>1.0405126941400893</v>
      </c>
      <c r="J1083" s="2">
        <f t="shared" si="16"/>
        <v>-23.06904761904762</v>
      </c>
      <c r="K1083">
        <f>DAY(weather.tbl[[#This Row],[Date]])</f>
        <v>17</v>
      </c>
      <c r="L1083">
        <f>MONTH(weather.tbl[[#This Row],[Date]])</f>
        <v>12</v>
      </c>
      <c r="M1083">
        <f>YEAR(weather.tbl[[#This Row],[Date]])</f>
        <v>2016</v>
      </c>
    </row>
    <row r="1084" spans="1:13" x14ac:dyDescent="0.25">
      <c r="A1084" s="1">
        <v>42722</v>
      </c>
      <c r="B1084" s="2">
        <v>-16.8</v>
      </c>
      <c r="C1084" s="2">
        <v>-17.5</v>
      </c>
      <c r="D1084" s="2">
        <v>-22.3</v>
      </c>
      <c r="E1084" s="2">
        <v>-16</v>
      </c>
      <c r="F1084" s="2">
        <v>-18.899999999999999</v>
      </c>
      <c r="G1084" s="2">
        <v>-17.5</v>
      </c>
      <c r="H1084" s="2">
        <f>AVERAGE(weather.tbl[[#This Row],[Estevan]:[Kipling]])</f>
        <v>-18.166666666666668</v>
      </c>
      <c r="I1084" s="2">
        <f>_xlfn.STDEV.S(weather.tbl[[#This Row],[Estevan]:[Kipling]])</f>
        <v>2.2393451423723429</v>
      </c>
      <c r="J1084" s="2">
        <f t="shared" si="16"/>
        <v>-22.533333333333331</v>
      </c>
      <c r="K1084">
        <f>DAY(weather.tbl[[#This Row],[Date]])</f>
        <v>18</v>
      </c>
      <c r="L1084">
        <f>MONTH(weather.tbl[[#This Row],[Date]])</f>
        <v>12</v>
      </c>
      <c r="M1084">
        <f>YEAR(weather.tbl[[#This Row],[Date]])</f>
        <v>2016</v>
      </c>
    </row>
    <row r="1085" spans="1:13" x14ac:dyDescent="0.25">
      <c r="A1085" s="1">
        <v>42723</v>
      </c>
      <c r="B1085" s="2">
        <v>-3.3</v>
      </c>
      <c r="C1085" s="2">
        <v>-1.8</v>
      </c>
      <c r="D1085" s="2">
        <v>-7.3</v>
      </c>
      <c r="E1085" s="2">
        <v>-1.5</v>
      </c>
      <c r="F1085" s="2">
        <v>-2.5</v>
      </c>
      <c r="G1085" s="2">
        <v>-5.5</v>
      </c>
      <c r="H1085" s="2">
        <f>AVERAGE(weather.tbl[[#This Row],[Estevan]:[Kipling]])</f>
        <v>-3.65</v>
      </c>
      <c r="I1085" s="2">
        <f>_xlfn.STDEV.S(weather.tbl[[#This Row],[Estevan]:[Kipling]])</f>
        <v>2.2906331002585296</v>
      </c>
      <c r="J1085" s="2">
        <f t="shared" si="16"/>
        <v>-20.095238095238095</v>
      </c>
      <c r="K1085">
        <f>DAY(weather.tbl[[#This Row],[Date]])</f>
        <v>19</v>
      </c>
      <c r="L1085">
        <f>MONTH(weather.tbl[[#This Row],[Date]])</f>
        <v>12</v>
      </c>
      <c r="M1085">
        <f>YEAR(weather.tbl[[#This Row],[Date]])</f>
        <v>2016</v>
      </c>
    </row>
    <row r="1086" spans="1:13" x14ac:dyDescent="0.25">
      <c r="A1086" s="1">
        <v>42724</v>
      </c>
      <c r="B1086" s="2">
        <v>-6</v>
      </c>
      <c r="C1086" s="2">
        <v>-5.2</v>
      </c>
      <c r="D1086" s="2">
        <v>-5.5</v>
      </c>
      <c r="E1086" s="2">
        <v>-3.8</v>
      </c>
      <c r="F1086" s="2">
        <v>-5.5</v>
      </c>
      <c r="G1086" s="2">
        <v>-6.5</v>
      </c>
      <c r="H1086" s="2">
        <f>AVERAGE(weather.tbl[[#This Row],[Estevan]:[Kipling]])</f>
        <v>-5.416666666666667</v>
      </c>
      <c r="I1086" s="2">
        <f>_xlfn.STDEV.S(weather.tbl[[#This Row],[Estevan]:[Kipling]])</f>
        <v>0.91524131608372672</v>
      </c>
      <c r="J1086" s="2">
        <f t="shared" si="16"/>
        <v>-18.304761904761904</v>
      </c>
      <c r="K1086">
        <f>DAY(weather.tbl[[#This Row],[Date]])</f>
        <v>20</v>
      </c>
      <c r="L1086">
        <f>MONTH(weather.tbl[[#This Row],[Date]])</f>
        <v>12</v>
      </c>
      <c r="M1086">
        <f>YEAR(weather.tbl[[#This Row],[Date]])</f>
        <v>2016</v>
      </c>
    </row>
    <row r="1087" spans="1:13" x14ac:dyDescent="0.25">
      <c r="A1087" s="1">
        <v>42725</v>
      </c>
      <c r="B1087" s="2">
        <v>-4.5</v>
      </c>
      <c r="C1087" s="2">
        <v>-5.8</v>
      </c>
      <c r="D1087" s="2">
        <v>-8</v>
      </c>
      <c r="E1087" s="2">
        <v>-6</v>
      </c>
      <c r="F1087" s="2">
        <v>-4.9000000000000004</v>
      </c>
      <c r="G1087" s="2">
        <v>-7.5</v>
      </c>
      <c r="H1087" s="2">
        <f>AVERAGE(weather.tbl[[#This Row],[Estevan]:[Kipling]])</f>
        <v>-6.1166666666666671</v>
      </c>
      <c r="I1087" s="2">
        <f>_xlfn.STDEV.S(weather.tbl[[#This Row],[Estevan]:[Kipling]])</f>
        <v>1.3905634349667975</v>
      </c>
      <c r="J1087" s="2">
        <f t="shared" si="16"/>
        <v>-15.861904761904766</v>
      </c>
      <c r="K1087">
        <f>DAY(weather.tbl[[#This Row],[Date]])</f>
        <v>21</v>
      </c>
      <c r="L1087">
        <f>MONTH(weather.tbl[[#This Row],[Date]])</f>
        <v>12</v>
      </c>
      <c r="M1087">
        <f>YEAR(weather.tbl[[#This Row],[Date]])</f>
        <v>2016</v>
      </c>
    </row>
    <row r="1088" spans="1:13" x14ac:dyDescent="0.25">
      <c r="A1088" s="1">
        <v>42726</v>
      </c>
      <c r="B1088" s="2">
        <v>-5</v>
      </c>
      <c r="C1088" s="2">
        <v>-5.5</v>
      </c>
      <c r="D1088" s="2">
        <v>-4.8</v>
      </c>
      <c r="E1088" s="2">
        <v>-2</v>
      </c>
      <c r="F1088" s="2">
        <v>-6.2</v>
      </c>
      <c r="G1088" s="2">
        <v>-5.8</v>
      </c>
      <c r="H1088" s="2">
        <f>AVERAGE(weather.tbl[[#This Row],[Estevan]:[Kipling]])</f>
        <v>-4.8833333333333337</v>
      </c>
      <c r="I1088" s="2">
        <f>_xlfn.STDEV.S(weather.tbl[[#This Row],[Estevan]:[Kipling]])</f>
        <v>1.5025533823018287</v>
      </c>
      <c r="J1088" s="2">
        <f t="shared" si="16"/>
        <v>-13.223809523809525</v>
      </c>
      <c r="K1088">
        <f>DAY(weather.tbl[[#This Row],[Date]])</f>
        <v>22</v>
      </c>
      <c r="L1088">
        <f>MONTH(weather.tbl[[#This Row],[Date]])</f>
        <v>12</v>
      </c>
      <c r="M1088">
        <f>YEAR(weather.tbl[[#This Row],[Date]])</f>
        <v>2016</v>
      </c>
    </row>
    <row r="1089" spans="1:13" x14ac:dyDescent="0.25">
      <c r="A1089" s="1">
        <v>42727</v>
      </c>
      <c r="B1089" s="2">
        <v>-10.8</v>
      </c>
      <c r="C1089" s="2">
        <v>-9.8000000000000007</v>
      </c>
      <c r="D1089" s="2">
        <v>-11.3</v>
      </c>
      <c r="E1089" s="2">
        <v>-8</v>
      </c>
      <c r="F1089" s="2">
        <v>-9.1</v>
      </c>
      <c r="G1089" s="2">
        <v>-8.3000000000000007</v>
      </c>
      <c r="H1089" s="2">
        <f>AVERAGE(weather.tbl[[#This Row],[Estevan]:[Kipling]])</f>
        <v>-9.5500000000000025</v>
      </c>
      <c r="I1089" s="2">
        <f>_xlfn.STDEV.S(weather.tbl[[#This Row],[Estevan]:[Kipling]])</f>
        <v>1.3307892395116359</v>
      </c>
      <c r="J1089" s="2">
        <f t="shared" si="16"/>
        <v>-11.078571428571427</v>
      </c>
      <c r="K1089">
        <f>DAY(weather.tbl[[#This Row],[Date]])</f>
        <v>23</v>
      </c>
      <c r="L1089">
        <f>MONTH(weather.tbl[[#This Row],[Date]])</f>
        <v>12</v>
      </c>
      <c r="M1089">
        <f>YEAR(weather.tbl[[#This Row],[Date]])</f>
        <v>2016</v>
      </c>
    </row>
    <row r="1090" spans="1:13" x14ac:dyDescent="0.25">
      <c r="A1090" s="1">
        <v>42728</v>
      </c>
      <c r="B1090" s="2">
        <v>-12.1</v>
      </c>
      <c r="C1090" s="2">
        <v>-12.7</v>
      </c>
      <c r="D1090" s="2">
        <v>-15.8</v>
      </c>
      <c r="E1090" s="2">
        <v>-14.5</v>
      </c>
      <c r="F1090" s="2">
        <v>-14.2</v>
      </c>
      <c r="G1090" s="2">
        <v>-18.3</v>
      </c>
      <c r="H1090" s="2">
        <f>AVERAGE(weather.tbl[[#This Row],[Estevan]:[Kipling]])</f>
        <v>-14.6</v>
      </c>
      <c r="I1090" s="2">
        <f>_xlfn.STDEV.S(weather.tbl[[#This Row],[Estevan]:[Kipling]])</f>
        <v>2.2432119828496062</v>
      </c>
      <c r="J1090" s="2">
        <f t="shared" si="16"/>
        <v>-8.9119047619047631</v>
      </c>
      <c r="K1090">
        <f>DAY(weather.tbl[[#This Row],[Date]])</f>
        <v>24</v>
      </c>
      <c r="L1090">
        <f>MONTH(weather.tbl[[#This Row],[Date]])</f>
        <v>12</v>
      </c>
      <c r="M1090">
        <f>YEAR(weather.tbl[[#This Row],[Date]])</f>
        <v>2016</v>
      </c>
    </row>
    <row r="1091" spans="1:13" x14ac:dyDescent="0.25">
      <c r="A1091" s="1">
        <v>42729</v>
      </c>
      <c r="B1091" s="2">
        <v>-16</v>
      </c>
      <c r="C1091" s="2">
        <v>-15.8</v>
      </c>
      <c r="D1091" s="2">
        <v>-15.8</v>
      </c>
      <c r="E1091" s="2">
        <v>-15.3</v>
      </c>
      <c r="F1091" s="2">
        <v>-15</v>
      </c>
      <c r="G1091" s="2">
        <v>-16.3</v>
      </c>
      <c r="H1091" s="2">
        <f>AVERAGE(weather.tbl[[#This Row],[Estevan]:[Kipling]])</f>
        <v>-15.700000000000001</v>
      </c>
      <c r="I1091" s="2">
        <f>_xlfn.STDEV.S(weather.tbl[[#This Row],[Estevan]:[Kipling]])</f>
        <v>0.47328638264796941</v>
      </c>
      <c r="J1091" s="2">
        <f t="shared" si="16"/>
        <v>-8.5595238095238102</v>
      </c>
      <c r="K1091">
        <f>DAY(weather.tbl[[#This Row],[Date]])</f>
        <v>25</v>
      </c>
      <c r="L1091">
        <f>MONTH(weather.tbl[[#This Row],[Date]])</f>
        <v>12</v>
      </c>
      <c r="M1091">
        <f>YEAR(weather.tbl[[#This Row],[Date]])</f>
        <v>2016</v>
      </c>
    </row>
    <row r="1092" spans="1:13" x14ac:dyDescent="0.25">
      <c r="A1092" s="1">
        <v>42730</v>
      </c>
      <c r="B1092" s="2">
        <v>-17.100000000000001</v>
      </c>
      <c r="C1092" s="2">
        <v>-16.3</v>
      </c>
      <c r="D1092" s="2">
        <v>-13.8</v>
      </c>
      <c r="E1092" s="2">
        <v>-14.3</v>
      </c>
      <c r="F1092" s="2">
        <v>-13.3</v>
      </c>
      <c r="G1092" s="2">
        <v>-14.8</v>
      </c>
      <c r="H1092" s="2">
        <f>AVERAGE(weather.tbl[[#This Row],[Estevan]:[Kipling]])</f>
        <v>-14.933333333333332</v>
      </c>
      <c r="I1092" s="2">
        <f>_xlfn.STDEV.S(weather.tbl[[#This Row],[Estevan]:[Kipling]])</f>
        <v>1.4787382008545891</v>
      </c>
      <c r="J1092" s="2">
        <f t="shared" si="16"/>
        <v>-10.171428571428573</v>
      </c>
      <c r="K1092">
        <f>DAY(weather.tbl[[#This Row],[Date]])</f>
        <v>26</v>
      </c>
      <c r="L1092">
        <f>MONTH(weather.tbl[[#This Row],[Date]])</f>
        <v>12</v>
      </c>
      <c r="M1092">
        <f>YEAR(weather.tbl[[#This Row],[Date]])</f>
        <v>2016</v>
      </c>
    </row>
    <row r="1093" spans="1:13" x14ac:dyDescent="0.25">
      <c r="A1093" s="1">
        <v>42731</v>
      </c>
      <c r="B1093" s="2">
        <v>-15.2</v>
      </c>
      <c r="C1093" s="2">
        <v>-13</v>
      </c>
      <c r="D1093" s="2">
        <v>-16.5</v>
      </c>
      <c r="E1093" s="2">
        <v>-12.8</v>
      </c>
      <c r="F1093" s="2">
        <v>-17.3</v>
      </c>
      <c r="G1093" s="2">
        <v>-11.3</v>
      </c>
      <c r="H1093" s="2">
        <f>AVERAGE(weather.tbl[[#This Row],[Estevan]:[Kipling]])</f>
        <v>-14.35</v>
      </c>
      <c r="I1093" s="2">
        <f>_xlfn.STDEV.S(weather.tbl[[#This Row],[Estevan]:[Kipling]])</f>
        <v>2.3484037131634872</v>
      </c>
      <c r="J1093" s="2">
        <f t="shared" si="16"/>
        <v>-11.447619047619048</v>
      </c>
      <c r="K1093">
        <f>DAY(weather.tbl[[#This Row],[Date]])</f>
        <v>27</v>
      </c>
      <c r="L1093">
        <f>MONTH(weather.tbl[[#This Row],[Date]])</f>
        <v>12</v>
      </c>
      <c r="M1093">
        <f>YEAR(weather.tbl[[#This Row],[Date]])</f>
        <v>2016</v>
      </c>
    </row>
    <row r="1094" spans="1:13" x14ac:dyDescent="0.25">
      <c r="A1094" s="1">
        <v>42732</v>
      </c>
      <c r="B1094" s="2">
        <v>-5.6</v>
      </c>
      <c r="C1094" s="2">
        <v>-4.3</v>
      </c>
      <c r="D1094" s="2">
        <v>-16.5</v>
      </c>
      <c r="E1094" s="2">
        <v>-5</v>
      </c>
      <c r="F1094" s="2">
        <v>-5.9</v>
      </c>
      <c r="G1094" s="2">
        <v>-5.8</v>
      </c>
      <c r="H1094" s="2">
        <f>AVERAGE(weather.tbl[[#This Row],[Estevan]:[Kipling]])</f>
        <v>-7.1833333333333327</v>
      </c>
      <c r="I1094" s="2">
        <f>_xlfn.STDEV.S(weather.tbl[[#This Row],[Estevan]:[Kipling]])</f>
        <v>4.6032235082240671</v>
      </c>
      <c r="J1094" s="2">
        <f t="shared" si="16"/>
        <v>-11.6</v>
      </c>
      <c r="K1094">
        <f>DAY(weather.tbl[[#This Row],[Date]])</f>
        <v>28</v>
      </c>
      <c r="L1094">
        <f>MONTH(weather.tbl[[#This Row],[Date]])</f>
        <v>12</v>
      </c>
      <c r="M1094">
        <f>YEAR(weather.tbl[[#This Row],[Date]])</f>
        <v>2016</v>
      </c>
    </row>
    <row r="1095" spans="1:13" x14ac:dyDescent="0.25">
      <c r="A1095" s="1">
        <v>42733</v>
      </c>
      <c r="B1095" s="2">
        <v>-9.9</v>
      </c>
      <c r="C1095" s="2">
        <v>-9.9</v>
      </c>
      <c r="D1095" s="2">
        <v>-16.5</v>
      </c>
      <c r="E1095" s="2">
        <v>-7.5</v>
      </c>
      <c r="F1095" s="2">
        <v>-8.1</v>
      </c>
      <c r="G1095" s="2">
        <v>-9.3000000000000007</v>
      </c>
      <c r="H1095" s="2">
        <f>AVERAGE(weather.tbl[[#This Row],[Estevan]:[Kipling]])</f>
        <v>-10.200000000000001</v>
      </c>
      <c r="I1095" s="2">
        <f>_xlfn.STDEV.S(weather.tbl[[#This Row],[Estevan]:[Kipling]])</f>
        <v>3.236664950222679</v>
      </c>
      <c r="J1095" s="2">
        <f t="shared" si="16"/>
        <v>-12.359523809523809</v>
      </c>
      <c r="K1095">
        <f>DAY(weather.tbl[[#This Row],[Date]])</f>
        <v>29</v>
      </c>
      <c r="L1095">
        <f>MONTH(weather.tbl[[#This Row],[Date]])</f>
        <v>12</v>
      </c>
      <c r="M1095">
        <f>YEAR(weather.tbl[[#This Row],[Date]])</f>
        <v>2016</v>
      </c>
    </row>
    <row r="1096" spans="1:13" x14ac:dyDescent="0.25">
      <c r="A1096" s="1">
        <v>42734</v>
      </c>
      <c r="B1096" s="2">
        <v>-10</v>
      </c>
      <c r="C1096" s="2">
        <v>-9.6999999999999993</v>
      </c>
      <c r="D1096" s="2">
        <v>-16.5</v>
      </c>
      <c r="E1096" s="2">
        <v>-8.5</v>
      </c>
      <c r="F1096" s="2">
        <v>-12.4</v>
      </c>
      <c r="G1096" s="2">
        <v>-10.3</v>
      </c>
      <c r="H1096" s="2">
        <f>AVERAGE(weather.tbl[[#This Row],[Estevan]:[Kipling]])</f>
        <v>-11.233333333333334</v>
      </c>
      <c r="I1096" s="2">
        <f>_xlfn.STDEV.S(weather.tbl[[#This Row],[Estevan]:[Kipling]])</f>
        <v>2.8744854612028585</v>
      </c>
      <c r="J1096" s="2">
        <f t="shared" si="16"/>
        <v>-12.6</v>
      </c>
      <c r="K1096">
        <f>DAY(weather.tbl[[#This Row],[Date]])</f>
        <v>30</v>
      </c>
      <c r="L1096">
        <f>MONTH(weather.tbl[[#This Row],[Date]])</f>
        <v>12</v>
      </c>
      <c r="M1096">
        <f>YEAR(weather.tbl[[#This Row],[Date]])</f>
        <v>2016</v>
      </c>
    </row>
    <row r="1097" spans="1:13" x14ac:dyDescent="0.25">
      <c r="A1097" s="1">
        <v>42735</v>
      </c>
      <c r="B1097" s="2">
        <v>-9.1999999999999993</v>
      </c>
      <c r="C1097" s="2">
        <v>-10</v>
      </c>
      <c r="D1097" s="2">
        <v>-16.5</v>
      </c>
      <c r="E1097" s="2">
        <v>-9.3000000000000007</v>
      </c>
      <c r="F1097" s="2">
        <v>-10.4</v>
      </c>
      <c r="G1097" s="2">
        <v>-11</v>
      </c>
      <c r="H1097" s="2">
        <f>AVERAGE(weather.tbl[[#This Row],[Estevan]:[Kipling]])</f>
        <v>-11.066666666666668</v>
      </c>
      <c r="I1097" s="2">
        <f>_xlfn.STDEV.S(weather.tbl[[#This Row],[Estevan]:[Kipling]])</f>
        <v>2.7463915719843426</v>
      </c>
      <c r="J1097" s="2">
        <f t="shared" si="16"/>
        <v>-12.095238095238093</v>
      </c>
      <c r="K1097">
        <f>DAY(weather.tbl[[#This Row],[Date]])</f>
        <v>31</v>
      </c>
      <c r="L1097">
        <f>MONTH(weather.tbl[[#This Row],[Date]])</f>
        <v>12</v>
      </c>
      <c r="M1097">
        <f>YEAR(weather.tbl[[#This Row],[Date]])</f>
        <v>2016</v>
      </c>
    </row>
    <row r="1098" spans="1:13" x14ac:dyDescent="0.25">
      <c r="A1098" s="1">
        <v>42736</v>
      </c>
      <c r="B1098" s="2">
        <v>-14.4</v>
      </c>
      <c r="C1098" s="2">
        <v>-14.3</v>
      </c>
      <c r="D1098" s="2">
        <v>-16.5</v>
      </c>
      <c r="E1098" s="2">
        <v>-14.2</v>
      </c>
      <c r="F1098" s="2">
        <v>-13.7</v>
      </c>
      <c r="G1098" s="2">
        <v>-15.8</v>
      </c>
      <c r="H1098" s="2">
        <f>AVERAGE(weather.tbl[[#This Row],[Estevan]:[Kipling]])</f>
        <v>-14.816666666666668</v>
      </c>
      <c r="I1098" s="2">
        <f>_xlfn.STDEV.S(weather.tbl[[#This Row],[Estevan]:[Kipling]])</f>
        <v>1.0833589740555376</v>
      </c>
      <c r="J1098" s="2">
        <f t="shared" ref="J1098:J1161" si="17">AVERAGE(H1092:H1098)</f>
        <v>-11.969047619047618</v>
      </c>
      <c r="K1098">
        <f>DAY(weather.tbl[[#This Row],[Date]])</f>
        <v>1</v>
      </c>
      <c r="L1098">
        <f>MONTH(weather.tbl[[#This Row],[Date]])</f>
        <v>1</v>
      </c>
      <c r="M1098">
        <f>YEAR(weather.tbl[[#This Row],[Date]])</f>
        <v>2017</v>
      </c>
    </row>
    <row r="1099" spans="1:13" x14ac:dyDescent="0.25">
      <c r="A1099" s="1">
        <v>42737</v>
      </c>
      <c r="B1099" s="2">
        <v>-16.399999999999999</v>
      </c>
      <c r="C1099" s="2">
        <v>-18.100000000000001</v>
      </c>
      <c r="D1099" s="2">
        <v>-16.5</v>
      </c>
      <c r="E1099" s="2">
        <v>-18.7</v>
      </c>
      <c r="F1099" s="2">
        <v>-17.100000000000001</v>
      </c>
      <c r="G1099" s="2">
        <v>-19.8</v>
      </c>
      <c r="H1099" s="2">
        <f>AVERAGE(weather.tbl[[#This Row],[Estevan]:[Kipling]])</f>
        <v>-17.766666666666669</v>
      </c>
      <c r="I1099" s="2">
        <f>_xlfn.STDEV.S(weather.tbl[[#This Row],[Estevan]:[Kipling]])</f>
        <v>1.3441230102437305</v>
      </c>
      <c r="J1099" s="2">
        <f t="shared" si="17"/>
        <v>-12.373809523809525</v>
      </c>
      <c r="K1099">
        <f>DAY(weather.tbl[[#This Row],[Date]])</f>
        <v>2</v>
      </c>
      <c r="L1099">
        <f>MONTH(weather.tbl[[#This Row],[Date]])</f>
        <v>1</v>
      </c>
      <c r="M1099">
        <f>YEAR(weather.tbl[[#This Row],[Date]])</f>
        <v>2017</v>
      </c>
    </row>
    <row r="1100" spans="1:13" x14ac:dyDescent="0.25">
      <c r="A1100" s="1">
        <v>42738</v>
      </c>
      <c r="B1100" s="2">
        <v>-24.1</v>
      </c>
      <c r="C1100" s="2">
        <v>-23.6</v>
      </c>
      <c r="D1100" s="2">
        <v>-16.5</v>
      </c>
      <c r="E1100" s="2">
        <v>-22.6</v>
      </c>
      <c r="F1100" s="2">
        <v>-23.1</v>
      </c>
      <c r="G1100" s="2">
        <v>-24.3</v>
      </c>
      <c r="H1100" s="2">
        <f>AVERAGE(weather.tbl[[#This Row],[Estevan]:[Kipling]])</f>
        <v>-22.366666666666671</v>
      </c>
      <c r="I1100" s="2">
        <f>_xlfn.STDEV.S(weather.tbl[[#This Row],[Estevan]:[Kipling]])</f>
        <v>2.9418814841299468</v>
      </c>
      <c r="J1100" s="2">
        <f t="shared" si="17"/>
        <v>-13.519047619047623</v>
      </c>
      <c r="K1100">
        <f>DAY(weather.tbl[[#This Row],[Date]])</f>
        <v>3</v>
      </c>
      <c r="L1100">
        <f>MONTH(weather.tbl[[#This Row],[Date]])</f>
        <v>1</v>
      </c>
      <c r="M1100">
        <f>YEAR(weather.tbl[[#This Row],[Date]])</f>
        <v>2017</v>
      </c>
    </row>
    <row r="1101" spans="1:13" x14ac:dyDescent="0.25">
      <c r="A1101" s="1">
        <v>42739</v>
      </c>
      <c r="B1101" s="2">
        <v>-22.2</v>
      </c>
      <c r="C1101" s="2">
        <v>-21.6</v>
      </c>
      <c r="D1101" s="2">
        <v>-24</v>
      </c>
      <c r="E1101" s="2">
        <v>-20.7</v>
      </c>
      <c r="F1101" s="2">
        <v>-24.5</v>
      </c>
      <c r="G1101" s="2">
        <v>-23.3</v>
      </c>
      <c r="H1101" s="2">
        <f>AVERAGE(weather.tbl[[#This Row],[Estevan]:[Kipling]])</f>
        <v>-22.716666666666669</v>
      </c>
      <c r="I1101" s="2">
        <f>_xlfn.STDEV.S(weather.tbl[[#This Row],[Estevan]:[Kipling]])</f>
        <v>1.4661741597322833</v>
      </c>
      <c r="J1101" s="2">
        <f t="shared" si="17"/>
        <v>-15.738095238095241</v>
      </c>
      <c r="K1101">
        <f>DAY(weather.tbl[[#This Row],[Date]])</f>
        <v>4</v>
      </c>
      <c r="L1101">
        <f>MONTH(weather.tbl[[#This Row],[Date]])</f>
        <v>1</v>
      </c>
      <c r="M1101">
        <f>YEAR(weather.tbl[[#This Row],[Date]])</f>
        <v>2017</v>
      </c>
    </row>
    <row r="1102" spans="1:13" x14ac:dyDescent="0.25">
      <c r="A1102" s="1">
        <v>42740</v>
      </c>
      <c r="B1102" s="2">
        <v>-22.1</v>
      </c>
      <c r="C1102" s="2">
        <v>-21.1</v>
      </c>
      <c r="D1102" s="2">
        <v>-23.8</v>
      </c>
      <c r="E1102" s="2">
        <v>-19.3</v>
      </c>
      <c r="F1102" s="2">
        <v>-23.2</v>
      </c>
      <c r="G1102" s="2">
        <v>-22</v>
      </c>
      <c r="H1102" s="2">
        <f>AVERAGE(weather.tbl[[#This Row],[Estevan]:[Kipling]])</f>
        <v>-21.916666666666668</v>
      </c>
      <c r="I1102" s="2">
        <f>_xlfn.STDEV.S(weather.tbl[[#This Row],[Estevan]:[Kipling]])</f>
        <v>1.5967675681409195</v>
      </c>
      <c r="J1102" s="2">
        <f t="shared" si="17"/>
        <v>-17.411904761904765</v>
      </c>
      <c r="K1102">
        <f>DAY(weather.tbl[[#This Row],[Date]])</f>
        <v>5</v>
      </c>
      <c r="L1102">
        <f>MONTH(weather.tbl[[#This Row],[Date]])</f>
        <v>1</v>
      </c>
      <c r="M1102">
        <f>YEAR(weather.tbl[[#This Row],[Date]])</f>
        <v>2017</v>
      </c>
    </row>
    <row r="1103" spans="1:13" x14ac:dyDescent="0.25">
      <c r="A1103" s="1">
        <v>42741</v>
      </c>
      <c r="B1103" s="2">
        <v>-22</v>
      </c>
      <c r="C1103" s="2">
        <v>-21.5</v>
      </c>
      <c r="D1103" s="2">
        <v>-21.3</v>
      </c>
      <c r="E1103" s="2">
        <v>-20.8</v>
      </c>
      <c r="F1103" s="2">
        <v>-22.8</v>
      </c>
      <c r="G1103" s="2">
        <v>-19.5</v>
      </c>
      <c r="H1103" s="2">
        <f>AVERAGE(weather.tbl[[#This Row],[Estevan]:[Kipling]])</f>
        <v>-21.316666666666666</v>
      </c>
      <c r="I1103" s="2">
        <f>_xlfn.STDEV.S(weather.tbl[[#This Row],[Estevan]:[Kipling]])</f>
        <v>1.1196725711861781</v>
      </c>
      <c r="J1103" s="2">
        <f t="shared" si="17"/>
        <v>-18.852380952380958</v>
      </c>
      <c r="K1103">
        <f>DAY(weather.tbl[[#This Row],[Date]])</f>
        <v>6</v>
      </c>
      <c r="L1103">
        <f>MONTH(weather.tbl[[#This Row],[Date]])</f>
        <v>1</v>
      </c>
      <c r="M1103">
        <f>YEAR(weather.tbl[[#This Row],[Date]])</f>
        <v>2017</v>
      </c>
    </row>
    <row r="1104" spans="1:13" x14ac:dyDescent="0.25">
      <c r="A1104" s="1">
        <v>42742</v>
      </c>
      <c r="B1104" s="2">
        <v>-26.6</v>
      </c>
      <c r="C1104" s="2">
        <v>-22.8</v>
      </c>
      <c r="D1104" s="2">
        <v>-25</v>
      </c>
      <c r="E1104" s="2">
        <v>-24.8</v>
      </c>
      <c r="F1104" s="2">
        <v>-27</v>
      </c>
      <c r="G1104" s="2">
        <v>-20.5</v>
      </c>
      <c r="H1104" s="2">
        <f>AVERAGE(weather.tbl[[#This Row],[Estevan]:[Kipling]])</f>
        <v>-24.45</v>
      </c>
      <c r="I1104" s="2">
        <f>_xlfn.STDEV.S(weather.tbl[[#This Row],[Estevan]:[Kipling]])</f>
        <v>2.4443813123160636</v>
      </c>
      <c r="J1104" s="2">
        <f t="shared" si="17"/>
        <v>-20.764285714285712</v>
      </c>
      <c r="K1104">
        <f>DAY(weather.tbl[[#This Row],[Date]])</f>
        <v>7</v>
      </c>
      <c r="L1104">
        <f>MONTH(weather.tbl[[#This Row],[Date]])</f>
        <v>1</v>
      </c>
      <c r="M1104">
        <f>YEAR(weather.tbl[[#This Row],[Date]])</f>
        <v>2017</v>
      </c>
    </row>
    <row r="1105" spans="1:13" x14ac:dyDescent="0.25">
      <c r="A1105" s="1">
        <v>42743</v>
      </c>
      <c r="B1105" s="2">
        <v>-22.4</v>
      </c>
      <c r="C1105" s="2">
        <v>-22.1</v>
      </c>
      <c r="D1105" s="2">
        <v>-24.5</v>
      </c>
      <c r="E1105" s="2">
        <v>-20.9</v>
      </c>
      <c r="F1105" s="2">
        <v>-22.2</v>
      </c>
      <c r="G1105" s="2">
        <v>-20</v>
      </c>
      <c r="H1105" s="2">
        <f>AVERAGE(weather.tbl[[#This Row],[Estevan]:[Kipling]])</f>
        <v>-22.016666666666669</v>
      </c>
      <c r="I1105" s="2">
        <f>_xlfn.STDEV.S(weather.tbl[[#This Row],[Estevan]:[Kipling]])</f>
        <v>1.5276343367005951</v>
      </c>
      <c r="J1105" s="2">
        <f t="shared" si="17"/>
        <v>-21.792857142857144</v>
      </c>
      <c r="K1105">
        <f>DAY(weather.tbl[[#This Row],[Date]])</f>
        <v>8</v>
      </c>
      <c r="L1105">
        <f>MONTH(weather.tbl[[#This Row],[Date]])</f>
        <v>1</v>
      </c>
      <c r="M1105">
        <f>YEAR(weather.tbl[[#This Row],[Date]])</f>
        <v>2017</v>
      </c>
    </row>
    <row r="1106" spans="1:13" x14ac:dyDescent="0.25">
      <c r="A1106" s="1">
        <v>42744</v>
      </c>
      <c r="B1106" s="2">
        <v>-20.9</v>
      </c>
      <c r="C1106" s="2">
        <v>-20.7</v>
      </c>
      <c r="D1106" s="2">
        <v>-22.8</v>
      </c>
      <c r="E1106" s="2">
        <v>-20.2</v>
      </c>
      <c r="F1106" s="2">
        <v>-20.6</v>
      </c>
      <c r="G1106" s="2">
        <v>-21.8</v>
      </c>
      <c r="H1106" s="2">
        <f>AVERAGE(weather.tbl[[#This Row],[Estevan]:[Kipling]])</f>
        <v>-21.166666666666664</v>
      </c>
      <c r="I1106" s="2">
        <f>_xlfn.STDEV.S(weather.tbl[[#This Row],[Estevan]:[Kipling]])</f>
        <v>0.96055539489748731</v>
      </c>
      <c r="J1106" s="2">
        <f t="shared" si="17"/>
        <v>-22.278571428571432</v>
      </c>
      <c r="K1106">
        <f>DAY(weather.tbl[[#This Row],[Date]])</f>
        <v>9</v>
      </c>
      <c r="L1106">
        <f>MONTH(weather.tbl[[#This Row],[Date]])</f>
        <v>1</v>
      </c>
      <c r="M1106">
        <f>YEAR(weather.tbl[[#This Row],[Date]])</f>
        <v>2017</v>
      </c>
    </row>
    <row r="1107" spans="1:13" x14ac:dyDescent="0.25">
      <c r="A1107" s="1">
        <v>42745</v>
      </c>
      <c r="B1107" s="2">
        <v>-20.6</v>
      </c>
      <c r="C1107" s="2">
        <v>-22.2</v>
      </c>
      <c r="D1107" s="2">
        <v>-21.5</v>
      </c>
      <c r="E1107" s="2">
        <v>-21.3</v>
      </c>
      <c r="F1107" s="2">
        <v>-19.899999999999999</v>
      </c>
      <c r="G1107" s="2">
        <v>-21.5</v>
      </c>
      <c r="H1107" s="2">
        <f>AVERAGE(weather.tbl[[#This Row],[Estevan]:[Kipling]])</f>
        <v>-21.166666666666668</v>
      </c>
      <c r="I1107" s="2">
        <f>_xlfn.STDEV.S(weather.tbl[[#This Row],[Estevan]:[Kipling]])</f>
        <v>0.80415587212098794</v>
      </c>
      <c r="J1107" s="2">
        <f t="shared" si="17"/>
        <v>-22.107142857142858</v>
      </c>
      <c r="K1107">
        <f>DAY(weather.tbl[[#This Row],[Date]])</f>
        <v>10</v>
      </c>
      <c r="L1107">
        <f>MONTH(weather.tbl[[#This Row],[Date]])</f>
        <v>1</v>
      </c>
      <c r="M1107">
        <f>YEAR(weather.tbl[[#This Row],[Date]])</f>
        <v>2017</v>
      </c>
    </row>
    <row r="1108" spans="1:13" x14ac:dyDescent="0.25">
      <c r="A1108" s="1">
        <v>42746</v>
      </c>
      <c r="B1108" s="2">
        <v>-24.4</v>
      </c>
      <c r="C1108" s="2">
        <v>-19.899999999999999</v>
      </c>
      <c r="D1108" s="2">
        <v>-23.3</v>
      </c>
      <c r="E1108" s="2">
        <v>-20.9</v>
      </c>
      <c r="F1108" s="2">
        <v>-24.1</v>
      </c>
      <c r="G1108" s="2">
        <v>-22.5</v>
      </c>
      <c r="H1108" s="2">
        <f>AVERAGE(weather.tbl[[#This Row],[Estevan]:[Kipling]])</f>
        <v>-22.516666666666666</v>
      </c>
      <c r="I1108" s="2">
        <f>_xlfn.STDEV.S(weather.tbl[[#This Row],[Estevan]:[Kipling]])</f>
        <v>1.7960141053640615</v>
      </c>
      <c r="J1108" s="2">
        <f t="shared" si="17"/>
        <v>-22.078571428571429</v>
      </c>
      <c r="K1108">
        <f>DAY(weather.tbl[[#This Row],[Date]])</f>
        <v>11</v>
      </c>
      <c r="L1108">
        <f>MONTH(weather.tbl[[#This Row],[Date]])</f>
        <v>1</v>
      </c>
      <c r="M1108">
        <f>YEAR(weather.tbl[[#This Row],[Date]])</f>
        <v>2017</v>
      </c>
    </row>
    <row r="1109" spans="1:13" x14ac:dyDescent="0.25">
      <c r="A1109" s="1">
        <v>42747</v>
      </c>
      <c r="B1109" s="2">
        <v>-23.3</v>
      </c>
      <c r="C1109" s="2">
        <v>-22.1</v>
      </c>
      <c r="D1109" s="2">
        <v>-28.5</v>
      </c>
      <c r="E1109" s="2">
        <v>-22.5</v>
      </c>
      <c r="F1109" s="2">
        <v>-24.4</v>
      </c>
      <c r="G1109" s="2">
        <v>-26</v>
      </c>
      <c r="H1109" s="2">
        <f>AVERAGE(weather.tbl[[#This Row],[Estevan]:[Kipling]])</f>
        <v>-24.466666666666669</v>
      </c>
      <c r="I1109" s="2">
        <f>_xlfn.STDEV.S(weather.tbl[[#This Row],[Estevan]:[Kipling]])</f>
        <v>2.4270695636233142</v>
      </c>
      <c r="J1109" s="2">
        <f t="shared" si="17"/>
        <v>-22.442857142857143</v>
      </c>
      <c r="K1109">
        <f>DAY(weather.tbl[[#This Row],[Date]])</f>
        <v>12</v>
      </c>
      <c r="L1109">
        <f>MONTH(weather.tbl[[#This Row],[Date]])</f>
        <v>1</v>
      </c>
      <c r="M1109">
        <f>YEAR(weather.tbl[[#This Row],[Date]])</f>
        <v>2017</v>
      </c>
    </row>
    <row r="1110" spans="1:13" x14ac:dyDescent="0.25">
      <c r="A1110" s="1">
        <v>42748</v>
      </c>
      <c r="B1110" s="2">
        <v>-24</v>
      </c>
      <c r="C1110" s="2">
        <v>-21.3</v>
      </c>
      <c r="D1110" s="2">
        <v>-26.5</v>
      </c>
      <c r="E1110" s="2">
        <v>-20.6</v>
      </c>
      <c r="F1110" s="2">
        <v>-25.6</v>
      </c>
      <c r="G1110" s="2">
        <v>-23.8</v>
      </c>
      <c r="H1110" s="2">
        <f>AVERAGE(weather.tbl[[#This Row],[Estevan]:[Kipling]])</f>
        <v>-23.633333333333336</v>
      </c>
      <c r="I1110" s="2">
        <f>_xlfn.STDEV.S(weather.tbl[[#This Row],[Estevan]:[Kipling]])</f>
        <v>2.3191952627294379</v>
      </c>
      <c r="J1110" s="2">
        <f t="shared" si="17"/>
        <v>-22.773809523809522</v>
      </c>
      <c r="K1110">
        <f>DAY(weather.tbl[[#This Row],[Date]])</f>
        <v>13</v>
      </c>
      <c r="L1110">
        <f>MONTH(weather.tbl[[#This Row],[Date]])</f>
        <v>1</v>
      </c>
      <c r="M1110">
        <f>YEAR(weather.tbl[[#This Row],[Date]])</f>
        <v>2017</v>
      </c>
    </row>
    <row r="1111" spans="1:13" x14ac:dyDescent="0.25">
      <c r="A1111" s="1">
        <v>42749</v>
      </c>
      <c r="B1111" s="2">
        <v>-17.2</v>
      </c>
      <c r="C1111" s="2">
        <v>-17.3</v>
      </c>
      <c r="D1111" s="2">
        <v>-16</v>
      </c>
      <c r="E1111" s="2">
        <v>-15.2</v>
      </c>
      <c r="F1111" s="2">
        <v>-18.7</v>
      </c>
      <c r="G1111" s="2">
        <v>-13.8</v>
      </c>
      <c r="H1111" s="2">
        <f>AVERAGE(weather.tbl[[#This Row],[Estevan]:[Kipling]])</f>
        <v>-16.366666666666667</v>
      </c>
      <c r="I1111" s="2">
        <f>_xlfn.STDEV.S(weather.tbl[[#This Row],[Estevan]:[Kipling]])</f>
        <v>1.7374310537879383</v>
      </c>
      <c r="J1111" s="2">
        <f t="shared" si="17"/>
        <v>-21.61904761904762</v>
      </c>
      <c r="K1111">
        <f>DAY(weather.tbl[[#This Row],[Date]])</f>
        <v>14</v>
      </c>
      <c r="L1111">
        <f>MONTH(weather.tbl[[#This Row],[Date]])</f>
        <v>1</v>
      </c>
      <c r="M1111">
        <f>YEAR(weather.tbl[[#This Row],[Date]])</f>
        <v>2017</v>
      </c>
    </row>
    <row r="1112" spans="1:13" x14ac:dyDescent="0.25">
      <c r="A1112" s="1">
        <v>42750</v>
      </c>
      <c r="B1112" s="2">
        <v>-12.9</v>
      </c>
      <c r="C1112" s="2">
        <v>-12.5</v>
      </c>
      <c r="D1112" s="2">
        <v>-13.8</v>
      </c>
      <c r="E1112" s="2">
        <v>-11.4</v>
      </c>
      <c r="F1112" s="2">
        <v>-13.7</v>
      </c>
      <c r="G1112" s="2">
        <v>-10.5</v>
      </c>
      <c r="H1112" s="2">
        <f>AVERAGE(weather.tbl[[#This Row],[Estevan]:[Kipling]])</f>
        <v>-12.466666666666667</v>
      </c>
      <c r="I1112" s="2">
        <f>_xlfn.STDEV.S(weather.tbl[[#This Row],[Estevan]:[Kipling]])</f>
        <v>1.3033290707517677</v>
      </c>
      <c r="J1112" s="2">
        <f t="shared" si="17"/>
        <v>-20.254761904761903</v>
      </c>
      <c r="K1112">
        <f>DAY(weather.tbl[[#This Row],[Date]])</f>
        <v>15</v>
      </c>
      <c r="L1112">
        <f>MONTH(weather.tbl[[#This Row],[Date]])</f>
        <v>1</v>
      </c>
      <c r="M1112">
        <f>YEAR(weather.tbl[[#This Row],[Date]])</f>
        <v>2017</v>
      </c>
    </row>
    <row r="1113" spans="1:13" x14ac:dyDescent="0.25">
      <c r="A1113" s="1">
        <v>42751</v>
      </c>
      <c r="B1113" s="2">
        <v>-11</v>
      </c>
      <c r="C1113" s="2">
        <v>-9</v>
      </c>
      <c r="D1113" s="2">
        <v>-9.8000000000000007</v>
      </c>
      <c r="E1113" s="2">
        <v>-6.8</v>
      </c>
      <c r="F1113" s="2">
        <v>-11</v>
      </c>
      <c r="G1113" s="2">
        <v>-7.5</v>
      </c>
      <c r="H1113" s="2">
        <f>AVERAGE(weather.tbl[[#This Row],[Estevan]:[Kipling]])</f>
        <v>-9.1833333333333336</v>
      </c>
      <c r="I1113" s="2">
        <f>_xlfn.STDEV.S(weather.tbl[[#This Row],[Estevan]:[Kipling]])</f>
        <v>1.7622901766356895</v>
      </c>
      <c r="J1113" s="2">
        <f t="shared" si="17"/>
        <v>-18.542857142857144</v>
      </c>
      <c r="K1113">
        <f>DAY(weather.tbl[[#This Row],[Date]])</f>
        <v>16</v>
      </c>
      <c r="L1113">
        <f>MONTH(weather.tbl[[#This Row],[Date]])</f>
        <v>1</v>
      </c>
      <c r="M1113">
        <f>YEAR(weather.tbl[[#This Row],[Date]])</f>
        <v>2017</v>
      </c>
    </row>
    <row r="1114" spans="1:13" x14ac:dyDescent="0.25">
      <c r="A1114" s="1">
        <v>42752</v>
      </c>
      <c r="B1114" s="2">
        <v>-5.7</v>
      </c>
      <c r="C1114" s="2">
        <v>-4.4000000000000004</v>
      </c>
      <c r="D1114" s="2">
        <v>-7.8</v>
      </c>
      <c r="E1114" s="2">
        <v>-3.1</v>
      </c>
      <c r="F1114" s="2">
        <v>-7.6</v>
      </c>
      <c r="G1114" s="2">
        <v>-3.8</v>
      </c>
      <c r="H1114" s="2">
        <f>AVERAGE(weather.tbl[[#This Row],[Estevan]:[Kipling]])</f>
        <v>-5.3999999999999995</v>
      </c>
      <c r="I1114" s="2">
        <f>_xlfn.STDEV.S(weather.tbl[[#This Row],[Estevan]:[Kipling]])</f>
        <v>1.9768662069042504</v>
      </c>
      <c r="J1114" s="2">
        <f t="shared" si="17"/>
        <v>-16.290476190476195</v>
      </c>
      <c r="K1114">
        <f>DAY(weather.tbl[[#This Row],[Date]])</f>
        <v>17</v>
      </c>
      <c r="L1114">
        <f>MONTH(weather.tbl[[#This Row],[Date]])</f>
        <v>1</v>
      </c>
      <c r="M1114">
        <f>YEAR(weather.tbl[[#This Row],[Date]])</f>
        <v>2017</v>
      </c>
    </row>
    <row r="1115" spans="1:13" x14ac:dyDescent="0.25">
      <c r="A1115" s="1">
        <v>42753</v>
      </c>
      <c r="B1115" s="2">
        <v>0.2</v>
      </c>
      <c r="C1115" s="2">
        <v>-0.1</v>
      </c>
      <c r="D1115" s="2">
        <v>0.3</v>
      </c>
      <c r="E1115" s="2">
        <v>0.5</v>
      </c>
      <c r="F1115" s="2">
        <v>-3.2</v>
      </c>
      <c r="G1115" s="2">
        <v>0.8</v>
      </c>
      <c r="H1115" s="2">
        <f>AVERAGE(weather.tbl[[#This Row],[Estevan]:[Kipling]])</f>
        <v>-0.25000000000000006</v>
      </c>
      <c r="I1115" s="2">
        <f>_xlfn.STDEV.S(weather.tbl[[#This Row],[Estevan]:[Kipling]])</f>
        <v>1.4761436244485158</v>
      </c>
      <c r="J1115" s="2">
        <f t="shared" si="17"/>
        <v>-13.109523809523811</v>
      </c>
      <c r="K1115">
        <f>DAY(weather.tbl[[#This Row],[Date]])</f>
        <v>18</v>
      </c>
      <c r="L1115">
        <f>MONTH(weather.tbl[[#This Row],[Date]])</f>
        <v>1</v>
      </c>
      <c r="M1115">
        <f>YEAR(weather.tbl[[#This Row],[Date]])</f>
        <v>2017</v>
      </c>
    </row>
    <row r="1116" spans="1:13" x14ac:dyDescent="0.25">
      <c r="A1116" s="1">
        <v>42754</v>
      </c>
      <c r="B1116" s="2">
        <v>-2.2000000000000002</v>
      </c>
      <c r="C1116" s="2">
        <v>-2.4</v>
      </c>
      <c r="D1116" s="2">
        <v>-1.8</v>
      </c>
      <c r="E1116" s="2">
        <v>0.2</v>
      </c>
      <c r="F1116" s="2">
        <v>-3.8</v>
      </c>
      <c r="G1116" s="2">
        <v>1.5</v>
      </c>
      <c r="H1116" s="2">
        <f>AVERAGE(weather.tbl[[#This Row],[Estevan]:[Kipling]])</f>
        <v>-1.4166666666666667</v>
      </c>
      <c r="I1116" s="2">
        <f>_xlfn.STDEV.S(weather.tbl[[#This Row],[Estevan]:[Kipling]])</f>
        <v>1.9250108224804003</v>
      </c>
      <c r="J1116" s="2">
        <f t="shared" si="17"/>
        <v>-9.8166666666666682</v>
      </c>
      <c r="K1116">
        <f>DAY(weather.tbl[[#This Row],[Date]])</f>
        <v>19</v>
      </c>
      <c r="L1116">
        <f>MONTH(weather.tbl[[#This Row],[Date]])</f>
        <v>1</v>
      </c>
      <c r="M1116">
        <f>YEAR(weather.tbl[[#This Row],[Date]])</f>
        <v>2017</v>
      </c>
    </row>
    <row r="1117" spans="1:13" x14ac:dyDescent="0.25">
      <c r="A1117" s="1">
        <v>42755</v>
      </c>
      <c r="B1117" s="2">
        <v>-8.3000000000000007</v>
      </c>
      <c r="C1117" s="2">
        <v>-6</v>
      </c>
      <c r="D1117" s="2">
        <v>-9.5</v>
      </c>
      <c r="E1117" s="2">
        <v>-3</v>
      </c>
      <c r="F1117" s="2">
        <v>-6.2</v>
      </c>
      <c r="G1117" s="2">
        <v>-2</v>
      </c>
      <c r="H1117" s="2">
        <f>AVERAGE(weather.tbl[[#This Row],[Estevan]:[Kipling]])</f>
        <v>-5.833333333333333</v>
      </c>
      <c r="I1117" s="2">
        <f>_xlfn.STDEV.S(weather.tbl[[#This Row],[Estevan]:[Kipling]])</f>
        <v>2.9125017882684072</v>
      </c>
      <c r="J1117" s="2">
        <f t="shared" si="17"/>
        <v>-7.2738095238095237</v>
      </c>
      <c r="K1117">
        <f>DAY(weather.tbl[[#This Row],[Date]])</f>
        <v>20</v>
      </c>
      <c r="L1117">
        <f>MONTH(weather.tbl[[#This Row],[Date]])</f>
        <v>1</v>
      </c>
      <c r="M1117">
        <f>YEAR(weather.tbl[[#This Row],[Date]])</f>
        <v>2017</v>
      </c>
    </row>
    <row r="1118" spans="1:13" x14ac:dyDescent="0.25">
      <c r="A1118" s="1">
        <v>42756</v>
      </c>
      <c r="B1118" s="2">
        <v>-7</v>
      </c>
      <c r="C1118" s="2">
        <v>-7.4</v>
      </c>
      <c r="D1118" s="2">
        <v>-7.5</v>
      </c>
      <c r="E1118" s="2">
        <v>-5.8</v>
      </c>
      <c r="F1118" s="2">
        <v>-1.7</v>
      </c>
      <c r="G1118" s="2">
        <v>-5</v>
      </c>
      <c r="H1118" s="2">
        <f>AVERAGE(weather.tbl[[#This Row],[Estevan]:[Kipling]])</f>
        <v>-5.7333333333333334</v>
      </c>
      <c r="I1118" s="2">
        <f>_xlfn.STDEV.S(weather.tbl[[#This Row],[Estevan]:[Kipling]])</f>
        <v>2.205145497845133</v>
      </c>
      <c r="J1118" s="2">
        <f t="shared" si="17"/>
        <v>-5.7547619047619047</v>
      </c>
      <c r="K1118">
        <f>DAY(weather.tbl[[#This Row],[Date]])</f>
        <v>21</v>
      </c>
      <c r="L1118">
        <f>MONTH(weather.tbl[[#This Row],[Date]])</f>
        <v>1</v>
      </c>
      <c r="M1118">
        <f>YEAR(weather.tbl[[#This Row],[Date]])</f>
        <v>2017</v>
      </c>
    </row>
    <row r="1119" spans="1:13" x14ac:dyDescent="0.25">
      <c r="A1119" s="1">
        <v>42757</v>
      </c>
      <c r="B1119" s="2">
        <v>-2.9</v>
      </c>
      <c r="C1119" s="2">
        <v>-3.7</v>
      </c>
      <c r="D1119" s="2">
        <v>-4</v>
      </c>
      <c r="E1119" s="2">
        <v>-3.5</v>
      </c>
      <c r="F1119" s="2">
        <v>-2.1</v>
      </c>
      <c r="G1119" s="2">
        <v>-5.3</v>
      </c>
      <c r="H1119" s="2">
        <f>AVERAGE(weather.tbl[[#This Row],[Estevan]:[Kipling]])</f>
        <v>-3.5833333333333335</v>
      </c>
      <c r="I1119" s="2">
        <f>_xlfn.STDEV.S(weather.tbl[[#This Row],[Estevan]:[Kipling]])</f>
        <v>1.0778064142816499</v>
      </c>
      <c r="J1119" s="2">
        <f t="shared" si="17"/>
        <v>-4.4857142857142858</v>
      </c>
      <c r="K1119">
        <f>DAY(weather.tbl[[#This Row],[Date]])</f>
        <v>22</v>
      </c>
      <c r="L1119">
        <f>MONTH(weather.tbl[[#This Row],[Date]])</f>
        <v>1</v>
      </c>
      <c r="M1119">
        <f>YEAR(weather.tbl[[#This Row],[Date]])</f>
        <v>2017</v>
      </c>
    </row>
    <row r="1120" spans="1:13" x14ac:dyDescent="0.25">
      <c r="A1120" s="1">
        <v>42758</v>
      </c>
      <c r="B1120" s="2">
        <v>-5.5</v>
      </c>
      <c r="C1120" s="2">
        <v>-6.6</v>
      </c>
      <c r="D1120" s="2">
        <v>-6.8</v>
      </c>
      <c r="E1120" s="2">
        <v>-6.6</v>
      </c>
      <c r="F1120" s="2">
        <v>-5.5</v>
      </c>
      <c r="G1120" s="2">
        <v>-7</v>
      </c>
      <c r="H1120" s="2">
        <f>AVERAGE(weather.tbl[[#This Row],[Estevan]:[Kipling]])</f>
        <v>-6.333333333333333</v>
      </c>
      <c r="I1120" s="2">
        <f>_xlfn.STDEV.S(weather.tbl[[#This Row],[Estevan]:[Kipling]])</f>
        <v>0.66231915770772221</v>
      </c>
      <c r="J1120" s="2">
        <f t="shared" si="17"/>
        <v>-4.0785714285714283</v>
      </c>
      <c r="K1120">
        <f>DAY(weather.tbl[[#This Row],[Date]])</f>
        <v>23</v>
      </c>
      <c r="L1120">
        <f>MONTH(weather.tbl[[#This Row],[Date]])</f>
        <v>1</v>
      </c>
      <c r="M1120">
        <f>YEAR(weather.tbl[[#This Row],[Date]])</f>
        <v>2017</v>
      </c>
    </row>
    <row r="1121" spans="1:13" x14ac:dyDescent="0.25">
      <c r="A1121" s="1">
        <v>42759</v>
      </c>
      <c r="B1121" s="2">
        <v>-8</v>
      </c>
      <c r="C1121" s="2">
        <v>-8.9</v>
      </c>
      <c r="D1121" s="2">
        <v>-8</v>
      </c>
      <c r="E1121" s="2">
        <v>-8.9</v>
      </c>
      <c r="F1121" s="2">
        <v>-6.2</v>
      </c>
      <c r="G1121" s="2">
        <v>-9</v>
      </c>
      <c r="H1121" s="2">
        <f>AVERAGE(weather.tbl[[#This Row],[Estevan]:[Kipling]])</f>
        <v>-8.1666666666666661</v>
      </c>
      <c r="I1121" s="2">
        <f>_xlfn.STDEV.S(weather.tbl[[#This Row],[Estevan]:[Kipling]])</f>
        <v>1.0670832519848981</v>
      </c>
      <c r="J1121" s="2">
        <f t="shared" si="17"/>
        <v>-4.473809523809523</v>
      </c>
      <c r="K1121">
        <f>DAY(weather.tbl[[#This Row],[Date]])</f>
        <v>24</v>
      </c>
      <c r="L1121">
        <f>MONTH(weather.tbl[[#This Row],[Date]])</f>
        <v>1</v>
      </c>
      <c r="M1121">
        <f>YEAR(weather.tbl[[#This Row],[Date]])</f>
        <v>2017</v>
      </c>
    </row>
    <row r="1122" spans="1:13" x14ac:dyDescent="0.25">
      <c r="A1122" s="1">
        <v>42760</v>
      </c>
      <c r="B1122" s="2">
        <v>-12.3</v>
      </c>
      <c r="C1122" s="2">
        <v>-12.8</v>
      </c>
      <c r="D1122" s="2">
        <v>-8.8000000000000007</v>
      </c>
      <c r="E1122" s="2">
        <v>-11.2</v>
      </c>
      <c r="F1122" s="2">
        <v>-10.199999999999999</v>
      </c>
      <c r="G1122" s="2">
        <v>-11</v>
      </c>
      <c r="H1122" s="2">
        <f>AVERAGE(weather.tbl[[#This Row],[Estevan]:[Kipling]])</f>
        <v>-11.050000000000002</v>
      </c>
      <c r="I1122" s="2">
        <f>_xlfn.STDEV.S(weather.tbl[[#This Row],[Estevan]:[Kipling]])</f>
        <v>1.4446452851824714</v>
      </c>
      <c r="J1122" s="2">
        <f t="shared" si="17"/>
        <v>-6.0166666666666666</v>
      </c>
      <c r="K1122">
        <f>DAY(weather.tbl[[#This Row],[Date]])</f>
        <v>25</v>
      </c>
      <c r="L1122">
        <f>MONTH(weather.tbl[[#This Row],[Date]])</f>
        <v>1</v>
      </c>
      <c r="M1122">
        <f>YEAR(weather.tbl[[#This Row],[Date]])</f>
        <v>2017</v>
      </c>
    </row>
    <row r="1123" spans="1:13" x14ac:dyDescent="0.25">
      <c r="A1123" s="1">
        <v>42761</v>
      </c>
      <c r="B1123" s="2">
        <v>-12.9</v>
      </c>
      <c r="C1123" s="2">
        <v>-12.1</v>
      </c>
      <c r="D1123" s="2">
        <v>-13.5</v>
      </c>
      <c r="E1123" s="2">
        <v>-11.3</v>
      </c>
      <c r="F1123" s="2">
        <v>-10.6</v>
      </c>
      <c r="G1123" s="2">
        <v>-10.8</v>
      </c>
      <c r="H1123" s="2">
        <f>AVERAGE(weather.tbl[[#This Row],[Estevan]:[Kipling]])</f>
        <v>-11.866666666666667</v>
      </c>
      <c r="I1123" s="2">
        <f>_xlfn.STDEV.S(weather.tbl[[#This Row],[Estevan]:[Kipling]])</f>
        <v>1.17075474232081</v>
      </c>
      <c r="J1123" s="2">
        <f t="shared" si="17"/>
        <v>-7.5095238095238104</v>
      </c>
      <c r="K1123">
        <f>DAY(weather.tbl[[#This Row],[Date]])</f>
        <v>26</v>
      </c>
      <c r="L1123">
        <f>MONTH(weather.tbl[[#This Row],[Date]])</f>
        <v>1</v>
      </c>
      <c r="M1123">
        <f>YEAR(weather.tbl[[#This Row],[Date]])</f>
        <v>2017</v>
      </c>
    </row>
    <row r="1124" spans="1:13" x14ac:dyDescent="0.25">
      <c r="A1124" s="1">
        <v>42762</v>
      </c>
      <c r="B1124" s="2">
        <v>-5.9</v>
      </c>
      <c r="C1124" s="2">
        <v>-4.0999999999999996</v>
      </c>
      <c r="D1124" s="2">
        <v>-6.5</v>
      </c>
      <c r="E1124" s="2">
        <v>-2.4</v>
      </c>
      <c r="F1124" s="2">
        <v>-7.2</v>
      </c>
      <c r="G1124" s="2">
        <v>-4.8</v>
      </c>
      <c r="H1124" s="2">
        <f>AVERAGE(weather.tbl[[#This Row],[Estevan]:[Kipling]])</f>
        <v>-5.1499999999999995</v>
      </c>
      <c r="I1124" s="2">
        <f>_xlfn.STDEV.S(weather.tbl[[#This Row],[Estevan]:[Kipling]])</f>
        <v>1.7535677916750199</v>
      </c>
      <c r="J1124" s="2">
        <f t="shared" si="17"/>
        <v>-7.4119047619047622</v>
      </c>
      <c r="K1124">
        <f>DAY(weather.tbl[[#This Row],[Date]])</f>
        <v>27</v>
      </c>
      <c r="L1124">
        <f>MONTH(weather.tbl[[#This Row],[Date]])</f>
        <v>1</v>
      </c>
      <c r="M1124">
        <f>YEAR(weather.tbl[[#This Row],[Date]])</f>
        <v>2017</v>
      </c>
    </row>
    <row r="1125" spans="1:13" x14ac:dyDescent="0.25">
      <c r="A1125" s="1">
        <v>42763</v>
      </c>
      <c r="B1125" s="2">
        <v>-0.5</v>
      </c>
      <c r="C1125" s="2">
        <v>-0.5</v>
      </c>
      <c r="D1125" s="2">
        <v>-3</v>
      </c>
      <c r="E1125" s="2">
        <v>0.1</v>
      </c>
      <c r="F1125" s="2">
        <v>-2.2999999999999998</v>
      </c>
      <c r="G1125" s="2">
        <v>-1</v>
      </c>
      <c r="H1125" s="2">
        <f>AVERAGE(weather.tbl[[#This Row],[Estevan]:[Kipling]])</f>
        <v>-1.2</v>
      </c>
      <c r="I1125" s="2">
        <f>_xlfn.STDEV.S(weather.tbl[[#This Row],[Estevan]:[Kipling]])</f>
        <v>1.1966620241321273</v>
      </c>
      <c r="J1125" s="2">
        <f t="shared" si="17"/>
        <v>-6.7642857142857142</v>
      </c>
      <c r="K1125">
        <f>DAY(weather.tbl[[#This Row],[Date]])</f>
        <v>28</v>
      </c>
      <c r="L1125">
        <f>MONTH(weather.tbl[[#This Row],[Date]])</f>
        <v>1</v>
      </c>
      <c r="M1125">
        <f>YEAR(weather.tbl[[#This Row],[Date]])</f>
        <v>2017</v>
      </c>
    </row>
    <row r="1126" spans="1:13" x14ac:dyDescent="0.25">
      <c r="A1126" s="1">
        <v>42764</v>
      </c>
      <c r="B1126" s="2">
        <v>-2</v>
      </c>
      <c r="C1126" s="2">
        <v>-0.6</v>
      </c>
      <c r="D1126" s="2">
        <v>-2.2999999999999998</v>
      </c>
      <c r="E1126" s="2">
        <v>0.7</v>
      </c>
      <c r="F1126" s="2">
        <v>-5.8</v>
      </c>
      <c r="G1126" s="2">
        <v>-2.2999999999999998</v>
      </c>
      <c r="H1126" s="2">
        <f>AVERAGE(weather.tbl[[#This Row],[Estevan]:[Kipling]])</f>
        <v>-2.0500000000000003</v>
      </c>
      <c r="I1126" s="2">
        <f>_xlfn.STDEV.S(weather.tbl[[#This Row],[Estevan]:[Kipling]])</f>
        <v>2.184261889060009</v>
      </c>
      <c r="J1126" s="2">
        <f t="shared" si="17"/>
        <v>-6.545238095238096</v>
      </c>
      <c r="K1126">
        <f>DAY(weather.tbl[[#This Row],[Date]])</f>
        <v>29</v>
      </c>
      <c r="L1126">
        <f>MONTH(weather.tbl[[#This Row],[Date]])</f>
        <v>1</v>
      </c>
      <c r="M1126">
        <f>YEAR(weather.tbl[[#This Row],[Date]])</f>
        <v>2017</v>
      </c>
    </row>
    <row r="1127" spans="1:13" x14ac:dyDescent="0.25">
      <c r="A1127" s="1">
        <v>42765</v>
      </c>
      <c r="B1127" s="2">
        <v>1.1000000000000001</v>
      </c>
      <c r="C1127" s="2">
        <v>1.4</v>
      </c>
      <c r="D1127" s="2">
        <v>-0.3</v>
      </c>
      <c r="E1127" s="2">
        <v>0.7</v>
      </c>
      <c r="F1127" s="2">
        <v>-0.7</v>
      </c>
      <c r="G1127" s="2">
        <v>0.3</v>
      </c>
      <c r="H1127" s="2">
        <f>AVERAGE(weather.tbl[[#This Row],[Estevan]:[Kipling]])</f>
        <v>0.41666666666666669</v>
      </c>
      <c r="I1127" s="2">
        <f>_xlfn.STDEV.S(weather.tbl[[#This Row],[Estevan]:[Kipling]])</f>
        <v>0.8109665015687556</v>
      </c>
      <c r="J1127" s="2">
        <f t="shared" si="17"/>
        <v>-5.5809523809523816</v>
      </c>
      <c r="K1127">
        <f>DAY(weather.tbl[[#This Row],[Date]])</f>
        <v>30</v>
      </c>
      <c r="L1127">
        <f>MONTH(weather.tbl[[#This Row],[Date]])</f>
        <v>1</v>
      </c>
      <c r="M1127">
        <f>YEAR(weather.tbl[[#This Row],[Date]])</f>
        <v>2017</v>
      </c>
    </row>
    <row r="1128" spans="1:13" x14ac:dyDescent="0.25">
      <c r="A1128" s="1">
        <v>42766</v>
      </c>
      <c r="B1128" s="2">
        <v>-10.6</v>
      </c>
      <c r="C1128" s="2">
        <v>-11.6</v>
      </c>
      <c r="D1128" s="2">
        <v>-9.3000000000000007</v>
      </c>
      <c r="E1128" s="2">
        <v>-11.2</v>
      </c>
      <c r="F1128" s="2">
        <v>-11</v>
      </c>
      <c r="G1128" s="2">
        <v>-11</v>
      </c>
      <c r="H1128" s="2">
        <f>AVERAGE(weather.tbl[[#This Row],[Estevan]:[Kipling]])</f>
        <v>-10.783333333333333</v>
      </c>
      <c r="I1128" s="2">
        <f>_xlfn.STDEV.S(weather.tbl[[#This Row],[Estevan]:[Kipling]])</f>
        <v>0.79603182515943793</v>
      </c>
      <c r="J1128" s="2">
        <f t="shared" si="17"/>
        <v>-5.9547619047619049</v>
      </c>
      <c r="K1128">
        <f>DAY(weather.tbl[[#This Row],[Date]])</f>
        <v>31</v>
      </c>
      <c r="L1128">
        <f>MONTH(weather.tbl[[#This Row],[Date]])</f>
        <v>1</v>
      </c>
      <c r="M1128">
        <f>YEAR(weather.tbl[[#This Row],[Date]])</f>
        <v>2017</v>
      </c>
    </row>
    <row r="1129" spans="1:13" x14ac:dyDescent="0.25">
      <c r="A1129" s="1">
        <v>42767</v>
      </c>
      <c r="B1129" s="2">
        <v>-18</v>
      </c>
      <c r="C1129" s="2">
        <v>-17.2</v>
      </c>
      <c r="D1129" s="2">
        <v>-19.3</v>
      </c>
      <c r="E1129" s="2">
        <v>-11.2</v>
      </c>
      <c r="F1129" s="2">
        <v>-19.399999999999999</v>
      </c>
      <c r="G1129" s="2">
        <v>-19.5</v>
      </c>
      <c r="H1129" s="2">
        <f>AVERAGE(weather.tbl[[#This Row],[Estevan]:[Kipling]])</f>
        <v>-17.433333333333334</v>
      </c>
      <c r="I1129" s="2">
        <f>_xlfn.STDEV.S(weather.tbl[[#This Row],[Estevan]:[Kipling]])</f>
        <v>3.1891482666484312</v>
      </c>
      <c r="J1129" s="2">
        <f t="shared" si="17"/>
        <v>-6.8666666666666663</v>
      </c>
      <c r="K1129">
        <f>DAY(weather.tbl[[#This Row],[Date]])</f>
        <v>1</v>
      </c>
      <c r="L1129">
        <f>MONTH(weather.tbl[[#This Row],[Date]])</f>
        <v>2</v>
      </c>
      <c r="M1129">
        <f>YEAR(weather.tbl[[#This Row],[Date]])</f>
        <v>2017</v>
      </c>
    </row>
    <row r="1130" spans="1:13" x14ac:dyDescent="0.25">
      <c r="A1130" s="1">
        <v>42768</v>
      </c>
      <c r="B1130" s="2">
        <v>-18.100000000000001</v>
      </c>
      <c r="C1130" s="2">
        <v>-15.9</v>
      </c>
      <c r="D1130" s="2">
        <v>-19.5</v>
      </c>
      <c r="E1130" s="2">
        <v>-14.7</v>
      </c>
      <c r="F1130" s="2">
        <v>-19.600000000000001</v>
      </c>
      <c r="G1130" s="2">
        <v>-17.8</v>
      </c>
      <c r="H1130" s="2">
        <f>AVERAGE(weather.tbl[[#This Row],[Estevan]:[Kipling]])</f>
        <v>-17.600000000000001</v>
      </c>
      <c r="I1130" s="2">
        <f>_xlfn.STDEV.S(weather.tbl[[#This Row],[Estevan]:[Kipling]])</f>
        <v>1.9595917942265331</v>
      </c>
      <c r="J1130" s="2">
        <f t="shared" si="17"/>
        <v>-7.6857142857142859</v>
      </c>
      <c r="K1130">
        <f>DAY(weather.tbl[[#This Row],[Date]])</f>
        <v>2</v>
      </c>
      <c r="L1130">
        <f>MONTH(weather.tbl[[#This Row],[Date]])</f>
        <v>2</v>
      </c>
      <c r="M1130">
        <f>YEAR(weather.tbl[[#This Row],[Date]])</f>
        <v>2017</v>
      </c>
    </row>
    <row r="1131" spans="1:13" x14ac:dyDescent="0.25">
      <c r="A1131" s="1">
        <v>42769</v>
      </c>
      <c r="B1131" s="2">
        <v>-16</v>
      </c>
      <c r="C1131" s="2">
        <v>-16</v>
      </c>
      <c r="D1131" s="2">
        <v>-16.5</v>
      </c>
      <c r="E1131" s="2">
        <v>-13.4</v>
      </c>
      <c r="F1131" s="2">
        <v>-17.399999999999999</v>
      </c>
      <c r="G1131" s="2">
        <v>-16.5</v>
      </c>
      <c r="H1131" s="2">
        <f>AVERAGE(weather.tbl[[#This Row],[Estevan]:[Kipling]])</f>
        <v>-15.966666666666667</v>
      </c>
      <c r="I1131" s="2">
        <f>_xlfn.STDEV.S(weather.tbl[[#This Row],[Estevan]:[Kipling]])</f>
        <v>1.3574485871172675</v>
      </c>
      <c r="J1131" s="2">
        <f t="shared" si="17"/>
        <v>-9.2309523809523828</v>
      </c>
      <c r="K1131">
        <f>DAY(weather.tbl[[#This Row],[Date]])</f>
        <v>3</v>
      </c>
      <c r="L1131">
        <f>MONTH(weather.tbl[[#This Row],[Date]])</f>
        <v>2</v>
      </c>
      <c r="M1131">
        <f>YEAR(weather.tbl[[#This Row],[Date]])</f>
        <v>2017</v>
      </c>
    </row>
    <row r="1132" spans="1:13" x14ac:dyDescent="0.25">
      <c r="A1132" s="1">
        <v>42770</v>
      </c>
      <c r="B1132" s="2">
        <v>-14.5</v>
      </c>
      <c r="C1132" s="2">
        <v>-15</v>
      </c>
      <c r="D1132" s="2">
        <v>-14.5</v>
      </c>
      <c r="E1132" s="2">
        <v>-14.2</v>
      </c>
      <c r="F1132" s="2">
        <v>-15.6</v>
      </c>
      <c r="G1132" s="2">
        <v>-15.8</v>
      </c>
      <c r="H1132" s="2">
        <f>AVERAGE(weather.tbl[[#This Row],[Estevan]:[Kipling]])</f>
        <v>-14.933333333333332</v>
      </c>
      <c r="I1132" s="2">
        <f>_xlfn.STDEV.S(weather.tbl[[#This Row],[Estevan]:[Kipling]])</f>
        <v>0.65012819248719478</v>
      </c>
      <c r="J1132" s="2">
        <f t="shared" si="17"/>
        <v>-11.192857142857145</v>
      </c>
      <c r="K1132">
        <f>DAY(weather.tbl[[#This Row],[Date]])</f>
        <v>4</v>
      </c>
      <c r="L1132">
        <f>MONTH(weather.tbl[[#This Row],[Date]])</f>
        <v>2</v>
      </c>
      <c r="M1132">
        <f>YEAR(weather.tbl[[#This Row],[Date]])</f>
        <v>2017</v>
      </c>
    </row>
    <row r="1133" spans="1:13" x14ac:dyDescent="0.25">
      <c r="A1133" s="1">
        <v>42771</v>
      </c>
      <c r="B1133" s="2">
        <v>-19.3</v>
      </c>
      <c r="C1133" s="2">
        <v>-19</v>
      </c>
      <c r="D1133" s="2">
        <v>-21.8</v>
      </c>
      <c r="E1133" s="2">
        <v>-17.399999999999999</v>
      </c>
      <c r="F1133" s="2">
        <v>-20.8</v>
      </c>
      <c r="G1133" s="2">
        <v>-18.5</v>
      </c>
      <c r="H1133" s="2">
        <f>AVERAGE(weather.tbl[[#This Row],[Estevan]:[Kipling]])</f>
        <v>-19.466666666666665</v>
      </c>
      <c r="I1133" s="2">
        <f>_xlfn.STDEV.S(weather.tbl[[#This Row],[Estevan]:[Kipling]])</f>
        <v>1.5920636503188774</v>
      </c>
      <c r="J1133" s="2">
        <f t="shared" si="17"/>
        <v>-13.680952380952382</v>
      </c>
      <c r="K1133">
        <f>DAY(weather.tbl[[#This Row],[Date]])</f>
        <v>5</v>
      </c>
      <c r="L1133">
        <f>MONTH(weather.tbl[[#This Row],[Date]])</f>
        <v>2</v>
      </c>
      <c r="M1133">
        <f>YEAR(weather.tbl[[#This Row],[Date]])</f>
        <v>2017</v>
      </c>
    </row>
    <row r="1134" spans="1:13" x14ac:dyDescent="0.25">
      <c r="A1134" s="1">
        <v>42772</v>
      </c>
      <c r="B1134" s="2">
        <v>-16.8</v>
      </c>
      <c r="C1134" s="2">
        <v>-16.5</v>
      </c>
      <c r="D1134" s="2">
        <v>-17.3</v>
      </c>
      <c r="E1134" s="2">
        <v>-16.8</v>
      </c>
      <c r="F1134" s="2">
        <v>-16.899999999999999</v>
      </c>
      <c r="G1134" s="2">
        <v>-17</v>
      </c>
      <c r="H1134" s="2">
        <f>AVERAGE(weather.tbl[[#This Row],[Estevan]:[Kipling]])</f>
        <v>-16.883333333333329</v>
      </c>
      <c r="I1134" s="2">
        <f>_xlfn.STDEV.S(weather.tbl[[#This Row],[Estevan]:[Kipling]])</f>
        <v>0.26394443859772215</v>
      </c>
      <c r="J1134" s="2">
        <f t="shared" si="17"/>
        <v>-16.152380952380952</v>
      </c>
      <c r="K1134">
        <f>DAY(weather.tbl[[#This Row],[Date]])</f>
        <v>6</v>
      </c>
      <c r="L1134">
        <f>MONTH(weather.tbl[[#This Row],[Date]])</f>
        <v>2</v>
      </c>
      <c r="M1134">
        <f>YEAR(weather.tbl[[#This Row],[Date]])</f>
        <v>2017</v>
      </c>
    </row>
    <row r="1135" spans="1:13" x14ac:dyDescent="0.25">
      <c r="A1135" s="1">
        <v>42773</v>
      </c>
      <c r="B1135" s="2">
        <v>-24.4</v>
      </c>
      <c r="C1135" s="2">
        <v>-25.8</v>
      </c>
      <c r="D1135" s="2">
        <v>-22.3</v>
      </c>
      <c r="E1135" s="2">
        <v>-25.5</v>
      </c>
      <c r="F1135" s="2">
        <v>-24</v>
      </c>
      <c r="G1135" s="2">
        <v>-22.8</v>
      </c>
      <c r="H1135" s="2">
        <f>AVERAGE(weather.tbl[[#This Row],[Estevan]:[Kipling]])</f>
        <v>-24.133333333333336</v>
      </c>
      <c r="I1135" s="2">
        <f>_xlfn.STDEV.S(weather.tbl[[#This Row],[Estevan]:[Kipling]])</f>
        <v>1.4052283325732746</v>
      </c>
      <c r="J1135" s="2">
        <f t="shared" si="17"/>
        <v>-18.05952380952381</v>
      </c>
      <c r="K1135">
        <f>DAY(weather.tbl[[#This Row],[Date]])</f>
        <v>7</v>
      </c>
      <c r="L1135">
        <f>MONTH(weather.tbl[[#This Row],[Date]])</f>
        <v>2</v>
      </c>
      <c r="M1135">
        <f>YEAR(weather.tbl[[#This Row],[Date]])</f>
        <v>2017</v>
      </c>
    </row>
    <row r="1136" spans="1:13" x14ac:dyDescent="0.25">
      <c r="A1136" s="1">
        <v>42774</v>
      </c>
      <c r="B1136" s="2">
        <v>-26.2</v>
      </c>
      <c r="C1136" s="2">
        <v>-25.5</v>
      </c>
      <c r="D1136" s="2">
        <v>-26.5</v>
      </c>
      <c r="E1136" s="2">
        <v>-25.7</v>
      </c>
      <c r="F1136" s="2">
        <v>-25.5</v>
      </c>
      <c r="G1136" s="2">
        <v>-26.3</v>
      </c>
      <c r="H1136" s="2">
        <f>AVERAGE(weather.tbl[[#This Row],[Estevan]:[Kipling]])</f>
        <v>-25.950000000000003</v>
      </c>
      <c r="I1136" s="2">
        <f>_xlfn.STDEV.S(weather.tbl[[#This Row],[Estevan]:[Kipling]])</f>
        <v>0.43703546766824325</v>
      </c>
      <c r="J1136" s="2">
        <f t="shared" si="17"/>
        <v>-19.276190476190475</v>
      </c>
      <c r="K1136">
        <f>DAY(weather.tbl[[#This Row],[Date]])</f>
        <v>8</v>
      </c>
      <c r="L1136">
        <f>MONTH(weather.tbl[[#This Row],[Date]])</f>
        <v>2</v>
      </c>
      <c r="M1136">
        <f>YEAR(weather.tbl[[#This Row],[Date]])</f>
        <v>2017</v>
      </c>
    </row>
    <row r="1137" spans="1:13" x14ac:dyDescent="0.25">
      <c r="A1137" s="1">
        <v>42775</v>
      </c>
      <c r="B1137" s="2">
        <v>-17.899999999999999</v>
      </c>
      <c r="C1137" s="2">
        <v>-18.2</v>
      </c>
      <c r="D1137" s="2">
        <v>-14</v>
      </c>
      <c r="E1137" s="2">
        <v>-16.600000000000001</v>
      </c>
      <c r="F1137" s="2">
        <v>-18.2</v>
      </c>
      <c r="G1137" s="2">
        <v>-14.3</v>
      </c>
      <c r="H1137" s="2">
        <f>AVERAGE(weather.tbl[[#This Row],[Estevan]:[Kipling]])</f>
        <v>-16.533333333333331</v>
      </c>
      <c r="I1137" s="2">
        <f>_xlfn.STDEV.S(weather.tbl[[#This Row],[Estevan]:[Kipling]])</f>
        <v>1.9407902170679712</v>
      </c>
      <c r="J1137" s="2">
        <f t="shared" si="17"/>
        <v>-19.123809523809523</v>
      </c>
      <c r="K1137">
        <f>DAY(weather.tbl[[#This Row],[Date]])</f>
        <v>9</v>
      </c>
      <c r="L1137">
        <f>MONTH(weather.tbl[[#This Row],[Date]])</f>
        <v>2</v>
      </c>
      <c r="M1137">
        <f>YEAR(weather.tbl[[#This Row],[Date]])</f>
        <v>2017</v>
      </c>
    </row>
    <row r="1138" spans="1:13" x14ac:dyDescent="0.25">
      <c r="A1138" s="1">
        <v>42776</v>
      </c>
      <c r="B1138" s="2">
        <v>-1.4</v>
      </c>
      <c r="C1138" s="2">
        <v>-1.5</v>
      </c>
      <c r="D1138" s="2">
        <v>-6.5</v>
      </c>
      <c r="E1138" s="2">
        <v>-2.1</v>
      </c>
      <c r="F1138" s="2">
        <v>-5.6</v>
      </c>
      <c r="G1138" s="2">
        <v>-9</v>
      </c>
      <c r="H1138" s="2">
        <f>AVERAGE(weather.tbl[[#This Row],[Estevan]:[Kipling]])</f>
        <v>-4.3500000000000005</v>
      </c>
      <c r="I1138" s="2">
        <f>_xlfn.STDEV.S(weather.tbl[[#This Row],[Estevan]:[Kipling]])</f>
        <v>3.1526179597280737</v>
      </c>
      <c r="J1138" s="2">
        <f t="shared" si="17"/>
        <v>-17.464285714285715</v>
      </c>
      <c r="K1138">
        <f>DAY(weather.tbl[[#This Row],[Date]])</f>
        <v>10</v>
      </c>
      <c r="L1138">
        <f>MONTH(weather.tbl[[#This Row],[Date]])</f>
        <v>2</v>
      </c>
      <c r="M1138">
        <f>YEAR(weather.tbl[[#This Row],[Date]])</f>
        <v>2017</v>
      </c>
    </row>
    <row r="1139" spans="1:13" x14ac:dyDescent="0.25">
      <c r="A1139" s="1">
        <v>42777</v>
      </c>
      <c r="B1139" s="2">
        <v>-5.3</v>
      </c>
      <c r="C1139" s="2">
        <v>-4.8</v>
      </c>
      <c r="D1139" s="2">
        <v>-6</v>
      </c>
      <c r="E1139" s="2">
        <v>-5.3</v>
      </c>
      <c r="F1139" s="2">
        <v>-3.5</v>
      </c>
      <c r="G1139" s="2">
        <v>-6.8</v>
      </c>
      <c r="H1139" s="2">
        <f>AVERAGE(weather.tbl[[#This Row],[Estevan]:[Kipling]])</f>
        <v>-5.2833333333333341</v>
      </c>
      <c r="I1139" s="2">
        <f>_xlfn.STDEV.S(weather.tbl[[#This Row],[Estevan]:[Kipling]])</f>
        <v>1.1160943807163684</v>
      </c>
      <c r="J1139" s="2">
        <f t="shared" si="17"/>
        <v>-16.085714285714285</v>
      </c>
      <c r="K1139">
        <f>DAY(weather.tbl[[#This Row],[Date]])</f>
        <v>11</v>
      </c>
      <c r="L1139">
        <f>MONTH(weather.tbl[[#This Row],[Date]])</f>
        <v>2</v>
      </c>
      <c r="M1139">
        <f>YEAR(weather.tbl[[#This Row],[Date]])</f>
        <v>2017</v>
      </c>
    </row>
    <row r="1140" spans="1:13" x14ac:dyDescent="0.25">
      <c r="A1140" s="1">
        <v>42778</v>
      </c>
      <c r="B1140" s="2">
        <v>-5.3</v>
      </c>
      <c r="C1140" s="2">
        <v>-4.0999999999999996</v>
      </c>
      <c r="D1140" s="2">
        <v>-6.3</v>
      </c>
      <c r="E1140" s="2">
        <v>-2.9</v>
      </c>
      <c r="F1140" s="2">
        <v>-6</v>
      </c>
      <c r="G1140" s="2">
        <v>-7.5</v>
      </c>
      <c r="H1140" s="2">
        <f>AVERAGE(weather.tbl[[#This Row],[Estevan]:[Kipling]])</f>
        <v>-5.3499999999999988</v>
      </c>
      <c r="I1140" s="2">
        <f>_xlfn.STDEV.S(weather.tbl[[#This Row],[Estevan]:[Kipling]])</f>
        <v>1.6440802900101974</v>
      </c>
      <c r="J1140" s="2">
        <f t="shared" si="17"/>
        <v>-14.069047619047618</v>
      </c>
      <c r="K1140">
        <f>DAY(weather.tbl[[#This Row],[Date]])</f>
        <v>12</v>
      </c>
      <c r="L1140">
        <f>MONTH(weather.tbl[[#This Row],[Date]])</f>
        <v>2</v>
      </c>
      <c r="M1140">
        <f>YEAR(weather.tbl[[#This Row],[Date]])</f>
        <v>2017</v>
      </c>
    </row>
    <row r="1141" spans="1:13" x14ac:dyDescent="0.25">
      <c r="A1141" s="1">
        <v>42779</v>
      </c>
      <c r="B1141" s="2">
        <v>-3.1</v>
      </c>
      <c r="C1141" s="2">
        <v>-1.5</v>
      </c>
      <c r="D1141" s="2">
        <v>-3</v>
      </c>
      <c r="E1141" s="2">
        <v>-0.8</v>
      </c>
      <c r="F1141" s="2">
        <v>-3.3</v>
      </c>
      <c r="G1141" s="2">
        <v>-2.2999999999999998</v>
      </c>
      <c r="H1141" s="2">
        <f>AVERAGE(weather.tbl[[#This Row],[Estevan]:[Kipling]])</f>
        <v>-2.3333333333333335</v>
      </c>
      <c r="I1141" s="2">
        <f>_xlfn.STDEV.S(weather.tbl[[#This Row],[Estevan]:[Kipling]])</f>
        <v>1.0013324456276582</v>
      </c>
      <c r="J1141" s="2">
        <f t="shared" si="17"/>
        <v>-11.990476190476189</v>
      </c>
      <c r="K1141">
        <f>DAY(weather.tbl[[#This Row],[Date]])</f>
        <v>13</v>
      </c>
      <c r="L1141">
        <f>MONTH(weather.tbl[[#This Row],[Date]])</f>
        <v>2</v>
      </c>
      <c r="M1141">
        <f>YEAR(weather.tbl[[#This Row],[Date]])</f>
        <v>2017</v>
      </c>
    </row>
    <row r="1142" spans="1:13" x14ac:dyDescent="0.25">
      <c r="A1142" s="1">
        <v>42780</v>
      </c>
      <c r="B1142" s="2">
        <v>-4.4000000000000004</v>
      </c>
      <c r="C1142" s="2">
        <v>-4.0999999999999996</v>
      </c>
      <c r="D1142" s="2">
        <v>-4.8</v>
      </c>
      <c r="E1142" s="2">
        <v>-2.2000000000000002</v>
      </c>
      <c r="F1142" s="2">
        <v>-4.0999999999999996</v>
      </c>
      <c r="G1142" s="2">
        <v>-3.3</v>
      </c>
      <c r="H1142" s="2">
        <f>AVERAGE(weather.tbl[[#This Row],[Estevan]:[Kipling]])</f>
        <v>-3.8166666666666669</v>
      </c>
      <c r="I1142" s="2">
        <f>_xlfn.STDEV.S(weather.tbl[[#This Row],[Estevan]:[Kipling]])</f>
        <v>0.93255920276766502</v>
      </c>
      <c r="J1142" s="2">
        <f t="shared" si="17"/>
        <v>-9.0880952380952387</v>
      </c>
      <c r="K1142">
        <f>DAY(weather.tbl[[#This Row],[Date]])</f>
        <v>14</v>
      </c>
      <c r="L1142">
        <f>MONTH(weather.tbl[[#This Row],[Date]])</f>
        <v>2</v>
      </c>
      <c r="M1142">
        <f>YEAR(weather.tbl[[#This Row],[Date]])</f>
        <v>2017</v>
      </c>
    </row>
    <row r="1143" spans="1:13" x14ac:dyDescent="0.25">
      <c r="A1143" s="1">
        <v>42781</v>
      </c>
      <c r="B1143" s="2">
        <v>-1.4</v>
      </c>
      <c r="C1143" s="2">
        <v>0.2</v>
      </c>
      <c r="D1143" s="2">
        <v>-5</v>
      </c>
      <c r="E1143" s="2">
        <v>1.3</v>
      </c>
      <c r="F1143" s="2">
        <v>-4.2</v>
      </c>
      <c r="G1143" s="2">
        <v>-1.3</v>
      </c>
      <c r="H1143" s="2">
        <f>AVERAGE(weather.tbl[[#This Row],[Estevan]:[Kipling]])</f>
        <v>-1.7333333333333336</v>
      </c>
      <c r="I1143" s="2">
        <f>_xlfn.STDEV.S(weather.tbl[[#This Row],[Estevan]:[Kipling]])</f>
        <v>2.4492175621342143</v>
      </c>
      <c r="J1143" s="2">
        <f t="shared" si="17"/>
        <v>-5.628571428571429</v>
      </c>
      <c r="K1143">
        <f>DAY(weather.tbl[[#This Row],[Date]])</f>
        <v>15</v>
      </c>
      <c r="L1143">
        <f>MONTH(weather.tbl[[#This Row],[Date]])</f>
        <v>2</v>
      </c>
      <c r="M1143">
        <f>YEAR(weather.tbl[[#This Row],[Date]])</f>
        <v>2017</v>
      </c>
    </row>
    <row r="1144" spans="1:13" x14ac:dyDescent="0.25">
      <c r="A1144" s="1">
        <v>42782</v>
      </c>
      <c r="B1144" s="2">
        <v>2.4</v>
      </c>
      <c r="C1144" s="2">
        <v>3.2</v>
      </c>
      <c r="D1144" s="2">
        <v>2.5</v>
      </c>
      <c r="E1144" s="2">
        <v>4.9000000000000004</v>
      </c>
      <c r="F1144" s="2">
        <v>0.4</v>
      </c>
      <c r="G1144" s="2">
        <v>3.5</v>
      </c>
      <c r="H1144" s="2">
        <f>AVERAGE(weather.tbl[[#This Row],[Estevan]:[Kipling]])</f>
        <v>2.8166666666666664</v>
      </c>
      <c r="I1144" s="2">
        <f>_xlfn.STDEV.S(weather.tbl[[#This Row],[Estevan]:[Kipling]])</f>
        <v>1.4878395970892389</v>
      </c>
      <c r="J1144" s="2">
        <f t="shared" si="17"/>
        <v>-2.8642857142857143</v>
      </c>
      <c r="K1144">
        <f>DAY(weather.tbl[[#This Row],[Date]])</f>
        <v>16</v>
      </c>
      <c r="L1144">
        <f>MONTH(weather.tbl[[#This Row],[Date]])</f>
        <v>2</v>
      </c>
      <c r="M1144">
        <f>YEAR(weather.tbl[[#This Row],[Date]])</f>
        <v>2017</v>
      </c>
    </row>
    <row r="1145" spans="1:13" x14ac:dyDescent="0.25">
      <c r="A1145" s="1">
        <v>42783</v>
      </c>
      <c r="B1145" s="2">
        <v>2.2999999999999998</v>
      </c>
      <c r="C1145" s="2">
        <v>4.5</v>
      </c>
      <c r="D1145" s="2">
        <v>3.8</v>
      </c>
      <c r="E1145" s="2">
        <v>5.3</v>
      </c>
      <c r="F1145" s="2">
        <v>2.8</v>
      </c>
      <c r="G1145" s="2">
        <v>4</v>
      </c>
      <c r="H1145" s="2">
        <f>AVERAGE(weather.tbl[[#This Row],[Estevan]:[Kipling]])</f>
        <v>3.7833333333333332</v>
      </c>
      <c r="I1145" s="2">
        <f>_xlfn.STDEV.S(weather.tbl[[#This Row],[Estevan]:[Kipling]])</f>
        <v>1.0980285363626334</v>
      </c>
      <c r="J1145" s="2">
        <f t="shared" si="17"/>
        <v>-1.7023809523809528</v>
      </c>
      <c r="K1145">
        <f>DAY(weather.tbl[[#This Row],[Date]])</f>
        <v>17</v>
      </c>
      <c r="L1145">
        <f>MONTH(weather.tbl[[#This Row],[Date]])</f>
        <v>2</v>
      </c>
      <c r="M1145">
        <f>YEAR(weather.tbl[[#This Row],[Date]])</f>
        <v>2017</v>
      </c>
    </row>
    <row r="1146" spans="1:13" x14ac:dyDescent="0.25">
      <c r="A1146" s="1">
        <v>42784</v>
      </c>
      <c r="B1146" s="2">
        <v>-1.9</v>
      </c>
      <c r="C1146" s="2">
        <v>-1.6</v>
      </c>
      <c r="D1146" s="2">
        <v>-1</v>
      </c>
      <c r="E1146" s="2">
        <v>-0.6</v>
      </c>
      <c r="F1146" s="2">
        <v>-0.2</v>
      </c>
      <c r="G1146" s="2">
        <v>2</v>
      </c>
      <c r="H1146" s="2">
        <f>AVERAGE(weather.tbl[[#This Row],[Estevan]:[Kipling]])</f>
        <v>-0.54999999999999993</v>
      </c>
      <c r="I1146" s="2">
        <f>_xlfn.STDEV.S(weather.tbl[[#This Row],[Estevan]:[Kipling]])</f>
        <v>1.396782015920881</v>
      </c>
      <c r="J1146" s="2">
        <f t="shared" si="17"/>
        <v>-1.0261904761904761</v>
      </c>
      <c r="K1146">
        <f>DAY(weather.tbl[[#This Row],[Date]])</f>
        <v>18</v>
      </c>
      <c r="L1146">
        <f>MONTH(weather.tbl[[#This Row],[Date]])</f>
        <v>2</v>
      </c>
      <c r="M1146">
        <f>YEAR(weather.tbl[[#This Row],[Date]])</f>
        <v>2017</v>
      </c>
    </row>
    <row r="1147" spans="1:13" x14ac:dyDescent="0.25">
      <c r="A1147" s="1">
        <v>42785</v>
      </c>
      <c r="B1147" s="2">
        <v>-0.1</v>
      </c>
      <c r="C1147" s="2">
        <v>-0.1</v>
      </c>
      <c r="D1147" s="2">
        <v>-0.8</v>
      </c>
      <c r="E1147" s="2">
        <v>-0.4</v>
      </c>
      <c r="F1147" s="2">
        <v>0.2</v>
      </c>
      <c r="G1147" s="2">
        <v>0</v>
      </c>
      <c r="H1147" s="2">
        <f>AVERAGE(weather.tbl[[#This Row],[Estevan]:[Kipling]])</f>
        <v>-0.19999999999999998</v>
      </c>
      <c r="I1147" s="2">
        <f>_xlfn.STDEV.S(weather.tbl[[#This Row],[Estevan]:[Kipling]])</f>
        <v>0.35213633723318022</v>
      </c>
      <c r="J1147" s="2">
        <f t="shared" si="17"/>
        <v>-0.29047619047619061</v>
      </c>
      <c r="K1147">
        <f>DAY(weather.tbl[[#This Row],[Date]])</f>
        <v>19</v>
      </c>
      <c r="L1147">
        <f>MONTH(weather.tbl[[#This Row],[Date]])</f>
        <v>2</v>
      </c>
      <c r="M1147">
        <f>YEAR(weather.tbl[[#This Row],[Date]])</f>
        <v>2017</v>
      </c>
    </row>
    <row r="1148" spans="1:13" x14ac:dyDescent="0.25">
      <c r="A1148" s="1">
        <v>42786</v>
      </c>
      <c r="B1148" s="2">
        <v>1.5</v>
      </c>
      <c r="C1148" s="2">
        <v>3</v>
      </c>
      <c r="D1148" s="2">
        <v>1.8</v>
      </c>
      <c r="E1148" s="2">
        <v>3.7</v>
      </c>
      <c r="F1148" s="2">
        <v>-0.6</v>
      </c>
      <c r="G1148" s="2">
        <v>1.8</v>
      </c>
      <c r="H1148" s="2">
        <f>AVERAGE(weather.tbl[[#This Row],[Estevan]:[Kipling]])</f>
        <v>1.8666666666666669</v>
      </c>
      <c r="I1148" s="2">
        <f>_xlfn.STDEV.S(weather.tbl[[#This Row],[Estevan]:[Kipling]])</f>
        <v>1.4746751054610863</v>
      </c>
      <c r="J1148" s="2">
        <f t="shared" si="17"/>
        <v>0.30952380952380942</v>
      </c>
      <c r="K1148">
        <f>DAY(weather.tbl[[#This Row],[Date]])</f>
        <v>20</v>
      </c>
      <c r="L1148">
        <f>MONTH(weather.tbl[[#This Row],[Date]])</f>
        <v>2</v>
      </c>
      <c r="M1148">
        <f>YEAR(weather.tbl[[#This Row],[Date]])</f>
        <v>2017</v>
      </c>
    </row>
    <row r="1149" spans="1:13" x14ac:dyDescent="0.25">
      <c r="A1149" s="1">
        <v>42787</v>
      </c>
      <c r="B1149" s="2">
        <v>1.1000000000000001</v>
      </c>
      <c r="C1149" s="2">
        <v>-0.4</v>
      </c>
      <c r="D1149" s="2">
        <v>-1.3</v>
      </c>
      <c r="E1149" s="2">
        <v>1.4</v>
      </c>
      <c r="F1149" s="2">
        <v>-1.1000000000000001</v>
      </c>
      <c r="G1149" s="2">
        <v>0</v>
      </c>
      <c r="H1149" s="2">
        <f>AVERAGE(weather.tbl[[#This Row],[Estevan]:[Kipling]])</f>
        <v>-5.0000000000000024E-2</v>
      </c>
      <c r="I1149" s="2">
        <f>_xlfn.STDEV.S(weather.tbl[[#This Row],[Estevan]:[Kipling]])</f>
        <v>1.1148990985734988</v>
      </c>
      <c r="J1149" s="2">
        <f t="shared" si="17"/>
        <v>0.84761904761904761</v>
      </c>
      <c r="K1149">
        <f>DAY(weather.tbl[[#This Row],[Date]])</f>
        <v>21</v>
      </c>
      <c r="L1149">
        <f>MONTH(weather.tbl[[#This Row],[Date]])</f>
        <v>2</v>
      </c>
      <c r="M1149">
        <f>YEAR(weather.tbl[[#This Row],[Date]])</f>
        <v>2017</v>
      </c>
    </row>
    <row r="1150" spans="1:13" x14ac:dyDescent="0.25">
      <c r="A1150" s="1">
        <v>42788</v>
      </c>
      <c r="B1150" s="2">
        <v>-1.1000000000000001</v>
      </c>
      <c r="C1150" s="2">
        <v>-1.5</v>
      </c>
      <c r="D1150" s="2">
        <v>0.3</v>
      </c>
      <c r="E1150" s="2">
        <v>-0.8</v>
      </c>
      <c r="F1150" s="2">
        <v>0.3</v>
      </c>
      <c r="G1150" s="2">
        <v>-2.2999999999999998</v>
      </c>
      <c r="H1150" s="2">
        <f>AVERAGE(weather.tbl[[#This Row],[Estevan]:[Kipling]])</f>
        <v>-0.85000000000000009</v>
      </c>
      <c r="I1150" s="2">
        <f>_xlfn.STDEV.S(weather.tbl[[#This Row],[Estevan]:[Kipling]])</f>
        <v>1.0232301793829184</v>
      </c>
      <c r="J1150" s="2">
        <f t="shared" si="17"/>
        <v>0.97380952380952379</v>
      </c>
      <c r="K1150">
        <f>DAY(weather.tbl[[#This Row],[Date]])</f>
        <v>22</v>
      </c>
      <c r="L1150">
        <f>MONTH(weather.tbl[[#This Row],[Date]])</f>
        <v>2</v>
      </c>
      <c r="M1150">
        <f>YEAR(weather.tbl[[#This Row],[Date]])</f>
        <v>2017</v>
      </c>
    </row>
    <row r="1151" spans="1:13" x14ac:dyDescent="0.25">
      <c r="A1151" s="1">
        <v>42789</v>
      </c>
      <c r="B1151" s="2">
        <v>-3.5</v>
      </c>
      <c r="C1151" s="2">
        <v>-3.5</v>
      </c>
      <c r="D1151" s="2">
        <v>-4.5</v>
      </c>
      <c r="E1151" s="2">
        <v>-3.4</v>
      </c>
      <c r="F1151" s="2">
        <v>-3.6</v>
      </c>
      <c r="G1151" s="2">
        <v>-6</v>
      </c>
      <c r="H1151" s="2">
        <f>AVERAGE(weather.tbl[[#This Row],[Estevan]:[Kipling]])</f>
        <v>-4.083333333333333</v>
      </c>
      <c r="I1151" s="2">
        <f>_xlfn.STDEV.S(weather.tbl[[#This Row],[Estevan]:[Kipling]])</f>
        <v>1.0225784403490363</v>
      </c>
      <c r="J1151" s="2">
        <f t="shared" si="17"/>
        <v>-1.1904761904761862E-2</v>
      </c>
      <c r="K1151">
        <f>DAY(weather.tbl[[#This Row],[Date]])</f>
        <v>23</v>
      </c>
      <c r="L1151">
        <f>MONTH(weather.tbl[[#This Row],[Date]])</f>
        <v>2</v>
      </c>
      <c r="M1151">
        <f>YEAR(weather.tbl[[#This Row],[Date]])</f>
        <v>2017</v>
      </c>
    </row>
    <row r="1152" spans="1:13" x14ac:dyDescent="0.25">
      <c r="A1152" s="1">
        <v>42790</v>
      </c>
      <c r="B1152" s="2">
        <v>-6.9</v>
      </c>
      <c r="C1152" s="2">
        <v>-5</v>
      </c>
      <c r="D1152" s="2">
        <v>-8.3000000000000007</v>
      </c>
      <c r="E1152" s="2">
        <v>-4.2</v>
      </c>
      <c r="F1152" s="2">
        <v>-10</v>
      </c>
      <c r="G1152" s="2">
        <v>-5.8</v>
      </c>
      <c r="H1152" s="2">
        <f>AVERAGE(weather.tbl[[#This Row],[Estevan]:[Kipling]])</f>
        <v>-6.7</v>
      </c>
      <c r="I1152" s="2">
        <f>_xlfn.STDEV.S(weather.tbl[[#This Row],[Estevan]:[Kipling]])</f>
        <v>2.1651789764358971</v>
      </c>
      <c r="J1152" s="2">
        <f t="shared" si="17"/>
        <v>-1.5095238095238095</v>
      </c>
      <c r="K1152">
        <f>DAY(weather.tbl[[#This Row],[Date]])</f>
        <v>24</v>
      </c>
      <c r="L1152">
        <f>MONTH(weather.tbl[[#This Row],[Date]])</f>
        <v>2</v>
      </c>
      <c r="M1152">
        <f>YEAR(weather.tbl[[#This Row],[Date]])</f>
        <v>2017</v>
      </c>
    </row>
    <row r="1153" spans="1:13" x14ac:dyDescent="0.25">
      <c r="A1153" s="1">
        <v>42791</v>
      </c>
      <c r="B1153" s="2">
        <v>-12.3</v>
      </c>
      <c r="C1153" s="2">
        <v>-11.9</v>
      </c>
      <c r="D1153" s="2">
        <v>-10</v>
      </c>
      <c r="E1153" s="2">
        <v>-11.3</v>
      </c>
      <c r="F1153" s="2">
        <v>-13.5</v>
      </c>
      <c r="G1153" s="2">
        <v>-12</v>
      </c>
      <c r="H1153" s="2">
        <f>AVERAGE(weather.tbl[[#This Row],[Estevan]:[Kipling]])</f>
        <v>-11.833333333333334</v>
      </c>
      <c r="I1153" s="2">
        <f>_xlfn.STDEV.S(weather.tbl[[#This Row],[Estevan]:[Kipling]])</f>
        <v>1.1552777443829976</v>
      </c>
      <c r="J1153" s="2">
        <f t="shared" si="17"/>
        <v>-3.1214285714285714</v>
      </c>
      <c r="K1153">
        <f>DAY(weather.tbl[[#This Row],[Date]])</f>
        <v>25</v>
      </c>
      <c r="L1153">
        <f>MONTH(weather.tbl[[#This Row],[Date]])</f>
        <v>2</v>
      </c>
      <c r="M1153">
        <f>YEAR(weather.tbl[[#This Row],[Date]])</f>
        <v>2017</v>
      </c>
    </row>
    <row r="1154" spans="1:13" x14ac:dyDescent="0.25">
      <c r="A1154" s="1">
        <v>42792</v>
      </c>
      <c r="B1154" s="2">
        <v>-12.6</v>
      </c>
      <c r="C1154" s="2">
        <v>-10.4</v>
      </c>
      <c r="D1154" s="2">
        <v>-12.3</v>
      </c>
      <c r="E1154" s="2">
        <v>-9.4</v>
      </c>
      <c r="F1154" s="2">
        <v>-14.5</v>
      </c>
      <c r="G1154" s="2">
        <v>-12.3</v>
      </c>
      <c r="H1154" s="2">
        <f>AVERAGE(weather.tbl[[#This Row],[Estevan]:[Kipling]])</f>
        <v>-11.916666666666666</v>
      </c>
      <c r="I1154" s="2">
        <f>_xlfn.STDEV.S(weather.tbl[[#This Row],[Estevan]:[Kipling]])</f>
        <v>1.7926702615558443</v>
      </c>
      <c r="J1154" s="2">
        <f t="shared" si="17"/>
        <v>-4.7952380952380951</v>
      </c>
      <c r="K1154">
        <f>DAY(weather.tbl[[#This Row],[Date]])</f>
        <v>26</v>
      </c>
      <c r="L1154">
        <f>MONTH(weather.tbl[[#This Row],[Date]])</f>
        <v>2</v>
      </c>
      <c r="M1154">
        <f>YEAR(weather.tbl[[#This Row],[Date]])</f>
        <v>2017</v>
      </c>
    </row>
    <row r="1155" spans="1:13" x14ac:dyDescent="0.25">
      <c r="A1155" s="1">
        <v>42793</v>
      </c>
      <c r="B1155" s="2">
        <v>-14.4</v>
      </c>
      <c r="C1155" s="2">
        <v>-15.2</v>
      </c>
      <c r="D1155" s="2">
        <v>-14</v>
      </c>
      <c r="E1155" s="2">
        <v>-14.3</v>
      </c>
      <c r="F1155" s="2">
        <v>-15.3</v>
      </c>
      <c r="G1155" s="2">
        <v>-16.3</v>
      </c>
      <c r="H1155" s="2">
        <f>AVERAGE(weather.tbl[[#This Row],[Estevan]:[Kipling]])</f>
        <v>-14.916666666666666</v>
      </c>
      <c r="I1155" s="2">
        <f>_xlfn.STDEV.S(weather.tbl[[#This Row],[Estevan]:[Kipling]])</f>
        <v>0.85186070848858075</v>
      </c>
      <c r="J1155" s="2">
        <f t="shared" si="17"/>
        <v>-7.1928571428571422</v>
      </c>
      <c r="K1155">
        <f>DAY(weather.tbl[[#This Row],[Date]])</f>
        <v>27</v>
      </c>
      <c r="L1155">
        <f>MONTH(weather.tbl[[#This Row],[Date]])</f>
        <v>2</v>
      </c>
      <c r="M1155">
        <f>YEAR(weather.tbl[[#This Row],[Date]])</f>
        <v>2017</v>
      </c>
    </row>
    <row r="1156" spans="1:13" x14ac:dyDescent="0.25">
      <c r="A1156" s="1">
        <v>42794</v>
      </c>
      <c r="B1156" s="2">
        <v>-14.4</v>
      </c>
      <c r="C1156" s="2">
        <v>-12.6</v>
      </c>
      <c r="D1156" s="2">
        <v>-17</v>
      </c>
      <c r="E1156" s="2">
        <v>-11.7</v>
      </c>
      <c r="F1156" s="2">
        <v>-16.600000000000001</v>
      </c>
      <c r="G1156" s="2">
        <v>-14</v>
      </c>
      <c r="H1156" s="2">
        <f>AVERAGE(weather.tbl[[#This Row],[Estevan]:[Kipling]])</f>
        <v>-14.383333333333335</v>
      </c>
      <c r="I1156" s="2">
        <f>_xlfn.STDEV.S(weather.tbl[[#This Row],[Estevan]:[Kipling]])</f>
        <v>2.1113187032436946</v>
      </c>
      <c r="J1156" s="2">
        <f t="shared" si="17"/>
        <v>-9.2404761904761905</v>
      </c>
      <c r="K1156">
        <f>DAY(weather.tbl[[#This Row],[Date]])</f>
        <v>28</v>
      </c>
      <c r="L1156">
        <f>MONTH(weather.tbl[[#This Row],[Date]])</f>
        <v>2</v>
      </c>
      <c r="M1156">
        <f>YEAR(weather.tbl[[#This Row],[Date]])</f>
        <v>2017</v>
      </c>
    </row>
    <row r="1157" spans="1:13" x14ac:dyDescent="0.25">
      <c r="A1157" s="1">
        <v>42795</v>
      </c>
      <c r="B1157" s="2">
        <v>-12.5</v>
      </c>
      <c r="C1157" s="2">
        <v>-11.6</v>
      </c>
      <c r="D1157" s="2">
        <v>-14</v>
      </c>
      <c r="E1157" s="2">
        <v>-10.9</v>
      </c>
      <c r="F1157" s="2">
        <v>-13.9</v>
      </c>
      <c r="G1157" s="2">
        <v>-13.5</v>
      </c>
      <c r="H1157" s="2">
        <f>AVERAGE(weather.tbl[[#This Row],[Estevan]:[Kipling]])</f>
        <v>-12.733333333333334</v>
      </c>
      <c r="I1157" s="2">
        <f>_xlfn.STDEV.S(weather.tbl[[#This Row],[Estevan]:[Kipling]])</f>
        <v>1.2847827313077751</v>
      </c>
      <c r="J1157" s="2">
        <f t="shared" si="17"/>
        <v>-10.938095238095238</v>
      </c>
      <c r="K1157">
        <f>DAY(weather.tbl[[#This Row],[Date]])</f>
        <v>1</v>
      </c>
      <c r="L1157">
        <f>MONTH(weather.tbl[[#This Row],[Date]])</f>
        <v>3</v>
      </c>
      <c r="M1157">
        <f>YEAR(weather.tbl[[#This Row],[Date]])</f>
        <v>2017</v>
      </c>
    </row>
    <row r="1158" spans="1:13" x14ac:dyDescent="0.25">
      <c r="A1158" s="1">
        <v>42796</v>
      </c>
      <c r="B1158" s="2">
        <v>-13.4</v>
      </c>
      <c r="C1158" s="2">
        <v>-12.8</v>
      </c>
      <c r="D1158" s="2">
        <v>-14</v>
      </c>
      <c r="E1158" s="2">
        <v>-12.5</v>
      </c>
      <c r="F1158" s="2">
        <v>-18</v>
      </c>
      <c r="G1158" s="2">
        <v>-13.8</v>
      </c>
      <c r="H1158" s="2">
        <f>AVERAGE(weather.tbl[[#This Row],[Estevan]:[Kipling]])</f>
        <v>-14.083333333333334</v>
      </c>
      <c r="I1158" s="2">
        <f>_xlfn.STDEV.S(weather.tbl[[#This Row],[Estevan]:[Kipling]])</f>
        <v>2.002415208358816</v>
      </c>
      <c r="J1158" s="2">
        <f t="shared" si="17"/>
        <v>-12.366666666666665</v>
      </c>
      <c r="K1158">
        <f>DAY(weather.tbl[[#This Row],[Date]])</f>
        <v>2</v>
      </c>
      <c r="L1158">
        <f>MONTH(weather.tbl[[#This Row],[Date]])</f>
        <v>3</v>
      </c>
      <c r="M1158">
        <f>YEAR(weather.tbl[[#This Row],[Date]])</f>
        <v>2017</v>
      </c>
    </row>
    <row r="1159" spans="1:13" x14ac:dyDescent="0.25">
      <c r="A1159" s="1">
        <v>42797</v>
      </c>
      <c r="B1159" s="2">
        <v>-6.2</v>
      </c>
      <c r="C1159" s="2">
        <v>-6.2</v>
      </c>
      <c r="D1159" s="2">
        <v>-12.3</v>
      </c>
      <c r="E1159" s="2">
        <v>-3.4</v>
      </c>
      <c r="F1159" s="2">
        <v>-9.1</v>
      </c>
      <c r="G1159" s="2">
        <v>-7.3</v>
      </c>
      <c r="H1159" s="2">
        <f>AVERAGE(weather.tbl[[#This Row],[Estevan]:[Kipling]])</f>
        <v>-7.416666666666667</v>
      </c>
      <c r="I1159" s="2">
        <f>_xlfn.STDEV.S(weather.tbl[[#This Row],[Estevan]:[Kipling]])</f>
        <v>3.0261636880160121</v>
      </c>
      <c r="J1159" s="2">
        <f t="shared" si="17"/>
        <v>-12.469047619047618</v>
      </c>
      <c r="K1159">
        <f>DAY(weather.tbl[[#This Row],[Date]])</f>
        <v>3</v>
      </c>
      <c r="L1159">
        <f>MONTH(weather.tbl[[#This Row],[Date]])</f>
        <v>3</v>
      </c>
      <c r="M1159">
        <f>YEAR(weather.tbl[[#This Row],[Date]])</f>
        <v>2017</v>
      </c>
    </row>
    <row r="1160" spans="1:13" x14ac:dyDescent="0.25">
      <c r="A1160" s="1">
        <v>42798</v>
      </c>
      <c r="B1160" s="2">
        <v>0.3</v>
      </c>
      <c r="C1160" s="2">
        <v>0.1</v>
      </c>
      <c r="D1160" s="2">
        <v>-3.8</v>
      </c>
      <c r="E1160" s="2">
        <v>1.5</v>
      </c>
      <c r="F1160" s="2">
        <v>-1.3</v>
      </c>
      <c r="G1160" s="2">
        <v>0.5</v>
      </c>
      <c r="H1160" s="2">
        <f>AVERAGE(weather.tbl[[#This Row],[Estevan]:[Kipling]])</f>
        <v>-0.45</v>
      </c>
      <c r="I1160" s="2">
        <f>_xlfn.STDEV.S(weather.tbl[[#This Row],[Estevan]:[Kipling]])</f>
        <v>1.8716303053755035</v>
      </c>
      <c r="J1160" s="2">
        <f t="shared" si="17"/>
        <v>-10.842857142857143</v>
      </c>
      <c r="K1160">
        <f>DAY(weather.tbl[[#This Row],[Date]])</f>
        <v>4</v>
      </c>
      <c r="L1160">
        <f>MONTH(weather.tbl[[#This Row],[Date]])</f>
        <v>3</v>
      </c>
      <c r="M1160">
        <f>YEAR(weather.tbl[[#This Row],[Date]])</f>
        <v>2017</v>
      </c>
    </row>
    <row r="1161" spans="1:13" x14ac:dyDescent="0.25">
      <c r="A1161" s="1">
        <v>42799</v>
      </c>
      <c r="B1161" s="2">
        <v>0.8</v>
      </c>
      <c r="C1161" s="2">
        <v>-0.5</v>
      </c>
      <c r="D1161" s="2">
        <v>-1.8</v>
      </c>
      <c r="E1161" s="2">
        <v>1.1000000000000001</v>
      </c>
      <c r="F1161" s="2">
        <v>-0.7</v>
      </c>
      <c r="G1161" s="2">
        <v>0.8</v>
      </c>
      <c r="H1161" s="2">
        <f>AVERAGE(weather.tbl[[#This Row],[Estevan]:[Kipling]])</f>
        <v>-4.9999999999999968E-2</v>
      </c>
      <c r="I1161" s="2">
        <f>_xlfn.STDEV.S(weather.tbl[[#This Row],[Estevan]:[Kipling]])</f>
        <v>1.136221809331259</v>
      </c>
      <c r="J1161" s="2">
        <f t="shared" si="17"/>
        <v>-9.1476190476190471</v>
      </c>
      <c r="K1161">
        <f>DAY(weather.tbl[[#This Row],[Date]])</f>
        <v>5</v>
      </c>
      <c r="L1161">
        <f>MONTH(weather.tbl[[#This Row],[Date]])</f>
        <v>3</v>
      </c>
      <c r="M1161">
        <f>YEAR(weather.tbl[[#This Row],[Date]])</f>
        <v>2017</v>
      </c>
    </row>
    <row r="1162" spans="1:13" x14ac:dyDescent="0.25">
      <c r="A1162" s="1">
        <v>42800</v>
      </c>
      <c r="B1162" s="2">
        <v>-5.6</v>
      </c>
      <c r="C1162" s="2">
        <v>-6.4</v>
      </c>
      <c r="D1162" s="2">
        <v>-7.8</v>
      </c>
      <c r="E1162" s="2">
        <v>-8</v>
      </c>
      <c r="F1162" s="2">
        <v>-5.6</v>
      </c>
      <c r="G1162" s="2">
        <v>-9.8000000000000007</v>
      </c>
      <c r="H1162" s="2">
        <f>AVERAGE(weather.tbl[[#This Row],[Estevan]:[Kipling]])</f>
        <v>-7.2</v>
      </c>
      <c r="I1162" s="2">
        <f>_xlfn.STDEV.S(weather.tbl[[#This Row],[Estevan]:[Kipling]])</f>
        <v>1.644384383287556</v>
      </c>
      <c r="J1162" s="2">
        <f t="shared" ref="J1162:J1225" si="18">AVERAGE(H1156:H1162)</f>
        <v>-8.045238095238096</v>
      </c>
      <c r="K1162">
        <f>DAY(weather.tbl[[#This Row],[Date]])</f>
        <v>6</v>
      </c>
      <c r="L1162">
        <f>MONTH(weather.tbl[[#This Row],[Date]])</f>
        <v>3</v>
      </c>
      <c r="M1162">
        <f>YEAR(weather.tbl[[#This Row],[Date]])</f>
        <v>2017</v>
      </c>
    </row>
    <row r="1163" spans="1:13" x14ac:dyDescent="0.25">
      <c r="A1163" s="1">
        <v>42801</v>
      </c>
      <c r="B1163" s="2">
        <v>-12.1</v>
      </c>
      <c r="C1163" s="2">
        <v>-12.2</v>
      </c>
      <c r="D1163" s="2">
        <v>-13</v>
      </c>
      <c r="E1163" s="2">
        <v>-12</v>
      </c>
      <c r="F1163" s="2">
        <v>-12.1</v>
      </c>
      <c r="G1163" s="2">
        <v>-14</v>
      </c>
      <c r="H1163" s="2">
        <f>AVERAGE(weather.tbl[[#This Row],[Estevan]:[Kipling]])</f>
        <v>-12.566666666666668</v>
      </c>
      <c r="I1163" s="2">
        <f>_xlfn.STDEV.S(weather.tbl[[#This Row],[Estevan]:[Kipling]])</f>
        <v>0.79162280580252797</v>
      </c>
      <c r="J1163" s="2">
        <f t="shared" si="18"/>
        <v>-7.7857142857142865</v>
      </c>
      <c r="K1163">
        <f>DAY(weather.tbl[[#This Row],[Date]])</f>
        <v>7</v>
      </c>
      <c r="L1163">
        <f>MONTH(weather.tbl[[#This Row],[Date]])</f>
        <v>3</v>
      </c>
      <c r="M1163">
        <f>YEAR(weather.tbl[[#This Row],[Date]])</f>
        <v>2017</v>
      </c>
    </row>
    <row r="1164" spans="1:13" x14ac:dyDescent="0.25">
      <c r="A1164" s="1">
        <v>42802</v>
      </c>
      <c r="B1164" s="2">
        <v>-14.3</v>
      </c>
      <c r="C1164" s="2">
        <v>-14.3</v>
      </c>
      <c r="D1164" s="2">
        <v>-14</v>
      </c>
      <c r="E1164" s="2">
        <v>-13.9</v>
      </c>
      <c r="F1164" s="2">
        <v>-12.8</v>
      </c>
      <c r="G1164" s="2">
        <v>-15.3</v>
      </c>
      <c r="H1164" s="2">
        <f>AVERAGE(weather.tbl[[#This Row],[Estevan]:[Kipling]])</f>
        <v>-14.1</v>
      </c>
      <c r="I1164" s="2">
        <f>_xlfn.STDEV.S(weather.tbl[[#This Row],[Estevan]:[Kipling]])</f>
        <v>0.80746516952745406</v>
      </c>
      <c r="J1164" s="2">
        <f t="shared" si="18"/>
        <v>-7.980952380952381</v>
      </c>
      <c r="K1164">
        <f>DAY(weather.tbl[[#This Row],[Date]])</f>
        <v>8</v>
      </c>
      <c r="L1164">
        <f>MONTH(weather.tbl[[#This Row],[Date]])</f>
        <v>3</v>
      </c>
      <c r="M1164">
        <f>YEAR(weather.tbl[[#This Row],[Date]])</f>
        <v>2017</v>
      </c>
    </row>
    <row r="1165" spans="1:13" x14ac:dyDescent="0.25">
      <c r="A1165" s="1">
        <v>42803</v>
      </c>
      <c r="B1165" s="2">
        <v>-19</v>
      </c>
      <c r="C1165" s="2">
        <v>-18.899999999999999</v>
      </c>
      <c r="D1165" s="2">
        <v>-18</v>
      </c>
      <c r="E1165" s="2">
        <v>-18.2</v>
      </c>
      <c r="F1165" s="2">
        <v>-21.2</v>
      </c>
      <c r="G1165" s="2">
        <v>-19.3</v>
      </c>
      <c r="H1165" s="2">
        <f>AVERAGE(weather.tbl[[#This Row],[Estevan]:[Kipling]])</f>
        <v>-19.099999999999998</v>
      </c>
      <c r="I1165" s="2">
        <f>_xlfn.STDEV.S(weather.tbl[[#This Row],[Estevan]:[Kipling]])</f>
        <v>1.1419281938896158</v>
      </c>
      <c r="J1165" s="2">
        <f t="shared" si="18"/>
        <v>-8.6976190476190478</v>
      </c>
      <c r="K1165">
        <f>DAY(weather.tbl[[#This Row],[Date]])</f>
        <v>9</v>
      </c>
      <c r="L1165">
        <f>MONTH(weather.tbl[[#This Row],[Date]])</f>
        <v>3</v>
      </c>
      <c r="M1165">
        <f>YEAR(weather.tbl[[#This Row],[Date]])</f>
        <v>2017</v>
      </c>
    </row>
    <row r="1166" spans="1:13" x14ac:dyDescent="0.25">
      <c r="A1166" s="1">
        <v>42804</v>
      </c>
      <c r="B1166" s="2">
        <v>-20.8</v>
      </c>
      <c r="C1166" s="2">
        <v>-20.5</v>
      </c>
      <c r="D1166" s="2">
        <v>-22</v>
      </c>
      <c r="E1166" s="2">
        <v>-19.600000000000001</v>
      </c>
      <c r="F1166" s="2">
        <v>-23.3</v>
      </c>
      <c r="G1166" s="2">
        <v>-21.5</v>
      </c>
      <c r="H1166" s="2">
        <f>AVERAGE(weather.tbl[[#This Row],[Estevan]:[Kipling]])</f>
        <v>-21.283333333333335</v>
      </c>
      <c r="I1166" s="2">
        <f>_xlfn.STDEV.S(weather.tbl[[#This Row],[Estevan]:[Kipling]])</f>
        <v>1.2890565025113006</v>
      </c>
      <c r="J1166" s="2">
        <f t="shared" si="18"/>
        <v>-10.678571428571429</v>
      </c>
      <c r="K1166">
        <f>DAY(weather.tbl[[#This Row],[Date]])</f>
        <v>10</v>
      </c>
      <c r="L1166">
        <f>MONTH(weather.tbl[[#This Row],[Date]])</f>
        <v>3</v>
      </c>
      <c r="M1166">
        <f>YEAR(weather.tbl[[#This Row],[Date]])</f>
        <v>2017</v>
      </c>
    </row>
    <row r="1167" spans="1:13" x14ac:dyDescent="0.25">
      <c r="A1167" s="1">
        <v>42805</v>
      </c>
      <c r="B1167" s="2">
        <v>-17.7</v>
      </c>
      <c r="C1167" s="2">
        <v>-18.100000000000001</v>
      </c>
      <c r="D1167" s="2">
        <v>-18.5</v>
      </c>
      <c r="E1167" s="2">
        <v>-17.600000000000001</v>
      </c>
      <c r="F1167" s="2">
        <v>-18.100000000000001</v>
      </c>
      <c r="G1167" s="2">
        <v>-18</v>
      </c>
      <c r="H1167" s="2">
        <f>AVERAGE(weather.tbl[[#This Row],[Estevan]:[Kipling]])</f>
        <v>-18</v>
      </c>
      <c r="I1167" s="2">
        <f>_xlfn.STDEV.S(weather.tbl[[#This Row],[Estevan]:[Kipling]])</f>
        <v>0.32249030993194189</v>
      </c>
      <c r="J1167" s="2">
        <f t="shared" si="18"/>
        <v>-13.185714285714285</v>
      </c>
      <c r="K1167">
        <f>DAY(weather.tbl[[#This Row],[Date]])</f>
        <v>11</v>
      </c>
      <c r="L1167">
        <f>MONTH(weather.tbl[[#This Row],[Date]])</f>
        <v>3</v>
      </c>
      <c r="M1167">
        <f>YEAR(weather.tbl[[#This Row],[Date]])</f>
        <v>2017</v>
      </c>
    </row>
    <row r="1168" spans="1:13" x14ac:dyDescent="0.25">
      <c r="A1168" s="1">
        <v>42806</v>
      </c>
      <c r="B1168" s="2">
        <v>-17.3</v>
      </c>
      <c r="C1168" s="2">
        <v>-17.3</v>
      </c>
      <c r="D1168" s="2">
        <v>-17</v>
      </c>
      <c r="E1168" s="2">
        <v>-16.8</v>
      </c>
      <c r="F1168" s="2">
        <v>-18.899999999999999</v>
      </c>
      <c r="G1168" s="2">
        <v>-16</v>
      </c>
      <c r="H1168" s="2">
        <f>AVERAGE(weather.tbl[[#This Row],[Estevan]:[Kipling]])</f>
        <v>-17.216666666666669</v>
      </c>
      <c r="I1168" s="2">
        <f>_xlfn.STDEV.S(weather.tbl[[#This Row],[Estevan]:[Kipling]])</f>
        <v>0.95376447127509723</v>
      </c>
      <c r="J1168" s="2">
        <f t="shared" si="18"/>
        <v>-15.638095238095238</v>
      </c>
      <c r="K1168">
        <f>DAY(weather.tbl[[#This Row],[Date]])</f>
        <v>12</v>
      </c>
      <c r="L1168">
        <f>MONTH(weather.tbl[[#This Row],[Date]])</f>
        <v>3</v>
      </c>
      <c r="M1168">
        <f>YEAR(weather.tbl[[#This Row],[Date]])</f>
        <v>2017</v>
      </c>
    </row>
    <row r="1169" spans="1:13" x14ac:dyDescent="0.25">
      <c r="A1169" s="1">
        <v>42807</v>
      </c>
      <c r="B1169" s="2">
        <v>-17.399999999999999</v>
      </c>
      <c r="C1169" s="2">
        <v>-16.7</v>
      </c>
      <c r="D1169" s="2">
        <v>-17</v>
      </c>
      <c r="E1169" s="2">
        <v>-16.5</v>
      </c>
      <c r="F1169" s="2">
        <v>-20</v>
      </c>
      <c r="G1169" s="2">
        <v>-17.8</v>
      </c>
      <c r="H1169" s="2">
        <f>AVERAGE(weather.tbl[[#This Row],[Estevan]:[Kipling]])</f>
        <v>-17.566666666666666</v>
      </c>
      <c r="I1169" s="2">
        <f>_xlfn.STDEV.S(weather.tbl[[#This Row],[Estevan]:[Kipling]])</f>
        <v>1.2816655830077779</v>
      </c>
      <c r="J1169" s="2">
        <f t="shared" si="18"/>
        <v>-17.119047619047617</v>
      </c>
      <c r="K1169">
        <f>DAY(weather.tbl[[#This Row],[Date]])</f>
        <v>13</v>
      </c>
      <c r="L1169">
        <f>MONTH(weather.tbl[[#This Row],[Date]])</f>
        <v>3</v>
      </c>
      <c r="M1169">
        <f>YEAR(weather.tbl[[#This Row],[Date]])</f>
        <v>2017</v>
      </c>
    </row>
    <row r="1170" spans="1:13" x14ac:dyDescent="0.25">
      <c r="A1170" s="1">
        <v>42808</v>
      </c>
      <c r="B1170" s="2">
        <v>-8.4</v>
      </c>
      <c r="C1170" s="2">
        <v>-9</v>
      </c>
      <c r="D1170" s="2">
        <v>-11.3</v>
      </c>
      <c r="E1170" s="2">
        <v>-7.5</v>
      </c>
      <c r="F1170" s="2">
        <v>-9.6</v>
      </c>
      <c r="G1170" s="2">
        <v>-10.3</v>
      </c>
      <c r="H1170" s="2">
        <f>AVERAGE(weather.tbl[[#This Row],[Estevan]:[Kipling]])</f>
        <v>-9.3500000000000014</v>
      </c>
      <c r="I1170" s="2">
        <f>_xlfn.STDEV.S(weather.tbl[[#This Row],[Estevan]:[Kipling]])</f>
        <v>1.357571360923602</v>
      </c>
      <c r="J1170" s="2">
        <f t="shared" si="18"/>
        <v>-16.659523809523812</v>
      </c>
      <c r="K1170">
        <f>DAY(weather.tbl[[#This Row],[Date]])</f>
        <v>14</v>
      </c>
      <c r="L1170">
        <f>MONTH(weather.tbl[[#This Row],[Date]])</f>
        <v>3</v>
      </c>
      <c r="M1170">
        <f>YEAR(weather.tbl[[#This Row],[Date]])</f>
        <v>2017</v>
      </c>
    </row>
    <row r="1171" spans="1:13" x14ac:dyDescent="0.25">
      <c r="A1171" s="1">
        <v>42809</v>
      </c>
      <c r="B1171" s="2">
        <v>-3.5</v>
      </c>
      <c r="C1171" s="2">
        <v>-2.6</v>
      </c>
      <c r="D1171" s="2">
        <v>-5.3</v>
      </c>
      <c r="E1171" s="2">
        <v>-1.7</v>
      </c>
      <c r="F1171" s="2">
        <v>-4.3</v>
      </c>
      <c r="G1171" s="2">
        <v>-2.5</v>
      </c>
      <c r="H1171" s="2">
        <f>AVERAGE(weather.tbl[[#This Row],[Estevan]:[Kipling]])</f>
        <v>-3.3166666666666664</v>
      </c>
      <c r="I1171" s="2">
        <f>_xlfn.STDEV.S(weather.tbl[[#This Row],[Estevan]:[Kipling]])</f>
        <v>1.321236794320636</v>
      </c>
      <c r="J1171" s="2">
        <f t="shared" si="18"/>
        <v>-15.119047619047617</v>
      </c>
      <c r="K1171">
        <f>DAY(weather.tbl[[#This Row],[Date]])</f>
        <v>15</v>
      </c>
      <c r="L1171">
        <f>MONTH(weather.tbl[[#This Row],[Date]])</f>
        <v>3</v>
      </c>
      <c r="M1171">
        <f>YEAR(weather.tbl[[#This Row],[Date]])</f>
        <v>2017</v>
      </c>
    </row>
    <row r="1172" spans="1:13" x14ac:dyDescent="0.25">
      <c r="A1172" s="1">
        <v>42810</v>
      </c>
      <c r="B1172" s="2">
        <v>1.1000000000000001</v>
      </c>
      <c r="C1172" s="2">
        <v>2.9</v>
      </c>
      <c r="D1172" s="2">
        <v>-0.8</v>
      </c>
      <c r="E1172" s="2">
        <v>4</v>
      </c>
      <c r="F1172" s="2">
        <v>-0.5</v>
      </c>
      <c r="G1172" s="2">
        <v>2.2999999999999998</v>
      </c>
      <c r="H1172" s="2">
        <f>AVERAGE(weather.tbl[[#This Row],[Estevan]:[Kipling]])</f>
        <v>1.5</v>
      </c>
      <c r="I1172" s="2">
        <f>_xlfn.STDEV.S(weather.tbl[[#This Row],[Estevan]:[Kipling]])</f>
        <v>1.9131126469708992</v>
      </c>
      <c r="J1172" s="2">
        <f t="shared" si="18"/>
        <v>-12.176190476190474</v>
      </c>
      <c r="K1172">
        <f>DAY(weather.tbl[[#This Row],[Date]])</f>
        <v>16</v>
      </c>
      <c r="L1172">
        <f>MONTH(weather.tbl[[#This Row],[Date]])</f>
        <v>3</v>
      </c>
      <c r="M1172">
        <f>YEAR(weather.tbl[[#This Row],[Date]])</f>
        <v>2017</v>
      </c>
    </row>
    <row r="1173" spans="1:13" x14ac:dyDescent="0.25">
      <c r="A1173" s="1">
        <v>42811</v>
      </c>
      <c r="B1173" s="2">
        <v>-2.6</v>
      </c>
      <c r="C1173" s="2">
        <v>-1.3</v>
      </c>
      <c r="D1173" s="2">
        <v>-0.8</v>
      </c>
      <c r="E1173" s="2">
        <v>0.2</v>
      </c>
      <c r="F1173" s="2">
        <v>-3.4</v>
      </c>
      <c r="G1173" s="2">
        <v>-2.2999999999999998</v>
      </c>
      <c r="H1173" s="2">
        <f>AVERAGE(weather.tbl[[#This Row],[Estevan]:[Kipling]])</f>
        <v>-1.7</v>
      </c>
      <c r="I1173" s="2">
        <f>_xlfn.STDEV.S(weather.tbl[[#This Row],[Estevan]:[Kipling]])</f>
        <v>1.3145341380123985</v>
      </c>
      <c r="J1173" s="2">
        <f t="shared" si="18"/>
        <v>-9.3785714285714299</v>
      </c>
      <c r="K1173">
        <f>DAY(weather.tbl[[#This Row],[Date]])</f>
        <v>17</v>
      </c>
      <c r="L1173">
        <f>MONTH(weather.tbl[[#This Row],[Date]])</f>
        <v>3</v>
      </c>
      <c r="M1173">
        <f>YEAR(weather.tbl[[#This Row],[Date]])</f>
        <v>2017</v>
      </c>
    </row>
    <row r="1174" spans="1:13" x14ac:dyDescent="0.25">
      <c r="A1174" s="1">
        <v>42812</v>
      </c>
      <c r="B1174" s="2">
        <v>-0.7</v>
      </c>
      <c r="C1174" s="2">
        <v>-0.3</v>
      </c>
      <c r="D1174" s="2">
        <v>-2.8</v>
      </c>
      <c r="E1174" s="2">
        <v>2.2000000000000002</v>
      </c>
      <c r="F1174" s="2">
        <v>-4.7</v>
      </c>
      <c r="G1174" s="2">
        <v>0</v>
      </c>
      <c r="H1174" s="2">
        <f>AVERAGE(weather.tbl[[#This Row],[Estevan]:[Kipling]])</f>
        <v>-1.05</v>
      </c>
      <c r="I1174" s="2">
        <f>_xlfn.STDEV.S(weather.tbl[[#This Row],[Estevan]:[Kipling]])</f>
        <v>2.3972901368002999</v>
      </c>
      <c r="J1174" s="2">
        <f t="shared" si="18"/>
        <v>-6.9571428571428573</v>
      </c>
      <c r="K1174">
        <f>DAY(weather.tbl[[#This Row],[Date]])</f>
        <v>18</v>
      </c>
      <c r="L1174">
        <f>MONTH(weather.tbl[[#This Row],[Date]])</f>
        <v>3</v>
      </c>
      <c r="M1174">
        <f>YEAR(weather.tbl[[#This Row],[Date]])</f>
        <v>2017</v>
      </c>
    </row>
    <row r="1175" spans="1:13" x14ac:dyDescent="0.25">
      <c r="A1175" s="1">
        <v>42813</v>
      </c>
      <c r="B1175" s="2">
        <v>1.8</v>
      </c>
      <c r="C1175" s="2">
        <v>4.0999999999999996</v>
      </c>
      <c r="D1175" s="2">
        <v>2</v>
      </c>
      <c r="E1175" s="2">
        <v>3.7</v>
      </c>
      <c r="F1175" s="2">
        <v>1.7</v>
      </c>
      <c r="G1175" s="2">
        <v>3.8</v>
      </c>
      <c r="H1175" s="2">
        <f>AVERAGE(weather.tbl[[#This Row],[Estevan]:[Kipling]])</f>
        <v>2.8499999999999996</v>
      </c>
      <c r="I1175" s="2">
        <f>_xlfn.STDEV.S(weather.tbl[[#This Row],[Estevan]:[Kipling]])</f>
        <v>1.1256109452204175</v>
      </c>
      <c r="J1175" s="2">
        <f t="shared" si="18"/>
        <v>-4.0904761904761902</v>
      </c>
      <c r="K1175">
        <f>DAY(weather.tbl[[#This Row],[Date]])</f>
        <v>19</v>
      </c>
      <c r="L1175">
        <f>MONTH(weather.tbl[[#This Row],[Date]])</f>
        <v>3</v>
      </c>
      <c r="M1175">
        <f>YEAR(weather.tbl[[#This Row],[Date]])</f>
        <v>2017</v>
      </c>
    </row>
    <row r="1176" spans="1:13" x14ac:dyDescent="0.25">
      <c r="A1176" s="1">
        <v>42814</v>
      </c>
      <c r="B1176" s="2">
        <v>-3.3</v>
      </c>
      <c r="C1176" s="2">
        <v>-2.4</v>
      </c>
      <c r="D1176" s="2">
        <v>-2</v>
      </c>
      <c r="E1176" s="2">
        <v>-2.1</v>
      </c>
      <c r="F1176" s="2">
        <v>-3.9</v>
      </c>
      <c r="G1176" s="2">
        <v>-2</v>
      </c>
      <c r="H1176" s="2">
        <f>AVERAGE(weather.tbl[[#This Row],[Estevan]:[Kipling]])</f>
        <v>-2.6166666666666667</v>
      </c>
      <c r="I1176" s="2">
        <f>_xlfn.STDEV.S(weather.tbl[[#This Row],[Estevan]:[Kipling]])</f>
        <v>0.79854033502802257</v>
      </c>
      <c r="J1176" s="2">
        <f t="shared" si="18"/>
        <v>-1.9547619047619051</v>
      </c>
      <c r="K1176">
        <f>DAY(weather.tbl[[#This Row],[Date]])</f>
        <v>20</v>
      </c>
      <c r="L1176">
        <f>MONTH(weather.tbl[[#This Row],[Date]])</f>
        <v>3</v>
      </c>
      <c r="M1176">
        <f>YEAR(weather.tbl[[#This Row],[Date]])</f>
        <v>2017</v>
      </c>
    </row>
    <row r="1177" spans="1:13" x14ac:dyDescent="0.25">
      <c r="A1177" s="1">
        <v>42815</v>
      </c>
      <c r="B1177" s="2">
        <v>-9.3000000000000007</v>
      </c>
      <c r="C1177" s="2">
        <v>-8.1999999999999993</v>
      </c>
      <c r="D1177" s="2">
        <v>-11.8</v>
      </c>
      <c r="E1177" s="2">
        <v>-6.8</v>
      </c>
      <c r="F1177" s="2">
        <v>-12.8</v>
      </c>
      <c r="G1177" s="2">
        <v>-10</v>
      </c>
      <c r="H1177" s="2">
        <f>AVERAGE(weather.tbl[[#This Row],[Estevan]:[Kipling]])</f>
        <v>-9.8166666666666682</v>
      </c>
      <c r="I1177" s="2">
        <f>_xlfn.STDEV.S(weather.tbl[[#This Row],[Estevan]:[Kipling]])</f>
        <v>2.2292749194898938</v>
      </c>
      <c r="J1177" s="2">
        <f t="shared" si="18"/>
        <v>-2.0214285714285718</v>
      </c>
      <c r="K1177">
        <f>DAY(weather.tbl[[#This Row],[Date]])</f>
        <v>21</v>
      </c>
      <c r="L1177">
        <f>MONTH(weather.tbl[[#This Row],[Date]])</f>
        <v>3</v>
      </c>
      <c r="M1177">
        <f>YEAR(weather.tbl[[#This Row],[Date]])</f>
        <v>2017</v>
      </c>
    </row>
    <row r="1178" spans="1:13" x14ac:dyDescent="0.25">
      <c r="A1178" s="1">
        <v>42816</v>
      </c>
      <c r="B1178" s="2">
        <v>-2.9</v>
      </c>
      <c r="C1178" s="2">
        <v>-2.6</v>
      </c>
      <c r="D1178" s="2">
        <v>-11.8</v>
      </c>
      <c r="E1178" s="2">
        <v>-1.2</v>
      </c>
      <c r="F1178" s="2">
        <v>-6.2</v>
      </c>
      <c r="G1178" s="2">
        <v>-4.5</v>
      </c>
      <c r="H1178" s="2">
        <f>AVERAGE(weather.tbl[[#This Row],[Estevan]:[Kipling]])</f>
        <v>-4.8666666666666663</v>
      </c>
      <c r="I1178" s="2">
        <f>_xlfn.STDEV.S(weather.tbl[[#This Row],[Estevan]:[Kipling]])</f>
        <v>3.8061353978368495</v>
      </c>
      <c r="J1178" s="2">
        <f t="shared" si="18"/>
        <v>-2.2428571428571433</v>
      </c>
      <c r="K1178">
        <f>DAY(weather.tbl[[#This Row],[Date]])</f>
        <v>22</v>
      </c>
      <c r="L1178">
        <f>MONTH(weather.tbl[[#This Row],[Date]])</f>
        <v>3</v>
      </c>
      <c r="M1178">
        <f>YEAR(weather.tbl[[#This Row],[Date]])</f>
        <v>2017</v>
      </c>
    </row>
    <row r="1179" spans="1:13" x14ac:dyDescent="0.25">
      <c r="A1179" s="1">
        <v>42817</v>
      </c>
      <c r="B1179" s="2">
        <v>0.3</v>
      </c>
      <c r="C1179" s="2">
        <v>1.7</v>
      </c>
      <c r="D1179" s="2">
        <v>-11.8</v>
      </c>
      <c r="E1179" s="2">
        <v>1.8</v>
      </c>
      <c r="F1179" s="2">
        <v>-1.4</v>
      </c>
      <c r="G1179" s="2">
        <v>2.2999999999999998</v>
      </c>
      <c r="H1179" s="2">
        <f>AVERAGE(weather.tbl[[#This Row],[Estevan]:[Kipling]])</f>
        <v>-1.1833333333333333</v>
      </c>
      <c r="I1179" s="2">
        <f>_xlfn.STDEV.S(weather.tbl[[#This Row],[Estevan]:[Kipling]])</f>
        <v>5.3723055261839558</v>
      </c>
      <c r="J1179" s="2">
        <f t="shared" si="18"/>
        <v>-2.6261904761904766</v>
      </c>
      <c r="K1179">
        <f>DAY(weather.tbl[[#This Row],[Date]])</f>
        <v>23</v>
      </c>
      <c r="L1179">
        <f>MONTH(weather.tbl[[#This Row],[Date]])</f>
        <v>3</v>
      </c>
      <c r="M1179">
        <f>YEAR(weather.tbl[[#This Row],[Date]])</f>
        <v>2017</v>
      </c>
    </row>
    <row r="1180" spans="1:13" x14ac:dyDescent="0.25">
      <c r="A1180" s="1">
        <v>42818</v>
      </c>
      <c r="B1180" s="2">
        <v>-0.1</v>
      </c>
      <c r="C1180" s="2">
        <v>0.3</v>
      </c>
      <c r="D1180" s="2">
        <v>-11.8</v>
      </c>
      <c r="E1180" s="2">
        <v>1.1000000000000001</v>
      </c>
      <c r="F1180" s="2">
        <v>-2.7</v>
      </c>
      <c r="G1180" s="2">
        <v>-0.5</v>
      </c>
      <c r="H1180" s="2">
        <f>AVERAGE(weather.tbl[[#This Row],[Estevan]:[Kipling]])</f>
        <v>-2.2833333333333337</v>
      </c>
      <c r="I1180" s="2">
        <f>_xlfn.STDEV.S(weather.tbl[[#This Row],[Estevan]:[Kipling]])</f>
        <v>4.8333908042560205</v>
      </c>
      <c r="J1180" s="2">
        <f t="shared" si="18"/>
        <v>-2.7095238095238097</v>
      </c>
      <c r="K1180">
        <f>DAY(weather.tbl[[#This Row],[Date]])</f>
        <v>24</v>
      </c>
      <c r="L1180">
        <f>MONTH(weather.tbl[[#This Row],[Date]])</f>
        <v>3</v>
      </c>
      <c r="M1180">
        <f>YEAR(weather.tbl[[#This Row],[Date]])</f>
        <v>2017</v>
      </c>
    </row>
    <row r="1181" spans="1:13" x14ac:dyDescent="0.25">
      <c r="A1181" s="1">
        <v>42819</v>
      </c>
      <c r="B1181" s="2">
        <v>6.4</v>
      </c>
      <c r="C1181" s="2">
        <v>7.7</v>
      </c>
      <c r="D1181" s="2">
        <v>3</v>
      </c>
      <c r="E1181" s="2">
        <v>8.1</v>
      </c>
      <c r="F1181" s="2">
        <v>0.7</v>
      </c>
      <c r="G1181" s="2">
        <v>5.3</v>
      </c>
      <c r="H1181" s="2">
        <f>AVERAGE(weather.tbl[[#This Row],[Estevan]:[Kipling]])</f>
        <v>5.2</v>
      </c>
      <c r="I1181" s="2">
        <f>_xlfn.STDEV.S(weather.tbl[[#This Row],[Estevan]:[Kipling]])</f>
        <v>2.8705400188814645</v>
      </c>
      <c r="J1181" s="2">
        <f t="shared" si="18"/>
        <v>-1.8166666666666675</v>
      </c>
      <c r="K1181">
        <f>DAY(weather.tbl[[#This Row],[Date]])</f>
        <v>25</v>
      </c>
      <c r="L1181">
        <f>MONTH(weather.tbl[[#This Row],[Date]])</f>
        <v>3</v>
      </c>
      <c r="M1181">
        <f>YEAR(weather.tbl[[#This Row],[Date]])</f>
        <v>2017</v>
      </c>
    </row>
    <row r="1182" spans="1:13" x14ac:dyDescent="0.25">
      <c r="A1182" s="1">
        <v>42820</v>
      </c>
      <c r="B1182" s="2">
        <v>7.2</v>
      </c>
      <c r="C1182" s="2">
        <v>5.8</v>
      </c>
      <c r="D1182" s="2">
        <v>3.3</v>
      </c>
      <c r="E1182" s="2">
        <v>5.3</v>
      </c>
      <c r="F1182" s="2">
        <v>2.6</v>
      </c>
      <c r="G1182" s="2">
        <v>6.8</v>
      </c>
      <c r="H1182" s="2">
        <f>AVERAGE(weather.tbl[[#This Row],[Estevan]:[Kipling]])</f>
        <v>5.166666666666667</v>
      </c>
      <c r="I1182" s="2">
        <f>_xlfn.STDEV.S(weather.tbl[[#This Row],[Estevan]:[Kipling]])</f>
        <v>1.8597490870186368</v>
      </c>
      <c r="J1182" s="2">
        <f t="shared" si="18"/>
        <v>-1.485714285714286</v>
      </c>
      <c r="K1182">
        <f>DAY(weather.tbl[[#This Row],[Date]])</f>
        <v>26</v>
      </c>
      <c r="L1182">
        <f>MONTH(weather.tbl[[#This Row],[Date]])</f>
        <v>3</v>
      </c>
      <c r="M1182">
        <f>YEAR(weather.tbl[[#This Row],[Date]])</f>
        <v>2017</v>
      </c>
    </row>
    <row r="1183" spans="1:13" x14ac:dyDescent="0.25">
      <c r="A1183" s="1">
        <v>42821</v>
      </c>
      <c r="B1183" s="2">
        <v>0.7</v>
      </c>
      <c r="C1183" s="2">
        <v>3</v>
      </c>
      <c r="D1183" s="2">
        <v>1.3</v>
      </c>
      <c r="E1183" s="2">
        <v>3.3</v>
      </c>
      <c r="F1183" s="2">
        <v>-0.3</v>
      </c>
      <c r="G1183" s="2">
        <v>0.8</v>
      </c>
      <c r="H1183" s="2">
        <f>AVERAGE(weather.tbl[[#This Row],[Estevan]:[Kipling]])</f>
        <v>1.4666666666666668</v>
      </c>
      <c r="I1183" s="2">
        <f>_xlfn.STDEV.S(weather.tbl[[#This Row],[Estevan]:[Kipling]])</f>
        <v>1.4066508687896462</v>
      </c>
      <c r="J1183" s="2">
        <f t="shared" si="18"/>
        <v>-0.90238095238095273</v>
      </c>
      <c r="K1183">
        <f>DAY(weather.tbl[[#This Row],[Date]])</f>
        <v>27</v>
      </c>
      <c r="L1183">
        <f>MONTH(weather.tbl[[#This Row],[Date]])</f>
        <v>3</v>
      </c>
      <c r="M1183">
        <f>YEAR(weather.tbl[[#This Row],[Date]])</f>
        <v>2017</v>
      </c>
    </row>
    <row r="1184" spans="1:13" x14ac:dyDescent="0.25">
      <c r="A1184" s="1">
        <v>42822</v>
      </c>
      <c r="B1184" s="2">
        <v>2</v>
      </c>
      <c r="C1184" s="2">
        <v>2.1</v>
      </c>
      <c r="D1184" s="2">
        <v>1.3</v>
      </c>
      <c r="E1184" s="2">
        <v>1.8</v>
      </c>
      <c r="F1184" s="2">
        <v>1</v>
      </c>
      <c r="G1184" s="2">
        <v>1.3</v>
      </c>
      <c r="H1184" s="2">
        <f>AVERAGE(weather.tbl[[#This Row],[Estevan]:[Kipling]])</f>
        <v>1.5833333333333333</v>
      </c>
      <c r="I1184" s="2">
        <f>_xlfn.STDEV.S(weather.tbl[[#This Row],[Estevan]:[Kipling]])</f>
        <v>0.44459719597256459</v>
      </c>
      <c r="J1184" s="2">
        <f t="shared" si="18"/>
        <v>0.72619047619047616</v>
      </c>
      <c r="K1184">
        <f>DAY(weather.tbl[[#This Row],[Date]])</f>
        <v>28</v>
      </c>
      <c r="L1184">
        <f>MONTH(weather.tbl[[#This Row],[Date]])</f>
        <v>3</v>
      </c>
      <c r="M1184">
        <f>YEAR(weather.tbl[[#This Row],[Date]])</f>
        <v>2017</v>
      </c>
    </row>
    <row r="1185" spans="1:13" x14ac:dyDescent="0.25">
      <c r="A1185" s="1">
        <v>42823</v>
      </c>
      <c r="B1185" s="2">
        <v>6.7</v>
      </c>
      <c r="C1185" s="2">
        <v>7.9</v>
      </c>
      <c r="D1185" s="2">
        <v>5.5</v>
      </c>
      <c r="E1185" s="2">
        <v>8.8000000000000007</v>
      </c>
      <c r="F1185" s="2">
        <v>4.7</v>
      </c>
      <c r="G1185" s="2">
        <v>7</v>
      </c>
      <c r="H1185" s="2">
        <f>AVERAGE(weather.tbl[[#This Row],[Estevan]:[Kipling]])</f>
        <v>6.7666666666666666</v>
      </c>
      <c r="I1185" s="2">
        <f>_xlfn.STDEV.S(weather.tbl[[#This Row],[Estevan]:[Kipling]])</f>
        <v>1.5068731421943489</v>
      </c>
      <c r="J1185" s="2">
        <f t="shared" si="18"/>
        <v>2.3880952380952385</v>
      </c>
      <c r="K1185">
        <f>DAY(weather.tbl[[#This Row],[Date]])</f>
        <v>29</v>
      </c>
      <c r="L1185">
        <f>MONTH(weather.tbl[[#This Row],[Date]])</f>
        <v>3</v>
      </c>
      <c r="M1185">
        <f>YEAR(weather.tbl[[#This Row],[Date]])</f>
        <v>2017</v>
      </c>
    </row>
    <row r="1186" spans="1:13" x14ac:dyDescent="0.25">
      <c r="A1186" s="1">
        <v>42824</v>
      </c>
      <c r="B1186" s="2">
        <v>9</v>
      </c>
      <c r="C1186" s="2">
        <v>10.199999999999999</v>
      </c>
      <c r="D1186" s="2">
        <v>5</v>
      </c>
      <c r="E1186" s="2">
        <v>10.199999999999999</v>
      </c>
      <c r="F1186" s="2">
        <v>5.9</v>
      </c>
      <c r="G1186" s="2">
        <v>9.3000000000000007</v>
      </c>
      <c r="H1186" s="2">
        <f>AVERAGE(weather.tbl[[#This Row],[Estevan]:[Kipling]])</f>
        <v>8.2666666666666657</v>
      </c>
      <c r="I1186" s="2">
        <f>_xlfn.STDEV.S(weather.tbl[[#This Row],[Estevan]:[Kipling]])</f>
        <v>2.2518140835039384</v>
      </c>
      <c r="J1186" s="2">
        <f t="shared" si="18"/>
        <v>3.7380952380952381</v>
      </c>
      <c r="K1186">
        <f>DAY(weather.tbl[[#This Row],[Date]])</f>
        <v>30</v>
      </c>
      <c r="L1186">
        <f>MONTH(weather.tbl[[#This Row],[Date]])</f>
        <v>3</v>
      </c>
      <c r="M1186">
        <f>YEAR(weather.tbl[[#This Row],[Date]])</f>
        <v>2017</v>
      </c>
    </row>
    <row r="1187" spans="1:13" x14ac:dyDescent="0.25">
      <c r="A1187" s="1">
        <v>42825</v>
      </c>
      <c r="B1187" s="2">
        <v>2.6</v>
      </c>
      <c r="C1187" s="2">
        <v>3.6</v>
      </c>
      <c r="D1187" s="2">
        <v>1.5</v>
      </c>
      <c r="E1187" s="2">
        <v>2.5</v>
      </c>
      <c r="F1187" s="2">
        <v>2.2999999999999998</v>
      </c>
      <c r="G1187" s="2">
        <v>3</v>
      </c>
      <c r="H1187" s="2">
        <f>AVERAGE(weather.tbl[[#This Row],[Estevan]:[Kipling]])</f>
        <v>2.5833333333333335</v>
      </c>
      <c r="I1187" s="2">
        <f>_xlfn.STDEV.S(weather.tbl[[#This Row],[Estevan]:[Kipling]])</f>
        <v>0.70261416628663853</v>
      </c>
      <c r="J1187" s="2">
        <f t="shared" si="18"/>
        <v>4.4333333333333327</v>
      </c>
      <c r="K1187">
        <f>DAY(weather.tbl[[#This Row],[Date]])</f>
        <v>31</v>
      </c>
      <c r="L1187">
        <f>MONTH(weather.tbl[[#This Row],[Date]])</f>
        <v>3</v>
      </c>
      <c r="M1187">
        <f>YEAR(weather.tbl[[#This Row],[Date]])</f>
        <v>2017</v>
      </c>
    </row>
    <row r="1188" spans="1:13" x14ac:dyDescent="0.25">
      <c r="A1188" s="1">
        <v>42826</v>
      </c>
      <c r="B1188" s="2">
        <v>7.4</v>
      </c>
      <c r="C1188" s="2">
        <v>7.7</v>
      </c>
      <c r="D1188" s="2">
        <v>5</v>
      </c>
      <c r="E1188" s="2">
        <v>5.9</v>
      </c>
      <c r="F1188" s="2">
        <v>5.2</v>
      </c>
      <c r="G1188" s="2">
        <v>4.5</v>
      </c>
      <c r="H1188" s="2">
        <f>AVERAGE(weather.tbl[[#This Row],[Estevan]:[Kipling]])</f>
        <v>5.95</v>
      </c>
      <c r="I1188" s="2">
        <f>_xlfn.STDEV.S(weather.tbl[[#This Row],[Estevan]:[Kipling]])</f>
        <v>1.3217412757419629</v>
      </c>
      <c r="J1188" s="2">
        <f t="shared" si="18"/>
        <v>4.5404761904761903</v>
      </c>
      <c r="K1188">
        <f>DAY(weather.tbl[[#This Row],[Date]])</f>
        <v>1</v>
      </c>
      <c r="L1188">
        <f>MONTH(weather.tbl[[#This Row],[Date]])</f>
        <v>4</v>
      </c>
      <c r="M1188">
        <f>YEAR(weather.tbl[[#This Row],[Date]])</f>
        <v>2017</v>
      </c>
    </row>
    <row r="1189" spans="1:13" x14ac:dyDescent="0.25">
      <c r="A1189" s="1">
        <v>42827</v>
      </c>
      <c r="B1189" s="2">
        <v>7.7</v>
      </c>
      <c r="C1189" s="2">
        <v>6.9</v>
      </c>
      <c r="D1189" s="2">
        <v>8.3000000000000007</v>
      </c>
      <c r="E1189" s="2">
        <v>6.9</v>
      </c>
      <c r="F1189" s="2">
        <v>7.7</v>
      </c>
      <c r="G1189" s="2">
        <v>8</v>
      </c>
      <c r="H1189" s="2">
        <f>AVERAGE(weather.tbl[[#This Row],[Estevan]:[Kipling]])</f>
        <v>7.5833333333333348</v>
      </c>
      <c r="I1189" s="2">
        <f>_xlfn.STDEV.S(weather.tbl[[#This Row],[Estevan]:[Kipling]])</f>
        <v>0.57416606192517738</v>
      </c>
      <c r="J1189" s="2">
        <f t="shared" si="18"/>
        <v>4.8857142857142852</v>
      </c>
      <c r="K1189">
        <f>DAY(weather.tbl[[#This Row],[Date]])</f>
        <v>2</v>
      </c>
      <c r="L1189">
        <f>MONTH(weather.tbl[[#This Row],[Date]])</f>
        <v>4</v>
      </c>
      <c r="M1189">
        <f>YEAR(weather.tbl[[#This Row],[Date]])</f>
        <v>2017</v>
      </c>
    </row>
    <row r="1190" spans="1:13" x14ac:dyDescent="0.25">
      <c r="A1190" s="1">
        <v>42828</v>
      </c>
      <c r="B1190" s="2">
        <v>5</v>
      </c>
      <c r="C1190" s="2">
        <v>4.9000000000000004</v>
      </c>
      <c r="D1190" s="2">
        <v>8.3000000000000007</v>
      </c>
      <c r="E1190" s="2">
        <v>4.8</v>
      </c>
      <c r="F1190" s="2">
        <v>5.5</v>
      </c>
      <c r="G1190" s="2">
        <v>5</v>
      </c>
      <c r="H1190" s="2">
        <f>AVERAGE(weather.tbl[[#This Row],[Estevan]:[Kipling]])</f>
        <v>5.583333333333333</v>
      </c>
      <c r="I1190" s="2">
        <f>_xlfn.STDEV.S(weather.tbl[[#This Row],[Estevan]:[Kipling]])</f>
        <v>1.3526517166908389</v>
      </c>
      <c r="J1190" s="2">
        <f t="shared" si="18"/>
        <v>5.4738095238095239</v>
      </c>
      <c r="K1190">
        <f>DAY(weather.tbl[[#This Row],[Date]])</f>
        <v>3</v>
      </c>
      <c r="L1190">
        <f>MONTH(weather.tbl[[#This Row],[Date]])</f>
        <v>4</v>
      </c>
      <c r="M1190">
        <f>YEAR(weather.tbl[[#This Row],[Date]])</f>
        <v>2017</v>
      </c>
    </row>
    <row r="1191" spans="1:13" x14ac:dyDescent="0.25">
      <c r="A1191" s="1">
        <v>42829</v>
      </c>
      <c r="B1191" s="2">
        <v>5.2</v>
      </c>
      <c r="C1191" s="2">
        <v>4.0999999999999996</v>
      </c>
      <c r="D1191" s="2">
        <v>6.5</v>
      </c>
      <c r="E1191" s="2">
        <v>4.4000000000000004</v>
      </c>
      <c r="F1191" s="2">
        <v>6</v>
      </c>
      <c r="G1191" s="2">
        <v>4.8</v>
      </c>
      <c r="H1191" s="2">
        <f>AVERAGE(weather.tbl[[#This Row],[Estevan]:[Kipling]])</f>
        <v>5.166666666666667</v>
      </c>
      <c r="I1191" s="2">
        <f>_xlfn.STDEV.S(weather.tbl[[#This Row],[Estevan]:[Kipling]])</f>
        <v>0.93094933625125464</v>
      </c>
      <c r="J1191" s="2">
        <f t="shared" si="18"/>
        <v>5.9857142857142858</v>
      </c>
      <c r="K1191">
        <f>DAY(weather.tbl[[#This Row],[Date]])</f>
        <v>4</v>
      </c>
      <c r="L1191">
        <f>MONTH(weather.tbl[[#This Row],[Date]])</f>
        <v>4</v>
      </c>
      <c r="M1191">
        <f>YEAR(weather.tbl[[#This Row],[Date]])</f>
        <v>2017</v>
      </c>
    </row>
    <row r="1192" spans="1:13" x14ac:dyDescent="0.25">
      <c r="A1192" s="1">
        <v>42830</v>
      </c>
      <c r="B1192" s="2">
        <v>3.2</v>
      </c>
      <c r="C1192" s="2">
        <v>3.4</v>
      </c>
      <c r="D1192" s="2">
        <v>3.5</v>
      </c>
      <c r="E1192" s="2">
        <v>3</v>
      </c>
      <c r="F1192" s="2">
        <v>3.7</v>
      </c>
      <c r="G1192" s="2">
        <v>2.8</v>
      </c>
      <c r="H1192" s="2">
        <f>AVERAGE(weather.tbl[[#This Row],[Estevan]:[Kipling]])</f>
        <v>3.2666666666666671</v>
      </c>
      <c r="I1192" s="2">
        <f>_xlfn.STDEV.S(weather.tbl[[#This Row],[Estevan]:[Kipling]])</f>
        <v>0.33266599866332408</v>
      </c>
      <c r="J1192" s="2">
        <f t="shared" si="18"/>
        <v>5.4857142857142858</v>
      </c>
      <c r="K1192">
        <f>DAY(weather.tbl[[#This Row],[Date]])</f>
        <v>5</v>
      </c>
      <c r="L1192">
        <f>MONTH(weather.tbl[[#This Row],[Date]])</f>
        <v>4</v>
      </c>
      <c r="M1192">
        <f>YEAR(weather.tbl[[#This Row],[Date]])</f>
        <v>2017</v>
      </c>
    </row>
    <row r="1193" spans="1:13" x14ac:dyDescent="0.25">
      <c r="A1193" s="1">
        <v>42831</v>
      </c>
      <c r="B1193" s="2">
        <v>6.5</v>
      </c>
      <c r="C1193" s="2">
        <v>7.6</v>
      </c>
      <c r="D1193" s="2">
        <v>3.5</v>
      </c>
      <c r="E1193" s="2">
        <v>7.7</v>
      </c>
      <c r="F1193" s="2">
        <v>5.3</v>
      </c>
      <c r="G1193" s="2">
        <v>4.8</v>
      </c>
      <c r="H1193" s="2">
        <f>AVERAGE(weather.tbl[[#This Row],[Estevan]:[Kipling]])</f>
        <v>5.8999999999999995</v>
      </c>
      <c r="I1193" s="2">
        <f>_xlfn.STDEV.S(weather.tbl[[#This Row],[Estevan]:[Kipling]])</f>
        <v>1.6625281952496338</v>
      </c>
      <c r="J1193" s="2">
        <f t="shared" si="18"/>
        <v>5.1476190476190471</v>
      </c>
      <c r="K1193">
        <f>DAY(weather.tbl[[#This Row],[Date]])</f>
        <v>6</v>
      </c>
      <c r="L1193">
        <f>MONTH(weather.tbl[[#This Row],[Date]])</f>
        <v>4</v>
      </c>
      <c r="M1193">
        <f>YEAR(weather.tbl[[#This Row],[Date]])</f>
        <v>2017</v>
      </c>
    </row>
    <row r="1194" spans="1:13" x14ac:dyDescent="0.25">
      <c r="A1194" s="1">
        <v>42832</v>
      </c>
      <c r="B1194" s="2">
        <v>13.3</v>
      </c>
      <c r="C1194" s="2">
        <v>14.7</v>
      </c>
      <c r="D1194" s="2">
        <v>11.3</v>
      </c>
      <c r="E1194" s="2">
        <v>15.2</v>
      </c>
      <c r="F1194" s="2">
        <v>11</v>
      </c>
      <c r="G1194" s="2">
        <v>13.3</v>
      </c>
      <c r="H1194" s="2">
        <f>AVERAGE(weather.tbl[[#This Row],[Estevan]:[Kipling]])</f>
        <v>13.133333333333333</v>
      </c>
      <c r="I1194" s="2">
        <f>_xlfn.STDEV.S(weather.tbl[[#This Row],[Estevan]:[Kipling]])</f>
        <v>1.7142539679600344</v>
      </c>
      <c r="J1194" s="2">
        <f t="shared" si="18"/>
        <v>6.6547619047619051</v>
      </c>
      <c r="K1194">
        <f>DAY(weather.tbl[[#This Row],[Date]])</f>
        <v>7</v>
      </c>
      <c r="L1194">
        <f>MONTH(weather.tbl[[#This Row],[Date]])</f>
        <v>4</v>
      </c>
      <c r="M1194">
        <f>YEAR(weather.tbl[[#This Row],[Date]])</f>
        <v>2017</v>
      </c>
    </row>
    <row r="1195" spans="1:13" x14ac:dyDescent="0.25">
      <c r="A1195" s="1">
        <v>42833</v>
      </c>
      <c r="B1195" s="2">
        <v>11.6</v>
      </c>
      <c r="C1195" s="2">
        <v>9.1999999999999993</v>
      </c>
      <c r="D1195" s="2">
        <v>13</v>
      </c>
      <c r="E1195" s="2">
        <v>9.6999999999999993</v>
      </c>
      <c r="F1195" s="2">
        <v>12.2</v>
      </c>
      <c r="G1195" s="2">
        <v>12.5</v>
      </c>
      <c r="H1195" s="2">
        <f>AVERAGE(weather.tbl[[#This Row],[Estevan]:[Kipling]])</f>
        <v>11.366666666666667</v>
      </c>
      <c r="I1195" s="2">
        <f>_xlfn.STDEV.S(weather.tbl[[#This Row],[Estevan]:[Kipling]])</f>
        <v>1.5603418428878373</v>
      </c>
      <c r="J1195" s="2">
        <f t="shared" si="18"/>
        <v>7.4285714285714288</v>
      </c>
      <c r="K1195">
        <f>DAY(weather.tbl[[#This Row],[Date]])</f>
        <v>8</v>
      </c>
      <c r="L1195">
        <f>MONTH(weather.tbl[[#This Row],[Date]])</f>
        <v>4</v>
      </c>
      <c r="M1195">
        <f>YEAR(weather.tbl[[#This Row],[Date]])</f>
        <v>2017</v>
      </c>
    </row>
    <row r="1196" spans="1:13" x14ac:dyDescent="0.25">
      <c r="A1196" s="1">
        <v>42834</v>
      </c>
      <c r="B1196" s="2">
        <v>2.2999999999999998</v>
      </c>
      <c r="C1196" s="2">
        <v>0.6</v>
      </c>
      <c r="D1196" s="2">
        <v>13</v>
      </c>
      <c r="E1196" s="2">
        <v>-1</v>
      </c>
      <c r="F1196" s="2">
        <v>1.9</v>
      </c>
      <c r="G1196" s="2">
        <v>-0.8</v>
      </c>
      <c r="H1196" s="2">
        <f>AVERAGE(weather.tbl[[#This Row],[Estevan]:[Kipling]])</f>
        <v>2.6666666666666665</v>
      </c>
      <c r="I1196" s="2">
        <f>_xlfn.STDEV.S(weather.tbl[[#This Row],[Estevan]:[Kipling]])</f>
        <v>5.2389566391283164</v>
      </c>
      <c r="J1196" s="2">
        <f t="shared" si="18"/>
        <v>6.7261904761904754</v>
      </c>
      <c r="K1196">
        <f>DAY(weather.tbl[[#This Row],[Date]])</f>
        <v>9</v>
      </c>
      <c r="L1196">
        <f>MONTH(weather.tbl[[#This Row],[Date]])</f>
        <v>4</v>
      </c>
      <c r="M1196">
        <f>YEAR(weather.tbl[[#This Row],[Date]])</f>
        <v>2017</v>
      </c>
    </row>
    <row r="1197" spans="1:13" x14ac:dyDescent="0.25">
      <c r="A1197" s="1">
        <v>42835</v>
      </c>
      <c r="B1197" s="2">
        <v>0.8</v>
      </c>
      <c r="C1197" s="2">
        <v>0.3</v>
      </c>
      <c r="D1197" s="2">
        <v>-0.3</v>
      </c>
      <c r="E1197" s="2">
        <v>-0.7</v>
      </c>
      <c r="F1197" s="2">
        <v>-0.6</v>
      </c>
      <c r="G1197" s="2">
        <v>-1.3</v>
      </c>
      <c r="H1197" s="2">
        <f>AVERAGE(weather.tbl[[#This Row],[Estevan]:[Kipling]])</f>
        <v>-0.3</v>
      </c>
      <c r="I1197" s="2">
        <f>_xlfn.STDEV.S(weather.tbl[[#This Row],[Estevan]:[Kipling]])</f>
        <v>0.7509993342207435</v>
      </c>
      <c r="J1197" s="2">
        <f t="shared" si="18"/>
        <v>5.8857142857142852</v>
      </c>
      <c r="K1197">
        <f>DAY(weather.tbl[[#This Row],[Date]])</f>
        <v>10</v>
      </c>
      <c r="L1197">
        <f>MONTH(weather.tbl[[#This Row],[Date]])</f>
        <v>4</v>
      </c>
      <c r="M1197">
        <f>YEAR(weather.tbl[[#This Row],[Date]])</f>
        <v>2017</v>
      </c>
    </row>
    <row r="1198" spans="1:13" x14ac:dyDescent="0.25">
      <c r="A1198" s="1">
        <v>42836</v>
      </c>
      <c r="B1198" s="2">
        <v>6.1</v>
      </c>
      <c r="C1198" s="2">
        <v>5.5</v>
      </c>
      <c r="D1198" s="2">
        <v>4.5</v>
      </c>
      <c r="E1198" s="2">
        <v>5.5</v>
      </c>
      <c r="F1198" s="2">
        <v>5.0999999999999996</v>
      </c>
      <c r="G1198" s="2">
        <v>5</v>
      </c>
      <c r="H1198" s="2">
        <f>AVERAGE(weather.tbl[[#This Row],[Estevan]:[Kipling]])</f>
        <v>5.2833333333333341</v>
      </c>
      <c r="I1198" s="2">
        <f>_xlfn.STDEV.S(weather.tbl[[#This Row],[Estevan]:[Kipling]])</f>
        <v>0.54558836742242456</v>
      </c>
      <c r="J1198" s="2">
        <f t="shared" si="18"/>
        <v>5.9023809523809518</v>
      </c>
      <c r="K1198">
        <f>DAY(weather.tbl[[#This Row],[Date]])</f>
        <v>11</v>
      </c>
      <c r="L1198">
        <f>MONTH(weather.tbl[[#This Row],[Date]])</f>
        <v>4</v>
      </c>
      <c r="M1198">
        <f>YEAR(weather.tbl[[#This Row],[Date]])</f>
        <v>2017</v>
      </c>
    </row>
    <row r="1199" spans="1:13" x14ac:dyDescent="0.25">
      <c r="A1199" s="1">
        <v>42837</v>
      </c>
      <c r="B1199" s="2">
        <v>6.2</v>
      </c>
      <c r="C1199" s="2">
        <v>5.4</v>
      </c>
      <c r="D1199" s="2">
        <v>6</v>
      </c>
      <c r="E1199" s="2">
        <v>5.7</v>
      </c>
      <c r="F1199" s="2">
        <v>6.8</v>
      </c>
      <c r="G1199" s="2">
        <v>6</v>
      </c>
      <c r="H1199" s="2">
        <f>AVERAGE(weather.tbl[[#This Row],[Estevan]:[Kipling]])</f>
        <v>6.0166666666666666</v>
      </c>
      <c r="I1199" s="2">
        <f>_xlfn.STDEV.S(weather.tbl[[#This Row],[Estevan]:[Kipling]])</f>
        <v>0.47504385762439505</v>
      </c>
      <c r="J1199" s="2">
        <f t="shared" si="18"/>
        <v>6.2952380952380951</v>
      </c>
      <c r="K1199">
        <f>DAY(weather.tbl[[#This Row],[Date]])</f>
        <v>12</v>
      </c>
      <c r="L1199">
        <f>MONTH(weather.tbl[[#This Row],[Date]])</f>
        <v>4</v>
      </c>
      <c r="M1199">
        <f>YEAR(weather.tbl[[#This Row],[Date]])</f>
        <v>2017</v>
      </c>
    </row>
    <row r="1200" spans="1:13" x14ac:dyDescent="0.25">
      <c r="A1200" s="1">
        <v>42838</v>
      </c>
      <c r="B1200" s="2">
        <v>10.8</v>
      </c>
      <c r="C1200" s="2">
        <v>11.8</v>
      </c>
      <c r="D1200" s="2">
        <v>6</v>
      </c>
      <c r="E1200" s="2">
        <v>9.9</v>
      </c>
      <c r="F1200" s="2">
        <v>9.6999999999999993</v>
      </c>
      <c r="G1200" s="2">
        <v>9.3000000000000007</v>
      </c>
      <c r="H1200" s="2">
        <f>AVERAGE(weather.tbl[[#This Row],[Estevan]:[Kipling]])</f>
        <v>9.5833333333333339</v>
      </c>
      <c r="I1200" s="2">
        <f>_xlfn.STDEV.S(weather.tbl[[#This Row],[Estevan]:[Kipling]])</f>
        <v>1.9712094426180795</v>
      </c>
      <c r="J1200" s="2">
        <f t="shared" si="18"/>
        <v>6.8214285714285712</v>
      </c>
      <c r="K1200">
        <f>DAY(weather.tbl[[#This Row],[Date]])</f>
        <v>13</v>
      </c>
      <c r="L1200">
        <f>MONTH(weather.tbl[[#This Row],[Date]])</f>
        <v>4</v>
      </c>
      <c r="M1200">
        <f>YEAR(weather.tbl[[#This Row],[Date]])</f>
        <v>2017</v>
      </c>
    </row>
    <row r="1201" spans="1:13" x14ac:dyDescent="0.25">
      <c r="A1201" s="1">
        <v>42839</v>
      </c>
      <c r="B1201" s="2">
        <v>12.5</v>
      </c>
      <c r="C1201" s="2">
        <v>9</v>
      </c>
      <c r="D1201" s="2">
        <v>14.3</v>
      </c>
      <c r="E1201" s="2">
        <v>7.6</v>
      </c>
      <c r="F1201" s="2">
        <v>15</v>
      </c>
      <c r="G1201" s="2">
        <v>12.8</v>
      </c>
      <c r="H1201" s="2">
        <f>AVERAGE(weather.tbl[[#This Row],[Estevan]:[Kipling]])</f>
        <v>11.866666666666667</v>
      </c>
      <c r="I1201" s="2">
        <f>_xlfn.STDEV.S(weather.tbl[[#This Row],[Estevan]:[Kipling]])</f>
        <v>2.9473151624260776</v>
      </c>
      <c r="J1201" s="2">
        <f t="shared" si="18"/>
        <v>6.6404761904761909</v>
      </c>
      <c r="K1201">
        <f>DAY(weather.tbl[[#This Row],[Date]])</f>
        <v>14</v>
      </c>
      <c r="L1201">
        <f>MONTH(weather.tbl[[#This Row],[Date]])</f>
        <v>4</v>
      </c>
      <c r="M1201">
        <f>YEAR(weather.tbl[[#This Row],[Date]])</f>
        <v>2017</v>
      </c>
    </row>
    <row r="1202" spans="1:13" x14ac:dyDescent="0.25">
      <c r="A1202" s="1">
        <v>42840</v>
      </c>
      <c r="B1202" s="2">
        <v>6.7</v>
      </c>
      <c r="C1202" s="2">
        <v>4.8</v>
      </c>
      <c r="D1202" s="2">
        <v>6</v>
      </c>
      <c r="E1202" s="2">
        <v>6.4</v>
      </c>
      <c r="F1202" s="2">
        <v>8.5</v>
      </c>
      <c r="G1202" s="2">
        <v>6.3</v>
      </c>
      <c r="H1202" s="2">
        <f>AVERAGE(weather.tbl[[#This Row],[Estevan]:[Kipling]])</f>
        <v>6.4499999999999993</v>
      </c>
      <c r="I1202" s="2">
        <f>_xlfn.STDEV.S(weather.tbl[[#This Row],[Estevan]:[Kipling]])</f>
        <v>1.2012493496356298</v>
      </c>
      <c r="J1202" s="2">
        <f t="shared" si="18"/>
        <v>5.9380952380952374</v>
      </c>
      <c r="K1202">
        <f>DAY(weather.tbl[[#This Row],[Date]])</f>
        <v>15</v>
      </c>
      <c r="L1202">
        <f>MONTH(weather.tbl[[#This Row],[Date]])</f>
        <v>4</v>
      </c>
      <c r="M1202">
        <f>YEAR(weather.tbl[[#This Row],[Date]])</f>
        <v>2017</v>
      </c>
    </row>
    <row r="1203" spans="1:13" x14ac:dyDescent="0.25">
      <c r="A1203" s="1">
        <v>42841</v>
      </c>
      <c r="B1203" s="2">
        <v>-1.4</v>
      </c>
      <c r="C1203" s="2">
        <v>-2.9</v>
      </c>
      <c r="D1203" s="2">
        <v>-0.8</v>
      </c>
      <c r="E1203" s="2">
        <v>-4.5</v>
      </c>
      <c r="F1203" s="2">
        <v>1.1000000000000001</v>
      </c>
      <c r="G1203" s="2">
        <v>-3.8</v>
      </c>
      <c r="H1203" s="2">
        <f>AVERAGE(weather.tbl[[#This Row],[Estevan]:[Kipling]])</f>
        <v>-2.0500000000000003</v>
      </c>
      <c r="I1203" s="2">
        <f>_xlfn.STDEV.S(weather.tbl[[#This Row],[Estevan]:[Kipling]])</f>
        <v>2.0830266440926768</v>
      </c>
      <c r="J1203" s="2">
        <f t="shared" si="18"/>
        <v>5.2642857142857151</v>
      </c>
      <c r="K1203">
        <f>DAY(weather.tbl[[#This Row],[Date]])</f>
        <v>16</v>
      </c>
      <c r="L1203">
        <f>MONTH(weather.tbl[[#This Row],[Date]])</f>
        <v>4</v>
      </c>
      <c r="M1203">
        <f>YEAR(weather.tbl[[#This Row],[Date]])</f>
        <v>2017</v>
      </c>
    </row>
    <row r="1204" spans="1:13" x14ac:dyDescent="0.25">
      <c r="A1204" s="1">
        <v>42842</v>
      </c>
      <c r="B1204" s="2">
        <v>-0.2</v>
      </c>
      <c r="C1204" s="2">
        <v>-2.1</v>
      </c>
      <c r="D1204" s="2">
        <v>-1.5</v>
      </c>
      <c r="E1204" s="2">
        <v>-2.2000000000000002</v>
      </c>
      <c r="F1204" s="2">
        <v>-0.1</v>
      </c>
      <c r="G1204" s="2">
        <v>-1.5</v>
      </c>
      <c r="H1204" s="2">
        <f>AVERAGE(weather.tbl[[#This Row],[Estevan]:[Kipling]])</f>
        <v>-1.2666666666666666</v>
      </c>
      <c r="I1204" s="2">
        <f>_xlfn.STDEV.S(weather.tbl[[#This Row],[Estevan]:[Kipling]])</f>
        <v>0.91360093403338127</v>
      </c>
      <c r="J1204" s="2">
        <f t="shared" si="18"/>
        <v>5.1261904761904775</v>
      </c>
      <c r="K1204">
        <f>DAY(weather.tbl[[#This Row],[Date]])</f>
        <v>17</v>
      </c>
      <c r="L1204">
        <f>MONTH(weather.tbl[[#This Row],[Date]])</f>
        <v>4</v>
      </c>
      <c r="M1204">
        <f>YEAR(weather.tbl[[#This Row],[Date]])</f>
        <v>2017</v>
      </c>
    </row>
    <row r="1205" spans="1:13" x14ac:dyDescent="0.25">
      <c r="A1205" s="1">
        <v>42843</v>
      </c>
      <c r="B1205" s="2">
        <v>5.7</v>
      </c>
      <c r="C1205" s="2">
        <v>5.8</v>
      </c>
      <c r="D1205" s="2">
        <v>4.3</v>
      </c>
      <c r="E1205" s="2">
        <v>5.5</v>
      </c>
      <c r="F1205" s="2">
        <v>5</v>
      </c>
      <c r="G1205" s="2">
        <v>5.8</v>
      </c>
      <c r="H1205" s="2">
        <f>AVERAGE(weather.tbl[[#This Row],[Estevan]:[Kipling]])</f>
        <v>5.3500000000000005</v>
      </c>
      <c r="I1205" s="2">
        <f>_xlfn.STDEV.S(weather.tbl[[#This Row],[Estevan]:[Kipling]])</f>
        <v>0.59581876439064541</v>
      </c>
      <c r="J1205" s="2">
        <f t="shared" si="18"/>
        <v>5.1357142857142861</v>
      </c>
      <c r="K1205">
        <f>DAY(weather.tbl[[#This Row],[Date]])</f>
        <v>18</v>
      </c>
      <c r="L1205">
        <f>MONTH(weather.tbl[[#This Row],[Date]])</f>
        <v>4</v>
      </c>
      <c r="M1205">
        <f>YEAR(weather.tbl[[#This Row],[Date]])</f>
        <v>2017</v>
      </c>
    </row>
    <row r="1206" spans="1:13" x14ac:dyDescent="0.25">
      <c r="A1206" s="1">
        <v>42844</v>
      </c>
      <c r="B1206" s="2">
        <v>6.7</v>
      </c>
      <c r="C1206" s="2">
        <v>8.1999999999999993</v>
      </c>
      <c r="D1206" s="2">
        <v>6</v>
      </c>
      <c r="E1206" s="2">
        <v>7.2</v>
      </c>
      <c r="F1206" s="2">
        <v>5.4</v>
      </c>
      <c r="G1206" s="2">
        <v>7</v>
      </c>
      <c r="H1206" s="2">
        <f>AVERAGE(weather.tbl[[#This Row],[Estevan]:[Kipling]])</f>
        <v>6.75</v>
      </c>
      <c r="I1206" s="2">
        <f>_xlfn.STDEV.S(weather.tbl[[#This Row],[Estevan]:[Kipling]])</f>
        <v>0.97519228873079133</v>
      </c>
      <c r="J1206" s="2">
        <f t="shared" si="18"/>
        <v>5.2404761904761914</v>
      </c>
      <c r="K1206">
        <f>DAY(weather.tbl[[#This Row],[Date]])</f>
        <v>19</v>
      </c>
      <c r="L1206">
        <f>MONTH(weather.tbl[[#This Row],[Date]])</f>
        <v>4</v>
      </c>
      <c r="M1206">
        <f>YEAR(weather.tbl[[#This Row],[Date]])</f>
        <v>2017</v>
      </c>
    </row>
    <row r="1207" spans="1:13" x14ac:dyDescent="0.25">
      <c r="A1207" s="1">
        <v>42845</v>
      </c>
      <c r="B1207" s="2">
        <v>9.6</v>
      </c>
      <c r="C1207" s="2">
        <v>9.1</v>
      </c>
      <c r="D1207" s="2">
        <v>9.3000000000000007</v>
      </c>
      <c r="E1207" s="2">
        <v>8.8000000000000007</v>
      </c>
      <c r="F1207" s="2">
        <v>8.1</v>
      </c>
      <c r="G1207" s="2">
        <v>8.8000000000000007</v>
      </c>
      <c r="H1207" s="2">
        <f>AVERAGE(weather.tbl[[#This Row],[Estevan]:[Kipling]])</f>
        <v>8.9500000000000011</v>
      </c>
      <c r="I1207" s="2">
        <f>_xlfn.STDEV.S(weather.tbl[[#This Row],[Estevan]:[Kipling]])</f>
        <v>0.51672042731055257</v>
      </c>
      <c r="J1207" s="2">
        <f t="shared" si="18"/>
        <v>5.15</v>
      </c>
      <c r="K1207">
        <f>DAY(weather.tbl[[#This Row],[Date]])</f>
        <v>20</v>
      </c>
      <c r="L1207">
        <f>MONTH(weather.tbl[[#This Row],[Date]])</f>
        <v>4</v>
      </c>
      <c r="M1207">
        <f>YEAR(weather.tbl[[#This Row],[Date]])</f>
        <v>2017</v>
      </c>
    </row>
    <row r="1208" spans="1:13" x14ac:dyDescent="0.25">
      <c r="A1208" s="1">
        <v>42846</v>
      </c>
      <c r="B1208" s="2">
        <v>9.9</v>
      </c>
      <c r="C1208" s="2">
        <v>9</v>
      </c>
      <c r="D1208" s="2">
        <v>9.3000000000000007</v>
      </c>
      <c r="E1208" s="2">
        <v>9.1</v>
      </c>
      <c r="F1208" s="2">
        <v>9.1</v>
      </c>
      <c r="G1208" s="2">
        <v>9.5</v>
      </c>
      <c r="H1208" s="2">
        <f>AVERAGE(weather.tbl[[#This Row],[Estevan]:[Kipling]])</f>
        <v>9.3166666666666664</v>
      </c>
      <c r="I1208" s="2">
        <f>_xlfn.STDEV.S(weather.tbl[[#This Row],[Estevan]:[Kipling]])</f>
        <v>0.33714487489307443</v>
      </c>
      <c r="J1208" s="2">
        <f t="shared" si="18"/>
        <v>4.7857142857142856</v>
      </c>
      <c r="K1208">
        <f>DAY(weather.tbl[[#This Row],[Date]])</f>
        <v>21</v>
      </c>
      <c r="L1208">
        <f>MONTH(weather.tbl[[#This Row],[Date]])</f>
        <v>4</v>
      </c>
      <c r="M1208">
        <f>YEAR(weather.tbl[[#This Row],[Date]])</f>
        <v>2017</v>
      </c>
    </row>
    <row r="1209" spans="1:13" x14ac:dyDescent="0.25">
      <c r="A1209" s="1">
        <v>42847</v>
      </c>
      <c r="B1209" s="2">
        <v>5.4</v>
      </c>
      <c r="C1209" s="2">
        <v>5.4</v>
      </c>
      <c r="D1209" s="2">
        <v>9.3000000000000007</v>
      </c>
      <c r="E1209" s="2">
        <v>6.1</v>
      </c>
      <c r="F1209" s="2">
        <v>4.2</v>
      </c>
      <c r="G1209" s="2">
        <v>4.3</v>
      </c>
      <c r="H1209" s="2">
        <f>AVERAGE(weather.tbl[[#This Row],[Estevan]:[Kipling]])</f>
        <v>5.7833333333333341</v>
      </c>
      <c r="I1209" s="2">
        <f>_xlfn.STDEV.S(weather.tbl[[#This Row],[Estevan]:[Kipling]])</f>
        <v>1.8691352724366033</v>
      </c>
      <c r="J1209" s="2">
        <f t="shared" si="18"/>
        <v>4.6904761904761907</v>
      </c>
      <c r="K1209">
        <f>DAY(weather.tbl[[#This Row],[Date]])</f>
        <v>22</v>
      </c>
      <c r="L1209">
        <f>MONTH(weather.tbl[[#This Row],[Date]])</f>
        <v>4</v>
      </c>
      <c r="M1209">
        <f>YEAR(weather.tbl[[#This Row],[Date]])</f>
        <v>2017</v>
      </c>
    </row>
    <row r="1210" spans="1:13" x14ac:dyDescent="0.25">
      <c r="A1210" s="1">
        <v>42848</v>
      </c>
      <c r="B1210" s="2">
        <v>-0.2</v>
      </c>
      <c r="C1210" s="2">
        <v>1.4</v>
      </c>
      <c r="D1210" s="2">
        <v>9.3000000000000007</v>
      </c>
      <c r="E1210" s="2">
        <v>1.3</v>
      </c>
      <c r="F1210" s="2">
        <v>0.9</v>
      </c>
      <c r="G1210" s="2">
        <v>1.5</v>
      </c>
      <c r="H1210" s="2">
        <f>AVERAGE(weather.tbl[[#This Row],[Estevan]:[Kipling]])</f>
        <v>2.3666666666666667</v>
      </c>
      <c r="I1210" s="2">
        <f>_xlfn.STDEV.S(weather.tbl[[#This Row],[Estevan]:[Kipling]])</f>
        <v>3.4535006394478436</v>
      </c>
      <c r="J1210" s="2">
        <f t="shared" si="18"/>
        <v>5.3214285714285712</v>
      </c>
      <c r="K1210">
        <f>DAY(weather.tbl[[#This Row],[Date]])</f>
        <v>23</v>
      </c>
      <c r="L1210">
        <f>MONTH(weather.tbl[[#This Row],[Date]])</f>
        <v>4</v>
      </c>
      <c r="M1210">
        <f>YEAR(weather.tbl[[#This Row],[Date]])</f>
        <v>2017</v>
      </c>
    </row>
    <row r="1211" spans="1:13" x14ac:dyDescent="0.25">
      <c r="A1211" s="1">
        <v>42849</v>
      </c>
      <c r="B1211" s="2">
        <v>-1.5</v>
      </c>
      <c r="C1211" s="2">
        <v>-1.5</v>
      </c>
      <c r="D1211" s="2">
        <v>-2.2999999999999998</v>
      </c>
      <c r="E1211" s="2">
        <v>-1.3</v>
      </c>
      <c r="F1211" s="2">
        <v>-0.8</v>
      </c>
      <c r="G1211" s="2">
        <v>-2.2999999999999998</v>
      </c>
      <c r="H1211" s="2">
        <f>AVERAGE(weather.tbl[[#This Row],[Estevan]:[Kipling]])</f>
        <v>-1.6166666666666665</v>
      </c>
      <c r="I1211" s="2">
        <f>_xlfn.STDEV.S(weather.tbl[[#This Row],[Estevan]:[Kipling]])</f>
        <v>0.58793423668524891</v>
      </c>
      <c r="J1211" s="2">
        <f t="shared" si="18"/>
        <v>5.2714285714285722</v>
      </c>
      <c r="K1211">
        <f>DAY(weather.tbl[[#This Row],[Date]])</f>
        <v>24</v>
      </c>
      <c r="L1211">
        <f>MONTH(weather.tbl[[#This Row],[Date]])</f>
        <v>4</v>
      </c>
      <c r="M1211">
        <f>YEAR(weather.tbl[[#This Row],[Date]])</f>
        <v>2017</v>
      </c>
    </row>
    <row r="1212" spans="1:13" x14ac:dyDescent="0.25">
      <c r="A1212" s="1">
        <v>42850</v>
      </c>
      <c r="B1212" s="2">
        <v>1.3</v>
      </c>
      <c r="C1212" s="2">
        <v>1.6</v>
      </c>
      <c r="D1212" s="2">
        <v>0.5</v>
      </c>
      <c r="E1212" s="2">
        <v>1.4</v>
      </c>
      <c r="F1212" s="2">
        <v>1.7</v>
      </c>
      <c r="G1212" s="2">
        <v>-0.3</v>
      </c>
      <c r="H1212" s="2">
        <f>AVERAGE(weather.tbl[[#This Row],[Estevan]:[Kipling]])</f>
        <v>1.0333333333333334</v>
      </c>
      <c r="I1212" s="2">
        <f>_xlfn.STDEV.S(weather.tbl[[#This Row],[Estevan]:[Kipling]])</f>
        <v>0.77888809636986134</v>
      </c>
      <c r="J1212" s="2">
        <f t="shared" si="18"/>
        <v>4.6547619047619042</v>
      </c>
      <c r="K1212">
        <f>DAY(weather.tbl[[#This Row],[Date]])</f>
        <v>25</v>
      </c>
      <c r="L1212">
        <f>MONTH(weather.tbl[[#This Row],[Date]])</f>
        <v>4</v>
      </c>
      <c r="M1212">
        <f>YEAR(weather.tbl[[#This Row],[Date]])</f>
        <v>2017</v>
      </c>
    </row>
    <row r="1213" spans="1:13" x14ac:dyDescent="0.25">
      <c r="A1213" s="1">
        <v>42851</v>
      </c>
      <c r="B1213" s="2">
        <v>1.3</v>
      </c>
      <c r="C1213" s="2">
        <v>1.3</v>
      </c>
      <c r="D1213" s="2">
        <v>1.8</v>
      </c>
      <c r="E1213" s="2">
        <v>0.7</v>
      </c>
      <c r="F1213" s="2">
        <v>2</v>
      </c>
      <c r="G1213" s="2">
        <v>0.8</v>
      </c>
      <c r="H1213" s="2">
        <f>AVERAGE(weather.tbl[[#This Row],[Estevan]:[Kipling]])</f>
        <v>1.3166666666666667</v>
      </c>
      <c r="I1213" s="2">
        <f>_xlfn.STDEV.S(weather.tbl[[#This Row],[Estevan]:[Kipling]])</f>
        <v>0.51929439306299741</v>
      </c>
      <c r="J1213" s="2">
        <f t="shared" si="18"/>
        <v>3.878571428571429</v>
      </c>
      <c r="K1213">
        <f>DAY(weather.tbl[[#This Row],[Date]])</f>
        <v>26</v>
      </c>
      <c r="L1213">
        <f>MONTH(weather.tbl[[#This Row],[Date]])</f>
        <v>4</v>
      </c>
      <c r="M1213">
        <f>YEAR(weather.tbl[[#This Row],[Date]])</f>
        <v>2017</v>
      </c>
    </row>
    <row r="1214" spans="1:13" x14ac:dyDescent="0.25">
      <c r="A1214" s="1">
        <v>42852</v>
      </c>
      <c r="B1214" s="2">
        <v>3.5</v>
      </c>
      <c r="C1214" s="2">
        <v>2.9</v>
      </c>
      <c r="D1214" s="2">
        <v>1.8</v>
      </c>
      <c r="E1214" s="2">
        <v>2.6</v>
      </c>
      <c r="F1214" s="2">
        <v>2.6</v>
      </c>
      <c r="G1214" s="2">
        <v>2</v>
      </c>
      <c r="H1214" s="2">
        <f>AVERAGE(weather.tbl[[#This Row],[Estevan]:[Kipling]])</f>
        <v>2.5666666666666669</v>
      </c>
      <c r="I1214" s="2">
        <f>_xlfn.STDEV.S(weather.tbl[[#This Row],[Estevan]:[Kipling]])</f>
        <v>0.61535897382476368</v>
      </c>
      <c r="J1214" s="2">
        <f t="shared" si="18"/>
        <v>2.9666666666666672</v>
      </c>
      <c r="K1214">
        <f>DAY(weather.tbl[[#This Row],[Date]])</f>
        <v>27</v>
      </c>
      <c r="L1214">
        <f>MONTH(weather.tbl[[#This Row],[Date]])</f>
        <v>4</v>
      </c>
      <c r="M1214">
        <f>YEAR(weather.tbl[[#This Row],[Date]])</f>
        <v>2017</v>
      </c>
    </row>
    <row r="1215" spans="1:13" x14ac:dyDescent="0.25">
      <c r="A1215" s="1">
        <v>42853</v>
      </c>
      <c r="B1215" s="2">
        <v>5.4</v>
      </c>
      <c r="C1215" s="2">
        <v>5.4</v>
      </c>
      <c r="D1215" s="2">
        <v>4.8</v>
      </c>
      <c r="E1215" s="2">
        <v>5</v>
      </c>
      <c r="F1215" s="2">
        <v>4.8</v>
      </c>
      <c r="G1215" s="2">
        <v>5</v>
      </c>
      <c r="H1215" s="2">
        <f>AVERAGE(weather.tbl[[#This Row],[Estevan]:[Kipling]])</f>
        <v>5.0666666666666673</v>
      </c>
      <c r="I1215" s="2">
        <f>_xlfn.STDEV.S(weather.tbl[[#This Row],[Estevan]:[Kipling]])</f>
        <v>0.27325202042558955</v>
      </c>
      <c r="J1215" s="2">
        <f t="shared" si="18"/>
        <v>2.35952380952381</v>
      </c>
      <c r="K1215">
        <f>DAY(weather.tbl[[#This Row],[Date]])</f>
        <v>28</v>
      </c>
      <c r="L1215">
        <f>MONTH(weather.tbl[[#This Row],[Date]])</f>
        <v>4</v>
      </c>
      <c r="M1215">
        <f>YEAR(weather.tbl[[#This Row],[Date]])</f>
        <v>2017</v>
      </c>
    </row>
    <row r="1216" spans="1:13" x14ac:dyDescent="0.25">
      <c r="A1216" s="1">
        <v>42854</v>
      </c>
      <c r="B1216" s="2">
        <v>7.7</v>
      </c>
      <c r="C1216" s="2">
        <v>7.2</v>
      </c>
      <c r="D1216" s="2">
        <v>7.8</v>
      </c>
      <c r="E1216" s="2">
        <v>7.9</v>
      </c>
      <c r="F1216" s="2">
        <v>9.3000000000000007</v>
      </c>
      <c r="G1216" s="2">
        <v>8</v>
      </c>
      <c r="H1216" s="2">
        <f>AVERAGE(weather.tbl[[#This Row],[Estevan]:[Kipling]])</f>
        <v>7.9833333333333343</v>
      </c>
      <c r="I1216" s="2">
        <f>_xlfn.STDEV.S(weather.tbl[[#This Row],[Estevan]:[Kipling]])</f>
        <v>0.70261416628663775</v>
      </c>
      <c r="J1216" s="2">
        <f t="shared" si="18"/>
        <v>2.6738095238095241</v>
      </c>
      <c r="K1216">
        <f>DAY(weather.tbl[[#This Row],[Date]])</f>
        <v>29</v>
      </c>
      <c r="L1216">
        <f>MONTH(weather.tbl[[#This Row],[Date]])</f>
        <v>4</v>
      </c>
      <c r="M1216">
        <f>YEAR(weather.tbl[[#This Row],[Date]])</f>
        <v>2017</v>
      </c>
    </row>
    <row r="1217" spans="1:13" x14ac:dyDescent="0.25">
      <c r="A1217" s="1">
        <v>42855</v>
      </c>
      <c r="B1217" s="2">
        <v>11.5</v>
      </c>
      <c r="C1217" s="2">
        <v>11.5</v>
      </c>
      <c r="D1217" s="2">
        <v>10</v>
      </c>
      <c r="E1217" s="2">
        <v>10.199999999999999</v>
      </c>
      <c r="F1217" s="2">
        <v>11.1</v>
      </c>
      <c r="G1217" s="2">
        <v>11.5</v>
      </c>
      <c r="H1217" s="2">
        <f>AVERAGE(weather.tbl[[#This Row],[Estevan]:[Kipling]])</f>
        <v>10.966666666666669</v>
      </c>
      <c r="I1217" s="2">
        <f>_xlfn.STDEV.S(weather.tbl[[#This Row],[Estevan]:[Kipling]])</f>
        <v>0.69185740341971247</v>
      </c>
      <c r="J1217" s="2">
        <f t="shared" si="18"/>
        <v>3.9023809523809527</v>
      </c>
      <c r="K1217">
        <f>DAY(weather.tbl[[#This Row],[Date]])</f>
        <v>30</v>
      </c>
      <c r="L1217">
        <f>MONTH(weather.tbl[[#This Row],[Date]])</f>
        <v>4</v>
      </c>
      <c r="M1217">
        <f>YEAR(weather.tbl[[#This Row],[Date]])</f>
        <v>2017</v>
      </c>
    </row>
    <row r="1218" spans="1:13" x14ac:dyDescent="0.25">
      <c r="A1218" s="1">
        <v>42856</v>
      </c>
      <c r="B1218" s="2">
        <v>9.4</v>
      </c>
      <c r="C1218" s="2">
        <v>10.8</v>
      </c>
      <c r="D1218" s="2">
        <v>9.3000000000000007</v>
      </c>
      <c r="E1218" s="2">
        <v>8.9</v>
      </c>
      <c r="F1218" s="2">
        <v>10.6</v>
      </c>
      <c r="G1218" s="2">
        <v>9.8000000000000007</v>
      </c>
      <c r="H1218" s="2">
        <f>AVERAGE(weather.tbl[[#This Row],[Estevan]:[Kipling]])</f>
        <v>9.8000000000000025</v>
      </c>
      <c r="I1218" s="2">
        <f>_xlfn.STDEV.S(weather.tbl[[#This Row],[Estevan]:[Kipling]])</f>
        <v>0.75630681604756134</v>
      </c>
      <c r="J1218" s="2">
        <f t="shared" si="18"/>
        <v>5.5333333333333341</v>
      </c>
      <c r="K1218">
        <f>DAY(weather.tbl[[#This Row],[Date]])</f>
        <v>1</v>
      </c>
      <c r="L1218">
        <f>MONTH(weather.tbl[[#This Row],[Date]])</f>
        <v>5</v>
      </c>
      <c r="M1218">
        <f>YEAR(weather.tbl[[#This Row],[Date]])</f>
        <v>2017</v>
      </c>
    </row>
    <row r="1219" spans="1:13" x14ac:dyDescent="0.25">
      <c r="A1219" s="1">
        <v>42857</v>
      </c>
      <c r="B1219" s="2">
        <v>9.5</v>
      </c>
      <c r="C1219" s="2">
        <v>10.5</v>
      </c>
      <c r="D1219" s="2">
        <v>9.3000000000000007</v>
      </c>
      <c r="E1219" s="2">
        <v>8.9</v>
      </c>
      <c r="F1219" s="2">
        <v>9.1</v>
      </c>
      <c r="G1219" s="2">
        <v>8.8000000000000007</v>
      </c>
      <c r="H1219" s="2">
        <f>AVERAGE(weather.tbl[[#This Row],[Estevan]:[Kipling]])</f>
        <v>9.3500000000000014</v>
      </c>
      <c r="I1219" s="2">
        <f>_xlfn.STDEV.S(weather.tbl[[#This Row],[Estevan]:[Kipling]])</f>
        <v>0.61886993787063194</v>
      </c>
      <c r="J1219" s="2">
        <f t="shared" si="18"/>
        <v>6.7214285714285733</v>
      </c>
      <c r="K1219">
        <f>DAY(weather.tbl[[#This Row],[Date]])</f>
        <v>2</v>
      </c>
      <c r="L1219">
        <f>MONTH(weather.tbl[[#This Row],[Date]])</f>
        <v>5</v>
      </c>
      <c r="M1219">
        <f>YEAR(weather.tbl[[#This Row],[Date]])</f>
        <v>2017</v>
      </c>
    </row>
    <row r="1220" spans="1:13" x14ac:dyDescent="0.25">
      <c r="A1220" s="1">
        <v>42858</v>
      </c>
      <c r="B1220" s="2">
        <v>9.5</v>
      </c>
      <c r="C1220" s="2">
        <v>9</v>
      </c>
      <c r="D1220" s="2">
        <v>10</v>
      </c>
      <c r="E1220" s="2">
        <v>9.4</v>
      </c>
      <c r="F1220" s="2">
        <v>10</v>
      </c>
      <c r="G1220" s="2">
        <v>9.3000000000000007</v>
      </c>
      <c r="H1220" s="2">
        <f>AVERAGE(weather.tbl[[#This Row],[Estevan]:[Kipling]])</f>
        <v>9.5333333333333332</v>
      </c>
      <c r="I1220" s="2">
        <f>_xlfn.STDEV.S(weather.tbl[[#This Row],[Estevan]:[Kipling]])</f>
        <v>0.39832984656772402</v>
      </c>
      <c r="J1220" s="2">
        <f t="shared" si="18"/>
        <v>7.8952380952380965</v>
      </c>
      <c r="K1220">
        <f>DAY(weather.tbl[[#This Row],[Date]])</f>
        <v>3</v>
      </c>
      <c r="L1220">
        <f>MONTH(weather.tbl[[#This Row],[Date]])</f>
        <v>5</v>
      </c>
      <c r="M1220">
        <f>YEAR(weather.tbl[[#This Row],[Date]])</f>
        <v>2017</v>
      </c>
    </row>
    <row r="1221" spans="1:13" x14ac:dyDescent="0.25">
      <c r="A1221" s="1">
        <v>42859</v>
      </c>
      <c r="B1221" s="2">
        <v>9.5</v>
      </c>
      <c r="C1221" s="2">
        <v>12.8</v>
      </c>
      <c r="D1221" s="2">
        <v>13.3</v>
      </c>
      <c r="E1221" s="2">
        <v>13.3</v>
      </c>
      <c r="F1221" s="2">
        <v>13.1</v>
      </c>
      <c r="G1221" s="2">
        <v>13.3</v>
      </c>
      <c r="H1221" s="2">
        <f>AVERAGE(weather.tbl[[#This Row],[Estevan]:[Kipling]])</f>
        <v>12.550000000000002</v>
      </c>
      <c r="I1221" s="2">
        <f>_xlfn.STDEV.S(weather.tbl[[#This Row],[Estevan]:[Kipling]])</f>
        <v>1.5069837424471226</v>
      </c>
      <c r="J1221" s="2">
        <f t="shared" si="18"/>
        <v>9.3214285714285712</v>
      </c>
      <c r="K1221">
        <f>DAY(weather.tbl[[#This Row],[Date]])</f>
        <v>4</v>
      </c>
      <c r="L1221">
        <f>MONTH(weather.tbl[[#This Row],[Date]])</f>
        <v>5</v>
      </c>
      <c r="M1221">
        <f>YEAR(weather.tbl[[#This Row],[Date]])</f>
        <v>2017</v>
      </c>
    </row>
    <row r="1222" spans="1:13" x14ac:dyDescent="0.25">
      <c r="A1222" s="1">
        <v>42860</v>
      </c>
      <c r="B1222" s="2">
        <v>17.8</v>
      </c>
      <c r="C1222" s="2">
        <v>16.899999999999999</v>
      </c>
      <c r="D1222" s="2">
        <v>17.8</v>
      </c>
      <c r="E1222" s="2">
        <v>17.3</v>
      </c>
      <c r="F1222" s="2">
        <v>15.7</v>
      </c>
      <c r="G1222" s="2">
        <v>18.8</v>
      </c>
      <c r="H1222" s="2">
        <f>AVERAGE(weather.tbl[[#This Row],[Estevan]:[Kipling]])</f>
        <v>17.383333333333333</v>
      </c>
      <c r="I1222" s="2">
        <f>_xlfn.STDEV.S(weather.tbl[[#This Row],[Estevan]:[Kipling]])</f>
        <v>1.0419532938988523</v>
      </c>
      <c r="J1222" s="2">
        <f t="shared" si="18"/>
        <v>11.080952380952382</v>
      </c>
      <c r="K1222">
        <f>DAY(weather.tbl[[#This Row],[Date]])</f>
        <v>5</v>
      </c>
      <c r="L1222">
        <f>MONTH(weather.tbl[[#This Row],[Date]])</f>
        <v>5</v>
      </c>
      <c r="M1222">
        <f>YEAR(weather.tbl[[#This Row],[Date]])</f>
        <v>2017</v>
      </c>
    </row>
    <row r="1223" spans="1:13" x14ac:dyDescent="0.25">
      <c r="A1223" s="1">
        <v>42861</v>
      </c>
      <c r="B1223" s="2">
        <v>18.8</v>
      </c>
      <c r="C1223" s="2">
        <v>19.8</v>
      </c>
      <c r="D1223" s="2">
        <v>16.8</v>
      </c>
      <c r="E1223" s="2">
        <v>20.7</v>
      </c>
      <c r="F1223" s="2">
        <v>15.8</v>
      </c>
      <c r="G1223" s="2">
        <v>16.8</v>
      </c>
      <c r="H1223" s="2">
        <f>AVERAGE(weather.tbl[[#This Row],[Estevan]:[Kipling]])</f>
        <v>18.116666666666667</v>
      </c>
      <c r="I1223" s="2">
        <f>_xlfn.STDEV.S(weather.tbl[[#This Row],[Estevan]:[Kipling]])</f>
        <v>1.9395016542057046</v>
      </c>
      <c r="J1223" s="2">
        <f t="shared" si="18"/>
        <v>12.52857142857143</v>
      </c>
      <c r="K1223">
        <f>DAY(weather.tbl[[#This Row],[Date]])</f>
        <v>6</v>
      </c>
      <c r="L1223">
        <f>MONTH(weather.tbl[[#This Row],[Date]])</f>
        <v>5</v>
      </c>
      <c r="M1223">
        <f>YEAR(weather.tbl[[#This Row],[Date]])</f>
        <v>2017</v>
      </c>
    </row>
    <row r="1224" spans="1:13" x14ac:dyDescent="0.25">
      <c r="A1224" s="1">
        <v>42862</v>
      </c>
      <c r="B1224" s="2">
        <v>16.899999999999999</v>
      </c>
      <c r="C1224" s="2">
        <v>17.7</v>
      </c>
      <c r="D1224" s="2">
        <v>15.8</v>
      </c>
      <c r="E1224" s="2">
        <v>18.8</v>
      </c>
      <c r="F1224" s="2">
        <v>15.1</v>
      </c>
      <c r="G1224" s="2">
        <v>16</v>
      </c>
      <c r="H1224" s="2">
        <f>AVERAGE(weather.tbl[[#This Row],[Estevan]:[Kipling]])</f>
        <v>16.716666666666665</v>
      </c>
      <c r="I1224" s="2">
        <f>_xlfn.STDEV.S(weather.tbl[[#This Row],[Estevan]:[Kipling]])</f>
        <v>1.3644290625263986</v>
      </c>
      <c r="J1224" s="2">
        <f t="shared" si="18"/>
        <v>13.350000000000003</v>
      </c>
      <c r="K1224">
        <f>DAY(weather.tbl[[#This Row],[Date]])</f>
        <v>7</v>
      </c>
      <c r="L1224">
        <f>MONTH(weather.tbl[[#This Row],[Date]])</f>
        <v>5</v>
      </c>
      <c r="M1224">
        <f>YEAR(weather.tbl[[#This Row],[Date]])</f>
        <v>2017</v>
      </c>
    </row>
    <row r="1225" spans="1:13" x14ac:dyDescent="0.25">
      <c r="A1225" s="1">
        <v>42863</v>
      </c>
      <c r="B1225" s="2">
        <v>11</v>
      </c>
      <c r="C1225" s="2">
        <v>9.1</v>
      </c>
      <c r="D1225" s="2">
        <v>12.3</v>
      </c>
      <c r="E1225" s="2">
        <v>8.5</v>
      </c>
      <c r="F1225" s="2">
        <v>11.7</v>
      </c>
      <c r="G1225" s="2">
        <v>10.5</v>
      </c>
      <c r="H1225" s="2">
        <f>AVERAGE(weather.tbl[[#This Row],[Estevan]:[Kipling]])</f>
        <v>10.516666666666667</v>
      </c>
      <c r="I1225" s="2">
        <f>_xlfn.STDEV.S(weather.tbl[[#This Row],[Estevan]:[Kipling]])</f>
        <v>1.4756919281024212</v>
      </c>
      <c r="J1225" s="2">
        <f t="shared" si="18"/>
        <v>13.452380952380953</v>
      </c>
      <c r="K1225">
        <f>DAY(weather.tbl[[#This Row],[Date]])</f>
        <v>8</v>
      </c>
      <c r="L1225">
        <f>MONTH(weather.tbl[[#This Row],[Date]])</f>
        <v>5</v>
      </c>
      <c r="M1225">
        <f>YEAR(weather.tbl[[#This Row],[Date]])</f>
        <v>2017</v>
      </c>
    </row>
    <row r="1226" spans="1:13" x14ac:dyDescent="0.25">
      <c r="A1226" s="1">
        <v>42864</v>
      </c>
      <c r="B1226" s="2">
        <v>11.1</v>
      </c>
      <c r="C1226" s="2">
        <v>10.1</v>
      </c>
      <c r="D1226" s="2">
        <v>11.3</v>
      </c>
      <c r="E1226" s="2">
        <v>10</v>
      </c>
      <c r="F1226" s="2">
        <v>12.6</v>
      </c>
      <c r="G1226" s="2">
        <v>10.8</v>
      </c>
      <c r="H1226" s="2">
        <f>AVERAGE(weather.tbl[[#This Row],[Estevan]:[Kipling]])</f>
        <v>10.983333333333334</v>
      </c>
      <c r="I1226" s="2">
        <f>_xlfn.STDEV.S(weather.tbl[[#This Row],[Estevan]:[Kipling]])</f>
        <v>0.94956130221627433</v>
      </c>
      <c r="J1226" s="2">
        <f t="shared" ref="J1226:J1281" si="19">AVERAGE(H1220:H1226)</f>
        <v>13.685714285714285</v>
      </c>
      <c r="K1226">
        <f>DAY(weather.tbl[[#This Row],[Date]])</f>
        <v>9</v>
      </c>
      <c r="L1226">
        <f>MONTH(weather.tbl[[#This Row],[Date]])</f>
        <v>5</v>
      </c>
      <c r="M1226">
        <f>YEAR(weather.tbl[[#This Row],[Date]])</f>
        <v>2017</v>
      </c>
    </row>
    <row r="1227" spans="1:13" x14ac:dyDescent="0.25">
      <c r="A1227" s="1">
        <v>42865</v>
      </c>
      <c r="B1227" s="2">
        <v>9.9</v>
      </c>
      <c r="C1227" s="2">
        <v>9.4</v>
      </c>
      <c r="D1227" s="2">
        <v>8.8000000000000007</v>
      </c>
      <c r="E1227" s="2">
        <v>9</v>
      </c>
      <c r="F1227" s="2">
        <v>9</v>
      </c>
      <c r="G1227" s="2">
        <v>7.8</v>
      </c>
      <c r="H1227" s="2">
        <f>AVERAGE(weather.tbl[[#This Row],[Estevan]:[Kipling]])</f>
        <v>8.9833333333333325</v>
      </c>
      <c r="I1227" s="2">
        <f>_xlfn.STDEV.S(weather.tbl[[#This Row],[Estevan]:[Kipling]])</f>
        <v>0.69976186425573861</v>
      </c>
      <c r="J1227" s="2">
        <f t="shared" si="19"/>
        <v>13.607142857142858</v>
      </c>
      <c r="K1227">
        <f>DAY(weather.tbl[[#This Row],[Date]])</f>
        <v>10</v>
      </c>
      <c r="L1227">
        <f>MONTH(weather.tbl[[#This Row],[Date]])</f>
        <v>5</v>
      </c>
      <c r="M1227">
        <f>YEAR(weather.tbl[[#This Row],[Date]])</f>
        <v>2017</v>
      </c>
    </row>
    <row r="1228" spans="1:13" x14ac:dyDescent="0.25">
      <c r="A1228" s="1">
        <v>42866</v>
      </c>
      <c r="B1228" s="2">
        <v>13.9</v>
      </c>
      <c r="C1228" s="2">
        <v>14.4</v>
      </c>
      <c r="D1228" s="2">
        <v>12</v>
      </c>
      <c r="E1228" s="2">
        <v>13.9</v>
      </c>
      <c r="F1228" s="2">
        <v>9</v>
      </c>
      <c r="G1228" s="2">
        <v>11.8</v>
      </c>
      <c r="H1228" s="2">
        <f>AVERAGE(weather.tbl[[#This Row],[Estevan]:[Kipling]])</f>
        <v>12.5</v>
      </c>
      <c r="I1228" s="2">
        <f>_xlfn.STDEV.S(weather.tbl[[#This Row],[Estevan]:[Kipling]])</f>
        <v>2.0258331619361005</v>
      </c>
      <c r="J1228" s="2">
        <f t="shared" si="19"/>
        <v>13.6</v>
      </c>
      <c r="K1228">
        <f>DAY(weather.tbl[[#This Row],[Date]])</f>
        <v>11</v>
      </c>
      <c r="L1228">
        <f>MONTH(weather.tbl[[#This Row],[Date]])</f>
        <v>5</v>
      </c>
      <c r="M1228">
        <f>YEAR(weather.tbl[[#This Row],[Date]])</f>
        <v>2017</v>
      </c>
    </row>
    <row r="1229" spans="1:13" x14ac:dyDescent="0.25">
      <c r="A1229" s="1">
        <v>42867</v>
      </c>
      <c r="B1229" s="2">
        <v>13.7</v>
      </c>
      <c r="C1229" s="2">
        <v>14.3</v>
      </c>
      <c r="D1229" s="2">
        <v>11.8</v>
      </c>
      <c r="E1229" s="2">
        <v>14.9</v>
      </c>
      <c r="F1229" s="2">
        <v>11.1</v>
      </c>
      <c r="G1229" s="2">
        <v>11</v>
      </c>
      <c r="H1229" s="2">
        <f>AVERAGE(weather.tbl[[#This Row],[Estevan]:[Kipling]])</f>
        <v>12.799999999999999</v>
      </c>
      <c r="I1229" s="2">
        <f>_xlfn.STDEV.S(weather.tbl[[#This Row],[Estevan]:[Kipling]])</f>
        <v>1.7088007490635075</v>
      </c>
      <c r="J1229" s="2">
        <f t="shared" si="19"/>
        <v>12.945238095238095</v>
      </c>
      <c r="K1229">
        <f>DAY(weather.tbl[[#This Row],[Date]])</f>
        <v>12</v>
      </c>
      <c r="L1229">
        <f>MONTH(weather.tbl[[#This Row],[Date]])</f>
        <v>5</v>
      </c>
      <c r="M1229">
        <f>YEAR(weather.tbl[[#This Row],[Date]])</f>
        <v>2017</v>
      </c>
    </row>
    <row r="1230" spans="1:13" x14ac:dyDescent="0.25">
      <c r="A1230" s="1">
        <v>42868</v>
      </c>
      <c r="B1230" s="2">
        <v>14.8</v>
      </c>
      <c r="C1230" s="2">
        <v>15.5</v>
      </c>
      <c r="D1230" s="2">
        <v>14</v>
      </c>
      <c r="E1230" s="2">
        <v>16.100000000000001</v>
      </c>
      <c r="F1230" s="2">
        <v>14.4</v>
      </c>
      <c r="G1230" s="2">
        <v>12</v>
      </c>
      <c r="H1230" s="2">
        <f>AVERAGE(weather.tbl[[#This Row],[Estevan]:[Kipling]])</f>
        <v>14.466666666666667</v>
      </c>
      <c r="I1230" s="2">
        <f>_xlfn.STDEV.S(weather.tbl[[#This Row],[Estevan]:[Kipling]])</f>
        <v>1.4250146198080453</v>
      </c>
      <c r="J1230" s="2">
        <f t="shared" si="19"/>
        <v>12.423809523809524</v>
      </c>
      <c r="K1230">
        <f>DAY(weather.tbl[[#This Row],[Date]])</f>
        <v>13</v>
      </c>
      <c r="L1230">
        <f>MONTH(weather.tbl[[#This Row],[Date]])</f>
        <v>5</v>
      </c>
      <c r="M1230">
        <f>YEAR(weather.tbl[[#This Row],[Date]])</f>
        <v>2017</v>
      </c>
    </row>
    <row r="1231" spans="1:13" x14ac:dyDescent="0.25">
      <c r="A1231" s="1">
        <v>42869</v>
      </c>
      <c r="B1231" s="2">
        <v>13.7</v>
      </c>
      <c r="C1231" s="2">
        <v>10.9</v>
      </c>
      <c r="D1231" s="2">
        <v>14</v>
      </c>
      <c r="E1231" s="2">
        <v>11</v>
      </c>
      <c r="F1231" s="2">
        <v>13.8</v>
      </c>
      <c r="G1231" s="2">
        <v>13.5</v>
      </c>
      <c r="H1231" s="2">
        <f>AVERAGE(weather.tbl[[#This Row],[Estevan]:[Kipling]])</f>
        <v>12.816666666666668</v>
      </c>
      <c r="I1231" s="2">
        <f>_xlfn.STDEV.S(weather.tbl[[#This Row],[Estevan]:[Kipling]])</f>
        <v>1.4552204873030927</v>
      </c>
      <c r="J1231" s="2">
        <f t="shared" si="19"/>
        <v>11.866666666666665</v>
      </c>
      <c r="K1231">
        <f>DAY(weather.tbl[[#This Row],[Date]])</f>
        <v>14</v>
      </c>
      <c r="L1231">
        <f>MONTH(weather.tbl[[#This Row],[Date]])</f>
        <v>5</v>
      </c>
      <c r="M1231">
        <f>YEAR(weather.tbl[[#This Row],[Date]])</f>
        <v>2017</v>
      </c>
    </row>
    <row r="1232" spans="1:13" x14ac:dyDescent="0.25">
      <c r="A1232" s="1">
        <v>42870</v>
      </c>
      <c r="B1232" s="2">
        <v>11.8</v>
      </c>
      <c r="C1232" s="2">
        <v>10.4</v>
      </c>
      <c r="D1232" s="2">
        <v>11</v>
      </c>
      <c r="E1232" s="2">
        <v>10.4</v>
      </c>
      <c r="F1232" s="2">
        <v>12</v>
      </c>
      <c r="G1232" s="2">
        <v>11.5</v>
      </c>
      <c r="H1232" s="2">
        <f>AVERAGE(weather.tbl[[#This Row],[Estevan]:[Kipling]])</f>
        <v>11.183333333333332</v>
      </c>
      <c r="I1232" s="2">
        <f>_xlfn.STDEV.S(weather.tbl[[#This Row],[Estevan]:[Kipling]])</f>
        <v>0.69402209378856705</v>
      </c>
      <c r="J1232" s="2">
        <f t="shared" si="19"/>
        <v>11.961904761904762</v>
      </c>
      <c r="K1232">
        <f>DAY(weather.tbl[[#This Row],[Date]])</f>
        <v>15</v>
      </c>
      <c r="L1232">
        <f>MONTH(weather.tbl[[#This Row],[Date]])</f>
        <v>5</v>
      </c>
      <c r="M1232">
        <f>YEAR(weather.tbl[[#This Row],[Date]])</f>
        <v>2017</v>
      </c>
    </row>
    <row r="1233" spans="1:13" x14ac:dyDescent="0.25">
      <c r="A1233" s="1">
        <v>42871</v>
      </c>
      <c r="B1233" s="2">
        <v>13.1</v>
      </c>
      <c r="C1233" s="2">
        <v>9.9</v>
      </c>
      <c r="D1233" s="2">
        <v>11.8</v>
      </c>
      <c r="E1233" s="2">
        <v>9.3000000000000007</v>
      </c>
      <c r="F1233" s="2">
        <v>13.1</v>
      </c>
      <c r="G1233" s="2">
        <v>12.5</v>
      </c>
      <c r="H1233" s="2">
        <f>AVERAGE(weather.tbl[[#This Row],[Estevan]:[Kipling]])</f>
        <v>11.616666666666665</v>
      </c>
      <c r="I1233" s="2">
        <f>_xlfn.STDEV.S(weather.tbl[[#This Row],[Estevan]:[Kipling]])</f>
        <v>1.644891080487316</v>
      </c>
      <c r="J1233" s="2">
        <f t="shared" si="19"/>
        <v>12.052380952380952</v>
      </c>
      <c r="K1233">
        <f>DAY(weather.tbl[[#This Row],[Date]])</f>
        <v>16</v>
      </c>
      <c r="L1233">
        <f>MONTH(weather.tbl[[#This Row],[Date]])</f>
        <v>5</v>
      </c>
      <c r="M1233">
        <f>YEAR(weather.tbl[[#This Row],[Date]])</f>
        <v>2017</v>
      </c>
    </row>
    <row r="1234" spans="1:13" x14ac:dyDescent="0.25">
      <c r="A1234" s="1">
        <v>42872</v>
      </c>
      <c r="B1234" s="2">
        <v>7</v>
      </c>
      <c r="C1234" s="2">
        <v>6.4</v>
      </c>
      <c r="D1234" s="2">
        <v>8</v>
      </c>
      <c r="E1234" s="2">
        <v>5.9</v>
      </c>
      <c r="F1234" s="2">
        <v>7.3</v>
      </c>
      <c r="G1234" s="2">
        <v>7.8</v>
      </c>
      <c r="H1234" s="2">
        <f>AVERAGE(weather.tbl[[#This Row],[Estevan]:[Kipling]])</f>
        <v>7.0666666666666655</v>
      </c>
      <c r="I1234" s="2">
        <f>_xlfn.STDEV.S(weather.tbl[[#This Row],[Estevan]:[Kipling]])</f>
        <v>0.809114742583946</v>
      </c>
      <c r="J1234" s="2">
        <f t="shared" si="19"/>
        <v>11.778571428571427</v>
      </c>
      <c r="K1234">
        <f>DAY(weather.tbl[[#This Row],[Date]])</f>
        <v>17</v>
      </c>
      <c r="L1234">
        <f>MONTH(weather.tbl[[#This Row],[Date]])</f>
        <v>5</v>
      </c>
      <c r="M1234">
        <f>YEAR(weather.tbl[[#This Row],[Date]])</f>
        <v>2017</v>
      </c>
    </row>
    <row r="1235" spans="1:13" x14ac:dyDescent="0.25">
      <c r="A1235" s="1">
        <v>42873</v>
      </c>
      <c r="B1235" s="2">
        <v>6.1</v>
      </c>
      <c r="C1235" s="2">
        <v>5.3</v>
      </c>
      <c r="D1235" s="2">
        <v>6.3</v>
      </c>
      <c r="E1235" s="2">
        <v>4.5999999999999996</v>
      </c>
      <c r="F1235" s="2">
        <v>6</v>
      </c>
      <c r="G1235" s="2">
        <v>5.3</v>
      </c>
      <c r="H1235" s="2">
        <f>AVERAGE(weather.tbl[[#This Row],[Estevan]:[Kipling]])</f>
        <v>5.5999999999999988</v>
      </c>
      <c r="I1235" s="2">
        <f>_xlfn.STDEV.S(weather.tbl[[#This Row],[Estevan]:[Kipling]])</f>
        <v>0.64498061986389033</v>
      </c>
      <c r="J1235" s="2">
        <f t="shared" si="19"/>
        <v>10.792857142857143</v>
      </c>
      <c r="K1235">
        <f>DAY(weather.tbl[[#This Row],[Date]])</f>
        <v>18</v>
      </c>
      <c r="L1235">
        <f>MONTH(weather.tbl[[#This Row],[Date]])</f>
        <v>5</v>
      </c>
      <c r="M1235">
        <f>YEAR(weather.tbl[[#This Row],[Date]])</f>
        <v>2017</v>
      </c>
    </row>
    <row r="1236" spans="1:13" x14ac:dyDescent="0.25">
      <c r="A1236" s="1">
        <v>42874</v>
      </c>
      <c r="B1236" s="2">
        <v>8.5</v>
      </c>
      <c r="C1236" s="2">
        <v>7.8</v>
      </c>
      <c r="D1236" s="2">
        <v>6.3</v>
      </c>
      <c r="E1236" s="2">
        <v>8</v>
      </c>
      <c r="F1236" s="2">
        <v>7.7</v>
      </c>
      <c r="G1236" s="2">
        <v>8.5</v>
      </c>
      <c r="H1236" s="2">
        <f>AVERAGE(weather.tbl[[#This Row],[Estevan]:[Kipling]])</f>
        <v>7.8000000000000007</v>
      </c>
      <c r="I1236" s="2">
        <f>_xlfn.STDEV.S(weather.tbl[[#This Row],[Estevan]:[Kipling]])</f>
        <v>0.80993826925266355</v>
      </c>
      <c r="J1236" s="2">
        <f t="shared" si="19"/>
        <v>10.078571428571427</v>
      </c>
      <c r="K1236">
        <f>DAY(weather.tbl[[#This Row],[Date]])</f>
        <v>19</v>
      </c>
      <c r="L1236">
        <f>MONTH(weather.tbl[[#This Row],[Date]])</f>
        <v>5</v>
      </c>
      <c r="M1236">
        <f>YEAR(weather.tbl[[#This Row],[Date]])</f>
        <v>2017</v>
      </c>
    </row>
    <row r="1237" spans="1:13" x14ac:dyDescent="0.25">
      <c r="A1237" s="1">
        <v>42875</v>
      </c>
      <c r="B1237" s="2">
        <v>12.4</v>
      </c>
      <c r="C1237" s="2">
        <v>11.7</v>
      </c>
      <c r="D1237" s="2">
        <v>6.3</v>
      </c>
      <c r="E1237" s="2">
        <v>12.7</v>
      </c>
      <c r="F1237" s="2">
        <v>12</v>
      </c>
      <c r="G1237" s="2">
        <v>12</v>
      </c>
      <c r="H1237" s="2">
        <f>AVERAGE(weather.tbl[[#This Row],[Estevan]:[Kipling]])</f>
        <v>11.183333333333332</v>
      </c>
      <c r="I1237" s="2">
        <f>_xlfn.STDEV.S(weather.tbl[[#This Row],[Estevan]:[Kipling]])</f>
        <v>2.4177813521215463</v>
      </c>
      <c r="J1237" s="2">
        <f t="shared" si="19"/>
        <v>9.6095238095238091</v>
      </c>
      <c r="K1237">
        <f>DAY(weather.tbl[[#This Row],[Date]])</f>
        <v>20</v>
      </c>
      <c r="L1237">
        <f>MONTH(weather.tbl[[#This Row],[Date]])</f>
        <v>5</v>
      </c>
      <c r="M1237">
        <f>YEAR(weather.tbl[[#This Row],[Date]])</f>
        <v>2017</v>
      </c>
    </row>
    <row r="1238" spans="1:13" x14ac:dyDescent="0.25">
      <c r="A1238" s="1">
        <v>42876</v>
      </c>
      <c r="B1238" s="2">
        <v>12.5</v>
      </c>
      <c r="C1238" s="2">
        <v>12.3</v>
      </c>
      <c r="D1238" s="2">
        <v>11.3</v>
      </c>
      <c r="E1238" s="2">
        <v>11.6</v>
      </c>
      <c r="F1238" s="2">
        <v>11</v>
      </c>
      <c r="G1238" s="2">
        <v>12.8</v>
      </c>
      <c r="H1238" s="2">
        <f>AVERAGE(weather.tbl[[#This Row],[Estevan]:[Kipling]])</f>
        <v>11.916666666666666</v>
      </c>
      <c r="I1238" s="2">
        <f>_xlfn.STDEV.S(weather.tbl[[#This Row],[Estevan]:[Kipling]])</f>
        <v>0.71949056051255245</v>
      </c>
      <c r="J1238" s="2">
        <f t="shared" si="19"/>
        <v>9.4809523809523792</v>
      </c>
      <c r="K1238">
        <f>DAY(weather.tbl[[#This Row],[Date]])</f>
        <v>21</v>
      </c>
      <c r="L1238">
        <f>MONTH(weather.tbl[[#This Row],[Date]])</f>
        <v>5</v>
      </c>
      <c r="M1238">
        <f>YEAR(weather.tbl[[#This Row],[Date]])</f>
        <v>2017</v>
      </c>
    </row>
    <row r="1239" spans="1:13" x14ac:dyDescent="0.25">
      <c r="A1239" s="1">
        <v>42877</v>
      </c>
      <c r="B1239" s="2">
        <v>12.9</v>
      </c>
      <c r="C1239" s="2">
        <v>13.1</v>
      </c>
      <c r="D1239" s="2">
        <v>12</v>
      </c>
      <c r="E1239" s="2">
        <v>12.4</v>
      </c>
      <c r="F1239" s="2">
        <v>12.6</v>
      </c>
      <c r="G1239" s="2">
        <v>12.8</v>
      </c>
      <c r="H1239" s="2">
        <f>AVERAGE(weather.tbl[[#This Row],[Estevan]:[Kipling]])</f>
        <v>12.633333333333333</v>
      </c>
      <c r="I1239" s="2">
        <f>_xlfn.STDEV.S(weather.tbl[[#This Row],[Estevan]:[Kipling]])</f>
        <v>0.39327683210006997</v>
      </c>
      <c r="J1239" s="2">
        <f t="shared" si="19"/>
        <v>9.6880952380952383</v>
      </c>
      <c r="K1239">
        <f>DAY(weather.tbl[[#This Row],[Date]])</f>
        <v>22</v>
      </c>
      <c r="L1239">
        <f>MONTH(weather.tbl[[#This Row],[Date]])</f>
        <v>5</v>
      </c>
      <c r="M1239">
        <f>YEAR(weather.tbl[[#This Row],[Date]])</f>
        <v>2017</v>
      </c>
    </row>
    <row r="1240" spans="1:13" x14ac:dyDescent="0.25">
      <c r="A1240" s="1">
        <v>42878</v>
      </c>
      <c r="B1240" s="2">
        <v>12</v>
      </c>
      <c r="C1240" s="2">
        <v>12.6</v>
      </c>
      <c r="D1240" s="2">
        <v>11.3</v>
      </c>
      <c r="E1240" s="2">
        <v>12.5</v>
      </c>
      <c r="F1240" s="2">
        <v>11.3</v>
      </c>
      <c r="G1240" s="2">
        <v>12.3</v>
      </c>
      <c r="H1240" s="2">
        <f>AVERAGE(weather.tbl[[#This Row],[Estevan]:[Kipling]])</f>
        <v>12</v>
      </c>
      <c r="I1240" s="2">
        <f>_xlfn.STDEV.S(weather.tbl[[#This Row],[Estevan]:[Kipling]])</f>
        <v>0.5796550698475772</v>
      </c>
      <c r="J1240" s="2">
        <f t="shared" si="19"/>
        <v>9.742857142857142</v>
      </c>
      <c r="K1240">
        <f>DAY(weather.tbl[[#This Row],[Date]])</f>
        <v>23</v>
      </c>
      <c r="L1240">
        <f>MONTH(weather.tbl[[#This Row],[Date]])</f>
        <v>5</v>
      </c>
      <c r="M1240">
        <f>YEAR(weather.tbl[[#This Row],[Date]])</f>
        <v>2017</v>
      </c>
    </row>
    <row r="1241" spans="1:13" x14ac:dyDescent="0.25">
      <c r="A1241" s="1">
        <v>42879</v>
      </c>
      <c r="B1241" s="2">
        <v>16.2</v>
      </c>
      <c r="C1241" s="2">
        <v>16.7</v>
      </c>
      <c r="D1241" s="2">
        <v>15.5</v>
      </c>
      <c r="E1241" s="2">
        <v>17.8</v>
      </c>
      <c r="F1241" s="2">
        <v>14.5</v>
      </c>
      <c r="G1241" s="2">
        <v>16</v>
      </c>
      <c r="H1241" s="2">
        <f>AVERAGE(weather.tbl[[#This Row],[Estevan]:[Kipling]])</f>
        <v>16.116666666666667</v>
      </c>
      <c r="I1241" s="2">
        <f>_xlfn.STDEV.S(weather.tbl[[#This Row],[Estevan]:[Kipling]])</f>
        <v>1.1125046816380897</v>
      </c>
      <c r="J1241" s="2">
        <f t="shared" si="19"/>
        <v>11.035714285714286</v>
      </c>
      <c r="K1241">
        <f>DAY(weather.tbl[[#This Row],[Date]])</f>
        <v>24</v>
      </c>
      <c r="L1241">
        <f>MONTH(weather.tbl[[#This Row],[Date]])</f>
        <v>5</v>
      </c>
      <c r="M1241">
        <f>YEAR(weather.tbl[[#This Row],[Date]])</f>
        <v>2017</v>
      </c>
    </row>
    <row r="1242" spans="1:13" x14ac:dyDescent="0.25">
      <c r="A1242" s="1">
        <v>42880</v>
      </c>
      <c r="B1242" s="2">
        <v>12.7</v>
      </c>
      <c r="C1242" s="2">
        <v>9.1999999999999993</v>
      </c>
      <c r="D1242" s="2">
        <v>12.5</v>
      </c>
      <c r="E1242" s="2">
        <v>9.6</v>
      </c>
      <c r="F1242" s="2">
        <v>15.5</v>
      </c>
      <c r="G1242" s="2">
        <v>11.5</v>
      </c>
      <c r="H1242" s="2">
        <f>AVERAGE(weather.tbl[[#This Row],[Estevan]:[Kipling]])</f>
        <v>11.833333333333334</v>
      </c>
      <c r="I1242" s="2">
        <f>_xlfn.STDEV.S(weather.tbl[[#This Row],[Estevan]:[Kipling]])</f>
        <v>2.3096897338531552</v>
      </c>
      <c r="J1242" s="2">
        <f t="shared" si="19"/>
        <v>11.926190476190476</v>
      </c>
      <c r="K1242">
        <f>DAY(weather.tbl[[#This Row],[Date]])</f>
        <v>25</v>
      </c>
      <c r="L1242">
        <f>MONTH(weather.tbl[[#This Row],[Date]])</f>
        <v>5</v>
      </c>
      <c r="M1242">
        <f>YEAR(weather.tbl[[#This Row],[Date]])</f>
        <v>2017</v>
      </c>
    </row>
    <row r="1243" spans="1:13" x14ac:dyDescent="0.25">
      <c r="A1243" s="1">
        <v>42881</v>
      </c>
      <c r="B1243" s="2">
        <v>14.1</v>
      </c>
      <c r="C1243" s="2">
        <v>14.1</v>
      </c>
      <c r="D1243" s="2">
        <v>13.3</v>
      </c>
      <c r="E1243" s="2">
        <v>14.5</v>
      </c>
      <c r="F1243" s="2">
        <v>13.5</v>
      </c>
      <c r="G1243" s="2">
        <v>12.3</v>
      </c>
      <c r="H1243" s="2">
        <f>AVERAGE(weather.tbl[[#This Row],[Estevan]:[Kipling]])</f>
        <v>13.633333333333333</v>
      </c>
      <c r="I1243" s="2">
        <f>_xlfn.STDEV.S(weather.tbl[[#This Row],[Estevan]:[Kipling]])</f>
        <v>0.78655366420013961</v>
      </c>
      <c r="J1243" s="2">
        <f t="shared" si="19"/>
        <v>12.759523809523809</v>
      </c>
      <c r="K1243">
        <f>DAY(weather.tbl[[#This Row],[Date]])</f>
        <v>26</v>
      </c>
      <c r="L1243">
        <f>MONTH(weather.tbl[[#This Row],[Date]])</f>
        <v>5</v>
      </c>
      <c r="M1243">
        <f>YEAR(weather.tbl[[#This Row],[Date]])</f>
        <v>2017</v>
      </c>
    </row>
    <row r="1244" spans="1:13" x14ac:dyDescent="0.25">
      <c r="A1244" s="1">
        <v>42882</v>
      </c>
      <c r="B1244" s="2">
        <v>13.8</v>
      </c>
      <c r="C1244" s="2">
        <v>14.3</v>
      </c>
      <c r="D1244" s="2">
        <v>13.3</v>
      </c>
      <c r="E1244" s="2">
        <v>14.1</v>
      </c>
      <c r="F1244" s="2">
        <v>14.7</v>
      </c>
      <c r="G1244" s="2">
        <v>13.5</v>
      </c>
      <c r="H1244" s="2">
        <f>AVERAGE(weather.tbl[[#This Row],[Estevan]:[Kipling]])</f>
        <v>13.950000000000001</v>
      </c>
      <c r="I1244" s="2">
        <f>_xlfn.STDEV.S(weather.tbl[[#This Row],[Estevan]:[Kipling]])</f>
        <v>0.52057660339281442</v>
      </c>
      <c r="J1244" s="2">
        <f t="shared" si="19"/>
        <v>13.154761904761903</v>
      </c>
      <c r="K1244">
        <f>DAY(weather.tbl[[#This Row],[Date]])</f>
        <v>27</v>
      </c>
      <c r="L1244">
        <f>MONTH(weather.tbl[[#This Row],[Date]])</f>
        <v>5</v>
      </c>
      <c r="M1244">
        <f>YEAR(weather.tbl[[#This Row],[Date]])</f>
        <v>2017</v>
      </c>
    </row>
    <row r="1245" spans="1:13" x14ac:dyDescent="0.25">
      <c r="A1245" s="1">
        <v>42883</v>
      </c>
      <c r="B1245" s="2">
        <v>13</v>
      </c>
      <c r="C1245" s="2">
        <v>12.6</v>
      </c>
      <c r="D1245" s="2">
        <v>11.8</v>
      </c>
      <c r="E1245" s="2">
        <v>13.6</v>
      </c>
      <c r="F1245" s="2">
        <v>13.8</v>
      </c>
      <c r="G1245" s="2">
        <v>11.8</v>
      </c>
      <c r="H1245" s="2">
        <f>AVERAGE(weather.tbl[[#This Row],[Estevan]:[Kipling]])</f>
        <v>12.766666666666667</v>
      </c>
      <c r="I1245" s="2">
        <f>_xlfn.STDEV.S(weather.tbl[[#This Row],[Estevan]:[Kipling]])</f>
        <v>0.86178110136313979</v>
      </c>
      <c r="J1245" s="2">
        <f t="shared" si="19"/>
        <v>13.276190476190477</v>
      </c>
      <c r="K1245">
        <f>DAY(weather.tbl[[#This Row],[Date]])</f>
        <v>28</v>
      </c>
      <c r="L1245">
        <f>MONTH(weather.tbl[[#This Row],[Date]])</f>
        <v>5</v>
      </c>
      <c r="M1245">
        <f>YEAR(weather.tbl[[#This Row],[Date]])</f>
        <v>2017</v>
      </c>
    </row>
    <row r="1246" spans="1:13" x14ac:dyDescent="0.25">
      <c r="A1246" s="1">
        <v>42884</v>
      </c>
      <c r="B1246" s="2">
        <v>12.3</v>
      </c>
      <c r="C1246" s="2">
        <v>12.8</v>
      </c>
      <c r="D1246" s="2">
        <v>11.3</v>
      </c>
      <c r="E1246" s="2">
        <v>11.8</v>
      </c>
      <c r="F1246" s="2">
        <v>11.9</v>
      </c>
      <c r="G1246" s="2">
        <v>12.3</v>
      </c>
      <c r="H1246" s="2">
        <f>AVERAGE(weather.tbl[[#This Row],[Estevan]:[Kipling]])</f>
        <v>12.066666666666668</v>
      </c>
      <c r="I1246" s="2">
        <f>_xlfn.STDEV.S(weather.tbl[[#This Row],[Estevan]:[Kipling]])</f>
        <v>0.51639777949432231</v>
      </c>
      <c r="J1246" s="2">
        <f t="shared" si="19"/>
        <v>13.195238095238095</v>
      </c>
      <c r="K1246">
        <f>DAY(weather.tbl[[#This Row],[Date]])</f>
        <v>29</v>
      </c>
      <c r="L1246">
        <f>MONTH(weather.tbl[[#This Row],[Date]])</f>
        <v>5</v>
      </c>
      <c r="M1246">
        <f>YEAR(weather.tbl[[#This Row],[Date]])</f>
        <v>2017</v>
      </c>
    </row>
    <row r="1247" spans="1:13" x14ac:dyDescent="0.25">
      <c r="A1247" s="1">
        <v>42885</v>
      </c>
      <c r="B1247" s="2">
        <v>10.199999999999999</v>
      </c>
      <c r="C1247" s="2">
        <v>12.8</v>
      </c>
      <c r="D1247" s="2">
        <v>11.3</v>
      </c>
      <c r="E1247" s="2">
        <v>9.6999999999999993</v>
      </c>
      <c r="F1247" s="2">
        <v>13.2</v>
      </c>
      <c r="G1247" s="2">
        <v>11</v>
      </c>
      <c r="H1247" s="2">
        <f>AVERAGE(weather.tbl[[#This Row],[Estevan]:[Kipling]])</f>
        <v>11.366666666666667</v>
      </c>
      <c r="I1247" s="2">
        <f>_xlfn.STDEV.S(weather.tbl[[#This Row],[Estevan]:[Kipling]])</f>
        <v>1.3923601066773752</v>
      </c>
      <c r="J1247" s="2">
        <f t="shared" si="19"/>
        <v>13.104761904761906</v>
      </c>
      <c r="K1247">
        <f>DAY(weather.tbl[[#This Row],[Date]])</f>
        <v>30</v>
      </c>
      <c r="L1247">
        <f>MONTH(weather.tbl[[#This Row],[Date]])</f>
        <v>5</v>
      </c>
      <c r="M1247">
        <f>YEAR(weather.tbl[[#This Row],[Date]])</f>
        <v>2017</v>
      </c>
    </row>
    <row r="1248" spans="1:13" x14ac:dyDescent="0.25">
      <c r="A1248" s="1">
        <v>42886</v>
      </c>
      <c r="B1248" s="2">
        <v>13.9</v>
      </c>
      <c r="C1248" s="2">
        <v>13.7</v>
      </c>
      <c r="D1248" s="2">
        <v>12.8</v>
      </c>
      <c r="E1248" s="2">
        <v>13.5</v>
      </c>
      <c r="F1248" s="2">
        <v>14.2</v>
      </c>
      <c r="G1248" s="2">
        <v>13.5</v>
      </c>
      <c r="H1248" s="2">
        <f>AVERAGE(weather.tbl[[#This Row],[Estevan]:[Kipling]])</f>
        <v>13.600000000000001</v>
      </c>
      <c r="I1248" s="2">
        <f>_xlfn.STDEV.S(weather.tbl[[#This Row],[Estevan]:[Kipling]])</f>
        <v>0.47328638264796885</v>
      </c>
      <c r="J1248" s="2">
        <f t="shared" si="19"/>
        <v>12.745238095238095</v>
      </c>
      <c r="K1248">
        <f>DAY(weather.tbl[[#This Row],[Date]])</f>
        <v>31</v>
      </c>
      <c r="L1248">
        <f>MONTH(weather.tbl[[#This Row],[Date]])</f>
        <v>5</v>
      </c>
      <c r="M1248">
        <f>YEAR(weather.tbl[[#This Row],[Date]])</f>
        <v>2017</v>
      </c>
    </row>
    <row r="1249" spans="1:13" x14ac:dyDescent="0.25">
      <c r="A1249" s="1">
        <v>42887</v>
      </c>
      <c r="B1249" s="2">
        <v>20</v>
      </c>
      <c r="C1249" s="2">
        <v>20.8</v>
      </c>
      <c r="D1249" s="2">
        <v>17.5</v>
      </c>
      <c r="E1249" s="2">
        <v>21.1</v>
      </c>
      <c r="F1249" s="2">
        <v>14.2</v>
      </c>
      <c r="G1249" s="2">
        <v>19</v>
      </c>
      <c r="H1249" s="2">
        <f>AVERAGE(weather.tbl[[#This Row],[Estevan]:[Kipling]])</f>
        <v>18.766666666666669</v>
      </c>
      <c r="I1249" s="2">
        <f>_xlfn.STDEV.S(weather.tbl[[#This Row],[Estevan]:[Kipling]])</f>
        <v>2.5928105728468953</v>
      </c>
      <c r="J1249" s="2">
        <f t="shared" si="19"/>
        <v>13.735714285714286</v>
      </c>
      <c r="K1249">
        <f>DAY(weather.tbl[[#This Row],[Date]])</f>
        <v>1</v>
      </c>
      <c r="L1249">
        <f>MONTH(weather.tbl[[#This Row],[Date]])</f>
        <v>6</v>
      </c>
      <c r="M1249">
        <f>YEAR(weather.tbl[[#This Row],[Date]])</f>
        <v>2017</v>
      </c>
    </row>
    <row r="1250" spans="1:13" x14ac:dyDescent="0.25">
      <c r="A1250" s="1">
        <v>42888</v>
      </c>
      <c r="B1250" s="2">
        <v>22.7</v>
      </c>
      <c r="C1250" s="2">
        <v>20.9</v>
      </c>
      <c r="D1250" s="2">
        <v>21.3</v>
      </c>
      <c r="E1250" s="2">
        <v>20.5</v>
      </c>
      <c r="F1250" s="2">
        <v>24.8</v>
      </c>
      <c r="G1250" s="2">
        <v>21.5</v>
      </c>
      <c r="H1250" s="2">
        <f>AVERAGE(weather.tbl[[#This Row],[Estevan]:[Kipling]])</f>
        <v>21.95</v>
      </c>
      <c r="I1250" s="2">
        <f>_xlfn.STDEV.S(weather.tbl[[#This Row],[Estevan]:[Kipling]])</f>
        <v>1.582087228947886</v>
      </c>
      <c r="J1250" s="2">
        <f t="shared" si="19"/>
        <v>14.923809523809526</v>
      </c>
      <c r="K1250">
        <f>DAY(weather.tbl[[#This Row],[Date]])</f>
        <v>2</v>
      </c>
      <c r="L1250">
        <f>MONTH(weather.tbl[[#This Row],[Date]])</f>
        <v>6</v>
      </c>
      <c r="M1250">
        <f>YEAR(weather.tbl[[#This Row],[Date]])</f>
        <v>2017</v>
      </c>
    </row>
    <row r="1251" spans="1:13" x14ac:dyDescent="0.25">
      <c r="A1251" s="1">
        <v>42889</v>
      </c>
      <c r="B1251" s="2">
        <v>18.600000000000001</v>
      </c>
      <c r="C1251" s="2">
        <v>19.100000000000001</v>
      </c>
      <c r="D1251" s="2">
        <v>18.3</v>
      </c>
      <c r="E1251" s="2">
        <v>18.399999999999999</v>
      </c>
      <c r="F1251" s="2">
        <v>20.7</v>
      </c>
      <c r="G1251" s="2">
        <v>18.3</v>
      </c>
      <c r="H1251" s="2">
        <f>AVERAGE(weather.tbl[[#This Row],[Estevan]:[Kipling]])</f>
        <v>18.900000000000002</v>
      </c>
      <c r="I1251" s="2">
        <f>_xlfn.STDEV.S(weather.tbl[[#This Row],[Estevan]:[Kipling]])</f>
        <v>0.931665175908169</v>
      </c>
      <c r="J1251" s="2">
        <f t="shared" si="19"/>
        <v>15.630952380952383</v>
      </c>
      <c r="K1251">
        <f>DAY(weather.tbl[[#This Row],[Date]])</f>
        <v>3</v>
      </c>
      <c r="L1251">
        <f>MONTH(weather.tbl[[#This Row],[Date]])</f>
        <v>6</v>
      </c>
      <c r="M1251">
        <f>YEAR(weather.tbl[[#This Row],[Date]])</f>
        <v>2017</v>
      </c>
    </row>
    <row r="1252" spans="1:13" x14ac:dyDescent="0.25">
      <c r="A1252" s="1">
        <v>42890</v>
      </c>
      <c r="B1252" s="2">
        <v>19.100000000000001</v>
      </c>
      <c r="C1252" s="2">
        <v>19.5</v>
      </c>
      <c r="D1252" s="2">
        <v>17.8</v>
      </c>
      <c r="E1252" s="2">
        <v>19.2</v>
      </c>
      <c r="F1252" s="2">
        <v>17.899999999999999</v>
      </c>
      <c r="G1252" s="2">
        <v>20.3</v>
      </c>
      <c r="H1252" s="2">
        <f>AVERAGE(weather.tbl[[#This Row],[Estevan]:[Kipling]])</f>
        <v>18.966666666666665</v>
      </c>
      <c r="I1252" s="2">
        <f>_xlfn.STDEV.S(weather.tbl[[#This Row],[Estevan]:[Kipling]])</f>
        <v>0.96263527187957709</v>
      </c>
      <c r="J1252" s="2">
        <f t="shared" si="19"/>
        <v>16.516666666666669</v>
      </c>
      <c r="K1252">
        <f>DAY(weather.tbl[[#This Row],[Date]])</f>
        <v>4</v>
      </c>
      <c r="L1252">
        <f>MONTH(weather.tbl[[#This Row],[Date]])</f>
        <v>6</v>
      </c>
      <c r="M1252">
        <f>YEAR(weather.tbl[[#This Row],[Date]])</f>
        <v>2017</v>
      </c>
    </row>
    <row r="1253" spans="1:13" x14ac:dyDescent="0.25">
      <c r="A1253" s="1">
        <v>42891</v>
      </c>
      <c r="B1253" s="2">
        <v>21.6</v>
      </c>
      <c r="C1253" s="2">
        <v>24</v>
      </c>
      <c r="D1253" s="2">
        <v>17.8</v>
      </c>
      <c r="E1253" s="2">
        <v>23.8</v>
      </c>
      <c r="F1253" s="2">
        <v>19.7</v>
      </c>
      <c r="G1253" s="2">
        <v>20</v>
      </c>
      <c r="H1253" s="2">
        <f>AVERAGE(weather.tbl[[#This Row],[Estevan]:[Kipling]])</f>
        <v>21.150000000000002</v>
      </c>
      <c r="I1253" s="2">
        <f>_xlfn.STDEV.S(weather.tbl[[#This Row],[Estevan]:[Kipling]])</f>
        <v>2.4492856101320788</v>
      </c>
      <c r="J1253" s="2">
        <f t="shared" si="19"/>
        <v>17.814285714285717</v>
      </c>
      <c r="K1253">
        <f>DAY(weather.tbl[[#This Row],[Date]])</f>
        <v>5</v>
      </c>
      <c r="L1253">
        <f>MONTH(weather.tbl[[#This Row],[Date]])</f>
        <v>6</v>
      </c>
      <c r="M1253">
        <f>YEAR(weather.tbl[[#This Row],[Date]])</f>
        <v>2017</v>
      </c>
    </row>
    <row r="1254" spans="1:13" x14ac:dyDescent="0.25">
      <c r="A1254" s="1">
        <v>42892</v>
      </c>
      <c r="B1254" s="2">
        <v>14.7</v>
      </c>
      <c r="C1254" s="2">
        <v>13.1</v>
      </c>
      <c r="D1254" s="2">
        <v>14.8</v>
      </c>
      <c r="E1254" s="2">
        <v>13.4</v>
      </c>
      <c r="F1254" s="2">
        <v>18</v>
      </c>
      <c r="G1254" s="2">
        <v>13.5</v>
      </c>
      <c r="H1254" s="2">
        <f>AVERAGE(weather.tbl[[#This Row],[Estevan]:[Kipling]])</f>
        <v>14.583333333333334</v>
      </c>
      <c r="I1254" s="2">
        <f>_xlfn.STDEV.S(weather.tbl[[#This Row],[Estevan]:[Kipling]])</f>
        <v>1.8170488894541728</v>
      </c>
      <c r="J1254" s="2">
        <f t="shared" si="19"/>
        <v>18.273809523809526</v>
      </c>
      <c r="K1254">
        <f>DAY(weather.tbl[[#This Row],[Date]])</f>
        <v>6</v>
      </c>
      <c r="L1254">
        <f>MONTH(weather.tbl[[#This Row],[Date]])</f>
        <v>6</v>
      </c>
      <c r="M1254">
        <f>YEAR(weather.tbl[[#This Row],[Date]])</f>
        <v>2017</v>
      </c>
    </row>
    <row r="1255" spans="1:13" x14ac:dyDescent="0.25">
      <c r="A1255" s="1">
        <v>42893</v>
      </c>
      <c r="B1255" s="2">
        <v>17.100000000000001</v>
      </c>
      <c r="C1255" s="2">
        <v>15.6</v>
      </c>
      <c r="D1255" s="2">
        <v>18</v>
      </c>
      <c r="E1255" s="2">
        <v>15.7</v>
      </c>
      <c r="F1255" s="2">
        <v>18</v>
      </c>
      <c r="G1255" s="2">
        <v>17</v>
      </c>
      <c r="H1255" s="2">
        <f>AVERAGE(weather.tbl[[#This Row],[Estevan]:[Kipling]])</f>
        <v>16.900000000000002</v>
      </c>
      <c r="I1255" s="2">
        <f>_xlfn.STDEV.S(weather.tbl[[#This Row],[Estevan]:[Kipling]])</f>
        <v>1.0583005244258366</v>
      </c>
      <c r="J1255" s="2">
        <f t="shared" si="19"/>
        <v>18.745238095238097</v>
      </c>
      <c r="K1255">
        <f>DAY(weather.tbl[[#This Row],[Date]])</f>
        <v>7</v>
      </c>
      <c r="L1255">
        <f>MONTH(weather.tbl[[#This Row],[Date]])</f>
        <v>6</v>
      </c>
      <c r="M1255">
        <f>YEAR(weather.tbl[[#This Row],[Date]])</f>
        <v>2017</v>
      </c>
    </row>
    <row r="1256" spans="1:13" x14ac:dyDescent="0.25">
      <c r="A1256" s="1">
        <v>42894</v>
      </c>
      <c r="B1256" s="2">
        <v>17.600000000000001</v>
      </c>
      <c r="C1256" s="2">
        <v>18.100000000000001</v>
      </c>
      <c r="D1256" s="2">
        <v>17</v>
      </c>
      <c r="E1256" s="2">
        <v>17.3</v>
      </c>
      <c r="F1256" s="2">
        <v>17.7</v>
      </c>
      <c r="G1256" s="2">
        <v>17.8</v>
      </c>
      <c r="H1256" s="2">
        <f>AVERAGE(weather.tbl[[#This Row],[Estevan]:[Kipling]])</f>
        <v>17.583333333333332</v>
      </c>
      <c r="I1256" s="2">
        <f>_xlfn.STDEV.S(weather.tbl[[#This Row],[Estevan]:[Kipling]])</f>
        <v>0.3868677637987778</v>
      </c>
      <c r="J1256" s="2">
        <f t="shared" si="19"/>
        <v>18.576190476190476</v>
      </c>
      <c r="K1256">
        <f>DAY(weather.tbl[[#This Row],[Date]])</f>
        <v>8</v>
      </c>
      <c r="L1256">
        <f>MONTH(weather.tbl[[#This Row],[Date]])</f>
        <v>6</v>
      </c>
      <c r="M1256">
        <f>YEAR(weather.tbl[[#This Row],[Date]])</f>
        <v>2017</v>
      </c>
    </row>
    <row r="1257" spans="1:13" x14ac:dyDescent="0.25">
      <c r="A1257" s="1">
        <v>42895</v>
      </c>
      <c r="B1257" s="2">
        <v>19.899999999999999</v>
      </c>
      <c r="C1257" s="2">
        <v>20.100000000000001</v>
      </c>
      <c r="D1257" s="2">
        <v>19.3</v>
      </c>
      <c r="E1257" s="2">
        <v>19.8</v>
      </c>
      <c r="F1257" s="2">
        <v>17.8</v>
      </c>
      <c r="G1257" s="2">
        <v>18.5</v>
      </c>
      <c r="H1257" s="2">
        <f>AVERAGE(weather.tbl[[#This Row],[Estevan]:[Kipling]])</f>
        <v>19.233333333333331</v>
      </c>
      <c r="I1257" s="2">
        <f>_xlfn.STDEV.S(weather.tbl[[#This Row],[Estevan]:[Kipling]])</f>
        <v>0.90700973901423265</v>
      </c>
      <c r="J1257" s="2">
        <f t="shared" si="19"/>
        <v>18.188095238095237</v>
      </c>
      <c r="K1257">
        <f>DAY(weather.tbl[[#This Row],[Date]])</f>
        <v>9</v>
      </c>
      <c r="L1257">
        <f>MONTH(weather.tbl[[#This Row],[Date]])</f>
        <v>6</v>
      </c>
      <c r="M1257">
        <f>YEAR(weather.tbl[[#This Row],[Date]])</f>
        <v>2017</v>
      </c>
    </row>
    <row r="1258" spans="1:13" x14ac:dyDescent="0.25">
      <c r="A1258" s="1">
        <v>42896</v>
      </c>
      <c r="B1258" s="2">
        <v>19.5</v>
      </c>
      <c r="C1258" s="2">
        <v>19.2</v>
      </c>
      <c r="D1258" s="2">
        <v>19.3</v>
      </c>
      <c r="E1258" s="2">
        <v>18.399999999999999</v>
      </c>
      <c r="F1258" s="2">
        <v>19.100000000000001</v>
      </c>
      <c r="G1258" s="2">
        <v>18</v>
      </c>
      <c r="H1258" s="2">
        <f>AVERAGE(weather.tbl[[#This Row],[Estevan]:[Kipling]])</f>
        <v>18.916666666666668</v>
      </c>
      <c r="I1258" s="2">
        <f>_xlfn.STDEV.S(weather.tbl[[#This Row],[Estevan]:[Kipling]])</f>
        <v>0.58452259722500644</v>
      </c>
      <c r="J1258" s="2">
        <f t="shared" si="19"/>
        <v>18.190476190476193</v>
      </c>
      <c r="K1258">
        <f>DAY(weather.tbl[[#This Row],[Date]])</f>
        <v>10</v>
      </c>
      <c r="L1258">
        <f>MONTH(weather.tbl[[#This Row],[Date]])</f>
        <v>6</v>
      </c>
      <c r="M1258">
        <f>YEAR(weather.tbl[[#This Row],[Date]])</f>
        <v>2017</v>
      </c>
    </row>
    <row r="1259" spans="1:13" x14ac:dyDescent="0.25">
      <c r="A1259" s="1">
        <v>42897</v>
      </c>
      <c r="B1259" s="2">
        <v>16.899999999999999</v>
      </c>
      <c r="C1259" s="2">
        <v>15.9</v>
      </c>
      <c r="D1259" s="2">
        <v>17</v>
      </c>
      <c r="E1259" s="2">
        <v>14.8</v>
      </c>
      <c r="F1259" s="2">
        <v>17.7</v>
      </c>
      <c r="G1259" s="2">
        <v>14.5</v>
      </c>
      <c r="H1259" s="2">
        <f>AVERAGE(weather.tbl[[#This Row],[Estevan]:[Kipling]])</f>
        <v>16.133333333333333</v>
      </c>
      <c r="I1259" s="2">
        <f>_xlfn.STDEV.S(weather.tbl[[#This Row],[Estevan]:[Kipling]])</f>
        <v>1.2878923350446128</v>
      </c>
      <c r="J1259" s="2">
        <f t="shared" si="19"/>
        <v>17.785714285714285</v>
      </c>
      <c r="K1259">
        <f>DAY(weather.tbl[[#This Row],[Date]])</f>
        <v>11</v>
      </c>
      <c r="L1259">
        <f>MONTH(weather.tbl[[#This Row],[Date]])</f>
        <v>6</v>
      </c>
      <c r="M1259">
        <f>YEAR(weather.tbl[[#This Row],[Date]])</f>
        <v>2017</v>
      </c>
    </row>
    <row r="1260" spans="1:13" x14ac:dyDescent="0.25">
      <c r="A1260" s="1">
        <v>42898</v>
      </c>
      <c r="B1260" s="2">
        <v>16.8</v>
      </c>
      <c r="C1260" s="2">
        <v>16.899999999999999</v>
      </c>
      <c r="D1260" s="2">
        <v>17</v>
      </c>
      <c r="E1260" s="2">
        <v>16.399999999999999</v>
      </c>
      <c r="F1260" s="2">
        <v>16.100000000000001</v>
      </c>
      <c r="G1260" s="2">
        <v>16.5</v>
      </c>
      <c r="H1260" s="2">
        <f>AVERAGE(weather.tbl[[#This Row],[Estevan]:[Kipling]])</f>
        <v>16.616666666666664</v>
      </c>
      <c r="I1260" s="2">
        <f>_xlfn.STDEV.S(weather.tbl[[#This Row],[Estevan]:[Kipling]])</f>
        <v>0.34302575219167786</v>
      </c>
      <c r="J1260" s="2">
        <f t="shared" si="19"/>
        <v>17.138095238095236</v>
      </c>
      <c r="K1260">
        <f>DAY(weather.tbl[[#This Row],[Date]])</f>
        <v>12</v>
      </c>
      <c r="L1260">
        <f>MONTH(weather.tbl[[#This Row],[Date]])</f>
        <v>6</v>
      </c>
      <c r="M1260">
        <f>YEAR(weather.tbl[[#This Row],[Date]])</f>
        <v>2017</v>
      </c>
    </row>
    <row r="1261" spans="1:13" x14ac:dyDescent="0.25">
      <c r="A1261" s="1">
        <v>42899</v>
      </c>
      <c r="B1261" s="2">
        <v>15.8</v>
      </c>
      <c r="C1261" s="2">
        <v>16.7</v>
      </c>
      <c r="D1261" s="2">
        <v>13.8</v>
      </c>
      <c r="E1261" s="2">
        <v>17.5</v>
      </c>
      <c r="F1261" s="2">
        <v>15.7</v>
      </c>
      <c r="G1261" s="2">
        <v>14.5</v>
      </c>
      <c r="H1261" s="2">
        <f>AVERAGE(weather.tbl[[#This Row],[Estevan]:[Kipling]])</f>
        <v>15.666666666666666</v>
      </c>
      <c r="I1261" s="2">
        <f>_xlfn.STDEV.S(weather.tbl[[#This Row],[Estevan]:[Kipling]])</f>
        <v>1.363329258347618</v>
      </c>
      <c r="J1261" s="2">
        <f t="shared" si="19"/>
        <v>17.292857142857144</v>
      </c>
      <c r="K1261">
        <f>DAY(weather.tbl[[#This Row],[Date]])</f>
        <v>13</v>
      </c>
      <c r="L1261">
        <f>MONTH(weather.tbl[[#This Row],[Date]])</f>
        <v>6</v>
      </c>
      <c r="M1261">
        <f>YEAR(weather.tbl[[#This Row],[Date]])</f>
        <v>2017</v>
      </c>
    </row>
    <row r="1262" spans="1:13" x14ac:dyDescent="0.25">
      <c r="A1262" s="1">
        <v>42900</v>
      </c>
      <c r="B1262" s="2">
        <v>13</v>
      </c>
      <c r="C1262" s="2">
        <v>12.3</v>
      </c>
      <c r="D1262" s="2">
        <v>13.3</v>
      </c>
      <c r="E1262" s="2">
        <v>12.6</v>
      </c>
      <c r="F1262" s="2">
        <v>14.7</v>
      </c>
      <c r="G1262" s="2">
        <v>11.8</v>
      </c>
      <c r="H1262" s="2">
        <f>AVERAGE(weather.tbl[[#This Row],[Estevan]:[Kipling]])</f>
        <v>12.950000000000001</v>
      </c>
      <c r="I1262" s="2">
        <f>_xlfn.STDEV.S(weather.tbl[[#This Row],[Estevan]:[Kipling]])</f>
        <v>1.0054849576199532</v>
      </c>
      <c r="J1262" s="2">
        <f t="shared" si="19"/>
        <v>16.728571428571431</v>
      </c>
      <c r="K1262">
        <f>DAY(weather.tbl[[#This Row],[Date]])</f>
        <v>14</v>
      </c>
      <c r="L1262">
        <f>MONTH(weather.tbl[[#This Row],[Date]])</f>
        <v>6</v>
      </c>
      <c r="M1262">
        <f>YEAR(weather.tbl[[#This Row],[Date]])</f>
        <v>2017</v>
      </c>
    </row>
    <row r="1263" spans="1:13" x14ac:dyDescent="0.25">
      <c r="A1263" s="1">
        <v>42901</v>
      </c>
      <c r="B1263" s="2">
        <v>16</v>
      </c>
      <c r="C1263" s="2">
        <v>15.2</v>
      </c>
      <c r="D1263" s="2">
        <v>15</v>
      </c>
      <c r="E1263" s="2">
        <v>15.4</v>
      </c>
      <c r="F1263" s="2">
        <v>16.100000000000001</v>
      </c>
      <c r="G1263" s="2">
        <v>14</v>
      </c>
      <c r="H1263" s="2">
        <f>AVERAGE(weather.tbl[[#This Row],[Estevan]:[Kipling]])</f>
        <v>15.283333333333333</v>
      </c>
      <c r="I1263" s="2">
        <f>_xlfn.STDEV.S(weather.tbl[[#This Row],[Estevan]:[Kipling]])</f>
        <v>0.76528861657982805</v>
      </c>
      <c r="J1263" s="2">
        <f t="shared" si="19"/>
        <v>16.399999999999999</v>
      </c>
      <c r="K1263">
        <f>DAY(weather.tbl[[#This Row],[Date]])</f>
        <v>15</v>
      </c>
      <c r="L1263">
        <f>MONTH(weather.tbl[[#This Row],[Date]])</f>
        <v>6</v>
      </c>
      <c r="M1263">
        <f>YEAR(weather.tbl[[#This Row],[Date]])</f>
        <v>2017</v>
      </c>
    </row>
    <row r="1264" spans="1:13" x14ac:dyDescent="0.25">
      <c r="A1264" s="1">
        <v>42902</v>
      </c>
      <c r="B1264" s="2">
        <v>15.2</v>
      </c>
      <c r="C1264" s="2">
        <v>13.7</v>
      </c>
      <c r="D1264" s="2">
        <v>14.3</v>
      </c>
      <c r="E1264" s="2">
        <v>13.2</v>
      </c>
      <c r="F1264" s="2">
        <v>15.2</v>
      </c>
      <c r="G1264" s="2">
        <v>12.5</v>
      </c>
      <c r="H1264" s="2">
        <f>AVERAGE(weather.tbl[[#This Row],[Estevan]:[Kipling]])</f>
        <v>14.016666666666667</v>
      </c>
      <c r="I1264" s="2">
        <f>_xlfn.STDEV.S(weather.tbl[[#This Row],[Estevan]:[Kipling]])</f>
        <v>1.0907184176801392</v>
      </c>
      <c r="J1264" s="2">
        <f t="shared" si="19"/>
        <v>15.654761904761903</v>
      </c>
      <c r="K1264">
        <f>DAY(weather.tbl[[#This Row],[Date]])</f>
        <v>16</v>
      </c>
      <c r="L1264">
        <f>MONTH(weather.tbl[[#This Row],[Date]])</f>
        <v>6</v>
      </c>
      <c r="M1264">
        <f>YEAR(weather.tbl[[#This Row],[Date]])</f>
        <v>2017</v>
      </c>
    </row>
    <row r="1265" spans="1:13" x14ac:dyDescent="0.25">
      <c r="A1265" s="1">
        <v>42903</v>
      </c>
      <c r="B1265" s="2">
        <v>14.3</v>
      </c>
      <c r="C1265" s="2">
        <v>15.6</v>
      </c>
      <c r="D1265" s="2">
        <v>14.5</v>
      </c>
      <c r="E1265" s="2">
        <v>14.8</v>
      </c>
      <c r="F1265" s="2">
        <v>16.100000000000001</v>
      </c>
      <c r="G1265" s="2">
        <v>14.3</v>
      </c>
      <c r="H1265" s="2">
        <f>AVERAGE(weather.tbl[[#This Row],[Estevan]:[Kipling]])</f>
        <v>14.933333333333335</v>
      </c>
      <c r="I1265" s="2">
        <f>_xlfn.STDEV.S(weather.tbl[[#This Row],[Estevan]:[Kipling]])</f>
        <v>0.75011110288187766</v>
      </c>
      <c r="J1265" s="2">
        <f t="shared" si="19"/>
        <v>15.085714285714287</v>
      </c>
      <c r="K1265">
        <f>DAY(weather.tbl[[#This Row],[Date]])</f>
        <v>17</v>
      </c>
      <c r="L1265">
        <f>MONTH(weather.tbl[[#This Row],[Date]])</f>
        <v>6</v>
      </c>
      <c r="M1265">
        <f>YEAR(weather.tbl[[#This Row],[Date]])</f>
        <v>2017</v>
      </c>
    </row>
    <row r="1266" spans="1:13" x14ac:dyDescent="0.25">
      <c r="A1266" s="1">
        <v>42904</v>
      </c>
      <c r="B1266" s="2">
        <v>16.399999999999999</v>
      </c>
      <c r="C1266" s="2">
        <v>15.8</v>
      </c>
      <c r="D1266" s="2">
        <v>15.8</v>
      </c>
      <c r="E1266" s="2">
        <v>15.9</v>
      </c>
      <c r="F1266" s="2">
        <v>15.2</v>
      </c>
      <c r="G1266" s="2">
        <v>14.8</v>
      </c>
      <c r="H1266" s="2">
        <f>AVERAGE(weather.tbl[[#This Row],[Estevan]:[Kipling]])</f>
        <v>15.649999999999999</v>
      </c>
      <c r="I1266" s="2">
        <f>_xlfn.STDEV.S(weather.tbl[[#This Row],[Estevan]:[Kipling]])</f>
        <v>0.56480084985771717</v>
      </c>
      <c r="J1266" s="2">
        <f t="shared" si="19"/>
        <v>15.016666666666667</v>
      </c>
      <c r="K1266">
        <f>DAY(weather.tbl[[#This Row],[Date]])</f>
        <v>18</v>
      </c>
      <c r="L1266">
        <f>MONTH(weather.tbl[[#This Row],[Date]])</f>
        <v>6</v>
      </c>
      <c r="M1266">
        <f>YEAR(weather.tbl[[#This Row],[Date]])</f>
        <v>2017</v>
      </c>
    </row>
    <row r="1267" spans="1:13" x14ac:dyDescent="0.25">
      <c r="A1267" s="1">
        <v>42905</v>
      </c>
      <c r="B1267" s="2">
        <v>15.1</v>
      </c>
      <c r="C1267" s="2">
        <v>15.4</v>
      </c>
      <c r="D1267" s="2">
        <v>14.5</v>
      </c>
      <c r="E1267" s="2">
        <v>15.2</v>
      </c>
      <c r="F1267" s="2">
        <v>14.8</v>
      </c>
      <c r="G1267" s="2">
        <v>13.8</v>
      </c>
      <c r="H1267" s="2">
        <f>AVERAGE(weather.tbl[[#This Row],[Estevan]:[Kipling]])</f>
        <v>14.799999999999999</v>
      </c>
      <c r="I1267" s="2">
        <f>_xlfn.STDEV.S(weather.tbl[[#This Row],[Estevan]:[Kipling]])</f>
        <v>0.58309518948452976</v>
      </c>
      <c r="J1267" s="2">
        <f t="shared" si="19"/>
        <v>14.757142857142856</v>
      </c>
      <c r="K1267">
        <f>DAY(weather.tbl[[#This Row],[Date]])</f>
        <v>19</v>
      </c>
      <c r="L1267">
        <f>MONTH(weather.tbl[[#This Row],[Date]])</f>
        <v>6</v>
      </c>
      <c r="M1267">
        <f>YEAR(weather.tbl[[#This Row],[Date]])</f>
        <v>2017</v>
      </c>
    </row>
    <row r="1268" spans="1:13" x14ac:dyDescent="0.25">
      <c r="A1268" s="1">
        <v>42906</v>
      </c>
      <c r="B1268" s="2">
        <v>15</v>
      </c>
      <c r="C1268" s="2">
        <v>16</v>
      </c>
      <c r="D1268" s="2">
        <v>13.5</v>
      </c>
      <c r="E1268" s="2">
        <v>15.4</v>
      </c>
      <c r="F1268" s="2">
        <v>14.4</v>
      </c>
      <c r="G1268" s="2">
        <v>14.8</v>
      </c>
      <c r="H1268" s="2">
        <f>AVERAGE(weather.tbl[[#This Row],[Estevan]:[Kipling]])</f>
        <v>14.85</v>
      </c>
      <c r="I1268" s="2">
        <f>_xlfn.STDEV.S(weather.tbl[[#This Row],[Estevan]:[Kipling]])</f>
        <v>0.85732140997411244</v>
      </c>
      <c r="J1268" s="2">
        <f t="shared" si="19"/>
        <v>14.640476190476191</v>
      </c>
      <c r="K1268">
        <f>DAY(weather.tbl[[#This Row],[Date]])</f>
        <v>20</v>
      </c>
      <c r="L1268">
        <f>MONTH(weather.tbl[[#This Row],[Date]])</f>
        <v>6</v>
      </c>
      <c r="M1268">
        <f>YEAR(weather.tbl[[#This Row],[Date]])</f>
        <v>2017</v>
      </c>
    </row>
    <row r="1269" spans="1:13" x14ac:dyDescent="0.25">
      <c r="A1269" s="1">
        <v>42907</v>
      </c>
      <c r="B1269" s="2">
        <v>18.5</v>
      </c>
      <c r="C1269" s="2">
        <v>18.3</v>
      </c>
      <c r="D1269" s="2">
        <v>17.5</v>
      </c>
      <c r="E1269" s="2">
        <v>16.8</v>
      </c>
      <c r="F1269" s="2">
        <v>19</v>
      </c>
      <c r="G1269" s="2">
        <v>16.5</v>
      </c>
      <c r="H1269" s="2">
        <f>AVERAGE(weather.tbl[[#This Row],[Estevan]:[Kipling]])</f>
        <v>17.766666666666666</v>
      </c>
      <c r="I1269" s="2">
        <f>_xlfn.STDEV.S(weather.tbl[[#This Row],[Estevan]:[Kipling]])</f>
        <v>0.9953223933312596</v>
      </c>
      <c r="J1269" s="2">
        <f t="shared" si="19"/>
        <v>15.328571428571427</v>
      </c>
      <c r="K1269">
        <f>DAY(weather.tbl[[#This Row],[Date]])</f>
        <v>21</v>
      </c>
      <c r="L1269">
        <f>MONTH(weather.tbl[[#This Row],[Date]])</f>
        <v>6</v>
      </c>
      <c r="M1269">
        <f>YEAR(weather.tbl[[#This Row],[Date]])</f>
        <v>2017</v>
      </c>
    </row>
    <row r="1270" spans="1:13" x14ac:dyDescent="0.25">
      <c r="A1270" s="1">
        <v>42908</v>
      </c>
      <c r="B1270" s="2">
        <v>14.6</v>
      </c>
      <c r="C1270" s="2">
        <v>13.7</v>
      </c>
      <c r="D1270" s="2">
        <v>14.3</v>
      </c>
      <c r="E1270" s="2">
        <v>13.1</v>
      </c>
      <c r="F1270" s="2">
        <v>16</v>
      </c>
      <c r="G1270" s="2">
        <v>12</v>
      </c>
      <c r="H1270" s="2">
        <f>AVERAGE(weather.tbl[[#This Row],[Estevan]:[Kipling]])</f>
        <v>13.949999999999998</v>
      </c>
      <c r="I1270" s="2">
        <f>_xlfn.STDEV.S(weather.tbl[[#This Row],[Estevan]:[Kipling]])</f>
        <v>1.3663820841916803</v>
      </c>
      <c r="J1270" s="2">
        <f t="shared" si="19"/>
        <v>15.138095238095238</v>
      </c>
      <c r="K1270">
        <f>DAY(weather.tbl[[#This Row],[Date]])</f>
        <v>22</v>
      </c>
      <c r="L1270">
        <f>MONTH(weather.tbl[[#This Row],[Date]])</f>
        <v>6</v>
      </c>
      <c r="M1270">
        <f>YEAR(weather.tbl[[#This Row],[Date]])</f>
        <v>2017</v>
      </c>
    </row>
    <row r="1271" spans="1:13" x14ac:dyDescent="0.25">
      <c r="A1271" s="1">
        <v>42909</v>
      </c>
      <c r="B1271" s="2">
        <v>11.7</v>
      </c>
      <c r="C1271" s="2">
        <v>11.8</v>
      </c>
      <c r="D1271" s="2">
        <v>11</v>
      </c>
      <c r="E1271" s="2">
        <v>11.6</v>
      </c>
      <c r="F1271" s="2">
        <v>11.5</v>
      </c>
      <c r="G1271" s="2">
        <v>10</v>
      </c>
      <c r="H1271" s="2">
        <f>AVERAGE(weather.tbl[[#This Row],[Estevan]:[Kipling]])</f>
        <v>11.266666666666666</v>
      </c>
      <c r="I1271" s="2">
        <f>_xlfn.STDEV.S(weather.tbl[[#This Row],[Estevan]:[Kipling]])</f>
        <v>0.68019605016985119</v>
      </c>
      <c r="J1271" s="2">
        <f t="shared" si="19"/>
        <v>14.745238095238095</v>
      </c>
      <c r="K1271">
        <f>DAY(weather.tbl[[#This Row],[Date]])</f>
        <v>23</v>
      </c>
      <c r="L1271">
        <f>MONTH(weather.tbl[[#This Row],[Date]])</f>
        <v>6</v>
      </c>
      <c r="M1271">
        <f>YEAR(weather.tbl[[#This Row],[Date]])</f>
        <v>2017</v>
      </c>
    </row>
    <row r="1272" spans="1:13" x14ac:dyDescent="0.25">
      <c r="A1272" s="1">
        <v>42910</v>
      </c>
      <c r="B1272" s="2">
        <v>11.2</v>
      </c>
      <c r="C1272" s="2">
        <v>10.8</v>
      </c>
      <c r="D1272" s="2">
        <v>9.8000000000000007</v>
      </c>
      <c r="E1272" s="2">
        <v>11.7</v>
      </c>
      <c r="F1272" s="2">
        <v>10.9</v>
      </c>
      <c r="G1272" s="2">
        <v>10.8</v>
      </c>
      <c r="H1272" s="2">
        <f>AVERAGE(weather.tbl[[#This Row],[Estevan]:[Kipling]])</f>
        <v>10.866666666666667</v>
      </c>
      <c r="I1272" s="2">
        <f>_xlfn.STDEV.S(weather.tbl[[#This Row],[Estevan]:[Kipling]])</f>
        <v>0.62503333244449133</v>
      </c>
      <c r="J1272" s="2">
        <f t="shared" si="19"/>
        <v>14.164285714285715</v>
      </c>
      <c r="K1272">
        <f>DAY(weather.tbl[[#This Row],[Date]])</f>
        <v>24</v>
      </c>
      <c r="L1272">
        <f>MONTH(weather.tbl[[#This Row],[Date]])</f>
        <v>6</v>
      </c>
      <c r="M1272">
        <f>YEAR(weather.tbl[[#This Row],[Date]])</f>
        <v>2017</v>
      </c>
    </row>
    <row r="1273" spans="1:13" x14ac:dyDescent="0.25">
      <c r="A1273" s="1">
        <v>42911</v>
      </c>
      <c r="B1273" s="2">
        <v>14.1</v>
      </c>
      <c r="C1273" s="2">
        <v>14.4</v>
      </c>
      <c r="D1273" s="2">
        <v>12.8</v>
      </c>
      <c r="E1273" s="2">
        <v>14.3</v>
      </c>
      <c r="F1273" s="2">
        <v>12.8</v>
      </c>
      <c r="G1273" s="2">
        <v>13.5</v>
      </c>
      <c r="H1273" s="2">
        <f>AVERAGE(weather.tbl[[#This Row],[Estevan]:[Kipling]])</f>
        <v>13.649999999999999</v>
      </c>
      <c r="I1273" s="2">
        <f>_xlfn.STDEV.S(weather.tbl[[#This Row],[Estevan]:[Kipling]])</f>
        <v>0.728697468089467</v>
      </c>
      <c r="J1273" s="2">
        <f t="shared" si="19"/>
        <v>13.87857142857143</v>
      </c>
      <c r="K1273">
        <f>DAY(weather.tbl[[#This Row],[Date]])</f>
        <v>25</v>
      </c>
      <c r="L1273">
        <f>MONTH(weather.tbl[[#This Row],[Date]])</f>
        <v>6</v>
      </c>
      <c r="M1273">
        <f>YEAR(weather.tbl[[#This Row],[Date]])</f>
        <v>2017</v>
      </c>
    </row>
    <row r="1274" spans="1:13" x14ac:dyDescent="0.25">
      <c r="A1274" s="1">
        <v>42912</v>
      </c>
      <c r="B1274" s="2">
        <v>15.2</v>
      </c>
      <c r="C1274" s="2">
        <v>15.3</v>
      </c>
      <c r="D1274" s="2">
        <v>12.3</v>
      </c>
      <c r="E1274" s="2">
        <v>15</v>
      </c>
      <c r="F1274" s="2">
        <v>13</v>
      </c>
      <c r="G1274" s="2">
        <v>13.8</v>
      </c>
      <c r="H1274" s="2">
        <f>AVERAGE(weather.tbl[[#This Row],[Estevan]:[Kipling]])</f>
        <v>14.1</v>
      </c>
      <c r="I1274" s="2">
        <f>_xlfn.STDEV.S(weather.tbl[[#This Row],[Estevan]:[Kipling]])</f>
        <v>1.2649110640673515</v>
      </c>
      <c r="J1274" s="2">
        <f t="shared" si="19"/>
        <v>13.778571428571427</v>
      </c>
      <c r="K1274">
        <f>DAY(weather.tbl[[#This Row],[Date]])</f>
        <v>26</v>
      </c>
      <c r="L1274">
        <f>MONTH(weather.tbl[[#This Row],[Date]])</f>
        <v>6</v>
      </c>
      <c r="M1274">
        <f>YEAR(weather.tbl[[#This Row],[Date]])</f>
        <v>2017</v>
      </c>
    </row>
    <row r="1275" spans="1:13" x14ac:dyDescent="0.25">
      <c r="A1275" s="1">
        <v>42913</v>
      </c>
      <c r="B1275" s="2">
        <v>20.6</v>
      </c>
      <c r="C1275" s="2">
        <v>21.6</v>
      </c>
      <c r="D1275" s="2">
        <v>17.3</v>
      </c>
      <c r="E1275" s="2">
        <v>21.9</v>
      </c>
      <c r="F1275" s="2">
        <v>20</v>
      </c>
      <c r="G1275" s="2">
        <v>19.3</v>
      </c>
      <c r="H1275" s="2">
        <f>AVERAGE(weather.tbl[[#This Row],[Estevan]:[Kipling]])</f>
        <v>20.116666666666667</v>
      </c>
      <c r="I1275" s="2">
        <f>_xlfn.STDEV.S(weather.tbl[[#This Row],[Estevan]:[Kipling]])</f>
        <v>1.6869103908230176</v>
      </c>
      <c r="J1275" s="2">
        <f t="shared" si="19"/>
        <v>14.530952380952382</v>
      </c>
      <c r="K1275">
        <f>DAY(weather.tbl[[#This Row],[Date]])</f>
        <v>27</v>
      </c>
      <c r="L1275">
        <f>MONTH(weather.tbl[[#This Row],[Date]])</f>
        <v>6</v>
      </c>
      <c r="M1275">
        <f>YEAR(weather.tbl[[#This Row],[Date]])</f>
        <v>2017</v>
      </c>
    </row>
    <row r="1276" spans="1:13" x14ac:dyDescent="0.25">
      <c r="A1276" s="1">
        <v>42914</v>
      </c>
      <c r="B1276" s="2">
        <v>16.8</v>
      </c>
      <c r="C1276" s="2">
        <v>15.2</v>
      </c>
      <c r="D1276" s="2">
        <v>17</v>
      </c>
      <c r="E1276" s="2">
        <v>16.2</v>
      </c>
      <c r="F1276" s="2">
        <v>19.5</v>
      </c>
      <c r="G1276" s="2">
        <v>16.3</v>
      </c>
      <c r="H1276" s="2">
        <f>AVERAGE(weather.tbl[[#This Row],[Estevan]:[Kipling]])</f>
        <v>16.833333333333332</v>
      </c>
      <c r="I1276" s="2">
        <f>_xlfn.STDEV.S(weather.tbl[[#This Row],[Estevan]:[Kipling]])</f>
        <v>1.4486775578667144</v>
      </c>
      <c r="J1276" s="2">
        <f t="shared" si="19"/>
        <v>14.397619047619045</v>
      </c>
      <c r="K1276">
        <f>DAY(weather.tbl[[#This Row],[Date]])</f>
        <v>28</v>
      </c>
      <c r="L1276">
        <f>MONTH(weather.tbl[[#This Row],[Date]])</f>
        <v>6</v>
      </c>
      <c r="M1276">
        <f>YEAR(weather.tbl[[#This Row],[Date]])</f>
        <v>2017</v>
      </c>
    </row>
    <row r="1277" spans="1:13" x14ac:dyDescent="0.25">
      <c r="A1277" s="1">
        <v>42915</v>
      </c>
      <c r="B1277" s="2">
        <v>16.2</v>
      </c>
      <c r="C1277" s="2">
        <v>17.600000000000001</v>
      </c>
      <c r="D1277" s="2">
        <v>18.3</v>
      </c>
      <c r="E1277" s="2">
        <v>16.3</v>
      </c>
      <c r="F1277" s="2">
        <v>17</v>
      </c>
      <c r="G1277" s="2">
        <v>16</v>
      </c>
      <c r="H1277" s="2">
        <f>AVERAGE(weather.tbl[[#This Row],[Estevan]:[Kipling]])</f>
        <v>16.899999999999999</v>
      </c>
      <c r="I1277" s="2">
        <f>_xlfn.STDEV.S(weather.tbl[[#This Row],[Estevan]:[Kipling]])</f>
        <v>0.90774445743281773</v>
      </c>
      <c r="J1277" s="2">
        <f t="shared" si="19"/>
        <v>14.819047619047618</v>
      </c>
      <c r="K1277">
        <f>DAY(weather.tbl[[#This Row],[Date]])</f>
        <v>29</v>
      </c>
      <c r="L1277">
        <f>MONTH(weather.tbl[[#This Row],[Date]])</f>
        <v>6</v>
      </c>
      <c r="M1277">
        <f>YEAR(weather.tbl[[#This Row],[Date]])</f>
        <v>2017</v>
      </c>
    </row>
    <row r="1278" spans="1:13" x14ac:dyDescent="0.25">
      <c r="A1278" s="1">
        <v>42916</v>
      </c>
      <c r="B1278" s="2">
        <v>15.4</v>
      </c>
      <c r="C1278" s="2">
        <v>15.1</v>
      </c>
      <c r="D1278" s="2">
        <v>15</v>
      </c>
      <c r="E1278" s="2">
        <v>15.1</v>
      </c>
      <c r="F1278" s="2">
        <v>15.4</v>
      </c>
      <c r="G1278" s="2">
        <v>15.5</v>
      </c>
      <c r="H1278" s="2">
        <f>AVERAGE(weather.tbl[[#This Row],[Estevan]:[Kipling]])</f>
        <v>15.25</v>
      </c>
      <c r="I1278" s="2">
        <f>_xlfn.STDEV.S(weather.tbl[[#This Row],[Estevan]:[Kipling]])</f>
        <v>0.20736441353327739</v>
      </c>
      <c r="J1278" s="2">
        <f t="shared" si="19"/>
        <v>15.388095238095238</v>
      </c>
      <c r="K1278">
        <f>DAY(weather.tbl[[#This Row],[Date]])</f>
        <v>30</v>
      </c>
      <c r="L1278">
        <f>MONTH(weather.tbl[[#This Row],[Date]])</f>
        <v>6</v>
      </c>
      <c r="M1278">
        <f>YEAR(weather.tbl[[#This Row],[Date]])</f>
        <v>2017</v>
      </c>
    </row>
    <row r="1279" spans="1:13" x14ac:dyDescent="0.25">
      <c r="A1279" s="1">
        <v>42917</v>
      </c>
      <c r="B1279" s="2">
        <v>18</v>
      </c>
      <c r="C1279" s="2">
        <v>17.899999999999999</v>
      </c>
      <c r="D1279" s="2">
        <v>15</v>
      </c>
      <c r="E1279" s="2">
        <v>17.2</v>
      </c>
      <c r="F1279" s="2">
        <v>16.8</v>
      </c>
      <c r="G1279" s="2">
        <v>17</v>
      </c>
      <c r="H1279" s="2">
        <f>AVERAGE(weather.tbl[[#This Row],[Estevan]:[Kipling]])</f>
        <v>16.983333333333331</v>
      </c>
      <c r="I1279" s="2">
        <f>_xlfn.STDEV.S(weather.tbl[[#This Row],[Estevan]:[Kipling]])</f>
        <v>1.0852035139395126</v>
      </c>
      <c r="J1279" s="2">
        <f t="shared" si="19"/>
        <v>16.261904761904763</v>
      </c>
      <c r="K1279">
        <f>DAY(weather.tbl[[#This Row],[Date]])</f>
        <v>1</v>
      </c>
      <c r="L1279">
        <f>MONTH(weather.tbl[[#This Row],[Date]])</f>
        <v>7</v>
      </c>
      <c r="M1279">
        <f>YEAR(weather.tbl[[#This Row],[Date]])</f>
        <v>2017</v>
      </c>
    </row>
    <row r="1280" spans="1:13" x14ac:dyDescent="0.25">
      <c r="A1280" s="1">
        <v>42918</v>
      </c>
      <c r="B1280" s="2">
        <v>17.100000000000001</v>
      </c>
      <c r="C1280" s="2">
        <v>17.7</v>
      </c>
      <c r="D1280" s="2">
        <v>15</v>
      </c>
      <c r="E1280" s="2">
        <v>17.5</v>
      </c>
      <c r="F1280" s="2">
        <v>15.6</v>
      </c>
      <c r="G1280" s="2">
        <v>16.3</v>
      </c>
      <c r="H1280" s="2">
        <f>AVERAGE(weather.tbl[[#This Row],[Estevan]:[Kipling]])</f>
        <v>16.533333333333331</v>
      </c>
      <c r="I1280" s="2">
        <f>_xlfn.STDEV.S(weather.tbl[[#This Row],[Estevan]:[Kipling]])</f>
        <v>1.0856641592438552</v>
      </c>
      <c r="J1280" s="2">
        <f t="shared" si="19"/>
        <v>16.673809523809521</v>
      </c>
      <c r="K1280">
        <f>DAY(weather.tbl[[#This Row],[Date]])</f>
        <v>2</v>
      </c>
      <c r="L1280">
        <f>MONTH(weather.tbl[[#This Row],[Date]])</f>
        <v>7</v>
      </c>
      <c r="M1280">
        <f>YEAR(weather.tbl[[#This Row],[Date]])</f>
        <v>2017</v>
      </c>
    </row>
    <row r="1281" spans="1:13" x14ac:dyDescent="0.25">
      <c r="A1281" s="1">
        <v>42919</v>
      </c>
      <c r="B1281" s="2">
        <v>22.7</v>
      </c>
      <c r="C1281" s="2">
        <v>23.9</v>
      </c>
      <c r="D1281" s="2">
        <v>15</v>
      </c>
      <c r="E1281" s="2">
        <v>23.6</v>
      </c>
      <c r="F1281" s="2">
        <v>21.6</v>
      </c>
      <c r="G1281" s="2">
        <v>16.3</v>
      </c>
      <c r="H1281" s="2">
        <f>AVERAGE(weather.tbl[[#This Row],[Estevan]:[Kipling]])</f>
        <v>20.516666666666662</v>
      </c>
      <c r="I1281" s="2">
        <f>_xlfn.STDEV.S(weather.tbl[[#This Row],[Estevan]:[Kipling]])</f>
        <v>3.8757794914915897</v>
      </c>
      <c r="J1281" s="2">
        <f t="shared" si="19"/>
        <v>17.590476190476188</v>
      </c>
      <c r="K1281">
        <f>DAY(weather.tbl[[#This Row],[Date]])</f>
        <v>3</v>
      </c>
      <c r="L1281">
        <f>MONTH(weather.tbl[[#This Row],[Date]])</f>
        <v>7</v>
      </c>
      <c r="M1281">
        <f>YEAR(weather.tbl[[#This Row],[Date]])</f>
        <v>2017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I9" sqref="I9"/>
    </sheetView>
  </sheetViews>
  <sheetFormatPr defaultRowHeight="15" x14ac:dyDescent="0.25"/>
  <cols>
    <col min="4" max="4" width="19.140625" bestFit="1" customWidth="1"/>
    <col min="6" max="6" width="11.7109375" bestFit="1" customWidth="1"/>
    <col min="7" max="7" width="9" bestFit="1" customWidth="1"/>
    <col min="8" max="8" width="13.7109375" bestFit="1" customWidth="1"/>
    <col min="9" max="9" width="11" bestFit="1" customWidth="1"/>
    <col min="10" max="10" width="12.7109375" bestFit="1" customWidth="1"/>
    <col min="11" max="11" width="10" bestFit="1" customWidth="1"/>
  </cols>
  <sheetData>
    <row r="1" spans="1:11" x14ac:dyDescent="0.25">
      <c r="A1" t="s">
        <v>331</v>
      </c>
      <c r="B1" t="s">
        <v>332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</row>
    <row r="2" spans="1:11" x14ac:dyDescent="0.25">
      <c r="A2" t="s">
        <v>333</v>
      </c>
      <c r="B2">
        <v>1</v>
      </c>
      <c r="D2" t="s">
        <v>353</v>
      </c>
      <c r="E2">
        <v>-2</v>
      </c>
      <c r="F2" s="3" t="str">
        <f>IFERROR(AVERAGEIFS(vp.data[VP],vp.data[Crude_Breakdown],_xlfn.CONCAT("=",crudeBD.lkup[[#This Row],[Crude Breakdown]])),"")</f>
        <v/>
      </c>
      <c r="G2" s="3">
        <f>SQRT(SUMIFS(vp.data[SS_VP],vp.data[Crude_Breakdown],_xlfn.CONCAT("=",crudeBD.lkup[[#This Row],[Crude Breakdown]]))/(COUNTIF(vp.data[Crude_Breakdown],crudeBD.lkup[[#This Row],[Crude Breakdown]])-1))</f>
        <v>0</v>
      </c>
      <c r="H2" s="3" t="str">
        <f>IFERROR(AVERAGEIFS(vp.data[Dens],vp.data[Crude_Breakdown],_xlfn.CONCAT("=",crudeBD.lkup[[#This Row],[Crude Breakdown]])),"")</f>
        <v/>
      </c>
      <c r="I2" s="3">
        <f>SQRT(SUMIFS(vp.data[SS_Dens],vp.data[Crude_Breakdown],_xlfn.CONCAT("=",crudeBD.lkup[[#This Row],[Crude Breakdown]]))/(COUNTIF(vp.data[Crude_Breakdown],crudeBD.lkup[[#This Row],[Crude Breakdown]])-1))</f>
        <v>0</v>
      </c>
      <c r="J2" s="3" t="str">
        <f>IFERROR(AVERAGEIFS(vp.data[Sulf],vp.data[Crude_Breakdown],_xlfn.CONCAT("=",crudeBD.lkup[[#This Row],[Crude Breakdown]])),"")</f>
        <v/>
      </c>
      <c r="K2" s="3">
        <f>SQRT(SUMIFS(vp.data[SS_Dens],vp.data[Crude_Breakdown],_xlfn.CONCAT("=",crudeBD.lkup[[#This Row],[Crude Breakdown]]))/(COUNTIF(vp.data[Crude_Breakdown],crudeBD.lkup[[#This Row],[Crude Breakdown]])-1))</f>
        <v>0</v>
      </c>
    </row>
    <row r="3" spans="1:11" x14ac:dyDescent="0.25">
      <c r="A3" t="s">
        <v>334</v>
      </c>
      <c r="B3">
        <v>2</v>
      </c>
      <c r="D3" t="s">
        <v>28</v>
      </c>
      <c r="E3">
        <v>-1</v>
      </c>
      <c r="F3" s="3">
        <f>IFERROR(AVERAGEIFS(vp.data[VP],vp.data[Crude_Breakdown],_xlfn.CONCAT("=",crudeBD.lkup[[#This Row],[Crude Breakdown]])),"")</f>
        <v>73.845136986301341</v>
      </c>
      <c r="G3" s="3">
        <f>SQRT(SUMIFS(vp.data[SS_VP],vp.data[Crude_Breakdown],_xlfn.CONCAT("=",crudeBD.lkup[[#This Row],[Crude Breakdown]]))/(COUNTIF(vp.data[Crude_Breakdown],crudeBD.lkup[[#This Row],[Crude Breakdown]])-1))</f>
        <v>10.528424792047241</v>
      </c>
      <c r="H3" s="3" t="str">
        <f>IFERROR(AVERAGEIFS(vp.data[Dens],vp.data[Crude_Breakdown],_xlfn.CONCAT("=",crudeBD.lkup[[#This Row],[Crude Breakdown]])),"")</f>
        <v/>
      </c>
      <c r="I3" s="3" t="e">
        <f>SQRT(SUMIFS(vp.data[SS_Dens],vp.data[Crude_Breakdown],_xlfn.CONCAT("=",crudeBD.lkup[[#This Row],[Crude Breakdown]]))/(COUNTIF(vp.data[Crude_Breakdown],crudeBD.lkup[[#This Row],[Crude Breakdown]])-1))</f>
        <v>#VALUE!</v>
      </c>
      <c r="J3" s="3" t="str">
        <f>IFERROR(AVERAGEIFS(vp.data[Sulf],vp.data[Crude_Breakdown],_xlfn.CONCAT("=",crudeBD.lkup[[#This Row],[Crude Breakdown]])),"")</f>
        <v/>
      </c>
      <c r="K3" s="3" t="e">
        <f>SQRT(SUMIFS(vp.data[SS_Dens],vp.data[Crude_Breakdown],_xlfn.CONCAT("=",crudeBD.lkup[[#This Row],[Crude Breakdown]]))/(COUNTIF(vp.data[Crude_Breakdown],crudeBD.lkup[[#This Row],[Crude Breakdown]])-1))</f>
        <v>#VALUE!</v>
      </c>
    </row>
    <row r="4" spans="1:11" x14ac:dyDescent="0.25">
      <c r="A4" t="s">
        <v>335</v>
      </c>
      <c r="B4">
        <v>3</v>
      </c>
      <c r="D4" t="s">
        <v>29</v>
      </c>
      <c r="E4">
        <v>0</v>
      </c>
      <c r="F4" s="3">
        <f>IFERROR(AVERAGEIFS(vp.data[VP],vp.data[Crude_Breakdown],_xlfn.CONCAT("=",crudeBD.lkup[[#This Row],[Crude Breakdown]])),"")</f>
        <v>103.17924242424239</v>
      </c>
      <c r="G4" s="3">
        <f>SQRT(SUMIFS(vp.data[SS_VP],vp.data[Crude_Breakdown],_xlfn.CONCAT("=",crudeBD.lkup[[#This Row],[Crude Breakdown]]))/(COUNTIF(vp.data[Crude_Breakdown],crudeBD.lkup[[#This Row],[Crude Breakdown]])-1))</f>
        <v>6.3738377065593008</v>
      </c>
      <c r="H4" s="3">
        <f>IFERROR(AVERAGEIFS(vp.data[Dens],vp.data[Crude_Breakdown],_xlfn.CONCAT("=",crudeBD.lkup[[#This Row],[Crude Breakdown]])),"")</f>
        <v>658.07621212121217</v>
      </c>
      <c r="I4" s="3">
        <f>SQRT(SUMIFS(vp.data[SS_Dens],vp.data[Crude_Breakdown],_xlfn.CONCAT("=",crudeBD.lkup[[#This Row],[Crude Breakdown]]))/(COUNTIF(vp.data[Crude_Breakdown],crudeBD.lkup[[#This Row],[Crude Breakdown]])-1))</f>
        <v>8.3548542803941217</v>
      </c>
      <c r="J4" s="3">
        <f>IFERROR(AVERAGEIFS(vp.data[Sulf],vp.data[Crude_Breakdown],_xlfn.CONCAT("=",crudeBD.lkup[[#This Row],[Crude Breakdown]])),"")</f>
        <v>0</v>
      </c>
      <c r="K4" s="3">
        <f>SQRT(SUMIFS(vp.data[SS_Dens],vp.data[Crude_Breakdown],_xlfn.CONCAT("=",crudeBD.lkup[[#This Row],[Crude Breakdown]]))/(COUNTIF(vp.data[Crude_Breakdown],crudeBD.lkup[[#This Row],[Crude Breakdown]])-1))</f>
        <v>8.3548542803941217</v>
      </c>
    </row>
    <row r="5" spans="1:11" x14ac:dyDescent="0.25">
      <c r="A5" t="s">
        <v>336</v>
      </c>
      <c r="B5">
        <v>4</v>
      </c>
      <c r="D5" t="s">
        <v>30</v>
      </c>
      <c r="E5">
        <v>1</v>
      </c>
      <c r="F5" s="3">
        <f>IFERROR(AVERAGEIFS(vp.data[VP],vp.data[Crude_Breakdown],_xlfn.CONCAT("=",crudeBD.lkup[[#This Row],[Crude Breakdown]])),"")</f>
        <v>91.54618556701034</v>
      </c>
      <c r="G5" s="3">
        <f>SQRT(SUMIFS(vp.data[SS_VP],vp.data[Crude_Breakdown],_xlfn.CONCAT("=",crudeBD.lkup[[#This Row],[Crude Breakdown]]))/(COUNTIF(vp.data[Crude_Breakdown],crudeBD.lkup[[#This Row],[Crude Breakdown]])-1))</f>
        <v>14.603825132593764</v>
      </c>
      <c r="H5" s="3">
        <f>IFERROR(AVERAGEIFS(vp.data[Dens],vp.data[Crude_Breakdown],_xlfn.CONCAT("=",crudeBD.lkup[[#This Row],[Crude Breakdown]])),"")</f>
        <v>818.51676975944986</v>
      </c>
      <c r="I5" s="3">
        <f>SQRT(SUMIFS(vp.data[SS_Dens],vp.data[Crude_Breakdown],_xlfn.CONCAT("=",crudeBD.lkup[[#This Row],[Crude Breakdown]]))/(COUNTIF(vp.data[Crude_Breakdown],crudeBD.lkup[[#This Row],[Crude Breakdown]])-1))</f>
        <v>6.8863474537452074</v>
      </c>
      <c r="J5" s="3">
        <f>IFERROR(AVERAGEIFS(vp.data[Sulf],vp.data[Crude_Breakdown],_xlfn.CONCAT("=",crudeBD.lkup[[#This Row],[Crude Breakdown]])),"")</f>
        <v>0.92297116838487947</v>
      </c>
      <c r="K5" s="3">
        <f>SQRT(SUMIFS(vp.data[SS_Dens],vp.data[Crude_Breakdown],_xlfn.CONCAT("=",crudeBD.lkup[[#This Row],[Crude Breakdown]]))/(COUNTIF(vp.data[Crude_Breakdown],crudeBD.lkup[[#This Row],[Crude Breakdown]])-1))</f>
        <v>6.8863474537452074</v>
      </c>
    </row>
    <row r="6" spans="1:11" x14ac:dyDescent="0.25">
      <c r="A6" t="s">
        <v>337</v>
      </c>
      <c r="B6">
        <v>5</v>
      </c>
      <c r="D6" t="s">
        <v>31</v>
      </c>
      <c r="E6">
        <v>2</v>
      </c>
      <c r="F6" s="3">
        <f>IFERROR(AVERAGEIFS(vp.data[VP],vp.data[Crude_Breakdown],_xlfn.CONCAT("=",crudeBD.lkup[[#This Row],[Crude Breakdown]])),"")</f>
        <v>92.550313588850145</v>
      </c>
      <c r="G6" s="3">
        <f>SQRT(SUMIFS(vp.data[SS_VP],vp.data[Crude_Breakdown],_xlfn.CONCAT("=",crudeBD.lkup[[#This Row],[Crude Breakdown]]))/(COUNTIF(vp.data[Crude_Breakdown],crudeBD.lkup[[#This Row],[Crude Breakdown]])-1))</f>
        <v>13.571233005365933</v>
      </c>
      <c r="H6" s="3">
        <f>IFERROR(AVERAGEIFS(vp.data[Dens],vp.data[Crude_Breakdown],_xlfn.CONCAT("=",crudeBD.lkup[[#This Row],[Crude Breakdown]])),"")</f>
        <v>808.3114982578395</v>
      </c>
      <c r="I6" s="3">
        <f>SQRT(SUMIFS(vp.data[SS_Dens],vp.data[Crude_Breakdown],_xlfn.CONCAT("=",crudeBD.lkup[[#This Row],[Crude Breakdown]]))/(COUNTIF(vp.data[Crude_Breakdown],crudeBD.lkup[[#This Row],[Crude Breakdown]])-1))</f>
        <v>5.5782128174609058</v>
      </c>
      <c r="J6" s="3">
        <f>IFERROR(AVERAGEIFS(vp.data[Sulf],vp.data[Crude_Breakdown],_xlfn.CONCAT("=",crudeBD.lkup[[#This Row],[Crude Breakdown]])),"")</f>
        <v>0.23624181184668974</v>
      </c>
      <c r="K6" s="3">
        <f>SQRT(SUMIFS(vp.data[SS_Dens],vp.data[Crude_Breakdown],_xlfn.CONCAT("=",crudeBD.lkup[[#This Row],[Crude Breakdown]]))/(COUNTIF(vp.data[Crude_Breakdown],crudeBD.lkup[[#This Row],[Crude Breakdown]])-1))</f>
        <v>5.5782128174609058</v>
      </c>
    </row>
    <row r="7" spans="1:11" x14ac:dyDescent="0.25">
      <c r="A7" t="s">
        <v>338</v>
      </c>
      <c r="B7">
        <v>6</v>
      </c>
      <c r="D7" t="s">
        <v>32</v>
      </c>
      <c r="E7">
        <v>3</v>
      </c>
      <c r="F7" s="3">
        <f>IFERROR(AVERAGEIFS(vp.data[VP],vp.data[Crude_Breakdown],_xlfn.CONCAT("=",crudeBD.lkup[[#This Row],[Crude Breakdown]])),"")</f>
        <v>80.639676549865158</v>
      </c>
      <c r="G7" s="3">
        <f>SQRT(SUMIFS(vp.data[SS_VP],vp.data[Crude_Breakdown],_xlfn.CONCAT("=",crudeBD.lkup[[#This Row],[Crude Breakdown]]))/(COUNTIF(vp.data[Crude_Breakdown],crudeBD.lkup[[#This Row],[Crude Breakdown]])-1))</f>
        <v>15.318330719617903</v>
      </c>
      <c r="H7" s="3">
        <f>IFERROR(AVERAGEIFS(vp.data[Dens],vp.data[Crude_Breakdown],_xlfn.CONCAT("=",crudeBD.lkup[[#This Row],[Crude Breakdown]])),"")</f>
        <v>843.9199999999995</v>
      </c>
      <c r="I7" s="3">
        <f>SQRT(SUMIFS(vp.data[SS_Dens],vp.data[Crude_Breakdown],_xlfn.CONCAT("=",crudeBD.lkup[[#This Row],[Crude Breakdown]]))/(COUNTIF(vp.data[Crude_Breakdown],crudeBD.lkup[[#This Row],[Crude Breakdown]])-1))</f>
        <v>11.971374584678804</v>
      </c>
      <c r="J7" s="3">
        <f>IFERROR(AVERAGEIFS(vp.data[Sulf],vp.data[Crude_Breakdown],_xlfn.CONCAT("=",crudeBD.lkup[[#This Row],[Crude Breakdown]])),"")</f>
        <v>1.3854081266846376</v>
      </c>
      <c r="K7" s="3">
        <f>SQRT(SUMIFS(vp.data[SS_Dens],vp.data[Crude_Breakdown],_xlfn.CONCAT("=",crudeBD.lkup[[#This Row],[Crude Breakdown]]))/(COUNTIF(vp.data[Crude_Breakdown],crudeBD.lkup[[#This Row],[Crude Breakdown]])-1))</f>
        <v>11.971374584678804</v>
      </c>
    </row>
    <row r="8" spans="1:11" x14ac:dyDescent="0.25">
      <c r="A8" t="s">
        <v>339</v>
      </c>
      <c r="B8">
        <v>7</v>
      </c>
      <c r="D8" t="s">
        <v>33</v>
      </c>
      <c r="E8">
        <v>4</v>
      </c>
      <c r="F8" s="3">
        <f>IFERROR(AVERAGEIFS(vp.data[VP],vp.data[Crude_Breakdown],_xlfn.CONCAT("=",crudeBD.lkup[[#This Row],[Crude Breakdown]])),"")</f>
        <v>84.316666666666677</v>
      </c>
      <c r="G8" s="3">
        <f>SQRT(SUMIFS(vp.data[SS_VP],vp.data[Crude_Breakdown],_xlfn.CONCAT("=",crudeBD.lkup[[#This Row],[Crude Breakdown]]))/(COUNTIF(vp.data[Crude_Breakdown],crudeBD.lkup[[#This Row],[Crude Breakdown]])-1))</f>
        <v>19.196084670230714</v>
      </c>
      <c r="H8" s="3">
        <f>IFERROR(AVERAGEIFS(vp.data[Dens],vp.data[Crude_Breakdown],_xlfn.CONCAT("=",crudeBD.lkup[[#This Row],[Crude Breakdown]])),"")</f>
        <v>857.30000000000007</v>
      </c>
      <c r="I8" s="3">
        <f>SQRT(SUMIFS(vp.data[SS_Dens],vp.data[Crude_Breakdown],_xlfn.CONCAT("=",crudeBD.lkup[[#This Row],[Crude Breakdown]]))/(COUNTIF(vp.data[Crude_Breakdown],crudeBD.lkup[[#This Row],[Crude Breakdown]])-1))</f>
        <v>27.989426575047961</v>
      </c>
      <c r="J8" s="3">
        <f>IFERROR(AVERAGEIFS(vp.data[Sulf],vp.data[Crude_Breakdown],_xlfn.CONCAT("=",crudeBD.lkup[[#This Row],[Crude Breakdown]])),"")</f>
        <v>0.17851349999999999</v>
      </c>
      <c r="K8" s="3">
        <f>SQRT(SUMIFS(vp.data[SS_Dens],vp.data[Crude_Breakdown],_xlfn.CONCAT("=",crudeBD.lkup[[#This Row],[Crude Breakdown]]))/(COUNTIF(vp.data[Crude_Breakdown],crudeBD.lkup[[#This Row],[Crude Breakdown]])-1))</f>
        <v>27.989426575047961</v>
      </c>
    </row>
    <row r="9" spans="1:11" x14ac:dyDescent="0.25">
      <c r="A9" t="s">
        <v>340</v>
      </c>
      <c r="B9">
        <v>8</v>
      </c>
      <c r="D9" t="s">
        <v>34</v>
      </c>
      <c r="E9">
        <v>5</v>
      </c>
      <c r="F9" s="3">
        <f>IFERROR(AVERAGEIFS(vp.data[VP],vp.data[Crude_Breakdown],_xlfn.CONCAT("=",crudeBD.lkup[[#This Row],[Crude Breakdown]])),"")</f>
        <v>69.40876288659797</v>
      </c>
      <c r="G9" s="3">
        <f>SQRT(SUMIFS(vp.data[SS_VP],vp.data[Crude_Breakdown],_xlfn.CONCAT("=",crudeBD.lkup[[#This Row],[Crude Breakdown]]))/(COUNTIF(vp.data[Crude_Breakdown],crudeBD.lkup[[#This Row],[Crude Breakdown]])-1))</f>
        <v>18.6484208867783</v>
      </c>
      <c r="H9" s="3">
        <f>IFERROR(AVERAGEIFS(vp.data[Dens],vp.data[Crude_Breakdown],_xlfn.CONCAT("=",crudeBD.lkup[[#This Row],[Crude Breakdown]])),"")</f>
        <v>874.81701030927866</v>
      </c>
      <c r="I9" s="3">
        <f>SQRT(SUMIFS(vp.data[SS_Dens],vp.data[Crude_Breakdown],_xlfn.CONCAT("=",crudeBD.lkup[[#This Row],[Crude Breakdown]]))/(COUNTIF(vp.data[Crude_Breakdown],crudeBD.lkup[[#This Row],[Crude Breakdown]])-1))</f>
        <v>6.8264093483006647</v>
      </c>
      <c r="J9" s="3">
        <f>IFERROR(AVERAGEIFS(vp.data[Sulf],vp.data[Crude_Breakdown],_xlfn.CONCAT("=",crudeBD.lkup[[#This Row],[Crude Breakdown]])),"")</f>
        <v>2.4436155670103079</v>
      </c>
      <c r="K9" s="3">
        <f>SQRT(SUMIFS(vp.data[SS_Dens],vp.data[Crude_Breakdown],_xlfn.CONCAT("=",crudeBD.lkup[[#This Row],[Crude Breakdown]]))/(COUNTIF(vp.data[Crude_Breakdown],crudeBD.lkup[[#This Row],[Crude Breakdown]])-1))</f>
        <v>6.8264093483006647</v>
      </c>
    </row>
    <row r="10" spans="1:11" x14ac:dyDescent="0.25">
      <c r="A10" t="s">
        <v>341</v>
      </c>
      <c r="B10">
        <v>9</v>
      </c>
      <c r="D10" t="s">
        <v>35</v>
      </c>
      <c r="E10">
        <v>6</v>
      </c>
      <c r="F10" s="3" t="str">
        <f>IFERROR(AVERAGEIFS(vp.data[VP],vp.data[Crude_Breakdown],_xlfn.CONCAT("=",crudeBD.lkup[[#This Row],[Crude Breakdown]])),"")</f>
        <v/>
      </c>
      <c r="G10" s="3">
        <f>SQRT(SUMIFS(vp.data[SS_VP],vp.data[Crude_Breakdown],_xlfn.CONCAT("=",crudeBD.lkup[[#This Row],[Crude Breakdown]]))/(COUNTIF(vp.data[Crude_Breakdown],crudeBD.lkup[[#This Row],[Crude Breakdown]])-1))</f>
        <v>0</v>
      </c>
      <c r="H10" s="3" t="str">
        <f>IFERROR(AVERAGEIFS(vp.data[Dens],vp.data[Crude_Breakdown],_xlfn.CONCAT("=",crudeBD.lkup[[#This Row],[Crude Breakdown]])),"")</f>
        <v/>
      </c>
      <c r="I10" s="3">
        <f>SQRT(SUMIFS(vp.data[SS_Dens],vp.data[Crude_Breakdown],_xlfn.CONCAT("=",crudeBD.lkup[[#This Row],[Crude Breakdown]]))/(COUNTIF(vp.data[Crude_Breakdown],crudeBD.lkup[[#This Row],[Crude Breakdown]])-1))</f>
        <v>0</v>
      </c>
      <c r="J10" s="3" t="str">
        <f>IFERROR(AVERAGEIFS(vp.data[Sulf],vp.data[Crude_Breakdown],_xlfn.CONCAT("=",crudeBD.lkup[[#This Row],[Crude Breakdown]])),"")</f>
        <v/>
      </c>
      <c r="K10" s="3">
        <f>SQRT(SUMIFS(vp.data[SS_Dens],vp.data[Crude_Breakdown],_xlfn.CONCAT("=",crudeBD.lkup[[#This Row],[Crude Breakdown]]))/(COUNTIF(vp.data[Crude_Breakdown],crudeBD.lkup[[#This Row],[Crude Breakdown]])-1))</f>
        <v>0</v>
      </c>
    </row>
    <row r="11" spans="1:11" x14ac:dyDescent="0.25">
      <c r="A11" t="s">
        <v>342</v>
      </c>
      <c r="B11">
        <v>10</v>
      </c>
      <c r="D11" t="s">
        <v>36</v>
      </c>
      <c r="E11">
        <v>7</v>
      </c>
      <c r="F11" s="3" t="str">
        <f>IFERROR(AVERAGEIFS(vp.data[VP],vp.data[Crude_Breakdown],_xlfn.CONCAT("=",crudeBD.lkup[[#This Row],[Crude Breakdown]])),"")</f>
        <v/>
      </c>
      <c r="G11" s="3">
        <f>SQRT(SUMIFS(vp.data[SS_VP],vp.data[Crude_Breakdown],_xlfn.CONCAT("=",crudeBD.lkup[[#This Row],[Crude Breakdown]]))/(COUNTIF(vp.data[Crude_Breakdown],crudeBD.lkup[[#This Row],[Crude Breakdown]])-1))</f>
        <v>0</v>
      </c>
      <c r="H11" s="3" t="str">
        <f>IFERROR(AVERAGEIFS(vp.data[Dens],vp.data[Crude_Breakdown],_xlfn.CONCAT("=",crudeBD.lkup[[#This Row],[Crude Breakdown]])),"")</f>
        <v/>
      </c>
      <c r="I11" s="3">
        <f>SQRT(SUMIFS(vp.data[SS_Dens],vp.data[Crude_Breakdown],_xlfn.CONCAT("=",crudeBD.lkup[[#This Row],[Crude Breakdown]]))/(COUNTIF(vp.data[Crude_Breakdown],crudeBD.lkup[[#This Row],[Crude Breakdown]])-1))</f>
        <v>0</v>
      </c>
      <c r="J11" s="3" t="str">
        <f>IFERROR(AVERAGEIFS(vp.data[Sulf],vp.data[Crude_Breakdown],_xlfn.CONCAT("=",crudeBD.lkup[[#This Row],[Crude Breakdown]])),"")</f>
        <v/>
      </c>
      <c r="K11" s="3">
        <f>SQRT(SUMIFS(vp.data[SS_Dens],vp.data[Crude_Breakdown],_xlfn.CONCAT("=",crudeBD.lkup[[#This Row],[Crude Breakdown]]))/(COUNTIF(vp.data[Crude_Breakdown],crudeBD.lkup[[#This Row],[Crude Breakdown]])-1))</f>
        <v>0</v>
      </c>
    </row>
    <row r="12" spans="1:11" x14ac:dyDescent="0.25">
      <c r="A12" t="s">
        <v>343</v>
      </c>
      <c r="B12">
        <v>11</v>
      </c>
    </row>
    <row r="13" spans="1:11" x14ac:dyDescent="0.25">
      <c r="A13" t="s">
        <v>344</v>
      </c>
      <c r="B13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04"/>
  <sheetViews>
    <sheetView tabSelected="1" workbookViewId="0">
      <selection activeCell="D3" sqref="D3"/>
    </sheetView>
  </sheetViews>
  <sheetFormatPr defaultRowHeight="15" x14ac:dyDescent="0.25"/>
  <cols>
    <col min="1" max="1" width="26.5703125" bestFit="1" customWidth="1"/>
    <col min="2" max="2" width="8.5703125" bestFit="1" customWidth="1"/>
    <col min="4" max="4" width="14.7109375" bestFit="1" customWidth="1"/>
    <col min="5" max="5" width="12.28515625" bestFit="1" customWidth="1"/>
    <col min="6" max="6" width="12.85546875" bestFit="1" customWidth="1"/>
    <col min="7" max="7" width="8.5703125" bestFit="1" customWidth="1"/>
    <col min="8" max="8" width="10" bestFit="1" customWidth="1"/>
    <col min="9" max="9" width="20.5703125" bestFit="1" customWidth="1"/>
    <col min="10" max="10" width="27" bestFit="1" customWidth="1"/>
    <col min="11" max="11" width="10.140625" bestFit="1" customWidth="1"/>
    <col min="12" max="12" width="11.42578125" customWidth="1"/>
    <col min="13" max="13" width="9.5703125" bestFit="1" customWidth="1"/>
    <col min="14" max="14" width="14.42578125" bestFit="1" customWidth="1"/>
    <col min="15" max="15" width="9" customWidth="1"/>
    <col min="16" max="16" width="9.42578125" bestFit="1" customWidth="1"/>
    <col min="17" max="17" width="8.28515625" bestFit="1" customWidth="1"/>
    <col min="18" max="19" width="11" bestFit="1" customWidth="1"/>
    <col min="20" max="21" width="14.28515625" bestFit="1" customWidth="1"/>
    <col min="22" max="22" width="9.5703125" bestFit="1" customWidth="1"/>
    <col min="23" max="23" width="13.140625" bestFit="1" customWidth="1"/>
    <col min="24" max="24" width="12.140625" bestFit="1" customWidth="1"/>
    <col min="25" max="26" width="6.5703125" bestFit="1" customWidth="1"/>
    <col min="27" max="27" width="6.85546875" bestFit="1" customWidth="1"/>
    <col min="28" max="28" width="6.5703125" bestFit="1" customWidth="1"/>
    <col min="29" max="29" width="7.28515625" bestFit="1" customWidth="1"/>
    <col min="30" max="30" width="6.5703125" bestFit="1" customWidth="1"/>
    <col min="31" max="32" width="7.28515625" bestFit="1" customWidth="1"/>
    <col min="33" max="33" width="8.28515625" bestFit="1" customWidth="1"/>
    <col min="34" max="34" width="6.5703125" bestFit="1" customWidth="1"/>
    <col min="35" max="35" width="6.85546875" bestFit="1" customWidth="1"/>
    <col min="36" max="36" width="6.5703125" bestFit="1" customWidth="1"/>
    <col min="37" max="37" width="16.85546875" bestFit="1" customWidth="1"/>
    <col min="38" max="38" width="12.28515625" bestFit="1" customWidth="1"/>
    <col min="39" max="40" width="17" bestFit="1" customWidth="1"/>
    <col min="41" max="42" width="20.42578125" bestFit="1" customWidth="1"/>
    <col min="43" max="43" width="15.5703125" bestFit="1" customWidth="1"/>
    <col min="44" max="44" width="19.140625" bestFit="1" customWidth="1"/>
    <col min="45" max="45" width="18.140625" bestFit="1" customWidth="1"/>
    <col min="46" max="46" width="13.7109375" bestFit="1" customWidth="1"/>
    <col min="47" max="48" width="18.42578125" bestFit="1" customWidth="1"/>
    <col min="49" max="50" width="21.85546875" bestFit="1" customWidth="1"/>
    <col min="51" max="51" width="17" bestFit="1" customWidth="1"/>
    <col min="52" max="52" width="20.7109375" bestFit="1" customWidth="1"/>
    <col min="53" max="53" width="19.7109375" bestFit="1" customWidth="1"/>
    <col min="54" max="54" width="16.140625" bestFit="1" customWidth="1"/>
    <col min="55" max="56" width="20.85546875" bestFit="1" customWidth="1"/>
    <col min="57" max="58" width="24.28515625" bestFit="1" customWidth="1"/>
    <col min="59" max="59" width="19.28515625" bestFit="1" customWidth="1"/>
    <col min="60" max="60" width="23" bestFit="1" customWidth="1"/>
    <col min="61" max="61" width="22" bestFit="1" customWidth="1"/>
    <col min="62" max="62" width="20.7109375" bestFit="1" customWidth="1"/>
    <col min="63" max="64" width="25.42578125" bestFit="1" customWidth="1"/>
    <col min="65" max="66" width="28.85546875" bestFit="1" customWidth="1"/>
    <col min="67" max="67" width="24" bestFit="1" customWidth="1"/>
    <col min="68" max="68" width="27.5703125" bestFit="1" customWidth="1"/>
    <col min="69" max="69" width="26.5703125" bestFit="1" customWidth="1"/>
  </cols>
  <sheetData>
    <row r="1" spans="1:69" x14ac:dyDescent="0.25">
      <c r="E1" s="10" t="s">
        <v>365</v>
      </c>
      <c r="F1" s="9">
        <v>350.29984631991903</v>
      </c>
      <c r="G1" s="9">
        <v>0.94421113859938</v>
      </c>
      <c r="H1" s="9">
        <v>-0.311423830577849</v>
      </c>
      <c r="I1" s="9">
        <v>0</v>
      </c>
      <c r="J1" s="9">
        <v>-0.19573948637153399</v>
      </c>
      <c r="K1" s="9">
        <v>0</v>
      </c>
      <c r="L1" s="9">
        <v>-0.155540743662374</v>
      </c>
      <c r="M1" s="9">
        <v>-7.1287696608224004E-3</v>
      </c>
      <c r="N1" s="9">
        <v>0</v>
      </c>
      <c r="O1" s="9">
        <v>0</v>
      </c>
      <c r="P1" s="9">
        <v>0</v>
      </c>
      <c r="Q1" s="9">
        <v>-21.743886783366001</v>
      </c>
      <c r="R1" s="9">
        <v>0</v>
      </c>
      <c r="S1" s="9">
        <v>0</v>
      </c>
      <c r="T1" s="9">
        <v>0</v>
      </c>
      <c r="U1" s="9">
        <v>0</v>
      </c>
      <c r="V1" s="9">
        <v>0</v>
      </c>
      <c r="W1" s="9">
        <v>0</v>
      </c>
      <c r="X1" s="9">
        <v>0</v>
      </c>
      <c r="Y1" s="9">
        <v>0</v>
      </c>
      <c r="Z1" s="9">
        <v>0.784123900404608</v>
      </c>
      <c r="AA1" s="9">
        <v>0</v>
      </c>
      <c r="AB1" s="9">
        <v>0</v>
      </c>
      <c r="AC1" s="9">
        <v>-1.4081958619960799</v>
      </c>
      <c r="AD1" s="9">
        <v>0</v>
      </c>
      <c r="AE1" s="9">
        <v>-3.2833505667792799</v>
      </c>
      <c r="AF1" s="9">
        <v>-9.2220286356904495</v>
      </c>
      <c r="AG1" s="9">
        <v>-10.1415849856748</v>
      </c>
      <c r="AH1" s="9">
        <v>0</v>
      </c>
      <c r="AI1" s="9">
        <v>0</v>
      </c>
      <c r="AJ1" s="9">
        <v>6.2067829652376698</v>
      </c>
      <c r="AK1" s="9">
        <v>-10.539826466469201</v>
      </c>
      <c r="AL1" s="9">
        <v>0</v>
      </c>
      <c r="AM1" s="9">
        <v>2.4320186270091901</v>
      </c>
      <c r="AN1" s="9">
        <v>0</v>
      </c>
      <c r="AO1" s="9">
        <v>0</v>
      </c>
      <c r="AP1" s="9">
        <v>0</v>
      </c>
      <c r="AQ1" s="9">
        <v>0</v>
      </c>
      <c r="AR1" s="9">
        <v>0</v>
      </c>
      <c r="AS1" s="9">
        <v>0</v>
      </c>
      <c r="AT1" s="9">
        <v>-1.1953370885316599E-2</v>
      </c>
      <c r="AU1" s="9">
        <v>0</v>
      </c>
      <c r="AV1" s="9">
        <v>0</v>
      </c>
      <c r="AW1" s="9">
        <v>0</v>
      </c>
      <c r="AX1" s="9">
        <v>8.6197152921266892E-3</v>
      </c>
      <c r="AY1" s="9">
        <v>0</v>
      </c>
      <c r="AZ1" s="9">
        <v>0</v>
      </c>
      <c r="BA1" s="9">
        <v>0</v>
      </c>
      <c r="BB1" s="9">
        <v>0.123519553710306</v>
      </c>
      <c r="BC1" s="9">
        <v>-9.9231430718470501E-2</v>
      </c>
      <c r="BD1" s="9">
        <v>-6.6898635102179305E-2</v>
      </c>
      <c r="BE1" s="9">
        <v>0</v>
      </c>
      <c r="BF1" s="9">
        <v>1.0745546011041001</v>
      </c>
      <c r="BG1" s="9">
        <v>0</v>
      </c>
      <c r="BH1" s="9">
        <v>0</v>
      </c>
      <c r="BI1" s="9">
        <v>0</v>
      </c>
      <c r="BJ1" s="9">
        <v>0</v>
      </c>
      <c r="BK1" s="9">
        <v>0.95057127046701595</v>
      </c>
      <c r="BL1" s="9">
        <v>0</v>
      </c>
      <c r="BM1" s="9">
        <v>0</v>
      </c>
      <c r="BN1" s="9">
        <v>0</v>
      </c>
      <c r="BO1" s="9">
        <v>-5.7302294419345099</v>
      </c>
      <c r="BP1" s="9">
        <v>0</v>
      </c>
      <c r="BQ1" s="9">
        <v>0</v>
      </c>
    </row>
    <row r="3" spans="1:69" x14ac:dyDescent="0.25">
      <c r="D3" s="7" t="s">
        <v>359</v>
      </c>
      <c r="E3" s="7" t="s">
        <v>18</v>
      </c>
      <c r="F3" s="7" t="s">
        <v>381</v>
      </c>
      <c r="G3" s="8" t="s">
        <v>367</v>
      </c>
      <c r="H3" s="8" t="s">
        <v>366</v>
      </c>
      <c r="I3" s="8" t="s">
        <v>382</v>
      </c>
      <c r="J3" s="8" t="s">
        <v>383</v>
      </c>
      <c r="K3" s="8" t="s">
        <v>1</v>
      </c>
      <c r="L3" s="8" t="s">
        <v>2</v>
      </c>
      <c r="M3" s="8" t="s">
        <v>3</v>
      </c>
      <c r="N3" s="8" t="s">
        <v>384</v>
      </c>
      <c r="O3" s="8" t="s">
        <v>5</v>
      </c>
      <c r="P3" s="8" t="s">
        <v>6</v>
      </c>
      <c r="Q3" s="7" t="s">
        <v>268</v>
      </c>
      <c r="R3" s="7" t="s">
        <v>385</v>
      </c>
      <c r="S3" s="7" t="s">
        <v>386</v>
      </c>
      <c r="T3" s="7" t="s">
        <v>373</v>
      </c>
      <c r="U3" s="7" t="s">
        <v>387</v>
      </c>
      <c r="V3" s="7" t="s">
        <v>34</v>
      </c>
      <c r="W3" s="7" t="s">
        <v>388</v>
      </c>
      <c r="X3" s="7" t="s">
        <v>389</v>
      </c>
      <c r="Y3" s="7" t="s">
        <v>333</v>
      </c>
      <c r="Z3" s="7" t="s">
        <v>334</v>
      </c>
      <c r="AA3" s="7" t="s">
        <v>335</v>
      </c>
      <c r="AB3" s="7" t="s">
        <v>336</v>
      </c>
      <c r="AC3" s="7" t="s">
        <v>337</v>
      </c>
      <c r="AD3" s="7" t="s">
        <v>338</v>
      </c>
      <c r="AE3" s="7" t="s">
        <v>339</v>
      </c>
      <c r="AF3" s="7" t="s">
        <v>340</v>
      </c>
      <c r="AG3" s="7" t="s">
        <v>341</v>
      </c>
      <c r="AH3" s="7" t="s">
        <v>342</v>
      </c>
      <c r="AI3" s="7" t="s">
        <v>343</v>
      </c>
      <c r="AJ3" s="7" t="s">
        <v>344</v>
      </c>
      <c r="AK3" s="8" t="s">
        <v>390</v>
      </c>
      <c r="AL3" s="7" t="s">
        <v>391</v>
      </c>
      <c r="AM3" s="7" t="s">
        <v>392</v>
      </c>
      <c r="AN3" s="7" t="s">
        <v>393</v>
      </c>
      <c r="AO3" s="7" t="s">
        <v>394</v>
      </c>
      <c r="AP3" s="7" t="s">
        <v>395</v>
      </c>
      <c r="AQ3" s="7" t="s">
        <v>396</v>
      </c>
      <c r="AR3" s="7" t="s">
        <v>397</v>
      </c>
      <c r="AS3" s="7" t="s">
        <v>398</v>
      </c>
      <c r="AT3" s="7" t="s">
        <v>399</v>
      </c>
      <c r="AU3" s="7" t="s">
        <v>400</v>
      </c>
      <c r="AV3" s="7" t="s">
        <v>401</v>
      </c>
      <c r="AW3" s="7" t="s">
        <v>402</v>
      </c>
      <c r="AX3" s="7" t="s">
        <v>403</v>
      </c>
      <c r="AY3" s="7" t="s">
        <v>404</v>
      </c>
      <c r="AZ3" s="7" t="s">
        <v>405</v>
      </c>
      <c r="BA3" s="7" t="s">
        <v>406</v>
      </c>
      <c r="BB3" s="7" t="s">
        <v>407</v>
      </c>
      <c r="BC3" s="7" t="s">
        <v>408</v>
      </c>
      <c r="BD3" s="7" t="s">
        <v>409</v>
      </c>
      <c r="BE3" s="7" t="s">
        <v>410</v>
      </c>
      <c r="BF3" s="7" t="s">
        <v>411</v>
      </c>
      <c r="BG3" s="7" t="s">
        <v>358</v>
      </c>
      <c r="BH3" s="7" t="s">
        <v>412</v>
      </c>
      <c r="BI3" s="7" t="s">
        <v>413</v>
      </c>
      <c r="BJ3" s="7" t="s">
        <v>414</v>
      </c>
      <c r="BK3" s="7" t="s">
        <v>415</v>
      </c>
      <c r="BL3" s="7" t="s">
        <v>416</v>
      </c>
      <c r="BM3" s="7" t="s">
        <v>417</v>
      </c>
      <c r="BN3" s="7" t="s">
        <v>418</v>
      </c>
      <c r="BO3" s="7" t="s">
        <v>419</v>
      </c>
      <c r="BP3" s="7" t="s">
        <v>420</v>
      </c>
      <c r="BQ3" s="7" t="s">
        <v>421</v>
      </c>
    </row>
    <row r="4" spans="1:69" x14ac:dyDescent="0.25">
      <c r="A4" s="10" t="s">
        <v>354</v>
      </c>
      <c r="B4" s="8">
        <v>872</v>
      </c>
      <c r="D4" s="5">
        <f ca="1">SUMPRODUCT($F$1:$BQ$1,sim.tbl[[#This Row],[(Intercept)]:[Post Aquisition:Heavy SW]])</f>
        <v>85.225259226946335</v>
      </c>
      <c r="E4" s="14">
        <f ca="1">DATE(YEAR(TODAY()),INDEX(mthLkUp.tbl[Num],MATCH(mth.input,mthLkUp.tbl[Month],0)),1)</f>
        <v>42795</v>
      </c>
      <c r="F4" s="6">
        <f>1</f>
        <v>1</v>
      </c>
      <c r="G4" s="5">
        <v>2.41</v>
      </c>
      <c r="H4" s="5">
        <v>869.5</v>
      </c>
      <c r="I4" s="5">
        <v>-8.7833333329999999</v>
      </c>
      <c r="J4" s="5">
        <v>-9.6</v>
      </c>
      <c r="K4" s="5">
        <v>-8.8000000000000007</v>
      </c>
      <c r="L4" s="5">
        <v>-9.6</v>
      </c>
      <c r="M4" s="5">
        <v>-8.5</v>
      </c>
      <c r="N4" s="5">
        <v>-8.8000000000000007</v>
      </c>
      <c r="O4" s="5">
        <v>-9.8000000000000007</v>
      </c>
      <c r="P4" s="5">
        <v>-7.2</v>
      </c>
      <c r="Q4" s="6">
        <f>IF(sim.tbl[[#This Row],[Density]]&lt;=770,1,0)</f>
        <v>0</v>
      </c>
      <c r="R4" s="6">
        <f>IF(AND(sim.tbl[[#This Row],[Sulfur]]&gt;0.5,sim.tbl[[#This Row],[Density]]&gt;770,sim.tbl[[#This Row],[Density]]&lt;=825),1,0)</f>
        <v>0</v>
      </c>
      <c r="S4" s="6">
        <f>IF(AND(sim.tbl[[#This Row],[Sulfur]]&lt;=0.5,sim.tbl[[#This Row],[Density]]&gt;770,sim.tbl[[#This Row],[Density]]&lt;=825),1,0)</f>
        <v>0</v>
      </c>
      <c r="T4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4" s="6">
        <f>IF(AND(sim.tbl[[#This Row],[Sulfur]]&lt;0.5,sim.tbl[[#This Row],[Density]]&gt;825,sim.tbl[[#This Row],[Density]]&lt;=900),1,0)</f>
        <v>0</v>
      </c>
      <c r="V4" s="6">
        <f>IF(AND(sim.tbl[[#This Row],[Sulfur]]&gt;2,sim.tbl[[#This Row],[Density]]&gt;865,sim.tbl[[#This Row],[Density]]&lt;=900),1,0)</f>
        <v>1</v>
      </c>
      <c r="W4" s="6">
        <f>IF(AND(sim.tbl[[#This Row],[Sulfur]]&gt;0.5,sim.tbl[[#This Row],[Density]]&gt;900),1,0)</f>
        <v>0</v>
      </c>
      <c r="X4" s="6">
        <f>IF(AND(sim.tbl[[#This Row],[Sulfur]]&lt;=0.5,sim.tbl[[#This Row],[Density]]&gt;900),1,0)</f>
        <v>0</v>
      </c>
      <c r="Y4" s="6">
        <f ca="1">IF(MONTH(sim.tbl[[#This Row],[SDate]])=INDEX(mthLkUp.tbl[Num],MATCH(Y$3,mthLkUp.tbl[Month],0)),1,0)</f>
        <v>0</v>
      </c>
      <c r="Z4" s="6">
        <f ca="1">IF(MONTH(sim.tbl[[#This Row],[SDate]])=INDEX(mthLkUp.tbl[Num],MATCH(Z$3,mthLkUp.tbl[Month],0)),1,0)</f>
        <v>0</v>
      </c>
      <c r="AA4" s="6">
        <f ca="1">IF(MONTH(sim.tbl[[#This Row],[SDate]])=INDEX(mthLkUp.tbl[Num],MATCH(AA$3,mthLkUp.tbl[Month],0)),1,0)</f>
        <v>1</v>
      </c>
      <c r="AB4" s="6">
        <f ca="1">IF(MONTH(sim.tbl[[#This Row],[SDate]])=INDEX(mthLkUp.tbl[Num],MATCH(AB$3,mthLkUp.tbl[Month],0)),1,0)</f>
        <v>0</v>
      </c>
      <c r="AC4" s="6">
        <f ca="1">IF(MONTH(sim.tbl[[#This Row],[SDate]])=INDEX(mthLkUp.tbl[Num],MATCH(AC$3,mthLkUp.tbl[Month],0)),1,0)</f>
        <v>0</v>
      </c>
      <c r="AD4" s="6">
        <f ca="1">IF(MONTH(sim.tbl[[#This Row],[SDate]])=INDEX(mthLkUp.tbl[Num],MATCH(AD$3,mthLkUp.tbl[Month],0)),1,0)</f>
        <v>0</v>
      </c>
      <c r="AE4" s="6">
        <f ca="1">IF(MONTH(sim.tbl[[#This Row],[SDate]])=INDEX(mthLkUp.tbl[Num],MATCH(AE$3,mthLkUp.tbl[Month],0)),1,0)</f>
        <v>0</v>
      </c>
      <c r="AF4" s="6">
        <f ca="1">IF(MONTH(sim.tbl[[#This Row],[SDate]])=INDEX(mthLkUp.tbl[Num],MATCH(AF$3,mthLkUp.tbl[Month],0)),1,0)</f>
        <v>0</v>
      </c>
      <c r="AG4" s="6">
        <f ca="1">IF(MONTH(sim.tbl[[#This Row],[SDate]])=INDEX(mthLkUp.tbl[Num],MATCH(AG$3,mthLkUp.tbl[Month],0)),1,0)</f>
        <v>0</v>
      </c>
      <c r="AH4" s="6">
        <f ca="1">IF(MONTH(sim.tbl[[#This Row],[SDate]])=INDEX(mthLkUp.tbl[Num],MATCH(AH$3,mthLkUp.tbl[Month],0)),1,0)</f>
        <v>0</v>
      </c>
      <c r="AI4" s="6">
        <f ca="1">IF(MONTH(sim.tbl[[#This Row],[SDate]])=INDEX(mthLkUp.tbl[Num],MATCH(AI$3,mthLkUp.tbl[Month],0)),1,0)</f>
        <v>0</v>
      </c>
      <c r="AJ4" s="6">
        <f ca="1">IF(MONTH(sim.tbl[[#This Row],[SDate]])=INDEX(mthLkUp.tbl[Num],MATCH(AJ$3,mthLkUp.tbl[Month],0)),1,0)</f>
        <v>0</v>
      </c>
      <c r="AK4" s="6">
        <v>0</v>
      </c>
      <c r="AL4" s="5">
        <f>sim.tbl[[#This Row],[Sulfur]]*sim.tbl[[#This Row],[C5+]]</f>
        <v>0</v>
      </c>
      <c r="AM4" s="5">
        <f>sim.tbl[[#This Row],[Sulfur]]*sim.tbl[[#This Row],[Light LSB]]</f>
        <v>0</v>
      </c>
      <c r="AN4" s="5">
        <f>sim.tbl[[#This Row],[Sulfur]]*sim.tbl[[#This Row],[Light SW]]</f>
        <v>0</v>
      </c>
      <c r="AO4" s="5">
        <f>sim.tbl[[#This Row],[Sulfur]]*sim.tbl[[#This Row],[Medium LSB]]</f>
        <v>0</v>
      </c>
      <c r="AP4" s="5">
        <f>sim.tbl[[#This Row],[Sulfur]]*sim.tbl[[#This Row],[Medium SW]]</f>
        <v>0</v>
      </c>
      <c r="AQ4" s="5">
        <f>sim.tbl[[#This Row],[Sulfur]]*sim.tbl[[#This Row],[Midale]]</f>
        <v>2.41</v>
      </c>
      <c r="AR4" s="5">
        <f>sim.tbl[[#This Row],[Sulfur]]*sim.tbl[[#This Row],[Heavy Sour]]</f>
        <v>0</v>
      </c>
      <c r="AS4" s="5">
        <f>sim.tbl[[#This Row],[Sulfur]]*sim.tbl[[#This Row],[Heavy SW]]</f>
        <v>0</v>
      </c>
      <c r="AT4" s="5">
        <f>sim.tbl[[#This Row],[Density]]*sim.tbl[[#This Row],[C5+]]</f>
        <v>0</v>
      </c>
      <c r="AU4" s="5">
        <f>sim.tbl[[#This Row],[Density]]*sim.tbl[[#This Row],[Light LSB]]</f>
        <v>0</v>
      </c>
      <c r="AV4" s="5">
        <f>sim.tbl[[#This Row],[Density]]*sim.tbl[[#This Row],[Light SW]]</f>
        <v>0</v>
      </c>
      <c r="AW4" s="5">
        <f>sim.tbl[[#This Row],[Density]]*sim.tbl[[#This Row],[Medium LSB]]</f>
        <v>0</v>
      </c>
      <c r="AX4" s="5">
        <f>sim.tbl[[#This Row],[Density]]*sim.tbl[[#This Row],[Medium SW]]</f>
        <v>0</v>
      </c>
      <c r="AY4" s="5">
        <f>sim.tbl[[#This Row],[Density]]*sim.tbl[[#This Row],[Midale]]</f>
        <v>869.5</v>
      </c>
      <c r="AZ4" s="5">
        <f>sim.tbl[[#This Row],[Density]]*sim.tbl[[#This Row],[Heavy Sour]]</f>
        <v>0</v>
      </c>
      <c r="BA4" s="5">
        <f>sim.tbl[[#This Row],[Density]]*sim.tbl[[#This Row],[Heavy SW]]</f>
        <v>0</v>
      </c>
      <c r="BB4" s="5">
        <f>sim.tbl[[#This Row],[7 Day Rolling Temperature]]*sim.tbl[[#This Row],[C5+]]</f>
        <v>0</v>
      </c>
      <c r="BC4" s="5">
        <f>sim.tbl[[#This Row],[7 Day Rolling Temperature]]*sim.tbl[[#This Row],[Light LSB]]</f>
        <v>0</v>
      </c>
      <c r="BD4" s="5">
        <f>sim.tbl[[#This Row],[7 Day Rolling Temperature]]*sim.tbl[[#This Row],[Light SW]]</f>
        <v>0</v>
      </c>
      <c r="BE4" s="5">
        <f>sim.tbl[[#This Row],[7 Day Rolling Temperature]]*sim.tbl[[#This Row],[Medium LSB]]</f>
        <v>0</v>
      </c>
      <c r="BF4" s="5">
        <f>sim.tbl[[#This Row],[7 Day Rolling Temperature]]*sim.tbl[[#This Row],[Medium SW]]</f>
        <v>0</v>
      </c>
      <c r="BG4" s="5">
        <f>sim.tbl[[#This Row],[7 Day Rolling Temperature]]*sim.tbl[[#This Row],[Midale]]</f>
        <v>-9.6</v>
      </c>
      <c r="BH4" s="5">
        <f>sim.tbl[[#This Row],[7 Day Rolling Temperature]]*sim.tbl[[#This Row],[Heavy Sour]]</f>
        <v>0</v>
      </c>
      <c r="BI4" s="5">
        <f>sim.tbl[[#This Row],[7 Day Rolling Temperature]]*sim.tbl[[#This Row],[Heavy SW]]</f>
        <v>0</v>
      </c>
      <c r="BJ4" s="5">
        <f>sim.tbl[[#This Row],[Post Aquisition]]*sim.tbl[[#This Row],[C5+]]</f>
        <v>0</v>
      </c>
      <c r="BK4" s="5">
        <f>sim.tbl[[#This Row],[Post Aquisition]]*sim.tbl[[#This Row],[Light LSB]]</f>
        <v>0</v>
      </c>
      <c r="BL4" s="5">
        <f>sim.tbl[[#This Row],[Post Aquisition]]*sim.tbl[[#This Row],[Light SW]]</f>
        <v>0</v>
      </c>
      <c r="BM4" s="5">
        <f>sim.tbl[[#This Row],[Post Aquisition]]*sim.tbl[[#This Row],[Medium LSB]]</f>
        <v>0</v>
      </c>
      <c r="BN4" s="5">
        <f>sim.tbl[[#This Row],[Post Aquisition]]*sim.tbl[[#This Row],[Medium SW]]</f>
        <v>0</v>
      </c>
      <c r="BO4" s="5">
        <f>sim.tbl[[#This Row],[Post Aquisition]]*sim.tbl[[#This Row],[Midale]]</f>
        <v>0</v>
      </c>
      <c r="BP4" s="5">
        <f>sim.tbl[[#This Row],[Post Aquisition]]*sim.tbl[[#This Row],[Heavy Sour]]</f>
        <v>0</v>
      </c>
      <c r="BQ4" s="5">
        <f>sim.tbl[[#This Row],[Post Aquisition]]*sim.tbl[[#This Row],[Heavy SW]]</f>
        <v>0</v>
      </c>
    </row>
    <row r="5" spans="1:69" x14ac:dyDescent="0.25">
      <c r="A5" s="10" t="s">
        <v>355</v>
      </c>
      <c r="B5" s="8">
        <v>2.2999999999999998</v>
      </c>
      <c r="D5" s="5">
        <f ca="1">SUMPRODUCT($F$1:$BQ$1,sim.tbl[[#This Row],[(Intercept)]:[Post Aquisition:Heavy SW]])</f>
        <v>76.486519192689457</v>
      </c>
      <c r="E5" s="14">
        <f ca="1">DATE(YEAR(TODAY()),INDEX(mthLkUp.tbl[Num],MATCH(mth.input,mthLkUp.tbl[Month],0)),1)</f>
        <v>42795</v>
      </c>
      <c r="F5" s="6">
        <f>1</f>
        <v>1</v>
      </c>
      <c r="G5" s="5">
        <v>1.99</v>
      </c>
      <c r="H5" s="5">
        <v>876.4</v>
      </c>
      <c r="I5" s="5">
        <v>8.0500000000000007</v>
      </c>
      <c r="J5" s="5">
        <v>7.7</v>
      </c>
      <c r="K5" s="5">
        <v>7.7</v>
      </c>
      <c r="L5" s="5">
        <v>7.7</v>
      </c>
      <c r="M5" s="5">
        <v>7.8</v>
      </c>
      <c r="N5" s="5">
        <v>8.5</v>
      </c>
      <c r="O5" s="5">
        <v>8.8000000000000007</v>
      </c>
      <c r="P5" s="5">
        <v>7.8</v>
      </c>
      <c r="Q5" s="6">
        <f>IF(sim.tbl[[#This Row],[Density]]&lt;=770,1,0)</f>
        <v>0</v>
      </c>
      <c r="R5" s="6">
        <f>IF(AND(sim.tbl[[#This Row],[Sulfur]]&gt;0.5,sim.tbl[[#This Row],[Density]]&gt;770,sim.tbl[[#This Row],[Density]]&lt;=825),1,0)</f>
        <v>0</v>
      </c>
      <c r="S5" s="6">
        <f>IF(AND(sim.tbl[[#This Row],[Sulfur]]&lt;=0.5,sim.tbl[[#This Row],[Density]]&gt;770,sim.tbl[[#This Row],[Density]]&lt;=825),1,0)</f>
        <v>0</v>
      </c>
      <c r="T5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5" s="6">
        <f>IF(AND(sim.tbl[[#This Row],[Sulfur]]&lt;0.5,sim.tbl[[#This Row],[Density]]&gt;825,sim.tbl[[#This Row],[Density]]&lt;=900),1,0)</f>
        <v>0</v>
      </c>
      <c r="V5" s="6">
        <f>IF(AND(sim.tbl[[#This Row],[Sulfur]]&gt;2,sim.tbl[[#This Row],[Density]]&gt;865,sim.tbl[[#This Row],[Density]]&lt;=900),1,0)</f>
        <v>0</v>
      </c>
      <c r="W5" s="6">
        <f>IF(AND(sim.tbl[[#This Row],[Sulfur]]&gt;0.5,sim.tbl[[#This Row],[Density]]&gt;900),1,0)</f>
        <v>0</v>
      </c>
      <c r="X5" s="6">
        <f>IF(AND(sim.tbl[[#This Row],[Sulfur]]&lt;=0.5,sim.tbl[[#This Row],[Density]]&gt;900),1,0)</f>
        <v>0</v>
      </c>
      <c r="Y5" s="6">
        <f ca="1">IF(MONTH(sim.tbl[[#This Row],[SDate]])=INDEX(mthLkUp.tbl[Num],MATCH(Y$3,mthLkUp.tbl[Month],0)),1,0)</f>
        <v>0</v>
      </c>
      <c r="Z5" s="6">
        <f ca="1">IF(MONTH(sim.tbl[[#This Row],[SDate]])=INDEX(mthLkUp.tbl[Num],MATCH(Z$3,mthLkUp.tbl[Month],0)),1,0)</f>
        <v>0</v>
      </c>
      <c r="AA5" s="6">
        <f ca="1">IF(MONTH(sim.tbl[[#This Row],[SDate]])=INDEX(mthLkUp.tbl[Num],MATCH(AA$3,mthLkUp.tbl[Month],0)),1,0)</f>
        <v>1</v>
      </c>
      <c r="AB5" s="6">
        <f ca="1">IF(MONTH(sim.tbl[[#This Row],[SDate]])=INDEX(mthLkUp.tbl[Num],MATCH(AB$3,mthLkUp.tbl[Month],0)),1,0)</f>
        <v>0</v>
      </c>
      <c r="AC5" s="6">
        <f ca="1">IF(MONTH(sim.tbl[[#This Row],[SDate]])=INDEX(mthLkUp.tbl[Num],MATCH(AC$3,mthLkUp.tbl[Month],0)),1,0)</f>
        <v>0</v>
      </c>
      <c r="AD5" s="6">
        <f ca="1">IF(MONTH(sim.tbl[[#This Row],[SDate]])=INDEX(mthLkUp.tbl[Num],MATCH(AD$3,mthLkUp.tbl[Month],0)),1,0)</f>
        <v>0</v>
      </c>
      <c r="AE5" s="6">
        <f ca="1">IF(MONTH(sim.tbl[[#This Row],[SDate]])=INDEX(mthLkUp.tbl[Num],MATCH(AE$3,mthLkUp.tbl[Month],0)),1,0)</f>
        <v>0</v>
      </c>
      <c r="AF5" s="6">
        <f ca="1">IF(MONTH(sim.tbl[[#This Row],[SDate]])=INDEX(mthLkUp.tbl[Num],MATCH(AF$3,mthLkUp.tbl[Month],0)),1,0)</f>
        <v>0</v>
      </c>
      <c r="AG5" s="6">
        <f ca="1">IF(MONTH(sim.tbl[[#This Row],[SDate]])=INDEX(mthLkUp.tbl[Num],MATCH(AG$3,mthLkUp.tbl[Month],0)),1,0)</f>
        <v>0</v>
      </c>
      <c r="AH5" s="6">
        <f ca="1">IF(MONTH(sim.tbl[[#This Row],[SDate]])=INDEX(mthLkUp.tbl[Num],MATCH(AH$3,mthLkUp.tbl[Month],0)),1,0)</f>
        <v>0</v>
      </c>
      <c r="AI5" s="6">
        <f ca="1">IF(MONTH(sim.tbl[[#This Row],[SDate]])=INDEX(mthLkUp.tbl[Num],MATCH(AI$3,mthLkUp.tbl[Month],0)),1,0)</f>
        <v>0</v>
      </c>
      <c r="AJ5" s="6">
        <f ca="1">IF(MONTH(sim.tbl[[#This Row],[SDate]])=INDEX(mthLkUp.tbl[Num],MATCH(AJ$3,mthLkUp.tbl[Month],0)),1,0)</f>
        <v>0</v>
      </c>
      <c r="AK5" s="6">
        <v>0</v>
      </c>
      <c r="AL5" s="5">
        <f>sim.tbl[[#This Row],[Sulfur]]*sim.tbl[[#This Row],[C5+]]</f>
        <v>0</v>
      </c>
      <c r="AM5" s="5">
        <f>sim.tbl[[#This Row],[Sulfur]]*sim.tbl[[#This Row],[Light LSB]]</f>
        <v>0</v>
      </c>
      <c r="AN5" s="5">
        <f>sim.tbl[[#This Row],[Sulfur]]*sim.tbl[[#This Row],[Light SW]]</f>
        <v>0</v>
      </c>
      <c r="AO5" s="5">
        <f>sim.tbl[[#This Row],[Sulfur]]*sim.tbl[[#This Row],[Medium LSB]]</f>
        <v>1.99</v>
      </c>
      <c r="AP5" s="5">
        <f>sim.tbl[[#This Row],[Sulfur]]*sim.tbl[[#This Row],[Medium SW]]</f>
        <v>0</v>
      </c>
      <c r="AQ5" s="5">
        <f>sim.tbl[[#This Row],[Sulfur]]*sim.tbl[[#This Row],[Midale]]</f>
        <v>0</v>
      </c>
      <c r="AR5" s="5">
        <f>sim.tbl[[#This Row],[Sulfur]]*sim.tbl[[#This Row],[Heavy Sour]]</f>
        <v>0</v>
      </c>
      <c r="AS5" s="5">
        <f>sim.tbl[[#This Row],[Sulfur]]*sim.tbl[[#This Row],[Heavy SW]]</f>
        <v>0</v>
      </c>
      <c r="AT5" s="5">
        <f>sim.tbl[[#This Row],[Density]]*sim.tbl[[#This Row],[C5+]]</f>
        <v>0</v>
      </c>
      <c r="AU5" s="5">
        <f>sim.tbl[[#This Row],[Density]]*sim.tbl[[#This Row],[Light LSB]]</f>
        <v>0</v>
      </c>
      <c r="AV5" s="5">
        <f>sim.tbl[[#This Row],[Density]]*sim.tbl[[#This Row],[Light SW]]</f>
        <v>0</v>
      </c>
      <c r="AW5" s="5">
        <f>sim.tbl[[#This Row],[Density]]*sim.tbl[[#This Row],[Medium LSB]]</f>
        <v>876.4</v>
      </c>
      <c r="AX5" s="5">
        <f>sim.tbl[[#This Row],[Density]]*sim.tbl[[#This Row],[Medium SW]]</f>
        <v>0</v>
      </c>
      <c r="AY5" s="5">
        <f>sim.tbl[[#This Row],[Density]]*sim.tbl[[#This Row],[Midale]]</f>
        <v>0</v>
      </c>
      <c r="AZ5" s="5">
        <f>sim.tbl[[#This Row],[Density]]*sim.tbl[[#This Row],[Heavy Sour]]</f>
        <v>0</v>
      </c>
      <c r="BA5" s="5">
        <f>sim.tbl[[#This Row],[Density]]*sim.tbl[[#This Row],[Heavy SW]]</f>
        <v>0</v>
      </c>
      <c r="BB5" s="5">
        <f>sim.tbl[[#This Row],[7 Day Rolling Temperature]]*sim.tbl[[#This Row],[C5+]]</f>
        <v>0</v>
      </c>
      <c r="BC5" s="5">
        <f>sim.tbl[[#This Row],[7 Day Rolling Temperature]]*sim.tbl[[#This Row],[Light LSB]]</f>
        <v>0</v>
      </c>
      <c r="BD5" s="5">
        <f>sim.tbl[[#This Row],[7 Day Rolling Temperature]]*sim.tbl[[#This Row],[Light SW]]</f>
        <v>0</v>
      </c>
      <c r="BE5" s="5">
        <f>sim.tbl[[#This Row],[7 Day Rolling Temperature]]*sim.tbl[[#This Row],[Medium LSB]]</f>
        <v>7.7</v>
      </c>
      <c r="BF5" s="5">
        <f>sim.tbl[[#This Row],[7 Day Rolling Temperature]]*sim.tbl[[#This Row],[Medium SW]]</f>
        <v>0</v>
      </c>
      <c r="BG5" s="5">
        <f>sim.tbl[[#This Row],[7 Day Rolling Temperature]]*sim.tbl[[#This Row],[Midale]]</f>
        <v>0</v>
      </c>
      <c r="BH5" s="5">
        <f>sim.tbl[[#This Row],[7 Day Rolling Temperature]]*sim.tbl[[#This Row],[Heavy Sour]]</f>
        <v>0</v>
      </c>
      <c r="BI5" s="5">
        <f>sim.tbl[[#This Row],[7 Day Rolling Temperature]]*sim.tbl[[#This Row],[Heavy SW]]</f>
        <v>0</v>
      </c>
      <c r="BJ5" s="5">
        <f>sim.tbl[[#This Row],[Post Aquisition]]*sim.tbl[[#This Row],[C5+]]</f>
        <v>0</v>
      </c>
      <c r="BK5" s="5">
        <f>sim.tbl[[#This Row],[Post Aquisition]]*sim.tbl[[#This Row],[Light LSB]]</f>
        <v>0</v>
      </c>
      <c r="BL5" s="5">
        <f>sim.tbl[[#This Row],[Post Aquisition]]*sim.tbl[[#This Row],[Light SW]]</f>
        <v>0</v>
      </c>
      <c r="BM5" s="5">
        <f>sim.tbl[[#This Row],[Post Aquisition]]*sim.tbl[[#This Row],[Medium LSB]]</f>
        <v>0</v>
      </c>
      <c r="BN5" s="5">
        <f>sim.tbl[[#This Row],[Post Aquisition]]*sim.tbl[[#This Row],[Medium SW]]</f>
        <v>0</v>
      </c>
      <c r="BO5" s="5">
        <f>sim.tbl[[#This Row],[Post Aquisition]]*sim.tbl[[#This Row],[Midale]]</f>
        <v>0</v>
      </c>
      <c r="BP5" s="5">
        <f>sim.tbl[[#This Row],[Post Aquisition]]*sim.tbl[[#This Row],[Heavy Sour]]</f>
        <v>0</v>
      </c>
      <c r="BQ5" s="5">
        <f>sim.tbl[[#This Row],[Post Aquisition]]*sim.tbl[[#This Row],[Heavy SW]]</f>
        <v>0</v>
      </c>
    </row>
    <row r="6" spans="1:69" x14ac:dyDescent="0.25">
      <c r="A6" s="10" t="s">
        <v>356</v>
      </c>
      <c r="B6" s="8">
        <v>-6.21</v>
      </c>
      <c r="D6" s="5">
        <f ca="1">SUMPRODUCT($F$1:$BQ$1,sim.tbl[[#This Row],[(Intercept)]:[Post Aquisition:Heavy SW]])</f>
        <v>87.638910281451984</v>
      </c>
      <c r="E6" s="14">
        <f ca="1">DATE(YEAR(TODAY()),INDEX(mthLkUp.tbl[Num],MATCH(mth.input,mthLkUp.tbl[Month],0)),1)</f>
        <v>42795</v>
      </c>
      <c r="F6" s="6">
        <f>1</f>
        <v>1</v>
      </c>
      <c r="G6" s="5">
        <v>2.41</v>
      </c>
      <c r="H6" s="5">
        <v>870.1</v>
      </c>
      <c r="I6" s="5">
        <v>-17.8</v>
      </c>
      <c r="J6" s="5">
        <v>-16.8</v>
      </c>
      <c r="K6" s="5">
        <v>-18.2</v>
      </c>
      <c r="L6" s="5">
        <v>-16.8</v>
      </c>
      <c r="M6" s="5">
        <v>-18.5</v>
      </c>
      <c r="N6" s="5">
        <v>-16.8</v>
      </c>
      <c r="O6" s="5">
        <v>-19</v>
      </c>
      <c r="P6" s="5">
        <v>-17.5</v>
      </c>
      <c r="Q6" s="6">
        <f>IF(sim.tbl[[#This Row],[Density]]&lt;=770,1,0)</f>
        <v>0</v>
      </c>
      <c r="R6" s="6">
        <f>IF(AND(sim.tbl[[#This Row],[Sulfur]]&gt;0.5,sim.tbl[[#This Row],[Density]]&gt;770,sim.tbl[[#This Row],[Density]]&lt;=825),1,0)</f>
        <v>0</v>
      </c>
      <c r="S6" s="6">
        <f>IF(AND(sim.tbl[[#This Row],[Sulfur]]&lt;=0.5,sim.tbl[[#This Row],[Density]]&gt;770,sim.tbl[[#This Row],[Density]]&lt;=825),1,0)</f>
        <v>0</v>
      </c>
      <c r="T6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6" s="6">
        <f>IF(AND(sim.tbl[[#This Row],[Sulfur]]&lt;0.5,sim.tbl[[#This Row],[Density]]&gt;825,sim.tbl[[#This Row],[Density]]&lt;=900),1,0)</f>
        <v>0</v>
      </c>
      <c r="V6" s="6">
        <f>IF(AND(sim.tbl[[#This Row],[Sulfur]]&gt;2,sim.tbl[[#This Row],[Density]]&gt;865,sim.tbl[[#This Row],[Density]]&lt;=900),1,0)</f>
        <v>1</v>
      </c>
      <c r="W6" s="6">
        <f>IF(AND(sim.tbl[[#This Row],[Sulfur]]&gt;0.5,sim.tbl[[#This Row],[Density]]&gt;900),1,0)</f>
        <v>0</v>
      </c>
      <c r="X6" s="6">
        <f>IF(AND(sim.tbl[[#This Row],[Sulfur]]&lt;=0.5,sim.tbl[[#This Row],[Density]]&gt;900),1,0)</f>
        <v>0</v>
      </c>
      <c r="Y6" s="6">
        <f ca="1">IF(MONTH(sim.tbl[[#This Row],[SDate]])=INDEX(mthLkUp.tbl[Num],MATCH(Y$3,mthLkUp.tbl[Month],0)),1,0)</f>
        <v>0</v>
      </c>
      <c r="Z6" s="6">
        <f ca="1">IF(MONTH(sim.tbl[[#This Row],[SDate]])=INDEX(mthLkUp.tbl[Num],MATCH(Z$3,mthLkUp.tbl[Month],0)),1,0)</f>
        <v>0</v>
      </c>
      <c r="AA6" s="6">
        <f ca="1">IF(MONTH(sim.tbl[[#This Row],[SDate]])=INDEX(mthLkUp.tbl[Num],MATCH(AA$3,mthLkUp.tbl[Month],0)),1,0)</f>
        <v>1</v>
      </c>
      <c r="AB6" s="6">
        <f ca="1">IF(MONTH(sim.tbl[[#This Row],[SDate]])=INDEX(mthLkUp.tbl[Num],MATCH(AB$3,mthLkUp.tbl[Month],0)),1,0)</f>
        <v>0</v>
      </c>
      <c r="AC6" s="6">
        <f ca="1">IF(MONTH(sim.tbl[[#This Row],[SDate]])=INDEX(mthLkUp.tbl[Num],MATCH(AC$3,mthLkUp.tbl[Month],0)),1,0)</f>
        <v>0</v>
      </c>
      <c r="AD6" s="6">
        <f ca="1">IF(MONTH(sim.tbl[[#This Row],[SDate]])=INDEX(mthLkUp.tbl[Num],MATCH(AD$3,mthLkUp.tbl[Month],0)),1,0)</f>
        <v>0</v>
      </c>
      <c r="AE6" s="6">
        <f ca="1">IF(MONTH(sim.tbl[[#This Row],[SDate]])=INDEX(mthLkUp.tbl[Num],MATCH(AE$3,mthLkUp.tbl[Month],0)),1,0)</f>
        <v>0</v>
      </c>
      <c r="AF6" s="6">
        <f ca="1">IF(MONTH(sim.tbl[[#This Row],[SDate]])=INDEX(mthLkUp.tbl[Num],MATCH(AF$3,mthLkUp.tbl[Month],0)),1,0)</f>
        <v>0</v>
      </c>
      <c r="AG6" s="6">
        <f ca="1">IF(MONTH(sim.tbl[[#This Row],[SDate]])=INDEX(mthLkUp.tbl[Num],MATCH(AG$3,mthLkUp.tbl[Month],0)),1,0)</f>
        <v>0</v>
      </c>
      <c r="AH6" s="6">
        <f ca="1">IF(MONTH(sim.tbl[[#This Row],[SDate]])=INDEX(mthLkUp.tbl[Num],MATCH(AH$3,mthLkUp.tbl[Month],0)),1,0)</f>
        <v>0</v>
      </c>
      <c r="AI6" s="6">
        <f ca="1">IF(MONTH(sim.tbl[[#This Row],[SDate]])=INDEX(mthLkUp.tbl[Num],MATCH(AI$3,mthLkUp.tbl[Month],0)),1,0)</f>
        <v>0</v>
      </c>
      <c r="AJ6" s="6">
        <f ca="1">IF(MONTH(sim.tbl[[#This Row],[SDate]])=INDEX(mthLkUp.tbl[Num],MATCH(AJ$3,mthLkUp.tbl[Month],0)),1,0)</f>
        <v>0</v>
      </c>
      <c r="AK6" s="6">
        <v>0</v>
      </c>
      <c r="AL6" s="5">
        <f>sim.tbl[[#This Row],[Sulfur]]*sim.tbl[[#This Row],[C5+]]</f>
        <v>0</v>
      </c>
      <c r="AM6" s="5">
        <f>sim.tbl[[#This Row],[Sulfur]]*sim.tbl[[#This Row],[Light LSB]]</f>
        <v>0</v>
      </c>
      <c r="AN6" s="5">
        <f>sim.tbl[[#This Row],[Sulfur]]*sim.tbl[[#This Row],[Light SW]]</f>
        <v>0</v>
      </c>
      <c r="AO6" s="5">
        <f>sim.tbl[[#This Row],[Sulfur]]*sim.tbl[[#This Row],[Medium LSB]]</f>
        <v>0</v>
      </c>
      <c r="AP6" s="5">
        <f>sim.tbl[[#This Row],[Sulfur]]*sim.tbl[[#This Row],[Medium SW]]</f>
        <v>0</v>
      </c>
      <c r="AQ6" s="5">
        <f>sim.tbl[[#This Row],[Sulfur]]*sim.tbl[[#This Row],[Midale]]</f>
        <v>2.41</v>
      </c>
      <c r="AR6" s="5">
        <f>sim.tbl[[#This Row],[Sulfur]]*sim.tbl[[#This Row],[Heavy Sour]]</f>
        <v>0</v>
      </c>
      <c r="AS6" s="5">
        <f>sim.tbl[[#This Row],[Sulfur]]*sim.tbl[[#This Row],[Heavy SW]]</f>
        <v>0</v>
      </c>
      <c r="AT6" s="5">
        <f>sim.tbl[[#This Row],[Density]]*sim.tbl[[#This Row],[C5+]]</f>
        <v>0</v>
      </c>
      <c r="AU6" s="5">
        <f>sim.tbl[[#This Row],[Density]]*sim.tbl[[#This Row],[Light LSB]]</f>
        <v>0</v>
      </c>
      <c r="AV6" s="5">
        <f>sim.tbl[[#This Row],[Density]]*sim.tbl[[#This Row],[Light SW]]</f>
        <v>0</v>
      </c>
      <c r="AW6" s="5">
        <f>sim.tbl[[#This Row],[Density]]*sim.tbl[[#This Row],[Medium LSB]]</f>
        <v>0</v>
      </c>
      <c r="AX6" s="5">
        <f>sim.tbl[[#This Row],[Density]]*sim.tbl[[#This Row],[Medium SW]]</f>
        <v>0</v>
      </c>
      <c r="AY6" s="5">
        <f>sim.tbl[[#This Row],[Density]]*sim.tbl[[#This Row],[Midale]]</f>
        <v>870.1</v>
      </c>
      <c r="AZ6" s="5">
        <f>sim.tbl[[#This Row],[Density]]*sim.tbl[[#This Row],[Heavy Sour]]</f>
        <v>0</v>
      </c>
      <c r="BA6" s="5">
        <f>sim.tbl[[#This Row],[Density]]*sim.tbl[[#This Row],[Heavy SW]]</f>
        <v>0</v>
      </c>
      <c r="BB6" s="5">
        <f>sim.tbl[[#This Row],[7 Day Rolling Temperature]]*sim.tbl[[#This Row],[C5+]]</f>
        <v>0</v>
      </c>
      <c r="BC6" s="5">
        <f>sim.tbl[[#This Row],[7 Day Rolling Temperature]]*sim.tbl[[#This Row],[Light LSB]]</f>
        <v>0</v>
      </c>
      <c r="BD6" s="5">
        <f>sim.tbl[[#This Row],[7 Day Rolling Temperature]]*sim.tbl[[#This Row],[Light SW]]</f>
        <v>0</v>
      </c>
      <c r="BE6" s="5">
        <f>sim.tbl[[#This Row],[7 Day Rolling Temperature]]*sim.tbl[[#This Row],[Medium LSB]]</f>
        <v>0</v>
      </c>
      <c r="BF6" s="5">
        <f>sim.tbl[[#This Row],[7 Day Rolling Temperature]]*sim.tbl[[#This Row],[Medium SW]]</f>
        <v>0</v>
      </c>
      <c r="BG6" s="5">
        <f>sim.tbl[[#This Row],[7 Day Rolling Temperature]]*sim.tbl[[#This Row],[Midale]]</f>
        <v>-16.8</v>
      </c>
      <c r="BH6" s="5">
        <f>sim.tbl[[#This Row],[7 Day Rolling Temperature]]*sim.tbl[[#This Row],[Heavy Sour]]</f>
        <v>0</v>
      </c>
      <c r="BI6" s="5">
        <f>sim.tbl[[#This Row],[7 Day Rolling Temperature]]*sim.tbl[[#This Row],[Heavy SW]]</f>
        <v>0</v>
      </c>
      <c r="BJ6" s="5">
        <f>sim.tbl[[#This Row],[Post Aquisition]]*sim.tbl[[#This Row],[C5+]]</f>
        <v>0</v>
      </c>
      <c r="BK6" s="5">
        <f>sim.tbl[[#This Row],[Post Aquisition]]*sim.tbl[[#This Row],[Light LSB]]</f>
        <v>0</v>
      </c>
      <c r="BL6" s="5">
        <f>sim.tbl[[#This Row],[Post Aquisition]]*sim.tbl[[#This Row],[Light SW]]</f>
        <v>0</v>
      </c>
      <c r="BM6" s="5">
        <f>sim.tbl[[#This Row],[Post Aquisition]]*sim.tbl[[#This Row],[Medium LSB]]</f>
        <v>0</v>
      </c>
      <c r="BN6" s="5">
        <f>sim.tbl[[#This Row],[Post Aquisition]]*sim.tbl[[#This Row],[Medium SW]]</f>
        <v>0</v>
      </c>
      <c r="BO6" s="5">
        <f>sim.tbl[[#This Row],[Post Aquisition]]*sim.tbl[[#This Row],[Midale]]</f>
        <v>0</v>
      </c>
      <c r="BP6" s="5">
        <f>sim.tbl[[#This Row],[Post Aquisition]]*sim.tbl[[#This Row],[Heavy Sour]]</f>
        <v>0</v>
      </c>
      <c r="BQ6" s="5">
        <f>sim.tbl[[#This Row],[Post Aquisition]]*sim.tbl[[#This Row],[Heavy SW]]</f>
        <v>0</v>
      </c>
    </row>
    <row r="7" spans="1:69" x14ac:dyDescent="0.25">
      <c r="A7" s="10" t="s">
        <v>357</v>
      </c>
      <c r="B7" s="13" t="s">
        <v>335</v>
      </c>
      <c r="D7" s="5">
        <f ca="1">SUMPRODUCT($F$1:$BQ$1,sim.tbl[[#This Row],[(Intercept)]:[Post Aquisition:Heavy SW]])</f>
        <v>81.545775215525524</v>
      </c>
      <c r="E7" s="14">
        <f ca="1">DATE(YEAR(TODAY()),INDEX(mthLkUp.tbl[Num],MATCH(mth.input,mthLkUp.tbl[Month],0)),1)</f>
        <v>42795</v>
      </c>
      <c r="F7" s="6">
        <f>1</f>
        <v>1</v>
      </c>
      <c r="G7" s="5">
        <v>2.2999999999999998</v>
      </c>
      <c r="H7" s="5">
        <v>875.1</v>
      </c>
      <c r="I7" s="5">
        <v>-5.9666666670000001</v>
      </c>
      <c r="J7" s="5">
        <v>-4.4000000000000004</v>
      </c>
      <c r="K7" s="5">
        <v>-5.3</v>
      </c>
      <c r="L7" s="5">
        <v>-4.4000000000000004</v>
      </c>
      <c r="M7" s="5">
        <v>-7.8</v>
      </c>
      <c r="N7" s="5">
        <v>-3.8</v>
      </c>
      <c r="O7" s="5">
        <v>-6.8</v>
      </c>
      <c r="P7" s="5">
        <v>-7.7</v>
      </c>
      <c r="Q7" s="6">
        <f>IF(sim.tbl[[#This Row],[Density]]&lt;=770,1,0)</f>
        <v>0</v>
      </c>
      <c r="R7" s="6">
        <f>IF(AND(sim.tbl[[#This Row],[Sulfur]]&gt;0.5,sim.tbl[[#This Row],[Density]]&gt;770,sim.tbl[[#This Row],[Density]]&lt;=825),1,0)</f>
        <v>0</v>
      </c>
      <c r="S7" s="6">
        <f>IF(AND(sim.tbl[[#This Row],[Sulfur]]&lt;=0.5,sim.tbl[[#This Row],[Density]]&gt;770,sim.tbl[[#This Row],[Density]]&lt;=825),1,0)</f>
        <v>0</v>
      </c>
      <c r="T7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7" s="6">
        <f>IF(AND(sim.tbl[[#This Row],[Sulfur]]&lt;0.5,sim.tbl[[#This Row],[Density]]&gt;825,sim.tbl[[#This Row],[Density]]&lt;=900),1,0)</f>
        <v>0</v>
      </c>
      <c r="V7" s="6">
        <f>IF(AND(sim.tbl[[#This Row],[Sulfur]]&gt;2,sim.tbl[[#This Row],[Density]]&gt;865,sim.tbl[[#This Row],[Density]]&lt;=900),1,0)</f>
        <v>1</v>
      </c>
      <c r="W7" s="6">
        <f>IF(AND(sim.tbl[[#This Row],[Sulfur]]&gt;0.5,sim.tbl[[#This Row],[Density]]&gt;900),1,0)</f>
        <v>0</v>
      </c>
      <c r="X7" s="6">
        <f>IF(AND(sim.tbl[[#This Row],[Sulfur]]&lt;=0.5,sim.tbl[[#This Row],[Density]]&gt;900),1,0)</f>
        <v>0</v>
      </c>
      <c r="Y7" s="6">
        <f ca="1">IF(MONTH(sim.tbl[[#This Row],[SDate]])=INDEX(mthLkUp.tbl[Num],MATCH(Y$3,mthLkUp.tbl[Month],0)),1,0)</f>
        <v>0</v>
      </c>
      <c r="Z7" s="6">
        <f ca="1">IF(MONTH(sim.tbl[[#This Row],[SDate]])=INDEX(mthLkUp.tbl[Num],MATCH(Z$3,mthLkUp.tbl[Month],0)),1,0)</f>
        <v>0</v>
      </c>
      <c r="AA7" s="6">
        <f ca="1">IF(MONTH(sim.tbl[[#This Row],[SDate]])=INDEX(mthLkUp.tbl[Num],MATCH(AA$3,mthLkUp.tbl[Month],0)),1,0)</f>
        <v>1</v>
      </c>
      <c r="AB7" s="6">
        <f ca="1">IF(MONTH(sim.tbl[[#This Row],[SDate]])=INDEX(mthLkUp.tbl[Num],MATCH(AB$3,mthLkUp.tbl[Month],0)),1,0)</f>
        <v>0</v>
      </c>
      <c r="AC7" s="6">
        <f ca="1">IF(MONTH(sim.tbl[[#This Row],[SDate]])=INDEX(mthLkUp.tbl[Num],MATCH(AC$3,mthLkUp.tbl[Month],0)),1,0)</f>
        <v>0</v>
      </c>
      <c r="AD7" s="6">
        <f ca="1">IF(MONTH(sim.tbl[[#This Row],[SDate]])=INDEX(mthLkUp.tbl[Num],MATCH(AD$3,mthLkUp.tbl[Month],0)),1,0)</f>
        <v>0</v>
      </c>
      <c r="AE7" s="6">
        <f ca="1">IF(MONTH(sim.tbl[[#This Row],[SDate]])=INDEX(mthLkUp.tbl[Num],MATCH(AE$3,mthLkUp.tbl[Month],0)),1,0)</f>
        <v>0</v>
      </c>
      <c r="AF7" s="6">
        <f ca="1">IF(MONTH(sim.tbl[[#This Row],[SDate]])=INDEX(mthLkUp.tbl[Num],MATCH(AF$3,mthLkUp.tbl[Month],0)),1,0)</f>
        <v>0</v>
      </c>
      <c r="AG7" s="6">
        <f ca="1">IF(MONTH(sim.tbl[[#This Row],[SDate]])=INDEX(mthLkUp.tbl[Num],MATCH(AG$3,mthLkUp.tbl[Month],0)),1,0)</f>
        <v>0</v>
      </c>
      <c r="AH7" s="6">
        <f ca="1">IF(MONTH(sim.tbl[[#This Row],[SDate]])=INDEX(mthLkUp.tbl[Num],MATCH(AH$3,mthLkUp.tbl[Month],0)),1,0)</f>
        <v>0</v>
      </c>
      <c r="AI7" s="6">
        <f ca="1">IF(MONTH(sim.tbl[[#This Row],[SDate]])=INDEX(mthLkUp.tbl[Num],MATCH(AI$3,mthLkUp.tbl[Month],0)),1,0)</f>
        <v>0</v>
      </c>
      <c r="AJ7" s="6">
        <f ca="1">IF(MONTH(sim.tbl[[#This Row],[SDate]])=INDEX(mthLkUp.tbl[Num],MATCH(AJ$3,mthLkUp.tbl[Month],0)),1,0)</f>
        <v>0</v>
      </c>
      <c r="AK7" s="6">
        <v>0</v>
      </c>
      <c r="AL7" s="5">
        <f>sim.tbl[[#This Row],[Sulfur]]*sim.tbl[[#This Row],[C5+]]</f>
        <v>0</v>
      </c>
      <c r="AM7" s="5">
        <f>sim.tbl[[#This Row],[Sulfur]]*sim.tbl[[#This Row],[Light LSB]]</f>
        <v>0</v>
      </c>
      <c r="AN7" s="5">
        <f>sim.tbl[[#This Row],[Sulfur]]*sim.tbl[[#This Row],[Light SW]]</f>
        <v>0</v>
      </c>
      <c r="AO7" s="5">
        <f>sim.tbl[[#This Row],[Sulfur]]*sim.tbl[[#This Row],[Medium LSB]]</f>
        <v>0</v>
      </c>
      <c r="AP7" s="5">
        <f>sim.tbl[[#This Row],[Sulfur]]*sim.tbl[[#This Row],[Medium SW]]</f>
        <v>0</v>
      </c>
      <c r="AQ7" s="5">
        <f>sim.tbl[[#This Row],[Sulfur]]*sim.tbl[[#This Row],[Midale]]</f>
        <v>2.2999999999999998</v>
      </c>
      <c r="AR7" s="5">
        <f>sim.tbl[[#This Row],[Sulfur]]*sim.tbl[[#This Row],[Heavy Sour]]</f>
        <v>0</v>
      </c>
      <c r="AS7" s="5">
        <f>sim.tbl[[#This Row],[Sulfur]]*sim.tbl[[#This Row],[Heavy SW]]</f>
        <v>0</v>
      </c>
      <c r="AT7" s="5">
        <f>sim.tbl[[#This Row],[Density]]*sim.tbl[[#This Row],[C5+]]</f>
        <v>0</v>
      </c>
      <c r="AU7" s="5">
        <f>sim.tbl[[#This Row],[Density]]*sim.tbl[[#This Row],[Light LSB]]</f>
        <v>0</v>
      </c>
      <c r="AV7" s="5">
        <f>sim.tbl[[#This Row],[Density]]*sim.tbl[[#This Row],[Light SW]]</f>
        <v>0</v>
      </c>
      <c r="AW7" s="5">
        <f>sim.tbl[[#This Row],[Density]]*sim.tbl[[#This Row],[Medium LSB]]</f>
        <v>0</v>
      </c>
      <c r="AX7" s="5">
        <f>sim.tbl[[#This Row],[Density]]*sim.tbl[[#This Row],[Medium SW]]</f>
        <v>0</v>
      </c>
      <c r="AY7" s="5">
        <f>sim.tbl[[#This Row],[Density]]*sim.tbl[[#This Row],[Midale]]</f>
        <v>875.1</v>
      </c>
      <c r="AZ7" s="5">
        <f>sim.tbl[[#This Row],[Density]]*sim.tbl[[#This Row],[Heavy Sour]]</f>
        <v>0</v>
      </c>
      <c r="BA7" s="5">
        <f>sim.tbl[[#This Row],[Density]]*sim.tbl[[#This Row],[Heavy SW]]</f>
        <v>0</v>
      </c>
      <c r="BB7" s="5">
        <f>sim.tbl[[#This Row],[7 Day Rolling Temperature]]*sim.tbl[[#This Row],[C5+]]</f>
        <v>0</v>
      </c>
      <c r="BC7" s="5">
        <f>sim.tbl[[#This Row],[7 Day Rolling Temperature]]*sim.tbl[[#This Row],[Light LSB]]</f>
        <v>0</v>
      </c>
      <c r="BD7" s="5">
        <f>sim.tbl[[#This Row],[7 Day Rolling Temperature]]*sim.tbl[[#This Row],[Light SW]]</f>
        <v>0</v>
      </c>
      <c r="BE7" s="5">
        <f>sim.tbl[[#This Row],[7 Day Rolling Temperature]]*sim.tbl[[#This Row],[Medium LSB]]</f>
        <v>0</v>
      </c>
      <c r="BF7" s="5">
        <f>sim.tbl[[#This Row],[7 Day Rolling Temperature]]*sim.tbl[[#This Row],[Medium SW]]</f>
        <v>0</v>
      </c>
      <c r="BG7" s="5">
        <f>sim.tbl[[#This Row],[7 Day Rolling Temperature]]*sim.tbl[[#This Row],[Midale]]</f>
        <v>-4.4000000000000004</v>
      </c>
      <c r="BH7" s="5">
        <f>sim.tbl[[#This Row],[7 Day Rolling Temperature]]*sim.tbl[[#This Row],[Heavy Sour]]</f>
        <v>0</v>
      </c>
      <c r="BI7" s="5">
        <f>sim.tbl[[#This Row],[7 Day Rolling Temperature]]*sim.tbl[[#This Row],[Heavy SW]]</f>
        <v>0</v>
      </c>
      <c r="BJ7" s="5">
        <f>sim.tbl[[#This Row],[Post Aquisition]]*sim.tbl[[#This Row],[C5+]]</f>
        <v>0</v>
      </c>
      <c r="BK7" s="5">
        <f>sim.tbl[[#This Row],[Post Aquisition]]*sim.tbl[[#This Row],[Light LSB]]</f>
        <v>0</v>
      </c>
      <c r="BL7" s="5">
        <f>sim.tbl[[#This Row],[Post Aquisition]]*sim.tbl[[#This Row],[Light SW]]</f>
        <v>0</v>
      </c>
      <c r="BM7" s="5">
        <f>sim.tbl[[#This Row],[Post Aquisition]]*sim.tbl[[#This Row],[Medium LSB]]</f>
        <v>0</v>
      </c>
      <c r="BN7" s="5">
        <f>sim.tbl[[#This Row],[Post Aquisition]]*sim.tbl[[#This Row],[Medium SW]]</f>
        <v>0</v>
      </c>
      <c r="BO7" s="5">
        <f>sim.tbl[[#This Row],[Post Aquisition]]*sim.tbl[[#This Row],[Midale]]</f>
        <v>0</v>
      </c>
      <c r="BP7" s="5">
        <f>sim.tbl[[#This Row],[Post Aquisition]]*sim.tbl[[#This Row],[Heavy Sour]]</f>
        <v>0</v>
      </c>
      <c r="BQ7" s="5">
        <f>sim.tbl[[#This Row],[Post Aquisition]]*sim.tbl[[#This Row],[Heavy SW]]</f>
        <v>0</v>
      </c>
    </row>
    <row r="8" spans="1:69" x14ac:dyDescent="0.25">
      <c r="A8" s="10" t="s">
        <v>380</v>
      </c>
      <c r="B8" s="16">
        <v>2</v>
      </c>
      <c r="D8" s="5">
        <f ca="1">SUMPRODUCT($F$1:$BQ$1,sim.tbl[[#This Row],[(Intercept)]:[Post Aquisition:Heavy SW]])</f>
        <v>78.505827283207566</v>
      </c>
      <c r="E8" s="14">
        <f ca="1">DATE(YEAR(TODAY()),INDEX(mthLkUp.tbl[Num],MATCH(mth.input,mthLkUp.tbl[Month],0)),1)</f>
        <v>42795</v>
      </c>
      <c r="F8" s="6">
        <f>1</f>
        <v>1</v>
      </c>
      <c r="G8" s="5">
        <v>2.59</v>
      </c>
      <c r="H8" s="5">
        <v>878.5</v>
      </c>
      <c r="I8" s="5">
        <v>2.4333333330000002</v>
      </c>
      <c r="J8" s="5">
        <v>1.8</v>
      </c>
      <c r="K8" s="5">
        <v>3.5</v>
      </c>
      <c r="L8" s="5">
        <v>1.8</v>
      </c>
      <c r="M8" s="5">
        <v>3</v>
      </c>
      <c r="N8" s="5">
        <v>2</v>
      </c>
      <c r="O8" s="5">
        <v>3.9</v>
      </c>
      <c r="P8" s="5">
        <v>0.4</v>
      </c>
      <c r="Q8" s="6">
        <f>IF(sim.tbl[[#This Row],[Density]]&lt;=770,1,0)</f>
        <v>0</v>
      </c>
      <c r="R8" s="6">
        <f>IF(AND(sim.tbl[[#This Row],[Sulfur]]&gt;0.5,sim.tbl[[#This Row],[Density]]&gt;770,sim.tbl[[#This Row],[Density]]&lt;=825),1,0)</f>
        <v>0</v>
      </c>
      <c r="S8" s="6">
        <f>IF(AND(sim.tbl[[#This Row],[Sulfur]]&lt;=0.5,sim.tbl[[#This Row],[Density]]&gt;770,sim.tbl[[#This Row],[Density]]&lt;=825),1,0)</f>
        <v>0</v>
      </c>
      <c r="T8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8" s="6">
        <f>IF(AND(sim.tbl[[#This Row],[Sulfur]]&lt;0.5,sim.tbl[[#This Row],[Density]]&gt;825,sim.tbl[[#This Row],[Density]]&lt;=900),1,0)</f>
        <v>0</v>
      </c>
      <c r="V8" s="6">
        <f>IF(AND(sim.tbl[[#This Row],[Sulfur]]&gt;2,sim.tbl[[#This Row],[Density]]&gt;865,sim.tbl[[#This Row],[Density]]&lt;=900),1,0)</f>
        <v>1</v>
      </c>
      <c r="W8" s="6">
        <f>IF(AND(sim.tbl[[#This Row],[Sulfur]]&gt;0.5,sim.tbl[[#This Row],[Density]]&gt;900),1,0)</f>
        <v>0</v>
      </c>
      <c r="X8" s="6">
        <f>IF(AND(sim.tbl[[#This Row],[Sulfur]]&lt;=0.5,sim.tbl[[#This Row],[Density]]&gt;900),1,0)</f>
        <v>0</v>
      </c>
      <c r="Y8" s="6">
        <f ca="1">IF(MONTH(sim.tbl[[#This Row],[SDate]])=INDEX(mthLkUp.tbl[Num],MATCH(Y$3,mthLkUp.tbl[Month],0)),1,0)</f>
        <v>0</v>
      </c>
      <c r="Z8" s="6">
        <f ca="1">IF(MONTH(sim.tbl[[#This Row],[SDate]])=INDEX(mthLkUp.tbl[Num],MATCH(Z$3,mthLkUp.tbl[Month],0)),1,0)</f>
        <v>0</v>
      </c>
      <c r="AA8" s="6">
        <f ca="1">IF(MONTH(sim.tbl[[#This Row],[SDate]])=INDEX(mthLkUp.tbl[Num],MATCH(AA$3,mthLkUp.tbl[Month],0)),1,0)</f>
        <v>1</v>
      </c>
      <c r="AB8" s="6">
        <f ca="1">IF(MONTH(sim.tbl[[#This Row],[SDate]])=INDEX(mthLkUp.tbl[Num],MATCH(AB$3,mthLkUp.tbl[Month],0)),1,0)</f>
        <v>0</v>
      </c>
      <c r="AC8" s="6">
        <f ca="1">IF(MONTH(sim.tbl[[#This Row],[SDate]])=INDEX(mthLkUp.tbl[Num],MATCH(AC$3,mthLkUp.tbl[Month],0)),1,0)</f>
        <v>0</v>
      </c>
      <c r="AD8" s="6">
        <f ca="1">IF(MONTH(sim.tbl[[#This Row],[SDate]])=INDEX(mthLkUp.tbl[Num],MATCH(AD$3,mthLkUp.tbl[Month],0)),1,0)</f>
        <v>0</v>
      </c>
      <c r="AE8" s="6">
        <f ca="1">IF(MONTH(sim.tbl[[#This Row],[SDate]])=INDEX(mthLkUp.tbl[Num],MATCH(AE$3,mthLkUp.tbl[Month],0)),1,0)</f>
        <v>0</v>
      </c>
      <c r="AF8" s="6">
        <f ca="1">IF(MONTH(sim.tbl[[#This Row],[SDate]])=INDEX(mthLkUp.tbl[Num],MATCH(AF$3,mthLkUp.tbl[Month],0)),1,0)</f>
        <v>0</v>
      </c>
      <c r="AG8" s="6">
        <f ca="1">IF(MONTH(sim.tbl[[#This Row],[SDate]])=INDEX(mthLkUp.tbl[Num],MATCH(AG$3,mthLkUp.tbl[Month],0)),1,0)</f>
        <v>0</v>
      </c>
      <c r="AH8" s="6">
        <f ca="1">IF(MONTH(sim.tbl[[#This Row],[SDate]])=INDEX(mthLkUp.tbl[Num],MATCH(AH$3,mthLkUp.tbl[Month],0)),1,0)</f>
        <v>0</v>
      </c>
      <c r="AI8" s="6">
        <f ca="1">IF(MONTH(sim.tbl[[#This Row],[SDate]])=INDEX(mthLkUp.tbl[Num],MATCH(AI$3,mthLkUp.tbl[Month],0)),1,0)</f>
        <v>0</v>
      </c>
      <c r="AJ8" s="6">
        <f ca="1">IF(MONTH(sim.tbl[[#This Row],[SDate]])=INDEX(mthLkUp.tbl[Num],MATCH(AJ$3,mthLkUp.tbl[Month],0)),1,0)</f>
        <v>0</v>
      </c>
      <c r="AK8" s="6">
        <v>0</v>
      </c>
      <c r="AL8" s="5">
        <f>sim.tbl[[#This Row],[Sulfur]]*sim.tbl[[#This Row],[C5+]]</f>
        <v>0</v>
      </c>
      <c r="AM8" s="5">
        <f>sim.tbl[[#This Row],[Sulfur]]*sim.tbl[[#This Row],[Light LSB]]</f>
        <v>0</v>
      </c>
      <c r="AN8" s="5">
        <f>sim.tbl[[#This Row],[Sulfur]]*sim.tbl[[#This Row],[Light SW]]</f>
        <v>0</v>
      </c>
      <c r="AO8" s="5">
        <f>sim.tbl[[#This Row],[Sulfur]]*sim.tbl[[#This Row],[Medium LSB]]</f>
        <v>0</v>
      </c>
      <c r="AP8" s="5">
        <f>sim.tbl[[#This Row],[Sulfur]]*sim.tbl[[#This Row],[Medium SW]]</f>
        <v>0</v>
      </c>
      <c r="AQ8" s="5">
        <f>sim.tbl[[#This Row],[Sulfur]]*sim.tbl[[#This Row],[Midale]]</f>
        <v>2.59</v>
      </c>
      <c r="AR8" s="5">
        <f>sim.tbl[[#This Row],[Sulfur]]*sim.tbl[[#This Row],[Heavy Sour]]</f>
        <v>0</v>
      </c>
      <c r="AS8" s="5">
        <f>sim.tbl[[#This Row],[Sulfur]]*sim.tbl[[#This Row],[Heavy SW]]</f>
        <v>0</v>
      </c>
      <c r="AT8" s="5">
        <f>sim.tbl[[#This Row],[Density]]*sim.tbl[[#This Row],[C5+]]</f>
        <v>0</v>
      </c>
      <c r="AU8" s="5">
        <f>sim.tbl[[#This Row],[Density]]*sim.tbl[[#This Row],[Light LSB]]</f>
        <v>0</v>
      </c>
      <c r="AV8" s="5">
        <f>sim.tbl[[#This Row],[Density]]*sim.tbl[[#This Row],[Light SW]]</f>
        <v>0</v>
      </c>
      <c r="AW8" s="5">
        <f>sim.tbl[[#This Row],[Density]]*sim.tbl[[#This Row],[Medium LSB]]</f>
        <v>0</v>
      </c>
      <c r="AX8" s="5">
        <f>sim.tbl[[#This Row],[Density]]*sim.tbl[[#This Row],[Medium SW]]</f>
        <v>0</v>
      </c>
      <c r="AY8" s="5">
        <f>sim.tbl[[#This Row],[Density]]*sim.tbl[[#This Row],[Midale]]</f>
        <v>878.5</v>
      </c>
      <c r="AZ8" s="5">
        <f>sim.tbl[[#This Row],[Density]]*sim.tbl[[#This Row],[Heavy Sour]]</f>
        <v>0</v>
      </c>
      <c r="BA8" s="5">
        <f>sim.tbl[[#This Row],[Density]]*sim.tbl[[#This Row],[Heavy SW]]</f>
        <v>0</v>
      </c>
      <c r="BB8" s="5">
        <f>sim.tbl[[#This Row],[7 Day Rolling Temperature]]*sim.tbl[[#This Row],[C5+]]</f>
        <v>0</v>
      </c>
      <c r="BC8" s="5">
        <f>sim.tbl[[#This Row],[7 Day Rolling Temperature]]*sim.tbl[[#This Row],[Light LSB]]</f>
        <v>0</v>
      </c>
      <c r="BD8" s="5">
        <f>sim.tbl[[#This Row],[7 Day Rolling Temperature]]*sim.tbl[[#This Row],[Light SW]]</f>
        <v>0</v>
      </c>
      <c r="BE8" s="5">
        <f>sim.tbl[[#This Row],[7 Day Rolling Temperature]]*sim.tbl[[#This Row],[Medium LSB]]</f>
        <v>0</v>
      </c>
      <c r="BF8" s="5">
        <f>sim.tbl[[#This Row],[7 Day Rolling Temperature]]*sim.tbl[[#This Row],[Medium SW]]</f>
        <v>0</v>
      </c>
      <c r="BG8" s="5">
        <f>sim.tbl[[#This Row],[7 Day Rolling Temperature]]*sim.tbl[[#This Row],[Midale]]</f>
        <v>1.8</v>
      </c>
      <c r="BH8" s="5">
        <f>sim.tbl[[#This Row],[7 Day Rolling Temperature]]*sim.tbl[[#This Row],[Heavy Sour]]</f>
        <v>0</v>
      </c>
      <c r="BI8" s="5">
        <f>sim.tbl[[#This Row],[7 Day Rolling Temperature]]*sim.tbl[[#This Row],[Heavy SW]]</f>
        <v>0</v>
      </c>
      <c r="BJ8" s="5">
        <f>sim.tbl[[#This Row],[Post Aquisition]]*sim.tbl[[#This Row],[C5+]]</f>
        <v>0</v>
      </c>
      <c r="BK8" s="5">
        <f>sim.tbl[[#This Row],[Post Aquisition]]*sim.tbl[[#This Row],[Light LSB]]</f>
        <v>0</v>
      </c>
      <c r="BL8" s="5">
        <f>sim.tbl[[#This Row],[Post Aquisition]]*sim.tbl[[#This Row],[Light SW]]</f>
        <v>0</v>
      </c>
      <c r="BM8" s="5">
        <f>sim.tbl[[#This Row],[Post Aquisition]]*sim.tbl[[#This Row],[Medium LSB]]</f>
        <v>0</v>
      </c>
      <c r="BN8" s="5">
        <f>sim.tbl[[#This Row],[Post Aquisition]]*sim.tbl[[#This Row],[Medium SW]]</f>
        <v>0</v>
      </c>
      <c r="BO8" s="5">
        <f>sim.tbl[[#This Row],[Post Aquisition]]*sim.tbl[[#This Row],[Midale]]</f>
        <v>0</v>
      </c>
      <c r="BP8" s="5">
        <f>sim.tbl[[#This Row],[Post Aquisition]]*sim.tbl[[#This Row],[Heavy Sour]]</f>
        <v>0</v>
      </c>
      <c r="BQ8" s="5">
        <f>sim.tbl[[#This Row],[Post Aquisition]]*sim.tbl[[#This Row],[Heavy SW]]</f>
        <v>0</v>
      </c>
    </row>
    <row r="9" spans="1:69" x14ac:dyDescent="0.25">
      <c r="D9" s="5">
        <f ca="1">SUMPRODUCT($F$1:$BQ$1,sim.tbl[[#This Row],[(Intercept)]:[Post Aquisition:Heavy SW]])</f>
        <v>84.852241078166173</v>
      </c>
      <c r="E9" s="14">
        <f ca="1">DATE(YEAR(TODAY()),INDEX(mthLkUp.tbl[Num],MATCH(mth.input,mthLkUp.tbl[Month],0)),1)</f>
        <v>42795</v>
      </c>
      <c r="F9" s="6">
        <f>1</f>
        <v>1</v>
      </c>
      <c r="G9" s="5">
        <v>2.2799999999999998</v>
      </c>
      <c r="H9" s="5">
        <v>868.8</v>
      </c>
      <c r="I9" s="5">
        <v>-9.8166666669999998</v>
      </c>
      <c r="J9" s="5">
        <v>-8.1999999999999993</v>
      </c>
      <c r="K9" s="5">
        <v>-9.3000000000000007</v>
      </c>
      <c r="L9" s="5">
        <v>-8.1999999999999993</v>
      </c>
      <c r="M9" s="5">
        <v>-11.8</v>
      </c>
      <c r="N9" s="5">
        <v>-6.8</v>
      </c>
      <c r="O9" s="5">
        <v>-12.8</v>
      </c>
      <c r="P9" s="5">
        <v>-10</v>
      </c>
      <c r="Q9" s="6">
        <f>IF(sim.tbl[[#This Row],[Density]]&lt;=770,1,0)</f>
        <v>0</v>
      </c>
      <c r="R9" s="6">
        <f>IF(AND(sim.tbl[[#This Row],[Sulfur]]&gt;0.5,sim.tbl[[#This Row],[Density]]&gt;770,sim.tbl[[#This Row],[Density]]&lt;=825),1,0)</f>
        <v>0</v>
      </c>
      <c r="S9" s="6">
        <f>IF(AND(sim.tbl[[#This Row],[Sulfur]]&lt;=0.5,sim.tbl[[#This Row],[Density]]&gt;770,sim.tbl[[#This Row],[Density]]&lt;=825),1,0)</f>
        <v>0</v>
      </c>
      <c r="T9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9" s="6">
        <f>IF(AND(sim.tbl[[#This Row],[Sulfur]]&lt;0.5,sim.tbl[[#This Row],[Density]]&gt;825,sim.tbl[[#This Row],[Density]]&lt;=900),1,0)</f>
        <v>0</v>
      </c>
      <c r="V9" s="6">
        <f>IF(AND(sim.tbl[[#This Row],[Sulfur]]&gt;2,sim.tbl[[#This Row],[Density]]&gt;865,sim.tbl[[#This Row],[Density]]&lt;=900),1,0)</f>
        <v>1</v>
      </c>
      <c r="W9" s="6">
        <f>IF(AND(sim.tbl[[#This Row],[Sulfur]]&gt;0.5,sim.tbl[[#This Row],[Density]]&gt;900),1,0)</f>
        <v>0</v>
      </c>
      <c r="X9" s="6">
        <f>IF(AND(sim.tbl[[#This Row],[Sulfur]]&lt;=0.5,sim.tbl[[#This Row],[Density]]&gt;900),1,0)</f>
        <v>0</v>
      </c>
      <c r="Y9" s="6">
        <f ca="1">IF(MONTH(sim.tbl[[#This Row],[SDate]])=INDEX(mthLkUp.tbl[Num],MATCH(Y$3,mthLkUp.tbl[Month],0)),1,0)</f>
        <v>0</v>
      </c>
      <c r="Z9" s="6">
        <f ca="1">IF(MONTH(sim.tbl[[#This Row],[SDate]])=INDEX(mthLkUp.tbl[Num],MATCH(Z$3,mthLkUp.tbl[Month],0)),1,0)</f>
        <v>0</v>
      </c>
      <c r="AA9" s="6">
        <f ca="1">IF(MONTH(sim.tbl[[#This Row],[SDate]])=INDEX(mthLkUp.tbl[Num],MATCH(AA$3,mthLkUp.tbl[Month],0)),1,0)</f>
        <v>1</v>
      </c>
      <c r="AB9" s="6">
        <f ca="1">IF(MONTH(sim.tbl[[#This Row],[SDate]])=INDEX(mthLkUp.tbl[Num],MATCH(AB$3,mthLkUp.tbl[Month],0)),1,0)</f>
        <v>0</v>
      </c>
      <c r="AC9" s="6">
        <f ca="1">IF(MONTH(sim.tbl[[#This Row],[SDate]])=INDEX(mthLkUp.tbl[Num],MATCH(AC$3,mthLkUp.tbl[Month],0)),1,0)</f>
        <v>0</v>
      </c>
      <c r="AD9" s="6">
        <f ca="1">IF(MONTH(sim.tbl[[#This Row],[SDate]])=INDEX(mthLkUp.tbl[Num],MATCH(AD$3,mthLkUp.tbl[Month],0)),1,0)</f>
        <v>0</v>
      </c>
      <c r="AE9" s="6">
        <f ca="1">IF(MONTH(sim.tbl[[#This Row],[SDate]])=INDEX(mthLkUp.tbl[Num],MATCH(AE$3,mthLkUp.tbl[Month],0)),1,0)</f>
        <v>0</v>
      </c>
      <c r="AF9" s="6">
        <f ca="1">IF(MONTH(sim.tbl[[#This Row],[SDate]])=INDEX(mthLkUp.tbl[Num],MATCH(AF$3,mthLkUp.tbl[Month],0)),1,0)</f>
        <v>0</v>
      </c>
      <c r="AG9" s="6">
        <f ca="1">IF(MONTH(sim.tbl[[#This Row],[SDate]])=INDEX(mthLkUp.tbl[Num],MATCH(AG$3,mthLkUp.tbl[Month],0)),1,0)</f>
        <v>0</v>
      </c>
      <c r="AH9" s="6">
        <f ca="1">IF(MONTH(sim.tbl[[#This Row],[SDate]])=INDEX(mthLkUp.tbl[Num],MATCH(AH$3,mthLkUp.tbl[Month],0)),1,0)</f>
        <v>0</v>
      </c>
      <c r="AI9" s="6">
        <f ca="1">IF(MONTH(sim.tbl[[#This Row],[SDate]])=INDEX(mthLkUp.tbl[Num],MATCH(AI$3,mthLkUp.tbl[Month],0)),1,0)</f>
        <v>0</v>
      </c>
      <c r="AJ9" s="6">
        <f ca="1">IF(MONTH(sim.tbl[[#This Row],[SDate]])=INDEX(mthLkUp.tbl[Num],MATCH(AJ$3,mthLkUp.tbl[Month],0)),1,0)</f>
        <v>0</v>
      </c>
      <c r="AK9" s="6">
        <v>0</v>
      </c>
      <c r="AL9" s="5">
        <f>sim.tbl[[#This Row],[Sulfur]]*sim.tbl[[#This Row],[C5+]]</f>
        <v>0</v>
      </c>
      <c r="AM9" s="5">
        <f>sim.tbl[[#This Row],[Sulfur]]*sim.tbl[[#This Row],[Light LSB]]</f>
        <v>0</v>
      </c>
      <c r="AN9" s="5">
        <f>sim.tbl[[#This Row],[Sulfur]]*sim.tbl[[#This Row],[Light SW]]</f>
        <v>0</v>
      </c>
      <c r="AO9" s="5">
        <f>sim.tbl[[#This Row],[Sulfur]]*sim.tbl[[#This Row],[Medium LSB]]</f>
        <v>0</v>
      </c>
      <c r="AP9" s="5">
        <f>sim.tbl[[#This Row],[Sulfur]]*sim.tbl[[#This Row],[Medium SW]]</f>
        <v>0</v>
      </c>
      <c r="AQ9" s="5">
        <f>sim.tbl[[#This Row],[Sulfur]]*sim.tbl[[#This Row],[Midale]]</f>
        <v>2.2799999999999998</v>
      </c>
      <c r="AR9" s="5">
        <f>sim.tbl[[#This Row],[Sulfur]]*sim.tbl[[#This Row],[Heavy Sour]]</f>
        <v>0</v>
      </c>
      <c r="AS9" s="5">
        <f>sim.tbl[[#This Row],[Sulfur]]*sim.tbl[[#This Row],[Heavy SW]]</f>
        <v>0</v>
      </c>
      <c r="AT9" s="5">
        <f>sim.tbl[[#This Row],[Density]]*sim.tbl[[#This Row],[C5+]]</f>
        <v>0</v>
      </c>
      <c r="AU9" s="5">
        <f>sim.tbl[[#This Row],[Density]]*sim.tbl[[#This Row],[Light LSB]]</f>
        <v>0</v>
      </c>
      <c r="AV9" s="5">
        <f>sim.tbl[[#This Row],[Density]]*sim.tbl[[#This Row],[Light SW]]</f>
        <v>0</v>
      </c>
      <c r="AW9" s="5">
        <f>sim.tbl[[#This Row],[Density]]*sim.tbl[[#This Row],[Medium LSB]]</f>
        <v>0</v>
      </c>
      <c r="AX9" s="5">
        <f>sim.tbl[[#This Row],[Density]]*sim.tbl[[#This Row],[Medium SW]]</f>
        <v>0</v>
      </c>
      <c r="AY9" s="5">
        <f>sim.tbl[[#This Row],[Density]]*sim.tbl[[#This Row],[Midale]]</f>
        <v>868.8</v>
      </c>
      <c r="AZ9" s="5">
        <f>sim.tbl[[#This Row],[Density]]*sim.tbl[[#This Row],[Heavy Sour]]</f>
        <v>0</v>
      </c>
      <c r="BA9" s="5">
        <f>sim.tbl[[#This Row],[Density]]*sim.tbl[[#This Row],[Heavy SW]]</f>
        <v>0</v>
      </c>
      <c r="BB9" s="5">
        <f>sim.tbl[[#This Row],[7 Day Rolling Temperature]]*sim.tbl[[#This Row],[C5+]]</f>
        <v>0</v>
      </c>
      <c r="BC9" s="5">
        <f>sim.tbl[[#This Row],[7 Day Rolling Temperature]]*sim.tbl[[#This Row],[Light LSB]]</f>
        <v>0</v>
      </c>
      <c r="BD9" s="5">
        <f>sim.tbl[[#This Row],[7 Day Rolling Temperature]]*sim.tbl[[#This Row],[Light SW]]</f>
        <v>0</v>
      </c>
      <c r="BE9" s="5">
        <f>sim.tbl[[#This Row],[7 Day Rolling Temperature]]*sim.tbl[[#This Row],[Medium LSB]]</f>
        <v>0</v>
      </c>
      <c r="BF9" s="5">
        <f>sim.tbl[[#This Row],[7 Day Rolling Temperature]]*sim.tbl[[#This Row],[Medium SW]]</f>
        <v>0</v>
      </c>
      <c r="BG9" s="5">
        <f>sim.tbl[[#This Row],[7 Day Rolling Temperature]]*sim.tbl[[#This Row],[Midale]]</f>
        <v>-8.1999999999999993</v>
      </c>
      <c r="BH9" s="5">
        <f>sim.tbl[[#This Row],[7 Day Rolling Temperature]]*sim.tbl[[#This Row],[Heavy Sour]]</f>
        <v>0</v>
      </c>
      <c r="BI9" s="5">
        <f>sim.tbl[[#This Row],[7 Day Rolling Temperature]]*sim.tbl[[#This Row],[Heavy SW]]</f>
        <v>0</v>
      </c>
      <c r="BJ9" s="5">
        <f>sim.tbl[[#This Row],[Post Aquisition]]*sim.tbl[[#This Row],[C5+]]</f>
        <v>0</v>
      </c>
      <c r="BK9" s="5">
        <f>sim.tbl[[#This Row],[Post Aquisition]]*sim.tbl[[#This Row],[Light LSB]]</f>
        <v>0</v>
      </c>
      <c r="BL9" s="5">
        <f>sim.tbl[[#This Row],[Post Aquisition]]*sim.tbl[[#This Row],[Light SW]]</f>
        <v>0</v>
      </c>
      <c r="BM9" s="5">
        <f>sim.tbl[[#This Row],[Post Aquisition]]*sim.tbl[[#This Row],[Medium LSB]]</f>
        <v>0</v>
      </c>
      <c r="BN9" s="5">
        <f>sim.tbl[[#This Row],[Post Aquisition]]*sim.tbl[[#This Row],[Medium SW]]</f>
        <v>0</v>
      </c>
      <c r="BO9" s="5">
        <f>sim.tbl[[#This Row],[Post Aquisition]]*sim.tbl[[#This Row],[Midale]]</f>
        <v>0</v>
      </c>
      <c r="BP9" s="5">
        <f>sim.tbl[[#This Row],[Post Aquisition]]*sim.tbl[[#This Row],[Heavy Sour]]</f>
        <v>0</v>
      </c>
      <c r="BQ9" s="5">
        <f>sim.tbl[[#This Row],[Post Aquisition]]*sim.tbl[[#This Row],[Heavy SW]]</f>
        <v>0</v>
      </c>
    </row>
    <row r="10" spans="1:69" x14ac:dyDescent="0.25">
      <c r="A10" s="11" t="s">
        <v>360</v>
      </c>
      <c r="B10" s="12">
        <f ca="1">AVERAGE(sim.tbl[Predicted VP])</f>
        <v>71.094684028935816</v>
      </c>
      <c r="D10" s="5">
        <f ca="1">SUMPRODUCT($F$1:$BQ$1,sim.tbl[[#This Row],[(Intercept)]:[Post Aquisition:Heavy SW]])</f>
        <v>63.306402262130717</v>
      </c>
      <c r="E10" s="14">
        <f ca="1">DATE(YEAR(TODAY()),INDEX(mthLkUp.tbl[Num],MATCH(mth.input,mthLkUp.tbl[Month],0)),1)</f>
        <v>42795</v>
      </c>
      <c r="F10" s="6">
        <f>1</f>
        <v>1</v>
      </c>
      <c r="G10" s="5">
        <v>2.8559999999999999</v>
      </c>
      <c r="H10" s="5">
        <v>871</v>
      </c>
      <c r="I10" s="5">
        <v>3.983333333</v>
      </c>
      <c r="J10" s="5">
        <v>6.1</v>
      </c>
      <c r="K10" s="5">
        <v>6</v>
      </c>
      <c r="L10" s="5">
        <v>6.1</v>
      </c>
      <c r="M10" s="5">
        <v>3.8</v>
      </c>
      <c r="N10" s="5">
        <v>6.5</v>
      </c>
      <c r="O10" s="5">
        <v>-0.5</v>
      </c>
      <c r="P10" s="5">
        <v>2</v>
      </c>
      <c r="Q10" s="6">
        <f>IF(sim.tbl[[#This Row],[Density]]&lt;=770,1,0)</f>
        <v>0</v>
      </c>
      <c r="R10" s="6">
        <f>IF(AND(sim.tbl[[#This Row],[Sulfur]]&gt;0.5,sim.tbl[[#This Row],[Density]]&gt;770,sim.tbl[[#This Row],[Density]]&lt;=825),1,0)</f>
        <v>0</v>
      </c>
      <c r="S10" s="6">
        <f>IF(AND(sim.tbl[[#This Row],[Sulfur]]&lt;=0.5,sim.tbl[[#This Row],[Density]]&gt;770,sim.tbl[[#This Row],[Density]]&lt;=825),1,0)</f>
        <v>0</v>
      </c>
      <c r="T10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0" s="6">
        <f>IF(AND(sim.tbl[[#This Row],[Sulfur]]&lt;0.5,sim.tbl[[#This Row],[Density]]&gt;825,sim.tbl[[#This Row],[Density]]&lt;=900),1,0)</f>
        <v>0</v>
      </c>
      <c r="V10" s="6">
        <f>IF(AND(sim.tbl[[#This Row],[Sulfur]]&gt;2,sim.tbl[[#This Row],[Density]]&gt;865,sim.tbl[[#This Row],[Density]]&lt;=900),1,0)</f>
        <v>1</v>
      </c>
      <c r="W10" s="6">
        <f>IF(AND(sim.tbl[[#This Row],[Sulfur]]&gt;0.5,sim.tbl[[#This Row],[Density]]&gt;900),1,0)</f>
        <v>0</v>
      </c>
      <c r="X10" s="6">
        <f>IF(AND(sim.tbl[[#This Row],[Sulfur]]&lt;=0.5,sim.tbl[[#This Row],[Density]]&gt;900),1,0)</f>
        <v>0</v>
      </c>
      <c r="Y10" s="6">
        <f ca="1">IF(MONTH(sim.tbl[[#This Row],[SDate]])=INDEX(mthLkUp.tbl[Num],MATCH(Y$3,mthLkUp.tbl[Month],0)),1,0)</f>
        <v>0</v>
      </c>
      <c r="Z10" s="6">
        <f ca="1">IF(MONTH(sim.tbl[[#This Row],[SDate]])=INDEX(mthLkUp.tbl[Num],MATCH(Z$3,mthLkUp.tbl[Month],0)),1,0)</f>
        <v>0</v>
      </c>
      <c r="AA10" s="6">
        <f ca="1">IF(MONTH(sim.tbl[[#This Row],[SDate]])=INDEX(mthLkUp.tbl[Num],MATCH(AA$3,mthLkUp.tbl[Month],0)),1,0)</f>
        <v>1</v>
      </c>
      <c r="AB10" s="6">
        <f ca="1">IF(MONTH(sim.tbl[[#This Row],[SDate]])=INDEX(mthLkUp.tbl[Num],MATCH(AB$3,mthLkUp.tbl[Month],0)),1,0)</f>
        <v>0</v>
      </c>
      <c r="AC10" s="6">
        <f ca="1">IF(MONTH(sim.tbl[[#This Row],[SDate]])=INDEX(mthLkUp.tbl[Num],MATCH(AC$3,mthLkUp.tbl[Month],0)),1,0)</f>
        <v>0</v>
      </c>
      <c r="AD10" s="6">
        <f ca="1">IF(MONTH(sim.tbl[[#This Row],[SDate]])=INDEX(mthLkUp.tbl[Num],MATCH(AD$3,mthLkUp.tbl[Month],0)),1,0)</f>
        <v>0</v>
      </c>
      <c r="AE10" s="6">
        <f ca="1">IF(MONTH(sim.tbl[[#This Row],[SDate]])=INDEX(mthLkUp.tbl[Num],MATCH(AE$3,mthLkUp.tbl[Month],0)),1,0)</f>
        <v>0</v>
      </c>
      <c r="AF10" s="6">
        <f ca="1">IF(MONTH(sim.tbl[[#This Row],[SDate]])=INDEX(mthLkUp.tbl[Num],MATCH(AF$3,mthLkUp.tbl[Month],0)),1,0)</f>
        <v>0</v>
      </c>
      <c r="AG10" s="6">
        <f ca="1">IF(MONTH(sim.tbl[[#This Row],[SDate]])=INDEX(mthLkUp.tbl[Num],MATCH(AG$3,mthLkUp.tbl[Month],0)),1,0)</f>
        <v>0</v>
      </c>
      <c r="AH10" s="6">
        <f ca="1">IF(MONTH(sim.tbl[[#This Row],[SDate]])=INDEX(mthLkUp.tbl[Num],MATCH(AH$3,mthLkUp.tbl[Month],0)),1,0)</f>
        <v>0</v>
      </c>
      <c r="AI10" s="6">
        <f ca="1">IF(MONTH(sim.tbl[[#This Row],[SDate]])=INDEX(mthLkUp.tbl[Num],MATCH(AI$3,mthLkUp.tbl[Month],0)),1,0)</f>
        <v>0</v>
      </c>
      <c r="AJ10" s="6">
        <f ca="1">IF(MONTH(sim.tbl[[#This Row],[SDate]])=INDEX(mthLkUp.tbl[Num],MATCH(AJ$3,mthLkUp.tbl[Month],0)),1,0)</f>
        <v>0</v>
      </c>
      <c r="AK10" s="6">
        <v>1</v>
      </c>
      <c r="AL10" s="5">
        <f>sim.tbl[[#This Row],[Sulfur]]*sim.tbl[[#This Row],[C5+]]</f>
        <v>0</v>
      </c>
      <c r="AM10" s="5">
        <f>sim.tbl[[#This Row],[Sulfur]]*sim.tbl[[#This Row],[Light LSB]]</f>
        <v>0</v>
      </c>
      <c r="AN10" s="5">
        <f>sim.tbl[[#This Row],[Sulfur]]*sim.tbl[[#This Row],[Light SW]]</f>
        <v>0</v>
      </c>
      <c r="AO10" s="5">
        <f>sim.tbl[[#This Row],[Sulfur]]*sim.tbl[[#This Row],[Medium LSB]]</f>
        <v>0</v>
      </c>
      <c r="AP10" s="5">
        <f>sim.tbl[[#This Row],[Sulfur]]*sim.tbl[[#This Row],[Medium SW]]</f>
        <v>0</v>
      </c>
      <c r="AQ10" s="5">
        <f>sim.tbl[[#This Row],[Sulfur]]*sim.tbl[[#This Row],[Midale]]</f>
        <v>2.8559999999999999</v>
      </c>
      <c r="AR10" s="5">
        <f>sim.tbl[[#This Row],[Sulfur]]*sim.tbl[[#This Row],[Heavy Sour]]</f>
        <v>0</v>
      </c>
      <c r="AS10" s="5">
        <f>sim.tbl[[#This Row],[Sulfur]]*sim.tbl[[#This Row],[Heavy SW]]</f>
        <v>0</v>
      </c>
      <c r="AT10" s="5">
        <f>sim.tbl[[#This Row],[Density]]*sim.tbl[[#This Row],[C5+]]</f>
        <v>0</v>
      </c>
      <c r="AU10" s="5">
        <f>sim.tbl[[#This Row],[Density]]*sim.tbl[[#This Row],[Light LSB]]</f>
        <v>0</v>
      </c>
      <c r="AV10" s="5">
        <f>sim.tbl[[#This Row],[Density]]*sim.tbl[[#This Row],[Light SW]]</f>
        <v>0</v>
      </c>
      <c r="AW10" s="5">
        <f>sim.tbl[[#This Row],[Density]]*sim.tbl[[#This Row],[Medium LSB]]</f>
        <v>0</v>
      </c>
      <c r="AX10" s="5">
        <f>sim.tbl[[#This Row],[Density]]*sim.tbl[[#This Row],[Medium SW]]</f>
        <v>0</v>
      </c>
      <c r="AY10" s="5">
        <f>sim.tbl[[#This Row],[Density]]*sim.tbl[[#This Row],[Midale]]</f>
        <v>871</v>
      </c>
      <c r="AZ10" s="5">
        <f>sim.tbl[[#This Row],[Density]]*sim.tbl[[#This Row],[Heavy Sour]]</f>
        <v>0</v>
      </c>
      <c r="BA10" s="5">
        <f>sim.tbl[[#This Row],[Density]]*sim.tbl[[#This Row],[Heavy SW]]</f>
        <v>0</v>
      </c>
      <c r="BB10" s="5">
        <f>sim.tbl[[#This Row],[7 Day Rolling Temperature]]*sim.tbl[[#This Row],[C5+]]</f>
        <v>0</v>
      </c>
      <c r="BC10" s="5">
        <f>sim.tbl[[#This Row],[7 Day Rolling Temperature]]*sim.tbl[[#This Row],[Light LSB]]</f>
        <v>0</v>
      </c>
      <c r="BD10" s="5">
        <f>sim.tbl[[#This Row],[7 Day Rolling Temperature]]*sim.tbl[[#This Row],[Light SW]]</f>
        <v>0</v>
      </c>
      <c r="BE10" s="5">
        <f>sim.tbl[[#This Row],[7 Day Rolling Temperature]]*sim.tbl[[#This Row],[Medium LSB]]</f>
        <v>0</v>
      </c>
      <c r="BF10" s="5">
        <f>sim.tbl[[#This Row],[7 Day Rolling Temperature]]*sim.tbl[[#This Row],[Medium SW]]</f>
        <v>0</v>
      </c>
      <c r="BG10" s="5">
        <f>sim.tbl[[#This Row],[7 Day Rolling Temperature]]*sim.tbl[[#This Row],[Midale]]</f>
        <v>6.1</v>
      </c>
      <c r="BH10" s="5">
        <f>sim.tbl[[#This Row],[7 Day Rolling Temperature]]*sim.tbl[[#This Row],[Heavy Sour]]</f>
        <v>0</v>
      </c>
      <c r="BI10" s="5">
        <f>sim.tbl[[#This Row],[7 Day Rolling Temperature]]*sim.tbl[[#This Row],[Heavy SW]]</f>
        <v>0</v>
      </c>
      <c r="BJ10" s="5">
        <f>sim.tbl[[#This Row],[Post Aquisition]]*sim.tbl[[#This Row],[C5+]]</f>
        <v>0</v>
      </c>
      <c r="BK10" s="5">
        <f>sim.tbl[[#This Row],[Post Aquisition]]*sim.tbl[[#This Row],[Light LSB]]</f>
        <v>0</v>
      </c>
      <c r="BL10" s="5">
        <f>sim.tbl[[#This Row],[Post Aquisition]]*sim.tbl[[#This Row],[Light SW]]</f>
        <v>0</v>
      </c>
      <c r="BM10" s="5">
        <f>sim.tbl[[#This Row],[Post Aquisition]]*sim.tbl[[#This Row],[Medium LSB]]</f>
        <v>0</v>
      </c>
      <c r="BN10" s="5">
        <f>sim.tbl[[#This Row],[Post Aquisition]]*sim.tbl[[#This Row],[Medium SW]]</f>
        <v>0</v>
      </c>
      <c r="BO10" s="5">
        <f>sim.tbl[[#This Row],[Post Aquisition]]*sim.tbl[[#This Row],[Midale]]</f>
        <v>1</v>
      </c>
      <c r="BP10" s="5">
        <f>sim.tbl[[#This Row],[Post Aquisition]]*sim.tbl[[#This Row],[Heavy Sour]]</f>
        <v>0</v>
      </c>
      <c r="BQ10" s="5">
        <f>sim.tbl[[#This Row],[Post Aquisition]]*sim.tbl[[#This Row],[Heavy SW]]</f>
        <v>0</v>
      </c>
    </row>
    <row r="11" spans="1:69" x14ac:dyDescent="0.25">
      <c r="A11" s="11" t="s">
        <v>361</v>
      </c>
      <c r="B11" s="12">
        <f ca="1">MEDIAN(sim.tbl[Predicted VP])</f>
        <v>69.64547877704365</v>
      </c>
      <c r="D11" s="5">
        <f ca="1">SUMPRODUCT($F$1:$BQ$1,sim.tbl[[#This Row],[(Intercept)]:[Post Aquisition:Heavy SW]])</f>
        <v>75.833892359395321</v>
      </c>
      <c r="E11" s="14">
        <f ca="1">DATE(YEAR(TODAY()),INDEX(mthLkUp.tbl[Num],MATCH(mth.input,mthLkUp.tbl[Month],0)),1)</f>
        <v>42795</v>
      </c>
      <c r="F11" s="6">
        <f>1</f>
        <v>1</v>
      </c>
      <c r="G11" s="5">
        <v>1.86</v>
      </c>
      <c r="H11" s="5">
        <v>858.9</v>
      </c>
      <c r="I11" s="5">
        <v>-5.38</v>
      </c>
      <c r="J11" s="5">
        <v>-5.2</v>
      </c>
      <c r="K11" s="5">
        <v>-5.7</v>
      </c>
      <c r="L11" s="5">
        <v>-5.2</v>
      </c>
      <c r="M11" s="5">
        <v>3.8</v>
      </c>
      <c r="N11" s="5">
        <v>-4</v>
      </c>
      <c r="O11" s="5">
        <v>-5.3</v>
      </c>
      <c r="P11" s="5">
        <v>-6.7</v>
      </c>
      <c r="Q11" s="6">
        <f>IF(sim.tbl[[#This Row],[Density]]&lt;=770,1,0)</f>
        <v>0</v>
      </c>
      <c r="R11" s="6">
        <f>IF(AND(sim.tbl[[#This Row],[Sulfur]]&gt;0.5,sim.tbl[[#This Row],[Density]]&gt;770,sim.tbl[[#This Row],[Density]]&lt;=825),1,0)</f>
        <v>0</v>
      </c>
      <c r="S11" s="6">
        <f>IF(AND(sim.tbl[[#This Row],[Sulfur]]&lt;=0.5,sim.tbl[[#This Row],[Density]]&gt;770,sim.tbl[[#This Row],[Density]]&lt;=825),1,0)</f>
        <v>0</v>
      </c>
      <c r="T11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11" s="6">
        <f>IF(AND(sim.tbl[[#This Row],[Sulfur]]&lt;0.5,sim.tbl[[#This Row],[Density]]&gt;825,sim.tbl[[#This Row],[Density]]&lt;=900),1,0)</f>
        <v>0</v>
      </c>
      <c r="V11" s="6">
        <f>IF(AND(sim.tbl[[#This Row],[Sulfur]]&gt;2,sim.tbl[[#This Row],[Density]]&gt;865,sim.tbl[[#This Row],[Density]]&lt;=900),1,0)</f>
        <v>0</v>
      </c>
      <c r="W11" s="6">
        <f>IF(AND(sim.tbl[[#This Row],[Sulfur]]&gt;0.5,sim.tbl[[#This Row],[Density]]&gt;900),1,0)</f>
        <v>0</v>
      </c>
      <c r="X11" s="6">
        <f>IF(AND(sim.tbl[[#This Row],[Sulfur]]&lt;=0.5,sim.tbl[[#This Row],[Density]]&gt;900),1,0)</f>
        <v>0</v>
      </c>
      <c r="Y11" s="6">
        <f ca="1">IF(MONTH(sim.tbl[[#This Row],[SDate]])=INDEX(mthLkUp.tbl[Num],MATCH(Y$3,mthLkUp.tbl[Month],0)),1,0)</f>
        <v>0</v>
      </c>
      <c r="Z11" s="6">
        <f ca="1">IF(MONTH(sim.tbl[[#This Row],[SDate]])=INDEX(mthLkUp.tbl[Num],MATCH(Z$3,mthLkUp.tbl[Month],0)),1,0)</f>
        <v>0</v>
      </c>
      <c r="AA11" s="6">
        <f ca="1">IF(MONTH(sim.tbl[[#This Row],[SDate]])=INDEX(mthLkUp.tbl[Num],MATCH(AA$3,mthLkUp.tbl[Month],0)),1,0)</f>
        <v>1</v>
      </c>
      <c r="AB11" s="6">
        <f ca="1">IF(MONTH(sim.tbl[[#This Row],[SDate]])=INDEX(mthLkUp.tbl[Num],MATCH(AB$3,mthLkUp.tbl[Month],0)),1,0)</f>
        <v>0</v>
      </c>
      <c r="AC11" s="6">
        <f ca="1">IF(MONTH(sim.tbl[[#This Row],[SDate]])=INDEX(mthLkUp.tbl[Num],MATCH(AC$3,mthLkUp.tbl[Month],0)),1,0)</f>
        <v>0</v>
      </c>
      <c r="AD11" s="6">
        <f ca="1">IF(MONTH(sim.tbl[[#This Row],[SDate]])=INDEX(mthLkUp.tbl[Num],MATCH(AD$3,mthLkUp.tbl[Month],0)),1,0)</f>
        <v>0</v>
      </c>
      <c r="AE11" s="6">
        <f ca="1">IF(MONTH(sim.tbl[[#This Row],[SDate]])=INDEX(mthLkUp.tbl[Num],MATCH(AE$3,mthLkUp.tbl[Month],0)),1,0)</f>
        <v>0</v>
      </c>
      <c r="AF11" s="6">
        <f ca="1">IF(MONTH(sim.tbl[[#This Row],[SDate]])=INDEX(mthLkUp.tbl[Num],MATCH(AF$3,mthLkUp.tbl[Month],0)),1,0)</f>
        <v>0</v>
      </c>
      <c r="AG11" s="6">
        <f ca="1">IF(MONTH(sim.tbl[[#This Row],[SDate]])=INDEX(mthLkUp.tbl[Num],MATCH(AG$3,mthLkUp.tbl[Month],0)),1,0)</f>
        <v>0</v>
      </c>
      <c r="AH11" s="6">
        <f ca="1">IF(MONTH(sim.tbl[[#This Row],[SDate]])=INDEX(mthLkUp.tbl[Num],MATCH(AH$3,mthLkUp.tbl[Month],0)),1,0)</f>
        <v>0</v>
      </c>
      <c r="AI11" s="6">
        <f ca="1">IF(MONTH(sim.tbl[[#This Row],[SDate]])=INDEX(mthLkUp.tbl[Num],MATCH(AI$3,mthLkUp.tbl[Month],0)),1,0)</f>
        <v>0</v>
      </c>
      <c r="AJ11" s="6">
        <f ca="1">IF(MONTH(sim.tbl[[#This Row],[SDate]])=INDEX(mthLkUp.tbl[Num],MATCH(AJ$3,mthLkUp.tbl[Month],0)),1,0)</f>
        <v>0</v>
      </c>
      <c r="AK11" s="6">
        <v>1</v>
      </c>
      <c r="AL11" s="5">
        <f>sim.tbl[[#This Row],[Sulfur]]*sim.tbl[[#This Row],[C5+]]</f>
        <v>0</v>
      </c>
      <c r="AM11" s="5">
        <f>sim.tbl[[#This Row],[Sulfur]]*sim.tbl[[#This Row],[Light LSB]]</f>
        <v>0</v>
      </c>
      <c r="AN11" s="5">
        <f>sim.tbl[[#This Row],[Sulfur]]*sim.tbl[[#This Row],[Light SW]]</f>
        <v>0</v>
      </c>
      <c r="AO11" s="5">
        <f>sim.tbl[[#This Row],[Sulfur]]*sim.tbl[[#This Row],[Medium LSB]]</f>
        <v>1.86</v>
      </c>
      <c r="AP11" s="5">
        <f>sim.tbl[[#This Row],[Sulfur]]*sim.tbl[[#This Row],[Medium SW]]</f>
        <v>0</v>
      </c>
      <c r="AQ11" s="5">
        <f>sim.tbl[[#This Row],[Sulfur]]*sim.tbl[[#This Row],[Midale]]</f>
        <v>0</v>
      </c>
      <c r="AR11" s="5">
        <f>sim.tbl[[#This Row],[Sulfur]]*sim.tbl[[#This Row],[Heavy Sour]]</f>
        <v>0</v>
      </c>
      <c r="AS11" s="5">
        <f>sim.tbl[[#This Row],[Sulfur]]*sim.tbl[[#This Row],[Heavy SW]]</f>
        <v>0</v>
      </c>
      <c r="AT11" s="5">
        <f>sim.tbl[[#This Row],[Density]]*sim.tbl[[#This Row],[C5+]]</f>
        <v>0</v>
      </c>
      <c r="AU11" s="5">
        <f>sim.tbl[[#This Row],[Density]]*sim.tbl[[#This Row],[Light LSB]]</f>
        <v>0</v>
      </c>
      <c r="AV11" s="5">
        <f>sim.tbl[[#This Row],[Density]]*sim.tbl[[#This Row],[Light SW]]</f>
        <v>0</v>
      </c>
      <c r="AW11" s="5">
        <f>sim.tbl[[#This Row],[Density]]*sim.tbl[[#This Row],[Medium LSB]]</f>
        <v>858.9</v>
      </c>
      <c r="AX11" s="5">
        <f>sim.tbl[[#This Row],[Density]]*sim.tbl[[#This Row],[Medium SW]]</f>
        <v>0</v>
      </c>
      <c r="AY11" s="5">
        <f>sim.tbl[[#This Row],[Density]]*sim.tbl[[#This Row],[Midale]]</f>
        <v>0</v>
      </c>
      <c r="AZ11" s="5">
        <f>sim.tbl[[#This Row],[Density]]*sim.tbl[[#This Row],[Heavy Sour]]</f>
        <v>0</v>
      </c>
      <c r="BA11" s="5">
        <f>sim.tbl[[#This Row],[Density]]*sim.tbl[[#This Row],[Heavy SW]]</f>
        <v>0</v>
      </c>
      <c r="BB11" s="5">
        <f>sim.tbl[[#This Row],[7 Day Rolling Temperature]]*sim.tbl[[#This Row],[C5+]]</f>
        <v>0</v>
      </c>
      <c r="BC11" s="5">
        <f>sim.tbl[[#This Row],[7 Day Rolling Temperature]]*sim.tbl[[#This Row],[Light LSB]]</f>
        <v>0</v>
      </c>
      <c r="BD11" s="5">
        <f>sim.tbl[[#This Row],[7 Day Rolling Temperature]]*sim.tbl[[#This Row],[Light SW]]</f>
        <v>0</v>
      </c>
      <c r="BE11" s="5">
        <f>sim.tbl[[#This Row],[7 Day Rolling Temperature]]*sim.tbl[[#This Row],[Medium LSB]]</f>
        <v>-5.2</v>
      </c>
      <c r="BF11" s="5">
        <f>sim.tbl[[#This Row],[7 Day Rolling Temperature]]*sim.tbl[[#This Row],[Medium SW]]</f>
        <v>0</v>
      </c>
      <c r="BG11" s="5">
        <f>sim.tbl[[#This Row],[7 Day Rolling Temperature]]*sim.tbl[[#This Row],[Midale]]</f>
        <v>0</v>
      </c>
      <c r="BH11" s="5">
        <f>sim.tbl[[#This Row],[7 Day Rolling Temperature]]*sim.tbl[[#This Row],[Heavy Sour]]</f>
        <v>0</v>
      </c>
      <c r="BI11" s="5">
        <f>sim.tbl[[#This Row],[7 Day Rolling Temperature]]*sim.tbl[[#This Row],[Heavy SW]]</f>
        <v>0</v>
      </c>
      <c r="BJ11" s="5">
        <f>sim.tbl[[#This Row],[Post Aquisition]]*sim.tbl[[#This Row],[C5+]]</f>
        <v>0</v>
      </c>
      <c r="BK11" s="5">
        <f>sim.tbl[[#This Row],[Post Aquisition]]*sim.tbl[[#This Row],[Light LSB]]</f>
        <v>0</v>
      </c>
      <c r="BL11" s="5">
        <f>sim.tbl[[#This Row],[Post Aquisition]]*sim.tbl[[#This Row],[Light SW]]</f>
        <v>0</v>
      </c>
      <c r="BM11" s="5">
        <f>sim.tbl[[#This Row],[Post Aquisition]]*sim.tbl[[#This Row],[Medium LSB]]</f>
        <v>1</v>
      </c>
      <c r="BN11" s="5">
        <f>sim.tbl[[#This Row],[Post Aquisition]]*sim.tbl[[#This Row],[Medium SW]]</f>
        <v>0</v>
      </c>
      <c r="BO11" s="5">
        <f>sim.tbl[[#This Row],[Post Aquisition]]*sim.tbl[[#This Row],[Midale]]</f>
        <v>0</v>
      </c>
      <c r="BP11" s="5">
        <f>sim.tbl[[#This Row],[Post Aquisition]]*sim.tbl[[#This Row],[Heavy Sour]]</f>
        <v>0</v>
      </c>
      <c r="BQ11" s="5">
        <f>sim.tbl[[#This Row],[Post Aquisition]]*sim.tbl[[#This Row],[Heavy SW]]</f>
        <v>0</v>
      </c>
    </row>
    <row r="12" spans="1:69" x14ac:dyDescent="0.25">
      <c r="A12" s="11" t="s">
        <v>362</v>
      </c>
      <c r="B12" s="12">
        <f ca="1">_xlfn.STDEV.S(sim.tbl[Predicted VP])</f>
        <v>6.8749706676080535</v>
      </c>
      <c r="D12" s="5">
        <f ca="1">SUMPRODUCT($F$1:$BQ$1,sim.tbl[[#This Row],[(Intercept)]:[Post Aquisition:Heavy SW]])</f>
        <v>69.467676933171163</v>
      </c>
      <c r="E12" s="14">
        <f ca="1">DATE(YEAR(TODAY()),INDEX(mthLkUp.tbl[Num],MATCH(mth.input,mthLkUp.tbl[Month],0)),1)</f>
        <v>42795</v>
      </c>
      <c r="F12" s="6">
        <f>1</f>
        <v>1</v>
      </c>
      <c r="G12" s="5">
        <v>1.9</v>
      </c>
      <c r="H12" s="5">
        <v>866.6</v>
      </c>
      <c r="I12" s="5">
        <v>5.4</v>
      </c>
      <c r="J12" s="5">
        <v>6.2</v>
      </c>
      <c r="K12" s="5">
        <v>4.5</v>
      </c>
      <c r="L12" s="5">
        <v>6.2</v>
      </c>
      <c r="M12" s="5">
        <v>4</v>
      </c>
      <c r="N12" s="5">
        <v>6.8</v>
      </c>
      <c r="O12" s="5">
        <v>4.4000000000000004</v>
      </c>
      <c r="P12" s="5">
        <v>6.5</v>
      </c>
      <c r="Q12" s="6">
        <f>IF(sim.tbl[[#This Row],[Density]]&lt;=770,1,0)</f>
        <v>0</v>
      </c>
      <c r="R12" s="6">
        <f>IF(AND(sim.tbl[[#This Row],[Sulfur]]&gt;0.5,sim.tbl[[#This Row],[Density]]&gt;770,sim.tbl[[#This Row],[Density]]&lt;=825),1,0)</f>
        <v>0</v>
      </c>
      <c r="S12" s="6">
        <f>IF(AND(sim.tbl[[#This Row],[Sulfur]]&lt;=0.5,sim.tbl[[#This Row],[Density]]&gt;770,sim.tbl[[#This Row],[Density]]&lt;=825),1,0)</f>
        <v>0</v>
      </c>
      <c r="T12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12" s="6">
        <f>IF(AND(sim.tbl[[#This Row],[Sulfur]]&lt;0.5,sim.tbl[[#This Row],[Density]]&gt;825,sim.tbl[[#This Row],[Density]]&lt;=900),1,0)</f>
        <v>0</v>
      </c>
      <c r="V12" s="6">
        <f>IF(AND(sim.tbl[[#This Row],[Sulfur]]&gt;2,sim.tbl[[#This Row],[Density]]&gt;865,sim.tbl[[#This Row],[Density]]&lt;=900),1,0)</f>
        <v>0</v>
      </c>
      <c r="W12" s="6">
        <f>IF(AND(sim.tbl[[#This Row],[Sulfur]]&gt;0.5,sim.tbl[[#This Row],[Density]]&gt;900),1,0)</f>
        <v>0</v>
      </c>
      <c r="X12" s="6">
        <f>IF(AND(sim.tbl[[#This Row],[Sulfur]]&lt;=0.5,sim.tbl[[#This Row],[Density]]&gt;900),1,0)</f>
        <v>0</v>
      </c>
      <c r="Y12" s="6">
        <f ca="1">IF(MONTH(sim.tbl[[#This Row],[SDate]])=INDEX(mthLkUp.tbl[Num],MATCH(Y$3,mthLkUp.tbl[Month],0)),1,0)</f>
        <v>0</v>
      </c>
      <c r="Z12" s="6">
        <f ca="1">IF(MONTH(sim.tbl[[#This Row],[SDate]])=INDEX(mthLkUp.tbl[Num],MATCH(Z$3,mthLkUp.tbl[Month],0)),1,0)</f>
        <v>0</v>
      </c>
      <c r="AA12" s="6">
        <f ca="1">IF(MONTH(sim.tbl[[#This Row],[SDate]])=INDEX(mthLkUp.tbl[Num],MATCH(AA$3,mthLkUp.tbl[Month],0)),1,0)</f>
        <v>1</v>
      </c>
      <c r="AB12" s="6">
        <f ca="1">IF(MONTH(sim.tbl[[#This Row],[SDate]])=INDEX(mthLkUp.tbl[Num],MATCH(AB$3,mthLkUp.tbl[Month],0)),1,0)</f>
        <v>0</v>
      </c>
      <c r="AC12" s="6">
        <f ca="1">IF(MONTH(sim.tbl[[#This Row],[SDate]])=INDEX(mthLkUp.tbl[Num],MATCH(AC$3,mthLkUp.tbl[Month],0)),1,0)</f>
        <v>0</v>
      </c>
      <c r="AD12" s="6">
        <f ca="1">IF(MONTH(sim.tbl[[#This Row],[SDate]])=INDEX(mthLkUp.tbl[Num],MATCH(AD$3,mthLkUp.tbl[Month],0)),1,0)</f>
        <v>0</v>
      </c>
      <c r="AE12" s="6">
        <f ca="1">IF(MONTH(sim.tbl[[#This Row],[SDate]])=INDEX(mthLkUp.tbl[Num],MATCH(AE$3,mthLkUp.tbl[Month],0)),1,0)</f>
        <v>0</v>
      </c>
      <c r="AF12" s="6">
        <f ca="1">IF(MONTH(sim.tbl[[#This Row],[SDate]])=INDEX(mthLkUp.tbl[Num],MATCH(AF$3,mthLkUp.tbl[Month],0)),1,0)</f>
        <v>0</v>
      </c>
      <c r="AG12" s="6">
        <f ca="1">IF(MONTH(sim.tbl[[#This Row],[SDate]])=INDEX(mthLkUp.tbl[Num],MATCH(AG$3,mthLkUp.tbl[Month],0)),1,0)</f>
        <v>0</v>
      </c>
      <c r="AH12" s="6">
        <f ca="1">IF(MONTH(sim.tbl[[#This Row],[SDate]])=INDEX(mthLkUp.tbl[Num],MATCH(AH$3,mthLkUp.tbl[Month],0)),1,0)</f>
        <v>0</v>
      </c>
      <c r="AI12" s="6">
        <f ca="1">IF(MONTH(sim.tbl[[#This Row],[SDate]])=INDEX(mthLkUp.tbl[Num],MATCH(AI$3,mthLkUp.tbl[Month],0)),1,0)</f>
        <v>0</v>
      </c>
      <c r="AJ12" s="6">
        <f ca="1">IF(MONTH(sim.tbl[[#This Row],[SDate]])=INDEX(mthLkUp.tbl[Num],MATCH(AJ$3,mthLkUp.tbl[Month],0)),1,0)</f>
        <v>0</v>
      </c>
      <c r="AK12" s="6">
        <v>1</v>
      </c>
      <c r="AL12" s="5">
        <f>sim.tbl[[#This Row],[Sulfur]]*sim.tbl[[#This Row],[C5+]]</f>
        <v>0</v>
      </c>
      <c r="AM12" s="5">
        <f>sim.tbl[[#This Row],[Sulfur]]*sim.tbl[[#This Row],[Light LSB]]</f>
        <v>0</v>
      </c>
      <c r="AN12" s="5">
        <f>sim.tbl[[#This Row],[Sulfur]]*sim.tbl[[#This Row],[Light SW]]</f>
        <v>0</v>
      </c>
      <c r="AO12" s="5">
        <f>sim.tbl[[#This Row],[Sulfur]]*sim.tbl[[#This Row],[Medium LSB]]</f>
        <v>1.9</v>
      </c>
      <c r="AP12" s="5">
        <f>sim.tbl[[#This Row],[Sulfur]]*sim.tbl[[#This Row],[Medium SW]]</f>
        <v>0</v>
      </c>
      <c r="AQ12" s="5">
        <f>sim.tbl[[#This Row],[Sulfur]]*sim.tbl[[#This Row],[Midale]]</f>
        <v>0</v>
      </c>
      <c r="AR12" s="5">
        <f>sim.tbl[[#This Row],[Sulfur]]*sim.tbl[[#This Row],[Heavy Sour]]</f>
        <v>0</v>
      </c>
      <c r="AS12" s="5">
        <f>sim.tbl[[#This Row],[Sulfur]]*sim.tbl[[#This Row],[Heavy SW]]</f>
        <v>0</v>
      </c>
      <c r="AT12" s="5">
        <f>sim.tbl[[#This Row],[Density]]*sim.tbl[[#This Row],[C5+]]</f>
        <v>0</v>
      </c>
      <c r="AU12" s="5">
        <f>sim.tbl[[#This Row],[Density]]*sim.tbl[[#This Row],[Light LSB]]</f>
        <v>0</v>
      </c>
      <c r="AV12" s="5">
        <f>sim.tbl[[#This Row],[Density]]*sim.tbl[[#This Row],[Light SW]]</f>
        <v>0</v>
      </c>
      <c r="AW12" s="5">
        <f>sim.tbl[[#This Row],[Density]]*sim.tbl[[#This Row],[Medium LSB]]</f>
        <v>866.6</v>
      </c>
      <c r="AX12" s="5">
        <f>sim.tbl[[#This Row],[Density]]*sim.tbl[[#This Row],[Medium SW]]</f>
        <v>0</v>
      </c>
      <c r="AY12" s="5">
        <f>sim.tbl[[#This Row],[Density]]*sim.tbl[[#This Row],[Midale]]</f>
        <v>0</v>
      </c>
      <c r="AZ12" s="5">
        <f>sim.tbl[[#This Row],[Density]]*sim.tbl[[#This Row],[Heavy Sour]]</f>
        <v>0</v>
      </c>
      <c r="BA12" s="5">
        <f>sim.tbl[[#This Row],[Density]]*sim.tbl[[#This Row],[Heavy SW]]</f>
        <v>0</v>
      </c>
      <c r="BB12" s="5">
        <f>sim.tbl[[#This Row],[7 Day Rolling Temperature]]*sim.tbl[[#This Row],[C5+]]</f>
        <v>0</v>
      </c>
      <c r="BC12" s="5">
        <f>sim.tbl[[#This Row],[7 Day Rolling Temperature]]*sim.tbl[[#This Row],[Light LSB]]</f>
        <v>0</v>
      </c>
      <c r="BD12" s="5">
        <f>sim.tbl[[#This Row],[7 Day Rolling Temperature]]*sim.tbl[[#This Row],[Light SW]]</f>
        <v>0</v>
      </c>
      <c r="BE12" s="5">
        <f>sim.tbl[[#This Row],[7 Day Rolling Temperature]]*sim.tbl[[#This Row],[Medium LSB]]</f>
        <v>6.2</v>
      </c>
      <c r="BF12" s="5">
        <f>sim.tbl[[#This Row],[7 Day Rolling Temperature]]*sim.tbl[[#This Row],[Medium SW]]</f>
        <v>0</v>
      </c>
      <c r="BG12" s="5">
        <f>sim.tbl[[#This Row],[7 Day Rolling Temperature]]*sim.tbl[[#This Row],[Midale]]</f>
        <v>0</v>
      </c>
      <c r="BH12" s="5">
        <f>sim.tbl[[#This Row],[7 Day Rolling Temperature]]*sim.tbl[[#This Row],[Heavy Sour]]</f>
        <v>0</v>
      </c>
      <c r="BI12" s="5">
        <f>sim.tbl[[#This Row],[7 Day Rolling Temperature]]*sim.tbl[[#This Row],[Heavy SW]]</f>
        <v>0</v>
      </c>
      <c r="BJ12" s="5">
        <f>sim.tbl[[#This Row],[Post Aquisition]]*sim.tbl[[#This Row],[C5+]]</f>
        <v>0</v>
      </c>
      <c r="BK12" s="5">
        <f>sim.tbl[[#This Row],[Post Aquisition]]*sim.tbl[[#This Row],[Light LSB]]</f>
        <v>0</v>
      </c>
      <c r="BL12" s="5">
        <f>sim.tbl[[#This Row],[Post Aquisition]]*sim.tbl[[#This Row],[Light SW]]</f>
        <v>0</v>
      </c>
      <c r="BM12" s="5">
        <f>sim.tbl[[#This Row],[Post Aquisition]]*sim.tbl[[#This Row],[Medium LSB]]</f>
        <v>1</v>
      </c>
      <c r="BN12" s="5">
        <f>sim.tbl[[#This Row],[Post Aquisition]]*sim.tbl[[#This Row],[Medium SW]]</f>
        <v>0</v>
      </c>
      <c r="BO12" s="5">
        <f>sim.tbl[[#This Row],[Post Aquisition]]*sim.tbl[[#This Row],[Midale]]</f>
        <v>0</v>
      </c>
      <c r="BP12" s="5">
        <f>sim.tbl[[#This Row],[Post Aquisition]]*sim.tbl[[#This Row],[Heavy Sour]]</f>
        <v>0</v>
      </c>
      <c r="BQ12" s="5">
        <f>sim.tbl[[#This Row],[Post Aquisition]]*sim.tbl[[#This Row],[Heavy SW]]</f>
        <v>0</v>
      </c>
    </row>
    <row r="13" spans="1:69" x14ac:dyDescent="0.25">
      <c r="A13" s="11" t="s">
        <v>363</v>
      </c>
      <c r="B13" s="12">
        <f ca="1">MIN(sim.tbl[Predicted VP])</f>
        <v>59.542165288876845</v>
      </c>
      <c r="D13" s="5">
        <f ca="1">SUMPRODUCT($F$1:$BQ$1,sim.tbl[[#This Row],[(Intercept)]:[Post Aquisition:Heavy SW]])</f>
        <v>67.5976606104403</v>
      </c>
      <c r="E13" s="14">
        <f ca="1">DATE(YEAR(TODAY()),INDEX(mthLkUp.tbl[Num],MATCH(mth.input,mthLkUp.tbl[Month],0)),1)</f>
        <v>42795</v>
      </c>
      <c r="F13" s="6">
        <f>1</f>
        <v>1</v>
      </c>
      <c r="G13" s="5">
        <v>2.38</v>
      </c>
      <c r="H13" s="5">
        <v>867.1</v>
      </c>
      <c r="I13" s="5">
        <v>-3.1833333330000002</v>
      </c>
      <c r="J13" s="5">
        <v>-3.8</v>
      </c>
      <c r="K13" s="5">
        <v>-3.5</v>
      </c>
      <c r="L13" s="5">
        <v>-3.8</v>
      </c>
      <c r="M13" s="5">
        <v>-3</v>
      </c>
      <c r="N13" s="5">
        <v>-3</v>
      </c>
      <c r="O13" s="5">
        <v>-2.5</v>
      </c>
      <c r="P13" s="5">
        <v>-3.3</v>
      </c>
      <c r="Q13" s="6">
        <f>IF(sim.tbl[[#This Row],[Density]]&lt;=770,1,0)</f>
        <v>0</v>
      </c>
      <c r="R13" s="6">
        <f>IF(AND(sim.tbl[[#This Row],[Sulfur]]&gt;0.5,sim.tbl[[#This Row],[Density]]&gt;770,sim.tbl[[#This Row],[Density]]&lt;=825),1,0)</f>
        <v>0</v>
      </c>
      <c r="S13" s="6">
        <f>IF(AND(sim.tbl[[#This Row],[Sulfur]]&lt;=0.5,sim.tbl[[#This Row],[Density]]&gt;770,sim.tbl[[#This Row],[Density]]&lt;=825),1,0)</f>
        <v>0</v>
      </c>
      <c r="T13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3" s="6">
        <f>IF(AND(sim.tbl[[#This Row],[Sulfur]]&lt;0.5,sim.tbl[[#This Row],[Density]]&gt;825,sim.tbl[[#This Row],[Density]]&lt;=900),1,0)</f>
        <v>0</v>
      </c>
      <c r="V13" s="6">
        <f>IF(AND(sim.tbl[[#This Row],[Sulfur]]&gt;2,sim.tbl[[#This Row],[Density]]&gt;865,sim.tbl[[#This Row],[Density]]&lt;=900),1,0)</f>
        <v>1</v>
      </c>
      <c r="W13" s="6">
        <f>IF(AND(sim.tbl[[#This Row],[Sulfur]]&gt;0.5,sim.tbl[[#This Row],[Density]]&gt;900),1,0)</f>
        <v>0</v>
      </c>
      <c r="X13" s="6">
        <f>IF(AND(sim.tbl[[#This Row],[Sulfur]]&lt;=0.5,sim.tbl[[#This Row],[Density]]&gt;900),1,0)</f>
        <v>0</v>
      </c>
      <c r="Y13" s="6">
        <f ca="1">IF(MONTH(sim.tbl[[#This Row],[SDate]])=INDEX(mthLkUp.tbl[Num],MATCH(Y$3,mthLkUp.tbl[Month],0)),1,0)</f>
        <v>0</v>
      </c>
      <c r="Z13" s="6">
        <f ca="1">IF(MONTH(sim.tbl[[#This Row],[SDate]])=INDEX(mthLkUp.tbl[Num],MATCH(Z$3,mthLkUp.tbl[Month],0)),1,0)</f>
        <v>0</v>
      </c>
      <c r="AA13" s="6">
        <f ca="1">IF(MONTH(sim.tbl[[#This Row],[SDate]])=INDEX(mthLkUp.tbl[Num],MATCH(AA$3,mthLkUp.tbl[Month],0)),1,0)</f>
        <v>1</v>
      </c>
      <c r="AB13" s="6">
        <f ca="1">IF(MONTH(sim.tbl[[#This Row],[SDate]])=INDEX(mthLkUp.tbl[Num],MATCH(AB$3,mthLkUp.tbl[Month],0)),1,0)</f>
        <v>0</v>
      </c>
      <c r="AC13" s="6">
        <f ca="1">IF(MONTH(sim.tbl[[#This Row],[SDate]])=INDEX(mthLkUp.tbl[Num],MATCH(AC$3,mthLkUp.tbl[Month],0)),1,0)</f>
        <v>0</v>
      </c>
      <c r="AD13" s="6">
        <f ca="1">IF(MONTH(sim.tbl[[#This Row],[SDate]])=INDEX(mthLkUp.tbl[Num],MATCH(AD$3,mthLkUp.tbl[Month],0)),1,0)</f>
        <v>0</v>
      </c>
      <c r="AE13" s="6">
        <f ca="1">IF(MONTH(sim.tbl[[#This Row],[SDate]])=INDEX(mthLkUp.tbl[Num],MATCH(AE$3,mthLkUp.tbl[Month],0)),1,0)</f>
        <v>0</v>
      </c>
      <c r="AF13" s="6">
        <f ca="1">IF(MONTH(sim.tbl[[#This Row],[SDate]])=INDEX(mthLkUp.tbl[Num],MATCH(AF$3,mthLkUp.tbl[Month],0)),1,0)</f>
        <v>0</v>
      </c>
      <c r="AG13" s="6">
        <f ca="1">IF(MONTH(sim.tbl[[#This Row],[SDate]])=INDEX(mthLkUp.tbl[Num],MATCH(AG$3,mthLkUp.tbl[Month],0)),1,0)</f>
        <v>0</v>
      </c>
      <c r="AH13" s="6">
        <f ca="1">IF(MONTH(sim.tbl[[#This Row],[SDate]])=INDEX(mthLkUp.tbl[Num],MATCH(AH$3,mthLkUp.tbl[Month],0)),1,0)</f>
        <v>0</v>
      </c>
      <c r="AI13" s="6">
        <f ca="1">IF(MONTH(sim.tbl[[#This Row],[SDate]])=INDEX(mthLkUp.tbl[Num],MATCH(AI$3,mthLkUp.tbl[Month],0)),1,0)</f>
        <v>0</v>
      </c>
      <c r="AJ13" s="6">
        <f ca="1">IF(MONTH(sim.tbl[[#This Row],[SDate]])=INDEX(mthLkUp.tbl[Num],MATCH(AJ$3,mthLkUp.tbl[Month],0)),1,0)</f>
        <v>0</v>
      </c>
      <c r="AK13" s="6">
        <v>1</v>
      </c>
      <c r="AL13" s="5">
        <f>sim.tbl[[#This Row],[Sulfur]]*sim.tbl[[#This Row],[C5+]]</f>
        <v>0</v>
      </c>
      <c r="AM13" s="5">
        <f>sim.tbl[[#This Row],[Sulfur]]*sim.tbl[[#This Row],[Light LSB]]</f>
        <v>0</v>
      </c>
      <c r="AN13" s="5">
        <f>sim.tbl[[#This Row],[Sulfur]]*sim.tbl[[#This Row],[Light SW]]</f>
        <v>0</v>
      </c>
      <c r="AO13" s="5">
        <f>sim.tbl[[#This Row],[Sulfur]]*sim.tbl[[#This Row],[Medium LSB]]</f>
        <v>0</v>
      </c>
      <c r="AP13" s="5">
        <f>sim.tbl[[#This Row],[Sulfur]]*sim.tbl[[#This Row],[Medium SW]]</f>
        <v>0</v>
      </c>
      <c r="AQ13" s="5">
        <f>sim.tbl[[#This Row],[Sulfur]]*sim.tbl[[#This Row],[Midale]]</f>
        <v>2.38</v>
      </c>
      <c r="AR13" s="5">
        <f>sim.tbl[[#This Row],[Sulfur]]*sim.tbl[[#This Row],[Heavy Sour]]</f>
        <v>0</v>
      </c>
      <c r="AS13" s="5">
        <f>sim.tbl[[#This Row],[Sulfur]]*sim.tbl[[#This Row],[Heavy SW]]</f>
        <v>0</v>
      </c>
      <c r="AT13" s="5">
        <f>sim.tbl[[#This Row],[Density]]*sim.tbl[[#This Row],[C5+]]</f>
        <v>0</v>
      </c>
      <c r="AU13" s="5">
        <f>sim.tbl[[#This Row],[Density]]*sim.tbl[[#This Row],[Light LSB]]</f>
        <v>0</v>
      </c>
      <c r="AV13" s="5">
        <f>sim.tbl[[#This Row],[Density]]*sim.tbl[[#This Row],[Light SW]]</f>
        <v>0</v>
      </c>
      <c r="AW13" s="5">
        <f>sim.tbl[[#This Row],[Density]]*sim.tbl[[#This Row],[Medium LSB]]</f>
        <v>0</v>
      </c>
      <c r="AX13" s="5">
        <f>sim.tbl[[#This Row],[Density]]*sim.tbl[[#This Row],[Medium SW]]</f>
        <v>0</v>
      </c>
      <c r="AY13" s="5">
        <f>sim.tbl[[#This Row],[Density]]*sim.tbl[[#This Row],[Midale]]</f>
        <v>867.1</v>
      </c>
      <c r="AZ13" s="5">
        <f>sim.tbl[[#This Row],[Density]]*sim.tbl[[#This Row],[Heavy Sour]]</f>
        <v>0</v>
      </c>
      <c r="BA13" s="5">
        <f>sim.tbl[[#This Row],[Density]]*sim.tbl[[#This Row],[Heavy SW]]</f>
        <v>0</v>
      </c>
      <c r="BB13" s="5">
        <f>sim.tbl[[#This Row],[7 Day Rolling Temperature]]*sim.tbl[[#This Row],[C5+]]</f>
        <v>0</v>
      </c>
      <c r="BC13" s="5">
        <f>sim.tbl[[#This Row],[7 Day Rolling Temperature]]*sim.tbl[[#This Row],[Light LSB]]</f>
        <v>0</v>
      </c>
      <c r="BD13" s="5">
        <f>sim.tbl[[#This Row],[7 Day Rolling Temperature]]*sim.tbl[[#This Row],[Light SW]]</f>
        <v>0</v>
      </c>
      <c r="BE13" s="5">
        <f>sim.tbl[[#This Row],[7 Day Rolling Temperature]]*sim.tbl[[#This Row],[Medium LSB]]</f>
        <v>0</v>
      </c>
      <c r="BF13" s="5">
        <f>sim.tbl[[#This Row],[7 Day Rolling Temperature]]*sim.tbl[[#This Row],[Medium SW]]</f>
        <v>0</v>
      </c>
      <c r="BG13" s="5">
        <f>sim.tbl[[#This Row],[7 Day Rolling Temperature]]*sim.tbl[[#This Row],[Midale]]</f>
        <v>-3.8</v>
      </c>
      <c r="BH13" s="5">
        <f>sim.tbl[[#This Row],[7 Day Rolling Temperature]]*sim.tbl[[#This Row],[Heavy Sour]]</f>
        <v>0</v>
      </c>
      <c r="BI13" s="5">
        <f>sim.tbl[[#This Row],[7 Day Rolling Temperature]]*sim.tbl[[#This Row],[Heavy SW]]</f>
        <v>0</v>
      </c>
      <c r="BJ13" s="5">
        <f>sim.tbl[[#This Row],[Post Aquisition]]*sim.tbl[[#This Row],[C5+]]</f>
        <v>0</v>
      </c>
      <c r="BK13" s="5">
        <f>sim.tbl[[#This Row],[Post Aquisition]]*sim.tbl[[#This Row],[Light LSB]]</f>
        <v>0</v>
      </c>
      <c r="BL13" s="5">
        <f>sim.tbl[[#This Row],[Post Aquisition]]*sim.tbl[[#This Row],[Light SW]]</f>
        <v>0</v>
      </c>
      <c r="BM13" s="5">
        <f>sim.tbl[[#This Row],[Post Aquisition]]*sim.tbl[[#This Row],[Medium LSB]]</f>
        <v>0</v>
      </c>
      <c r="BN13" s="5">
        <f>sim.tbl[[#This Row],[Post Aquisition]]*sim.tbl[[#This Row],[Medium SW]]</f>
        <v>0</v>
      </c>
      <c r="BO13" s="5">
        <f>sim.tbl[[#This Row],[Post Aquisition]]*sim.tbl[[#This Row],[Midale]]</f>
        <v>1</v>
      </c>
      <c r="BP13" s="5">
        <f>sim.tbl[[#This Row],[Post Aquisition]]*sim.tbl[[#This Row],[Heavy Sour]]</f>
        <v>0</v>
      </c>
      <c r="BQ13" s="5">
        <f>sim.tbl[[#This Row],[Post Aquisition]]*sim.tbl[[#This Row],[Heavy SW]]</f>
        <v>0</v>
      </c>
    </row>
    <row r="14" spans="1:69" x14ac:dyDescent="0.25">
      <c r="A14" s="11" t="s">
        <v>364</v>
      </c>
      <c r="B14" s="12">
        <f ca="1">MAX(sim.tbl[Predicted VP])</f>
        <v>87.638910281451984</v>
      </c>
      <c r="D14" s="5">
        <f ca="1">SUMPRODUCT($F$1:$BQ$1,sim.tbl[[#This Row],[(Intercept)]:[Post Aquisition:Heavy SW]])</f>
        <v>67.916498260718242</v>
      </c>
      <c r="E14" s="14">
        <f ca="1">DATE(YEAR(TODAY()),INDEX(mthLkUp.tbl[Num],MATCH(mth.input,mthLkUp.tbl[Month],0)),1)</f>
        <v>42795</v>
      </c>
      <c r="F14" s="6">
        <f>1</f>
        <v>1</v>
      </c>
      <c r="G14" s="5">
        <v>2.2999999999999998</v>
      </c>
      <c r="H14" s="5">
        <v>870.1</v>
      </c>
      <c r="I14" s="5">
        <v>-8.9</v>
      </c>
      <c r="J14" s="5">
        <v>-7.7</v>
      </c>
      <c r="K14" s="5">
        <v>-8.9</v>
      </c>
      <c r="L14" s="5">
        <v>-7.7</v>
      </c>
      <c r="M14" s="5">
        <v>2.8</v>
      </c>
      <c r="N14" s="5">
        <v>-9.3000000000000007</v>
      </c>
      <c r="O14" s="5">
        <v>-11.3</v>
      </c>
      <c r="P14" s="5">
        <v>-7.3</v>
      </c>
      <c r="Q14" s="6">
        <f>IF(sim.tbl[[#This Row],[Density]]&lt;=770,1,0)</f>
        <v>0</v>
      </c>
      <c r="R14" s="6">
        <f>IF(AND(sim.tbl[[#This Row],[Sulfur]]&gt;0.5,sim.tbl[[#This Row],[Density]]&gt;770,sim.tbl[[#This Row],[Density]]&lt;=825),1,0)</f>
        <v>0</v>
      </c>
      <c r="S14" s="6">
        <f>IF(AND(sim.tbl[[#This Row],[Sulfur]]&lt;=0.5,sim.tbl[[#This Row],[Density]]&gt;770,sim.tbl[[#This Row],[Density]]&lt;=825),1,0)</f>
        <v>0</v>
      </c>
      <c r="T14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4" s="6">
        <f>IF(AND(sim.tbl[[#This Row],[Sulfur]]&lt;0.5,sim.tbl[[#This Row],[Density]]&gt;825,sim.tbl[[#This Row],[Density]]&lt;=900),1,0)</f>
        <v>0</v>
      </c>
      <c r="V14" s="6">
        <f>IF(AND(sim.tbl[[#This Row],[Sulfur]]&gt;2,sim.tbl[[#This Row],[Density]]&gt;865,sim.tbl[[#This Row],[Density]]&lt;=900),1,0)</f>
        <v>1</v>
      </c>
      <c r="W14" s="6">
        <f>IF(AND(sim.tbl[[#This Row],[Sulfur]]&gt;0.5,sim.tbl[[#This Row],[Density]]&gt;900),1,0)</f>
        <v>0</v>
      </c>
      <c r="X14" s="6">
        <f>IF(AND(sim.tbl[[#This Row],[Sulfur]]&lt;=0.5,sim.tbl[[#This Row],[Density]]&gt;900),1,0)</f>
        <v>0</v>
      </c>
      <c r="Y14" s="6">
        <f ca="1">IF(MONTH(sim.tbl[[#This Row],[SDate]])=INDEX(mthLkUp.tbl[Num],MATCH(Y$3,mthLkUp.tbl[Month],0)),1,0)</f>
        <v>0</v>
      </c>
      <c r="Z14" s="6">
        <f ca="1">IF(MONTH(sim.tbl[[#This Row],[SDate]])=INDEX(mthLkUp.tbl[Num],MATCH(Z$3,mthLkUp.tbl[Month],0)),1,0)</f>
        <v>0</v>
      </c>
      <c r="AA14" s="6">
        <f ca="1">IF(MONTH(sim.tbl[[#This Row],[SDate]])=INDEX(mthLkUp.tbl[Num],MATCH(AA$3,mthLkUp.tbl[Month],0)),1,0)</f>
        <v>1</v>
      </c>
      <c r="AB14" s="6">
        <f ca="1">IF(MONTH(sim.tbl[[#This Row],[SDate]])=INDEX(mthLkUp.tbl[Num],MATCH(AB$3,mthLkUp.tbl[Month],0)),1,0)</f>
        <v>0</v>
      </c>
      <c r="AC14" s="6">
        <f ca="1">IF(MONTH(sim.tbl[[#This Row],[SDate]])=INDEX(mthLkUp.tbl[Num],MATCH(AC$3,mthLkUp.tbl[Month],0)),1,0)</f>
        <v>0</v>
      </c>
      <c r="AD14" s="6">
        <f ca="1">IF(MONTH(sim.tbl[[#This Row],[SDate]])=INDEX(mthLkUp.tbl[Num],MATCH(AD$3,mthLkUp.tbl[Month],0)),1,0)</f>
        <v>0</v>
      </c>
      <c r="AE14" s="6">
        <f ca="1">IF(MONTH(sim.tbl[[#This Row],[SDate]])=INDEX(mthLkUp.tbl[Num],MATCH(AE$3,mthLkUp.tbl[Month],0)),1,0)</f>
        <v>0</v>
      </c>
      <c r="AF14" s="6">
        <f ca="1">IF(MONTH(sim.tbl[[#This Row],[SDate]])=INDEX(mthLkUp.tbl[Num],MATCH(AF$3,mthLkUp.tbl[Month],0)),1,0)</f>
        <v>0</v>
      </c>
      <c r="AG14" s="6">
        <f ca="1">IF(MONTH(sim.tbl[[#This Row],[SDate]])=INDEX(mthLkUp.tbl[Num],MATCH(AG$3,mthLkUp.tbl[Month],0)),1,0)</f>
        <v>0</v>
      </c>
      <c r="AH14" s="6">
        <f ca="1">IF(MONTH(sim.tbl[[#This Row],[SDate]])=INDEX(mthLkUp.tbl[Num],MATCH(AH$3,mthLkUp.tbl[Month],0)),1,0)</f>
        <v>0</v>
      </c>
      <c r="AI14" s="6">
        <f ca="1">IF(MONTH(sim.tbl[[#This Row],[SDate]])=INDEX(mthLkUp.tbl[Num],MATCH(AI$3,mthLkUp.tbl[Month],0)),1,0)</f>
        <v>0</v>
      </c>
      <c r="AJ14" s="6">
        <f ca="1">IF(MONTH(sim.tbl[[#This Row],[SDate]])=INDEX(mthLkUp.tbl[Num],MATCH(AJ$3,mthLkUp.tbl[Month],0)),1,0)</f>
        <v>0</v>
      </c>
      <c r="AK14" s="6">
        <v>1</v>
      </c>
      <c r="AL14" s="5">
        <f>sim.tbl[[#This Row],[Sulfur]]*sim.tbl[[#This Row],[C5+]]</f>
        <v>0</v>
      </c>
      <c r="AM14" s="5">
        <f>sim.tbl[[#This Row],[Sulfur]]*sim.tbl[[#This Row],[Light LSB]]</f>
        <v>0</v>
      </c>
      <c r="AN14" s="5">
        <f>sim.tbl[[#This Row],[Sulfur]]*sim.tbl[[#This Row],[Light SW]]</f>
        <v>0</v>
      </c>
      <c r="AO14" s="5">
        <f>sim.tbl[[#This Row],[Sulfur]]*sim.tbl[[#This Row],[Medium LSB]]</f>
        <v>0</v>
      </c>
      <c r="AP14" s="5">
        <f>sim.tbl[[#This Row],[Sulfur]]*sim.tbl[[#This Row],[Medium SW]]</f>
        <v>0</v>
      </c>
      <c r="AQ14" s="5">
        <f>sim.tbl[[#This Row],[Sulfur]]*sim.tbl[[#This Row],[Midale]]</f>
        <v>2.2999999999999998</v>
      </c>
      <c r="AR14" s="5">
        <f>sim.tbl[[#This Row],[Sulfur]]*sim.tbl[[#This Row],[Heavy Sour]]</f>
        <v>0</v>
      </c>
      <c r="AS14" s="5">
        <f>sim.tbl[[#This Row],[Sulfur]]*sim.tbl[[#This Row],[Heavy SW]]</f>
        <v>0</v>
      </c>
      <c r="AT14" s="5">
        <f>sim.tbl[[#This Row],[Density]]*sim.tbl[[#This Row],[C5+]]</f>
        <v>0</v>
      </c>
      <c r="AU14" s="5">
        <f>sim.tbl[[#This Row],[Density]]*sim.tbl[[#This Row],[Light LSB]]</f>
        <v>0</v>
      </c>
      <c r="AV14" s="5">
        <f>sim.tbl[[#This Row],[Density]]*sim.tbl[[#This Row],[Light SW]]</f>
        <v>0</v>
      </c>
      <c r="AW14" s="5">
        <f>sim.tbl[[#This Row],[Density]]*sim.tbl[[#This Row],[Medium LSB]]</f>
        <v>0</v>
      </c>
      <c r="AX14" s="5">
        <f>sim.tbl[[#This Row],[Density]]*sim.tbl[[#This Row],[Medium SW]]</f>
        <v>0</v>
      </c>
      <c r="AY14" s="5">
        <f>sim.tbl[[#This Row],[Density]]*sim.tbl[[#This Row],[Midale]]</f>
        <v>870.1</v>
      </c>
      <c r="AZ14" s="5">
        <f>sim.tbl[[#This Row],[Density]]*sim.tbl[[#This Row],[Heavy Sour]]</f>
        <v>0</v>
      </c>
      <c r="BA14" s="5">
        <f>sim.tbl[[#This Row],[Density]]*sim.tbl[[#This Row],[Heavy SW]]</f>
        <v>0</v>
      </c>
      <c r="BB14" s="5">
        <f>sim.tbl[[#This Row],[7 Day Rolling Temperature]]*sim.tbl[[#This Row],[C5+]]</f>
        <v>0</v>
      </c>
      <c r="BC14" s="5">
        <f>sim.tbl[[#This Row],[7 Day Rolling Temperature]]*sim.tbl[[#This Row],[Light LSB]]</f>
        <v>0</v>
      </c>
      <c r="BD14" s="5">
        <f>sim.tbl[[#This Row],[7 Day Rolling Temperature]]*sim.tbl[[#This Row],[Light SW]]</f>
        <v>0</v>
      </c>
      <c r="BE14" s="5">
        <f>sim.tbl[[#This Row],[7 Day Rolling Temperature]]*sim.tbl[[#This Row],[Medium LSB]]</f>
        <v>0</v>
      </c>
      <c r="BF14" s="5">
        <f>sim.tbl[[#This Row],[7 Day Rolling Temperature]]*sim.tbl[[#This Row],[Medium SW]]</f>
        <v>0</v>
      </c>
      <c r="BG14" s="5">
        <f>sim.tbl[[#This Row],[7 Day Rolling Temperature]]*sim.tbl[[#This Row],[Midale]]</f>
        <v>-7.7</v>
      </c>
      <c r="BH14" s="5">
        <f>sim.tbl[[#This Row],[7 Day Rolling Temperature]]*sim.tbl[[#This Row],[Heavy Sour]]</f>
        <v>0</v>
      </c>
      <c r="BI14" s="5">
        <f>sim.tbl[[#This Row],[7 Day Rolling Temperature]]*sim.tbl[[#This Row],[Heavy SW]]</f>
        <v>0</v>
      </c>
      <c r="BJ14" s="5">
        <f>sim.tbl[[#This Row],[Post Aquisition]]*sim.tbl[[#This Row],[C5+]]</f>
        <v>0</v>
      </c>
      <c r="BK14" s="5">
        <f>sim.tbl[[#This Row],[Post Aquisition]]*sim.tbl[[#This Row],[Light LSB]]</f>
        <v>0</v>
      </c>
      <c r="BL14" s="5">
        <f>sim.tbl[[#This Row],[Post Aquisition]]*sim.tbl[[#This Row],[Light SW]]</f>
        <v>0</v>
      </c>
      <c r="BM14" s="5">
        <f>sim.tbl[[#This Row],[Post Aquisition]]*sim.tbl[[#This Row],[Medium LSB]]</f>
        <v>0</v>
      </c>
      <c r="BN14" s="5">
        <f>sim.tbl[[#This Row],[Post Aquisition]]*sim.tbl[[#This Row],[Medium SW]]</f>
        <v>0</v>
      </c>
      <c r="BO14" s="5">
        <f>sim.tbl[[#This Row],[Post Aquisition]]*sim.tbl[[#This Row],[Midale]]</f>
        <v>1</v>
      </c>
      <c r="BP14" s="5">
        <f>sim.tbl[[#This Row],[Post Aquisition]]*sim.tbl[[#This Row],[Heavy Sour]]</f>
        <v>0</v>
      </c>
      <c r="BQ14" s="5">
        <f>sim.tbl[[#This Row],[Post Aquisition]]*sim.tbl[[#This Row],[Heavy SW]]</f>
        <v>0</v>
      </c>
    </row>
    <row r="15" spans="1:69" x14ac:dyDescent="0.25">
      <c r="A15" s="11" t="s">
        <v>378</v>
      </c>
      <c r="B15" s="12">
        <f ca="1">2*(_xlfn.QUARTILE.INC(sim.tbl[Predicted VP],3)-_xlfn.QUARTILE.INC(sim.tbl[Predicted VP],1))/COUNT(sim.tbl[Predicted VP])^(1/3)</f>
        <v>4.8019852901609328</v>
      </c>
      <c r="D15" s="5">
        <f ca="1">SUMPRODUCT($F$1:$BQ$1,sim.tbl[[#This Row],[(Intercept)]:[Post Aquisition:Heavy SW]])</f>
        <v>69.64547877704365</v>
      </c>
      <c r="E15" s="14">
        <f ca="1">DATE(YEAR(TODAY()),INDEX(mthLkUp.tbl[Num],MATCH(mth.input,mthLkUp.tbl[Month],0)),1)</f>
        <v>42795</v>
      </c>
      <c r="F15" s="6">
        <f>1</f>
        <v>1</v>
      </c>
      <c r="G15" s="5">
        <v>1.9</v>
      </c>
      <c r="H15" s="5">
        <v>860.6</v>
      </c>
      <c r="I15" s="5">
        <v>13.08333333</v>
      </c>
      <c r="J15" s="5">
        <v>10.8</v>
      </c>
      <c r="K15" s="5">
        <v>13.5</v>
      </c>
      <c r="L15" s="5">
        <v>10.8</v>
      </c>
      <c r="M15" s="5">
        <v>14.5</v>
      </c>
      <c r="N15" s="5">
        <v>11.3</v>
      </c>
      <c r="O15" s="5">
        <v>16.899999999999999</v>
      </c>
      <c r="P15" s="5">
        <v>11.5</v>
      </c>
      <c r="Q15" s="6">
        <f>IF(sim.tbl[[#This Row],[Density]]&lt;=770,1,0)</f>
        <v>0</v>
      </c>
      <c r="R15" s="6">
        <f>IF(AND(sim.tbl[[#This Row],[Sulfur]]&gt;0.5,sim.tbl[[#This Row],[Density]]&gt;770,sim.tbl[[#This Row],[Density]]&lt;=825),1,0)</f>
        <v>0</v>
      </c>
      <c r="S15" s="6">
        <f>IF(AND(sim.tbl[[#This Row],[Sulfur]]&lt;=0.5,sim.tbl[[#This Row],[Density]]&gt;770,sim.tbl[[#This Row],[Density]]&lt;=825),1,0)</f>
        <v>0</v>
      </c>
      <c r="T15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15" s="6">
        <f>IF(AND(sim.tbl[[#This Row],[Sulfur]]&lt;0.5,sim.tbl[[#This Row],[Density]]&gt;825,sim.tbl[[#This Row],[Density]]&lt;=900),1,0)</f>
        <v>0</v>
      </c>
      <c r="V15" s="6">
        <f>IF(AND(sim.tbl[[#This Row],[Sulfur]]&gt;2,sim.tbl[[#This Row],[Density]]&gt;865,sim.tbl[[#This Row],[Density]]&lt;=900),1,0)</f>
        <v>0</v>
      </c>
      <c r="W15" s="6">
        <f>IF(AND(sim.tbl[[#This Row],[Sulfur]]&gt;0.5,sim.tbl[[#This Row],[Density]]&gt;900),1,0)</f>
        <v>0</v>
      </c>
      <c r="X15" s="6">
        <f>IF(AND(sim.tbl[[#This Row],[Sulfur]]&lt;=0.5,sim.tbl[[#This Row],[Density]]&gt;900),1,0)</f>
        <v>0</v>
      </c>
      <c r="Y15" s="6">
        <f ca="1">IF(MONTH(sim.tbl[[#This Row],[SDate]])=INDEX(mthLkUp.tbl[Num],MATCH(Y$3,mthLkUp.tbl[Month],0)),1,0)</f>
        <v>0</v>
      </c>
      <c r="Z15" s="6">
        <f ca="1">IF(MONTH(sim.tbl[[#This Row],[SDate]])=INDEX(mthLkUp.tbl[Num],MATCH(Z$3,mthLkUp.tbl[Month],0)),1,0)</f>
        <v>0</v>
      </c>
      <c r="AA15" s="6">
        <f ca="1">IF(MONTH(sim.tbl[[#This Row],[SDate]])=INDEX(mthLkUp.tbl[Num],MATCH(AA$3,mthLkUp.tbl[Month],0)),1,0)</f>
        <v>1</v>
      </c>
      <c r="AB15" s="6">
        <f ca="1">IF(MONTH(sim.tbl[[#This Row],[SDate]])=INDEX(mthLkUp.tbl[Num],MATCH(AB$3,mthLkUp.tbl[Month],0)),1,0)</f>
        <v>0</v>
      </c>
      <c r="AC15" s="6">
        <f ca="1">IF(MONTH(sim.tbl[[#This Row],[SDate]])=INDEX(mthLkUp.tbl[Num],MATCH(AC$3,mthLkUp.tbl[Month],0)),1,0)</f>
        <v>0</v>
      </c>
      <c r="AD15" s="6">
        <f ca="1">IF(MONTH(sim.tbl[[#This Row],[SDate]])=INDEX(mthLkUp.tbl[Num],MATCH(AD$3,mthLkUp.tbl[Month],0)),1,0)</f>
        <v>0</v>
      </c>
      <c r="AE15" s="6">
        <f ca="1">IF(MONTH(sim.tbl[[#This Row],[SDate]])=INDEX(mthLkUp.tbl[Num],MATCH(AE$3,mthLkUp.tbl[Month],0)),1,0)</f>
        <v>0</v>
      </c>
      <c r="AF15" s="6">
        <f ca="1">IF(MONTH(sim.tbl[[#This Row],[SDate]])=INDEX(mthLkUp.tbl[Num],MATCH(AF$3,mthLkUp.tbl[Month],0)),1,0)</f>
        <v>0</v>
      </c>
      <c r="AG15" s="6">
        <f ca="1">IF(MONTH(sim.tbl[[#This Row],[SDate]])=INDEX(mthLkUp.tbl[Num],MATCH(AG$3,mthLkUp.tbl[Month],0)),1,0)</f>
        <v>0</v>
      </c>
      <c r="AH15" s="6">
        <f ca="1">IF(MONTH(sim.tbl[[#This Row],[SDate]])=INDEX(mthLkUp.tbl[Num],MATCH(AH$3,mthLkUp.tbl[Month],0)),1,0)</f>
        <v>0</v>
      </c>
      <c r="AI15" s="6">
        <f ca="1">IF(MONTH(sim.tbl[[#This Row],[SDate]])=INDEX(mthLkUp.tbl[Num],MATCH(AI$3,mthLkUp.tbl[Month],0)),1,0)</f>
        <v>0</v>
      </c>
      <c r="AJ15" s="6">
        <f ca="1">IF(MONTH(sim.tbl[[#This Row],[SDate]])=INDEX(mthLkUp.tbl[Num],MATCH(AJ$3,mthLkUp.tbl[Month],0)),1,0)</f>
        <v>0</v>
      </c>
      <c r="AK15" s="6">
        <v>1</v>
      </c>
      <c r="AL15" s="5">
        <f>sim.tbl[[#This Row],[Sulfur]]*sim.tbl[[#This Row],[C5+]]</f>
        <v>0</v>
      </c>
      <c r="AM15" s="5">
        <f>sim.tbl[[#This Row],[Sulfur]]*sim.tbl[[#This Row],[Light LSB]]</f>
        <v>0</v>
      </c>
      <c r="AN15" s="5">
        <f>sim.tbl[[#This Row],[Sulfur]]*sim.tbl[[#This Row],[Light SW]]</f>
        <v>0</v>
      </c>
      <c r="AO15" s="5">
        <f>sim.tbl[[#This Row],[Sulfur]]*sim.tbl[[#This Row],[Medium LSB]]</f>
        <v>1.9</v>
      </c>
      <c r="AP15" s="5">
        <f>sim.tbl[[#This Row],[Sulfur]]*sim.tbl[[#This Row],[Medium SW]]</f>
        <v>0</v>
      </c>
      <c r="AQ15" s="5">
        <f>sim.tbl[[#This Row],[Sulfur]]*sim.tbl[[#This Row],[Midale]]</f>
        <v>0</v>
      </c>
      <c r="AR15" s="5">
        <f>sim.tbl[[#This Row],[Sulfur]]*sim.tbl[[#This Row],[Heavy Sour]]</f>
        <v>0</v>
      </c>
      <c r="AS15" s="5">
        <f>sim.tbl[[#This Row],[Sulfur]]*sim.tbl[[#This Row],[Heavy SW]]</f>
        <v>0</v>
      </c>
      <c r="AT15" s="5">
        <f>sim.tbl[[#This Row],[Density]]*sim.tbl[[#This Row],[C5+]]</f>
        <v>0</v>
      </c>
      <c r="AU15" s="5">
        <f>sim.tbl[[#This Row],[Density]]*sim.tbl[[#This Row],[Light LSB]]</f>
        <v>0</v>
      </c>
      <c r="AV15" s="5">
        <f>sim.tbl[[#This Row],[Density]]*sim.tbl[[#This Row],[Light SW]]</f>
        <v>0</v>
      </c>
      <c r="AW15" s="5">
        <f>sim.tbl[[#This Row],[Density]]*sim.tbl[[#This Row],[Medium LSB]]</f>
        <v>860.6</v>
      </c>
      <c r="AX15" s="5">
        <f>sim.tbl[[#This Row],[Density]]*sim.tbl[[#This Row],[Medium SW]]</f>
        <v>0</v>
      </c>
      <c r="AY15" s="5">
        <f>sim.tbl[[#This Row],[Density]]*sim.tbl[[#This Row],[Midale]]</f>
        <v>0</v>
      </c>
      <c r="AZ15" s="5">
        <f>sim.tbl[[#This Row],[Density]]*sim.tbl[[#This Row],[Heavy Sour]]</f>
        <v>0</v>
      </c>
      <c r="BA15" s="5">
        <f>sim.tbl[[#This Row],[Density]]*sim.tbl[[#This Row],[Heavy SW]]</f>
        <v>0</v>
      </c>
      <c r="BB15" s="5">
        <f>sim.tbl[[#This Row],[7 Day Rolling Temperature]]*sim.tbl[[#This Row],[C5+]]</f>
        <v>0</v>
      </c>
      <c r="BC15" s="5">
        <f>sim.tbl[[#This Row],[7 Day Rolling Temperature]]*sim.tbl[[#This Row],[Light LSB]]</f>
        <v>0</v>
      </c>
      <c r="BD15" s="5">
        <f>sim.tbl[[#This Row],[7 Day Rolling Temperature]]*sim.tbl[[#This Row],[Light SW]]</f>
        <v>0</v>
      </c>
      <c r="BE15" s="5">
        <f>sim.tbl[[#This Row],[7 Day Rolling Temperature]]*sim.tbl[[#This Row],[Medium LSB]]</f>
        <v>10.8</v>
      </c>
      <c r="BF15" s="5">
        <f>sim.tbl[[#This Row],[7 Day Rolling Temperature]]*sim.tbl[[#This Row],[Medium SW]]</f>
        <v>0</v>
      </c>
      <c r="BG15" s="5">
        <f>sim.tbl[[#This Row],[7 Day Rolling Temperature]]*sim.tbl[[#This Row],[Midale]]</f>
        <v>0</v>
      </c>
      <c r="BH15" s="5">
        <f>sim.tbl[[#This Row],[7 Day Rolling Temperature]]*sim.tbl[[#This Row],[Heavy Sour]]</f>
        <v>0</v>
      </c>
      <c r="BI15" s="5">
        <f>sim.tbl[[#This Row],[7 Day Rolling Temperature]]*sim.tbl[[#This Row],[Heavy SW]]</f>
        <v>0</v>
      </c>
      <c r="BJ15" s="5">
        <f>sim.tbl[[#This Row],[Post Aquisition]]*sim.tbl[[#This Row],[C5+]]</f>
        <v>0</v>
      </c>
      <c r="BK15" s="5">
        <f>sim.tbl[[#This Row],[Post Aquisition]]*sim.tbl[[#This Row],[Light LSB]]</f>
        <v>0</v>
      </c>
      <c r="BL15" s="5">
        <f>sim.tbl[[#This Row],[Post Aquisition]]*sim.tbl[[#This Row],[Light SW]]</f>
        <v>0</v>
      </c>
      <c r="BM15" s="5">
        <f>sim.tbl[[#This Row],[Post Aquisition]]*sim.tbl[[#This Row],[Medium LSB]]</f>
        <v>1</v>
      </c>
      <c r="BN15" s="5">
        <f>sim.tbl[[#This Row],[Post Aquisition]]*sim.tbl[[#This Row],[Medium SW]]</f>
        <v>0</v>
      </c>
      <c r="BO15" s="5">
        <f>sim.tbl[[#This Row],[Post Aquisition]]*sim.tbl[[#This Row],[Midale]]</f>
        <v>0</v>
      </c>
      <c r="BP15" s="5">
        <f>sim.tbl[[#This Row],[Post Aquisition]]*sim.tbl[[#This Row],[Heavy Sour]]</f>
        <v>0</v>
      </c>
      <c r="BQ15" s="5">
        <f>sim.tbl[[#This Row],[Post Aquisition]]*sim.tbl[[#This Row],[Heavy SW]]</f>
        <v>0</v>
      </c>
    </row>
    <row r="16" spans="1:69" x14ac:dyDescent="0.25">
      <c r="D16" s="5">
        <f ca="1">SUMPRODUCT($F$1:$BQ$1,sim.tbl[[#This Row],[(Intercept)]:[Post Aquisition:Heavy SW]])</f>
        <v>71.825090816639005</v>
      </c>
      <c r="E16" s="14">
        <f ca="1">DATE(YEAR(TODAY()),INDEX(mthLkUp.tbl[Num],MATCH(mth.input,mthLkUp.tbl[Month],0)),1)</f>
        <v>42795</v>
      </c>
      <c r="F16" s="6">
        <f>1</f>
        <v>1</v>
      </c>
      <c r="G16" s="5">
        <v>1.9</v>
      </c>
      <c r="H16" s="5">
        <v>862.2</v>
      </c>
      <c r="I16" s="5">
        <v>3.266666667</v>
      </c>
      <c r="J16" s="5">
        <v>3.4</v>
      </c>
      <c r="K16" s="5">
        <v>3.2</v>
      </c>
      <c r="L16" s="5">
        <v>3.4</v>
      </c>
      <c r="M16" s="5">
        <v>3.5</v>
      </c>
      <c r="N16" s="5">
        <v>3</v>
      </c>
      <c r="O16" s="5">
        <v>3.7</v>
      </c>
      <c r="P16" s="5">
        <v>2.8</v>
      </c>
      <c r="Q16" s="6">
        <f>IF(sim.tbl[[#This Row],[Density]]&lt;=770,1,0)</f>
        <v>0</v>
      </c>
      <c r="R16" s="6">
        <f>IF(AND(sim.tbl[[#This Row],[Sulfur]]&gt;0.5,sim.tbl[[#This Row],[Density]]&gt;770,sim.tbl[[#This Row],[Density]]&lt;=825),1,0)</f>
        <v>0</v>
      </c>
      <c r="S16" s="6">
        <f>IF(AND(sim.tbl[[#This Row],[Sulfur]]&lt;=0.5,sim.tbl[[#This Row],[Density]]&gt;770,sim.tbl[[#This Row],[Density]]&lt;=825),1,0)</f>
        <v>0</v>
      </c>
      <c r="T16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16" s="6">
        <f>IF(AND(sim.tbl[[#This Row],[Sulfur]]&lt;0.5,sim.tbl[[#This Row],[Density]]&gt;825,sim.tbl[[#This Row],[Density]]&lt;=900),1,0)</f>
        <v>0</v>
      </c>
      <c r="V16" s="6">
        <f>IF(AND(sim.tbl[[#This Row],[Sulfur]]&gt;2,sim.tbl[[#This Row],[Density]]&gt;865,sim.tbl[[#This Row],[Density]]&lt;=900),1,0)</f>
        <v>0</v>
      </c>
      <c r="W16" s="6">
        <f>IF(AND(sim.tbl[[#This Row],[Sulfur]]&gt;0.5,sim.tbl[[#This Row],[Density]]&gt;900),1,0)</f>
        <v>0</v>
      </c>
      <c r="X16" s="6">
        <f>IF(AND(sim.tbl[[#This Row],[Sulfur]]&lt;=0.5,sim.tbl[[#This Row],[Density]]&gt;900),1,0)</f>
        <v>0</v>
      </c>
      <c r="Y16" s="6">
        <f ca="1">IF(MONTH(sim.tbl[[#This Row],[SDate]])=INDEX(mthLkUp.tbl[Num],MATCH(Y$3,mthLkUp.tbl[Month],0)),1,0)</f>
        <v>0</v>
      </c>
      <c r="Z16" s="6">
        <f ca="1">IF(MONTH(sim.tbl[[#This Row],[SDate]])=INDEX(mthLkUp.tbl[Num],MATCH(Z$3,mthLkUp.tbl[Month],0)),1,0)</f>
        <v>0</v>
      </c>
      <c r="AA16" s="6">
        <f ca="1">IF(MONTH(sim.tbl[[#This Row],[SDate]])=INDEX(mthLkUp.tbl[Num],MATCH(AA$3,mthLkUp.tbl[Month],0)),1,0)</f>
        <v>1</v>
      </c>
      <c r="AB16" s="6">
        <f ca="1">IF(MONTH(sim.tbl[[#This Row],[SDate]])=INDEX(mthLkUp.tbl[Num],MATCH(AB$3,mthLkUp.tbl[Month],0)),1,0)</f>
        <v>0</v>
      </c>
      <c r="AC16" s="6">
        <f ca="1">IF(MONTH(sim.tbl[[#This Row],[SDate]])=INDEX(mthLkUp.tbl[Num],MATCH(AC$3,mthLkUp.tbl[Month],0)),1,0)</f>
        <v>0</v>
      </c>
      <c r="AD16" s="6">
        <f ca="1">IF(MONTH(sim.tbl[[#This Row],[SDate]])=INDEX(mthLkUp.tbl[Num],MATCH(AD$3,mthLkUp.tbl[Month],0)),1,0)</f>
        <v>0</v>
      </c>
      <c r="AE16" s="6">
        <f ca="1">IF(MONTH(sim.tbl[[#This Row],[SDate]])=INDEX(mthLkUp.tbl[Num],MATCH(AE$3,mthLkUp.tbl[Month],0)),1,0)</f>
        <v>0</v>
      </c>
      <c r="AF16" s="6">
        <f ca="1">IF(MONTH(sim.tbl[[#This Row],[SDate]])=INDEX(mthLkUp.tbl[Num],MATCH(AF$3,mthLkUp.tbl[Month],0)),1,0)</f>
        <v>0</v>
      </c>
      <c r="AG16" s="6">
        <f ca="1">IF(MONTH(sim.tbl[[#This Row],[SDate]])=INDEX(mthLkUp.tbl[Num],MATCH(AG$3,mthLkUp.tbl[Month],0)),1,0)</f>
        <v>0</v>
      </c>
      <c r="AH16" s="6">
        <f ca="1">IF(MONTH(sim.tbl[[#This Row],[SDate]])=INDEX(mthLkUp.tbl[Num],MATCH(AH$3,mthLkUp.tbl[Month],0)),1,0)</f>
        <v>0</v>
      </c>
      <c r="AI16" s="6">
        <f ca="1">IF(MONTH(sim.tbl[[#This Row],[SDate]])=INDEX(mthLkUp.tbl[Num],MATCH(AI$3,mthLkUp.tbl[Month],0)),1,0)</f>
        <v>0</v>
      </c>
      <c r="AJ16" s="6">
        <f ca="1">IF(MONTH(sim.tbl[[#This Row],[SDate]])=INDEX(mthLkUp.tbl[Num],MATCH(AJ$3,mthLkUp.tbl[Month],0)),1,0)</f>
        <v>0</v>
      </c>
      <c r="AK16" s="6">
        <v>1</v>
      </c>
      <c r="AL16" s="5">
        <f>sim.tbl[[#This Row],[Sulfur]]*sim.tbl[[#This Row],[C5+]]</f>
        <v>0</v>
      </c>
      <c r="AM16" s="5">
        <f>sim.tbl[[#This Row],[Sulfur]]*sim.tbl[[#This Row],[Light LSB]]</f>
        <v>0</v>
      </c>
      <c r="AN16" s="5">
        <f>sim.tbl[[#This Row],[Sulfur]]*sim.tbl[[#This Row],[Light SW]]</f>
        <v>0</v>
      </c>
      <c r="AO16" s="5">
        <f>sim.tbl[[#This Row],[Sulfur]]*sim.tbl[[#This Row],[Medium LSB]]</f>
        <v>1.9</v>
      </c>
      <c r="AP16" s="5">
        <f>sim.tbl[[#This Row],[Sulfur]]*sim.tbl[[#This Row],[Medium SW]]</f>
        <v>0</v>
      </c>
      <c r="AQ16" s="5">
        <f>sim.tbl[[#This Row],[Sulfur]]*sim.tbl[[#This Row],[Midale]]</f>
        <v>0</v>
      </c>
      <c r="AR16" s="5">
        <f>sim.tbl[[#This Row],[Sulfur]]*sim.tbl[[#This Row],[Heavy Sour]]</f>
        <v>0</v>
      </c>
      <c r="AS16" s="5">
        <f>sim.tbl[[#This Row],[Sulfur]]*sim.tbl[[#This Row],[Heavy SW]]</f>
        <v>0</v>
      </c>
      <c r="AT16" s="5">
        <f>sim.tbl[[#This Row],[Density]]*sim.tbl[[#This Row],[C5+]]</f>
        <v>0</v>
      </c>
      <c r="AU16" s="5">
        <f>sim.tbl[[#This Row],[Density]]*sim.tbl[[#This Row],[Light LSB]]</f>
        <v>0</v>
      </c>
      <c r="AV16" s="5">
        <f>sim.tbl[[#This Row],[Density]]*sim.tbl[[#This Row],[Light SW]]</f>
        <v>0</v>
      </c>
      <c r="AW16" s="5">
        <f>sim.tbl[[#This Row],[Density]]*sim.tbl[[#This Row],[Medium LSB]]</f>
        <v>862.2</v>
      </c>
      <c r="AX16" s="5">
        <f>sim.tbl[[#This Row],[Density]]*sim.tbl[[#This Row],[Medium SW]]</f>
        <v>0</v>
      </c>
      <c r="AY16" s="5">
        <f>sim.tbl[[#This Row],[Density]]*sim.tbl[[#This Row],[Midale]]</f>
        <v>0</v>
      </c>
      <c r="AZ16" s="5">
        <f>sim.tbl[[#This Row],[Density]]*sim.tbl[[#This Row],[Heavy Sour]]</f>
        <v>0</v>
      </c>
      <c r="BA16" s="5">
        <f>sim.tbl[[#This Row],[Density]]*sim.tbl[[#This Row],[Heavy SW]]</f>
        <v>0</v>
      </c>
      <c r="BB16" s="5">
        <f>sim.tbl[[#This Row],[7 Day Rolling Temperature]]*sim.tbl[[#This Row],[C5+]]</f>
        <v>0</v>
      </c>
      <c r="BC16" s="5">
        <f>sim.tbl[[#This Row],[7 Day Rolling Temperature]]*sim.tbl[[#This Row],[Light LSB]]</f>
        <v>0</v>
      </c>
      <c r="BD16" s="5">
        <f>sim.tbl[[#This Row],[7 Day Rolling Temperature]]*sim.tbl[[#This Row],[Light SW]]</f>
        <v>0</v>
      </c>
      <c r="BE16" s="5">
        <f>sim.tbl[[#This Row],[7 Day Rolling Temperature]]*sim.tbl[[#This Row],[Medium LSB]]</f>
        <v>3.4</v>
      </c>
      <c r="BF16" s="5">
        <f>sim.tbl[[#This Row],[7 Day Rolling Temperature]]*sim.tbl[[#This Row],[Medium SW]]</f>
        <v>0</v>
      </c>
      <c r="BG16" s="5">
        <f>sim.tbl[[#This Row],[7 Day Rolling Temperature]]*sim.tbl[[#This Row],[Midale]]</f>
        <v>0</v>
      </c>
      <c r="BH16" s="5">
        <f>sim.tbl[[#This Row],[7 Day Rolling Temperature]]*sim.tbl[[#This Row],[Heavy Sour]]</f>
        <v>0</v>
      </c>
      <c r="BI16" s="5">
        <f>sim.tbl[[#This Row],[7 Day Rolling Temperature]]*sim.tbl[[#This Row],[Heavy SW]]</f>
        <v>0</v>
      </c>
      <c r="BJ16" s="5">
        <f>sim.tbl[[#This Row],[Post Aquisition]]*sim.tbl[[#This Row],[C5+]]</f>
        <v>0</v>
      </c>
      <c r="BK16" s="5">
        <f>sim.tbl[[#This Row],[Post Aquisition]]*sim.tbl[[#This Row],[Light LSB]]</f>
        <v>0</v>
      </c>
      <c r="BL16" s="5">
        <f>sim.tbl[[#This Row],[Post Aquisition]]*sim.tbl[[#This Row],[Light SW]]</f>
        <v>0</v>
      </c>
      <c r="BM16" s="5">
        <f>sim.tbl[[#This Row],[Post Aquisition]]*sim.tbl[[#This Row],[Medium LSB]]</f>
        <v>1</v>
      </c>
      <c r="BN16" s="5">
        <f>sim.tbl[[#This Row],[Post Aquisition]]*sim.tbl[[#This Row],[Medium SW]]</f>
        <v>0</v>
      </c>
      <c r="BO16" s="5">
        <f>sim.tbl[[#This Row],[Post Aquisition]]*sim.tbl[[#This Row],[Midale]]</f>
        <v>0</v>
      </c>
      <c r="BP16" s="5">
        <f>sim.tbl[[#This Row],[Post Aquisition]]*sim.tbl[[#This Row],[Heavy Sour]]</f>
        <v>0</v>
      </c>
      <c r="BQ16" s="5">
        <f>sim.tbl[[#This Row],[Post Aquisition]]*sim.tbl[[#This Row],[Heavy SW]]</f>
        <v>0</v>
      </c>
    </row>
    <row r="17" spans="4:69" x14ac:dyDescent="0.25">
      <c r="D17" s="5">
        <f ca="1">SUMPRODUCT($F$1:$BQ$1,sim.tbl[[#This Row],[(Intercept)]:[Post Aquisition:Heavy SW]])</f>
        <v>66.93541869605852</v>
      </c>
      <c r="E17" s="14">
        <f ca="1">DATE(YEAR(TODAY()),INDEX(mthLkUp.tbl[Num],MATCH(mth.input,mthLkUp.tbl[Month],0)),1)</f>
        <v>42795</v>
      </c>
      <c r="F17" s="6">
        <f>1</f>
        <v>1</v>
      </c>
      <c r="G17" s="5">
        <v>2.09</v>
      </c>
      <c r="H17" s="5">
        <v>877.6</v>
      </c>
      <c r="I17" s="5">
        <v>-12.31666667</v>
      </c>
      <c r="J17" s="5">
        <v>-11.8</v>
      </c>
      <c r="K17" s="5">
        <v>-11.5</v>
      </c>
      <c r="L17" s="5">
        <v>-11.8</v>
      </c>
      <c r="M17" s="5">
        <v>-13</v>
      </c>
      <c r="N17" s="5">
        <v>-11.3</v>
      </c>
      <c r="O17" s="5">
        <v>-13.1</v>
      </c>
      <c r="P17" s="5">
        <v>-13.2</v>
      </c>
      <c r="Q17" s="6">
        <f>IF(sim.tbl[[#This Row],[Density]]&lt;=770,1,0)</f>
        <v>0</v>
      </c>
      <c r="R17" s="6">
        <f>IF(AND(sim.tbl[[#This Row],[Sulfur]]&gt;0.5,sim.tbl[[#This Row],[Density]]&gt;770,sim.tbl[[#This Row],[Density]]&lt;=825),1,0)</f>
        <v>0</v>
      </c>
      <c r="S17" s="6">
        <f>IF(AND(sim.tbl[[#This Row],[Sulfur]]&lt;=0.5,sim.tbl[[#This Row],[Density]]&gt;770,sim.tbl[[#This Row],[Density]]&lt;=825),1,0)</f>
        <v>0</v>
      </c>
      <c r="T17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7" s="6">
        <f>IF(AND(sim.tbl[[#This Row],[Sulfur]]&lt;0.5,sim.tbl[[#This Row],[Density]]&gt;825,sim.tbl[[#This Row],[Density]]&lt;=900),1,0)</f>
        <v>0</v>
      </c>
      <c r="V17" s="6">
        <f>IF(AND(sim.tbl[[#This Row],[Sulfur]]&gt;2,sim.tbl[[#This Row],[Density]]&gt;865,sim.tbl[[#This Row],[Density]]&lt;=900),1,0)</f>
        <v>1</v>
      </c>
      <c r="W17" s="6">
        <f>IF(AND(sim.tbl[[#This Row],[Sulfur]]&gt;0.5,sim.tbl[[#This Row],[Density]]&gt;900),1,0)</f>
        <v>0</v>
      </c>
      <c r="X17" s="6">
        <f>IF(AND(sim.tbl[[#This Row],[Sulfur]]&lt;=0.5,sim.tbl[[#This Row],[Density]]&gt;900),1,0)</f>
        <v>0</v>
      </c>
      <c r="Y17" s="6">
        <f ca="1">IF(MONTH(sim.tbl[[#This Row],[SDate]])=INDEX(mthLkUp.tbl[Num],MATCH(Y$3,mthLkUp.tbl[Month],0)),1,0)</f>
        <v>0</v>
      </c>
      <c r="Z17" s="6">
        <f ca="1">IF(MONTH(sim.tbl[[#This Row],[SDate]])=INDEX(mthLkUp.tbl[Num],MATCH(Z$3,mthLkUp.tbl[Month],0)),1,0)</f>
        <v>0</v>
      </c>
      <c r="AA17" s="6">
        <f ca="1">IF(MONTH(sim.tbl[[#This Row],[SDate]])=INDEX(mthLkUp.tbl[Num],MATCH(AA$3,mthLkUp.tbl[Month],0)),1,0)</f>
        <v>1</v>
      </c>
      <c r="AB17" s="6">
        <f ca="1">IF(MONTH(sim.tbl[[#This Row],[SDate]])=INDEX(mthLkUp.tbl[Num],MATCH(AB$3,mthLkUp.tbl[Month],0)),1,0)</f>
        <v>0</v>
      </c>
      <c r="AC17" s="6">
        <f ca="1">IF(MONTH(sim.tbl[[#This Row],[SDate]])=INDEX(mthLkUp.tbl[Num],MATCH(AC$3,mthLkUp.tbl[Month],0)),1,0)</f>
        <v>0</v>
      </c>
      <c r="AD17" s="6">
        <f ca="1">IF(MONTH(sim.tbl[[#This Row],[SDate]])=INDEX(mthLkUp.tbl[Num],MATCH(AD$3,mthLkUp.tbl[Month],0)),1,0)</f>
        <v>0</v>
      </c>
      <c r="AE17" s="6">
        <f ca="1">IF(MONTH(sim.tbl[[#This Row],[SDate]])=INDEX(mthLkUp.tbl[Num],MATCH(AE$3,mthLkUp.tbl[Month],0)),1,0)</f>
        <v>0</v>
      </c>
      <c r="AF17" s="6">
        <f ca="1">IF(MONTH(sim.tbl[[#This Row],[SDate]])=INDEX(mthLkUp.tbl[Num],MATCH(AF$3,mthLkUp.tbl[Month],0)),1,0)</f>
        <v>0</v>
      </c>
      <c r="AG17" s="6">
        <f ca="1">IF(MONTH(sim.tbl[[#This Row],[SDate]])=INDEX(mthLkUp.tbl[Num],MATCH(AG$3,mthLkUp.tbl[Month],0)),1,0)</f>
        <v>0</v>
      </c>
      <c r="AH17" s="6">
        <f ca="1">IF(MONTH(sim.tbl[[#This Row],[SDate]])=INDEX(mthLkUp.tbl[Num],MATCH(AH$3,mthLkUp.tbl[Month],0)),1,0)</f>
        <v>0</v>
      </c>
      <c r="AI17" s="6">
        <f ca="1">IF(MONTH(sim.tbl[[#This Row],[SDate]])=INDEX(mthLkUp.tbl[Num],MATCH(AI$3,mthLkUp.tbl[Month],0)),1,0)</f>
        <v>0</v>
      </c>
      <c r="AJ17" s="6">
        <f ca="1">IF(MONTH(sim.tbl[[#This Row],[SDate]])=INDEX(mthLkUp.tbl[Num],MATCH(AJ$3,mthLkUp.tbl[Month],0)),1,0)</f>
        <v>0</v>
      </c>
      <c r="AK17" s="6">
        <v>1</v>
      </c>
      <c r="AL17" s="5">
        <f>sim.tbl[[#This Row],[Sulfur]]*sim.tbl[[#This Row],[C5+]]</f>
        <v>0</v>
      </c>
      <c r="AM17" s="5">
        <f>sim.tbl[[#This Row],[Sulfur]]*sim.tbl[[#This Row],[Light LSB]]</f>
        <v>0</v>
      </c>
      <c r="AN17" s="5">
        <f>sim.tbl[[#This Row],[Sulfur]]*sim.tbl[[#This Row],[Light SW]]</f>
        <v>0</v>
      </c>
      <c r="AO17" s="5">
        <f>sim.tbl[[#This Row],[Sulfur]]*sim.tbl[[#This Row],[Medium LSB]]</f>
        <v>0</v>
      </c>
      <c r="AP17" s="5">
        <f>sim.tbl[[#This Row],[Sulfur]]*sim.tbl[[#This Row],[Medium SW]]</f>
        <v>0</v>
      </c>
      <c r="AQ17" s="5">
        <f>sim.tbl[[#This Row],[Sulfur]]*sim.tbl[[#This Row],[Midale]]</f>
        <v>2.09</v>
      </c>
      <c r="AR17" s="5">
        <f>sim.tbl[[#This Row],[Sulfur]]*sim.tbl[[#This Row],[Heavy Sour]]</f>
        <v>0</v>
      </c>
      <c r="AS17" s="5">
        <f>sim.tbl[[#This Row],[Sulfur]]*sim.tbl[[#This Row],[Heavy SW]]</f>
        <v>0</v>
      </c>
      <c r="AT17" s="5">
        <f>sim.tbl[[#This Row],[Density]]*sim.tbl[[#This Row],[C5+]]</f>
        <v>0</v>
      </c>
      <c r="AU17" s="5">
        <f>sim.tbl[[#This Row],[Density]]*sim.tbl[[#This Row],[Light LSB]]</f>
        <v>0</v>
      </c>
      <c r="AV17" s="5">
        <f>sim.tbl[[#This Row],[Density]]*sim.tbl[[#This Row],[Light SW]]</f>
        <v>0</v>
      </c>
      <c r="AW17" s="5">
        <f>sim.tbl[[#This Row],[Density]]*sim.tbl[[#This Row],[Medium LSB]]</f>
        <v>0</v>
      </c>
      <c r="AX17" s="5">
        <f>sim.tbl[[#This Row],[Density]]*sim.tbl[[#This Row],[Medium SW]]</f>
        <v>0</v>
      </c>
      <c r="AY17" s="5">
        <f>sim.tbl[[#This Row],[Density]]*sim.tbl[[#This Row],[Midale]]</f>
        <v>877.6</v>
      </c>
      <c r="AZ17" s="5">
        <f>sim.tbl[[#This Row],[Density]]*sim.tbl[[#This Row],[Heavy Sour]]</f>
        <v>0</v>
      </c>
      <c r="BA17" s="5">
        <f>sim.tbl[[#This Row],[Density]]*sim.tbl[[#This Row],[Heavy SW]]</f>
        <v>0</v>
      </c>
      <c r="BB17" s="5">
        <f>sim.tbl[[#This Row],[7 Day Rolling Temperature]]*sim.tbl[[#This Row],[C5+]]</f>
        <v>0</v>
      </c>
      <c r="BC17" s="5">
        <f>sim.tbl[[#This Row],[7 Day Rolling Temperature]]*sim.tbl[[#This Row],[Light LSB]]</f>
        <v>0</v>
      </c>
      <c r="BD17" s="5">
        <f>sim.tbl[[#This Row],[7 Day Rolling Temperature]]*sim.tbl[[#This Row],[Light SW]]</f>
        <v>0</v>
      </c>
      <c r="BE17" s="5">
        <f>sim.tbl[[#This Row],[7 Day Rolling Temperature]]*sim.tbl[[#This Row],[Medium LSB]]</f>
        <v>0</v>
      </c>
      <c r="BF17" s="5">
        <f>sim.tbl[[#This Row],[7 Day Rolling Temperature]]*sim.tbl[[#This Row],[Medium SW]]</f>
        <v>0</v>
      </c>
      <c r="BG17" s="5">
        <f>sim.tbl[[#This Row],[7 Day Rolling Temperature]]*sim.tbl[[#This Row],[Midale]]</f>
        <v>-11.8</v>
      </c>
      <c r="BH17" s="5">
        <f>sim.tbl[[#This Row],[7 Day Rolling Temperature]]*sim.tbl[[#This Row],[Heavy Sour]]</f>
        <v>0</v>
      </c>
      <c r="BI17" s="5">
        <f>sim.tbl[[#This Row],[7 Day Rolling Temperature]]*sim.tbl[[#This Row],[Heavy SW]]</f>
        <v>0</v>
      </c>
      <c r="BJ17" s="5">
        <f>sim.tbl[[#This Row],[Post Aquisition]]*sim.tbl[[#This Row],[C5+]]</f>
        <v>0</v>
      </c>
      <c r="BK17" s="5">
        <f>sim.tbl[[#This Row],[Post Aquisition]]*sim.tbl[[#This Row],[Light LSB]]</f>
        <v>0</v>
      </c>
      <c r="BL17" s="5">
        <f>sim.tbl[[#This Row],[Post Aquisition]]*sim.tbl[[#This Row],[Light SW]]</f>
        <v>0</v>
      </c>
      <c r="BM17" s="5">
        <f>sim.tbl[[#This Row],[Post Aquisition]]*sim.tbl[[#This Row],[Medium LSB]]</f>
        <v>0</v>
      </c>
      <c r="BN17" s="5">
        <f>sim.tbl[[#This Row],[Post Aquisition]]*sim.tbl[[#This Row],[Medium SW]]</f>
        <v>0</v>
      </c>
      <c r="BO17" s="5">
        <f>sim.tbl[[#This Row],[Post Aquisition]]*sim.tbl[[#This Row],[Midale]]</f>
        <v>1</v>
      </c>
      <c r="BP17" s="5">
        <f>sim.tbl[[#This Row],[Post Aquisition]]*sim.tbl[[#This Row],[Heavy Sour]]</f>
        <v>0</v>
      </c>
      <c r="BQ17" s="5">
        <f>sim.tbl[[#This Row],[Post Aquisition]]*sim.tbl[[#This Row],[Heavy SW]]</f>
        <v>0</v>
      </c>
    </row>
    <row r="18" spans="4:69" x14ac:dyDescent="0.25">
      <c r="D18" s="5">
        <f ca="1">SUMPRODUCT($F$1:$BQ$1,sim.tbl[[#This Row],[(Intercept)]:[Post Aquisition:Heavy SW]])</f>
        <v>64.385462060679941</v>
      </c>
      <c r="E18" s="14">
        <f ca="1">DATE(YEAR(TODAY()),INDEX(mthLkUp.tbl[Num],MATCH(mth.input,mthLkUp.tbl[Month],0)),1)</f>
        <v>42795</v>
      </c>
      <c r="F18" s="6">
        <f>1</f>
        <v>1</v>
      </c>
      <c r="G18" s="5">
        <v>2.38</v>
      </c>
      <c r="H18" s="5">
        <v>866.7</v>
      </c>
      <c r="I18" s="5">
        <v>6.55</v>
      </c>
      <c r="J18" s="5">
        <v>5.5</v>
      </c>
      <c r="K18" s="5">
        <v>6.6</v>
      </c>
      <c r="L18" s="5">
        <v>5.5</v>
      </c>
      <c r="M18" s="5">
        <v>6.8</v>
      </c>
      <c r="N18" s="5">
        <v>7</v>
      </c>
      <c r="O18" s="5">
        <v>7.6</v>
      </c>
      <c r="P18" s="5">
        <v>5.8</v>
      </c>
      <c r="Q18" s="6">
        <f>IF(sim.tbl[[#This Row],[Density]]&lt;=770,1,0)</f>
        <v>0</v>
      </c>
      <c r="R18" s="6">
        <f>IF(AND(sim.tbl[[#This Row],[Sulfur]]&gt;0.5,sim.tbl[[#This Row],[Density]]&gt;770,sim.tbl[[#This Row],[Density]]&lt;=825),1,0)</f>
        <v>0</v>
      </c>
      <c r="S18" s="6">
        <f>IF(AND(sim.tbl[[#This Row],[Sulfur]]&lt;=0.5,sim.tbl[[#This Row],[Density]]&gt;770,sim.tbl[[#This Row],[Density]]&lt;=825),1,0)</f>
        <v>0</v>
      </c>
      <c r="T18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8" s="6">
        <f>IF(AND(sim.tbl[[#This Row],[Sulfur]]&lt;0.5,sim.tbl[[#This Row],[Density]]&gt;825,sim.tbl[[#This Row],[Density]]&lt;=900),1,0)</f>
        <v>0</v>
      </c>
      <c r="V18" s="6">
        <f>IF(AND(sim.tbl[[#This Row],[Sulfur]]&gt;2,sim.tbl[[#This Row],[Density]]&gt;865,sim.tbl[[#This Row],[Density]]&lt;=900),1,0)</f>
        <v>1</v>
      </c>
      <c r="W18" s="6">
        <f>IF(AND(sim.tbl[[#This Row],[Sulfur]]&gt;0.5,sim.tbl[[#This Row],[Density]]&gt;900),1,0)</f>
        <v>0</v>
      </c>
      <c r="X18" s="6">
        <f>IF(AND(sim.tbl[[#This Row],[Sulfur]]&lt;=0.5,sim.tbl[[#This Row],[Density]]&gt;900),1,0)</f>
        <v>0</v>
      </c>
      <c r="Y18" s="6">
        <f ca="1">IF(MONTH(sim.tbl[[#This Row],[SDate]])=INDEX(mthLkUp.tbl[Num],MATCH(Y$3,mthLkUp.tbl[Month],0)),1,0)</f>
        <v>0</v>
      </c>
      <c r="Z18" s="6">
        <f ca="1">IF(MONTH(sim.tbl[[#This Row],[SDate]])=INDEX(mthLkUp.tbl[Num],MATCH(Z$3,mthLkUp.tbl[Month],0)),1,0)</f>
        <v>0</v>
      </c>
      <c r="AA18" s="6">
        <f ca="1">IF(MONTH(sim.tbl[[#This Row],[SDate]])=INDEX(mthLkUp.tbl[Num],MATCH(AA$3,mthLkUp.tbl[Month],0)),1,0)</f>
        <v>1</v>
      </c>
      <c r="AB18" s="6">
        <f ca="1">IF(MONTH(sim.tbl[[#This Row],[SDate]])=INDEX(mthLkUp.tbl[Num],MATCH(AB$3,mthLkUp.tbl[Month],0)),1,0)</f>
        <v>0</v>
      </c>
      <c r="AC18" s="6">
        <f ca="1">IF(MONTH(sim.tbl[[#This Row],[SDate]])=INDEX(mthLkUp.tbl[Num],MATCH(AC$3,mthLkUp.tbl[Month],0)),1,0)</f>
        <v>0</v>
      </c>
      <c r="AD18" s="6">
        <f ca="1">IF(MONTH(sim.tbl[[#This Row],[SDate]])=INDEX(mthLkUp.tbl[Num],MATCH(AD$3,mthLkUp.tbl[Month],0)),1,0)</f>
        <v>0</v>
      </c>
      <c r="AE18" s="6">
        <f ca="1">IF(MONTH(sim.tbl[[#This Row],[SDate]])=INDEX(mthLkUp.tbl[Num],MATCH(AE$3,mthLkUp.tbl[Month],0)),1,0)</f>
        <v>0</v>
      </c>
      <c r="AF18" s="6">
        <f ca="1">IF(MONTH(sim.tbl[[#This Row],[SDate]])=INDEX(mthLkUp.tbl[Num],MATCH(AF$3,mthLkUp.tbl[Month],0)),1,0)</f>
        <v>0</v>
      </c>
      <c r="AG18" s="6">
        <f ca="1">IF(MONTH(sim.tbl[[#This Row],[SDate]])=INDEX(mthLkUp.tbl[Num],MATCH(AG$3,mthLkUp.tbl[Month],0)),1,0)</f>
        <v>0</v>
      </c>
      <c r="AH18" s="6">
        <f ca="1">IF(MONTH(sim.tbl[[#This Row],[SDate]])=INDEX(mthLkUp.tbl[Num],MATCH(AH$3,mthLkUp.tbl[Month],0)),1,0)</f>
        <v>0</v>
      </c>
      <c r="AI18" s="6">
        <f ca="1">IF(MONTH(sim.tbl[[#This Row],[SDate]])=INDEX(mthLkUp.tbl[Num],MATCH(AI$3,mthLkUp.tbl[Month],0)),1,0)</f>
        <v>0</v>
      </c>
      <c r="AJ18" s="6">
        <f ca="1">IF(MONTH(sim.tbl[[#This Row],[SDate]])=INDEX(mthLkUp.tbl[Num],MATCH(AJ$3,mthLkUp.tbl[Month],0)),1,0)</f>
        <v>0</v>
      </c>
      <c r="AK18" s="6">
        <v>1</v>
      </c>
      <c r="AL18" s="5">
        <f>sim.tbl[[#This Row],[Sulfur]]*sim.tbl[[#This Row],[C5+]]</f>
        <v>0</v>
      </c>
      <c r="AM18" s="5">
        <f>sim.tbl[[#This Row],[Sulfur]]*sim.tbl[[#This Row],[Light LSB]]</f>
        <v>0</v>
      </c>
      <c r="AN18" s="5">
        <f>sim.tbl[[#This Row],[Sulfur]]*sim.tbl[[#This Row],[Light SW]]</f>
        <v>0</v>
      </c>
      <c r="AO18" s="5">
        <f>sim.tbl[[#This Row],[Sulfur]]*sim.tbl[[#This Row],[Medium LSB]]</f>
        <v>0</v>
      </c>
      <c r="AP18" s="5">
        <f>sim.tbl[[#This Row],[Sulfur]]*sim.tbl[[#This Row],[Medium SW]]</f>
        <v>0</v>
      </c>
      <c r="AQ18" s="5">
        <f>sim.tbl[[#This Row],[Sulfur]]*sim.tbl[[#This Row],[Midale]]</f>
        <v>2.38</v>
      </c>
      <c r="AR18" s="5">
        <f>sim.tbl[[#This Row],[Sulfur]]*sim.tbl[[#This Row],[Heavy Sour]]</f>
        <v>0</v>
      </c>
      <c r="AS18" s="5">
        <f>sim.tbl[[#This Row],[Sulfur]]*sim.tbl[[#This Row],[Heavy SW]]</f>
        <v>0</v>
      </c>
      <c r="AT18" s="5">
        <f>sim.tbl[[#This Row],[Density]]*sim.tbl[[#This Row],[C5+]]</f>
        <v>0</v>
      </c>
      <c r="AU18" s="5">
        <f>sim.tbl[[#This Row],[Density]]*sim.tbl[[#This Row],[Light LSB]]</f>
        <v>0</v>
      </c>
      <c r="AV18" s="5">
        <f>sim.tbl[[#This Row],[Density]]*sim.tbl[[#This Row],[Light SW]]</f>
        <v>0</v>
      </c>
      <c r="AW18" s="5">
        <f>sim.tbl[[#This Row],[Density]]*sim.tbl[[#This Row],[Medium LSB]]</f>
        <v>0</v>
      </c>
      <c r="AX18" s="5">
        <f>sim.tbl[[#This Row],[Density]]*sim.tbl[[#This Row],[Medium SW]]</f>
        <v>0</v>
      </c>
      <c r="AY18" s="5">
        <f>sim.tbl[[#This Row],[Density]]*sim.tbl[[#This Row],[Midale]]</f>
        <v>866.7</v>
      </c>
      <c r="AZ18" s="5">
        <f>sim.tbl[[#This Row],[Density]]*sim.tbl[[#This Row],[Heavy Sour]]</f>
        <v>0</v>
      </c>
      <c r="BA18" s="5">
        <f>sim.tbl[[#This Row],[Density]]*sim.tbl[[#This Row],[Heavy SW]]</f>
        <v>0</v>
      </c>
      <c r="BB18" s="5">
        <f>sim.tbl[[#This Row],[7 Day Rolling Temperature]]*sim.tbl[[#This Row],[C5+]]</f>
        <v>0</v>
      </c>
      <c r="BC18" s="5">
        <f>sim.tbl[[#This Row],[7 Day Rolling Temperature]]*sim.tbl[[#This Row],[Light LSB]]</f>
        <v>0</v>
      </c>
      <c r="BD18" s="5">
        <f>sim.tbl[[#This Row],[7 Day Rolling Temperature]]*sim.tbl[[#This Row],[Light SW]]</f>
        <v>0</v>
      </c>
      <c r="BE18" s="5">
        <f>sim.tbl[[#This Row],[7 Day Rolling Temperature]]*sim.tbl[[#This Row],[Medium LSB]]</f>
        <v>0</v>
      </c>
      <c r="BF18" s="5">
        <f>sim.tbl[[#This Row],[7 Day Rolling Temperature]]*sim.tbl[[#This Row],[Medium SW]]</f>
        <v>0</v>
      </c>
      <c r="BG18" s="5">
        <f>sim.tbl[[#This Row],[7 Day Rolling Temperature]]*sim.tbl[[#This Row],[Midale]]</f>
        <v>5.5</v>
      </c>
      <c r="BH18" s="5">
        <f>sim.tbl[[#This Row],[7 Day Rolling Temperature]]*sim.tbl[[#This Row],[Heavy Sour]]</f>
        <v>0</v>
      </c>
      <c r="BI18" s="5">
        <f>sim.tbl[[#This Row],[7 Day Rolling Temperature]]*sim.tbl[[#This Row],[Heavy SW]]</f>
        <v>0</v>
      </c>
      <c r="BJ18" s="5">
        <f>sim.tbl[[#This Row],[Post Aquisition]]*sim.tbl[[#This Row],[C5+]]</f>
        <v>0</v>
      </c>
      <c r="BK18" s="5">
        <f>sim.tbl[[#This Row],[Post Aquisition]]*sim.tbl[[#This Row],[Light LSB]]</f>
        <v>0</v>
      </c>
      <c r="BL18" s="5">
        <f>sim.tbl[[#This Row],[Post Aquisition]]*sim.tbl[[#This Row],[Light SW]]</f>
        <v>0</v>
      </c>
      <c r="BM18" s="5">
        <f>sim.tbl[[#This Row],[Post Aquisition]]*sim.tbl[[#This Row],[Medium LSB]]</f>
        <v>0</v>
      </c>
      <c r="BN18" s="5">
        <f>sim.tbl[[#This Row],[Post Aquisition]]*sim.tbl[[#This Row],[Medium SW]]</f>
        <v>0</v>
      </c>
      <c r="BO18" s="5">
        <f>sim.tbl[[#This Row],[Post Aquisition]]*sim.tbl[[#This Row],[Midale]]</f>
        <v>1</v>
      </c>
      <c r="BP18" s="5">
        <f>sim.tbl[[#This Row],[Post Aquisition]]*sim.tbl[[#This Row],[Heavy Sour]]</f>
        <v>0</v>
      </c>
      <c r="BQ18" s="5">
        <f>sim.tbl[[#This Row],[Post Aquisition]]*sim.tbl[[#This Row],[Heavy SW]]</f>
        <v>0</v>
      </c>
    </row>
    <row r="19" spans="4:69" x14ac:dyDescent="0.25">
      <c r="D19" s="5">
        <f ca="1">SUMPRODUCT($F$1:$BQ$1,sim.tbl[[#This Row],[(Intercept)]:[Post Aquisition:Heavy SW]])</f>
        <v>72.424093972969018</v>
      </c>
      <c r="E19" s="14">
        <f ca="1">DATE(YEAR(TODAY()),INDEX(mthLkUp.tbl[Num],MATCH(mth.input,mthLkUp.tbl[Month],0)),1)</f>
        <v>42795</v>
      </c>
      <c r="F19" s="6">
        <f>1</f>
        <v>1</v>
      </c>
      <c r="G19" s="5">
        <v>2.2999999999999998</v>
      </c>
      <c r="H19" s="5">
        <v>867.9</v>
      </c>
      <c r="I19" s="5">
        <v>-17.033333330000001</v>
      </c>
      <c r="J19" s="5">
        <v>-18.2</v>
      </c>
      <c r="K19" s="5">
        <v>-17.399999999999999</v>
      </c>
      <c r="L19" s="5">
        <v>-18.2</v>
      </c>
      <c r="M19" s="5">
        <v>-16</v>
      </c>
      <c r="N19" s="5">
        <v>-16.8</v>
      </c>
      <c r="O19" s="5">
        <v>-16.8</v>
      </c>
      <c r="P19" s="5">
        <v>-17</v>
      </c>
      <c r="Q19" s="6">
        <f>IF(sim.tbl[[#This Row],[Density]]&lt;=770,1,0)</f>
        <v>0</v>
      </c>
      <c r="R19" s="6">
        <f>IF(AND(sim.tbl[[#This Row],[Sulfur]]&gt;0.5,sim.tbl[[#This Row],[Density]]&gt;770,sim.tbl[[#This Row],[Density]]&lt;=825),1,0)</f>
        <v>0</v>
      </c>
      <c r="S19" s="6">
        <f>IF(AND(sim.tbl[[#This Row],[Sulfur]]&lt;=0.5,sim.tbl[[#This Row],[Density]]&gt;770,sim.tbl[[#This Row],[Density]]&lt;=825),1,0)</f>
        <v>0</v>
      </c>
      <c r="T19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19" s="6">
        <f>IF(AND(sim.tbl[[#This Row],[Sulfur]]&lt;0.5,sim.tbl[[#This Row],[Density]]&gt;825,sim.tbl[[#This Row],[Density]]&lt;=900),1,0)</f>
        <v>0</v>
      </c>
      <c r="V19" s="6">
        <f>IF(AND(sim.tbl[[#This Row],[Sulfur]]&gt;2,sim.tbl[[#This Row],[Density]]&gt;865,sim.tbl[[#This Row],[Density]]&lt;=900),1,0)</f>
        <v>1</v>
      </c>
      <c r="W19" s="6">
        <f>IF(AND(sim.tbl[[#This Row],[Sulfur]]&gt;0.5,sim.tbl[[#This Row],[Density]]&gt;900),1,0)</f>
        <v>0</v>
      </c>
      <c r="X19" s="6">
        <f>IF(AND(sim.tbl[[#This Row],[Sulfur]]&lt;=0.5,sim.tbl[[#This Row],[Density]]&gt;900),1,0)</f>
        <v>0</v>
      </c>
      <c r="Y19" s="6">
        <f ca="1">IF(MONTH(sim.tbl[[#This Row],[SDate]])=INDEX(mthLkUp.tbl[Num],MATCH(Y$3,mthLkUp.tbl[Month],0)),1,0)</f>
        <v>0</v>
      </c>
      <c r="Z19" s="6">
        <f ca="1">IF(MONTH(sim.tbl[[#This Row],[SDate]])=INDEX(mthLkUp.tbl[Num],MATCH(Z$3,mthLkUp.tbl[Month],0)),1,0)</f>
        <v>0</v>
      </c>
      <c r="AA19" s="6">
        <f ca="1">IF(MONTH(sim.tbl[[#This Row],[SDate]])=INDEX(mthLkUp.tbl[Num],MATCH(AA$3,mthLkUp.tbl[Month],0)),1,0)</f>
        <v>1</v>
      </c>
      <c r="AB19" s="6">
        <f ca="1">IF(MONTH(sim.tbl[[#This Row],[SDate]])=INDEX(mthLkUp.tbl[Num],MATCH(AB$3,mthLkUp.tbl[Month],0)),1,0)</f>
        <v>0</v>
      </c>
      <c r="AC19" s="6">
        <f ca="1">IF(MONTH(sim.tbl[[#This Row],[SDate]])=INDEX(mthLkUp.tbl[Num],MATCH(AC$3,mthLkUp.tbl[Month],0)),1,0)</f>
        <v>0</v>
      </c>
      <c r="AD19" s="6">
        <f ca="1">IF(MONTH(sim.tbl[[#This Row],[SDate]])=INDEX(mthLkUp.tbl[Num],MATCH(AD$3,mthLkUp.tbl[Month],0)),1,0)</f>
        <v>0</v>
      </c>
      <c r="AE19" s="6">
        <f ca="1">IF(MONTH(sim.tbl[[#This Row],[SDate]])=INDEX(mthLkUp.tbl[Num],MATCH(AE$3,mthLkUp.tbl[Month],0)),1,0)</f>
        <v>0</v>
      </c>
      <c r="AF19" s="6">
        <f ca="1">IF(MONTH(sim.tbl[[#This Row],[SDate]])=INDEX(mthLkUp.tbl[Num],MATCH(AF$3,mthLkUp.tbl[Month],0)),1,0)</f>
        <v>0</v>
      </c>
      <c r="AG19" s="6">
        <f ca="1">IF(MONTH(sim.tbl[[#This Row],[SDate]])=INDEX(mthLkUp.tbl[Num],MATCH(AG$3,mthLkUp.tbl[Month],0)),1,0)</f>
        <v>0</v>
      </c>
      <c r="AH19" s="6">
        <f ca="1">IF(MONTH(sim.tbl[[#This Row],[SDate]])=INDEX(mthLkUp.tbl[Num],MATCH(AH$3,mthLkUp.tbl[Month],0)),1,0)</f>
        <v>0</v>
      </c>
      <c r="AI19" s="6">
        <f ca="1">IF(MONTH(sim.tbl[[#This Row],[SDate]])=INDEX(mthLkUp.tbl[Num],MATCH(AI$3,mthLkUp.tbl[Month],0)),1,0)</f>
        <v>0</v>
      </c>
      <c r="AJ19" s="6">
        <f ca="1">IF(MONTH(sim.tbl[[#This Row],[SDate]])=INDEX(mthLkUp.tbl[Num],MATCH(AJ$3,mthLkUp.tbl[Month],0)),1,0)</f>
        <v>0</v>
      </c>
      <c r="AK19" s="6">
        <v>1</v>
      </c>
      <c r="AL19" s="5">
        <f>sim.tbl[[#This Row],[Sulfur]]*sim.tbl[[#This Row],[C5+]]</f>
        <v>0</v>
      </c>
      <c r="AM19" s="5">
        <f>sim.tbl[[#This Row],[Sulfur]]*sim.tbl[[#This Row],[Light LSB]]</f>
        <v>0</v>
      </c>
      <c r="AN19" s="5">
        <f>sim.tbl[[#This Row],[Sulfur]]*sim.tbl[[#This Row],[Light SW]]</f>
        <v>0</v>
      </c>
      <c r="AO19" s="5">
        <f>sim.tbl[[#This Row],[Sulfur]]*sim.tbl[[#This Row],[Medium LSB]]</f>
        <v>0</v>
      </c>
      <c r="AP19" s="5">
        <f>sim.tbl[[#This Row],[Sulfur]]*sim.tbl[[#This Row],[Medium SW]]</f>
        <v>0</v>
      </c>
      <c r="AQ19" s="5">
        <f>sim.tbl[[#This Row],[Sulfur]]*sim.tbl[[#This Row],[Midale]]</f>
        <v>2.2999999999999998</v>
      </c>
      <c r="AR19" s="5">
        <f>sim.tbl[[#This Row],[Sulfur]]*sim.tbl[[#This Row],[Heavy Sour]]</f>
        <v>0</v>
      </c>
      <c r="AS19" s="5">
        <f>sim.tbl[[#This Row],[Sulfur]]*sim.tbl[[#This Row],[Heavy SW]]</f>
        <v>0</v>
      </c>
      <c r="AT19" s="5">
        <f>sim.tbl[[#This Row],[Density]]*sim.tbl[[#This Row],[C5+]]</f>
        <v>0</v>
      </c>
      <c r="AU19" s="5">
        <f>sim.tbl[[#This Row],[Density]]*sim.tbl[[#This Row],[Light LSB]]</f>
        <v>0</v>
      </c>
      <c r="AV19" s="5">
        <f>sim.tbl[[#This Row],[Density]]*sim.tbl[[#This Row],[Light SW]]</f>
        <v>0</v>
      </c>
      <c r="AW19" s="5">
        <f>sim.tbl[[#This Row],[Density]]*sim.tbl[[#This Row],[Medium LSB]]</f>
        <v>0</v>
      </c>
      <c r="AX19" s="5">
        <f>sim.tbl[[#This Row],[Density]]*sim.tbl[[#This Row],[Medium SW]]</f>
        <v>0</v>
      </c>
      <c r="AY19" s="5">
        <f>sim.tbl[[#This Row],[Density]]*sim.tbl[[#This Row],[Midale]]</f>
        <v>867.9</v>
      </c>
      <c r="AZ19" s="5">
        <f>sim.tbl[[#This Row],[Density]]*sim.tbl[[#This Row],[Heavy Sour]]</f>
        <v>0</v>
      </c>
      <c r="BA19" s="5">
        <f>sim.tbl[[#This Row],[Density]]*sim.tbl[[#This Row],[Heavy SW]]</f>
        <v>0</v>
      </c>
      <c r="BB19" s="5">
        <f>sim.tbl[[#This Row],[7 Day Rolling Temperature]]*sim.tbl[[#This Row],[C5+]]</f>
        <v>0</v>
      </c>
      <c r="BC19" s="5">
        <f>sim.tbl[[#This Row],[7 Day Rolling Temperature]]*sim.tbl[[#This Row],[Light LSB]]</f>
        <v>0</v>
      </c>
      <c r="BD19" s="5">
        <f>sim.tbl[[#This Row],[7 Day Rolling Temperature]]*sim.tbl[[#This Row],[Light SW]]</f>
        <v>0</v>
      </c>
      <c r="BE19" s="5">
        <f>sim.tbl[[#This Row],[7 Day Rolling Temperature]]*sim.tbl[[#This Row],[Medium LSB]]</f>
        <v>0</v>
      </c>
      <c r="BF19" s="5">
        <f>sim.tbl[[#This Row],[7 Day Rolling Temperature]]*sim.tbl[[#This Row],[Medium SW]]</f>
        <v>0</v>
      </c>
      <c r="BG19" s="5">
        <f>sim.tbl[[#This Row],[7 Day Rolling Temperature]]*sim.tbl[[#This Row],[Midale]]</f>
        <v>-18.2</v>
      </c>
      <c r="BH19" s="5">
        <f>sim.tbl[[#This Row],[7 Day Rolling Temperature]]*sim.tbl[[#This Row],[Heavy Sour]]</f>
        <v>0</v>
      </c>
      <c r="BI19" s="5">
        <f>sim.tbl[[#This Row],[7 Day Rolling Temperature]]*sim.tbl[[#This Row],[Heavy SW]]</f>
        <v>0</v>
      </c>
      <c r="BJ19" s="5">
        <f>sim.tbl[[#This Row],[Post Aquisition]]*sim.tbl[[#This Row],[C5+]]</f>
        <v>0</v>
      </c>
      <c r="BK19" s="5">
        <f>sim.tbl[[#This Row],[Post Aquisition]]*sim.tbl[[#This Row],[Light LSB]]</f>
        <v>0</v>
      </c>
      <c r="BL19" s="5">
        <f>sim.tbl[[#This Row],[Post Aquisition]]*sim.tbl[[#This Row],[Light SW]]</f>
        <v>0</v>
      </c>
      <c r="BM19" s="5">
        <f>sim.tbl[[#This Row],[Post Aquisition]]*sim.tbl[[#This Row],[Medium LSB]]</f>
        <v>0</v>
      </c>
      <c r="BN19" s="5">
        <f>sim.tbl[[#This Row],[Post Aquisition]]*sim.tbl[[#This Row],[Medium SW]]</f>
        <v>0</v>
      </c>
      <c r="BO19" s="5">
        <f>sim.tbl[[#This Row],[Post Aquisition]]*sim.tbl[[#This Row],[Midale]]</f>
        <v>1</v>
      </c>
      <c r="BP19" s="5">
        <f>sim.tbl[[#This Row],[Post Aquisition]]*sim.tbl[[#This Row],[Heavy Sour]]</f>
        <v>0</v>
      </c>
      <c r="BQ19" s="5">
        <f>sim.tbl[[#This Row],[Post Aquisition]]*sim.tbl[[#This Row],[Heavy SW]]</f>
        <v>0</v>
      </c>
    </row>
    <row r="20" spans="4:69" x14ac:dyDescent="0.25">
      <c r="D20" s="5">
        <f ca="1">SUMPRODUCT($F$1:$BQ$1,sim.tbl[[#This Row],[(Intercept)]:[Post Aquisition:Heavy SW]])</f>
        <v>69.480008359265014</v>
      </c>
      <c r="E20" s="14">
        <f ca="1">DATE(YEAR(TODAY()),INDEX(mthLkUp.tbl[Num],MATCH(mth.input,mthLkUp.tbl[Month],0)),1)</f>
        <v>42795</v>
      </c>
      <c r="F20" s="6">
        <f>1</f>
        <v>1</v>
      </c>
      <c r="G20" s="5">
        <v>2.09</v>
      </c>
      <c r="H20" s="5">
        <v>873.4</v>
      </c>
      <c r="I20" s="5">
        <v>-12.48</v>
      </c>
      <c r="J20" s="5">
        <v>-15.3</v>
      </c>
      <c r="K20" s="5">
        <v>-14.3</v>
      </c>
      <c r="L20" s="5">
        <v>-15.3</v>
      </c>
      <c r="M20" s="5">
        <v>-14</v>
      </c>
      <c r="N20" s="5">
        <v>-5.5</v>
      </c>
      <c r="O20" s="5">
        <v>-9.6</v>
      </c>
      <c r="P20" s="5">
        <v>-13.3</v>
      </c>
      <c r="Q20" s="6">
        <f>IF(sim.tbl[[#This Row],[Density]]&lt;=770,1,0)</f>
        <v>0</v>
      </c>
      <c r="R20" s="6">
        <f>IF(AND(sim.tbl[[#This Row],[Sulfur]]&gt;0.5,sim.tbl[[#This Row],[Density]]&gt;770,sim.tbl[[#This Row],[Density]]&lt;=825),1,0)</f>
        <v>0</v>
      </c>
      <c r="S20" s="6">
        <f>IF(AND(sim.tbl[[#This Row],[Sulfur]]&lt;=0.5,sim.tbl[[#This Row],[Density]]&gt;770,sim.tbl[[#This Row],[Density]]&lt;=825),1,0)</f>
        <v>0</v>
      </c>
      <c r="T20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0" s="6">
        <f>IF(AND(sim.tbl[[#This Row],[Sulfur]]&lt;0.5,sim.tbl[[#This Row],[Density]]&gt;825,sim.tbl[[#This Row],[Density]]&lt;=900),1,0)</f>
        <v>0</v>
      </c>
      <c r="V20" s="6">
        <f>IF(AND(sim.tbl[[#This Row],[Sulfur]]&gt;2,sim.tbl[[#This Row],[Density]]&gt;865,sim.tbl[[#This Row],[Density]]&lt;=900),1,0)</f>
        <v>1</v>
      </c>
      <c r="W20" s="6">
        <f>IF(AND(sim.tbl[[#This Row],[Sulfur]]&gt;0.5,sim.tbl[[#This Row],[Density]]&gt;900),1,0)</f>
        <v>0</v>
      </c>
      <c r="X20" s="6">
        <f>IF(AND(sim.tbl[[#This Row],[Sulfur]]&lt;=0.5,sim.tbl[[#This Row],[Density]]&gt;900),1,0)</f>
        <v>0</v>
      </c>
      <c r="Y20" s="6">
        <f ca="1">IF(MONTH(sim.tbl[[#This Row],[SDate]])=INDEX(mthLkUp.tbl[Num],MATCH(Y$3,mthLkUp.tbl[Month],0)),1,0)</f>
        <v>0</v>
      </c>
      <c r="Z20" s="6">
        <f ca="1">IF(MONTH(sim.tbl[[#This Row],[SDate]])=INDEX(mthLkUp.tbl[Num],MATCH(Z$3,mthLkUp.tbl[Month],0)),1,0)</f>
        <v>0</v>
      </c>
      <c r="AA20" s="6">
        <f ca="1">IF(MONTH(sim.tbl[[#This Row],[SDate]])=INDEX(mthLkUp.tbl[Num],MATCH(AA$3,mthLkUp.tbl[Month],0)),1,0)</f>
        <v>1</v>
      </c>
      <c r="AB20" s="6">
        <f ca="1">IF(MONTH(sim.tbl[[#This Row],[SDate]])=INDEX(mthLkUp.tbl[Num],MATCH(AB$3,mthLkUp.tbl[Month],0)),1,0)</f>
        <v>0</v>
      </c>
      <c r="AC20" s="6">
        <f ca="1">IF(MONTH(sim.tbl[[#This Row],[SDate]])=INDEX(mthLkUp.tbl[Num],MATCH(AC$3,mthLkUp.tbl[Month],0)),1,0)</f>
        <v>0</v>
      </c>
      <c r="AD20" s="6">
        <f ca="1">IF(MONTH(sim.tbl[[#This Row],[SDate]])=INDEX(mthLkUp.tbl[Num],MATCH(AD$3,mthLkUp.tbl[Month],0)),1,0)</f>
        <v>0</v>
      </c>
      <c r="AE20" s="6">
        <f ca="1">IF(MONTH(sim.tbl[[#This Row],[SDate]])=INDEX(mthLkUp.tbl[Num],MATCH(AE$3,mthLkUp.tbl[Month],0)),1,0)</f>
        <v>0</v>
      </c>
      <c r="AF20" s="6">
        <f ca="1">IF(MONTH(sim.tbl[[#This Row],[SDate]])=INDEX(mthLkUp.tbl[Num],MATCH(AF$3,mthLkUp.tbl[Month],0)),1,0)</f>
        <v>0</v>
      </c>
      <c r="AG20" s="6">
        <f ca="1">IF(MONTH(sim.tbl[[#This Row],[SDate]])=INDEX(mthLkUp.tbl[Num],MATCH(AG$3,mthLkUp.tbl[Month],0)),1,0)</f>
        <v>0</v>
      </c>
      <c r="AH20" s="6">
        <f ca="1">IF(MONTH(sim.tbl[[#This Row],[SDate]])=INDEX(mthLkUp.tbl[Num],MATCH(AH$3,mthLkUp.tbl[Month],0)),1,0)</f>
        <v>0</v>
      </c>
      <c r="AI20" s="6">
        <f ca="1">IF(MONTH(sim.tbl[[#This Row],[SDate]])=INDEX(mthLkUp.tbl[Num],MATCH(AI$3,mthLkUp.tbl[Month],0)),1,0)</f>
        <v>0</v>
      </c>
      <c r="AJ20" s="6">
        <f ca="1">IF(MONTH(sim.tbl[[#This Row],[SDate]])=INDEX(mthLkUp.tbl[Num],MATCH(AJ$3,mthLkUp.tbl[Month],0)),1,0)</f>
        <v>0</v>
      </c>
      <c r="AK20" s="6">
        <v>1</v>
      </c>
      <c r="AL20" s="5">
        <f>sim.tbl[[#This Row],[Sulfur]]*sim.tbl[[#This Row],[C5+]]</f>
        <v>0</v>
      </c>
      <c r="AM20" s="5">
        <f>sim.tbl[[#This Row],[Sulfur]]*sim.tbl[[#This Row],[Light LSB]]</f>
        <v>0</v>
      </c>
      <c r="AN20" s="5">
        <f>sim.tbl[[#This Row],[Sulfur]]*sim.tbl[[#This Row],[Light SW]]</f>
        <v>0</v>
      </c>
      <c r="AO20" s="5">
        <f>sim.tbl[[#This Row],[Sulfur]]*sim.tbl[[#This Row],[Medium LSB]]</f>
        <v>0</v>
      </c>
      <c r="AP20" s="5">
        <f>sim.tbl[[#This Row],[Sulfur]]*sim.tbl[[#This Row],[Medium SW]]</f>
        <v>0</v>
      </c>
      <c r="AQ20" s="5">
        <f>sim.tbl[[#This Row],[Sulfur]]*sim.tbl[[#This Row],[Midale]]</f>
        <v>2.09</v>
      </c>
      <c r="AR20" s="5">
        <f>sim.tbl[[#This Row],[Sulfur]]*sim.tbl[[#This Row],[Heavy Sour]]</f>
        <v>0</v>
      </c>
      <c r="AS20" s="5">
        <f>sim.tbl[[#This Row],[Sulfur]]*sim.tbl[[#This Row],[Heavy SW]]</f>
        <v>0</v>
      </c>
      <c r="AT20" s="5">
        <f>sim.tbl[[#This Row],[Density]]*sim.tbl[[#This Row],[C5+]]</f>
        <v>0</v>
      </c>
      <c r="AU20" s="5">
        <f>sim.tbl[[#This Row],[Density]]*sim.tbl[[#This Row],[Light LSB]]</f>
        <v>0</v>
      </c>
      <c r="AV20" s="5">
        <f>sim.tbl[[#This Row],[Density]]*sim.tbl[[#This Row],[Light SW]]</f>
        <v>0</v>
      </c>
      <c r="AW20" s="5">
        <f>sim.tbl[[#This Row],[Density]]*sim.tbl[[#This Row],[Medium LSB]]</f>
        <v>0</v>
      </c>
      <c r="AX20" s="5">
        <f>sim.tbl[[#This Row],[Density]]*sim.tbl[[#This Row],[Medium SW]]</f>
        <v>0</v>
      </c>
      <c r="AY20" s="5">
        <f>sim.tbl[[#This Row],[Density]]*sim.tbl[[#This Row],[Midale]]</f>
        <v>873.4</v>
      </c>
      <c r="AZ20" s="5">
        <f>sim.tbl[[#This Row],[Density]]*sim.tbl[[#This Row],[Heavy Sour]]</f>
        <v>0</v>
      </c>
      <c r="BA20" s="5">
        <f>sim.tbl[[#This Row],[Density]]*sim.tbl[[#This Row],[Heavy SW]]</f>
        <v>0</v>
      </c>
      <c r="BB20" s="5">
        <f>sim.tbl[[#This Row],[7 Day Rolling Temperature]]*sim.tbl[[#This Row],[C5+]]</f>
        <v>0</v>
      </c>
      <c r="BC20" s="5">
        <f>sim.tbl[[#This Row],[7 Day Rolling Temperature]]*sim.tbl[[#This Row],[Light LSB]]</f>
        <v>0</v>
      </c>
      <c r="BD20" s="5">
        <f>sim.tbl[[#This Row],[7 Day Rolling Temperature]]*sim.tbl[[#This Row],[Light SW]]</f>
        <v>0</v>
      </c>
      <c r="BE20" s="5">
        <f>sim.tbl[[#This Row],[7 Day Rolling Temperature]]*sim.tbl[[#This Row],[Medium LSB]]</f>
        <v>0</v>
      </c>
      <c r="BF20" s="5">
        <f>sim.tbl[[#This Row],[7 Day Rolling Temperature]]*sim.tbl[[#This Row],[Medium SW]]</f>
        <v>0</v>
      </c>
      <c r="BG20" s="5">
        <f>sim.tbl[[#This Row],[7 Day Rolling Temperature]]*sim.tbl[[#This Row],[Midale]]</f>
        <v>-15.3</v>
      </c>
      <c r="BH20" s="5">
        <f>sim.tbl[[#This Row],[7 Day Rolling Temperature]]*sim.tbl[[#This Row],[Heavy Sour]]</f>
        <v>0</v>
      </c>
      <c r="BI20" s="5">
        <f>sim.tbl[[#This Row],[7 Day Rolling Temperature]]*sim.tbl[[#This Row],[Heavy SW]]</f>
        <v>0</v>
      </c>
      <c r="BJ20" s="5">
        <f>sim.tbl[[#This Row],[Post Aquisition]]*sim.tbl[[#This Row],[C5+]]</f>
        <v>0</v>
      </c>
      <c r="BK20" s="5">
        <f>sim.tbl[[#This Row],[Post Aquisition]]*sim.tbl[[#This Row],[Light LSB]]</f>
        <v>0</v>
      </c>
      <c r="BL20" s="5">
        <f>sim.tbl[[#This Row],[Post Aquisition]]*sim.tbl[[#This Row],[Light SW]]</f>
        <v>0</v>
      </c>
      <c r="BM20" s="5">
        <f>sim.tbl[[#This Row],[Post Aquisition]]*sim.tbl[[#This Row],[Medium LSB]]</f>
        <v>0</v>
      </c>
      <c r="BN20" s="5">
        <f>sim.tbl[[#This Row],[Post Aquisition]]*sim.tbl[[#This Row],[Medium SW]]</f>
        <v>0</v>
      </c>
      <c r="BO20" s="5">
        <f>sim.tbl[[#This Row],[Post Aquisition]]*sim.tbl[[#This Row],[Midale]]</f>
        <v>1</v>
      </c>
      <c r="BP20" s="5">
        <f>sim.tbl[[#This Row],[Post Aquisition]]*sim.tbl[[#This Row],[Heavy Sour]]</f>
        <v>0</v>
      </c>
      <c r="BQ20" s="5">
        <f>sim.tbl[[#This Row],[Post Aquisition]]*sim.tbl[[#This Row],[Heavy SW]]</f>
        <v>0</v>
      </c>
    </row>
    <row r="21" spans="4:69" x14ac:dyDescent="0.25">
      <c r="D21" s="5">
        <f ca="1">SUMPRODUCT($F$1:$BQ$1,sim.tbl[[#This Row],[(Intercept)]:[Post Aquisition:Heavy SW]])</f>
        <v>64.821984123741231</v>
      </c>
      <c r="E21" s="14">
        <f ca="1">DATE(YEAR(TODAY()),INDEX(mthLkUp.tbl[Num],MATCH(mth.input,mthLkUp.tbl[Month],0)),1)</f>
        <v>42795</v>
      </c>
      <c r="F21" s="6">
        <f>1</f>
        <v>1</v>
      </c>
      <c r="G21" s="5">
        <v>2.6070000000000002</v>
      </c>
      <c r="H21" s="5">
        <v>873</v>
      </c>
      <c r="I21" s="5">
        <v>0.31666666700000001</v>
      </c>
      <c r="J21" s="5">
        <v>-0.6</v>
      </c>
      <c r="K21" s="5">
        <v>-0.6</v>
      </c>
      <c r="L21" s="5">
        <v>-0.6</v>
      </c>
      <c r="M21" s="5">
        <v>1</v>
      </c>
      <c r="N21" s="5">
        <v>0.8</v>
      </c>
      <c r="O21" s="5">
        <v>1.6</v>
      </c>
      <c r="P21" s="5">
        <v>-0.3</v>
      </c>
      <c r="Q21" s="6">
        <f>IF(sim.tbl[[#This Row],[Density]]&lt;=770,1,0)</f>
        <v>0</v>
      </c>
      <c r="R21" s="6">
        <f>IF(AND(sim.tbl[[#This Row],[Sulfur]]&gt;0.5,sim.tbl[[#This Row],[Density]]&gt;770,sim.tbl[[#This Row],[Density]]&lt;=825),1,0)</f>
        <v>0</v>
      </c>
      <c r="S21" s="6">
        <f>IF(AND(sim.tbl[[#This Row],[Sulfur]]&lt;=0.5,sim.tbl[[#This Row],[Density]]&gt;770,sim.tbl[[#This Row],[Density]]&lt;=825),1,0)</f>
        <v>0</v>
      </c>
      <c r="T21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1" s="6">
        <f>IF(AND(sim.tbl[[#This Row],[Sulfur]]&lt;0.5,sim.tbl[[#This Row],[Density]]&gt;825,sim.tbl[[#This Row],[Density]]&lt;=900),1,0)</f>
        <v>0</v>
      </c>
      <c r="V21" s="6">
        <f>IF(AND(sim.tbl[[#This Row],[Sulfur]]&gt;2,sim.tbl[[#This Row],[Density]]&gt;865,sim.tbl[[#This Row],[Density]]&lt;=900),1,0)</f>
        <v>1</v>
      </c>
      <c r="W21" s="6">
        <f>IF(AND(sim.tbl[[#This Row],[Sulfur]]&gt;0.5,sim.tbl[[#This Row],[Density]]&gt;900),1,0)</f>
        <v>0</v>
      </c>
      <c r="X21" s="6">
        <f>IF(AND(sim.tbl[[#This Row],[Sulfur]]&lt;=0.5,sim.tbl[[#This Row],[Density]]&gt;900),1,0)</f>
        <v>0</v>
      </c>
      <c r="Y21" s="6">
        <f ca="1">IF(MONTH(sim.tbl[[#This Row],[SDate]])=INDEX(mthLkUp.tbl[Num],MATCH(Y$3,mthLkUp.tbl[Month],0)),1,0)</f>
        <v>0</v>
      </c>
      <c r="Z21" s="6">
        <f ca="1">IF(MONTH(sim.tbl[[#This Row],[SDate]])=INDEX(mthLkUp.tbl[Num],MATCH(Z$3,mthLkUp.tbl[Month],0)),1,0)</f>
        <v>0</v>
      </c>
      <c r="AA21" s="6">
        <f ca="1">IF(MONTH(sim.tbl[[#This Row],[SDate]])=INDEX(mthLkUp.tbl[Num],MATCH(AA$3,mthLkUp.tbl[Month],0)),1,0)</f>
        <v>1</v>
      </c>
      <c r="AB21" s="6">
        <f ca="1">IF(MONTH(sim.tbl[[#This Row],[SDate]])=INDEX(mthLkUp.tbl[Num],MATCH(AB$3,mthLkUp.tbl[Month],0)),1,0)</f>
        <v>0</v>
      </c>
      <c r="AC21" s="6">
        <f ca="1">IF(MONTH(sim.tbl[[#This Row],[SDate]])=INDEX(mthLkUp.tbl[Num],MATCH(AC$3,mthLkUp.tbl[Month],0)),1,0)</f>
        <v>0</v>
      </c>
      <c r="AD21" s="6">
        <f ca="1">IF(MONTH(sim.tbl[[#This Row],[SDate]])=INDEX(mthLkUp.tbl[Num],MATCH(AD$3,mthLkUp.tbl[Month],0)),1,0)</f>
        <v>0</v>
      </c>
      <c r="AE21" s="6">
        <f ca="1">IF(MONTH(sim.tbl[[#This Row],[SDate]])=INDEX(mthLkUp.tbl[Num],MATCH(AE$3,mthLkUp.tbl[Month],0)),1,0)</f>
        <v>0</v>
      </c>
      <c r="AF21" s="6">
        <f ca="1">IF(MONTH(sim.tbl[[#This Row],[SDate]])=INDEX(mthLkUp.tbl[Num],MATCH(AF$3,mthLkUp.tbl[Month],0)),1,0)</f>
        <v>0</v>
      </c>
      <c r="AG21" s="6">
        <f ca="1">IF(MONTH(sim.tbl[[#This Row],[SDate]])=INDEX(mthLkUp.tbl[Num],MATCH(AG$3,mthLkUp.tbl[Month],0)),1,0)</f>
        <v>0</v>
      </c>
      <c r="AH21" s="6">
        <f ca="1">IF(MONTH(sim.tbl[[#This Row],[SDate]])=INDEX(mthLkUp.tbl[Num],MATCH(AH$3,mthLkUp.tbl[Month],0)),1,0)</f>
        <v>0</v>
      </c>
      <c r="AI21" s="6">
        <f ca="1">IF(MONTH(sim.tbl[[#This Row],[SDate]])=INDEX(mthLkUp.tbl[Num],MATCH(AI$3,mthLkUp.tbl[Month],0)),1,0)</f>
        <v>0</v>
      </c>
      <c r="AJ21" s="6">
        <f ca="1">IF(MONTH(sim.tbl[[#This Row],[SDate]])=INDEX(mthLkUp.tbl[Num],MATCH(AJ$3,mthLkUp.tbl[Month],0)),1,0)</f>
        <v>0</v>
      </c>
      <c r="AK21" s="6">
        <v>1</v>
      </c>
      <c r="AL21" s="5">
        <f>sim.tbl[[#This Row],[Sulfur]]*sim.tbl[[#This Row],[C5+]]</f>
        <v>0</v>
      </c>
      <c r="AM21" s="5">
        <f>sim.tbl[[#This Row],[Sulfur]]*sim.tbl[[#This Row],[Light LSB]]</f>
        <v>0</v>
      </c>
      <c r="AN21" s="5">
        <f>sim.tbl[[#This Row],[Sulfur]]*sim.tbl[[#This Row],[Light SW]]</f>
        <v>0</v>
      </c>
      <c r="AO21" s="5">
        <f>sim.tbl[[#This Row],[Sulfur]]*sim.tbl[[#This Row],[Medium LSB]]</f>
        <v>0</v>
      </c>
      <c r="AP21" s="5">
        <f>sim.tbl[[#This Row],[Sulfur]]*sim.tbl[[#This Row],[Medium SW]]</f>
        <v>0</v>
      </c>
      <c r="AQ21" s="5">
        <f>sim.tbl[[#This Row],[Sulfur]]*sim.tbl[[#This Row],[Midale]]</f>
        <v>2.6070000000000002</v>
      </c>
      <c r="AR21" s="5">
        <f>sim.tbl[[#This Row],[Sulfur]]*sim.tbl[[#This Row],[Heavy Sour]]</f>
        <v>0</v>
      </c>
      <c r="AS21" s="5">
        <f>sim.tbl[[#This Row],[Sulfur]]*sim.tbl[[#This Row],[Heavy SW]]</f>
        <v>0</v>
      </c>
      <c r="AT21" s="5">
        <f>sim.tbl[[#This Row],[Density]]*sim.tbl[[#This Row],[C5+]]</f>
        <v>0</v>
      </c>
      <c r="AU21" s="5">
        <f>sim.tbl[[#This Row],[Density]]*sim.tbl[[#This Row],[Light LSB]]</f>
        <v>0</v>
      </c>
      <c r="AV21" s="5">
        <f>sim.tbl[[#This Row],[Density]]*sim.tbl[[#This Row],[Light SW]]</f>
        <v>0</v>
      </c>
      <c r="AW21" s="5">
        <f>sim.tbl[[#This Row],[Density]]*sim.tbl[[#This Row],[Medium LSB]]</f>
        <v>0</v>
      </c>
      <c r="AX21" s="5">
        <f>sim.tbl[[#This Row],[Density]]*sim.tbl[[#This Row],[Medium SW]]</f>
        <v>0</v>
      </c>
      <c r="AY21" s="5">
        <f>sim.tbl[[#This Row],[Density]]*sim.tbl[[#This Row],[Midale]]</f>
        <v>873</v>
      </c>
      <c r="AZ21" s="5">
        <f>sim.tbl[[#This Row],[Density]]*sim.tbl[[#This Row],[Heavy Sour]]</f>
        <v>0</v>
      </c>
      <c r="BA21" s="5">
        <f>sim.tbl[[#This Row],[Density]]*sim.tbl[[#This Row],[Heavy SW]]</f>
        <v>0</v>
      </c>
      <c r="BB21" s="5">
        <f>sim.tbl[[#This Row],[7 Day Rolling Temperature]]*sim.tbl[[#This Row],[C5+]]</f>
        <v>0</v>
      </c>
      <c r="BC21" s="5">
        <f>sim.tbl[[#This Row],[7 Day Rolling Temperature]]*sim.tbl[[#This Row],[Light LSB]]</f>
        <v>0</v>
      </c>
      <c r="BD21" s="5">
        <f>sim.tbl[[#This Row],[7 Day Rolling Temperature]]*sim.tbl[[#This Row],[Light SW]]</f>
        <v>0</v>
      </c>
      <c r="BE21" s="5">
        <f>sim.tbl[[#This Row],[7 Day Rolling Temperature]]*sim.tbl[[#This Row],[Medium LSB]]</f>
        <v>0</v>
      </c>
      <c r="BF21" s="5">
        <f>sim.tbl[[#This Row],[7 Day Rolling Temperature]]*sim.tbl[[#This Row],[Medium SW]]</f>
        <v>0</v>
      </c>
      <c r="BG21" s="5">
        <f>sim.tbl[[#This Row],[7 Day Rolling Temperature]]*sim.tbl[[#This Row],[Midale]]</f>
        <v>-0.6</v>
      </c>
      <c r="BH21" s="5">
        <f>sim.tbl[[#This Row],[7 Day Rolling Temperature]]*sim.tbl[[#This Row],[Heavy Sour]]</f>
        <v>0</v>
      </c>
      <c r="BI21" s="5">
        <f>sim.tbl[[#This Row],[7 Day Rolling Temperature]]*sim.tbl[[#This Row],[Heavy SW]]</f>
        <v>0</v>
      </c>
      <c r="BJ21" s="5">
        <f>sim.tbl[[#This Row],[Post Aquisition]]*sim.tbl[[#This Row],[C5+]]</f>
        <v>0</v>
      </c>
      <c r="BK21" s="5">
        <f>sim.tbl[[#This Row],[Post Aquisition]]*sim.tbl[[#This Row],[Light LSB]]</f>
        <v>0</v>
      </c>
      <c r="BL21" s="5">
        <f>sim.tbl[[#This Row],[Post Aquisition]]*sim.tbl[[#This Row],[Light SW]]</f>
        <v>0</v>
      </c>
      <c r="BM21" s="5">
        <f>sim.tbl[[#This Row],[Post Aquisition]]*sim.tbl[[#This Row],[Medium LSB]]</f>
        <v>0</v>
      </c>
      <c r="BN21" s="5">
        <f>sim.tbl[[#This Row],[Post Aquisition]]*sim.tbl[[#This Row],[Medium SW]]</f>
        <v>0</v>
      </c>
      <c r="BO21" s="5">
        <f>sim.tbl[[#This Row],[Post Aquisition]]*sim.tbl[[#This Row],[Midale]]</f>
        <v>1</v>
      </c>
      <c r="BP21" s="5">
        <f>sim.tbl[[#This Row],[Post Aquisition]]*sim.tbl[[#This Row],[Heavy Sour]]</f>
        <v>0</v>
      </c>
      <c r="BQ21" s="5">
        <f>sim.tbl[[#This Row],[Post Aquisition]]*sim.tbl[[#This Row],[Heavy SW]]</f>
        <v>0</v>
      </c>
    </row>
    <row r="22" spans="4:69" x14ac:dyDescent="0.25">
      <c r="D22" s="5">
        <f ca="1">SUMPRODUCT($F$1:$BQ$1,sim.tbl[[#This Row],[(Intercept)]:[Post Aquisition:Heavy SW]])</f>
        <v>62.288601887983077</v>
      </c>
      <c r="E22" s="14">
        <f ca="1">DATE(YEAR(TODAY()),INDEX(mthLkUp.tbl[Num],MATCH(mth.input,mthLkUp.tbl[Month],0)),1)</f>
        <v>42795</v>
      </c>
      <c r="F22" s="6">
        <f>1</f>
        <v>1</v>
      </c>
      <c r="G22" s="5">
        <v>2.2999999999999998</v>
      </c>
      <c r="H22" s="5">
        <v>868.2</v>
      </c>
      <c r="I22" s="5">
        <v>9.4749999999999996</v>
      </c>
      <c r="J22" s="5">
        <v>9.9</v>
      </c>
      <c r="K22" s="5">
        <v>11.8</v>
      </c>
      <c r="L22" s="5">
        <v>9.9</v>
      </c>
      <c r="M22" s="5">
        <v>8</v>
      </c>
      <c r="N22" s="5">
        <v>1.8</v>
      </c>
      <c r="O22" s="5">
        <v>8.1999999999999993</v>
      </c>
      <c r="P22" s="5">
        <v>8</v>
      </c>
      <c r="Q22" s="6">
        <f>IF(sim.tbl[[#This Row],[Density]]&lt;=770,1,0)</f>
        <v>0</v>
      </c>
      <c r="R22" s="6">
        <f>IF(AND(sim.tbl[[#This Row],[Sulfur]]&gt;0.5,sim.tbl[[#This Row],[Density]]&gt;770,sim.tbl[[#This Row],[Density]]&lt;=825),1,0)</f>
        <v>0</v>
      </c>
      <c r="S22" s="6">
        <f>IF(AND(sim.tbl[[#This Row],[Sulfur]]&lt;=0.5,sim.tbl[[#This Row],[Density]]&gt;770,sim.tbl[[#This Row],[Density]]&lt;=825),1,0)</f>
        <v>0</v>
      </c>
      <c r="T22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2" s="6">
        <f>IF(AND(sim.tbl[[#This Row],[Sulfur]]&lt;0.5,sim.tbl[[#This Row],[Density]]&gt;825,sim.tbl[[#This Row],[Density]]&lt;=900),1,0)</f>
        <v>0</v>
      </c>
      <c r="V22" s="6">
        <f>IF(AND(sim.tbl[[#This Row],[Sulfur]]&gt;2,sim.tbl[[#This Row],[Density]]&gt;865,sim.tbl[[#This Row],[Density]]&lt;=900),1,0)</f>
        <v>1</v>
      </c>
      <c r="W22" s="6">
        <f>IF(AND(sim.tbl[[#This Row],[Sulfur]]&gt;0.5,sim.tbl[[#This Row],[Density]]&gt;900),1,0)</f>
        <v>0</v>
      </c>
      <c r="X22" s="6">
        <f>IF(AND(sim.tbl[[#This Row],[Sulfur]]&lt;=0.5,sim.tbl[[#This Row],[Density]]&gt;900),1,0)</f>
        <v>0</v>
      </c>
      <c r="Y22" s="6">
        <f ca="1">IF(MONTH(sim.tbl[[#This Row],[SDate]])=INDEX(mthLkUp.tbl[Num],MATCH(Y$3,mthLkUp.tbl[Month],0)),1,0)</f>
        <v>0</v>
      </c>
      <c r="Z22" s="6">
        <f ca="1">IF(MONTH(sim.tbl[[#This Row],[SDate]])=INDEX(mthLkUp.tbl[Num],MATCH(Z$3,mthLkUp.tbl[Month],0)),1,0)</f>
        <v>0</v>
      </c>
      <c r="AA22" s="6">
        <f ca="1">IF(MONTH(sim.tbl[[#This Row],[SDate]])=INDEX(mthLkUp.tbl[Num],MATCH(AA$3,mthLkUp.tbl[Month],0)),1,0)</f>
        <v>1</v>
      </c>
      <c r="AB22" s="6">
        <f ca="1">IF(MONTH(sim.tbl[[#This Row],[SDate]])=INDEX(mthLkUp.tbl[Num],MATCH(AB$3,mthLkUp.tbl[Month],0)),1,0)</f>
        <v>0</v>
      </c>
      <c r="AC22" s="6">
        <f ca="1">IF(MONTH(sim.tbl[[#This Row],[SDate]])=INDEX(mthLkUp.tbl[Num],MATCH(AC$3,mthLkUp.tbl[Month],0)),1,0)</f>
        <v>0</v>
      </c>
      <c r="AD22" s="6">
        <f ca="1">IF(MONTH(sim.tbl[[#This Row],[SDate]])=INDEX(mthLkUp.tbl[Num],MATCH(AD$3,mthLkUp.tbl[Month],0)),1,0)</f>
        <v>0</v>
      </c>
      <c r="AE22" s="6">
        <f ca="1">IF(MONTH(sim.tbl[[#This Row],[SDate]])=INDEX(mthLkUp.tbl[Num],MATCH(AE$3,mthLkUp.tbl[Month],0)),1,0)</f>
        <v>0</v>
      </c>
      <c r="AF22" s="6">
        <f ca="1">IF(MONTH(sim.tbl[[#This Row],[SDate]])=INDEX(mthLkUp.tbl[Num],MATCH(AF$3,mthLkUp.tbl[Month],0)),1,0)</f>
        <v>0</v>
      </c>
      <c r="AG22" s="6">
        <f ca="1">IF(MONTH(sim.tbl[[#This Row],[SDate]])=INDEX(mthLkUp.tbl[Num],MATCH(AG$3,mthLkUp.tbl[Month],0)),1,0)</f>
        <v>0</v>
      </c>
      <c r="AH22" s="6">
        <f ca="1">IF(MONTH(sim.tbl[[#This Row],[SDate]])=INDEX(mthLkUp.tbl[Num],MATCH(AH$3,mthLkUp.tbl[Month],0)),1,0)</f>
        <v>0</v>
      </c>
      <c r="AI22" s="6">
        <f ca="1">IF(MONTH(sim.tbl[[#This Row],[SDate]])=INDEX(mthLkUp.tbl[Num],MATCH(AI$3,mthLkUp.tbl[Month],0)),1,0)</f>
        <v>0</v>
      </c>
      <c r="AJ22" s="6">
        <f ca="1">IF(MONTH(sim.tbl[[#This Row],[SDate]])=INDEX(mthLkUp.tbl[Num],MATCH(AJ$3,mthLkUp.tbl[Month],0)),1,0)</f>
        <v>0</v>
      </c>
      <c r="AK22" s="6">
        <v>1</v>
      </c>
      <c r="AL22" s="5">
        <f>sim.tbl[[#This Row],[Sulfur]]*sim.tbl[[#This Row],[C5+]]</f>
        <v>0</v>
      </c>
      <c r="AM22" s="5">
        <f>sim.tbl[[#This Row],[Sulfur]]*sim.tbl[[#This Row],[Light LSB]]</f>
        <v>0</v>
      </c>
      <c r="AN22" s="5">
        <f>sim.tbl[[#This Row],[Sulfur]]*sim.tbl[[#This Row],[Light SW]]</f>
        <v>0</v>
      </c>
      <c r="AO22" s="5">
        <f>sim.tbl[[#This Row],[Sulfur]]*sim.tbl[[#This Row],[Medium LSB]]</f>
        <v>0</v>
      </c>
      <c r="AP22" s="5">
        <f>sim.tbl[[#This Row],[Sulfur]]*sim.tbl[[#This Row],[Medium SW]]</f>
        <v>0</v>
      </c>
      <c r="AQ22" s="5">
        <f>sim.tbl[[#This Row],[Sulfur]]*sim.tbl[[#This Row],[Midale]]</f>
        <v>2.2999999999999998</v>
      </c>
      <c r="AR22" s="5">
        <f>sim.tbl[[#This Row],[Sulfur]]*sim.tbl[[#This Row],[Heavy Sour]]</f>
        <v>0</v>
      </c>
      <c r="AS22" s="5">
        <f>sim.tbl[[#This Row],[Sulfur]]*sim.tbl[[#This Row],[Heavy SW]]</f>
        <v>0</v>
      </c>
      <c r="AT22" s="5">
        <f>sim.tbl[[#This Row],[Density]]*sim.tbl[[#This Row],[C5+]]</f>
        <v>0</v>
      </c>
      <c r="AU22" s="5">
        <f>sim.tbl[[#This Row],[Density]]*sim.tbl[[#This Row],[Light LSB]]</f>
        <v>0</v>
      </c>
      <c r="AV22" s="5">
        <f>sim.tbl[[#This Row],[Density]]*sim.tbl[[#This Row],[Light SW]]</f>
        <v>0</v>
      </c>
      <c r="AW22" s="5">
        <f>sim.tbl[[#This Row],[Density]]*sim.tbl[[#This Row],[Medium LSB]]</f>
        <v>0</v>
      </c>
      <c r="AX22" s="5">
        <f>sim.tbl[[#This Row],[Density]]*sim.tbl[[#This Row],[Medium SW]]</f>
        <v>0</v>
      </c>
      <c r="AY22" s="5">
        <f>sim.tbl[[#This Row],[Density]]*sim.tbl[[#This Row],[Midale]]</f>
        <v>868.2</v>
      </c>
      <c r="AZ22" s="5">
        <f>sim.tbl[[#This Row],[Density]]*sim.tbl[[#This Row],[Heavy Sour]]</f>
        <v>0</v>
      </c>
      <c r="BA22" s="5">
        <f>sim.tbl[[#This Row],[Density]]*sim.tbl[[#This Row],[Heavy SW]]</f>
        <v>0</v>
      </c>
      <c r="BB22" s="5">
        <f>sim.tbl[[#This Row],[7 Day Rolling Temperature]]*sim.tbl[[#This Row],[C5+]]</f>
        <v>0</v>
      </c>
      <c r="BC22" s="5">
        <f>sim.tbl[[#This Row],[7 Day Rolling Temperature]]*sim.tbl[[#This Row],[Light LSB]]</f>
        <v>0</v>
      </c>
      <c r="BD22" s="5">
        <f>sim.tbl[[#This Row],[7 Day Rolling Temperature]]*sim.tbl[[#This Row],[Light SW]]</f>
        <v>0</v>
      </c>
      <c r="BE22" s="5">
        <f>sim.tbl[[#This Row],[7 Day Rolling Temperature]]*sim.tbl[[#This Row],[Medium LSB]]</f>
        <v>0</v>
      </c>
      <c r="BF22" s="5">
        <f>sim.tbl[[#This Row],[7 Day Rolling Temperature]]*sim.tbl[[#This Row],[Medium SW]]</f>
        <v>0</v>
      </c>
      <c r="BG22" s="5">
        <f>sim.tbl[[#This Row],[7 Day Rolling Temperature]]*sim.tbl[[#This Row],[Midale]]</f>
        <v>9.9</v>
      </c>
      <c r="BH22" s="5">
        <f>sim.tbl[[#This Row],[7 Day Rolling Temperature]]*sim.tbl[[#This Row],[Heavy Sour]]</f>
        <v>0</v>
      </c>
      <c r="BI22" s="5">
        <f>sim.tbl[[#This Row],[7 Day Rolling Temperature]]*sim.tbl[[#This Row],[Heavy SW]]</f>
        <v>0</v>
      </c>
      <c r="BJ22" s="5">
        <f>sim.tbl[[#This Row],[Post Aquisition]]*sim.tbl[[#This Row],[C5+]]</f>
        <v>0</v>
      </c>
      <c r="BK22" s="5">
        <f>sim.tbl[[#This Row],[Post Aquisition]]*sim.tbl[[#This Row],[Light LSB]]</f>
        <v>0</v>
      </c>
      <c r="BL22" s="5">
        <f>sim.tbl[[#This Row],[Post Aquisition]]*sim.tbl[[#This Row],[Light SW]]</f>
        <v>0</v>
      </c>
      <c r="BM22" s="5">
        <f>sim.tbl[[#This Row],[Post Aquisition]]*sim.tbl[[#This Row],[Medium LSB]]</f>
        <v>0</v>
      </c>
      <c r="BN22" s="5">
        <f>sim.tbl[[#This Row],[Post Aquisition]]*sim.tbl[[#This Row],[Medium SW]]</f>
        <v>0</v>
      </c>
      <c r="BO22" s="5">
        <f>sim.tbl[[#This Row],[Post Aquisition]]*sim.tbl[[#This Row],[Midale]]</f>
        <v>1</v>
      </c>
      <c r="BP22" s="5">
        <f>sim.tbl[[#This Row],[Post Aquisition]]*sim.tbl[[#This Row],[Heavy Sour]]</f>
        <v>0</v>
      </c>
      <c r="BQ22" s="5">
        <f>sim.tbl[[#This Row],[Post Aquisition]]*sim.tbl[[#This Row],[Heavy SW]]</f>
        <v>0</v>
      </c>
    </row>
    <row r="23" spans="4:69" x14ac:dyDescent="0.25">
      <c r="D23" s="5">
        <f ca="1">SUMPRODUCT($F$1:$BQ$1,sim.tbl[[#This Row],[(Intercept)]:[Post Aquisition:Heavy SW]])</f>
        <v>66.646242512660677</v>
      </c>
      <c r="E23" s="14">
        <f ca="1">DATE(YEAR(TODAY()),INDEX(mthLkUp.tbl[Num],MATCH(mth.input,mthLkUp.tbl[Month],0)),1)</f>
        <v>42795</v>
      </c>
      <c r="F23" s="6">
        <f>1</f>
        <v>1</v>
      </c>
      <c r="G23" s="5">
        <v>2.38</v>
      </c>
      <c r="H23" s="5">
        <v>871.2</v>
      </c>
      <c r="I23" s="5">
        <v>-4.016666667</v>
      </c>
      <c r="J23" s="5">
        <v>-4.7</v>
      </c>
      <c r="K23" s="5">
        <v>-5.0999999999999996</v>
      </c>
      <c r="L23" s="5">
        <v>-4.7</v>
      </c>
      <c r="M23" s="5">
        <v>-4.3</v>
      </c>
      <c r="N23" s="5">
        <v>-2</v>
      </c>
      <c r="O23" s="5">
        <v>-4.8</v>
      </c>
      <c r="P23" s="5">
        <v>-3.2</v>
      </c>
      <c r="Q23" s="6">
        <f>IF(sim.tbl[[#This Row],[Density]]&lt;=770,1,0)</f>
        <v>0</v>
      </c>
      <c r="R23" s="6">
        <f>IF(AND(sim.tbl[[#This Row],[Sulfur]]&gt;0.5,sim.tbl[[#This Row],[Density]]&gt;770,sim.tbl[[#This Row],[Density]]&lt;=825),1,0)</f>
        <v>0</v>
      </c>
      <c r="S23" s="6">
        <f>IF(AND(sim.tbl[[#This Row],[Sulfur]]&lt;=0.5,sim.tbl[[#This Row],[Density]]&gt;770,sim.tbl[[#This Row],[Density]]&lt;=825),1,0)</f>
        <v>0</v>
      </c>
      <c r="T23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3" s="6">
        <f>IF(AND(sim.tbl[[#This Row],[Sulfur]]&lt;0.5,sim.tbl[[#This Row],[Density]]&gt;825,sim.tbl[[#This Row],[Density]]&lt;=900),1,0)</f>
        <v>0</v>
      </c>
      <c r="V23" s="6">
        <f>IF(AND(sim.tbl[[#This Row],[Sulfur]]&gt;2,sim.tbl[[#This Row],[Density]]&gt;865,sim.tbl[[#This Row],[Density]]&lt;=900),1,0)</f>
        <v>1</v>
      </c>
      <c r="W23" s="6">
        <f>IF(AND(sim.tbl[[#This Row],[Sulfur]]&gt;0.5,sim.tbl[[#This Row],[Density]]&gt;900),1,0)</f>
        <v>0</v>
      </c>
      <c r="X23" s="6">
        <f>IF(AND(sim.tbl[[#This Row],[Sulfur]]&lt;=0.5,sim.tbl[[#This Row],[Density]]&gt;900),1,0)</f>
        <v>0</v>
      </c>
      <c r="Y23" s="6">
        <f ca="1">IF(MONTH(sim.tbl[[#This Row],[SDate]])=INDEX(mthLkUp.tbl[Num],MATCH(Y$3,mthLkUp.tbl[Month],0)),1,0)</f>
        <v>0</v>
      </c>
      <c r="Z23" s="6">
        <f ca="1">IF(MONTH(sim.tbl[[#This Row],[SDate]])=INDEX(mthLkUp.tbl[Num],MATCH(Z$3,mthLkUp.tbl[Month],0)),1,0)</f>
        <v>0</v>
      </c>
      <c r="AA23" s="6">
        <f ca="1">IF(MONTH(sim.tbl[[#This Row],[SDate]])=INDEX(mthLkUp.tbl[Num],MATCH(AA$3,mthLkUp.tbl[Month],0)),1,0)</f>
        <v>1</v>
      </c>
      <c r="AB23" s="6">
        <f ca="1">IF(MONTH(sim.tbl[[#This Row],[SDate]])=INDEX(mthLkUp.tbl[Num],MATCH(AB$3,mthLkUp.tbl[Month],0)),1,0)</f>
        <v>0</v>
      </c>
      <c r="AC23" s="6">
        <f ca="1">IF(MONTH(sim.tbl[[#This Row],[SDate]])=INDEX(mthLkUp.tbl[Num],MATCH(AC$3,mthLkUp.tbl[Month],0)),1,0)</f>
        <v>0</v>
      </c>
      <c r="AD23" s="6">
        <f ca="1">IF(MONTH(sim.tbl[[#This Row],[SDate]])=INDEX(mthLkUp.tbl[Num],MATCH(AD$3,mthLkUp.tbl[Month],0)),1,0)</f>
        <v>0</v>
      </c>
      <c r="AE23" s="6">
        <f ca="1">IF(MONTH(sim.tbl[[#This Row],[SDate]])=INDEX(mthLkUp.tbl[Num],MATCH(AE$3,mthLkUp.tbl[Month],0)),1,0)</f>
        <v>0</v>
      </c>
      <c r="AF23" s="6">
        <f ca="1">IF(MONTH(sim.tbl[[#This Row],[SDate]])=INDEX(mthLkUp.tbl[Num],MATCH(AF$3,mthLkUp.tbl[Month],0)),1,0)</f>
        <v>0</v>
      </c>
      <c r="AG23" s="6">
        <f ca="1">IF(MONTH(sim.tbl[[#This Row],[SDate]])=INDEX(mthLkUp.tbl[Num],MATCH(AG$3,mthLkUp.tbl[Month],0)),1,0)</f>
        <v>0</v>
      </c>
      <c r="AH23" s="6">
        <f ca="1">IF(MONTH(sim.tbl[[#This Row],[SDate]])=INDEX(mthLkUp.tbl[Num],MATCH(AH$3,mthLkUp.tbl[Month],0)),1,0)</f>
        <v>0</v>
      </c>
      <c r="AI23" s="6">
        <f ca="1">IF(MONTH(sim.tbl[[#This Row],[SDate]])=INDEX(mthLkUp.tbl[Num],MATCH(AI$3,mthLkUp.tbl[Month],0)),1,0)</f>
        <v>0</v>
      </c>
      <c r="AJ23" s="6">
        <f ca="1">IF(MONTH(sim.tbl[[#This Row],[SDate]])=INDEX(mthLkUp.tbl[Num],MATCH(AJ$3,mthLkUp.tbl[Month],0)),1,0)</f>
        <v>0</v>
      </c>
      <c r="AK23" s="6">
        <v>1</v>
      </c>
      <c r="AL23" s="5">
        <f>sim.tbl[[#This Row],[Sulfur]]*sim.tbl[[#This Row],[C5+]]</f>
        <v>0</v>
      </c>
      <c r="AM23" s="5">
        <f>sim.tbl[[#This Row],[Sulfur]]*sim.tbl[[#This Row],[Light LSB]]</f>
        <v>0</v>
      </c>
      <c r="AN23" s="5">
        <f>sim.tbl[[#This Row],[Sulfur]]*sim.tbl[[#This Row],[Light SW]]</f>
        <v>0</v>
      </c>
      <c r="AO23" s="5">
        <f>sim.tbl[[#This Row],[Sulfur]]*sim.tbl[[#This Row],[Medium LSB]]</f>
        <v>0</v>
      </c>
      <c r="AP23" s="5">
        <f>sim.tbl[[#This Row],[Sulfur]]*sim.tbl[[#This Row],[Medium SW]]</f>
        <v>0</v>
      </c>
      <c r="AQ23" s="5">
        <f>sim.tbl[[#This Row],[Sulfur]]*sim.tbl[[#This Row],[Midale]]</f>
        <v>2.38</v>
      </c>
      <c r="AR23" s="5">
        <f>sim.tbl[[#This Row],[Sulfur]]*sim.tbl[[#This Row],[Heavy Sour]]</f>
        <v>0</v>
      </c>
      <c r="AS23" s="5">
        <f>sim.tbl[[#This Row],[Sulfur]]*sim.tbl[[#This Row],[Heavy SW]]</f>
        <v>0</v>
      </c>
      <c r="AT23" s="5">
        <f>sim.tbl[[#This Row],[Density]]*sim.tbl[[#This Row],[C5+]]</f>
        <v>0</v>
      </c>
      <c r="AU23" s="5">
        <f>sim.tbl[[#This Row],[Density]]*sim.tbl[[#This Row],[Light LSB]]</f>
        <v>0</v>
      </c>
      <c r="AV23" s="5">
        <f>sim.tbl[[#This Row],[Density]]*sim.tbl[[#This Row],[Light SW]]</f>
        <v>0</v>
      </c>
      <c r="AW23" s="5">
        <f>sim.tbl[[#This Row],[Density]]*sim.tbl[[#This Row],[Medium LSB]]</f>
        <v>0</v>
      </c>
      <c r="AX23" s="5">
        <f>sim.tbl[[#This Row],[Density]]*sim.tbl[[#This Row],[Medium SW]]</f>
        <v>0</v>
      </c>
      <c r="AY23" s="5">
        <f>sim.tbl[[#This Row],[Density]]*sim.tbl[[#This Row],[Midale]]</f>
        <v>871.2</v>
      </c>
      <c r="AZ23" s="5">
        <f>sim.tbl[[#This Row],[Density]]*sim.tbl[[#This Row],[Heavy Sour]]</f>
        <v>0</v>
      </c>
      <c r="BA23" s="5">
        <f>sim.tbl[[#This Row],[Density]]*sim.tbl[[#This Row],[Heavy SW]]</f>
        <v>0</v>
      </c>
      <c r="BB23" s="5">
        <f>sim.tbl[[#This Row],[7 Day Rolling Temperature]]*sim.tbl[[#This Row],[C5+]]</f>
        <v>0</v>
      </c>
      <c r="BC23" s="5">
        <f>sim.tbl[[#This Row],[7 Day Rolling Temperature]]*sim.tbl[[#This Row],[Light LSB]]</f>
        <v>0</v>
      </c>
      <c r="BD23" s="5">
        <f>sim.tbl[[#This Row],[7 Day Rolling Temperature]]*sim.tbl[[#This Row],[Light SW]]</f>
        <v>0</v>
      </c>
      <c r="BE23" s="5">
        <f>sim.tbl[[#This Row],[7 Day Rolling Temperature]]*sim.tbl[[#This Row],[Medium LSB]]</f>
        <v>0</v>
      </c>
      <c r="BF23" s="5">
        <f>sim.tbl[[#This Row],[7 Day Rolling Temperature]]*sim.tbl[[#This Row],[Medium SW]]</f>
        <v>0</v>
      </c>
      <c r="BG23" s="5">
        <f>sim.tbl[[#This Row],[7 Day Rolling Temperature]]*sim.tbl[[#This Row],[Midale]]</f>
        <v>-4.7</v>
      </c>
      <c r="BH23" s="5">
        <f>sim.tbl[[#This Row],[7 Day Rolling Temperature]]*sim.tbl[[#This Row],[Heavy Sour]]</f>
        <v>0</v>
      </c>
      <c r="BI23" s="5">
        <f>sim.tbl[[#This Row],[7 Day Rolling Temperature]]*sim.tbl[[#This Row],[Heavy SW]]</f>
        <v>0</v>
      </c>
      <c r="BJ23" s="5">
        <f>sim.tbl[[#This Row],[Post Aquisition]]*sim.tbl[[#This Row],[C5+]]</f>
        <v>0</v>
      </c>
      <c r="BK23" s="5">
        <f>sim.tbl[[#This Row],[Post Aquisition]]*sim.tbl[[#This Row],[Light LSB]]</f>
        <v>0</v>
      </c>
      <c r="BL23" s="5">
        <f>sim.tbl[[#This Row],[Post Aquisition]]*sim.tbl[[#This Row],[Light SW]]</f>
        <v>0</v>
      </c>
      <c r="BM23" s="5">
        <f>sim.tbl[[#This Row],[Post Aquisition]]*sim.tbl[[#This Row],[Medium LSB]]</f>
        <v>0</v>
      </c>
      <c r="BN23" s="5">
        <f>sim.tbl[[#This Row],[Post Aquisition]]*sim.tbl[[#This Row],[Medium SW]]</f>
        <v>0</v>
      </c>
      <c r="BO23" s="5">
        <f>sim.tbl[[#This Row],[Post Aquisition]]*sim.tbl[[#This Row],[Midale]]</f>
        <v>1</v>
      </c>
      <c r="BP23" s="5">
        <f>sim.tbl[[#This Row],[Post Aquisition]]*sim.tbl[[#This Row],[Heavy Sour]]</f>
        <v>0</v>
      </c>
      <c r="BQ23" s="5">
        <f>sim.tbl[[#This Row],[Post Aquisition]]*sim.tbl[[#This Row],[Heavy SW]]</f>
        <v>0</v>
      </c>
    </row>
    <row r="24" spans="4:69" x14ac:dyDescent="0.25">
      <c r="D24" s="5">
        <f ca="1">SUMPRODUCT($F$1:$BQ$1,sim.tbl[[#This Row],[(Intercept)]:[Post Aquisition:Heavy SW]])</f>
        <v>70.424558783621393</v>
      </c>
      <c r="E24" s="14">
        <f ca="1">DATE(YEAR(TODAY()),INDEX(mthLkUp.tbl[Num],MATCH(mth.input,mthLkUp.tbl[Month],0)),1)</f>
        <v>42795</v>
      </c>
      <c r="F24" s="6">
        <f>1</f>
        <v>1</v>
      </c>
      <c r="G24" s="5">
        <v>1.8</v>
      </c>
      <c r="H24" s="5">
        <v>869.4</v>
      </c>
      <c r="I24" s="5">
        <v>0.46666666699999998</v>
      </c>
      <c r="J24" s="5">
        <v>0.8</v>
      </c>
      <c r="K24" s="5">
        <v>0.7</v>
      </c>
      <c r="L24" s="5">
        <v>0.8</v>
      </c>
      <c r="M24" s="5">
        <v>0.3</v>
      </c>
      <c r="N24" s="5">
        <v>2</v>
      </c>
      <c r="O24" s="5">
        <v>-0.2</v>
      </c>
      <c r="P24" s="5">
        <v>-0.8</v>
      </c>
      <c r="Q24" s="6">
        <f>IF(sim.tbl[[#This Row],[Density]]&lt;=770,1,0)</f>
        <v>0</v>
      </c>
      <c r="R24" s="6">
        <f>IF(AND(sim.tbl[[#This Row],[Sulfur]]&gt;0.5,sim.tbl[[#This Row],[Density]]&gt;770,sim.tbl[[#This Row],[Density]]&lt;=825),1,0)</f>
        <v>0</v>
      </c>
      <c r="S24" s="6">
        <f>IF(AND(sim.tbl[[#This Row],[Sulfur]]&lt;=0.5,sim.tbl[[#This Row],[Density]]&gt;770,sim.tbl[[#This Row],[Density]]&lt;=825),1,0)</f>
        <v>0</v>
      </c>
      <c r="T24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24" s="6">
        <f>IF(AND(sim.tbl[[#This Row],[Sulfur]]&lt;0.5,sim.tbl[[#This Row],[Density]]&gt;825,sim.tbl[[#This Row],[Density]]&lt;=900),1,0)</f>
        <v>0</v>
      </c>
      <c r="V24" s="6">
        <f>IF(AND(sim.tbl[[#This Row],[Sulfur]]&gt;2,sim.tbl[[#This Row],[Density]]&gt;865,sim.tbl[[#This Row],[Density]]&lt;=900),1,0)</f>
        <v>0</v>
      </c>
      <c r="W24" s="6">
        <f>IF(AND(sim.tbl[[#This Row],[Sulfur]]&gt;0.5,sim.tbl[[#This Row],[Density]]&gt;900),1,0)</f>
        <v>0</v>
      </c>
      <c r="X24" s="6">
        <f>IF(AND(sim.tbl[[#This Row],[Sulfur]]&lt;=0.5,sim.tbl[[#This Row],[Density]]&gt;900),1,0)</f>
        <v>0</v>
      </c>
      <c r="Y24" s="6">
        <f ca="1">IF(MONTH(sim.tbl[[#This Row],[SDate]])=INDEX(mthLkUp.tbl[Num],MATCH(Y$3,mthLkUp.tbl[Month],0)),1,0)</f>
        <v>0</v>
      </c>
      <c r="Z24" s="6">
        <f ca="1">IF(MONTH(sim.tbl[[#This Row],[SDate]])=INDEX(mthLkUp.tbl[Num],MATCH(Z$3,mthLkUp.tbl[Month],0)),1,0)</f>
        <v>0</v>
      </c>
      <c r="AA24" s="6">
        <f ca="1">IF(MONTH(sim.tbl[[#This Row],[SDate]])=INDEX(mthLkUp.tbl[Num],MATCH(AA$3,mthLkUp.tbl[Month],0)),1,0)</f>
        <v>1</v>
      </c>
      <c r="AB24" s="6">
        <f ca="1">IF(MONTH(sim.tbl[[#This Row],[SDate]])=INDEX(mthLkUp.tbl[Num],MATCH(AB$3,mthLkUp.tbl[Month],0)),1,0)</f>
        <v>0</v>
      </c>
      <c r="AC24" s="6">
        <f ca="1">IF(MONTH(sim.tbl[[#This Row],[SDate]])=INDEX(mthLkUp.tbl[Num],MATCH(AC$3,mthLkUp.tbl[Month],0)),1,0)</f>
        <v>0</v>
      </c>
      <c r="AD24" s="6">
        <f ca="1">IF(MONTH(sim.tbl[[#This Row],[SDate]])=INDEX(mthLkUp.tbl[Num],MATCH(AD$3,mthLkUp.tbl[Month],0)),1,0)</f>
        <v>0</v>
      </c>
      <c r="AE24" s="6">
        <f ca="1">IF(MONTH(sim.tbl[[#This Row],[SDate]])=INDEX(mthLkUp.tbl[Num],MATCH(AE$3,mthLkUp.tbl[Month],0)),1,0)</f>
        <v>0</v>
      </c>
      <c r="AF24" s="6">
        <f ca="1">IF(MONTH(sim.tbl[[#This Row],[SDate]])=INDEX(mthLkUp.tbl[Num],MATCH(AF$3,mthLkUp.tbl[Month],0)),1,0)</f>
        <v>0</v>
      </c>
      <c r="AG24" s="6">
        <f ca="1">IF(MONTH(sim.tbl[[#This Row],[SDate]])=INDEX(mthLkUp.tbl[Num],MATCH(AG$3,mthLkUp.tbl[Month],0)),1,0)</f>
        <v>0</v>
      </c>
      <c r="AH24" s="6">
        <f ca="1">IF(MONTH(sim.tbl[[#This Row],[SDate]])=INDEX(mthLkUp.tbl[Num],MATCH(AH$3,mthLkUp.tbl[Month],0)),1,0)</f>
        <v>0</v>
      </c>
      <c r="AI24" s="6">
        <f ca="1">IF(MONTH(sim.tbl[[#This Row],[SDate]])=INDEX(mthLkUp.tbl[Num],MATCH(AI$3,mthLkUp.tbl[Month],0)),1,0)</f>
        <v>0</v>
      </c>
      <c r="AJ24" s="6">
        <f ca="1">IF(MONTH(sim.tbl[[#This Row],[SDate]])=INDEX(mthLkUp.tbl[Num],MATCH(AJ$3,mthLkUp.tbl[Month],0)),1,0)</f>
        <v>0</v>
      </c>
      <c r="AK24" s="6">
        <v>1</v>
      </c>
      <c r="AL24" s="5">
        <f>sim.tbl[[#This Row],[Sulfur]]*sim.tbl[[#This Row],[C5+]]</f>
        <v>0</v>
      </c>
      <c r="AM24" s="5">
        <f>sim.tbl[[#This Row],[Sulfur]]*sim.tbl[[#This Row],[Light LSB]]</f>
        <v>0</v>
      </c>
      <c r="AN24" s="5">
        <f>sim.tbl[[#This Row],[Sulfur]]*sim.tbl[[#This Row],[Light SW]]</f>
        <v>0</v>
      </c>
      <c r="AO24" s="5">
        <f>sim.tbl[[#This Row],[Sulfur]]*sim.tbl[[#This Row],[Medium LSB]]</f>
        <v>1.8</v>
      </c>
      <c r="AP24" s="5">
        <f>sim.tbl[[#This Row],[Sulfur]]*sim.tbl[[#This Row],[Medium SW]]</f>
        <v>0</v>
      </c>
      <c r="AQ24" s="5">
        <f>sim.tbl[[#This Row],[Sulfur]]*sim.tbl[[#This Row],[Midale]]</f>
        <v>0</v>
      </c>
      <c r="AR24" s="5">
        <f>sim.tbl[[#This Row],[Sulfur]]*sim.tbl[[#This Row],[Heavy Sour]]</f>
        <v>0</v>
      </c>
      <c r="AS24" s="5">
        <f>sim.tbl[[#This Row],[Sulfur]]*sim.tbl[[#This Row],[Heavy SW]]</f>
        <v>0</v>
      </c>
      <c r="AT24" s="5">
        <f>sim.tbl[[#This Row],[Density]]*sim.tbl[[#This Row],[C5+]]</f>
        <v>0</v>
      </c>
      <c r="AU24" s="5">
        <f>sim.tbl[[#This Row],[Density]]*sim.tbl[[#This Row],[Light LSB]]</f>
        <v>0</v>
      </c>
      <c r="AV24" s="5">
        <f>sim.tbl[[#This Row],[Density]]*sim.tbl[[#This Row],[Light SW]]</f>
        <v>0</v>
      </c>
      <c r="AW24" s="5">
        <f>sim.tbl[[#This Row],[Density]]*sim.tbl[[#This Row],[Medium LSB]]</f>
        <v>869.4</v>
      </c>
      <c r="AX24" s="5">
        <f>sim.tbl[[#This Row],[Density]]*sim.tbl[[#This Row],[Medium SW]]</f>
        <v>0</v>
      </c>
      <c r="AY24" s="5">
        <f>sim.tbl[[#This Row],[Density]]*sim.tbl[[#This Row],[Midale]]</f>
        <v>0</v>
      </c>
      <c r="AZ24" s="5">
        <f>sim.tbl[[#This Row],[Density]]*sim.tbl[[#This Row],[Heavy Sour]]</f>
        <v>0</v>
      </c>
      <c r="BA24" s="5">
        <f>sim.tbl[[#This Row],[Density]]*sim.tbl[[#This Row],[Heavy SW]]</f>
        <v>0</v>
      </c>
      <c r="BB24" s="5">
        <f>sim.tbl[[#This Row],[7 Day Rolling Temperature]]*sim.tbl[[#This Row],[C5+]]</f>
        <v>0</v>
      </c>
      <c r="BC24" s="5">
        <f>sim.tbl[[#This Row],[7 Day Rolling Temperature]]*sim.tbl[[#This Row],[Light LSB]]</f>
        <v>0</v>
      </c>
      <c r="BD24" s="5">
        <f>sim.tbl[[#This Row],[7 Day Rolling Temperature]]*sim.tbl[[#This Row],[Light SW]]</f>
        <v>0</v>
      </c>
      <c r="BE24" s="5">
        <f>sim.tbl[[#This Row],[7 Day Rolling Temperature]]*sim.tbl[[#This Row],[Medium LSB]]</f>
        <v>0.8</v>
      </c>
      <c r="BF24" s="5">
        <f>sim.tbl[[#This Row],[7 Day Rolling Temperature]]*sim.tbl[[#This Row],[Medium SW]]</f>
        <v>0</v>
      </c>
      <c r="BG24" s="5">
        <f>sim.tbl[[#This Row],[7 Day Rolling Temperature]]*sim.tbl[[#This Row],[Midale]]</f>
        <v>0</v>
      </c>
      <c r="BH24" s="5">
        <f>sim.tbl[[#This Row],[7 Day Rolling Temperature]]*sim.tbl[[#This Row],[Heavy Sour]]</f>
        <v>0</v>
      </c>
      <c r="BI24" s="5">
        <f>sim.tbl[[#This Row],[7 Day Rolling Temperature]]*sim.tbl[[#This Row],[Heavy SW]]</f>
        <v>0</v>
      </c>
      <c r="BJ24" s="5">
        <f>sim.tbl[[#This Row],[Post Aquisition]]*sim.tbl[[#This Row],[C5+]]</f>
        <v>0</v>
      </c>
      <c r="BK24" s="5">
        <f>sim.tbl[[#This Row],[Post Aquisition]]*sim.tbl[[#This Row],[Light LSB]]</f>
        <v>0</v>
      </c>
      <c r="BL24" s="5">
        <f>sim.tbl[[#This Row],[Post Aquisition]]*sim.tbl[[#This Row],[Light SW]]</f>
        <v>0</v>
      </c>
      <c r="BM24" s="5">
        <f>sim.tbl[[#This Row],[Post Aquisition]]*sim.tbl[[#This Row],[Medium LSB]]</f>
        <v>1</v>
      </c>
      <c r="BN24" s="5">
        <f>sim.tbl[[#This Row],[Post Aquisition]]*sim.tbl[[#This Row],[Medium SW]]</f>
        <v>0</v>
      </c>
      <c r="BO24" s="5">
        <f>sim.tbl[[#This Row],[Post Aquisition]]*sim.tbl[[#This Row],[Midale]]</f>
        <v>0</v>
      </c>
      <c r="BP24" s="5">
        <f>sim.tbl[[#This Row],[Post Aquisition]]*sim.tbl[[#This Row],[Heavy Sour]]</f>
        <v>0</v>
      </c>
      <c r="BQ24" s="5">
        <f>sim.tbl[[#This Row],[Post Aquisition]]*sim.tbl[[#This Row],[Heavy SW]]</f>
        <v>0</v>
      </c>
    </row>
    <row r="25" spans="4:69" x14ac:dyDescent="0.25">
      <c r="D25" s="5">
        <f ca="1">SUMPRODUCT($F$1:$BQ$1,sim.tbl[[#This Row],[(Intercept)]:[Post Aquisition:Heavy SW]])</f>
        <v>73.024798770245951</v>
      </c>
      <c r="E25" s="14">
        <f ca="1">DATE(YEAR(TODAY()),INDEX(mthLkUp.tbl[Num],MATCH(mth.input,mthLkUp.tbl[Month],0)),1)</f>
        <v>42795</v>
      </c>
      <c r="F25" s="6">
        <f>1</f>
        <v>1</v>
      </c>
      <c r="G25" s="5">
        <v>2.38</v>
      </c>
      <c r="H25" s="5">
        <v>867.7</v>
      </c>
      <c r="I25" s="5">
        <v>-20.716666669999999</v>
      </c>
      <c r="J25" s="5">
        <v>-19.399999999999999</v>
      </c>
      <c r="K25" s="5">
        <v>-21.2</v>
      </c>
      <c r="L25" s="5">
        <v>-19.399999999999999</v>
      </c>
      <c r="M25" s="5">
        <v>-21.8</v>
      </c>
      <c r="N25" s="5">
        <v>-19.3</v>
      </c>
      <c r="O25" s="5">
        <v>-21.1</v>
      </c>
      <c r="P25" s="5">
        <v>-21.5</v>
      </c>
      <c r="Q25" s="6">
        <f>IF(sim.tbl[[#This Row],[Density]]&lt;=770,1,0)</f>
        <v>0</v>
      </c>
      <c r="R25" s="6">
        <f>IF(AND(sim.tbl[[#This Row],[Sulfur]]&gt;0.5,sim.tbl[[#This Row],[Density]]&gt;770,sim.tbl[[#This Row],[Density]]&lt;=825),1,0)</f>
        <v>0</v>
      </c>
      <c r="S25" s="6">
        <f>IF(AND(sim.tbl[[#This Row],[Sulfur]]&lt;=0.5,sim.tbl[[#This Row],[Density]]&gt;770,sim.tbl[[#This Row],[Density]]&lt;=825),1,0)</f>
        <v>0</v>
      </c>
      <c r="T25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5" s="6">
        <f>IF(AND(sim.tbl[[#This Row],[Sulfur]]&lt;0.5,sim.tbl[[#This Row],[Density]]&gt;825,sim.tbl[[#This Row],[Density]]&lt;=900),1,0)</f>
        <v>0</v>
      </c>
      <c r="V25" s="6">
        <f>IF(AND(sim.tbl[[#This Row],[Sulfur]]&gt;2,sim.tbl[[#This Row],[Density]]&gt;865,sim.tbl[[#This Row],[Density]]&lt;=900),1,0)</f>
        <v>1</v>
      </c>
      <c r="W25" s="6">
        <f>IF(AND(sim.tbl[[#This Row],[Sulfur]]&gt;0.5,sim.tbl[[#This Row],[Density]]&gt;900),1,0)</f>
        <v>0</v>
      </c>
      <c r="X25" s="6">
        <f>IF(AND(sim.tbl[[#This Row],[Sulfur]]&lt;=0.5,sim.tbl[[#This Row],[Density]]&gt;900),1,0)</f>
        <v>0</v>
      </c>
      <c r="Y25" s="6">
        <f ca="1">IF(MONTH(sim.tbl[[#This Row],[SDate]])=INDEX(mthLkUp.tbl[Num],MATCH(Y$3,mthLkUp.tbl[Month],0)),1,0)</f>
        <v>0</v>
      </c>
      <c r="Z25" s="6">
        <f ca="1">IF(MONTH(sim.tbl[[#This Row],[SDate]])=INDEX(mthLkUp.tbl[Num],MATCH(Z$3,mthLkUp.tbl[Month],0)),1,0)</f>
        <v>0</v>
      </c>
      <c r="AA25" s="6">
        <f ca="1">IF(MONTH(sim.tbl[[#This Row],[SDate]])=INDEX(mthLkUp.tbl[Num],MATCH(AA$3,mthLkUp.tbl[Month],0)),1,0)</f>
        <v>1</v>
      </c>
      <c r="AB25" s="6">
        <f ca="1">IF(MONTH(sim.tbl[[#This Row],[SDate]])=INDEX(mthLkUp.tbl[Num],MATCH(AB$3,mthLkUp.tbl[Month],0)),1,0)</f>
        <v>0</v>
      </c>
      <c r="AC25" s="6">
        <f ca="1">IF(MONTH(sim.tbl[[#This Row],[SDate]])=INDEX(mthLkUp.tbl[Num],MATCH(AC$3,mthLkUp.tbl[Month],0)),1,0)</f>
        <v>0</v>
      </c>
      <c r="AD25" s="6">
        <f ca="1">IF(MONTH(sim.tbl[[#This Row],[SDate]])=INDEX(mthLkUp.tbl[Num],MATCH(AD$3,mthLkUp.tbl[Month],0)),1,0)</f>
        <v>0</v>
      </c>
      <c r="AE25" s="6">
        <f ca="1">IF(MONTH(sim.tbl[[#This Row],[SDate]])=INDEX(mthLkUp.tbl[Num],MATCH(AE$3,mthLkUp.tbl[Month],0)),1,0)</f>
        <v>0</v>
      </c>
      <c r="AF25" s="6">
        <f ca="1">IF(MONTH(sim.tbl[[#This Row],[SDate]])=INDEX(mthLkUp.tbl[Num],MATCH(AF$3,mthLkUp.tbl[Month],0)),1,0)</f>
        <v>0</v>
      </c>
      <c r="AG25" s="6">
        <f ca="1">IF(MONTH(sim.tbl[[#This Row],[SDate]])=INDEX(mthLkUp.tbl[Num],MATCH(AG$3,mthLkUp.tbl[Month],0)),1,0)</f>
        <v>0</v>
      </c>
      <c r="AH25" s="6">
        <f ca="1">IF(MONTH(sim.tbl[[#This Row],[SDate]])=INDEX(mthLkUp.tbl[Num],MATCH(AH$3,mthLkUp.tbl[Month],0)),1,0)</f>
        <v>0</v>
      </c>
      <c r="AI25" s="6">
        <f ca="1">IF(MONTH(sim.tbl[[#This Row],[SDate]])=INDEX(mthLkUp.tbl[Num],MATCH(AI$3,mthLkUp.tbl[Month],0)),1,0)</f>
        <v>0</v>
      </c>
      <c r="AJ25" s="6">
        <f ca="1">IF(MONTH(sim.tbl[[#This Row],[SDate]])=INDEX(mthLkUp.tbl[Num],MATCH(AJ$3,mthLkUp.tbl[Month],0)),1,0)</f>
        <v>0</v>
      </c>
      <c r="AK25" s="6">
        <v>1</v>
      </c>
      <c r="AL25" s="5">
        <f>sim.tbl[[#This Row],[Sulfur]]*sim.tbl[[#This Row],[C5+]]</f>
        <v>0</v>
      </c>
      <c r="AM25" s="5">
        <f>sim.tbl[[#This Row],[Sulfur]]*sim.tbl[[#This Row],[Light LSB]]</f>
        <v>0</v>
      </c>
      <c r="AN25" s="5">
        <f>sim.tbl[[#This Row],[Sulfur]]*sim.tbl[[#This Row],[Light SW]]</f>
        <v>0</v>
      </c>
      <c r="AO25" s="5">
        <f>sim.tbl[[#This Row],[Sulfur]]*sim.tbl[[#This Row],[Medium LSB]]</f>
        <v>0</v>
      </c>
      <c r="AP25" s="5">
        <f>sim.tbl[[#This Row],[Sulfur]]*sim.tbl[[#This Row],[Medium SW]]</f>
        <v>0</v>
      </c>
      <c r="AQ25" s="5">
        <f>sim.tbl[[#This Row],[Sulfur]]*sim.tbl[[#This Row],[Midale]]</f>
        <v>2.38</v>
      </c>
      <c r="AR25" s="5">
        <f>sim.tbl[[#This Row],[Sulfur]]*sim.tbl[[#This Row],[Heavy Sour]]</f>
        <v>0</v>
      </c>
      <c r="AS25" s="5">
        <f>sim.tbl[[#This Row],[Sulfur]]*sim.tbl[[#This Row],[Heavy SW]]</f>
        <v>0</v>
      </c>
      <c r="AT25" s="5">
        <f>sim.tbl[[#This Row],[Density]]*sim.tbl[[#This Row],[C5+]]</f>
        <v>0</v>
      </c>
      <c r="AU25" s="5">
        <f>sim.tbl[[#This Row],[Density]]*sim.tbl[[#This Row],[Light LSB]]</f>
        <v>0</v>
      </c>
      <c r="AV25" s="5">
        <f>sim.tbl[[#This Row],[Density]]*sim.tbl[[#This Row],[Light SW]]</f>
        <v>0</v>
      </c>
      <c r="AW25" s="5">
        <f>sim.tbl[[#This Row],[Density]]*sim.tbl[[#This Row],[Medium LSB]]</f>
        <v>0</v>
      </c>
      <c r="AX25" s="5">
        <f>sim.tbl[[#This Row],[Density]]*sim.tbl[[#This Row],[Medium SW]]</f>
        <v>0</v>
      </c>
      <c r="AY25" s="5">
        <f>sim.tbl[[#This Row],[Density]]*sim.tbl[[#This Row],[Midale]]</f>
        <v>867.7</v>
      </c>
      <c r="AZ25" s="5">
        <f>sim.tbl[[#This Row],[Density]]*sim.tbl[[#This Row],[Heavy Sour]]</f>
        <v>0</v>
      </c>
      <c r="BA25" s="5">
        <f>sim.tbl[[#This Row],[Density]]*sim.tbl[[#This Row],[Heavy SW]]</f>
        <v>0</v>
      </c>
      <c r="BB25" s="5">
        <f>sim.tbl[[#This Row],[7 Day Rolling Temperature]]*sim.tbl[[#This Row],[C5+]]</f>
        <v>0</v>
      </c>
      <c r="BC25" s="5">
        <f>sim.tbl[[#This Row],[7 Day Rolling Temperature]]*sim.tbl[[#This Row],[Light LSB]]</f>
        <v>0</v>
      </c>
      <c r="BD25" s="5">
        <f>sim.tbl[[#This Row],[7 Day Rolling Temperature]]*sim.tbl[[#This Row],[Light SW]]</f>
        <v>0</v>
      </c>
      <c r="BE25" s="5">
        <f>sim.tbl[[#This Row],[7 Day Rolling Temperature]]*sim.tbl[[#This Row],[Medium LSB]]</f>
        <v>0</v>
      </c>
      <c r="BF25" s="5">
        <f>sim.tbl[[#This Row],[7 Day Rolling Temperature]]*sim.tbl[[#This Row],[Medium SW]]</f>
        <v>0</v>
      </c>
      <c r="BG25" s="5">
        <f>sim.tbl[[#This Row],[7 Day Rolling Temperature]]*sim.tbl[[#This Row],[Midale]]</f>
        <v>-19.399999999999999</v>
      </c>
      <c r="BH25" s="5">
        <f>sim.tbl[[#This Row],[7 Day Rolling Temperature]]*sim.tbl[[#This Row],[Heavy Sour]]</f>
        <v>0</v>
      </c>
      <c r="BI25" s="5">
        <f>sim.tbl[[#This Row],[7 Day Rolling Temperature]]*sim.tbl[[#This Row],[Heavy SW]]</f>
        <v>0</v>
      </c>
      <c r="BJ25" s="5">
        <f>sim.tbl[[#This Row],[Post Aquisition]]*sim.tbl[[#This Row],[C5+]]</f>
        <v>0</v>
      </c>
      <c r="BK25" s="5">
        <f>sim.tbl[[#This Row],[Post Aquisition]]*sim.tbl[[#This Row],[Light LSB]]</f>
        <v>0</v>
      </c>
      <c r="BL25" s="5">
        <f>sim.tbl[[#This Row],[Post Aquisition]]*sim.tbl[[#This Row],[Light SW]]</f>
        <v>0</v>
      </c>
      <c r="BM25" s="5">
        <f>sim.tbl[[#This Row],[Post Aquisition]]*sim.tbl[[#This Row],[Medium LSB]]</f>
        <v>0</v>
      </c>
      <c r="BN25" s="5">
        <f>sim.tbl[[#This Row],[Post Aquisition]]*sim.tbl[[#This Row],[Medium SW]]</f>
        <v>0</v>
      </c>
      <c r="BO25" s="5">
        <f>sim.tbl[[#This Row],[Post Aquisition]]*sim.tbl[[#This Row],[Midale]]</f>
        <v>1</v>
      </c>
      <c r="BP25" s="5">
        <f>sim.tbl[[#This Row],[Post Aquisition]]*sim.tbl[[#This Row],[Heavy Sour]]</f>
        <v>0</v>
      </c>
      <c r="BQ25" s="5">
        <f>sim.tbl[[#This Row],[Post Aquisition]]*sim.tbl[[#This Row],[Heavy SW]]</f>
        <v>0</v>
      </c>
    </row>
    <row r="26" spans="4:69" x14ac:dyDescent="0.25">
      <c r="D26" s="5">
        <f ca="1">SUMPRODUCT($F$1:$BQ$1,sim.tbl[[#This Row],[(Intercept)]:[Post Aquisition:Heavy SW]])</f>
        <v>70.627544655066771</v>
      </c>
      <c r="E26" s="14">
        <f ca="1">DATE(YEAR(TODAY()),INDEX(mthLkUp.tbl[Num],MATCH(mth.input,mthLkUp.tbl[Month],0)),1)</f>
        <v>42795</v>
      </c>
      <c r="F26" s="6">
        <f>1</f>
        <v>1</v>
      </c>
      <c r="G26" s="5">
        <v>1.9</v>
      </c>
      <c r="H26" s="5">
        <v>868.2</v>
      </c>
      <c r="I26" s="5">
        <v>1.04</v>
      </c>
      <c r="J26" s="5">
        <v>1.5</v>
      </c>
      <c r="K26" s="5">
        <v>1.8</v>
      </c>
      <c r="L26" s="5">
        <v>1.5</v>
      </c>
      <c r="M26" s="5">
        <v>3</v>
      </c>
      <c r="N26" s="5">
        <v>1.3</v>
      </c>
      <c r="O26" s="5">
        <v>0.4</v>
      </c>
      <c r="P26" s="5">
        <v>0.2</v>
      </c>
      <c r="Q26" s="6">
        <f>IF(sim.tbl[[#This Row],[Density]]&lt;=770,1,0)</f>
        <v>0</v>
      </c>
      <c r="R26" s="6">
        <f>IF(AND(sim.tbl[[#This Row],[Sulfur]]&gt;0.5,sim.tbl[[#This Row],[Density]]&gt;770,sim.tbl[[#This Row],[Density]]&lt;=825),1,0)</f>
        <v>0</v>
      </c>
      <c r="S26" s="6">
        <f>IF(AND(sim.tbl[[#This Row],[Sulfur]]&lt;=0.5,sim.tbl[[#This Row],[Density]]&gt;770,sim.tbl[[#This Row],[Density]]&lt;=825),1,0)</f>
        <v>0</v>
      </c>
      <c r="T26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26" s="6">
        <f>IF(AND(sim.tbl[[#This Row],[Sulfur]]&lt;0.5,sim.tbl[[#This Row],[Density]]&gt;825,sim.tbl[[#This Row],[Density]]&lt;=900),1,0)</f>
        <v>0</v>
      </c>
      <c r="V26" s="6">
        <f>IF(AND(sim.tbl[[#This Row],[Sulfur]]&gt;2,sim.tbl[[#This Row],[Density]]&gt;865,sim.tbl[[#This Row],[Density]]&lt;=900),1,0)</f>
        <v>0</v>
      </c>
      <c r="W26" s="6">
        <f>IF(AND(sim.tbl[[#This Row],[Sulfur]]&gt;0.5,sim.tbl[[#This Row],[Density]]&gt;900),1,0)</f>
        <v>0</v>
      </c>
      <c r="X26" s="6">
        <f>IF(AND(sim.tbl[[#This Row],[Sulfur]]&lt;=0.5,sim.tbl[[#This Row],[Density]]&gt;900),1,0)</f>
        <v>0</v>
      </c>
      <c r="Y26" s="6">
        <f ca="1">IF(MONTH(sim.tbl[[#This Row],[SDate]])=INDEX(mthLkUp.tbl[Num],MATCH(Y$3,mthLkUp.tbl[Month],0)),1,0)</f>
        <v>0</v>
      </c>
      <c r="Z26" s="6">
        <f ca="1">IF(MONTH(sim.tbl[[#This Row],[SDate]])=INDEX(mthLkUp.tbl[Num],MATCH(Z$3,mthLkUp.tbl[Month],0)),1,0)</f>
        <v>0</v>
      </c>
      <c r="AA26" s="6">
        <f ca="1">IF(MONTH(sim.tbl[[#This Row],[SDate]])=INDEX(mthLkUp.tbl[Num],MATCH(AA$3,mthLkUp.tbl[Month],0)),1,0)</f>
        <v>1</v>
      </c>
      <c r="AB26" s="6">
        <f ca="1">IF(MONTH(sim.tbl[[#This Row],[SDate]])=INDEX(mthLkUp.tbl[Num],MATCH(AB$3,mthLkUp.tbl[Month],0)),1,0)</f>
        <v>0</v>
      </c>
      <c r="AC26" s="6">
        <f ca="1">IF(MONTH(sim.tbl[[#This Row],[SDate]])=INDEX(mthLkUp.tbl[Num],MATCH(AC$3,mthLkUp.tbl[Month],0)),1,0)</f>
        <v>0</v>
      </c>
      <c r="AD26" s="6">
        <f ca="1">IF(MONTH(sim.tbl[[#This Row],[SDate]])=INDEX(mthLkUp.tbl[Num],MATCH(AD$3,mthLkUp.tbl[Month],0)),1,0)</f>
        <v>0</v>
      </c>
      <c r="AE26" s="6">
        <f ca="1">IF(MONTH(sim.tbl[[#This Row],[SDate]])=INDEX(mthLkUp.tbl[Num],MATCH(AE$3,mthLkUp.tbl[Month],0)),1,0)</f>
        <v>0</v>
      </c>
      <c r="AF26" s="6">
        <f ca="1">IF(MONTH(sim.tbl[[#This Row],[SDate]])=INDEX(mthLkUp.tbl[Num],MATCH(AF$3,mthLkUp.tbl[Month],0)),1,0)</f>
        <v>0</v>
      </c>
      <c r="AG26" s="6">
        <f ca="1">IF(MONTH(sim.tbl[[#This Row],[SDate]])=INDEX(mthLkUp.tbl[Num],MATCH(AG$3,mthLkUp.tbl[Month],0)),1,0)</f>
        <v>0</v>
      </c>
      <c r="AH26" s="6">
        <f ca="1">IF(MONTH(sim.tbl[[#This Row],[SDate]])=INDEX(mthLkUp.tbl[Num],MATCH(AH$3,mthLkUp.tbl[Month],0)),1,0)</f>
        <v>0</v>
      </c>
      <c r="AI26" s="6">
        <f ca="1">IF(MONTH(sim.tbl[[#This Row],[SDate]])=INDEX(mthLkUp.tbl[Num],MATCH(AI$3,mthLkUp.tbl[Month],0)),1,0)</f>
        <v>0</v>
      </c>
      <c r="AJ26" s="6">
        <f ca="1">IF(MONTH(sim.tbl[[#This Row],[SDate]])=INDEX(mthLkUp.tbl[Num],MATCH(AJ$3,mthLkUp.tbl[Month],0)),1,0)</f>
        <v>0</v>
      </c>
      <c r="AK26" s="6">
        <v>1</v>
      </c>
      <c r="AL26" s="5">
        <f>sim.tbl[[#This Row],[Sulfur]]*sim.tbl[[#This Row],[C5+]]</f>
        <v>0</v>
      </c>
      <c r="AM26" s="5">
        <f>sim.tbl[[#This Row],[Sulfur]]*sim.tbl[[#This Row],[Light LSB]]</f>
        <v>0</v>
      </c>
      <c r="AN26" s="5">
        <f>sim.tbl[[#This Row],[Sulfur]]*sim.tbl[[#This Row],[Light SW]]</f>
        <v>0</v>
      </c>
      <c r="AO26" s="5">
        <f>sim.tbl[[#This Row],[Sulfur]]*sim.tbl[[#This Row],[Medium LSB]]</f>
        <v>1.9</v>
      </c>
      <c r="AP26" s="5">
        <f>sim.tbl[[#This Row],[Sulfur]]*sim.tbl[[#This Row],[Medium SW]]</f>
        <v>0</v>
      </c>
      <c r="AQ26" s="5">
        <f>sim.tbl[[#This Row],[Sulfur]]*sim.tbl[[#This Row],[Midale]]</f>
        <v>0</v>
      </c>
      <c r="AR26" s="5">
        <f>sim.tbl[[#This Row],[Sulfur]]*sim.tbl[[#This Row],[Heavy Sour]]</f>
        <v>0</v>
      </c>
      <c r="AS26" s="5">
        <f>sim.tbl[[#This Row],[Sulfur]]*sim.tbl[[#This Row],[Heavy SW]]</f>
        <v>0</v>
      </c>
      <c r="AT26" s="5">
        <f>sim.tbl[[#This Row],[Density]]*sim.tbl[[#This Row],[C5+]]</f>
        <v>0</v>
      </c>
      <c r="AU26" s="5">
        <f>sim.tbl[[#This Row],[Density]]*sim.tbl[[#This Row],[Light LSB]]</f>
        <v>0</v>
      </c>
      <c r="AV26" s="5">
        <f>sim.tbl[[#This Row],[Density]]*sim.tbl[[#This Row],[Light SW]]</f>
        <v>0</v>
      </c>
      <c r="AW26" s="5">
        <f>sim.tbl[[#This Row],[Density]]*sim.tbl[[#This Row],[Medium LSB]]</f>
        <v>868.2</v>
      </c>
      <c r="AX26" s="5">
        <f>sim.tbl[[#This Row],[Density]]*sim.tbl[[#This Row],[Medium SW]]</f>
        <v>0</v>
      </c>
      <c r="AY26" s="5">
        <f>sim.tbl[[#This Row],[Density]]*sim.tbl[[#This Row],[Midale]]</f>
        <v>0</v>
      </c>
      <c r="AZ26" s="5">
        <f>sim.tbl[[#This Row],[Density]]*sim.tbl[[#This Row],[Heavy Sour]]</f>
        <v>0</v>
      </c>
      <c r="BA26" s="5">
        <f>sim.tbl[[#This Row],[Density]]*sim.tbl[[#This Row],[Heavy SW]]</f>
        <v>0</v>
      </c>
      <c r="BB26" s="5">
        <f>sim.tbl[[#This Row],[7 Day Rolling Temperature]]*sim.tbl[[#This Row],[C5+]]</f>
        <v>0</v>
      </c>
      <c r="BC26" s="5">
        <f>sim.tbl[[#This Row],[7 Day Rolling Temperature]]*sim.tbl[[#This Row],[Light LSB]]</f>
        <v>0</v>
      </c>
      <c r="BD26" s="5">
        <f>sim.tbl[[#This Row],[7 Day Rolling Temperature]]*sim.tbl[[#This Row],[Light SW]]</f>
        <v>0</v>
      </c>
      <c r="BE26" s="5">
        <f>sim.tbl[[#This Row],[7 Day Rolling Temperature]]*sim.tbl[[#This Row],[Medium LSB]]</f>
        <v>1.5</v>
      </c>
      <c r="BF26" s="5">
        <f>sim.tbl[[#This Row],[7 Day Rolling Temperature]]*sim.tbl[[#This Row],[Medium SW]]</f>
        <v>0</v>
      </c>
      <c r="BG26" s="5">
        <f>sim.tbl[[#This Row],[7 Day Rolling Temperature]]*sim.tbl[[#This Row],[Midale]]</f>
        <v>0</v>
      </c>
      <c r="BH26" s="5">
        <f>sim.tbl[[#This Row],[7 Day Rolling Temperature]]*sim.tbl[[#This Row],[Heavy Sour]]</f>
        <v>0</v>
      </c>
      <c r="BI26" s="5">
        <f>sim.tbl[[#This Row],[7 Day Rolling Temperature]]*sim.tbl[[#This Row],[Heavy SW]]</f>
        <v>0</v>
      </c>
      <c r="BJ26" s="5">
        <f>sim.tbl[[#This Row],[Post Aquisition]]*sim.tbl[[#This Row],[C5+]]</f>
        <v>0</v>
      </c>
      <c r="BK26" s="5">
        <f>sim.tbl[[#This Row],[Post Aquisition]]*sim.tbl[[#This Row],[Light LSB]]</f>
        <v>0</v>
      </c>
      <c r="BL26" s="5">
        <f>sim.tbl[[#This Row],[Post Aquisition]]*sim.tbl[[#This Row],[Light SW]]</f>
        <v>0</v>
      </c>
      <c r="BM26" s="5">
        <f>sim.tbl[[#This Row],[Post Aquisition]]*sim.tbl[[#This Row],[Medium LSB]]</f>
        <v>1</v>
      </c>
      <c r="BN26" s="5">
        <f>sim.tbl[[#This Row],[Post Aquisition]]*sim.tbl[[#This Row],[Medium SW]]</f>
        <v>0</v>
      </c>
      <c r="BO26" s="5">
        <f>sim.tbl[[#This Row],[Post Aquisition]]*sim.tbl[[#This Row],[Midale]]</f>
        <v>0</v>
      </c>
      <c r="BP26" s="5">
        <f>sim.tbl[[#This Row],[Post Aquisition]]*sim.tbl[[#This Row],[Heavy Sour]]</f>
        <v>0</v>
      </c>
      <c r="BQ26" s="5">
        <f>sim.tbl[[#This Row],[Post Aquisition]]*sim.tbl[[#This Row],[Heavy SW]]</f>
        <v>0</v>
      </c>
    </row>
    <row r="27" spans="4:69" x14ac:dyDescent="0.25">
      <c r="D27" s="5">
        <f ca="1">SUMPRODUCT($F$1:$BQ$1,sim.tbl[[#This Row],[(Intercept)]:[Post Aquisition:Heavy SW]])</f>
        <v>69.251492805596229</v>
      </c>
      <c r="E27" s="14">
        <f ca="1">DATE(YEAR(TODAY()),INDEX(mthLkUp.tbl[Num],MATCH(mth.input,mthLkUp.tbl[Month],0)),1)</f>
        <v>42795</v>
      </c>
      <c r="F27" s="6">
        <f>1</f>
        <v>1</v>
      </c>
      <c r="G27" s="5">
        <v>1.93</v>
      </c>
      <c r="H27" s="5">
        <v>869.1</v>
      </c>
      <c r="I27" s="5">
        <v>3.9666666670000001</v>
      </c>
      <c r="J27" s="5">
        <v>4.7</v>
      </c>
      <c r="K27" s="5">
        <v>4.8</v>
      </c>
      <c r="L27" s="5">
        <v>4.7</v>
      </c>
      <c r="M27" s="5">
        <v>3</v>
      </c>
      <c r="N27" s="5">
        <v>4</v>
      </c>
      <c r="O27" s="5">
        <v>5</v>
      </c>
      <c r="P27" s="5">
        <v>2.2999999999999998</v>
      </c>
      <c r="Q27" s="6">
        <f>IF(sim.tbl[[#This Row],[Density]]&lt;=770,1,0)</f>
        <v>0</v>
      </c>
      <c r="R27" s="6">
        <f>IF(AND(sim.tbl[[#This Row],[Sulfur]]&gt;0.5,sim.tbl[[#This Row],[Density]]&gt;770,sim.tbl[[#This Row],[Density]]&lt;=825),1,0)</f>
        <v>0</v>
      </c>
      <c r="S27" s="6">
        <f>IF(AND(sim.tbl[[#This Row],[Sulfur]]&lt;=0.5,sim.tbl[[#This Row],[Density]]&gt;770,sim.tbl[[#This Row],[Density]]&lt;=825),1,0)</f>
        <v>0</v>
      </c>
      <c r="T27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27" s="6">
        <f>IF(AND(sim.tbl[[#This Row],[Sulfur]]&lt;0.5,sim.tbl[[#This Row],[Density]]&gt;825,sim.tbl[[#This Row],[Density]]&lt;=900),1,0)</f>
        <v>0</v>
      </c>
      <c r="V27" s="6">
        <f>IF(AND(sim.tbl[[#This Row],[Sulfur]]&gt;2,sim.tbl[[#This Row],[Density]]&gt;865,sim.tbl[[#This Row],[Density]]&lt;=900),1,0)</f>
        <v>0</v>
      </c>
      <c r="W27" s="6">
        <f>IF(AND(sim.tbl[[#This Row],[Sulfur]]&gt;0.5,sim.tbl[[#This Row],[Density]]&gt;900),1,0)</f>
        <v>0</v>
      </c>
      <c r="X27" s="6">
        <f>IF(AND(sim.tbl[[#This Row],[Sulfur]]&lt;=0.5,sim.tbl[[#This Row],[Density]]&gt;900),1,0)</f>
        <v>0</v>
      </c>
      <c r="Y27" s="6">
        <f ca="1">IF(MONTH(sim.tbl[[#This Row],[SDate]])=INDEX(mthLkUp.tbl[Num],MATCH(Y$3,mthLkUp.tbl[Month],0)),1,0)</f>
        <v>0</v>
      </c>
      <c r="Z27" s="6">
        <f ca="1">IF(MONTH(sim.tbl[[#This Row],[SDate]])=INDEX(mthLkUp.tbl[Num],MATCH(Z$3,mthLkUp.tbl[Month],0)),1,0)</f>
        <v>0</v>
      </c>
      <c r="AA27" s="6">
        <f ca="1">IF(MONTH(sim.tbl[[#This Row],[SDate]])=INDEX(mthLkUp.tbl[Num],MATCH(AA$3,mthLkUp.tbl[Month],0)),1,0)</f>
        <v>1</v>
      </c>
      <c r="AB27" s="6">
        <f ca="1">IF(MONTH(sim.tbl[[#This Row],[SDate]])=INDEX(mthLkUp.tbl[Num],MATCH(AB$3,mthLkUp.tbl[Month],0)),1,0)</f>
        <v>0</v>
      </c>
      <c r="AC27" s="6">
        <f ca="1">IF(MONTH(sim.tbl[[#This Row],[SDate]])=INDEX(mthLkUp.tbl[Num],MATCH(AC$3,mthLkUp.tbl[Month],0)),1,0)</f>
        <v>0</v>
      </c>
      <c r="AD27" s="6">
        <f ca="1">IF(MONTH(sim.tbl[[#This Row],[SDate]])=INDEX(mthLkUp.tbl[Num],MATCH(AD$3,mthLkUp.tbl[Month],0)),1,0)</f>
        <v>0</v>
      </c>
      <c r="AE27" s="6">
        <f ca="1">IF(MONTH(sim.tbl[[#This Row],[SDate]])=INDEX(mthLkUp.tbl[Num],MATCH(AE$3,mthLkUp.tbl[Month],0)),1,0)</f>
        <v>0</v>
      </c>
      <c r="AF27" s="6">
        <f ca="1">IF(MONTH(sim.tbl[[#This Row],[SDate]])=INDEX(mthLkUp.tbl[Num],MATCH(AF$3,mthLkUp.tbl[Month],0)),1,0)</f>
        <v>0</v>
      </c>
      <c r="AG27" s="6">
        <f ca="1">IF(MONTH(sim.tbl[[#This Row],[SDate]])=INDEX(mthLkUp.tbl[Num],MATCH(AG$3,mthLkUp.tbl[Month],0)),1,0)</f>
        <v>0</v>
      </c>
      <c r="AH27" s="6">
        <f ca="1">IF(MONTH(sim.tbl[[#This Row],[SDate]])=INDEX(mthLkUp.tbl[Num],MATCH(AH$3,mthLkUp.tbl[Month],0)),1,0)</f>
        <v>0</v>
      </c>
      <c r="AI27" s="6">
        <f ca="1">IF(MONTH(sim.tbl[[#This Row],[SDate]])=INDEX(mthLkUp.tbl[Num],MATCH(AI$3,mthLkUp.tbl[Month],0)),1,0)</f>
        <v>0</v>
      </c>
      <c r="AJ27" s="6">
        <f ca="1">IF(MONTH(sim.tbl[[#This Row],[SDate]])=INDEX(mthLkUp.tbl[Num],MATCH(AJ$3,mthLkUp.tbl[Month],0)),1,0)</f>
        <v>0</v>
      </c>
      <c r="AK27" s="6">
        <v>1</v>
      </c>
      <c r="AL27" s="5">
        <f>sim.tbl[[#This Row],[Sulfur]]*sim.tbl[[#This Row],[C5+]]</f>
        <v>0</v>
      </c>
      <c r="AM27" s="5">
        <f>sim.tbl[[#This Row],[Sulfur]]*sim.tbl[[#This Row],[Light LSB]]</f>
        <v>0</v>
      </c>
      <c r="AN27" s="5">
        <f>sim.tbl[[#This Row],[Sulfur]]*sim.tbl[[#This Row],[Light SW]]</f>
        <v>0</v>
      </c>
      <c r="AO27" s="5">
        <f>sim.tbl[[#This Row],[Sulfur]]*sim.tbl[[#This Row],[Medium LSB]]</f>
        <v>1.93</v>
      </c>
      <c r="AP27" s="5">
        <f>sim.tbl[[#This Row],[Sulfur]]*sim.tbl[[#This Row],[Medium SW]]</f>
        <v>0</v>
      </c>
      <c r="AQ27" s="5">
        <f>sim.tbl[[#This Row],[Sulfur]]*sim.tbl[[#This Row],[Midale]]</f>
        <v>0</v>
      </c>
      <c r="AR27" s="5">
        <f>sim.tbl[[#This Row],[Sulfur]]*sim.tbl[[#This Row],[Heavy Sour]]</f>
        <v>0</v>
      </c>
      <c r="AS27" s="5">
        <f>sim.tbl[[#This Row],[Sulfur]]*sim.tbl[[#This Row],[Heavy SW]]</f>
        <v>0</v>
      </c>
      <c r="AT27" s="5">
        <f>sim.tbl[[#This Row],[Density]]*sim.tbl[[#This Row],[C5+]]</f>
        <v>0</v>
      </c>
      <c r="AU27" s="5">
        <f>sim.tbl[[#This Row],[Density]]*sim.tbl[[#This Row],[Light LSB]]</f>
        <v>0</v>
      </c>
      <c r="AV27" s="5">
        <f>sim.tbl[[#This Row],[Density]]*sim.tbl[[#This Row],[Light SW]]</f>
        <v>0</v>
      </c>
      <c r="AW27" s="5">
        <f>sim.tbl[[#This Row],[Density]]*sim.tbl[[#This Row],[Medium LSB]]</f>
        <v>869.1</v>
      </c>
      <c r="AX27" s="5">
        <f>sim.tbl[[#This Row],[Density]]*sim.tbl[[#This Row],[Medium SW]]</f>
        <v>0</v>
      </c>
      <c r="AY27" s="5">
        <f>sim.tbl[[#This Row],[Density]]*sim.tbl[[#This Row],[Midale]]</f>
        <v>0</v>
      </c>
      <c r="AZ27" s="5">
        <f>sim.tbl[[#This Row],[Density]]*sim.tbl[[#This Row],[Heavy Sour]]</f>
        <v>0</v>
      </c>
      <c r="BA27" s="5">
        <f>sim.tbl[[#This Row],[Density]]*sim.tbl[[#This Row],[Heavy SW]]</f>
        <v>0</v>
      </c>
      <c r="BB27" s="5">
        <f>sim.tbl[[#This Row],[7 Day Rolling Temperature]]*sim.tbl[[#This Row],[C5+]]</f>
        <v>0</v>
      </c>
      <c r="BC27" s="5">
        <f>sim.tbl[[#This Row],[7 Day Rolling Temperature]]*sim.tbl[[#This Row],[Light LSB]]</f>
        <v>0</v>
      </c>
      <c r="BD27" s="5">
        <f>sim.tbl[[#This Row],[7 Day Rolling Temperature]]*sim.tbl[[#This Row],[Light SW]]</f>
        <v>0</v>
      </c>
      <c r="BE27" s="5">
        <f>sim.tbl[[#This Row],[7 Day Rolling Temperature]]*sim.tbl[[#This Row],[Medium LSB]]</f>
        <v>4.7</v>
      </c>
      <c r="BF27" s="5">
        <f>sim.tbl[[#This Row],[7 Day Rolling Temperature]]*sim.tbl[[#This Row],[Medium SW]]</f>
        <v>0</v>
      </c>
      <c r="BG27" s="5">
        <f>sim.tbl[[#This Row],[7 Day Rolling Temperature]]*sim.tbl[[#This Row],[Midale]]</f>
        <v>0</v>
      </c>
      <c r="BH27" s="5">
        <f>sim.tbl[[#This Row],[7 Day Rolling Temperature]]*sim.tbl[[#This Row],[Heavy Sour]]</f>
        <v>0</v>
      </c>
      <c r="BI27" s="5">
        <f>sim.tbl[[#This Row],[7 Day Rolling Temperature]]*sim.tbl[[#This Row],[Heavy SW]]</f>
        <v>0</v>
      </c>
      <c r="BJ27" s="5">
        <f>sim.tbl[[#This Row],[Post Aquisition]]*sim.tbl[[#This Row],[C5+]]</f>
        <v>0</v>
      </c>
      <c r="BK27" s="5">
        <f>sim.tbl[[#This Row],[Post Aquisition]]*sim.tbl[[#This Row],[Light LSB]]</f>
        <v>0</v>
      </c>
      <c r="BL27" s="5">
        <f>sim.tbl[[#This Row],[Post Aquisition]]*sim.tbl[[#This Row],[Light SW]]</f>
        <v>0</v>
      </c>
      <c r="BM27" s="5">
        <f>sim.tbl[[#This Row],[Post Aquisition]]*sim.tbl[[#This Row],[Medium LSB]]</f>
        <v>1</v>
      </c>
      <c r="BN27" s="5">
        <f>sim.tbl[[#This Row],[Post Aquisition]]*sim.tbl[[#This Row],[Medium SW]]</f>
        <v>0</v>
      </c>
      <c r="BO27" s="5">
        <f>sim.tbl[[#This Row],[Post Aquisition]]*sim.tbl[[#This Row],[Midale]]</f>
        <v>0</v>
      </c>
      <c r="BP27" s="5">
        <f>sim.tbl[[#This Row],[Post Aquisition]]*sim.tbl[[#This Row],[Heavy Sour]]</f>
        <v>0</v>
      </c>
      <c r="BQ27" s="5">
        <f>sim.tbl[[#This Row],[Post Aquisition]]*sim.tbl[[#This Row],[Heavy SW]]</f>
        <v>0</v>
      </c>
    </row>
    <row r="28" spans="4:69" x14ac:dyDescent="0.25">
      <c r="D28" s="5">
        <f ca="1">SUMPRODUCT($F$1:$BQ$1,sim.tbl[[#This Row],[(Intercept)]:[Post Aquisition:Heavy SW]])</f>
        <v>65.633613128217206</v>
      </c>
      <c r="E28" s="14">
        <f ca="1">DATE(YEAR(TODAY()),INDEX(mthLkUp.tbl[Num],MATCH(mth.input,mthLkUp.tbl[Month],0)),1)</f>
        <v>42795</v>
      </c>
      <c r="F28" s="6">
        <f>1</f>
        <v>1</v>
      </c>
      <c r="G28" s="5">
        <v>2.09</v>
      </c>
      <c r="H28" s="5">
        <v>876</v>
      </c>
      <c r="I28" s="5">
        <v>-9.2166666670000001</v>
      </c>
      <c r="J28" s="5">
        <v>-6.7</v>
      </c>
      <c r="K28" s="5">
        <v>-8</v>
      </c>
      <c r="L28" s="5">
        <v>-6.7</v>
      </c>
      <c r="M28" s="5">
        <v>-11.8</v>
      </c>
      <c r="N28" s="5">
        <v>-5</v>
      </c>
      <c r="O28" s="5">
        <v>-12.5</v>
      </c>
      <c r="P28" s="5">
        <v>-11.3</v>
      </c>
      <c r="Q28" s="6">
        <f>IF(sim.tbl[[#This Row],[Density]]&lt;=770,1,0)</f>
        <v>0</v>
      </c>
      <c r="R28" s="6">
        <f>IF(AND(sim.tbl[[#This Row],[Sulfur]]&gt;0.5,sim.tbl[[#This Row],[Density]]&gt;770,sim.tbl[[#This Row],[Density]]&lt;=825),1,0)</f>
        <v>0</v>
      </c>
      <c r="S28" s="6">
        <f>IF(AND(sim.tbl[[#This Row],[Sulfur]]&lt;=0.5,sim.tbl[[#This Row],[Density]]&gt;770,sim.tbl[[#This Row],[Density]]&lt;=825),1,0)</f>
        <v>0</v>
      </c>
      <c r="T28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28" s="6">
        <f>IF(AND(sim.tbl[[#This Row],[Sulfur]]&lt;0.5,sim.tbl[[#This Row],[Density]]&gt;825,sim.tbl[[#This Row],[Density]]&lt;=900),1,0)</f>
        <v>0</v>
      </c>
      <c r="V28" s="6">
        <f>IF(AND(sim.tbl[[#This Row],[Sulfur]]&gt;2,sim.tbl[[#This Row],[Density]]&gt;865,sim.tbl[[#This Row],[Density]]&lt;=900),1,0)</f>
        <v>1</v>
      </c>
      <c r="W28" s="6">
        <f>IF(AND(sim.tbl[[#This Row],[Sulfur]]&gt;0.5,sim.tbl[[#This Row],[Density]]&gt;900),1,0)</f>
        <v>0</v>
      </c>
      <c r="X28" s="6">
        <f>IF(AND(sim.tbl[[#This Row],[Sulfur]]&lt;=0.5,sim.tbl[[#This Row],[Density]]&gt;900),1,0)</f>
        <v>0</v>
      </c>
      <c r="Y28" s="6">
        <f ca="1">IF(MONTH(sim.tbl[[#This Row],[SDate]])=INDEX(mthLkUp.tbl[Num],MATCH(Y$3,mthLkUp.tbl[Month],0)),1,0)</f>
        <v>0</v>
      </c>
      <c r="Z28" s="6">
        <f ca="1">IF(MONTH(sim.tbl[[#This Row],[SDate]])=INDEX(mthLkUp.tbl[Num],MATCH(Z$3,mthLkUp.tbl[Month],0)),1,0)</f>
        <v>0</v>
      </c>
      <c r="AA28" s="6">
        <f ca="1">IF(MONTH(sim.tbl[[#This Row],[SDate]])=INDEX(mthLkUp.tbl[Num],MATCH(AA$3,mthLkUp.tbl[Month],0)),1,0)</f>
        <v>1</v>
      </c>
      <c r="AB28" s="6">
        <f ca="1">IF(MONTH(sim.tbl[[#This Row],[SDate]])=INDEX(mthLkUp.tbl[Num],MATCH(AB$3,mthLkUp.tbl[Month],0)),1,0)</f>
        <v>0</v>
      </c>
      <c r="AC28" s="6">
        <f ca="1">IF(MONTH(sim.tbl[[#This Row],[SDate]])=INDEX(mthLkUp.tbl[Num],MATCH(AC$3,mthLkUp.tbl[Month],0)),1,0)</f>
        <v>0</v>
      </c>
      <c r="AD28" s="6">
        <f ca="1">IF(MONTH(sim.tbl[[#This Row],[SDate]])=INDEX(mthLkUp.tbl[Num],MATCH(AD$3,mthLkUp.tbl[Month],0)),1,0)</f>
        <v>0</v>
      </c>
      <c r="AE28" s="6">
        <f ca="1">IF(MONTH(sim.tbl[[#This Row],[SDate]])=INDEX(mthLkUp.tbl[Num],MATCH(AE$3,mthLkUp.tbl[Month],0)),1,0)</f>
        <v>0</v>
      </c>
      <c r="AF28" s="6">
        <f ca="1">IF(MONTH(sim.tbl[[#This Row],[SDate]])=INDEX(mthLkUp.tbl[Num],MATCH(AF$3,mthLkUp.tbl[Month],0)),1,0)</f>
        <v>0</v>
      </c>
      <c r="AG28" s="6">
        <f ca="1">IF(MONTH(sim.tbl[[#This Row],[SDate]])=INDEX(mthLkUp.tbl[Num],MATCH(AG$3,mthLkUp.tbl[Month],0)),1,0)</f>
        <v>0</v>
      </c>
      <c r="AH28" s="6">
        <f ca="1">IF(MONTH(sim.tbl[[#This Row],[SDate]])=INDEX(mthLkUp.tbl[Num],MATCH(AH$3,mthLkUp.tbl[Month],0)),1,0)</f>
        <v>0</v>
      </c>
      <c r="AI28" s="6">
        <f ca="1">IF(MONTH(sim.tbl[[#This Row],[SDate]])=INDEX(mthLkUp.tbl[Num],MATCH(AI$3,mthLkUp.tbl[Month],0)),1,0)</f>
        <v>0</v>
      </c>
      <c r="AJ28" s="6">
        <f ca="1">IF(MONTH(sim.tbl[[#This Row],[SDate]])=INDEX(mthLkUp.tbl[Num],MATCH(AJ$3,mthLkUp.tbl[Month],0)),1,0)</f>
        <v>0</v>
      </c>
      <c r="AK28" s="6">
        <v>1</v>
      </c>
      <c r="AL28" s="5">
        <f>sim.tbl[[#This Row],[Sulfur]]*sim.tbl[[#This Row],[C5+]]</f>
        <v>0</v>
      </c>
      <c r="AM28" s="5">
        <f>sim.tbl[[#This Row],[Sulfur]]*sim.tbl[[#This Row],[Light LSB]]</f>
        <v>0</v>
      </c>
      <c r="AN28" s="5">
        <f>sim.tbl[[#This Row],[Sulfur]]*sim.tbl[[#This Row],[Light SW]]</f>
        <v>0</v>
      </c>
      <c r="AO28" s="5">
        <f>sim.tbl[[#This Row],[Sulfur]]*sim.tbl[[#This Row],[Medium LSB]]</f>
        <v>0</v>
      </c>
      <c r="AP28" s="5">
        <f>sim.tbl[[#This Row],[Sulfur]]*sim.tbl[[#This Row],[Medium SW]]</f>
        <v>0</v>
      </c>
      <c r="AQ28" s="5">
        <f>sim.tbl[[#This Row],[Sulfur]]*sim.tbl[[#This Row],[Midale]]</f>
        <v>2.09</v>
      </c>
      <c r="AR28" s="5">
        <f>sim.tbl[[#This Row],[Sulfur]]*sim.tbl[[#This Row],[Heavy Sour]]</f>
        <v>0</v>
      </c>
      <c r="AS28" s="5">
        <f>sim.tbl[[#This Row],[Sulfur]]*sim.tbl[[#This Row],[Heavy SW]]</f>
        <v>0</v>
      </c>
      <c r="AT28" s="5">
        <f>sim.tbl[[#This Row],[Density]]*sim.tbl[[#This Row],[C5+]]</f>
        <v>0</v>
      </c>
      <c r="AU28" s="5">
        <f>sim.tbl[[#This Row],[Density]]*sim.tbl[[#This Row],[Light LSB]]</f>
        <v>0</v>
      </c>
      <c r="AV28" s="5">
        <f>sim.tbl[[#This Row],[Density]]*sim.tbl[[#This Row],[Light SW]]</f>
        <v>0</v>
      </c>
      <c r="AW28" s="5">
        <f>sim.tbl[[#This Row],[Density]]*sim.tbl[[#This Row],[Medium LSB]]</f>
        <v>0</v>
      </c>
      <c r="AX28" s="5">
        <f>sim.tbl[[#This Row],[Density]]*sim.tbl[[#This Row],[Medium SW]]</f>
        <v>0</v>
      </c>
      <c r="AY28" s="5">
        <f>sim.tbl[[#This Row],[Density]]*sim.tbl[[#This Row],[Midale]]</f>
        <v>876</v>
      </c>
      <c r="AZ28" s="5">
        <f>sim.tbl[[#This Row],[Density]]*sim.tbl[[#This Row],[Heavy Sour]]</f>
        <v>0</v>
      </c>
      <c r="BA28" s="5">
        <f>sim.tbl[[#This Row],[Density]]*sim.tbl[[#This Row],[Heavy SW]]</f>
        <v>0</v>
      </c>
      <c r="BB28" s="5">
        <f>sim.tbl[[#This Row],[7 Day Rolling Temperature]]*sim.tbl[[#This Row],[C5+]]</f>
        <v>0</v>
      </c>
      <c r="BC28" s="5">
        <f>sim.tbl[[#This Row],[7 Day Rolling Temperature]]*sim.tbl[[#This Row],[Light LSB]]</f>
        <v>0</v>
      </c>
      <c r="BD28" s="5">
        <f>sim.tbl[[#This Row],[7 Day Rolling Temperature]]*sim.tbl[[#This Row],[Light SW]]</f>
        <v>0</v>
      </c>
      <c r="BE28" s="5">
        <f>sim.tbl[[#This Row],[7 Day Rolling Temperature]]*sim.tbl[[#This Row],[Medium LSB]]</f>
        <v>0</v>
      </c>
      <c r="BF28" s="5">
        <f>sim.tbl[[#This Row],[7 Day Rolling Temperature]]*sim.tbl[[#This Row],[Medium SW]]</f>
        <v>0</v>
      </c>
      <c r="BG28" s="5">
        <f>sim.tbl[[#This Row],[7 Day Rolling Temperature]]*sim.tbl[[#This Row],[Midale]]</f>
        <v>-6.7</v>
      </c>
      <c r="BH28" s="5">
        <f>sim.tbl[[#This Row],[7 Day Rolling Temperature]]*sim.tbl[[#This Row],[Heavy Sour]]</f>
        <v>0</v>
      </c>
      <c r="BI28" s="5">
        <f>sim.tbl[[#This Row],[7 Day Rolling Temperature]]*sim.tbl[[#This Row],[Heavy SW]]</f>
        <v>0</v>
      </c>
      <c r="BJ28" s="5">
        <f>sim.tbl[[#This Row],[Post Aquisition]]*sim.tbl[[#This Row],[C5+]]</f>
        <v>0</v>
      </c>
      <c r="BK28" s="5">
        <f>sim.tbl[[#This Row],[Post Aquisition]]*sim.tbl[[#This Row],[Light LSB]]</f>
        <v>0</v>
      </c>
      <c r="BL28" s="5">
        <f>sim.tbl[[#This Row],[Post Aquisition]]*sim.tbl[[#This Row],[Light SW]]</f>
        <v>0</v>
      </c>
      <c r="BM28" s="5">
        <f>sim.tbl[[#This Row],[Post Aquisition]]*sim.tbl[[#This Row],[Medium LSB]]</f>
        <v>0</v>
      </c>
      <c r="BN28" s="5">
        <f>sim.tbl[[#This Row],[Post Aquisition]]*sim.tbl[[#This Row],[Medium SW]]</f>
        <v>0</v>
      </c>
      <c r="BO28" s="5">
        <f>sim.tbl[[#This Row],[Post Aquisition]]*sim.tbl[[#This Row],[Midale]]</f>
        <v>1</v>
      </c>
      <c r="BP28" s="5">
        <f>sim.tbl[[#This Row],[Post Aquisition]]*sim.tbl[[#This Row],[Heavy Sour]]</f>
        <v>0</v>
      </c>
      <c r="BQ28" s="5">
        <f>sim.tbl[[#This Row],[Post Aquisition]]*sim.tbl[[#This Row],[Heavy SW]]</f>
        <v>0</v>
      </c>
    </row>
    <row r="29" spans="4:69" x14ac:dyDescent="0.25">
      <c r="D29" s="5">
        <f ca="1">SUMPRODUCT($F$1:$BQ$1,sim.tbl[[#This Row],[(Intercept)]:[Post Aquisition:Heavy SW]])</f>
        <v>74.241685665388502</v>
      </c>
      <c r="E29" s="14">
        <f ca="1">DATE(YEAR(TODAY()),INDEX(mthLkUp.tbl[Num],MATCH(mth.input,mthLkUp.tbl[Month],0)),1)</f>
        <v>42795</v>
      </c>
      <c r="F29" s="6">
        <f>1</f>
        <v>1</v>
      </c>
      <c r="G29" s="5">
        <v>1.9</v>
      </c>
      <c r="H29" s="5">
        <v>866.3</v>
      </c>
      <c r="I29" s="5">
        <v>-6.22</v>
      </c>
      <c r="J29" s="5">
        <v>-7.1</v>
      </c>
      <c r="K29" s="5">
        <v>-6.2</v>
      </c>
      <c r="L29" s="5">
        <v>-7.1</v>
      </c>
      <c r="M29" s="5">
        <v>2.8</v>
      </c>
      <c r="N29" s="5">
        <v>-6.5</v>
      </c>
      <c r="O29" s="5">
        <v>-5.6</v>
      </c>
      <c r="P29" s="5">
        <v>-5.7</v>
      </c>
      <c r="Q29" s="6">
        <f>IF(sim.tbl[[#This Row],[Density]]&lt;=770,1,0)</f>
        <v>0</v>
      </c>
      <c r="R29" s="6">
        <f>IF(AND(sim.tbl[[#This Row],[Sulfur]]&gt;0.5,sim.tbl[[#This Row],[Density]]&gt;770,sim.tbl[[#This Row],[Density]]&lt;=825),1,0)</f>
        <v>0</v>
      </c>
      <c r="S29" s="6">
        <f>IF(AND(sim.tbl[[#This Row],[Sulfur]]&lt;=0.5,sim.tbl[[#This Row],[Density]]&gt;770,sim.tbl[[#This Row],[Density]]&lt;=825),1,0)</f>
        <v>0</v>
      </c>
      <c r="T29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29" s="6">
        <f>IF(AND(sim.tbl[[#This Row],[Sulfur]]&lt;0.5,sim.tbl[[#This Row],[Density]]&gt;825,sim.tbl[[#This Row],[Density]]&lt;=900),1,0)</f>
        <v>0</v>
      </c>
      <c r="V29" s="6">
        <f>IF(AND(sim.tbl[[#This Row],[Sulfur]]&gt;2,sim.tbl[[#This Row],[Density]]&gt;865,sim.tbl[[#This Row],[Density]]&lt;=900),1,0)</f>
        <v>0</v>
      </c>
      <c r="W29" s="6">
        <f>IF(AND(sim.tbl[[#This Row],[Sulfur]]&gt;0.5,sim.tbl[[#This Row],[Density]]&gt;900),1,0)</f>
        <v>0</v>
      </c>
      <c r="X29" s="6">
        <f>IF(AND(sim.tbl[[#This Row],[Sulfur]]&lt;=0.5,sim.tbl[[#This Row],[Density]]&gt;900),1,0)</f>
        <v>0</v>
      </c>
      <c r="Y29" s="6">
        <f ca="1">IF(MONTH(sim.tbl[[#This Row],[SDate]])=INDEX(mthLkUp.tbl[Num],MATCH(Y$3,mthLkUp.tbl[Month],0)),1,0)</f>
        <v>0</v>
      </c>
      <c r="Z29" s="6">
        <f ca="1">IF(MONTH(sim.tbl[[#This Row],[SDate]])=INDEX(mthLkUp.tbl[Num],MATCH(Z$3,mthLkUp.tbl[Month],0)),1,0)</f>
        <v>0</v>
      </c>
      <c r="AA29" s="6">
        <f ca="1">IF(MONTH(sim.tbl[[#This Row],[SDate]])=INDEX(mthLkUp.tbl[Num],MATCH(AA$3,mthLkUp.tbl[Month],0)),1,0)</f>
        <v>1</v>
      </c>
      <c r="AB29" s="6">
        <f ca="1">IF(MONTH(sim.tbl[[#This Row],[SDate]])=INDEX(mthLkUp.tbl[Num],MATCH(AB$3,mthLkUp.tbl[Month],0)),1,0)</f>
        <v>0</v>
      </c>
      <c r="AC29" s="6">
        <f ca="1">IF(MONTH(sim.tbl[[#This Row],[SDate]])=INDEX(mthLkUp.tbl[Num],MATCH(AC$3,mthLkUp.tbl[Month],0)),1,0)</f>
        <v>0</v>
      </c>
      <c r="AD29" s="6">
        <f ca="1">IF(MONTH(sim.tbl[[#This Row],[SDate]])=INDEX(mthLkUp.tbl[Num],MATCH(AD$3,mthLkUp.tbl[Month],0)),1,0)</f>
        <v>0</v>
      </c>
      <c r="AE29" s="6">
        <f ca="1">IF(MONTH(sim.tbl[[#This Row],[SDate]])=INDEX(mthLkUp.tbl[Num],MATCH(AE$3,mthLkUp.tbl[Month],0)),1,0)</f>
        <v>0</v>
      </c>
      <c r="AF29" s="6">
        <f ca="1">IF(MONTH(sim.tbl[[#This Row],[SDate]])=INDEX(mthLkUp.tbl[Num],MATCH(AF$3,mthLkUp.tbl[Month],0)),1,0)</f>
        <v>0</v>
      </c>
      <c r="AG29" s="6">
        <f ca="1">IF(MONTH(sim.tbl[[#This Row],[SDate]])=INDEX(mthLkUp.tbl[Num],MATCH(AG$3,mthLkUp.tbl[Month],0)),1,0)</f>
        <v>0</v>
      </c>
      <c r="AH29" s="6">
        <f ca="1">IF(MONTH(sim.tbl[[#This Row],[SDate]])=INDEX(mthLkUp.tbl[Num],MATCH(AH$3,mthLkUp.tbl[Month],0)),1,0)</f>
        <v>0</v>
      </c>
      <c r="AI29" s="6">
        <f ca="1">IF(MONTH(sim.tbl[[#This Row],[SDate]])=INDEX(mthLkUp.tbl[Num],MATCH(AI$3,mthLkUp.tbl[Month],0)),1,0)</f>
        <v>0</v>
      </c>
      <c r="AJ29" s="6">
        <f ca="1">IF(MONTH(sim.tbl[[#This Row],[SDate]])=INDEX(mthLkUp.tbl[Num],MATCH(AJ$3,mthLkUp.tbl[Month],0)),1,0)</f>
        <v>0</v>
      </c>
      <c r="AK29" s="6">
        <v>1</v>
      </c>
      <c r="AL29" s="5">
        <f>sim.tbl[[#This Row],[Sulfur]]*sim.tbl[[#This Row],[C5+]]</f>
        <v>0</v>
      </c>
      <c r="AM29" s="5">
        <f>sim.tbl[[#This Row],[Sulfur]]*sim.tbl[[#This Row],[Light LSB]]</f>
        <v>0</v>
      </c>
      <c r="AN29" s="5">
        <f>sim.tbl[[#This Row],[Sulfur]]*sim.tbl[[#This Row],[Light SW]]</f>
        <v>0</v>
      </c>
      <c r="AO29" s="5">
        <f>sim.tbl[[#This Row],[Sulfur]]*sim.tbl[[#This Row],[Medium LSB]]</f>
        <v>1.9</v>
      </c>
      <c r="AP29" s="5">
        <f>sim.tbl[[#This Row],[Sulfur]]*sim.tbl[[#This Row],[Medium SW]]</f>
        <v>0</v>
      </c>
      <c r="AQ29" s="5">
        <f>sim.tbl[[#This Row],[Sulfur]]*sim.tbl[[#This Row],[Midale]]</f>
        <v>0</v>
      </c>
      <c r="AR29" s="5">
        <f>sim.tbl[[#This Row],[Sulfur]]*sim.tbl[[#This Row],[Heavy Sour]]</f>
        <v>0</v>
      </c>
      <c r="AS29" s="5">
        <f>sim.tbl[[#This Row],[Sulfur]]*sim.tbl[[#This Row],[Heavy SW]]</f>
        <v>0</v>
      </c>
      <c r="AT29" s="5">
        <f>sim.tbl[[#This Row],[Density]]*sim.tbl[[#This Row],[C5+]]</f>
        <v>0</v>
      </c>
      <c r="AU29" s="5">
        <f>sim.tbl[[#This Row],[Density]]*sim.tbl[[#This Row],[Light LSB]]</f>
        <v>0</v>
      </c>
      <c r="AV29" s="5">
        <f>sim.tbl[[#This Row],[Density]]*sim.tbl[[#This Row],[Light SW]]</f>
        <v>0</v>
      </c>
      <c r="AW29" s="5">
        <f>sim.tbl[[#This Row],[Density]]*sim.tbl[[#This Row],[Medium LSB]]</f>
        <v>866.3</v>
      </c>
      <c r="AX29" s="5">
        <f>sim.tbl[[#This Row],[Density]]*sim.tbl[[#This Row],[Medium SW]]</f>
        <v>0</v>
      </c>
      <c r="AY29" s="5">
        <f>sim.tbl[[#This Row],[Density]]*sim.tbl[[#This Row],[Midale]]</f>
        <v>0</v>
      </c>
      <c r="AZ29" s="5">
        <f>sim.tbl[[#This Row],[Density]]*sim.tbl[[#This Row],[Heavy Sour]]</f>
        <v>0</v>
      </c>
      <c r="BA29" s="5">
        <f>sim.tbl[[#This Row],[Density]]*sim.tbl[[#This Row],[Heavy SW]]</f>
        <v>0</v>
      </c>
      <c r="BB29" s="5">
        <f>sim.tbl[[#This Row],[7 Day Rolling Temperature]]*sim.tbl[[#This Row],[C5+]]</f>
        <v>0</v>
      </c>
      <c r="BC29" s="5">
        <f>sim.tbl[[#This Row],[7 Day Rolling Temperature]]*sim.tbl[[#This Row],[Light LSB]]</f>
        <v>0</v>
      </c>
      <c r="BD29" s="5">
        <f>sim.tbl[[#This Row],[7 Day Rolling Temperature]]*sim.tbl[[#This Row],[Light SW]]</f>
        <v>0</v>
      </c>
      <c r="BE29" s="5">
        <f>sim.tbl[[#This Row],[7 Day Rolling Temperature]]*sim.tbl[[#This Row],[Medium LSB]]</f>
        <v>-7.1</v>
      </c>
      <c r="BF29" s="5">
        <f>sim.tbl[[#This Row],[7 Day Rolling Temperature]]*sim.tbl[[#This Row],[Medium SW]]</f>
        <v>0</v>
      </c>
      <c r="BG29" s="5">
        <f>sim.tbl[[#This Row],[7 Day Rolling Temperature]]*sim.tbl[[#This Row],[Midale]]</f>
        <v>0</v>
      </c>
      <c r="BH29" s="5">
        <f>sim.tbl[[#This Row],[7 Day Rolling Temperature]]*sim.tbl[[#This Row],[Heavy Sour]]</f>
        <v>0</v>
      </c>
      <c r="BI29" s="5">
        <f>sim.tbl[[#This Row],[7 Day Rolling Temperature]]*sim.tbl[[#This Row],[Heavy SW]]</f>
        <v>0</v>
      </c>
      <c r="BJ29" s="5">
        <f>sim.tbl[[#This Row],[Post Aquisition]]*sim.tbl[[#This Row],[C5+]]</f>
        <v>0</v>
      </c>
      <c r="BK29" s="5">
        <f>sim.tbl[[#This Row],[Post Aquisition]]*sim.tbl[[#This Row],[Light LSB]]</f>
        <v>0</v>
      </c>
      <c r="BL29" s="5">
        <f>sim.tbl[[#This Row],[Post Aquisition]]*sim.tbl[[#This Row],[Light SW]]</f>
        <v>0</v>
      </c>
      <c r="BM29" s="5">
        <f>sim.tbl[[#This Row],[Post Aquisition]]*sim.tbl[[#This Row],[Medium LSB]]</f>
        <v>1</v>
      </c>
      <c r="BN29" s="5">
        <f>sim.tbl[[#This Row],[Post Aquisition]]*sim.tbl[[#This Row],[Medium SW]]</f>
        <v>0</v>
      </c>
      <c r="BO29" s="5">
        <f>sim.tbl[[#This Row],[Post Aquisition]]*sim.tbl[[#This Row],[Midale]]</f>
        <v>0</v>
      </c>
      <c r="BP29" s="5">
        <f>sim.tbl[[#This Row],[Post Aquisition]]*sim.tbl[[#This Row],[Heavy Sour]]</f>
        <v>0</v>
      </c>
      <c r="BQ29" s="5">
        <f>sim.tbl[[#This Row],[Post Aquisition]]*sim.tbl[[#This Row],[Heavy SW]]</f>
        <v>0</v>
      </c>
    </row>
    <row r="30" spans="4:69" x14ac:dyDescent="0.25">
      <c r="D30" s="5">
        <f ca="1">SUMPRODUCT($F$1:$BQ$1,sim.tbl[[#This Row],[(Intercept)]:[Post Aquisition:Heavy SW]])</f>
        <v>71.913110591109216</v>
      </c>
      <c r="E30" s="14">
        <f ca="1">DATE(YEAR(TODAY()),INDEX(mthLkUp.tbl[Num],MATCH(mth.input,mthLkUp.tbl[Month],0)),1)</f>
        <v>42795</v>
      </c>
      <c r="F30" s="6">
        <f>1</f>
        <v>1</v>
      </c>
      <c r="G30" s="5">
        <v>1.85</v>
      </c>
      <c r="H30" s="5">
        <v>862.3</v>
      </c>
      <c r="I30" s="5">
        <v>3.75</v>
      </c>
      <c r="J30" s="5">
        <v>2.9</v>
      </c>
      <c r="K30" s="5">
        <v>4.5</v>
      </c>
      <c r="L30" s="5">
        <v>2.9</v>
      </c>
      <c r="M30" s="5">
        <v>4.8</v>
      </c>
      <c r="N30" s="5">
        <v>4.5</v>
      </c>
      <c r="O30" s="5">
        <v>3.7</v>
      </c>
      <c r="P30" s="5">
        <v>2.1</v>
      </c>
      <c r="Q30" s="6">
        <f>IF(sim.tbl[[#This Row],[Density]]&lt;=770,1,0)</f>
        <v>0</v>
      </c>
      <c r="R30" s="6">
        <f>IF(AND(sim.tbl[[#This Row],[Sulfur]]&gt;0.5,sim.tbl[[#This Row],[Density]]&gt;770,sim.tbl[[#This Row],[Density]]&lt;=825),1,0)</f>
        <v>0</v>
      </c>
      <c r="S30" s="6">
        <f>IF(AND(sim.tbl[[#This Row],[Sulfur]]&lt;=0.5,sim.tbl[[#This Row],[Density]]&gt;770,sim.tbl[[#This Row],[Density]]&lt;=825),1,0)</f>
        <v>0</v>
      </c>
      <c r="T30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30" s="6">
        <f>IF(AND(sim.tbl[[#This Row],[Sulfur]]&lt;0.5,sim.tbl[[#This Row],[Density]]&gt;825,sim.tbl[[#This Row],[Density]]&lt;=900),1,0)</f>
        <v>0</v>
      </c>
      <c r="V30" s="6">
        <f>IF(AND(sim.tbl[[#This Row],[Sulfur]]&gt;2,sim.tbl[[#This Row],[Density]]&gt;865,sim.tbl[[#This Row],[Density]]&lt;=900),1,0)</f>
        <v>0</v>
      </c>
      <c r="W30" s="6">
        <f>IF(AND(sim.tbl[[#This Row],[Sulfur]]&gt;0.5,sim.tbl[[#This Row],[Density]]&gt;900),1,0)</f>
        <v>0</v>
      </c>
      <c r="X30" s="6">
        <f>IF(AND(sim.tbl[[#This Row],[Sulfur]]&lt;=0.5,sim.tbl[[#This Row],[Density]]&gt;900),1,0)</f>
        <v>0</v>
      </c>
      <c r="Y30" s="6">
        <f ca="1">IF(MONTH(sim.tbl[[#This Row],[SDate]])=INDEX(mthLkUp.tbl[Num],MATCH(Y$3,mthLkUp.tbl[Month],0)),1,0)</f>
        <v>0</v>
      </c>
      <c r="Z30" s="6">
        <f ca="1">IF(MONTH(sim.tbl[[#This Row],[SDate]])=INDEX(mthLkUp.tbl[Num],MATCH(Z$3,mthLkUp.tbl[Month],0)),1,0)</f>
        <v>0</v>
      </c>
      <c r="AA30" s="6">
        <f ca="1">IF(MONTH(sim.tbl[[#This Row],[SDate]])=INDEX(mthLkUp.tbl[Num],MATCH(AA$3,mthLkUp.tbl[Month],0)),1,0)</f>
        <v>1</v>
      </c>
      <c r="AB30" s="6">
        <f ca="1">IF(MONTH(sim.tbl[[#This Row],[SDate]])=INDEX(mthLkUp.tbl[Num],MATCH(AB$3,mthLkUp.tbl[Month],0)),1,0)</f>
        <v>0</v>
      </c>
      <c r="AC30" s="6">
        <f ca="1">IF(MONTH(sim.tbl[[#This Row],[SDate]])=INDEX(mthLkUp.tbl[Num],MATCH(AC$3,mthLkUp.tbl[Month],0)),1,0)</f>
        <v>0</v>
      </c>
      <c r="AD30" s="6">
        <f ca="1">IF(MONTH(sim.tbl[[#This Row],[SDate]])=INDEX(mthLkUp.tbl[Num],MATCH(AD$3,mthLkUp.tbl[Month],0)),1,0)</f>
        <v>0</v>
      </c>
      <c r="AE30" s="6">
        <f ca="1">IF(MONTH(sim.tbl[[#This Row],[SDate]])=INDEX(mthLkUp.tbl[Num],MATCH(AE$3,mthLkUp.tbl[Month],0)),1,0)</f>
        <v>0</v>
      </c>
      <c r="AF30" s="6">
        <f ca="1">IF(MONTH(sim.tbl[[#This Row],[SDate]])=INDEX(mthLkUp.tbl[Num],MATCH(AF$3,mthLkUp.tbl[Month],0)),1,0)</f>
        <v>0</v>
      </c>
      <c r="AG30" s="6">
        <f ca="1">IF(MONTH(sim.tbl[[#This Row],[SDate]])=INDEX(mthLkUp.tbl[Num],MATCH(AG$3,mthLkUp.tbl[Month],0)),1,0)</f>
        <v>0</v>
      </c>
      <c r="AH30" s="6">
        <f ca="1">IF(MONTH(sim.tbl[[#This Row],[SDate]])=INDEX(mthLkUp.tbl[Num],MATCH(AH$3,mthLkUp.tbl[Month],0)),1,0)</f>
        <v>0</v>
      </c>
      <c r="AI30" s="6">
        <f ca="1">IF(MONTH(sim.tbl[[#This Row],[SDate]])=INDEX(mthLkUp.tbl[Num],MATCH(AI$3,mthLkUp.tbl[Month],0)),1,0)</f>
        <v>0</v>
      </c>
      <c r="AJ30" s="6">
        <f ca="1">IF(MONTH(sim.tbl[[#This Row],[SDate]])=INDEX(mthLkUp.tbl[Num],MATCH(AJ$3,mthLkUp.tbl[Month],0)),1,0)</f>
        <v>0</v>
      </c>
      <c r="AK30" s="6">
        <v>1</v>
      </c>
      <c r="AL30" s="5">
        <f>sim.tbl[[#This Row],[Sulfur]]*sim.tbl[[#This Row],[C5+]]</f>
        <v>0</v>
      </c>
      <c r="AM30" s="5">
        <f>sim.tbl[[#This Row],[Sulfur]]*sim.tbl[[#This Row],[Light LSB]]</f>
        <v>0</v>
      </c>
      <c r="AN30" s="5">
        <f>sim.tbl[[#This Row],[Sulfur]]*sim.tbl[[#This Row],[Light SW]]</f>
        <v>0</v>
      </c>
      <c r="AO30" s="5">
        <f>sim.tbl[[#This Row],[Sulfur]]*sim.tbl[[#This Row],[Medium LSB]]</f>
        <v>1.85</v>
      </c>
      <c r="AP30" s="5">
        <f>sim.tbl[[#This Row],[Sulfur]]*sim.tbl[[#This Row],[Medium SW]]</f>
        <v>0</v>
      </c>
      <c r="AQ30" s="5">
        <f>sim.tbl[[#This Row],[Sulfur]]*sim.tbl[[#This Row],[Midale]]</f>
        <v>0</v>
      </c>
      <c r="AR30" s="5">
        <f>sim.tbl[[#This Row],[Sulfur]]*sim.tbl[[#This Row],[Heavy Sour]]</f>
        <v>0</v>
      </c>
      <c r="AS30" s="5">
        <f>sim.tbl[[#This Row],[Sulfur]]*sim.tbl[[#This Row],[Heavy SW]]</f>
        <v>0</v>
      </c>
      <c r="AT30" s="5">
        <f>sim.tbl[[#This Row],[Density]]*sim.tbl[[#This Row],[C5+]]</f>
        <v>0</v>
      </c>
      <c r="AU30" s="5">
        <f>sim.tbl[[#This Row],[Density]]*sim.tbl[[#This Row],[Light LSB]]</f>
        <v>0</v>
      </c>
      <c r="AV30" s="5">
        <f>sim.tbl[[#This Row],[Density]]*sim.tbl[[#This Row],[Light SW]]</f>
        <v>0</v>
      </c>
      <c r="AW30" s="5">
        <f>sim.tbl[[#This Row],[Density]]*sim.tbl[[#This Row],[Medium LSB]]</f>
        <v>862.3</v>
      </c>
      <c r="AX30" s="5">
        <f>sim.tbl[[#This Row],[Density]]*sim.tbl[[#This Row],[Medium SW]]</f>
        <v>0</v>
      </c>
      <c r="AY30" s="5">
        <f>sim.tbl[[#This Row],[Density]]*sim.tbl[[#This Row],[Midale]]</f>
        <v>0</v>
      </c>
      <c r="AZ30" s="5">
        <f>sim.tbl[[#This Row],[Density]]*sim.tbl[[#This Row],[Heavy Sour]]</f>
        <v>0</v>
      </c>
      <c r="BA30" s="5">
        <f>sim.tbl[[#This Row],[Density]]*sim.tbl[[#This Row],[Heavy SW]]</f>
        <v>0</v>
      </c>
      <c r="BB30" s="5">
        <f>sim.tbl[[#This Row],[7 Day Rolling Temperature]]*sim.tbl[[#This Row],[C5+]]</f>
        <v>0</v>
      </c>
      <c r="BC30" s="5">
        <f>sim.tbl[[#This Row],[7 Day Rolling Temperature]]*sim.tbl[[#This Row],[Light LSB]]</f>
        <v>0</v>
      </c>
      <c r="BD30" s="5">
        <f>sim.tbl[[#This Row],[7 Day Rolling Temperature]]*sim.tbl[[#This Row],[Light SW]]</f>
        <v>0</v>
      </c>
      <c r="BE30" s="5">
        <f>sim.tbl[[#This Row],[7 Day Rolling Temperature]]*sim.tbl[[#This Row],[Medium LSB]]</f>
        <v>2.9</v>
      </c>
      <c r="BF30" s="5">
        <f>sim.tbl[[#This Row],[7 Day Rolling Temperature]]*sim.tbl[[#This Row],[Medium SW]]</f>
        <v>0</v>
      </c>
      <c r="BG30" s="5">
        <f>sim.tbl[[#This Row],[7 Day Rolling Temperature]]*sim.tbl[[#This Row],[Midale]]</f>
        <v>0</v>
      </c>
      <c r="BH30" s="5">
        <f>sim.tbl[[#This Row],[7 Day Rolling Temperature]]*sim.tbl[[#This Row],[Heavy Sour]]</f>
        <v>0</v>
      </c>
      <c r="BI30" s="5">
        <f>sim.tbl[[#This Row],[7 Day Rolling Temperature]]*sim.tbl[[#This Row],[Heavy SW]]</f>
        <v>0</v>
      </c>
      <c r="BJ30" s="5">
        <f>sim.tbl[[#This Row],[Post Aquisition]]*sim.tbl[[#This Row],[C5+]]</f>
        <v>0</v>
      </c>
      <c r="BK30" s="5">
        <f>sim.tbl[[#This Row],[Post Aquisition]]*sim.tbl[[#This Row],[Light LSB]]</f>
        <v>0</v>
      </c>
      <c r="BL30" s="5">
        <f>sim.tbl[[#This Row],[Post Aquisition]]*sim.tbl[[#This Row],[Light SW]]</f>
        <v>0</v>
      </c>
      <c r="BM30" s="5">
        <f>sim.tbl[[#This Row],[Post Aquisition]]*sim.tbl[[#This Row],[Medium LSB]]</f>
        <v>1</v>
      </c>
      <c r="BN30" s="5">
        <f>sim.tbl[[#This Row],[Post Aquisition]]*sim.tbl[[#This Row],[Medium SW]]</f>
        <v>0</v>
      </c>
      <c r="BO30" s="5">
        <f>sim.tbl[[#This Row],[Post Aquisition]]*sim.tbl[[#This Row],[Midale]]</f>
        <v>0</v>
      </c>
      <c r="BP30" s="5">
        <f>sim.tbl[[#This Row],[Post Aquisition]]*sim.tbl[[#This Row],[Heavy Sour]]</f>
        <v>0</v>
      </c>
      <c r="BQ30" s="5">
        <f>sim.tbl[[#This Row],[Post Aquisition]]*sim.tbl[[#This Row],[Heavy SW]]</f>
        <v>0</v>
      </c>
    </row>
    <row r="31" spans="4:69" x14ac:dyDescent="0.25">
      <c r="D31" s="5">
        <f ca="1">SUMPRODUCT($F$1:$BQ$1,sim.tbl[[#This Row],[(Intercept)]:[Post Aquisition:Heavy SW]])</f>
        <v>74.228734173004142</v>
      </c>
      <c r="E31" s="14">
        <f ca="1">DATE(YEAR(TODAY()),INDEX(mthLkUp.tbl[Num],MATCH(mth.input,mthLkUp.tbl[Month],0)),1)</f>
        <v>42795</v>
      </c>
      <c r="F31" s="6">
        <f>1</f>
        <v>1</v>
      </c>
      <c r="G31" s="5">
        <v>1.77</v>
      </c>
      <c r="H31" s="5">
        <v>863.7</v>
      </c>
      <c r="I31" s="5">
        <v>-3.6</v>
      </c>
      <c r="J31" s="5">
        <v>-5</v>
      </c>
      <c r="K31" s="5">
        <v>-3.8</v>
      </c>
      <c r="L31" s="5">
        <v>-5</v>
      </c>
      <c r="M31" s="5">
        <v>-2.5</v>
      </c>
      <c r="N31" s="5">
        <v>-3.8</v>
      </c>
      <c r="O31" s="5">
        <v>-3.9</v>
      </c>
      <c r="P31" s="5">
        <v>-2.6</v>
      </c>
      <c r="Q31" s="6">
        <f>IF(sim.tbl[[#This Row],[Density]]&lt;=770,1,0)</f>
        <v>0</v>
      </c>
      <c r="R31" s="6">
        <f>IF(AND(sim.tbl[[#This Row],[Sulfur]]&gt;0.5,sim.tbl[[#This Row],[Density]]&gt;770,sim.tbl[[#This Row],[Density]]&lt;=825),1,0)</f>
        <v>0</v>
      </c>
      <c r="S31" s="6">
        <f>IF(AND(sim.tbl[[#This Row],[Sulfur]]&lt;=0.5,sim.tbl[[#This Row],[Density]]&gt;770,sim.tbl[[#This Row],[Density]]&lt;=825),1,0)</f>
        <v>0</v>
      </c>
      <c r="T31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31" s="6">
        <f>IF(AND(sim.tbl[[#This Row],[Sulfur]]&lt;0.5,sim.tbl[[#This Row],[Density]]&gt;825,sim.tbl[[#This Row],[Density]]&lt;=900),1,0)</f>
        <v>0</v>
      </c>
      <c r="V31" s="6">
        <f>IF(AND(sim.tbl[[#This Row],[Sulfur]]&gt;2,sim.tbl[[#This Row],[Density]]&gt;865,sim.tbl[[#This Row],[Density]]&lt;=900),1,0)</f>
        <v>0</v>
      </c>
      <c r="W31" s="6">
        <f>IF(AND(sim.tbl[[#This Row],[Sulfur]]&gt;0.5,sim.tbl[[#This Row],[Density]]&gt;900),1,0)</f>
        <v>0</v>
      </c>
      <c r="X31" s="6">
        <f>IF(AND(sim.tbl[[#This Row],[Sulfur]]&lt;=0.5,sim.tbl[[#This Row],[Density]]&gt;900),1,0)</f>
        <v>0</v>
      </c>
      <c r="Y31" s="6">
        <f ca="1">IF(MONTH(sim.tbl[[#This Row],[SDate]])=INDEX(mthLkUp.tbl[Num],MATCH(Y$3,mthLkUp.tbl[Month],0)),1,0)</f>
        <v>0</v>
      </c>
      <c r="Z31" s="6">
        <f ca="1">IF(MONTH(sim.tbl[[#This Row],[SDate]])=INDEX(mthLkUp.tbl[Num],MATCH(Z$3,mthLkUp.tbl[Month],0)),1,0)</f>
        <v>0</v>
      </c>
      <c r="AA31" s="6">
        <f ca="1">IF(MONTH(sim.tbl[[#This Row],[SDate]])=INDEX(mthLkUp.tbl[Num],MATCH(AA$3,mthLkUp.tbl[Month],0)),1,0)</f>
        <v>1</v>
      </c>
      <c r="AB31" s="6">
        <f ca="1">IF(MONTH(sim.tbl[[#This Row],[SDate]])=INDEX(mthLkUp.tbl[Num],MATCH(AB$3,mthLkUp.tbl[Month],0)),1,0)</f>
        <v>0</v>
      </c>
      <c r="AC31" s="6">
        <f ca="1">IF(MONTH(sim.tbl[[#This Row],[SDate]])=INDEX(mthLkUp.tbl[Num],MATCH(AC$3,mthLkUp.tbl[Month],0)),1,0)</f>
        <v>0</v>
      </c>
      <c r="AD31" s="6">
        <f ca="1">IF(MONTH(sim.tbl[[#This Row],[SDate]])=INDEX(mthLkUp.tbl[Num],MATCH(AD$3,mthLkUp.tbl[Month],0)),1,0)</f>
        <v>0</v>
      </c>
      <c r="AE31" s="6">
        <f ca="1">IF(MONTH(sim.tbl[[#This Row],[SDate]])=INDEX(mthLkUp.tbl[Num],MATCH(AE$3,mthLkUp.tbl[Month],0)),1,0)</f>
        <v>0</v>
      </c>
      <c r="AF31" s="6">
        <f ca="1">IF(MONTH(sim.tbl[[#This Row],[SDate]])=INDEX(mthLkUp.tbl[Num],MATCH(AF$3,mthLkUp.tbl[Month],0)),1,0)</f>
        <v>0</v>
      </c>
      <c r="AG31" s="6">
        <f ca="1">IF(MONTH(sim.tbl[[#This Row],[SDate]])=INDEX(mthLkUp.tbl[Num],MATCH(AG$3,mthLkUp.tbl[Month],0)),1,0)</f>
        <v>0</v>
      </c>
      <c r="AH31" s="6">
        <f ca="1">IF(MONTH(sim.tbl[[#This Row],[SDate]])=INDEX(mthLkUp.tbl[Num],MATCH(AH$3,mthLkUp.tbl[Month],0)),1,0)</f>
        <v>0</v>
      </c>
      <c r="AI31" s="6">
        <f ca="1">IF(MONTH(sim.tbl[[#This Row],[SDate]])=INDEX(mthLkUp.tbl[Num],MATCH(AI$3,mthLkUp.tbl[Month],0)),1,0)</f>
        <v>0</v>
      </c>
      <c r="AJ31" s="6">
        <f ca="1">IF(MONTH(sim.tbl[[#This Row],[SDate]])=INDEX(mthLkUp.tbl[Num],MATCH(AJ$3,mthLkUp.tbl[Month],0)),1,0)</f>
        <v>0</v>
      </c>
      <c r="AK31" s="6">
        <v>1</v>
      </c>
      <c r="AL31" s="5">
        <f>sim.tbl[[#This Row],[Sulfur]]*sim.tbl[[#This Row],[C5+]]</f>
        <v>0</v>
      </c>
      <c r="AM31" s="5">
        <f>sim.tbl[[#This Row],[Sulfur]]*sim.tbl[[#This Row],[Light LSB]]</f>
        <v>0</v>
      </c>
      <c r="AN31" s="5">
        <f>sim.tbl[[#This Row],[Sulfur]]*sim.tbl[[#This Row],[Light SW]]</f>
        <v>0</v>
      </c>
      <c r="AO31" s="5">
        <f>sim.tbl[[#This Row],[Sulfur]]*sim.tbl[[#This Row],[Medium LSB]]</f>
        <v>1.77</v>
      </c>
      <c r="AP31" s="5">
        <f>sim.tbl[[#This Row],[Sulfur]]*sim.tbl[[#This Row],[Medium SW]]</f>
        <v>0</v>
      </c>
      <c r="AQ31" s="5">
        <f>sim.tbl[[#This Row],[Sulfur]]*sim.tbl[[#This Row],[Midale]]</f>
        <v>0</v>
      </c>
      <c r="AR31" s="5">
        <f>sim.tbl[[#This Row],[Sulfur]]*sim.tbl[[#This Row],[Heavy Sour]]</f>
        <v>0</v>
      </c>
      <c r="AS31" s="5">
        <f>sim.tbl[[#This Row],[Sulfur]]*sim.tbl[[#This Row],[Heavy SW]]</f>
        <v>0</v>
      </c>
      <c r="AT31" s="5">
        <f>sim.tbl[[#This Row],[Density]]*sim.tbl[[#This Row],[C5+]]</f>
        <v>0</v>
      </c>
      <c r="AU31" s="5">
        <f>sim.tbl[[#This Row],[Density]]*sim.tbl[[#This Row],[Light LSB]]</f>
        <v>0</v>
      </c>
      <c r="AV31" s="5">
        <f>sim.tbl[[#This Row],[Density]]*sim.tbl[[#This Row],[Light SW]]</f>
        <v>0</v>
      </c>
      <c r="AW31" s="5">
        <f>sim.tbl[[#This Row],[Density]]*sim.tbl[[#This Row],[Medium LSB]]</f>
        <v>863.7</v>
      </c>
      <c r="AX31" s="5">
        <f>sim.tbl[[#This Row],[Density]]*sim.tbl[[#This Row],[Medium SW]]</f>
        <v>0</v>
      </c>
      <c r="AY31" s="5">
        <f>sim.tbl[[#This Row],[Density]]*sim.tbl[[#This Row],[Midale]]</f>
        <v>0</v>
      </c>
      <c r="AZ31" s="5">
        <f>sim.tbl[[#This Row],[Density]]*sim.tbl[[#This Row],[Heavy Sour]]</f>
        <v>0</v>
      </c>
      <c r="BA31" s="5">
        <f>sim.tbl[[#This Row],[Density]]*sim.tbl[[#This Row],[Heavy SW]]</f>
        <v>0</v>
      </c>
      <c r="BB31" s="5">
        <f>sim.tbl[[#This Row],[7 Day Rolling Temperature]]*sim.tbl[[#This Row],[C5+]]</f>
        <v>0</v>
      </c>
      <c r="BC31" s="5">
        <f>sim.tbl[[#This Row],[7 Day Rolling Temperature]]*sim.tbl[[#This Row],[Light LSB]]</f>
        <v>0</v>
      </c>
      <c r="BD31" s="5">
        <f>sim.tbl[[#This Row],[7 Day Rolling Temperature]]*sim.tbl[[#This Row],[Light SW]]</f>
        <v>0</v>
      </c>
      <c r="BE31" s="5">
        <f>sim.tbl[[#This Row],[7 Day Rolling Temperature]]*sim.tbl[[#This Row],[Medium LSB]]</f>
        <v>-5</v>
      </c>
      <c r="BF31" s="5">
        <f>sim.tbl[[#This Row],[7 Day Rolling Temperature]]*sim.tbl[[#This Row],[Medium SW]]</f>
        <v>0</v>
      </c>
      <c r="BG31" s="5">
        <f>sim.tbl[[#This Row],[7 Day Rolling Temperature]]*sim.tbl[[#This Row],[Midale]]</f>
        <v>0</v>
      </c>
      <c r="BH31" s="5">
        <f>sim.tbl[[#This Row],[7 Day Rolling Temperature]]*sim.tbl[[#This Row],[Heavy Sour]]</f>
        <v>0</v>
      </c>
      <c r="BI31" s="5">
        <f>sim.tbl[[#This Row],[7 Day Rolling Temperature]]*sim.tbl[[#This Row],[Heavy SW]]</f>
        <v>0</v>
      </c>
      <c r="BJ31" s="5">
        <f>sim.tbl[[#This Row],[Post Aquisition]]*sim.tbl[[#This Row],[C5+]]</f>
        <v>0</v>
      </c>
      <c r="BK31" s="5">
        <f>sim.tbl[[#This Row],[Post Aquisition]]*sim.tbl[[#This Row],[Light LSB]]</f>
        <v>0</v>
      </c>
      <c r="BL31" s="5">
        <f>sim.tbl[[#This Row],[Post Aquisition]]*sim.tbl[[#This Row],[Light SW]]</f>
        <v>0</v>
      </c>
      <c r="BM31" s="5">
        <f>sim.tbl[[#This Row],[Post Aquisition]]*sim.tbl[[#This Row],[Medium LSB]]</f>
        <v>1</v>
      </c>
      <c r="BN31" s="5">
        <f>sim.tbl[[#This Row],[Post Aquisition]]*sim.tbl[[#This Row],[Medium SW]]</f>
        <v>0</v>
      </c>
      <c r="BO31" s="5">
        <f>sim.tbl[[#This Row],[Post Aquisition]]*sim.tbl[[#This Row],[Midale]]</f>
        <v>0</v>
      </c>
      <c r="BP31" s="5">
        <f>sim.tbl[[#This Row],[Post Aquisition]]*sim.tbl[[#This Row],[Heavy Sour]]</f>
        <v>0</v>
      </c>
      <c r="BQ31" s="5">
        <f>sim.tbl[[#This Row],[Post Aquisition]]*sim.tbl[[#This Row],[Heavy SW]]</f>
        <v>0</v>
      </c>
    </row>
    <row r="32" spans="4:69" x14ac:dyDescent="0.25">
      <c r="D32" s="5">
        <f ca="1">SUMPRODUCT($F$1:$BQ$1,sim.tbl[[#This Row],[(Intercept)]:[Post Aquisition:Heavy SW]])</f>
        <v>78.089057882235693</v>
      </c>
      <c r="E32" s="14">
        <f ca="1">DATE(YEAR(TODAY()),INDEX(mthLkUp.tbl[Num],MATCH(mth.input,mthLkUp.tbl[Month],0)),1)</f>
        <v>42795</v>
      </c>
      <c r="F32" s="6">
        <f>1</f>
        <v>1</v>
      </c>
      <c r="G32" s="5">
        <v>1.92</v>
      </c>
      <c r="H32" s="5">
        <v>869.3</v>
      </c>
      <c r="I32" s="5">
        <v>-19.940000000000001</v>
      </c>
      <c r="J32" s="5">
        <v>-20.5</v>
      </c>
      <c r="K32" s="5">
        <v>-20</v>
      </c>
      <c r="L32" s="5">
        <v>-20.5</v>
      </c>
      <c r="M32" s="5">
        <v>-5</v>
      </c>
      <c r="N32" s="5">
        <v>-19.5</v>
      </c>
      <c r="O32" s="5">
        <v>-19.8</v>
      </c>
      <c r="P32" s="5">
        <v>-19.899999999999999</v>
      </c>
      <c r="Q32" s="6">
        <f>IF(sim.tbl[[#This Row],[Density]]&lt;=770,1,0)</f>
        <v>0</v>
      </c>
      <c r="R32" s="6">
        <f>IF(AND(sim.tbl[[#This Row],[Sulfur]]&gt;0.5,sim.tbl[[#This Row],[Density]]&gt;770,sim.tbl[[#This Row],[Density]]&lt;=825),1,0)</f>
        <v>0</v>
      </c>
      <c r="S32" s="6">
        <f>IF(AND(sim.tbl[[#This Row],[Sulfur]]&lt;=0.5,sim.tbl[[#This Row],[Density]]&gt;770,sim.tbl[[#This Row],[Density]]&lt;=825),1,0)</f>
        <v>0</v>
      </c>
      <c r="T32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32" s="6">
        <f>IF(AND(sim.tbl[[#This Row],[Sulfur]]&lt;0.5,sim.tbl[[#This Row],[Density]]&gt;825,sim.tbl[[#This Row],[Density]]&lt;=900),1,0)</f>
        <v>0</v>
      </c>
      <c r="V32" s="6">
        <f>IF(AND(sim.tbl[[#This Row],[Sulfur]]&gt;2,sim.tbl[[#This Row],[Density]]&gt;865,sim.tbl[[#This Row],[Density]]&lt;=900),1,0)</f>
        <v>0</v>
      </c>
      <c r="W32" s="6">
        <f>IF(AND(sim.tbl[[#This Row],[Sulfur]]&gt;0.5,sim.tbl[[#This Row],[Density]]&gt;900),1,0)</f>
        <v>0</v>
      </c>
      <c r="X32" s="6">
        <f>IF(AND(sim.tbl[[#This Row],[Sulfur]]&lt;=0.5,sim.tbl[[#This Row],[Density]]&gt;900),1,0)</f>
        <v>0</v>
      </c>
      <c r="Y32" s="6">
        <f ca="1">IF(MONTH(sim.tbl[[#This Row],[SDate]])=INDEX(mthLkUp.tbl[Num],MATCH(Y$3,mthLkUp.tbl[Month],0)),1,0)</f>
        <v>0</v>
      </c>
      <c r="Z32" s="6">
        <f ca="1">IF(MONTH(sim.tbl[[#This Row],[SDate]])=INDEX(mthLkUp.tbl[Num],MATCH(Z$3,mthLkUp.tbl[Month],0)),1,0)</f>
        <v>0</v>
      </c>
      <c r="AA32" s="6">
        <f ca="1">IF(MONTH(sim.tbl[[#This Row],[SDate]])=INDEX(mthLkUp.tbl[Num],MATCH(AA$3,mthLkUp.tbl[Month],0)),1,0)</f>
        <v>1</v>
      </c>
      <c r="AB32" s="6">
        <f ca="1">IF(MONTH(sim.tbl[[#This Row],[SDate]])=INDEX(mthLkUp.tbl[Num],MATCH(AB$3,mthLkUp.tbl[Month],0)),1,0)</f>
        <v>0</v>
      </c>
      <c r="AC32" s="6">
        <f ca="1">IF(MONTH(sim.tbl[[#This Row],[SDate]])=INDEX(mthLkUp.tbl[Num],MATCH(AC$3,mthLkUp.tbl[Month],0)),1,0)</f>
        <v>0</v>
      </c>
      <c r="AD32" s="6">
        <f ca="1">IF(MONTH(sim.tbl[[#This Row],[SDate]])=INDEX(mthLkUp.tbl[Num],MATCH(AD$3,mthLkUp.tbl[Month],0)),1,0)</f>
        <v>0</v>
      </c>
      <c r="AE32" s="6">
        <f ca="1">IF(MONTH(sim.tbl[[#This Row],[SDate]])=INDEX(mthLkUp.tbl[Num],MATCH(AE$3,mthLkUp.tbl[Month],0)),1,0)</f>
        <v>0</v>
      </c>
      <c r="AF32" s="6">
        <f ca="1">IF(MONTH(sim.tbl[[#This Row],[SDate]])=INDEX(mthLkUp.tbl[Num],MATCH(AF$3,mthLkUp.tbl[Month],0)),1,0)</f>
        <v>0</v>
      </c>
      <c r="AG32" s="6">
        <f ca="1">IF(MONTH(sim.tbl[[#This Row],[SDate]])=INDEX(mthLkUp.tbl[Num],MATCH(AG$3,mthLkUp.tbl[Month],0)),1,0)</f>
        <v>0</v>
      </c>
      <c r="AH32" s="6">
        <f ca="1">IF(MONTH(sim.tbl[[#This Row],[SDate]])=INDEX(mthLkUp.tbl[Num],MATCH(AH$3,mthLkUp.tbl[Month],0)),1,0)</f>
        <v>0</v>
      </c>
      <c r="AI32" s="6">
        <f ca="1">IF(MONTH(sim.tbl[[#This Row],[SDate]])=INDEX(mthLkUp.tbl[Num],MATCH(AI$3,mthLkUp.tbl[Month],0)),1,0)</f>
        <v>0</v>
      </c>
      <c r="AJ32" s="6">
        <f ca="1">IF(MONTH(sim.tbl[[#This Row],[SDate]])=INDEX(mthLkUp.tbl[Num],MATCH(AJ$3,mthLkUp.tbl[Month],0)),1,0)</f>
        <v>0</v>
      </c>
      <c r="AK32" s="6">
        <v>1</v>
      </c>
      <c r="AL32" s="5">
        <f>sim.tbl[[#This Row],[Sulfur]]*sim.tbl[[#This Row],[C5+]]</f>
        <v>0</v>
      </c>
      <c r="AM32" s="5">
        <f>sim.tbl[[#This Row],[Sulfur]]*sim.tbl[[#This Row],[Light LSB]]</f>
        <v>0</v>
      </c>
      <c r="AN32" s="5">
        <f>sim.tbl[[#This Row],[Sulfur]]*sim.tbl[[#This Row],[Light SW]]</f>
        <v>0</v>
      </c>
      <c r="AO32" s="5">
        <f>sim.tbl[[#This Row],[Sulfur]]*sim.tbl[[#This Row],[Medium LSB]]</f>
        <v>1.92</v>
      </c>
      <c r="AP32" s="5">
        <f>sim.tbl[[#This Row],[Sulfur]]*sim.tbl[[#This Row],[Medium SW]]</f>
        <v>0</v>
      </c>
      <c r="AQ32" s="5">
        <f>sim.tbl[[#This Row],[Sulfur]]*sim.tbl[[#This Row],[Midale]]</f>
        <v>0</v>
      </c>
      <c r="AR32" s="5">
        <f>sim.tbl[[#This Row],[Sulfur]]*sim.tbl[[#This Row],[Heavy Sour]]</f>
        <v>0</v>
      </c>
      <c r="AS32" s="5">
        <f>sim.tbl[[#This Row],[Sulfur]]*sim.tbl[[#This Row],[Heavy SW]]</f>
        <v>0</v>
      </c>
      <c r="AT32" s="5">
        <f>sim.tbl[[#This Row],[Density]]*sim.tbl[[#This Row],[C5+]]</f>
        <v>0</v>
      </c>
      <c r="AU32" s="5">
        <f>sim.tbl[[#This Row],[Density]]*sim.tbl[[#This Row],[Light LSB]]</f>
        <v>0</v>
      </c>
      <c r="AV32" s="5">
        <f>sim.tbl[[#This Row],[Density]]*sim.tbl[[#This Row],[Light SW]]</f>
        <v>0</v>
      </c>
      <c r="AW32" s="5">
        <f>sim.tbl[[#This Row],[Density]]*sim.tbl[[#This Row],[Medium LSB]]</f>
        <v>869.3</v>
      </c>
      <c r="AX32" s="5">
        <f>sim.tbl[[#This Row],[Density]]*sim.tbl[[#This Row],[Medium SW]]</f>
        <v>0</v>
      </c>
      <c r="AY32" s="5">
        <f>sim.tbl[[#This Row],[Density]]*sim.tbl[[#This Row],[Midale]]</f>
        <v>0</v>
      </c>
      <c r="AZ32" s="5">
        <f>sim.tbl[[#This Row],[Density]]*sim.tbl[[#This Row],[Heavy Sour]]</f>
        <v>0</v>
      </c>
      <c r="BA32" s="5">
        <f>sim.tbl[[#This Row],[Density]]*sim.tbl[[#This Row],[Heavy SW]]</f>
        <v>0</v>
      </c>
      <c r="BB32" s="5">
        <f>sim.tbl[[#This Row],[7 Day Rolling Temperature]]*sim.tbl[[#This Row],[C5+]]</f>
        <v>0</v>
      </c>
      <c r="BC32" s="5">
        <f>sim.tbl[[#This Row],[7 Day Rolling Temperature]]*sim.tbl[[#This Row],[Light LSB]]</f>
        <v>0</v>
      </c>
      <c r="BD32" s="5">
        <f>sim.tbl[[#This Row],[7 Day Rolling Temperature]]*sim.tbl[[#This Row],[Light SW]]</f>
        <v>0</v>
      </c>
      <c r="BE32" s="5">
        <f>sim.tbl[[#This Row],[7 Day Rolling Temperature]]*sim.tbl[[#This Row],[Medium LSB]]</f>
        <v>-20.5</v>
      </c>
      <c r="BF32" s="5">
        <f>sim.tbl[[#This Row],[7 Day Rolling Temperature]]*sim.tbl[[#This Row],[Medium SW]]</f>
        <v>0</v>
      </c>
      <c r="BG32" s="5">
        <f>sim.tbl[[#This Row],[7 Day Rolling Temperature]]*sim.tbl[[#This Row],[Midale]]</f>
        <v>0</v>
      </c>
      <c r="BH32" s="5">
        <f>sim.tbl[[#This Row],[7 Day Rolling Temperature]]*sim.tbl[[#This Row],[Heavy Sour]]</f>
        <v>0</v>
      </c>
      <c r="BI32" s="5">
        <f>sim.tbl[[#This Row],[7 Day Rolling Temperature]]*sim.tbl[[#This Row],[Heavy SW]]</f>
        <v>0</v>
      </c>
      <c r="BJ32" s="5">
        <f>sim.tbl[[#This Row],[Post Aquisition]]*sim.tbl[[#This Row],[C5+]]</f>
        <v>0</v>
      </c>
      <c r="BK32" s="5">
        <f>sim.tbl[[#This Row],[Post Aquisition]]*sim.tbl[[#This Row],[Light LSB]]</f>
        <v>0</v>
      </c>
      <c r="BL32" s="5">
        <f>sim.tbl[[#This Row],[Post Aquisition]]*sim.tbl[[#This Row],[Light SW]]</f>
        <v>0</v>
      </c>
      <c r="BM32" s="5">
        <f>sim.tbl[[#This Row],[Post Aquisition]]*sim.tbl[[#This Row],[Medium LSB]]</f>
        <v>1</v>
      </c>
      <c r="BN32" s="5">
        <f>sim.tbl[[#This Row],[Post Aquisition]]*sim.tbl[[#This Row],[Medium SW]]</f>
        <v>0</v>
      </c>
      <c r="BO32" s="5">
        <f>sim.tbl[[#This Row],[Post Aquisition]]*sim.tbl[[#This Row],[Midale]]</f>
        <v>0</v>
      </c>
      <c r="BP32" s="5">
        <f>sim.tbl[[#This Row],[Post Aquisition]]*sim.tbl[[#This Row],[Heavy Sour]]</f>
        <v>0</v>
      </c>
      <c r="BQ32" s="5">
        <f>sim.tbl[[#This Row],[Post Aquisition]]*sim.tbl[[#This Row],[Heavy SW]]</f>
        <v>0</v>
      </c>
    </row>
    <row r="33" spans="4:69" x14ac:dyDescent="0.25">
      <c r="D33" s="5">
        <f ca="1">SUMPRODUCT($F$1:$BQ$1,sim.tbl[[#This Row],[(Intercept)]:[Post Aquisition:Heavy SW]])</f>
        <v>63.678756895105693</v>
      </c>
      <c r="E33" s="14">
        <f ca="1">DATE(YEAR(TODAY()),INDEX(mthLkUp.tbl[Num],MATCH(mth.input,mthLkUp.tbl[Month],0)),1)</f>
        <v>42795</v>
      </c>
      <c r="F33" s="6">
        <f>1</f>
        <v>1</v>
      </c>
      <c r="G33" s="5">
        <v>2.42</v>
      </c>
      <c r="H33" s="5">
        <v>870.4</v>
      </c>
      <c r="I33" s="5">
        <v>4.483333333</v>
      </c>
      <c r="J33" s="5">
        <v>4.4000000000000004</v>
      </c>
      <c r="K33" s="5">
        <v>6.5</v>
      </c>
      <c r="L33" s="5">
        <v>4.4000000000000004</v>
      </c>
      <c r="M33" s="5">
        <v>3.8</v>
      </c>
      <c r="N33" s="5">
        <v>3.5</v>
      </c>
      <c r="O33" s="5">
        <v>4.7</v>
      </c>
      <c r="P33" s="5">
        <v>4</v>
      </c>
      <c r="Q33" s="6">
        <f>IF(sim.tbl[[#This Row],[Density]]&lt;=770,1,0)</f>
        <v>0</v>
      </c>
      <c r="R33" s="6">
        <f>IF(AND(sim.tbl[[#This Row],[Sulfur]]&gt;0.5,sim.tbl[[#This Row],[Density]]&gt;770,sim.tbl[[#This Row],[Density]]&lt;=825),1,0)</f>
        <v>0</v>
      </c>
      <c r="S33" s="6">
        <f>IF(AND(sim.tbl[[#This Row],[Sulfur]]&lt;=0.5,sim.tbl[[#This Row],[Density]]&gt;770,sim.tbl[[#This Row],[Density]]&lt;=825),1,0)</f>
        <v>0</v>
      </c>
      <c r="T33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3" s="6">
        <f>IF(AND(sim.tbl[[#This Row],[Sulfur]]&lt;0.5,sim.tbl[[#This Row],[Density]]&gt;825,sim.tbl[[#This Row],[Density]]&lt;=900),1,0)</f>
        <v>0</v>
      </c>
      <c r="V33" s="6">
        <f>IF(AND(sim.tbl[[#This Row],[Sulfur]]&gt;2,sim.tbl[[#This Row],[Density]]&gt;865,sim.tbl[[#This Row],[Density]]&lt;=900),1,0)</f>
        <v>1</v>
      </c>
      <c r="W33" s="6">
        <f>IF(AND(sim.tbl[[#This Row],[Sulfur]]&gt;0.5,sim.tbl[[#This Row],[Density]]&gt;900),1,0)</f>
        <v>0</v>
      </c>
      <c r="X33" s="6">
        <f>IF(AND(sim.tbl[[#This Row],[Sulfur]]&lt;=0.5,sim.tbl[[#This Row],[Density]]&gt;900),1,0)</f>
        <v>0</v>
      </c>
      <c r="Y33" s="6">
        <f ca="1">IF(MONTH(sim.tbl[[#This Row],[SDate]])=INDEX(mthLkUp.tbl[Num],MATCH(Y$3,mthLkUp.tbl[Month],0)),1,0)</f>
        <v>0</v>
      </c>
      <c r="Z33" s="6">
        <f ca="1">IF(MONTH(sim.tbl[[#This Row],[SDate]])=INDEX(mthLkUp.tbl[Num],MATCH(Z$3,mthLkUp.tbl[Month],0)),1,0)</f>
        <v>0</v>
      </c>
      <c r="AA33" s="6">
        <f ca="1">IF(MONTH(sim.tbl[[#This Row],[SDate]])=INDEX(mthLkUp.tbl[Num],MATCH(AA$3,mthLkUp.tbl[Month],0)),1,0)</f>
        <v>1</v>
      </c>
      <c r="AB33" s="6">
        <f ca="1">IF(MONTH(sim.tbl[[#This Row],[SDate]])=INDEX(mthLkUp.tbl[Num],MATCH(AB$3,mthLkUp.tbl[Month],0)),1,0)</f>
        <v>0</v>
      </c>
      <c r="AC33" s="6">
        <f ca="1">IF(MONTH(sim.tbl[[#This Row],[SDate]])=INDEX(mthLkUp.tbl[Num],MATCH(AC$3,mthLkUp.tbl[Month],0)),1,0)</f>
        <v>0</v>
      </c>
      <c r="AD33" s="6">
        <f ca="1">IF(MONTH(sim.tbl[[#This Row],[SDate]])=INDEX(mthLkUp.tbl[Num],MATCH(AD$3,mthLkUp.tbl[Month],0)),1,0)</f>
        <v>0</v>
      </c>
      <c r="AE33" s="6">
        <f ca="1">IF(MONTH(sim.tbl[[#This Row],[SDate]])=INDEX(mthLkUp.tbl[Num],MATCH(AE$3,mthLkUp.tbl[Month],0)),1,0)</f>
        <v>0</v>
      </c>
      <c r="AF33" s="6">
        <f ca="1">IF(MONTH(sim.tbl[[#This Row],[SDate]])=INDEX(mthLkUp.tbl[Num],MATCH(AF$3,mthLkUp.tbl[Month],0)),1,0)</f>
        <v>0</v>
      </c>
      <c r="AG33" s="6">
        <f ca="1">IF(MONTH(sim.tbl[[#This Row],[SDate]])=INDEX(mthLkUp.tbl[Num],MATCH(AG$3,mthLkUp.tbl[Month],0)),1,0)</f>
        <v>0</v>
      </c>
      <c r="AH33" s="6">
        <f ca="1">IF(MONTH(sim.tbl[[#This Row],[SDate]])=INDEX(mthLkUp.tbl[Num],MATCH(AH$3,mthLkUp.tbl[Month],0)),1,0)</f>
        <v>0</v>
      </c>
      <c r="AI33" s="6">
        <f ca="1">IF(MONTH(sim.tbl[[#This Row],[SDate]])=INDEX(mthLkUp.tbl[Num],MATCH(AI$3,mthLkUp.tbl[Month],0)),1,0)</f>
        <v>0</v>
      </c>
      <c r="AJ33" s="6">
        <f ca="1">IF(MONTH(sim.tbl[[#This Row],[SDate]])=INDEX(mthLkUp.tbl[Num],MATCH(AJ$3,mthLkUp.tbl[Month],0)),1,0)</f>
        <v>0</v>
      </c>
      <c r="AK33" s="6">
        <v>1</v>
      </c>
      <c r="AL33" s="5">
        <f>sim.tbl[[#This Row],[Sulfur]]*sim.tbl[[#This Row],[C5+]]</f>
        <v>0</v>
      </c>
      <c r="AM33" s="5">
        <f>sim.tbl[[#This Row],[Sulfur]]*sim.tbl[[#This Row],[Light LSB]]</f>
        <v>0</v>
      </c>
      <c r="AN33" s="5">
        <f>sim.tbl[[#This Row],[Sulfur]]*sim.tbl[[#This Row],[Light SW]]</f>
        <v>0</v>
      </c>
      <c r="AO33" s="5">
        <f>sim.tbl[[#This Row],[Sulfur]]*sim.tbl[[#This Row],[Medium LSB]]</f>
        <v>0</v>
      </c>
      <c r="AP33" s="5">
        <f>sim.tbl[[#This Row],[Sulfur]]*sim.tbl[[#This Row],[Medium SW]]</f>
        <v>0</v>
      </c>
      <c r="AQ33" s="5">
        <f>sim.tbl[[#This Row],[Sulfur]]*sim.tbl[[#This Row],[Midale]]</f>
        <v>2.42</v>
      </c>
      <c r="AR33" s="5">
        <f>sim.tbl[[#This Row],[Sulfur]]*sim.tbl[[#This Row],[Heavy Sour]]</f>
        <v>0</v>
      </c>
      <c r="AS33" s="5">
        <f>sim.tbl[[#This Row],[Sulfur]]*sim.tbl[[#This Row],[Heavy SW]]</f>
        <v>0</v>
      </c>
      <c r="AT33" s="5">
        <f>sim.tbl[[#This Row],[Density]]*sim.tbl[[#This Row],[C5+]]</f>
        <v>0</v>
      </c>
      <c r="AU33" s="5">
        <f>sim.tbl[[#This Row],[Density]]*sim.tbl[[#This Row],[Light LSB]]</f>
        <v>0</v>
      </c>
      <c r="AV33" s="5">
        <f>sim.tbl[[#This Row],[Density]]*sim.tbl[[#This Row],[Light SW]]</f>
        <v>0</v>
      </c>
      <c r="AW33" s="5">
        <f>sim.tbl[[#This Row],[Density]]*sim.tbl[[#This Row],[Medium LSB]]</f>
        <v>0</v>
      </c>
      <c r="AX33" s="5">
        <f>sim.tbl[[#This Row],[Density]]*sim.tbl[[#This Row],[Medium SW]]</f>
        <v>0</v>
      </c>
      <c r="AY33" s="5">
        <f>sim.tbl[[#This Row],[Density]]*sim.tbl[[#This Row],[Midale]]</f>
        <v>870.4</v>
      </c>
      <c r="AZ33" s="5">
        <f>sim.tbl[[#This Row],[Density]]*sim.tbl[[#This Row],[Heavy Sour]]</f>
        <v>0</v>
      </c>
      <c r="BA33" s="5">
        <f>sim.tbl[[#This Row],[Density]]*sim.tbl[[#This Row],[Heavy SW]]</f>
        <v>0</v>
      </c>
      <c r="BB33" s="5">
        <f>sim.tbl[[#This Row],[7 Day Rolling Temperature]]*sim.tbl[[#This Row],[C5+]]</f>
        <v>0</v>
      </c>
      <c r="BC33" s="5">
        <f>sim.tbl[[#This Row],[7 Day Rolling Temperature]]*sim.tbl[[#This Row],[Light LSB]]</f>
        <v>0</v>
      </c>
      <c r="BD33" s="5">
        <f>sim.tbl[[#This Row],[7 Day Rolling Temperature]]*sim.tbl[[#This Row],[Light SW]]</f>
        <v>0</v>
      </c>
      <c r="BE33" s="5">
        <f>sim.tbl[[#This Row],[7 Day Rolling Temperature]]*sim.tbl[[#This Row],[Medium LSB]]</f>
        <v>0</v>
      </c>
      <c r="BF33" s="5">
        <f>sim.tbl[[#This Row],[7 Day Rolling Temperature]]*sim.tbl[[#This Row],[Medium SW]]</f>
        <v>0</v>
      </c>
      <c r="BG33" s="5">
        <f>sim.tbl[[#This Row],[7 Day Rolling Temperature]]*sim.tbl[[#This Row],[Midale]]</f>
        <v>4.4000000000000004</v>
      </c>
      <c r="BH33" s="5">
        <f>sim.tbl[[#This Row],[7 Day Rolling Temperature]]*sim.tbl[[#This Row],[Heavy Sour]]</f>
        <v>0</v>
      </c>
      <c r="BI33" s="5">
        <f>sim.tbl[[#This Row],[7 Day Rolling Temperature]]*sim.tbl[[#This Row],[Heavy SW]]</f>
        <v>0</v>
      </c>
      <c r="BJ33" s="5">
        <f>sim.tbl[[#This Row],[Post Aquisition]]*sim.tbl[[#This Row],[C5+]]</f>
        <v>0</v>
      </c>
      <c r="BK33" s="5">
        <f>sim.tbl[[#This Row],[Post Aquisition]]*sim.tbl[[#This Row],[Light LSB]]</f>
        <v>0</v>
      </c>
      <c r="BL33" s="5">
        <f>sim.tbl[[#This Row],[Post Aquisition]]*sim.tbl[[#This Row],[Light SW]]</f>
        <v>0</v>
      </c>
      <c r="BM33" s="5">
        <f>sim.tbl[[#This Row],[Post Aquisition]]*sim.tbl[[#This Row],[Medium LSB]]</f>
        <v>0</v>
      </c>
      <c r="BN33" s="5">
        <f>sim.tbl[[#This Row],[Post Aquisition]]*sim.tbl[[#This Row],[Medium SW]]</f>
        <v>0</v>
      </c>
      <c r="BO33" s="5">
        <f>sim.tbl[[#This Row],[Post Aquisition]]*sim.tbl[[#This Row],[Midale]]</f>
        <v>1</v>
      </c>
      <c r="BP33" s="5">
        <f>sim.tbl[[#This Row],[Post Aquisition]]*sim.tbl[[#This Row],[Heavy Sour]]</f>
        <v>0</v>
      </c>
      <c r="BQ33" s="5">
        <f>sim.tbl[[#This Row],[Post Aquisition]]*sim.tbl[[#This Row],[Heavy SW]]</f>
        <v>0</v>
      </c>
    </row>
    <row r="34" spans="4:69" x14ac:dyDescent="0.25">
      <c r="D34" s="5">
        <f ca="1">SUMPRODUCT($F$1:$BQ$1,sim.tbl[[#This Row],[(Intercept)]:[Post Aquisition:Heavy SW]])</f>
        <v>67.631247469677703</v>
      </c>
      <c r="E34" s="14">
        <f ca="1">DATE(YEAR(TODAY()),INDEX(mthLkUp.tbl[Num],MATCH(mth.input,mthLkUp.tbl[Month],0)),1)</f>
        <v>42795</v>
      </c>
      <c r="F34" s="6">
        <f>1</f>
        <v>1</v>
      </c>
      <c r="G34" s="5">
        <v>2.2599999999999998</v>
      </c>
      <c r="H34" s="5">
        <v>877.9</v>
      </c>
      <c r="I34" s="5">
        <v>-12.91666667</v>
      </c>
      <c r="J34" s="5">
        <v>-13.6</v>
      </c>
      <c r="K34" s="5">
        <v>-12.8</v>
      </c>
      <c r="L34" s="5">
        <v>-13.6</v>
      </c>
      <c r="M34" s="5">
        <v>-12.5</v>
      </c>
      <c r="N34" s="5">
        <v>-13.3</v>
      </c>
      <c r="O34" s="5">
        <v>-12.9</v>
      </c>
      <c r="P34" s="5">
        <v>-12.4</v>
      </c>
      <c r="Q34" s="6">
        <f>IF(sim.tbl[[#This Row],[Density]]&lt;=770,1,0)</f>
        <v>0</v>
      </c>
      <c r="R34" s="6">
        <f>IF(AND(sim.tbl[[#This Row],[Sulfur]]&gt;0.5,sim.tbl[[#This Row],[Density]]&gt;770,sim.tbl[[#This Row],[Density]]&lt;=825),1,0)</f>
        <v>0</v>
      </c>
      <c r="S34" s="6">
        <f>IF(AND(sim.tbl[[#This Row],[Sulfur]]&lt;=0.5,sim.tbl[[#This Row],[Density]]&gt;770,sim.tbl[[#This Row],[Density]]&lt;=825),1,0)</f>
        <v>0</v>
      </c>
      <c r="T34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4" s="6">
        <f>IF(AND(sim.tbl[[#This Row],[Sulfur]]&lt;0.5,sim.tbl[[#This Row],[Density]]&gt;825,sim.tbl[[#This Row],[Density]]&lt;=900),1,0)</f>
        <v>0</v>
      </c>
      <c r="V34" s="6">
        <f>IF(AND(sim.tbl[[#This Row],[Sulfur]]&gt;2,sim.tbl[[#This Row],[Density]]&gt;865,sim.tbl[[#This Row],[Density]]&lt;=900),1,0)</f>
        <v>1</v>
      </c>
      <c r="W34" s="6">
        <f>IF(AND(sim.tbl[[#This Row],[Sulfur]]&gt;0.5,sim.tbl[[#This Row],[Density]]&gt;900),1,0)</f>
        <v>0</v>
      </c>
      <c r="X34" s="6">
        <f>IF(AND(sim.tbl[[#This Row],[Sulfur]]&lt;=0.5,sim.tbl[[#This Row],[Density]]&gt;900),1,0)</f>
        <v>0</v>
      </c>
      <c r="Y34" s="6">
        <f ca="1">IF(MONTH(sim.tbl[[#This Row],[SDate]])=INDEX(mthLkUp.tbl[Num],MATCH(Y$3,mthLkUp.tbl[Month],0)),1,0)</f>
        <v>0</v>
      </c>
      <c r="Z34" s="6">
        <f ca="1">IF(MONTH(sim.tbl[[#This Row],[SDate]])=INDEX(mthLkUp.tbl[Num],MATCH(Z$3,mthLkUp.tbl[Month],0)),1,0)</f>
        <v>0</v>
      </c>
      <c r="AA34" s="6">
        <f ca="1">IF(MONTH(sim.tbl[[#This Row],[SDate]])=INDEX(mthLkUp.tbl[Num],MATCH(AA$3,mthLkUp.tbl[Month],0)),1,0)</f>
        <v>1</v>
      </c>
      <c r="AB34" s="6">
        <f ca="1">IF(MONTH(sim.tbl[[#This Row],[SDate]])=INDEX(mthLkUp.tbl[Num],MATCH(AB$3,mthLkUp.tbl[Month],0)),1,0)</f>
        <v>0</v>
      </c>
      <c r="AC34" s="6">
        <f ca="1">IF(MONTH(sim.tbl[[#This Row],[SDate]])=INDEX(mthLkUp.tbl[Num],MATCH(AC$3,mthLkUp.tbl[Month],0)),1,0)</f>
        <v>0</v>
      </c>
      <c r="AD34" s="6">
        <f ca="1">IF(MONTH(sim.tbl[[#This Row],[SDate]])=INDEX(mthLkUp.tbl[Num],MATCH(AD$3,mthLkUp.tbl[Month],0)),1,0)</f>
        <v>0</v>
      </c>
      <c r="AE34" s="6">
        <f ca="1">IF(MONTH(sim.tbl[[#This Row],[SDate]])=INDEX(mthLkUp.tbl[Num],MATCH(AE$3,mthLkUp.tbl[Month],0)),1,0)</f>
        <v>0</v>
      </c>
      <c r="AF34" s="6">
        <f ca="1">IF(MONTH(sim.tbl[[#This Row],[SDate]])=INDEX(mthLkUp.tbl[Num],MATCH(AF$3,mthLkUp.tbl[Month],0)),1,0)</f>
        <v>0</v>
      </c>
      <c r="AG34" s="6">
        <f ca="1">IF(MONTH(sim.tbl[[#This Row],[SDate]])=INDEX(mthLkUp.tbl[Num],MATCH(AG$3,mthLkUp.tbl[Month],0)),1,0)</f>
        <v>0</v>
      </c>
      <c r="AH34" s="6">
        <f ca="1">IF(MONTH(sim.tbl[[#This Row],[SDate]])=INDEX(mthLkUp.tbl[Num],MATCH(AH$3,mthLkUp.tbl[Month],0)),1,0)</f>
        <v>0</v>
      </c>
      <c r="AI34" s="6">
        <f ca="1">IF(MONTH(sim.tbl[[#This Row],[SDate]])=INDEX(mthLkUp.tbl[Num],MATCH(AI$3,mthLkUp.tbl[Month],0)),1,0)</f>
        <v>0</v>
      </c>
      <c r="AJ34" s="6">
        <f ca="1">IF(MONTH(sim.tbl[[#This Row],[SDate]])=INDEX(mthLkUp.tbl[Num],MATCH(AJ$3,mthLkUp.tbl[Month],0)),1,0)</f>
        <v>0</v>
      </c>
      <c r="AK34" s="6">
        <v>1</v>
      </c>
      <c r="AL34" s="5">
        <f>sim.tbl[[#This Row],[Sulfur]]*sim.tbl[[#This Row],[C5+]]</f>
        <v>0</v>
      </c>
      <c r="AM34" s="5">
        <f>sim.tbl[[#This Row],[Sulfur]]*sim.tbl[[#This Row],[Light LSB]]</f>
        <v>0</v>
      </c>
      <c r="AN34" s="5">
        <f>sim.tbl[[#This Row],[Sulfur]]*sim.tbl[[#This Row],[Light SW]]</f>
        <v>0</v>
      </c>
      <c r="AO34" s="5">
        <f>sim.tbl[[#This Row],[Sulfur]]*sim.tbl[[#This Row],[Medium LSB]]</f>
        <v>0</v>
      </c>
      <c r="AP34" s="5">
        <f>sim.tbl[[#This Row],[Sulfur]]*sim.tbl[[#This Row],[Medium SW]]</f>
        <v>0</v>
      </c>
      <c r="AQ34" s="5">
        <f>sim.tbl[[#This Row],[Sulfur]]*sim.tbl[[#This Row],[Midale]]</f>
        <v>2.2599999999999998</v>
      </c>
      <c r="AR34" s="5">
        <f>sim.tbl[[#This Row],[Sulfur]]*sim.tbl[[#This Row],[Heavy Sour]]</f>
        <v>0</v>
      </c>
      <c r="AS34" s="5">
        <f>sim.tbl[[#This Row],[Sulfur]]*sim.tbl[[#This Row],[Heavy SW]]</f>
        <v>0</v>
      </c>
      <c r="AT34" s="5">
        <f>sim.tbl[[#This Row],[Density]]*sim.tbl[[#This Row],[C5+]]</f>
        <v>0</v>
      </c>
      <c r="AU34" s="5">
        <f>sim.tbl[[#This Row],[Density]]*sim.tbl[[#This Row],[Light LSB]]</f>
        <v>0</v>
      </c>
      <c r="AV34" s="5">
        <f>sim.tbl[[#This Row],[Density]]*sim.tbl[[#This Row],[Light SW]]</f>
        <v>0</v>
      </c>
      <c r="AW34" s="5">
        <f>sim.tbl[[#This Row],[Density]]*sim.tbl[[#This Row],[Medium LSB]]</f>
        <v>0</v>
      </c>
      <c r="AX34" s="5">
        <f>sim.tbl[[#This Row],[Density]]*sim.tbl[[#This Row],[Medium SW]]</f>
        <v>0</v>
      </c>
      <c r="AY34" s="5">
        <f>sim.tbl[[#This Row],[Density]]*sim.tbl[[#This Row],[Midale]]</f>
        <v>877.9</v>
      </c>
      <c r="AZ34" s="5">
        <f>sim.tbl[[#This Row],[Density]]*sim.tbl[[#This Row],[Heavy Sour]]</f>
        <v>0</v>
      </c>
      <c r="BA34" s="5">
        <f>sim.tbl[[#This Row],[Density]]*sim.tbl[[#This Row],[Heavy SW]]</f>
        <v>0</v>
      </c>
      <c r="BB34" s="5">
        <f>sim.tbl[[#This Row],[7 Day Rolling Temperature]]*sim.tbl[[#This Row],[C5+]]</f>
        <v>0</v>
      </c>
      <c r="BC34" s="5">
        <f>sim.tbl[[#This Row],[7 Day Rolling Temperature]]*sim.tbl[[#This Row],[Light LSB]]</f>
        <v>0</v>
      </c>
      <c r="BD34" s="5">
        <f>sim.tbl[[#This Row],[7 Day Rolling Temperature]]*sim.tbl[[#This Row],[Light SW]]</f>
        <v>0</v>
      </c>
      <c r="BE34" s="5">
        <f>sim.tbl[[#This Row],[7 Day Rolling Temperature]]*sim.tbl[[#This Row],[Medium LSB]]</f>
        <v>0</v>
      </c>
      <c r="BF34" s="5">
        <f>sim.tbl[[#This Row],[7 Day Rolling Temperature]]*sim.tbl[[#This Row],[Medium SW]]</f>
        <v>0</v>
      </c>
      <c r="BG34" s="5">
        <f>sim.tbl[[#This Row],[7 Day Rolling Temperature]]*sim.tbl[[#This Row],[Midale]]</f>
        <v>-13.6</v>
      </c>
      <c r="BH34" s="5">
        <f>sim.tbl[[#This Row],[7 Day Rolling Temperature]]*sim.tbl[[#This Row],[Heavy Sour]]</f>
        <v>0</v>
      </c>
      <c r="BI34" s="5">
        <f>sim.tbl[[#This Row],[7 Day Rolling Temperature]]*sim.tbl[[#This Row],[Heavy SW]]</f>
        <v>0</v>
      </c>
      <c r="BJ34" s="5">
        <f>sim.tbl[[#This Row],[Post Aquisition]]*sim.tbl[[#This Row],[C5+]]</f>
        <v>0</v>
      </c>
      <c r="BK34" s="5">
        <f>sim.tbl[[#This Row],[Post Aquisition]]*sim.tbl[[#This Row],[Light LSB]]</f>
        <v>0</v>
      </c>
      <c r="BL34" s="5">
        <f>sim.tbl[[#This Row],[Post Aquisition]]*sim.tbl[[#This Row],[Light SW]]</f>
        <v>0</v>
      </c>
      <c r="BM34" s="5">
        <f>sim.tbl[[#This Row],[Post Aquisition]]*sim.tbl[[#This Row],[Medium LSB]]</f>
        <v>0</v>
      </c>
      <c r="BN34" s="5">
        <f>sim.tbl[[#This Row],[Post Aquisition]]*sim.tbl[[#This Row],[Medium SW]]</f>
        <v>0</v>
      </c>
      <c r="BO34" s="5">
        <f>sim.tbl[[#This Row],[Post Aquisition]]*sim.tbl[[#This Row],[Midale]]</f>
        <v>1</v>
      </c>
      <c r="BP34" s="5">
        <f>sim.tbl[[#This Row],[Post Aquisition]]*sim.tbl[[#This Row],[Heavy Sour]]</f>
        <v>0</v>
      </c>
      <c r="BQ34" s="5">
        <f>sim.tbl[[#This Row],[Post Aquisition]]*sim.tbl[[#This Row],[Heavy SW]]</f>
        <v>0</v>
      </c>
    </row>
    <row r="35" spans="4:69" x14ac:dyDescent="0.25">
      <c r="D35" s="5">
        <f ca="1">SUMPRODUCT($F$1:$BQ$1,sim.tbl[[#This Row],[(Intercept)]:[Post Aquisition:Heavy SW]])</f>
        <v>59.542165288876845</v>
      </c>
      <c r="E35" s="14">
        <f ca="1">DATE(YEAR(TODAY()),INDEX(mthLkUp.tbl[Num],MATCH(mth.input,mthLkUp.tbl[Month],0)),1)</f>
        <v>42795</v>
      </c>
      <c r="F35" s="6">
        <f>1</f>
        <v>1</v>
      </c>
      <c r="G35" s="5">
        <v>2.46</v>
      </c>
      <c r="H35" s="5">
        <v>880</v>
      </c>
      <c r="I35" s="5">
        <v>7.54</v>
      </c>
      <c r="J35" s="5">
        <v>7.6</v>
      </c>
      <c r="K35" s="5">
        <v>8.1999999999999993</v>
      </c>
      <c r="L35" s="5">
        <v>7.6</v>
      </c>
      <c r="M35" s="5">
        <v>12.3</v>
      </c>
      <c r="N35" s="5">
        <v>8</v>
      </c>
      <c r="O35" s="5">
        <v>7.7</v>
      </c>
      <c r="P35" s="5">
        <v>6.2</v>
      </c>
      <c r="Q35" s="6">
        <f>IF(sim.tbl[[#This Row],[Density]]&lt;=770,1,0)</f>
        <v>0</v>
      </c>
      <c r="R35" s="6">
        <f>IF(AND(sim.tbl[[#This Row],[Sulfur]]&gt;0.5,sim.tbl[[#This Row],[Density]]&gt;770,sim.tbl[[#This Row],[Density]]&lt;=825),1,0)</f>
        <v>0</v>
      </c>
      <c r="S35" s="6">
        <f>IF(AND(sim.tbl[[#This Row],[Sulfur]]&lt;=0.5,sim.tbl[[#This Row],[Density]]&gt;770,sim.tbl[[#This Row],[Density]]&lt;=825),1,0)</f>
        <v>0</v>
      </c>
      <c r="T35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5" s="6">
        <f>IF(AND(sim.tbl[[#This Row],[Sulfur]]&lt;0.5,sim.tbl[[#This Row],[Density]]&gt;825,sim.tbl[[#This Row],[Density]]&lt;=900),1,0)</f>
        <v>0</v>
      </c>
      <c r="V35" s="6">
        <f>IF(AND(sim.tbl[[#This Row],[Sulfur]]&gt;2,sim.tbl[[#This Row],[Density]]&gt;865,sim.tbl[[#This Row],[Density]]&lt;=900),1,0)</f>
        <v>1</v>
      </c>
      <c r="W35" s="6">
        <f>IF(AND(sim.tbl[[#This Row],[Sulfur]]&gt;0.5,sim.tbl[[#This Row],[Density]]&gt;900),1,0)</f>
        <v>0</v>
      </c>
      <c r="X35" s="6">
        <f>IF(AND(sim.tbl[[#This Row],[Sulfur]]&lt;=0.5,sim.tbl[[#This Row],[Density]]&gt;900),1,0)</f>
        <v>0</v>
      </c>
      <c r="Y35" s="6">
        <f ca="1">IF(MONTH(sim.tbl[[#This Row],[SDate]])=INDEX(mthLkUp.tbl[Num],MATCH(Y$3,mthLkUp.tbl[Month],0)),1,0)</f>
        <v>0</v>
      </c>
      <c r="Z35" s="6">
        <f ca="1">IF(MONTH(sim.tbl[[#This Row],[SDate]])=INDEX(mthLkUp.tbl[Num],MATCH(Z$3,mthLkUp.tbl[Month],0)),1,0)</f>
        <v>0</v>
      </c>
      <c r="AA35" s="6">
        <f ca="1">IF(MONTH(sim.tbl[[#This Row],[SDate]])=INDEX(mthLkUp.tbl[Num],MATCH(AA$3,mthLkUp.tbl[Month],0)),1,0)</f>
        <v>1</v>
      </c>
      <c r="AB35" s="6">
        <f ca="1">IF(MONTH(sim.tbl[[#This Row],[SDate]])=INDEX(mthLkUp.tbl[Num],MATCH(AB$3,mthLkUp.tbl[Month],0)),1,0)</f>
        <v>0</v>
      </c>
      <c r="AC35" s="6">
        <f ca="1">IF(MONTH(sim.tbl[[#This Row],[SDate]])=INDEX(mthLkUp.tbl[Num],MATCH(AC$3,mthLkUp.tbl[Month],0)),1,0)</f>
        <v>0</v>
      </c>
      <c r="AD35" s="6">
        <f ca="1">IF(MONTH(sim.tbl[[#This Row],[SDate]])=INDEX(mthLkUp.tbl[Num],MATCH(AD$3,mthLkUp.tbl[Month],0)),1,0)</f>
        <v>0</v>
      </c>
      <c r="AE35" s="6">
        <f ca="1">IF(MONTH(sim.tbl[[#This Row],[SDate]])=INDEX(mthLkUp.tbl[Num],MATCH(AE$3,mthLkUp.tbl[Month],0)),1,0)</f>
        <v>0</v>
      </c>
      <c r="AF35" s="6">
        <f ca="1">IF(MONTH(sim.tbl[[#This Row],[SDate]])=INDEX(mthLkUp.tbl[Num],MATCH(AF$3,mthLkUp.tbl[Month],0)),1,0)</f>
        <v>0</v>
      </c>
      <c r="AG35" s="6">
        <f ca="1">IF(MONTH(sim.tbl[[#This Row],[SDate]])=INDEX(mthLkUp.tbl[Num],MATCH(AG$3,mthLkUp.tbl[Month],0)),1,0)</f>
        <v>0</v>
      </c>
      <c r="AH35" s="6">
        <f ca="1">IF(MONTH(sim.tbl[[#This Row],[SDate]])=INDEX(mthLkUp.tbl[Num],MATCH(AH$3,mthLkUp.tbl[Month],0)),1,0)</f>
        <v>0</v>
      </c>
      <c r="AI35" s="6">
        <f ca="1">IF(MONTH(sim.tbl[[#This Row],[SDate]])=INDEX(mthLkUp.tbl[Num],MATCH(AI$3,mthLkUp.tbl[Month],0)),1,0)</f>
        <v>0</v>
      </c>
      <c r="AJ35" s="6">
        <f ca="1">IF(MONTH(sim.tbl[[#This Row],[SDate]])=INDEX(mthLkUp.tbl[Num],MATCH(AJ$3,mthLkUp.tbl[Month],0)),1,0)</f>
        <v>0</v>
      </c>
      <c r="AK35" s="6">
        <v>1</v>
      </c>
      <c r="AL35" s="5">
        <f>sim.tbl[[#This Row],[Sulfur]]*sim.tbl[[#This Row],[C5+]]</f>
        <v>0</v>
      </c>
      <c r="AM35" s="5">
        <f>sim.tbl[[#This Row],[Sulfur]]*sim.tbl[[#This Row],[Light LSB]]</f>
        <v>0</v>
      </c>
      <c r="AN35" s="5">
        <f>sim.tbl[[#This Row],[Sulfur]]*sim.tbl[[#This Row],[Light SW]]</f>
        <v>0</v>
      </c>
      <c r="AO35" s="5">
        <f>sim.tbl[[#This Row],[Sulfur]]*sim.tbl[[#This Row],[Medium LSB]]</f>
        <v>0</v>
      </c>
      <c r="AP35" s="5">
        <f>sim.tbl[[#This Row],[Sulfur]]*sim.tbl[[#This Row],[Medium SW]]</f>
        <v>0</v>
      </c>
      <c r="AQ35" s="5">
        <f>sim.tbl[[#This Row],[Sulfur]]*sim.tbl[[#This Row],[Midale]]</f>
        <v>2.46</v>
      </c>
      <c r="AR35" s="5">
        <f>sim.tbl[[#This Row],[Sulfur]]*sim.tbl[[#This Row],[Heavy Sour]]</f>
        <v>0</v>
      </c>
      <c r="AS35" s="5">
        <f>sim.tbl[[#This Row],[Sulfur]]*sim.tbl[[#This Row],[Heavy SW]]</f>
        <v>0</v>
      </c>
      <c r="AT35" s="5">
        <f>sim.tbl[[#This Row],[Density]]*sim.tbl[[#This Row],[C5+]]</f>
        <v>0</v>
      </c>
      <c r="AU35" s="5">
        <f>sim.tbl[[#This Row],[Density]]*sim.tbl[[#This Row],[Light LSB]]</f>
        <v>0</v>
      </c>
      <c r="AV35" s="5">
        <f>sim.tbl[[#This Row],[Density]]*sim.tbl[[#This Row],[Light SW]]</f>
        <v>0</v>
      </c>
      <c r="AW35" s="5">
        <f>sim.tbl[[#This Row],[Density]]*sim.tbl[[#This Row],[Medium LSB]]</f>
        <v>0</v>
      </c>
      <c r="AX35" s="5">
        <f>sim.tbl[[#This Row],[Density]]*sim.tbl[[#This Row],[Medium SW]]</f>
        <v>0</v>
      </c>
      <c r="AY35" s="5">
        <f>sim.tbl[[#This Row],[Density]]*sim.tbl[[#This Row],[Midale]]</f>
        <v>880</v>
      </c>
      <c r="AZ35" s="5">
        <f>sim.tbl[[#This Row],[Density]]*sim.tbl[[#This Row],[Heavy Sour]]</f>
        <v>0</v>
      </c>
      <c r="BA35" s="5">
        <f>sim.tbl[[#This Row],[Density]]*sim.tbl[[#This Row],[Heavy SW]]</f>
        <v>0</v>
      </c>
      <c r="BB35" s="5">
        <f>sim.tbl[[#This Row],[7 Day Rolling Temperature]]*sim.tbl[[#This Row],[C5+]]</f>
        <v>0</v>
      </c>
      <c r="BC35" s="5">
        <f>sim.tbl[[#This Row],[7 Day Rolling Temperature]]*sim.tbl[[#This Row],[Light LSB]]</f>
        <v>0</v>
      </c>
      <c r="BD35" s="5">
        <f>sim.tbl[[#This Row],[7 Day Rolling Temperature]]*sim.tbl[[#This Row],[Light SW]]</f>
        <v>0</v>
      </c>
      <c r="BE35" s="5">
        <f>sim.tbl[[#This Row],[7 Day Rolling Temperature]]*sim.tbl[[#This Row],[Medium LSB]]</f>
        <v>0</v>
      </c>
      <c r="BF35" s="5">
        <f>sim.tbl[[#This Row],[7 Day Rolling Temperature]]*sim.tbl[[#This Row],[Medium SW]]</f>
        <v>0</v>
      </c>
      <c r="BG35" s="5">
        <f>sim.tbl[[#This Row],[7 Day Rolling Temperature]]*sim.tbl[[#This Row],[Midale]]</f>
        <v>7.6</v>
      </c>
      <c r="BH35" s="5">
        <f>sim.tbl[[#This Row],[7 Day Rolling Temperature]]*sim.tbl[[#This Row],[Heavy Sour]]</f>
        <v>0</v>
      </c>
      <c r="BI35" s="5">
        <f>sim.tbl[[#This Row],[7 Day Rolling Temperature]]*sim.tbl[[#This Row],[Heavy SW]]</f>
        <v>0</v>
      </c>
      <c r="BJ35" s="5">
        <f>sim.tbl[[#This Row],[Post Aquisition]]*sim.tbl[[#This Row],[C5+]]</f>
        <v>0</v>
      </c>
      <c r="BK35" s="5">
        <f>sim.tbl[[#This Row],[Post Aquisition]]*sim.tbl[[#This Row],[Light LSB]]</f>
        <v>0</v>
      </c>
      <c r="BL35" s="5">
        <f>sim.tbl[[#This Row],[Post Aquisition]]*sim.tbl[[#This Row],[Light SW]]</f>
        <v>0</v>
      </c>
      <c r="BM35" s="5">
        <f>sim.tbl[[#This Row],[Post Aquisition]]*sim.tbl[[#This Row],[Medium LSB]]</f>
        <v>0</v>
      </c>
      <c r="BN35" s="5">
        <f>sim.tbl[[#This Row],[Post Aquisition]]*sim.tbl[[#This Row],[Medium SW]]</f>
        <v>0</v>
      </c>
      <c r="BO35" s="5">
        <f>sim.tbl[[#This Row],[Post Aquisition]]*sim.tbl[[#This Row],[Midale]]</f>
        <v>1</v>
      </c>
      <c r="BP35" s="5">
        <f>sim.tbl[[#This Row],[Post Aquisition]]*sim.tbl[[#This Row],[Heavy Sour]]</f>
        <v>0</v>
      </c>
      <c r="BQ35" s="5">
        <f>sim.tbl[[#This Row],[Post Aquisition]]*sim.tbl[[#This Row],[Heavy SW]]</f>
        <v>0</v>
      </c>
    </row>
    <row r="36" spans="4:69" x14ac:dyDescent="0.25">
      <c r="D36" s="5">
        <f ca="1">SUMPRODUCT($F$1:$BQ$1,sim.tbl[[#This Row],[(Intercept)]:[Post Aquisition:Heavy SW]])</f>
        <v>60.399626844608747</v>
      </c>
      <c r="E36" s="14">
        <f ca="1">DATE(YEAR(TODAY()),INDEX(mthLkUp.tbl[Num],MATCH(mth.input,mthLkUp.tbl[Month],0)),1)</f>
        <v>42795</v>
      </c>
      <c r="F36" s="6">
        <f>1</f>
        <v>1</v>
      </c>
      <c r="G36" s="5">
        <v>2.2999999999999998</v>
      </c>
      <c r="H36" s="5">
        <v>880</v>
      </c>
      <c r="I36" s="5">
        <v>5.08</v>
      </c>
      <c r="J36" s="5">
        <v>4.8</v>
      </c>
      <c r="K36" s="5">
        <v>4.5</v>
      </c>
      <c r="L36" s="5">
        <v>4.8</v>
      </c>
      <c r="M36" s="5">
        <v>8.8000000000000007</v>
      </c>
      <c r="N36" s="5">
        <v>6.5</v>
      </c>
      <c r="O36" s="5">
        <v>4.7</v>
      </c>
      <c r="P36" s="5">
        <v>4.9000000000000004</v>
      </c>
      <c r="Q36" s="6">
        <f>IF(sim.tbl[[#This Row],[Density]]&lt;=770,1,0)</f>
        <v>0</v>
      </c>
      <c r="R36" s="6">
        <f>IF(AND(sim.tbl[[#This Row],[Sulfur]]&gt;0.5,sim.tbl[[#This Row],[Density]]&gt;770,sim.tbl[[#This Row],[Density]]&lt;=825),1,0)</f>
        <v>0</v>
      </c>
      <c r="S36" s="6">
        <f>IF(AND(sim.tbl[[#This Row],[Sulfur]]&lt;=0.5,sim.tbl[[#This Row],[Density]]&gt;770,sim.tbl[[#This Row],[Density]]&lt;=825),1,0)</f>
        <v>0</v>
      </c>
      <c r="T36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6" s="6">
        <f>IF(AND(sim.tbl[[#This Row],[Sulfur]]&lt;0.5,sim.tbl[[#This Row],[Density]]&gt;825,sim.tbl[[#This Row],[Density]]&lt;=900),1,0)</f>
        <v>0</v>
      </c>
      <c r="V36" s="6">
        <f>IF(AND(sim.tbl[[#This Row],[Sulfur]]&gt;2,sim.tbl[[#This Row],[Density]]&gt;865,sim.tbl[[#This Row],[Density]]&lt;=900),1,0)</f>
        <v>1</v>
      </c>
      <c r="W36" s="6">
        <f>IF(AND(sim.tbl[[#This Row],[Sulfur]]&gt;0.5,sim.tbl[[#This Row],[Density]]&gt;900),1,0)</f>
        <v>0</v>
      </c>
      <c r="X36" s="6">
        <f>IF(AND(sim.tbl[[#This Row],[Sulfur]]&lt;=0.5,sim.tbl[[#This Row],[Density]]&gt;900),1,0)</f>
        <v>0</v>
      </c>
      <c r="Y36" s="6">
        <f ca="1">IF(MONTH(sim.tbl[[#This Row],[SDate]])=INDEX(mthLkUp.tbl[Num],MATCH(Y$3,mthLkUp.tbl[Month],0)),1,0)</f>
        <v>0</v>
      </c>
      <c r="Z36" s="6">
        <f ca="1">IF(MONTH(sim.tbl[[#This Row],[SDate]])=INDEX(mthLkUp.tbl[Num],MATCH(Z$3,mthLkUp.tbl[Month],0)),1,0)</f>
        <v>0</v>
      </c>
      <c r="AA36" s="6">
        <f ca="1">IF(MONTH(sim.tbl[[#This Row],[SDate]])=INDEX(mthLkUp.tbl[Num],MATCH(AA$3,mthLkUp.tbl[Month],0)),1,0)</f>
        <v>1</v>
      </c>
      <c r="AB36" s="6">
        <f ca="1">IF(MONTH(sim.tbl[[#This Row],[SDate]])=INDEX(mthLkUp.tbl[Num],MATCH(AB$3,mthLkUp.tbl[Month],0)),1,0)</f>
        <v>0</v>
      </c>
      <c r="AC36" s="6">
        <f ca="1">IF(MONTH(sim.tbl[[#This Row],[SDate]])=INDEX(mthLkUp.tbl[Num],MATCH(AC$3,mthLkUp.tbl[Month],0)),1,0)</f>
        <v>0</v>
      </c>
      <c r="AD36" s="6">
        <f ca="1">IF(MONTH(sim.tbl[[#This Row],[SDate]])=INDEX(mthLkUp.tbl[Num],MATCH(AD$3,mthLkUp.tbl[Month],0)),1,0)</f>
        <v>0</v>
      </c>
      <c r="AE36" s="6">
        <f ca="1">IF(MONTH(sim.tbl[[#This Row],[SDate]])=INDEX(mthLkUp.tbl[Num],MATCH(AE$3,mthLkUp.tbl[Month],0)),1,0)</f>
        <v>0</v>
      </c>
      <c r="AF36" s="6">
        <f ca="1">IF(MONTH(sim.tbl[[#This Row],[SDate]])=INDEX(mthLkUp.tbl[Num],MATCH(AF$3,mthLkUp.tbl[Month],0)),1,0)</f>
        <v>0</v>
      </c>
      <c r="AG36" s="6">
        <f ca="1">IF(MONTH(sim.tbl[[#This Row],[SDate]])=INDEX(mthLkUp.tbl[Num],MATCH(AG$3,mthLkUp.tbl[Month],0)),1,0)</f>
        <v>0</v>
      </c>
      <c r="AH36" s="6">
        <f ca="1">IF(MONTH(sim.tbl[[#This Row],[SDate]])=INDEX(mthLkUp.tbl[Num],MATCH(AH$3,mthLkUp.tbl[Month],0)),1,0)</f>
        <v>0</v>
      </c>
      <c r="AI36" s="6">
        <f ca="1">IF(MONTH(sim.tbl[[#This Row],[SDate]])=INDEX(mthLkUp.tbl[Num],MATCH(AI$3,mthLkUp.tbl[Month],0)),1,0)</f>
        <v>0</v>
      </c>
      <c r="AJ36" s="6">
        <f ca="1">IF(MONTH(sim.tbl[[#This Row],[SDate]])=INDEX(mthLkUp.tbl[Num],MATCH(AJ$3,mthLkUp.tbl[Month],0)),1,0)</f>
        <v>0</v>
      </c>
      <c r="AK36" s="6">
        <v>1</v>
      </c>
      <c r="AL36" s="5">
        <f>sim.tbl[[#This Row],[Sulfur]]*sim.tbl[[#This Row],[C5+]]</f>
        <v>0</v>
      </c>
      <c r="AM36" s="5">
        <f>sim.tbl[[#This Row],[Sulfur]]*sim.tbl[[#This Row],[Light LSB]]</f>
        <v>0</v>
      </c>
      <c r="AN36" s="5">
        <f>sim.tbl[[#This Row],[Sulfur]]*sim.tbl[[#This Row],[Light SW]]</f>
        <v>0</v>
      </c>
      <c r="AO36" s="5">
        <f>sim.tbl[[#This Row],[Sulfur]]*sim.tbl[[#This Row],[Medium LSB]]</f>
        <v>0</v>
      </c>
      <c r="AP36" s="5">
        <f>sim.tbl[[#This Row],[Sulfur]]*sim.tbl[[#This Row],[Medium SW]]</f>
        <v>0</v>
      </c>
      <c r="AQ36" s="5">
        <f>sim.tbl[[#This Row],[Sulfur]]*sim.tbl[[#This Row],[Midale]]</f>
        <v>2.2999999999999998</v>
      </c>
      <c r="AR36" s="5">
        <f>sim.tbl[[#This Row],[Sulfur]]*sim.tbl[[#This Row],[Heavy Sour]]</f>
        <v>0</v>
      </c>
      <c r="AS36" s="5">
        <f>sim.tbl[[#This Row],[Sulfur]]*sim.tbl[[#This Row],[Heavy SW]]</f>
        <v>0</v>
      </c>
      <c r="AT36" s="5">
        <f>sim.tbl[[#This Row],[Density]]*sim.tbl[[#This Row],[C5+]]</f>
        <v>0</v>
      </c>
      <c r="AU36" s="5">
        <f>sim.tbl[[#This Row],[Density]]*sim.tbl[[#This Row],[Light LSB]]</f>
        <v>0</v>
      </c>
      <c r="AV36" s="5">
        <f>sim.tbl[[#This Row],[Density]]*sim.tbl[[#This Row],[Light SW]]</f>
        <v>0</v>
      </c>
      <c r="AW36" s="5">
        <f>sim.tbl[[#This Row],[Density]]*sim.tbl[[#This Row],[Medium LSB]]</f>
        <v>0</v>
      </c>
      <c r="AX36" s="5">
        <f>sim.tbl[[#This Row],[Density]]*sim.tbl[[#This Row],[Medium SW]]</f>
        <v>0</v>
      </c>
      <c r="AY36" s="5">
        <f>sim.tbl[[#This Row],[Density]]*sim.tbl[[#This Row],[Midale]]</f>
        <v>880</v>
      </c>
      <c r="AZ36" s="5">
        <f>sim.tbl[[#This Row],[Density]]*sim.tbl[[#This Row],[Heavy Sour]]</f>
        <v>0</v>
      </c>
      <c r="BA36" s="5">
        <f>sim.tbl[[#This Row],[Density]]*sim.tbl[[#This Row],[Heavy SW]]</f>
        <v>0</v>
      </c>
      <c r="BB36" s="5">
        <f>sim.tbl[[#This Row],[7 Day Rolling Temperature]]*sim.tbl[[#This Row],[C5+]]</f>
        <v>0</v>
      </c>
      <c r="BC36" s="5">
        <f>sim.tbl[[#This Row],[7 Day Rolling Temperature]]*sim.tbl[[#This Row],[Light LSB]]</f>
        <v>0</v>
      </c>
      <c r="BD36" s="5">
        <f>sim.tbl[[#This Row],[7 Day Rolling Temperature]]*sim.tbl[[#This Row],[Light SW]]</f>
        <v>0</v>
      </c>
      <c r="BE36" s="5">
        <f>sim.tbl[[#This Row],[7 Day Rolling Temperature]]*sim.tbl[[#This Row],[Medium LSB]]</f>
        <v>0</v>
      </c>
      <c r="BF36" s="5">
        <f>sim.tbl[[#This Row],[7 Day Rolling Temperature]]*sim.tbl[[#This Row],[Medium SW]]</f>
        <v>0</v>
      </c>
      <c r="BG36" s="5">
        <f>sim.tbl[[#This Row],[7 Day Rolling Temperature]]*sim.tbl[[#This Row],[Midale]]</f>
        <v>4.8</v>
      </c>
      <c r="BH36" s="5">
        <f>sim.tbl[[#This Row],[7 Day Rolling Temperature]]*sim.tbl[[#This Row],[Heavy Sour]]</f>
        <v>0</v>
      </c>
      <c r="BI36" s="5">
        <f>sim.tbl[[#This Row],[7 Day Rolling Temperature]]*sim.tbl[[#This Row],[Heavy SW]]</f>
        <v>0</v>
      </c>
      <c r="BJ36" s="5">
        <f>sim.tbl[[#This Row],[Post Aquisition]]*sim.tbl[[#This Row],[C5+]]</f>
        <v>0</v>
      </c>
      <c r="BK36" s="5">
        <f>sim.tbl[[#This Row],[Post Aquisition]]*sim.tbl[[#This Row],[Light LSB]]</f>
        <v>0</v>
      </c>
      <c r="BL36" s="5">
        <f>sim.tbl[[#This Row],[Post Aquisition]]*sim.tbl[[#This Row],[Light SW]]</f>
        <v>0</v>
      </c>
      <c r="BM36" s="5">
        <f>sim.tbl[[#This Row],[Post Aquisition]]*sim.tbl[[#This Row],[Medium LSB]]</f>
        <v>0</v>
      </c>
      <c r="BN36" s="5">
        <f>sim.tbl[[#This Row],[Post Aquisition]]*sim.tbl[[#This Row],[Medium SW]]</f>
        <v>0</v>
      </c>
      <c r="BO36" s="5">
        <f>sim.tbl[[#This Row],[Post Aquisition]]*sim.tbl[[#This Row],[Midale]]</f>
        <v>1</v>
      </c>
      <c r="BP36" s="5">
        <f>sim.tbl[[#This Row],[Post Aquisition]]*sim.tbl[[#This Row],[Heavy Sour]]</f>
        <v>0</v>
      </c>
      <c r="BQ36" s="5">
        <f>sim.tbl[[#This Row],[Post Aquisition]]*sim.tbl[[#This Row],[Heavy SW]]</f>
        <v>0</v>
      </c>
    </row>
    <row r="37" spans="4:69" x14ac:dyDescent="0.25">
      <c r="D37" s="5">
        <f ca="1">SUMPRODUCT($F$1:$BQ$1,sim.tbl[[#This Row],[(Intercept)]:[Post Aquisition:Heavy SW]])</f>
        <v>63.913608969934444</v>
      </c>
      <c r="E37" s="14">
        <f ca="1">DATE(YEAR(TODAY()),INDEX(mthLkUp.tbl[Num],MATCH(mth.input,mthLkUp.tbl[Month],0)),1)</f>
        <v>42795</v>
      </c>
      <c r="F37" s="6">
        <f>1</f>
        <v>1</v>
      </c>
      <c r="G37" s="5">
        <v>2.09</v>
      </c>
      <c r="H37" s="5">
        <v>875.7</v>
      </c>
      <c r="I37" s="5">
        <v>-2.1</v>
      </c>
      <c r="J37" s="5">
        <v>-1.7</v>
      </c>
      <c r="K37" s="5">
        <v>-1.9</v>
      </c>
      <c r="L37" s="5">
        <v>-1.7</v>
      </c>
      <c r="M37" s="5">
        <v>-3.8</v>
      </c>
      <c r="N37" s="5">
        <v>-1</v>
      </c>
      <c r="O37" s="5">
        <v>-1.4</v>
      </c>
      <c r="P37" s="5">
        <v>-2.8</v>
      </c>
      <c r="Q37" s="6">
        <f>IF(sim.tbl[[#This Row],[Density]]&lt;=770,1,0)</f>
        <v>0</v>
      </c>
      <c r="R37" s="6">
        <f>IF(AND(sim.tbl[[#This Row],[Sulfur]]&gt;0.5,sim.tbl[[#This Row],[Density]]&gt;770,sim.tbl[[#This Row],[Density]]&lt;=825),1,0)</f>
        <v>0</v>
      </c>
      <c r="S37" s="6">
        <f>IF(AND(sim.tbl[[#This Row],[Sulfur]]&lt;=0.5,sim.tbl[[#This Row],[Density]]&gt;770,sim.tbl[[#This Row],[Density]]&lt;=825),1,0)</f>
        <v>0</v>
      </c>
      <c r="T37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7" s="6">
        <f>IF(AND(sim.tbl[[#This Row],[Sulfur]]&lt;0.5,sim.tbl[[#This Row],[Density]]&gt;825,sim.tbl[[#This Row],[Density]]&lt;=900),1,0)</f>
        <v>0</v>
      </c>
      <c r="V37" s="6">
        <f>IF(AND(sim.tbl[[#This Row],[Sulfur]]&gt;2,sim.tbl[[#This Row],[Density]]&gt;865,sim.tbl[[#This Row],[Density]]&lt;=900),1,0)</f>
        <v>1</v>
      </c>
      <c r="W37" s="6">
        <f>IF(AND(sim.tbl[[#This Row],[Sulfur]]&gt;0.5,sim.tbl[[#This Row],[Density]]&gt;900),1,0)</f>
        <v>0</v>
      </c>
      <c r="X37" s="6">
        <f>IF(AND(sim.tbl[[#This Row],[Sulfur]]&lt;=0.5,sim.tbl[[#This Row],[Density]]&gt;900),1,0)</f>
        <v>0</v>
      </c>
      <c r="Y37" s="6">
        <f ca="1">IF(MONTH(sim.tbl[[#This Row],[SDate]])=INDEX(mthLkUp.tbl[Num],MATCH(Y$3,mthLkUp.tbl[Month],0)),1,0)</f>
        <v>0</v>
      </c>
      <c r="Z37" s="6">
        <f ca="1">IF(MONTH(sim.tbl[[#This Row],[SDate]])=INDEX(mthLkUp.tbl[Num],MATCH(Z$3,mthLkUp.tbl[Month],0)),1,0)</f>
        <v>0</v>
      </c>
      <c r="AA37" s="6">
        <f ca="1">IF(MONTH(sim.tbl[[#This Row],[SDate]])=INDEX(mthLkUp.tbl[Num],MATCH(AA$3,mthLkUp.tbl[Month],0)),1,0)</f>
        <v>1</v>
      </c>
      <c r="AB37" s="6">
        <f ca="1">IF(MONTH(sim.tbl[[#This Row],[SDate]])=INDEX(mthLkUp.tbl[Num],MATCH(AB$3,mthLkUp.tbl[Month],0)),1,0)</f>
        <v>0</v>
      </c>
      <c r="AC37" s="6">
        <f ca="1">IF(MONTH(sim.tbl[[#This Row],[SDate]])=INDEX(mthLkUp.tbl[Num],MATCH(AC$3,mthLkUp.tbl[Month],0)),1,0)</f>
        <v>0</v>
      </c>
      <c r="AD37" s="6">
        <f ca="1">IF(MONTH(sim.tbl[[#This Row],[SDate]])=INDEX(mthLkUp.tbl[Num],MATCH(AD$3,mthLkUp.tbl[Month],0)),1,0)</f>
        <v>0</v>
      </c>
      <c r="AE37" s="6">
        <f ca="1">IF(MONTH(sim.tbl[[#This Row],[SDate]])=INDEX(mthLkUp.tbl[Num],MATCH(AE$3,mthLkUp.tbl[Month],0)),1,0)</f>
        <v>0</v>
      </c>
      <c r="AF37" s="6">
        <f ca="1">IF(MONTH(sim.tbl[[#This Row],[SDate]])=INDEX(mthLkUp.tbl[Num],MATCH(AF$3,mthLkUp.tbl[Month],0)),1,0)</f>
        <v>0</v>
      </c>
      <c r="AG37" s="6">
        <f ca="1">IF(MONTH(sim.tbl[[#This Row],[SDate]])=INDEX(mthLkUp.tbl[Num],MATCH(AG$3,mthLkUp.tbl[Month],0)),1,0)</f>
        <v>0</v>
      </c>
      <c r="AH37" s="6">
        <f ca="1">IF(MONTH(sim.tbl[[#This Row],[SDate]])=INDEX(mthLkUp.tbl[Num],MATCH(AH$3,mthLkUp.tbl[Month],0)),1,0)</f>
        <v>0</v>
      </c>
      <c r="AI37" s="6">
        <f ca="1">IF(MONTH(sim.tbl[[#This Row],[SDate]])=INDEX(mthLkUp.tbl[Num],MATCH(AI$3,mthLkUp.tbl[Month],0)),1,0)</f>
        <v>0</v>
      </c>
      <c r="AJ37" s="6">
        <f ca="1">IF(MONTH(sim.tbl[[#This Row],[SDate]])=INDEX(mthLkUp.tbl[Num],MATCH(AJ$3,mthLkUp.tbl[Month],0)),1,0)</f>
        <v>0</v>
      </c>
      <c r="AK37" s="6">
        <v>1</v>
      </c>
      <c r="AL37" s="5">
        <f>sim.tbl[[#This Row],[Sulfur]]*sim.tbl[[#This Row],[C5+]]</f>
        <v>0</v>
      </c>
      <c r="AM37" s="5">
        <f>sim.tbl[[#This Row],[Sulfur]]*sim.tbl[[#This Row],[Light LSB]]</f>
        <v>0</v>
      </c>
      <c r="AN37" s="5">
        <f>sim.tbl[[#This Row],[Sulfur]]*sim.tbl[[#This Row],[Light SW]]</f>
        <v>0</v>
      </c>
      <c r="AO37" s="5">
        <f>sim.tbl[[#This Row],[Sulfur]]*sim.tbl[[#This Row],[Medium LSB]]</f>
        <v>0</v>
      </c>
      <c r="AP37" s="5">
        <f>sim.tbl[[#This Row],[Sulfur]]*sim.tbl[[#This Row],[Medium SW]]</f>
        <v>0</v>
      </c>
      <c r="AQ37" s="5">
        <f>sim.tbl[[#This Row],[Sulfur]]*sim.tbl[[#This Row],[Midale]]</f>
        <v>2.09</v>
      </c>
      <c r="AR37" s="5">
        <f>sim.tbl[[#This Row],[Sulfur]]*sim.tbl[[#This Row],[Heavy Sour]]</f>
        <v>0</v>
      </c>
      <c r="AS37" s="5">
        <f>sim.tbl[[#This Row],[Sulfur]]*sim.tbl[[#This Row],[Heavy SW]]</f>
        <v>0</v>
      </c>
      <c r="AT37" s="5">
        <f>sim.tbl[[#This Row],[Density]]*sim.tbl[[#This Row],[C5+]]</f>
        <v>0</v>
      </c>
      <c r="AU37" s="5">
        <f>sim.tbl[[#This Row],[Density]]*sim.tbl[[#This Row],[Light LSB]]</f>
        <v>0</v>
      </c>
      <c r="AV37" s="5">
        <f>sim.tbl[[#This Row],[Density]]*sim.tbl[[#This Row],[Light SW]]</f>
        <v>0</v>
      </c>
      <c r="AW37" s="5">
        <f>sim.tbl[[#This Row],[Density]]*sim.tbl[[#This Row],[Medium LSB]]</f>
        <v>0</v>
      </c>
      <c r="AX37" s="5">
        <f>sim.tbl[[#This Row],[Density]]*sim.tbl[[#This Row],[Medium SW]]</f>
        <v>0</v>
      </c>
      <c r="AY37" s="5">
        <f>sim.tbl[[#This Row],[Density]]*sim.tbl[[#This Row],[Midale]]</f>
        <v>875.7</v>
      </c>
      <c r="AZ37" s="5">
        <f>sim.tbl[[#This Row],[Density]]*sim.tbl[[#This Row],[Heavy Sour]]</f>
        <v>0</v>
      </c>
      <c r="BA37" s="5">
        <f>sim.tbl[[#This Row],[Density]]*sim.tbl[[#This Row],[Heavy SW]]</f>
        <v>0</v>
      </c>
      <c r="BB37" s="5">
        <f>sim.tbl[[#This Row],[7 Day Rolling Temperature]]*sim.tbl[[#This Row],[C5+]]</f>
        <v>0</v>
      </c>
      <c r="BC37" s="5">
        <f>sim.tbl[[#This Row],[7 Day Rolling Temperature]]*sim.tbl[[#This Row],[Light LSB]]</f>
        <v>0</v>
      </c>
      <c r="BD37" s="5">
        <f>sim.tbl[[#This Row],[7 Day Rolling Temperature]]*sim.tbl[[#This Row],[Light SW]]</f>
        <v>0</v>
      </c>
      <c r="BE37" s="5">
        <f>sim.tbl[[#This Row],[7 Day Rolling Temperature]]*sim.tbl[[#This Row],[Medium LSB]]</f>
        <v>0</v>
      </c>
      <c r="BF37" s="5">
        <f>sim.tbl[[#This Row],[7 Day Rolling Temperature]]*sim.tbl[[#This Row],[Medium SW]]</f>
        <v>0</v>
      </c>
      <c r="BG37" s="5">
        <f>sim.tbl[[#This Row],[7 Day Rolling Temperature]]*sim.tbl[[#This Row],[Midale]]</f>
        <v>-1.7</v>
      </c>
      <c r="BH37" s="5">
        <f>sim.tbl[[#This Row],[7 Day Rolling Temperature]]*sim.tbl[[#This Row],[Heavy Sour]]</f>
        <v>0</v>
      </c>
      <c r="BI37" s="5">
        <f>sim.tbl[[#This Row],[7 Day Rolling Temperature]]*sim.tbl[[#This Row],[Heavy SW]]</f>
        <v>0</v>
      </c>
      <c r="BJ37" s="5">
        <f>sim.tbl[[#This Row],[Post Aquisition]]*sim.tbl[[#This Row],[C5+]]</f>
        <v>0</v>
      </c>
      <c r="BK37" s="5">
        <f>sim.tbl[[#This Row],[Post Aquisition]]*sim.tbl[[#This Row],[Light LSB]]</f>
        <v>0</v>
      </c>
      <c r="BL37" s="5">
        <f>sim.tbl[[#This Row],[Post Aquisition]]*sim.tbl[[#This Row],[Light SW]]</f>
        <v>0</v>
      </c>
      <c r="BM37" s="5">
        <f>sim.tbl[[#This Row],[Post Aquisition]]*sim.tbl[[#This Row],[Medium LSB]]</f>
        <v>0</v>
      </c>
      <c r="BN37" s="5">
        <f>sim.tbl[[#This Row],[Post Aquisition]]*sim.tbl[[#This Row],[Medium SW]]</f>
        <v>0</v>
      </c>
      <c r="BO37" s="5">
        <f>sim.tbl[[#This Row],[Post Aquisition]]*sim.tbl[[#This Row],[Midale]]</f>
        <v>1</v>
      </c>
      <c r="BP37" s="5">
        <f>sim.tbl[[#This Row],[Post Aquisition]]*sim.tbl[[#This Row],[Heavy Sour]]</f>
        <v>0</v>
      </c>
      <c r="BQ37" s="5">
        <f>sim.tbl[[#This Row],[Post Aquisition]]*sim.tbl[[#This Row],[Heavy SW]]</f>
        <v>0</v>
      </c>
    </row>
    <row r="38" spans="4:69" x14ac:dyDescent="0.25">
      <c r="D38" s="5">
        <f ca="1">SUMPRODUCT($F$1:$BQ$1,sim.tbl[[#This Row],[(Intercept)]:[Post Aquisition:Heavy SW]])</f>
        <v>74.646882670239023</v>
      </c>
      <c r="E38" s="14">
        <f ca="1">DATE(YEAR(TODAY()),INDEX(mthLkUp.tbl[Num],MATCH(mth.input,mthLkUp.tbl[Month],0)),1)</f>
        <v>42795</v>
      </c>
      <c r="F38" s="6">
        <f>1</f>
        <v>1</v>
      </c>
      <c r="G38" s="5">
        <v>2.5190000000000001</v>
      </c>
      <c r="H38" s="5">
        <v>866.2</v>
      </c>
      <c r="I38" s="5">
        <v>-21.766666669999999</v>
      </c>
      <c r="J38" s="5">
        <v>-22.3</v>
      </c>
      <c r="K38" s="5">
        <v>-20.8</v>
      </c>
      <c r="L38" s="5">
        <v>-22.3</v>
      </c>
      <c r="M38" s="5">
        <v>-22.5</v>
      </c>
      <c r="N38" s="5">
        <v>-19.8</v>
      </c>
      <c r="O38" s="5">
        <v>-22.6</v>
      </c>
      <c r="P38" s="5">
        <v>-22.6</v>
      </c>
      <c r="Q38" s="6">
        <f>IF(sim.tbl[[#This Row],[Density]]&lt;=770,1,0)</f>
        <v>0</v>
      </c>
      <c r="R38" s="6">
        <f>IF(AND(sim.tbl[[#This Row],[Sulfur]]&gt;0.5,sim.tbl[[#This Row],[Density]]&gt;770,sim.tbl[[#This Row],[Density]]&lt;=825),1,0)</f>
        <v>0</v>
      </c>
      <c r="S38" s="6">
        <f>IF(AND(sim.tbl[[#This Row],[Sulfur]]&lt;=0.5,sim.tbl[[#This Row],[Density]]&gt;770,sim.tbl[[#This Row],[Density]]&lt;=825),1,0)</f>
        <v>0</v>
      </c>
      <c r="T38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38" s="6">
        <f>IF(AND(sim.tbl[[#This Row],[Sulfur]]&lt;0.5,sim.tbl[[#This Row],[Density]]&gt;825,sim.tbl[[#This Row],[Density]]&lt;=900),1,0)</f>
        <v>0</v>
      </c>
      <c r="V38" s="6">
        <f>IF(AND(sim.tbl[[#This Row],[Sulfur]]&gt;2,sim.tbl[[#This Row],[Density]]&gt;865,sim.tbl[[#This Row],[Density]]&lt;=900),1,0)</f>
        <v>1</v>
      </c>
      <c r="W38" s="6">
        <f>IF(AND(sim.tbl[[#This Row],[Sulfur]]&gt;0.5,sim.tbl[[#This Row],[Density]]&gt;900),1,0)</f>
        <v>0</v>
      </c>
      <c r="X38" s="6">
        <f>IF(AND(sim.tbl[[#This Row],[Sulfur]]&lt;=0.5,sim.tbl[[#This Row],[Density]]&gt;900),1,0)</f>
        <v>0</v>
      </c>
      <c r="Y38" s="6">
        <f ca="1">IF(MONTH(sim.tbl[[#This Row],[SDate]])=INDEX(mthLkUp.tbl[Num],MATCH(Y$3,mthLkUp.tbl[Month],0)),1,0)</f>
        <v>0</v>
      </c>
      <c r="Z38" s="6">
        <f ca="1">IF(MONTH(sim.tbl[[#This Row],[SDate]])=INDEX(mthLkUp.tbl[Num],MATCH(Z$3,mthLkUp.tbl[Month],0)),1,0)</f>
        <v>0</v>
      </c>
      <c r="AA38" s="6">
        <f ca="1">IF(MONTH(sim.tbl[[#This Row],[SDate]])=INDEX(mthLkUp.tbl[Num],MATCH(AA$3,mthLkUp.tbl[Month],0)),1,0)</f>
        <v>1</v>
      </c>
      <c r="AB38" s="6">
        <f ca="1">IF(MONTH(sim.tbl[[#This Row],[SDate]])=INDEX(mthLkUp.tbl[Num],MATCH(AB$3,mthLkUp.tbl[Month],0)),1,0)</f>
        <v>0</v>
      </c>
      <c r="AC38" s="6">
        <f ca="1">IF(MONTH(sim.tbl[[#This Row],[SDate]])=INDEX(mthLkUp.tbl[Num],MATCH(AC$3,mthLkUp.tbl[Month],0)),1,0)</f>
        <v>0</v>
      </c>
      <c r="AD38" s="6">
        <f ca="1">IF(MONTH(sim.tbl[[#This Row],[SDate]])=INDEX(mthLkUp.tbl[Num],MATCH(AD$3,mthLkUp.tbl[Month],0)),1,0)</f>
        <v>0</v>
      </c>
      <c r="AE38" s="6">
        <f ca="1">IF(MONTH(sim.tbl[[#This Row],[SDate]])=INDEX(mthLkUp.tbl[Num],MATCH(AE$3,mthLkUp.tbl[Month],0)),1,0)</f>
        <v>0</v>
      </c>
      <c r="AF38" s="6">
        <f ca="1">IF(MONTH(sim.tbl[[#This Row],[SDate]])=INDEX(mthLkUp.tbl[Num],MATCH(AF$3,mthLkUp.tbl[Month],0)),1,0)</f>
        <v>0</v>
      </c>
      <c r="AG38" s="6">
        <f ca="1">IF(MONTH(sim.tbl[[#This Row],[SDate]])=INDEX(mthLkUp.tbl[Num],MATCH(AG$3,mthLkUp.tbl[Month],0)),1,0)</f>
        <v>0</v>
      </c>
      <c r="AH38" s="6">
        <f ca="1">IF(MONTH(sim.tbl[[#This Row],[SDate]])=INDEX(mthLkUp.tbl[Num],MATCH(AH$3,mthLkUp.tbl[Month],0)),1,0)</f>
        <v>0</v>
      </c>
      <c r="AI38" s="6">
        <f ca="1">IF(MONTH(sim.tbl[[#This Row],[SDate]])=INDEX(mthLkUp.tbl[Num],MATCH(AI$3,mthLkUp.tbl[Month],0)),1,0)</f>
        <v>0</v>
      </c>
      <c r="AJ38" s="6">
        <f ca="1">IF(MONTH(sim.tbl[[#This Row],[SDate]])=INDEX(mthLkUp.tbl[Num],MATCH(AJ$3,mthLkUp.tbl[Month],0)),1,0)</f>
        <v>0</v>
      </c>
      <c r="AK38" s="6">
        <v>1</v>
      </c>
      <c r="AL38" s="5">
        <f>sim.tbl[[#This Row],[Sulfur]]*sim.tbl[[#This Row],[C5+]]</f>
        <v>0</v>
      </c>
      <c r="AM38" s="5">
        <f>sim.tbl[[#This Row],[Sulfur]]*sim.tbl[[#This Row],[Light LSB]]</f>
        <v>0</v>
      </c>
      <c r="AN38" s="5">
        <f>sim.tbl[[#This Row],[Sulfur]]*sim.tbl[[#This Row],[Light SW]]</f>
        <v>0</v>
      </c>
      <c r="AO38" s="5">
        <f>sim.tbl[[#This Row],[Sulfur]]*sim.tbl[[#This Row],[Medium LSB]]</f>
        <v>0</v>
      </c>
      <c r="AP38" s="5">
        <f>sim.tbl[[#This Row],[Sulfur]]*sim.tbl[[#This Row],[Medium SW]]</f>
        <v>0</v>
      </c>
      <c r="AQ38" s="5">
        <f>sim.tbl[[#This Row],[Sulfur]]*sim.tbl[[#This Row],[Midale]]</f>
        <v>2.5190000000000001</v>
      </c>
      <c r="AR38" s="5">
        <f>sim.tbl[[#This Row],[Sulfur]]*sim.tbl[[#This Row],[Heavy Sour]]</f>
        <v>0</v>
      </c>
      <c r="AS38" s="5">
        <f>sim.tbl[[#This Row],[Sulfur]]*sim.tbl[[#This Row],[Heavy SW]]</f>
        <v>0</v>
      </c>
      <c r="AT38" s="5">
        <f>sim.tbl[[#This Row],[Density]]*sim.tbl[[#This Row],[C5+]]</f>
        <v>0</v>
      </c>
      <c r="AU38" s="5">
        <f>sim.tbl[[#This Row],[Density]]*sim.tbl[[#This Row],[Light LSB]]</f>
        <v>0</v>
      </c>
      <c r="AV38" s="5">
        <f>sim.tbl[[#This Row],[Density]]*sim.tbl[[#This Row],[Light SW]]</f>
        <v>0</v>
      </c>
      <c r="AW38" s="5">
        <f>sim.tbl[[#This Row],[Density]]*sim.tbl[[#This Row],[Medium LSB]]</f>
        <v>0</v>
      </c>
      <c r="AX38" s="5">
        <f>sim.tbl[[#This Row],[Density]]*sim.tbl[[#This Row],[Medium SW]]</f>
        <v>0</v>
      </c>
      <c r="AY38" s="5">
        <f>sim.tbl[[#This Row],[Density]]*sim.tbl[[#This Row],[Midale]]</f>
        <v>866.2</v>
      </c>
      <c r="AZ38" s="5">
        <f>sim.tbl[[#This Row],[Density]]*sim.tbl[[#This Row],[Heavy Sour]]</f>
        <v>0</v>
      </c>
      <c r="BA38" s="5">
        <f>sim.tbl[[#This Row],[Density]]*sim.tbl[[#This Row],[Heavy SW]]</f>
        <v>0</v>
      </c>
      <c r="BB38" s="5">
        <f>sim.tbl[[#This Row],[7 Day Rolling Temperature]]*sim.tbl[[#This Row],[C5+]]</f>
        <v>0</v>
      </c>
      <c r="BC38" s="5">
        <f>sim.tbl[[#This Row],[7 Day Rolling Temperature]]*sim.tbl[[#This Row],[Light LSB]]</f>
        <v>0</v>
      </c>
      <c r="BD38" s="5">
        <f>sim.tbl[[#This Row],[7 Day Rolling Temperature]]*sim.tbl[[#This Row],[Light SW]]</f>
        <v>0</v>
      </c>
      <c r="BE38" s="5">
        <f>sim.tbl[[#This Row],[7 Day Rolling Temperature]]*sim.tbl[[#This Row],[Medium LSB]]</f>
        <v>0</v>
      </c>
      <c r="BF38" s="5">
        <f>sim.tbl[[#This Row],[7 Day Rolling Temperature]]*sim.tbl[[#This Row],[Medium SW]]</f>
        <v>0</v>
      </c>
      <c r="BG38" s="5">
        <f>sim.tbl[[#This Row],[7 Day Rolling Temperature]]*sim.tbl[[#This Row],[Midale]]</f>
        <v>-22.3</v>
      </c>
      <c r="BH38" s="5">
        <f>sim.tbl[[#This Row],[7 Day Rolling Temperature]]*sim.tbl[[#This Row],[Heavy Sour]]</f>
        <v>0</v>
      </c>
      <c r="BI38" s="5">
        <f>sim.tbl[[#This Row],[7 Day Rolling Temperature]]*sim.tbl[[#This Row],[Heavy SW]]</f>
        <v>0</v>
      </c>
      <c r="BJ38" s="5">
        <f>sim.tbl[[#This Row],[Post Aquisition]]*sim.tbl[[#This Row],[C5+]]</f>
        <v>0</v>
      </c>
      <c r="BK38" s="5">
        <f>sim.tbl[[#This Row],[Post Aquisition]]*sim.tbl[[#This Row],[Light LSB]]</f>
        <v>0</v>
      </c>
      <c r="BL38" s="5">
        <f>sim.tbl[[#This Row],[Post Aquisition]]*sim.tbl[[#This Row],[Light SW]]</f>
        <v>0</v>
      </c>
      <c r="BM38" s="5">
        <f>sim.tbl[[#This Row],[Post Aquisition]]*sim.tbl[[#This Row],[Medium LSB]]</f>
        <v>0</v>
      </c>
      <c r="BN38" s="5">
        <f>sim.tbl[[#This Row],[Post Aquisition]]*sim.tbl[[#This Row],[Medium SW]]</f>
        <v>0</v>
      </c>
      <c r="BO38" s="5">
        <f>sim.tbl[[#This Row],[Post Aquisition]]*sim.tbl[[#This Row],[Midale]]</f>
        <v>1</v>
      </c>
      <c r="BP38" s="5">
        <f>sim.tbl[[#This Row],[Post Aquisition]]*sim.tbl[[#This Row],[Heavy Sour]]</f>
        <v>0</v>
      </c>
      <c r="BQ38" s="5">
        <f>sim.tbl[[#This Row],[Post Aquisition]]*sim.tbl[[#This Row],[Heavy SW]]</f>
        <v>0</v>
      </c>
    </row>
    <row r="39" spans="4:69" x14ac:dyDescent="0.25">
      <c r="D39" s="5">
        <f ca="1">SUMPRODUCT($F$1:$BQ$1,sim.tbl[[#This Row],[(Intercept)]:[Post Aquisition:Heavy SW]])</f>
        <v>77.493845379890701</v>
      </c>
      <c r="E39" s="14">
        <f ca="1">DATE(YEAR(TODAY()),INDEX(mthLkUp.tbl[Num],MATCH(mth.input,mthLkUp.tbl[Month],0)),1)</f>
        <v>42795</v>
      </c>
      <c r="F39" s="6">
        <f>1</f>
        <v>1</v>
      </c>
      <c r="G39" s="5">
        <v>1.9</v>
      </c>
      <c r="H39" s="5">
        <v>864.2</v>
      </c>
      <c r="I39" s="5">
        <v>-13.41666667</v>
      </c>
      <c r="J39" s="5">
        <v>-14.2</v>
      </c>
      <c r="K39" s="5">
        <v>-13.7</v>
      </c>
      <c r="L39" s="5">
        <v>-14.2</v>
      </c>
      <c r="M39" s="5">
        <v>-11.8</v>
      </c>
      <c r="N39" s="5">
        <v>-12.5</v>
      </c>
      <c r="O39" s="5">
        <v>-13.9</v>
      </c>
      <c r="P39" s="5">
        <v>-14.4</v>
      </c>
      <c r="Q39" s="6">
        <f>IF(sim.tbl[[#This Row],[Density]]&lt;=770,1,0)</f>
        <v>0</v>
      </c>
      <c r="R39" s="6">
        <f>IF(AND(sim.tbl[[#This Row],[Sulfur]]&gt;0.5,sim.tbl[[#This Row],[Density]]&gt;770,sim.tbl[[#This Row],[Density]]&lt;=825),1,0)</f>
        <v>0</v>
      </c>
      <c r="S39" s="6">
        <f>IF(AND(sim.tbl[[#This Row],[Sulfur]]&lt;=0.5,sim.tbl[[#This Row],[Density]]&gt;770,sim.tbl[[#This Row],[Density]]&lt;=825),1,0)</f>
        <v>0</v>
      </c>
      <c r="T39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1</v>
      </c>
      <c r="U39" s="6">
        <f>IF(AND(sim.tbl[[#This Row],[Sulfur]]&lt;0.5,sim.tbl[[#This Row],[Density]]&gt;825,sim.tbl[[#This Row],[Density]]&lt;=900),1,0)</f>
        <v>0</v>
      </c>
      <c r="V39" s="6">
        <f>IF(AND(sim.tbl[[#This Row],[Sulfur]]&gt;2,sim.tbl[[#This Row],[Density]]&gt;865,sim.tbl[[#This Row],[Density]]&lt;=900),1,0)</f>
        <v>0</v>
      </c>
      <c r="W39" s="6">
        <f>IF(AND(sim.tbl[[#This Row],[Sulfur]]&gt;0.5,sim.tbl[[#This Row],[Density]]&gt;900),1,0)</f>
        <v>0</v>
      </c>
      <c r="X39" s="6">
        <f>IF(AND(sim.tbl[[#This Row],[Sulfur]]&lt;=0.5,sim.tbl[[#This Row],[Density]]&gt;900),1,0)</f>
        <v>0</v>
      </c>
      <c r="Y39" s="6">
        <f ca="1">IF(MONTH(sim.tbl[[#This Row],[SDate]])=INDEX(mthLkUp.tbl[Num],MATCH(Y$3,mthLkUp.tbl[Month],0)),1,0)</f>
        <v>0</v>
      </c>
      <c r="Z39" s="6">
        <f ca="1">IF(MONTH(sim.tbl[[#This Row],[SDate]])=INDEX(mthLkUp.tbl[Num],MATCH(Z$3,mthLkUp.tbl[Month],0)),1,0)</f>
        <v>0</v>
      </c>
      <c r="AA39" s="6">
        <f ca="1">IF(MONTH(sim.tbl[[#This Row],[SDate]])=INDEX(mthLkUp.tbl[Num],MATCH(AA$3,mthLkUp.tbl[Month],0)),1,0)</f>
        <v>1</v>
      </c>
      <c r="AB39" s="6">
        <f ca="1">IF(MONTH(sim.tbl[[#This Row],[SDate]])=INDEX(mthLkUp.tbl[Num],MATCH(AB$3,mthLkUp.tbl[Month],0)),1,0)</f>
        <v>0</v>
      </c>
      <c r="AC39" s="6">
        <f ca="1">IF(MONTH(sim.tbl[[#This Row],[SDate]])=INDEX(mthLkUp.tbl[Num],MATCH(AC$3,mthLkUp.tbl[Month],0)),1,0)</f>
        <v>0</v>
      </c>
      <c r="AD39" s="6">
        <f ca="1">IF(MONTH(sim.tbl[[#This Row],[SDate]])=INDEX(mthLkUp.tbl[Num],MATCH(AD$3,mthLkUp.tbl[Month],0)),1,0)</f>
        <v>0</v>
      </c>
      <c r="AE39" s="6">
        <f ca="1">IF(MONTH(sim.tbl[[#This Row],[SDate]])=INDEX(mthLkUp.tbl[Num],MATCH(AE$3,mthLkUp.tbl[Month],0)),1,0)</f>
        <v>0</v>
      </c>
      <c r="AF39" s="6">
        <f ca="1">IF(MONTH(sim.tbl[[#This Row],[SDate]])=INDEX(mthLkUp.tbl[Num],MATCH(AF$3,mthLkUp.tbl[Month],0)),1,0)</f>
        <v>0</v>
      </c>
      <c r="AG39" s="6">
        <f ca="1">IF(MONTH(sim.tbl[[#This Row],[SDate]])=INDEX(mthLkUp.tbl[Num],MATCH(AG$3,mthLkUp.tbl[Month],0)),1,0)</f>
        <v>0</v>
      </c>
      <c r="AH39" s="6">
        <f ca="1">IF(MONTH(sim.tbl[[#This Row],[SDate]])=INDEX(mthLkUp.tbl[Num],MATCH(AH$3,mthLkUp.tbl[Month],0)),1,0)</f>
        <v>0</v>
      </c>
      <c r="AI39" s="6">
        <f ca="1">IF(MONTH(sim.tbl[[#This Row],[SDate]])=INDEX(mthLkUp.tbl[Num],MATCH(AI$3,mthLkUp.tbl[Month],0)),1,0)</f>
        <v>0</v>
      </c>
      <c r="AJ39" s="6">
        <f ca="1">IF(MONTH(sim.tbl[[#This Row],[SDate]])=INDEX(mthLkUp.tbl[Num],MATCH(AJ$3,mthLkUp.tbl[Month],0)),1,0)</f>
        <v>0</v>
      </c>
      <c r="AK39" s="6">
        <v>1</v>
      </c>
      <c r="AL39" s="5">
        <f>sim.tbl[[#This Row],[Sulfur]]*sim.tbl[[#This Row],[C5+]]</f>
        <v>0</v>
      </c>
      <c r="AM39" s="5">
        <f>sim.tbl[[#This Row],[Sulfur]]*sim.tbl[[#This Row],[Light LSB]]</f>
        <v>0</v>
      </c>
      <c r="AN39" s="5">
        <f>sim.tbl[[#This Row],[Sulfur]]*sim.tbl[[#This Row],[Light SW]]</f>
        <v>0</v>
      </c>
      <c r="AO39" s="5">
        <f>sim.tbl[[#This Row],[Sulfur]]*sim.tbl[[#This Row],[Medium LSB]]</f>
        <v>1.9</v>
      </c>
      <c r="AP39" s="5">
        <f>sim.tbl[[#This Row],[Sulfur]]*sim.tbl[[#This Row],[Medium SW]]</f>
        <v>0</v>
      </c>
      <c r="AQ39" s="5">
        <f>sim.tbl[[#This Row],[Sulfur]]*sim.tbl[[#This Row],[Midale]]</f>
        <v>0</v>
      </c>
      <c r="AR39" s="5">
        <f>sim.tbl[[#This Row],[Sulfur]]*sim.tbl[[#This Row],[Heavy Sour]]</f>
        <v>0</v>
      </c>
      <c r="AS39" s="5">
        <f>sim.tbl[[#This Row],[Sulfur]]*sim.tbl[[#This Row],[Heavy SW]]</f>
        <v>0</v>
      </c>
      <c r="AT39" s="5">
        <f>sim.tbl[[#This Row],[Density]]*sim.tbl[[#This Row],[C5+]]</f>
        <v>0</v>
      </c>
      <c r="AU39" s="5">
        <f>sim.tbl[[#This Row],[Density]]*sim.tbl[[#This Row],[Light LSB]]</f>
        <v>0</v>
      </c>
      <c r="AV39" s="5">
        <f>sim.tbl[[#This Row],[Density]]*sim.tbl[[#This Row],[Light SW]]</f>
        <v>0</v>
      </c>
      <c r="AW39" s="5">
        <f>sim.tbl[[#This Row],[Density]]*sim.tbl[[#This Row],[Medium LSB]]</f>
        <v>864.2</v>
      </c>
      <c r="AX39" s="5">
        <f>sim.tbl[[#This Row],[Density]]*sim.tbl[[#This Row],[Medium SW]]</f>
        <v>0</v>
      </c>
      <c r="AY39" s="5">
        <f>sim.tbl[[#This Row],[Density]]*sim.tbl[[#This Row],[Midale]]</f>
        <v>0</v>
      </c>
      <c r="AZ39" s="5">
        <f>sim.tbl[[#This Row],[Density]]*sim.tbl[[#This Row],[Heavy Sour]]</f>
        <v>0</v>
      </c>
      <c r="BA39" s="5">
        <f>sim.tbl[[#This Row],[Density]]*sim.tbl[[#This Row],[Heavy SW]]</f>
        <v>0</v>
      </c>
      <c r="BB39" s="5">
        <f>sim.tbl[[#This Row],[7 Day Rolling Temperature]]*sim.tbl[[#This Row],[C5+]]</f>
        <v>0</v>
      </c>
      <c r="BC39" s="5">
        <f>sim.tbl[[#This Row],[7 Day Rolling Temperature]]*sim.tbl[[#This Row],[Light LSB]]</f>
        <v>0</v>
      </c>
      <c r="BD39" s="5">
        <f>sim.tbl[[#This Row],[7 Day Rolling Temperature]]*sim.tbl[[#This Row],[Light SW]]</f>
        <v>0</v>
      </c>
      <c r="BE39" s="5">
        <f>sim.tbl[[#This Row],[7 Day Rolling Temperature]]*sim.tbl[[#This Row],[Medium LSB]]</f>
        <v>-14.2</v>
      </c>
      <c r="BF39" s="5">
        <f>sim.tbl[[#This Row],[7 Day Rolling Temperature]]*sim.tbl[[#This Row],[Medium SW]]</f>
        <v>0</v>
      </c>
      <c r="BG39" s="5">
        <f>sim.tbl[[#This Row],[7 Day Rolling Temperature]]*sim.tbl[[#This Row],[Midale]]</f>
        <v>0</v>
      </c>
      <c r="BH39" s="5">
        <f>sim.tbl[[#This Row],[7 Day Rolling Temperature]]*sim.tbl[[#This Row],[Heavy Sour]]</f>
        <v>0</v>
      </c>
      <c r="BI39" s="5">
        <f>sim.tbl[[#This Row],[7 Day Rolling Temperature]]*sim.tbl[[#This Row],[Heavy SW]]</f>
        <v>0</v>
      </c>
      <c r="BJ39" s="5">
        <f>sim.tbl[[#This Row],[Post Aquisition]]*sim.tbl[[#This Row],[C5+]]</f>
        <v>0</v>
      </c>
      <c r="BK39" s="5">
        <f>sim.tbl[[#This Row],[Post Aquisition]]*sim.tbl[[#This Row],[Light LSB]]</f>
        <v>0</v>
      </c>
      <c r="BL39" s="5">
        <f>sim.tbl[[#This Row],[Post Aquisition]]*sim.tbl[[#This Row],[Light SW]]</f>
        <v>0</v>
      </c>
      <c r="BM39" s="5">
        <f>sim.tbl[[#This Row],[Post Aquisition]]*sim.tbl[[#This Row],[Medium LSB]]</f>
        <v>1</v>
      </c>
      <c r="BN39" s="5">
        <f>sim.tbl[[#This Row],[Post Aquisition]]*sim.tbl[[#This Row],[Medium SW]]</f>
        <v>0</v>
      </c>
      <c r="BO39" s="5">
        <f>sim.tbl[[#This Row],[Post Aquisition]]*sim.tbl[[#This Row],[Midale]]</f>
        <v>0</v>
      </c>
      <c r="BP39" s="5">
        <f>sim.tbl[[#This Row],[Post Aquisition]]*sim.tbl[[#This Row],[Heavy Sour]]</f>
        <v>0</v>
      </c>
      <c r="BQ39" s="5">
        <f>sim.tbl[[#This Row],[Post Aquisition]]*sim.tbl[[#This Row],[Heavy SW]]</f>
        <v>0</v>
      </c>
    </row>
    <row r="40" spans="4:69" x14ac:dyDescent="0.25">
      <c r="D40" s="5">
        <f ca="1">SUMPRODUCT($F$1:$BQ$1,sim.tbl[[#This Row],[(Intercept)]:[Post Aquisition:Heavy SW]])</f>
        <v>68.933535186923905</v>
      </c>
      <c r="E40" s="14">
        <f ca="1">DATE(YEAR(TODAY()),INDEX(mthLkUp.tbl[Num],MATCH(mth.input,mthLkUp.tbl[Month],0)),1)</f>
        <v>42795</v>
      </c>
      <c r="F40" s="6">
        <f>1</f>
        <v>1</v>
      </c>
      <c r="G40" s="5">
        <v>2.38</v>
      </c>
      <c r="H40" s="5">
        <v>866.4</v>
      </c>
      <c r="I40" s="5">
        <v>-8.76</v>
      </c>
      <c r="J40" s="5">
        <v>-7.1</v>
      </c>
      <c r="K40" s="5">
        <v>-7.9</v>
      </c>
      <c r="L40" s="5">
        <v>-7.1</v>
      </c>
      <c r="M40" s="5">
        <v>2.8</v>
      </c>
      <c r="N40" s="5">
        <v>-6.5</v>
      </c>
      <c r="O40" s="5">
        <v>-13.6</v>
      </c>
      <c r="P40" s="5">
        <v>-8.6999999999999993</v>
      </c>
      <c r="Q40" s="6">
        <f>IF(sim.tbl[[#This Row],[Density]]&lt;=770,1,0)</f>
        <v>0</v>
      </c>
      <c r="R40" s="6">
        <f>IF(AND(sim.tbl[[#This Row],[Sulfur]]&gt;0.5,sim.tbl[[#This Row],[Density]]&gt;770,sim.tbl[[#This Row],[Density]]&lt;=825),1,0)</f>
        <v>0</v>
      </c>
      <c r="S40" s="6">
        <f>IF(AND(sim.tbl[[#This Row],[Sulfur]]&lt;=0.5,sim.tbl[[#This Row],[Density]]&gt;770,sim.tbl[[#This Row],[Density]]&lt;=825),1,0)</f>
        <v>0</v>
      </c>
      <c r="T40" s="6">
        <f>IF(OR(AND(sim.tbl[[#This Row],[Density]]&gt;825,sim.tbl[[#This Row],[Density]]&lt;=865,sim.tbl[[#This Row],[Sulfur]]&gt;0.5),AND(sim.tbl[[#This Row],[Density]]&gt;865,sim.tbl[[#This Row],[Density]]&lt;=900,sim.tbl[[#This Row],[Sulfur]]&gt;0.5,sim.tbl[[#This Row],[Sulfur]]&lt;=2)),1,0)</f>
        <v>0</v>
      </c>
      <c r="U40" s="6">
        <f>IF(AND(sim.tbl[[#This Row],[Sulfur]]&lt;0.5,sim.tbl[[#This Row],[Density]]&gt;825,sim.tbl[[#This Row],[Density]]&lt;=900),1,0)</f>
        <v>0</v>
      </c>
      <c r="V40" s="6">
        <f>IF(AND(sim.tbl[[#This Row],[Sulfur]]&gt;2,sim.tbl[[#This Row],[Density]]&gt;865,sim.tbl[[#This Row],[Density]]&lt;=900),1,0)</f>
        <v>1</v>
      </c>
      <c r="W40" s="6">
        <f>IF(AND(sim.tbl[[#This Row],[Sulfur]]&gt;0.5,sim.tbl[[#This Row],[Density]]&gt;900),1,0)</f>
        <v>0</v>
      </c>
      <c r="X40" s="6">
        <f>IF(AND(sim.tbl[[#This Row],[Sulfur]]&lt;=0.5,sim.tbl[[#This Row],[Density]]&gt;900),1,0)</f>
        <v>0</v>
      </c>
      <c r="Y40" s="6">
        <f ca="1">IF(MONTH(sim.tbl[[#This Row],[SDate]])=INDEX(mthLkUp.tbl[Num],MATCH(Y$3,mthLkUp.tbl[Month],0)),1,0)</f>
        <v>0</v>
      </c>
      <c r="Z40" s="6">
        <f ca="1">IF(MONTH(sim.tbl[[#This Row],[SDate]])=INDEX(mthLkUp.tbl[Num],MATCH(Z$3,mthLkUp.tbl[Month],0)),1,0)</f>
        <v>0</v>
      </c>
      <c r="AA40" s="6">
        <f ca="1">IF(MONTH(sim.tbl[[#This Row],[SDate]])=INDEX(mthLkUp.tbl[Num],MATCH(AA$3,mthLkUp.tbl[Month],0)),1,0)</f>
        <v>1</v>
      </c>
      <c r="AB40" s="6">
        <f ca="1">IF(MONTH(sim.tbl[[#This Row],[SDate]])=INDEX(mthLkUp.tbl[Num],MATCH(AB$3,mthLkUp.tbl[Month],0)),1,0)</f>
        <v>0</v>
      </c>
      <c r="AC40" s="6">
        <f ca="1">IF(MONTH(sim.tbl[[#This Row],[SDate]])=INDEX(mthLkUp.tbl[Num],MATCH(AC$3,mthLkUp.tbl[Month],0)),1,0)</f>
        <v>0</v>
      </c>
      <c r="AD40" s="6">
        <f ca="1">IF(MONTH(sim.tbl[[#This Row],[SDate]])=INDEX(mthLkUp.tbl[Num],MATCH(AD$3,mthLkUp.tbl[Month],0)),1,0)</f>
        <v>0</v>
      </c>
      <c r="AE40" s="6">
        <f ca="1">IF(MONTH(sim.tbl[[#This Row],[SDate]])=INDEX(mthLkUp.tbl[Num],MATCH(AE$3,mthLkUp.tbl[Month],0)),1,0)</f>
        <v>0</v>
      </c>
      <c r="AF40" s="6">
        <f ca="1">IF(MONTH(sim.tbl[[#This Row],[SDate]])=INDEX(mthLkUp.tbl[Num],MATCH(AF$3,mthLkUp.tbl[Month],0)),1,0)</f>
        <v>0</v>
      </c>
      <c r="AG40" s="6">
        <f ca="1">IF(MONTH(sim.tbl[[#This Row],[SDate]])=INDEX(mthLkUp.tbl[Num],MATCH(AG$3,mthLkUp.tbl[Month],0)),1,0)</f>
        <v>0</v>
      </c>
      <c r="AH40" s="6">
        <f ca="1">IF(MONTH(sim.tbl[[#This Row],[SDate]])=INDEX(mthLkUp.tbl[Num],MATCH(AH$3,mthLkUp.tbl[Month],0)),1,0)</f>
        <v>0</v>
      </c>
      <c r="AI40" s="6">
        <f ca="1">IF(MONTH(sim.tbl[[#This Row],[SDate]])=INDEX(mthLkUp.tbl[Num],MATCH(AI$3,mthLkUp.tbl[Month],0)),1,0)</f>
        <v>0</v>
      </c>
      <c r="AJ40" s="6">
        <f ca="1">IF(MONTH(sim.tbl[[#This Row],[SDate]])=INDEX(mthLkUp.tbl[Num],MATCH(AJ$3,mthLkUp.tbl[Month],0)),1,0)</f>
        <v>0</v>
      </c>
      <c r="AK40" s="6">
        <v>1</v>
      </c>
      <c r="AL40" s="5">
        <f>sim.tbl[[#This Row],[Sulfur]]*sim.tbl[[#This Row],[C5+]]</f>
        <v>0</v>
      </c>
      <c r="AM40" s="5">
        <f>sim.tbl[[#This Row],[Sulfur]]*sim.tbl[[#This Row],[Light LSB]]</f>
        <v>0</v>
      </c>
      <c r="AN40" s="5">
        <f>sim.tbl[[#This Row],[Sulfur]]*sim.tbl[[#This Row],[Light SW]]</f>
        <v>0</v>
      </c>
      <c r="AO40" s="5">
        <f>sim.tbl[[#This Row],[Sulfur]]*sim.tbl[[#This Row],[Medium LSB]]</f>
        <v>0</v>
      </c>
      <c r="AP40" s="5">
        <f>sim.tbl[[#This Row],[Sulfur]]*sim.tbl[[#This Row],[Medium SW]]</f>
        <v>0</v>
      </c>
      <c r="AQ40" s="5">
        <f>sim.tbl[[#This Row],[Sulfur]]*sim.tbl[[#This Row],[Midale]]</f>
        <v>2.38</v>
      </c>
      <c r="AR40" s="5">
        <f>sim.tbl[[#This Row],[Sulfur]]*sim.tbl[[#This Row],[Heavy Sour]]</f>
        <v>0</v>
      </c>
      <c r="AS40" s="5">
        <f>sim.tbl[[#This Row],[Sulfur]]*sim.tbl[[#This Row],[Heavy SW]]</f>
        <v>0</v>
      </c>
      <c r="AT40" s="5">
        <f>sim.tbl[[#This Row],[Density]]*sim.tbl[[#This Row],[C5+]]</f>
        <v>0</v>
      </c>
      <c r="AU40" s="5">
        <f>sim.tbl[[#This Row],[Density]]*sim.tbl[[#This Row],[Light LSB]]</f>
        <v>0</v>
      </c>
      <c r="AV40" s="5">
        <f>sim.tbl[[#This Row],[Density]]*sim.tbl[[#This Row],[Light SW]]</f>
        <v>0</v>
      </c>
      <c r="AW40" s="5">
        <f>sim.tbl[[#This Row],[Density]]*sim.tbl[[#This Row],[Medium LSB]]</f>
        <v>0</v>
      </c>
      <c r="AX40" s="5">
        <f>sim.tbl[[#This Row],[Density]]*sim.tbl[[#This Row],[Medium SW]]</f>
        <v>0</v>
      </c>
      <c r="AY40" s="5">
        <f>sim.tbl[[#This Row],[Density]]*sim.tbl[[#This Row],[Midale]]</f>
        <v>866.4</v>
      </c>
      <c r="AZ40" s="5">
        <f>sim.tbl[[#This Row],[Density]]*sim.tbl[[#This Row],[Heavy Sour]]</f>
        <v>0</v>
      </c>
      <c r="BA40" s="5">
        <f>sim.tbl[[#This Row],[Density]]*sim.tbl[[#This Row],[Heavy SW]]</f>
        <v>0</v>
      </c>
      <c r="BB40" s="5">
        <f>sim.tbl[[#This Row],[7 Day Rolling Temperature]]*sim.tbl[[#This Row],[C5+]]</f>
        <v>0</v>
      </c>
      <c r="BC40" s="5">
        <f>sim.tbl[[#This Row],[7 Day Rolling Temperature]]*sim.tbl[[#This Row],[Light LSB]]</f>
        <v>0</v>
      </c>
      <c r="BD40" s="5">
        <f>sim.tbl[[#This Row],[7 Day Rolling Temperature]]*sim.tbl[[#This Row],[Light SW]]</f>
        <v>0</v>
      </c>
      <c r="BE40" s="5">
        <f>sim.tbl[[#This Row],[7 Day Rolling Temperature]]*sim.tbl[[#This Row],[Medium LSB]]</f>
        <v>0</v>
      </c>
      <c r="BF40" s="5">
        <f>sim.tbl[[#This Row],[7 Day Rolling Temperature]]*sim.tbl[[#This Row],[Medium SW]]</f>
        <v>0</v>
      </c>
      <c r="BG40" s="5">
        <f>sim.tbl[[#This Row],[7 Day Rolling Temperature]]*sim.tbl[[#This Row],[Midale]]</f>
        <v>-7.1</v>
      </c>
      <c r="BH40" s="5">
        <f>sim.tbl[[#This Row],[7 Day Rolling Temperature]]*sim.tbl[[#This Row],[Heavy Sour]]</f>
        <v>0</v>
      </c>
      <c r="BI40" s="5">
        <f>sim.tbl[[#This Row],[7 Day Rolling Temperature]]*sim.tbl[[#This Row],[Heavy SW]]</f>
        <v>0</v>
      </c>
      <c r="BJ40" s="5">
        <f>sim.tbl[[#This Row],[Post Aquisition]]*sim.tbl[[#This Row],[C5+]]</f>
        <v>0</v>
      </c>
      <c r="BK40" s="5">
        <f>sim.tbl[[#This Row],[Post Aquisition]]*sim.tbl[[#This Row],[Light LSB]]</f>
        <v>0</v>
      </c>
      <c r="BL40" s="5">
        <f>sim.tbl[[#This Row],[Post Aquisition]]*sim.tbl[[#This Row],[Light SW]]</f>
        <v>0</v>
      </c>
      <c r="BM40" s="5">
        <f>sim.tbl[[#This Row],[Post Aquisition]]*sim.tbl[[#This Row],[Medium LSB]]</f>
        <v>0</v>
      </c>
      <c r="BN40" s="5">
        <f>sim.tbl[[#This Row],[Post Aquisition]]*sim.tbl[[#This Row],[Medium SW]]</f>
        <v>0</v>
      </c>
      <c r="BO40" s="5">
        <f>sim.tbl[[#This Row],[Post Aquisition]]*sim.tbl[[#This Row],[Midale]]</f>
        <v>1</v>
      </c>
      <c r="BP40" s="5">
        <f>sim.tbl[[#This Row],[Post Aquisition]]*sim.tbl[[#This Row],[Heavy Sour]]</f>
        <v>0</v>
      </c>
      <c r="BQ40" s="5">
        <f>sim.tbl[[#This Row],[Post Aquisition]]*sim.tbl[[#This Row],[Heavy SW]]</f>
        <v>0</v>
      </c>
    </row>
    <row r="41" spans="4:69" x14ac:dyDescent="0.25">
      <c r="D41" s="5"/>
      <c r="E41" s="14"/>
      <c r="F41" s="6"/>
      <c r="G41" s="5"/>
      <c r="H41" s="5"/>
      <c r="I41" s="5"/>
      <c r="J41" s="5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</row>
    <row r="42" spans="4:69" x14ac:dyDescent="0.25">
      <c r="D42" s="5"/>
      <c r="E42" s="14"/>
      <c r="F42" s="6"/>
      <c r="G42" s="5"/>
      <c r="H42" s="5"/>
      <c r="I42" s="5"/>
      <c r="J42" s="5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</row>
    <row r="43" spans="4:69" x14ac:dyDescent="0.25">
      <c r="D43" s="5"/>
      <c r="E43" s="14"/>
      <c r="F43" s="6"/>
      <c r="G43" s="5"/>
      <c r="H43" s="5"/>
      <c r="I43" s="5"/>
      <c r="J43" s="5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</row>
    <row r="44" spans="4:69" x14ac:dyDescent="0.25">
      <c r="D44" s="5"/>
      <c r="E44" s="14"/>
      <c r="F44" s="6"/>
      <c r="G44" s="5"/>
      <c r="H44" s="5"/>
      <c r="I44" s="5"/>
      <c r="J44" s="5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</row>
    <row r="45" spans="4:69" x14ac:dyDescent="0.25">
      <c r="D45" s="5"/>
      <c r="E45" s="14"/>
      <c r="F45" s="6"/>
      <c r="G45" s="5"/>
      <c r="H45" s="5"/>
      <c r="I45" s="5"/>
      <c r="J45" s="5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</row>
    <row r="46" spans="4:69" x14ac:dyDescent="0.25">
      <c r="D46" s="5"/>
      <c r="E46" s="14"/>
      <c r="F46" s="6"/>
      <c r="G46" s="5"/>
      <c r="H46" s="5"/>
      <c r="I46" s="5"/>
      <c r="J46" s="5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</row>
    <row r="47" spans="4:69" x14ac:dyDescent="0.25">
      <c r="D47" s="5"/>
      <c r="E47" s="14"/>
      <c r="F47" s="6"/>
      <c r="G47" s="5"/>
      <c r="H47" s="5"/>
      <c r="I47" s="5"/>
      <c r="J47" s="5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</row>
    <row r="48" spans="4:69" x14ac:dyDescent="0.25">
      <c r="D48" s="5"/>
      <c r="E48" s="14"/>
      <c r="F48" s="6"/>
      <c r="G48" s="5"/>
      <c r="H48" s="5"/>
      <c r="I48" s="5"/>
      <c r="J48" s="5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</row>
    <row r="49" spans="4:69" x14ac:dyDescent="0.25">
      <c r="D49" s="5"/>
      <c r="E49" s="14"/>
      <c r="F49" s="6"/>
      <c r="G49" s="5"/>
      <c r="H49" s="5"/>
      <c r="I49" s="5"/>
      <c r="J49" s="5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</row>
    <row r="50" spans="4:69" x14ac:dyDescent="0.25">
      <c r="D50" s="5"/>
      <c r="E50" s="14"/>
      <c r="F50" s="6"/>
      <c r="G50" s="5"/>
      <c r="H50" s="5"/>
      <c r="I50" s="5"/>
      <c r="J50" s="5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</row>
    <row r="51" spans="4:69" x14ac:dyDescent="0.25">
      <c r="D51" s="5"/>
      <c r="E51" s="14"/>
      <c r="F51" s="6"/>
      <c r="G51" s="5"/>
      <c r="H51" s="5"/>
      <c r="I51" s="5"/>
      <c r="J51" s="5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</row>
    <row r="52" spans="4:69" x14ac:dyDescent="0.25">
      <c r="D52" s="5"/>
      <c r="E52" s="14"/>
      <c r="F52" s="6"/>
      <c r="G52" s="5"/>
      <c r="H52" s="5"/>
      <c r="I52" s="5"/>
      <c r="J52" s="5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</row>
    <row r="53" spans="4:69" x14ac:dyDescent="0.25">
      <c r="D53" s="5"/>
      <c r="E53" s="14"/>
      <c r="F53" s="6"/>
      <c r="G53" s="5"/>
      <c r="H53" s="5"/>
      <c r="I53" s="5"/>
      <c r="J53" s="5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</row>
    <row r="54" spans="4:69" x14ac:dyDescent="0.25">
      <c r="D54" s="5"/>
      <c r="E54" s="14"/>
      <c r="F54" s="6"/>
      <c r="G54" s="5"/>
      <c r="H54" s="5"/>
      <c r="I54" s="5"/>
      <c r="J54" s="5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</row>
    <row r="55" spans="4:69" x14ac:dyDescent="0.25">
      <c r="D55" s="5"/>
      <c r="E55" s="14"/>
      <c r="F55" s="6"/>
      <c r="G55" s="5"/>
      <c r="H55" s="5"/>
      <c r="I55" s="5"/>
      <c r="J55" s="5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</row>
    <row r="56" spans="4:69" x14ac:dyDescent="0.25">
      <c r="D56" s="5"/>
      <c r="E56" s="14"/>
      <c r="F56" s="6"/>
      <c r="G56" s="5"/>
      <c r="H56" s="5"/>
      <c r="I56" s="5"/>
      <c r="J56" s="5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</row>
    <row r="57" spans="4:69" x14ac:dyDescent="0.25">
      <c r="D57" s="5"/>
      <c r="E57" s="14"/>
      <c r="F57" s="6"/>
      <c r="G57" s="5"/>
      <c r="H57" s="5"/>
      <c r="I57" s="5"/>
      <c r="J57" s="5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</row>
    <row r="58" spans="4:69" x14ac:dyDescent="0.25">
      <c r="D58" s="5"/>
      <c r="E58" s="14"/>
      <c r="F58" s="6"/>
      <c r="G58" s="5"/>
      <c r="H58" s="5"/>
      <c r="I58" s="5"/>
      <c r="J58" s="5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</row>
    <row r="59" spans="4:69" x14ac:dyDescent="0.25">
      <c r="D59" s="5"/>
      <c r="E59" s="14"/>
      <c r="F59" s="6"/>
      <c r="G59" s="5"/>
      <c r="H59" s="5"/>
      <c r="I59" s="5"/>
      <c r="J59" s="5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</row>
    <row r="60" spans="4:69" x14ac:dyDescent="0.25">
      <c r="D60" s="5"/>
      <c r="E60" s="14"/>
      <c r="F60" s="6"/>
      <c r="G60" s="5"/>
      <c r="H60" s="5"/>
      <c r="I60" s="5"/>
      <c r="J60" s="5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</row>
    <row r="61" spans="4:69" x14ac:dyDescent="0.25">
      <c r="D61" s="5"/>
      <c r="E61" s="14"/>
      <c r="F61" s="6"/>
      <c r="G61" s="5"/>
      <c r="H61" s="5"/>
      <c r="I61" s="5"/>
      <c r="J61" s="5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</row>
    <row r="62" spans="4:69" x14ac:dyDescent="0.25">
      <c r="D62" s="5"/>
      <c r="E62" s="14"/>
      <c r="F62" s="6"/>
      <c r="G62" s="5"/>
      <c r="H62" s="5"/>
      <c r="I62" s="5"/>
      <c r="J62" s="5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</row>
    <row r="63" spans="4:69" x14ac:dyDescent="0.25">
      <c r="D63" s="5"/>
      <c r="E63" s="14"/>
      <c r="F63" s="6"/>
      <c r="G63" s="5"/>
      <c r="H63" s="5"/>
      <c r="I63" s="5"/>
      <c r="J63" s="5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</row>
    <row r="64" spans="4:69" x14ac:dyDescent="0.25">
      <c r="D64" s="5"/>
      <c r="E64" s="14"/>
      <c r="F64" s="6"/>
      <c r="G64" s="5"/>
      <c r="H64" s="5"/>
      <c r="I64" s="5"/>
      <c r="J64" s="5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</row>
    <row r="65" spans="4:69" x14ac:dyDescent="0.25">
      <c r="D65" s="5"/>
      <c r="E65" s="14"/>
      <c r="F65" s="6"/>
      <c r="G65" s="5"/>
      <c r="H65" s="5"/>
      <c r="I65" s="5"/>
      <c r="J65" s="5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</row>
    <row r="66" spans="4:69" x14ac:dyDescent="0.25">
      <c r="D66" s="5"/>
      <c r="E66" s="14"/>
      <c r="F66" s="6"/>
      <c r="G66" s="5"/>
      <c r="H66" s="5"/>
      <c r="I66" s="5"/>
      <c r="J66" s="5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</row>
    <row r="67" spans="4:69" x14ac:dyDescent="0.25">
      <c r="D67" s="5"/>
      <c r="E67" s="14"/>
      <c r="F67" s="6"/>
      <c r="G67" s="5"/>
      <c r="H67" s="5"/>
      <c r="I67" s="5"/>
      <c r="J67" s="5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</row>
    <row r="68" spans="4:69" x14ac:dyDescent="0.25">
      <c r="D68" s="5"/>
      <c r="E68" s="14"/>
      <c r="F68" s="6"/>
      <c r="G68" s="5"/>
      <c r="H68" s="5"/>
      <c r="I68" s="5"/>
      <c r="J68" s="5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</row>
    <row r="69" spans="4:69" x14ac:dyDescent="0.25">
      <c r="D69" s="5"/>
      <c r="E69" s="14"/>
      <c r="F69" s="6"/>
      <c r="G69" s="5"/>
      <c r="H69" s="5"/>
      <c r="I69" s="5"/>
      <c r="J69" s="5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</row>
    <row r="70" spans="4:69" x14ac:dyDescent="0.25">
      <c r="D70" s="5"/>
      <c r="E70" s="14"/>
      <c r="F70" s="6"/>
      <c r="G70" s="5"/>
      <c r="H70" s="5"/>
      <c r="I70" s="5"/>
      <c r="J70" s="5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</row>
    <row r="71" spans="4:69" x14ac:dyDescent="0.25">
      <c r="D71" s="5"/>
      <c r="E71" s="14"/>
      <c r="F71" s="6"/>
      <c r="G71" s="5"/>
      <c r="H71" s="5"/>
      <c r="I71" s="5"/>
      <c r="J71" s="5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</row>
    <row r="72" spans="4:69" x14ac:dyDescent="0.25">
      <c r="D72" s="5"/>
      <c r="E72" s="14"/>
      <c r="F72" s="6"/>
      <c r="G72" s="5"/>
      <c r="H72" s="5"/>
      <c r="I72" s="5"/>
      <c r="J72" s="5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</row>
    <row r="73" spans="4:69" x14ac:dyDescent="0.25">
      <c r="D73" s="5"/>
      <c r="E73" s="14"/>
      <c r="F73" s="6"/>
      <c r="G73" s="5"/>
      <c r="H73" s="5"/>
      <c r="I73" s="5"/>
      <c r="J73" s="5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</row>
    <row r="74" spans="4:69" x14ac:dyDescent="0.25">
      <c r="D74" s="5"/>
      <c r="E74" s="14"/>
      <c r="F74" s="6"/>
      <c r="G74" s="5"/>
      <c r="H74" s="5"/>
      <c r="I74" s="5"/>
      <c r="J74" s="5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</row>
    <row r="75" spans="4:69" x14ac:dyDescent="0.25">
      <c r="D75" s="5"/>
      <c r="E75" s="14"/>
      <c r="F75" s="6"/>
      <c r="G75" s="5"/>
      <c r="H75" s="5"/>
      <c r="I75" s="5"/>
      <c r="J75" s="5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</row>
    <row r="76" spans="4:69" x14ac:dyDescent="0.25">
      <c r="D76" s="5"/>
      <c r="E76" s="14"/>
      <c r="F76" s="6"/>
      <c r="G76" s="5"/>
      <c r="H76" s="5"/>
      <c r="I76" s="5"/>
      <c r="J76" s="5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</row>
    <row r="77" spans="4:69" x14ac:dyDescent="0.25">
      <c r="D77" s="5"/>
      <c r="E77" s="14"/>
      <c r="F77" s="6"/>
      <c r="G77" s="5"/>
      <c r="H77" s="5"/>
      <c r="I77" s="5"/>
      <c r="J77" s="5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</row>
    <row r="78" spans="4:69" x14ac:dyDescent="0.25">
      <c r="D78" s="5"/>
      <c r="E78" s="14"/>
      <c r="F78" s="6"/>
      <c r="G78" s="5"/>
      <c r="H78" s="5"/>
      <c r="I78" s="5"/>
      <c r="J78" s="5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</row>
    <row r="79" spans="4:69" x14ac:dyDescent="0.25">
      <c r="D79" s="5"/>
      <c r="E79" s="14"/>
      <c r="F79" s="6"/>
      <c r="G79" s="5"/>
      <c r="H79" s="5"/>
      <c r="I79" s="5"/>
      <c r="J79" s="5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</row>
    <row r="80" spans="4:69" x14ac:dyDescent="0.25">
      <c r="D80" s="5"/>
      <c r="E80" s="14"/>
      <c r="F80" s="6"/>
      <c r="G80" s="5"/>
      <c r="H80" s="5"/>
      <c r="I80" s="5"/>
      <c r="J80" s="5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</row>
    <row r="81" spans="4:69" x14ac:dyDescent="0.25">
      <c r="D81" s="5"/>
      <c r="E81" s="14"/>
      <c r="F81" s="6"/>
      <c r="G81" s="5"/>
      <c r="H81" s="5"/>
      <c r="I81" s="5"/>
      <c r="J81" s="5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</row>
    <row r="82" spans="4:69" x14ac:dyDescent="0.25">
      <c r="D82" s="5"/>
      <c r="E82" s="14"/>
      <c r="F82" s="6"/>
      <c r="G82" s="5"/>
      <c r="H82" s="5"/>
      <c r="I82" s="5"/>
      <c r="J82" s="5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</row>
    <row r="83" spans="4:69" x14ac:dyDescent="0.25">
      <c r="D83" s="5"/>
      <c r="E83" s="14"/>
      <c r="F83" s="6"/>
      <c r="G83" s="5"/>
      <c r="H83" s="5"/>
      <c r="I83" s="5"/>
      <c r="J83" s="5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</row>
    <row r="84" spans="4:69" x14ac:dyDescent="0.25">
      <c r="D84" s="5"/>
      <c r="E84" s="14"/>
      <c r="F84" s="6"/>
      <c r="G84" s="5"/>
      <c r="H84" s="5"/>
      <c r="I84" s="5"/>
      <c r="J84" s="5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</row>
    <row r="85" spans="4:69" x14ac:dyDescent="0.25">
      <c r="D85" s="5"/>
      <c r="E85" s="14"/>
      <c r="F85" s="6"/>
      <c r="G85" s="5"/>
      <c r="H85" s="5"/>
      <c r="I85" s="5"/>
      <c r="J85" s="5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</row>
    <row r="86" spans="4:69" x14ac:dyDescent="0.25">
      <c r="D86" s="5"/>
      <c r="E86" s="14"/>
      <c r="F86" s="6"/>
      <c r="G86" s="5"/>
      <c r="H86" s="5"/>
      <c r="I86" s="5"/>
      <c r="J86" s="5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</row>
    <row r="87" spans="4:69" x14ac:dyDescent="0.25">
      <c r="D87" s="5"/>
      <c r="E87" s="14"/>
      <c r="F87" s="6"/>
      <c r="G87" s="5"/>
      <c r="H87" s="5"/>
      <c r="I87" s="5"/>
      <c r="J87" s="5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</row>
    <row r="88" spans="4:69" x14ac:dyDescent="0.25">
      <c r="D88" s="5"/>
      <c r="E88" s="14"/>
      <c r="F88" s="6"/>
      <c r="G88" s="5"/>
      <c r="H88" s="5"/>
      <c r="I88" s="5"/>
      <c r="J88" s="5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</row>
    <row r="89" spans="4:69" x14ac:dyDescent="0.25">
      <c r="D89" s="5"/>
      <c r="E89" s="14"/>
      <c r="F89" s="6"/>
      <c r="G89" s="5"/>
      <c r="H89" s="5"/>
      <c r="I89" s="5"/>
      <c r="J89" s="5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</row>
    <row r="90" spans="4:69" x14ac:dyDescent="0.25">
      <c r="D90" s="5"/>
      <c r="E90" s="14"/>
      <c r="F90" s="6"/>
      <c r="G90" s="5"/>
      <c r="H90" s="5"/>
      <c r="I90" s="5"/>
      <c r="J90" s="5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</row>
    <row r="91" spans="4:69" x14ac:dyDescent="0.25">
      <c r="D91" s="5"/>
      <c r="E91" s="14"/>
      <c r="F91" s="6"/>
      <c r="G91" s="5"/>
      <c r="H91" s="5"/>
      <c r="I91" s="5"/>
      <c r="J91" s="5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</row>
    <row r="92" spans="4:69" x14ac:dyDescent="0.25">
      <c r="D92" s="5"/>
      <c r="E92" s="14"/>
      <c r="F92" s="6"/>
      <c r="G92" s="5"/>
      <c r="H92" s="5"/>
      <c r="I92" s="5"/>
      <c r="J92" s="5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</row>
    <row r="93" spans="4:69" x14ac:dyDescent="0.25">
      <c r="D93" s="5"/>
      <c r="E93" s="14"/>
      <c r="F93" s="6"/>
      <c r="G93" s="5"/>
      <c r="H93" s="5"/>
      <c r="I93" s="5"/>
      <c r="J93" s="5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</row>
    <row r="94" spans="4:69" x14ac:dyDescent="0.25">
      <c r="D94" s="5"/>
      <c r="E94" s="14"/>
      <c r="F94" s="6"/>
      <c r="G94" s="5"/>
      <c r="H94" s="5"/>
      <c r="I94" s="5"/>
      <c r="J94" s="5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</row>
    <row r="95" spans="4:69" x14ac:dyDescent="0.25">
      <c r="D95" s="5"/>
      <c r="E95" s="14"/>
      <c r="F95" s="6"/>
      <c r="G95" s="5"/>
      <c r="H95" s="5"/>
      <c r="I95" s="5"/>
      <c r="J95" s="5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</row>
    <row r="96" spans="4:69" x14ac:dyDescent="0.25">
      <c r="D96" s="5"/>
      <c r="E96" s="14"/>
      <c r="F96" s="6"/>
      <c r="G96" s="5"/>
      <c r="H96" s="5"/>
      <c r="I96" s="5"/>
      <c r="J96" s="5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</row>
    <row r="97" spans="4:69" x14ac:dyDescent="0.25">
      <c r="D97" s="5"/>
      <c r="E97" s="14"/>
      <c r="F97" s="6"/>
      <c r="G97" s="5"/>
      <c r="H97" s="5"/>
      <c r="I97" s="5"/>
      <c r="J97" s="5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</row>
    <row r="98" spans="4:69" x14ac:dyDescent="0.25">
      <c r="D98" s="5"/>
      <c r="E98" s="14"/>
      <c r="F98" s="6"/>
      <c r="G98" s="5"/>
      <c r="H98" s="5"/>
      <c r="I98" s="5"/>
      <c r="J98" s="5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</row>
    <row r="99" spans="4:69" x14ac:dyDescent="0.25">
      <c r="D99" s="5"/>
      <c r="E99" s="14"/>
      <c r="F99" s="6"/>
      <c r="G99" s="5"/>
      <c r="H99" s="5"/>
      <c r="I99" s="5"/>
      <c r="J99" s="5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</row>
    <row r="100" spans="4:69" x14ac:dyDescent="0.25">
      <c r="D100" s="5"/>
      <c r="E100" s="14"/>
      <c r="F100" s="6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</row>
    <row r="101" spans="4:69" x14ac:dyDescent="0.25">
      <c r="D101" s="5"/>
      <c r="E101" s="14"/>
      <c r="F101" s="6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</row>
    <row r="102" spans="4:69" x14ac:dyDescent="0.25">
      <c r="D102" s="5"/>
      <c r="E102" s="14"/>
      <c r="F102" s="6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</row>
    <row r="103" spans="4:69" x14ac:dyDescent="0.25">
      <c r="D103" s="5"/>
      <c r="E103" s="14"/>
      <c r="F103" s="6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</row>
    <row r="104" spans="4:69" x14ac:dyDescent="0.25">
      <c r="D104" s="5"/>
      <c r="E104" s="14"/>
      <c r="F104" s="6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</row>
    <row r="105" spans="4:69" x14ac:dyDescent="0.25">
      <c r="D105" s="5"/>
      <c r="E105" s="14"/>
      <c r="F105" s="6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</row>
    <row r="106" spans="4:69" x14ac:dyDescent="0.25">
      <c r="D106" s="5"/>
      <c r="E106" s="14"/>
      <c r="F106" s="6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</row>
    <row r="107" spans="4:69" x14ac:dyDescent="0.25">
      <c r="D107" s="5"/>
      <c r="E107" s="14"/>
      <c r="F107" s="6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</row>
    <row r="108" spans="4:69" x14ac:dyDescent="0.25">
      <c r="D108" s="5"/>
      <c r="E108" s="14"/>
      <c r="F108" s="6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</row>
    <row r="109" spans="4:69" x14ac:dyDescent="0.25">
      <c r="D109" s="5"/>
      <c r="E109" s="14"/>
      <c r="F109" s="6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</row>
    <row r="110" spans="4:69" x14ac:dyDescent="0.25">
      <c r="D110" s="5"/>
      <c r="E110" s="14"/>
      <c r="F110" s="6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</row>
    <row r="111" spans="4:69" x14ac:dyDescent="0.25">
      <c r="D111" s="5"/>
      <c r="E111" s="14"/>
      <c r="F111" s="6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</row>
    <row r="112" spans="4:69" x14ac:dyDescent="0.25">
      <c r="D112" s="5"/>
      <c r="E112" s="14"/>
      <c r="F112" s="6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</row>
    <row r="113" spans="4:69" x14ac:dyDescent="0.25">
      <c r="D113" s="5"/>
      <c r="E113" s="14"/>
      <c r="F113" s="6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</row>
    <row r="114" spans="4:69" x14ac:dyDescent="0.25">
      <c r="D114" s="5"/>
      <c r="E114" s="14"/>
      <c r="F114" s="6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</row>
    <row r="115" spans="4:69" x14ac:dyDescent="0.25">
      <c r="D115" s="5"/>
      <c r="E115" s="14"/>
      <c r="F115" s="6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</row>
    <row r="116" spans="4:69" x14ac:dyDescent="0.25">
      <c r="D116" s="5"/>
      <c r="E116" s="14"/>
      <c r="F116" s="6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</row>
    <row r="117" spans="4:69" x14ac:dyDescent="0.25">
      <c r="D117" s="5"/>
      <c r="E117" s="14"/>
      <c r="F117" s="6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</row>
    <row r="118" spans="4:69" x14ac:dyDescent="0.25">
      <c r="D118" s="5"/>
      <c r="E118" s="14"/>
      <c r="F118" s="6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</row>
    <row r="119" spans="4:69" x14ac:dyDescent="0.25">
      <c r="D119" s="5"/>
      <c r="E119" s="14"/>
      <c r="F119" s="6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</row>
    <row r="120" spans="4:69" x14ac:dyDescent="0.25">
      <c r="D120" s="5"/>
      <c r="E120" s="14"/>
      <c r="F120" s="6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</row>
    <row r="121" spans="4:69" x14ac:dyDescent="0.25">
      <c r="D121" s="5"/>
      <c r="E121" s="14"/>
      <c r="F121" s="6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</row>
    <row r="122" spans="4:69" x14ac:dyDescent="0.25">
      <c r="D122" s="5"/>
      <c r="E122" s="14"/>
      <c r="F122" s="6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</row>
    <row r="123" spans="4:69" x14ac:dyDescent="0.25">
      <c r="D123" s="5"/>
      <c r="E123" s="14"/>
      <c r="F123" s="6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</row>
    <row r="124" spans="4:69" x14ac:dyDescent="0.25">
      <c r="D124" s="5"/>
      <c r="E124" s="14"/>
      <c r="F124" s="6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</row>
    <row r="125" spans="4:69" x14ac:dyDescent="0.25">
      <c r="D125" s="5"/>
      <c r="E125" s="14"/>
      <c r="F125" s="6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</row>
    <row r="126" spans="4:69" x14ac:dyDescent="0.25">
      <c r="D126" s="5"/>
      <c r="E126" s="14"/>
      <c r="F126" s="6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</row>
    <row r="127" spans="4:69" x14ac:dyDescent="0.25">
      <c r="D127" s="5"/>
      <c r="E127" s="14"/>
      <c r="F127" s="6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</row>
    <row r="128" spans="4:69" x14ac:dyDescent="0.25">
      <c r="D128" s="5"/>
      <c r="E128" s="14"/>
      <c r="F128" s="6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</row>
    <row r="129" spans="4:69" x14ac:dyDescent="0.25">
      <c r="D129" s="5"/>
      <c r="E129" s="14"/>
      <c r="F129" s="6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</row>
    <row r="130" spans="4:69" x14ac:dyDescent="0.25">
      <c r="D130" s="5"/>
      <c r="E130" s="14"/>
      <c r="F130" s="6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</row>
    <row r="131" spans="4:69" x14ac:dyDescent="0.25">
      <c r="D131" s="5"/>
      <c r="E131" s="14"/>
      <c r="F131" s="6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</row>
    <row r="132" spans="4:69" x14ac:dyDescent="0.25">
      <c r="D132" s="5"/>
      <c r="E132" s="14"/>
      <c r="F132" s="6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</row>
    <row r="133" spans="4:69" x14ac:dyDescent="0.25">
      <c r="D133" s="5"/>
      <c r="E133" s="14"/>
      <c r="F133" s="6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</row>
    <row r="134" spans="4:69" x14ac:dyDescent="0.25">
      <c r="D134" s="5"/>
      <c r="E134" s="14"/>
      <c r="F134" s="6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</row>
    <row r="135" spans="4:69" x14ac:dyDescent="0.25">
      <c r="D135" s="5"/>
      <c r="E135" s="14"/>
      <c r="F135" s="6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</row>
    <row r="136" spans="4:69" x14ac:dyDescent="0.25">
      <c r="D136" s="5"/>
      <c r="E136" s="14"/>
      <c r="F136" s="6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</row>
    <row r="137" spans="4:69" x14ac:dyDescent="0.25">
      <c r="D137" s="5"/>
      <c r="E137" s="14"/>
      <c r="F137" s="6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</row>
    <row r="138" spans="4:69" x14ac:dyDescent="0.25">
      <c r="D138" s="5"/>
      <c r="E138" s="14"/>
      <c r="F138" s="6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</row>
    <row r="139" spans="4:69" x14ac:dyDescent="0.25">
      <c r="D139" s="5"/>
      <c r="E139" s="14"/>
      <c r="F139" s="6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</row>
    <row r="140" spans="4:69" x14ac:dyDescent="0.25">
      <c r="D140" s="5"/>
      <c r="E140" s="14"/>
      <c r="F140" s="6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</row>
    <row r="141" spans="4:69" x14ac:dyDescent="0.25">
      <c r="D141" s="5"/>
      <c r="E141" s="14"/>
      <c r="F141" s="6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</row>
    <row r="142" spans="4:69" x14ac:dyDescent="0.25">
      <c r="D142" s="5"/>
      <c r="E142" s="14"/>
      <c r="F142" s="6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</row>
    <row r="143" spans="4:69" x14ac:dyDescent="0.25">
      <c r="D143" s="5"/>
      <c r="E143" s="14"/>
      <c r="F143" s="6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</row>
    <row r="144" spans="4:69" x14ac:dyDescent="0.25">
      <c r="D144" s="5"/>
      <c r="E144" s="14"/>
      <c r="F144" s="6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</row>
    <row r="145" spans="4:69" x14ac:dyDescent="0.25">
      <c r="D145" s="5"/>
      <c r="E145" s="14"/>
      <c r="F145" s="6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</row>
    <row r="146" spans="4:69" x14ac:dyDescent="0.25">
      <c r="D146" s="5"/>
      <c r="E146" s="14"/>
      <c r="F146" s="6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</row>
    <row r="147" spans="4:69" x14ac:dyDescent="0.25">
      <c r="D147" s="5"/>
      <c r="E147" s="14"/>
      <c r="F147" s="6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</row>
    <row r="148" spans="4:69" x14ac:dyDescent="0.25">
      <c r="D148" s="5"/>
      <c r="E148" s="14"/>
      <c r="F148" s="6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</row>
    <row r="149" spans="4:69" x14ac:dyDescent="0.25">
      <c r="D149" s="5"/>
      <c r="E149" s="14"/>
      <c r="F149" s="6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</row>
    <row r="150" spans="4:69" x14ac:dyDescent="0.25">
      <c r="D150" s="5"/>
      <c r="E150" s="14"/>
      <c r="F150" s="6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</row>
    <row r="151" spans="4:69" x14ac:dyDescent="0.25">
      <c r="D151" s="5"/>
      <c r="E151" s="14"/>
      <c r="F151" s="6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</row>
    <row r="152" spans="4:69" x14ac:dyDescent="0.25">
      <c r="D152" s="5"/>
      <c r="E152" s="14"/>
      <c r="F152" s="6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</row>
    <row r="153" spans="4:69" x14ac:dyDescent="0.25">
      <c r="D153" s="5"/>
      <c r="E153" s="14"/>
      <c r="F153" s="6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</row>
    <row r="154" spans="4:69" x14ac:dyDescent="0.25">
      <c r="D154" s="5"/>
      <c r="E154" s="14"/>
      <c r="F154" s="6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</row>
    <row r="155" spans="4:69" x14ac:dyDescent="0.25">
      <c r="D155" s="5"/>
      <c r="E155" s="14"/>
      <c r="F155" s="6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</row>
    <row r="156" spans="4:69" x14ac:dyDescent="0.25">
      <c r="D156" s="5"/>
      <c r="E156" s="14"/>
      <c r="F156" s="6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</row>
    <row r="157" spans="4:69" x14ac:dyDescent="0.25">
      <c r="D157" s="5"/>
      <c r="E157" s="14"/>
      <c r="F157" s="6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</row>
    <row r="158" spans="4:69" x14ac:dyDescent="0.25">
      <c r="D158" s="5"/>
      <c r="E158" s="14"/>
      <c r="F158" s="6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</row>
    <row r="159" spans="4:69" x14ac:dyDescent="0.25">
      <c r="D159" s="5"/>
      <c r="E159" s="14"/>
      <c r="F159" s="6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</row>
    <row r="160" spans="4:69" x14ac:dyDescent="0.25">
      <c r="D160" s="5"/>
      <c r="E160" s="14"/>
      <c r="F160" s="6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</row>
    <row r="161" spans="4:69" x14ac:dyDescent="0.25">
      <c r="D161" s="5"/>
      <c r="E161" s="14"/>
      <c r="F161" s="6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</row>
    <row r="162" spans="4:69" x14ac:dyDescent="0.25">
      <c r="D162" s="5"/>
      <c r="E162" s="14"/>
      <c r="F162" s="6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</row>
    <row r="163" spans="4:69" x14ac:dyDescent="0.25">
      <c r="D163" s="5"/>
      <c r="E163" s="14"/>
      <c r="F163" s="6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</row>
    <row r="164" spans="4:69" x14ac:dyDescent="0.25">
      <c r="D164" s="5"/>
      <c r="E164" s="14"/>
      <c r="F164" s="6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</row>
    <row r="165" spans="4:69" x14ac:dyDescent="0.25">
      <c r="D165" s="5"/>
      <c r="E165" s="14"/>
      <c r="F165" s="6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</row>
    <row r="166" spans="4:69" x14ac:dyDescent="0.25">
      <c r="D166" s="5"/>
      <c r="E166" s="14"/>
      <c r="F166" s="6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</row>
    <row r="167" spans="4:69" x14ac:dyDescent="0.25">
      <c r="D167" s="5"/>
      <c r="E167" s="14"/>
      <c r="F167" s="6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</row>
    <row r="168" spans="4:69" x14ac:dyDescent="0.25">
      <c r="D168" s="5"/>
      <c r="E168" s="14"/>
      <c r="F168" s="6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</row>
    <row r="169" spans="4:69" x14ac:dyDescent="0.25">
      <c r="D169" s="5"/>
      <c r="E169" s="14"/>
      <c r="F169" s="6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</row>
    <row r="170" spans="4:69" x14ac:dyDescent="0.25">
      <c r="D170" s="5"/>
      <c r="E170" s="14"/>
      <c r="F170" s="6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</row>
    <row r="171" spans="4:69" x14ac:dyDescent="0.25">
      <c r="D171" s="5"/>
      <c r="E171" s="14"/>
      <c r="F171" s="6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</row>
    <row r="172" spans="4:69" x14ac:dyDescent="0.25">
      <c r="D172" s="5"/>
      <c r="E172" s="14"/>
      <c r="F172" s="6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</row>
    <row r="173" spans="4:69" x14ac:dyDescent="0.25">
      <c r="D173" s="5"/>
      <c r="E173" s="14"/>
      <c r="F173" s="6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</row>
    <row r="174" spans="4:69" x14ac:dyDescent="0.25">
      <c r="D174" s="5"/>
      <c r="E174" s="14"/>
      <c r="F174" s="6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</row>
    <row r="175" spans="4:69" x14ac:dyDescent="0.25">
      <c r="D175" s="5"/>
      <c r="E175" s="14"/>
      <c r="F175" s="6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</row>
    <row r="176" spans="4:69" x14ac:dyDescent="0.25">
      <c r="D176" s="5"/>
      <c r="E176" s="14"/>
      <c r="F176" s="6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</row>
    <row r="177" spans="4:69" x14ac:dyDescent="0.25">
      <c r="D177" s="5"/>
      <c r="E177" s="14"/>
      <c r="F177" s="6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</row>
    <row r="178" spans="4:69" x14ac:dyDescent="0.25">
      <c r="D178" s="5"/>
      <c r="E178" s="14"/>
      <c r="F178" s="6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</row>
    <row r="179" spans="4:69" x14ac:dyDescent="0.25">
      <c r="D179" s="5"/>
      <c r="E179" s="14"/>
      <c r="F179" s="6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</row>
    <row r="180" spans="4:69" x14ac:dyDescent="0.25">
      <c r="D180" s="5"/>
      <c r="E180" s="14"/>
      <c r="F180" s="6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</row>
    <row r="181" spans="4:69" x14ac:dyDescent="0.25">
      <c r="D181" s="5"/>
      <c r="E181" s="14"/>
      <c r="F181" s="6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</row>
    <row r="182" spans="4:69" x14ac:dyDescent="0.25">
      <c r="D182" s="5"/>
      <c r="E182" s="14"/>
      <c r="F182" s="6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</row>
    <row r="183" spans="4:69" x14ac:dyDescent="0.25">
      <c r="D183" s="5"/>
      <c r="E183" s="14"/>
      <c r="F183" s="6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</row>
    <row r="184" spans="4:69" x14ac:dyDescent="0.25">
      <c r="D184" s="5"/>
      <c r="E184" s="14"/>
      <c r="F184" s="6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</row>
    <row r="185" spans="4:69" x14ac:dyDescent="0.25">
      <c r="D185" s="5"/>
      <c r="E185" s="14"/>
      <c r="F185" s="6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</row>
    <row r="186" spans="4:69" x14ac:dyDescent="0.25">
      <c r="D186" s="5"/>
      <c r="E186" s="14"/>
      <c r="F186" s="6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</row>
    <row r="187" spans="4:69" x14ac:dyDescent="0.25">
      <c r="D187" s="5"/>
      <c r="E187" s="14"/>
      <c r="F187" s="6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</row>
    <row r="188" spans="4:69" x14ac:dyDescent="0.25">
      <c r="D188" s="5"/>
      <c r="E188" s="14"/>
      <c r="F188" s="6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</row>
    <row r="189" spans="4:69" x14ac:dyDescent="0.25">
      <c r="D189" s="5"/>
      <c r="E189" s="14"/>
      <c r="F189" s="6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</row>
    <row r="190" spans="4:69" x14ac:dyDescent="0.25">
      <c r="D190" s="5"/>
      <c r="E190" s="14"/>
      <c r="F190" s="6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</row>
    <row r="191" spans="4:69" x14ac:dyDescent="0.25">
      <c r="D191" s="5"/>
      <c r="E191" s="14"/>
      <c r="F191" s="6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</row>
    <row r="192" spans="4:69" x14ac:dyDescent="0.25">
      <c r="D192" s="5"/>
      <c r="E192" s="14"/>
      <c r="F192" s="6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</row>
    <row r="193" spans="4:69" x14ac:dyDescent="0.25">
      <c r="D193" s="5"/>
      <c r="E193" s="14"/>
      <c r="F193" s="6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</row>
    <row r="194" spans="4:69" x14ac:dyDescent="0.25">
      <c r="D194" s="5"/>
      <c r="E194" s="14"/>
      <c r="F194" s="6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</row>
    <row r="195" spans="4:69" x14ac:dyDescent="0.25">
      <c r="D195" s="5"/>
      <c r="E195" s="14"/>
      <c r="F195" s="6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</row>
    <row r="196" spans="4:69" x14ac:dyDescent="0.25">
      <c r="D196" s="5"/>
      <c r="E196" s="14"/>
      <c r="F196" s="6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</row>
    <row r="197" spans="4:69" x14ac:dyDescent="0.25">
      <c r="D197" s="5"/>
      <c r="E197" s="14"/>
      <c r="F197" s="6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</row>
    <row r="198" spans="4:69" x14ac:dyDescent="0.25">
      <c r="D198" s="5"/>
      <c r="E198" s="14"/>
      <c r="F198" s="6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</row>
    <row r="199" spans="4:69" x14ac:dyDescent="0.25">
      <c r="D199" s="5"/>
      <c r="E199" s="14"/>
      <c r="F199" s="6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</row>
    <row r="200" spans="4:69" x14ac:dyDescent="0.25">
      <c r="D200" s="5"/>
      <c r="E200" s="14"/>
      <c r="F200" s="6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</row>
    <row r="201" spans="4:69" x14ac:dyDescent="0.25">
      <c r="D201" s="5"/>
      <c r="E201" s="14"/>
      <c r="F201" s="6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</row>
    <row r="202" spans="4:69" x14ac:dyDescent="0.25">
      <c r="D202" s="5"/>
      <c r="E202" s="14"/>
      <c r="F202" s="6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</row>
    <row r="203" spans="4:69" x14ac:dyDescent="0.25">
      <c r="D203" s="5"/>
      <c r="E203" s="14"/>
      <c r="F203" s="6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</row>
    <row r="204" spans="4:69" x14ac:dyDescent="0.25">
      <c r="D204" s="5"/>
      <c r="E204" s="14"/>
      <c r="F204" s="6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</row>
  </sheetData>
  <dataValidations disablePrompts="1" count="1">
    <dataValidation type="list" allowBlank="1" showInputMessage="1" showErrorMessage="1" sqref="B7">
      <formula1>mth_short.list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9"/>
  <sheetViews>
    <sheetView workbookViewId="0">
      <selection activeCell="L1" sqref="L1"/>
    </sheetView>
  </sheetViews>
  <sheetFormatPr defaultRowHeight="15" x14ac:dyDescent="0.25"/>
  <cols>
    <col min="1" max="1" width="11" bestFit="1" customWidth="1"/>
    <col min="2" max="2" width="9.28515625" bestFit="1" customWidth="1"/>
    <col min="3" max="3" width="10" bestFit="1" customWidth="1"/>
    <col min="4" max="4" width="8.5703125" bestFit="1" customWidth="1"/>
    <col min="5" max="5" width="13.28515625" bestFit="1" customWidth="1"/>
    <col min="6" max="6" width="28.28515625" bestFit="1" customWidth="1"/>
    <col min="7" max="7" width="20.28515625" bestFit="1" customWidth="1"/>
    <col min="8" max="8" width="20.5703125" bestFit="1" customWidth="1"/>
    <col min="9" max="9" width="22.28515625" bestFit="1" customWidth="1"/>
    <col min="10" max="10" width="17.5703125" bestFit="1" customWidth="1"/>
    <col min="11" max="11" width="18.85546875" bestFit="1" customWidth="1"/>
    <col min="12" max="12" width="19.140625" bestFit="1" customWidth="1"/>
    <col min="13" max="13" width="13.28515625" bestFit="1" customWidth="1"/>
  </cols>
  <sheetData>
    <row r="2" spans="1:13" x14ac:dyDescent="0.25">
      <c r="A2" t="s">
        <v>377</v>
      </c>
      <c r="B2" t="s">
        <v>331</v>
      </c>
      <c r="C2" t="s">
        <v>366</v>
      </c>
      <c r="D2" t="s">
        <v>367</v>
      </c>
      <c r="E2" t="s">
        <v>368</v>
      </c>
      <c r="F2" t="s">
        <v>369</v>
      </c>
      <c r="G2" t="s">
        <v>370</v>
      </c>
      <c r="H2" t="s">
        <v>360</v>
      </c>
      <c r="I2" t="s">
        <v>361</v>
      </c>
      <c r="J2" t="s">
        <v>362</v>
      </c>
      <c r="K2" t="s">
        <v>363</v>
      </c>
      <c r="L2" t="s">
        <v>364</v>
      </c>
      <c r="M2" t="s">
        <v>371</v>
      </c>
    </row>
    <row r="3" spans="1:13" x14ac:dyDescent="0.25">
      <c r="A3">
        <v>1</v>
      </c>
      <c r="B3" t="s">
        <v>372</v>
      </c>
      <c r="C3">
        <v>840</v>
      </c>
      <c r="D3">
        <v>1.2</v>
      </c>
      <c r="E3" t="s">
        <v>373</v>
      </c>
      <c r="F3">
        <v>-20</v>
      </c>
      <c r="G3">
        <v>87.444000000000003</v>
      </c>
      <c r="H3">
        <v>86.6524</v>
      </c>
      <c r="I3">
        <v>85.884100000000004</v>
      </c>
      <c r="J3">
        <v>6.5400999999999998</v>
      </c>
      <c r="K3">
        <v>74.597899999999996</v>
      </c>
      <c r="L3">
        <v>100.56010000000001</v>
      </c>
      <c r="M3">
        <v>166</v>
      </c>
    </row>
    <row r="4" spans="1:13" x14ac:dyDescent="0.25">
      <c r="A4">
        <v>2</v>
      </c>
      <c r="B4" t="s">
        <v>374</v>
      </c>
      <c r="C4">
        <v>840</v>
      </c>
      <c r="D4">
        <v>1.2</v>
      </c>
      <c r="E4" t="s">
        <v>373</v>
      </c>
      <c r="F4">
        <v>-15</v>
      </c>
      <c r="G4">
        <v>86.402500000000003</v>
      </c>
      <c r="H4">
        <v>84.599900000000005</v>
      </c>
      <c r="I4">
        <v>83.415899999999993</v>
      </c>
      <c r="J4">
        <v>6.2008999999999999</v>
      </c>
      <c r="K4">
        <v>74.145099999999999</v>
      </c>
      <c r="L4">
        <v>100.8659</v>
      </c>
      <c r="M4">
        <v>158</v>
      </c>
    </row>
    <row r="5" spans="1:13" x14ac:dyDescent="0.25">
      <c r="A5">
        <v>3</v>
      </c>
      <c r="B5" t="s">
        <v>375</v>
      </c>
      <c r="C5">
        <v>840</v>
      </c>
      <c r="D5">
        <v>1.2</v>
      </c>
      <c r="E5" t="s">
        <v>373</v>
      </c>
      <c r="F5">
        <v>-5</v>
      </c>
      <c r="G5">
        <v>84.281499999999994</v>
      </c>
      <c r="H5">
        <v>82.957400000000007</v>
      </c>
      <c r="I5">
        <v>82.532899999999998</v>
      </c>
      <c r="J5">
        <v>6.1028000000000002</v>
      </c>
      <c r="K5">
        <v>72.393600000000006</v>
      </c>
      <c r="L5">
        <v>99.373999999999995</v>
      </c>
      <c r="M5">
        <v>189</v>
      </c>
    </row>
    <row r="6" spans="1:13" x14ac:dyDescent="0.25">
      <c r="A6">
        <v>4</v>
      </c>
      <c r="B6" t="s">
        <v>375</v>
      </c>
      <c r="C6">
        <v>870</v>
      </c>
      <c r="D6">
        <v>2.2000000000000002</v>
      </c>
      <c r="E6" t="s">
        <v>373</v>
      </c>
      <c r="F6">
        <v>-5</v>
      </c>
      <c r="G6">
        <v>72.898099999999999</v>
      </c>
      <c r="H6">
        <v>74.365700000000004</v>
      </c>
      <c r="I6">
        <v>74.668700000000001</v>
      </c>
      <c r="J6">
        <v>4.0587</v>
      </c>
      <c r="K6">
        <v>65.760599999999997</v>
      </c>
      <c r="L6">
        <v>83.115099999999998</v>
      </c>
      <c r="M6">
        <v>80</v>
      </c>
    </row>
    <row r="7" spans="1:13" x14ac:dyDescent="0.25">
      <c r="A7">
        <v>5</v>
      </c>
      <c r="B7" t="s">
        <v>375</v>
      </c>
      <c r="C7">
        <v>832</v>
      </c>
      <c r="D7">
        <v>0.9</v>
      </c>
      <c r="E7" t="s">
        <v>373</v>
      </c>
      <c r="F7">
        <v>-7</v>
      </c>
      <c r="G7">
        <v>85.914100000000005</v>
      </c>
      <c r="H7">
        <v>85.320400000000006</v>
      </c>
      <c r="I7">
        <v>85.686000000000007</v>
      </c>
      <c r="J7">
        <v>5.8151000000000002</v>
      </c>
      <c r="K7">
        <v>73.577799999999996</v>
      </c>
      <c r="L7">
        <v>102.2086</v>
      </c>
      <c r="M7">
        <v>200</v>
      </c>
    </row>
    <row r="8" spans="1:13" x14ac:dyDescent="0.25">
      <c r="A8">
        <v>6</v>
      </c>
      <c r="B8" t="s">
        <v>376</v>
      </c>
      <c r="C8">
        <v>832</v>
      </c>
      <c r="D8">
        <v>0.9</v>
      </c>
      <c r="E8" t="s">
        <v>373</v>
      </c>
      <c r="F8">
        <v>0</v>
      </c>
      <c r="G8">
        <v>82.48</v>
      </c>
      <c r="H8">
        <v>85.583100000000002</v>
      </c>
      <c r="I8">
        <v>87.063100000000006</v>
      </c>
      <c r="J8">
        <v>5.5239000000000003</v>
      </c>
      <c r="K8">
        <v>74.530900000000003</v>
      </c>
      <c r="L8">
        <v>98.833799999999997</v>
      </c>
      <c r="M8">
        <v>125</v>
      </c>
    </row>
    <row r="9" spans="1:13" x14ac:dyDescent="0.25">
      <c r="A9">
        <v>7</v>
      </c>
      <c r="B9" t="s">
        <v>376</v>
      </c>
      <c r="C9">
        <v>832</v>
      </c>
      <c r="D9">
        <v>0.9</v>
      </c>
      <c r="E9" t="s">
        <v>373</v>
      </c>
      <c r="F9">
        <v>0</v>
      </c>
      <c r="G9">
        <v>83.834599999999995</v>
      </c>
      <c r="H9">
        <v>85.191000000000003</v>
      </c>
      <c r="I9">
        <v>86.238600000000005</v>
      </c>
      <c r="J9">
        <v>7.2542999999999997</v>
      </c>
      <c r="K9">
        <v>68.290000000000006</v>
      </c>
      <c r="L9">
        <v>103.2642</v>
      </c>
      <c r="M9">
        <v>153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VP Data</vt:lpstr>
      <vt:lpstr>Weather Data</vt:lpstr>
      <vt:lpstr>Lookups</vt:lpstr>
      <vt:lpstr>Simulation</vt:lpstr>
      <vt:lpstr>Results</vt:lpstr>
      <vt:lpstr>dens.input</vt:lpstr>
      <vt:lpstr>mth.input</vt:lpstr>
      <vt:lpstr>mth_num.list</vt:lpstr>
      <vt:lpstr>mth_short.list</vt:lpstr>
      <vt:lpstr>sulf.input</vt:lpstr>
      <vt:lpstr>temp.roll.input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2017-07-19T20:59:33Z</dcterms:modified>
</cp:coreProperties>
</file>